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22" sheetId="1" r:id="rId5"/>
    <sheet name="2023" sheetId="15" r:id="rId6"/>
    <sheet name="2024" sheetId="16" r:id="rId7"/>
    <sheet name="2025" sheetId="17" r:id="rId8"/>
    <sheet name="2026" sheetId="18" r:id="rId9"/>
    <sheet name="2027" sheetId="20" r:id="rId10"/>
    <sheet name="2028" sheetId="22" r:id="rId11"/>
    <sheet name="2029" sheetId="23" r:id="rId12"/>
    <sheet name="2030" sheetId="24" r:id="rId13"/>
    <sheet name="2031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'2022'!$E$8</definedName>
    <definedName name="Acti_net" localSheetId="5">'2023'!$E$8</definedName>
    <definedName name="Acti_net" localSheetId="6">'2024'!$E$8</definedName>
    <definedName name="Acti_net" localSheetId="7">'2025'!$E$8</definedName>
    <definedName name="Acti_net" localSheetId="8">'2026'!$E$8</definedName>
    <definedName name="Acti_net" localSheetId="9">'2027'!$E$8</definedName>
    <definedName name="Acti_net" localSheetId="10">'2028'!$E$8</definedName>
    <definedName name="Acti_net" localSheetId="11">'2029'!$E$8</definedName>
    <definedName name="Acti_net" localSheetId="12">'2030'!$E$8</definedName>
    <definedName name="Acti_net" localSheetId="13">'2031'!$E$8</definedName>
    <definedName name="Acti_tai" localSheetId="4">'2022'!$F$8</definedName>
    <definedName name="Acti_tai" localSheetId="5">'2023'!$F$8</definedName>
    <definedName name="Acti_tai" localSheetId="6">'2024'!$F$8</definedName>
    <definedName name="Acti_tai" localSheetId="7">'2025'!$F$8</definedName>
    <definedName name="Acti_tai" localSheetId="8">'2026'!$F$8</definedName>
    <definedName name="Acti_tai" localSheetId="9">'2027'!$F$8</definedName>
    <definedName name="Acti_tai" localSheetId="10">'2028'!$F$8</definedName>
    <definedName name="Acti_tai" localSheetId="11">'2029'!$F$8</definedName>
    <definedName name="Acti_tai" localSheetId="12">'2030'!$F$8</definedName>
    <definedName name="Acti_tai" localSheetId="13">'2031'!$F$8</definedName>
    <definedName name="Ajust_M">Models!$Y$1</definedName>
    <definedName name="Amaj">'2022'!$G$3</definedName>
    <definedName name="An" localSheetId="4">'2022'!$J$1</definedName>
    <definedName name="An" localSheetId="5">'2023'!$J$1</definedName>
    <definedName name="An" localSheetId="6">'2024'!$J$1</definedName>
    <definedName name="An" localSheetId="7">'2025'!$J$1</definedName>
    <definedName name="An" localSheetId="8">'2026'!$J$1</definedName>
    <definedName name="An" localSheetId="9">'2027'!$J$1</definedName>
    <definedName name="An" localSheetId="10">'2028'!$J$1</definedName>
    <definedName name="An" localSheetId="11">'2029'!$J$1</definedName>
    <definedName name="An" localSheetId="12">'2030'!$J$1</definedName>
    <definedName name="An" localSheetId="13">'2031'!$J$1</definedName>
    <definedName name="An_max" localSheetId="4">'2022'!$J$15:$J$380</definedName>
    <definedName name="An_max" localSheetId="5">'2023'!$J$15:$J$380</definedName>
    <definedName name="An_max" localSheetId="6">'2024'!$J$15:$J$380</definedName>
    <definedName name="An_max" localSheetId="7">'2025'!$J$15:$J$380</definedName>
    <definedName name="An_max" localSheetId="8">'2026'!$J$15:$J$380</definedName>
    <definedName name="An_max" localSheetId="9">'2027'!$J$15:$J$380</definedName>
    <definedName name="An_max" localSheetId="10">'2028'!$J$15:$J$380</definedName>
    <definedName name="An_max" localSheetId="11">'2029'!$J$15:$J$380</definedName>
    <definedName name="An_max" localSheetId="12">'2030'!$J$15:$J$380</definedName>
    <definedName name="An_max" localSheetId="13">'2031'!$J$15:$J$380</definedName>
    <definedName name="An_Tnet" localSheetId="4">'2022'!$F$7</definedName>
    <definedName name="An_Tnet" localSheetId="5">'2023'!$F$7</definedName>
    <definedName name="An_Tnet" localSheetId="6">'2024'!$F$7</definedName>
    <definedName name="An_Tnet" localSheetId="7">'2025'!$F$7</definedName>
    <definedName name="An_Tnet" localSheetId="8">'2026'!$F$7</definedName>
    <definedName name="An_Tnet" localSheetId="9">'2027'!$F$7</definedName>
    <definedName name="An_Tnet" localSheetId="10">'2028'!$F$7</definedName>
    <definedName name="An_Tnet" localSheetId="11">'2029'!$F$7</definedName>
    <definedName name="An_Tnet" localSheetId="12">'2030'!$F$7</definedName>
    <definedName name="An_Tnet" localSheetId="13">'2031'!$F$7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'2022'!$P$12</definedName>
    <definedName name="Croi_tai" localSheetId="5">'2023'!$P$12</definedName>
    <definedName name="Croi_tai" localSheetId="6">'2024'!$P$12</definedName>
    <definedName name="Croi_tai" localSheetId="7">'2025'!$P$12</definedName>
    <definedName name="Croi_tai" localSheetId="8">'2026'!$P$12</definedName>
    <definedName name="Croi_tai" localSheetId="9">'2027'!$P$12</definedName>
    <definedName name="Croi_tai" localSheetId="10">'2028'!$P$12</definedName>
    <definedName name="Croi_tai" localSheetId="11">'2029'!$P$12</definedName>
    <definedName name="Croi_tai" localSheetId="12">'2030'!$P$12</definedName>
    <definedName name="Croi_tai" localSheetId="13">'2031'!$P$12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'2022'!$Q$12</definedName>
    <definedName name="Dd" localSheetId="5">'2023'!$Q$12</definedName>
    <definedName name="Dd" localSheetId="6">'2024'!$Q$12</definedName>
    <definedName name="Dd" localSheetId="7">'2025'!$Q$12</definedName>
    <definedName name="Dd" localSheetId="8">'2026'!$Q$12</definedName>
    <definedName name="Dd" localSheetId="9">'2027'!$Q$12</definedName>
    <definedName name="Dd" localSheetId="10">'2028'!$Q$12</definedName>
    <definedName name="Dd" localSheetId="11">'2029'!$Q$12</definedName>
    <definedName name="Dd" localSheetId="12">'2030'!$Q$12</definedName>
    <definedName name="Dd" localSheetId="13">'2031'!$Q$12</definedName>
    <definedName name="Dd_s" localSheetId="4">'2022'!$AE$12</definedName>
    <definedName name="Dd_s" localSheetId="5">'2023'!$AE$12</definedName>
    <definedName name="Dd_s" localSheetId="6">'2024'!$AE$12</definedName>
    <definedName name="Dd_s" localSheetId="7">'2025'!$AE$12</definedName>
    <definedName name="Dd_s" localSheetId="8">'2026'!$AE$12</definedName>
    <definedName name="Dd_s" localSheetId="9">'2027'!$AE$12</definedName>
    <definedName name="Dd_s" localSheetId="10">'2028'!$AE$12</definedName>
    <definedName name="Dd_s" localSheetId="11">'2029'!$AE$12</definedName>
    <definedName name="Dd_s" localSheetId="12">'2030'!$AE$12</definedName>
    <definedName name="Dd_s" localSheetId="13">'2031'!$AE$12</definedName>
    <definedName name="Dens" localSheetId="4">'2022'!$Q$11</definedName>
    <definedName name="Dens" localSheetId="5">'2023'!$Q$11</definedName>
    <definedName name="Dens" localSheetId="6">'2024'!$Q$11</definedName>
    <definedName name="Dens" localSheetId="7">'2025'!$Q$11</definedName>
    <definedName name="Dens" localSheetId="8">'2026'!$Q$11</definedName>
    <definedName name="Dens" localSheetId="9">'2027'!$Q$11</definedName>
    <definedName name="Dens" localSheetId="10">'2028'!$Q$11</definedName>
    <definedName name="Dens" localSheetId="11">'2029'!$Q$11</definedName>
    <definedName name="Dens" localSheetId="12">'2030'!$Q$11</definedName>
    <definedName name="Dens" localSheetId="13">'2031'!$Q$11</definedName>
    <definedName name="Dens_2022">'Réglage perte'!$C$11</definedName>
    <definedName name="Dens_2023">'Réglage perte'!$I$11</definedName>
    <definedName name="Dens_2024">'Réglage perte'!$O$11</definedName>
    <definedName name="Dens_2025">'Réglage perte'!$U$11</definedName>
    <definedName name="Dens_2026">'Réglage perte'!$AA$11</definedName>
    <definedName name="Dens_2027">'Réglage perte'!$AG$11</definedName>
    <definedName name="Dens_2028">'Réglage perte'!$AM$11</definedName>
    <definedName name="Dens_2029">'Réglage perte'!$AS$11</definedName>
    <definedName name="Dens_2030">'Réglage perte'!$AY$11</definedName>
    <definedName name="Dens_2031">'Réglage perte'!$BE$11</definedName>
    <definedName name="Dens_2032">'Réglage perte'!$BK$11</definedName>
    <definedName name="Dens_2033">'Réglage perte'!$BQ$11</definedName>
    <definedName name="Dens_2034">'Réglage perte'!$BW$11</definedName>
    <definedName name="Dens_s" localSheetId="5">'2023'!$AE$11</definedName>
    <definedName name="Dens_s" localSheetId="6">'2024'!$AE$11</definedName>
    <definedName name="Dens_s" localSheetId="7">'2025'!$AE$11</definedName>
    <definedName name="Dens_s" localSheetId="8">'2026'!$AE$11</definedName>
    <definedName name="Dens_s" localSheetId="9">'2027'!$AE$11</definedName>
    <definedName name="Dens_s" localSheetId="10">'2028'!$AE$11</definedName>
    <definedName name="Dens_s" localSheetId="11">'2029'!$AE$11</definedName>
    <definedName name="Dens_s" localSheetId="12">'2030'!$AE$11</definedName>
    <definedName name="Dens_s" localSheetId="13">'2031'!$AE$11</definedName>
    <definedName name="Dépas_env" localSheetId="4">'2022'!$G$12</definedName>
    <definedName name="Dépas_env" localSheetId="5">'2023'!$G$12</definedName>
    <definedName name="Dépas_env" localSheetId="6">'2024'!$G$12</definedName>
    <definedName name="Dépas_env" localSheetId="7">'2025'!$G$12</definedName>
    <definedName name="Dépas_env" localSheetId="8">'2026'!$G$12</definedName>
    <definedName name="Dépas_env" localSheetId="9">'2027'!$G$12</definedName>
    <definedName name="Dépas_env" localSheetId="10">'2028'!$G$12</definedName>
    <definedName name="Dépas_env" localSheetId="11">'2029'!$G$12</definedName>
    <definedName name="Dépas_env" localSheetId="12">'2030'!$G$12</definedName>
    <definedName name="Dépas_env" localSheetId="13">'2031'!$G$12</definedName>
    <definedName name="Df" localSheetId="4">'2022'!$Q$379</definedName>
    <definedName name="Df" localSheetId="5">'2023'!$Q$379</definedName>
    <definedName name="Df" localSheetId="6">'2024'!$Q$379</definedName>
    <definedName name="Df" localSheetId="7">'2025'!$Q$379</definedName>
    <definedName name="Df" localSheetId="8">'2026'!$Q$379</definedName>
    <definedName name="Df" localSheetId="9">'2027'!$Q$379</definedName>
    <definedName name="Df" localSheetId="10">'2028'!$Q$379</definedName>
    <definedName name="Df" localSheetId="11">'2029'!$Q$379</definedName>
    <definedName name="Df" localSheetId="12">'2030'!$Q$379</definedName>
    <definedName name="Df" localSheetId="13">'2031'!$Q$379</definedName>
    <definedName name="Df_s" localSheetId="4">'2022'!$AE$379</definedName>
    <definedName name="Df_s" localSheetId="5">'2023'!$AE$379</definedName>
    <definedName name="Df_s" localSheetId="6">'2024'!$AE$379</definedName>
    <definedName name="Df_s" localSheetId="7">'2025'!$AE$379</definedName>
    <definedName name="Df_s" localSheetId="8">'2026'!$AE$379</definedName>
    <definedName name="Df_s" localSheetId="9">'2027'!$AE$379</definedName>
    <definedName name="Df_s" localSheetId="10">'2028'!$AE$379</definedName>
    <definedName name="Df_s" localSheetId="11">'2029'!$AE$379</definedName>
    <definedName name="Df_s" localSheetId="12">'2030'!$AE$379</definedName>
    <definedName name="Df_s" localSheetId="13">'2031'!$AE$379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'2022'!$V$15:$V$380</definedName>
    <definedName name="Env_an" localSheetId="5">'2023'!$V$15:$V$380</definedName>
    <definedName name="Env_an" localSheetId="6">'2024'!$V$15:$V$380</definedName>
    <definedName name="Env_an" localSheetId="7">'2025'!$V$15:$V$380</definedName>
    <definedName name="Env_an" localSheetId="8">'2026'!$V$15:$V$380</definedName>
    <definedName name="Env_an" localSheetId="9">'2027'!$V$15:$V$380</definedName>
    <definedName name="Env_an" localSheetId="10">'2028'!$V$15:$V$380</definedName>
    <definedName name="Env_an" localSheetId="11">'2029'!$V$15:$V$380</definedName>
    <definedName name="Env_an" localSheetId="12">'2030'!$V$15:$V$380</definedName>
    <definedName name="Env_an" localSheetId="13">'2031'!$V$15:$V$380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'2022'!$U$12</definedName>
    <definedName name="Hdd" localSheetId="5">'2023'!$U$12</definedName>
    <definedName name="Hdd" localSheetId="6">'2024'!$U$12</definedName>
    <definedName name="Hdd" localSheetId="7">'2025'!$U$12</definedName>
    <definedName name="Hdd" localSheetId="8">'2026'!$U$12</definedName>
    <definedName name="Hdd" localSheetId="9">'2027'!$U$12</definedName>
    <definedName name="Hdd" localSheetId="10">'2028'!$U$12</definedName>
    <definedName name="Hdd" localSheetId="11">'2029'!$U$12</definedName>
    <definedName name="Hdd" localSheetId="12">'2030'!$U$12</definedName>
    <definedName name="Hdd" localSheetId="13">'2031'!$U$12</definedName>
    <definedName name="Hdd_s" localSheetId="4">'2022'!$AI$12</definedName>
    <definedName name="Hdd_s" localSheetId="5">'2023'!$AI$12</definedName>
    <definedName name="Hdd_s" localSheetId="6">'2024'!$AI$12</definedName>
    <definedName name="Hdd_s" localSheetId="7">'2025'!$AI$12</definedName>
    <definedName name="Hdd_s" localSheetId="8">'2026'!$AI$12</definedName>
    <definedName name="Hdd_s" localSheetId="9">'2027'!$AI$12</definedName>
    <definedName name="Hdd_s" localSheetId="10">'2028'!$AI$12</definedName>
    <definedName name="Hdd_s" localSheetId="11">'2029'!$AI$12</definedName>
    <definedName name="Hdd_s" localSheetId="12">'2030'!$AI$12</definedName>
    <definedName name="Hdd_s" localSheetId="13">'2031'!$AI$12</definedName>
    <definedName name="Hdf" localSheetId="4">'2022'!$U$379</definedName>
    <definedName name="Hdf" localSheetId="5">'2023'!$U$379</definedName>
    <definedName name="Hdf" localSheetId="6">'2024'!$U$379</definedName>
    <definedName name="Hdf" localSheetId="7">'2025'!$U$379</definedName>
    <definedName name="Hdf" localSheetId="8">'2026'!$U$379</definedName>
    <definedName name="Hdf" localSheetId="9">'2027'!$U$379</definedName>
    <definedName name="Hdf" localSheetId="10">'2028'!$U$379</definedName>
    <definedName name="Hdf" localSheetId="11">'2029'!$U$379</definedName>
    <definedName name="Hdf" localSheetId="12">'2030'!$U$379</definedName>
    <definedName name="Hdf" localSheetId="13">'2031'!$U$379</definedName>
    <definedName name="Hdf_s" localSheetId="4">'2022'!$AI$379</definedName>
    <definedName name="Hdf_s" localSheetId="5">'2023'!$AI$379</definedName>
    <definedName name="Hdf_s" localSheetId="6">'2024'!$AI$379</definedName>
    <definedName name="Hdf_s" localSheetId="7">'2025'!$AI$379</definedName>
    <definedName name="Hdf_s" localSheetId="8">'2026'!$AI$379</definedName>
    <definedName name="Hdf_s" localSheetId="9">'2027'!$AI$379</definedName>
    <definedName name="Hdf_s" localSheetId="10">'2028'!$AI$379</definedName>
    <definedName name="Hdf_s" localSheetId="11">'2029'!$AI$379</definedName>
    <definedName name="Hdf_s" localSheetId="12">'2030'!$AI$379</definedName>
    <definedName name="Hdf_s" localSheetId="13">'2031'!$AI$379</definedName>
    <definedName name="Hdtai_s" localSheetId="4">'2022'!$AI$11</definedName>
    <definedName name="Hdtai_s" localSheetId="5">'2023'!$AI$11</definedName>
    <definedName name="Hdtai_s" localSheetId="6">'2024'!$AI$11</definedName>
    <definedName name="Hdtai_s" localSheetId="7">'2025'!$AI$11</definedName>
    <definedName name="Hdtai_s" localSheetId="8">'2026'!$AI$11</definedName>
    <definedName name="Hdtai_s" localSheetId="9">'2027'!$AI$11</definedName>
    <definedName name="Hdtai_s" localSheetId="10">'2028'!$AI$11</definedName>
    <definedName name="Hdtai_s" localSheetId="11">'2029'!$AI$11</definedName>
    <definedName name="Hdtai_s" localSheetId="12">'2030'!$AI$11</definedName>
    <definedName name="Hdtai_s" localSheetId="13">'2031'!$AI$11</definedName>
    <definedName name="Hdtf" localSheetId="4">'2022'!$U$11</definedName>
    <definedName name="Hdtf" localSheetId="5">'2023'!$U$11</definedName>
    <definedName name="Hdtf" localSheetId="6">'2024'!$U$11</definedName>
    <definedName name="Hdtf" localSheetId="7">'2025'!$U$11</definedName>
    <definedName name="Hdtf" localSheetId="8">'2026'!$U$11</definedName>
    <definedName name="Hdtf" localSheetId="9">'2027'!$U$11</definedName>
    <definedName name="Hdtf" localSheetId="10">'2028'!$U$11</definedName>
    <definedName name="Hdtf" localSheetId="11">'2029'!$U$11</definedName>
    <definedName name="Hdtf" localSheetId="12">'2030'!$U$11</definedName>
    <definedName name="Hdtf" localSheetId="13">'2031'!$U$11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'2022'!$U$15:$U$380</definedName>
    <definedName name="Hp_vg" localSheetId="5">'2023'!$U$15:$U$380</definedName>
    <definedName name="Hp_vg" localSheetId="6">'2024'!$U$15:$U$380</definedName>
    <definedName name="Hp_vg" localSheetId="7">'2025'!$U$15:$U$380</definedName>
    <definedName name="Hp_vg" localSheetId="8">'2026'!$U$15:$U$380</definedName>
    <definedName name="Hp_vg" localSheetId="9">'2027'!$U$15:$U$380</definedName>
    <definedName name="Hp_vg" localSheetId="10">'2028'!$U$15:$U$380</definedName>
    <definedName name="Hp_vg" localSheetId="11">'2029'!$U$15:$U$380</definedName>
    <definedName name="Hp_vg" localSheetId="12">'2030'!$U$15:$U$380</definedName>
    <definedName name="Hp_vg" localSheetId="13">'2031'!$U$15:$U$380</definedName>
    <definedName name="Hp_vg_s" comment="Hauteur  pousse _végétation (°) sans action de taille" localSheetId="4">'2022'!$AI$15:$AI$380</definedName>
    <definedName name="Hp_vg_s" localSheetId="5">'2023'!$AI$15:$AI$380</definedName>
    <definedName name="Hp_vg_s" localSheetId="6">'2024'!$AI$15:$AI$380</definedName>
    <definedName name="Hp_vg_s" localSheetId="7">'2025'!$AI$15:$AI$380</definedName>
    <definedName name="Hp_vg_s" localSheetId="8">'2026'!$AI$15:$AI$380</definedName>
    <definedName name="Hp_vg_s" localSheetId="9">'2027'!$AI$15:$AI$380</definedName>
    <definedName name="Hp_vg_s" localSheetId="10">'2028'!$AI$15:$AI$380</definedName>
    <definedName name="Hp_vg_s" localSheetId="11">'2029'!$AI$15:$AI$380</definedName>
    <definedName name="Hp_vg_s" localSheetId="12">'2030'!$AI$15:$AI$380</definedName>
    <definedName name="Hp_vg_s" localSheetId="13">'2031'!$AI$15:$AI$380</definedName>
    <definedName name="Hrm" localSheetId="1">Masques!$E$8</definedName>
    <definedName name="Htf_2022">'Réglage perte'!$D$11</definedName>
    <definedName name="Htf_2023">'Réglage perte'!$J$11</definedName>
    <definedName name="Htf_2024">'Réglage perte'!$P$11</definedName>
    <definedName name="Htf_2025">'Réglage perte'!$V$11</definedName>
    <definedName name="Htf_2026">'Réglage perte'!$AB$11</definedName>
    <definedName name="Htf_2027">'Réglage perte'!$AH$11</definedName>
    <definedName name="Htf_2028">'Réglage perte'!$AN$11</definedName>
    <definedName name="Htf_2029">'Réglage perte'!$AT$11</definedName>
    <definedName name="Htf_2030">'Réglage perte'!$AZ$11</definedName>
    <definedName name="Htf_2031">'Réglage perte'!$BF$11</definedName>
    <definedName name="Htf_2032">'Réglage perte'!$BL$11</definedName>
    <definedName name="Htf_2033">'Réglage perte'!$BR$11</definedName>
    <definedName name="Htf_2034">'Réglage perte'!$BX$11</definedName>
    <definedName name="Inflex" localSheetId="4">'2022'!$E$7</definedName>
    <definedName name="Inflex" localSheetId="5">'2023'!$E$7</definedName>
    <definedName name="Inflex" localSheetId="6">'2024'!$E$7</definedName>
    <definedName name="Inflex" localSheetId="7">'2025'!$E$7</definedName>
    <definedName name="Inflex" localSheetId="8">'2026'!$E$7</definedName>
    <definedName name="Inflex" localSheetId="9">'2027'!$E$7</definedName>
    <definedName name="Inflex" localSheetId="10">'2028'!$E$7</definedName>
    <definedName name="Inflex" localSheetId="11">'2029'!$E$7</definedName>
    <definedName name="Inflex" localSheetId="12">'2030'!$E$7</definedName>
    <definedName name="Inflex" localSheetId="13">'2031'!$E$7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'2022'!$I$15:$I$380</definedName>
    <definedName name="Maxi_hp" localSheetId="5">'2023'!$I$15:$I$380</definedName>
    <definedName name="Maxi_hp" localSheetId="6">'2024'!$I$15:$I$380</definedName>
    <definedName name="Maxi_hp" localSheetId="7">'2025'!$I$15:$I$380</definedName>
    <definedName name="Maxi_hp" localSheetId="8">'2026'!$I$15:$I$380</definedName>
    <definedName name="Maxi_hp" localSheetId="9">'2027'!$I$15:$I$380</definedName>
    <definedName name="Maxi_hp" localSheetId="10">'2028'!$I$15:$I$380</definedName>
    <definedName name="Maxi_hp" localSheetId="11">'2029'!$I$15:$I$380</definedName>
    <definedName name="Maxi_hp" localSheetId="12">'2030'!$I$15:$I$380</definedName>
    <definedName name="Maxi_hp" localSheetId="13">'2031'!$I$15:$I$380</definedName>
    <definedName name="MaxiM">Models!$J$15:$J$380</definedName>
    <definedName name="Notai" localSheetId="4">'2022'!$P$10</definedName>
    <definedName name="Notai" localSheetId="5">'2023'!$P$10</definedName>
    <definedName name="Notai" localSheetId="6">'2024'!$P$10</definedName>
    <definedName name="Notai" localSheetId="7">'2025'!$P$10</definedName>
    <definedName name="Notai" localSheetId="8">'2026'!$P$10</definedName>
    <definedName name="Notai" localSheetId="9">'2027'!$P$10</definedName>
    <definedName name="Notai" localSheetId="10">'2028'!$P$10</definedName>
    <definedName name="Notai" localSheetId="11">'2029'!$P$10</definedName>
    <definedName name="Notai" localSheetId="12">'2030'!$P$10</definedName>
    <definedName name="Notai" localSheetId="13">'2031'!$P$10</definedName>
    <definedName name="NoTnet" localSheetId="4">'2022'!$AC$12</definedName>
    <definedName name="NoTnet" localSheetId="5">'2023'!$AC$12</definedName>
    <definedName name="NoTnet" localSheetId="6">'2024'!$AC$12</definedName>
    <definedName name="NoTnet" localSheetId="7">'2025'!$AC$12</definedName>
    <definedName name="NoTnet" localSheetId="8">'2026'!$AC$12</definedName>
    <definedName name="NoTnet" localSheetId="9">'2027'!$AC$12</definedName>
    <definedName name="NoTnet" localSheetId="10">'2028'!$AC$12</definedName>
    <definedName name="NoTnet" localSheetId="11">'2029'!$AC$12</definedName>
    <definedName name="NoTnet" localSheetId="12">'2030'!$AC$12</definedName>
    <definedName name="NoTnet" localSheetId="13">'2031'!$AC$12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'2022'!$Q$10</definedName>
    <definedName name="PousD" localSheetId="5">'2023'!$Q$10</definedName>
    <definedName name="PousD" localSheetId="6">'2024'!$Q$10</definedName>
    <definedName name="PousD" localSheetId="7">'2025'!$Q$10</definedName>
    <definedName name="PousD" localSheetId="8">'2026'!$Q$10</definedName>
    <definedName name="PousD" localSheetId="9">'2027'!$Q$10</definedName>
    <definedName name="PousD" localSheetId="10">'2028'!$Q$10</definedName>
    <definedName name="PousD" localSheetId="11">'2029'!$Q$10</definedName>
    <definedName name="PousD" localSheetId="12">'2030'!$Q$10</definedName>
    <definedName name="PousD" localSheetId="13">'2031'!$Q$10</definedName>
    <definedName name="PousH" localSheetId="4">'2022'!$U$10</definedName>
    <definedName name="PousH" localSheetId="5">'2023'!$U$10</definedName>
    <definedName name="PousH" localSheetId="6">'2024'!$U$10</definedName>
    <definedName name="PousH" localSheetId="7">'2025'!$U$10</definedName>
    <definedName name="PousH" localSheetId="8">'2026'!$U$10</definedName>
    <definedName name="PousH" localSheetId="9">'2027'!$U$10</definedName>
    <definedName name="PousH" localSheetId="10">'2028'!$U$10</definedName>
    <definedName name="PousH" localSheetId="11">'2029'!$U$10</definedName>
    <definedName name="PousH" localSheetId="12">'2030'!$U$10</definedName>
    <definedName name="PousH" localSheetId="13">'2031'!$U$10</definedName>
    <definedName name="PousHi">'Réglage perte'!$AM$2</definedName>
    <definedName name="Ppv" localSheetId="4">'2022'!$L$15:$L$380</definedName>
    <definedName name="Ppv" localSheetId="5">'2023'!$L$15:$L$380</definedName>
    <definedName name="Ppv" localSheetId="6">'2024'!$L$15:$L$380</definedName>
    <definedName name="Ppv" localSheetId="7">'2025'!$L$15:$L$380</definedName>
    <definedName name="Ppv" localSheetId="8">'2026'!$L$15:$L$380</definedName>
    <definedName name="Ppv" localSheetId="9">'2027'!$L$15:$L$380</definedName>
    <definedName name="Ppv" localSheetId="10">'2028'!$L$15:$L$380</definedName>
    <definedName name="Ppv" localSheetId="11">'2029'!$L$15:$L$380</definedName>
    <definedName name="Ppv" localSheetId="12">'2030'!$L$15:$L$380</definedName>
    <definedName name="Ppv" localSheetId="13">'2031'!$L$15:$L$380</definedName>
    <definedName name="Prod_an" localSheetId="4">'2022'!$H$9</definedName>
    <definedName name="Prod_an" localSheetId="5">'2023'!$H$9</definedName>
    <definedName name="Prod_an" localSheetId="6">'2024'!$H$9</definedName>
    <definedName name="Prod_an" localSheetId="7">'2025'!$H$9</definedName>
    <definedName name="Prod_an" localSheetId="8">'2026'!$H$9</definedName>
    <definedName name="Prod_an" localSheetId="9">'2027'!$H$9</definedName>
    <definedName name="Prod_an" localSheetId="10">'2028'!$H$9</definedName>
    <definedName name="Prod_an" localSheetId="11">'2029'!$H$9</definedName>
    <definedName name="Prod_an" localSheetId="12">'2030'!$H$9</definedName>
    <definedName name="Prod_an" localSheetId="13">'2031'!$H$9</definedName>
    <definedName name="Prod_an_s" localSheetId="4">'2022'!$X$9</definedName>
    <definedName name="Prod_an_s" localSheetId="5">'2023'!$X$9</definedName>
    <definedName name="Prod_an_s" localSheetId="6">'2024'!$X$9</definedName>
    <definedName name="Prod_an_s" localSheetId="7">'2025'!$X$9</definedName>
    <definedName name="Prod_an_s" localSheetId="8">'2026'!$X$9</definedName>
    <definedName name="Prod_an_s" localSheetId="9">'2027'!$X$9</definedName>
    <definedName name="Prod_an_s" localSheetId="10">'2028'!$X$9</definedName>
    <definedName name="Prod_an_s" localSheetId="11">'2029'!$X$9</definedName>
    <definedName name="Prod_an_s" localSheetId="12">'2030'!$X$9</definedName>
    <definedName name="Prod_an_s" localSheetId="13">'2031'!$X$9</definedName>
    <definedName name="Psa" localSheetId="4">'2022'!$O$15:$O$380</definedName>
    <definedName name="Psa" localSheetId="5">'2023'!$O$15:$O$380</definedName>
    <definedName name="Psa" localSheetId="6">'2024'!$O$15:$O$380</definedName>
    <definedName name="Psa" localSheetId="7">'2025'!$O$15:$O$380</definedName>
    <definedName name="Psa" localSheetId="8">'2026'!$O$15:$O$380</definedName>
    <definedName name="Psa" localSheetId="9">'2027'!$O$15:$O$380</definedName>
    <definedName name="Psa" localSheetId="10">'2028'!$O$15:$O$380</definedName>
    <definedName name="Psa" localSheetId="11">'2029'!$O$15:$O$380</definedName>
    <definedName name="Psa" localSheetId="12">'2030'!$O$15:$O$380</definedName>
    <definedName name="Psa" localSheetId="13">'2031'!$O$15:$O$380</definedName>
    <definedName name="Psa_s" localSheetId="4">'2022'!$AC$15:$AC$380</definedName>
    <definedName name="Psa_s" localSheetId="5">'2023'!$AC$15:$AC$380</definedName>
    <definedName name="Psa_s" localSheetId="6">'2024'!$AC$15:$AC$380</definedName>
    <definedName name="Psa_s" localSheetId="7">'2025'!$AC$15:$AC$380</definedName>
    <definedName name="Psa_s" localSheetId="8">'2026'!$AC$15:$AC$380</definedName>
    <definedName name="Psa_s" localSheetId="9">'2027'!$AC$15:$AC$380</definedName>
    <definedName name="Psa_s" localSheetId="10">'2028'!$AC$15:$AC$380</definedName>
    <definedName name="Psa_s" localSheetId="11">'2029'!$AC$15:$AC$380</definedName>
    <definedName name="Psa_s" localSheetId="12">'2030'!$AC$15:$AC$380</definedName>
    <definedName name="Psa_s" localSheetId="13">'2031'!$AC$15:$AC$380</definedName>
    <definedName name="Pspv" localSheetId="4">'2022'!$L$12</definedName>
    <definedName name="Pspv" localSheetId="5">'2023'!$L$12</definedName>
    <definedName name="Pspv" localSheetId="6">'2024'!$L$12</definedName>
    <definedName name="Pspv" localSheetId="7">'2025'!$L$12</definedName>
    <definedName name="Pspv" localSheetId="8">'2026'!$L$12</definedName>
    <definedName name="Pspv" localSheetId="9">'2027'!$L$12</definedName>
    <definedName name="Pspv" localSheetId="10">'2028'!$L$12</definedName>
    <definedName name="Pspv" localSheetId="11">'2029'!$L$12</definedName>
    <definedName name="Pspv" localSheetId="12">'2030'!$L$12</definedName>
    <definedName name="Pspv" localSheetId="13">'2031'!$L$12</definedName>
    <definedName name="Pspv_2022">'Réglage perte'!$C$9</definedName>
    <definedName name="Pspv_2023">'Réglage perte'!$I$9</definedName>
    <definedName name="Pspv_2024">'Réglage perte'!$O$9</definedName>
    <definedName name="Pspv_2025">'Réglage perte'!$U$9</definedName>
    <definedName name="Pspv_2026">'Réglage perte'!$AA$9</definedName>
    <definedName name="Pspv_2027">'Réglage perte'!$AG$9</definedName>
    <definedName name="Pspv_2028">'Réglage perte'!$AM$9</definedName>
    <definedName name="Pspv_2029">'Réglage perte'!$AS$9</definedName>
    <definedName name="Pspv_2030">'Réglage perte'!$AY$9</definedName>
    <definedName name="Pspv_2031">'Réglage perte'!$BE$9</definedName>
    <definedName name="Pspv_2032">'Réglage perte'!$BK$9</definedName>
    <definedName name="Pspv_2033">'Réglage perte'!$BQ$9</definedName>
    <definedName name="Pspv_2034">'Réglage perte'!$BW$9</definedName>
    <definedName name="Pvg" localSheetId="4">'2022'!$P$15:$P$380</definedName>
    <definedName name="Pvg" localSheetId="5">'2023'!$P$15:$P$380</definedName>
    <definedName name="Pvg" localSheetId="6">'2024'!$P$15:$P$380</definedName>
    <definedName name="Pvg" localSheetId="7">'2025'!$P$15:$P$380</definedName>
    <definedName name="Pvg" localSheetId="8">'2026'!$P$15:$P$380</definedName>
    <definedName name="Pvg" localSheetId="9">'2027'!$P$15:$P$380</definedName>
    <definedName name="Pvg" localSheetId="10">'2028'!$P$15:$P$380</definedName>
    <definedName name="Pvg" localSheetId="11">'2029'!$P$15:$P$380</definedName>
    <definedName name="Pvg" localSheetId="12">'2030'!$P$15:$P$380</definedName>
    <definedName name="Pvg" localSheetId="13">'2031'!$P$15:$P$380</definedName>
    <definedName name="Pvg_s" localSheetId="4">'2022'!$AD$15:$AD$380</definedName>
    <definedName name="Pvg_s" localSheetId="5">'2023'!$AD$15:$AD$380</definedName>
    <definedName name="Pvg_s" localSheetId="6">'2024'!$AD$15:$AD$380</definedName>
    <definedName name="Pvg_s" localSheetId="7">'2025'!$AD$15:$AD$380</definedName>
    <definedName name="Pvg_s" localSheetId="8">'2026'!$AD$15:$AD$380</definedName>
    <definedName name="Pvg_s" localSheetId="9">'2027'!$AD$15:$AD$380</definedName>
    <definedName name="Pvg_s" localSheetId="10">'2028'!$AD$15:$AD$380</definedName>
    <definedName name="Pvg_s" localSheetId="11">'2029'!$AD$15:$AD$380</definedName>
    <definedName name="Pvg_s" localSheetId="12">'2030'!$AD$15:$AD$380</definedName>
    <definedName name="Pvg_s" localSheetId="13">'2031'!$AD$15:$AD$380</definedName>
    <definedName name="R\Max" localSheetId="4">'2022'!$G$15:$G$380</definedName>
    <definedName name="R\Max" localSheetId="5">'2023'!$G$15:$G$380</definedName>
    <definedName name="R\Max" localSheetId="6">'2024'!$G$15:$G$380</definedName>
    <definedName name="R\Max" localSheetId="7">'2025'!$G$15:$G$380</definedName>
    <definedName name="R\Max" localSheetId="8">'2026'!$G$15:$G$380</definedName>
    <definedName name="R\Max" localSheetId="9">'2027'!$G$15:$G$380</definedName>
    <definedName name="R\Max" localSheetId="10">'2028'!$G$15:$G$380</definedName>
    <definedName name="R\Max" localSheetId="11">'2029'!$G$15:$G$380</definedName>
    <definedName name="R\Max" localSheetId="12">'2030'!$G$15:$G$380</definedName>
    <definedName name="R\Max" localSheetId="13">'2031'!$G$15:$G$380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'2022'!$O$10</definedName>
    <definedName name="Resal" localSheetId="5">'2023'!$O$10</definedName>
    <definedName name="Resal" localSheetId="6">'2024'!$O$10</definedName>
    <definedName name="Resal" localSheetId="7">'2025'!$O$10</definedName>
    <definedName name="Resal" localSheetId="8">'2026'!$O$10</definedName>
    <definedName name="Resal" localSheetId="9">'2027'!$O$10</definedName>
    <definedName name="Resal" localSheetId="10">'2028'!$O$10</definedName>
    <definedName name="Resal" localSheetId="11">'2029'!$O$10</definedName>
    <definedName name="Resal" localSheetId="12">'2030'!$O$10</definedName>
    <definedName name="Resal" localSheetId="13">'2031'!$O$10</definedName>
    <definedName name="Resal_2022">'Réglage perte'!$C$10</definedName>
    <definedName name="Resal_2023">'Réglage perte'!$I$10</definedName>
    <definedName name="Resal_2024">'Réglage perte'!$O$10</definedName>
    <definedName name="Resal_2025">'Réglage perte'!$U$10</definedName>
    <definedName name="Resal_2026">'Réglage perte'!$AA$10</definedName>
    <definedName name="Resal_2027">'Réglage perte'!$AG$10</definedName>
    <definedName name="Resal_2028">'Réglage perte'!$AM$10</definedName>
    <definedName name="Resal_2029">'Réglage perte'!$AS$10</definedName>
    <definedName name="Resal_2030">'Réglage perte'!$AY$10</definedName>
    <definedName name="Resal_2031">'Réglage perte'!$BE$10</definedName>
    <definedName name="Resal_2032">'Réglage perte'!$BK$10</definedName>
    <definedName name="Resal_2033">'Réglage perte'!$BQ$10</definedName>
    <definedName name="Resal_2034">'Réglage perte'!$BW$10</definedName>
    <definedName name="Resal_s" localSheetId="4">'2022'!$AC$10</definedName>
    <definedName name="Resal_s" localSheetId="5">'2023'!$AC$10</definedName>
    <definedName name="Resal_s" localSheetId="6">'2024'!$AC$10</definedName>
    <definedName name="Resal_s" localSheetId="7">'2025'!$AC$10</definedName>
    <definedName name="Resal_s" localSheetId="8">'2026'!$AC$10</definedName>
    <definedName name="Resal_s" localSheetId="9">'2027'!$AC$10</definedName>
    <definedName name="Resal_s" localSheetId="10">'2028'!$AC$10</definedName>
    <definedName name="Resal_s" localSheetId="11">'2029'!$AC$10</definedName>
    <definedName name="Resal_s" localSheetId="12">'2030'!$AC$10</definedName>
    <definedName name="Resal_s" localSheetId="13">'2031'!$AC$10</definedName>
    <definedName name="Salcycl">Models!$BF$15:$BF$380</definedName>
    <definedName name="Salim" localSheetId="4">'2022'!$O$11</definedName>
    <definedName name="Salim" localSheetId="5">'2023'!$O$11</definedName>
    <definedName name="Salim" localSheetId="6">'2024'!$O$11</definedName>
    <definedName name="Salim" localSheetId="7">'2025'!$O$11</definedName>
    <definedName name="Salim" localSheetId="8">'2026'!$O$11</definedName>
    <definedName name="Salim" localSheetId="9">'2027'!$O$11</definedName>
    <definedName name="Salim" localSheetId="10">'2028'!$O$11</definedName>
    <definedName name="Salim" localSheetId="11">'2029'!$O$11</definedName>
    <definedName name="Salim" localSheetId="12">'2030'!$O$11</definedName>
    <definedName name="Salim" localSheetId="13">'2031'!$O$11</definedName>
    <definedName name="Salim_2022">'Réglage perte'!$D$10</definedName>
    <definedName name="Salim_2023">'Réglage perte'!$J$10</definedName>
    <definedName name="Salim_2024">'Réglage perte'!$P$10</definedName>
    <definedName name="Salim_2025">'Réglage perte'!$V$10</definedName>
    <definedName name="Salim_2026">'Réglage perte'!$AB$10</definedName>
    <definedName name="Salim_2027">'Réglage perte'!$AN$10</definedName>
    <definedName name="Salim_2028">'Réglage perte'!$AH$10</definedName>
    <definedName name="Salim_2029">'Réglage perte'!$AT$10</definedName>
    <definedName name="Salim_2030">'Réglage perte'!$AZ$10</definedName>
    <definedName name="Salim_2031">'Réglage perte'!$BF$10</definedName>
    <definedName name="Salim_2032">'Réglage perte'!$BL$10</definedName>
    <definedName name="Salim_2033">'Réglage perte'!$BR$10</definedName>
    <definedName name="Salim_2034">'Réglage perte'!$BX$10</definedName>
    <definedName name="Salim_i">'Réglage perte'!$Z$1</definedName>
    <definedName name="Sdif">Models!$BP$3</definedName>
    <definedName name="Station">'2022'!$E$4</definedName>
    <definedName name="t" localSheetId="4">'2022'!$A$15:$A$380</definedName>
    <definedName name="t" localSheetId="5">'2023'!$A$15:$A$380</definedName>
    <definedName name="t" localSheetId="6">'2024'!$A$15:$A$380</definedName>
    <definedName name="t" localSheetId="7">'2025'!$A$15:$A$380</definedName>
    <definedName name="t" localSheetId="8">'2026'!$A$15:$A$380</definedName>
    <definedName name="t" localSheetId="9">'2027'!$A$15:$A$380</definedName>
    <definedName name="t" localSheetId="10">'2028'!$A$15:$A$380</definedName>
    <definedName name="t" localSheetId="11">'2029'!$A$15:$A$380</definedName>
    <definedName name="t" localSheetId="12">'2030'!$A$15:$A$380</definedName>
    <definedName name="t" localSheetId="13">'2031'!$A$15:$A$380</definedName>
    <definedName name="T0">'2022'!$E$5</definedName>
    <definedName name="Tau_2022">'Réglage perte'!$E$10</definedName>
    <definedName name="Tau_2023">'Réglage perte'!$K$10</definedName>
    <definedName name="Tau_2024">'Réglage perte'!$Q$10</definedName>
    <definedName name="Tau_2025">'Réglage perte'!$W$10</definedName>
    <definedName name="Tau_2026">'Réglage perte'!$AC$10</definedName>
    <definedName name="Tau_2027">'Réglage perte'!$AI$10</definedName>
    <definedName name="Tau_2028">'Réglage perte'!$AO$10</definedName>
    <definedName name="Tau_2029">'Réglage perte'!$AU$10</definedName>
    <definedName name="Tau_2030">'Réglage perte'!$BA$10</definedName>
    <definedName name="Tau_2031">'Réglage perte'!$BG$10</definedName>
    <definedName name="Tau_2032">'Réglage perte'!$BM$10</definedName>
    <definedName name="Tau_2033">'Réglage perte'!$BS$10</definedName>
    <definedName name="Tau_2034">'Réglage perte'!$BY$10</definedName>
    <definedName name="Tau_i">'Réglage perte'!$AF$2</definedName>
    <definedName name="Tau_ij">'Réglage perte'!$AG$2</definedName>
    <definedName name="Tau_j" localSheetId="4">'2022'!$O$12</definedName>
    <definedName name="Tau_j" localSheetId="5">'2023'!$O$12</definedName>
    <definedName name="Tau_j" localSheetId="6">'2024'!$O$12</definedName>
    <definedName name="Tau_j" localSheetId="7">'2025'!$O$12</definedName>
    <definedName name="Tau_j" localSheetId="8">'2026'!$O$12</definedName>
    <definedName name="Tau_j" localSheetId="9">'2027'!$O$12</definedName>
    <definedName name="Tau_j" localSheetId="10">'2028'!$O$12</definedName>
    <definedName name="Tau_j" localSheetId="11">'2029'!$O$12</definedName>
    <definedName name="Tau_j" localSheetId="12">'2030'!$O$12</definedName>
    <definedName name="Tau_j" localSheetId="13">'2031'!$O$12</definedName>
    <definedName name="Tmaj">'2022'!$E$3</definedName>
    <definedName name="Tnet" localSheetId="4">'2022'!$O$9</definedName>
    <definedName name="Tnet" localSheetId="5">'2023'!$O$9</definedName>
    <definedName name="Tnet" localSheetId="6">'2024'!$O$9</definedName>
    <definedName name="Tnet" localSheetId="7">'2025'!$O$9</definedName>
    <definedName name="Tnet" localSheetId="8">'2026'!$O$9</definedName>
    <definedName name="Tnet" localSheetId="9">'2027'!$O$9</definedName>
    <definedName name="Tnet" localSheetId="10">'2028'!$O$9</definedName>
    <definedName name="Tnet" localSheetId="11">'2029'!$O$9</definedName>
    <definedName name="Tnet" localSheetId="12">'2030'!$O$9</definedName>
    <definedName name="Tnet" localSheetId="13">'2031'!$O$9</definedName>
    <definedName name="Tnet_2022">'Réglage perte'!$B$10</definedName>
    <definedName name="Tnet_2023">'Réglage perte'!$H$10</definedName>
    <definedName name="Tnet_2024">'Réglage perte'!$N$10</definedName>
    <definedName name="Tnet_2025">'Réglage perte'!$T$10</definedName>
    <definedName name="Tnet_2026">'Réglage perte'!$Z$10</definedName>
    <definedName name="Tnet_2027">'Réglage perte'!$AF$10</definedName>
    <definedName name="Tnet_2028">'Réglage perte'!$AL$10</definedName>
    <definedName name="Tnet_2029">'Réglage perte'!$AR$10</definedName>
    <definedName name="Tnet_2030">'Réglage perte'!$AX$10</definedName>
    <definedName name="Tnet_2031">'Réglage perte'!$BD$10</definedName>
    <definedName name="Tnet_2032">'Réglage perte'!$BJ$10</definedName>
    <definedName name="Tnet_2033">'Réglage perte'!$BP$10</definedName>
    <definedName name="Tnet_2034">'Réglage perte'!$BV$10</definedName>
    <definedName name="Tnet_s" localSheetId="4">'2022'!$AC$9</definedName>
    <definedName name="Tnet_s" localSheetId="5">'2023'!$AC$9</definedName>
    <definedName name="Tnet_s" localSheetId="6">'2024'!$AC$9</definedName>
    <definedName name="Tnet_s" localSheetId="7">'2025'!$AC$9</definedName>
    <definedName name="Tnet_s" localSheetId="8">'2026'!$AC$9</definedName>
    <definedName name="Tnet_s" localSheetId="9">'2027'!$AC$9</definedName>
    <definedName name="Tnet_s" localSheetId="10">'2028'!$AC$9</definedName>
    <definedName name="Tnet_s" localSheetId="11">'2029'!$AC$9</definedName>
    <definedName name="Tnet_s" localSheetId="12">'2030'!$AC$9</definedName>
    <definedName name="Tnet_s" localSheetId="13">'2031'!$AC$9</definedName>
    <definedName name="Tservice">'2022'!$E$6</definedName>
    <definedName name="Ttai" localSheetId="4">'2022'!$P$11</definedName>
    <definedName name="Ttai" localSheetId="5">'2023'!$P$11</definedName>
    <definedName name="Ttai" localSheetId="6">'2024'!$P$11</definedName>
    <definedName name="Ttai" localSheetId="7">'2025'!$P$11</definedName>
    <definedName name="Ttai" localSheetId="8">'2026'!$P$11</definedName>
    <definedName name="Ttai" localSheetId="9">'2027'!$P$11</definedName>
    <definedName name="Ttai" localSheetId="10">'2028'!$P$11</definedName>
    <definedName name="Ttai" localSheetId="11">'2029'!$P$11</definedName>
    <definedName name="Ttai" localSheetId="12">'2030'!$P$11</definedName>
    <definedName name="Ttai" localSheetId="13">'2031'!$P$11</definedName>
    <definedName name="Ttai_2022">'Réglage perte'!$B$11</definedName>
    <definedName name="Ttai_2023">'Réglage perte'!$H$11</definedName>
    <definedName name="Ttai_2024">'Réglage perte'!$N$11</definedName>
    <definedName name="Ttai_2025">'Réglage perte'!$T$11</definedName>
    <definedName name="Ttai_2026">'Réglage perte'!$Z$11</definedName>
    <definedName name="Ttai_2027">'Réglage perte'!$AF$11</definedName>
    <definedName name="Ttai_2028">'Réglage perte'!$AL$11</definedName>
    <definedName name="Ttai_2029">'Réglage perte'!$AR$11</definedName>
    <definedName name="Ttai_2030">'Réglage perte'!$AX$11</definedName>
    <definedName name="Ttai_2031">'Réglage perte'!$BD$11</definedName>
    <definedName name="Ttai_2032">'Réglage perte'!$BJ$11</definedName>
    <definedName name="Ttai_2033">'Réglage perte'!$BP$11</definedName>
    <definedName name="Ttai_2034">'Réglage perte'!$BV$11</definedName>
    <definedName name="Tvie" localSheetId="4">'2022'!$L$11</definedName>
    <definedName name="Tvie" localSheetId="5">'2023'!$L$11</definedName>
    <definedName name="Tvie" localSheetId="6">'2024'!$L$11</definedName>
    <definedName name="Tvie" localSheetId="7">'2025'!$L$11</definedName>
    <definedName name="Tvie" localSheetId="8">'2026'!$L$11</definedName>
    <definedName name="Tvie" localSheetId="9">'2027'!$L$11</definedName>
    <definedName name="Tvie" localSheetId="10">'2028'!$L$11</definedName>
    <definedName name="Tvie" localSheetId="11">'2029'!$L$11</definedName>
    <definedName name="Tvie" localSheetId="12">'2030'!$L$11</definedName>
    <definedName name="Tvie" localSheetId="13">'2031'!$L$11</definedName>
    <definedName name="Tvie_2022">'Réglage perte'!$B$9</definedName>
    <definedName name="Tvie_2023">'Réglage perte'!$H$9</definedName>
    <definedName name="Tvie_2024">'Réglage perte'!$N$9</definedName>
    <definedName name="Tvie_2025">'Réglage perte'!$T$9</definedName>
    <definedName name="Tvie_2026">'Réglage perte'!$Z$9</definedName>
    <definedName name="Tvie_2027">'Réglage perte'!$AF$9</definedName>
    <definedName name="Tvie_2028">'Réglage perte'!$AL$9</definedName>
    <definedName name="Tvie_2029">'Réglage perte'!$AR$9</definedName>
    <definedName name="Tvie_2030">'Réglage perte'!$AX$9</definedName>
    <definedName name="Tvie_2031">'Réglage perte'!$BD$9</definedName>
    <definedName name="Tvie_2032">'Réglage perte'!$BJ$9</definedName>
    <definedName name="Tvie_2033">'Réglage perte'!$BP$9</definedName>
    <definedName name="Tvie_2034">'Réglage perte'!$BV$9</definedName>
    <definedName name="Wh" localSheetId="4">'2022'!$B$15:$B$380</definedName>
    <definedName name="Wh" localSheetId="5">'2023'!$B$15:$B$380</definedName>
    <definedName name="Wh" localSheetId="6">'2024'!$B$15:$B$380</definedName>
    <definedName name="Wh" localSheetId="7">'2025'!$B$15:$B$380</definedName>
    <definedName name="Wh" localSheetId="8">'2026'!$B$15:$B$380</definedName>
    <definedName name="Wh" localSheetId="9">'2027'!$B$15:$B$380</definedName>
    <definedName name="Wh" localSheetId="10">'2028'!$B$15:$B$380</definedName>
    <definedName name="Wh" localSheetId="11">'2029'!$B$15:$B$380</definedName>
    <definedName name="Wh" localSheetId="12">'2030'!$B$15:$B$380</definedName>
    <definedName name="Wh" localSheetId="13">'2031'!$B$15:$B$380</definedName>
    <definedName name="Wh_gain_sa" localSheetId="4">'2022'!$Z$5</definedName>
    <definedName name="Wh_gain_sa" localSheetId="5">'2023'!$Z$5</definedName>
    <definedName name="Wh_gain_sa" localSheetId="6">'2024'!$Z$5</definedName>
    <definedName name="Wh_gain_sa" localSheetId="7">'2025'!$Z$5</definedName>
    <definedName name="Wh_gain_sa" localSheetId="8">'2026'!$Z$5</definedName>
    <definedName name="Wh_gain_sa" localSheetId="9">'2027'!$Z$5</definedName>
    <definedName name="Wh_gain_sa" localSheetId="10">'2028'!$Z$5</definedName>
    <definedName name="Wh_gain_sa" localSheetId="11">'2029'!$Z$5</definedName>
    <definedName name="Wh_gain_sa" localSheetId="12">'2030'!$Z$5</definedName>
    <definedName name="Wh_gain_sa" localSheetId="13">'2031'!$Z$5</definedName>
    <definedName name="Wh_gain_vg" localSheetId="4">'2022'!$AA$5</definedName>
    <definedName name="Wh_gain_vg" localSheetId="5">'2023'!$AA$5</definedName>
    <definedName name="Wh_gain_vg" localSheetId="6">'2024'!$AA$5</definedName>
    <definedName name="Wh_gain_vg" localSheetId="7">'2025'!$AA$5</definedName>
    <definedName name="Wh_gain_vg" localSheetId="8">'2026'!$AA$5</definedName>
    <definedName name="Wh_gain_vg" localSheetId="9">'2027'!$AA$5</definedName>
    <definedName name="Wh_gain_vg" localSheetId="10">'2028'!$AA$5</definedName>
    <definedName name="Wh_gain_vg" localSheetId="11">'2029'!$AA$5</definedName>
    <definedName name="Wh_gain_vg" localSheetId="12">'2030'!$AA$5</definedName>
    <definedName name="Wh_gain_vg" localSheetId="13">'2031'!$AA$5</definedName>
    <definedName name="Wh_hp" localSheetId="4">'2022'!$F$15:$F$380</definedName>
    <definedName name="Wh_hp" localSheetId="5">'2023'!$F$15:$F$380</definedName>
    <definedName name="Wh_hp" localSheetId="6">'2024'!$F$15:$F$380</definedName>
    <definedName name="Wh_hp" localSheetId="7">'2025'!$F$15:$F$380</definedName>
    <definedName name="Wh_hp" localSheetId="8">'2026'!$F$15:$F$380</definedName>
    <definedName name="Wh_hp" localSheetId="9">'2027'!$F$15:$F$380</definedName>
    <definedName name="Wh_hp" localSheetId="10">'2028'!$F$15:$F$380</definedName>
    <definedName name="Wh_hp" localSheetId="11">'2029'!$F$15:$F$380</definedName>
    <definedName name="Wh_hp" localSheetId="12">'2030'!$F$15:$F$380</definedName>
    <definedName name="Wh_hp" localSheetId="13">'2031'!$F$15:$F$380</definedName>
    <definedName name="Wh_Ppv" localSheetId="4">'2022'!$D$11</definedName>
    <definedName name="Wh_Ppv" localSheetId="5">'2023'!$D$11</definedName>
    <definedName name="Wh_Ppv" localSheetId="6">'2024'!$D$11</definedName>
    <definedName name="Wh_Ppv" localSheetId="7">'2025'!$D$11</definedName>
    <definedName name="Wh_Ppv" localSheetId="8">'2026'!$D$11</definedName>
    <definedName name="Wh_Ppv" localSheetId="9">'2027'!$D$11</definedName>
    <definedName name="Wh_Ppv" localSheetId="10">'2028'!$D$11</definedName>
    <definedName name="Wh_Ppv" localSheetId="11">'2029'!$D$11</definedName>
    <definedName name="Wh_Ppv" localSheetId="12">'2030'!$D$11</definedName>
    <definedName name="Wh_Ppv" localSheetId="13">'2031'!$D$11</definedName>
    <definedName name="Wh_Psa" localSheetId="4">'2022'!$E$11</definedName>
    <definedName name="Wh_Psa" localSheetId="5">'2023'!$E$11</definedName>
    <definedName name="Wh_Psa" localSheetId="6">'2024'!$E$11</definedName>
    <definedName name="Wh_Psa" localSheetId="7">'2025'!$E$11</definedName>
    <definedName name="Wh_Psa" localSheetId="8">'2026'!$E$11</definedName>
    <definedName name="Wh_Psa" localSheetId="9">'2027'!$E$11</definedName>
    <definedName name="Wh_Psa" localSheetId="10">'2028'!$E$11</definedName>
    <definedName name="Wh_Psa" localSheetId="11">'2029'!$E$11</definedName>
    <definedName name="Wh_Psa" localSheetId="12">'2030'!$E$11</definedName>
    <definedName name="Wh_Psa" localSheetId="13">'2031'!$E$11</definedName>
    <definedName name="Wh_Psa_s" localSheetId="4">'2022'!$Z$11</definedName>
    <definedName name="Wh_Psa_s" localSheetId="5">'2023'!$Z$11</definedName>
    <definedName name="Wh_Psa_s" localSheetId="6">'2024'!$Z$11</definedName>
    <definedName name="Wh_Psa_s" localSheetId="7">'2025'!$Z$11</definedName>
    <definedName name="Wh_Psa_s" localSheetId="8">'2026'!$Z$11</definedName>
    <definedName name="Wh_Psa_s" localSheetId="9">'2027'!$Z$11</definedName>
    <definedName name="Wh_Psa_s" localSheetId="10">'2028'!$Z$11</definedName>
    <definedName name="Wh_Psa_s" localSheetId="11">'2029'!$Z$11</definedName>
    <definedName name="Wh_Psa_s" localSheetId="12">'2030'!$Z$11</definedName>
    <definedName name="Wh_Psa_s" localSheetId="13">'2031'!$Z$11</definedName>
    <definedName name="Wh_Pvg" localSheetId="4">'2022'!$F$11</definedName>
    <definedName name="Wh_Pvg" localSheetId="5">'2023'!$F$11</definedName>
    <definedName name="Wh_Pvg" localSheetId="6">'2024'!$F$11</definedName>
    <definedName name="Wh_Pvg" localSheetId="7">'2025'!$F$11</definedName>
    <definedName name="Wh_Pvg" localSheetId="8">'2026'!$F$11</definedName>
    <definedName name="Wh_Pvg" localSheetId="9">'2027'!$F$11</definedName>
    <definedName name="Wh_Pvg" localSheetId="10">'2028'!$F$11</definedName>
    <definedName name="Wh_Pvg" localSheetId="11">'2029'!$F$11</definedName>
    <definedName name="Wh_Pvg" localSheetId="12">'2030'!$F$11</definedName>
    <definedName name="Wh_Pvg" localSheetId="13">'2031'!$F$11</definedName>
    <definedName name="Wh_Pvg_s" localSheetId="4">'2022'!$AA$11</definedName>
    <definedName name="Wh_Pvg_s" localSheetId="5">'2023'!$AA$11</definedName>
    <definedName name="Wh_Pvg_s" localSheetId="6">'2024'!$AA$11</definedName>
    <definedName name="Wh_Pvg_s" localSheetId="7">'2025'!$AA$11</definedName>
    <definedName name="Wh_Pvg_s" localSheetId="8">'2026'!$AA$11</definedName>
    <definedName name="Wh_Pvg_s" localSheetId="9">'2027'!$AA$11</definedName>
    <definedName name="Wh_Pvg_s" localSheetId="10">'2028'!$AA$11</definedName>
    <definedName name="Wh_Pvg_s" localSheetId="11">'2029'!$AA$11</definedName>
    <definedName name="Wh_Pvg_s" localSheetId="12">'2030'!$AA$11</definedName>
    <definedName name="Wh_Pvg_s" localSheetId="13">'2031'!$AA$11</definedName>
    <definedName name="Wh_pvt" localSheetId="4">'2022'!$D$15:$D$380</definedName>
    <definedName name="Wh_pvt" localSheetId="5">'2023'!$D$15:$D$380</definedName>
    <definedName name="Wh_pvt" localSheetId="6">'2024'!$D$15:$D$380</definedName>
    <definedName name="Wh_pvt" localSheetId="7">'2025'!$D$15:$D$380</definedName>
    <definedName name="Wh_pvt" localSheetId="8">'2026'!$D$15:$D$380</definedName>
    <definedName name="Wh_pvt" localSheetId="9">'2027'!$D$15:$D$380</definedName>
    <definedName name="Wh_pvt" localSheetId="10">'2028'!$D$15:$D$380</definedName>
    <definedName name="Wh_pvt" localSheetId="11">'2029'!$D$15:$D$380</definedName>
    <definedName name="Wh_pvt" localSheetId="12">'2030'!$D$15:$D$380</definedName>
    <definedName name="Wh_pvt" localSheetId="13">'2031'!$D$15:$D$380</definedName>
    <definedName name="Wh_pvt_s" localSheetId="4">'2022'!$Z$15:$Z$380</definedName>
    <definedName name="Wh_pvt_s" localSheetId="5">'2023'!$Z$15:$Z$380</definedName>
    <definedName name="Wh_pvt_s" localSheetId="6">'2024'!$Z$15:$Z$380</definedName>
    <definedName name="Wh_pvt_s" localSheetId="7">'2025'!$Z$15:$Z$380</definedName>
    <definedName name="Wh_pvt_s" localSheetId="8">'2026'!$Z$15:$Z$380</definedName>
    <definedName name="Wh_pvt_s" localSheetId="9">'2027'!$Z$15:$Z$380</definedName>
    <definedName name="Wh_pvt_s" localSheetId="10">'2028'!$Z$15:$Z$380</definedName>
    <definedName name="Wh_pvt_s" localSheetId="11">'2029'!$Z$15:$Z$380</definedName>
    <definedName name="Wh_pvt_s" localSheetId="12">'2030'!$Z$15:$Z$380</definedName>
    <definedName name="Wh_pvt_s" localSheetId="13">'2031'!$Z$15:$Z$380</definedName>
    <definedName name="Wh_s" localSheetId="4">'2022'!$Y$15:$Y$380</definedName>
    <definedName name="Wh_s" localSheetId="5">'2023'!$Y$15:$Y$380</definedName>
    <definedName name="Wh_s" localSheetId="6">'2024'!$Y$15:$Y$380</definedName>
    <definedName name="Wh_s" localSheetId="7">'2025'!$Y$15:$Y$380</definedName>
    <definedName name="Wh_s" localSheetId="8">'2026'!$Y$15:$Y$380</definedName>
    <definedName name="Wh_s" localSheetId="9">'2027'!$Y$15:$Y$380</definedName>
    <definedName name="Wh_s" localSheetId="10">'2028'!$Y$15:$Y$380</definedName>
    <definedName name="Wh_s" localSheetId="11">'2029'!$Y$15:$Y$380</definedName>
    <definedName name="Wh_s" localSheetId="12">'2030'!$Y$15:$Y$380</definedName>
    <definedName name="Wh_s" localSheetId="13">'2031'!$Y$15:$Y$380</definedName>
    <definedName name="Wh_sa" localSheetId="4">'2022'!$E$15:$E$380</definedName>
    <definedName name="Wh_sa" localSheetId="5">'2023'!$E$15:$E$380</definedName>
    <definedName name="Wh_sa" localSheetId="6">'2024'!$E$15:$E$380</definedName>
    <definedName name="Wh_sa" localSheetId="7">'2025'!$E$15:$E$380</definedName>
    <definedName name="Wh_sa" localSheetId="8">'2026'!$E$15:$E$380</definedName>
    <definedName name="Wh_sa" localSheetId="9">'2027'!$E$15:$E$380</definedName>
    <definedName name="Wh_sa" localSheetId="10">'2028'!$E$15:$E$380</definedName>
    <definedName name="Wh_sa" localSheetId="11">'2029'!$E$15:$E$380</definedName>
    <definedName name="Wh_sa" localSheetId="12">'2030'!$E$15:$E$380</definedName>
    <definedName name="Wh_sa" localSheetId="13">'2031'!$E$15:$E$380</definedName>
    <definedName name="Wh_sa_s" localSheetId="4">'2022'!$AA$15:$AA$380</definedName>
    <definedName name="Wh_sa_s" localSheetId="5">'2023'!$AA$15:$AA$380</definedName>
    <definedName name="Wh_sa_s" localSheetId="6">'2024'!$AA$15:$AA$380</definedName>
    <definedName name="Wh_sa_s" localSheetId="7">'2025'!$AA$15:$AA$380</definedName>
    <definedName name="Wh_sa_s" localSheetId="8">'2026'!$AA$15:$AA$380</definedName>
    <definedName name="Wh_sa_s" localSheetId="9">'2027'!$AA$15:$AA$380</definedName>
    <definedName name="Wh_sa_s" localSheetId="10">'2028'!$AA$15:$AA$380</definedName>
    <definedName name="Wh_sa_s" localSheetId="11">'2029'!$AA$15:$AA$380</definedName>
    <definedName name="Wh_sa_s" localSheetId="12">'2030'!$AA$15:$AA$380</definedName>
    <definedName name="Wh_sa_s" localSheetId="13">'2031'!$AA$15:$AA$380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B31" i="19" l="1"/>
  <c r="E10" i="7" l="1"/>
  <c r="C10" i="7"/>
  <c r="F10" i="7" s="1"/>
  <c r="L10" i="7" s="1"/>
  <c r="R10" i="7" s="1"/>
  <c r="X10" i="7" s="1"/>
  <c r="AD10" i="7" s="1"/>
  <c r="AJ10" i="7" s="1"/>
  <c r="AP10" i="7" s="1"/>
  <c r="AV10" i="7" s="1"/>
  <c r="BB10" i="7" s="1"/>
  <c r="BH10" i="7" s="1"/>
  <c r="BN10" i="7" s="1"/>
  <c r="BT10" i="7" s="1"/>
  <c r="BZ10" i="7" s="1"/>
  <c r="B10" i="7"/>
  <c r="D10" i="7" s="1"/>
  <c r="F9" i="7"/>
  <c r="H10" i="7" s="1"/>
  <c r="B9" i="7"/>
  <c r="H9" i="7" l="1"/>
  <c r="C9" i="7"/>
  <c r="K10" i="7"/>
  <c r="I10" i="7"/>
  <c r="L9" i="7"/>
  <c r="N10" i="7" s="1"/>
  <c r="J10" i="7"/>
  <c r="CF380" i="6"/>
  <c r="CE380" i="6"/>
  <c r="CD380" i="6"/>
  <c r="CB380" i="6"/>
  <c r="CA380" i="6"/>
  <c r="BZ380" i="6"/>
  <c r="BX380" i="6"/>
  <c r="BW380" i="6"/>
  <c r="BW20" i="6"/>
  <c r="BW19" i="6"/>
  <c r="BW18" i="6"/>
  <c r="BW17" i="6"/>
  <c r="BW16" i="6"/>
  <c r="BW15" i="6"/>
  <c r="P10" i="7" l="1"/>
  <c r="Q10" i="7"/>
  <c r="R9" i="7"/>
  <c r="N9" i="7"/>
  <c r="I9" i="7"/>
  <c r="B380" i="1"/>
  <c r="B71" i="1"/>
  <c r="T9" i="7" l="1"/>
  <c r="O9" i="7"/>
  <c r="A44" i="19"/>
  <c r="A43" i="19"/>
  <c r="A42" i="19"/>
  <c r="A41" i="19"/>
  <c r="A40" i="19"/>
  <c r="A39" i="19"/>
  <c r="A38" i="19"/>
  <c r="A37" i="19"/>
  <c r="A36" i="19"/>
  <c r="A35" i="19"/>
  <c r="U9" i="7" l="1"/>
  <c r="Z9" i="7"/>
  <c r="B380" i="6"/>
  <c r="B20" i="6"/>
  <c r="B19" i="6"/>
  <c r="B18" i="6"/>
  <c r="B17" i="6"/>
  <c r="B16" i="6"/>
  <c r="B15" i="6"/>
  <c r="AF9" i="7" l="1"/>
  <c r="AA9" i="7"/>
  <c r="C380" i="6"/>
  <c r="C379" i="6"/>
  <c r="C378" i="6"/>
  <c r="C377" i="6"/>
  <c r="C376" i="6"/>
  <c r="C375" i="6"/>
  <c r="C374" i="6"/>
  <c r="C373" i="6"/>
  <c r="C372" i="6"/>
  <c r="C371" i="6"/>
  <c r="C370" i="6"/>
  <c r="C369" i="6"/>
  <c r="C368" i="6"/>
  <c r="C367" i="6"/>
  <c r="C366" i="6"/>
  <c r="C365" i="6"/>
  <c r="C364" i="6"/>
  <c r="C363" i="6"/>
  <c r="C362" i="6"/>
  <c r="C361" i="6"/>
  <c r="C360" i="6"/>
  <c r="C359" i="6"/>
  <c r="C358" i="6"/>
  <c r="C357" i="6"/>
  <c r="C356" i="6"/>
  <c r="C355" i="6"/>
  <c r="C354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I40" i="27"/>
  <c r="H40" i="27"/>
  <c r="I39" i="27"/>
  <c r="H39" i="27"/>
  <c r="I38" i="27"/>
  <c r="H38" i="27"/>
  <c r="I37" i="27"/>
  <c r="H37" i="27"/>
  <c r="I36" i="27"/>
  <c r="H36" i="27"/>
  <c r="E51" i="27"/>
  <c r="D51" i="27"/>
  <c r="I41" i="27"/>
  <c r="H41" i="27"/>
  <c r="W11" i="27"/>
  <c r="W10" i="27"/>
  <c r="D11" i="27"/>
  <c r="E11" i="27"/>
  <c r="D10" i="27"/>
  <c r="E10" i="27" s="1"/>
  <c r="H35" i="27"/>
  <c r="H21" i="27"/>
  <c r="I21" i="27"/>
  <c r="H34" i="27"/>
  <c r="H33" i="27"/>
  <c r="I43" i="27"/>
  <c r="H43" i="27"/>
  <c r="I42" i="27"/>
  <c r="H42" i="27"/>
  <c r="D5" i="27" l="1"/>
  <c r="M5" i="27"/>
  <c r="I5" i="27"/>
  <c r="L32" i="19" l="1"/>
  <c r="K32" i="19"/>
  <c r="T10" i="7" l="1"/>
  <c r="W10" i="7" s="1"/>
  <c r="M32" i="19"/>
  <c r="X9" i="7"/>
  <c r="Z10" i="7" s="1"/>
  <c r="L19" i="27"/>
  <c r="K19" i="27"/>
  <c r="J19" i="27"/>
  <c r="K18" i="27"/>
  <c r="J18" i="27"/>
  <c r="K17" i="27"/>
  <c r="K16" i="27"/>
  <c r="L16" i="27" s="1"/>
  <c r="J16" i="27"/>
  <c r="M42" i="27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M39" i="27"/>
  <c r="N75" i="27" s="1"/>
  <c r="K39" i="27"/>
  <c r="J39" i="27"/>
  <c r="M38" i="27"/>
  <c r="K38" i="27"/>
  <c r="J38" i="27"/>
  <c r="L38" i="27" s="1"/>
  <c r="J74" i="27" s="1"/>
  <c r="M37" i="27"/>
  <c r="N73" i="27" s="1"/>
  <c r="K37" i="27"/>
  <c r="J37" i="27"/>
  <c r="M36" i="27"/>
  <c r="N72" i="27" s="1"/>
  <c r="K36" i="27"/>
  <c r="J36" i="27"/>
  <c r="M35" i="27"/>
  <c r="N71" i="27" s="1"/>
  <c r="K35" i="27"/>
  <c r="J35" i="27"/>
  <c r="M34" i="27"/>
  <c r="K34" i="27"/>
  <c r="J34" i="27"/>
  <c r="M33" i="27"/>
  <c r="K33" i="27"/>
  <c r="J33" i="27"/>
  <c r="M32" i="27"/>
  <c r="N68" i="27" s="1"/>
  <c r="K32" i="27"/>
  <c r="J32" i="27"/>
  <c r="M31" i="27"/>
  <c r="N67" i="27" s="1"/>
  <c r="K31" i="27"/>
  <c r="J31" i="27"/>
  <c r="M30" i="27"/>
  <c r="N66" i="27" s="1"/>
  <c r="K30" i="27"/>
  <c r="J30" i="27"/>
  <c r="M29" i="27"/>
  <c r="N65" i="27" s="1"/>
  <c r="K29" i="27"/>
  <c r="J29" i="27"/>
  <c r="L29" i="27" s="1"/>
  <c r="G65" i="27" s="1"/>
  <c r="M28" i="27"/>
  <c r="K28" i="27"/>
  <c r="J28" i="27"/>
  <c r="M27" i="27"/>
  <c r="N63" i="27" s="1"/>
  <c r="K27" i="27"/>
  <c r="J27" i="27"/>
  <c r="M26" i="27"/>
  <c r="N62" i="27" s="1"/>
  <c r="K26" i="27"/>
  <c r="J26" i="27"/>
  <c r="M25" i="27"/>
  <c r="N61" i="27" s="1"/>
  <c r="K25" i="27"/>
  <c r="J25" i="27"/>
  <c r="M24" i="27"/>
  <c r="N60" i="27" s="1"/>
  <c r="K24" i="27"/>
  <c r="J24" i="27"/>
  <c r="M23" i="27"/>
  <c r="N59" i="27" s="1"/>
  <c r="K23" i="27"/>
  <c r="J23" i="27"/>
  <c r="L23" i="27" s="1"/>
  <c r="K59" i="27" s="1"/>
  <c r="M22" i="27"/>
  <c r="N58" i="27" s="1"/>
  <c r="K22" i="27"/>
  <c r="J22" i="27"/>
  <c r="L22" i="27" s="1"/>
  <c r="M58" i="27" s="1"/>
  <c r="M21" i="27"/>
  <c r="N57" i="27" s="1"/>
  <c r="K21" i="27"/>
  <c r="J21" i="27"/>
  <c r="L21" i="27"/>
  <c r="K57" i="27" s="1"/>
  <c r="M20" i="27"/>
  <c r="L20" i="27"/>
  <c r="F56" i="27" s="1"/>
  <c r="K20" i="27"/>
  <c r="J20" i="27"/>
  <c r="BN12" i="6"/>
  <c r="BN13" i="6"/>
  <c r="D13" i="27"/>
  <c r="E13" i="27"/>
  <c r="AX79" i="27"/>
  <c r="AX78" i="27"/>
  <c r="AX77" i="27"/>
  <c r="AX76" i="27"/>
  <c r="AX75" i="27"/>
  <c r="AX74" i="27"/>
  <c r="AX73" i="27"/>
  <c r="AX72" i="27"/>
  <c r="AX71" i="27"/>
  <c r="AX70" i="27"/>
  <c r="AX69" i="27"/>
  <c r="AX68" i="27"/>
  <c r="AX67" i="27"/>
  <c r="AX66" i="27"/>
  <c r="AX65" i="27"/>
  <c r="AX64" i="27"/>
  <c r="AX63" i="27"/>
  <c r="AX62" i="27"/>
  <c r="AX61" i="27"/>
  <c r="AX60" i="27"/>
  <c r="AX59" i="27"/>
  <c r="AX58" i="27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Y79" i="27" s="1"/>
  <c r="H31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F61" i="27"/>
  <c r="A61" i="27"/>
  <c r="AF60" i="27"/>
  <c r="A60" i="27"/>
  <c r="A59" i="27"/>
  <c r="AF58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F11" i="27" s="1"/>
  <c r="L10" i="27"/>
  <c r="H10" i="27"/>
  <c r="G10" i="27" s="1"/>
  <c r="C6" i="27"/>
  <c r="B6" i="27"/>
  <c r="N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Y44" i="6" s="1"/>
  <c r="AJ13" i="6"/>
  <c r="AI20" i="6" s="1"/>
  <c r="AI13" i="6"/>
  <c r="AJ16" i="6" s="1"/>
  <c r="AH13" i="6"/>
  <c r="AI16" i="6" s="1"/>
  <c r="AG13" i="6"/>
  <c r="AF20" i="6" s="1"/>
  <c r="AF13" i="6"/>
  <c r="AF18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E176" i="6" s="1"/>
  <c r="X13" i="6"/>
  <c r="E162" i="6" s="1"/>
  <c r="W13" i="6"/>
  <c r="X16" i="6" s="1"/>
  <c r="V13" i="6"/>
  <c r="V18" i="6" s="1"/>
  <c r="U13" i="6"/>
  <c r="U18" i="6" s="1"/>
  <c r="T13" i="6"/>
  <c r="S20" i="6" s="1"/>
  <c r="S13" i="6"/>
  <c r="E92" i="6" s="1"/>
  <c r="R13" i="6"/>
  <c r="E78" i="6" s="1"/>
  <c r="Q13" i="6"/>
  <c r="Q18" i="6" s="1"/>
  <c r="P13" i="6"/>
  <c r="O29" i="6" s="1"/>
  <c r="O13" i="6"/>
  <c r="P16" i="6" s="1"/>
  <c r="N13" i="6"/>
  <c r="M20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/>
  <c r="L11" i="1"/>
  <c r="AE12" i="1"/>
  <c r="I380" i="1"/>
  <c r="H380" i="15"/>
  <c r="I380" i="15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E6" i="16"/>
  <c r="E5" i="16"/>
  <c r="E4" i="16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S13" i="7"/>
  <c r="AF59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N70" i="27"/>
  <c r="G12" i="27"/>
  <c r="BP14" i="6"/>
  <c r="AF63" i="27"/>
  <c r="AF70" i="27"/>
  <c r="P70" i="27" s="1"/>
  <c r="AF65" i="27"/>
  <c r="BQ15" i="7"/>
  <c r="AF64" i="27"/>
  <c r="AF67" i="27"/>
  <c r="BP13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AE72" i="27"/>
  <c r="C54" i="27"/>
  <c r="Q54" i="27"/>
  <c r="H25" i="27"/>
  <c r="H32" i="27"/>
  <c r="H23" i="27"/>
  <c r="H30" i="27"/>
  <c r="H26" i="27"/>
  <c r="H22" i="27"/>
  <c r="H24" i="27"/>
  <c r="H29" i="27"/>
  <c r="O55" i="27"/>
  <c r="N69" i="27"/>
  <c r="H28" i="27"/>
  <c r="H27" i="27"/>
  <c r="G1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E22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O16" i="6"/>
  <c r="AM16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R29" i="6"/>
  <c r="Q35" i="6" s="1"/>
  <c r="V10" i="7" l="1"/>
  <c r="AB10" i="7" s="1"/>
  <c r="AD9" i="7"/>
  <c r="AF10" i="7" s="1"/>
  <c r="AC10" i="7"/>
  <c r="AL18" i="6"/>
  <c r="AL20" i="6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E274" i="6"/>
  <c r="T29" i="6"/>
  <c r="U31" i="6" s="1"/>
  <c r="Z16" i="6"/>
  <c r="S35" i="6"/>
  <c r="E302" i="6"/>
  <c r="AG20" i="6"/>
  <c r="E246" i="6"/>
  <c r="V29" i="6"/>
  <c r="U35" i="6" s="1"/>
  <c r="Q20" i="6"/>
  <c r="AK16" i="6"/>
  <c r="AJ18" i="6"/>
  <c r="E50" i="6"/>
  <c r="V16" i="6"/>
  <c r="AK18" i="6"/>
  <c r="V44" i="6"/>
  <c r="W18" i="6"/>
  <c r="S31" i="6"/>
  <c r="E148" i="6"/>
  <c r="E316" i="6"/>
  <c r="R20" i="6"/>
  <c r="AB44" i="6"/>
  <c r="AA50" i="6" s="1"/>
  <c r="E36" i="6"/>
  <c r="E120" i="6"/>
  <c r="AB20" i="6"/>
  <c r="S44" i="6"/>
  <c r="R44" i="6"/>
  <c r="R48" i="6" s="1"/>
  <c r="T20" i="6"/>
  <c r="E344" i="6"/>
  <c r="AH20" i="6"/>
  <c r="AH16" i="6"/>
  <c r="S18" i="6"/>
  <c r="T16" i="6"/>
  <c r="P20" i="6"/>
  <c r="AC18" i="6"/>
  <c r="N20" i="6"/>
  <c r="Y18" i="6"/>
  <c r="AO13" i="6"/>
  <c r="L29" i="6"/>
  <c r="M31" i="6" s="1"/>
  <c r="Y16" i="6"/>
  <c r="W16" i="6"/>
  <c r="L13" i="6"/>
  <c r="M29" i="6" s="1"/>
  <c r="M33" i="6" s="1"/>
  <c r="U16" i="6"/>
  <c r="AE20" i="6"/>
  <c r="E330" i="6"/>
  <c r="M13" i="6"/>
  <c r="N16" i="6" s="1"/>
  <c r="Z44" i="6"/>
  <c r="Z48" i="6" s="1"/>
  <c r="W29" i="6"/>
  <c r="V35" i="6" s="1"/>
  <c r="T18" i="6"/>
  <c r="T50" i="6"/>
  <c r="U48" i="6"/>
  <c r="E232" i="6"/>
  <c r="AD16" i="6"/>
  <c r="X20" i="6"/>
  <c r="V20" i="6"/>
  <c r="Q44" i="6"/>
  <c r="R46" i="6" s="1"/>
  <c r="L44" i="6"/>
  <c r="M46" i="6" s="1"/>
  <c r="AL16" i="6"/>
  <c r="X44" i="6"/>
  <c r="X48" i="6" s="1"/>
  <c r="W44" i="6"/>
  <c r="P44" i="6"/>
  <c r="O50" i="6" s="1"/>
  <c r="AD20" i="6"/>
  <c r="E64" i="6"/>
  <c r="O44" i="6"/>
  <c r="O48" i="6" s="1"/>
  <c r="R16" i="6"/>
  <c r="O18" i="6"/>
  <c r="N29" i="6"/>
  <c r="N18" i="6"/>
  <c r="AN13" i="6"/>
  <c r="N44" i="6"/>
  <c r="Z20" i="6"/>
  <c r="AF16" i="6"/>
  <c r="AF24" i="6" s="1"/>
  <c r="AF23" i="6" s="1"/>
  <c r="Y29" i="6"/>
  <c r="AG16" i="6"/>
  <c r="P29" i="6"/>
  <c r="P18" i="6"/>
  <c r="S29" i="6"/>
  <c r="U20" i="6"/>
  <c r="V46" i="6"/>
  <c r="W46" i="6"/>
  <c r="AH18" i="6"/>
  <c r="U29" i="6"/>
  <c r="AK20" i="6"/>
  <c r="AK24" i="6" s="1"/>
  <c r="AK23" i="6" s="1"/>
  <c r="AK25" i="6" s="1"/>
  <c r="Z29" i="6"/>
  <c r="O20" i="6"/>
  <c r="AE16" i="6"/>
  <c r="E106" i="6"/>
  <c r="AN16" i="6"/>
  <c r="Z18" i="6"/>
  <c r="X29" i="6"/>
  <c r="Y31" i="6" s="1"/>
  <c r="AM18" i="6"/>
  <c r="AC20" i="6"/>
  <c r="AA16" i="6"/>
  <c r="Q29" i="6"/>
  <c r="Q33" i="6" s="1"/>
  <c r="Y48" i="6"/>
  <c r="X50" i="6"/>
  <c r="Z46" i="6"/>
  <c r="N35" i="6"/>
  <c r="P31" i="6"/>
  <c r="O33" i="6"/>
  <c r="AB24" i="6"/>
  <c r="AB23" i="6" s="1"/>
  <c r="AB25" i="6" s="1"/>
  <c r="R33" i="6"/>
  <c r="R18" i="6"/>
  <c r="Q16" i="6"/>
  <c r="AB29" i="6"/>
  <c r="AA35" i="6" s="1"/>
  <c r="AJ20" i="6"/>
  <c r="AJ24" i="6" s="1"/>
  <c r="AJ23" i="6" s="1"/>
  <c r="AI18" i="6"/>
  <c r="E288" i="6"/>
  <c r="AG18" i="6"/>
  <c r="W20" i="6"/>
  <c r="X18" i="6"/>
  <c r="E134" i="6"/>
  <c r="V33" i="6"/>
  <c r="AE18" i="6"/>
  <c r="E218" i="6"/>
  <c r="AA20" i="6"/>
  <c r="Y20" i="6"/>
  <c r="AA18" i="6"/>
  <c r="T44" i="6"/>
  <c r="S16" i="6"/>
  <c r="AC16" i="6"/>
  <c r="E204" i="6"/>
  <c r="BW15" i="7"/>
  <c r="BK15" i="7"/>
  <c r="L25" i="27"/>
  <c r="L61" i="27" s="1"/>
  <c r="L27" i="27"/>
  <c r="H63" i="27" s="1"/>
  <c r="L30" i="27"/>
  <c r="G66" i="27" s="1"/>
  <c r="L32" i="27"/>
  <c r="K68" i="27" s="1"/>
  <c r="L34" i="27"/>
  <c r="L36" i="27"/>
  <c r="K72" i="27" s="1"/>
  <c r="L31" i="27"/>
  <c r="J67" i="27" s="1"/>
  <c r="L39" i="27"/>
  <c r="H75" i="27" s="1"/>
  <c r="AE67" i="27"/>
  <c r="P67" i="27"/>
  <c r="L24" i="27"/>
  <c r="C60" i="27" s="1"/>
  <c r="L26" i="27"/>
  <c r="G62" i="27" s="1"/>
  <c r="L28" i="27"/>
  <c r="C64" i="27" s="1"/>
  <c r="L33" i="27"/>
  <c r="G69" i="27" s="1"/>
  <c r="L35" i="27"/>
  <c r="L71" i="27" s="1"/>
  <c r="L37" i="27"/>
  <c r="C73" i="27" s="1"/>
  <c r="L18" i="27"/>
  <c r="C78" i="27"/>
  <c r="K70" i="27"/>
  <c r="J73" i="27"/>
  <c r="G76" i="27"/>
  <c r="I66" i="27"/>
  <c r="I77" i="27"/>
  <c r="N74" i="27"/>
  <c r="AE68" i="27"/>
  <c r="AE63" i="27"/>
  <c r="L60" i="27"/>
  <c r="F74" i="27"/>
  <c r="M65" i="27"/>
  <c r="C71" i="27"/>
  <c r="I59" i="27"/>
  <c r="L78" i="27"/>
  <c r="H56" i="27"/>
  <c r="I67" i="27"/>
  <c r="E61" i="27"/>
  <c r="L59" i="27"/>
  <c r="K66" i="27"/>
  <c r="I57" i="27"/>
  <c r="K74" i="27"/>
  <c r="L65" i="27"/>
  <c r="I11" i="27"/>
  <c r="I74" i="27"/>
  <c r="L70" i="27"/>
  <c r="G56" i="27"/>
  <c r="H61" i="27"/>
  <c r="M59" i="27"/>
  <c r="F66" i="27"/>
  <c r="J57" i="27"/>
  <c r="K63" i="27"/>
  <c r="H58" i="27"/>
  <c r="C76" i="27"/>
  <c r="J77" i="27"/>
  <c r="I78" i="27"/>
  <c r="F78" i="27"/>
  <c r="L74" i="27"/>
  <c r="I70" i="27"/>
  <c r="F70" i="27"/>
  <c r="C56" i="27"/>
  <c r="K56" i="27"/>
  <c r="K65" i="27"/>
  <c r="I65" i="27"/>
  <c r="K61" i="27"/>
  <c r="F61" i="27"/>
  <c r="H59" i="27"/>
  <c r="G59" i="27"/>
  <c r="M68" i="27"/>
  <c r="E66" i="27"/>
  <c r="C66" i="27"/>
  <c r="G58" i="27"/>
  <c r="C57" i="27"/>
  <c r="I63" i="27"/>
  <c r="G74" i="27"/>
  <c r="H76" i="27"/>
  <c r="K76" i="27"/>
  <c r="J70" i="27"/>
  <c r="K77" i="27"/>
  <c r="K75" i="27"/>
  <c r="D58" i="27"/>
  <c r="L66" i="27"/>
  <c r="E78" i="27"/>
  <c r="D78" i="27"/>
  <c r="M78" i="27"/>
  <c r="E74" i="27"/>
  <c r="D74" i="27"/>
  <c r="M74" i="27"/>
  <c r="E70" i="27"/>
  <c r="D70" i="27"/>
  <c r="D56" i="27"/>
  <c r="L56" i="27"/>
  <c r="E56" i="27"/>
  <c r="I56" i="27"/>
  <c r="M56" i="27"/>
  <c r="F67" i="27"/>
  <c r="C65" i="27"/>
  <c r="H65" i="27"/>
  <c r="E65" i="27"/>
  <c r="F65" i="27"/>
  <c r="D61" i="27"/>
  <c r="C61" i="27"/>
  <c r="I61" i="27"/>
  <c r="J61" i="27"/>
  <c r="C59" i="27"/>
  <c r="E59" i="27"/>
  <c r="J59" i="27"/>
  <c r="D59" i="27"/>
  <c r="I68" i="27"/>
  <c r="D66" i="27"/>
  <c r="H66" i="27"/>
  <c r="M66" i="27"/>
  <c r="J66" i="27"/>
  <c r="K58" i="27"/>
  <c r="H57" i="27"/>
  <c r="G70" i="27"/>
  <c r="J78" i="27"/>
  <c r="F76" i="27"/>
  <c r="C72" i="27"/>
  <c r="C77" i="27"/>
  <c r="C75" i="27"/>
  <c r="D71" i="27"/>
  <c r="F59" i="27"/>
  <c r="F10" i="27"/>
  <c r="I10" i="27" s="1"/>
  <c r="J17" i="27" s="1"/>
  <c r="L17" i="27" s="1"/>
  <c r="L14" i="27" s="1"/>
  <c r="I35" i="27" s="1"/>
  <c r="J56" i="27"/>
  <c r="AE66" i="27"/>
  <c r="P54" i="27"/>
  <c r="AY56" i="27"/>
  <c r="AY57" i="27"/>
  <c r="AO57" i="27" s="1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O5" i="27"/>
  <c r="I20" i="27"/>
  <c r="L1" i="1"/>
  <c r="A15" i="1"/>
  <c r="F7" i="1"/>
  <c r="AC12" i="1" s="1"/>
  <c r="X1" i="1"/>
  <c r="A61" i="19"/>
  <c r="F14" i="1"/>
  <c r="J1" i="15"/>
  <c r="A3" i="7"/>
  <c r="L12" i="1"/>
  <c r="A6" i="6"/>
  <c r="A11" i="19"/>
  <c r="V14" i="1"/>
  <c r="M57" i="27"/>
  <c r="F57" i="27"/>
  <c r="G57" i="27"/>
  <c r="L57" i="27"/>
  <c r="D57" i="27"/>
  <c r="E57" i="27"/>
  <c r="I58" i="27"/>
  <c r="J58" i="27"/>
  <c r="C58" i="27"/>
  <c r="L58" i="27"/>
  <c r="F58" i="27"/>
  <c r="E58" i="27"/>
  <c r="M60" i="27"/>
  <c r="G61" i="27"/>
  <c r="M61" i="27"/>
  <c r="L62" i="27"/>
  <c r="D63" i="27"/>
  <c r="J65" i="27"/>
  <c r="D65" i="27"/>
  <c r="D67" i="27"/>
  <c r="H68" i="27"/>
  <c r="M70" i="27"/>
  <c r="C70" i="27"/>
  <c r="H70" i="27"/>
  <c r="G71" i="27"/>
  <c r="M72" i="27"/>
  <c r="L72" i="27"/>
  <c r="D73" i="27"/>
  <c r="C74" i="27"/>
  <c r="H74" i="27"/>
  <c r="J75" i="27"/>
  <c r="G75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AE70" i="27"/>
  <c r="AE71" i="27"/>
  <c r="P72" i="27"/>
  <c r="P73" i="27"/>
  <c r="P74" i="27"/>
  <c r="BH9" i="6"/>
  <c r="U12" i="1" s="1"/>
  <c r="P58" i="27"/>
  <c r="P65" i="27"/>
  <c r="AE65" i="27"/>
  <c r="AE69" i="27"/>
  <c r="AE64" i="27"/>
  <c r="AE58" i="27"/>
  <c r="P59" i="27"/>
  <c r="N64" i="27"/>
  <c r="P68" i="27"/>
  <c r="P63" i="27"/>
  <c r="AE62" i="27"/>
  <c r="P62" i="27"/>
  <c r="AE61" i="27"/>
  <c r="P57" i="27"/>
  <c r="AE57" i="27"/>
  <c r="P64" i="27"/>
  <c r="AE60" i="27"/>
  <c r="AE59" i="27"/>
  <c r="P61" i="27"/>
  <c r="P60" i="27"/>
  <c r="E7" i="1"/>
  <c r="J1" i="16"/>
  <c r="L1" i="15"/>
  <c r="A12" i="19"/>
  <c r="J380" i="15"/>
  <c r="Y14" i="15"/>
  <c r="BJ13" i="7"/>
  <c r="AJ15" i="1"/>
  <c r="E8" i="1"/>
  <c r="K11" i="19" s="1"/>
  <c r="K35" i="19" s="1"/>
  <c r="AJ380" i="1"/>
  <c r="BM13" i="7"/>
  <c r="BY13" i="7"/>
  <c r="L1" i="16"/>
  <c r="J1" i="17"/>
  <c r="X1" i="16"/>
  <c r="C6" i="6"/>
  <c r="AB15" i="1"/>
  <c r="X15" i="1"/>
  <c r="A16" i="1"/>
  <c r="BV13" i="7"/>
  <c r="B13" i="7"/>
  <c r="AI10" i="7" l="1"/>
  <c r="AO10" i="7" s="1"/>
  <c r="AU10" i="7" s="1"/>
  <c r="BA10" i="7" s="1"/>
  <c r="BG10" i="7" s="1"/>
  <c r="BM10" i="7" s="1"/>
  <c r="BS10" i="7" s="1"/>
  <c r="BY10" i="7" s="1"/>
  <c r="AH10" i="7"/>
  <c r="AN10" i="7" s="1"/>
  <c r="AT10" i="7" s="1"/>
  <c r="AZ10" i="7" s="1"/>
  <c r="BF10" i="7" s="1"/>
  <c r="BL10" i="7" s="1"/>
  <c r="BR10" i="7" s="1"/>
  <c r="BX10" i="7" s="1"/>
  <c r="AJ9" i="7"/>
  <c r="AL10" i="7" s="1"/>
  <c r="AP9" i="7" s="1"/>
  <c r="AR10" i="7" s="1"/>
  <c r="AV9" i="7" s="1"/>
  <c r="AX10" i="7" s="1"/>
  <c r="BB9" i="7" s="1"/>
  <c r="BD10" i="7" s="1"/>
  <c r="BH9" i="7" s="1"/>
  <c r="BJ10" i="7" s="1"/>
  <c r="T33" i="6"/>
  <c r="U24" i="6"/>
  <c r="U23" i="6" s="1"/>
  <c r="AC9" i="1"/>
  <c r="Y50" i="6"/>
  <c r="W31" i="6"/>
  <c r="S24" i="6"/>
  <c r="Y24" i="6"/>
  <c r="Y23" i="6" s="1"/>
  <c r="Y25" i="6" s="1"/>
  <c r="AH24" i="6"/>
  <c r="AH23" i="6" s="1"/>
  <c r="AH25" i="6" s="1"/>
  <c r="V24" i="6"/>
  <c r="V23" i="6" s="1"/>
  <c r="V25" i="6" s="1"/>
  <c r="O24" i="6"/>
  <c r="O23" i="6" s="1"/>
  <c r="O25" i="6" s="1"/>
  <c r="W24" i="6"/>
  <c r="W23" i="6" s="1"/>
  <c r="W25" i="6" s="1"/>
  <c r="T24" i="6"/>
  <c r="T23" i="6" s="1"/>
  <c r="T25" i="6" s="1"/>
  <c r="V48" i="6"/>
  <c r="U50" i="6"/>
  <c r="AD24" i="6"/>
  <c r="AD23" i="6" s="1"/>
  <c r="AD25" i="6" s="1"/>
  <c r="W50" i="6"/>
  <c r="N31" i="6"/>
  <c r="P24" i="6"/>
  <c r="P23" i="6" s="1"/>
  <c r="P25" i="6" s="1"/>
  <c r="Y46" i="6"/>
  <c r="AN20" i="6"/>
  <c r="AA44" i="6"/>
  <c r="T46" i="6"/>
  <c r="S48" i="6"/>
  <c r="M16" i="6"/>
  <c r="R50" i="6"/>
  <c r="R54" i="6" s="1"/>
  <c r="R53" i="6" s="1"/>
  <c r="R55" i="6" s="1"/>
  <c r="Z24" i="6"/>
  <c r="Z23" i="6" s="1"/>
  <c r="Z25" i="6" s="1"/>
  <c r="W33" i="6"/>
  <c r="X31" i="6"/>
  <c r="S46" i="6"/>
  <c r="Q50" i="6"/>
  <c r="AG24" i="6"/>
  <c r="AG23" i="6" s="1"/>
  <c r="R24" i="6"/>
  <c r="R23" i="6" s="1"/>
  <c r="R25" i="6" s="1"/>
  <c r="AA46" i="6"/>
  <c r="M18" i="6"/>
  <c r="M44" i="6"/>
  <c r="U25" i="6"/>
  <c r="O46" i="6"/>
  <c r="O54" i="6" s="1"/>
  <c r="O53" i="6" s="1"/>
  <c r="M50" i="6"/>
  <c r="N48" i="6"/>
  <c r="P46" i="6"/>
  <c r="N50" i="6"/>
  <c r="V50" i="6"/>
  <c r="W48" i="6"/>
  <c r="R31" i="6"/>
  <c r="X46" i="6"/>
  <c r="X54" i="6" s="1"/>
  <c r="P50" i="6"/>
  <c r="AF25" i="6"/>
  <c r="N24" i="6"/>
  <c r="N23" i="6" s="1"/>
  <c r="N25" i="6" s="1"/>
  <c r="Q48" i="6"/>
  <c r="AA29" i="6"/>
  <c r="AM20" i="6"/>
  <c r="AN18" i="6"/>
  <c r="O31" i="6"/>
  <c r="M35" i="6"/>
  <c r="M39" i="6" s="1"/>
  <c r="M38" i="6" s="1"/>
  <c r="N33" i="6"/>
  <c r="Q46" i="6"/>
  <c r="P48" i="6"/>
  <c r="AL24" i="6"/>
  <c r="AL23" i="6" s="1"/>
  <c r="W35" i="6"/>
  <c r="X33" i="6"/>
  <c r="Y35" i="6"/>
  <c r="Z33" i="6"/>
  <c r="AA31" i="6"/>
  <c r="U33" i="6"/>
  <c r="V31" i="6"/>
  <c r="V39" i="6" s="1"/>
  <c r="V38" i="6" s="1"/>
  <c r="R35" i="6"/>
  <c r="T31" i="6"/>
  <c r="S33" i="6"/>
  <c r="P33" i="6"/>
  <c r="Q31" i="6"/>
  <c r="Q39" i="6" s="1"/>
  <c r="O35" i="6"/>
  <c r="P35" i="6"/>
  <c r="AE24" i="6"/>
  <c r="AE23" i="6" s="1"/>
  <c r="T35" i="6"/>
  <c r="E12" i="6"/>
  <c r="Y33" i="6"/>
  <c r="Z31" i="6"/>
  <c r="X35" i="6"/>
  <c r="U46" i="6"/>
  <c r="T48" i="6"/>
  <c r="S50" i="6"/>
  <c r="Q24" i="6"/>
  <c r="Q23" i="6" s="1"/>
  <c r="E13" i="6"/>
  <c r="AJ25" i="6"/>
  <c r="J334" i="6" s="1"/>
  <c r="AC24" i="6"/>
  <c r="AC23" i="6" s="1"/>
  <c r="S23" i="6"/>
  <c r="S25" i="6" s="1"/>
  <c r="AA24" i="6"/>
  <c r="AA23" i="6" s="1"/>
  <c r="X24" i="6"/>
  <c r="X23" i="6" s="1"/>
  <c r="X25" i="6" s="1"/>
  <c r="AI24" i="6"/>
  <c r="AI23" i="6" s="1"/>
  <c r="AI12" i="1"/>
  <c r="M69" i="27"/>
  <c r="M75" i="27"/>
  <c r="M73" i="27"/>
  <c r="L73" i="27"/>
  <c r="E72" i="27"/>
  <c r="D69" i="27"/>
  <c r="J62" i="27"/>
  <c r="K62" i="27"/>
  <c r="I73" i="27"/>
  <c r="M62" i="27"/>
  <c r="J63" i="27"/>
  <c r="F69" i="27"/>
  <c r="F73" i="27"/>
  <c r="L69" i="27"/>
  <c r="F63" i="27"/>
  <c r="E63" i="27"/>
  <c r="I62" i="27"/>
  <c r="I69" i="27"/>
  <c r="G31" i="27"/>
  <c r="E75" i="27"/>
  <c r="F75" i="27"/>
  <c r="E73" i="27"/>
  <c r="G73" i="27"/>
  <c r="H73" i="27"/>
  <c r="D72" i="27"/>
  <c r="J72" i="27"/>
  <c r="I72" i="27"/>
  <c r="E69" i="27"/>
  <c r="C69" i="27"/>
  <c r="D68" i="27"/>
  <c r="G63" i="27"/>
  <c r="L63" i="27"/>
  <c r="F62" i="27"/>
  <c r="C62" i="27"/>
  <c r="H62" i="27"/>
  <c r="K73" i="27"/>
  <c r="I75" i="27"/>
  <c r="H72" i="27"/>
  <c r="C63" i="27"/>
  <c r="D62" i="27"/>
  <c r="L68" i="27"/>
  <c r="G68" i="27"/>
  <c r="M63" i="27"/>
  <c r="H69" i="27"/>
  <c r="L75" i="27"/>
  <c r="F72" i="27"/>
  <c r="F68" i="27"/>
  <c r="E68" i="27"/>
  <c r="E62" i="27"/>
  <c r="J68" i="27"/>
  <c r="K69" i="27"/>
  <c r="G72" i="27"/>
  <c r="C68" i="27"/>
  <c r="J69" i="27"/>
  <c r="D75" i="27"/>
  <c r="J71" i="27"/>
  <c r="K64" i="27"/>
  <c r="F60" i="27"/>
  <c r="M67" i="27"/>
  <c r="I71" i="27"/>
  <c r="G67" i="27"/>
  <c r="M71" i="27"/>
  <c r="E67" i="27"/>
  <c r="H64" i="27"/>
  <c r="D60" i="27"/>
  <c r="E64" i="27"/>
  <c r="K67" i="27"/>
  <c r="L67" i="27"/>
  <c r="D64" i="27"/>
  <c r="C67" i="27"/>
  <c r="L64" i="27"/>
  <c r="J64" i="27"/>
  <c r="H67" i="27"/>
  <c r="E71" i="27"/>
  <c r="F71" i="27"/>
  <c r="G64" i="27"/>
  <c r="F64" i="27"/>
  <c r="I60" i="27"/>
  <c r="J60" i="27"/>
  <c r="K71" i="27"/>
  <c r="G60" i="27"/>
  <c r="H60" i="27"/>
  <c r="I64" i="27"/>
  <c r="M64" i="27"/>
  <c r="H71" i="27"/>
  <c r="E60" i="27"/>
  <c r="K60" i="27"/>
  <c r="I27" i="27"/>
  <c r="G25" i="27"/>
  <c r="I34" i="27"/>
  <c r="I33" i="27"/>
  <c r="I26" i="27"/>
  <c r="G37" i="27"/>
  <c r="G36" i="27"/>
  <c r="G27" i="27"/>
  <c r="G28" i="27"/>
  <c r="G26" i="27"/>
  <c r="G23" i="27"/>
  <c r="G21" i="27"/>
  <c r="G22" i="27"/>
  <c r="G20" i="27"/>
  <c r="I29" i="27"/>
  <c r="I23" i="27"/>
  <c r="I22" i="27"/>
  <c r="I31" i="27"/>
  <c r="I24" i="27"/>
  <c r="I32" i="27"/>
  <c r="I28" i="27"/>
  <c r="I25" i="27"/>
  <c r="I30" i="27"/>
  <c r="AO56" i="27"/>
  <c r="AO78" i="27"/>
  <c r="AO76" i="27"/>
  <c r="AO74" i="27"/>
  <c r="AO72" i="27"/>
  <c r="AO70" i="27"/>
  <c r="AO68" i="27"/>
  <c r="AO66" i="27"/>
  <c r="AO64" i="27"/>
  <c r="AO62" i="27"/>
  <c r="AO60" i="27"/>
  <c r="AO58" i="27"/>
  <c r="AO79" i="27"/>
  <c r="AO77" i="27"/>
  <c r="AO75" i="27"/>
  <c r="AO73" i="27"/>
  <c r="AO71" i="27"/>
  <c r="AO69" i="27"/>
  <c r="AO67" i="27"/>
  <c r="AO65" i="27"/>
  <c r="AO63" i="27"/>
  <c r="AO61" i="27"/>
  <c r="AO59" i="27"/>
  <c r="B11" i="7"/>
  <c r="O11" i="1"/>
  <c r="L15" i="1"/>
  <c r="K15" i="1"/>
  <c r="L11" i="15"/>
  <c r="B6" i="6"/>
  <c r="A15" i="15"/>
  <c r="F14" i="15"/>
  <c r="A62" i="19"/>
  <c r="G3" i="7"/>
  <c r="X1" i="15"/>
  <c r="V14" i="15"/>
  <c r="G35" i="27"/>
  <c r="G34" i="27"/>
  <c r="AT56" i="27"/>
  <c r="AV56" i="27"/>
  <c r="AE56" i="27"/>
  <c r="AP56" i="27"/>
  <c r="AX56" i="27" s="1"/>
  <c r="AR56" i="27"/>
  <c r="AE73" i="27"/>
  <c r="BH10" i="6"/>
  <c r="D11" i="7"/>
  <c r="U11" i="1" s="1"/>
  <c r="AT2" i="7"/>
  <c r="G24" i="27"/>
  <c r="F14" i="16"/>
  <c r="M3" i="7"/>
  <c r="A13" i="19"/>
  <c r="V14" i="16"/>
  <c r="A15" i="16"/>
  <c r="A63" i="19"/>
  <c r="Y14" i="16"/>
  <c r="BW16" i="7"/>
  <c r="BK16" i="7"/>
  <c r="C16" i="7"/>
  <c r="BQ16" i="7"/>
  <c r="AB16" i="1"/>
  <c r="X16" i="1"/>
  <c r="AJ16" i="1"/>
  <c r="K16" i="1"/>
  <c r="L16" i="1"/>
  <c r="A17" i="1"/>
  <c r="AC16" i="1"/>
  <c r="S3" i="7"/>
  <c r="X1" i="17"/>
  <c r="A14" i="19"/>
  <c r="J1" i="18"/>
  <c r="Y14" i="17"/>
  <c r="D6" i="6"/>
  <c r="A15" i="17"/>
  <c r="F14" i="17"/>
  <c r="A64" i="19"/>
  <c r="V14" i="17"/>
  <c r="L1" i="17"/>
  <c r="O10" i="1"/>
  <c r="AC10" i="1"/>
  <c r="AC15" i="1" s="1"/>
  <c r="BN9" i="7" l="1"/>
  <c r="BP10" i="7" s="1"/>
  <c r="BK10" i="7"/>
  <c r="Y54" i="6"/>
  <c r="Y53" i="6" s="1"/>
  <c r="Y39" i="6"/>
  <c r="Y38" i="6" s="1"/>
  <c r="Y40" i="6" s="1"/>
  <c r="W54" i="6"/>
  <c r="W53" i="6" s="1"/>
  <c r="W55" i="6" s="1"/>
  <c r="W39" i="6"/>
  <c r="W38" i="6" s="1"/>
  <c r="W40" i="6" s="1"/>
  <c r="V54" i="6"/>
  <c r="V53" i="6" s="1"/>
  <c r="V55" i="6" s="1"/>
  <c r="J114" i="6"/>
  <c r="N39" i="6"/>
  <c r="N38" i="6" s="1"/>
  <c r="N40" i="6" s="1"/>
  <c r="J341" i="6"/>
  <c r="J335" i="6"/>
  <c r="J148" i="6"/>
  <c r="J106" i="6"/>
  <c r="J107" i="6"/>
  <c r="J110" i="6"/>
  <c r="X53" i="6"/>
  <c r="X55" i="6" s="1"/>
  <c r="AN24" i="6"/>
  <c r="AN23" i="6" s="1"/>
  <c r="AN25" i="6" s="1"/>
  <c r="M24" i="6"/>
  <c r="M23" i="6" s="1"/>
  <c r="M25" i="6" s="1"/>
  <c r="J48" i="6"/>
  <c r="J24" i="6"/>
  <c r="AA48" i="6"/>
  <c r="Z50" i="6"/>
  <c r="Z54" i="6" s="1"/>
  <c r="Z53" i="6" s="1"/>
  <c r="J122" i="6"/>
  <c r="J139" i="6"/>
  <c r="J111" i="6"/>
  <c r="T39" i="6"/>
  <c r="T38" i="6" s="1"/>
  <c r="T40" i="6" s="1"/>
  <c r="R39" i="6"/>
  <c r="R38" i="6" s="1"/>
  <c r="R40" i="6" s="1"/>
  <c r="J117" i="6"/>
  <c r="J112" i="6"/>
  <c r="P54" i="6"/>
  <c r="P53" i="6" s="1"/>
  <c r="P55" i="6" s="1"/>
  <c r="AA54" i="6"/>
  <c r="AA53" i="6" s="1"/>
  <c r="AA55" i="6" s="1"/>
  <c r="N46" i="6"/>
  <c r="M48" i="6"/>
  <c r="M54" i="6" s="1"/>
  <c r="M53" i="6" s="1"/>
  <c r="M55" i="6" s="1"/>
  <c r="J340" i="6"/>
  <c r="J46" i="6"/>
  <c r="J25" i="6"/>
  <c r="J336" i="6"/>
  <c r="O55" i="6"/>
  <c r="O39" i="6"/>
  <c r="O38" i="6" s="1"/>
  <c r="AL25" i="6"/>
  <c r="J352" i="6" s="1"/>
  <c r="J35" i="6"/>
  <c r="AA33" i="6"/>
  <c r="AA39" i="6" s="1"/>
  <c r="AA38" i="6" s="1"/>
  <c r="Z35" i="6"/>
  <c r="Z39" i="6" s="1"/>
  <c r="Z38" i="6" s="1"/>
  <c r="Z40" i="6" s="1"/>
  <c r="J332" i="6"/>
  <c r="J343" i="6"/>
  <c r="J337" i="6"/>
  <c r="J49" i="6"/>
  <c r="J32" i="6"/>
  <c r="J39" i="6"/>
  <c r="J26" i="6"/>
  <c r="J118" i="6"/>
  <c r="J126" i="6"/>
  <c r="J116" i="6"/>
  <c r="J164" i="6"/>
  <c r="J108" i="6"/>
  <c r="J119" i="6"/>
  <c r="P39" i="6"/>
  <c r="P38" i="6" s="1"/>
  <c r="J113" i="6"/>
  <c r="J109" i="6"/>
  <c r="Q54" i="6"/>
  <c r="Q53" i="6" s="1"/>
  <c r="AM24" i="6"/>
  <c r="AM23" i="6" s="1"/>
  <c r="N54" i="6"/>
  <c r="N53" i="6" s="1"/>
  <c r="J115" i="6"/>
  <c r="J128" i="6"/>
  <c r="J127" i="6"/>
  <c r="J130" i="6"/>
  <c r="J120" i="6"/>
  <c r="J124" i="6"/>
  <c r="J125" i="6"/>
  <c r="J129" i="6"/>
  <c r="J30" i="6"/>
  <c r="J23" i="6"/>
  <c r="J33" i="6"/>
  <c r="J28" i="6"/>
  <c r="J47" i="6"/>
  <c r="J29" i="6"/>
  <c r="J22" i="6"/>
  <c r="J37" i="6"/>
  <c r="J44" i="6"/>
  <c r="J34" i="6"/>
  <c r="J45" i="6"/>
  <c r="J42" i="6"/>
  <c r="J36" i="6"/>
  <c r="J133" i="6"/>
  <c r="J132" i="6"/>
  <c r="J121" i="6"/>
  <c r="J134" i="6"/>
  <c r="J147" i="6"/>
  <c r="J131" i="6"/>
  <c r="V40" i="6"/>
  <c r="X39" i="6"/>
  <c r="X38" i="6" s="1"/>
  <c r="X40" i="6" s="1"/>
  <c r="J146" i="6"/>
  <c r="J145" i="6"/>
  <c r="J137" i="6"/>
  <c r="J140" i="6"/>
  <c r="Q38" i="6"/>
  <c r="Q40" i="6" s="1"/>
  <c r="S39" i="6"/>
  <c r="S38" i="6" s="1"/>
  <c r="U39" i="6"/>
  <c r="U38" i="6" s="1"/>
  <c r="U40" i="6" s="1"/>
  <c r="AI25" i="6"/>
  <c r="AC25" i="6"/>
  <c r="J224" i="6" s="1"/>
  <c r="Q25" i="6"/>
  <c r="J61" i="6" s="1"/>
  <c r="AG25" i="6"/>
  <c r="AA25" i="6"/>
  <c r="J212" i="6" s="1"/>
  <c r="J161" i="6"/>
  <c r="J155" i="6"/>
  <c r="J158" i="6"/>
  <c r="J160" i="6"/>
  <c r="J159" i="6"/>
  <c r="J154" i="6"/>
  <c r="J153" i="6"/>
  <c r="S54" i="6"/>
  <c r="S53" i="6" s="1"/>
  <c r="S55" i="6" s="1"/>
  <c r="U54" i="6"/>
  <c r="U53" i="6" s="1"/>
  <c r="J168" i="6"/>
  <c r="J175" i="6"/>
  <c r="J176" i="6"/>
  <c r="J188" i="6"/>
  <c r="J166" i="6"/>
  <c r="J173" i="6"/>
  <c r="J163" i="6"/>
  <c r="J178" i="6"/>
  <c r="J184" i="6"/>
  <c r="J183" i="6"/>
  <c r="J185" i="6"/>
  <c r="J172" i="6"/>
  <c r="J182" i="6"/>
  <c r="J177" i="6"/>
  <c r="J342" i="6"/>
  <c r="J333" i="6"/>
  <c r="J330" i="6"/>
  <c r="M40" i="6"/>
  <c r="J41" i="6"/>
  <c r="J43" i="6"/>
  <c r="J40" i="6"/>
  <c r="J27" i="6"/>
  <c r="J38" i="6"/>
  <c r="J31" i="6"/>
  <c r="AE25" i="6"/>
  <c r="J268" i="6" s="1"/>
  <c r="J100" i="6"/>
  <c r="J95" i="6"/>
  <c r="J85" i="6"/>
  <c r="J94" i="6"/>
  <c r="J99" i="6"/>
  <c r="J97" i="6"/>
  <c r="J102" i="6"/>
  <c r="J104" i="6"/>
  <c r="J83" i="6"/>
  <c r="J90" i="6"/>
  <c r="J82" i="6"/>
  <c r="J86" i="6"/>
  <c r="J81" i="6"/>
  <c r="J91" i="6"/>
  <c r="J87" i="6"/>
  <c r="J98" i="6"/>
  <c r="J92" i="6"/>
  <c r="J103" i="6"/>
  <c r="J101" i="6"/>
  <c r="J93" i="6"/>
  <c r="J96" i="6"/>
  <c r="J105" i="6"/>
  <c r="J79" i="6"/>
  <c r="J84" i="6"/>
  <c r="J89" i="6"/>
  <c r="J88" i="6"/>
  <c r="J80" i="6"/>
  <c r="J78" i="6"/>
  <c r="Y55" i="6"/>
  <c r="J338" i="6"/>
  <c r="J339" i="6"/>
  <c r="J331" i="6"/>
  <c r="J138" i="6"/>
  <c r="J141" i="6"/>
  <c r="J156" i="6"/>
  <c r="J136" i="6"/>
  <c r="J149" i="6"/>
  <c r="J151" i="6"/>
  <c r="J150" i="6"/>
  <c r="J135" i="6"/>
  <c r="J143" i="6"/>
  <c r="J144" i="6"/>
  <c r="J157" i="6"/>
  <c r="J142" i="6"/>
  <c r="J152" i="6"/>
  <c r="T54" i="6"/>
  <c r="T53" i="6" s="1"/>
  <c r="T55" i="6" s="1"/>
  <c r="J123" i="6"/>
  <c r="J187" i="6"/>
  <c r="J180" i="6"/>
  <c r="J167" i="6"/>
  <c r="J179" i="6"/>
  <c r="J162" i="6"/>
  <c r="J165" i="6"/>
  <c r="J171" i="6"/>
  <c r="J170" i="6"/>
  <c r="J169" i="6"/>
  <c r="J186" i="6"/>
  <c r="J181" i="6"/>
  <c r="J174" i="6"/>
  <c r="J189" i="6"/>
  <c r="O9" i="15"/>
  <c r="AJ15" i="15" s="1"/>
  <c r="I11" i="7"/>
  <c r="Q11" i="15" s="1"/>
  <c r="L12" i="15"/>
  <c r="L15" i="15" s="1"/>
  <c r="BL13" i="7"/>
  <c r="BR13" i="7"/>
  <c r="BX13" i="7"/>
  <c r="D13" i="7"/>
  <c r="A16" i="15"/>
  <c r="AB15" i="15"/>
  <c r="K15" i="15"/>
  <c r="X15" i="15"/>
  <c r="L11" i="16"/>
  <c r="P11" i="1"/>
  <c r="B15" i="7"/>
  <c r="AE74" i="27"/>
  <c r="P75" i="27"/>
  <c r="G38" i="27" s="1"/>
  <c r="BH11" i="6"/>
  <c r="BH12" i="6" s="1"/>
  <c r="BH121" i="6" s="1"/>
  <c r="BH296" i="6"/>
  <c r="BH222" i="6"/>
  <c r="BH191" i="6"/>
  <c r="BH95" i="6"/>
  <c r="BH110" i="6"/>
  <c r="BH82" i="6"/>
  <c r="BH33" i="6"/>
  <c r="BH171" i="6"/>
  <c r="BH75" i="6"/>
  <c r="BH332" i="6"/>
  <c r="BH251" i="6"/>
  <c r="BH266" i="6"/>
  <c r="BH64" i="6"/>
  <c r="BH316" i="6"/>
  <c r="BH289" i="6"/>
  <c r="BH177" i="6"/>
  <c r="BH117" i="6"/>
  <c r="BH136" i="6"/>
  <c r="BH263" i="6"/>
  <c r="L12" i="16"/>
  <c r="L15" i="16"/>
  <c r="K15" i="16"/>
  <c r="AB15" i="16"/>
  <c r="A16" i="16"/>
  <c r="X15" i="16"/>
  <c r="C13" i="7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V14" i="18"/>
  <c r="E6" i="6"/>
  <c r="A15" i="18"/>
  <c r="L1" i="18"/>
  <c r="J1" i="20"/>
  <c r="Y14" i="18"/>
  <c r="Y3" i="7"/>
  <c r="A15" i="19"/>
  <c r="A65" i="19"/>
  <c r="F14" i="18"/>
  <c r="X1" i="18"/>
  <c r="BH331" i="6" l="1"/>
  <c r="BH272" i="6"/>
  <c r="BH374" i="6"/>
  <c r="BH253" i="6"/>
  <c r="BH320" i="6"/>
  <c r="BH27" i="6"/>
  <c r="BH213" i="6"/>
  <c r="BH211" i="6"/>
  <c r="BH319" i="6"/>
  <c r="BH160" i="6"/>
  <c r="BH195" i="6"/>
  <c r="BT9" i="7"/>
  <c r="BV10" i="7" s="1"/>
  <c r="BQ10" i="7"/>
  <c r="BH159" i="6"/>
  <c r="BH102" i="6"/>
  <c r="BH120" i="6"/>
  <c r="BH265" i="6"/>
  <c r="BH88" i="6"/>
  <c r="BH285" i="6"/>
  <c r="BH298" i="6"/>
  <c r="BH299" i="6"/>
  <c r="BH35" i="6"/>
  <c r="BH212" i="6"/>
  <c r="BH375" i="6"/>
  <c r="BH99" i="6"/>
  <c r="BH181" i="6"/>
  <c r="BH153" i="6"/>
  <c r="BH353" i="6"/>
  <c r="BH90" i="6"/>
  <c r="BH31" i="6"/>
  <c r="BH167" i="6"/>
  <c r="BH93" i="6"/>
  <c r="BH208" i="6"/>
  <c r="BH325" i="6"/>
  <c r="BH348" i="6"/>
  <c r="BH338" i="6"/>
  <c r="BH112" i="6"/>
  <c r="BH16" i="6"/>
  <c r="BH138" i="6"/>
  <c r="BH309" i="6"/>
  <c r="BH141" i="6"/>
  <c r="BH28" i="6"/>
  <c r="BH151" i="6"/>
  <c r="BH271" i="6"/>
  <c r="BH166" i="6"/>
  <c r="BH150" i="6"/>
  <c r="BH108" i="6"/>
  <c r="BH219" i="6"/>
  <c r="BH233" i="6"/>
  <c r="BH206" i="6"/>
  <c r="BH302" i="6"/>
  <c r="BH145" i="6"/>
  <c r="BH94" i="6"/>
  <c r="BH354" i="6"/>
  <c r="BH295" i="6"/>
  <c r="BH24" i="6"/>
  <c r="BH346" i="6"/>
  <c r="BH201" i="6"/>
  <c r="BH301" i="6"/>
  <c r="BH163" i="6"/>
  <c r="AY264" i="6"/>
  <c r="BH292" i="6"/>
  <c r="BH25" i="6"/>
  <c r="BH105" i="6"/>
  <c r="BH188" i="6"/>
  <c r="BH227" i="6"/>
  <c r="BH228" i="6"/>
  <c r="BH116" i="6"/>
  <c r="BH361" i="6"/>
  <c r="BH48" i="6"/>
  <c r="BH161" i="6"/>
  <c r="BH368" i="6"/>
  <c r="BH158" i="6"/>
  <c r="BH174" i="6"/>
  <c r="BH34" i="6"/>
  <c r="BH242" i="6"/>
  <c r="BH200" i="6"/>
  <c r="BH252" i="6"/>
  <c r="BH15" i="6"/>
  <c r="BH343" i="6"/>
  <c r="BH240" i="6"/>
  <c r="BH281" i="6"/>
  <c r="BH51" i="6"/>
  <c r="BH276" i="6"/>
  <c r="BH223" i="6"/>
  <c r="BH257" i="6"/>
  <c r="BH286" i="6"/>
  <c r="BH268" i="6"/>
  <c r="BH107" i="6"/>
  <c r="BH323" i="6"/>
  <c r="BH326" i="6"/>
  <c r="BH221" i="6"/>
  <c r="BH98" i="6"/>
  <c r="BH39" i="6"/>
  <c r="BH20" i="6"/>
  <c r="BH103" i="6"/>
  <c r="BH310" i="6"/>
  <c r="BH318" i="6"/>
  <c r="BH192" i="6"/>
  <c r="BH101" i="6"/>
  <c r="BH278" i="6"/>
  <c r="BH89" i="6"/>
  <c r="BH290" i="6"/>
  <c r="BH179" i="6"/>
  <c r="BH232" i="6"/>
  <c r="BH185" i="6"/>
  <c r="BH379" i="6"/>
  <c r="BH226" i="6"/>
  <c r="BH152" i="6"/>
  <c r="BH130" i="6"/>
  <c r="BH250" i="6"/>
  <c r="BH333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02" i="6"/>
  <c r="BH42" i="6"/>
  <c r="BH111" i="6"/>
  <c r="BH178" i="6"/>
  <c r="BH76" i="6"/>
  <c r="BH96" i="6"/>
  <c r="BH194" i="6"/>
  <c r="BH55" i="6"/>
  <c r="BH357" i="6"/>
  <c r="BH30" i="6"/>
  <c r="BH313" i="6"/>
  <c r="BH47" i="6"/>
  <c r="BH168" i="6"/>
  <c r="BH119" i="6"/>
  <c r="BH18" i="6"/>
  <c r="BH37" i="6"/>
  <c r="BH372" i="6"/>
  <c r="BH74" i="6"/>
  <c r="BH288" i="6"/>
  <c r="AY284" i="6"/>
  <c r="AY283" i="6"/>
  <c r="AY285" i="6"/>
  <c r="AY262" i="6"/>
  <c r="AY270" i="6"/>
  <c r="AY287" i="6"/>
  <c r="AY273" i="6"/>
  <c r="J20" i="6"/>
  <c r="AY260" i="6"/>
  <c r="AY268" i="6"/>
  <c r="AY280" i="6"/>
  <c r="AY265" i="6"/>
  <c r="AY261" i="6"/>
  <c r="AY281" i="6"/>
  <c r="AY290" i="6"/>
  <c r="AY275" i="6"/>
  <c r="AY282" i="6"/>
  <c r="AY274" i="6"/>
  <c r="AY271" i="6"/>
  <c r="AY279" i="6"/>
  <c r="AY267" i="6"/>
  <c r="AY269" i="6"/>
  <c r="AY266" i="6"/>
  <c r="AY277" i="6"/>
  <c r="AY278" i="6"/>
  <c r="AY263" i="6"/>
  <c r="AY276" i="6"/>
  <c r="AY286" i="6"/>
  <c r="AY272" i="6"/>
  <c r="AT268" i="6"/>
  <c r="AY291" i="6"/>
  <c r="AY304" i="6"/>
  <c r="AY305" i="6"/>
  <c r="AY307" i="6"/>
  <c r="AY295" i="6"/>
  <c r="AY303" i="6"/>
  <c r="AY313" i="6"/>
  <c r="AY294" i="6"/>
  <c r="AY308" i="6"/>
  <c r="AY299" i="6"/>
  <c r="AY309" i="6"/>
  <c r="AY289" i="6"/>
  <c r="AY296" i="6"/>
  <c r="J18" i="6"/>
  <c r="P40" i="6"/>
  <c r="AT84" i="6" s="1"/>
  <c r="J15" i="6"/>
  <c r="J16" i="6"/>
  <c r="AY302" i="6"/>
  <c r="AY298" i="6"/>
  <c r="AY288" i="6"/>
  <c r="AY314" i="6"/>
  <c r="AY300" i="6"/>
  <c r="AY315" i="6"/>
  <c r="AY311" i="6"/>
  <c r="AY297" i="6"/>
  <c r="AY310" i="6"/>
  <c r="AY301" i="6"/>
  <c r="AY312" i="6"/>
  <c r="AY292" i="6"/>
  <c r="AY293" i="6"/>
  <c r="AY306" i="6"/>
  <c r="J19" i="6"/>
  <c r="J17" i="6"/>
  <c r="J21" i="6"/>
  <c r="AT125" i="6"/>
  <c r="O40" i="6"/>
  <c r="AT113" i="6"/>
  <c r="AT107" i="6"/>
  <c r="AT128" i="6"/>
  <c r="AT251" i="6"/>
  <c r="E8" i="15"/>
  <c r="AY66" i="6"/>
  <c r="AY82" i="6"/>
  <c r="AY68" i="6"/>
  <c r="AY84" i="6"/>
  <c r="Z55" i="6"/>
  <c r="AY372" i="6" s="1"/>
  <c r="AT133" i="6"/>
  <c r="AT114" i="6"/>
  <c r="J222" i="6"/>
  <c r="AT286" i="6"/>
  <c r="AT279" i="6"/>
  <c r="AT208" i="6"/>
  <c r="AT237" i="6"/>
  <c r="AT216" i="6"/>
  <c r="AY69" i="6"/>
  <c r="AY80" i="6"/>
  <c r="AY71" i="6"/>
  <c r="AT111" i="6"/>
  <c r="AT239" i="6"/>
  <c r="AT228" i="6"/>
  <c r="AT211" i="6"/>
  <c r="AT119" i="6"/>
  <c r="AT116" i="6"/>
  <c r="J233" i="6"/>
  <c r="AT249" i="6"/>
  <c r="AT259" i="6"/>
  <c r="AT263" i="6"/>
  <c r="AT121" i="6"/>
  <c r="AT130" i="6"/>
  <c r="AT123" i="6"/>
  <c r="AT124" i="6"/>
  <c r="AT112" i="6"/>
  <c r="AT129" i="6"/>
  <c r="AT115" i="6"/>
  <c r="AT106" i="6"/>
  <c r="AT131" i="6"/>
  <c r="AT127" i="6"/>
  <c r="AT122" i="6"/>
  <c r="AT117" i="6"/>
  <c r="AT108" i="6"/>
  <c r="AT126" i="6"/>
  <c r="AT110" i="6"/>
  <c r="N55" i="6"/>
  <c r="AY28" i="6" s="1"/>
  <c r="Q55" i="6"/>
  <c r="AY121" i="6" s="1"/>
  <c r="J356" i="6"/>
  <c r="J355" i="6"/>
  <c r="J354" i="6"/>
  <c r="J357" i="6"/>
  <c r="J347" i="6"/>
  <c r="J351" i="6"/>
  <c r="J344" i="6"/>
  <c r="J345" i="6"/>
  <c r="J346" i="6"/>
  <c r="AT118" i="6"/>
  <c r="AT120" i="6"/>
  <c r="AT132" i="6"/>
  <c r="AT109" i="6"/>
  <c r="AT207" i="6"/>
  <c r="AT194" i="6"/>
  <c r="AT192" i="6"/>
  <c r="AT245" i="6"/>
  <c r="AT236" i="6"/>
  <c r="AT195" i="6"/>
  <c r="AT190" i="6"/>
  <c r="AT229" i="6"/>
  <c r="AA40" i="6"/>
  <c r="AT367" i="6" s="1"/>
  <c r="J353" i="6"/>
  <c r="J348" i="6"/>
  <c r="J350" i="6"/>
  <c r="J349" i="6"/>
  <c r="J229" i="6"/>
  <c r="AT258" i="6"/>
  <c r="AT264" i="6"/>
  <c r="AT285" i="6"/>
  <c r="AT300" i="6"/>
  <c r="AM25" i="6"/>
  <c r="J368" i="6" s="1"/>
  <c r="AY342" i="6"/>
  <c r="AY338" i="6"/>
  <c r="AY321" i="6"/>
  <c r="AY337" i="6"/>
  <c r="AY319" i="6"/>
  <c r="AY78" i="6"/>
  <c r="AY64" i="6"/>
  <c r="AY91" i="6"/>
  <c r="AY67" i="6"/>
  <c r="AT18" i="6"/>
  <c r="AT20" i="6"/>
  <c r="AT17" i="6"/>
  <c r="AY72" i="6"/>
  <c r="AY74" i="6"/>
  <c r="AY89" i="6"/>
  <c r="AT21" i="6"/>
  <c r="J295" i="6"/>
  <c r="J300" i="6"/>
  <c r="J280" i="6"/>
  <c r="J293" i="6"/>
  <c r="J288" i="6"/>
  <c r="J284" i="6"/>
  <c r="J296" i="6"/>
  <c r="J291" i="6"/>
  <c r="J285" i="6"/>
  <c r="J286" i="6"/>
  <c r="J282" i="6"/>
  <c r="J320" i="6"/>
  <c r="J314" i="6"/>
  <c r="J313" i="6"/>
  <c r="J322" i="6"/>
  <c r="J311" i="6"/>
  <c r="J309" i="6"/>
  <c r="J315" i="6"/>
  <c r="J319" i="6"/>
  <c r="J324" i="6"/>
  <c r="J321" i="6"/>
  <c r="J307" i="6"/>
  <c r="AT337" i="6"/>
  <c r="AT338" i="6"/>
  <c r="AT341" i="6"/>
  <c r="AT346" i="6"/>
  <c r="AT335" i="6"/>
  <c r="AT310" i="6"/>
  <c r="AT350" i="6"/>
  <c r="AT343" i="6"/>
  <c r="AT336" i="6"/>
  <c r="AT345" i="6"/>
  <c r="AT357" i="6"/>
  <c r="AT348" i="6"/>
  <c r="AT313" i="6"/>
  <c r="AT319" i="6"/>
  <c r="AT353" i="6"/>
  <c r="AT320" i="6"/>
  <c r="AT330" i="6"/>
  <c r="AT328" i="6"/>
  <c r="AT334" i="6"/>
  <c r="AT347" i="6"/>
  <c r="AT327" i="6"/>
  <c r="AT308" i="6"/>
  <c r="S40" i="6"/>
  <c r="AT141" i="6" s="1"/>
  <c r="AT212" i="6"/>
  <c r="AY87" i="6"/>
  <c r="AY65" i="6"/>
  <c r="AY90" i="6"/>
  <c r="AY86" i="6"/>
  <c r="AY85" i="6"/>
  <c r="AY70" i="6"/>
  <c r="AY75" i="6"/>
  <c r="AY323" i="6"/>
  <c r="AY328" i="6"/>
  <c r="AY325" i="6"/>
  <c r="AY330" i="6"/>
  <c r="AY332" i="6"/>
  <c r="AY327" i="6"/>
  <c r="AY317" i="6"/>
  <c r="AY331" i="6"/>
  <c r="AY316" i="6"/>
  <c r="AT235" i="6"/>
  <c r="AT224" i="6"/>
  <c r="AT226" i="6"/>
  <c r="AT199" i="6"/>
  <c r="AT215" i="6"/>
  <c r="AT202" i="6"/>
  <c r="AT242" i="6"/>
  <c r="AT220" i="6"/>
  <c r="AT234" i="6"/>
  <c r="AT204" i="6"/>
  <c r="AT206" i="6"/>
  <c r="AT198" i="6"/>
  <c r="AT19" i="6"/>
  <c r="J292" i="6"/>
  <c r="J277" i="6"/>
  <c r="J289" i="6"/>
  <c r="J294" i="6"/>
  <c r="J227" i="6"/>
  <c r="J220" i="6"/>
  <c r="J235" i="6"/>
  <c r="J230" i="6"/>
  <c r="J219" i="6"/>
  <c r="J238" i="6"/>
  <c r="J243" i="6"/>
  <c r="J244" i="6"/>
  <c r="J241" i="6"/>
  <c r="J226" i="6"/>
  <c r="J242" i="6"/>
  <c r="J326" i="6"/>
  <c r="J302" i="6"/>
  <c r="J317" i="6"/>
  <c r="J327" i="6"/>
  <c r="AT298" i="6"/>
  <c r="AT282" i="6"/>
  <c r="AT294" i="6"/>
  <c r="AT331" i="6"/>
  <c r="AT356" i="6"/>
  <c r="AT352" i="6"/>
  <c r="AT316" i="6"/>
  <c r="AT321" i="6"/>
  <c r="AT349" i="6"/>
  <c r="AT305" i="6"/>
  <c r="AT218" i="6"/>
  <c r="AT241" i="6"/>
  <c r="AT238" i="6"/>
  <c r="AT200" i="6"/>
  <c r="AT214" i="6"/>
  <c r="AT196" i="6"/>
  <c r="AT243" i="6"/>
  <c r="AT233" i="6"/>
  <c r="AT225" i="6"/>
  <c r="AT230" i="6"/>
  <c r="AT209" i="6"/>
  <c r="AT201" i="6"/>
  <c r="AT193" i="6"/>
  <c r="AT197" i="6"/>
  <c r="AT232" i="6"/>
  <c r="AT240" i="6"/>
  <c r="AT203" i="6"/>
  <c r="AT231" i="6"/>
  <c r="AT223" i="6"/>
  <c r="AT213" i="6"/>
  <c r="AT210" i="6"/>
  <c r="AT219" i="6"/>
  <c r="AT244" i="6"/>
  <c r="AT205" i="6"/>
  <c r="AT217" i="6"/>
  <c r="AT221" i="6"/>
  <c r="AT222" i="6"/>
  <c r="AT191" i="6"/>
  <c r="AT275" i="6"/>
  <c r="AT255" i="6"/>
  <c r="AT296" i="6"/>
  <c r="AT253" i="6"/>
  <c r="AT252" i="6"/>
  <c r="AT272" i="6"/>
  <c r="AT301" i="6"/>
  <c r="AT280" i="6"/>
  <c r="AT297" i="6"/>
  <c r="AT270" i="6"/>
  <c r="AT257" i="6"/>
  <c r="AT248" i="6"/>
  <c r="AT260" i="6"/>
  <c r="AT292" i="6"/>
  <c r="AT287" i="6"/>
  <c r="AT227" i="6"/>
  <c r="U55" i="6"/>
  <c r="AY204" i="6" s="1"/>
  <c r="J192" i="6"/>
  <c r="J196" i="6"/>
  <c r="J210" i="6"/>
  <c r="J200" i="6"/>
  <c r="J217" i="6"/>
  <c r="J190" i="6"/>
  <c r="J215" i="6"/>
  <c r="J206" i="6"/>
  <c r="J193" i="6"/>
  <c r="J203" i="6"/>
  <c r="J197" i="6"/>
  <c r="J216" i="6"/>
  <c r="J208" i="6"/>
  <c r="J201" i="6"/>
  <c r="J249" i="6"/>
  <c r="J250" i="6"/>
  <c r="J248" i="6"/>
  <c r="J265" i="6"/>
  <c r="J253" i="6"/>
  <c r="J262" i="6"/>
  <c r="J251" i="6"/>
  <c r="J257" i="6"/>
  <c r="J259" i="6"/>
  <c r="J266" i="6"/>
  <c r="J270" i="6"/>
  <c r="J263" i="6"/>
  <c r="J272" i="6"/>
  <c r="J264" i="6"/>
  <c r="J76" i="6"/>
  <c r="J75" i="6"/>
  <c r="J60" i="6"/>
  <c r="J54" i="6"/>
  <c r="J62" i="6"/>
  <c r="J53" i="6"/>
  <c r="J52" i="6"/>
  <c r="J71" i="6"/>
  <c r="J59" i="6"/>
  <c r="J55" i="6"/>
  <c r="J69" i="6"/>
  <c r="J58" i="6"/>
  <c r="J57" i="6"/>
  <c r="J73" i="6"/>
  <c r="AY324" i="6"/>
  <c r="AY318" i="6"/>
  <c r="AY340" i="6"/>
  <c r="AY336" i="6"/>
  <c r="AY339" i="6"/>
  <c r="AY334" i="6"/>
  <c r="AY320" i="6"/>
  <c r="AY329" i="6"/>
  <c r="AY326" i="6"/>
  <c r="AY322" i="6"/>
  <c r="AY343" i="6"/>
  <c r="AY333" i="6"/>
  <c r="AY341" i="6"/>
  <c r="AY335" i="6"/>
  <c r="AY83" i="6"/>
  <c r="AY77" i="6"/>
  <c r="AY81" i="6"/>
  <c r="AY73" i="6"/>
  <c r="AY76" i="6"/>
  <c r="AY88" i="6"/>
  <c r="AY79" i="6"/>
  <c r="AY160" i="6"/>
  <c r="AY166" i="6"/>
  <c r="AY200" i="6"/>
  <c r="AY193" i="6"/>
  <c r="AY167" i="6"/>
  <c r="AY187" i="6"/>
  <c r="AY203" i="6"/>
  <c r="AY176" i="6"/>
  <c r="AY175" i="6"/>
  <c r="AY152" i="6"/>
  <c r="AY151" i="6"/>
  <c r="AY192" i="6"/>
  <c r="AY202" i="6"/>
  <c r="AY168" i="6"/>
  <c r="AY179" i="6"/>
  <c r="AY174" i="6"/>
  <c r="AY159" i="6"/>
  <c r="AY154" i="6"/>
  <c r="AY180" i="6"/>
  <c r="AY184" i="6"/>
  <c r="AY182" i="6"/>
  <c r="AY157" i="6"/>
  <c r="AY155" i="6"/>
  <c r="AY163" i="6"/>
  <c r="AY161" i="6"/>
  <c r="AY171" i="6"/>
  <c r="AY199" i="6"/>
  <c r="AY189" i="6"/>
  <c r="AY162" i="6"/>
  <c r="AY185" i="6"/>
  <c r="AY169" i="6"/>
  <c r="AY153" i="6"/>
  <c r="AY198" i="6"/>
  <c r="AY188" i="6"/>
  <c r="AY165" i="6"/>
  <c r="AY149" i="6"/>
  <c r="AY172" i="6"/>
  <c r="AY156" i="6"/>
  <c r="AY164" i="6"/>
  <c r="AY197" i="6"/>
  <c r="AY191" i="6"/>
  <c r="AY177" i="6"/>
  <c r="AY186" i="6"/>
  <c r="AY150" i="6"/>
  <c r="AY178" i="6"/>
  <c r="AY194" i="6"/>
  <c r="AY190" i="6"/>
  <c r="AY195" i="6"/>
  <c r="AY173" i="6"/>
  <c r="AY158" i="6"/>
  <c r="AY148" i="6"/>
  <c r="AY196" i="6"/>
  <c r="AY183" i="6"/>
  <c r="AY181" i="6"/>
  <c r="AY201" i="6"/>
  <c r="AY170" i="6"/>
  <c r="J214" i="6"/>
  <c r="J205" i="6"/>
  <c r="J209" i="6"/>
  <c r="J194" i="6"/>
  <c r="J198" i="6"/>
  <c r="J211" i="6"/>
  <c r="J207" i="6"/>
  <c r="J199" i="6"/>
  <c r="J204" i="6"/>
  <c r="J213" i="6"/>
  <c r="J195" i="6"/>
  <c r="J202" i="6"/>
  <c r="J191" i="6"/>
  <c r="AT16" i="6"/>
  <c r="AT15" i="6"/>
  <c r="J256" i="6"/>
  <c r="J246" i="6"/>
  <c r="J254" i="6"/>
  <c r="J271" i="6"/>
  <c r="J267" i="6"/>
  <c r="J261" i="6"/>
  <c r="J258" i="6"/>
  <c r="J255" i="6"/>
  <c r="J247" i="6"/>
  <c r="J252" i="6"/>
  <c r="J269" i="6"/>
  <c r="J260" i="6"/>
  <c r="J273" i="6"/>
  <c r="J283" i="6"/>
  <c r="J275" i="6"/>
  <c r="J290" i="6"/>
  <c r="J276" i="6"/>
  <c r="J297" i="6"/>
  <c r="J301" i="6"/>
  <c r="J278" i="6"/>
  <c r="J281" i="6"/>
  <c r="J299" i="6"/>
  <c r="J298" i="6"/>
  <c r="J279" i="6"/>
  <c r="J287" i="6"/>
  <c r="J274" i="6"/>
  <c r="J63" i="6"/>
  <c r="J65" i="6"/>
  <c r="J51" i="6"/>
  <c r="J64" i="6"/>
  <c r="J74" i="6"/>
  <c r="J72" i="6"/>
  <c r="J70" i="6"/>
  <c r="J67" i="6"/>
  <c r="J77" i="6"/>
  <c r="J50" i="6"/>
  <c r="J68" i="6"/>
  <c r="J56" i="6"/>
  <c r="J66" i="6"/>
  <c r="J223" i="6"/>
  <c r="J218" i="6"/>
  <c r="J236" i="6"/>
  <c r="J240" i="6"/>
  <c r="J234" i="6"/>
  <c r="J221" i="6"/>
  <c r="J237" i="6"/>
  <c r="J228" i="6"/>
  <c r="J245" i="6"/>
  <c r="J239" i="6"/>
  <c r="J232" i="6"/>
  <c r="J231" i="6"/>
  <c r="J225" i="6"/>
  <c r="J305" i="6"/>
  <c r="J323" i="6"/>
  <c r="J308" i="6"/>
  <c r="J328" i="6"/>
  <c r="J303" i="6"/>
  <c r="J304" i="6"/>
  <c r="J316" i="6"/>
  <c r="J329" i="6"/>
  <c r="J312" i="6"/>
  <c r="J306" i="6"/>
  <c r="J310" i="6"/>
  <c r="J325" i="6"/>
  <c r="J318" i="6"/>
  <c r="AT299" i="6"/>
  <c r="AT267" i="6"/>
  <c r="AT266" i="6"/>
  <c r="AT278" i="6"/>
  <c r="AT277" i="6"/>
  <c r="AT274" i="6"/>
  <c r="AT271" i="6"/>
  <c r="AT262" i="6"/>
  <c r="AT261" i="6"/>
  <c r="AT246" i="6"/>
  <c r="AT289" i="6"/>
  <c r="AT288" i="6"/>
  <c r="AT283" i="6"/>
  <c r="AT276" i="6"/>
  <c r="AT290" i="6"/>
  <c r="AT273" i="6"/>
  <c r="AT254" i="6"/>
  <c r="AT269" i="6"/>
  <c r="AT295" i="6"/>
  <c r="AT281" i="6"/>
  <c r="AT256" i="6"/>
  <c r="AT265" i="6"/>
  <c r="AT247" i="6"/>
  <c r="AT250" i="6"/>
  <c r="AT284" i="6"/>
  <c r="AT293" i="6"/>
  <c r="AT291" i="6"/>
  <c r="AT344" i="6"/>
  <c r="AT315" i="6"/>
  <c r="AT351" i="6"/>
  <c r="AT322" i="6"/>
  <c r="AT340" i="6"/>
  <c r="AT306" i="6"/>
  <c r="AT333" i="6"/>
  <c r="AT314" i="6"/>
  <c r="AT303" i="6"/>
  <c r="AT354" i="6"/>
  <c r="AT317" i="6"/>
  <c r="AT304" i="6"/>
  <c r="AT332" i="6"/>
  <c r="AT325" i="6"/>
  <c r="AT312" i="6"/>
  <c r="AT323" i="6"/>
  <c r="AT324" i="6"/>
  <c r="AT326" i="6"/>
  <c r="AT318" i="6"/>
  <c r="AT342" i="6"/>
  <c r="AT355" i="6"/>
  <c r="AT309" i="6"/>
  <c r="AT311" i="6"/>
  <c r="AT302" i="6"/>
  <c r="AT329" i="6"/>
  <c r="AT307" i="6"/>
  <c r="AT339" i="6"/>
  <c r="BH297" i="6"/>
  <c r="BH300" i="6"/>
  <c r="BH127" i="6"/>
  <c r="BH312" i="6"/>
  <c r="BH164" i="6"/>
  <c r="BH269" i="6"/>
  <c r="BH109" i="6"/>
  <c r="BH187" i="6"/>
  <c r="BH165" i="6"/>
  <c r="BH351" i="6"/>
  <c r="BH324" i="6"/>
  <c r="BH214" i="6"/>
  <c r="BH207" i="6"/>
  <c r="BH193" i="6"/>
  <c r="BH115" i="6"/>
  <c r="BH355" i="6"/>
  <c r="BH149" i="6"/>
  <c r="BH81" i="6"/>
  <c r="BH225" i="6"/>
  <c r="BH38" i="6"/>
  <c r="BH72" i="6"/>
  <c r="BH97" i="6"/>
  <c r="BH70" i="6"/>
  <c r="BH304" i="6"/>
  <c r="BH347" i="6"/>
  <c r="BH156" i="6"/>
  <c r="BH84" i="6"/>
  <c r="BH342" i="6"/>
  <c r="BH67" i="6"/>
  <c r="BH61" i="6"/>
  <c r="BH275" i="6"/>
  <c r="BH238" i="6"/>
  <c r="BH378" i="6"/>
  <c r="BH303" i="6"/>
  <c r="BH198" i="6"/>
  <c r="BH294" i="6"/>
  <c r="BH264" i="6"/>
  <c r="BH100" i="6"/>
  <c r="BH172" i="6"/>
  <c r="BH330" i="6"/>
  <c r="BH270" i="6"/>
  <c r="BH63" i="6"/>
  <c r="BH17" i="6"/>
  <c r="BH315" i="6"/>
  <c r="BH140" i="6"/>
  <c r="BH306" i="6"/>
  <c r="BH68" i="6"/>
  <c r="BH243" i="6"/>
  <c r="BH123" i="6"/>
  <c r="BH341" i="6"/>
  <c r="BH128" i="6"/>
  <c r="BH230" i="6"/>
  <c r="BH184" i="6"/>
  <c r="BH235" i="6"/>
  <c r="BH317" i="6"/>
  <c r="BH236" i="6"/>
  <c r="BH284" i="6"/>
  <c r="BH173" i="6"/>
  <c r="BH234" i="6"/>
  <c r="BH43" i="6"/>
  <c r="BH258" i="6"/>
  <c r="BH26" i="6"/>
  <c r="BH157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311" i="6"/>
  <c r="BH204" i="6"/>
  <c r="BH22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196" i="6"/>
  <c r="BH144" i="6"/>
  <c r="BH139" i="6"/>
  <c r="BH205" i="6"/>
  <c r="BH215" i="6"/>
  <c r="BH244" i="6"/>
  <c r="BH340" i="6"/>
  <c r="BH77" i="6"/>
  <c r="BH85" i="6"/>
  <c r="BH287" i="6"/>
  <c r="BH220" i="6"/>
  <c r="BH129" i="6"/>
  <c r="BH293" i="6"/>
  <c r="BH371" i="6"/>
  <c r="BH19" i="6"/>
  <c r="BH92" i="6"/>
  <c r="BH29" i="6"/>
  <c r="BH190" i="6"/>
  <c r="BH53" i="6"/>
  <c r="BH134" i="6"/>
  <c r="BH162" i="6"/>
  <c r="BH369" i="6"/>
  <c r="BH57" i="6"/>
  <c r="BH254" i="6"/>
  <c r="BH126" i="6"/>
  <c r="BH40" i="6"/>
  <c r="BH366" i="6"/>
  <c r="BH349" i="6"/>
  <c r="BH350" i="6"/>
  <c r="BH62" i="6"/>
  <c r="BH79" i="6"/>
  <c r="BH131" i="6"/>
  <c r="BH169" i="6"/>
  <c r="BH247" i="6"/>
  <c r="BH282" i="6"/>
  <c r="BH280" i="6"/>
  <c r="BH32" i="6"/>
  <c r="BH180" i="6"/>
  <c r="BH197" i="6"/>
  <c r="BH142" i="6"/>
  <c r="BH229" i="6"/>
  <c r="BH44" i="6"/>
  <c r="BH183" i="6"/>
  <c r="BH358" i="6"/>
  <c r="BH367" i="6"/>
  <c r="BH52" i="6"/>
  <c r="BH147" i="6"/>
  <c r="BH291" i="6"/>
  <c r="BH66" i="6"/>
  <c r="BH65" i="6"/>
  <c r="BH237" i="6"/>
  <c r="BH307" i="6"/>
  <c r="BH261" i="6"/>
  <c r="BH255" i="6"/>
  <c r="BH334" i="6"/>
  <c r="BH376" i="6"/>
  <c r="BH58" i="6"/>
  <c r="BH148" i="6"/>
  <c r="BH329" i="6"/>
  <c r="BH380" i="6"/>
  <c r="BH176" i="6"/>
  <c r="BH218" i="6"/>
  <c r="BH279" i="6"/>
  <c r="BH308" i="6"/>
  <c r="BH86" i="6"/>
  <c r="BH321" i="6"/>
  <c r="BH359" i="6"/>
  <c r="BH322" i="6"/>
  <c r="BH45" i="6"/>
  <c r="BH54" i="6"/>
  <c r="BH362" i="6"/>
  <c r="BH56" i="6"/>
  <c r="BH124" i="6"/>
  <c r="BH80" i="6"/>
  <c r="BH335" i="6"/>
  <c r="BH360" i="6"/>
  <c r="BH113" i="6"/>
  <c r="BH210" i="6"/>
  <c r="BH259" i="6"/>
  <c r="BH59" i="6"/>
  <c r="BH125" i="6"/>
  <c r="BH41" i="6"/>
  <c r="BH363" i="6"/>
  <c r="BH91" i="6"/>
  <c r="BH137" i="6"/>
  <c r="BH274" i="6"/>
  <c r="AK15" i="1"/>
  <c r="F8" i="1"/>
  <c r="AK380" i="1"/>
  <c r="P12" i="1"/>
  <c r="AK16" i="1"/>
  <c r="L11" i="17"/>
  <c r="AJ380" i="15"/>
  <c r="F7" i="15"/>
  <c r="H13" i="7"/>
  <c r="L15" i="17"/>
  <c r="BH46" i="6"/>
  <c r="BH135" i="6"/>
  <c r="BH209" i="6"/>
  <c r="BH50" i="6"/>
  <c r="BH87" i="6"/>
  <c r="BH339" i="6"/>
  <c r="BH118" i="6"/>
  <c r="BH356" i="6"/>
  <c r="BH175" i="6"/>
  <c r="BH71" i="6"/>
  <c r="BH239" i="6"/>
  <c r="BH344" i="6"/>
  <c r="BH364" i="6"/>
  <c r="A17" i="15"/>
  <c r="K16" i="15"/>
  <c r="AB16" i="15"/>
  <c r="X16" i="15"/>
  <c r="L16" i="15"/>
  <c r="AJ16" i="15"/>
  <c r="P11" i="15"/>
  <c r="H15" i="7"/>
  <c r="P76" i="27"/>
  <c r="G39" i="27" s="1"/>
  <c r="AE75" i="27"/>
  <c r="N15" i="7"/>
  <c r="P11" i="16"/>
  <c r="A17" i="16"/>
  <c r="X16" i="16"/>
  <c r="L16" i="16"/>
  <c r="AK16" i="16"/>
  <c r="AB16" i="16"/>
  <c r="K16" i="16"/>
  <c r="O11" i="7"/>
  <c r="Q11" i="16" s="1"/>
  <c r="L12" i="18"/>
  <c r="Y14" i="20"/>
  <c r="AE3" i="7"/>
  <c r="A15" i="20"/>
  <c r="V14" i="20"/>
  <c r="F6" i="6"/>
  <c r="L1" i="20"/>
  <c r="J1" i="22"/>
  <c r="A16" i="19"/>
  <c r="X1" i="20"/>
  <c r="F14" i="20"/>
  <c r="X15" i="18"/>
  <c r="AB15" i="18"/>
  <c r="K15" i="18"/>
  <c r="A16" i="18"/>
  <c r="K18" i="1"/>
  <c r="L18" i="1"/>
  <c r="A19" i="1"/>
  <c r="X18" i="1"/>
  <c r="AC18" i="1"/>
  <c r="AK18" i="1"/>
  <c r="AJ18" i="1"/>
  <c r="AB18" i="1"/>
  <c r="O18" i="1"/>
  <c r="AB16" i="17"/>
  <c r="L16" i="17"/>
  <c r="K16" i="17"/>
  <c r="X16" i="17"/>
  <c r="A17" i="17"/>
  <c r="P11" i="17"/>
  <c r="AK16" i="17" s="1"/>
  <c r="T15" i="7"/>
  <c r="E7" i="15"/>
  <c r="BW10" i="7" l="1"/>
  <c r="BZ9" i="7"/>
  <c r="AT360" i="6"/>
  <c r="AZ264" i="6"/>
  <c r="AZ268" i="6"/>
  <c r="AZ307" i="6"/>
  <c r="AZ304" i="6"/>
  <c r="AZ283" i="6"/>
  <c r="AZ289" i="6"/>
  <c r="AZ277" i="6"/>
  <c r="AZ299" i="6"/>
  <c r="AZ287" i="6"/>
  <c r="AZ275" i="6"/>
  <c r="AZ263" i="6"/>
  <c r="AT89" i="6"/>
  <c r="AT96" i="6"/>
  <c r="AZ273" i="6"/>
  <c r="AZ276" i="6"/>
  <c r="AZ278" i="6"/>
  <c r="AZ267" i="6"/>
  <c r="AZ270" i="6"/>
  <c r="AZ280" i="6"/>
  <c r="AZ272" i="6"/>
  <c r="AZ313" i="6"/>
  <c r="AT104" i="6"/>
  <c r="AT80" i="6"/>
  <c r="AZ80" i="6" s="1"/>
  <c r="K12" i="19"/>
  <c r="K36" i="19" s="1"/>
  <c r="AZ284" i="6"/>
  <c r="AZ285" i="6"/>
  <c r="AZ262" i="6"/>
  <c r="AZ279" i="6"/>
  <c r="AT82" i="6"/>
  <c r="AT87" i="6"/>
  <c r="AZ87" i="6" s="1"/>
  <c r="AT103" i="6"/>
  <c r="AT105" i="6"/>
  <c r="AT94" i="6"/>
  <c r="AT100" i="6"/>
  <c r="AT101" i="6"/>
  <c r="AT86" i="6"/>
  <c r="AZ86" i="6" s="1"/>
  <c r="AT92" i="6"/>
  <c r="AT99" i="6"/>
  <c r="AT98" i="6"/>
  <c r="AT102" i="6"/>
  <c r="AZ265" i="6"/>
  <c r="AZ281" i="6"/>
  <c r="AZ290" i="6"/>
  <c r="AZ261" i="6"/>
  <c r="AZ260" i="6"/>
  <c r="AE380" i="6" s="1"/>
  <c r="AE381" i="6" s="1"/>
  <c r="AZ269" i="6"/>
  <c r="AZ274" i="6"/>
  <c r="AF380" i="6" s="1"/>
  <c r="AF381" i="6" s="1"/>
  <c r="AZ286" i="6"/>
  <c r="AZ271" i="6"/>
  <c r="AZ266" i="6"/>
  <c r="AZ282" i="6"/>
  <c r="AT78" i="6"/>
  <c r="AZ78" i="6" s="1"/>
  <c r="R380" i="6" s="1"/>
  <c r="R381" i="6" s="1"/>
  <c r="AT83" i="6"/>
  <c r="AZ83" i="6" s="1"/>
  <c r="AT97" i="6"/>
  <c r="AT85" i="6"/>
  <c r="AZ85" i="6" s="1"/>
  <c r="AT81" i="6"/>
  <c r="AZ81" i="6" s="1"/>
  <c r="AT95" i="6"/>
  <c r="AT93" i="6"/>
  <c r="AT79" i="6"/>
  <c r="AZ79" i="6" s="1"/>
  <c r="AT88" i="6"/>
  <c r="AZ88" i="6" s="1"/>
  <c r="AT90" i="6"/>
  <c r="AZ90" i="6" s="1"/>
  <c r="AT91" i="6"/>
  <c r="AZ91" i="6" s="1"/>
  <c r="AT52" i="6"/>
  <c r="AZ291" i="6"/>
  <c r="AZ303" i="6"/>
  <c r="AZ309" i="6"/>
  <c r="AZ295" i="6"/>
  <c r="AZ296" i="6"/>
  <c r="AZ305" i="6"/>
  <c r="AZ308" i="6"/>
  <c r="AZ294" i="6"/>
  <c r="AT359" i="6"/>
  <c r="AT366" i="6"/>
  <c r="AY378" i="6"/>
  <c r="AY358" i="6"/>
  <c r="AY362" i="6"/>
  <c r="AY374" i="6"/>
  <c r="AY366" i="6"/>
  <c r="AY345" i="6"/>
  <c r="AZ345" i="6" s="1"/>
  <c r="AY354" i="6"/>
  <c r="AZ354" i="6" s="1"/>
  <c r="AY57" i="6"/>
  <c r="AZ314" i="6"/>
  <c r="AZ315" i="6"/>
  <c r="AZ310" i="6"/>
  <c r="AY371" i="6"/>
  <c r="AY356" i="6"/>
  <c r="AZ356" i="6" s="1"/>
  <c r="AY359" i="6"/>
  <c r="AY364" i="6"/>
  <c r="AY33" i="6"/>
  <c r="AT66" i="6"/>
  <c r="AZ66" i="6" s="1"/>
  <c r="AT47" i="6"/>
  <c r="AZ292" i="6"/>
  <c r="AT152" i="6"/>
  <c r="AZ152" i="6" s="1"/>
  <c r="AT171" i="6"/>
  <c r="AZ171" i="6" s="1"/>
  <c r="AZ332" i="6"/>
  <c r="AY114" i="6"/>
  <c r="AZ114" i="6" s="1"/>
  <c r="AY108" i="6"/>
  <c r="AZ108" i="6" s="1"/>
  <c r="AY94" i="6"/>
  <c r="AZ298" i="6"/>
  <c r="AT70" i="6"/>
  <c r="AT75" i="6"/>
  <c r="AZ75" i="6" s="1"/>
  <c r="AT53" i="6"/>
  <c r="AT56" i="6"/>
  <c r="AY38" i="6"/>
  <c r="AY59" i="6"/>
  <c r="AT45" i="6"/>
  <c r="AT69" i="6"/>
  <c r="AZ69" i="6" s="1"/>
  <c r="AT41" i="6"/>
  <c r="AT32" i="6"/>
  <c r="AT24" i="6"/>
  <c r="AT49" i="6"/>
  <c r="AT35" i="6"/>
  <c r="AT48" i="6"/>
  <c r="AZ70" i="6"/>
  <c r="AT63" i="6"/>
  <c r="AT25" i="6"/>
  <c r="AT51" i="6"/>
  <c r="AT23" i="6"/>
  <c r="AT36" i="6"/>
  <c r="AT61" i="6"/>
  <c r="AT76" i="6"/>
  <c r="AZ76" i="6" s="1"/>
  <c r="AT55" i="6"/>
  <c r="AT33" i="6"/>
  <c r="AT58" i="6"/>
  <c r="AT37" i="6"/>
  <c r="AT22" i="6"/>
  <c r="AT44" i="6"/>
  <c r="AT38" i="6"/>
  <c r="AZ192" i="6"/>
  <c r="AT368" i="6"/>
  <c r="AT43" i="6"/>
  <c r="AT46" i="6"/>
  <c r="AT31" i="6"/>
  <c r="AT59" i="6"/>
  <c r="AT50" i="6"/>
  <c r="AT26" i="6"/>
  <c r="AT30" i="6"/>
  <c r="AT71" i="6"/>
  <c r="AZ71" i="6" s="1"/>
  <c r="AT42" i="6"/>
  <c r="AT68" i="6"/>
  <c r="AZ68" i="6" s="1"/>
  <c r="AT62" i="6"/>
  <c r="AT74" i="6"/>
  <c r="AZ74" i="6" s="1"/>
  <c r="AT64" i="6"/>
  <c r="AZ64" i="6" s="1"/>
  <c r="Q380" i="6" s="1"/>
  <c r="Q381" i="6" s="1"/>
  <c r="AT77" i="6"/>
  <c r="AZ77" i="6" s="1"/>
  <c r="AT27" i="6"/>
  <c r="AT34" i="6"/>
  <c r="AT65" i="6"/>
  <c r="AZ65" i="6" s="1"/>
  <c r="AT54" i="6"/>
  <c r="AT40" i="6"/>
  <c r="AT28" i="6"/>
  <c r="AZ28" i="6" s="1"/>
  <c r="AT67" i="6"/>
  <c r="AZ67" i="6" s="1"/>
  <c r="AZ84" i="6"/>
  <c r="AT57" i="6"/>
  <c r="AZ57" i="6" s="1"/>
  <c r="AT29" i="6"/>
  <c r="AT39" i="6"/>
  <c r="AT73" i="6"/>
  <c r="AZ73" i="6" s="1"/>
  <c r="AT60" i="6"/>
  <c r="AT72" i="6"/>
  <c r="AZ72" i="6" s="1"/>
  <c r="AZ302" i="6"/>
  <c r="AH380" i="6" s="1"/>
  <c r="AH381" i="6" s="1"/>
  <c r="AZ306" i="6"/>
  <c r="AY361" i="6"/>
  <c r="AY373" i="6"/>
  <c r="AY376" i="6"/>
  <c r="AY365" i="6"/>
  <c r="AY353" i="6"/>
  <c r="AZ353" i="6" s="1"/>
  <c r="AY349" i="6"/>
  <c r="AZ349" i="6" s="1"/>
  <c r="AY46" i="6"/>
  <c r="AY18" i="6"/>
  <c r="AZ18" i="6" s="1"/>
  <c r="AY53" i="6"/>
  <c r="AY40" i="6"/>
  <c r="AY41" i="6"/>
  <c r="AY23" i="6"/>
  <c r="AZ311" i="6"/>
  <c r="AZ288" i="6"/>
  <c r="AG380" i="6" s="1"/>
  <c r="AG381" i="6" s="1"/>
  <c r="AY377" i="6"/>
  <c r="AY380" i="6"/>
  <c r="AY352" i="6"/>
  <c r="AZ352" i="6" s="1"/>
  <c r="AY360" i="6"/>
  <c r="AZ360" i="6" s="1"/>
  <c r="AY355" i="6"/>
  <c r="AZ355" i="6" s="1"/>
  <c r="AY369" i="6"/>
  <c r="AY370" i="6"/>
  <c r="AY347" i="6"/>
  <c r="AZ347" i="6" s="1"/>
  <c r="AY344" i="6"/>
  <c r="AZ344" i="6" s="1"/>
  <c r="AK380" i="6" s="1"/>
  <c r="AK381" i="6" s="1"/>
  <c r="AY350" i="6"/>
  <c r="AZ350" i="6" s="1"/>
  <c r="AY375" i="6"/>
  <c r="AZ297" i="6"/>
  <c r="AZ301" i="6"/>
  <c r="AY379" i="6"/>
  <c r="AY348" i="6"/>
  <c r="AZ348" i="6" s="1"/>
  <c r="AY357" i="6"/>
  <c r="AZ357" i="6" s="1"/>
  <c r="AY363" i="6"/>
  <c r="AY368" i="6"/>
  <c r="AY351" i="6"/>
  <c r="AZ351" i="6" s="1"/>
  <c r="AY367" i="6"/>
  <c r="AZ367" i="6" s="1"/>
  <c r="AY346" i="6"/>
  <c r="AZ346" i="6" s="1"/>
  <c r="AY20" i="6"/>
  <c r="AZ20" i="6" s="1"/>
  <c r="AZ300" i="6"/>
  <c r="AY50" i="6"/>
  <c r="AY29" i="6"/>
  <c r="AY60" i="6"/>
  <c r="AY43" i="6"/>
  <c r="AY45" i="6"/>
  <c r="AY21" i="6"/>
  <c r="AZ21" i="6" s="1"/>
  <c r="AY37" i="6"/>
  <c r="AY62" i="6"/>
  <c r="AZ193" i="6"/>
  <c r="AT371" i="6"/>
  <c r="AT365" i="6"/>
  <c r="AT374" i="6"/>
  <c r="AT380" i="6"/>
  <c r="AT378" i="6"/>
  <c r="AZ312" i="6"/>
  <c r="AZ293" i="6"/>
  <c r="AT145" i="6"/>
  <c r="AZ190" i="6"/>
  <c r="Z380" i="6" s="1"/>
  <c r="Z381" i="6" s="1"/>
  <c r="AT153" i="6"/>
  <c r="AZ153" i="6" s="1"/>
  <c r="AT169" i="6"/>
  <c r="AZ169" i="6" s="1"/>
  <c r="AY137" i="6"/>
  <c r="AZ82" i="6"/>
  <c r="AZ317" i="6"/>
  <c r="AY106" i="6"/>
  <c r="AZ106" i="6" s="1"/>
  <c r="T380" i="6" s="1"/>
  <c r="T381" i="6" s="1"/>
  <c r="AY101" i="6"/>
  <c r="AZ337" i="6"/>
  <c r="AZ89" i="6"/>
  <c r="AY99" i="6"/>
  <c r="AY145" i="6"/>
  <c r="AY128" i="6"/>
  <c r="AZ128" i="6" s="1"/>
  <c r="O9" i="16"/>
  <c r="AJ17" i="16" s="1"/>
  <c r="AY118" i="6"/>
  <c r="AZ118" i="6" s="1"/>
  <c r="AY110" i="6"/>
  <c r="AZ110" i="6" s="1"/>
  <c r="AY104" i="6"/>
  <c r="AZ343" i="6"/>
  <c r="AZ320" i="6"/>
  <c r="AZ204" i="6"/>
  <c r="AA380" i="6" s="1"/>
  <c r="AA381" i="6" s="1"/>
  <c r="AT361" i="6"/>
  <c r="AT373" i="6"/>
  <c r="AT376" i="6"/>
  <c r="AT363" i="6"/>
  <c r="AT362" i="6"/>
  <c r="AY97" i="6"/>
  <c r="AZ328" i="6"/>
  <c r="AT375" i="6"/>
  <c r="AT377" i="6"/>
  <c r="AT370" i="6"/>
  <c r="AY111" i="6"/>
  <c r="AZ111" i="6" s="1"/>
  <c r="AY116" i="6"/>
  <c r="AZ116" i="6" s="1"/>
  <c r="AY103" i="6"/>
  <c r="AY130" i="6"/>
  <c r="AZ130" i="6" s="1"/>
  <c r="AY140" i="6"/>
  <c r="AY122" i="6"/>
  <c r="AZ122" i="6" s="1"/>
  <c r="AY146" i="6"/>
  <c r="J366" i="6"/>
  <c r="J367" i="6"/>
  <c r="J363" i="6"/>
  <c r="J375" i="6"/>
  <c r="AY136" i="6"/>
  <c r="AY135" i="6"/>
  <c r="AT138" i="6"/>
  <c r="AT148" i="6"/>
  <c r="AZ148" i="6" s="1"/>
  <c r="W380" i="6" s="1"/>
  <c r="W381" i="6" s="1"/>
  <c r="AY95" i="6"/>
  <c r="AY105" i="6"/>
  <c r="AY115" i="6"/>
  <c r="AZ115" i="6" s="1"/>
  <c r="AY96" i="6"/>
  <c r="AZ96" i="6" s="1"/>
  <c r="AZ196" i="6"/>
  <c r="AZ195" i="6"/>
  <c r="AZ194" i="6"/>
  <c r="AZ197" i="6"/>
  <c r="AY100" i="6"/>
  <c r="AY107" i="6"/>
  <c r="AZ107" i="6" s="1"/>
  <c r="AY92" i="6"/>
  <c r="AY93" i="6"/>
  <c r="AY109" i="6"/>
  <c r="AZ109" i="6" s="1"/>
  <c r="AY102" i="6"/>
  <c r="AY113" i="6"/>
  <c r="AZ113" i="6" s="1"/>
  <c r="AT175" i="6"/>
  <c r="AZ175" i="6" s="1"/>
  <c r="AT177" i="6"/>
  <c r="AZ177" i="6" s="1"/>
  <c r="AT146" i="6"/>
  <c r="AY98" i="6"/>
  <c r="AY119" i="6"/>
  <c r="AZ119" i="6" s="1"/>
  <c r="AY112" i="6"/>
  <c r="AZ112" i="6" s="1"/>
  <c r="AY117" i="6"/>
  <c r="AZ117" i="6" s="1"/>
  <c r="J370" i="6"/>
  <c r="J362" i="6"/>
  <c r="J359" i="6"/>
  <c r="AY134" i="6"/>
  <c r="AY120" i="6"/>
  <c r="AZ120" i="6" s="1"/>
  <c r="U380" i="6" s="1"/>
  <c r="U381" i="6" s="1"/>
  <c r="AY138" i="6"/>
  <c r="AY127" i="6"/>
  <c r="AZ127" i="6" s="1"/>
  <c r="AY143" i="6"/>
  <c r="AY124" i="6"/>
  <c r="AZ124" i="6" s="1"/>
  <c r="AY139" i="6"/>
  <c r="AY142" i="6"/>
  <c r="AY125" i="6"/>
  <c r="AZ125" i="6" s="1"/>
  <c r="AY24" i="6"/>
  <c r="AY26" i="6"/>
  <c r="AY16" i="6"/>
  <c r="AZ16" i="6" s="1"/>
  <c r="AY44" i="6"/>
  <c r="AY58" i="6"/>
  <c r="AY56" i="6"/>
  <c r="AY39" i="6"/>
  <c r="AY32" i="6"/>
  <c r="AY27" i="6"/>
  <c r="AY36" i="6"/>
  <c r="AY61" i="6"/>
  <c r="AY55" i="6"/>
  <c r="AT161" i="6"/>
  <c r="AZ161" i="6" s="1"/>
  <c r="AT135" i="6"/>
  <c r="AT147" i="6"/>
  <c r="AZ201" i="6"/>
  <c r="AZ191" i="6"/>
  <c r="AZ200" i="6"/>
  <c r="AZ335" i="6"/>
  <c r="AT151" i="6"/>
  <c r="AZ151" i="6" s="1"/>
  <c r="AZ331" i="6"/>
  <c r="AZ327" i="6"/>
  <c r="AT163" i="6"/>
  <c r="AZ163" i="6" s="1"/>
  <c r="AT187" i="6"/>
  <c r="AZ187" i="6" s="1"/>
  <c r="AT167" i="6"/>
  <c r="AZ167" i="6" s="1"/>
  <c r="AT134" i="6"/>
  <c r="AZ319" i="6"/>
  <c r="AZ321" i="6"/>
  <c r="J372" i="6"/>
  <c r="J377" i="6"/>
  <c r="J379" i="6"/>
  <c r="J380" i="6"/>
  <c r="J376" i="6"/>
  <c r="J373" i="6"/>
  <c r="J378" i="6"/>
  <c r="J374" i="6"/>
  <c r="J371" i="6"/>
  <c r="J358" i="6"/>
  <c r="J369" i="6"/>
  <c r="J360" i="6"/>
  <c r="J361" i="6"/>
  <c r="J365" i="6"/>
  <c r="J364" i="6"/>
  <c r="AT364" i="6"/>
  <c r="AT379" i="6"/>
  <c r="AT369" i="6"/>
  <c r="AT372" i="6"/>
  <c r="AZ372" i="6" s="1"/>
  <c r="AM380" i="6" s="1"/>
  <c r="AM381" i="6" s="1"/>
  <c r="AT358" i="6"/>
  <c r="AY35" i="6"/>
  <c r="AY22" i="6"/>
  <c r="AY54" i="6"/>
  <c r="AY31" i="6"/>
  <c r="AY42" i="6"/>
  <c r="AY126" i="6"/>
  <c r="AZ126" i="6" s="1"/>
  <c r="AY131" i="6"/>
  <c r="AZ131" i="6" s="1"/>
  <c r="AY133" i="6"/>
  <c r="AZ133" i="6" s="1"/>
  <c r="AY123" i="6"/>
  <c r="AZ123" i="6" s="1"/>
  <c r="AY141" i="6"/>
  <c r="AZ141" i="6" s="1"/>
  <c r="AY147" i="6"/>
  <c r="AY144" i="6"/>
  <c r="AY132" i="6"/>
  <c r="AZ132" i="6" s="1"/>
  <c r="AY129" i="6"/>
  <c r="AZ129" i="6" s="1"/>
  <c r="AY47" i="6"/>
  <c r="AY48" i="6"/>
  <c r="AY51" i="6"/>
  <c r="AY34" i="6"/>
  <c r="AY15" i="6"/>
  <c r="AZ15" i="6" s="1"/>
  <c r="AY19" i="6"/>
  <c r="AZ19" i="6" s="1"/>
  <c r="AY52" i="6"/>
  <c r="AY63" i="6"/>
  <c r="AY49" i="6"/>
  <c r="AY25" i="6"/>
  <c r="AY17" i="6"/>
  <c r="AZ17" i="6" s="1"/>
  <c r="AY30" i="6"/>
  <c r="AZ121" i="6"/>
  <c r="AY208" i="6"/>
  <c r="AZ208" i="6" s="1"/>
  <c r="AY218" i="6"/>
  <c r="AZ218" i="6" s="1"/>
  <c r="AB380" i="6" s="1"/>
  <c r="AB381" i="6" s="1"/>
  <c r="AY254" i="6"/>
  <c r="AZ254" i="6" s="1"/>
  <c r="AY232" i="6"/>
  <c r="AZ232" i="6" s="1"/>
  <c r="AC380" i="6" s="1"/>
  <c r="AC381" i="6" s="1"/>
  <c r="AY245" i="6"/>
  <c r="AZ245" i="6" s="1"/>
  <c r="AY220" i="6"/>
  <c r="AZ220" i="6" s="1"/>
  <c r="AY242" i="6"/>
  <c r="AZ242" i="6" s="1"/>
  <c r="AY212" i="6"/>
  <c r="AZ212" i="6" s="1"/>
  <c r="AY207" i="6"/>
  <c r="AZ207" i="6" s="1"/>
  <c r="AY241" i="6"/>
  <c r="AZ241" i="6" s="1"/>
  <c r="AY225" i="6"/>
  <c r="AZ225" i="6" s="1"/>
  <c r="AY235" i="6"/>
  <c r="AZ235" i="6" s="1"/>
  <c r="AY244" i="6"/>
  <c r="AZ244" i="6" s="1"/>
  <c r="AY214" i="6"/>
  <c r="AZ214" i="6" s="1"/>
  <c r="AT155" i="6"/>
  <c r="AZ155" i="6" s="1"/>
  <c r="AT149" i="6"/>
  <c r="AZ149" i="6" s="1"/>
  <c r="AT156" i="6"/>
  <c r="AZ156" i="6" s="1"/>
  <c r="AT185" i="6"/>
  <c r="AZ185" i="6" s="1"/>
  <c r="AT162" i="6"/>
  <c r="AZ162" i="6" s="1"/>
  <c r="X380" i="6" s="1"/>
  <c r="X381" i="6" s="1"/>
  <c r="AT183" i="6"/>
  <c r="AZ183" i="6" s="1"/>
  <c r="AT170" i="6"/>
  <c r="AZ170" i="6" s="1"/>
  <c r="AT173" i="6"/>
  <c r="AZ173" i="6" s="1"/>
  <c r="AT172" i="6"/>
  <c r="AZ172" i="6" s="1"/>
  <c r="AT184" i="6"/>
  <c r="AZ184" i="6" s="1"/>
  <c r="AT165" i="6"/>
  <c r="AZ165" i="6" s="1"/>
  <c r="AT182" i="6"/>
  <c r="AZ182" i="6" s="1"/>
  <c r="AT174" i="6"/>
  <c r="AZ174" i="6" s="1"/>
  <c r="AT186" i="6"/>
  <c r="AZ186" i="6" s="1"/>
  <c r="AT188" i="6"/>
  <c r="AZ188" i="6" s="1"/>
  <c r="AT164" i="6"/>
  <c r="AZ164" i="6" s="1"/>
  <c r="AT178" i="6"/>
  <c r="AZ178" i="6" s="1"/>
  <c r="AZ342" i="6"/>
  <c r="AZ323" i="6"/>
  <c r="AZ325" i="6"/>
  <c r="AT159" i="6"/>
  <c r="AZ159" i="6" s="1"/>
  <c r="AT150" i="6"/>
  <c r="AZ150" i="6" s="1"/>
  <c r="AT158" i="6"/>
  <c r="AZ158" i="6" s="1"/>
  <c r="AT139" i="6"/>
  <c r="AT143" i="6"/>
  <c r="AT157" i="6"/>
  <c r="AZ157" i="6" s="1"/>
  <c r="AZ198" i="6"/>
  <c r="AZ199" i="6"/>
  <c r="AZ202" i="6"/>
  <c r="AZ203" i="6"/>
  <c r="AZ341" i="6"/>
  <c r="AZ334" i="6"/>
  <c r="AZ336" i="6"/>
  <c r="AY216" i="6"/>
  <c r="AZ216" i="6" s="1"/>
  <c r="AY206" i="6"/>
  <c r="AZ206" i="6" s="1"/>
  <c r="AY250" i="6"/>
  <c r="AZ250" i="6" s="1"/>
  <c r="AY217" i="6"/>
  <c r="AZ217" i="6" s="1"/>
  <c r="AY240" i="6"/>
  <c r="AZ240" i="6" s="1"/>
  <c r="AY213" i="6"/>
  <c r="AZ213" i="6" s="1"/>
  <c r="AY209" i="6"/>
  <c r="AZ209" i="6" s="1"/>
  <c r="AY226" i="6"/>
  <c r="AZ226" i="6" s="1"/>
  <c r="AY251" i="6"/>
  <c r="AZ251" i="6" s="1"/>
  <c r="AY229" i="6"/>
  <c r="AZ229" i="6" s="1"/>
  <c r="AY231" i="6"/>
  <c r="AZ231" i="6" s="1"/>
  <c r="AY247" i="6"/>
  <c r="AZ247" i="6" s="1"/>
  <c r="AY249" i="6"/>
  <c r="AZ249" i="6" s="1"/>
  <c r="AY257" i="6"/>
  <c r="AZ257" i="6" s="1"/>
  <c r="AT160" i="6"/>
  <c r="AZ160" i="6" s="1"/>
  <c r="AT144" i="6"/>
  <c r="AT136" i="6"/>
  <c r="AZ316" i="6"/>
  <c r="AI380" i="6" s="1"/>
  <c r="AI381" i="6" s="1"/>
  <c r="AZ330" i="6"/>
  <c r="AJ380" i="6" s="1"/>
  <c r="AJ381" i="6" s="1"/>
  <c r="AT166" i="6"/>
  <c r="AZ166" i="6" s="1"/>
  <c r="AT179" i="6"/>
  <c r="AZ179" i="6" s="1"/>
  <c r="AT176" i="6"/>
  <c r="AZ176" i="6" s="1"/>
  <c r="Y380" i="6" s="1"/>
  <c r="Y381" i="6" s="1"/>
  <c r="AT180" i="6"/>
  <c r="AZ180" i="6" s="1"/>
  <c r="AT168" i="6"/>
  <c r="AZ168" i="6" s="1"/>
  <c r="AT189" i="6"/>
  <c r="AZ189" i="6" s="1"/>
  <c r="AT181" i="6"/>
  <c r="AZ181" i="6" s="1"/>
  <c r="AT154" i="6"/>
  <c r="AZ154" i="6" s="1"/>
  <c r="AT142" i="6"/>
  <c r="AT140" i="6"/>
  <c r="AT137" i="6"/>
  <c r="AZ338" i="6"/>
  <c r="AZ339" i="6"/>
  <c r="AZ340" i="6"/>
  <c r="AZ324" i="6"/>
  <c r="AZ333" i="6"/>
  <c r="AZ322" i="6"/>
  <c r="AZ326" i="6"/>
  <c r="AZ329" i="6"/>
  <c r="AZ318" i="6"/>
  <c r="AY248" i="6"/>
  <c r="AZ248" i="6" s="1"/>
  <c r="AY256" i="6"/>
  <c r="AZ256" i="6" s="1"/>
  <c r="AY237" i="6"/>
  <c r="AZ237" i="6" s="1"/>
  <c r="AY253" i="6"/>
  <c r="AZ253" i="6" s="1"/>
  <c r="AY223" i="6"/>
  <c r="AZ223" i="6" s="1"/>
  <c r="AY236" i="6"/>
  <c r="AZ236" i="6" s="1"/>
  <c r="AY259" i="6"/>
  <c r="AZ259" i="6" s="1"/>
  <c r="AY205" i="6"/>
  <c r="AZ205" i="6" s="1"/>
  <c r="AY252" i="6"/>
  <c r="AZ252" i="6" s="1"/>
  <c r="AY246" i="6"/>
  <c r="AZ246" i="6" s="1"/>
  <c r="AD380" i="6" s="1"/>
  <c r="AD381" i="6" s="1"/>
  <c r="AY243" i="6"/>
  <c r="AZ243" i="6" s="1"/>
  <c r="AY224" i="6"/>
  <c r="AZ224" i="6" s="1"/>
  <c r="AY238" i="6"/>
  <c r="AZ238" i="6" s="1"/>
  <c r="AY230" i="6"/>
  <c r="AZ230" i="6" s="1"/>
  <c r="AY228" i="6"/>
  <c r="AZ228" i="6" s="1"/>
  <c r="AY258" i="6"/>
  <c r="AZ258" i="6" s="1"/>
  <c r="AY233" i="6"/>
  <c r="AZ233" i="6" s="1"/>
  <c r="AY227" i="6"/>
  <c r="AZ227" i="6" s="1"/>
  <c r="AY210" i="6"/>
  <c r="AZ210" i="6" s="1"/>
  <c r="AY211" i="6"/>
  <c r="AZ211" i="6" s="1"/>
  <c r="AY219" i="6"/>
  <c r="AZ219" i="6" s="1"/>
  <c r="AY239" i="6"/>
  <c r="AZ239" i="6" s="1"/>
  <c r="AY215" i="6"/>
  <c r="AZ215" i="6" s="1"/>
  <c r="AY234" i="6"/>
  <c r="AZ234" i="6" s="1"/>
  <c r="AY221" i="6"/>
  <c r="AZ221" i="6" s="1"/>
  <c r="AY222" i="6"/>
  <c r="AZ222" i="6" s="1"/>
  <c r="AY255" i="6"/>
  <c r="AZ255" i="6" s="1"/>
  <c r="F8" i="15"/>
  <c r="P12" i="15"/>
  <c r="AK380" i="15"/>
  <c r="AK15" i="15"/>
  <c r="AK16" i="15"/>
  <c r="L11" i="18"/>
  <c r="L11" i="19"/>
  <c r="P10" i="1"/>
  <c r="U10" i="1"/>
  <c r="U19" i="1" s="1"/>
  <c r="T19" i="1" s="1"/>
  <c r="AE11" i="1"/>
  <c r="Q10" i="1"/>
  <c r="AI11" i="1"/>
  <c r="L15" i="18"/>
  <c r="AJ17" i="15"/>
  <c r="A18" i="15"/>
  <c r="K17" i="15"/>
  <c r="L17" i="15"/>
  <c r="X17" i="15"/>
  <c r="AB17" i="15"/>
  <c r="AK17" i="15"/>
  <c r="O11" i="15"/>
  <c r="J13" i="7" s="1"/>
  <c r="AC9" i="15"/>
  <c r="AC12" i="15"/>
  <c r="O12" i="15"/>
  <c r="K13" i="7" s="1"/>
  <c r="AE76" i="27"/>
  <c r="P77" i="27"/>
  <c r="G40" i="27" s="1"/>
  <c r="X17" i="16"/>
  <c r="A18" i="16"/>
  <c r="L17" i="16"/>
  <c r="AB17" i="16"/>
  <c r="K17" i="16"/>
  <c r="AK17" i="16"/>
  <c r="F8" i="16"/>
  <c r="P12" i="16"/>
  <c r="AK15" i="16"/>
  <c r="U11" i="7"/>
  <c r="Q11" i="17" s="1"/>
  <c r="A18" i="17"/>
  <c r="K17" i="17"/>
  <c r="X17" i="17"/>
  <c r="L17" i="17"/>
  <c r="AB17" i="17"/>
  <c r="AK17" i="17"/>
  <c r="X16" i="18"/>
  <c r="L16" i="18"/>
  <c r="A17" i="18"/>
  <c r="AB16" i="18"/>
  <c r="K16" i="18"/>
  <c r="A15" i="22"/>
  <c r="Y14" i="22"/>
  <c r="A17" i="19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AC10" i="15"/>
  <c r="O10" i="15"/>
  <c r="P12" i="17"/>
  <c r="F8" i="17"/>
  <c r="AK380" i="17"/>
  <c r="AK15" i="17"/>
  <c r="AK19" i="1"/>
  <c r="L19" i="1"/>
  <c r="Q19" i="1"/>
  <c r="AJ19" i="1"/>
  <c r="AB19" i="1"/>
  <c r="A20" i="1"/>
  <c r="K19" i="1"/>
  <c r="O19" i="1"/>
  <c r="AC19" i="1"/>
  <c r="X19" i="1"/>
  <c r="AC17" i="15" l="1"/>
  <c r="AZ104" i="6"/>
  <c r="AZ52" i="6"/>
  <c r="AZ103" i="6"/>
  <c r="AZ98" i="6"/>
  <c r="AZ92" i="6"/>
  <c r="S380" i="6" s="1"/>
  <c r="S381" i="6" s="1"/>
  <c r="AZ95" i="6"/>
  <c r="AZ101" i="6"/>
  <c r="AZ94" i="6"/>
  <c r="AZ102" i="6"/>
  <c r="AZ93" i="6"/>
  <c r="AZ105" i="6"/>
  <c r="AZ99" i="6"/>
  <c r="AZ362" i="6"/>
  <c r="AZ100" i="6"/>
  <c r="AZ41" i="6"/>
  <c r="AZ53" i="6"/>
  <c r="AZ33" i="6"/>
  <c r="AZ97" i="6"/>
  <c r="AZ135" i="6"/>
  <c r="AZ378" i="6"/>
  <c r="AZ49" i="6"/>
  <c r="AZ54" i="6"/>
  <c r="AZ29" i="6"/>
  <c r="AZ359" i="6"/>
  <c r="AZ366" i="6"/>
  <c r="AZ47" i="6"/>
  <c r="AZ45" i="6"/>
  <c r="AZ358" i="6"/>
  <c r="AL380" i="6" s="1"/>
  <c r="AL381" i="6" s="1"/>
  <c r="AZ374" i="6"/>
  <c r="AZ371" i="6"/>
  <c r="AZ364" i="6"/>
  <c r="AZ377" i="6"/>
  <c r="AZ363" i="6"/>
  <c r="AZ137" i="6"/>
  <c r="AZ142" i="6"/>
  <c r="AZ38" i="6"/>
  <c r="AZ51" i="6"/>
  <c r="AZ42" i="6"/>
  <c r="AZ35" i="6"/>
  <c r="AZ27" i="6"/>
  <c r="AZ39" i="6"/>
  <c r="AZ24" i="6"/>
  <c r="AZ56" i="6"/>
  <c r="AZ62" i="6"/>
  <c r="AZ43" i="6"/>
  <c r="AZ368" i="6"/>
  <c r="AZ136" i="6"/>
  <c r="AZ370" i="6"/>
  <c r="AZ375" i="6"/>
  <c r="AZ376" i="6"/>
  <c r="AZ361" i="6"/>
  <c r="AZ59" i="6"/>
  <c r="AZ46" i="6"/>
  <c r="AZ61" i="6"/>
  <c r="AZ58" i="6"/>
  <c r="AZ60" i="6"/>
  <c r="AZ50" i="6"/>
  <c r="P380" i="6" s="1"/>
  <c r="P381" i="6" s="1"/>
  <c r="AZ25" i="6"/>
  <c r="AZ48" i="6"/>
  <c r="AZ22" i="6"/>
  <c r="N380" i="6" s="1"/>
  <c r="N381" i="6" s="1"/>
  <c r="AZ55" i="6"/>
  <c r="AZ32" i="6"/>
  <c r="AZ26" i="6"/>
  <c r="AZ23" i="6"/>
  <c r="AZ40" i="6"/>
  <c r="AZ30" i="6"/>
  <c r="AZ63" i="6"/>
  <c r="AZ34" i="6"/>
  <c r="AZ31" i="6"/>
  <c r="AZ36" i="6"/>
  <c r="O380" i="6" s="1"/>
  <c r="O381" i="6" s="1"/>
  <c r="AZ44" i="6"/>
  <c r="AZ145" i="6"/>
  <c r="AZ37" i="6"/>
  <c r="AZ380" i="6"/>
  <c r="AZ365" i="6"/>
  <c r="AZ373" i="6"/>
  <c r="AZ140" i="6"/>
  <c r="AZ379" i="6"/>
  <c r="AZ369" i="6"/>
  <c r="AZ134" i="6"/>
  <c r="V380" i="6" s="1"/>
  <c r="V381" i="6" s="1"/>
  <c r="O9" i="17"/>
  <c r="AJ18" i="17" s="1"/>
  <c r="AJ15" i="16"/>
  <c r="N13" i="7"/>
  <c r="AJ16" i="16"/>
  <c r="F7" i="16"/>
  <c r="AZ139" i="6"/>
  <c r="AZ146" i="6"/>
  <c r="J12" i="6"/>
  <c r="AZ138" i="6"/>
  <c r="AZ144" i="6"/>
  <c r="AZ143" i="6"/>
  <c r="AZ147" i="6"/>
  <c r="AT13" i="6"/>
  <c r="J13" i="6"/>
  <c r="AT12" i="6"/>
  <c r="AY13" i="6"/>
  <c r="AY12" i="6"/>
  <c r="K18" i="15"/>
  <c r="AJ18" i="15"/>
  <c r="AK18" i="15"/>
  <c r="L18" i="15"/>
  <c r="AC18" i="15"/>
  <c r="AB18" i="15"/>
  <c r="A19" i="15"/>
  <c r="X18" i="15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169" i="1"/>
  <c r="AE107" i="1"/>
  <c r="AE74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250" i="1"/>
  <c r="AE295" i="1"/>
  <c r="AE249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I66" i="1"/>
  <c r="AH66" i="1" s="1"/>
  <c r="AG66" i="1" s="1"/>
  <c r="AF66" i="1" s="1"/>
  <c r="AI302" i="1"/>
  <c r="AH302" i="1" s="1"/>
  <c r="AG302" i="1" s="1"/>
  <c r="AF302" i="1" s="1"/>
  <c r="AD302" i="1" s="1"/>
  <c r="AI119" i="1"/>
  <c r="AH119" i="1" s="1"/>
  <c r="AI198" i="1"/>
  <c r="AH198" i="1" s="1"/>
  <c r="AG198" i="1" s="1"/>
  <c r="AF198" i="1" s="1"/>
  <c r="AI293" i="1"/>
  <c r="AH293" i="1" s="1"/>
  <c r="AG293" i="1" s="1"/>
  <c r="AF293" i="1" s="1"/>
  <c r="AD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I151" i="1"/>
  <c r="AH151" i="1" s="1"/>
  <c r="AG151" i="1" s="1"/>
  <c r="AF151" i="1" s="1"/>
  <c r="AI317" i="1"/>
  <c r="AH317" i="1" s="1"/>
  <c r="AG317" i="1" s="1"/>
  <c r="AF317" i="1" s="1"/>
  <c r="AD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D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I370" i="1"/>
  <c r="AH370" i="1" s="1"/>
  <c r="AI83" i="1"/>
  <c r="AH83" i="1" s="1"/>
  <c r="AI39" i="1"/>
  <c r="AH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I276" i="1"/>
  <c r="AH276" i="1" s="1"/>
  <c r="AI199" i="1"/>
  <c r="AH199" i="1" s="1"/>
  <c r="AI52" i="1"/>
  <c r="AH52" i="1" s="1"/>
  <c r="AI116" i="1"/>
  <c r="AH116" i="1" s="1"/>
  <c r="AI359" i="1"/>
  <c r="AH359" i="1" s="1"/>
  <c r="AG359" i="1" s="1"/>
  <c r="AF359" i="1" s="1"/>
  <c r="AD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I73" i="1"/>
  <c r="AH73" i="1" s="1"/>
  <c r="AI195" i="1"/>
  <c r="AH195" i="1" s="1"/>
  <c r="AG195" i="1" s="1"/>
  <c r="AF195" i="1" s="1"/>
  <c r="AD195" i="1" s="1"/>
  <c r="AI241" i="1"/>
  <c r="AH241" i="1" s="1"/>
  <c r="AG241" i="1" s="1"/>
  <c r="AF241" i="1" s="1"/>
  <c r="AD241" i="1" s="1"/>
  <c r="AI340" i="1"/>
  <c r="AH340" i="1" s="1"/>
  <c r="AG340" i="1" s="1"/>
  <c r="AF340" i="1" s="1"/>
  <c r="AD340" i="1" s="1"/>
  <c r="AI56" i="1"/>
  <c r="AH56" i="1" s="1"/>
  <c r="AG56" i="1" s="1"/>
  <c r="AF56" i="1" s="1"/>
  <c r="AI163" i="1"/>
  <c r="AH163" i="1" s="1"/>
  <c r="AG163" i="1" s="1"/>
  <c r="AF163" i="1" s="1"/>
  <c r="AD163" i="1" s="1"/>
  <c r="AI180" i="1"/>
  <c r="AH180" i="1" s="1"/>
  <c r="AG180" i="1" s="1"/>
  <c r="AF180" i="1" s="1"/>
  <c r="AD180" i="1" s="1"/>
  <c r="AI258" i="1"/>
  <c r="AH258" i="1" s="1"/>
  <c r="AG258" i="1" s="1"/>
  <c r="AF258" i="1" s="1"/>
  <c r="AI275" i="1"/>
  <c r="AH275" i="1" s="1"/>
  <c r="AG275" i="1" s="1"/>
  <c r="AF275" i="1" s="1"/>
  <c r="AI182" i="1"/>
  <c r="AH182" i="1" s="1"/>
  <c r="AG182" i="1" s="1"/>
  <c r="AF182" i="1" s="1"/>
  <c r="AI206" i="1"/>
  <c r="AH206" i="1" s="1"/>
  <c r="AG206" i="1" s="1"/>
  <c r="AF206" i="1" s="1"/>
  <c r="AI88" i="1"/>
  <c r="AH88" i="1" s="1"/>
  <c r="AG88" i="1" s="1"/>
  <c r="AF88" i="1" s="1"/>
  <c r="AI144" i="1"/>
  <c r="AH144" i="1" s="1"/>
  <c r="AI150" i="1"/>
  <c r="AH150" i="1" s="1"/>
  <c r="AG150" i="1" s="1"/>
  <c r="AF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I207" i="1"/>
  <c r="AH207" i="1" s="1"/>
  <c r="AG207" i="1" s="1"/>
  <c r="AF207" i="1" s="1"/>
  <c r="AD207" i="1" s="1"/>
  <c r="AI158" i="1"/>
  <c r="AH158" i="1" s="1"/>
  <c r="AG158" i="1" s="1"/>
  <c r="AF158" i="1" s="1"/>
  <c r="AI261" i="1"/>
  <c r="AH261" i="1" s="1"/>
  <c r="AG261" i="1" s="1"/>
  <c r="AF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D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I262" i="1"/>
  <c r="AH262" i="1" s="1"/>
  <c r="AG262" i="1" s="1"/>
  <c r="AF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D313" i="1" s="1"/>
  <c r="AI202" i="1"/>
  <c r="AH202" i="1" s="1"/>
  <c r="AG202" i="1" s="1"/>
  <c r="AF202" i="1" s="1"/>
  <c r="AD202" i="1" s="1"/>
  <c r="AI223" i="1"/>
  <c r="AH223" i="1" s="1"/>
  <c r="AG223" i="1" s="1"/>
  <c r="AF223" i="1" s="1"/>
  <c r="AD223" i="1" s="1"/>
  <c r="AI314" i="1"/>
  <c r="AH314" i="1" s="1"/>
  <c r="AG314" i="1" s="1"/>
  <c r="AF314" i="1" s="1"/>
  <c r="AD314" i="1" s="1"/>
  <c r="AI219" i="1"/>
  <c r="AH219" i="1" s="1"/>
  <c r="AG219" i="1" s="1"/>
  <c r="AF219" i="1" s="1"/>
  <c r="AD219" i="1" s="1"/>
  <c r="AI289" i="1"/>
  <c r="AH289" i="1" s="1"/>
  <c r="AG289" i="1" s="1"/>
  <c r="AF289" i="1" s="1"/>
  <c r="AD289" i="1" s="1"/>
  <c r="AI364" i="1"/>
  <c r="AH364" i="1" s="1"/>
  <c r="AG364" i="1" s="1"/>
  <c r="AF364" i="1" s="1"/>
  <c r="AI132" i="1"/>
  <c r="AH132" i="1" s="1"/>
  <c r="AG132" i="1" s="1"/>
  <c r="AF132" i="1" s="1"/>
  <c r="AI335" i="1"/>
  <c r="AH335" i="1" s="1"/>
  <c r="AG335" i="1" s="1"/>
  <c r="AF335" i="1" s="1"/>
  <c r="AD335" i="1" s="1"/>
  <c r="AI203" i="1"/>
  <c r="AH203" i="1" s="1"/>
  <c r="AG203" i="1" s="1"/>
  <c r="AF203" i="1" s="1"/>
  <c r="AI31" i="1"/>
  <c r="AH31" i="1" s="1"/>
  <c r="AI303" i="1"/>
  <c r="AH303" i="1" s="1"/>
  <c r="AG303" i="1" s="1"/>
  <c r="AF303" i="1" s="1"/>
  <c r="AI183" i="1"/>
  <c r="AH183" i="1" s="1"/>
  <c r="AG183" i="1" s="1"/>
  <c r="AF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D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I155" i="1"/>
  <c r="AH155" i="1" s="1"/>
  <c r="AG155" i="1" s="1"/>
  <c r="AF155" i="1" s="1"/>
  <c r="AI336" i="1"/>
  <c r="AH336" i="1" s="1"/>
  <c r="AI156" i="1"/>
  <c r="AH156" i="1" s="1"/>
  <c r="AG156" i="1" s="1"/>
  <c r="AF156" i="1" s="1"/>
  <c r="AI137" i="1"/>
  <c r="AH137" i="1" s="1"/>
  <c r="AG137" i="1" s="1"/>
  <c r="AF137" i="1" s="1"/>
  <c r="AD137" i="1" s="1"/>
  <c r="AI164" i="1"/>
  <c r="AH164" i="1" s="1"/>
  <c r="AG164" i="1" s="1"/>
  <c r="AF164" i="1" s="1"/>
  <c r="AI25" i="1"/>
  <c r="AH25" i="1" s="1"/>
  <c r="AG25" i="1" s="1"/>
  <c r="AF25" i="1" s="1"/>
  <c r="AD25" i="1" s="1"/>
  <c r="AI194" i="1"/>
  <c r="AH194" i="1" s="1"/>
  <c r="AG194" i="1" s="1"/>
  <c r="AF194" i="1" s="1"/>
  <c r="AD194" i="1" s="1"/>
  <c r="AI250" i="1"/>
  <c r="AH250" i="1" s="1"/>
  <c r="AG250" i="1" s="1"/>
  <c r="AF250" i="1" s="1"/>
  <c r="AI334" i="1"/>
  <c r="AH334" i="1" s="1"/>
  <c r="AG334" i="1" s="1"/>
  <c r="AF334" i="1" s="1"/>
  <c r="AD334" i="1" s="1"/>
  <c r="AI149" i="1"/>
  <c r="AH149" i="1" s="1"/>
  <c r="AG149" i="1" s="1"/>
  <c r="AF149" i="1" s="1"/>
  <c r="AI238" i="1"/>
  <c r="AH238" i="1" s="1"/>
  <c r="AG238" i="1" s="1"/>
  <c r="AF238" i="1" s="1"/>
  <c r="AD238" i="1" s="1"/>
  <c r="AI372" i="1"/>
  <c r="AH372" i="1" s="1"/>
  <c r="AG372" i="1" s="1"/>
  <c r="AF372" i="1" s="1"/>
  <c r="AD372" i="1" s="1"/>
  <c r="AI264" i="1"/>
  <c r="AH264" i="1" s="1"/>
  <c r="AG264" i="1" s="1"/>
  <c r="AF264" i="1" s="1"/>
  <c r="AD264" i="1" s="1"/>
  <c r="AI287" i="1"/>
  <c r="AH287" i="1" s="1"/>
  <c r="AG287" i="1" s="1"/>
  <c r="AF287" i="1" s="1"/>
  <c r="AI102" i="1"/>
  <c r="AH102" i="1" s="1"/>
  <c r="AG102" i="1" s="1"/>
  <c r="AF102" i="1" s="1"/>
  <c r="AI125" i="1"/>
  <c r="AH125" i="1" s="1"/>
  <c r="AG125" i="1" s="1"/>
  <c r="AF125" i="1" s="1"/>
  <c r="AI308" i="1"/>
  <c r="AH308" i="1" s="1"/>
  <c r="AG308" i="1" s="1"/>
  <c r="AF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G322" i="1" s="1"/>
  <c r="AF322" i="1" s="1"/>
  <c r="AD322" i="1" s="1"/>
  <c r="AI246" i="1"/>
  <c r="AH246" i="1" s="1"/>
  <c r="AG246" i="1" s="1"/>
  <c r="AF246" i="1" s="1"/>
  <c r="AD246" i="1" s="1"/>
  <c r="AI221" i="1"/>
  <c r="AH221" i="1" s="1"/>
  <c r="AG221" i="1" s="1"/>
  <c r="AF221" i="1" s="1"/>
  <c r="AD221" i="1" s="1"/>
  <c r="AI65" i="1"/>
  <c r="AH65" i="1" s="1"/>
  <c r="AG65" i="1" s="1"/>
  <c r="AF65" i="1" s="1"/>
  <c r="AI304" i="1"/>
  <c r="AH304" i="1" s="1"/>
  <c r="AG304" i="1" s="1"/>
  <c r="AF304" i="1" s="1"/>
  <c r="AD304" i="1" s="1"/>
  <c r="AI298" i="1"/>
  <c r="AH298" i="1" s="1"/>
  <c r="AG298" i="1" s="1"/>
  <c r="AF298" i="1" s="1"/>
  <c r="AD298" i="1" s="1"/>
  <c r="AI267" i="1"/>
  <c r="AH267" i="1" s="1"/>
  <c r="AG267" i="1" s="1"/>
  <c r="AF267" i="1" s="1"/>
  <c r="AI200" i="1"/>
  <c r="AH200" i="1" s="1"/>
  <c r="AG200" i="1" s="1"/>
  <c r="AF200" i="1" s="1"/>
  <c r="AI371" i="1"/>
  <c r="AH371" i="1" s="1"/>
  <c r="AG371" i="1" s="1"/>
  <c r="AF371" i="1" s="1"/>
  <c r="AD371" i="1" s="1"/>
  <c r="AI299" i="1"/>
  <c r="AH299" i="1" s="1"/>
  <c r="AG299" i="1" s="1"/>
  <c r="AF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I124" i="1"/>
  <c r="AH124" i="1" s="1"/>
  <c r="AG124" i="1" s="1"/>
  <c r="AF124" i="1" s="1"/>
  <c r="AD124" i="1" s="1"/>
  <c r="AI329" i="1"/>
  <c r="AH329" i="1" s="1"/>
  <c r="AG329" i="1" s="1"/>
  <c r="AF329" i="1" s="1"/>
  <c r="AI252" i="1"/>
  <c r="AH252" i="1" s="1"/>
  <c r="AG252" i="1" s="1"/>
  <c r="AF252" i="1" s="1"/>
  <c r="AI230" i="1"/>
  <c r="AH230" i="1" s="1"/>
  <c r="AG230" i="1" s="1"/>
  <c r="AF230" i="1" s="1"/>
  <c r="AD230" i="1" s="1"/>
  <c r="AI338" i="1"/>
  <c r="AH338" i="1" s="1"/>
  <c r="AG338" i="1" s="1"/>
  <c r="AF338" i="1" s="1"/>
  <c r="AD338" i="1" s="1"/>
  <c r="AI353" i="1"/>
  <c r="AH353" i="1" s="1"/>
  <c r="AG353" i="1" s="1"/>
  <c r="AF353" i="1" s="1"/>
  <c r="AI229" i="1"/>
  <c r="AH229" i="1" s="1"/>
  <c r="AG229" i="1" s="1"/>
  <c r="AF229" i="1" s="1"/>
  <c r="AD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I133" i="1"/>
  <c r="AH133" i="1" s="1"/>
  <c r="AG133" i="1" s="1"/>
  <c r="AF133" i="1" s="1"/>
  <c r="AD133" i="1" s="1"/>
  <c r="AI215" i="1"/>
  <c r="AH215" i="1" s="1"/>
  <c r="AG215" i="1" s="1"/>
  <c r="AF215" i="1" s="1"/>
  <c r="AD215" i="1" s="1"/>
  <c r="AI211" i="1"/>
  <c r="AH211" i="1" s="1"/>
  <c r="AG211" i="1" s="1"/>
  <c r="AF211" i="1" s="1"/>
  <c r="AD211" i="1" s="1"/>
  <c r="AI170" i="1"/>
  <c r="AH170" i="1" s="1"/>
  <c r="AG170" i="1" s="1"/>
  <c r="AF170" i="1" s="1"/>
  <c r="AI168" i="1"/>
  <c r="AH168" i="1" s="1"/>
  <c r="AG168" i="1" s="1"/>
  <c r="AF168" i="1" s="1"/>
  <c r="AI93" i="1"/>
  <c r="AH93" i="1" s="1"/>
  <c r="AG93" i="1" s="1"/>
  <c r="AF93" i="1" s="1"/>
  <c r="AI26" i="1"/>
  <c r="AH26" i="1" s="1"/>
  <c r="AG26" i="1" s="1"/>
  <c r="AF26" i="1" s="1"/>
  <c r="AD26" i="1" s="1"/>
  <c r="AI115" i="1"/>
  <c r="AH115" i="1" s="1"/>
  <c r="AG115" i="1" s="1"/>
  <c r="AF115" i="1" s="1"/>
  <c r="AI32" i="1"/>
  <c r="AH32" i="1" s="1"/>
  <c r="AG32" i="1" s="1"/>
  <c r="AF32" i="1" s="1"/>
  <c r="AD32" i="1" s="1"/>
  <c r="AI29" i="1"/>
  <c r="AH29" i="1" s="1"/>
  <c r="AG29" i="1" s="1"/>
  <c r="AF29" i="1" s="1"/>
  <c r="AD29" i="1" s="1"/>
  <c r="AI269" i="1"/>
  <c r="AH269" i="1" s="1"/>
  <c r="AG269" i="1" s="1"/>
  <c r="AF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D263" i="1" s="1"/>
  <c r="AI235" i="1"/>
  <c r="AH235" i="1" s="1"/>
  <c r="AG235" i="1" s="1"/>
  <c r="AF235" i="1" s="1"/>
  <c r="AD235" i="1" s="1"/>
  <c r="AI343" i="1"/>
  <c r="AH343" i="1" s="1"/>
  <c r="AG343" i="1" s="1"/>
  <c r="AF343" i="1" s="1"/>
  <c r="AD343" i="1" s="1"/>
  <c r="AI131" i="1"/>
  <c r="AH131" i="1" s="1"/>
  <c r="AG131" i="1" s="1"/>
  <c r="AF131" i="1" s="1"/>
  <c r="AD131" i="1" s="1"/>
  <c r="AI59" i="1"/>
  <c r="AH59" i="1" s="1"/>
  <c r="AG59" i="1" s="1"/>
  <c r="AF59" i="1" s="1"/>
  <c r="AD59" i="1" s="1"/>
  <c r="AI348" i="1"/>
  <c r="AH348" i="1" s="1"/>
  <c r="AG348" i="1" s="1"/>
  <c r="AF348" i="1" s="1"/>
  <c r="AI265" i="1"/>
  <c r="AH265" i="1" s="1"/>
  <c r="AG265" i="1" s="1"/>
  <c r="AF265" i="1" s="1"/>
  <c r="AI126" i="1"/>
  <c r="AH126" i="1" s="1"/>
  <c r="AG126" i="1" s="1"/>
  <c r="AF126" i="1" s="1"/>
  <c r="AI205" i="1"/>
  <c r="AH205" i="1" s="1"/>
  <c r="AG205" i="1" s="1"/>
  <c r="AF205" i="1" s="1"/>
  <c r="AD205" i="1" s="1"/>
  <c r="AI48" i="1"/>
  <c r="AH48" i="1" s="1"/>
  <c r="AG48" i="1" s="1"/>
  <c r="AF48" i="1" s="1"/>
  <c r="AD48" i="1" s="1"/>
  <c r="AI242" i="1"/>
  <c r="AH242" i="1" s="1"/>
  <c r="AG242" i="1" s="1"/>
  <c r="AF242" i="1" s="1"/>
  <c r="AD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I256" i="1"/>
  <c r="AH256" i="1" s="1"/>
  <c r="AG256" i="1" s="1"/>
  <c r="AF256" i="1" s="1"/>
  <c r="AD256" i="1" s="1"/>
  <c r="AI162" i="1"/>
  <c r="AH162" i="1" s="1"/>
  <c r="AG162" i="1" s="1"/>
  <c r="AF162" i="1" s="1"/>
  <c r="AD162" i="1" s="1"/>
  <c r="AI166" i="1"/>
  <c r="AH166" i="1" s="1"/>
  <c r="AG166" i="1" s="1"/>
  <c r="AF166" i="1" s="1"/>
  <c r="AD166" i="1" s="1"/>
  <c r="AI239" i="1"/>
  <c r="AH239" i="1" s="1"/>
  <c r="AI77" i="1"/>
  <c r="AH77" i="1" s="1"/>
  <c r="AG77" i="1" s="1"/>
  <c r="AF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G152" i="1" s="1"/>
  <c r="AF152" i="1" s="1"/>
  <c r="AD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E16" i="7"/>
  <c r="AI41" i="1"/>
  <c r="AH41" i="1" s="1"/>
  <c r="AG41" i="1" s="1"/>
  <c r="AF41" i="1" s="1"/>
  <c r="AI201" i="1"/>
  <c r="AH201" i="1" s="1"/>
  <c r="AG201" i="1" s="1"/>
  <c r="AF201" i="1" s="1"/>
  <c r="AD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I283" i="1"/>
  <c r="AH283" i="1" s="1"/>
  <c r="AG283" i="1" s="1"/>
  <c r="AF283" i="1" s="1"/>
  <c r="AD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I227" i="1"/>
  <c r="AH227" i="1" s="1"/>
  <c r="AG227" i="1" s="1"/>
  <c r="AF227" i="1" s="1"/>
  <c r="AI103" i="1"/>
  <c r="AH103" i="1" s="1"/>
  <c r="AG103" i="1" s="1"/>
  <c r="AF103" i="1" s="1"/>
  <c r="AI142" i="1"/>
  <c r="AH142" i="1" s="1"/>
  <c r="AG142" i="1" s="1"/>
  <c r="AF142" i="1" s="1"/>
  <c r="AI157" i="1"/>
  <c r="AH157" i="1" s="1"/>
  <c r="AG157" i="1" s="1"/>
  <c r="AF157" i="1" s="1"/>
  <c r="AI85" i="1"/>
  <c r="AH85" i="1" s="1"/>
  <c r="AG85" i="1" s="1"/>
  <c r="AF85" i="1" s="1"/>
  <c r="AD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D141" i="1" s="1"/>
  <c r="AI327" i="1"/>
  <c r="AH327" i="1" s="1"/>
  <c r="AG327" i="1" s="1"/>
  <c r="AF327" i="1" s="1"/>
  <c r="AD327" i="1" s="1"/>
  <c r="AI173" i="1"/>
  <c r="AH173" i="1" s="1"/>
  <c r="AG173" i="1" s="1"/>
  <c r="AF173" i="1" s="1"/>
  <c r="AD173" i="1" s="1"/>
  <c r="AI271" i="1"/>
  <c r="AH271" i="1" s="1"/>
  <c r="AG271" i="1" s="1"/>
  <c r="AF271" i="1" s="1"/>
  <c r="AD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I75" i="1"/>
  <c r="AH75" i="1" s="1"/>
  <c r="AG75" i="1" s="1"/>
  <c r="AF75" i="1" s="1"/>
  <c r="AI268" i="1"/>
  <c r="AH268" i="1" s="1"/>
  <c r="AG268" i="1" s="1"/>
  <c r="AF268" i="1" s="1"/>
  <c r="AI181" i="1"/>
  <c r="AH181" i="1" s="1"/>
  <c r="AG181" i="1" s="1"/>
  <c r="AF181" i="1" s="1"/>
  <c r="AD181" i="1" s="1"/>
  <c r="AI363" i="1"/>
  <c r="AH363" i="1" s="1"/>
  <c r="AG363" i="1" s="1"/>
  <c r="AF363" i="1" s="1"/>
  <c r="AD363" i="1" s="1"/>
  <c r="AI80" i="1"/>
  <c r="AH80" i="1" s="1"/>
  <c r="AG80" i="1" s="1"/>
  <c r="AF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D82" i="1" s="1"/>
  <c r="AI222" i="1"/>
  <c r="AH222" i="1" s="1"/>
  <c r="AG222" i="1" s="1"/>
  <c r="AF222" i="1" s="1"/>
  <c r="AI45" i="1"/>
  <c r="AH45" i="1" s="1"/>
  <c r="AG45" i="1" s="1"/>
  <c r="AF45" i="1" s="1"/>
  <c r="AI179" i="1"/>
  <c r="AH179" i="1" s="1"/>
  <c r="AG179" i="1" s="1"/>
  <c r="AF179" i="1" s="1"/>
  <c r="AD179" i="1" s="1"/>
  <c r="AI165" i="1"/>
  <c r="AH165" i="1" s="1"/>
  <c r="AG165" i="1" s="1"/>
  <c r="AF165" i="1" s="1"/>
  <c r="AD165" i="1" s="1"/>
  <c r="AI204" i="1"/>
  <c r="AH204" i="1" s="1"/>
  <c r="AG204" i="1" s="1"/>
  <c r="AF204" i="1" s="1"/>
  <c r="AD204" i="1" s="1"/>
  <c r="AI255" i="1"/>
  <c r="AH255" i="1" s="1"/>
  <c r="AG255" i="1" s="1"/>
  <c r="AF255" i="1" s="1"/>
  <c r="AI121" i="1"/>
  <c r="AH121" i="1" s="1"/>
  <c r="AG121" i="1" s="1"/>
  <c r="AF121" i="1" s="1"/>
  <c r="AI300" i="1"/>
  <c r="AH300" i="1" s="1"/>
  <c r="AG300" i="1" s="1"/>
  <c r="AF300" i="1" s="1"/>
  <c r="AD300" i="1" s="1"/>
  <c r="AI153" i="1"/>
  <c r="AH153" i="1" s="1"/>
  <c r="AG153" i="1" s="1"/>
  <c r="AF153" i="1" s="1"/>
  <c r="AI104" i="1"/>
  <c r="AH104" i="1" s="1"/>
  <c r="AG104" i="1" s="1"/>
  <c r="AF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I212" i="1"/>
  <c r="AH212" i="1" s="1"/>
  <c r="AG212" i="1" s="1"/>
  <c r="AF212" i="1" s="1"/>
  <c r="AD212" i="1" s="1"/>
  <c r="AI167" i="1"/>
  <c r="AH167" i="1" s="1"/>
  <c r="AG167" i="1" s="1"/>
  <c r="AF167" i="1" s="1"/>
  <c r="AI109" i="1"/>
  <c r="AH109" i="1" s="1"/>
  <c r="AG109" i="1" s="1"/>
  <c r="AF109" i="1" s="1"/>
  <c r="AD109" i="1" s="1"/>
  <c r="AI259" i="1"/>
  <c r="AH259" i="1" s="1"/>
  <c r="AG259" i="1" s="1"/>
  <c r="AF259" i="1" s="1"/>
  <c r="BM16" i="7"/>
  <c r="AI58" i="1"/>
  <c r="AH58" i="1" s="1"/>
  <c r="AG58" i="1" s="1"/>
  <c r="AF58" i="1" s="1"/>
  <c r="AI232" i="1"/>
  <c r="AH232" i="1" s="1"/>
  <c r="AG232" i="1" s="1"/>
  <c r="AF232" i="1" s="1"/>
  <c r="AI234" i="1"/>
  <c r="AH234" i="1" s="1"/>
  <c r="AG234" i="1" s="1"/>
  <c r="AF234" i="1" s="1"/>
  <c r="AD234" i="1" s="1"/>
  <c r="AI89" i="1"/>
  <c r="AH89" i="1" s="1"/>
  <c r="AG89" i="1" s="1"/>
  <c r="AF89" i="1" s="1"/>
  <c r="AD89" i="1" s="1"/>
  <c r="AI185" i="1"/>
  <c r="AH185" i="1" s="1"/>
  <c r="AG185" i="1" s="1"/>
  <c r="AF185" i="1" s="1"/>
  <c r="AI248" i="1"/>
  <c r="AH248" i="1" s="1"/>
  <c r="AG248" i="1" s="1"/>
  <c r="AF248" i="1" s="1"/>
  <c r="AD248" i="1" s="1"/>
  <c r="AI225" i="1"/>
  <c r="AH225" i="1" s="1"/>
  <c r="AG225" i="1" s="1"/>
  <c r="AF225" i="1" s="1"/>
  <c r="AD225" i="1" s="1"/>
  <c r="AI68" i="1"/>
  <c r="AH68" i="1" s="1"/>
  <c r="AG68" i="1" s="1"/>
  <c r="AF68" i="1" s="1"/>
  <c r="AI111" i="1"/>
  <c r="AH111" i="1" s="1"/>
  <c r="AG111" i="1" s="1"/>
  <c r="AF111" i="1" s="1"/>
  <c r="AD111" i="1" s="1"/>
  <c r="AI320" i="1"/>
  <c r="AH320" i="1" s="1"/>
  <c r="AI362" i="1"/>
  <c r="AH362" i="1" s="1"/>
  <c r="AG362" i="1" s="1"/>
  <c r="AF362" i="1" s="1"/>
  <c r="AD362" i="1" s="1"/>
  <c r="AI147" i="1"/>
  <c r="AH147" i="1" s="1"/>
  <c r="AG147" i="1" s="1"/>
  <c r="AF147" i="1" s="1"/>
  <c r="AI345" i="1"/>
  <c r="AH345" i="1" s="1"/>
  <c r="AG345" i="1" s="1"/>
  <c r="AF345" i="1" s="1"/>
  <c r="AD345" i="1" s="1"/>
  <c r="AI127" i="1"/>
  <c r="AH127" i="1" s="1"/>
  <c r="AG127" i="1" s="1"/>
  <c r="AF127" i="1" s="1"/>
  <c r="AI295" i="1"/>
  <c r="AH295" i="1" s="1"/>
  <c r="AG295" i="1" s="1"/>
  <c r="AF295" i="1" s="1"/>
  <c r="AD295" i="1" s="1"/>
  <c r="AI375" i="1"/>
  <c r="AH375" i="1" s="1"/>
  <c r="AG375" i="1" s="1"/>
  <c r="AF375" i="1" s="1"/>
  <c r="AI296" i="1"/>
  <c r="AH296" i="1" s="1"/>
  <c r="AG296" i="1" s="1"/>
  <c r="AF296" i="1" s="1"/>
  <c r="AD296" i="1" s="1"/>
  <c r="AI78" i="1"/>
  <c r="AH78" i="1" s="1"/>
  <c r="AG78" i="1" s="1"/>
  <c r="AF78" i="1" s="1"/>
  <c r="AI190" i="1"/>
  <c r="AH190" i="1" s="1"/>
  <c r="AG190" i="1" s="1"/>
  <c r="AF190" i="1" s="1"/>
  <c r="AD190" i="1" s="1"/>
  <c r="AI319" i="1"/>
  <c r="AH319" i="1" s="1"/>
  <c r="AG319" i="1" s="1"/>
  <c r="AF319" i="1" s="1"/>
  <c r="AD319" i="1" s="1"/>
  <c r="AI210" i="1"/>
  <c r="AH210" i="1" s="1"/>
  <c r="AG210" i="1" s="1"/>
  <c r="AF210" i="1" s="1"/>
  <c r="AI358" i="1"/>
  <c r="AH358" i="1" s="1"/>
  <c r="AG358" i="1" s="1"/>
  <c r="AF358" i="1" s="1"/>
  <c r="AD358" i="1" s="1"/>
  <c r="AI169" i="1"/>
  <c r="AH169" i="1" s="1"/>
  <c r="AG169" i="1" s="1"/>
  <c r="AF169" i="1" s="1"/>
  <c r="AI97" i="1"/>
  <c r="AH97" i="1" s="1"/>
  <c r="AG97" i="1" s="1"/>
  <c r="AF97" i="1" s="1"/>
  <c r="AD97" i="1" s="1"/>
  <c r="AI38" i="1"/>
  <c r="AH38" i="1" s="1"/>
  <c r="AG38" i="1" s="1"/>
  <c r="AF38" i="1" s="1"/>
  <c r="AD38" i="1" s="1"/>
  <c r="AI67" i="1"/>
  <c r="AH67" i="1" s="1"/>
  <c r="AG67" i="1" s="1"/>
  <c r="AF67" i="1" s="1"/>
  <c r="AD67" i="1" s="1"/>
  <c r="AI306" i="1"/>
  <c r="AH306" i="1" s="1"/>
  <c r="AG306" i="1" s="1"/>
  <c r="AF306" i="1" s="1"/>
  <c r="AI134" i="1"/>
  <c r="AH134" i="1" s="1"/>
  <c r="AG134" i="1" s="1"/>
  <c r="AF134" i="1" s="1"/>
  <c r="AD134" i="1" s="1"/>
  <c r="AI254" i="1"/>
  <c r="AH254" i="1" s="1"/>
  <c r="AG254" i="1" s="1"/>
  <c r="AF254" i="1" s="1"/>
  <c r="AI136" i="1"/>
  <c r="AH136" i="1" s="1"/>
  <c r="AG136" i="1" s="1"/>
  <c r="AF136" i="1" s="1"/>
  <c r="AI92" i="1"/>
  <c r="AH92" i="1" s="1"/>
  <c r="AG92" i="1" s="1"/>
  <c r="AF92" i="1" s="1"/>
  <c r="AD92" i="1" s="1"/>
  <c r="AI176" i="1"/>
  <c r="AH176" i="1" s="1"/>
  <c r="AG176" i="1" s="1"/>
  <c r="AF176" i="1" s="1"/>
  <c r="AI191" i="1"/>
  <c r="AH191" i="1" s="1"/>
  <c r="AG191" i="1" s="1"/>
  <c r="AF191" i="1" s="1"/>
  <c r="AD191" i="1" s="1"/>
  <c r="AI69" i="1"/>
  <c r="AH69" i="1" s="1"/>
  <c r="AG69" i="1" s="1"/>
  <c r="AF69" i="1" s="1"/>
  <c r="AI51" i="1"/>
  <c r="AH51" i="1" s="1"/>
  <c r="AG51" i="1" s="1"/>
  <c r="AF51" i="1" s="1"/>
  <c r="AD51" i="1" s="1"/>
  <c r="AI328" i="1"/>
  <c r="AH328" i="1" s="1"/>
  <c r="AG328" i="1" s="1"/>
  <c r="AF328" i="1" s="1"/>
  <c r="AI365" i="1"/>
  <c r="AH365" i="1" s="1"/>
  <c r="AG365" i="1" s="1"/>
  <c r="AF365" i="1" s="1"/>
  <c r="AI233" i="1"/>
  <c r="AH233" i="1" s="1"/>
  <c r="AG233" i="1" s="1"/>
  <c r="AF233" i="1" s="1"/>
  <c r="AD233" i="1" s="1"/>
  <c r="AI341" i="1"/>
  <c r="AH341" i="1" s="1"/>
  <c r="AG341" i="1" s="1"/>
  <c r="AF341" i="1" s="1"/>
  <c r="AI301" i="1"/>
  <c r="AH301" i="1" s="1"/>
  <c r="AG301" i="1" s="1"/>
  <c r="AF301" i="1" s="1"/>
  <c r="AD301" i="1" s="1"/>
  <c r="AI273" i="1"/>
  <c r="AH273" i="1" s="1"/>
  <c r="AG273" i="1" s="1"/>
  <c r="AF273" i="1" s="1"/>
  <c r="AI297" i="1"/>
  <c r="AH297" i="1" s="1"/>
  <c r="AG297" i="1" s="1"/>
  <c r="AF297" i="1" s="1"/>
  <c r="AD297" i="1" s="1"/>
  <c r="AI71" i="1"/>
  <c r="AH71" i="1" s="1"/>
  <c r="AG71" i="1" s="1"/>
  <c r="AF71" i="1" s="1"/>
  <c r="AD71" i="1" s="1"/>
  <c r="AI209" i="1"/>
  <c r="AH209" i="1" s="1"/>
  <c r="AG209" i="1" s="1"/>
  <c r="AF209" i="1" s="1"/>
  <c r="AD209" i="1" s="1"/>
  <c r="AI244" i="1"/>
  <c r="AH244" i="1" s="1"/>
  <c r="AG244" i="1" s="1"/>
  <c r="AF244" i="1" s="1"/>
  <c r="AI46" i="1"/>
  <c r="AH46" i="1" s="1"/>
  <c r="AG46" i="1" s="1"/>
  <c r="AF46" i="1" s="1"/>
  <c r="AD46" i="1" s="1"/>
  <c r="AI174" i="1"/>
  <c r="AH174" i="1" s="1"/>
  <c r="AG174" i="1" s="1"/>
  <c r="AF174" i="1" s="1"/>
  <c r="AI30" i="1"/>
  <c r="AH30" i="1" s="1"/>
  <c r="AG30" i="1" s="1"/>
  <c r="AF30" i="1" s="1"/>
  <c r="AD30" i="1" s="1"/>
  <c r="AI376" i="1"/>
  <c r="AH376" i="1" s="1"/>
  <c r="AG376" i="1" s="1"/>
  <c r="AF376" i="1" s="1"/>
  <c r="AD376" i="1" s="1"/>
  <c r="AI245" i="1"/>
  <c r="AH245" i="1" s="1"/>
  <c r="AG245" i="1" s="1"/>
  <c r="AF245" i="1" s="1"/>
  <c r="AD245" i="1" s="1"/>
  <c r="AI257" i="1"/>
  <c r="AH257" i="1" s="1"/>
  <c r="AG257" i="1" s="1"/>
  <c r="AF257" i="1" s="1"/>
  <c r="AD257" i="1" s="1"/>
  <c r="AI360" i="1"/>
  <c r="AH360" i="1" s="1"/>
  <c r="AG360" i="1" s="1"/>
  <c r="AF360" i="1" s="1"/>
  <c r="AD360" i="1" s="1"/>
  <c r="AI218" i="1"/>
  <c r="AH218" i="1" s="1"/>
  <c r="AG218" i="1" s="1"/>
  <c r="AF218" i="1" s="1"/>
  <c r="AD218" i="1" s="1"/>
  <c r="AI247" i="1"/>
  <c r="AH247" i="1" s="1"/>
  <c r="AG247" i="1" s="1"/>
  <c r="AF247" i="1" s="1"/>
  <c r="AD247" i="1" s="1"/>
  <c r="AI294" i="1"/>
  <c r="AH294" i="1" s="1"/>
  <c r="AG294" i="1" s="1"/>
  <c r="AF294" i="1" s="1"/>
  <c r="AD294" i="1" s="1"/>
  <c r="AI96" i="1"/>
  <c r="AH96" i="1" s="1"/>
  <c r="AG96" i="1" s="1"/>
  <c r="AF96" i="1" s="1"/>
  <c r="AI161" i="1"/>
  <c r="AH161" i="1" s="1"/>
  <c r="AG161" i="1" s="1"/>
  <c r="AF161" i="1" s="1"/>
  <c r="AD161" i="1" s="1"/>
  <c r="AI34" i="1"/>
  <c r="AH34" i="1" s="1"/>
  <c r="AG34" i="1" s="1"/>
  <c r="AF34" i="1" s="1"/>
  <c r="AI159" i="1"/>
  <c r="AH159" i="1" s="1"/>
  <c r="AG159" i="1" s="1"/>
  <c r="AF159" i="1" s="1"/>
  <c r="AD159" i="1" s="1"/>
  <c r="AI208" i="1"/>
  <c r="AH208" i="1" s="1"/>
  <c r="AG208" i="1" s="1"/>
  <c r="AF208" i="1" s="1"/>
  <c r="AD208" i="1" s="1"/>
  <c r="AI87" i="1"/>
  <c r="AH87" i="1" s="1"/>
  <c r="AG87" i="1" s="1"/>
  <c r="AF87" i="1" s="1"/>
  <c r="AI171" i="1"/>
  <c r="AH171" i="1" s="1"/>
  <c r="AG171" i="1" s="1"/>
  <c r="AF171" i="1" s="1"/>
  <c r="AI110" i="1"/>
  <c r="AH110" i="1" s="1"/>
  <c r="AG110" i="1" s="1"/>
  <c r="AF110" i="1" s="1"/>
  <c r="AD110" i="1" s="1"/>
  <c r="AI309" i="1"/>
  <c r="AH309" i="1" s="1"/>
  <c r="AG309" i="1" s="1"/>
  <c r="AF309" i="1" s="1"/>
  <c r="AD309" i="1" s="1"/>
  <c r="AI325" i="1"/>
  <c r="AH325" i="1" s="1"/>
  <c r="AG325" i="1" s="1"/>
  <c r="AF325" i="1" s="1"/>
  <c r="AD325" i="1" s="1"/>
  <c r="AI369" i="1"/>
  <c r="AH369" i="1" s="1"/>
  <c r="AG369" i="1" s="1"/>
  <c r="AF369" i="1" s="1"/>
  <c r="AI172" i="1"/>
  <c r="AH172" i="1" s="1"/>
  <c r="AG172" i="1" s="1"/>
  <c r="AF172" i="1" s="1"/>
  <c r="AI366" i="1"/>
  <c r="AH366" i="1" s="1"/>
  <c r="AG366" i="1" s="1"/>
  <c r="AF366" i="1" s="1"/>
  <c r="AD366" i="1" s="1"/>
  <c r="AI50" i="1"/>
  <c r="AH50" i="1" s="1"/>
  <c r="AG50" i="1" s="1"/>
  <c r="AF50" i="1" s="1"/>
  <c r="AD50" i="1" s="1"/>
  <c r="AI129" i="1"/>
  <c r="AH129" i="1" s="1"/>
  <c r="AG129" i="1" s="1"/>
  <c r="AF129" i="1" s="1"/>
  <c r="AD129" i="1" s="1"/>
  <c r="AI146" i="1"/>
  <c r="AH146" i="1" s="1"/>
  <c r="AG146" i="1" s="1"/>
  <c r="AF146" i="1" s="1"/>
  <c r="AD146" i="1" s="1"/>
  <c r="AI36" i="1"/>
  <c r="AH36" i="1" s="1"/>
  <c r="AG36" i="1" s="1"/>
  <c r="AF36" i="1" s="1"/>
  <c r="AD36" i="1" s="1"/>
  <c r="AI281" i="1"/>
  <c r="AH281" i="1" s="1"/>
  <c r="AG281" i="1" s="1"/>
  <c r="AF281" i="1" s="1"/>
  <c r="AI135" i="1"/>
  <c r="AH135" i="1" s="1"/>
  <c r="AG135" i="1" s="1"/>
  <c r="AF135" i="1" s="1"/>
  <c r="AI81" i="1"/>
  <c r="AH81" i="1" s="1"/>
  <c r="AG81" i="1" s="1"/>
  <c r="AF81" i="1" s="1"/>
  <c r="AI312" i="1"/>
  <c r="AH312" i="1" s="1"/>
  <c r="AG312" i="1" s="1"/>
  <c r="AF312" i="1" s="1"/>
  <c r="AD312" i="1" s="1"/>
  <c r="AI24" i="1"/>
  <c r="AH24" i="1" s="1"/>
  <c r="AG24" i="1" s="1"/>
  <c r="AF24" i="1" s="1"/>
  <c r="AI112" i="1"/>
  <c r="AH112" i="1" s="1"/>
  <c r="AG112" i="1" s="1"/>
  <c r="AF112" i="1" s="1"/>
  <c r="AI20" i="1"/>
  <c r="AH20" i="1" s="1"/>
  <c r="AG20" i="1" s="1"/>
  <c r="AF20" i="1" s="1"/>
  <c r="AD20" i="1" s="1"/>
  <c r="AI98" i="1"/>
  <c r="AH98" i="1" s="1"/>
  <c r="AG98" i="1" s="1"/>
  <c r="AF98" i="1" s="1"/>
  <c r="AI40" i="1"/>
  <c r="AH40" i="1" s="1"/>
  <c r="AG40" i="1" s="1"/>
  <c r="AF40" i="1" s="1"/>
  <c r="AI128" i="1"/>
  <c r="AH128" i="1" s="1"/>
  <c r="AG128" i="1" s="1"/>
  <c r="AF128" i="1" s="1"/>
  <c r="AI60" i="1"/>
  <c r="AH60" i="1" s="1"/>
  <c r="AG60" i="1" s="1"/>
  <c r="AF60" i="1" s="1"/>
  <c r="AD60" i="1" s="1"/>
  <c r="AI99" i="1"/>
  <c r="AH99" i="1" s="1"/>
  <c r="AG99" i="1" s="1"/>
  <c r="AF99" i="1" s="1"/>
  <c r="AI17" i="1"/>
  <c r="AI64" i="1"/>
  <c r="AH64" i="1" s="1"/>
  <c r="AG64" i="1" s="1"/>
  <c r="AF64" i="1" s="1"/>
  <c r="AD64" i="1" s="1"/>
  <c r="AI120" i="1"/>
  <c r="AH120" i="1" s="1"/>
  <c r="AG120" i="1" s="1"/>
  <c r="AF120" i="1" s="1"/>
  <c r="AD120" i="1" s="1"/>
  <c r="AI290" i="1"/>
  <c r="AH290" i="1" s="1"/>
  <c r="AG290" i="1" s="1"/>
  <c r="AF290" i="1" s="1"/>
  <c r="AI123" i="1"/>
  <c r="AH123" i="1" s="1"/>
  <c r="AG123" i="1" s="1"/>
  <c r="AF123" i="1" s="1"/>
  <c r="AI333" i="1"/>
  <c r="AH333" i="1" s="1"/>
  <c r="AG333" i="1" s="1"/>
  <c r="AF333" i="1" s="1"/>
  <c r="AI347" i="1"/>
  <c r="AH347" i="1" s="1"/>
  <c r="AG347" i="1" s="1"/>
  <c r="AF347" i="1" s="1"/>
  <c r="AI49" i="1"/>
  <c r="AH49" i="1" s="1"/>
  <c r="AG49" i="1" s="1"/>
  <c r="AF49" i="1" s="1"/>
  <c r="AD49" i="1" s="1"/>
  <c r="AI344" i="1"/>
  <c r="AH344" i="1" s="1"/>
  <c r="AG344" i="1" s="1"/>
  <c r="AF344" i="1" s="1"/>
  <c r="AD344" i="1" s="1"/>
  <c r="AI356" i="1"/>
  <c r="AH356" i="1" s="1"/>
  <c r="AG356" i="1" s="1"/>
  <c r="AF356" i="1" s="1"/>
  <c r="AI226" i="1"/>
  <c r="AH226" i="1" s="1"/>
  <c r="AG226" i="1" s="1"/>
  <c r="AF226" i="1" s="1"/>
  <c r="AD226" i="1" s="1"/>
  <c r="AI95" i="1"/>
  <c r="AH95" i="1" s="1"/>
  <c r="AG95" i="1" s="1"/>
  <c r="AF95" i="1" s="1"/>
  <c r="AI186" i="1"/>
  <c r="AH186" i="1" s="1"/>
  <c r="AG186" i="1" s="1"/>
  <c r="AF186" i="1" s="1"/>
  <c r="AI274" i="1"/>
  <c r="AH274" i="1" s="1"/>
  <c r="AG274" i="1" s="1"/>
  <c r="AF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D43" i="1" s="1"/>
  <c r="AI192" i="1"/>
  <c r="AH192" i="1" s="1"/>
  <c r="AG192" i="1" s="1"/>
  <c r="AF192" i="1" s="1"/>
  <c r="AD192" i="1" s="1"/>
  <c r="AI28" i="1"/>
  <c r="AH28" i="1" s="1"/>
  <c r="AG28" i="1" s="1"/>
  <c r="AF28" i="1" s="1"/>
  <c r="AD28" i="1" s="1"/>
  <c r="AI160" i="1"/>
  <c r="AH160" i="1" s="1"/>
  <c r="AG160" i="1" s="1"/>
  <c r="AF160" i="1" s="1"/>
  <c r="AD160" i="1" s="1"/>
  <c r="AI55" i="1"/>
  <c r="AH55" i="1" s="1"/>
  <c r="AG55" i="1" s="1"/>
  <c r="AF55" i="1" s="1"/>
  <c r="AI378" i="1"/>
  <c r="AH378" i="1" s="1"/>
  <c r="AG378" i="1" s="1"/>
  <c r="AF378" i="1" s="1"/>
  <c r="AD378" i="1" s="1"/>
  <c r="AI47" i="1"/>
  <c r="AH47" i="1" s="1"/>
  <c r="AG47" i="1" s="1"/>
  <c r="AF47" i="1" s="1"/>
  <c r="AD47" i="1" s="1"/>
  <c r="AI21" i="1"/>
  <c r="AH21" i="1" s="1"/>
  <c r="AG21" i="1" s="1"/>
  <c r="AF21" i="1" s="1"/>
  <c r="AI140" i="1"/>
  <c r="AH140" i="1" s="1"/>
  <c r="AG140" i="1" s="1"/>
  <c r="AF140" i="1" s="1"/>
  <c r="AI178" i="1"/>
  <c r="AH178" i="1" s="1"/>
  <c r="AG178" i="1" s="1"/>
  <c r="AF178" i="1" s="1"/>
  <c r="AD178" i="1" s="1"/>
  <c r="AI367" i="1"/>
  <c r="AH367" i="1" s="1"/>
  <c r="AG367" i="1" s="1"/>
  <c r="AF367" i="1" s="1"/>
  <c r="AD367" i="1" s="1"/>
  <c r="AI61" i="1"/>
  <c r="AH61" i="1" s="1"/>
  <c r="AG61" i="1" s="1"/>
  <c r="AF61" i="1" s="1"/>
  <c r="AI305" i="1"/>
  <c r="AH305" i="1" s="1"/>
  <c r="AG305" i="1" s="1"/>
  <c r="AF305" i="1" s="1"/>
  <c r="AI237" i="1"/>
  <c r="AH237" i="1" s="1"/>
  <c r="AG237" i="1" s="1"/>
  <c r="AF237" i="1" s="1"/>
  <c r="AI228" i="1"/>
  <c r="AH228" i="1" s="1"/>
  <c r="AG228" i="1" s="1"/>
  <c r="AF228" i="1" s="1"/>
  <c r="AD228" i="1" s="1"/>
  <c r="L11" i="20"/>
  <c r="AC16" i="15"/>
  <c r="AC15" i="15"/>
  <c r="Q17" i="1"/>
  <c r="Q18" i="1"/>
  <c r="U18" i="1"/>
  <c r="T18" i="1" s="1"/>
  <c r="S18" i="1" s="1"/>
  <c r="R18" i="1" s="1"/>
  <c r="U15" i="1"/>
  <c r="T15" i="1" s="1"/>
  <c r="S15" i="1" s="1"/>
  <c r="Q15" i="1"/>
  <c r="Q16" i="1"/>
  <c r="U16" i="1"/>
  <c r="T16" i="1" s="1"/>
  <c r="S16" i="1" s="1"/>
  <c r="R16" i="1" s="1"/>
  <c r="U17" i="1"/>
  <c r="T17" i="1" s="1"/>
  <c r="S17" i="1" s="1"/>
  <c r="R17" i="1" s="1"/>
  <c r="L12" i="19"/>
  <c r="P10" i="15"/>
  <c r="AE11" i="15"/>
  <c r="AI11" i="15"/>
  <c r="G42" i="27"/>
  <c r="AE77" i="27"/>
  <c r="P78" i="27"/>
  <c r="G41" i="27" s="1"/>
  <c r="AI11" i="16"/>
  <c r="AE11" i="16"/>
  <c r="L13" i="19"/>
  <c r="P10" i="16"/>
  <c r="A19" i="16"/>
  <c r="AB18" i="16"/>
  <c r="L18" i="16"/>
  <c r="AK18" i="16"/>
  <c r="K18" i="16"/>
  <c r="X18" i="16"/>
  <c r="AJ18" i="16"/>
  <c r="AA11" i="7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276" i="1"/>
  <c r="AF276" i="1" s="1"/>
  <c r="AD276" i="1" s="1"/>
  <c r="AG144" i="1"/>
  <c r="AF144" i="1" s="1"/>
  <c r="AG16" i="1"/>
  <c r="AF16" i="1" s="1"/>
  <c r="AD16" i="1" s="1"/>
  <c r="AG31" i="1"/>
  <c r="AF31" i="1" s="1"/>
  <c r="AD31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L16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39" i="1"/>
  <c r="AF239" i="1" s="1"/>
  <c r="AD239" i="1" s="1"/>
  <c r="S19" i="1"/>
  <c r="R19" i="1" s="1"/>
  <c r="P19" i="1" s="1"/>
  <c r="V19" i="1" s="1"/>
  <c r="AG119" i="1"/>
  <c r="AF119" i="1" s="1"/>
  <c r="AD119" i="1" s="1"/>
  <c r="AG73" i="1"/>
  <c r="AF73" i="1" s="1"/>
  <c r="AD73" i="1" s="1"/>
  <c r="I13" i="7"/>
  <c r="O10" i="7" s="1"/>
  <c r="O16" i="15"/>
  <c r="O18" i="15"/>
  <c r="O19" i="15"/>
  <c r="O15" i="15"/>
  <c r="O17" i="15"/>
  <c r="P12" i="18"/>
  <c r="F8" i="18"/>
  <c r="AK380" i="18"/>
  <c r="AK15" i="18"/>
  <c r="L1" i="23"/>
  <c r="J1" i="24"/>
  <c r="V14" i="23"/>
  <c r="A15" i="23"/>
  <c r="Y14" i="23"/>
  <c r="A18" i="19"/>
  <c r="F14" i="23"/>
  <c r="H6" i="6"/>
  <c r="AQ3" i="7"/>
  <c r="X1" i="23"/>
  <c r="AG320" i="1"/>
  <c r="AF320" i="1" s="1"/>
  <c r="AD170" i="1" l="1"/>
  <c r="AD144" i="1"/>
  <c r="AD222" i="1"/>
  <c r="AD332" i="1"/>
  <c r="AD62" i="1"/>
  <c r="AD188" i="1"/>
  <c r="AD249" i="1"/>
  <c r="AD158" i="1"/>
  <c r="AD130" i="1"/>
  <c r="AD346" i="1"/>
  <c r="AD320" i="1"/>
  <c r="AD348" i="1"/>
  <c r="AZ12" i="6"/>
  <c r="AC12" i="16"/>
  <c r="AC19" i="16" s="1"/>
  <c r="O11" i="16"/>
  <c r="P13" i="7" s="1"/>
  <c r="O12" i="16"/>
  <c r="Q13" i="7" s="1"/>
  <c r="O9" i="18"/>
  <c r="AJ15" i="17"/>
  <c r="AJ380" i="17"/>
  <c r="T13" i="7"/>
  <c r="AJ16" i="17"/>
  <c r="F7" i="17"/>
  <c r="AJ17" i="17"/>
  <c r="AC9" i="16"/>
  <c r="AZ13" i="6"/>
  <c r="AD237" i="1"/>
  <c r="AD61" i="1"/>
  <c r="AD21" i="1"/>
  <c r="AD274" i="1"/>
  <c r="AD95" i="1"/>
  <c r="AD356" i="1"/>
  <c r="AD333" i="1"/>
  <c r="AD290" i="1"/>
  <c r="AD99" i="1"/>
  <c r="AD128" i="1"/>
  <c r="AD98" i="1"/>
  <c r="AD112" i="1"/>
  <c r="AD135" i="1"/>
  <c r="AD369" i="1"/>
  <c r="AD171" i="1"/>
  <c r="AD34" i="1"/>
  <c r="AD96" i="1"/>
  <c r="AD328" i="1"/>
  <c r="AD69" i="1"/>
  <c r="AD176" i="1"/>
  <c r="AD136" i="1"/>
  <c r="AD78" i="1"/>
  <c r="AD375" i="1"/>
  <c r="AD127" i="1"/>
  <c r="AD147" i="1"/>
  <c r="AD68" i="1"/>
  <c r="AD232" i="1"/>
  <c r="AD104" i="1"/>
  <c r="AD255" i="1"/>
  <c r="AD45" i="1"/>
  <c r="AD80" i="1"/>
  <c r="AD75" i="1"/>
  <c r="AD142" i="1"/>
  <c r="AD227" i="1"/>
  <c r="AD315" i="1"/>
  <c r="AD270" i="1"/>
  <c r="AD41" i="1"/>
  <c r="AD240" i="1"/>
  <c r="AD342" i="1"/>
  <c r="AD35" i="1"/>
  <c r="AD91" i="1"/>
  <c r="AD126" i="1"/>
  <c r="AD269" i="1"/>
  <c r="AD168" i="1"/>
  <c r="AD252" i="1"/>
  <c r="AD299" i="1"/>
  <c r="AD200" i="1"/>
  <c r="AD65" i="1"/>
  <c r="AD216" i="1"/>
  <c r="AD308" i="1"/>
  <c r="AD102" i="1"/>
  <c r="AD164" i="1"/>
  <c r="AD156" i="1"/>
  <c r="AD155" i="1"/>
  <c r="AD285" i="1"/>
  <c r="AD279" i="1"/>
  <c r="AD260" i="1"/>
  <c r="AD19" i="1"/>
  <c r="AD70" i="1"/>
  <c r="AD63" i="1"/>
  <c r="AD303" i="1"/>
  <c r="AD203" i="1"/>
  <c r="AD132" i="1"/>
  <c r="AD18" i="1"/>
  <c r="AD262" i="1"/>
  <c r="AD196" i="1"/>
  <c r="AD72" i="1"/>
  <c r="AD101" i="1"/>
  <c r="AD266" i="1"/>
  <c r="AD189" i="1"/>
  <c r="AD42" i="1"/>
  <c r="AD53" i="1"/>
  <c r="AD261" i="1"/>
  <c r="AD326" i="1"/>
  <c r="AD150" i="1"/>
  <c r="AD88" i="1"/>
  <c r="AD182" i="1"/>
  <c r="AD258" i="1"/>
  <c r="AD368" i="1"/>
  <c r="AD57" i="1"/>
  <c r="AD214" i="1"/>
  <c r="AD321" i="1"/>
  <c r="AD151" i="1"/>
  <c r="AD355" i="1"/>
  <c r="AD198" i="1"/>
  <c r="AD206" i="1"/>
  <c r="P17" i="1"/>
  <c r="V17" i="1" s="1"/>
  <c r="AD305" i="1"/>
  <c r="AD140" i="1"/>
  <c r="AD55" i="1"/>
  <c r="AD186" i="1"/>
  <c r="AD347" i="1"/>
  <c r="AD123" i="1"/>
  <c r="AD40" i="1"/>
  <c r="AD24" i="1"/>
  <c r="AD81" i="1"/>
  <c r="AD281" i="1"/>
  <c r="AD172" i="1"/>
  <c r="AD87" i="1"/>
  <c r="AD174" i="1"/>
  <c r="AD244" i="1"/>
  <c r="AD273" i="1"/>
  <c r="AD341" i="1"/>
  <c r="AD365" i="1"/>
  <c r="AD254" i="1"/>
  <c r="AD306" i="1"/>
  <c r="AD169" i="1"/>
  <c r="AD210" i="1"/>
  <c r="AD185" i="1"/>
  <c r="AD58" i="1"/>
  <c r="AD259" i="1"/>
  <c r="AD167" i="1"/>
  <c r="AD220" i="1"/>
  <c r="AD153" i="1"/>
  <c r="AD121" i="1"/>
  <c r="AD292" i="1"/>
  <c r="AD268" i="1"/>
  <c r="AD337" i="1"/>
  <c r="AD23" i="1"/>
  <c r="AD157" i="1"/>
  <c r="AD103" i="1"/>
  <c r="AD177" i="1"/>
  <c r="AD231" i="1"/>
  <c r="AD318" i="1"/>
  <c r="AD108" i="1"/>
  <c r="AD316" i="1"/>
  <c r="AD77" i="1"/>
  <c r="AD76" i="1"/>
  <c r="AD265" i="1"/>
  <c r="AD115" i="1"/>
  <c r="AD93" i="1"/>
  <c r="AD323" i="1"/>
  <c r="AD353" i="1"/>
  <c r="AD329" i="1"/>
  <c r="AD84" i="1"/>
  <c r="AD267" i="1"/>
  <c r="AD54" i="1"/>
  <c r="AD125" i="1"/>
  <c r="AD287" i="1"/>
  <c r="AD149" i="1"/>
  <c r="AD250" i="1"/>
  <c r="AD105" i="1"/>
  <c r="AD350" i="1"/>
  <c r="AD310" i="1"/>
  <c r="AD183" i="1"/>
  <c r="AD364" i="1"/>
  <c r="AD193" i="1"/>
  <c r="AD187" i="1"/>
  <c r="AD280" i="1"/>
  <c r="AD253" i="1"/>
  <c r="AD184" i="1"/>
  <c r="AD377" i="1"/>
  <c r="AD374" i="1"/>
  <c r="AD373" i="1"/>
  <c r="AD275" i="1"/>
  <c r="AD56" i="1"/>
  <c r="AD27" i="1"/>
  <c r="AD117" i="1"/>
  <c r="AD351" i="1"/>
  <c r="AD311" i="1"/>
  <c r="AD66" i="1"/>
  <c r="I17" i="1"/>
  <c r="L11" i="22"/>
  <c r="AH17" i="1"/>
  <c r="AG52" i="1"/>
  <c r="AF52" i="1" s="1"/>
  <c r="AD52" i="1" s="1"/>
  <c r="AG39" i="1"/>
  <c r="AF39" i="1" s="1"/>
  <c r="AD39" i="1" s="1"/>
  <c r="AG370" i="1"/>
  <c r="AF370" i="1" s="1"/>
  <c r="AD370" i="1" s="1"/>
  <c r="AG143" i="1"/>
  <c r="AF143" i="1" s="1"/>
  <c r="AD143" i="1" s="1"/>
  <c r="AE381" i="1"/>
  <c r="AE382" i="1"/>
  <c r="AE383" i="1"/>
  <c r="P16" i="1"/>
  <c r="V16" i="1" s="1"/>
  <c r="P18" i="1"/>
  <c r="AI381" i="1"/>
  <c r="AI382" i="1"/>
  <c r="AH15" i="1"/>
  <c r="AI383" i="1"/>
  <c r="AI12" i="15"/>
  <c r="AH379" i="1"/>
  <c r="AG379" i="1" s="1"/>
  <c r="AF379" i="1" s="1"/>
  <c r="AD379" i="1" s="1"/>
  <c r="AG116" i="1"/>
  <c r="AF116" i="1" s="1"/>
  <c r="AD116" i="1" s="1"/>
  <c r="AG199" i="1"/>
  <c r="AF199" i="1" s="1"/>
  <c r="AD199" i="1" s="1"/>
  <c r="AG83" i="1"/>
  <c r="AF83" i="1" s="1"/>
  <c r="AD83" i="1" s="1"/>
  <c r="AG74" i="1"/>
  <c r="AF74" i="1" s="1"/>
  <c r="AD74" i="1" s="1"/>
  <c r="AC19" i="15"/>
  <c r="A20" i="15"/>
  <c r="X19" i="15"/>
  <c r="K19" i="15"/>
  <c r="AB19" i="15"/>
  <c r="AK19" i="15"/>
  <c r="AJ19" i="15"/>
  <c r="L19" i="15"/>
  <c r="AR57" i="27"/>
  <c r="AP57" i="27"/>
  <c r="AE79" i="27"/>
  <c r="AV57" i="27"/>
  <c r="AT57" i="27"/>
  <c r="AE78" i="27"/>
  <c r="P79" i="27"/>
  <c r="Q11" i="18"/>
  <c r="AG11" i="7"/>
  <c r="Q11" i="20" s="1"/>
  <c r="AB19" i="16"/>
  <c r="AK19" i="16"/>
  <c r="K19" i="16"/>
  <c r="X19" i="16"/>
  <c r="AJ19" i="16"/>
  <c r="A20" i="16"/>
  <c r="L19" i="16"/>
  <c r="I19" i="1"/>
  <c r="K15" i="23"/>
  <c r="A16" i="23"/>
  <c r="X15" i="23"/>
  <c r="AB15" i="23"/>
  <c r="A15" i="24"/>
  <c r="L1" i="24"/>
  <c r="J1" i="25"/>
  <c r="AW3" i="7"/>
  <c r="F14" i="24"/>
  <c r="A19" i="19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E8" i="16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K13" i="19" l="1"/>
  <c r="K37" i="19" s="1"/>
  <c r="AJ15" i="18"/>
  <c r="AJ16" i="18"/>
  <c r="AJ380" i="18"/>
  <c r="F7" i="18"/>
  <c r="Z13" i="7"/>
  <c r="AJ17" i="18"/>
  <c r="AJ18" i="18"/>
  <c r="AC9" i="17"/>
  <c r="AC12" i="17"/>
  <c r="O12" i="17"/>
  <c r="W13" i="7" s="1"/>
  <c r="O11" i="17"/>
  <c r="V13" i="7" s="1"/>
  <c r="O9" i="20"/>
  <c r="AJ18" i="20" s="1"/>
  <c r="AC17" i="16"/>
  <c r="AC15" i="16"/>
  <c r="AC16" i="16"/>
  <c r="AC18" i="16"/>
  <c r="AA19" i="1"/>
  <c r="Z19" i="1" s="1"/>
  <c r="Y19" i="1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H381" i="1"/>
  <c r="AH382" i="1"/>
  <c r="AG15" i="1"/>
  <c r="AH383" i="1"/>
  <c r="I16" i="1"/>
  <c r="L11" i="23"/>
  <c r="AA16" i="1"/>
  <c r="Z16" i="1" s="1"/>
  <c r="Y16" i="1" s="1"/>
  <c r="AB20" i="15"/>
  <c r="AJ20" i="15"/>
  <c r="AK20" i="15"/>
  <c r="AC20" i="15"/>
  <c r="X20" i="15"/>
  <c r="A21" i="15"/>
  <c r="L20" i="15"/>
  <c r="K20" i="15"/>
  <c r="O20" i="15"/>
  <c r="V18" i="1"/>
  <c r="AG17" i="1"/>
  <c r="AF17" i="1" s="1"/>
  <c r="AD17" i="1" s="1"/>
  <c r="AA17" i="1" s="1"/>
  <c r="Z17" i="1" s="1"/>
  <c r="Y17" i="1" s="1"/>
  <c r="AN56" i="27"/>
  <c r="AM11" i="7"/>
  <c r="K20" i="16"/>
  <c r="A21" i="16"/>
  <c r="L20" i="16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D21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15" i="25"/>
  <c r="L1" i="25"/>
  <c r="V14" i="25"/>
  <c r="J6" i="6"/>
  <c r="X1" i="25"/>
  <c r="F14" i="25"/>
  <c r="Y14" i="25"/>
  <c r="A16" i="24"/>
  <c r="K15" i="24"/>
  <c r="X15" i="24"/>
  <c r="AB15" i="24"/>
  <c r="AC20" i="17" l="1"/>
  <c r="O9" i="22"/>
  <c r="AJ16" i="20"/>
  <c r="F7" i="20"/>
  <c r="AJ380" i="20"/>
  <c r="AJ15" i="20"/>
  <c r="AF13" i="7"/>
  <c r="AJ17" i="20"/>
  <c r="O12" i="18"/>
  <c r="AC13" i="7" s="1"/>
  <c r="AC9" i="18"/>
  <c r="AC12" i="18"/>
  <c r="O11" i="18"/>
  <c r="AB13" i="7" s="1"/>
  <c r="AK59" i="27"/>
  <c r="AK64" i="27"/>
  <c r="AK67" i="27"/>
  <c r="AK66" i="27"/>
  <c r="AK68" i="27"/>
  <c r="AK65" i="27"/>
  <c r="AK69" i="27"/>
  <c r="AK62" i="27"/>
  <c r="AK61" i="27"/>
  <c r="AK58" i="27"/>
  <c r="AK63" i="27"/>
  <c r="AK57" i="27"/>
  <c r="AK60" i="27"/>
  <c r="I18" i="1"/>
  <c r="AA18" i="1"/>
  <c r="Z18" i="1" s="1"/>
  <c r="Y18" i="1" s="1"/>
  <c r="L21" i="15"/>
  <c r="K21" i="15"/>
  <c r="AK21" i="15"/>
  <c r="AB21" i="15"/>
  <c r="O21" i="15"/>
  <c r="X21" i="15"/>
  <c r="AJ21" i="15"/>
  <c r="A22" i="15"/>
  <c r="AC21" i="15"/>
  <c r="L11" i="24"/>
  <c r="AG381" i="1"/>
  <c r="AG382" i="1"/>
  <c r="AG383" i="1"/>
  <c r="AF15" i="1"/>
  <c r="AK70" i="27"/>
  <c r="AK56" i="27"/>
  <c r="AK72" i="27"/>
  <c r="AK73" i="27"/>
  <c r="AK71" i="27"/>
  <c r="AK74" i="27"/>
  <c r="AK75" i="27"/>
  <c r="AK76" i="27"/>
  <c r="AK77" i="27"/>
  <c r="AK78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K79" i="27"/>
  <c r="AC15" i="17"/>
  <c r="AC16" i="17"/>
  <c r="AC19" i="17"/>
  <c r="AC17" i="17"/>
  <c r="AC18" i="17"/>
  <c r="K21" i="16"/>
  <c r="L21" i="16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K23" i="1"/>
  <c r="AJ23" i="1"/>
  <c r="O23" i="1"/>
  <c r="L23" i="1"/>
  <c r="AC23" i="1"/>
  <c r="K23" i="1"/>
  <c r="AB23" i="1"/>
  <c r="A24" i="1"/>
  <c r="X23" i="1"/>
  <c r="Q23" i="1"/>
  <c r="U23" i="1"/>
  <c r="V15" i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E21" i="1"/>
  <c r="D22" i="1"/>
  <c r="V22" i="1"/>
  <c r="L12" i="24"/>
  <c r="L15" i="24" s="1"/>
  <c r="O17" i="16"/>
  <c r="O20" i="16"/>
  <c r="O13" i="7"/>
  <c r="U10" i="7" s="1"/>
  <c r="O19" i="16"/>
  <c r="O21" i="16"/>
  <c r="O18" i="16"/>
  <c r="O15" i="16"/>
  <c r="O16" i="16"/>
  <c r="AY11" i="7" l="1"/>
  <c r="Q11" i="24" s="1"/>
  <c r="AJ15" i="22"/>
  <c r="AJ16" i="22"/>
  <c r="F7" i="22"/>
  <c r="AL13" i="7"/>
  <c r="AJ17" i="22"/>
  <c r="E7" i="17"/>
  <c r="E8" i="17"/>
  <c r="AJ18" i="22"/>
  <c r="AC9" i="20"/>
  <c r="O11" i="20"/>
  <c r="AH13" i="7" s="1"/>
  <c r="AC12" i="20"/>
  <c r="O12" i="20"/>
  <c r="AI13" i="7" s="1"/>
  <c r="O9" i="23"/>
  <c r="AM60" i="27"/>
  <c r="AL60" i="27"/>
  <c r="AL63" i="27"/>
  <c r="AM63" i="27"/>
  <c r="AM61" i="27"/>
  <c r="AL61" i="27"/>
  <c r="AM69" i="27"/>
  <c r="AL69" i="27"/>
  <c r="AM68" i="27"/>
  <c r="AL68" i="27"/>
  <c r="AL67" i="27"/>
  <c r="AM67" i="27"/>
  <c r="AM59" i="27"/>
  <c r="AL59" i="27"/>
  <c r="AM57" i="27"/>
  <c r="AL57" i="27"/>
  <c r="AM58" i="27"/>
  <c r="AL58" i="27"/>
  <c r="AM62" i="27"/>
  <c r="AL62" i="27"/>
  <c r="AL65" i="27"/>
  <c r="AM65" i="27"/>
  <c r="AL66" i="27"/>
  <c r="AM66" i="27"/>
  <c r="AL64" i="27"/>
  <c r="AM64" i="27"/>
  <c r="AF381" i="1"/>
  <c r="AF383" i="1"/>
  <c r="AF382" i="1"/>
  <c r="AD15" i="1"/>
  <c r="AA15" i="1" s="1"/>
  <c r="Z15" i="1" s="1"/>
  <c r="L11" i="25"/>
  <c r="O22" i="15"/>
  <c r="L22" i="15"/>
  <c r="AK22" i="15"/>
  <c r="AJ22" i="15"/>
  <c r="AC22" i="15"/>
  <c r="A23" i="15"/>
  <c r="K22" i="15"/>
  <c r="X22" i="15"/>
  <c r="AB22" i="15"/>
  <c r="AM79" i="27"/>
  <c r="AL79" i="27"/>
  <c r="AM78" i="27"/>
  <c r="AL78" i="27"/>
  <c r="AM76" i="27"/>
  <c r="AL76" i="27"/>
  <c r="AM74" i="27"/>
  <c r="AL74" i="27"/>
  <c r="AM73" i="27"/>
  <c r="AL73" i="27"/>
  <c r="AM56" i="27"/>
  <c r="AL56" i="27"/>
  <c r="AM77" i="27"/>
  <c r="AL77" i="27"/>
  <c r="AL75" i="27"/>
  <c r="AM75" i="27"/>
  <c r="AM71" i="27"/>
  <c r="AL71" i="27"/>
  <c r="AM72" i="27"/>
  <c r="AL72" i="27"/>
  <c r="AM70" i="27"/>
  <c r="AL70" i="27"/>
  <c r="L16" i="24"/>
  <c r="R21" i="1"/>
  <c r="A23" i="16"/>
  <c r="L22" i="16"/>
  <c r="K22" i="16"/>
  <c r="AJ22" i="16"/>
  <c r="O22" i="16"/>
  <c r="AB22" i="16"/>
  <c r="X22" i="16"/>
  <c r="AK22" i="16"/>
  <c r="AC22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D23" i="1"/>
  <c r="E23" i="1" s="1"/>
  <c r="A23" i="17"/>
  <c r="K22" i="17"/>
  <c r="X22" i="17"/>
  <c r="AB22" i="17"/>
  <c r="L22" i="17"/>
  <c r="AJ22" i="17"/>
  <c r="AK22" i="17"/>
  <c r="AC22" i="17"/>
  <c r="E22" i="1"/>
  <c r="F22" i="1" s="1"/>
  <c r="P11" i="25"/>
  <c r="AK16" i="25" s="1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BE11" i="7" l="1"/>
  <c r="Q11" i="25" s="1"/>
  <c r="K14" i="19"/>
  <c r="K38" i="19" s="1"/>
  <c r="AJ380" i="23"/>
  <c r="AJ16" i="23"/>
  <c r="F7" i="23"/>
  <c r="AR13" i="7"/>
  <c r="AJ15" i="23"/>
  <c r="AJ17" i="23"/>
  <c r="O10" i="17"/>
  <c r="O23" i="17" s="1"/>
  <c r="AC10" i="17"/>
  <c r="AC22" i="18" s="1"/>
  <c r="AJ18" i="23"/>
  <c r="O9" i="24"/>
  <c r="AJ18" i="24" s="1"/>
  <c r="AC9" i="22"/>
  <c r="O11" i="22"/>
  <c r="AN13" i="7" s="1"/>
  <c r="AC12" i="22"/>
  <c r="O12" i="22"/>
  <c r="AO13" i="7" s="1"/>
  <c r="AJ64" i="27"/>
  <c r="Y64" i="27" s="1"/>
  <c r="AJ66" i="27"/>
  <c r="W66" i="27" s="1"/>
  <c r="AJ65" i="27"/>
  <c r="Y65" i="27" s="1"/>
  <c r="AJ58" i="27"/>
  <c r="AJ59" i="27"/>
  <c r="R59" i="27" s="1"/>
  <c r="AJ67" i="27"/>
  <c r="U67" i="27" s="1"/>
  <c r="AJ68" i="27"/>
  <c r="T68" i="27" s="1"/>
  <c r="AJ61" i="27"/>
  <c r="U61" i="27" s="1"/>
  <c r="AJ63" i="27"/>
  <c r="V63" i="27" s="1"/>
  <c r="Z66" i="27"/>
  <c r="V66" i="27"/>
  <c r="Y66" i="27"/>
  <c r="R65" i="27"/>
  <c r="X58" i="27"/>
  <c r="S58" i="27"/>
  <c r="V58" i="27"/>
  <c r="T58" i="27"/>
  <c r="Z58" i="27"/>
  <c r="U58" i="27"/>
  <c r="W58" i="27"/>
  <c r="R58" i="27"/>
  <c r="Y58" i="27"/>
  <c r="AA58" i="27"/>
  <c r="Q58" i="27"/>
  <c r="V59" i="27"/>
  <c r="Z67" i="27"/>
  <c r="W67" i="27"/>
  <c r="R67" i="27"/>
  <c r="W61" i="27"/>
  <c r="AA61" i="27"/>
  <c r="AJ62" i="27"/>
  <c r="AJ57" i="27"/>
  <c r="AJ69" i="27"/>
  <c r="AJ60" i="27"/>
  <c r="AJ70" i="27"/>
  <c r="Q70" i="27" s="1"/>
  <c r="AJ72" i="27"/>
  <c r="W72" i="27" s="1"/>
  <c r="AJ71" i="27"/>
  <c r="X71" i="27" s="1"/>
  <c r="AJ77" i="27"/>
  <c r="X77" i="27" s="1"/>
  <c r="AJ56" i="27"/>
  <c r="R56" i="27" s="1"/>
  <c r="AJ73" i="27"/>
  <c r="AA73" i="27" s="1"/>
  <c r="AJ74" i="27"/>
  <c r="S74" i="27" s="1"/>
  <c r="AJ76" i="27"/>
  <c r="V76" i="27" s="1"/>
  <c r="AJ78" i="27"/>
  <c r="U78" i="27" s="1"/>
  <c r="AJ79" i="27"/>
  <c r="W79" i="27" s="1"/>
  <c r="AD383" i="1"/>
  <c r="AD381" i="1"/>
  <c r="AD382" i="1"/>
  <c r="L23" i="15"/>
  <c r="AK23" i="15"/>
  <c r="AB23" i="15"/>
  <c r="K23" i="15"/>
  <c r="O23" i="15"/>
  <c r="A24" i="15"/>
  <c r="AJ23" i="15"/>
  <c r="X23" i="15"/>
  <c r="AC23" i="15"/>
  <c r="AJ75" i="27"/>
  <c r="U70" i="27"/>
  <c r="AA70" i="27"/>
  <c r="S71" i="27"/>
  <c r="Z77" i="27"/>
  <c r="R77" i="27"/>
  <c r="AA77" i="27"/>
  <c r="AA56" i="27"/>
  <c r="Z56" i="27"/>
  <c r="X56" i="27"/>
  <c r="U56" i="27"/>
  <c r="Q56" i="27"/>
  <c r="T56" i="27"/>
  <c r="Q74" i="27"/>
  <c r="S78" i="27"/>
  <c r="T78" i="27"/>
  <c r="W78" i="27"/>
  <c r="R78" i="27"/>
  <c r="Z78" i="27"/>
  <c r="X78" i="27"/>
  <c r="U79" i="27"/>
  <c r="T79" i="27"/>
  <c r="Y79" i="27"/>
  <c r="R79" i="27"/>
  <c r="V79" i="27"/>
  <c r="Z79" i="27"/>
  <c r="P21" i="1"/>
  <c r="K23" i="16"/>
  <c r="X23" i="16"/>
  <c r="AK23" i="16"/>
  <c r="AC23" i="16"/>
  <c r="AB23" i="16"/>
  <c r="A24" i="16"/>
  <c r="L23" i="16"/>
  <c r="AJ23" i="16"/>
  <c r="O23" i="16"/>
  <c r="I22" i="1"/>
  <c r="B22" i="6" s="1"/>
  <c r="G22" i="1"/>
  <c r="BW22" i="6" s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D24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AE11" i="24"/>
  <c r="L19" i="19"/>
  <c r="AI11" i="24"/>
  <c r="K17" i="25"/>
  <c r="L17" i="25"/>
  <c r="A18" i="25"/>
  <c r="X17" i="25"/>
  <c r="AB17" i="25"/>
  <c r="AK17" i="25"/>
  <c r="BK11" i="7"/>
  <c r="BL11" i="7"/>
  <c r="BJ15" i="7"/>
  <c r="AK380" i="25"/>
  <c r="F8" i="25"/>
  <c r="P12" i="25"/>
  <c r="AK15" i="25"/>
  <c r="K23" i="17"/>
  <c r="A24" i="17"/>
  <c r="L23" i="17"/>
  <c r="AB23" i="17"/>
  <c r="X23" i="17"/>
  <c r="AJ23" i="17"/>
  <c r="AK23" i="17"/>
  <c r="AC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O9" i="25" l="1"/>
  <c r="U13" i="7"/>
  <c r="AA10" i="7" s="1"/>
  <c r="O20" i="17"/>
  <c r="O21" i="17"/>
  <c r="O18" i="17"/>
  <c r="O16" i="17"/>
  <c r="O17" i="17"/>
  <c r="O15" i="17"/>
  <c r="O19" i="17"/>
  <c r="O22" i="17"/>
  <c r="O12" i="23"/>
  <c r="AU13" i="7" s="1"/>
  <c r="O11" i="23"/>
  <c r="AT13" i="7" s="1"/>
  <c r="AC9" i="23"/>
  <c r="AC12" i="23"/>
  <c r="AJ15" i="24"/>
  <c r="AJ16" i="24"/>
  <c r="F7" i="24"/>
  <c r="AX13" i="7"/>
  <c r="AJ380" i="24"/>
  <c r="AJ17" i="24"/>
  <c r="AC15" i="18"/>
  <c r="AC16" i="18"/>
  <c r="AC17" i="18"/>
  <c r="AC18" i="18"/>
  <c r="AC19" i="18"/>
  <c r="AC20" i="18"/>
  <c r="AC21" i="18"/>
  <c r="V61" i="27"/>
  <c r="Z61" i="27"/>
  <c r="Q61" i="27"/>
  <c r="X67" i="27"/>
  <c r="S67" i="27"/>
  <c r="Q67" i="27"/>
  <c r="AA66" i="27"/>
  <c r="AB65" i="27" s="1"/>
  <c r="AC65" i="27" s="1"/>
  <c r="AF66" i="27" s="1"/>
  <c r="P66" i="27" s="1"/>
  <c r="Q66" i="27"/>
  <c r="R66" i="27"/>
  <c r="AA76" i="27"/>
  <c r="AB76" i="27" s="1"/>
  <c r="AC76" i="27" s="1"/>
  <c r="AD76" i="27" s="1"/>
  <c r="S72" i="27"/>
  <c r="T63" i="27"/>
  <c r="Y68" i="27"/>
  <c r="W64" i="27"/>
  <c r="X74" i="27"/>
  <c r="Q71" i="27"/>
  <c r="Y70" i="27"/>
  <c r="Y63" i="27"/>
  <c r="V68" i="27"/>
  <c r="T59" i="27"/>
  <c r="X65" i="27"/>
  <c r="T64" i="27"/>
  <c r="R61" i="27"/>
  <c r="T61" i="27"/>
  <c r="X61" i="27"/>
  <c r="Y61" i="27"/>
  <c r="S61" i="27"/>
  <c r="AA67" i="27"/>
  <c r="Y67" i="27"/>
  <c r="V67" i="27"/>
  <c r="T67" i="27"/>
  <c r="X66" i="27"/>
  <c r="T66" i="27"/>
  <c r="U66" i="27"/>
  <c r="S66" i="27"/>
  <c r="T76" i="27"/>
  <c r="Y73" i="27"/>
  <c r="V72" i="27"/>
  <c r="R63" i="27"/>
  <c r="S63" i="27"/>
  <c r="U63" i="27"/>
  <c r="AA68" i="27"/>
  <c r="U68" i="27"/>
  <c r="W68" i="27"/>
  <c r="Q59" i="27"/>
  <c r="W59" i="27"/>
  <c r="AA59" i="27"/>
  <c r="V65" i="27"/>
  <c r="T65" i="27"/>
  <c r="Z65" i="27"/>
  <c r="V64" i="27"/>
  <c r="R64" i="27"/>
  <c r="Z64" i="27"/>
  <c r="S77" i="27"/>
  <c r="U77" i="27"/>
  <c r="V77" i="27"/>
  <c r="U76" i="27"/>
  <c r="T73" i="27"/>
  <c r="R73" i="27"/>
  <c r="Y72" i="27"/>
  <c r="Q63" i="27"/>
  <c r="W63" i="27"/>
  <c r="X63" i="27"/>
  <c r="AA63" i="27"/>
  <c r="Z63" i="27"/>
  <c r="Z68" i="27"/>
  <c r="Q68" i="27"/>
  <c r="R68" i="27"/>
  <c r="X68" i="27"/>
  <c r="S68" i="27"/>
  <c r="U59" i="27"/>
  <c r="S59" i="27"/>
  <c r="X59" i="27"/>
  <c r="Z59" i="27"/>
  <c r="Y59" i="27"/>
  <c r="Q65" i="27"/>
  <c r="W65" i="27"/>
  <c r="AA65" i="27"/>
  <c r="U65" i="27"/>
  <c r="S65" i="27"/>
  <c r="S64" i="27"/>
  <c r="X64" i="27"/>
  <c r="AA64" i="27"/>
  <c r="Q64" i="27"/>
  <c r="U64" i="27"/>
  <c r="AB67" i="27"/>
  <c r="AC67" i="27" s="1"/>
  <c r="AD67" i="27" s="1"/>
  <c r="AB58" i="27"/>
  <c r="AC58" i="27" s="1"/>
  <c r="AD58" i="27" s="1"/>
  <c r="T74" i="27"/>
  <c r="Z74" i="27"/>
  <c r="R74" i="27"/>
  <c r="R71" i="27"/>
  <c r="V71" i="27"/>
  <c r="AA71" i="27"/>
  <c r="AB70" i="27" s="1"/>
  <c r="AC70" i="27" s="1"/>
  <c r="AD70" i="27" s="1"/>
  <c r="R70" i="27"/>
  <c r="X70" i="27"/>
  <c r="S70" i="27"/>
  <c r="X76" i="27"/>
  <c r="S76" i="27"/>
  <c r="Y76" i="27"/>
  <c r="U73" i="27"/>
  <c r="S73" i="27"/>
  <c r="Z73" i="27"/>
  <c r="Q72" i="27"/>
  <c r="Z72" i="27"/>
  <c r="AA72" i="27"/>
  <c r="AB72" i="27" s="1"/>
  <c r="AC72" i="27" s="1"/>
  <c r="AD72" i="27" s="1"/>
  <c r="X60" i="27"/>
  <c r="Q60" i="27"/>
  <c r="W60" i="27"/>
  <c r="U60" i="27"/>
  <c r="AA60" i="27"/>
  <c r="AB60" i="27" s="1"/>
  <c r="AC60" i="27" s="1"/>
  <c r="AD60" i="27" s="1"/>
  <c r="V60" i="27"/>
  <c r="S60" i="27"/>
  <c r="T60" i="27"/>
  <c r="Y60" i="27"/>
  <c r="Z60" i="27"/>
  <c r="R60" i="27"/>
  <c r="T57" i="27"/>
  <c r="Q57" i="27"/>
  <c r="Z57" i="27"/>
  <c r="W57" i="27"/>
  <c r="S57" i="27"/>
  <c r="X57" i="27"/>
  <c r="AA57" i="27"/>
  <c r="AB57" i="27" s="1"/>
  <c r="AC57" i="27" s="1"/>
  <c r="AD57" i="27" s="1"/>
  <c r="R57" i="27"/>
  <c r="V57" i="27"/>
  <c r="Y57" i="27"/>
  <c r="U57" i="27"/>
  <c r="Y78" i="27"/>
  <c r="Q78" i="27"/>
  <c r="V78" i="27"/>
  <c r="AA78" i="27"/>
  <c r="AB77" i="27" s="1"/>
  <c r="AC77" i="27" s="1"/>
  <c r="AD77" i="27" s="1"/>
  <c r="W74" i="27"/>
  <c r="V74" i="27"/>
  <c r="AA74" i="27"/>
  <c r="AB73" i="27" s="1"/>
  <c r="AC73" i="27" s="1"/>
  <c r="AD73" i="27" s="1"/>
  <c r="U74" i="27"/>
  <c r="Y74" i="27"/>
  <c r="V56" i="27"/>
  <c r="W56" i="27"/>
  <c r="Y56" i="27"/>
  <c r="S56" i="27"/>
  <c r="Y71" i="27"/>
  <c r="Z71" i="27"/>
  <c r="W71" i="27"/>
  <c r="T71" i="27"/>
  <c r="U71" i="27"/>
  <c r="Z70" i="27"/>
  <c r="T70" i="27"/>
  <c r="V70" i="27"/>
  <c r="W70" i="27"/>
  <c r="X69" i="27"/>
  <c r="U69" i="27"/>
  <c r="S69" i="27"/>
  <c r="T69" i="27"/>
  <c r="Q69" i="27"/>
  <c r="R69" i="27"/>
  <c r="Y69" i="27"/>
  <c r="AA69" i="27"/>
  <c r="AB68" i="27" s="1"/>
  <c r="AC68" i="27" s="1"/>
  <c r="AF69" i="27" s="1"/>
  <c r="P69" i="27" s="1"/>
  <c r="W69" i="27"/>
  <c r="Z69" i="27"/>
  <c r="V69" i="27"/>
  <c r="S62" i="27"/>
  <c r="T62" i="27"/>
  <c r="U62" i="27"/>
  <c r="AA62" i="27"/>
  <c r="Z62" i="27"/>
  <c r="Y62" i="27"/>
  <c r="R62" i="27"/>
  <c r="X62" i="27"/>
  <c r="Q62" i="27"/>
  <c r="W62" i="27"/>
  <c r="V62" i="27"/>
  <c r="X79" i="27"/>
  <c r="S79" i="27"/>
  <c r="Q79" i="27"/>
  <c r="AA79" i="27"/>
  <c r="AB79" i="27" s="1"/>
  <c r="AC79" i="27" s="1"/>
  <c r="AD79" i="27" s="1"/>
  <c r="R76" i="27"/>
  <c r="W76" i="27"/>
  <c r="Z76" i="27"/>
  <c r="Q76" i="27"/>
  <c r="Q73" i="27"/>
  <c r="V73" i="27"/>
  <c r="W73" i="27"/>
  <c r="X73" i="27"/>
  <c r="W77" i="27"/>
  <c r="Q77" i="27"/>
  <c r="Y77" i="27"/>
  <c r="T77" i="27"/>
  <c r="T72" i="27"/>
  <c r="U72" i="27"/>
  <c r="R72" i="27"/>
  <c r="X72" i="27"/>
  <c r="AB24" i="15"/>
  <c r="AK24" i="15"/>
  <c r="X24" i="15"/>
  <c r="A25" i="15"/>
  <c r="O24" i="15"/>
  <c r="L24" i="15"/>
  <c r="AJ24" i="15"/>
  <c r="K24" i="15"/>
  <c r="AC24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K24" i="16"/>
  <c r="AJ24" i="16"/>
  <c r="O24" i="16"/>
  <c r="AB24" i="16"/>
  <c r="AC24" i="16"/>
  <c r="X24" i="16"/>
  <c r="AK24" i="16"/>
  <c r="V21" i="1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E24" i="1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T25" i="1"/>
  <c r="D25" i="1"/>
  <c r="E25" i="1" s="1"/>
  <c r="S24" i="1"/>
  <c r="R24" i="1" s="1"/>
  <c r="P24" i="1" s="1"/>
  <c r="V24" i="1" s="1"/>
  <c r="A20" i="24"/>
  <c r="K19" i="24"/>
  <c r="AB19" i="24"/>
  <c r="L19" i="24"/>
  <c r="X19" i="24"/>
  <c r="AJ19" i="24"/>
  <c r="AK19" i="24"/>
  <c r="AC12" i="24" l="1"/>
  <c r="O11" i="24"/>
  <c r="AZ13" i="7" s="1"/>
  <c r="O12" i="24"/>
  <c r="BA13" i="7" s="1"/>
  <c r="AC9" i="24"/>
  <c r="E7" i="18"/>
  <c r="E8" i="18"/>
  <c r="AJ16" i="25"/>
  <c r="F7" i="25"/>
  <c r="BD13" i="7"/>
  <c r="AJ17" i="25"/>
  <c r="AJ380" i="25"/>
  <c r="AJ15" i="25"/>
  <c r="AB66" i="27"/>
  <c r="AC66" i="27" s="1"/>
  <c r="AB75" i="27"/>
  <c r="AC75" i="27" s="1"/>
  <c r="AD75" i="27" s="1"/>
  <c r="AB59" i="27"/>
  <c r="AC59" i="27" s="1"/>
  <c r="AD59" i="27" s="1"/>
  <c r="AB62" i="27"/>
  <c r="AC62" i="27" s="1"/>
  <c r="AD62" i="27" s="1"/>
  <c r="AB64" i="27"/>
  <c r="AC64" i="27" s="1"/>
  <c r="AD64" i="27" s="1"/>
  <c r="AB63" i="27"/>
  <c r="AC63" i="27" s="1"/>
  <c r="AD63" i="27" s="1"/>
  <c r="AB69" i="27"/>
  <c r="AC69" i="27" s="1"/>
  <c r="AB71" i="27"/>
  <c r="AC71" i="27" s="1"/>
  <c r="AD71" i="27" s="1"/>
  <c r="G33" i="27"/>
  <c r="AD69" i="27" s="1"/>
  <c r="G32" i="27"/>
  <c r="AD68" i="27" s="1"/>
  <c r="AB56" i="27"/>
  <c r="AC56" i="27" s="1"/>
  <c r="AD56" i="27" s="1"/>
  <c r="G30" i="27"/>
  <c r="G29" i="27"/>
  <c r="AD65" i="27" s="1"/>
  <c r="AB61" i="27"/>
  <c r="AC61" i="27" s="1"/>
  <c r="AD61" i="27" s="1"/>
  <c r="F24" i="1"/>
  <c r="AA24" i="1" s="1"/>
  <c r="Z24" i="1" s="1"/>
  <c r="Y24" i="1" s="1"/>
  <c r="AB78" i="27"/>
  <c r="AC78" i="27" s="1"/>
  <c r="AD78" i="27" s="1"/>
  <c r="AJ25" i="15"/>
  <c r="L25" i="15"/>
  <c r="K25" i="15"/>
  <c r="AK25" i="15"/>
  <c r="O25" i="15"/>
  <c r="A26" i="15"/>
  <c r="AB25" i="15"/>
  <c r="X25" i="15"/>
  <c r="AC25" i="15"/>
  <c r="A82" i="27" a="1"/>
  <c r="Z84" i="27" s="1"/>
  <c r="AB74" i="27"/>
  <c r="AC74" i="27" s="1"/>
  <c r="AD74" i="27" s="1"/>
  <c r="F21" i="1"/>
  <c r="P23" i="1"/>
  <c r="X25" i="16"/>
  <c r="L25" i="16"/>
  <c r="K25" i="16"/>
  <c r="AK25" i="16"/>
  <c r="O25" i="16"/>
  <c r="AB25" i="16"/>
  <c r="A26" i="16"/>
  <c r="AJ25" i="16"/>
  <c r="AC25" i="16"/>
  <c r="G24" i="1"/>
  <c r="BW24" i="6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D26" i="1"/>
  <c r="E26" i="1" s="1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K15" i="19" l="1"/>
  <c r="K39" i="19" s="1"/>
  <c r="O12" i="25"/>
  <c r="BG13" i="7" s="1"/>
  <c r="O11" i="25"/>
  <c r="BF13" i="7" s="1"/>
  <c r="AC9" i="25"/>
  <c r="AC12" i="25"/>
  <c r="O10" i="18"/>
  <c r="O25" i="18" s="1"/>
  <c r="AC10" i="18"/>
  <c r="AC24" i="20" s="1"/>
  <c r="F25" i="1"/>
  <c r="AA25" i="1" s="1"/>
  <c r="Z25" i="1" s="1"/>
  <c r="Y25" i="1" s="1"/>
  <c r="I24" i="1"/>
  <c r="B24" i="6" s="1"/>
  <c r="AD66" i="27"/>
  <c r="X26" i="15"/>
  <c r="L26" i="15"/>
  <c r="AC26" i="15"/>
  <c r="K26" i="15"/>
  <c r="O26" i="15"/>
  <c r="AB26" i="15"/>
  <c r="AJ26" i="15"/>
  <c r="A27" i="15"/>
  <c r="AK26" i="15"/>
  <c r="E93" i="27"/>
  <c r="L91" i="27"/>
  <c r="X87" i="27"/>
  <c r="D93" i="27"/>
  <c r="G88" i="27"/>
  <c r="K85" i="27"/>
  <c r="W93" i="27"/>
  <c r="K92" i="27"/>
  <c r="O83" i="27"/>
  <c r="Y94" i="27"/>
  <c r="H82" i="27"/>
  <c r="J91" i="27"/>
  <c r="S88" i="27"/>
  <c r="J93" i="27"/>
  <c r="V82" i="27"/>
  <c r="P94" i="27"/>
  <c r="P86" i="27"/>
  <c r="F90" i="27"/>
  <c r="Z83" i="27"/>
  <c r="F92" i="27"/>
  <c r="S85" i="27"/>
  <c r="G91" i="27"/>
  <c r="C90" i="27"/>
  <c r="G83" i="27"/>
  <c r="P85" i="27"/>
  <c r="T93" i="27"/>
  <c r="Q82" i="27"/>
  <c r="G85" i="27"/>
  <c r="L85" i="27"/>
  <c r="R87" i="27"/>
  <c r="J88" i="27"/>
  <c r="N86" i="27"/>
  <c r="S91" i="27"/>
  <c r="W84" i="27"/>
  <c r="E83" i="27"/>
  <c r="C92" i="27"/>
  <c r="C86" i="27"/>
  <c r="R92" i="27"/>
  <c r="V93" i="27"/>
  <c r="T84" i="27"/>
  <c r="V94" i="27"/>
  <c r="Z85" i="27"/>
  <c r="K82" i="27"/>
  <c r="A88" i="27"/>
  <c r="Z86" i="27"/>
  <c r="C94" i="27"/>
  <c r="F84" i="27"/>
  <c r="U94" i="27"/>
  <c r="S90" i="27"/>
  <c r="L82" i="27"/>
  <c r="H87" i="27"/>
  <c r="F93" i="27"/>
  <c r="V88" i="27"/>
  <c r="K83" i="27"/>
  <c r="N87" i="27"/>
  <c r="H86" i="27"/>
  <c r="B92" i="27"/>
  <c r="I83" i="27"/>
  <c r="Z94" i="27"/>
  <c r="H92" i="27"/>
  <c r="Z93" i="27"/>
  <c r="Z87" i="27"/>
  <c r="T87" i="27"/>
  <c r="M82" i="27"/>
  <c r="O93" i="27"/>
  <c r="L90" i="27"/>
  <c r="W88" i="27"/>
  <c r="A94" i="27"/>
  <c r="E92" i="27"/>
  <c r="D94" i="27"/>
  <c r="J85" i="27"/>
  <c r="D88" i="27"/>
  <c r="X86" i="27"/>
  <c r="Q94" i="27"/>
  <c r="R82" i="27"/>
  <c r="Y91" i="27"/>
  <c r="K84" i="27"/>
  <c r="H89" i="27"/>
  <c r="T91" i="27"/>
  <c r="H94" i="27"/>
  <c r="J92" i="27"/>
  <c r="J89" i="27"/>
  <c r="H88" i="27"/>
  <c r="O87" i="27"/>
  <c r="T85" i="27"/>
  <c r="N85" i="27"/>
  <c r="R83" i="27"/>
  <c r="I82" i="27"/>
  <c r="D91" i="27"/>
  <c r="W83" i="27"/>
  <c r="M94" i="27"/>
  <c r="L87" i="27"/>
  <c r="K89" i="27"/>
  <c r="M86" i="27"/>
  <c r="X94" i="27"/>
  <c r="U84" i="27"/>
  <c r="M90" i="27"/>
  <c r="O84" i="27"/>
  <c r="N90" i="27"/>
  <c r="O90" i="27"/>
  <c r="F89" i="27"/>
  <c r="I88" i="27"/>
  <c r="D85" i="27"/>
  <c r="G94" i="27"/>
  <c r="N84" i="27"/>
  <c r="N82" i="27"/>
  <c r="J90" i="27"/>
  <c r="R84" i="27"/>
  <c r="H93" i="27"/>
  <c r="O91" i="27"/>
  <c r="O82" i="27"/>
  <c r="R91" i="27"/>
  <c r="J94" i="27"/>
  <c r="S82" i="27"/>
  <c r="V84" i="27"/>
  <c r="B84" i="27"/>
  <c r="V85" i="27"/>
  <c r="B94" i="27"/>
  <c r="O94" i="27"/>
  <c r="I87" i="27"/>
  <c r="Y92" i="27"/>
  <c r="Z88" i="27"/>
  <c r="W94" i="27"/>
  <c r="P87" i="27"/>
  <c r="D86" i="27"/>
  <c r="O92" i="27"/>
  <c r="F91" i="27"/>
  <c r="N94" i="27"/>
  <c r="Y85" i="27"/>
  <c r="U85" i="27"/>
  <c r="R94" i="27"/>
  <c r="B83" i="27"/>
  <c r="A86" i="27"/>
  <c r="S89" i="27"/>
  <c r="K87" i="27"/>
  <c r="Y87" i="27"/>
  <c r="M92" i="27"/>
  <c r="E94" i="27"/>
  <c r="E82" i="27"/>
  <c r="Y84" i="27"/>
  <c r="K91" i="27"/>
  <c r="B85" i="27"/>
  <c r="S93" i="27"/>
  <c r="W82" i="27"/>
  <c r="S84" i="27"/>
  <c r="K94" i="27"/>
  <c r="C87" i="27"/>
  <c r="E89" i="27"/>
  <c r="D84" i="27"/>
  <c r="D89" i="27"/>
  <c r="I90" i="27"/>
  <c r="A87" i="27"/>
  <c r="I85" i="27"/>
  <c r="P93" i="27"/>
  <c r="W85" i="27"/>
  <c r="D87" i="27"/>
  <c r="N88" i="27"/>
  <c r="Q85" i="27"/>
  <c r="Z90" i="27"/>
  <c r="N89" i="27"/>
  <c r="N93" i="27"/>
  <c r="B91" i="27"/>
  <c r="F94" i="27"/>
  <c r="Q90" i="27"/>
  <c r="G84" i="27"/>
  <c r="G86" i="27"/>
  <c r="G92" i="27"/>
  <c r="A90" i="27"/>
  <c r="C89" i="27"/>
  <c r="B88" i="27"/>
  <c r="L84" i="27"/>
  <c r="P90" i="27"/>
  <c r="U92" i="27"/>
  <c r="G82" i="27"/>
  <c r="W86" i="27"/>
  <c r="B90" i="27"/>
  <c r="E91" i="27"/>
  <c r="I93" i="27"/>
  <c r="Y82" i="27"/>
  <c r="P84" i="27"/>
  <c r="E87" i="27"/>
  <c r="I89" i="27"/>
  <c r="S87" i="27"/>
  <c r="D83" i="27"/>
  <c r="C83" i="27"/>
  <c r="X85" i="27"/>
  <c r="R90" i="27"/>
  <c r="Q83" i="27"/>
  <c r="B86" i="27"/>
  <c r="W87" i="27"/>
  <c r="H84" i="27"/>
  <c r="C84" i="27"/>
  <c r="K88" i="27"/>
  <c r="E90" i="27"/>
  <c r="Q86" i="27"/>
  <c r="W92" i="27"/>
  <c r="U83" i="27"/>
  <c r="T82" i="27"/>
  <c r="T83" i="27"/>
  <c r="I86" i="27"/>
  <c r="B89" i="27"/>
  <c r="V92" i="27"/>
  <c r="Q88" i="27"/>
  <c r="A91" i="27"/>
  <c r="R93" i="27"/>
  <c r="L83" i="27"/>
  <c r="F86" i="27"/>
  <c r="Z91" i="27"/>
  <c r="Q87" i="27"/>
  <c r="X88" i="27"/>
  <c r="P92" i="27"/>
  <c r="R89" i="27"/>
  <c r="O88" i="27"/>
  <c r="X89" i="27"/>
  <c r="U90" i="27"/>
  <c r="U89" i="27"/>
  <c r="K86" i="27"/>
  <c r="O89" i="27"/>
  <c r="U93" i="27"/>
  <c r="Y90" i="27"/>
  <c r="C85" i="27"/>
  <c r="Q91" i="27"/>
  <c r="E88" i="27"/>
  <c r="L93" i="27"/>
  <c r="I91" i="27"/>
  <c r="U87" i="27"/>
  <c r="U82" i="27"/>
  <c r="H83" i="27"/>
  <c r="Y86" i="27"/>
  <c r="Z89" i="27"/>
  <c r="W91" i="27"/>
  <c r="L86" i="27"/>
  <c r="I94" i="27"/>
  <c r="T92" i="27"/>
  <c r="G87" i="27"/>
  <c r="U88" i="27"/>
  <c r="C91" i="27"/>
  <c r="G93" i="27"/>
  <c r="X93" i="27"/>
  <c r="F87" i="27"/>
  <c r="R88" i="27"/>
  <c r="Y83" i="27"/>
  <c r="A83" i="27"/>
  <c r="M85" i="27"/>
  <c r="P91" i="27"/>
  <c r="F83" i="27"/>
  <c r="Y89" i="27"/>
  <c r="X90" i="27"/>
  <c r="U86" i="27"/>
  <c r="U91" i="27"/>
  <c r="V91" i="27"/>
  <c r="F88" i="27"/>
  <c r="J84" i="27"/>
  <c r="A93" i="27"/>
  <c r="S94" i="27"/>
  <c r="Z92" i="27"/>
  <c r="C82" i="27"/>
  <c r="X83" i="27"/>
  <c r="K90" i="27"/>
  <c r="B93" i="27"/>
  <c r="E85" i="27"/>
  <c r="A89" i="27"/>
  <c r="P89" i="27"/>
  <c r="T88" i="27"/>
  <c r="C93" i="27"/>
  <c r="J82" i="27"/>
  <c r="M83" i="27"/>
  <c r="V87" i="27"/>
  <c r="Y93" i="27"/>
  <c r="E84" i="27"/>
  <c r="M91" i="27"/>
  <c r="P82" i="27"/>
  <c r="F85" i="27"/>
  <c r="N83" i="27"/>
  <c r="O85" i="27"/>
  <c r="X84" i="27"/>
  <c r="V90" i="27"/>
  <c r="I84" i="27"/>
  <c r="B87" i="27"/>
  <c r="C88" i="27"/>
  <c r="Q93" i="27"/>
  <c r="T89" i="27"/>
  <c r="R86" i="27"/>
  <c r="A84" i="27"/>
  <c r="L92" i="27"/>
  <c r="S86" i="27"/>
  <c r="M88" i="27"/>
  <c r="N92" i="27"/>
  <c r="W90" i="27"/>
  <c r="E86" i="27"/>
  <c r="O86" i="27"/>
  <c r="I92" i="27"/>
  <c r="P88" i="27"/>
  <c r="A92" i="27"/>
  <c r="Z82" i="27"/>
  <c r="A85" i="27"/>
  <c r="W89" i="27"/>
  <c r="X82" i="27"/>
  <c r="M84" i="27"/>
  <c r="H91" i="27"/>
  <c r="L88" i="27"/>
  <c r="D92" i="27"/>
  <c r="H90" i="27"/>
  <c r="Q84" i="27"/>
  <c r="L94" i="27"/>
  <c r="K93" i="27"/>
  <c r="M89" i="27"/>
  <c r="T86" i="27"/>
  <c r="A82" i="27"/>
  <c r="H85" i="27"/>
  <c r="V86" i="27"/>
  <c r="T90" i="27"/>
  <c r="J83" i="27"/>
  <c r="B82" i="27"/>
  <c r="Q89" i="27"/>
  <c r="Y88" i="27"/>
  <c r="F82" i="27"/>
  <c r="J86" i="27"/>
  <c r="T94" i="27"/>
  <c r="D82" i="27"/>
  <c r="N91" i="27"/>
  <c r="P83" i="27"/>
  <c r="D90" i="27"/>
  <c r="L89" i="27"/>
  <c r="M87" i="27"/>
  <c r="M93" i="27"/>
  <c r="G90" i="27"/>
  <c r="J87" i="27"/>
  <c r="R85" i="27"/>
  <c r="V83" i="27"/>
  <c r="X92" i="27"/>
  <c r="S83" i="27"/>
  <c r="S92" i="27"/>
  <c r="X91" i="27"/>
  <c r="G89" i="27"/>
  <c r="V89" i="27"/>
  <c r="Q92" i="27"/>
  <c r="V23" i="1"/>
  <c r="AB26" i="16"/>
  <c r="L26" i="16"/>
  <c r="AK26" i="16"/>
  <c r="AC26" i="16"/>
  <c r="A27" i="16"/>
  <c r="X26" i="16"/>
  <c r="K26" i="16"/>
  <c r="AJ26" i="16"/>
  <c r="O26" i="16"/>
  <c r="AA21" i="1"/>
  <c r="G21" i="1"/>
  <c r="BW21" i="6" s="1"/>
  <c r="I21" i="1"/>
  <c r="B21" i="6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F26" i="1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D27" i="1"/>
  <c r="E27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AA13" i="7" l="1"/>
  <c r="AG10" i="7" s="1"/>
  <c r="O17" i="18"/>
  <c r="O15" i="18"/>
  <c r="O18" i="18"/>
  <c r="O16" i="18"/>
  <c r="O19" i="18"/>
  <c r="O20" i="18"/>
  <c r="O21" i="18"/>
  <c r="O22" i="18"/>
  <c r="O23" i="18"/>
  <c r="O24" i="18"/>
  <c r="AC15" i="20"/>
  <c r="AC17" i="20"/>
  <c r="AC18" i="20"/>
  <c r="AC20" i="20"/>
  <c r="AC21" i="20"/>
  <c r="AC16" i="20"/>
  <c r="AC19" i="20"/>
  <c r="AC22" i="20"/>
  <c r="AC23" i="20"/>
  <c r="G25" i="1"/>
  <c r="BW25" i="6" s="1"/>
  <c r="I25" i="1"/>
  <c r="B25" i="6" s="1"/>
  <c r="K27" i="15"/>
  <c r="X27" i="15"/>
  <c r="A28" i="15"/>
  <c r="AK27" i="15"/>
  <c r="AC27" i="15"/>
  <c r="AB27" i="15"/>
  <c r="AJ27" i="15"/>
  <c r="L27" i="15"/>
  <c r="O27" i="15"/>
  <c r="F27" i="1"/>
  <c r="AA27" i="1" s="1"/>
  <c r="Z27" i="1" s="1"/>
  <c r="Y27" i="1" s="1"/>
  <c r="Z21" i="1"/>
  <c r="X27" i="16"/>
  <c r="L27" i="16"/>
  <c r="AJ27" i="16"/>
  <c r="AC27" i="16"/>
  <c r="A28" i="16"/>
  <c r="AB27" i="16"/>
  <c r="K27" i="16"/>
  <c r="AK27" i="16"/>
  <c r="O27" i="16"/>
  <c r="F23" i="1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D28" i="1"/>
  <c r="E28" i="1" s="1"/>
  <c r="X21" i="25"/>
  <c r="K21" i="25"/>
  <c r="AB21" i="25"/>
  <c r="A22" i="25"/>
  <c r="L21" i="25"/>
  <c r="AJ21" i="25"/>
  <c r="AK21" i="25"/>
  <c r="I26" i="1"/>
  <c r="B26" i="6" s="1"/>
  <c r="AA26" i="1"/>
  <c r="Z26" i="1" s="1"/>
  <c r="Y26" i="1" s="1"/>
  <c r="G26" i="1"/>
  <c r="BW26" i="6" s="1"/>
  <c r="A24" i="23"/>
  <c r="K23" i="23"/>
  <c r="L23" i="23"/>
  <c r="X23" i="23"/>
  <c r="AB23" i="23"/>
  <c r="AJ23" i="23"/>
  <c r="AK23" i="23"/>
  <c r="E8" i="20" l="1"/>
  <c r="E7" i="20"/>
  <c r="G27" i="1"/>
  <c r="BW27" i="6" s="1"/>
  <c r="I27" i="1"/>
  <c r="B27" i="6" s="1"/>
  <c r="A29" i="15"/>
  <c r="K28" i="15"/>
  <c r="L28" i="15"/>
  <c r="AJ28" i="15"/>
  <c r="O28" i="15"/>
  <c r="X28" i="15"/>
  <c r="AK28" i="15"/>
  <c r="AB28" i="15"/>
  <c r="AC28" i="15"/>
  <c r="Y21" i="1"/>
  <c r="P28" i="1"/>
  <c r="I23" i="1"/>
  <c r="B23" i="6" s="1"/>
  <c r="G23" i="1"/>
  <c r="BW23" i="6" s="1"/>
  <c r="AA23" i="1"/>
  <c r="K28" i="16"/>
  <c r="L28" i="16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D29" i="1"/>
  <c r="E29" i="1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K16" i="19" l="1"/>
  <c r="O10" i="20"/>
  <c r="O27" i="20" s="1"/>
  <c r="AC10" i="20"/>
  <c r="A32" i="7"/>
  <c r="A30" i="15"/>
  <c r="AC29" i="15"/>
  <c r="L29" i="15"/>
  <c r="AK29" i="15"/>
  <c r="X29" i="15"/>
  <c r="AJ29" i="15"/>
  <c r="K29" i="15"/>
  <c r="AB29" i="15"/>
  <c r="O29" i="15"/>
  <c r="C32" i="7" s="1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D30" i="1"/>
  <c r="E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AC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K40" i="19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8" i="20"/>
  <c r="O15" i="20"/>
  <c r="O16" i="20"/>
  <c r="O17" i="20"/>
  <c r="O19" i="20"/>
  <c r="O20" i="20"/>
  <c r="O21" i="20"/>
  <c r="O22" i="20"/>
  <c r="O23" i="20"/>
  <c r="O24" i="20"/>
  <c r="O25" i="20"/>
  <c r="O26" i="20"/>
  <c r="F29" i="1"/>
  <c r="G29" i="1" s="1"/>
  <c r="BW29" i="6" s="1"/>
  <c r="B32" i="7"/>
  <c r="X30" i="15"/>
  <c r="K30" i="15"/>
  <c r="AC30" i="15"/>
  <c r="L30" i="15"/>
  <c r="O30" i="15"/>
  <c r="A31" i="15"/>
  <c r="AK30" i="15"/>
  <c r="AB30" i="15"/>
  <c r="AJ30" i="15"/>
  <c r="V30" i="1"/>
  <c r="X30" i="16"/>
  <c r="AB30" i="16"/>
  <c r="A31" i="16"/>
  <c r="AJ30" i="16"/>
  <c r="O30" i="16"/>
  <c r="K30" i="16"/>
  <c r="L30" i="16"/>
  <c r="AK30" i="16"/>
  <c r="AC30" i="16"/>
  <c r="F28" i="1"/>
  <c r="Y23" i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D31" i="1"/>
  <c r="E31" i="1" s="1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E7" i="22" l="1"/>
  <c r="E8" i="22"/>
  <c r="K17" i="19" s="1"/>
  <c r="K41" i="19" s="1"/>
  <c r="AA29" i="1"/>
  <c r="Z29" i="1" s="1"/>
  <c r="Y29" i="1" s="1"/>
  <c r="I29" i="1"/>
  <c r="B29" i="6" s="1"/>
  <c r="F30" i="1"/>
  <c r="I30" i="1" s="1"/>
  <c r="B30" i="6" s="1"/>
  <c r="K31" i="15"/>
  <c r="AJ31" i="15"/>
  <c r="AB31" i="15"/>
  <c r="AK31" i="15"/>
  <c r="L31" i="15"/>
  <c r="X31" i="15"/>
  <c r="AC31" i="15"/>
  <c r="A32" i="15"/>
  <c r="O31" i="15"/>
  <c r="I28" i="1"/>
  <c r="B28" i="6" s="1"/>
  <c r="G28" i="1"/>
  <c r="BW28" i="6" s="1"/>
  <c r="AA28" i="1"/>
  <c r="AB31" i="16"/>
  <c r="X31" i="16"/>
  <c r="K31" i="16"/>
  <c r="AJ31" i="16"/>
  <c r="O31" i="16"/>
  <c r="A32" i="16"/>
  <c r="L31" i="16"/>
  <c r="AK31" i="16"/>
  <c r="AC31" i="16"/>
  <c r="AA30" i="1"/>
  <c r="Z30" i="1" s="1"/>
  <c r="Y30" i="1" s="1"/>
  <c r="D32" i="1"/>
  <c r="E32" i="1" s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AC10" i="22" l="1"/>
  <c r="O10" i="22"/>
  <c r="G30" i="1"/>
  <c r="BW30" i="6" s="1"/>
  <c r="K32" i="15"/>
  <c r="AB32" i="15"/>
  <c r="O32" i="15"/>
  <c r="A33" i="15"/>
  <c r="AC32" i="15"/>
  <c r="X32" i="15"/>
  <c r="AJ32" i="15"/>
  <c r="L32" i="15"/>
  <c r="AK32" i="15"/>
  <c r="F32" i="1"/>
  <c r="G32" i="1" s="1"/>
  <c r="BW32" i="6" s="1"/>
  <c r="Z28" i="1"/>
  <c r="A33" i="16"/>
  <c r="K32" i="16"/>
  <c r="AK32" i="16"/>
  <c r="AC32" i="16"/>
  <c r="X32" i="16"/>
  <c r="AB32" i="16"/>
  <c r="L32" i="16"/>
  <c r="AJ32" i="16"/>
  <c r="O32" i="16"/>
  <c r="V31" i="1"/>
  <c r="AA32" i="1"/>
  <c r="Z32" i="1" s="1"/>
  <c r="Y32" i="1" s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AC28" i="23"/>
  <c r="S33" i="1"/>
  <c r="R33" i="1" s="1"/>
  <c r="P33" i="1" s="1"/>
  <c r="V33" i="1" s="1"/>
  <c r="D33" i="1"/>
  <c r="E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O27" i="22"/>
  <c r="O15" i="22"/>
  <c r="O19" i="22"/>
  <c r="O16" i="22"/>
  <c r="O22" i="22"/>
  <c r="O24" i="22"/>
  <c r="O26" i="22"/>
  <c r="AM13" i="7"/>
  <c r="AS10" i="7" s="1"/>
  <c r="O17" i="22"/>
  <c r="O18" i="22"/>
  <c r="O20" i="22"/>
  <c r="O21" i="22"/>
  <c r="O23" i="22"/>
  <c r="O25" i="22"/>
  <c r="O28" i="22"/>
  <c r="AC26" i="23"/>
  <c r="AC19" i="23"/>
  <c r="AC17" i="23"/>
  <c r="AC15" i="23"/>
  <c r="AC23" i="23"/>
  <c r="AC25" i="23"/>
  <c r="AC27" i="23"/>
  <c r="AC18" i="23"/>
  <c r="AC20" i="23"/>
  <c r="AC16" i="23"/>
  <c r="AC21" i="23"/>
  <c r="AC22" i="23"/>
  <c r="AC24" i="23"/>
  <c r="I32" i="1"/>
  <c r="B32" i="6" s="1"/>
  <c r="K33" i="15"/>
  <c r="AJ33" i="15"/>
  <c r="AB33" i="15"/>
  <c r="AK33" i="15"/>
  <c r="L33" i="15"/>
  <c r="X33" i="15"/>
  <c r="AC33" i="15"/>
  <c r="A34" i="15"/>
  <c r="O33" i="15"/>
  <c r="F31" i="1"/>
  <c r="G31" i="1" s="1"/>
  <c r="BW31" i="6" s="1"/>
  <c r="K33" i="16"/>
  <c r="L33" i="16"/>
  <c r="AJ33" i="16"/>
  <c r="AC33" i="16"/>
  <c r="A34" i="16"/>
  <c r="X33" i="16"/>
  <c r="O33" i="16"/>
  <c r="AB33" i="16"/>
  <c r="AK33" i="16"/>
  <c r="Y28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D34" i="1"/>
  <c r="E34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F33" i="1"/>
  <c r="AF32" i="7"/>
  <c r="X30" i="22"/>
  <c r="L30" i="22"/>
  <c r="A31" i="22"/>
  <c r="K30" i="22"/>
  <c r="AB30" i="22"/>
  <c r="AK30" i="22"/>
  <c r="AJ30" i="22"/>
  <c r="O30" i="22"/>
  <c r="AC30" i="22"/>
  <c r="E8" i="23" l="1"/>
  <c r="K18" i="19" s="1"/>
  <c r="K42" i="19" s="1"/>
  <c r="E7" i="23"/>
  <c r="AA31" i="1"/>
  <c r="Z31" i="1" s="1"/>
  <c r="I31" i="1"/>
  <c r="B31" i="6" s="1"/>
  <c r="AB34" i="15"/>
  <c r="AK34" i="15"/>
  <c r="L34" i="15"/>
  <c r="K34" i="15"/>
  <c r="AC34" i="15"/>
  <c r="X34" i="15"/>
  <c r="O34" i="15"/>
  <c r="A35" i="15"/>
  <c r="AJ34" i="15"/>
  <c r="A35" i="16"/>
  <c r="X34" i="16"/>
  <c r="L34" i="16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D35" i="1"/>
  <c r="E35" i="1" s="1"/>
  <c r="A34" i="18"/>
  <c r="K33" i="18"/>
  <c r="X33" i="18"/>
  <c r="AB33" i="18"/>
  <c r="L33" i="18"/>
  <c r="AK33" i="18"/>
  <c r="O33" i="18"/>
  <c r="AJ33" i="18"/>
  <c r="AC33" i="18"/>
  <c r="G33" i="1"/>
  <c r="BW33" i="6" s="1"/>
  <c r="AA33" i="1"/>
  <c r="Z33" i="1" s="1"/>
  <c r="Y33" i="1" s="1"/>
  <c r="I33" i="1"/>
  <c r="B33" i="6" s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F34" i="1"/>
  <c r="AB36" i="1"/>
  <c r="L36" i="1"/>
  <c r="A37" i="1"/>
  <c r="AK36" i="1"/>
  <c r="X36" i="1"/>
  <c r="O36" i="1"/>
  <c r="K36" i="1"/>
  <c r="AJ36" i="1"/>
  <c r="Q36" i="1"/>
  <c r="AC36" i="1"/>
  <c r="U36" i="1"/>
  <c r="O10" i="23" l="1"/>
  <c r="AC10" i="23"/>
  <c r="K35" i="15"/>
  <c r="AK35" i="15"/>
  <c r="A36" i="15"/>
  <c r="AB35" i="15"/>
  <c r="AC35" i="15"/>
  <c r="L35" i="15"/>
  <c r="O35" i="15"/>
  <c r="X35" i="15"/>
  <c r="AJ35" i="15"/>
  <c r="Y31" i="1"/>
  <c r="L35" i="16"/>
  <c r="K35" i="16"/>
  <c r="AK35" i="16"/>
  <c r="AC35" i="16"/>
  <c r="A36" i="16"/>
  <c r="AB35" i="16"/>
  <c r="X35" i="16"/>
  <c r="AJ35" i="16"/>
  <c r="O35" i="16"/>
  <c r="D36" i="1"/>
  <c r="E36" i="1" s="1"/>
  <c r="G34" i="1"/>
  <c r="BW34" i="6" s="1"/>
  <c r="I34" i="1"/>
  <c r="B34" i="6" s="1"/>
  <c r="AA34" i="1"/>
  <c r="Z34" i="1" s="1"/>
  <c r="Y34" i="1" s="1"/>
  <c r="F35" i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29" i="24"/>
  <c r="AC16" i="24"/>
  <c r="AC20" i="24"/>
  <c r="AC24" i="24"/>
  <c r="AC18" i="24"/>
  <c r="AC21" i="24"/>
  <c r="AC25" i="24"/>
  <c r="AC30" i="24"/>
  <c r="AS13" i="7"/>
  <c r="AY10" i="7" s="1"/>
  <c r="O18" i="23"/>
  <c r="O21" i="23"/>
  <c r="O25" i="23"/>
  <c r="O15" i="23"/>
  <c r="O19" i="23"/>
  <c r="O23" i="23"/>
  <c r="O17" i="23"/>
  <c r="O24" i="23"/>
  <c r="O20" i="23"/>
  <c r="O28" i="23"/>
  <c r="O26" i="23"/>
  <c r="O22" i="23"/>
  <c r="O16" i="23"/>
  <c r="O27" i="23"/>
  <c r="O29" i="23"/>
  <c r="AG44" i="7" s="1"/>
  <c r="O30" i="23"/>
  <c r="AB36" i="15"/>
  <c r="O36" i="15"/>
  <c r="L36" i="15"/>
  <c r="AJ36" i="15"/>
  <c r="A37" i="15"/>
  <c r="AK36" i="15"/>
  <c r="K36" i="15"/>
  <c r="X36" i="15"/>
  <c r="AC36" i="15"/>
  <c r="AB36" i="16"/>
  <c r="X36" i="16"/>
  <c r="AJ36" i="16"/>
  <c r="AC36" i="16"/>
  <c r="L36" i="16"/>
  <c r="AK36" i="16"/>
  <c r="K36" i="16"/>
  <c r="A37" i="16"/>
  <c r="O36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D37" i="1"/>
  <c r="E37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B35" i="6" s="1"/>
  <c r="G35" i="1"/>
  <c r="BW35" i="6" s="1"/>
  <c r="AA35" i="1"/>
  <c r="Z35" i="1" s="1"/>
  <c r="Y35" i="1" s="1"/>
  <c r="E7" i="24" l="1"/>
  <c r="E8" i="24"/>
  <c r="K19" i="19" s="1"/>
  <c r="K43" i="19" s="1"/>
  <c r="F36" i="1"/>
  <c r="AA36" i="1" s="1"/>
  <c r="Z36" i="1" s="1"/>
  <c r="Y36" i="1" s="1"/>
  <c r="L37" i="15"/>
  <c r="AJ37" i="15"/>
  <c r="AB37" i="15"/>
  <c r="AK37" i="15"/>
  <c r="K37" i="15"/>
  <c r="X37" i="15"/>
  <c r="AC37" i="15"/>
  <c r="A38" i="15"/>
  <c r="O37" i="15"/>
  <c r="F37" i="1"/>
  <c r="I37" i="1" s="1"/>
  <c r="B37" i="6" s="1"/>
  <c r="X37" i="16"/>
  <c r="K37" i="16"/>
  <c r="A38" i="16"/>
  <c r="AJ37" i="16"/>
  <c r="O37" i="16"/>
  <c r="AB37" i="16"/>
  <c r="L37" i="16"/>
  <c r="AK37" i="16"/>
  <c r="AC37" i="16"/>
  <c r="X31" i="25"/>
  <c r="A32" i="25"/>
  <c r="K31" i="25"/>
  <c r="L31" i="25"/>
  <c r="AB31" i="25"/>
  <c r="AJ31" i="25"/>
  <c r="AK31" i="25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D38" i="1"/>
  <c r="E38" i="1" s="1"/>
  <c r="O10" i="24" l="1"/>
  <c r="O33" i="24" s="1"/>
  <c r="AC10" i="24"/>
  <c r="AC32" i="25" s="1"/>
  <c r="I36" i="1"/>
  <c r="B36" i="6" s="1"/>
  <c r="G36" i="1"/>
  <c r="BW36" i="6" s="1"/>
  <c r="AA37" i="1"/>
  <c r="Z37" i="1" s="1"/>
  <c r="Y37" i="1" s="1"/>
  <c r="AB38" i="15"/>
  <c r="X38" i="15"/>
  <c r="O38" i="15"/>
  <c r="K38" i="15"/>
  <c r="AC38" i="15"/>
  <c r="L38" i="15"/>
  <c r="AK38" i="15"/>
  <c r="A39" i="15"/>
  <c r="AJ38" i="15"/>
  <c r="G37" i="1"/>
  <c r="BW37" i="6" s="1"/>
  <c r="P39" i="1"/>
  <c r="V39" i="1" s="1"/>
  <c r="A39" i="16"/>
  <c r="X38" i="16"/>
  <c r="AJ38" i="16"/>
  <c r="AC38" i="16"/>
  <c r="L38" i="16"/>
  <c r="AB38" i="16"/>
  <c r="K38" i="16"/>
  <c r="AK38" i="16"/>
  <c r="O38" i="16"/>
  <c r="F38" i="1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D39" i="1"/>
  <c r="E39" i="1" s="1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27" i="24" l="1"/>
  <c r="O21" i="24"/>
  <c r="O17" i="24"/>
  <c r="O24" i="24"/>
  <c r="O16" i="24"/>
  <c r="O25" i="24"/>
  <c r="O19" i="24"/>
  <c r="O30" i="24"/>
  <c r="O15" i="24"/>
  <c r="O22" i="24"/>
  <c r="O28" i="24"/>
  <c r="O20" i="24"/>
  <c r="O26" i="24"/>
  <c r="O18" i="24"/>
  <c r="O23" i="24"/>
  <c r="O29" i="24"/>
  <c r="AG56" i="7" s="1"/>
  <c r="O31" i="24"/>
  <c r="O32" i="24"/>
  <c r="AY13" i="7"/>
  <c r="BE10" i="7" s="1"/>
  <c r="AC28" i="25"/>
  <c r="AC19" i="25"/>
  <c r="AC18" i="25"/>
  <c r="AC22" i="25"/>
  <c r="AC27" i="25"/>
  <c r="AC15" i="25"/>
  <c r="AC23" i="25"/>
  <c r="AC26" i="25"/>
  <c r="AC17" i="25"/>
  <c r="AC20" i="25"/>
  <c r="AC24" i="25"/>
  <c r="AC16" i="25"/>
  <c r="AC21" i="25"/>
  <c r="AC25" i="25"/>
  <c r="AC29" i="25"/>
  <c r="AC30" i="25"/>
  <c r="AC31" i="25"/>
  <c r="F39" i="1"/>
  <c r="G39" i="1" s="1"/>
  <c r="BW39" i="6" s="1"/>
  <c r="K39" i="15"/>
  <c r="AJ39" i="15"/>
  <c r="L39" i="15"/>
  <c r="AK39" i="15"/>
  <c r="X39" i="15"/>
  <c r="AB39" i="15"/>
  <c r="AC39" i="15"/>
  <c r="A40" i="15"/>
  <c r="O39" i="15"/>
  <c r="AB39" i="16"/>
  <c r="K39" i="16"/>
  <c r="X39" i="16"/>
  <c r="AJ39" i="16"/>
  <c r="O39" i="16"/>
  <c r="L39" i="16"/>
  <c r="A40" i="16"/>
  <c r="AK39" i="16"/>
  <c r="AC39" i="16"/>
  <c r="D40" i="1"/>
  <c r="E40" i="1" s="1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B38" i="6" s="1"/>
  <c r="G38" i="1"/>
  <c r="BW38" i="6" s="1"/>
  <c r="AA38" i="1"/>
  <c r="Z38" i="1" s="1"/>
  <c r="Y38" i="1" s="1"/>
  <c r="E8" i="25" l="1"/>
  <c r="K20" i="19" s="1"/>
  <c r="K44" i="19" s="1"/>
  <c r="E7" i="25"/>
  <c r="I39" i="1"/>
  <c r="B39" i="6" s="1"/>
  <c r="AA39" i="1"/>
  <c r="Z39" i="1" s="1"/>
  <c r="Y39" i="1" s="1"/>
  <c r="L40" i="15"/>
  <c r="AB40" i="15"/>
  <c r="AC40" i="15"/>
  <c r="X40" i="15"/>
  <c r="O40" i="15"/>
  <c r="K40" i="15"/>
  <c r="AJ40" i="15"/>
  <c r="A41" i="15"/>
  <c r="AK40" i="15"/>
  <c r="X40" i="16"/>
  <c r="K40" i="16"/>
  <c r="AK40" i="16"/>
  <c r="AC40" i="16"/>
  <c r="A41" i="16"/>
  <c r="L40" i="16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D41" i="1"/>
  <c r="E41" i="1" s="1"/>
  <c r="O10" i="25" l="1"/>
  <c r="AC10" i="25"/>
  <c r="F41" i="1"/>
  <c r="I41" i="1" s="1"/>
  <c r="B41" i="6" s="1"/>
  <c r="AB41" i="15"/>
  <c r="A42" i="15"/>
  <c r="AC41" i="15"/>
  <c r="X41" i="15"/>
  <c r="O41" i="15"/>
  <c r="K41" i="15"/>
  <c r="AJ41" i="15"/>
  <c r="L41" i="15"/>
  <c r="AK41" i="15"/>
  <c r="K41" i="16"/>
  <c r="L41" i="16"/>
  <c r="X41" i="16"/>
  <c r="AK41" i="16"/>
  <c r="O41" i="16"/>
  <c r="A42" i="16"/>
  <c r="AB41" i="16"/>
  <c r="AJ41" i="16"/>
  <c r="AC41" i="16"/>
  <c r="V40" i="1"/>
  <c r="X35" i="25"/>
  <c r="K35" i="25"/>
  <c r="L35" i="25"/>
  <c r="A36" i="25"/>
  <c r="AB35" i="25"/>
  <c r="AK35" i="25"/>
  <c r="AJ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D42" i="1"/>
  <c r="E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O19" i="25" l="1"/>
  <c r="O17" i="25"/>
  <c r="O23" i="25"/>
  <c r="O28" i="25"/>
  <c r="O16" i="25"/>
  <c r="BE13" i="7"/>
  <c r="O21" i="25"/>
  <c r="O25" i="25"/>
  <c r="O26" i="25"/>
  <c r="O22" i="25"/>
  <c r="O15" i="25"/>
  <c r="O27" i="25"/>
  <c r="O24" i="25"/>
  <c r="O20" i="25"/>
  <c r="O29" i="25"/>
  <c r="AG68" i="7" s="1"/>
  <c r="O30" i="25"/>
  <c r="O31" i="25"/>
  <c r="O32" i="25"/>
  <c r="O33" i="25"/>
  <c r="O18" i="25"/>
  <c r="O34" i="25"/>
  <c r="O35" i="25"/>
  <c r="G41" i="1"/>
  <c r="BW41" i="6" s="1"/>
  <c r="AA41" i="1"/>
  <c r="Z41" i="1" s="1"/>
  <c r="Y41" i="1" s="1"/>
  <c r="F40" i="1"/>
  <c r="AA40" i="1" s="1"/>
  <c r="Z40" i="1" s="1"/>
  <c r="Y40" i="1" s="1"/>
  <c r="AB42" i="15"/>
  <c r="AK42" i="15"/>
  <c r="L42" i="15"/>
  <c r="AJ42" i="15"/>
  <c r="X42" i="15"/>
  <c r="A43" i="15"/>
  <c r="O42" i="15"/>
  <c r="K42" i="15"/>
  <c r="AC42" i="15"/>
  <c r="F42" i="1"/>
  <c r="I42" i="1" s="1"/>
  <c r="B42" i="6" s="1"/>
  <c r="A43" i="16"/>
  <c r="AB42" i="16"/>
  <c r="L42" i="16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B41" i="18"/>
  <c r="A42" i="18"/>
  <c r="K41" i="18"/>
  <c r="X41" i="18"/>
  <c r="L41" i="18"/>
  <c r="AK41" i="18"/>
  <c r="AJ41" i="18"/>
  <c r="O41" i="18"/>
  <c r="AC41" i="18"/>
  <c r="D43" i="1"/>
  <c r="E43" i="1" s="1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G40" i="1" l="1"/>
  <c r="BW40" i="6" s="1"/>
  <c r="I40" i="1"/>
  <c r="B40" i="6" s="1"/>
  <c r="G42" i="1"/>
  <c r="BW42" i="6" s="1"/>
  <c r="AA42" i="1"/>
  <c r="Z42" i="1" s="1"/>
  <c r="Y42" i="1" s="1"/>
  <c r="X43" i="15"/>
  <c r="AC43" i="15"/>
  <c r="A44" i="15"/>
  <c r="AJ43" i="15"/>
  <c r="AB43" i="15"/>
  <c r="AK43" i="15"/>
  <c r="L43" i="15"/>
  <c r="K43" i="15"/>
  <c r="O43" i="15"/>
  <c r="X43" i="16"/>
  <c r="L43" i="16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F43" i="1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4" i="1"/>
  <c r="E44" i="1" s="1"/>
  <c r="AB44" i="15" l="1"/>
  <c r="AC44" i="15"/>
  <c r="L44" i="15"/>
  <c r="AJ44" i="15"/>
  <c r="A45" i="15"/>
  <c r="AK44" i="15"/>
  <c r="X44" i="15"/>
  <c r="K44" i="15"/>
  <c r="O44" i="15"/>
  <c r="F44" i="1"/>
  <c r="G44" i="1" s="1"/>
  <c r="BW44" i="6" s="1"/>
  <c r="L44" i="16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D45" i="1"/>
  <c r="E45" i="1" s="1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B43" i="6" s="1"/>
  <c r="AA43" i="1"/>
  <c r="Z43" i="1" s="1"/>
  <c r="Y43" i="1" s="1"/>
  <c r="G43" i="1"/>
  <c r="BW43" i="6" s="1"/>
  <c r="X41" i="22"/>
  <c r="K41" i="22"/>
  <c r="A42" i="22"/>
  <c r="L41" i="22"/>
  <c r="AB41" i="22"/>
  <c r="AK41" i="22"/>
  <c r="AJ41" i="22"/>
  <c r="O41" i="22"/>
  <c r="AC41" i="22"/>
  <c r="I44" i="1" l="1"/>
  <c r="B44" i="6" s="1"/>
  <c r="AA44" i="1"/>
  <c r="Z44" i="1" s="1"/>
  <c r="Y44" i="1" s="1"/>
  <c r="K45" i="15"/>
  <c r="AK45" i="15"/>
  <c r="AB45" i="15"/>
  <c r="X45" i="15"/>
  <c r="O45" i="15"/>
  <c r="A46" i="15"/>
  <c r="AC45" i="15"/>
  <c r="L45" i="15"/>
  <c r="AJ45" i="15"/>
  <c r="X45" i="16"/>
  <c r="L45" i="16"/>
  <c r="AK45" i="16"/>
  <c r="AC45" i="16"/>
  <c r="AB45" i="16"/>
  <c r="A46" i="16"/>
  <c r="K45" i="16"/>
  <c r="AJ45" i="16"/>
  <c r="O45" i="16"/>
  <c r="F45" i="1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D46" i="1"/>
  <c r="E46" i="1" s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AB46" i="15" l="1"/>
  <c r="O46" i="15"/>
  <c r="L46" i="15"/>
  <c r="AK46" i="15"/>
  <c r="X46" i="15"/>
  <c r="AJ46" i="15"/>
  <c r="A47" i="15"/>
  <c r="K46" i="15"/>
  <c r="AC46" i="15"/>
  <c r="K46" i="16"/>
  <c r="AB46" i="16"/>
  <c r="X46" i="16"/>
  <c r="AJ46" i="16"/>
  <c r="O46" i="16"/>
  <c r="A47" i="16"/>
  <c r="L46" i="16"/>
  <c r="AK46" i="16"/>
  <c r="AC46" i="16"/>
  <c r="X42" i="23"/>
  <c r="AB42" i="23"/>
  <c r="A43" i="23"/>
  <c r="L42" i="23"/>
  <c r="K42" i="23"/>
  <c r="AJ42" i="23"/>
  <c r="AK42" i="23"/>
  <c r="O42" i="23"/>
  <c r="AC42" i="23"/>
  <c r="D47" i="1"/>
  <c r="E47" i="1" s="1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G45" i="1"/>
  <c r="BW45" i="6" s="1"/>
  <c r="AA45" i="1"/>
  <c r="Z45" i="1" s="1"/>
  <c r="Y45" i="1" s="1"/>
  <c r="I45" i="1"/>
  <c r="B45" i="6" s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F47" i="1" l="1"/>
  <c r="AA47" i="1" s="1"/>
  <c r="Z47" i="1" s="1"/>
  <c r="Y47" i="1" s="1"/>
  <c r="L47" i="15"/>
  <c r="AJ47" i="15"/>
  <c r="A48" i="15"/>
  <c r="AK47" i="15"/>
  <c r="K47" i="15"/>
  <c r="X47" i="15"/>
  <c r="AC47" i="15"/>
  <c r="AB47" i="15"/>
  <c r="O47" i="15"/>
  <c r="K47" i="16"/>
  <c r="L47" i="16"/>
  <c r="AJ47" i="16"/>
  <c r="AC47" i="16"/>
  <c r="AB47" i="16"/>
  <c r="A48" i="16"/>
  <c r="X47" i="16"/>
  <c r="AK47" i="16"/>
  <c r="O47" i="16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D48" i="1"/>
  <c r="E48" i="1" s="1"/>
  <c r="G47" i="1" l="1"/>
  <c r="BW47" i="6" s="1"/>
  <c r="I47" i="1"/>
  <c r="B47" i="6" s="1"/>
  <c r="F46" i="1"/>
  <c r="AA46" i="1" s="1"/>
  <c r="Z46" i="1" s="1"/>
  <c r="Y46" i="1" s="1"/>
  <c r="L48" i="15"/>
  <c r="O48" i="15"/>
  <c r="K48" i="15"/>
  <c r="AJ48" i="15"/>
  <c r="A49" i="15"/>
  <c r="AK48" i="15"/>
  <c r="AB48" i="15"/>
  <c r="X48" i="15"/>
  <c r="AC48" i="15"/>
  <c r="K48" i="16"/>
  <c r="X48" i="16"/>
  <c r="AK48" i="16"/>
  <c r="AC48" i="16"/>
  <c r="A49" i="16"/>
  <c r="L48" i="16"/>
  <c r="AB48" i="16"/>
  <c r="AJ48" i="16"/>
  <c r="O48" i="16"/>
  <c r="F48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D49" i="1"/>
  <c r="E49" i="1" s="1"/>
  <c r="K43" i="24"/>
  <c r="A44" i="24"/>
  <c r="AB43" i="24"/>
  <c r="X43" i="24"/>
  <c r="L43" i="24"/>
  <c r="AJ43" i="24"/>
  <c r="AK43" i="24"/>
  <c r="O43" i="24"/>
  <c r="AC43" i="24"/>
  <c r="I46" i="1" l="1"/>
  <c r="B46" i="6" s="1"/>
  <c r="G46" i="1"/>
  <c r="BW46" i="6" s="1"/>
  <c r="K49" i="15"/>
  <c r="AB49" i="15"/>
  <c r="O49" i="15"/>
  <c r="A50" i="15"/>
  <c r="AC49" i="15"/>
  <c r="L49" i="15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G48" i="1"/>
  <c r="BW48" i="6" s="1"/>
  <c r="AA48" i="1"/>
  <c r="Z48" i="1" s="1"/>
  <c r="Y48" i="1" s="1"/>
  <c r="I48" i="1"/>
  <c r="B48" i="6" s="1"/>
  <c r="X48" i="18"/>
  <c r="A49" i="18"/>
  <c r="AB48" i="18"/>
  <c r="L48" i="18"/>
  <c r="K48" i="18"/>
  <c r="AK48" i="18"/>
  <c r="O48" i="18"/>
  <c r="AJ48" i="18"/>
  <c r="AC48" i="18"/>
  <c r="D50" i="1"/>
  <c r="E50" i="1" s="1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AB50" i="15" l="1"/>
  <c r="AK50" i="15"/>
  <c r="L50" i="15"/>
  <c r="A51" i="15"/>
  <c r="AC50" i="15"/>
  <c r="K50" i="15"/>
  <c r="O50" i="15"/>
  <c r="X50" i="15"/>
  <c r="AJ50" i="15"/>
  <c r="F50" i="1"/>
  <c r="G50" i="1" s="1"/>
  <c r="BW50" i="6" s="1"/>
  <c r="L50" i="16"/>
  <c r="AB50" i="16"/>
  <c r="A51" i="16"/>
  <c r="AJ50" i="16"/>
  <c r="O50" i="16"/>
  <c r="X50" i="16"/>
  <c r="K50" i="16"/>
  <c r="AK50" i="16"/>
  <c r="AC50" i="16"/>
  <c r="V49" i="1"/>
  <c r="D51" i="1"/>
  <c r="E51" i="1" s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F49" i="1" l="1"/>
  <c r="AA49" i="1" s="1"/>
  <c r="Z49" i="1" s="1"/>
  <c r="Y49" i="1" s="1"/>
  <c r="I50" i="1"/>
  <c r="B50" i="6" s="1"/>
  <c r="AA50" i="1"/>
  <c r="Z50" i="1" s="1"/>
  <c r="Y50" i="1" s="1"/>
  <c r="A52" i="15"/>
  <c r="O51" i="15"/>
  <c r="AB51" i="15"/>
  <c r="AJ51" i="15"/>
  <c r="K51" i="15"/>
  <c r="AK51" i="15"/>
  <c r="L51" i="15"/>
  <c r="X51" i="15"/>
  <c r="AC51" i="15"/>
  <c r="AB51" i="16"/>
  <c r="A52" i="16"/>
  <c r="AJ51" i="16"/>
  <c r="AC51" i="16"/>
  <c r="X51" i="16"/>
  <c r="L51" i="16"/>
  <c r="K51" i="16"/>
  <c r="AK51" i="16"/>
  <c r="O51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K49" i="20"/>
  <c r="A50" i="20"/>
  <c r="X49" i="20"/>
  <c r="L49" i="20"/>
  <c r="AB49" i="20"/>
  <c r="AJ49" i="20"/>
  <c r="AK49" i="20"/>
  <c r="O49" i="20"/>
  <c r="AC49" i="20"/>
  <c r="T52" i="1"/>
  <c r="D52" i="1"/>
  <c r="E52" i="1" s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F51" i="1"/>
  <c r="G49" i="1" l="1"/>
  <c r="BW49" i="6" s="1"/>
  <c r="I49" i="1"/>
  <c r="B49" i="6" s="1"/>
  <c r="A53" i="15"/>
  <c r="O52" i="15"/>
  <c r="K52" i="15"/>
  <c r="AJ52" i="15"/>
  <c r="L52" i="15"/>
  <c r="AK52" i="15"/>
  <c r="AB52" i="15"/>
  <c r="X52" i="15"/>
  <c r="AC52" i="15"/>
  <c r="L52" i="16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G51" i="1"/>
  <c r="BW51" i="6" s="1"/>
  <c r="I51" i="1"/>
  <c r="B51" i="6" s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D53" i="1"/>
  <c r="E53" i="1" s="1"/>
  <c r="F52" i="1" l="1"/>
  <c r="I52" i="1" s="1"/>
  <c r="B52" i="6" s="1"/>
  <c r="K53" i="15"/>
  <c r="O53" i="15"/>
  <c r="A54" i="15"/>
  <c r="AJ53" i="15"/>
  <c r="L53" i="15"/>
  <c r="AK53" i="15"/>
  <c r="AB53" i="15"/>
  <c r="X53" i="15"/>
  <c r="AC53" i="15"/>
  <c r="X53" i="16"/>
  <c r="L53" i="16"/>
  <c r="AB53" i="16"/>
  <c r="AJ53" i="16"/>
  <c r="O53" i="16"/>
  <c r="K53" i="16"/>
  <c r="A54" i="16"/>
  <c r="AK53" i="16"/>
  <c r="AC53" i="16"/>
  <c r="F53" i="1"/>
  <c r="S54" i="1"/>
  <c r="R54" i="1" s="1"/>
  <c r="P54" i="1" s="1"/>
  <c r="V54" i="1" s="1"/>
  <c r="D54" i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A56" i="1"/>
  <c r="K55" i="1"/>
  <c r="X55" i="1"/>
  <c r="AB55" i="1"/>
  <c r="L55" i="1"/>
  <c r="Q55" i="1"/>
  <c r="AJ55" i="1"/>
  <c r="AC55" i="1"/>
  <c r="O55" i="1"/>
  <c r="AK55" i="1"/>
  <c r="U55" i="1"/>
  <c r="T55" i="1" s="1"/>
  <c r="E54" i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AA52" i="1" l="1"/>
  <c r="Z52" i="1" s="1"/>
  <c r="Y52" i="1" s="1"/>
  <c r="G52" i="1"/>
  <c r="BW52" i="6" s="1"/>
  <c r="L54" i="15"/>
  <c r="AK54" i="15"/>
  <c r="X54" i="15"/>
  <c r="AJ54" i="15"/>
  <c r="AB54" i="15"/>
  <c r="K54" i="15"/>
  <c r="AC54" i="15"/>
  <c r="A55" i="15"/>
  <c r="O54" i="15"/>
  <c r="AB54" i="16"/>
  <c r="A55" i="16"/>
  <c r="L54" i="16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F54" i="1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D55" i="1"/>
  <c r="E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G53" i="1"/>
  <c r="BW53" i="6" s="1"/>
  <c r="AA53" i="1"/>
  <c r="Z53" i="1" s="1"/>
  <c r="Y53" i="1" s="1"/>
  <c r="I53" i="1"/>
  <c r="B53" i="6" s="1"/>
  <c r="AB55" i="15" l="1"/>
  <c r="K55" i="15"/>
  <c r="AC55" i="15"/>
  <c r="A56" i="15"/>
  <c r="O55" i="15"/>
  <c r="L55" i="15"/>
  <c r="AK55" i="15"/>
  <c r="X55" i="15"/>
  <c r="AJ55" i="15"/>
  <c r="K55" i="16"/>
  <c r="A56" i="16"/>
  <c r="AJ55" i="16"/>
  <c r="AC55" i="16"/>
  <c r="L55" i="16"/>
  <c r="AB55" i="16"/>
  <c r="X55" i="16"/>
  <c r="AK55" i="16"/>
  <c r="O55" i="16"/>
  <c r="D56" i="1"/>
  <c r="E56" i="1" s="1"/>
  <c r="F55" i="1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B54" i="6" s="1"/>
  <c r="G54" i="1"/>
  <c r="BW54" i="6" s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X56" i="15" l="1"/>
  <c r="O56" i="15"/>
  <c r="L56" i="15"/>
  <c r="AJ56" i="15"/>
  <c r="AB56" i="15"/>
  <c r="AK56" i="15"/>
  <c r="A57" i="15"/>
  <c r="K56" i="15"/>
  <c r="AC56" i="15"/>
  <c r="K56" i="16"/>
  <c r="L56" i="16"/>
  <c r="A57" i="16"/>
  <c r="AJ56" i="16"/>
  <c r="O56" i="16"/>
  <c r="AB56" i="16"/>
  <c r="X56" i="16"/>
  <c r="AK56" i="16"/>
  <c r="AC56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F56" i="1"/>
  <c r="X52" i="23"/>
  <c r="A53" i="23"/>
  <c r="L52" i="23"/>
  <c r="AB52" i="23"/>
  <c r="K52" i="23"/>
  <c r="AJ52" i="23"/>
  <c r="AK52" i="23"/>
  <c r="O52" i="23"/>
  <c r="AC52" i="23"/>
  <c r="D57" i="1"/>
  <c r="E57" i="1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G55" i="1"/>
  <c r="BW55" i="6" s="1"/>
  <c r="AA55" i="1"/>
  <c r="Z55" i="1" s="1"/>
  <c r="Y55" i="1" s="1"/>
  <c r="I55" i="1"/>
  <c r="B55" i="6" s="1"/>
  <c r="AB57" i="15" l="1"/>
  <c r="X57" i="15"/>
  <c r="AC57" i="15"/>
  <c r="A58" i="15"/>
  <c r="AK57" i="15"/>
  <c r="L57" i="15"/>
  <c r="AJ57" i="15"/>
  <c r="K57" i="15"/>
  <c r="O57" i="15"/>
  <c r="AC57" i="16"/>
  <c r="A58" i="16"/>
  <c r="L57" i="16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G56" i="1"/>
  <c r="BW56" i="6" s="1"/>
  <c r="I56" i="1"/>
  <c r="B56" i="6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F57" i="1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D58" i="1"/>
  <c r="E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L58" i="15" l="1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D59" i="1"/>
  <c r="E59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F58" i="1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B57" i="6" s="1"/>
  <c r="G57" i="1"/>
  <c r="BW57" i="6" s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A60" i="15" l="1"/>
  <c r="AJ59" i="15"/>
  <c r="X59" i="15"/>
  <c r="AK59" i="15"/>
  <c r="K59" i="15"/>
  <c r="AB59" i="15"/>
  <c r="AC59" i="15"/>
  <c r="L59" i="15"/>
  <c r="O59" i="15"/>
  <c r="X59" i="16"/>
  <c r="A60" i="16"/>
  <c r="AJ59" i="16"/>
  <c r="AC59" i="16"/>
  <c r="L59" i="16"/>
  <c r="AB59" i="16"/>
  <c r="O59" i="16"/>
  <c r="K59" i="16"/>
  <c r="AK59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G58" i="1"/>
  <c r="BW58" i="6" s="1"/>
  <c r="AA58" i="1"/>
  <c r="Z58" i="1" s="1"/>
  <c r="Y58" i="1" s="1"/>
  <c r="I58" i="1"/>
  <c r="B58" i="6" s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F59" i="1"/>
  <c r="B21" i="7"/>
  <c r="D60" i="1"/>
  <c r="E60" i="1" s="1"/>
  <c r="K57" i="20"/>
  <c r="L57" i="20"/>
  <c r="AB57" i="20"/>
  <c r="A58" i="20"/>
  <c r="X57" i="20"/>
  <c r="AK57" i="20"/>
  <c r="AJ57" i="20"/>
  <c r="O57" i="20"/>
  <c r="AC57" i="20"/>
  <c r="K60" i="15" l="1"/>
  <c r="L60" i="15"/>
  <c r="AC60" i="15"/>
  <c r="AB60" i="15"/>
  <c r="AJ60" i="15"/>
  <c r="X60" i="15"/>
  <c r="AK60" i="15"/>
  <c r="A33" i="7"/>
  <c r="A61" i="15"/>
  <c r="O60" i="15"/>
  <c r="C33" i="7" s="1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G59" i="1"/>
  <c r="BW59" i="6" s="1"/>
  <c r="I59" i="1"/>
  <c r="B59" i="6" s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61" i="1"/>
  <c r="E61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F60" i="1" l="1"/>
  <c r="AA60" i="1" s="1"/>
  <c r="Z60" i="1" s="1"/>
  <c r="Y60" i="1" s="1"/>
  <c r="P62" i="1"/>
  <c r="V62" i="1" s="1"/>
  <c r="B33" i="7"/>
  <c r="L61" i="15"/>
  <c r="A62" i="15"/>
  <c r="O61" i="15"/>
  <c r="X61" i="15"/>
  <c r="AC61" i="15"/>
  <c r="AB61" i="15"/>
  <c r="AK61" i="15"/>
  <c r="K61" i="15"/>
  <c r="AJ61" i="15"/>
  <c r="B45" i="7"/>
  <c r="AB61" i="16"/>
  <c r="K61" i="16"/>
  <c r="AK61" i="16"/>
  <c r="AC61" i="16"/>
  <c r="A62" i="16"/>
  <c r="L61" i="16"/>
  <c r="X61" i="16"/>
  <c r="AJ61" i="16"/>
  <c r="O61" i="16"/>
  <c r="F61" i="1"/>
  <c r="AA61" i="1" s="1"/>
  <c r="Z61" i="1" s="1"/>
  <c r="Y61" i="1" s="1"/>
  <c r="B57" i="7"/>
  <c r="D62" i="1"/>
  <c r="E62" i="1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G61" i="1" l="1"/>
  <c r="BW61" i="6" s="1"/>
  <c r="G60" i="1"/>
  <c r="BW60" i="6" s="1"/>
  <c r="I60" i="1"/>
  <c r="B60" i="6" s="1"/>
  <c r="F62" i="1"/>
  <c r="AA62" i="1" s="1"/>
  <c r="Z62" i="1" s="1"/>
  <c r="Y62" i="1" s="1"/>
  <c r="AB62" i="15"/>
  <c r="O62" i="15"/>
  <c r="K62" i="15"/>
  <c r="AJ62" i="15"/>
  <c r="A63" i="15"/>
  <c r="AK62" i="15"/>
  <c r="L62" i="15"/>
  <c r="X62" i="15"/>
  <c r="AC62" i="15"/>
  <c r="I61" i="1"/>
  <c r="B61" i="6" s="1"/>
  <c r="A63" i="16"/>
  <c r="L62" i="16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D63" i="1"/>
  <c r="E63" i="1" s="1"/>
  <c r="A65" i="1"/>
  <c r="AK64" i="1"/>
  <c r="K64" i="1"/>
  <c r="O64" i="1"/>
  <c r="X64" i="1"/>
  <c r="AB64" i="1"/>
  <c r="L64" i="1"/>
  <c r="AJ64" i="1"/>
  <c r="AC64" i="1"/>
  <c r="Q64" i="1"/>
  <c r="U64" i="1"/>
  <c r="T64" i="1" s="1"/>
  <c r="G62" i="1" l="1"/>
  <c r="BW62" i="6" s="1"/>
  <c r="I62" i="1"/>
  <c r="B62" i="6" s="1"/>
  <c r="K63" i="15"/>
  <c r="AJ63" i="15"/>
  <c r="AB63" i="15"/>
  <c r="AK63" i="15"/>
  <c r="A64" i="15"/>
  <c r="L63" i="15"/>
  <c r="AC63" i="15"/>
  <c r="X63" i="15"/>
  <c r="O63" i="15"/>
  <c r="A64" i="16"/>
  <c r="L63" i="16"/>
  <c r="AB63" i="16"/>
  <c r="AK63" i="16"/>
  <c r="O63" i="16"/>
  <c r="K63" i="16"/>
  <c r="X63" i="16"/>
  <c r="AJ63" i="16"/>
  <c r="AC63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F63" i="1"/>
  <c r="S64" i="1"/>
  <c r="R64" i="1" s="1"/>
  <c r="P64" i="1" s="1"/>
  <c r="V64" i="1" s="1"/>
  <c r="D64" i="1"/>
  <c r="E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F64" i="1" l="1"/>
  <c r="I64" i="1" s="1"/>
  <c r="B64" i="6" s="1"/>
  <c r="L64" i="15"/>
  <c r="O64" i="15"/>
  <c r="X64" i="15"/>
  <c r="AJ64" i="15"/>
  <c r="AB64" i="15"/>
  <c r="AK64" i="15"/>
  <c r="K64" i="15"/>
  <c r="A65" i="15"/>
  <c r="AC64" i="15"/>
  <c r="X64" i="16"/>
  <c r="A65" i="16"/>
  <c r="L64" i="16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D65" i="1"/>
  <c r="E65" i="1" s="1"/>
  <c r="I63" i="1"/>
  <c r="B63" i="6" s="1"/>
  <c r="AA63" i="1"/>
  <c r="Z63" i="1" s="1"/>
  <c r="Y63" i="1" s="1"/>
  <c r="G63" i="1"/>
  <c r="BW63" i="6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G64" i="1"/>
  <c r="BW64" i="6" s="1"/>
  <c r="P66" i="1"/>
  <c r="V66" i="1" s="1"/>
  <c r="A66" i="15"/>
  <c r="AK65" i="15"/>
  <c r="X65" i="15"/>
  <c r="AB65" i="15"/>
  <c r="O65" i="15"/>
  <c r="L65" i="15"/>
  <c r="AC65" i="15"/>
  <c r="K65" i="15"/>
  <c r="AJ65" i="15"/>
  <c r="F65" i="1"/>
  <c r="AA65" i="1" s="1"/>
  <c r="Z65" i="1" s="1"/>
  <c r="Y65" i="1" s="1"/>
  <c r="AB65" i="16"/>
  <c r="X65" i="16"/>
  <c r="K65" i="16"/>
  <c r="AJ65" i="16"/>
  <c r="O65" i="16"/>
  <c r="A66" i="16"/>
  <c r="L65" i="16"/>
  <c r="AK65" i="16"/>
  <c r="AC65" i="16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D66" i="1"/>
  <c r="E66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I65" i="1" l="1"/>
  <c r="B65" i="6" s="1"/>
  <c r="AB66" i="15"/>
  <c r="AJ66" i="15"/>
  <c r="K66" i="15"/>
  <c r="X66" i="15"/>
  <c r="AC66" i="15"/>
  <c r="L66" i="15"/>
  <c r="O66" i="15"/>
  <c r="A67" i="15"/>
  <c r="AK66" i="15"/>
  <c r="G65" i="1"/>
  <c r="BW65" i="6" s="1"/>
  <c r="AB66" i="16"/>
  <c r="X66" i="16"/>
  <c r="AK66" i="16"/>
  <c r="AC66" i="16"/>
  <c r="A67" i="16"/>
  <c r="L66" i="16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F66" i="1"/>
  <c r="S67" i="1"/>
  <c r="R67" i="1" s="1"/>
  <c r="P67" i="1" s="1"/>
  <c r="V67" i="1" s="1"/>
  <c r="D67" i="1"/>
  <c r="E67" i="1" s="1"/>
  <c r="K64" i="20"/>
  <c r="X64" i="20"/>
  <c r="AB64" i="20"/>
  <c r="L64" i="20"/>
  <c r="A65" i="20"/>
  <c r="AJ64" i="20"/>
  <c r="AK64" i="20"/>
  <c r="O64" i="20"/>
  <c r="AC64" i="20"/>
  <c r="L67" i="15" l="1"/>
  <c r="AJ67" i="15"/>
  <c r="K67" i="15"/>
  <c r="AK67" i="15"/>
  <c r="AB67" i="15"/>
  <c r="X67" i="15"/>
  <c r="O67" i="15"/>
  <c r="A68" i="15"/>
  <c r="AC67" i="15"/>
  <c r="X67" i="16"/>
  <c r="L67" i="16"/>
  <c r="AK67" i="16"/>
  <c r="AC67" i="16"/>
  <c r="AB67" i="16"/>
  <c r="A68" i="16"/>
  <c r="K67" i="16"/>
  <c r="AJ67" i="16"/>
  <c r="O67" i="16"/>
  <c r="K65" i="20"/>
  <c r="AB65" i="20"/>
  <c r="A66" i="20"/>
  <c r="L65" i="20"/>
  <c r="X65" i="20"/>
  <c r="AK65" i="20"/>
  <c r="AJ65" i="20"/>
  <c r="O65" i="20"/>
  <c r="AC65" i="20"/>
  <c r="I66" i="1"/>
  <c r="B66" i="6" s="1"/>
  <c r="G66" i="1"/>
  <c r="BW66" i="6" s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D68" i="1"/>
  <c r="E68" i="1" s="1"/>
  <c r="X67" i="17"/>
  <c r="AB67" i="17"/>
  <c r="A68" i="17"/>
  <c r="K67" i="17"/>
  <c r="L67" i="17"/>
  <c r="AJ67" i="17"/>
  <c r="AK67" i="17"/>
  <c r="O67" i="17"/>
  <c r="AC67" i="17"/>
  <c r="F67" i="1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69" i="15" l="1"/>
  <c r="K68" i="15"/>
  <c r="AC68" i="15"/>
  <c r="AB68" i="15"/>
  <c r="O68" i="15"/>
  <c r="L68" i="15"/>
  <c r="AK68" i="15"/>
  <c r="X68" i="15"/>
  <c r="AJ68" i="15"/>
  <c r="X68" i="16"/>
  <c r="A69" i="16"/>
  <c r="K68" i="16"/>
  <c r="AK68" i="16"/>
  <c r="O68" i="16"/>
  <c r="L68" i="16"/>
  <c r="AB68" i="16"/>
  <c r="AJ68" i="16"/>
  <c r="AC68" i="16"/>
  <c r="F68" i="1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D69" i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B67" i="6" s="1"/>
  <c r="AA67" i="1"/>
  <c r="Z67" i="1" s="1"/>
  <c r="Y67" i="1" s="1"/>
  <c r="G67" i="1"/>
  <c r="BW67" i="6" s="1"/>
  <c r="E69" i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A70" i="15" l="1"/>
  <c r="AC69" i="15"/>
  <c r="L69" i="15"/>
  <c r="AJ69" i="15"/>
  <c r="AB69" i="15"/>
  <c r="AK69" i="15"/>
  <c r="K69" i="15"/>
  <c r="X69" i="15"/>
  <c r="O69" i="15"/>
  <c r="K69" i="16"/>
  <c r="X69" i="16"/>
  <c r="AJ69" i="16"/>
  <c r="AC69" i="16"/>
  <c r="AB69" i="16"/>
  <c r="L69" i="16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F69" i="1"/>
  <c r="D70" i="1"/>
  <c r="E70" i="1" s="1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G68" i="1"/>
  <c r="BW68" i="6" s="1"/>
  <c r="I68" i="1"/>
  <c r="B68" i="6" s="1"/>
  <c r="AB70" i="15" l="1"/>
  <c r="AJ70" i="15"/>
  <c r="K70" i="15"/>
  <c r="L70" i="15"/>
  <c r="O70" i="15"/>
  <c r="X70" i="15"/>
  <c r="AC70" i="15"/>
  <c r="A71" i="15"/>
  <c r="AK70" i="15"/>
  <c r="AB70" i="16"/>
  <c r="A71" i="16"/>
  <c r="AK70" i="16"/>
  <c r="AC70" i="16"/>
  <c r="X70" i="16"/>
  <c r="L70" i="16"/>
  <c r="K70" i="16"/>
  <c r="AJ70" i="16"/>
  <c r="O70" i="16"/>
  <c r="I69" i="1"/>
  <c r="B69" i="6" s="1"/>
  <c r="G69" i="1"/>
  <c r="BW69" i="6" s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F70" i="1"/>
  <c r="AB67" i="22"/>
  <c r="X67" i="22"/>
  <c r="A68" i="22"/>
  <c r="L67" i="22"/>
  <c r="K67" i="22"/>
  <c r="AK67" i="22"/>
  <c r="AJ67" i="22"/>
  <c r="O67" i="22"/>
  <c r="AC67" i="22"/>
  <c r="D71" i="1"/>
  <c r="E71" i="1" s="1"/>
  <c r="AB68" i="20"/>
  <c r="A69" i="20"/>
  <c r="K68" i="20"/>
  <c r="X68" i="20"/>
  <c r="L68" i="20"/>
  <c r="AJ68" i="20"/>
  <c r="AK68" i="20"/>
  <c r="O68" i="20"/>
  <c r="AC68" i="20"/>
  <c r="L71" i="15" l="1"/>
  <c r="AJ71" i="15"/>
  <c r="A72" i="15"/>
  <c r="K71" i="15"/>
  <c r="AC71" i="15"/>
  <c r="AB71" i="15"/>
  <c r="O71" i="15"/>
  <c r="X71" i="15"/>
  <c r="AK71" i="15"/>
  <c r="F71" i="1"/>
  <c r="AA71" i="1" s="1"/>
  <c r="Z71" i="1" s="1"/>
  <c r="Y71" i="1" s="1"/>
  <c r="K71" i="16"/>
  <c r="A72" i="16"/>
  <c r="AK71" i="16"/>
  <c r="AC71" i="16"/>
  <c r="L71" i="16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B70" i="6" s="1"/>
  <c r="G70" i="1"/>
  <c r="BW70" i="6" s="1"/>
  <c r="AB70" i="18"/>
  <c r="K70" i="18"/>
  <c r="AJ70" i="18"/>
  <c r="X70" i="18"/>
  <c r="L70" i="18"/>
  <c r="A71" i="18"/>
  <c r="O70" i="18"/>
  <c r="AK70" i="18"/>
  <c r="AC70" i="18"/>
  <c r="D72" i="1"/>
  <c r="E72" i="1" s="1"/>
  <c r="K71" i="17"/>
  <c r="AB71" i="17"/>
  <c r="X71" i="17"/>
  <c r="L71" i="17"/>
  <c r="A72" i="17"/>
  <c r="AJ71" i="17"/>
  <c r="AK71" i="17"/>
  <c r="AC71" i="17"/>
  <c r="O71" i="17"/>
  <c r="I71" i="1" l="1"/>
  <c r="B71" i="6" s="1"/>
  <c r="G71" i="1"/>
  <c r="BW71" i="6" s="1"/>
  <c r="K72" i="15"/>
  <c r="AJ72" i="15"/>
  <c r="AB72" i="15"/>
  <c r="AK72" i="15"/>
  <c r="A73" i="15"/>
  <c r="L72" i="15"/>
  <c r="AC72" i="15"/>
  <c r="X72" i="15"/>
  <c r="O72" i="15"/>
  <c r="AB72" i="16"/>
  <c r="X72" i="16"/>
  <c r="AK72" i="16"/>
  <c r="AC72" i="16"/>
  <c r="L72" i="16"/>
  <c r="A73" i="16"/>
  <c r="K72" i="16"/>
  <c r="AJ72" i="16"/>
  <c r="O72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D73" i="1"/>
  <c r="E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F72" i="1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X73" i="15" l="1"/>
  <c r="O73" i="15"/>
  <c r="L73" i="15"/>
  <c r="AK73" i="15"/>
  <c r="A74" i="15"/>
  <c r="AJ73" i="15"/>
  <c r="K73" i="15"/>
  <c r="AB73" i="15"/>
  <c r="AC73" i="15"/>
  <c r="F73" i="1"/>
  <c r="I73" i="1" s="1"/>
  <c r="B73" i="6" s="1"/>
  <c r="A74" i="16"/>
  <c r="K73" i="16"/>
  <c r="X73" i="16"/>
  <c r="AK73" i="16"/>
  <c r="O73" i="16"/>
  <c r="L73" i="16"/>
  <c r="AB73" i="16"/>
  <c r="AJ73" i="16"/>
  <c r="AC73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B72" i="6" s="1"/>
  <c r="G72" i="1"/>
  <c r="BW72" i="6" s="1"/>
  <c r="AA72" i="1"/>
  <c r="Z72" i="1" s="1"/>
  <c r="Y72" i="1" s="1"/>
  <c r="S74" i="1"/>
  <c r="R74" i="1" s="1"/>
  <c r="P74" i="1" s="1"/>
  <c r="V74" i="1" s="1"/>
  <c r="D74" i="1"/>
  <c r="E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G73" i="1" l="1"/>
  <c r="BW73" i="6" s="1"/>
  <c r="AA73" i="1"/>
  <c r="Z73" i="1" s="1"/>
  <c r="Y73" i="1" s="1"/>
  <c r="A75" i="15"/>
  <c r="O74" i="15"/>
  <c r="AB74" i="15"/>
  <c r="AJ74" i="15"/>
  <c r="K74" i="15"/>
  <c r="AK74" i="15"/>
  <c r="L74" i="15"/>
  <c r="X74" i="15"/>
  <c r="AC74" i="15"/>
  <c r="AB74" i="16"/>
  <c r="K74" i="16"/>
  <c r="A75" i="16"/>
  <c r="AJ74" i="16"/>
  <c r="O74" i="16"/>
  <c r="X74" i="16"/>
  <c r="L74" i="16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D75" i="1"/>
  <c r="E75" i="1" s="1"/>
  <c r="F74" i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5" l="1"/>
  <c r="AK75" i="15"/>
  <c r="AB75" i="15"/>
  <c r="X75" i="15"/>
  <c r="AC75" i="15"/>
  <c r="K75" i="15"/>
  <c r="O75" i="15"/>
  <c r="L75" i="15"/>
  <c r="AJ75" i="15"/>
  <c r="A76" i="16"/>
  <c r="L75" i="16"/>
  <c r="AJ75" i="16"/>
  <c r="AC75" i="16"/>
  <c r="K75" i="16"/>
  <c r="AB75" i="16"/>
  <c r="X75" i="16"/>
  <c r="AK75" i="16"/>
  <c r="O75" i="16"/>
  <c r="F75" i="1"/>
  <c r="G75" i="1" s="1"/>
  <c r="BW75" i="6" s="1"/>
  <c r="X69" i="25"/>
  <c r="K69" i="25"/>
  <c r="AB69" i="25"/>
  <c r="L69" i="25"/>
  <c r="A70" i="25"/>
  <c r="AJ69" i="25"/>
  <c r="AK69" i="25"/>
  <c r="O69" i="25"/>
  <c r="AC69" i="25"/>
  <c r="I74" i="1"/>
  <c r="B74" i="6" s="1"/>
  <c r="G74" i="1"/>
  <c r="BW74" i="6" s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D76" i="1"/>
  <c r="E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B75" i="6" s="1"/>
  <c r="L76" i="15"/>
  <c r="AK76" i="15"/>
  <c r="AB76" i="15"/>
  <c r="AJ76" i="15"/>
  <c r="A77" i="15"/>
  <c r="K76" i="15"/>
  <c r="AC76" i="15"/>
  <c r="X76" i="15"/>
  <c r="O76" i="15"/>
  <c r="AA75" i="1"/>
  <c r="Z75" i="1" s="1"/>
  <c r="Y75" i="1" s="1"/>
  <c r="AB76" i="16"/>
  <c r="X76" i="16"/>
  <c r="AJ76" i="16"/>
  <c r="AC76" i="16"/>
  <c r="K76" i="16"/>
  <c r="L76" i="16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F76" i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D77" i="1"/>
  <c r="E77" i="1" s="1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L77" i="15" l="1"/>
  <c r="O77" i="15"/>
  <c r="AB77" i="15"/>
  <c r="AJ77" i="15"/>
  <c r="K77" i="15"/>
  <c r="AK77" i="15"/>
  <c r="A78" i="15"/>
  <c r="X77" i="15"/>
  <c r="AC77" i="15"/>
  <c r="K77" i="16"/>
  <c r="X77" i="16"/>
  <c r="AK77" i="16"/>
  <c r="AC77" i="16"/>
  <c r="L77" i="16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F77" i="1"/>
  <c r="AA76" i="1"/>
  <c r="Z76" i="1" s="1"/>
  <c r="Y76" i="1" s="1"/>
  <c r="G76" i="1"/>
  <c r="BW76" i="6" s="1"/>
  <c r="I76" i="1"/>
  <c r="B76" i="6" s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D78" i="1"/>
  <c r="E78" i="1" s="1"/>
  <c r="A79" i="15" l="1"/>
  <c r="O78" i="15"/>
  <c r="L78" i="15"/>
  <c r="AK78" i="15"/>
  <c r="X78" i="15"/>
  <c r="AJ78" i="15"/>
  <c r="K78" i="15"/>
  <c r="AB78" i="15"/>
  <c r="AC78" i="15"/>
  <c r="L78" i="16"/>
  <c r="A79" i="16"/>
  <c r="AB78" i="16"/>
  <c r="AJ78" i="16"/>
  <c r="O78" i="16"/>
  <c r="X78" i="16"/>
  <c r="K78" i="16"/>
  <c r="AK78" i="16"/>
  <c r="AC78" i="16"/>
  <c r="F78" i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D79" i="1"/>
  <c r="E79" i="1" s="1"/>
  <c r="AA77" i="1"/>
  <c r="Z77" i="1" s="1"/>
  <c r="Y77" i="1" s="1"/>
  <c r="I77" i="1"/>
  <c r="B77" i="6" s="1"/>
  <c r="G77" i="1"/>
  <c r="BW77" i="6" s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AB79" i="15" l="1"/>
  <c r="AK79" i="15"/>
  <c r="K79" i="15"/>
  <c r="X79" i="15"/>
  <c r="AC79" i="15"/>
  <c r="A80" i="15"/>
  <c r="O79" i="15"/>
  <c r="L79" i="15"/>
  <c r="AJ79" i="15"/>
  <c r="K79" i="16"/>
  <c r="A80" i="16"/>
  <c r="AJ79" i="16"/>
  <c r="AC79" i="16"/>
  <c r="X79" i="16"/>
  <c r="L79" i="16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F79" i="1"/>
  <c r="D80" i="1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G78" i="1"/>
  <c r="BW78" i="6" s="1"/>
  <c r="I78" i="1"/>
  <c r="B78" i="6" s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E80" i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AB80" i="15" l="1"/>
  <c r="O80" i="15"/>
  <c r="L80" i="15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K80" i="16"/>
  <c r="AK80" i="16"/>
  <c r="AC80" i="16"/>
  <c r="D81" i="1"/>
  <c r="E81" i="1" s="1"/>
  <c r="F80" i="1"/>
  <c r="AB78" i="20"/>
  <c r="X78" i="20"/>
  <c r="L78" i="20"/>
  <c r="A79" i="20"/>
  <c r="K78" i="20"/>
  <c r="AJ78" i="20"/>
  <c r="AK78" i="20"/>
  <c r="O78" i="20"/>
  <c r="AC78" i="20"/>
  <c r="G79" i="1"/>
  <c r="BW79" i="6" s="1"/>
  <c r="AA79" i="1"/>
  <c r="Z79" i="1" s="1"/>
  <c r="Y79" i="1" s="1"/>
  <c r="I79" i="1"/>
  <c r="B79" i="6" s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F81" i="1" l="1"/>
  <c r="G81" i="1" s="1"/>
  <c r="BW81" i="6" s="1"/>
  <c r="A82" i="15"/>
  <c r="AC81" i="15"/>
  <c r="AB81" i="15"/>
  <c r="AK81" i="15"/>
  <c r="X81" i="15"/>
  <c r="AJ81" i="15"/>
  <c r="L81" i="15"/>
  <c r="K81" i="15"/>
  <c r="O81" i="15"/>
  <c r="L81" i="16"/>
  <c r="AB81" i="16"/>
  <c r="A82" i="16"/>
  <c r="AK81" i="16"/>
  <c r="O81" i="16"/>
  <c r="K81" i="16"/>
  <c r="X81" i="16"/>
  <c r="AJ81" i="16"/>
  <c r="AC81" i="16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G80" i="1"/>
  <c r="BW80" i="6" s="1"/>
  <c r="I80" i="1"/>
  <c r="B80" i="6" s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D82" i="1"/>
  <c r="E82" i="1" s="1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I81" i="1" l="1"/>
  <c r="B81" i="6" s="1"/>
  <c r="AA81" i="1"/>
  <c r="Z81" i="1" s="1"/>
  <c r="Y81" i="1" s="1"/>
  <c r="L82" i="15"/>
  <c r="AK82" i="15"/>
  <c r="X82" i="15"/>
  <c r="K82" i="15"/>
  <c r="AC82" i="15"/>
  <c r="A83" i="15"/>
  <c r="O82" i="15"/>
  <c r="AB82" i="15"/>
  <c r="AJ82" i="15"/>
  <c r="F82" i="1"/>
  <c r="I82" i="1" s="1"/>
  <c r="B82" i="6" s="1"/>
  <c r="L82" i="16"/>
  <c r="X82" i="16"/>
  <c r="AJ82" i="16"/>
  <c r="AC82" i="16"/>
  <c r="K82" i="16"/>
  <c r="A83" i="16"/>
  <c r="AB82" i="16"/>
  <c r="AK82" i="16"/>
  <c r="O82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D83" i="1"/>
  <c r="E83" i="1" s="1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G82" i="1"/>
  <c r="BW82" i="6" s="1"/>
  <c r="AB83" i="15"/>
  <c r="AK83" i="15"/>
  <c r="A84" i="15"/>
  <c r="X83" i="15"/>
  <c r="AC83" i="15"/>
  <c r="K83" i="15"/>
  <c r="O83" i="15"/>
  <c r="L83" i="15"/>
  <c r="AJ83" i="15"/>
  <c r="AB83" i="16"/>
  <c r="L83" i="16"/>
  <c r="AK83" i="16"/>
  <c r="AC83" i="16"/>
  <c r="A84" i="16"/>
  <c r="K83" i="16"/>
  <c r="X83" i="16"/>
  <c r="AJ83" i="16"/>
  <c r="O83" i="16"/>
  <c r="F83" i="1"/>
  <c r="AA83" i="1" s="1"/>
  <c r="Z83" i="1" s="1"/>
  <c r="Y83" i="1" s="1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X84" i="15" l="1"/>
  <c r="AK84" i="15"/>
  <c r="A85" i="15"/>
  <c r="L84" i="15"/>
  <c r="AC84" i="15"/>
  <c r="K84" i="15"/>
  <c r="O84" i="15"/>
  <c r="AB84" i="15"/>
  <c r="AJ84" i="15"/>
  <c r="G83" i="1"/>
  <c r="BW83" i="6" s="1"/>
  <c r="I83" i="1"/>
  <c r="B83" i="6" s="1"/>
  <c r="L84" i="16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K85" i="15"/>
  <c r="AK85" i="15"/>
  <c r="AB85" i="15"/>
  <c r="A86" i="15"/>
  <c r="O85" i="15"/>
  <c r="L85" i="15"/>
  <c r="AC85" i="15"/>
  <c r="X85" i="15"/>
  <c r="AJ85" i="15"/>
  <c r="I84" i="1"/>
  <c r="B84" i="6" s="1"/>
  <c r="L85" i="16"/>
  <c r="X85" i="16"/>
  <c r="AJ85" i="16"/>
  <c r="AC85" i="16"/>
  <c r="AB85" i="16"/>
  <c r="K85" i="16"/>
  <c r="A86" i="16"/>
  <c r="AK85" i="16"/>
  <c r="O85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L86" i="15" l="1"/>
  <c r="K86" i="15"/>
  <c r="AC86" i="15"/>
  <c r="AB86" i="15"/>
  <c r="O86" i="15"/>
  <c r="X86" i="15"/>
  <c r="AJ86" i="15"/>
  <c r="A87" i="15"/>
  <c r="AK86" i="15"/>
  <c r="F86" i="1"/>
  <c r="G86" i="1" s="1"/>
  <c r="BW86" i="6" s="1"/>
  <c r="AB86" i="16"/>
  <c r="L86" i="16"/>
  <c r="A87" i="16"/>
  <c r="AK86" i="16"/>
  <c r="O86" i="16"/>
  <c r="K86" i="16"/>
  <c r="X86" i="16"/>
  <c r="AJ86" i="16"/>
  <c r="AC86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B85" i="6" s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AB87" i="15" l="1"/>
  <c r="AK87" i="15"/>
  <c r="A88" i="15"/>
  <c r="K87" i="15"/>
  <c r="AC87" i="15"/>
  <c r="L87" i="15"/>
  <c r="O87" i="15"/>
  <c r="X87" i="15"/>
  <c r="AJ87" i="15"/>
  <c r="AA86" i="1"/>
  <c r="Z86" i="1" s="1"/>
  <c r="Y86" i="1" s="1"/>
  <c r="I86" i="1"/>
  <c r="B86" i="6" s="1"/>
  <c r="K87" i="16"/>
  <c r="L87" i="16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A89" i="15" l="1"/>
  <c r="AJ88" i="15"/>
  <c r="L88" i="15"/>
  <c r="X88" i="15"/>
  <c r="AC88" i="15"/>
  <c r="A34" i="7"/>
  <c r="AB88" i="15"/>
  <c r="O88" i="15"/>
  <c r="C34" i="7" s="1"/>
  <c r="K88" i="15"/>
  <c r="AK88" i="15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B87" i="6" s="1"/>
  <c r="AB87" i="18"/>
  <c r="L87" i="18"/>
  <c r="A88" i="18"/>
  <c r="K87" i="18"/>
  <c r="X87" i="18"/>
  <c r="O87" i="18"/>
  <c r="AJ87" i="18"/>
  <c r="AK87" i="18"/>
  <c r="AC87" i="18"/>
  <c r="F88" i="1" l="1"/>
  <c r="AA88" i="1" s="1"/>
  <c r="Z88" i="1" s="1"/>
  <c r="Y88" i="1" s="1"/>
  <c r="B34" i="7"/>
  <c r="L89" i="15"/>
  <c r="AJ89" i="15"/>
  <c r="X89" i="15"/>
  <c r="AK89" i="15"/>
  <c r="K89" i="15"/>
  <c r="A90" i="15"/>
  <c r="AC89" i="15"/>
  <c r="AB89" i="15"/>
  <c r="O89" i="15"/>
  <c r="F89" i="1"/>
  <c r="I89" i="1" s="1"/>
  <c r="B89" i="6" s="1"/>
  <c r="X89" i="16"/>
  <c r="K89" i="16"/>
  <c r="AB89" i="16"/>
  <c r="AK89" i="16"/>
  <c r="O89" i="16"/>
  <c r="A90" i="16"/>
  <c r="AJ89" i="16"/>
  <c r="AC89" i="16"/>
  <c r="L89" i="16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E90" i="1"/>
  <c r="A85" i="24"/>
  <c r="L84" i="24"/>
  <c r="K84" i="24"/>
  <c r="AB84" i="24"/>
  <c r="X84" i="24"/>
  <c r="AJ84" i="24"/>
  <c r="AK84" i="24"/>
  <c r="O84" i="24"/>
  <c r="AC84" i="24"/>
  <c r="I88" i="1" l="1"/>
  <c r="B88" i="6" s="1"/>
  <c r="G88" i="1"/>
  <c r="BW88" i="6" s="1"/>
  <c r="G89" i="1"/>
  <c r="BW89" i="6" s="1"/>
  <c r="AA89" i="1"/>
  <c r="Z89" i="1" s="1"/>
  <c r="Y89" i="1" s="1"/>
  <c r="AB90" i="15"/>
  <c r="AK90" i="15"/>
  <c r="A91" i="15"/>
  <c r="X90" i="15"/>
  <c r="AJ90" i="15"/>
  <c r="K90" i="15"/>
  <c r="O90" i="15"/>
  <c r="AC90" i="15"/>
  <c r="L90" i="15"/>
  <c r="F90" i="1"/>
  <c r="I90" i="1" s="1"/>
  <c r="B90" i="6" s="1"/>
  <c r="K90" i="16"/>
  <c r="AB90" i="16"/>
  <c r="AJ90" i="16"/>
  <c r="AC90" i="16"/>
  <c r="X90" i="16"/>
  <c r="A91" i="16"/>
  <c r="L90" i="16"/>
  <c r="AK90" i="16"/>
  <c r="O90" i="16"/>
  <c r="AA90" i="1"/>
  <c r="Z90" i="1" s="1"/>
  <c r="Y90" i="1" s="1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G90" i="1" l="1"/>
  <c r="BW90" i="6" s="1"/>
  <c r="K91" i="15"/>
  <c r="AC91" i="15"/>
  <c r="L91" i="15"/>
  <c r="AJ91" i="15"/>
  <c r="X91" i="15"/>
  <c r="AK91" i="15"/>
  <c r="A92" i="15"/>
  <c r="AB91" i="15"/>
  <c r="O91" i="15"/>
  <c r="AB91" i="16"/>
  <c r="K91" i="16"/>
  <c r="L91" i="16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E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K92" i="15" l="1"/>
  <c r="AK92" i="15"/>
  <c r="AB92" i="15"/>
  <c r="A93" i="15"/>
  <c r="AC92" i="15"/>
  <c r="X92" i="15"/>
  <c r="O92" i="15"/>
  <c r="L92" i="15"/>
  <c r="AJ92" i="15"/>
  <c r="X92" i="16"/>
  <c r="L92" i="16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F93" i="1" l="1"/>
  <c r="I93" i="1" s="1"/>
  <c r="B93" i="6" s="1"/>
  <c r="K93" i="15"/>
  <c r="O93" i="15"/>
  <c r="AB93" i="15"/>
  <c r="AK93" i="15"/>
  <c r="A94" i="15"/>
  <c r="AJ93" i="15"/>
  <c r="L93" i="15"/>
  <c r="X93" i="15"/>
  <c r="AC93" i="15"/>
  <c r="A94" i="16"/>
  <c r="L93" i="16"/>
  <c r="X93" i="16"/>
  <c r="AK93" i="16"/>
  <c r="O93" i="16"/>
  <c r="K93" i="16"/>
  <c r="AB93" i="16"/>
  <c r="AJ93" i="16"/>
  <c r="AC93" i="16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B91" i="6" s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B92" i="6" s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AA93" i="1" l="1"/>
  <c r="Z93" i="1" s="1"/>
  <c r="Y93" i="1" s="1"/>
  <c r="G93" i="1"/>
  <c r="BW93" i="6" s="1"/>
  <c r="AB94" i="15"/>
  <c r="O94" i="15"/>
  <c r="L94" i="15"/>
  <c r="AK94" i="15"/>
  <c r="K94" i="15"/>
  <c r="AJ94" i="15"/>
  <c r="X94" i="15"/>
  <c r="A95" i="15"/>
  <c r="AC94" i="15"/>
  <c r="X94" i="16"/>
  <c r="A95" i="16"/>
  <c r="K94" i="16"/>
  <c r="O94" i="16"/>
  <c r="L94" i="16"/>
  <c r="AB94" i="16"/>
  <c r="AK94" i="16"/>
  <c r="AC94" i="16"/>
  <c r="AJ94" i="16"/>
  <c r="I94" i="1"/>
  <c r="B94" i="6" s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AC95" i="15" l="1"/>
  <c r="L95" i="15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K95" i="16"/>
  <c r="X95" i="16"/>
  <c r="AJ95" i="16"/>
  <c r="O95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K96" i="15" l="1"/>
  <c r="A97" i="15"/>
  <c r="AC96" i="15"/>
  <c r="L96" i="15"/>
  <c r="O96" i="15"/>
  <c r="AB96" i="15"/>
  <c r="AJ96" i="15"/>
  <c r="X96" i="15"/>
  <c r="AK96" i="15"/>
  <c r="F96" i="1"/>
  <c r="G96" i="1" s="1"/>
  <c r="BW96" i="6" s="1"/>
  <c r="L96" i="16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B95" i="6" s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AA96" i="1" l="1"/>
  <c r="Z96" i="1" s="1"/>
  <c r="Y96" i="1" s="1"/>
  <c r="F97" i="1"/>
  <c r="AA97" i="1" s="1"/>
  <c r="Z97" i="1" s="1"/>
  <c r="Y97" i="1" s="1"/>
  <c r="I96" i="1"/>
  <c r="B96" i="6" s="1"/>
  <c r="AB97" i="15"/>
  <c r="AJ97" i="15"/>
  <c r="X97" i="15"/>
  <c r="AK97" i="15"/>
  <c r="L97" i="15"/>
  <c r="K97" i="15"/>
  <c r="AC97" i="15"/>
  <c r="A98" i="15"/>
  <c r="O97" i="15"/>
  <c r="K97" i="16"/>
  <c r="A98" i="16"/>
  <c r="AK97" i="16"/>
  <c r="AC97" i="16"/>
  <c r="AB97" i="16"/>
  <c r="L97" i="16"/>
  <c r="X97" i="16"/>
  <c r="AJ97" i="16"/>
  <c r="O97" i="16"/>
  <c r="I97" i="1"/>
  <c r="B97" i="6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F98" i="1"/>
  <c r="I98" i="1" s="1"/>
  <c r="B98" i="6" s="1"/>
  <c r="A99" i="15"/>
  <c r="AK98" i="15"/>
  <c r="AB98" i="15"/>
  <c r="AJ98" i="15"/>
  <c r="L98" i="15"/>
  <c r="K98" i="15"/>
  <c r="O98" i="15"/>
  <c r="X98" i="15"/>
  <c r="AC98" i="15"/>
  <c r="A99" i="16"/>
  <c r="L98" i="16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AA98" i="1"/>
  <c r="Z98" i="1" s="1"/>
  <c r="Y98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F99" i="1" l="1"/>
  <c r="I99" i="1" s="1"/>
  <c r="B99" i="6" s="1"/>
  <c r="G98" i="1"/>
  <c r="BW98" i="6" s="1"/>
  <c r="K99" i="15"/>
  <c r="AJ99" i="15"/>
  <c r="L99" i="15"/>
  <c r="AK99" i="15"/>
  <c r="AB99" i="15"/>
  <c r="A100" i="15"/>
  <c r="AC99" i="15"/>
  <c r="X99" i="15"/>
  <c r="O99" i="15"/>
  <c r="A100" i="16"/>
  <c r="L99" i="16"/>
  <c r="X99" i="16"/>
  <c r="AJ99" i="16"/>
  <c r="O99" i="16"/>
  <c r="K99" i="16"/>
  <c r="AB99" i="16"/>
  <c r="AK99" i="16"/>
  <c r="AC99" i="16"/>
  <c r="G99" i="1"/>
  <c r="BW99" i="6" s="1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A101" i="15"/>
  <c r="AK100" i="15"/>
  <c r="K100" i="15"/>
  <c r="X100" i="15"/>
  <c r="AC100" i="15"/>
  <c r="L100" i="15"/>
  <c r="O100" i="15"/>
  <c r="AB100" i="15"/>
  <c r="AJ100" i="15"/>
  <c r="L100" i="16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F101" i="1" l="1"/>
  <c r="AA101" i="1" s="1"/>
  <c r="Z101" i="1" s="1"/>
  <c r="Y101" i="1" s="1"/>
  <c r="P102" i="1"/>
  <c r="V102" i="1" s="1"/>
  <c r="K101" i="15"/>
  <c r="AK101" i="15"/>
  <c r="A102" i="15"/>
  <c r="AJ101" i="15"/>
  <c r="X101" i="15"/>
  <c r="L101" i="15"/>
  <c r="AC101" i="15"/>
  <c r="AB101" i="15"/>
  <c r="O101" i="15"/>
  <c r="L101" i="16"/>
  <c r="AB101" i="16"/>
  <c r="AK101" i="16"/>
  <c r="AC101" i="16"/>
  <c r="A102" i="16"/>
  <c r="K101" i="16"/>
  <c r="X101" i="16"/>
  <c r="AJ101" i="16"/>
  <c r="O101" i="16"/>
  <c r="G101" i="1"/>
  <c r="BW101" i="6" s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B100" i="6" s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I101" i="1" l="1"/>
  <c r="B101" i="6" s="1"/>
  <c r="AB102" i="15"/>
  <c r="AC102" i="15"/>
  <c r="O102" i="15"/>
  <c r="L102" i="15"/>
  <c r="A103" i="15"/>
  <c r="AK102" i="15"/>
  <c r="X102" i="15"/>
  <c r="K102" i="15"/>
  <c r="AJ102" i="15"/>
  <c r="AB102" i="16"/>
  <c r="X102" i="16"/>
  <c r="AJ102" i="16"/>
  <c r="AC102" i="16"/>
  <c r="K102" i="16"/>
  <c r="L102" i="16"/>
  <c r="A103" i="16"/>
  <c r="AK102" i="16"/>
  <c r="O102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AB103" i="15" l="1"/>
  <c r="K103" i="15"/>
  <c r="AC103" i="15"/>
  <c r="X103" i="15"/>
  <c r="O103" i="15"/>
  <c r="L103" i="15"/>
  <c r="AJ103" i="15"/>
  <c r="A104" i="15"/>
  <c r="AK103" i="15"/>
  <c r="A104" i="16"/>
  <c r="X103" i="16"/>
  <c r="L103" i="16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B102" i="6" s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AB104" i="15" l="1"/>
  <c r="A105" i="15"/>
  <c r="AC104" i="15"/>
  <c r="X104" i="15"/>
  <c r="O104" i="15"/>
  <c r="K104" i="15"/>
  <c r="AK104" i="15"/>
  <c r="L104" i="15"/>
  <c r="AJ104" i="15"/>
  <c r="F104" i="1"/>
  <c r="I104" i="1" s="1"/>
  <c r="B104" i="6" s="1"/>
  <c r="L104" i="16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B103" i="6" s="1"/>
  <c r="G104" i="1" l="1"/>
  <c r="BW104" i="6" s="1"/>
  <c r="F105" i="1"/>
  <c r="G105" i="1" s="1"/>
  <c r="BW105" i="6" s="1"/>
  <c r="AA104" i="1"/>
  <c r="Z104" i="1" s="1"/>
  <c r="Y104" i="1" s="1"/>
  <c r="AB105" i="15"/>
  <c r="O105" i="15"/>
  <c r="A106" i="15"/>
  <c r="AJ105" i="15"/>
  <c r="X105" i="15"/>
  <c r="AK105" i="15"/>
  <c r="L105" i="15"/>
  <c r="K105" i="15"/>
  <c r="AC105" i="15"/>
  <c r="AB105" i="16"/>
  <c r="K105" i="16"/>
  <c r="AJ105" i="16"/>
  <c r="AC105" i="16"/>
  <c r="L105" i="16"/>
  <c r="X105" i="16"/>
  <c r="A106" i="16"/>
  <c r="AK105" i="16"/>
  <c r="O105" i="16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I105" i="1" l="1"/>
  <c r="B105" i="6" s="1"/>
  <c r="AA105" i="1"/>
  <c r="Z105" i="1" s="1"/>
  <c r="Y105" i="1" s="1"/>
  <c r="P107" i="1"/>
  <c r="V107" i="1" s="1"/>
  <c r="A107" i="15"/>
  <c r="O106" i="15"/>
  <c r="AB106" i="15"/>
  <c r="AC106" i="15"/>
  <c r="L106" i="15"/>
  <c r="K106" i="15"/>
  <c r="X106" i="15"/>
  <c r="AK106" i="15"/>
  <c r="AJ106" i="15"/>
  <c r="F106" i="1"/>
  <c r="G106" i="1" s="1"/>
  <c r="BW106" i="6" s="1"/>
  <c r="AB106" i="16"/>
  <c r="K106" i="16"/>
  <c r="AK106" i="16"/>
  <c r="AC106" i="16"/>
  <c r="X106" i="16"/>
  <c r="L106" i="16"/>
  <c r="A107" i="16"/>
  <c r="AJ106" i="16"/>
  <c r="O106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B106" i="6" s="1"/>
  <c r="AA106" i="1"/>
  <c r="Z106" i="1" s="1"/>
  <c r="Y106" i="1" s="1"/>
  <c r="K107" i="15"/>
  <c r="AC107" i="15"/>
  <c r="AB107" i="15"/>
  <c r="AJ107" i="15"/>
  <c r="A108" i="15"/>
  <c r="AK107" i="15"/>
  <c r="L107" i="15"/>
  <c r="X107" i="15"/>
  <c r="O107" i="15"/>
  <c r="F107" i="1"/>
  <c r="I107" i="1" s="1"/>
  <c r="B107" i="6" s="1"/>
  <c r="AB107" i="16"/>
  <c r="L107" i="16"/>
  <c r="K107" i="16"/>
  <c r="AJ107" i="16"/>
  <c r="O107" i="16"/>
  <c r="X107" i="16"/>
  <c r="A108" i="16"/>
  <c r="AK107" i="16"/>
  <c r="AC107" i="16"/>
  <c r="G107" i="1"/>
  <c r="BW107" i="6" s="1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AA107" i="1" l="1"/>
  <c r="Z107" i="1" s="1"/>
  <c r="Y107" i="1" s="1"/>
  <c r="K108" i="15"/>
  <c r="X108" i="15"/>
  <c r="AC108" i="15"/>
  <c r="AB108" i="15"/>
  <c r="O108" i="15"/>
  <c r="L108" i="15"/>
  <c r="AK108" i="15"/>
  <c r="A109" i="15"/>
  <c r="AJ108" i="15"/>
  <c r="K108" i="16"/>
  <c r="O108" i="16"/>
  <c r="L108" i="16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AB109" i="15" l="1"/>
  <c r="O109" i="15"/>
  <c r="L109" i="15"/>
  <c r="AJ109" i="15"/>
  <c r="X109" i="15"/>
  <c r="AK109" i="15"/>
  <c r="A110" i="15"/>
  <c r="K109" i="15"/>
  <c r="AC109" i="15"/>
  <c r="F109" i="1"/>
  <c r="G109" i="1" s="1"/>
  <c r="BW109" i="6" s="1"/>
  <c r="X109" i="16"/>
  <c r="K109" i="16"/>
  <c r="AB109" i="16"/>
  <c r="AK109" i="16"/>
  <c r="O109" i="16"/>
  <c r="L109" i="16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B108" i="6" s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I109" i="1" l="1"/>
  <c r="B109" i="6" s="1"/>
  <c r="AA109" i="1"/>
  <c r="Z109" i="1" s="1"/>
  <c r="Y109" i="1" s="1"/>
  <c r="AB110" i="15"/>
  <c r="A111" i="15"/>
  <c r="O110" i="15"/>
  <c r="K110" i="15"/>
  <c r="AC110" i="15"/>
  <c r="L110" i="15"/>
  <c r="AJ110" i="15"/>
  <c r="X110" i="15"/>
  <c r="AK110" i="15"/>
  <c r="X110" i="16"/>
  <c r="L110" i="16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L111" i="15"/>
  <c r="AK111" i="15"/>
  <c r="AB111" i="15"/>
  <c r="K111" i="15"/>
  <c r="AC111" i="15"/>
  <c r="A112" i="15"/>
  <c r="O111" i="15"/>
  <c r="X111" i="15"/>
  <c r="AJ111" i="15"/>
  <c r="L111" i="16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B110" i="6" s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B111" i="6" s="1"/>
  <c r="A113" i="15"/>
  <c r="AJ112" i="15"/>
  <c r="L112" i="15"/>
  <c r="X112" i="15"/>
  <c r="AC112" i="15"/>
  <c r="K112" i="15"/>
  <c r="O112" i="15"/>
  <c r="AB112" i="15"/>
  <c r="AK112" i="15"/>
  <c r="L112" i="16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F112" i="1" l="1"/>
  <c r="AA112" i="1" s="1"/>
  <c r="Z112" i="1" s="1"/>
  <c r="Y112" i="1" s="1"/>
  <c r="K113" i="15"/>
  <c r="AJ113" i="15"/>
  <c r="A114" i="15"/>
  <c r="AK113" i="15"/>
  <c r="X113" i="15"/>
  <c r="AB113" i="15"/>
  <c r="O113" i="15"/>
  <c r="L113" i="15"/>
  <c r="AC113" i="15"/>
  <c r="A114" i="16"/>
  <c r="K113" i="16"/>
  <c r="X113" i="16"/>
  <c r="AK113" i="16"/>
  <c r="O113" i="16"/>
  <c r="AB113" i="16"/>
  <c r="L113" i="16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I112" i="1" l="1"/>
  <c r="B112" i="6" s="1"/>
  <c r="F113" i="1"/>
  <c r="AA113" i="1" s="1"/>
  <c r="Z113" i="1" s="1"/>
  <c r="Y113" i="1" s="1"/>
  <c r="X114" i="15"/>
  <c r="O114" i="15"/>
  <c r="L114" i="15"/>
  <c r="AJ114" i="15"/>
  <c r="A115" i="15"/>
  <c r="AK114" i="15"/>
  <c r="AB114" i="15"/>
  <c r="K114" i="15"/>
  <c r="AC114" i="15"/>
  <c r="X114" i="16"/>
  <c r="A115" i="16"/>
  <c r="AK114" i="16"/>
  <c r="AC114" i="16"/>
  <c r="AB114" i="16"/>
  <c r="L114" i="16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B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G113" i="1" l="1"/>
  <c r="BW113" i="6" s="1"/>
  <c r="AB115" i="15"/>
  <c r="AK115" i="15"/>
  <c r="K115" i="15"/>
  <c r="AJ115" i="15"/>
  <c r="L115" i="15"/>
  <c r="A116" i="15"/>
  <c r="AC115" i="15"/>
  <c r="X115" i="15"/>
  <c r="O115" i="15"/>
  <c r="AB115" i="16"/>
  <c r="L115" i="16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B114" i="6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X116" i="15" l="1"/>
  <c r="AK116" i="15"/>
  <c r="L116" i="15"/>
  <c r="AJ116" i="15"/>
  <c r="AB116" i="15"/>
  <c r="K116" i="15"/>
  <c r="AC116" i="15"/>
  <c r="A117" i="15"/>
  <c r="O116" i="15"/>
  <c r="F116" i="1"/>
  <c r="I116" i="1" s="1"/>
  <c r="B116" i="6" s="1"/>
  <c r="A117" i="16"/>
  <c r="L116" i="16"/>
  <c r="AJ116" i="16"/>
  <c r="AC116" i="16"/>
  <c r="AB116" i="16"/>
  <c r="K116" i="16"/>
  <c r="AK116" i="16"/>
  <c r="O116" i="16"/>
  <c r="X116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B115" i="6" s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G116" i="1" l="1"/>
  <c r="BW116" i="6" s="1"/>
  <c r="AA116" i="1"/>
  <c r="Z116" i="1" s="1"/>
  <c r="Y116" i="1" s="1"/>
  <c r="F117" i="1"/>
  <c r="I117" i="1" s="1"/>
  <c r="B117" i="6" s="1"/>
  <c r="K117" i="15"/>
  <c r="O117" i="15"/>
  <c r="AB117" i="15"/>
  <c r="AJ117" i="15"/>
  <c r="L117" i="15"/>
  <c r="AK117" i="15"/>
  <c r="X117" i="15"/>
  <c r="A118" i="15"/>
  <c r="AC117" i="15"/>
  <c r="A118" i="16"/>
  <c r="K117" i="16"/>
  <c r="AJ117" i="16"/>
  <c r="AC117" i="16"/>
  <c r="X117" i="16"/>
  <c r="AB117" i="16"/>
  <c r="L117" i="16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AB118" i="15"/>
  <c r="AK118" i="15"/>
  <c r="X118" i="15"/>
  <c r="A119" i="15"/>
  <c r="O118" i="15"/>
  <c r="L118" i="15"/>
  <c r="AC118" i="15"/>
  <c r="AJ118" i="15"/>
  <c r="K118" i="15"/>
  <c r="AB118" i="16"/>
  <c r="L118" i="16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K119" i="15" l="1"/>
  <c r="AJ119" i="15"/>
  <c r="A120" i="15"/>
  <c r="L119" i="15"/>
  <c r="O119" i="15"/>
  <c r="C35" i="7" s="1"/>
  <c r="A35" i="7"/>
  <c r="X119" i="15"/>
  <c r="AC119" i="15"/>
  <c r="AB119" i="15"/>
  <c r="AK119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B118" i="6" s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35" i="7" l="1"/>
  <c r="K120" i="15"/>
  <c r="AJ120" i="15"/>
  <c r="A121" i="15"/>
  <c r="AB120" i="15"/>
  <c r="O120" i="15"/>
  <c r="X120" i="15"/>
  <c r="AC120" i="15"/>
  <c r="L120" i="15"/>
  <c r="AK120" i="15"/>
  <c r="F120" i="1"/>
  <c r="I120" i="1" s="1"/>
  <c r="B120" i="6" s="1"/>
  <c r="A121" i="16"/>
  <c r="AB120" i="16"/>
  <c r="AJ120" i="16"/>
  <c r="AC120" i="16"/>
  <c r="K120" i="16"/>
  <c r="L120" i="16"/>
  <c r="X120" i="16"/>
  <c r="AK120" i="16"/>
  <c r="O120" i="16"/>
  <c r="B47" i="7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B119" i="6" s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A120" i="1" l="1"/>
  <c r="Z120" i="1" s="1"/>
  <c r="Y120" i="1" s="1"/>
  <c r="A122" i="15"/>
  <c r="O121" i="15"/>
  <c r="X121" i="15"/>
  <c r="AJ121" i="15"/>
  <c r="L121" i="15"/>
  <c r="AK121" i="15"/>
  <c r="K121" i="15"/>
  <c r="AB121" i="15"/>
  <c r="AC121" i="15"/>
  <c r="G120" i="1"/>
  <c r="BW120" i="6" s="1"/>
  <c r="X121" i="16"/>
  <c r="L121" i="16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L122" i="15" l="1"/>
  <c r="O122" i="15"/>
  <c r="A123" i="15"/>
  <c r="AJ122" i="15"/>
  <c r="AB122" i="15"/>
  <c r="AK122" i="15"/>
  <c r="X122" i="15"/>
  <c r="K122" i="15"/>
  <c r="AC122" i="15"/>
  <c r="L122" i="16"/>
  <c r="X122" i="16"/>
  <c r="AJ122" i="16"/>
  <c r="AC122" i="16"/>
  <c r="AB122" i="16"/>
  <c r="A123" i="16"/>
  <c r="K122" i="16"/>
  <c r="AK122" i="16"/>
  <c r="O122" i="16"/>
  <c r="I121" i="1"/>
  <c r="B121" i="6" s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X123" i="15" l="1"/>
  <c r="AK123" i="15"/>
  <c r="A124" i="15"/>
  <c r="AJ123" i="15"/>
  <c r="K123" i="15"/>
  <c r="AB123" i="15"/>
  <c r="O123" i="15"/>
  <c r="L123" i="15"/>
  <c r="AC123" i="15"/>
  <c r="L123" i="16"/>
  <c r="X123" i="16"/>
  <c r="AB123" i="16"/>
  <c r="AJ123" i="16"/>
  <c r="O123" i="16"/>
  <c r="K123" i="16"/>
  <c r="A124" i="16"/>
  <c r="AK123" i="16"/>
  <c r="AC123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K124" i="15" l="1"/>
  <c r="AB124" i="15"/>
  <c r="AC124" i="15"/>
  <c r="X124" i="15"/>
  <c r="O124" i="15"/>
  <c r="A125" i="15"/>
  <c r="AK124" i="15"/>
  <c r="L124" i="15"/>
  <c r="AJ124" i="15"/>
  <c r="X124" i="16"/>
  <c r="AB124" i="16"/>
  <c r="K124" i="16"/>
  <c r="L124" i="16"/>
  <c r="AK124" i="16"/>
  <c r="O124" i="16"/>
  <c r="A125" i="16"/>
  <c r="AJ124" i="16"/>
  <c r="AC124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B123" i="6" s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B122" i="6" s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A126" i="15" l="1"/>
  <c r="AB125" i="15"/>
  <c r="AC125" i="15"/>
  <c r="X125" i="15"/>
  <c r="O125" i="15"/>
  <c r="L125" i="15"/>
  <c r="AJ125" i="15"/>
  <c r="K125" i="15"/>
  <c r="AK125" i="15"/>
  <c r="A126" i="16"/>
  <c r="L125" i="16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B124" i="6" s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X126" i="15" l="1"/>
  <c r="O126" i="15"/>
  <c r="AB126" i="15"/>
  <c r="AJ126" i="15"/>
  <c r="K126" i="15"/>
  <c r="AK126" i="15"/>
  <c r="L126" i="15"/>
  <c r="A127" i="15"/>
  <c r="AC126" i="15"/>
  <c r="AB126" i="16"/>
  <c r="X126" i="16"/>
  <c r="L126" i="16"/>
  <c r="AK126" i="16"/>
  <c r="AC126" i="16"/>
  <c r="A127" i="16"/>
  <c r="K126" i="16"/>
  <c r="AJ126" i="16"/>
  <c r="O126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l="1"/>
  <c r="AA126" i="1" s="1"/>
  <c r="Z126" i="1" s="1"/>
  <c r="Y126" i="1" s="1"/>
  <c r="F127" i="1"/>
  <c r="I127" i="1" s="1"/>
  <c r="B127" i="6" s="1"/>
  <c r="AB127" i="15"/>
  <c r="AC127" i="15"/>
  <c r="X127" i="15"/>
  <c r="AJ127" i="15"/>
  <c r="L127" i="15"/>
  <c r="AK127" i="15"/>
  <c r="A128" i="15"/>
  <c r="K127" i="15"/>
  <c r="O127" i="15"/>
  <c r="AB127" i="16"/>
  <c r="K127" i="16"/>
  <c r="X127" i="16"/>
  <c r="AK127" i="16"/>
  <c r="O127" i="16"/>
  <c r="L127" i="16"/>
  <c r="A128" i="16"/>
  <c r="AJ127" i="16"/>
  <c r="AC127" i="16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B125" i="6" s="1"/>
  <c r="AA125" i="1"/>
  <c r="Z125" i="1" s="1"/>
  <c r="Y125" i="1" s="1"/>
  <c r="D128" i="1"/>
  <c r="E128" i="1" s="1"/>
  <c r="V128" i="1"/>
  <c r="AA127" i="1" l="1"/>
  <c r="Z127" i="1" s="1"/>
  <c r="Y127" i="1" s="1"/>
  <c r="I126" i="1"/>
  <c r="B126" i="6" s="1"/>
  <c r="G126" i="1"/>
  <c r="BW126" i="6" s="1"/>
  <c r="G127" i="1"/>
  <c r="BW127" i="6" s="1"/>
  <c r="X128" i="15"/>
  <c r="AJ128" i="15"/>
  <c r="K128" i="15"/>
  <c r="AB128" i="15"/>
  <c r="AC128" i="15"/>
  <c r="A129" i="15"/>
  <c r="O128" i="15"/>
  <c r="L128" i="15"/>
  <c r="AK128" i="15"/>
  <c r="X128" i="16"/>
  <c r="L128" i="16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L129" i="15" l="1"/>
  <c r="X129" i="15"/>
  <c r="AC129" i="15"/>
  <c r="A130" i="15"/>
  <c r="O129" i="15"/>
  <c r="AB129" i="15"/>
  <c r="AJ129" i="15"/>
  <c r="K129" i="15"/>
  <c r="AK129" i="15"/>
  <c r="X129" i="16"/>
  <c r="K129" i="16"/>
  <c r="L129" i="16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B128" i="6" s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A131" i="15"/>
  <c r="AJ130" i="15"/>
  <c r="K130" i="15"/>
  <c r="X130" i="15"/>
  <c r="AC130" i="15"/>
  <c r="L130" i="15"/>
  <c r="O130" i="15"/>
  <c r="AB130" i="15"/>
  <c r="AK130" i="15"/>
  <c r="A131" i="16"/>
  <c r="AB130" i="16"/>
  <c r="X130" i="16"/>
  <c r="AJ130" i="16"/>
  <c r="O130" i="16"/>
  <c r="L130" i="16"/>
  <c r="K130" i="16"/>
  <c r="AK130" i="16"/>
  <c r="AC130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B129" i="6" s="1"/>
  <c r="G129" i="1"/>
  <c r="BW129" i="6" s="1"/>
  <c r="AA129" i="1"/>
  <c r="Z129" i="1" s="1"/>
  <c r="Y129" i="1" s="1"/>
  <c r="D131" i="1"/>
  <c r="E131" i="1" s="1"/>
  <c r="G130" i="1" l="1"/>
  <c r="BW130" i="6" s="1"/>
  <c r="I130" i="1"/>
  <c r="B130" i="6" s="1"/>
  <c r="X131" i="15"/>
  <c r="O131" i="15"/>
  <c r="L131" i="15"/>
  <c r="AJ131" i="15"/>
  <c r="K131" i="15"/>
  <c r="AK131" i="15"/>
  <c r="A132" i="15"/>
  <c r="AB131" i="15"/>
  <c r="AC131" i="15"/>
  <c r="K131" i="16"/>
  <c r="X131" i="16"/>
  <c r="AJ131" i="16"/>
  <c r="AC131" i="16"/>
  <c r="L131" i="16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K132" i="15" l="1"/>
  <c r="O132" i="15"/>
  <c r="AB132" i="15"/>
  <c r="AJ132" i="15"/>
  <c r="A133" i="15"/>
  <c r="AK132" i="15"/>
  <c r="X132" i="15"/>
  <c r="L132" i="15"/>
  <c r="AC132" i="15"/>
  <c r="A133" i="16"/>
  <c r="L132" i="16"/>
  <c r="K132" i="16"/>
  <c r="AK132" i="16"/>
  <c r="O132" i="16"/>
  <c r="X132" i="16"/>
  <c r="AB132" i="16"/>
  <c r="AJ132" i="16"/>
  <c r="AC132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B131" i="6" s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A134" i="15" l="1"/>
  <c r="K133" i="15"/>
  <c r="AB133" i="15"/>
  <c r="AC133" i="15"/>
  <c r="AK133" i="15"/>
  <c r="O133" i="15"/>
  <c r="L133" i="15"/>
  <c r="AJ133" i="15"/>
  <c r="X133" i="15"/>
  <c r="AB133" i="16"/>
  <c r="K133" i="16"/>
  <c r="X133" i="16"/>
  <c r="AJ133" i="16"/>
  <c r="O133" i="16"/>
  <c r="A134" i="16"/>
  <c r="L133" i="16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K134" i="15" l="1"/>
  <c r="L134" i="15"/>
  <c r="O134" i="15"/>
  <c r="A135" i="15"/>
  <c r="AC134" i="15"/>
  <c r="AB134" i="15"/>
  <c r="AJ134" i="15"/>
  <c r="X134" i="15"/>
  <c r="AK134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AJ134" i="16"/>
  <c r="AC134" i="16"/>
  <c r="I134" i="1"/>
  <c r="B134" i="6" s="1"/>
  <c r="I132" i="1"/>
  <c r="B132" i="6" s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B133" i="6" s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G134" i="1" l="1"/>
  <c r="BW134" i="6" s="1"/>
  <c r="L135" i="15"/>
  <c r="A136" i="15"/>
  <c r="X135" i="15"/>
  <c r="AC135" i="15"/>
  <c r="AJ135" i="15"/>
  <c r="O135" i="15"/>
  <c r="AB135" i="15"/>
  <c r="AK135" i="15"/>
  <c r="K135" i="15"/>
  <c r="X135" i="16"/>
  <c r="L135" i="16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6" i="15" l="1"/>
  <c r="AB136" i="15"/>
  <c r="AC136" i="15"/>
  <c r="A137" i="15"/>
  <c r="O136" i="15"/>
  <c r="X136" i="15"/>
  <c r="AK136" i="15"/>
  <c r="K136" i="15"/>
  <c r="AJ136" i="15"/>
  <c r="X136" i="16"/>
  <c r="A137" i="16"/>
  <c r="L136" i="16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B135" i="6" s="1"/>
  <c r="AA135" i="1"/>
  <c r="Z135" i="1" s="1"/>
  <c r="Y135" i="1" s="1"/>
  <c r="G135" i="1"/>
  <c r="BW135" i="6" s="1"/>
  <c r="K137" i="15" l="1"/>
  <c r="A138" i="15"/>
  <c r="O137" i="15"/>
  <c r="AB137" i="15"/>
  <c r="AC137" i="15"/>
  <c r="L137" i="15"/>
  <c r="AJ137" i="15"/>
  <c r="X137" i="15"/>
  <c r="AK137" i="15"/>
  <c r="AB137" i="16"/>
  <c r="K137" i="16"/>
  <c r="AJ137" i="16"/>
  <c r="AC137" i="16"/>
  <c r="X137" i="16"/>
  <c r="L137" i="16"/>
  <c r="A138" i="16"/>
  <c r="AK137" i="16"/>
  <c r="O137" i="16"/>
  <c r="F137" i="1"/>
  <c r="AA137" i="1" s="1"/>
  <c r="Z137" i="1" s="1"/>
  <c r="Y137" i="1" s="1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B136" i="6" s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F138" i="1" l="1"/>
  <c r="I138" i="1" s="1"/>
  <c r="B138" i="6" s="1"/>
  <c r="G137" i="1"/>
  <c r="BW137" i="6" s="1"/>
  <c r="K138" i="15"/>
  <c r="AC138" i="15"/>
  <c r="L138" i="15"/>
  <c r="AJ138" i="15"/>
  <c r="AB138" i="15"/>
  <c r="AK138" i="15"/>
  <c r="X138" i="15"/>
  <c r="A139" i="15"/>
  <c r="O138" i="15"/>
  <c r="I137" i="1"/>
  <c r="B137" i="6" s="1"/>
  <c r="A139" i="16"/>
  <c r="L138" i="16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AB139" i="15"/>
  <c r="AK139" i="15"/>
  <c r="X139" i="15"/>
  <c r="L139" i="15"/>
  <c r="AC139" i="15"/>
  <c r="A140" i="15"/>
  <c r="O139" i="15"/>
  <c r="K139" i="15"/>
  <c r="AJ139" i="15"/>
  <c r="A140" i="16"/>
  <c r="AB139" i="16"/>
  <c r="AJ139" i="16"/>
  <c r="AC139" i="16"/>
  <c r="K139" i="16"/>
  <c r="L139" i="16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I140" i="1" s="1"/>
  <c r="B140" i="6" s="1"/>
  <c r="K140" i="15"/>
  <c r="O140" i="15"/>
  <c r="A141" i="15"/>
  <c r="AJ140" i="15"/>
  <c r="L140" i="15"/>
  <c r="AK140" i="15"/>
  <c r="AB140" i="15"/>
  <c r="X140" i="15"/>
  <c r="AC140" i="15"/>
  <c r="A141" i="16"/>
  <c r="K140" i="16"/>
  <c r="AJ140" i="16"/>
  <c r="AC140" i="16"/>
  <c r="X140" i="16"/>
  <c r="L140" i="16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B139" i="6" s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AA140" i="1" l="1"/>
  <c r="Z140" i="1" s="1"/>
  <c r="Y140" i="1" s="1"/>
  <c r="G140" i="1"/>
  <c r="BW140" i="6" s="1"/>
  <c r="P142" i="1"/>
  <c r="V142" i="1" s="1"/>
  <c r="X141" i="15"/>
  <c r="AJ141" i="15"/>
  <c r="AB141" i="15"/>
  <c r="A142" i="15"/>
  <c r="O141" i="15"/>
  <c r="L141" i="15"/>
  <c r="AC141" i="15"/>
  <c r="K141" i="15"/>
  <c r="AK141" i="15"/>
  <c r="F141" i="1"/>
  <c r="I141" i="1" s="1"/>
  <c r="B141" i="6" s="1"/>
  <c r="A142" i="16"/>
  <c r="X141" i="16"/>
  <c r="AB141" i="16"/>
  <c r="AK141" i="16"/>
  <c r="O141" i="16"/>
  <c r="K141" i="16"/>
  <c r="L141" i="16"/>
  <c r="AJ141" i="16"/>
  <c r="AC141" i="16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A141" i="1" l="1"/>
  <c r="Z141" i="1" s="1"/>
  <c r="Y141" i="1" s="1"/>
  <c r="F142" i="1"/>
  <c r="AA142" i="1" s="1"/>
  <c r="Z142" i="1" s="1"/>
  <c r="Y142" i="1" s="1"/>
  <c r="G141" i="1"/>
  <c r="BW141" i="6" s="1"/>
  <c r="L142" i="15"/>
  <c r="O142" i="15"/>
  <c r="A143" i="15"/>
  <c r="K142" i="15"/>
  <c r="AB142" i="15"/>
  <c r="AK142" i="15"/>
  <c r="X142" i="15"/>
  <c r="AC142" i="15"/>
  <c r="AJ142" i="15"/>
  <c r="K142" i="16"/>
  <c r="A143" i="16"/>
  <c r="X142" i="16"/>
  <c r="AK142" i="16"/>
  <c r="O142" i="16"/>
  <c r="AB142" i="16"/>
  <c r="L142" i="16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I142" i="1"/>
  <c r="B142" i="6" s="1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G142" i="1" l="1"/>
  <c r="BW142" i="6" s="1"/>
  <c r="AB143" i="15"/>
  <c r="AK143" i="15"/>
  <c r="X143" i="15"/>
  <c r="AJ143" i="15"/>
  <c r="L143" i="15"/>
  <c r="K143" i="15"/>
  <c r="AC143" i="15"/>
  <c r="A144" i="15"/>
  <c r="O143" i="15"/>
  <c r="AB143" i="16"/>
  <c r="A144" i="16"/>
  <c r="AJ143" i="16"/>
  <c r="AC143" i="16"/>
  <c r="X143" i="16"/>
  <c r="L143" i="16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AB144" i="15" l="1"/>
  <c r="A145" i="15"/>
  <c r="AC144" i="15"/>
  <c r="L144" i="15"/>
  <c r="O144" i="15"/>
  <c r="K144" i="15"/>
  <c r="AJ144" i="15"/>
  <c r="X144" i="15"/>
  <c r="AK144" i="15"/>
  <c r="L144" i="16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B143" i="6" s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F145" i="1" l="1"/>
  <c r="I145" i="1" s="1"/>
  <c r="B145" i="6" s="1"/>
  <c r="X145" i="15"/>
  <c r="L145" i="15"/>
  <c r="AC145" i="15"/>
  <c r="A146" i="15"/>
  <c r="O145" i="15"/>
  <c r="K145" i="15"/>
  <c r="AK145" i="15"/>
  <c r="AB145" i="15"/>
  <c r="AJ145" i="15"/>
  <c r="A146" i="16"/>
  <c r="L145" i="16"/>
  <c r="X145" i="16"/>
  <c r="AK145" i="16"/>
  <c r="O145" i="16"/>
  <c r="K145" i="16"/>
  <c r="AB145" i="16"/>
  <c r="AJ145" i="16"/>
  <c r="AC145" i="16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F144" i="1" l="1"/>
  <c r="I144" i="1" s="1"/>
  <c r="B144" i="6" s="1"/>
  <c r="AA145" i="1"/>
  <c r="Z145" i="1" s="1"/>
  <c r="Y145" i="1" s="1"/>
  <c r="G145" i="1"/>
  <c r="BW145" i="6" s="1"/>
  <c r="P147" i="1"/>
  <c r="AB146" i="15"/>
  <c r="AJ146" i="15"/>
  <c r="L146" i="15"/>
  <c r="AK146" i="15"/>
  <c r="A147" i="15"/>
  <c r="X146" i="15"/>
  <c r="AC146" i="15"/>
  <c r="K146" i="15"/>
  <c r="O146" i="15"/>
  <c r="AJ146" i="16"/>
  <c r="K146" i="16"/>
  <c r="AB146" i="16"/>
  <c r="X146" i="16"/>
  <c r="AK146" i="16"/>
  <c r="O146" i="16"/>
  <c r="L146" i="16"/>
  <c r="A147" i="16"/>
  <c r="AC146" i="16"/>
  <c r="G144" i="1"/>
  <c r="BW144" i="6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AA144" i="1" l="1"/>
  <c r="Z144" i="1" s="1"/>
  <c r="Y144" i="1" s="1"/>
  <c r="K147" i="15"/>
  <c r="X147" i="15"/>
  <c r="AC147" i="15"/>
  <c r="L147" i="15"/>
  <c r="O147" i="15"/>
  <c r="A148" i="15"/>
  <c r="AK147" i="15"/>
  <c r="AB147" i="15"/>
  <c r="AJ147" i="15"/>
  <c r="AB147" i="16"/>
  <c r="K147" i="16"/>
  <c r="AK147" i="16"/>
  <c r="AC147" i="16"/>
  <c r="X147" i="16"/>
  <c r="L147" i="16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B146" i="6" s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A149" i="15" l="1"/>
  <c r="L148" i="15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B147" i="6" s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K149" i="15" l="1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F148" i="1" l="1"/>
  <c r="I148" i="1" s="1"/>
  <c r="B148" i="6" s="1"/>
  <c r="B36" i="7"/>
  <c r="AB150" i="15"/>
  <c r="AK150" i="15"/>
  <c r="L150" i="15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AB150" i="16"/>
  <c r="AK150" i="16"/>
  <c r="O150" i="16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G148" i="1" l="1"/>
  <c r="BW148" i="6" s="1"/>
  <c r="F149" i="1"/>
  <c r="AA149" i="1" s="1"/>
  <c r="Z149" i="1" s="1"/>
  <c r="Y149" i="1" s="1"/>
  <c r="K151" i="15"/>
  <c r="O151" i="15"/>
  <c r="AB151" i="15"/>
  <c r="AK151" i="15"/>
  <c r="L151" i="15"/>
  <c r="AJ151" i="15"/>
  <c r="X151" i="15"/>
  <c r="A152" i="15"/>
  <c r="AC151" i="15"/>
  <c r="K151" i="16"/>
  <c r="A152" i="16"/>
  <c r="AK151" i="16"/>
  <c r="AC151" i="16"/>
  <c r="AB151" i="16"/>
  <c r="L151" i="16"/>
  <c r="X151" i="16"/>
  <c r="AJ151" i="16"/>
  <c r="O151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B150" i="6" s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I149" i="1" l="1"/>
  <c r="B149" i="6" s="1"/>
  <c r="X152" i="15"/>
  <c r="AJ152" i="15"/>
  <c r="AB152" i="15"/>
  <c r="AK152" i="15"/>
  <c r="A153" i="15"/>
  <c r="L152" i="15"/>
  <c r="O152" i="15"/>
  <c r="K152" i="15"/>
  <c r="AC152" i="15"/>
  <c r="AB152" i="16"/>
  <c r="X152" i="16"/>
  <c r="A153" i="16"/>
  <c r="AK152" i="16"/>
  <c r="O152" i="16"/>
  <c r="K152" i="16"/>
  <c r="L152" i="16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B151" i="6" s="1"/>
  <c r="L153" i="15" l="1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B152" i="6" s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F153" i="1" l="1"/>
  <c r="I153" i="1" s="1"/>
  <c r="B153" i="6" s="1"/>
  <c r="X154" i="15"/>
  <c r="A155" i="15"/>
  <c r="AC154" i="15"/>
  <c r="AB154" i="15"/>
  <c r="O154" i="15"/>
  <c r="L154" i="15"/>
  <c r="AK154" i="15"/>
  <c r="K154" i="15"/>
  <c r="AJ154" i="15"/>
  <c r="F154" i="1"/>
  <c r="G154" i="1" s="1"/>
  <c r="BW154" i="6" s="1"/>
  <c r="L154" i="16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A153" i="1" l="1"/>
  <c r="Z153" i="1" s="1"/>
  <c r="Y153" i="1" s="1"/>
  <c r="G153" i="1"/>
  <c r="BW153" i="6" s="1"/>
  <c r="X155" i="15"/>
  <c r="AJ155" i="15"/>
  <c r="L155" i="15"/>
  <c r="O155" i="15"/>
  <c r="K155" i="15"/>
  <c r="A156" i="15"/>
  <c r="AB155" i="15"/>
  <c r="AK155" i="15"/>
  <c r="AC155" i="15"/>
  <c r="F155" i="1"/>
  <c r="I155" i="1" s="1"/>
  <c r="B155" i="6" s="1"/>
  <c r="AA154" i="1"/>
  <c r="Z154" i="1" s="1"/>
  <c r="Y154" i="1" s="1"/>
  <c r="I154" i="1"/>
  <c r="B154" i="6" s="1"/>
  <c r="A156" i="16"/>
  <c r="K155" i="16"/>
  <c r="AK155" i="16"/>
  <c r="AC155" i="16"/>
  <c r="X155" i="16"/>
  <c r="L155" i="16"/>
  <c r="AB155" i="16"/>
  <c r="AJ155" i="16"/>
  <c r="O155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F156" i="1" l="1"/>
  <c r="G156" i="1" s="1"/>
  <c r="BW156" i="6" s="1"/>
  <c r="G155" i="1"/>
  <c r="BW155" i="6" s="1"/>
  <c r="AA155" i="1"/>
  <c r="Z155" i="1" s="1"/>
  <c r="Y155" i="1" s="1"/>
  <c r="AB156" i="15"/>
  <c r="AK156" i="15"/>
  <c r="K156" i="15"/>
  <c r="A157" i="15"/>
  <c r="AC156" i="15"/>
  <c r="X156" i="15"/>
  <c r="O156" i="15"/>
  <c r="L156" i="15"/>
  <c r="AJ156" i="15"/>
  <c r="A157" i="16"/>
  <c r="X156" i="16"/>
  <c r="K156" i="16"/>
  <c r="AK156" i="16"/>
  <c r="O156" i="16"/>
  <c r="L156" i="16"/>
  <c r="AB156" i="16"/>
  <c r="AJ156" i="16"/>
  <c r="AC156" i="16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AA156" i="1" l="1"/>
  <c r="Z156" i="1" s="1"/>
  <c r="Y156" i="1" s="1"/>
  <c r="I156" i="1"/>
  <c r="B156" i="6" s="1"/>
  <c r="L157" i="15"/>
  <c r="AK157" i="15"/>
  <c r="AB157" i="15"/>
  <c r="AJ157" i="15"/>
  <c r="K157" i="15"/>
  <c r="X157" i="15"/>
  <c r="AC157" i="15"/>
  <c r="A158" i="15"/>
  <c r="O157" i="15"/>
  <c r="X157" i="16"/>
  <c r="A158" i="16"/>
  <c r="L157" i="16"/>
  <c r="AK157" i="16"/>
  <c r="O157" i="16"/>
  <c r="AB157" i="16"/>
  <c r="K157" i="16"/>
  <c r="AJ157" i="16"/>
  <c r="AC157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8" i="15" l="1"/>
  <c r="AK158" i="15"/>
  <c r="A159" i="15"/>
  <c r="AJ158" i="15"/>
  <c r="X158" i="15"/>
  <c r="K158" i="15"/>
  <c r="AC158" i="15"/>
  <c r="L158" i="15"/>
  <c r="O158" i="15"/>
  <c r="X158" i="16"/>
  <c r="A159" i="16"/>
  <c r="AJ158" i="16"/>
  <c r="AC158" i="16"/>
  <c r="K158" i="16"/>
  <c r="AB158" i="16"/>
  <c r="L158" i="16"/>
  <c r="AK158" i="16"/>
  <c r="O158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B157" i="6" s="1"/>
  <c r="AA157" i="1"/>
  <c r="Z157" i="1" s="1"/>
  <c r="Y157" i="1" s="1"/>
  <c r="G157" i="1"/>
  <c r="BW157" i="6" s="1"/>
  <c r="AB159" i="15" l="1"/>
  <c r="AK159" i="15"/>
  <c r="K159" i="15"/>
  <c r="X159" i="15"/>
  <c r="AC159" i="15"/>
  <c r="A160" i="15"/>
  <c r="O159" i="15"/>
  <c r="L159" i="15"/>
  <c r="AJ159" i="15"/>
  <c r="F159" i="1"/>
  <c r="AA159" i="1" s="1"/>
  <c r="Z159" i="1" s="1"/>
  <c r="Y159" i="1" s="1"/>
  <c r="L159" i="16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B158" i="6" s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I159" i="1" l="1"/>
  <c r="B159" i="6" s="1"/>
  <c r="G159" i="1"/>
  <c r="BW159" i="6" s="1"/>
  <c r="X160" i="15"/>
  <c r="O160" i="15"/>
  <c r="A161" i="15"/>
  <c r="AK160" i="15"/>
  <c r="AB160" i="15"/>
  <c r="AJ160" i="15"/>
  <c r="K160" i="15"/>
  <c r="L160" i="15"/>
  <c r="AC160" i="15"/>
  <c r="X160" i="16"/>
  <c r="K160" i="16"/>
  <c r="L160" i="16"/>
  <c r="AJ160" i="16"/>
  <c r="O160" i="16"/>
  <c r="A161" i="16"/>
  <c r="AB160" i="16"/>
  <c r="AK160" i="16"/>
  <c r="AC160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X161" i="15" l="1"/>
  <c r="AK161" i="15"/>
  <c r="A162" i="15"/>
  <c r="AB161" i="15"/>
  <c r="AC161" i="15"/>
  <c r="L161" i="15"/>
  <c r="O161" i="15"/>
  <c r="K161" i="15"/>
  <c r="AJ161" i="15"/>
  <c r="F161" i="1"/>
  <c r="I161" i="1" s="1"/>
  <c r="B161" i="6" s="1"/>
  <c r="A162" i="16"/>
  <c r="K161" i="16"/>
  <c r="AJ161" i="16"/>
  <c r="AC161" i="16"/>
  <c r="AB161" i="16"/>
  <c r="L161" i="16"/>
  <c r="X161" i="16"/>
  <c r="AK161" i="16"/>
  <c r="O161" i="16"/>
  <c r="A159" i="22"/>
  <c r="X158" i="22"/>
  <c r="L158" i="22"/>
  <c r="AB158" i="22"/>
  <c r="K158" i="22"/>
  <c r="AK158" i="22"/>
  <c r="AJ158" i="22"/>
  <c r="O158" i="22"/>
  <c r="AC158" i="22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B160" i="6" s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G161" i="1" l="1"/>
  <c r="BW161" i="6" s="1"/>
  <c r="AA161" i="1"/>
  <c r="Z161" i="1" s="1"/>
  <c r="Y161" i="1" s="1"/>
  <c r="X162" i="15"/>
  <c r="AJ162" i="15"/>
  <c r="A163" i="15"/>
  <c r="AK162" i="15"/>
  <c r="AB162" i="15"/>
  <c r="K162" i="15"/>
  <c r="AC162" i="15"/>
  <c r="L162" i="15"/>
  <c r="O162" i="15"/>
  <c r="F162" i="1"/>
  <c r="AA162" i="1" s="1"/>
  <c r="Z162" i="1" s="1"/>
  <c r="Y162" i="1" s="1"/>
  <c r="AB162" i="16"/>
  <c r="L162" i="16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B162" i="6" s="1"/>
  <c r="X163" i="15"/>
  <c r="K163" i="15"/>
  <c r="O163" i="15"/>
  <c r="A164" i="15"/>
  <c r="AC163" i="15"/>
  <c r="L163" i="15"/>
  <c r="AJ163" i="15"/>
  <c r="AB163" i="15"/>
  <c r="AK163" i="15"/>
  <c r="L163" i="16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AB164" i="15" l="1"/>
  <c r="AJ164" i="15"/>
  <c r="A165" i="15"/>
  <c r="AK164" i="15"/>
  <c r="X164" i="15"/>
  <c r="K164" i="15"/>
  <c r="O164" i="15"/>
  <c r="L164" i="15"/>
  <c r="AC164" i="15"/>
  <c r="F164" i="1"/>
  <c r="I164" i="1" s="1"/>
  <c r="B164" i="6" s="1"/>
  <c r="K164" i="16"/>
  <c r="A165" i="16"/>
  <c r="AJ164" i="16"/>
  <c r="AC164" i="16"/>
  <c r="L164" i="16"/>
  <c r="X164" i="16"/>
  <c r="AB164" i="16"/>
  <c r="AK164" i="16"/>
  <c r="O164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B163" i="6" s="1"/>
  <c r="G164" i="1" l="1"/>
  <c r="BW164" i="6" s="1"/>
  <c r="AA164" i="1"/>
  <c r="Z164" i="1" s="1"/>
  <c r="Y164" i="1" s="1"/>
  <c r="A166" i="15"/>
  <c r="AK165" i="15"/>
  <c r="AB165" i="15"/>
  <c r="AJ165" i="15"/>
  <c r="X165" i="15"/>
  <c r="K165" i="15"/>
  <c r="AC165" i="15"/>
  <c r="L165" i="15"/>
  <c r="O165" i="15"/>
  <c r="L165" i="16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L166" i="15" l="1"/>
  <c r="K166" i="15"/>
  <c r="O166" i="15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AK166" i="16"/>
  <c r="O166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B165" i="6" s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L167" i="15" l="1"/>
  <c r="AK167" i="15"/>
  <c r="X167" i="15"/>
  <c r="A168" i="15"/>
  <c r="AC167" i="15"/>
  <c r="AB167" i="15"/>
  <c r="O167" i="15"/>
  <c r="K167" i="15"/>
  <c r="AJ167" i="15"/>
  <c r="X167" i="16"/>
  <c r="K167" i="16"/>
  <c r="AJ167" i="16"/>
  <c r="AC167" i="16"/>
  <c r="AB167" i="16"/>
  <c r="L167" i="16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B166" i="6" s="1"/>
  <c r="K168" i="15" l="1"/>
  <c r="AK168" i="15"/>
  <c r="A169" i="15"/>
  <c r="X168" i="15"/>
  <c r="AC168" i="15"/>
  <c r="AB168" i="15"/>
  <c r="O168" i="15"/>
  <c r="L168" i="15"/>
  <c r="AJ168" i="15"/>
  <c r="L168" i="16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B167" i="6" s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AB169" i="15" l="1"/>
  <c r="L169" i="15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X169" i="16"/>
  <c r="AB169" i="16"/>
  <c r="AJ169" i="16"/>
  <c r="O169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B168" i="6" s="1"/>
  <c r="G168" i="1"/>
  <c r="BW168" i="6" s="1"/>
  <c r="AA168" i="1"/>
  <c r="Z168" i="1" s="1"/>
  <c r="Y168" i="1" s="1"/>
  <c r="K170" i="15" l="1"/>
  <c r="AB170" i="15"/>
  <c r="AC170" i="15"/>
  <c r="L170" i="15"/>
  <c r="O170" i="15"/>
  <c r="A171" i="15"/>
  <c r="AJ170" i="15"/>
  <c r="X170" i="15"/>
  <c r="AK170" i="15"/>
  <c r="F169" i="1"/>
  <c r="G169" i="1" s="1"/>
  <c r="BW169" i="6" s="1"/>
  <c r="K170" i="16"/>
  <c r="L170" i="16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AA169" i="1"/>
  <c r="Z169" i="1" s="1"/>
  <c r="Y169" i="1" s="1"/>
  <c r="I169" i="1"/>
  <c r="B169" i="6" s="1"/>
  <c r="K171" i="15"/>
  <c r="AB171" i="15"/>
  <c r="O171" i="15"/>
  <c r="X171" i="15"/>
  <c r="AC171" i="15"/>
  <c r="L171" i="15"/>
  <c r="AJ171" i="15"/>
  <c r="A172" i="15"/>
  <c r="AK171" i="15"/>
  <c r="A172" i="16"/>
  <c r="AB171" i="16"/>
  <c r="AK171" i="16"/>
  <c r="AC171" i="16"/>
  <c r="K171" i="16"/>
  <c r="L171" i="16"/>
  <c r="X171" i="16"/>
  <c r="AJ171" i="16"/>
  <c r="O171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B170" i="6" s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F172" i="1" l="1"/>
  <c r="G172" i="1" s="1"/>
  <c r="BW172" i="6" s="1"/>
  <c r="X172" i="15"/>
  <c r="O172" i="15"/>
  <c r="L172" i="15"/>
  <c r="AK172" i="15"/>
  <c r="A173" i="15"/>
  <c r="AJ172" i="15"/>
  <c r="AB172" i="15"/>
  <c r="K172" i="15"/>
  <c r="AC172" i="15"/>
  <c r="K172" i="16"/>
  <c r="X172" i="16"/>
  <c r="AJ172" i="16"/>
  <c r="L172" i="16"/>
  <c r="AB172" i="16"/>
  <c r="A173" i="16"/>
  <c r="AK172" i="16"/>
  <c r="O172" i="16"/>
  <c r="AC172" i="16"/>
  <c r="V171" i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I172" i="1" l="1"/>
  <c r="B172" i="6" s="1"/>
  <c r="AA172" i="1"/>
  <c r="Z172" i="1" s="1"/>
  <c r="Y172" i="1" s="1"/>
  <c r="F171" i="1"/>
  <c r="AA171" i="1" s="1"/>
  <c r="Z171" i="1" s="1"/>
  <c r="Y171" i="1" s="1"/>
  <c r="A174" i="15"/>
  <c r="K173" i="15"/>
  <c r="AC173" i="15"/>
  <c r="L173" i="15"/>
  <c r="O173" i="15"/>
  <c r="X173" i="15"/>
  <c r="AJ173" i="15"/>
  <c r="AB173" i="15"/>
  <c r="AK173" i="15"/>
  <c r="L173" i="16"/>
  <c r="X173" i="16"/>
  <c r="A174" i="16"/>
  <c r="AK173" i="16"/>
  <c r="O173" i="16"/>
  <c r="AB173" i="16"/>
  <c r="K173" i="16"/>
  <c r="AJ173" i="16"/>
  <c r="AC173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B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G171" i="1" l="1"/>
  <c r="BW171" i="6" s="1"/>
  <c r="A175" i="15"/>
  <c r="AJ174" i="15"/>
  <c r="AB174" i="15"/>
  <c r="K174" i="15"/>
  <c r="AC174" i="15"/>
  <c r="L174" i="15"/>
  <c r="O174" i="15"/>
  <c r="X174" i="15"/>
  <c r="AK174" i="15"/>
  <c r="X174" i="16"/>
  <c r="AB174" i="16"/>
  <c r="AK174" i="16"/>
  <c r="AC174" i="16"/>
  <c r="A175" i="16"/>
  <c r="L174" i="16"/>
  <c r="K174" i="16"/>
  <c r="AJ174" i="16"/>
  <c r="O174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B173" i="6" s="1"/>
  <c r="AA173" i="1"/>
  <c r="Z173" i="1" s="1"/>
  <c r="Y173" i="1" s="1"/>
  <c r="A176" i="15" l="1"/>
  <c r="AJ175" i="15"/>
  <c r="X175" i="15"/>
  <c r="AB175" i="15"/>
  <c r="L175" i="15"/>
  <c r="K175" i="15"/>
  <c r="AC175" i="15"/>
  <c r="O175" i="15"/>
  <c r="AK175" i="15"/>
  <c r="A176" i="16"/>
  <c r="K175" i="16"/>
  <c r="AB175" i="16"/>
  <c r="AK175" i="16"/>
  <c r="O175" i="16"/>
  <c r="L175" i="16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B174" i="6" s="1"/>
  <c r="G174" i="1"/>
  <c r="BW174" i="6" s="1"/>
  <c r="K169" i="25"/>
  <c r="X169" i="25"/>
  <c r="AB169" i="25"/>
  <c r="A170" i="25"/>
  <c r="L169" i="25"/>
  <c r="AJ169" i="25"/>
  <c r="O169" i="25"/>
  <c r="AK169" i="25"/>
  <c r="AC169" i="25"/>
  <c r="L176" i="15" l="1"/>
  <c r="O176" i="15"/>
  <c r="A177" i="15"/>
  <c r="AK176" i="15"/>
  <c r="X176" i="15"/>
  <c r="AJ176" i="15"/>
  <c r="K176" i="15"/>
  <c r="AB176" i="15"/>
  <c r="AC176" i="15"/>
  <c r="L176" i="16"/>
  <c r="K176" i="16"/>
  <c r="AK176" i="16"/>
  <c r="AC176" i="16"/>
  <c r="X176" i="16"/>
  <c r="A177" i="16"/>
  <c r="AB176" i="16"/>
  <c r="AJ176" i="16"/>
  <c r="O176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B175" i="6" s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V177" i="1"/>
  <c r="E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A178" i="15" l="1"/>
  <c r="O177" i="15"/>
  <c r="L177" i="15"/>
  <c r="AJ177" i="15"/>
  <c r="X177" i="15"/>
  <c r="AK177" i="15"/>
  <c r="K177" i="15"/>
  <c r="AB177" i="15"/>
  <c r="AC177" i="15"/>
  <c r="AB177" i="16"/>
  <c r="L177" i="16"/>
  <c r="A178" i="16"/>
  <c r="AK177" i="16"/>
  <c r="O177" i="16"/>
  <c r="X177" i="16"/>
  <c r="K177" i="16"/>
  <c r="AJ177" i="16"/>
  <c r="AC177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B176" i="6" s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8" i="15" l="1"/>
  <c r="AC178" i="15"/>
  <c r="X178" i="15"/>
  <c r="AJ178" i="15"/>
  <c r="A179" i="15"/>
  <c r="AK178" i="15"/>
  <c r="K178" i="15"/>
  <c r="AB178" i="15"/>
  <c r="O178" i="15"/>
  <c r="F178" i="1"/>
  <c r="G178" i="1" s="1"/>
  <c r="BW178" i="6" s="1"/>
  <c r="K178" i="16"/>
  <c r="A179" i="16"/>
  <c r="L178" i="16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B177" i="6" s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AA178" i="1" l="1"/>
  <c r="Z178" i="1" s="1"/>
  <c r="Y178" i="1" s="1"/>
  <c r="I178" i="1"/>
  <c r="B178" i="6" s="1"/>
  <c r="A180" i="15"/>
  <c r="AJ179" i="15"/>
  <c r="K179" i="15"/>
  <c r="X179" i="15"/>
  <c r="AC179" i="15"/>
  <c r="L179" i="15"/>
  <c r="O179" i="15"/>
  <c r="AB179" i="15"/>
  <c r="AK179" i="15"/>
  <c r="X179" i="16"/>
  <c r="K179" i="16"/>
  <c r="AJ179" i="16"/>
  <c r="AC179" i="16"/>
  <c r="A180" i="16"/>
  <c r="L179" i="16"/>
  <c r="AB179" i="16"/>
  <c r="AK179" i="16"/>
  <c r="O179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A181" i="15" l="1"/>
  <c r="L180" i="15"/>
  <c r="O180" i="15"/>
  <c r="C37" i="7" s="1"/>
  <c r="K180" i="15"/>
  <c r="AK180" i="15"/>
  <c r="AB180" i="15"/>
  <c r="AJ180" i="15"/>
  <c r="X180" i="15"/>
  <c r="A37" i="7"/>
  <c r="AC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B179" i="6" s="1"/>
  <c r="G179" i="1"/>
  <c r="BW179" i="6" s="1"/>
  <c r="F180" i="1" l="1"/>
  <c r="I180" i="1" s="1"/>
  <c r="B180" i="6" s="1"/>
  <c r="B37" i="7"/>
  <c r="O181" i="15"/>
  <c r="K181" i="15"/>
  <c r="AK181" i="15"/>
  <c r="L181" i="15"/>
  <c r="A182" i="15"/>
  <c r="AB181" i="15"/>
  <c r="X181" i="15"/>
  <c r="AC181" i="15"/>
  <c r="AJ181" i="15"/>
  <c r="B49" i="7"/>
  <c r="AB181" i="16"/>
  <c r="K181" i="16"/>
  <c r="AK181" i="16"/>
  <c r="AC181" i="16"/>
  <c r="X181" i="16"/>
  <c r="L181" i="16"/>
  <c r="A182" i="16"/>
  <c r="AJ181" i="16"/>
  <c r="O181" i="16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G180" i="1" l="1"/>
  <c r="BW180" i="6" s="1"/>
  <c r="AA180" i="1"/>
  <c r="Z180" i="1" s="1"/>
  <c r="Y180" i="1" s="1"/>
  <c r="F181" i="1"/>
  <c r="I181" i="1" s="1"/>
  <c r="B181" i="6" s="1"/>
  <c r="L182" i="15"/>
  <c r="AK182" i="15"/>
  <c r="A183" i="15"/>
  <c r="AJ182" i="15"/>
  <c r="K182" i="15"/>
  <c r="X182" i="15"/>
  <c r="O182" i="15"/>
  <c r="AB182" i="15"/>
  <c r="AC182" i="15"/>
  <c r="A183" i="16"/>
  <c r="L182" i="16"/>
  <c r="AJ182" i="16"/>
  <c r="AC182" i="16"/>
  <c r="K182" i="16"/>
  <c r="AB182" i="16"/>
  <c r="X182" i="16"/>
  <c r="AK182" i="16"/>
  <c r="O182" i="16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G181" i="1"/>
  <c r="BW181" i="6" s="1"/>
  <c r="AA181" i="1"/>
  <c r="Z181" i="1" s="1"/>
  <c r="Y181" i="1" s="1"/>
  <c r="F183" i="1"/>
  <c r="I183" i="1" s="1"/>
  <c r="B183" i="6" s="1"/>
  <c r="A184" i="15"/>
  <c r="X183" i="15"/>
  <c r="AC183" i="15"/>
  <c r="AB183" i="15"/>
  <c r="O183" i="15"/>
  <c r="L183" i="15"/>
  <c r="AJ183" i="15"/>
  <c r="K183" i="15"/>
  <c r="AK183" i="15"/>
  <c r="L183" i="16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B182" i="6" s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AA183" i="1" l="1"/>
  <c r="Z183" i="1" s="1"/>
  <c r="Y183" i="1" s="1"/>
  <c r="G183" i="1"/>
  <c r="BW183" i="6" s="1"/>
  <c r="K184" i="15"/>
  <c r="X184" i="15"/>
  <c r="AC184" i="15"/>
  <c r="AB184" i="15"/>
  <c r="O184" i="15"/>
  <c r="L184" i="15"/>
  <c r="AJ184" i="15"/>
  <c r="A185" i="15"/>
  <c r="AK184" i="15"/>
  <c r="F184" i="1"/>
  <c r="AA184" i="1" s="1"/>
  <c r="Z184" i="1" s="1"/>
  <c r="Y184" i="1" s="1"/>
  <c r="AB184" i="16"/>
  <c r="K184" i="16"/>
  <c r="AK184" i="16"/>
  <c r="AC184" i="16"/>
  <c r="A185" i="16"/>
  <c r="L184" i="16"/>
  <c r="X184" i="16"/>
  <c r="AJ184" i="16"/>
  <c r="O184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I184" i="1" l="1"/>
  <c r="B184" i="6" s="1"/>
  <c r="G184" i="1"/>
  <c r="BW184" i="6" s="1"/>
  <c r="AB185" i="15"/>
  <c r="AK185" i="15"/>
  <c r="A186" i="15"/>
  <c r="X185" i="15"/>
  <c r="O185" i="15"/>
  <c r="L185" i="15"/>
  <c r="AC185" i="15"/>
  <c r="K185" i="15"/>
  <c r="AJ185" i="15"/>
  <c r="K185" i="16"/>
  <c r="A186" i="16"/>
  <c r="L185" i="16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AB186" i="15" l="1"/>
  <c r="AJ186" i="15"/>
  <c r="X186" i="15"/>
  <c r="AK186" i="15"/>
  <c r="L186" i="15"/>
  <c r="K186" i="15"/>
  <c r="O186" i="15"/>
  <c r="A187" i="15"/>
  <c r="AC186" i="15"/>
  <c r="A187" i="16"/>
  <c r="AB186" i="16"/>
  <c r="AJ186" i="16"/>
  <c r="AC186" i="16"/>
  <c r="X186" i="16"/>
  <c r="L186" i="16"/>
  <c r="K186" i="16"/>
  <c r="AK186" i="16"/>
  <c r="O186" i="16"/>
  <c r="G185" i="1"/>
  <c r="BW185" i="6" s="1"/>
  <c r="AA185" i="1"/>
  <c r="Z185" i="1" s="1"/>
  <c r="Y185" i="1" s="1"/>
  <c r="I185" i="1"/>
  <c r="B185" i="6" s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A188" i="15" l="1"/>
  <c r="K187" i="15"/>
  <c r="O187" i="15"/>
  <c r="AB187" i="15"/>
  <c r="AC187" i="15"/>
  <c r="X187" i="15"/>
  <c r="AK187" i="15"/>
  <c r="L187" i="15"/>
  <c r="AJ187" i="15"/>
  <c r="F187" i="1"/>
  <c r="G187" i="1" s="1"/>
  <c r="BW187" i="6" s="1"/>
  <c r="A188" i="16"/>
  <c r="AB187" i="16"/>
  <c r="K187" i="16"/>
  <c r="AK187" i="16"/>
  <c r="O187" i="16"/>
  <c r="L187" i="16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F186" i="1" l="1"/>
  <c r="I186" i="1" s="1"/>
  <c r="B186" i="6" s="1"/>
  <c r="AA187" i="1"/>
  <c r="Z187" i="1" s="1"/>
  <c r="Y187" i="1" s="1"/>
  <c r="I187" i="1"/>
  <c r="B187" i="6" s="1"/>
  <c r="A189" i="15"/>
  <c r="K188" i="15"/>
  <c r="O188" i="15"/>
  <c r="AB188" i="15"/>
  <c r="AC188" i="15"/>
  <c r="L188" i="15"/>
  <c r="AJ188" i="15"/>
  <c r="X188" i="15"/>
  <c r="AK188" i="15"/>
  <c r="L188" i="16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G186" i="1" l="1"/>
  <c r="BW186" i="6" s="1"/>
  <c r="AA186" i="1"/>
  <c r="Z186" i="1" s="1"/>
  <c r="Y186" i="1" s="1"/>
  <c r="F189" i="1"/>
  <c r="G189" i="1" s="1"/>
  <c r="BW189" i="6" s="1"/>
  <c r="X189" i="15"/>
  <c r="K189" i="15"/>
  <c r="AC189" i="15"/>
  <c r="A190" i="15"/>
  <c r="O189" i="15"/>
  <c r="AB189" i="15"/>
  <c r="AK189" i="15"/>
  <c r="L189" i="15"/>
  <c r="AJ189" i="15"/>
  <c r="A190" i="16"/>
  <c r="L189" i="16"/>
  <c r="K189" i="16"/>
  <c r="AK189" i="16"/>
  <c r="O189" i="16"/>
  <c r="AB189" i="16"/>
  <c r="X189" i="16"/>
  <c r="AJ189" i="16"/>
  <c r="AC189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B188" i="6" s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F190" i="1" l="1"/>
  <c r="G190" i="1" s="1"/>
  <c r="BW190" i="6" s="1"/>
  <c r="AA189" i="1"/>
  <c r="Z189" i="1" s="1"/>
  <c r="Y189" i="1" s="1"/>
  <c r="I189" i="1"/>
  <c r="B189" i="6" s="1"/>
  <c r="X190" i="15"/>
  <c r="L190" i="15"/>
  <c r="AC190" i="15"/>
  <c r="A191" i="15"/>
  <c r="O190" i="15"/>
  <c r="AB190" i="15"/>
  <c r="AK190" i="15"/>
  <c r="K190" i="15"/>
  <c r="AJ190" i="15"/>
  <c r="A191" i="16"/>
  <c r="L190" i="16"/>
  <c r="AK190" i="16"/>
  <c r="AC190" i="16"/>
  <c r="K190" i="16"/>
  <c r="X190" i="16"/>
  <c r="AB190" i="16"/>
  <c r="AJ190" i="16"/>
  <c r="O190" i="16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I190" i="1" l="1"/>
  <c r="B190" i="6" s="1"/>
  <c r="AA190" i="1"/>
  <c r="Z190" i="1" s="1"/>
  <c r="Y190" i="1" s="1"/>
  <c r="K191" i="15"/>
  <c r="AK191" i="15"/>
  <c r="L191" i="15"/>
  <c r="AB191" i="15"/>
  <c r="AC191" i="15"/>
  <c r="A192" i="15"/>
  <c r="O191" i="15"/>
  <c r="X191" i="15"/>
  <c r="AJ191" i="15"/>
  <c r="A192" i="16"/>
  <c r="L191" i="16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K192" i="15" l="1"/>
  <c r="AJ192" i="15"/>
  <c r="X192" i="15"/>
  <c r="AK192" i="15"/>
  <c r="L192" i="15"/>
  <c r="A193" i="15"/>
  <c r="AC192" i="15"/>
  <c r="AB192" i="15"/>
  <c r="O192" i="15"/>
  <c r="X192" i="16"/>
  <c r="AB192" i="16"/>
  <c r="A193" i="16"/>
  <c r="AJ192" i="16"/>
  <c r="O192" i="16"/>
  <c r="K192" i="16"/>
  <c r="L192" i="16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B191" i="6" s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X193" i="15" l="1"/>
  <c r="O193" i="15"/>
  <c r="K193" i="15"/>
  <c r="AJ193" i="15"/>
  <c r="L193" i="15"/>
  <c r="AK193" i="15"/>
  <c r="AB193" i="15"/>
  <c r="A194" i="15"/>
  <c r="AC193" i="15"/>
  <c r="X193" i="16"/>
  <c r="L193" i="16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B192" i="6" s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I193" i="1" l="1"/>
  <c r="B193" i="6" s="1"/>
  <c r="K194" i="15"/>
  <c r="O194" i="15"/>
  <c r="AB194" i="15"/>
  <c r="AJ194" i="15"/>
  <c r="L194" i="15"/>
  <c r="AK194" i="15"/>
  <c r="A195" i="15"/>
  <c r="X194" i="15"/>
  <c r="AC194" i="15"/>
  <c r="P195" i="1"/>
  <c r="V195" i="1" s="1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G61" i="19" l="1"/>
  <c r="P196" i="1"/>
  <c r="V196" i="1" s="1"/>
  <c r="A196" i="15"/>
  <c r="X195" i="15"/>
  <c r="AC195" i="15"/>
  <c r="L195" i="15"/>
  <c r="O195" i="15"/>
  <c r="AB195" i="15"/>
  <c r="AJ195" i="15"/>
  <c r="K195" i="15"/>
  <c r="AK195" i="15"/>
  <c r="G194" i="1"/>
  <c r="BW194" i="6" s="1"/>
  <c r="I194" i="1"/>
  <c r="B194" i="6" s="1"/>
  <c r="K195" i="16"/>
  <c r="AB195" i="16"/>
  <c r="A196" i="16"/>
  <c r="AK195" i="16"/>
  <c r="O195" i="16"/>
  <c r="L195" i="16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AB196" i="15"/>
  <c r="O196" i="15"/>
  <c r="X196" i="15"/>
  <c r="AK196" i="15"/>
  <c r="L196" i="15"/>
  <c r="AJ196" i="15"/>
  <c r="K196" i="15"/>
  <c r="A197" i="15"/>
  <c r="AC196" i="15"/>
  <c r="L196" i="16"/>
  <c r="AB196" i="16"/>
  <c r="A197" i="16"/>
  <c r="AJ196" i="16"/>
  <c r="O196" i="16"/>
  <c r="K196" i="16"/>
  <c r="X196" i="16"/>
  <c r="AK196" i="16"/>
  <c r="AC196" i="16"/>
  <c r="D197" i="1"/>
  <c r="V197" i="1"/>
  <c r="E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B195" i="6" s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A198" i="15" l="1"/>
  <c r="AK197" i="15"/>
  <c r="K197" i="15"/>
  <c r="L197" i="15"/>
  <c r="AC197" i="15"/>
  <c r="X197" i="15"/>
  <c r="O197" i="15"/>
  <c r="AB197" i="15"/>
  <c r="AJ197" i="15"/>
  <c r="X197" i="16"/>
  <c r="L197" i="16"/>
  <c r="AJ197" i="16"/>
  <c r="AC197" i="16"/>
  <c r="A198" i="16"/>
  <c r="K197" i="16"/>
  <c r="AB197" i="16"/>
  <c r="AK197" i="16"/>
  <c r="O197" i="16"/>
  <c r="G196" i="1"/>
  <c r="BW196" i="6" s="1"/>
  <c r="AA196" i="1"/>
  <c r="Z196" i="1" s="1"/>
  <c r="Y196" i="1" s="1"/>
  <c r="I196" i="1"/>
  <c r="B196" i="6" s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AB198" i="15" l="1"/>
  <c r="K198" i="15"/>
  <c r="AC198" i="15"/>
  <c r="L198" i="15"/>
  <c r="O198" i="15"/>
  <c r="X198" i="15"/>
  <c r="AK198" i="15"/>
  <c r="A199" i="15"/>
  <c r="AJ198" i="15"/>
  <c r="L198" i="16"/>
  <c r="K198" i="16"/>
  <c r="AK198" i="16"/>
  <c r="AC198" i="16"/>
  <c r="AB198" i="16"/>
  <c r="A199" i="16"/>
  <c r="X198" i="16"/>
  <c r="AJ198" i="16"/>
  <c r="O198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B197" i="6" s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L199" i="15" l="1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AJ199" i="16"/>
  <c r="AC199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B198" i="6" s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X200" i="15" l="1"/>
  <c r="AK200" i="15"/>
  <c r="A201" i="15"/>
  <c r="K200" i="15"/>
  <c r="AC200" i="15"/>
  <c r="AB200" i="15"/>
  <c r="O200" i="15"/>
  <c r="L200" i="15"/>
  <c r="AJ200" i="15"/>
  <c r="F200" i="1"/>
  <c r="G200" i="1" s="1"/>
  <c r="BW200" i="6" s="1"/>
  <c r="AB200" i="16"/>
  <c r="X200" i="16"/>
  <c r="A201" i="16"/>
  <c r="AK200" i="16"/>
  <c r="O200" i="16"/>
  <c r="K200" i="16"/>
  <c r="L200" i="16"/>
  <c r="AJ200" i="16"/>
  <c r="AC200" i="16"/>
  <c r="A195" i="25"/>
  <c r="AB194" i="25"/>
  <c r="X194" i="25"/>
  <c r="L194" i="25"/>
  <c r="K194" i="25"/>
  <c r="AJ194" i="25"/>
  <c r="O194" i="25"/>
  <c r="AK194" i="25"/>
  <c r="AC194" i="25"/>
  <c r="I199" i="1"/>
  <c r="B199" i="6" s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AA200" i="1" l="1"/>
  <c r="Z200" i="1" s="1"/>
  <c r="Y200" i="1" s="1"/>
  <c r="I200" i="1"/>
  <c r="B200" i="6" s="1"/>
  <c r="A202" i="15"/>
  <c r="AB201" i="15"/>
  <c r="O201" i="15"/>
  <c r="L201" i="15"/>
  <c r="AC201" i="15"/>
  <c r="X201" i="15"/>
  <c r="AJ201" i="15"/>
  <c r="K201" i="15"/>
  <c r="AK201" i="15"/>
  <c r="AJ201" i="16"/>
  <c r="A202" i="16"/>
  <c r="AB201" i="16"/>
  <c r="X201" i="16"/>
  <c r="AK201" i="16"/>
  <c r="O201" i="16"/>
  <c r="K201" i="16"/>
  <c r="L201" i="16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AB202" i="15" l="1"/>
  <c r="K202" i="15"/>
  <c r="O202" i="15"/>
  <c r="X202" i="15"/>
  <c r="AC202" i="15"/>
  <c r="A203" i="15"/>
  <c r="AK202" i="15"/>
  <c r="L202" i="15"/>
  <c r="AJ202" i="15"/>
  <c r="K202" i="16"/>
  <c r="L202" i="16"/>
  <c r="AB202" i="16"/>
  <c r="AJ202" i="16"/>
  <c r="O202" i="16"/>
  <c r="X202" i="16"/>
  <c r="A203" i="16"/>
  <c r="AK202" i="16"/>
  <c r="AC202" i="16"/>
  <c r="G202" i="1"/>
  <c r="BW202" i="6" s="1"/>
  <c r="I202" i="1"/>
  <c r="B202" i="6" s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B201" i="6" s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A204" i="15" l="1"/>
  <c r="AK203" i="15"/>
  <c r="AB203" i="15"/>
  <c r="K203" i="15"/>
  <c r="AC203" i="15"/>
  <c r="X203" i="15"/>
  <c r="O203" i="15"/>
  <c r="L203" i="15"/>
  <c r="AJ203" i="15"/>
  <c r="A204" i="16"/>
  <c r="L203" i="16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A205" i="15" l="1"/>
  <c r="O204" i="15"/>
  <c r="X204" i="15"/>
  <c r="AJ204" i="15"/>
  <c r="AB204" i="15"/>
  <c r="AK204" i="15"/>
  <c r="L204" i="15"/>
  <c r="K204" i="15"/>
  <c r="AC204" i="15"/>
  <c r="A205" i="16"/>
  <c r="L204" i="16"/>
  <c r="AJ204" i="16"/>
  <c r="AC204" i="16"/>
  <c r="AB204" i="16"/>
  <c r="K204" i="16"/>
  <c r="X204" i="16"/>
  <c r="AK204" i="16"/>
  <c r="O204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B203" i="6" s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A206" i="15" l="1"/>
  <c r="AC205" i="15"/>
  <c r="K205" i="15"/>
  <c r="AK205" i="15"/>
  <c r="AB205" i="15"/>
  <c r="AJ205" i="15"/>
  <c r="L205" i="15"/>
  <c r="X205" i="15"/>
  <c r="O205" i="15"/>
  <c r="F205" i="1"/>
  <c r="G205" i="1" s="1"/>
  <c r="BW205" i="6" s="1"/>
  <c r="K205" i="16"/>
  <c r="L205" i="16"/>
  <c r="AB205" i="16"/>
  <c r="AJ205" i="16"/>
  <c r="O205" i="16"/>
  <c r="X205" i="16"/>
  <c r="A206" i="16"/>
  <c r="AK205" i="16"/>
  <c r="AC205" i="16"/>
  <c r="I205" i="1"/>
  <c r="B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B204" i="6" s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A205" i="1" l="1"/>
  <c r="Z205" i="1" s="1"/>
  <c r="Y205" i="1" s="1"/>
  <c r="L206" i="15"/>
  <c r="AK206" i="15"/>
  <c r="K206" i="15"/>
  <c r="AJ206" i="15"/>
  <c r="X206" i="15"/>
  <c r="AB206" i="15"/>
  <c r="AC206" i="15"/>
  <c r="A207" i="15"/>
  <c r="O206" i="15"/>
  <c r="AB206" i="16"/>
  <c r="A207" i="16"/>
  <c r="L206" i="16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AB207" i="15" l="1"/>
  <c r="K207" i="15"/>
  <c r="O207" i="15"/>
  <c r="X207" i="15"/>
  <c r="AC207" i="15"/>
  <c r="A208" i="15"/>
  <c r="AJ207" i="15"/>
  <c r="L207" i="15"/>
  <c r="AK207" i="15"/>
  <c r="F207" i="1"/>
  <c r="G207" i="1" s="1"/>
  <c r="BW207" i="6" s="1"/>
  <c r="K207" i="16"/>
  <c r="L207" i="16"/>
  <c r="X207" i="16"/>
  <c r="AK207" i="16"/>
  <c r="O207" i="16"/>
  <c r="AB207" i="16"/>
  <c r="A208" i="16"/>
  <c r="AJ207" i="16"/>
  <c r="AC207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B206" i="6" s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I207" i="1" l="1"/>
  <c r="B207" i="6" s="1"/>
  <c r="AA207" i="1"/>
  <c r="Z207" i="1" s="1"/>
  <c r="Y207" i="1" s="1"/>
  <c r="L208" i="15"/>
  <c r="K208" i="15"/>
  <c r="A209" i="15"/>
  <c r="O208" i="15"/>
  <c r="AK208" i="15"/>
  <c r="AC208" i="15"/>
  <c r="AB208" i="15"/>
  <c r="AJ208" i="15"/>
  <c r="X208" i="15"/>
  <c r="L208" i="16"/>
  <c r="K208" i="16"/>
  <c r="X208" i="16"/>
  <c r="AK208" i="16"/>
  <c r="O208" i="16"/>
  <c r="A209" i="16"/>
  <c r="AB208" i="16"/>
  <c r="AJ208" i="16"/>
  <c r="AC208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X209" i="15" l="1"/>
  <c r="AK209" i="15"/>
  <c r="K209" i="15"/>
  <c r="AJ209" i="15"/>
  <c r="AB209" i="15"/>
  <c r="L209" i="15"/>
  <c r="AC209" i="15"/>
  <c r="A210" i="15"/>
  <c r="O209" i="15"/>
  <c r="X209" i="16"/>
  <c r="A210" i="16"/>
  <c r="L209" i="16"/>
  <c r="AK209" i="16"/>
  <c r="O209" i="16"/>
  <c r="K209" i="16"/>
  <c r="AB209" i="16"/>
  <c r="AJ209" i="16"/>
  <c r="AC209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B208" i="6" s="1"/>
  <c r="A38" i="7" l="1"/>
  <c r="AB210" i="15"/>
  <c r="X210" i="15"/>
  <c r="O210" i="15"/>
  <c r="C38" i="7" s="1"/>
  <c r="L210" i="15"/>
  <c r="AK210" i="15"/>
  <c r="A211" i="15"/>
  <c r="AJ210" i="15"/>
  <c r="K210" i="15"/>
  <c r="AC210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B209" i="6" s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L211" i="15" l="1"/>
  <c r="K211" i="15"/>
  <c r="AC211" i="15"/>
  <c r="X211" i="15"/>
  <c r="O211" i="15"/>
  <c r="A212" i="15"/>
  <c r="AJ211" i="15"/>
  <c r="AB211" i="15"/>
  <c r="AK211" i="15"/>
  <c r="B38" i="7"/>
  <c r="B50" i="7"/>
  <c r="K211" i="16"/>
  <c r="X211" i="16"/>
  <c r="AK211" i="16"/>
  <c r="AC211" i="16"/>
  <c r="AB211" i="16"/>
  <c r="L211" i="16"/>
  <c r="A212" i="16"/>
  <c r="AJ211" i="16"/>
  <c r="O211" i="16"/>
  <c r="D26" i="7"/>
  <c r="V210" i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F210" i="1" l="1"/>
  <c r="G210" i="1" s="1"/>
  <c r="BW210" i="6" s="1"/>
  <c r="A213" i="15"/>
  <c r="AK212" i="15"/>
  <c r="L212" i="15"/>
  <c r="AJ212" i="15"/>
  <c r="X212" i="15"/>
  <c r="AB212" i="15"/>
  <c r="AC212" i="15"/>
  <c r="K212" i="15"/>
  <c r="O212" i="15"/>
  <c r="L212" i="16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B210" i="6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B211" i="6" s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AA210" i="1" l="1"/>
  <c r="Z210" i="1" s="1"/>
  <c r="Y210" i="1" s="1"/>
  <c r="F212" i="1"/>
  <c r="G212" i="1" s="1"/>
  <c r="BW212" i="6" s="1"/>
  <c r="AB213" i="15"/>
  <c r="O213" i="15"/>
  <c r="L213" i="15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X213" i="16"/>
  <c r="AK213" i="16"/>
  <c r="AC213" i="16"/>
  <c r="AF26" i="7"/>
  <c r="K213" i="17"/>
  <c r="A214" i="17"/>
  <c r="X213" i="17"/>
  <c r="AB213" i="17"/>
  <c r="L213" i="17"/>
  <c r="O213" i="17"/>
  <c r="AK213" i="17"/>
  <c r="AJ213" i="17"/>
  <c r="AC213" i="17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I212" i="1" l="1"/>
  <c r="B212" i="6" s="1"/>
  <c r="AA212" i="1"/>
  <c r="Z212" i="1" s="1"/>
  <c r="Y212" i="1" s="1"/>
  <c r="AB214" i="15"/>
  <c r="AJ214" i="15"/>
  <c r="X214" i="15"/>
  <c r="A215" i="15"/>
  <c r="AC214" i="15"/>
  <c r="L214" i="15"/>
  <c r="O214" i="15"/>
  <c r="K214" i="15"/>
  <c r="AK214" i="15"/>
  <c r="AB214" i="16"/>
  <c r="A215" i="16"/>
  <c r="L214" i="16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B213" i="6" s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X215" i="15" l="1"/>
  <c r="L215" i="15"/>
  <c r="AB215" i="15"/>
  <c r="AK215" i="15"/>
  <c r="AC215" i="15"/>
  <c r="A216" i="15"/>
  <c r="AJ215" i="15"/>
  <c r="K215" i="15"/>
  <c r="O215" i="15"/>
  <c r="K215" i="16"/>
  <c r="AB215" i="16"/>
  <c r="L215" i="16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B214" i="6" s="1"/>
  <c r="G214" i="1"/>
  <c r="BW214" i="6" s="1"/>
  <c r="K216" i="15" l="1"/>
  <c r="O216" i="15"/>
  <c r="A217" i="15"/>
  <c r="AJ216" i="15"/>
  <c r="X216" i="15"/>
  <c r="AK216" i="15"/>
  <c r="AB216" i="15"/>
  <c r="L216" i="15"/>
  <c r="AC216" i="15"/>
  <c r="X216" i="16"/>
  <c r="AB216" i="16"/>
  <c r="AJ216" i="16"/>
  <c r="AC216" i="16"/>
  <c r="L216" i="16"/>
  <c r="K216" i="16"/>
  <c r="A217" i="16"/>
  <c r="AK216" i="16"/>
  <c r="O216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B215" i="6" s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X217" i="15" l="1"/>
  <c r="K217" i="15"/>
  <c r="O217" i="15"/>
  <c r="AB217" i="15"/>
  <c r="AK217" i="15"/>
  <c r="A218" i="15"/>
  <c r="AJ217" i="15"/>
  <c r="AC217" i="15"/>
  <c r="L217" i="15"/>
  <c r="A218" i="16"/>
  <c r="L217" i="16"/>
  <c r="K217" i="16"/>
  <c r="AK217" i="16"/>
  <c r="O217" i="16"/>
  <c r="AB217" i="16"/>
  <c r="X217" i="16"/>
  <c r="AJ217" i="16"/>
  <c r="AC217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A219" i="15" l="1"/>
  <c r="O218" i="15"/>
  <c r="X218" i="15"/>
  <c r="AJ218" i="15"/>
  <c r="K218" i="15"/>
  <c r="AK218" i="15"/>
  <c r="L218" i="15"/>
  <c r="AB218" i="15"/>
  <c r="AC218" i="15"/>
  <c r="A219" i="16"/>
  <c r="L218" i="16"/>
  <c r="AJ218" i="16"/>
  <c r="AC218" i="16"/>
  <c r="K218" i="16"/>
  <c r="AB218" i="16"/>
  <c r="X218" i="16"/>
  <c r="AK218" i="16"/>
  <c r="O218" i="16"/>
  <c r="F218" i="1"/>
  <c r="I218" i="1" s="1"/>
  <c r="B218" i="6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B216" i="6" s="1"/>
  <c r="AA216" i="1"/>
  <c r="Z216" i="1" s="1"/>
  <c r="Y216" i="1" s="1"/>
  <c r="G216" i="1"/>
  <c r="BW216" i="6" s="1"/>
  <c r="G217" i="1"/>
  <c r="BW217" i="6" s="1"/>
  <c r="I217" i="1"/>
  <c r="B217" i="6" s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A218" i="1" l="1"/>
  <c r="Z218" i="1" s="1"/>
  <c r="Y218" i="1" s="1"/>
  <c r="L219" i="15"/>
  <c r="AK219" i="15"/>
  <c r="A220" i="15"/>
  <c r="AB219" i="15"/>
  <c r="AC219" i="15"/>
  <c r="K219" i="15"/>
  <c r="O219" i="15"/>
  <c r="X219" i="15"/>
  <c r="AJ219" i="15"/>
  <c r="G218" i="1"/>
  <c r="BW218" i="6" s="1"/>
  <c r="K219" i="16"/>
  <c r="AB219" i="16"/>
  <c r="AJ219" i="16"/>
  <c r="AC219" i="16"/>
  <c r="X219" i="16"/>
  <c r="A220" i="16"/>
  <c r="L219" i="16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AB220" i="15" l="1"/>
  <c r="AK220" i="15"/>
  <c r="X220" i="15"/>
  <c r="K220" i="15"/>
  <c r="AC220" i="15"/>
  <c r="A221" i="15"/>
  <c r="O220" i="15"/>
  <c r="L220" i="15"/>
  <c r="AJ220" i="15"/>
  <c r="X220" i="16"/>
  <c r="A221" i="16"/>
  <c r="L220" i="16"/>
  <c r="AJ220" i="16"/>
  <c r="O220" i="16"/>
  <c r="AB220" i="16"/>
  <c r="K220" i="16"/>
  <c r="AK220" i="16"/>
  <c r="AC220" i="16"/>
  <c r="F220" i="1"/>
  <c r="I219" i="1"/>
  <c r="B219" i="6" s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1" i="15" l="1"/>
  <c r="O221" i="15"/>
  <c r="L221" i="15"/>
  <c r="AK221" i="15"/>
  <c r="K221" i="15"/>
  <c r="AJ221" i="15"/>
  <c r="A222" i="15"/>
  <c r="X221" i="15"/>
  <c r="AC221" i="15"/>
  <c r="X221" i="16"/>
  <c r="L221" i="16"/>
  <c r="AJ221" i="16"/>
  <c r="AC221" i="16"/>
  <c r="AB221" i="16"/>
  <c r="K221" i="16"/>
  <c r="A222" i="16"/>
  <c r="AK221" i="16"/>
  <c r="O221" i="16"/>
  <c r="F221" i="1"/>
  <c r="I221" i="1" s="1"/>
  <c r="B221" i="6" s="1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B220" i="6" s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G221" i="1"/>
  <c r="BW221" i="6" s="1"/>
  <c r="L222" i="15"/>
  <c r="AK222" i="15"/>
  <c r="K222" i="15"/>
  <c r="O222" i="15"/>
  <c r="AC222" i="15"/>
  <c r="AB222" i="15"/>
  <c r="A223" i="15"/>
  <c r="AJ222" i="15"/>
  <c r="X222" i="15"/>
  <c r="F222" i="1"/>
  <c r="AA222" i="1" s="1"/>
  <c r="Z222" i="1" s="1"/>
  <c r="Y222" i="1" s="1"/>
  <c r="A223" i="16"/>
  <c r="AB222" i="16"/>
  <c r="L222" i="16"/>
  <c r="AJ222" i="16"/>
  <c r="O222" i="16"/>
  <c r="K222" i="16"/>
  <c r="X222" i="16"/>
  <c r="AK222" i="16"/>
  <c r="AC222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I222" i="1"/>
  <c r="B222" i="6" s="1"/>
  <c r="AB223" i="15"/>
  <c r="L223" i="15"/>
  <c r="AC223" i="15"/>
  <c r="X223" i="15"/>
  <c r="O223" i="15"/>
  <c r="A224" i="15"/>
  <c r="AJ223" i="15"/>
  <c r="K223" i="15"/>
  <c r="AK223" i="15"/>
  <c r="A224" i="16"/>
  <c r="AB223" i="16"/>
  <c r="AJ223" i="16"/>
  <c r="AC223" i="16"/>
  <c r="L223" i="16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X224" i="15" l="1"/>
  <c r="AJ224" i="15"/>
  <c r="L224" i="15"/>
  <c r="AK224" i="15"/>
  <c r="K224" i="15"/>
  <c r="AB224" i="15"/>
  <c r="AC224" i="15"/>
  <c r="A225" i="15"/>
  <c r="O224" i="15"/>
  <c r="AB224" i="16"/>
  <c r="X224" i="16"/>
  <c r="A225" i="16"/>
  <c r="AJ224" i="16"/>
  <c r="O224" i="16"/>
  <c r="L224" i="16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B223" i="6" s="1"/>
  <c r="AA223" i="1"/>
  <c r="Z223" i="1" s="1"/>
  <c r="Y223" i="1" s="1"/>
  <c r="S225" i="1"/>
  <c r="R225" i="1" s="1"/>
  <c r="P225" i="1" s="1"/>
  <c r="V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F224" i="1" l="1"/>
  <c r="AA224" i="1" s="1"/>
  <c r="Z224" i="1" s="1"/>
  <c r="Y224" i="1" s="1"/>
  <c r="F225" i="1"/>
  <c r="AA225" i="1" s="1"/>
  <c r="Z225" i="1" s="1"/>
  <c r="Y225" i="1" s="1"/>
  <c r="K225" i="15"/>
  <c r="AK225" i="15"/>
  <c r="L225" i="15"/>
  <c r="AJ225" i="15"/>
  <c r="A226" i="15"/>
  <c r="AB225" i="15"/>
  <c r="AC225" i="15"/>
  <c r="X225" i="15"/>
  <c r="O225" i="15"/>
  <c r="A226" i="16"/>
  <c r="X225" i="16"/>
  <c r="AK225" i="16"/>
  <c r="AC225" i="16"/>
  <c r="L225" i="16"/>
  <c r="AB225" i="16"/>
  <c r="K225" i="16"/>
  <c r="AJ225" i="16"/>
  <c r="O225" i="16"/>
  <c r="G224" i="1"/>
  <c r="BW224" i="6" s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I224" i="1" l="1"/>
  <c r="B224" i="6" s="1"/>
  <c r="I225" i="1"/>
  <c r="B225" i="6" s="1"/>
  <c r="G225" i="1"/>
  <c r="BW225" i="6" s="1"/>
  <c r="H61" i="19"/>
  <c r="X226" i="15"/>
  <c r="AJ226" i="15"/>
  <c r="K226" i="15"/>
  <c r="AB226" i="15"/>
  <c r="AC226" i="15"/>
  <c r="A227" i="15"/>
  <c r="O226" i="15"/>
  <c r="L226" i="15"/>
  <c r="AK226" i="15"/>
  <c r="P227" i="1"/>
  <c r="X226" i="16"/>
  <c r="L226" i="16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V227" i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K227" i="15" l="1"/>
  <c r="AB227" i="15"/>
  <c r="AK227" i="15"/>
  <c r="A228" i="15"/>
  <c r="AC227" i="15"/>
  <c r="AJ227" i="15"/>
  <c r="L227" i="15"/>
  <c r="O227" i="15"/>
  <c r="X227" i="15"/>
  <c r="K227" i="16"/>
  <c r="L227" i="16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B226" i="6" s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A229" i="15" l="1"/>
  <c r="AJ228" i="15"/>
  <c r="K228" i="15"/>
  <c r="AK228" i="15"/>
  <c r="L228" i="15"/>
  <c r="AB228" i="15"/>
  <c r="O228" i="15"/>
  <c r="X228" i="15"/>
  <c r="AC228" i="15"/>
  <c r="L228" i="16"/>
  <c r="X228" i="16"/>
  <c r="A229" i="16"/>
  <c r="AJ228" i="16"/>
  <c r="O228" i="16"/>
  <c r="AB228" i="16"/>
  <c r="K228" i="16"/>
  <c r="AK228" i="16"/>
  <c r="AC228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B227" i="6" s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AB229" i="15" l="1"/>
  <c r="AJ229" i="15"/>
  <c r="L229" i="15"/>
  <c r="X229" i="15"/>
  <c r="AC229" i="15"/>
  <c r="K229" i="15"/>
  <c r="O229" i="15"/>
  <c r="A230" i="15"/>
  <c r="AK229" i="15"/>
  <c r="F228" i="1"/>
  <c r="G228" i="1" s="1"/>
  <c r="BW228" i="6" s="1"/>
  <c r="X229" i="16"/>
  <c r="L229" i="16"/>
  <c r="AJ229" i="16"/>
  <c r="AC229" i="16"/>
  <c r="A230" i="16"/>
  <c r="AB229" i="16"/>
  <c r="K229" i="16"/>
  <c r="AK229" i="16"/>
  <c r="O229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E230" i="1" s="1"/>
  <c r="X224" i="24"/>
  <c r="AB224" i="24"/>
  <c r="A225" i="24"/>
  <c r="K224" i="24"/>
  <c r="L224" i="24"/>
  <c r="AJ224" i="24"/>
  <c r="AK224" i="24"/>
  <c r="O224" i="24"/>
  <c r="AC224" i="24"/>
  <c r="AA228" i="1"/>
  <c r="Z228" i="1" s="1"/>
  <c r="Y228" i="1" s="1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I228" i="1" l="1"/>
  <c r="B228" i="6" s="1"/>
  <c r="X230" i="15"/>
  <c r="AK230" i="15"/>
  <c r="AB230" i="15"/>
  <c r="AJ230" i="15"/>
  <c r="K230" i="15"/>
  <c r="A231" i="15"/>
  <c r="AC230" i="15"/>
  <c r="L230" i="15"/>
  <c r="O230" i="15"/>
  <c r="K230" i="16"/>
  <c r="L230" i="16"/>
  <c r="AJ230" i="16"/>
  <c r="AC230" i="16"/>
  <c r="X230" i="16"/>
  <c r="A231" i="16"/>
  <c r="AB230" i="16"/>
  <c r="AK230" i="16"/>
  <c r="O230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B229" i="6" s="1"/>
  <c r="AB231" i="15" l="1"/>
  <c r="AC231" i="15"/>
  <c r="K231" i="15"/>
  <c r="L231" i="15"/>
  <c r="A232" i="15"/>
  <c r="AK231" i="15"/>
  <c r="X231" i="15"/>
  <c r="O231" i="15"/>
  <c r="AJ231" i="15"/>
  <c r="X231" i="16"/>
  <c r="K231" i="16"/>
  <c r="AJ231" i="16"/>
  <c r="AC231" i="16"/>
  <c r="L231" i="16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X232" i="15" l="1"/>
  <c r="AJ232" i="15"/>
  <c r="AB232" i="15"/>
  <c r="A233" i="15"/>
  <c r="AC232" i="15"/>
  <c r="K232" i="15"/>
  <c r="O232" i="15"/>
  <c r="L232" i="15"/>
  <c r="AK232" i="15"/>
  <c r="F232" i="1"/>
  <c r="G232" i="1" s="1"/>
  <c r="BW232" i="6" s="1"/>
  <c r="X232" i="16"/>
  <c r="L232" i="16"/>
  <c r="AJ232" i="16"/>
  <c r="AC232" i="16"/>
  <c r="K232" i="16"/>
  <c r="A233" i="16"/>
  <c r="AB232" i="16"/>
  <c r="AK232" i="16"/>
  <c r="O232" i="16"/>
  <c r="AA230" i="1"/>
  <c r="Z230" i="1" s="1"/>
  <c r="Y230" i="1" s="1"/>
  <c r="G230" i="1"/>
  <c r="BW230" i="6" s="1"/>
  <c r="I230" i="1"/>
  <c r="B230" i="6" s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B231" i="6" s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F233" i="1" l="1"/>
  <c r="I233" i="1" s="1"/>
  <c r="B233" i="6" s="1"/>
  <c r="I232" i="1"/>
  <c r="B232" i="6" s="1"/>
  <c r="AA232" i="1"/>
  <c r="Z232" i="1" s="1"/>
  <c r="Y232" i="1" s="1"/>
  <c r="A234" i="15"/>
  <c r="X233" i="15"/>
  <c r="AC233" i="15"/>
  <c r="L233" i="15"/>
  <c r="O233" i="15"/>
  <c r="K233" i="15"/>
  <c r="AJ233" i="15"/>
  <c r="AB233" i="15"/>
  <c r="AK233" i="15"/>
  <c r="L233" i="16"/>
  <c r="A234" i="16"/>
  <c r="AB233" i="16"/>
  <c r="AJ233" i="16"/>
  <c r="O233" i="16"/>
  <c r="X233" i="16"/>
  <c r="K233" i="16"/>
  <c r="AK233" i="16"/>
  <c r="AC233" i="16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AA233" i="1" l="1"/>
  <c r="Z233" i="1" s="1"/>
  <c r="Y233" i="1" s="1"/>
  <c r="G233" i="1"/>
  <c r="BW233" i="6" s="1"/>
  <c r="K234" i="15"/>
  <c r="AK234" i="15"/>
  <c r="A235" i="15"/>
  <c r="L234" i="15"/>
  <c r="O234" i="15"/>
  <c r="AB234" i="15"/>
  <c r="AC234" i="15"/>
  <c r="X234" i="15"/>
  <c r="AJ234" i="15"/>
  <c r="P235" i="1"/>
  <c r="V235" i="1" s="1"/>
  <c r="F234" i="1"/>
  <c r="I234" i="1" s="1"/>
  <c r="B234" i="6" s="1"/>
  <c r="X234" i="16"/>
  <c r="K234" i="16"/>
  <c r="AJ234" i="16"/>
  <c r="AC234" i="16"/>
  <c r="AB234" i="16"/>
  <c r="L234" i="16"/>
  <c r="A235" i="16"/>
  <c r="AK234" i="16"/>
  <c r="O234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G234" i="1" l="1"/>
  <c r="BW234" i="6" s="1"/>
  <c r="AA234" i="1"/>
  <c r="Z234" i="1" s="1"/>
  <c r="Y234" i="1" s="1"/>
  <c r="X235" i="15"/>
  <c r="AK235" i="15"/>
  <c r="A236" i="15"/>
  <c r="AB235" i="15"/>
  <c r="AC235" i="15"/>
  <c r="L235" i="15"/>
  <c r="O235" i="15"/>
  <c r="K235" i="15"/>
  <c r="AJ235" i="15"/>
  <c r="F235" i="1"/>
  <c r="G235" i="1" s="1"/>
  <c r="BW235" i="6" s="1"/>
  <c r="AK235" i="16"/>
  <c r="K235" i="16"/>
  <c r="L235" i="16"/>
  <c r="X235" i="16"/>
  <c r="AJ235" i="16"/>
  <c r="O235" i="16"/>
  <c r="A236" i="16"/>
  <c r="AB235" i="16"/>
  <c r="AC235" i="16"/>
  <c r="I235" i="1"/>
  <c r="B235" i="6" s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B236" i="6" s="1"/>
  <c r="AA235" i="1"/>
  <c r="Z235" i="1" s="1"/>
  <c r="Y235" i="1" s="1"/>
  <c r="A237" i="15"/>
  <c r="O236" i="15"/>
  <c r="AB236" i="15"/>
  <c r="AC236" i="15"/>
  <c r="K236" i="15"/>
  <c r="AJ236" i="15"/>
  <c r="L236" i="15"/>
  <c r="X236" i="15"/>
  <c r="AK236" i="15"/>
  <c r="X236" i="16"/>
  <c r="AB236" i="16"/>
  <c r="AJ236" i="16"/>
  <c r="AC236" i="16"/>
  <c r="A237" i="16"/>
  <c r="K236" i="16"/>
  <c r="L236" i="16"/>
  <c r="AK236" i="16"/>
  <c r="O236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A238" i="15"/>
  <c r="K237" i="15"/>
  <c r="O237" i="15"/>
  <c r="AB237" i="15"/>
  <c r="AC237" i="15"/>
  <c r="X237" i="15"/>
  <c r="AJ237" i="15"/>
  <c r="L237" i="15"/>
  <c r="AK237" i="15"/>
  <c r="P238" i="1"/>
  <c r="V238" i="1" s="1"/>
  <c r="AB237" i="16"/>
  <c r="A238" i="16"/>
  <c r="AJ237" i="16"/>
  <c r="AC237" i="16"/>
  <c r="X237" i="16"/>
  <c r="K237" i="16"/>
  <c r="L237" i="16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F238" i="1" l="1"/>
  <c r="AA238" i="1" s="1"/>
  <c r="Z238" i="1" s="1"/>
  <c r="Y238" i="1" s="1"/>
  <c r="AB238" i="15"/>
  <c r="A239" i="15"/>
  <c r="AC238" i="15"/>
  <c r="L238" i="15"/>
  <c r="O238" i="15"/>
  <c r="K238" i="15"/>
  <c r="AJ238" i="15"/>
  <c r="X238" i="15"/>
  <c r="AK238" i="15"/>
  <c r="A239" i="16"/>
  <c r="X238" i="16"/>
  <c r="K238" i="16"/>
  <c r="AK238" i="16"/>
  <c r="O238" i="16"/>
  <c r="AJ238" i="16"/>
  <c r="L238" i="16"/>
  <c r="AB238" i="16"/>
  <c r="AC238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B237" i="6" s="1"/>
  <c r="G237" i="1"/>
  <c r="BW237" i="6" s="1"/>
  <c r="AA237" i="1"/>
  <c r="Z237" i="1" s="1"/>
  <c r="Y237" i="1" s="1"/>
  <c r="I238" i="1" l="1"/>
  <c r="B238" i="6" s="1"/>
  <c r="G238" i="1"/>
  <c r="BW238" i="6" s="1"/>
  <c r="K239" i="15"/>
  <c r="AK239" i="15"/>
  <c r="L239" i="15"/>
  <c r="AJ239" i="15"/>
  <c r="AB239" i="15"/>
  <c r="A240" i="15"/>
  <c r="AC239" i="15"/>
  <c r="X239" i="15"/>
  <c r="O239" i="15"/>
  <c r="F239" i="1"/>
  <c r="G239" i="1" s="1"/>
  <c r="BW239" i="6" s="1"/>
  <c r="X239" i="16"/>
  <c r="A240" i="16"/>
  <c r="AJ239" i="16"/>
  <c r="AC239" i="16"/>
  <c r="K239" i="16"/>
  <c r="L239" i="16"/>
  <c r="AB239" i="16"/>
  <c r="AK239" i="16"/>
  <c r="O239" i="16"/>
  <c r="AA239" i="1"/>
  <c r="Z239" i="1" s="1"/>
  <c r="Y239" i="1" s="1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I239" i="1" l="1"/>
  <c r="B239" i="6" s="1"/>
  <c r="AB240" i="15"/>
  <c r="X240" i="15"/>
  <c r="AC240" i="15"/>
  <c r="A241" i="15"/>
  <c r="O240" i="15"/>
  <c r="K240" i="15"/>
  <c r="AK240" i="15"/>
  <c r="L240" i="15"/>
  <c r="AJ240" i="15"/>
  <c r="L240" i="16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L241" i="15" l="1"/>
  <c r="AK241" i="15"/>
  <c r="K241" i="15"/>
  <c r="X241" i="15"/>
  <c r="AC241" i="15"/>
  <c r="A39" i="7"/>
  <c r="A242" i="15"/>
  <c r="O241" i="15"/>
  <c r="C39" i="7" s="1"/>
  <c r="AB241" i="15"/>
  <c r="AJ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B240" i="6" s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F241" i="1" l="1"/>
  <c r="I241" i="1" s="1"/>
  <c r="B241" i="6" s="1"/>
  <c r="AB242" i="15"/>
  <c r="AK242" i="15"/>
  <c r="L242" i="15"/>
  <c r="K242" i="15"/>
  <c r="AC242" i="15"/>
  <c r="A243" i="15"/>
  <c r="O242" i="15"/>
  <c r="X242" i="15"/>
  <c r="AJ242" i="15"/>
  <c r="B39" i="7"/>
  <c r="K242" i="16"/>
  <c r="A243" i="16"/>
  <c r="X242" i="16"/>
  <c r="AJ242" i="16"/>
  <c r="O242" i="16"/>
  <c r="AB242" i="16"/>
  <c r="AC242" i="16"/>
  <c r="L242" i="16"/>
  <c r="AK242" i="16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G241" i="1" l="1"/>
  <c r="BW241" i="6" s="1"/>
  <c r="AA241" i="1"/>
  <c r="Z241" i="1" s="1"/>
  <c r="Y241" i="1" s="1"/>
  <c r="F243" i="1"/>
  <c r="G243" i="1" s="1"/>
  <c r="BW243" i="6" s="1"/>
  <c r="L243" i="15"/>
  <c r="AJ243" i="15"/>
  <c r="X243" i="15"/>
  <c r="AK243" i="15"/>
  <c r="AB243" i="15"/>
  <c r="K243" i="15"/>
  <c r="AC243" i="15"/>
  <c r="A244" i="15"/>
  <c r="O243" i="15"/>
  <c r="K243" i="16"/>
  <c r="AB243" i="16"/>
  <c r="AK243" i="16"/>
  <c r="AC243" i="16"/>
  <c r="L243" i="16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B242" i="6" s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I243" i="1"/>
  <c r="B243" i="6" s="1"/>
  <c r="A245" i="15"/>
  <c r="O244" i="15"/>
  <c r="X244" i="15"/>
  <c r="AJ244" i="15"/>
  <c r="K244" i="15"/>
  <c r="AK244" i="15"/>
  <c r="L244" i="15"/>
  <c r="AB244" i="15"/>
  <c r="AC244" i="15"/>
  <c r="K244" i="16"/>
  <c r="X244" i="16"/>
  <c r="AB244" i="16"/>
  <c r="AK244" i="16"/>
  <c r="O244" i="16"/>
  <c r="L244" i="16"/>
  <c r="A245" i="16"/>
  <c r="AJ244" i="16"/>
  <c r="AC244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L245" i="15" l="1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AJ245" i="16"/>
  <c r="AC245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B244" i="6" s="1"/>
  <c r="G244" i="1"/>
  <c r="BW244" i="6" s="1"/>
  <c r="AA244" i="1"/>
  <c r="Z244" i="1" s="1"/>
  <c r="Y244" i="1" s="1"/>
  <c r="AF39" i="7"/>
  <c r="L246" i="15" l="1"/>
  <c r="AJ246" i="15"/>
  <c r="AB246" i="15"/>
  <c r="X246" i="15"/>
  <c r="O246" i="15"/>
  <c r="A247" i="15"/>
  <c r="AC246" i="15"/>
  <c r="K246" i="15"/>
  <c r="AK246" i="15"/>
  <c r="X246" i="16"/>
  <c r="K246" i="16"/>
  <c r="AK246" i="16"/>
  <c r="AC246" i="16"/>
  <c r="A247" i="16"/>
  <c r="L246" i="16"/>
  <c r="AB246" i="16"/>
  <c r="AJ246" i="16"/>
  <c r="O246" i="16"/>
  <c r="F246" i="1"/>
  <c r="I246" i="1" s="1"/>
  <c r="B246" i="6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B245" i="6" s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K247" i="15"/>
  <c r="AK247" i="15"/>
  <c r="X247" i="15"/>
  <c r="AC247" i="15"/>
  <c r="AJ247" i="15"/>
  <c r="A248" i="15"/>
  <c r="O247" i="15"/>
  <c r="AB247" i="15"/>
  <c r="L247" i="15"/>
  <c r="AA246" i="1"/>
  <c r="Z246" i="1" s="1"/>
  <c r="Y246" i="1" s="1"/>
  <c r="K247" i="16"/>
  <c r="AB247" i="16"/>
  <c r="AJ247" i="16"/>
  <c r="AC247" i="16"/>
  <c r="X247" i="16"/>
  <c r="L247" i="16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K248" i="15" l="1"/>
  <c r="AJ248" i="15"/>
  <c r="X248" i="15"/>
  <c r="AK248" i="15"/>
  <c r="AB248" i="15"/>
  <c r="A249" i="15"/>
  <c r="O248" i="15"/>
  <c r="L248" i="15"/>
  <c r="AC248" i="15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B247" i="6" s="1"/>
  <c r="G247" i="1"/>
  <c r="BW247" i="6" s="1"/>
  <c r="I248" i="1" l="1"/>
  <c r="B248" i="6" s="1"/>
  <c r="A250" i="15"/>
  <c r="AK249" i="15"/>
  <c r="AB249" i="15"/>
  <c r="X249" i="15"/>
  <c r="AC249" i="15"/>
  <c r="K249" i="15"/>
  <c r="O249" i="15"/>
  <c r="L249" i="15"/>
  <c r="AJ249" i="15"/>
  <c r="F249" i="1"/>
  <c r="AA249" i="1" s="1"/>
  <c r="Z249" i="1" s="1"/>
  <c r="Y249" i="1" s="1"/>
  <c r="L249" i="16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B250" i="6" s="1"/>
  <c r="I249" i="1"/>
  <c r="B249" i="6" s="1"/>
  <c r="G249" i="1"/>
  <c r="BW249" i="6" s="1"/>
  <c r="AB250" i="15"/>
  <c r="AJ250" i="15"/>
  <c r="L250" i="15"/>
  <c r="AK250" i="15"/>
  <c r="X250" i="15"/>
  <c r="K250" i="15"/>
  <c r="AC250" i="15"/>
  <c r="A251" i="15"/>
  <c r="O250" i="15"/>
  <c r="A251" i="16"/>
  <c r="AB250" i="16"/>
  <c r="K250" i="16"/>
  <c r="AJ250" i="16"/>
  <c r="O250" i="16"/>
  <c r="L250" i="16"/>
  <c r="X250" i="16"/>
  <c r="AK250" i="16"/>
  <c r="AC250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G250" i="1" l="1"/>
  <c r="BW250" i="6" s="1"/>
  <c r="AA250" i="1"/>
  <c r="Z250" i="1" s="1"/>
  <c r="Y250" i="1" s="1"/>
  <c r="A252" i="15"/>
  <c r="AK251" i="15"/>
  <c r="L251" i="15"/>
  <c r="AJ251" i="15"/>
  <c r="X251" i="15"/>
  <c r="AB251" i="15"/>
  <c r="AC251" i="15"/>
  <c r="K251" i="15"/>
  <c r="O251" i="15"/>
  <c r="F251" i="1"/>
  <c r="AA251" i="1" s="1"/>
  <c r="Z251" i="1" s="1"/>
  <c r="Y251" i="1" s="1"/>
  <c r="K251" i="16"/>
  <c r="AB251" i="16"/>
  <c r="X251" i="16"/>
  <c r="AK251" i="16"/>
  <c r="O251" i="16"/>
  <c r="L251" i="16"/>
  <c r="A252" i="16"/>
  <c r="AJ251" i="16"/>
  <c r="AC251" i="16"/>
  <c r="G251" i="1"/>
  <c r="BW251" i="6" s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A253" i="15" l="1"/>
  <c r="AK252" i="15"/>
  <c r="AB252" i="15"/>
  <c r="X252" i="15"/>
  <c r="O252" i="15"/>
  <c r="L252" i="15"/>
  <c r="AC252" i="15"/>
  <c r="K252" i="15"/>
  <c r="AJ252" i="15"/>
  <c r="I251" i="1"/>
  <c r="B251" i="6" s="1"/>
  <c r="A253" i="16"/>
  <c r="AB252" i="16"/>
  <c r="K252" i="16"/>
  <c r="AK252" i="16"/>
  <c r="O252" i="16"/>
  <c r="X252" i="16"/>
  <c r="L252" i="16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l="1"/>
  <c r="I252" i="1" s="1"/>
  <c r="B252" i="6" s="1"/>
  <c r="F253" i="1"/>
  <c r="G253" i="1" s="1"/>
  <c r="BW253" i="6" s="1"/>
  <c r="X253" i="15"/>
  <c r="K253" i="15"/>
  <c r="AC253" i="15"/>
  <c r="L253" i="15"/>
  <c r="O253" i="15"/>
  <c r="AB253" i="15"/>
  <c r="AK253" i="15"/>
  <c r="A254" i="15"/>
  <c r="AJ253" i="15"/>
  <c r="A254" i="16"/>
  <c r="X253" i="16"/>
  <c r="AJ253" i="16"/>
  <c r="AC253" i="16"/>
  <c r="L253" i="16"/>
  <c r="AB253" i="16"/>
  <c r="K253" i="16"/>
  <c r="AK253" i="16"/>
  <c r="O253" i="16"/>
  <c r="AA252" i="1"/>
  <c r="Z252" i="1" s="1"/>
  <c r="Y252" i="1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B253" i="6" s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G252" i="1" l="1"/>
  <c r="BW252" i="6" s="1"/>
  <c r="AA253" i="1"/>
  <c r="Z253" i="1" s="1"/>
  <c r="Y253" i="1" s="1"/>
  <c r="L254" i="15"/>
  <c r="O254" i="15"/>
  <c r="A255" i="15"/>
  <c r="AJ254" i="15"/>
  <c r="AB254" i="15"/>
  <c r="AK254" i="15"/>
  <c r="X254" i="15"/>
  <c r="K254" i="15"/>
  <c r="AC254" i="15"/>
  <c r="K254" i="16"/>
  <c r="X254" i="16"/>
  <c r="L254" i="16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B254" i="6" s="1"/>
  <c r="X255" i="15"/>
  <c r="AJ255" i="15"/>
  <c r="K255" i="15"/>
  <c r="L255" i="15"/>
  <c r="AC255" i="15"/>
  <c r="AB255" i="15"/>
  <c r="O255" i="15"/>
  <c r="A256" i="15"/>
  <c r="AK255" i="15"/>
  <c r="AA254" i="1"/>
  <c r="Z254" i="1" s="1"/>
  <c r="Y254" i="1" s="1"/>
  <c r="F255" i="1"/>
  <c r="I255" i="1" s="1"/>
  <c r="B255" i="6" s="1"/>
  <c r="K255" i="16"/>
  <c r="L255" i="16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F256" i="1" l="1"/>
  <c r="I256" i="1" s="1"/>
  <c r="B256" i="6" s="1"/>
  <c r="G255" i="1"/>
  <c r="BW255" i="6" s="1"/>
  <c r="AB256" i="15"/>
  <c r="AJ256" i="15"/>
  <c r="L256" i="15"/>
  <c r="AK256" i="15"/>
  <c r="X256" i="15"/>
  <c r="K256" i="15"/>
  <c r="AC256" i="15"/>
  <c r="A257" i="15"/>
  <c r="O256" i="15"/>
  <c r="AB256" i="16"/>
  <c r="X256" i="16"/>
  <c r="K256" i="16"/>
  <c r="AJ256" i="16"/>
  <c r="O256" i="16"/>
  <c r="L256" i="16"/>
  <c r="A257" i="16"/>
  <c r="AK256" i="16"/>
  <c r="AC256" i="16"/>
  <c r="D257" i="1"/>
  <c r="E257" i="1" s="1"/>
  <c r="V257" i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I61" i="19"/>
  <c r="AA256" i="1"/>
  <c r="Z256" i="1" s="1"/>
  <c r="Y256" i="1" s="1"/>
  <c r="G256" i="1"/>
  <c r="BW256" i="6" s="1"/>
  <c r="A258" i="15"/>
  <c r="K257" i="15"/>
  <c r="O257" i="15"/>
  <c r="X257" i="15"/>
  <c r="AC257" i="15"/>
  <c r="AB257" i="15"/>
  <c r="AJ257" i="15"/>
  <c r="L257" i="15"/>
  <c r="AK257" i="15"/>
  <c r="AB257" i="16"/>
  <c r="K257" i="16"/>
  <c r="AJ257" i="16"/>
  <c r="AC257" i="16"/>
  <c r="A258" i="16"/>
  <c r="L257" i="16"/>
  <c r="X257" i="16"/>
  <c r="AK257" i="16"/>
  <c r="O257" i="16"/>
  <c r="I257" i="1"/>
  <c r="B257" i="6" s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A259" i="15"/>
  <c r="AC258" i="15"/>
  <c r="AB258" i="15"/>
  <c r="AJ258" i="15"/>
  <c r="L258" i="15"/>
  <c r="AK258" i="15"/>
  <c r="X258" i="15"/>
  <c r="K258" i="15"/>
  <c r="O258" i="15"/>
  <c r="AB258" i="16"/>
  <c r="A259" i="16"/>
  <c r="AJ258" i="16"/>
  <c r="AC258" i="16"/>
  <c r="K258" i="16"/>
  <c r="X258" i="16"/>
  <c r="L258" i="16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F259" i="1" l="1"/>
  <c r="G259" i="1" s="1"/>
  <c r="BW259" i="6" s="1"/>
  <c r="K259" i="15"/>
  <c r="O259" i="15"/>
  <c r="L259" i="15"/>
  <c r="AK259" i="15"/>
  <c r="AB259" i="15"/>
  <c r="AJ259" i="15"/>
  <c r="X259" i="15"/>
  <c r="A260" i="15"/>
  <c r="AC259" i="15"/>
  <c r="A260" i="16"/>
  <c r="L259" i="16"/>
  <c r="AB259" i="16"/>
  <c r="AK259" i="16"/>
  <c r="O259" i="16"/>
  <c r="X259" i="16"/>
  <c r="K259" i="16"/>
  <c r="AJ259" i="16"/>
  <c r="AC259" i="16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AA259" i="1" l="1"/>
  <c r="Z259" i="1" s="1"/>
  <c r="Y259" i="1" s="1"/>
  <c r="I259" i="1"/>
  <c r="B259" i="6" s="1"/>
  <c r="L260" i="15"/>
  <c r="X260" i="15"/>
  <c r="AC260" i="15"/>
  <c r="K260" i="15"/>
  <c r="O260" i="15"/>
  <c r="AB260" i="15"/>
  <c r="AK260" i="15"/>
  <c r="A261" i="15"/>
  <c r="AJ260" i="15"/>
  <c r="A261" i="16"/>
  <c r="K260" i="16"/>
  <c r="X260" i="16"/>
  <c r="AK260" i="16"/>
  <c r="O260" i="16"/>
  <c r="AB260" i="16"/>
  <c r="L260" i="16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B258" i="6" s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L261" i="15" l="1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L262" i="15" l="1"/>
  <c r="O262" i="15"/>
  <c r="AB262" i="15"/>
  <c r="AK262" i="15"/>
  <c r="K262" i="15"/>
  <c r="AJ262" i="15"/>
  <c r="A263" i="15"/>
  <c r="X262" i="15"/>
  <c r="AC262" i="15"/>
  <c r="F262" i="1"/>
  <c r="AA262" i="1" s="1"/>
  <c r="Z262" i="1" s="1"/>
  <c r="Y262" i="1" s="1"/>
  <c r="K262" i="16"/>
  <c r="AB262" i="16"/>
  <c r="X262" i="16"/>
  <c r="AJ262" i="16"/>
  <c r="O262" i="16"/>
  <c r="L262" i="16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B260" i="6" s="1"/>
  <c r="X256" i="25"/>
  <c r="K256" i="25"/>
  <c r="AB256" i="25"/>
  <c r="A257" i="25"/>
  <c r="L256" i="25"/>
  <c r="AJ256" i="25"/>
  <c r="AK256" i="25"/>
  <c r="O256" i="25"/>
  <c r="AC256" i="25"/>
  <c r="I261" i="1"/>
  <c r="B261" i="6" s="1"/>
  <c r="G261" i="1"/>
  <c r="BW261" i="6" s="1"/>
  <c r="AA261" i="1"/>
  <c r="Z261" i="1" s="1"/>
  <c r="Y261" i="1" s="1"/>
  <c r="D263" i="1"/>
  <c r="E263" i="1" s="1"/>
  <c r="V263" i="1"/>
  <c r="G262" i="1" l="1"/>
  <c r="BW262" i="6" s="1"/>
  <c r="I262" i="1"/>
  <c r="B262" i="6" s="1"/>
  <c r="K263" i="15"/>
  <c r="O263" i="15"/>
  <c r="L263" i="15"/>
  <c r="AK263" i="15"/>
  <c r="AB263" i="15"/>
  <c r="AJ263" i="15"/>
  <c r="A264" i="15"/>
  <c r="X263" i="15"/>
  <c r="AC263" i="15"/>
  <c r="X263" i="16"/>
  <c r="K263" i="16"/>
  <c r="AJ263" i="16"/>
  <c r="AC263" i="16"/>
  <c r="A264" i="16"/>
  <c r="L263" i="16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X264" i="15" l="1"/>
  <c r="AK264" i="15"/>
  <c r="L264" i="15"/>
  <c r="AB264" i="15"/>
  <c r="AC264" i="15"/>
  <c r="K264" i="15"/>
  <c r="O264" i="15"/>
  <c r="A265" i="15"/>
  <c r="AJ264" i="15"/>
  <c r="L264" i="16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B263" i="6" s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K265" i="15" l="1"/>
  <c r="AK265" i="15"/>
  <c r="X265" i="15"/>
  <c r="AJ265" i="15"/>
  <c r="L265" i="15"/>
  <c r="AB265" i="15"/>
  <c r="AC265" i="15"/>
  <c r="A266" i="15"/>
  <c r="O265" i="15"/>
  <c r="X265" i="16"/>
  <c r="K265" i="16"/>
  <c r="AJ265" i="16"/>
  <c r="AC265" i="16"/>
  <c r="AB265" i="16"/>
  <c r="L265" i="16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B264" i="6" s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L266" i="15" l="1"/>
  <c r="AJ266" i="15"/>
  <c r="X266" i="15"/>
  <c r="AK266" i="15"/>
  <c r="A267" i="15"/>
  <c r="K266" i="15"/>
  <c r="AC266" i="15"/>
  <c r="AB266" i="15"/>
  <c r="O266" i="15"/>
  <c r="X266" i="16"/>
  <c r="L266" i="16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B265" i="6" s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8" i="15" l="1"/>
  <c r="AB267" i="15"/>
  <c r="AC267" i="15"/>
  <c r="K267" i="15"/>
  <c r="O267" i="15"/>
  <c r="X267" i="15"/>
  <c r="AK267" i="15"/>
  <c r="L267" i="15"/>
  <c r="AJ267" i="15"/>
  <c r="AA266" i="1"/>
  <c r="Z266" i="1" s="1"/>
  <c r="Y266" i="1" s="1"/>
  <c r="F267" i="1"/>
  <c r="I267" i="1" s="1"/>
  <c r="B267" i="6" s="1"/>
  <c r="A268" i="16"/>
  <c r="X267" i="16"/>
  <c r="L267" i="16"/>
  <c r="AK267" i="16"/>
  <c r="O267" i="16"/>
  <c r="K267" i="16"/>
  <c r="AB267" i="16"/>
  <c r="AJ267" i="16"/>
  <c r="AC267" i="16"/>
  <c r="I266" i="1"/>
  <c r="B266" i="6" s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P269" i="1" l="1"/>
  <c r="V269" i="1" s="1"/>
  <c r="AA267" i="1"/>
  <c r="Z267" i="1" s="1"/>
  <c r="Y267" i="1" s="1"/>
  <c r="G267" i="1"/>
  <c r="BW267" i="6" s="1"/>
  <c r="A269" i="15"/>
  <c r="AJ268" i="15"/>
  <c r="X268" i="15"/>
  <c r="AB268" i="15"/>
  <c r="O268" i="15"/>
  <c r="K268" i="15"/>
  <c r="AC268" i="15"/>
  <c r="L268" i="15"/>
  <c r="AK268" i="15"/>
  <c r="AB268" i="16"/>
  <c r="K268" i="16"/>
  <c r="A269" i="16"/>
  <c r="AK268" i="16"/>
  <c r="O268" i="16"/>
  <c r="L268" i="16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K269" i="15" l="1"/>
  <c r="O269" i="15"/>
  <c r="L269" i="15"/>
  <c r="AK269" i="15"/>
  <c r="X269" i="15"/>
  <c r="AJ269" i="15"/>
  <c r="AB269" i="15"/>
  <c r="A270" i="15"/>
  <c r="AC269" i="15"/>
  <c r="F269" i="1"/>
  <c r="G269" i="1" s="1"/>
  <c r="BW269" i="6" s="1"/>
  <c r="A270" i="16"/>
  <c r="AB269" i="16"/>
  <c r="X269" i="16"/>
  <c r="AJ269" i="16"/>
  <c r="O269" i="16"/>
  <c r="K269" i="16"/>
  <c r="L269" i="16"/>
  <c r="AK269" i="16"/>
  <c r="AC269" i="16"/>
  <c r="AA269" i="1"/>
  <c r="Z269" i="1" s="1"/>
  <c r="Y269" i="1" s="1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B268" i="6" s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I269" i="1" l="1"/>
  <c r="B269" i="6" s="1"/>
  <c r="A271" i="15"/>
  <c r="AK270" i="15"/>
  <c r="L270" i="15"/>
  <c r="AJ270" i="15"/>
  <c r="AB270" i="15"/>
  <c r="K270" i="15"/>
  <c r="AC270" i="15"/>
  <c r="X270" i="15"/>
  <c r="O270" i="15"/>
  <c r="AB270" i="16"/>
  <c r="K270" i="16"/>
  <c r="AJ270" i="16"/>
  <c r="AC270" i="16"/>
  <c r="A271" i="16"/>
  <c r="L270" i="16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X271" i="15" l="1"/>
  <c r="AK271" i="15"/>
  <c r="L271" i="15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A272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B270" i="6" s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X272" i="15"/>
  <c r="AK272" i="15"/>
  <c r="O272" i="15"/>
  <c r="C40" i="7" s="1"/>
  <c r="A40" i="7"/>
  <c r="AJ272" i="15"/>
  <c r="AB272" i="15"/>
  <c r="A273" i="15"/>
  <c r="AC272" i="15"/>
  <c r="L272" i="15"/>
  <c r="K272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B271" i="6" s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F273" i="1" l="1"/>
  <c r="G273" i="1" s="1"/>
  <c r="BW273" i="6" s="1"/>
  <c r="B40" i="7"/>
  <c r="X273" i="15"/>
  <c r="AB273" i="15"/>
  <c r="O273" i="15"/>
  <c r="K273" i="15"/>
  <c r="AC273" i="15"/>
  <c r="L273" i="15"/>
  <c r="AJ273" i="15"/>
  <c r="A274" i="15"/>
  <c r="AK273" i="15"/>
  <c r="L273" i="16"/>
  <c r="K273" i="16"/>
  <c r="O273" i="16"/>
  <c r="A274" i="16"/>
  <c r="AB273" i="16"/>
  <c r="AJ273" i="16"/>
  <c r="AC273" i="16"/>
  <c r="X273" i="16"/>
  <c r="AK273" i="16"/>
  <c r="B52" i="7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B272" i="6" s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AA273" i="1" l="1"/>
  <c r="Z273" i="1" s="1"/>
  <c r="Y273" i="1" s="1"/>
  <c r="I273" i="1"/>
  <c r="B273" i="6" s="1"/>
  <c r="X274" i="15"/>
  <c r="AJ274" i="15"/>
  <c r="K274" i="15"/>
  <c r="A275" i="15"/>
  <c r="AC274" i="15"/>
  <c r="L274" i="15"/>
  <c r="O274" i="15"/>
  <c r="AB274" i="15"/>
  <c r="AK274" i="15"/>
  <c r="K274" i="16"/>
  <c r="X274" i="16"/>
  <c r="AJ274" i="16"/>
  <c r="AC274" i="16"/>
  <c r="L274" i="16"/>
  <c r="A275" i="16"/>
  <c r="AB274" i="16"/>
  <c r="AK274" i="16"/>
  <c r="O274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K275" i="15" l="1"/>
  <c r="AK275" i="15"/>
  <c r="A276" i="15"/>
  <c r="AB275" i="15"/>
  <c r="AC275" i="15"/>
  <c r="L275" i="15"/>
  <c r="O275" i="15"/>
  <c r="X275" i="15"/>
  <c r="AJ275" i="15"/>
  <c r="X275" i="16"/>
  <c r="K275" i="16"/>
  <c r="L275" i="16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AB271" i="23"/>
  <c r="A272" i="23"/>
  <c r="L271" i="23"/>
  <c r="K271" i="23"/>
  <c r="X271" i="23"/>
  <c r="AK271" i="23"/>
  <c r="AJ271" i="23"/>
  <c r="O271" i="23"/>
  <c r="AC271" i="23"/>
  <c r="F275" i="1" l="1"/>
  <c r="G275" i="1" s="1"/>
  <c r="BW275" i="6" s="1"/>
  <c r="F276" i="1"/>
  <c r="I276" i="1" s="1"/>
  <c r="B276" i="6" s="1"/>
  <c r="X276" i="15"/>
  <c r="AJ276" i="15"/>
  <c r="L276" i="15"/>
  <c r="K276" i="15"/>
  <c r="O276" i="15"/>
  <c r="A277" i="15"/>
  <c r="AC276" i="15"/>
  <c r="AB276" i="15"/>
  <c r="AK276" i="15"/>
  <c r="X276" i="16"/>
  <c r="L276" i="16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G274" i="1"/>
  <c r="BW274" i="6" s="1"/>
  <c r="I274" i="1"/>
  <c r="B274" i="6" s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AA275" i="1" l="1"/>
  <c r="Z275" i="1" s="1"/>
  <c r="Y275" i="1" s="1"/>
  <c r="I275" i="1"/>
  <c r="B275" i="6" s="1"/>
  <c r="AA276" i="1"/>
  <c r="Z276" i="1" s="1"/>
  <c r="Y276" i="1" s="1"/>
  <c r="G276" i="1"/>
  <c r="BW276" i="6" s="1"/>
  <c r="L277" i="15"/>
  <c r="O277" i="15"/>
  <c r="X277" i="15"/>
  <c r="AK277" i="15"/>
  <c r="AB277" i="15"/>
  <c r="AJ277" i="15"/>
  <c r="K277" i="15"/>
  <c r="A278" i="15"/>
  <c r="AC277" i="15"/>
  <c r="X277" i="16"/>
  <c r="L277" i="16"/>
  <c r="AB277" i="16"/>
  <c r="AK277" i="16"/>
  <c r="O277" i="16"/>
  <c r="K277" i="16"/>
  <c r="A278" i="16"/>
  <c r="AJ277" i="16"/>
  <c r="AC277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AB278" i="15" l="1"/>
  <c r="AK278" i="15"/>
  <c r="L278" i="15"/>
  <c r="AJ278" i="15"/>
  <c r="X278" i="15"/>
  <c r="A279" i="15"/>
  <c r="AC278" i="15"/>
  <c r="K278" i="15"/>
  <c r="O278" i="15"/>
  <c r="V277" i="1"/>
  <c r="X278" i="16"/>
  <c r="AB278" i="16"/>
  <c r="A279" i="16"/>
  <c r="AK278" i="16"/>
  <c r="O278" i="16"/>
  <c r="K278" i="16"/>
  <c r="L278" i="16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F277" i="1" l="1"/>
  <c r="AA277" i="1" s="1"/>
  <c r="Z277" i="1" s="1"/>
  <c r="Y277" i="1" s="1"/>
  <c r="A280" i="15"/>
  <c r="AK279" i="15"/>
  <c r="K279" i="15"/>
  <c r="AJ279" i="15"/>
  <c r="X279" i="15"/>
  <c r="AB279" i="15"/>
  <c r="O279" i="15"/>
  <c r="L279" i="15"/>
  <c r="AC279" i="15"/>
  <c r="F279" i="1"/>
  <c r="I279" i="1" s="1"/>
  <c r="B279" i="6" s="1"/>
  <c r="AB279" i="16"/>
  <c r="X279" i="16"/>
  <c r="L279" i="16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B278" i="6" s="1"/>
  <c r="AA278" i="1"/>
  <c r="Z278" i="1" s="1"/>
  <c r="Y278" i="1" s="1"/>
  <c r="G278" i="1"/>
  <c r="BW278" i="6" s="1"/>
  <c r="I277" i="1" l="1"/>
  <c r="B277" i="6" s="1"/>
  <c r="G277" i="1"/>
  <c r="BW277" i="6" s="1"/>
  <c r="G279" i="1"/>
  <c r="BW279" i="6" s="1"/>
  <c r="AA279" i="1"/>
  <c r="Z279" i="1" s="1"/>
  <c r="Y279" i="1" s="1"/>
  <c r="L280" i="15"/>
  <c r="AK280" i="15"/>
  <c r="AB280" i="15"/>
  <c r="AJ280" i="15"/>
  <c r="X280" i="15"/>
  <c r="A281" i="15"/>
  <c r="O280" i="15"/>
  <c r="K280" i="15"/>
  <c r="AC280" i="15"/>
  <c r="A281" i="16"/>
  <c r="K280" i="16"/>
  <c r="AJ280" i="16"/>
  <c r="AC280" i="16"/>
  <c r="L280" i="16"/>
  <c r="X280" i="16"/>
  <c r="AB280" i="16"/>
  <c r="AK280" i="16"/>
  <c r="O280" i="16"/>
  <c r="F280" i="1"/>
  <c r="AA280" i="1" s="1"/>
  <c r="Z280" i="1" s="1"/>
  <c r="Y280" i="1" s="1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K281" i="15" l="1"/>
  <c r="AJ281" i="15"/>
  <c r="A282" i="15"/>
  <c r="AK281" i="15"/>
  <c r="AB281" i="15"/>
  <c r="X281" i="15"/>
  <c r="AC281" i="15"/>
  <c r="L281" i="15"/>
  <c r="O281" i="15"/>
  <c r="G280" i="1"/>
  <c r="BW280" i="6" s="1"/>
  <c r="I280" i="1"/>
  <c r="B280" i="6" s="1"/>
  <c r="F281" i="1"/>
  <c r="AA281" i="1" s="1"/>
  <c r="Z281" i="1" s="1"/>
  <c r="Y281" i="1" s="1"/>
  <c r="AB281" i="16"/>
  <c r="X281" i="16"/>
  <c r="L281" i="16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B281" i="6" s="1"/>
  <c r="X282" i="15"/>
  <c r="AB282" i="15"/>
  <c r="AJ282" i="15"/>
  <c r="A283" i="15"/>
  <c r="L282" i="15"/>
  <c r="AK282" i="15"/>
  <c r="K282" i="15"/>
  <c r="O282" i="15"/>
  <c r="AC282" i="15"/>
  <c r="G281" i="1"/>
  <c r="BW281" i="6" s="1"/>
  <c r="A283" i="16"/>
  <c r="AB282" i="16"/>
  <c r="AJ282" i="16"/>
  <c r="AC282" i="16"/>
  <c r="X282" i="16"/>
  <c r="K282" i="16"/>
  <c r="L282" i="16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X283" i="15" l="1"/>
  <c r="O283" i="15"/>
  <c r="AB283" i="15"/>
  <c r="AK283" i="15"/>
  <c r="L283" i="15"/>
  <c r="AJ283" i="15"/>
  <c r="A284" i="15"/>
  <c r="K283" i="15"/>
  <c r="AC283" i="15"/>
  <c r="F283" i="1"/>
  <c r="AA283" i="1" s="1"/>
  <c r="Z283" i="1" s="1"/>
  <c r="Y283" i="1" s="1"/>
  <c r="X283" i="16"/>
  <c r="L283" i="16"/>
  <c r="A284" i="16"/>
  <c r="AK283" i="16"/>
  <c r="O283" i="16"/>
  <c r="K283" i="16"/>
  <c r="AB283" i="16"/>
  <c r="AJ283" i="16"/>
  <c r="AC283" i="16"/>
  <c r="V282" i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G283" i="1" l="1"/>
  <c r="BW283" i="6" s="1"/>
  <c r="F282" i="1"/>
  <c r="I282" i="1" s="1"/>
  <c r="B282" i="6" s="1"/>
  <c r="I283" i="1"/>
  <c r="B283" i="6" s="1"/>
  <c r="AB284" i="15"/>
  <c r="AJ284" i="15"/>
  <c r="L284" i="15"/>
  <c r="A285" i="15"/>
  <c r="AC284" i="15"/>
  <c r="K284" i="15"/>
  <c r="O284" i="15"/>
  <c r="X284" i="15"/>
  <c r="AK284" i="15"/>
  <c r="F284" i="1"/>
  <c r="G284" i="1" s="1"/>
  <c r="BW284" i="6" s="1"/>
  <c r="A285" i="16"/>
  <c r="AB284" i="16"/>
  <c r="X284" i="16"/>
  <c r="AK284" i="16"/>
  <c r="O284" i="16"/>
  <c r="L284" i="16"/>
  <c r="K284" i="16"/>
  <c r="AJ284" i="16"/>
  <c r="AC284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AA282" i="1" l="1"/>
  <c r="Z282" i="1" s="1"/>
  <c r="Y282" i="1" s="1"/>
  <c r="G282" i="1"/>
  <c r="BW282" i="6" s="1"/>
  <c r="AA284" i="1"/>
  <c r="Z284" i="1" s="1"/>
  <c r="Y284" i="1" s="1"/>
  <c r="I284" i="1"/>
  <c r="B284" i="6" s="1"/>
  <c r="K285" i="15"/>
  <c r="O285" i="15"/>
  <c r="L285" i="15"/>
  <c r="AK285" i="15"/>
  <c r="A286" i="15"/>
  <c r="AJ285" i="15"/>
  <c r="X285" i="15"/>
  <c r="AB285" i="15"/>
  <c r="AC285" i="15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AJ285" i="16"/>
  <c r="O285" i="16"/>
  <c r="G285" i="1"/>
  <c r="BW285" i="6" s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B285" i="6" s="1"/>
  <c r="K286" i="15"/>
  <c r="AJ286" i="15"/>
  <c r="X286" i="15"/>
  <c r="A287" i="15"/>
  <c r="AC286" i="15"/>
  <c r="AB286" i="15"/>
  <c r="O286" i="15"/>
  <c r="L286" i="15"/>
  <c r="AK286" i="15"/>
  <c r="A287" i="16"/>
  <c r="L286" i="16"/>
  <c r="AB286" i="16"/>
  <c r="AK286" i="16"/>
  <c r="O286" i="16"/>
  <c r="K286" i="16"/>
  <c r="X286" i="16"/>
  <c r="AJ286" i="16"/>
  <c r="AC286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X287" i="15" l="1"/>
  <c r="AK287" i="15"/>
  <c r="K287" i="15"/>
  <c r="AJ287" i="15"/>
  <c r="AB287" i="15"/>
  <c r="L287" i="15"/>
  <c r="O287" i="15"/>
  <c r="A288" i="15"/>
  <c r="AC287" i="15"/>
  <c r="F287" i="1"/>
  <c r="I287" i="1" s="1"/>
  <c r="B287" i="6" s="1"/>
  <c r="J61" i="19"/>
  <c r="X287" i="16"/>
  <c r="L287" i="16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B286" i="6" s="1"/>
  <c r="G286" i="1"/>
  <c r="BW286" i="6" s="1"/>
  <c r="A283" i="24"/>
  <c r="AB282" i="24"/>
  <c r="K282" i="24"/>
  <c r="X282" i="24"/>
  <c r="L282" i="24"/>
  <c r="AJ282" i="24"/>
  <c r="AK282" i="24"/>
  <c r="O282" i="24"/>
  <c r="AC282" i="24"/>
  <c r="G287" i="1" l="1"/>
  <c r="BW287" i="6" s="1"/>
  <c r="AA287" i="1"/>
  <c r="Z287" i="1" s="1"/>
  <c r="Y287" i="1" s="1"/>
  <c r="K288" i="15"/>
  <c r="AJ288" i="15"/>
  <c r="A289" i="15"/>
  <c r="L288" i="15"/>
  <c r="AC288" i="15"/>
  <c r="X288" i="15"/>
  <c r="O288" i="15"/>
  <c r="AB288" i="15"/>
  <c r="AK288" i="15"/>
  <c r="AB288" i="16"/>
  <c r="L288" i="16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AB289" i="15" l="1"/>
  <c r="X289" i="15"/>
  <c r="O289" i="15"/>
  <c r="K289" i="15"/>
  <c r="AC289" i="15"/>
  <c r="L289" i="15"/>
  <c r="AK289" i="15"/>
  <c r="A290" i="15"/>
  <c r="AJ289" i="15"/>
  <c r="AB289" i="16"/>
  <c r="L289" i="16"/>
  <c r="A290" i="16"/>
  <c r="AK289" i="16"/>
  <c r="O289" i="16"/>
  <c r="K289" i="16"/>
  <c r="X289" i="16"/>
  <c r="AJ289" i="16"/>
  <c r="AC289" i="16"/>
  <c r="V288" i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F288" i="1" l="1"/>
  <c r="G288" i="1" s="1"/>
  <c r="BW288" i="6" s="1"/>
  <c r="K290" i="15"/>
  <c r="O290" i="15"/>
  <c r="A291" i="15"/>
  <c r="AJ290" i="15"/>
  <c r="L290" i="15"/>
  <c r="AK290" i="15"/>
  <c r="X290" i="15"/>
  <c r="AB290" i="15"/>
  <c r="AC290" i="15"/>
  <c r="K290" i="16"/>
  <c r="L290" i="16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B289" i="6" s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B288" i="6" s="1"/>
  <c r="AA288" i="1" l="1"/>
  <c r="Z288" i="1" s="1"/>
  <c r="Y288" i="1" s="1"/>
  <c r="A292" i="15"/>
  <c r="O291" i="15"/>
  <c r="K291" i="15"/>
  <c r="AK291" i="15"/>
  <c r="AB291" i="15"/>
  <c r="AJ291" i="15"/>
  <c r="L291" i="15"/>
  <c r="X291" i="15"/>
  <c r="AC291" i="15"/>
  <c r="F291" i="1"/>
  <c r="G291" i="1" s="1"/>
  <c r="BW291" i="6" s="1"/>
  <c r="L291" i="16"/>
  <c r="A292" i="16"/>
  <c r="AB291" i="16"/>
  <c r="AJ291" i="16"/>
  <c r="O291" i="16"/>
  <c r="K291" i="16"/>
  <c r="X291" i="16"/>
  <c r="AK291" i="16"/>
  <c r="AC291" i="16"/>
  <c r="AA291" i="1"/>
  <c r="Z291" i="1" s="1"/>
  <c r="Y291" i="1" s="1"/>
  <c r="K290" i="18"/>
  <c r="X290" i="18"/>
  <c r="AB290" i="18"/>
  <c r="L290" i="18"/>
  <c r="A291" i="18"/>
  <c r="AJ290" i="18"/>
  <c r="AK290" i="18"/>
  <c r="O290" i="18"/>
  <c r="AC290" i="18"/>
  <c r="I290" i="1"/>
  <c r="B290" i="6" s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I291" i="1" l="1"/>
  <c r="B291" i="6" s="1"/>
  <c r="X292" i="15"/>
  <c r="L292" i="15"/>
  <c r="AC292" i="15"/>
  <c r="AB292" i="15"/>
  <c r="O292" i="15"/>
  <c r="A293" i="15"/>
  <c r="AJ292" i="15"/>
  <c r="K292" i="15"/>
  <c r="AK292" i="15"/>
  <c r="A293" i="16"/>
  <c r="X292" i="16"/>
  <c r="L292" i="16"/>
  <c r="AK292" i="16"/>
  <c r="O292" i="16"/>
  <c r="AB292" i="16"/>
  <c r="K292" i="16"/>
  <c r="AJ292" i="16"/>
  <c r="AC292" i="16"/>
  <c r="P293" i="1"/>
  <c r="V293" i="1" s="1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E293" i="1" s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K293" i="15" l="1"/>
  <c r="O293" i="15"/>
  <c r="AB293" i="15"/>
  <c r="AK293" i="15"/>
  <c r="L293" i="15"/>
  <c r="AJ293" i="15"/>
  <c r="A294" i="15"/>
  <c r="X293" i="15"/>
  <c r="AC293" i="15"/>
  <c r="F292" i="1"/>
  <c r="G292" i="1" s="1"/>
  <c r="BW292" i="6" s="1"/>
  <c r="AB293" i="16"/>
  <c r="A294" i="16"/>
  <c r="X293" i="16"/>
  <c r="AK293" i="16"/>
  <c r="O293" i="16"/>
  <c r="L293" i="16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F294" i="1" l="1"/>
  <c r="I294" i="1" s="1"/>
  <c r="B294" i="6" s="1"/>
  <c r="AA292" i="1"/>
  <c r="Z292" i="1" s="1"/>
  <c r="Y292" i="1" s="1"/>
  <c r="X294" i="15"/>
  <c r="AJ294" i="15"/>
  <c r="AB294" i="15"/>
  <c r="K294" i="15"/>
  <c r="O294" i="15"/>
  <c r="A295" i="15"/>
  <c r="AC294" i="15"/>
  <c r="L294" i="15"/>
  <c r="AK294" i="15"/>
  <c r="I292" i="1"/>
  <c r="B292" i="6" s="1"/>
  <c r="A295" i="16"/>
  <c r="K294" i="16"/>
  <c r="X294" i="16"/>
  <c r="AK294" i="16"/>
  <c r="O294" i="16"/>
  <c r="AB294" i="16"/>
  <c r="L294" i="16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B293" i="6" s="1"/>
  <c r="G293" i="1"/>
  <c r="BW293" i="6" s="1"/>
  <c r="G294" i="1" l="1"/>
  <c r="BW294" i="6" s="1"/>
  <c r="AA294" i="1"/>
  <c r="Z294" i="1" s="1"/>
  <c r="Y294" i="1" s="1"/>
  <c r="K295" i="15"/>
  <c r="AJ295" i="15"/>
  <c r="AB295" i="15"/>
  <c r="L295" i="15"/>
  <c r="AC295" i="15"/>
  <c r="X295" i="15"/>
  <c r="O295" i="15"/>
  <c r="A296" i="15"/>
  <c r="AK295" i="15"/>
  <c r="A296" i="16"/>
  <c r="X295" i="16"/>
  <c r="AK295" i="16"/>
  <c r="AC295" i="16"/>
  <c r="AB295" i="16"/>
  <c r="L295" i="16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A297" i="15" l="1"/>
  <c r="AK296" i="15"/>
  <c r="AC296" i="15"/>
  <c r="L296" i="15"/>
  <c r="K296" i="15"/>
  <c r="AB296" i="15"/>
  <c r="O296" i="15"/>
  <c r="X296" i="15"/>
  <c r="AJ296" i="15"/>
  <c r="K296" i="16"/>
  <c r="AB296" i="16"/>
  <c r="AJ296" i="16"/>
  <c r="AC296" i="16"/>
  <c r="L296" i="16"/>
  <c r="X296" i="16"/>
  <c r="A297" i="16"/>
  <c r="AK296" i="16"/>
  <c r="O296" i="16"/>
  <c r="F296" i="1"/>
  <c r="I296" i="1" s="1"/>
  <c r="B296" i="6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B295" i="6" s="1"/>
  <c r="G295" i="1"/>
  <c r="BW295" i="6" s="1"/>
  <c r="AA295" i="1"/>
  <c r="Z295" i="1" s="1"/>
  <c r="Y295" i="1" s="1"/>
  <c r="AB297" i="15" l="1"/>
  <c r="O297" i="15"/>
  <c r="L297" i="15"/>
  <c r="AK297" i="15"/>
  <c r="X297" i="15"/>
  <c r="AJ297" i="15"/>
  <c r="A298" i="15"/>
  <c r="K297" i="15"/>
  <c r="AC297" i="15"/>
  <c r="G296" i="1"/>
  <c r="BW296" i="6" s="1"/>
  <c r="AA296" i="1"/>
  <c r="Z296" i="1" s="1"/>
  <c r="Y296" i="1" s="1"/>
  <c r="X297" i="16"/>
  <c r="L297" i="16"/>
  <c r="AB297" i="16"/>
  <c r="AK297" i="16"/>
  <c r="O297" i="16"/>
  <c r="A298" i="16"/>
  <c r="K297" i="16"/>
  <c r="AJ297" i="16"/>
  <c r="AC297" i="16"/>
  <c r="F297" i="1"/>
  <c r="I297" i="1" s="1"/>
  <c r="B297" i="6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AA297" i="1"/>
  <c r="Z297" i="1" s="1"/>
  <c r="Y297" i="1" s="1"/>
  <c r="L298" i="15"/>
  <c r="AJ298" i="15"/>
  <c r="AB298" i="15"/>
  <c r="AK298" i="15"/>
  <c r="A299" i="15"/>
  <c r="X298" i="15"/>
  <c r="AC298" i="15"/>
  <c r="K298" i="15"/>
  <c r="O298" i="15"/>
  <c r="F298" i="1"/>
  <c r="G298" i="1" s="1"/>
  <c r="BW298" i="6" s="1"/>
  <c r="X298" i="16"/>
  <c r="AB298" i="16"/>
  <c r="K298" i="16"/>
  <c r="AJ298" i="16"/>
  <c r="O298" i="16"/>
  <c r="A299" i="16"/>
  <c r="L298" i="16"/>
  <c r="AK298" i="16"/>
  <c r="AC298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I298" i="1" l="1"/>
  <c r="B298" i="6" s="1"/>
  <c r="AA298" i="1"/>
  <c r="Z298" i="1" s="1"/>
  <c r="Y298" i="1" s="1"/>
  <c r="AB299" i="15"/>
  <c r="AK299" i="15"/>
  <c r="K299" i="15"/>
  <c r="AJ299" i="15"/>
  <c r="A300" i="15"/>
  <c r="X299" i="15"/>
  <c r="AC299" i="15"/>
  <c r="L299" i="15"/>
  <c r="O299" i="15"/>
  <c r="P300" i="1"/>
  <c r="V300" i="1" s="1"/>
  <c r="AB299" i="16"/>
  <c r="X299" i="16"/>
  <c r="AJ299" i="16"/>
  <c r="AC299" i="16"/>
  <c r="L299" i="16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s="1"/>
  <c r="K300" i="15" l="1"/>
  <c r="AK300" i="15"/>
  <c r="L300" i="15"/>
  <c r="AJ300" i="15"/>
  <c r="A301" i="15"/>
  <c r="X300" i="15"/>
  <c r="AC300" i="15"/>
  <c r="AB300" i="15"/>
  <c r="O300" i="15"/>
  <c r="F300" i="1"/>
  <c r="I300" i="1" s="1"/>
  <c r="B300" i="6" s="1"/>
  <c r="X300" i="16"/>
  <c r="A301" i="16"/>
  <c r="AB300" i="16"/>
  <c r="AJ300" i="16"/>
  <c r="O300" i="16"/>
  <c r="K300" i="16"/>
  <c r="L300" i="16"/>
  <c r="AK300" i="16"/>
  <c r="AC300" i="16"/>
  <c r="D301" i="1"/>
  <c r="V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E301" i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B299" i="6" s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B301" i="6" s="1"/>
  <c r="AA300" i="1"/>
  <c r="Z300" i="1" s="1"/>
  <c r="Y300" i="1" s="1"/>
  <c r="G300" i="1"/>
  <c r="BW300" i="6" s="1"/>
  <c r="A302" i="15"/>
  <c r="O301" i="15"/>
  <c r="L301" i="15"/>
  <c r="AJ301" i="15"/>
  <c r="AB301" i="15"/>
  <c r="AK301" i="15"/>
  <c r="X301" i="15"/>
  <c r="K301" i="15"/>
  <c r="AC301" i="15"/>
  <c r="AB301" i="16"/>
  <c r="K301" i="16"/>
  <c r="AK301" i="16"/>
  <c r="AC301" i="16"/>
  <c r="X301" i="16"/>
  <c r="L301" i="16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F302" i="1" l="1"/>
  <c r="AA302" i="1" s="1"/>
  <c r="Z302" i="1" s="1"/>
  <c r="Y302" i="1" s="1"/>
  <c r="AB303" i="15"/>
  <c r="AJ303" i="15"/>
  <c r="A304" i="15"/>
  <c r="K303" i="15"/>
  <c r="AC303" i="15"/>
  <c r="X303" i="15"/>
  <c r="O303" i="15"/>
  <c r="L303" i="15"/>
  <c r="AK303" i="15"/>
  <c r="B41" i="7"/>
  <c r="X303" i="16"/>
  <c r="K303" i="16"/>
  <c r="AB303" i="16"/>
  <c r="AK303" i="16"/>
  <c r="O303" i="16"/>
  <c r="A304" i="16"/>
  <c r="L303" i="16"/>
  <c r="AJ303" i="16"/>
  <c r="AC303" i="16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I302" i="1" l="1"/>
  <c r="B302" i="6" s="1"/>
  <c r="G302" i="1"/>
  <c r="BW302" i="6" s="1"/>
  <c r="AB304" i="15"/>
  <c r="O304" i="15"/>
  <c r="L304" i="15"/>
  <c r="AJ304" i="15"/>
  <c r="K304" i="15"/>
  <c r="AK304" i="15"/>
  <c r="X304" i="15"/>
  <c r="A305" i="15"/>
  <c r="AC304" i="15"/>
  <c r="F304" i="1"/>
  <c r="I304" i="1" s="1"/>
  <c r="B304" i="6" s="1"/>
  <c r="F303" i="1"/>
  <c r="AA303" i="1" s="1"/>
  <c r="Z303" i="1" s="1"/>
  <c r="Y303" i="1" s="1"/>
  <c r="L304" i="16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G303" i="1" l="1"/>
  <c r="BW303" i="6" s="1"/>
  <c r="G304" i="1"/>
  <c r="BW304" i="6" s="1"/>
  <c r="I303" i="1"/>
  <c r="B303" i="6" s="1"/>
  <c r="AA304" i="1"/>
  <c r="Z304" i="1" s="1"/>
  <c r="Y304" i="1" s="1"/>
  <c r="L305" i="15"/>
  <c r="X305" i="15"/>
  <c r="AC305" i="15"/>
  <c r="A306" i="15"/>
  <c r="O305" i="15"/>
  <c r="AB305" i="15"/>
  <c r="AK305" i="15"/>
  <c r="K305" i="15"/>
  <c r="AJ305" i="15"/>
  <c r="F305" i="1"/>
  <c r="I305" i="1" s="1"/>
  <c r="B305" i="6" s="1"/>
  <c r="AB305" i="16"/>
  <c r="K305" i="16"/>
  <c r="AJ305" i="16"/>
  <c r="AC305" i="16"/>
  <c r="A306" i="16"/>
  <c r="X305" i="16"/>
  <c r="L305" i="16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AA305" i="1" l="1"/>
  <c r="Z305" i="1" s="1"/>
  <c r="Y305" i="1" s="1"/>
  <c r="G305" i="1"/>
  <c r="BW305" i="6" s="1"/>
  <c r="L306" i="15"/>
  <c r="X306" i="15"/>
  <c r="O306" i="15"/>
  <c r="AB306" i="15"/>
  <c r="AC306" i="15"/>
  <c r="A307" i="15"/>
  <c r="AK306" i="15"/>
  <c r="K306" i="15"/>
  <c r="AJ306" i="15"/>
  <c r="X306" i="16"/>
  <c r="K306" i="16"/>
  <c r="AJ306" i="16"/>
  <c r="AC306" i="16"/>
  <c r="AB306" i="16"/>
  <c r="A307" i="16"/>
  <c r="L306" i="16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X307" i="15" l="1"/>
  <c r="O307" i="15"/>
  <c r="K307" i="15"/>
  <c r="AK307" i="15"/>
  <c r="L307" i="15"/>
  <c r="AJ307" i="15"/>
  <c r="AB307" i="15"/>
  <c r="A308" i="15"/>
  <c r="AC307" i="15"/>
  <c r="A308" i="16"/>
  <c r="X307" i="16"/>
  <c r="L307" i="16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B306" i="6" s="1"/>
  <c r="K308" i="15" l="1"/>
  <c r="AJ308" i="15"/>
  <c r="L308" i="15"/>
  <c r="AK308" i="15"/>
  <c r="A309" i="15"/>
  <c r="AB308" i="15"/>
  <c r="O308" i="15"/>
  <c r="X308" i="15"/>
  <c r="AC308" i="15"/>
  <c r="A309" i="16"/>
  <c r="K308" i="16"/>
  <c r="AB308" i="16"/>
  <c r="AK308" i="16"/>
  <c r="O308" i="16"/>
  <c r="X308" i="16"/>
  <c r="L308" i="16"/>
  <c r="AJ308" i="16"/>
  <c r="AC308" i="16"/>
  <c r="V307" i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F307" i="1" l="1"/>
  <c r="I307" i="1" s="1"/>
  <c r="B307" i="6" s="1"/>
  <c r="L309" i="15"/>
  <c r="AJ309" i="15"/>
  <c r="A310" i="15"/>
  <c r="AB309" i="15"/>
  <c r="AC309" i="15"/>
  <c r="X309" i="15"/>
  <c r="O309" i="15"/>
  <c r="K309" i="15"/>
  <c r="AK309" i="15"/>
  <c r="X309" i="16"/>
  <c r="A310" i="16"/>
  <c r="AK309" i="16"/>
  <c r="AC309" i="16"/>
  <c r="AB309" i="16"/>
  <c r="L309" i="16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AA307" i="1"/>
  <c r="Z307" i="1" s="1"/>
  <c r="Y307" i="1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B308" i="6" s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G307" i="1" l="1"/>
  <c r="BW307" i="6" s="1"/>
  <c r="AB310" i="15"/>
  <c r="AC310" i="15"/>
  <c r="K310" i="15"/>
  <c r="AK310" i="15"/>
  <c r="X310" i="15"/>
  <c r="AJ310" i="15"/>
  <c r="L310" i="15"/>
  <c r="A311" i="15"/>
  <c r="O310" i="15"/>
  <c r="F310" i="1"/>
  <c r="AA310" i="1" s="1"/>
  <c r="Z310" i="1" s="1"/>
  <c r="Y310" i="1" s="1"/>
  <c r="X310" i="16"/>
  <c r="L310" i="16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B309" i="6" s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I310" i="1" l="1"/>
  <c r="B310" i="6" s="1"/>
  <c r="G310" i="1"/>
  <c r="BW310" i="6" s="1"/>
  <c r="K311" i="15"/>
  <c r="AK311" i="15"/>
  <c r="L311" i="15"/>
  <c r="AJ311" i="15"/>
  <c r="A312" i="15"/>
  <c r="AB311" i="15"/>
  <c r="AC311" i="15"/>
  <c r="X311" i="15"/>
  <c r="O311" i="15"/>
  <c r="AB311" i="16"/>
  <c r="L311" i="16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2" i="15" l="1"/>
  <c r="K312" i="15"/>
  <c r="AC312" i="15"/>
  <c r="AB312" i="15"/>
  <c r="O312" i="15"/>
  <c r="X312" i="15"/>
  <c r="AK312" i="15"/>
  <c r="A313" i="15"/>
  <c r="AJ312" i="15"/>
  <c r="X312" i="16"/>
  <c r="A313" i="16"/>
  <c r="AJ312" i="16"/>
  <c r="AC312" i="16"/>
  <c r="AB312" i="16"/>
  <c r="K312" i="16"/>
  <c r="L312" i="16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B311" i="6" s="1"/>
  <c r="F312" i="1" l="1"/>
  <c r="G312" i="1" s="1"/>
  <c r="BW312" i="6" s="1"/>
  <c r="K313" i="15"/>
  <c r="AB313" i="15"/>
  <c r="AC313" i="15"/>
  <c r="X313" i="15"/>
  <c r="O313" i="15"/>
  <c r="L313" i="15"/>
  <c r="AJ313" i="15"/>
  <c r="A314" i="15"/>
  <c r="AK313" i="15"/>
  <c r="F313" i="1"/>
  <c r="AA313" i="1" s="1"/>
  <c r="Z313" i="1" s="1"/>
  <c r="Y313" i="1" s="1"/>
  <c r="AB313" i="16"/>
  <c r="K313" i="16"/>
  <c r="X313" i="16"/>
  <c r="AK313" i="16"/>
  <c r="O313" i="16"/>
  <c r="L313" i="16"/>
  <c r="A314" i="16"/>
  <c r="AJ313" i="16"/>
  <c r="AC313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B312" i="6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AA312" i="1" l="1"/>
  <c r="Z312" i="1" s="1"/>
  <c r="Y312" i="1" s="1"/>
  <c r="I313" i="1"/>
  <c r="B313" i="6" s="1"/>
  <c r="G313" i="1"/>
  <c r="BW313" i="6" s="1"/>
  <c r="K314" i="15"/>
  <c r="X314" i="15"/>
  <c r="AC314" i="15"/>
  <c r="A315" i="15"/>
  <c r="O314" i="15"/>
  <c r="AB314" i="15"/>
  <c r="AK314" i="15"/>
  <c r="L314" i="15"/>
  <c r="AJ314" i="15"/>
  <c r="F314" i="1"/>
  <c r="AA314" i="1" s="1"/>
  <c r="Z314" i="1" s="1"/>
  <c r="Y314" i="1" s="1"/>
  <c r="K314" i="16"/>
  <c r="A315" i="16"/>
  <c r="AJ314" i="16"/>
  <c r="AC314" i="16"/>
  <c r="X314" i="16"/>
  <c r="L314" i="16"/>
  <c r="AB314" i="16"/>
  <c r="AK314" i="16"/>
  <c r="O314" i="16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I314" i="1" l="1"/>
  <c r="B314" i="6" s="1"/>
  <c r="G314" i="1"/>
  <c r="BW314" i="6" s="1"/>
  <c r="K315" i="15"/>
  <c r="AK315" i="15"/>
  <c r="L315" i="15"/>
  <c r="AB315" i="15"/>
  <c r="AC315" i="15"/>
  <c r="A316" i="15"/>
  <c r="O315" i="15"/>
  <c r="X315" i="15"/>
  <c r="AJ315" i="15"/>
  <c r="F315" i="1"/>
  <c r="I315" i="1" s="1"/>
  <c r="B315" i="6" s="1"/>
  <c r="AB315" i="16"/>
  <c r="X315" i="16"/>
  <c r="AK315" i="16"/>
  <c r="AC315" i="16"/>
  <c r="K315" i="16"/>
  <c r="A316" i="16"/>
  <c r="L315" i="16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AA315" i="1" l="1"/>
  <c r="Z315" i="1" s="1"/>
  <c r="Y315" i="1" s="1"/>
  <c r="G315" i="1"/>
  <c r="BW315" i="6" s="1"/>
  <c r="L316" i="15"/>
  <c r="X316" i="15"/>
  <c r="AC316" i="15"/>
  <c r="AB316" i="15"/>
  <c r="O316" i="15"/>
  <c r="A317" i="15"/>
  <c r="AK316" i="15"/>
  <c r="K316" i="15"/>
  <c r="AJ316" i="15"/>
  <c r="F316" i="1"/>
  <c r="AA316" i="1" s="1"/>
  <c r="Z316" i="1" s="1"/>
  <c r="Y316" i="1" s="1"/>
  <c r="AB316" i="16"/>
  <c r="X316" i="16"/>
  <c r="AJ316" i="16"/>
  <c r="AC316" i="16"/>
  <c r="L316" i="16"/>
  <c r="A317" i="16"/>
  <c r="K316" i="16"/>
  <c r="AK316" i="16"/>
  <c r="O316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I316" i="1"/>
  <c r="B316" i="6" s="1"/>
  <c r="K317" i="15"/>
  <c r="O317" i="15"/>
  <c r="X317" i="15"/>
  <c r="AK317" i="15"/>
  <c r="L317" i="15"/>
  <c r="AJ317" i="15"/>
  <c r="A318" i="15"/>
  <c r="AB317" i="15"/>
  <c r="AC317" i="15"/>
  <c r="X317" i="16"/>
  <c r="AB317" i="16"/>
  <c r="A318" i="16"/>
  <c r="AK317" i="16"/>
  <c r="O317" i="16"/>
  <c r="K317" i="16"/>
  <c r="L317" i="16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l="1"/>
  <c r="X318" i="15"/>
  <c r="AK318" i="15"/>
  <c r="K318" i="15"/>
  <c r="A319" i="15"/>
  <c r="AC318" i="15"/>
  <c r="AB318" i="15"/>
  <c r="O318" i="15"/>
  <c r="L318" i="15"/>
  <c r="AJ318" i="15"/>
  <c r="X318" i="16"/>
  <c r="A319" i="16"/>
  <c r="L318" i="16"/>
  <c r="AJ318" i="16"/>
  <c r="O318" i="16"/>
  <c r="K318" i="16"/>
  <c r="AB318" i="16"/>
  <c r="AK318" i="16"/>
  <c r="AC318" i="16"/>
  <c r="I317" i="1"/>
  <c r="B317" i="6" s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K319" i="15" l="1"/>
  <c r="O319" i="15"/>
  <c r="X319" i="15"/>
  <c r="AK319" i="15"/>
  <c r="A320" i="15"/>
  <c r="AJ319" i="15"/>
  <c r="L319" i="15"/>
  <c r="AB319" i="15"/>
  <c r="AC319" i="15"/>
  <c r="AB319" i="16"/>
  <c r="L319" i="16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B318" i="6" s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X320" i="15" l="1"/>
  <c r="AK320" i="15"/>
  <c r="A321" i="15"/>
  <c r="AJ320" i="15"/>
  <c r="L320" i="15"/>
  <c r="K320" i="15"/>
  <c r="O320" i="15"/>
  <c r="AB320" i="15"/>
  <c r="AC320" i="15"/>
  <c r="K320" i="16"/>
  <c r="L320" i="16"/>
  <c r="A321" i="16"/>
  <c r="AJ320" i="16"/>
  <c r="O320" i="16"/>
  <c r="X320" i="16"/>
  <c r="AB320" i="16"/>
  <c r="AK320" i="16"/>
  <c r="AC320" i="16"/>
  <c r="F320" i="1"/>
  <c r="I320" i="1" s="1"/>
  <c r="B320" i="6" s="1"/>
  <c r="V319" i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F319" i="1" l="1"/>
  <c r="AA319" i="1" s="1"/>
  <c r="Z319" i="1" s="1"/>
  <c r="Y319" i="1" s="1"/>
  <c r="L321" i="15"/>
  <c r="AC321" i="15"/>
  <c r="K321" i="15"/>
  <c r="AK321" i="15"/>
  <c r="A322" i="15"/>
  <c r="AJ321" i="15"/>
  <c r="X321" i="15"/>
  <c r="AB321" i="15"/>
  <c r="O321" i="15"/>
  <c r="G320" i="1"/>
  <c r="BW320" i="6" s="1"/>
  <c r="AA320" i="1"/>
  <c r="Z320" i="1" s="1"/>
  <c r="Y320" i="1" s="1"/>
  <c r="P322" i="1"/>
  <c r="V322" i="1" s="1"/>
  <c r="L321" i="16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G319" i="1"/>
  <c r="BW319" i="6" s="1"/>
  <c r="I319" i="1" l="1"/>
  <c r="B319" i="6" s="1"/>
  <c r="P323" i="1"/>
  <c r="V323" i="1" s="1"/>
  <c r="X322" i="15"/>
  <c r="O322" i="15"/>
  <c r="L322" i="15"/>
  <c r="AK322" i="15"/>
  <c r="AB322" i="15"/>
  <c r="AJ322" i="15"/>
  <c r="K322" i="15"/>
  <c r="A323" i="15"/>
  <c r="AC322" i="15"/>
  <c r="K322" i="16"/>
  <c r="X322" i="16"/>
  <c r="AJ322" i="16"/>
  <c r="AC322" i="16"/>
  <c r="A323" i="16"/>
  <c r="L322" i="16"/>
  <c r="AB322" i="16"/>
  <c r="AK322" i="16"/>
  <c r="O322" i="16"/>
  <c r="F322" i="1"/>
  <c r="I321" i="1"/>
  <c r="B321" i="6" s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L323" i="15" l="1"/>
  <c r="X323" i="15"/>
  <c r="AC323" i="15"/>
  <c r="AB323" i="15"/>
  <c r="O323" i="15"/>
  <c r="A324" i="15"/>
  <c r="AK323" i="15"/>
  <c r="K323" i="15"/>
  <c r="AJ323" i="15"/>
  <c r="AB323" i="16"/>
  <c r="L323" i="16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B322" i="6" s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AB324" i="15" l="1"/>
  <c r="AK324" i="15"/>
  <c r="X324" i="15"/>
  <c r="AJ324" i="15"/>
  <c r="A325" i="15"/>
  <c r="L324" i="15"/>
  <c r="O324" i="15"/>
  <c r="K324" i="15"/>
  <c r="AC324" i="15"/>
  <c r="A325" i="16"/>
  <c r="L324" i="16"/>
  <c r="AK324" i="16"/>
  <c r="AC324" i="16"/>
  <c r="AB324" i="16"/>
  <c r="K324" i="16"/>
  <c r="X324" i="16"/>
  <c r="AJ324" i="16"/>
  <c r="O324" i="16"/>
  <c r="D325" i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E325" i="1"/>
  <c r="G323" i="1"/>
  <c r="BW323" i="6" s="1"/>
  <c r="I323" i="1"/>
  <c r="B323" i="6" s="1"/>
  <c r="AA323" i="1"/>
  <c r="Z323" i="1" s="1"/>
  <c r="Y323" i="1" s="1"/>
  <c r="F324" i="1"/>
  <c r="AB325" i="15" l="1"/>
  <c r="O325" i="15"/>
  <c r="X325" i="15"/>
  <c r="AJ325" i="15"/>
  <c r="K325" i="15"/>
  <c r="AK325" i="15"/>
  <c r="L325" i="15"/>
  <c r="A326" i="15"/>
  <c r="AC325" i="15"/>
  <c r="P326" i="1"/>
  <c r="V326" i="1" s="1"/>
  <c r="L325" i="16"/>
  <c r="K325" i="16"/>
  <c r="X325" i="16"/>
  <c r="AK325" i="16"/>
  <c r="O325" i="16"/>
  <c r="A326" i="16"/>
  <c r="AB325" i="16"/>
  <c r="AJ325" i="16"/>
  <c r="AC325" i="16"/>
  <c r="G324" i="1"/>
  <c r="BW324" i="6" s="1"/>
  <c r="I324" i="1"/>
  <c r="B324" i="6" s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L326" i="15" l="1"/>
  <c r="O326" i="15"/>
  <c r="AB326" i="15"/>
  <c r="AK326" i="15"/>
  <c r="X326" i="15"/>
  <c r="AJ326" i="15"/>
  <c r="K326" i="15"/>
  <c r="A327" i="15"/>
  <c r="AC326" i="15"/>
  <c r="F326" i="1"/>
  <c r="I326" i="1" s="1"/>
  <c r="B326" i="6" s="1"/>
  <c r="X326" i="16"/>
  <c r="AB326" i="16"/>
  <c r="AJ326" i="16"/>
  <c r="AC326" i="16"/>
  <c r="K326" i="16"/>
  <c r="L326" i="16"/>
  <c r="A327" i="16"/>
  <c r="AK326" i="16"/>
  <c r="O326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B325" i="6" s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E327" i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AA326" i="1" l="1"/>
  <c r="Z326" i="1" s="1"/>
  <c r="Y326" i="1" s="1"/>
  <c r="G326" i="1"/>
  <c r="BW326" i="6" s="1"/>
  <c r="A328" i="15"/>
  <c r="AJ327" i="15"/>
  <c r="X327" i="15"/>
  <c r="AB327" i="15"/>
  <c r="AC327" i="15"/>
  <c r="K327" i="15"/>
  <c r="O327" i="15"/>
  <c r="L327" i="15"/>
  <c r="AK327" i="15"/>
  <c r="X327" i="16"/>
  <c r="AB327" i="16"/>
  <c r="AK327" i="16"/>
  <c r="AC327" i="16"/>
  <c r="L327" i="16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P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K328" i="15" l="1"/>
  <c r="AK328" i="15"/>
  <c r="AB328" i="15"/>
  <c r="X328" i="15"/>
  <c r="AC328" i="15"/>
  <c r="L328" i="15"/>
  <c r="O328" i="15"/>
  <c r="A329" i="15"/>
  <c r="AJ328" i="15"/>
  <c r="F328" i="1"/>
  <c r="I328" i="1" s="1"/>
  <c r="B328" i="6" s="1"/>
  <c r="AB328" i="16"/>
  <c r="K328" i="16"/>
  <c r="X328" i="16"/>
  <c r="AK328" i="16"/>
  <c r="O328" i="16"/>
  <c r="L328" i="16"/>
  <c r="A329" i="16"/>
  <c r="AJ328" i="16"/>
  <c r="AC328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B327" i="6" s="1"/>
  <c r="G327" i="1"/>
  <c r="BW327" i="6" s="1"/>
  <c r="AA328" i="1" l="1"/>
  <c r="Z328" i="1" s="1"/>
  <c r="Y328" i="1" s="1"/>
  <c r="G328" i="1"/>
  <c r="BW328" i="6" s="1"/>
  <c r="K329" i="15"/>
  <c r="AC329" i="15"/>
  <c r="A330" i="15"/>
  <c r="AK329" i="15"/>
  <c r="L329" i="15"/>
  <c r="AJ329" i="15"/>
  <c r="AB329" i="15"/>
  <c r="X329" i="15"/>
  <c r="O329" i="15"/>
  <c r="F329" i="1"/>
  <c r="G329" i="1" s="1"/>
  <c r="BW329" i="6" s="1"/>
  <c r="AB329" i="16"/>
  <c r="K329" i="16"/>
  <c r="L329" i="16"/>
  <c r="AK329" i="16"/>
  <c r="O329" i="16"/>
  <c r="X329" i="16"/>
  <c r="A330" i="16"/>
  <c r="AJ329" i="16"/>
  <c r="AC329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AA329" i="1" l="1"/>
  <c r="Z329" i="1" s="1"/>
  <c r="Y329" i="1" s="1"/>
  <c r="K330" i="15"/>
  <c r="AJ330" i="15"/>
  <c r="A331" i="15"/>
  <c r="AB330" i="15"/>
  <c r="AC330" i="15"/>
  <c r="L330" i="15"/>
  <c r="O330" i="15"/>
  <c r="X330" i="15"/>
  <c r="AK330" i="15"/>
  <c r="I329" i="1"/>
  <c r="B329" i="6" s="1"/>
  <c r="X330" i="16"/>
  <c r="O330" i="16"/>
  <c r="AB330" i="16"/>
  <c r="K330" i="16"/>
  <c r="AK330" i="16"/>
  <c r="AC330" i="16"/>
  <c r="L330" i="16"/>
  <c r="A331" i="16"/>
  <c r="AJ330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F331" i="1" l="1"/>
  <c r="AA331" i="1" s="1"/>
  <c r="Z331" i="1" s="1"/>
  <c r="Y331" i="1" s="1"/>
  <c r="A332" i="15"/>
  <c r="O331" i="15"/>
  <c r="L331" i="15"/>
  <c r="AK331" i="15"/>
  <c r="AB331" i="15"/>
  <c r="AJ331" i="15"/>
  <c r="X331" i="15"/>
  <c r="K331" i="15"/>
  <c r="AC331" i="15"/>
  <c r="X331" i="16"/>
  <c r="L331" i="16"/>
  <c r="A332" i="16"/>
  <c r="AK331" i="16"/>
  <c r="O331" i="16"/>
  <c r="K331" i="16"/>
  <c r="AB331" i="16"/>
  <c r="AJ331" i="16"/>
  <c r="AC331" i="16"/>
  <c r="V330" i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F330" i="1" l="1"/>
  <c r="AA330" i="1" s="1"/>
  <c r="Z330" i="1" s="1"/>
  <c r="Y330" i="1" s="1"/>
  <c r="I331" i="1"/>
  <c r="B331" i="6" s="1"/>
  <c r="G331" i="1"/>
  <c r="BW331" i="6" s="1"/>
  <c r="F332" i="1"/>
  <c r="AA332" i="1" s="1"/>
  <c r="Z332" i="1" s="1"/>
  <c r="Y332" i="1" s="1"/>
  <c r="L332" i="15"/>
  <c r="A333" i="15"/>
  <c r="AC332" i="15"/>
  <c r="AB332" i="15"/>
  <c r="O332" i="15"/>
  <c r="K332" i="15"/>
  <c r="AK332" i="15"/>
  <c r="X332" i="15"/>
  <c r="AJ332" i="15"/>
  <c r="X332" i="16"/>
  <c r="AB332" i="16"/>
  <c r="AJ332" i="16"/>
  <c r="AC332" i="16"/>
  <c r="L332" i="16"/>
  <c r="A333" i="16"/>
  <c r="K332" i="16"/>
  <c r="AK332" i="16"/>
  <c r="O332" i="16"/>
  <c r="G330" i="1"/>
  <c r="BW330" i="6" s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I330" i="1" l="1"/>
  <c r="B330" i="6" s="1"/>
  <c r="G332" i="1"/>
  <c r="BW332" i="6" s="1"/>
  <c r="I332" i="1"/>
  <c r="B332" i="6" s="1"/>
  <c r="AB333" i="15"/>
  <c r="A334" i="15"/>
  <c r="O333" i="15"/>
  <c r="C42" i="7" s="1"/>
  <c r="X333" i="15"/>
  <c r="AK333" i="15"/>
  <c r="K333" i="15"/>
  <c r="AJ333" i="15"/>
  <c r="L333" i="15"/>
  <c r="A42" i="7"/>
  <c r="AC333" i="15"/>
  <c r="V333" i="1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F333" i="1" l="1"/>
  <c r="G333" i="1" s="1"/>
  <c r="BW333" i="6" s="1"/>
  <c r="B42" i="7"/>
  <c r="AB334" i="15"/>
  <c r="AK334" i="15"/>
  <c r="L334" i="15"/>
  <c r="AJ334" i="15"/>
  <c r="X334" i="15"/>
  <c r="A335" i="15"/>
  <c r="AC334" i="15"/>
  <c r="K334" i="15"/>
  <c r="O334" i="15"/>
  <c r="B54" i="7"/>
  <c r="X334" i="16"/>
  <c r="K334" i="16"/>
  <c r="AB334" i="16"/>
  <c r="AK334" i="16"/>
  <c r="O334" i="16"/>
  <c r="L334" i="16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AA333" i="1" l="1"/>
  <c r="Z333" i="1" s="1"/>
  <c r="Y333" i="1" s="1"/>
  <c r="I333" i="1"/>
  <c r="B333" i="6" s="1"/>
  <c r="X335" i="15"/>
  <c r="AJ335" i="15"/>
  <c r="AB335" i="15"/>
  <c r="O335" i="15"/>
  <c r="A336" i="15"/>
  <c r="K335" i="15"/>
  <c r="L335" i="15"/>
  <c r="AK335" i="15"/>
  <c r="AC335" i="15"/>
  <c r="A336" i="16"/>
  <c r="AB335" i="16"/>
  <c r="X335" i="16"/>
  <c r="AJ335" i="16"/>
  <c r="O335" i="16"/>
  <c r="K335" i="16"/>
  <c r="L335" i="16"/>
  <c r="AK335" i="16"/>
  <c r="AC335" i="16"/>
  <c r="P336" i="1"/>
  <c r="V336" i="1" s="1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B334" i="6" s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A337" i="15" l="1"/>
  <c r="AJ336" i="15"/>
  <c r="L336" i="15"/>
  <c r="AB336" i="15"/>
  <c r="AC336" i="15"/>
  <c r="K336" i="15"/>
  <c r="O336" i="15"/>
  <c r="X336" i="15"/>
  <c r="AK336" i="15"/>
  <c r="AB336" i="16"/>
  <c r="X336" i="16"/>
  <c r="AK336" i="16"/>
  <c r="AC336" i="16"/>
  <c r="L336" i="16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F336" i="1"/>
  <c r="I335" i="1"/>
  <c r="B335" i="6" s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K337" i="15" l="1"/>
  <c r="AJ337" i="15"/>
  <c r="X337" i="15"/>
  <c r="A338" i="15"/>
  <c r="AC337" i="15"/>
  <c r="AB337" i="15"/>
  <c r="O337" i="15"/>
  <c r="L337" i="15"/>
  <c r="AK337" i="15"/>
  <c r="A338" i="16"/>
  <c r="L337" i="16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S337" i="1"/>
  <c r="R337" i="1" s="1"/>
  <c r="P337" i="1" s="1"/>
  <c r="V337" i="1" s="1"/>
  <c r="AA336" i="1"/>
  <c r="Z336" i="1" s="1"/>
  <c r="Y336" i="1" s="1"/>
  <c r="I336" i="1"/>
  <c r="B336" i="6" s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E338" i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L338" i="15" l="1"/>
  <c r="AJ338" i="15"/>
  <c r="A339" i="15"/>
  <c r="AB338" i="15"/>
  <c r="AC338" i="15"/>
  <c r="X338" i="15"/>
  <c r="O338" i="15"/>
  <c r="K338" i="15"/>
  <c r="AK338" i="15"/>
  <c r="AB338" i="16"/>
  <c r="X338" i="16"/>
  <c r="AJ338" i="16"/>
  <c r="AC338" i="16"/>
  <c r="L338" i="16"/>
  <c r="A339" i="16"/>
  <c r="K338" i="16"/>
  <c r="AK338" i="16"/>
  <c r="O338" i="16"/>
  <c r="F338" i="1"/>
  <c r="G338" i="1" s="1"/>
  <c r="BW338" i="6" s="1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G339" i="1" s="1"/>
  <c r="BW339" i="6" s="1"/>
  <c r="L339" i="15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B338" i="6" s="1"/>
  <c r="K339" i="16"/>
  <c r="X339" i="16"/>
  <c r="AJ339" i="16"/>
  <c r="AC339" i="16"/>
  <c r="A340" i="16"/>
  <c r="L339" i="16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B337" i="6" s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AA339" i="1" l="1"/>
  <c r="Z339" i="1" s="1"/>
  <c r="Y339" i="1" s="1"/>
  <c r="I339" i="1"/>
  <c r="B339" i="6" s="1"/>
  <c r="L340" i="15"/>
  <c r="AB340" i="15"/>
  <c r="AC340" i="15"/>
  <c r="X340" i="15"/>
  <c r="O340" i="15"/>
  <c r="K340" i="15"/>
  <c r="AK340" i="15"/>
  <c r="A341" i="15"/>
  <c r="AJ340" i="15"/>
  <c r="L340" i="16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AA341" i="1" s="1"/>
  <c r="Z341" i="1" s="1"/>
  <c r="Y341" i="1" s="1"/>
  <c r="AB341" i="15"/>
  <c r="AJ341" i="15"/>
  <c r="K341" i="15"/>
  <c r="X341" i="15"/>
  <c r="AC341" i="15"/>
  <c r="L341" i="15"/>
  <c r="O341" i="15"/>
  <c r="A342" i="15"/>
  <c r="AK341" i="15"/>
  <c r="X341" i="16"/>
  <c r="K341" i="16"/>
  <c r="L341" i="16"/>
  <c r="AK341" i="16"/>
  <c r="O341" i="16"/>
  <c r="A342" i="16"/>
  <c r="AB341" i="16"/>
  <c r="AJ341" i="16"/>
  <c r="AC341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B340" i="6" s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G341" i="1" l="1"/>
  <c r="BW341" i="6" s="1"/>
  <c r="F342" i="1"/>
  <c r="AA342" i="1" s="1"/>
  <c r="Z342" i="1" s="1"/>
  <c r="Y342" i="1" s="1"/>
  <c r="I341" i="1"/>
  <c r="B341" i="6" s="1"/>
  <c r="X342" i="15"/>
  <c r="AK342" i="15"/>
  <c r="A343" i="15"/>
  <c r="AB342" i="15"/>
  <c r="AC342" i="15"/>
  <c r="K342" i="15"/>
  <c r="O342" i="15"/>
  <c r="L342" i="15"/>
  <c r="AJ342" i="15"/>
  <c r="K342" i="16"/>
  <c r="A343" i="16"/>
  <c r="X342" i="16"/>
  <c r="AK342" i="16"/>
  <c r="O342" i="16"/>
  <c r="L342" i="16"/>
  <c r="AB342" i="16"/>
  <c r="AJ342" i="16"/>
  <c r="AC342" i="16"/>
  <c r="G342" i="1"/>
  <c r="BW342" i="6" s="1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I342" i="1" l="1"/>
  <c r="B342" i="6" s="1"/>
  <c r="AB343" i="15"/>
  <c r="AJ343" i="15"/>
  <c r="X343" i="15"/>
  <c r="A344" i="15"/>
  <c r="AC343" i="15"/>
  <c r="K343" i="15"/>
  <c r="O343" i="15"/>
  <c r="L343" i="15"/>
  <c r="AK343" i="15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AJ343" i="16"/>
  <c r="AC343" i="16"/>
  <c r="G343" i="1"/>
  <c r="BW343" i="6" s="1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I343" i="1" l="1"/>
  <c r="B343" i="6" s="1"/>
  <c r="A345" i="15"/>
  <c r="AC344" i="15"/>
  <c r="L344" i="15"/>
  <c r="AK344" i="15"/>
  <c r="AB344" i="15"/>
  <c r="AJ344" i="15"/>
  <c r="K344" i="15"/>
  <c r="X344" i="15"/>
  <c r="O344" i="15"/>
  <c r="X344" i="16"/>
  <c r="K344" i="16"/>
  <c r="AJ344" i="16"/>
  <c r="AC344" i="16"/>
  <c r="AB344" i="16"/>
  <c r="L344" i="16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X345" i="15" l="1"/>
  <c r="AK345" i="15"/>
  <c r="K345" i="15"/>
  <c r="AJ345" i="15"/>
  <c r="L345" i="15"/>
  <c r="AB345" i="15"/>
  <c r="AC345" i="15"/>
  <c r="A346" i="15"/>
  <c r="O345" i="15"/>
  <c r="K345" i="16"/>
  <c r="X345" i="16"/>
  <c r="AK345" i="16"/>
  <c r="AC345" i="16"/>
  <c r="A346" i="16"/>
  <c r="L345" i="16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L346" i="15" l="1"/>
  <c r="K346" i="15"/>
  <c r="AC346" i="15"/>
  <c r="X346" i="15"/>
  <c r="O346" i="15"/>
  <c r="A347" i="15"/>
  <c r="AK346" i="15"/>
  <c r="AB346" i="15"/>
  <c r="AJ346" i="15"/>
  <c r="K346" i="16"/>
  <c r="A347" i="16"/>
  <c r="X346" i="16"/>
  <c r="AK346" i="16"/>
  <c r="O346" i="16"/>
  <c r="L346" i="16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B344" i="6" s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B345" i="6" s="1"/>
  <c r="X340" i="25"/>
  <c r="A341" i="25"/>
  <c r="K340" i="25"/>
  <c r="L340" i="25"/>
  <c r="AB340" i="25"/>
  <c r="AJ340" i="25"/>
  <c r="AK340" i="25"/>
  <c r="O340" i="25"/>
  <c r="AC340" i="25"/>
  <c r="F346" i="1" l="1"/>
  <c r="I346" i="1" s="1"/>
  <c r="B346" i="6" s="1"/>
  <c r="L347" i="15"/>
  <c r="O347" i="15"/>
  <c r="K347" i="15"/>
  <c r="AJ347" i="15"/>
  <c r="X347" i="15"/>
  <c r="AK347" i="15"/>
  <c r="A348" i="15"/>
  <c r="AB347" i="15"/>
  <c r="AC347" i="15"/>
  <c r="P348" i="1"/>
  <c r="AB347" i="16"/>
  <c r="A348" i="16"/>
  <c r="AK347" i="16"/>
  <c r="AC347" i="16"/>
  <c r="X347" i="16"/>
  <c r="K347" i="16"/>
  <c r="L347" i="16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AA346" i="1"/>
  <c r="Z346" i="1" s="1"/>
  <c r="Y346" i="1" s="1"/>
  <c r="D348" i="1"/>
  <c r="V348" i="1"/>
  <c r="E348" i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G346" i="1" l="1"/>
  <c r="BW346" i="6" s="1"/>
  <c r="I347" i="1"/>
  <c r="B347" i="6" s="1"/>
  <c r="L348" i="15"/>
  <c r="AK348" i="15"/>
  <c r="A349" i="15"/>
  <c r="AJ348" i="15"/>
  <c r="AB348" i="15"/>
  <c r="X348" i="15"/>
  <c r="O348" i="15"/>
  <c r="K348" i="15"/>
  <c r="AC348" i="15"/>
  <c r="G347" i="1"/>
  <c r="BW347" i="6" s="1"/>
  <c r="F348" i="1"/>
  <c r="I348" i="1" s="1"/>
  <c r="B348" i="6" s="1"/>
  <c r="L61" i="19"/>
  <c r="K348" i="16"/>
  <c r="AJ348" i="16"/>
  <c r="A349" i="16"/>
  <c r="AC348" i="16"/>
  <c r="X348" i="16"/>
  <c r="AB348" i="16"/>
  <c r="L348" i="16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G348" i="1" l="1"/>
  <c r="BW348" i="6" s="1"/>
  <c r="A350" i="15"/>
  <c r="AK349" i="15"/>
  <c r="X349" i="15"/>
  <c r="AJ349" i="15"/>
  <c r="L349" i="15"/>
  <c r="AB349" i="15"/>
  <c r="AC349" i="15"/>
  <c r="K349" i="15"/>
  <c r="O349" i="15"/>
  <c r="AA348" i="1"/>
  <c r="Z348" i="1" s="1"/>
  <c r="Y348" i="1" s="1"/>
  <c r="X349" i="16"/>
  <c r="AK349" i="16"/>
  <c r="L349" i="16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K350" i="15" l="1"/>
  <c r="AJ350" i="15"/>
  <c r="O350" i="15"/>
  <c r="A351" i="15"/>
  <c r="AC350" i="15"/>
  <c r="X350" i="15"/>
  <c r="L350" i="15"/>
  <c r="AB350" i="15"/>
  <c r="AK350" i="15"/>
  <c r="X350" i="16"/>
  <c r="K350" i="16"/>
  <c r="A351" i="16"/>
  <c r="AC350" i="16"/>
  <c r="AB350" i="16"/>
  <c r="L350" i="16"/>
  <c r="AJ350" i="16"/>
  <c r="AK350" i="16"/>
  <c r="O350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B349" i="6" s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P352" i="1" l="1"/>
  <c r="V352" i="1" s="1"/>
  <c r="A352" i="15"/>
  <c r="L351" i="15"/>
  <c r="AB351" i="15"/>
  <c r="K351" i="15"/>
  <c r="AC351" i="15"/>
  <c r="AK351" i="15"/>
  <c r="O351" i="15"/>
  <c r="X351" i="15"/>
  <c r="AJ351" i="15"/>
  <c r="F351" i="1"/>
  <c r="I351" i="1" s="1"/>
  <c r="B351" i="6" s="1"/>
  <c r="AB351" i="16"/>
  <c r="X351" i="16"/>
  <c r="L351" i="16"/>
  <c r="AC351" i="16"/>
  <c r="K351" i="16"/>
  <c r="A352" i="16"/>
  <c r="AK351" i="16"/>
  <c r="AJ351" i="16"/>
  <c r="O351" i="16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B350" i="6" s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G351" i="1" l="1"/>
  <c r="BW351" i="6" s="1"/>
  <c r="X352" i="15"/>
  <c r="AJ352" i="15"/>
  <c r="AC352" i="15"/>
  <c r="AB352" i="15"/>
  <c r="O352" i="15"/>
  <c r="K352" i="15"/>
  <c r="AK352" i="15"/>
  <c r="A353" i="15"/>
  <c r="L352" i="15"/>
  <c r="K352" i="16"/>
  <c r="AB352" i="16"/>
  <c r="L352" i="16"/>
  <c r="AC352" i="16"/>
  <c r="A353" i="16"/>
  <c r="X352" i="16"/>
  <c r="AJ352" i="16"/>
  <c r="AK352" i="16"/>
  <c r="O352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I353" i="1" s="1"/>
  <c r="B353" i="6" s="1"/>
  <c r="K353" i="15"/>
  <c r="O353" i="15"/>
  <c r="A354" i="15"/>
  <c r="AK353" i="15"/>
  <c r="AB353" i="15"/>
  <c r="AJ353" i="15"/>
  <c r="L353" i="15"/>
  <c r="X353" i="15"/>
  <c r="AC353" i="15"/>
  <c r="K353" i="16"/>
  <c r="X353" i="16"/>
  <c r="AB353" i="16"/>
  <c r="AK353" i="16"/>
  <c r="O353" i="16"/>
  <c r="AC353" i="16"/>
  <c r="A354" i="16"/>
  <c r="L353" i="16"/>
  <c r="AJ353" i="16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B352" i="6" s="1"/>
  <c r="G352" i="1"/>
  <c r="BW352" i="6" s="1"/>
  <c r="AA352" i="1"/>
  <c r="Z352" i="1" s="1"/>
  <c r="Y352" i="1" s="1"/>
  <c r="G353" i="1" l="1"/>
  <c r="BW353" i="6" s="1"/>
  <c r="AA353" i="1"/>
  <c r="Z353" i="1" s="1"/>
  <c r="Y353" i="1" s="1"/>
  <c r="A355" i="15"/>
  <c r="AB354" i="15"/>
  <c r="AC354" i="15"/>
  <c r="AJ354" i="15"/>
  <c r="O354" i="15"/>
  <c r="L354" i="15"/>
  <c r="AK354" i="15"/>
  <c r="X354" i="15"/>
  <c r="K354" i="15"/>
  <c r="F354" i="1"/>
  <c r="AA354" i="1" s="1"/>
  <c r="Z354" i="1" s="1"/>
  <c r="Y354" i="1" s="1"/>
  <c r="AB354" i="16"/>
  <c r="K354" i="16"/>
  <c r="X354" i="16"/>
  <c r="AC354" i="16"/>
  <c r="A355" i="16"/>
  <c r="L354" i="16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E355" i="1" s="1"/>
  <c r="V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P356" i="1" l="1"/>
  <c r="V356" i="1" s="1"/>
  <c r="G354" i="1"/>
  <c r="BW354" i="6" s="1"/>
  <c r="AB355" i="15"/>
  <c r="AK355" i="15"/>
  <c r="O355" i="15"/>
  <c r="AJ355" i="15"/>
  <c r="AC355" i="15"/>
  <c r="K355" i="15"/>
  <c r="L355" i="15"/>
  <c r="A356" i="15"/>
  <c r="X355" i="15"/>
  <c r="F355" i="1"/>
  <c r="I355" i="1" s="1"/>
  <c r="B355" i="6" s="1"/>
  <c r="I354" i="1"/>
  <c r="B354" i="6" s="1"/>
  <c r="A356" i="16"/>
  <c r="X355" i="16"/>
  <c r="AK355" i="16"/>
  <c r="K355" i="16"/>
  <c r="O355" i="16"/>
  <c r="L355" i="16"/>
  <c r="AB355" i="16"/>
  <c r="AJ355" i="16"/>
  <c r="AC355" i="16"/>
  <c r="D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E356" i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G355" i="1"/>
  <c r="BW355" i="6" s="1"/>
  <c r="L356" i="15"/>
  <c r="A357" i="15"/>
  <c r="X356" i="15"/>
  <c r="AK356" i="15"/>
  <c r="AC356" i="15"/>
  <c r="AB356" i="15"/>
  <c r="O356" i="15"/>
  <c r="K356" i="15"/>
  <c r="AJ356" i="15"/>
  <c r="A357" i="16"/>
  <c r="K356" i="16"/>
  <c r="AJ356" i="16"/>
  <c r="AC356" i="16"/>
  <c r="L356" i="16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AB357" i="15" l="1"/>
  <c r="AC357" i="15"/>
  <c r="L357" i="15"/>
  <c r="X357" i="15"/>
  <c r="A358" i="15"/>
  <c r="AK357" i="15"/>
  <c r="K357" i="15"/>
  <c r="AJ357" i="15"/>
  <c r="O357" i="15"/>
  <c r="L357" i="16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B356" i="6" s="1"/>
  <c r="F358" i="1" l="1"/>
  <c r="AA358" i="1" s="1"/>
  <c r="Z358" i="1" s="1"/>
  <c r="Y358" i="1" s="1"/>
  <c r="X358" i="15"/>
  <c r="AJ358" i="15"/>
  <c r="K358" i="15"/>
  <c r="L358" i="15"/>
  <c r="O358" i="15"/>
  <c r="AB358" i="15"/>
  <c r="AC358" i="15"/>
  <c r="A359" i="15"/>
  <c r="AK358" i="15"/>
  <c r="X358" i="16"/>
  <c r="AJ358" i="16"/>
  <c r="A359" i="16"/>
  <c r="AC358" i="16"/>
  <c r="AB358" i="16"/>
  <c r="L358" i="16"/>
  <c r="K358" i="16"/>
  <c r="AK358" i="16"/>
  <c r="O358" i="16"/>
  <c r="X357" i="18"/>
  <c r="K357" i="18"/>
  <c r="AJ357" i="18"/>
  <c r="O357" i="18"/>
  <c r="A358" i="18"/>
  <c r="L357" i="18"/>
  <c r="AB357" i="18"/>
  <c r="AK357" i="18"/>
  <c r="AC357" i="18"/>
  <c r="I357" i="1"/>
  <c r="B357" i="6" s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I358" i="1" l="1"/>
  <c r="B358" i="6" s="1"/>
  <c r="G358" i="1"/>
  <c r="BW358" i="6" s="1"/>
  <c r="A360" i="15"/>
  <c r="K359" i="15"/>
  <c r="AC359" i="15"/>
  <c r="AK359" i="15"/>
  <c r="O359" i="15"/>
  <c r="AB359" i="15"/>
  <c r="AJ359" i="15"/>
  <c r="L359" i="15"/>
  <c r="X359" i="15"/>
  <c r="F359" i="1"/>
  <c r="G359" i="1" s="1"/>
  <c r="BW359" i="6" s="1"/>
  <c r="AB359" i="16"/>
  <c r="A360" i="16"/>
  <c r="AJ359" i="16"/>
  <c r="AC359" i="16"/>
  <c r="K359" i="16"/>
  <c r="L359" i="16"/>
  <c r="X359" i="16"/>
  <c r="AK359" i="16"/>
  <c r="O359" i="16"/>
  <c r="I359" i="1"/>
  <c r="B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G360" i="1" s="1"/>
  <c r="BW360" i="6" s="1"/>
  <c r="P361" i="1"/>
  <c r="V361" i="1" s="1"/>
  <c r="AA359" i="1"/>
  <c r="Z359" i="1" s="1"/>
  <c r="Y359" i="1" s="1"/>
  <c r="X360" i="15"/>
  <c r="O360" i="15"/>
  <c r="AJ360" i="15"/>
  <c r="AK360" i="15"/>
  <c r="AB360" i="15"/>
  <c r="K360" i="15"/>
  <c r="A361" i="15"/>
  <c r="L360" i="15"/>
  <c r="AC360" i="15"/>
  <c r="X360" i="16"/>
  <c r="AK360" i="16"/>
  <c r="A361" i="16"/>
  <c r="AC360" i="16"/>
  <c r="AB360" i="16"/>
  <c r="AJ360" i="16"/>
  <c r="L360" i="16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I360" i="1"/>
  <c r="B360" i="6" s="1"/>
  <c r="AB361" i="15"/>
  <c r="K361" i="15"/>
  <c r="AC361" i="15"/>
  <c r="L361" i="15"/>
  <c r="O361" i="15"/>
  <c r="AJ361" i="15"/>
  <c r="AK361" i="15"/>
  <c r="A362" i="15"/>
  <c r="X361" i="15"/>
  <c r="F361" i="1"/>
  <c r="AA361" i="1" s="1"/>
  <c r="Z361" i="1" s="1"/>
  <c r="Y361" i="1" s="1"/>
  <c r="X361" i="16"/>
  <c r="AJ361" i="16"/>
  <c r="A362" i="16"/>
  <c r="AC361" i="16"/>
  <c r="L361" i="16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G361" i="1" l="1"/>
  <c r="BW361" i="6" s="1"/>
  <c r="I361" i="1"/>
  <c r="B361" i="6" s="1"/>
  <c r="AK362" i="15"/>
  <c r="AJ362" i="15"/>
  <c r="AB362" i="15"/>
  <c r="A363" i="15"/>
  <c r="K362" i="15"/>
  <c r="X362" i="15"/>
  <c r="AC362" i="15"/>
  <c r="L362" i="15"/>
  <c r="O362" i="15"/>
  <c r="A363" i="16"/>
  <c r="X362" i="16"/>
  <c r="AJ362" i="16"/>
  <c r="AC362" i="16"/>
  <c r="K362" i="16"/>
  <c r="L362" i="16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F362" i="1" l="1"/>
  <c r="AA362" i="1" s="1"/>
  <c r="Z362" i="1" s="1"/>
  <c r="Y362" i="1" s="1"/>
  <c r="A43" i="7"/>
  <c r="X363" i="15"/>
  <c r="O363" i="15"/>
  <c r="C43" i="7" s="1"/>
  <c r="AJ363" i="15"/>
  <c r="AK363" i="15"/>
  <c r="A364" i="15"/>
  <c r="AB363" i="15"/>
  <c r="K363" i="15"/>
  <c r="L363" i="15"/>
  <c r="AC363" i="15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G362" i="1" l="1"/>
  <c r="BW362" i="6" s="1"/>
  <c r="I362" i="1"/>
  <c r="B362" i="6" s="1"/>
  <c r="F363" i="1"/>
  <c r="AA363" i="1" s="1"/>
  <c r="Z363" i="1" s="1"/>
  <c r="Y363" i="1" s="1"/>
  <c r="B43" i="7"/>
  <c r="X364" i="15"/>
  <c r="K364" i="15"/>
  <c r="AC364" i="15"/>
  <c r="L364" i="15"/>
  <c r="O364" i="15"/>
  <c r="AK364" i="15"/>
  <c r="AJ364" i="15"/>
  <c r="A365" i="15"/>
  <c r="AB364" i="15"/>
  <c r="B55" i="7"/>
  <c r="A365" i="16"/>
  <c r="AJ364" i="16"/>
  <c r="L364" i="16"/>
  <c r="AK364" i="16"/>
  <c r="O364" i="16"/>
  <c r="X364" i="16"/>
  <c r="AB364" i="16"/>
  <c r="K364" i="16"/>
  <c r="AC364" i="16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G363" i="1" l="1"/>
  <c r="BW363" i="6" s="1"/>
  <c r="I363" i="1"/>
  <c r="B363" i="6" s="1"/>
  <c r="AJ365" i="15"/>
  <c r="AK365" i="15"/>
  <c r="K365" i="15"/>
  <c r="A366" i="15"/>
  <c r="X365" i="15"/>
  <c r="L365" i="15"/>
  <c r="AC365" i="15"/>
  <c r="AB365" i="15"/>
  <c r="O365" i="15"/>
  <c r="F365" i="1"/>
  <c r="I365" i="1" s="1"/>
  <c r="B365" i="6" s="1"/>
  <c r="L365" i="16"/>
  <c r="AK365" i="16"/>
  <c r="AB365" i="16"/>
  <c r="AC365" i="16"/>
  <c r="K365" i="16"/>
  <c r="A366" i="16"/>
  <c r="X365" i="16"/>
  <c r="O365" i="16"/>
  <c r="AJ365" i="16"/>
  <c r="V364" i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F364" i="1"/>
  <c r="G364" i="1" s="1"/>
  <c r="BW364" i="6" s="1"/>
  <c r="G365" i="1"/>
  <c r="BW365" i="6" s="1"/>
  <c r="K366" i="15"/>
  <c r="L366" i="15"/>
  <c r="AC366" i="15"/>
  <c r="X366" i="15"/>
  <c r="O366" i="15"/>
  <c r="AK366" i="15"/>
  <c r="AJ366" i="15"/>
  <c r="A367" i="15"/>
  <c r="AB366" i="15"/>
  <c r="A367" i="16"/>
  <c r="AJ366" i="16"/>
  <c r="K366" i="16"/>
  <c r="AC366" i="16"/>
  <c r="L366" i="16"/>
  <c r="X366" i="16"/>
  <c r="AB366" i="16"/>
  <c r="AK366" i="16"/>
  <c r="O366" i="16"/>
  <c r="I364" i="1"/>
  <c r="B364" i="6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AB360" i="25"/>
  <c r="L360" i="25"/>
  <c r="X360" i="25"/>
  <c r="AK360" i="25"/>
  <c r="A361" i="25"/>
  <c r="K360" i="25"/>
  <c r="AJ360" i="25"/>
  <c r="O360" i="25"/>
  <c r="AC360" i="25"/>
  <c r="AA364" i="1" l="1"/>
  <c r="Z364" i="1" s="1"/>
  <c r="Y364" i="1" s="1"/>
  <c r="F366" i="1"/>
  <c r="G366" i="1" s="1"/>
  <c r="BW366" i="6" s="1"/>
  <c r="L367" i="15"/>
  <c r="AJ367" i="15"/>
  <c r="A368" i="15"/>
  <c r="K367" i="15"/>
  <c r="AC367" i="15"/>
  <c r="AB367" i="15"/>
  <c r="O367" i="15"/>
  <c r="X367" i="15"/>
  <c r="AK367" i="15"/>
  <c r="F367" i="1"/>
  <c r="G367" i="1" s="1"/>
  <c r="BW367" i="6" s="1"/>
  <c r="K367" i="16"/>
  <c r="L367" i="16"/>
  <c r="X367" i="16"/>
  <c r="AK367" i="16"/>
  <c r="O367" i="16"/>
  <c r="AB367" i="16"/>
  <c r="A368" i="16"/>
  <c r="AJ367" i="16"/>
  <c r="AC367" i="16"/>
  <c r="I366" i="1"/>
  <c r="B366" i="6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6" i="1" l="1"/>
  <c r="Z366" i="1" s="1"/>
  <c r="Y366" i="1" s="1"/>
  <c r="AA367" i="1"/>
  <c r="Z367" i="1" s="1"/>
  <c r="Y367" i="1" s="1"/>
  <c r="L368" i="15"/>
  <c r="AB368" i="15"/>
  <c r="AC368" i="15"/>
  <c r="AJ368" i="15"/>
  <c r="O368" i="15"/>
  <c r="A369" i="15"/>
  <c r="AK368" i="15"/>
  <c r="X368" i="15"/>
  <c r="K368" i="15"/>
  <c r="I367" i="1"/>
  <c r="B367" i="6" s="1"/>
  <c r="K368" i="16"/>
  <c r="A369" i="16"/>
  <c r="L368" i="16"/>
  <c r="AC368" i="16"/>
  <c r="AB368" i="16"/>
  <c r="AK368" i="16"/>
  <c r="X368" i="16"/>
  <c r="AJ368" i="16"/>
  <c r="O368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J369" i="15" l="1"/>
  <c r="O369" i="15"/>
  <c r="L369" i="15"/>
  <c r="AK369" i="15"/>
  <c r="K369" i="15"/>
  <c r="A370" i="15"/>
  <c r="AC369" i="15"/>
  <c r="AB369" i="15"/>
  <c r="X369" i="15"/>
  <c r="A370" i="16"/>
  <c r="AJ369" i="16"/>
  <c r="L369" i="16"/>
  <c r="K369" i="16"/>
  <c r="O369" i="16"/>
  <c r="X369" i="16"/>
  <c r="AK369" i="16"/>
  <c r="AB369" i="16"/>
  <c r="AC369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B368" i="6" s="1"/>
  <c r="S370" i="1"/>
  <c r="R370" i="1" s="1"/>
  <c r="P370" i="1" s="1"/>
  <c r="V370" i="1" s="1"/>
  <c r="E370" i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G370" i="1" s="1"/>
  <c r="BW370" i="6" s="1"/>
  <c r="AJ370" i="15"/>
  <c r="X370" i="15"/>
  <c r="AC370" i="15"/>
  <c r="L370" i="15"/>
  <c r="AK370" i="15"/>
  <c r="A371" i="15"/>
  <c r="K370" i="15"/>
  <c r="AB370" i="15"/>
  <c r="O370" i="15"/>
  <c r="K370" i="16"/>
  <c r="A371" i="16"/>
  <c r="AJ370" i="16"/>
  <c r="AC370" i="16"/>
  <c r="L370" i="16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B369" i="6" s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I370" i="1" l="1"/>
  <c r="B370" i="6" s="1"/>
  <c r="AA370" i="1"/>
  <c r="Z370" i="1" s="1"/>
  <c r="Y370" i="1" s="1"/>
  <c r="K371" i="15"/>
  <c r="A372" i="15"/>
  <c r="O371" i="15"/>
  <c r="AJ371" i="15"/>
  <c r="AC371" i="15"/>
  <c r="AB371" i="15"/>
  <c r="AK371" i="15"/>
  <c r="L371" i="15"/>
  <c r="X371" i="15"/>
  <c r="K371" i="16"/>
  <c r="AK371" i="16"/>
  <c r="L371" i="16"/>
  <c r="AC371" i="16"/>
  <c r="A372" i="16"/>
  <c r="AJ371" i="16"/>
  <c r="AB371" i="16"/>
  <c r="X371" i="16"/>
  <c r="O371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G372" i="1" s="1"/>
  <c r="BW372" i="6" s="1"/>
  <c r="A373" i="15"/>
  <c r="AK372" i="15"/>
  <c r="K372" i="15"/>
  <c r="AJ372" i="15"/>
  <c r="AB372" i="15"/>
  <c r="X372" i="15"/>
  <c r="AC372" i="15"/>
  <c r="L372" i="15"/>
  <c r="O372" i="15"/>
  <c r="X372" i="16"/>
  <c r="L372" i="16"/>
  <c r="K372" i="16"/>
  <c r="AC372" i="16"/>
  <c r="A373" i="16"/>
  <c r="AK372" i="16"/>
  <c r="AB372" i="16"/>
  <c r="AJ372" i="16"/>
  <c r="O372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B371" i="6" s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AA372" i="1" l="1"/>
  <c r="Z372" i="1" s="1"/>
  <c r="Y372" i="1" s="1"/>
  <c r="I372" i="1"/>
  <c r="B372" i="6" s="1"/>
  <c r="AK373" i="15"/>
  <c r="AC373" i="15"/>
  <c r="X373" i="15"/>
  <c r="AJ373" i="15"/>
  <c r="L373" i="15"/>
  <c r="K373" i="15"/>
  <c r="AB373" i="15"/>
  <c r="A374" i="15"/>
  <c r="O373" i="15"/>
  <c r="K373" i="16"/>
  <c r="L373" i="16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F373" i="1" l="1"/>
  <c r="G373" i="1" s="1"/>
  <c r="BW373" i="6" s="1"/>
  <c r="K374" i="15"/>
  <c r="A375" i="15"/>
  <c r="X374" i="15"/>
  <c r="AK374" i="15"/>
  <c r="AC374" i="15"/>
  <c r="AJ374" i="15"/>
  <c r="O374" i="15"/>
  <c r="L374" i="15"/>
  <c r="AB374" i="15"/>
  <c r="F374" i="1"/>
  <c r="G374" i="1" s="1"/>
  <c r="BW374" i="6" s="1"/>
  <c r="P375" i="1"/>
  <c r="V375" i="1" s="1"/>
  <c r="X374" i="16"/>
  <c r="AB374" i="16"/>
  <c r="AK374" i="16"/>
  <c r="L374" i="16"/>
  <c r="O374" i="16"/>
  <c r="K374" i="16"/>
  <c r="AJ374" i="16"/>
  <c r="A375" i="16"/>
  <c r="AC374" i="16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3" i="1" l="1"/>
  <c r="B373" i="6" s="1"/>
  <c r="AA373" i="1"/>
  <c r="Z373" i="1" s="1"/>
  <c r="Y373" i="1" s="1"/>
  <c r="AA374" i="1"/>
  <c r="Z374" i="1" s="1"/>
  <c r="Y374" i="1" s="1"/>
  <c r="I374" i="1"/>
  <c r="B374" i="6" s="1"/>
  <c r="A376" i="15"/>
  <c r="AC375" i="15"/>
  <c r="K375" i="15"/>
  <c r="AK375" i="15"/>
  <c r="AB375" i="15"/>
  <c r="AJ375" i="15"/>
  <c r="X375" i="15"/>
  <c r="L375" i="15"/>
  <c r="O375" i="15"/>
  <c r="AJ375" i="16"/>
  <c r="A376" i="16"/>
  <c r="K375" i="16"/>
  <c r="AB375" i="16"/>
  <c r="AK375" i="16"/>
  <c r="O375" i="16"/>
  <c r="X375" i="16"/>
  <c r="L375" i="16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AB376" i="15"/>
  <c r="X376" i="15"/>
  <c r="K376" i="15"/>
  <c r="L376" i="15"/>
  <c r="AC376" i="15"/>
  <c r="AK376" i="15"/>
  <c r="O376" i="15"/>
  <c r="AJ376" i="15"/>
  <c r="A377" i="15"/>
  <c r="I375" i="1"/>
  <c r="B375" i="6" s="1"/>
  <c r="K376" i="16"/>
  <c r="X376" i="16"/>
  <c r="A377" i="16"/>
  <c r="AC376" i="16"/>
  <c r="AB376" i="16"/>
  <c r="AJ376" i="16"/>
  <c r="L376" i="16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X377" i="15" l="1"/>
  <c r="L377" i="15"/>
  <c r="AC377" i="15"/>
  <c r="AB377" i="15"/>
  <c r="O377" i="15"/>
  <c r="AK377" i="15"/>
  <c r="AJ377" i="15"/>
  <c r="A378" i="15"/>
  <c r="K377" i="15"/>
  <c r="K377" i="16"/>
  <c r="L377" i="16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B376" i="6" s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F377" i="1" l="1"/>
  <c r="AA377" i="1" s="1"/>
  <c r="Z377" i="1" s="1"/>
  <c r="Y377" i="1" s="1"/>
  <c r="AB378" i="15"/>
  <c r="K378" i="15"/>
  <c r="AC378" i="15"/>
  <c r="A379" i="15"/>
  <c r="O378" i="15"/>
  <c r="AJ378" i="15"/>
  <c r="AK378" i="15"/>
  <c r="X378" i="15"/>
  <c r="L378" i="15"/>
  <c r="F378" i="1"/>
  <c r="AA378" i="1" s="1"/>
  <c r="Z378" i="1" s="1"/>
  <c r="Y378" i="1" s="1"/>
  <c r="K378" i="16"/>
  <c r="AJ378" i="16"/>
  <c r="L378" i="16"/>
  <c r="AK378" i="16"/>
  <c r="O378" i="16"/>
  <c r="X378" i="16"/>
  <c r="AB378" i="16"/>
  <c r="A379" i="16"/>
  <c r="AC378" i="16"/>
  <c r="G378" i="1"/>
  <c r="BW378" i="6" s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11" i="1" s="1"/>
  <c r="AJ9" i="1"/>
  <c r="AJ6" i="1"/>
  <c r="AJ5" i="1"/>
  <c r="AL7" i="1"/>
  <c r="AL11" i="1" s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I377" i="1"/>
  <c r="B377" i="6" s="1"/>
  <c r="G377" i="1"/>
  <c r="BW377" i="6" s="1"/>
  <c r="I378" i="1"/>
  <c r="B378" i="6" s="1"/>
  <c r="L379" i="15"/>
  <c r="B36" i="19" s="1"/>
  <c r="O379" i="15"/>
  <c r="X379" i="15"/>
  <c r="AC379" i="15"/>
  <c r="AC382" i="15" s="1"/>
  <c r="K379" i="15"/>
  <c r="AB379" i="15"/>
  <c r="AJ379" i="15"/>
  <c r="AK379" i="15"/>
  <c r="AK7" i="15" s="1"/>
  <c r="AK11" i="15" s="1"/>
  <c r="L381" i="15"/>
  <c r="L383" i="15"/>
  <c r="L382" i="15"/>
  <c r="AK9" i="15"/>
  <c r="U10" i="15"/>
  <c r="U85" i="15" s="1"/>
  <c r="T85" i="15" s="1"/>
  <c r="T383" i="1"/>
  <c r="T381" i="1"/>
  <c r="T382" i="1"/>
  <c r="AB379" i="16"/>
  <c r="AK379" i="16"/>
  <c r="X379" i="16"/>
  <c r="AC379" i="16"/>
  <c r="L379" i="16"/>
  <c r="B37" i="19" s="1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AJ3" i="1"/>
  <c r="AJ8" i="1"/>
  <c r="D383" i="1"/>
  <c r="D9" i="1"/>
  <c r="D11" i="1" s="1"/>
  <c r="E35" i="19" s="1"/>
  <c r="D382" i="1"/>
  <c r="D381" i="1"/>
  <c r="E379" i="1"/>
  <c r="I15" i="7"/>
  <c r="Q10" i="15"/>
  <c r="Q37" i="15" s="1"/>
  <c r="I16" i="7"/>
  <c r="U149" i="15"/>
  <c r="T149" i="15" s="1"/>
  <c r="S149" i="15" s="1"/>
  <c r="R149" i="15" s="1"/>
  <c r="U231" i="15"/>
  <c r="T231" i="15" s="1"/>
  <c r="U284" i="15"/>
  <c r="T284" i="15" s="1"/>
  <c r="U316" i="15"/>
  <c r="T316" i="15" s="1"/>
  <c r="U348" i="15"/>
  <c r="T348" i="15" s="1"/>
  <c r="S348" i="15" s="1"/>
  <c r="R348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45" i="15"/>
  <c r="AH45" i="15" s="1"/>
  <c r="AI77" i="15"/>
  <c r="AH77" i="15" s="1"/>
  <c r="AI109" i="15"/>
  <c r="AH109" i="15" s="1"/>
  <c r="AI141" i="15"/>
  <c r="AI167" i="15"/>
  <c r="AI183" i="15"/>
  <c r="AH183" i="15" s="1"/>
  <c r="AI199" i="15"/>
  <c r="AH199" i="15" s="1"/>
  <c r="AI215" i="15"/>
  <c r="AH215" i="15" s="1"/>
  <c r="AI231" i="15"/>
  <c r="AH231" i="15" s="1"/>
  <c r="AI247" i="15"/>
  <c r="AI263" i="15"/>
  <c r="AH263" i="15" s="1"/>
  <c r="AI279" i="15"/>
  <c r="AH279" i="15" s="1"/>
  <c r="AI295" i="15"/>
  <c r="AI311" i="15"/>
  <c r="AH311" i="15" s="1"/>
  <c r="AI327" i="15"/>
  <c r="AI337" i="15"/>
  <c r="AH337" i="15" s="1"/>
  <c r="AI345" i="15"/>
  <c r="AH345" i="15" s="1"/>
  <c r="AI353" i="15"/>
  <c r="AH353" i="15" s="1"/>
  <c r="AI361" i="15"/>
  <c r="AI369" i="15"/>
  <c r="AI377" i="15"/>
  <c r="A374" i="25"/>
  <c r="L373" i="25"/>
  <c r="K373" i="25"/>
  <c r="AJ373" i="25"/>
  <c r="AK373" i="25"/>
  <c r="X373" i="25"/>
  <c r="AB373" i="25"/>
  <c r="O373" i="25"/>
  <c r="AC373" i="25"/>
  <c r="AI373" i="15" l="1"/>
  <c r="AH373" i="15" s="1"/>
  <c r="AG373" i="15" s="1"/>
  <c r="AF373" i="15" s="1"/>
  <c r="AI365" i="15"/>
  <c r="AH365" i="15" s="1"/>
  <c r="AI357" i="15"/>
  <c r="AH357" i="15" s="1"/>
  <c r="AG357" i="15" s="1"/>
  <c r="AF357" i="15" s="1"/>
  <c r="AI349" i="15"/>
  <c r="AH349" i="15" s="1"/>
  <c r="AG349" i="15" s="1"/>
  <c r="AF349" i="15" s="1"/>
  <c r="AI341" i="15"/>
  <c r="AH341" i="15" s="1"/>
  <c r="AG341" i="15" s="1"/>
  <c r="AF341" i="15" s="1"/>
  <c r="AI333" i="15"/>
  <c r="AH333" i="15" s="1"/>
  <c r="AG333" i="15" s="1"/>
  <c r="AF333" i="15" s="1"/>
  <c r="AI319" i="15"/>
  <c r="AH319" i="15" s="1"/>
  <c r="AI303" i="15"/>
  <c r="AH303" i="15" s="1"/>
  <c r="AG303" i="15" s="1"/>
  <c r="AF303" i="15" s="1"/>
  <c r="AI287" i="15"/>
  <c r="AI271" i="15"/>
  <c r="AH271" i="15" s="1"/>
  <c r="AG271" i="15" s="1"/>
  <c r="AF271" i="15" s="1"/>
  <c r="AI255" i="15"/>
  <c r="AH255" i="15" s="1"/>
  <c r="AI239" i="15"/>
  <c r="AH239" i="15" s="1"/>
  <c r="AG239" i="15" s="1"/>
  <c r="AF239" i="15" s="1"/>
  <c r="AI223" i="15"/>
  <c r="AI207" i="15"/>
  <c r="AH207" i="15" s="1"/>
  <c r="AG207" i="15" s="1"/>
  <c r="AF207" i="15" s="1"/>
  <c r="AI191" i="15"/>
  <c r="AI175" i="15"/>
  <c r="AH175" i="15" s="1"/>
  <c r="AG175" i="15" s="1"/>
  <c r="AF175" i="15" s="1"/>
  <c r="AI157" i="15"/>
  <c r="AI125" i="15"/>
  <c r="AH125" i="15" s="1"/>
  <c r="AG125" i="15" s="1"/>
  <c r="AF125" i="15" s="1"/>
  <c r="AI93" i="15"/>
  <c r="AI61" i="15"/>
  <c r="AH61" i="15" s="1"/>
  <c r="AI29" i="15"/>
  <c r="AH29" i="15" s="1"/>
  <c r="U364" i="15"/>
  <c r="T364" i="15" s="1"/>
  <c r="S364" i="15" s="1"/>
  <c r="R364" i="15" s="1"/>
  <c r="U332" i="15"/>
  <c r="T332" i="15" s="1"/>
  <c r="S332" i="15" s="1"/>
  <c r="R332" i="15" s="1"/>
  <c r="U300" i="15"/>
  <c r="T300" i="15" s="1"/>
  <c r="S300" i="15" s="1"/>
  <c r="R300" i="15" s="1"/>
  <c r="U263" i="15"/>
  <c r="T263" i="15" s="1"/>
  <c r="S263" i="15" s="1"/>
  <c r="R263" i="15" s="1"/>
  <c r="U199" i="15"/>
  <c r="T199" i="15" s="1"/>
  <c r="S199" i="15" s="1"/>
  <c r="R199" i="15" s="1"/>
  <c r="Q304" i="15"/>
  <c r="O381" i="15"/>
  <c r="C36" i="19"/>
  <c r="Q368" i="15"/>
  <c r="Q214" i="15"/>
  <c r="Q336" i="15"/>
  <c r="Q272" i="15"/>
  <c r="Q150" i="15"/>
  <c r="Q352" i="15"/>
  <c r="Q320" i="15"/>
  <c r="P320" i="15" s="1"/>
  <c r="V320" i="15" s="1"/>
  <c r="Q288" i="15"/>
  <c r="Q246" i="15"/>
  <c r="Q182" i="15"/>
  <c r="Q118" i="15"/>
  <c r="U37" i="15"/>
  <c r="T37" i="15" s="1"/>
  <c r="S37" i="15" s="1"/>
  <c r="R37" i="15" s="1"/>
  <c r="P37" i="15" s="1"/>
  <c r="V37" i="15" s="1"/>
  <c r="U69" i="15"/>
  <c r="T69" i="15" s="1"/>
  <c r="S69" i="15" s="1"/>
  <c r="R69" i="15" s="1"/>
  <c r="U101" i="15"/>
  <c r="T101" i="15" s="1"/>
  <c r="S101" i="15" s="1"/>
  <c r="R101" i="15" s="1"/>
  <c r="U133" i="15"/>
  <c r="T133" i="15" s="1"/>
  <c r="S133" i="15" s="1"/>
  <c r="R133" i="15" s="1"/>
  <c r="U165" i="15"/>
  <c r="T165" i="15" s="1"/>
  <c r="U191" i="15"/>
  <c r="T191" i="15" s="1"/>
  <c r="S191" i="15" s="1"/>
  <c r="R191" i="15" s="1"/>
  <c r="U207" i="15"/>
  <c r="T207" i="15" s="1"/>
  <c r="S207" i="15" s="1"/>
  <c r="R207" i="15" s="1"/>
  <c r="U223" i="15"/>
  <c r="T223" i="15" s="1"/>
  <c r="S223" i="15" s="1"/>
  <c r="R223" i="15" s="1"/>
  <c r="U239" i="15"/>
  <c r="T239" i="15" s="1"/>
  <c r="S239" i="15" s="1"/>
  <c r="R239" i="15" s="1"/>
  <c r="U255" i="15"/>
  <c r="T255" i="15" s="1"/>
  <c r="S255" i="15" s="1"/>
  <c r="R255" i="15" s="1"/>
  <c r="U271" i="15"/>
  <c r="T271" i="15" s="1"/>
  <c r="S271" i="15" s="1"/>
  <c r="R271" i="15" s="1"/>
  <c r="U280" i="15"/>
  <c r="T280" i="15" s="1"/>
  <c r="S280" i="15" s="1"/>
  <c r="R280" i="15" s="1"/>
  <c r="U288" i="15"/>
  <c r="T288" i="15" s="1"/>
  <c r="S288" i="15" s="1"/>
  <c r="R288" i="15" s="1"/>
  <c r="U296" i="15"/>
  <c r="T296" i="15" s="1"/>
  <c r="S296" i="15" s="1"/>
  <c r="R296" i="15" s="1"/>
  <c r="U304" i="15"/>
  <c r="T304" i="15" s="1"/>
  <c r="S304" i="15" s="1"/>
  <c r="R304" i="15" s="1"/>
  <c r="U312" i="15"/>
  <c r="T312" i="15" s="1"/>
  <c r="S312" i="15" s="1"/>
  <c r="R312" i="15" s="1"/>
  <c r="U320" i="15"/>
  <c r="T320" i="15" s="1"/>
  <c r="S320" i="15" s="1"/>
  <c r="R320" i="15" s="1"/>
  <c r="U328" i="15"/>
  <c r="T328" i="15" s="1"/>
  <c r="S328" i="15" s="1"/>
  <c r="R328" i="15" s="1"/>
  <c r="U336" i="15"/>
  <c r="T336" i="15" s="1"/>
  <c r="S336" i="15" s="1"/>
  <c r="R336" i="15" s="1"/>
  <c r="U344" i="15"/>
  <c r="T344" i="15" s="1"/>
  <c r="S344" i="15" s="1"/>
  <c r="R344" i="15" s="1"/>
  <c r="U352" i="15"/>
  <c r="T352" i="15" s="1"/>
  <c r="S352" i="15" s="1"/>
  <c r="R352" i="15" s="1"/>
  <c r="U360" i="15"/>
  <c r="T360" i="15" s="1"/>
  <c r="S360" i="15" s="1"/>
  <c r="R360" i="15" s="1"/>
  <c r="U368" i="15"/>
  <c r="T368" i="15" s="1"/>
  <c r="S368" i="15" s="1"/>
  <c r="R368" i="15" s="1"/>
  <c r="U376" i="15"/>
  <c r="T376" i="15" s="1"/>
  <c r="S376" i="15" s="1"/>
  <c r="R376" i="15" s="1"/>
  <c r="AI24" i="15"/>
  <c r="AH24" i="15" s="1"/>
  <c r="AI21" i="15"/>
  <c r="AH21" i="15" s="1"/>
  <c r="AG21" i="15" s="1"/>
  <c r="AF21" i="15" s="1"/>
  <c r="AI33" i="15"/>
  <c r="AI41" i="15"/>
  <c r="AH41" i="15" s="1"/>
  <c r="AI49" i="15"/>
  <c r="AH49" i="15" s="1"/>
  <c r="AI57" i="15"/>
  <c r="AH57" i="15" s="1"/>
  <c r="AG57" i="15" s="1"/>
  <c r="AF57" i="15" s="1"/>
  <c r="AI65" i="15"/>
  <c r="AH65" i="15" s="1"/>
  <c r="AI73" i="15"/>
  <c r="AH73" i="15" s="1"/>
  <c r="AG73" i="15" s="1"/>
  <c r="AF73" i="15" s="1"/>
  <c r="AI81" i="15"/>
  <c r="AI89" i="15"/>
  <c r="AH89" i="15" s="1"/>
  <c r="AG89" i="15" s="1"/>
  <c r="AF89" i="15" s="1"/>
  <c r="AI97" i="15"/>
  <c r="AH97" i="15" s="1"/>
  <c r="AI105" i="15"/>
  <c r="AH105" i="15" s="1"/>
  <c r="AG105" i="15" s="1"/>
  <c r="AF105" i="15" s="1"/>
  <c r="AI113" i="15"/>
  <c r="AI121" i="15"/>
  <c r="AH121" i="15" s="1"/>
  <c r="AI129" i="15"/>
  <c r="AH129" i="15" s="1"/>
  <c r="AI137" i="15"/>
  <c r="AH137" i="15" s="1"/>
  <c r="AI145" i="15"/>
  <c r="AH145" i="15" s="1"/>
  <c r="AI153" i="15"/>
  <c r="AH153" i="15" s="1"/>
  <c r="AG153" i="15" s="1"/>
  <c r="AF153" i="15" s="1"/>
  <c r="AI161" i="15"/>
  <c r="AH161" i="15" s="1"/>
  <c r="AI165" i="15"/>
  <c r="AH165" i="15" s="1"/>
  <c r="AI169" i="15"/>
  <c r="AH169" i="15" s="1"/>
  <c r="AI173" i="15"/>
  <c r="AH173" i="15" s="1"/>
  <c r="AI177" i="15"/>
  <c r="AH177" i="15" s="1"/>
  <c r="AI181" i="15"/>
  <c r="AH181" i="15" s="1"/>
  <c r="AI185" i="15"/>
  <c r="AI189" i="15"/>
  <c r="AH189" i="15" s="1"/>
  <c r="AG189" i="15" s="1"/>
  <c r="AF189" i="15" s="1"/>
  <c r="AI193" i="15"/>
  <c r="AI197" i="15"/>
  <c r="AH197" i="15" s="1"/>
  <c r="AG197" i="15" s="1"/>
  <c r="AF197" i="15" s="1"/>
  <c r="AI201" i="15"/>
  <c r="AH201" i="15" s="1"/>
  <c r="AI205" i="15"/>
  <c r="AH205" i="15" s="1"/>
  <c r="AI209" i="15"/>
  <c r="AI213" i="15"/>
  <c r="AH213" i="15" s="1"/>
  <c r="AG213" i="15" s="1"/>
  <c r="AF213" i="15" s="1"/>
  <c r="AI217" i="15"/>
  <c r="AH217" i="15" s="1"/>
  <c r="AI221" i="15"/>
  <c r="AH221" i="15" s="1"/>
  <c r="AG221" i="15" s="1"/>
  <c r="AF221" i="15" s="1"/>
  <c r="AI225" i="15"/>
  <c r="AI229" i="15"/>
  <c r="AH229" i="15" s="1"/>
  <c r="AI233" i="15"/>
  <c r="AI237" i="15"/>
  <c r="AH237" i="15" s="1"/>
  <c r="AG237" i="15" s="1"/>
  <c r="AF237" i="15" s="1"/>
  <c r="AI241" i="15"/>
  <c r="AH241" i="15" s="1"/>
  <c r="AI245" i="15"/>
  <c r="AH245" i="15" s="1"/>
  <c r="AI249" i="15"/>
  <c r="AH249" i="15" s="1"/>
  <c r="AI253" i="15"/>
  <c r="AH253" i="15" s="1"/>
  <c r="AG253" i="15" s="1"/>
  <c r="AF253" i="15" s="1"/>
  <c r="AI257" i="15"/>
  <c r="AH257" i="15" s="1"/>
  <c r="AI261" i="15"/>
  <c r="AH261" i="15" s="1"/>
  <c r="AG261" i="15" s="1"/>
  <c r="AF261" i="15" s="1"/>
  <c r="AI265" i="15"/>
  <c r="AH265" i="15" s="1"/>
  <c r="AI269" i="15"/>
  <c r="AH269" i="15" s="1"/>
  <c r="AG269" i="15" s="1"/>
  <c r="AF269" i="15" s="1"/>
  <c r="AI273" i="15"/>
  <c r="AH273" i="15" s="1"/>
  <c r="AI277" i="15"/>
  <c r="AH277" i="15" s="1"/>
  <c r="AG277" i="15" s="1"/>
  <c r="AF277" i="15" s="1"/>
  <c r="AI281" i="15"/>
  <c r="AH281" i="15" s="1"/>
  <c r="AI285" i="15"/>
  <c r="AH285" i="15" s="1"/>
  <c r="AG285" i="15" s="1"/>
  <c r="AF285" i="15" s="1"/>
  <c r="AI289" i="15"/>
  <c r="AH289" i="15" s="1"/>
  <c r="AI293" i="15"/>
  <c r="AH293" i="15" s="1"/>
  <c r="AI297" i="15"/>
  <c r="AI301" i="15"/>
  <c r="AH301" i="15" s="1"/>
  <c r="AG301" i="15" s="1"/>
  <c r="AF301" i="15" s="1"/>
  <c r="AI305" i="15"/>
  <c r="AI309" i="15"/>
  <c r="AH309" i="15" s="1"/>
  <c r="AG309" i="15" s="1"/>
  <c r="AF309" i="15" s="1"/>
  <c r="AI313" i="15"/>
  <c r="AH313" i="15" s="1"/>
  <c r="AI317" i="15"/>
  <c r="AH317" i="15" s="1"/>
  <c r="AG317" i="15" s="1"/>
  <c r="AF317" i="15" s="1"/>
  <c r="AI321" i="15"/>
  <c r="AI325" i="15"/>
  <c r="AH325" i="15" s="1"/>
  <c r="AI329" i="15"/>
  <c r="AH329" i="15" s="1"/>
  <c r="AI379" i="15"/>
  <c r="AH379" i="15" s="1"/>
  <c r="AI375" i="15"/>
  <c r="AH375" i="15" s="1"/>
  <c r="AI371" i="15"/>
  <c r="AH371" i="15" s="1"/>
  <c r="AI367" i="15"/>
  <c r="AH367" i="15" s="1"/>
  <c r="AI363" i="15"/>
  <c r="AH363" i="15" s="1"/>
  <c r="AI359" i="15"/>
  <c r="AH359" i="15" s="1"/>
  <c r="AI355" i="15"/>
  <c r="AH355" i="15" s="1"/>
  <c r="AI351" i="15"/>
  <c r="AH351" i="15" s="1"/>
  <c r="AI347" i="15"/>
  <c r="AH347" i="15" s="1"/>
  <c r="AG347" i="15" s="1"/>
  <c r="AF347" i="15" s="1"/>
  <c r="AI343" i="15"/>
  <c r="AI339" i="15"/>
  <c r="AH339" i="15" s="1"/>
  <c r="AI335" i="15"/>
  <c r="AI331" i="15"/>
  <c r="AH331" i="15" s="1"/>
  <c r="AI323" i="15"/>
  <c r="AH323" i="15" s="1"/>
  <c r="AI315" i="15"/>
  <c r="AH315" i="15" s="1"/>
  <c r="AG315" i="15" s="1"/>
  <c r="AF315" i="15" s="1"/>
  <c r="AI307" i="15"/>
  <c r="AH307" i="15" s="1"/>
  <c r="AI299" i="15"/>
  <c r="AH299" i="15" s="1"/>
  <c r="AG299" i="15" s="1"/>
  <c r="AF299" i="15" s="1"/>
  <c r="AI291" i="15"/>
  <c r="AH291" i="15" s="1"/>
  <c r="AI283" i="15"/>
  <c r="AH283" i="15" s="1"/>
  <c r="AG283" i="15" s="1"/>
  <c r="AF283" i="15" s="1"/>
  <c r="AI275" i="15"/>
  <c r="AI267" i="15"/>
  <c r="AH267" i="15" s="1"/>
  <c r="AG267" i="15" s="1"/>
  <c r="AF267" i="15" s="1"/>
  <c r="AI259" i="15"/>
  <c r="AH259" i="15" s="1"/>
  <c r="AI251" i="15"/>
  <c r="AH251" i="15" s="1"/>
  <c r="AG251" i="15" s="1"/>
  <c r="AF251" i="15" s="1"/>
  <c r="AI243" i="15"/>
  <c r="AI235" i="15"/>
  <c r="AH235" i="15" s="1"/>
  <c r="AG235" i="15" s="1"/>
  <c r="AF235" i="15" s="1"/>
  <c r="AI227" i="15"/>
  <c r="AH227" i="15" s="1"/>
  <c r="AI219" i="15"/>
  <c r="AH219" i="15" s="1"/>
  <c r="AG219" i="15" s="1"/>
  <c r="AF219" i="15" s="1"/>
  <c r="AI211" i="15"/>
  <c r="AH211" i="15" s="1"/>
  <c r="AI203" i="15"/>
  <c r="AH203" i="15" s="1"/>
  <c r="AI195" i="15"/>
  <c r="AH195" i="15" s="1"/>
  <c r="AI187" i="15"/>
  <c r="AH187" i="15" s="1"/>
  <c r="AG187" i="15" s="1"/>
  <c r="AF187" i="15" s="1"/>
  <c r="AI179" i="15"/>
  <c r="AI171" i="15"/>
  <c r="AH171" i="15" s="1"/>
  <c r="AG171" i="15" s="1"/>
  <c r="AF171" i="15" s="1"/>
  <c r="AI163" i="15"/>
  <c r="AH163" i="15" s="1"/>
  <c r="AI149" i="15"/>
  <c r="AH149" i="15" s="1"/>
  <c r="AI133" i="15"/>
  <c r="AI117" i="15"/>
  <c r="AH117" i="15" s="1"/>
  <c r="AI101" i="15"/>
  <c r="AH101" i="15" s="1"/>
  <c r="AI85" i="15"/>
  <c r="AH85" i="15" s="1"/>
  <c r="AG85" i="15" s="1"/>
  <c r="AF85" i="15" s="1"/>
  <c r="AI69" i="15"/>
  <c r="AH69" i="15" s="1"/>
  <c r="AI53" i="15"/>
  <c r="AH53" i="15" s="1"/>
  <c r="AG53" i="15" s="1"/>
  <c r="AF53" i="15" s="1"/>
  <c r="AI37" i="15"/>
  <c r="AH37" i="15" s="1"/>
  <c r="AI27" i="15"/>
  <c r="AH27" i="15" s="1"/>
  <c r="AG27" i="15" s="1"/>
  <c r="AF27" i="15" s="1"/>
  <c r="U372" i="15"/>
  <c r="T372" i="15" s="1"/>
  <c r="S372" i="15" s="1"/>
  <c r="R372" i="15" s="1"/>
  <c r="U356" i="15"/>
  <c r="T356" i="15" s="1"/>
  <c r="S356" i="15" s="1"/>
  <c r="R356" i="15" s="1"/>
  <c r="U340" i="15"/>
  <c r="T340" i="15" s="1"/>
  <c r="S340" i="15" s="1"/>
  <c r="R340" i="15" s="1"/>
  <c r="U324" i="15"/>
  <c r="T324" i="15" s="1"/>
  <c r="S324" i="15" s="1"/>
  <c r="R324" i="15" s="1"/>
  <c r="U308" i="15"/>
  <c r="T308" i="15" s="1"/>
  <c r="S308" i="15" s="1"/>
  <c r="R308" i="15" s="1"/>
  <c r="U292" i="15"/>
  <c r="T292" i="15" s="1"/>
  <c r="S292" i="15" s="1"/>
  <c r="R292" i="15" s="1"/>
  <c r="U276" i="15"/>
  <c r="T276" i="15" s="1"/>
  <c r="U247" i="15"/>
  <c r="T247" i="15" s="1"/>
  <c r="S247" i="15" s="1"/>
  <c r="R247" i="15" s="1"/>
  <c r="U215" i="15"/>
  <c r="T215" i="15" s="1"/>
  <c r="S215" i="15" s="1"/>
  <c r="R215" i="15" s="1"/>
  <c r="U181" i="15"/>
  <c r="T181" i="15" s="1"/>
  <c r="S181" i="15" s="1"/>
  <c r="R181" i="15" s="1"/>
  <c r="U117" i="15"/>
  <c r="T117" i="15" s="1"/>
  <c r="S117" i="15" s="1"/>
  <c r="R117" i="15" s="1"/>
  <c r="U53" i="15"/>
  <c r="T53" i="15" s="1"/>
  <c r="S53" i="15" s="1"/>
  <c r="R53" i="15" s="1"/>
  <c r="Q376" i="15"/>
  <c r="Q360" i="15"/>
  <c r="Q344" i="15"/>
  <c r="Q328" i="15"/>
  <c r="Q312" i="15"/>
  <c r="Q296" i="15"/>
  <c r="Q280" i="15"/>
  <c r="Q262" i="15"/>
  <c r="Q230" i="15"/>
  <c r="Q198" i="15"/>
  <c r="Q166" i="15"/>
  <c r="Q134" i="15"/>
  <c r="Q92" i="15"/>
  <c r="Q372" i="15"/>
  <c r="Q364" i="15"/>
  <c r="Q356" i="15"/>
  <c r="Q348" i="15"/>
  <c r="P348" i="15" s="1"/>
  <c r="V348" i="15" s="1"/>
  <c r="Q340" i="15"/>
  <c r="Q332" i="15"/>
  <c r="Q324" i="15"/>
  <c r="Q316" i="15"/>
  <c r="Q308" i="15"/>
  <c r="Q300" i="15"/>
  <c r="Q292" i="15"/>
  <c r="Q284" i="15"/>
  <c r="Q276" i="15"/>
  <c r="Q268" i="15"/>
  <c r="Q254" i="15"/>
  <c r="Q238" i="15"/>
  <c r="Q222" i="15"/>
  <c r="Q206" i="15"/>
  <c r="Q190" i="15"/>
  <c r="Q174" i="15"/>
  <c r="Q158" i="15"/>
  <c r="Q142" i="15"/>
  <c r="Q126" i="15"/>
  <c r="Q108" i="15"/>
  <c r="Q76" i="15"/>
  <c r="Q378" i="15"/>
  <c r="Q374" i="15"/>
  <c r="Q370" i="15"/>
  <c r="Q366" i="15"/>
  <c r="Q362" i="15"/>
  <c r="Q358" i="15"/>
  <c r="Q354" i="15"/>
  <c r="Q350" i="15"/>
  <c r="Q346" i="15"/>
  <c r="Q342" i="15"/>
  <c r="Q338" i="15"/>
  <c r="Q334" i="15"/>
  <c r="Q330" i="15"/>
  <c r="Q326" i="15"/>
  <c r="Q322" i="15"/>
  <c r="Q318" i="15"/>
  <c r="Q314" i="15"/>
  <c r="Q310" i="15"/>
  <c r="Q306" i="15"/>
  <c r="Q302" i="15"/>
  <c r="Q298" i="15"/>
  <c r="Q294" i="15"/>
  <c r="Q290" i="15"/>
  <c r="Q286" i="15"/>
  <c r="Q282" i="15"/>
  <c r="Q278" i="15"/>
  <c r="Q274" i="15"/>
  <c r="Q270" i="15"/>
  <c r="Q266" i="15"/>
  <c r="Q258" i="15"/>
  <c r="Q250" i="15"/>
  <c r="Q242" i="15"/>
  <c r="Q234" i="15"/>
  <c r="Q226" i="15"/>
  <c r="Q218" i="15"/>
  <c r="Q210" i="15"/>
  <c r="Q202" i="15"/>
  <c r="Q194" i="15"/>
  <c r="Q186" i="15"/>
  <c r="Q178" i="15"/>
  <c r="Q170" i="15"/>
  <c r="Q162" i="15"/>
  <c r="Q154" i="15"/>
  <c r="Q146" i="15"/>
  <c r="Q138" i="15"/>
  <c r="Q130" i="15"/>
  <c r="Q122" i="15"/>
  <c r="Q114" i="15"/>
  <c r="Q100" i="15"/>
  <c r="Q84" i="15"/>
  <c r="Q68" i="15"/>
  <c r="Q11" i="19"/>
  <c r="O11" i="19"/>
  <c r="AM9" i="15"/>
  <c r="Q264" i="15"/>
  <c r="Q260" i="15"/>
  <c r="Q256" i="15"/>
  <c r="Q252" i="15"/>
  <c r="Q248" i="15"/>
  <c r="Q244" i="15"/>
  <c r="Q240" i="15"/>
  <c r="Q236" i="15"/>
  <c r="Q232" i="15"/>
  <c r="Q228" i="15"/>
  <c r="Q224" i="15"/>
  <c r="Q220" i="15"/>
  <c r="Q216" i="15"/>
  <c r="Q212" i="15"/>
  <c r="Q208" i="15"/>
  <c r="Q204" i="15"/>
  <c r="Q200" i="15"/>
  <c r="Q196" i="15"/>
  <c r="Q192" i="15"/>
  <c r="Q188" i="15"/>
  <c r="Q184" i="15"/>
  <c r="Q180" i="15"/>
  <c r="Q176" i="15"/>
  <c r="Q172" i="15"/>
  <c r="Q168" i="15"/>
  <c r="Q164" i="15"/>
  <c r="Q160" i="15"/>
  <c r="Q156" i="15"/>
  <c r="Q152" i="15"/>
  <c r="Q148" i="15"/>
  <c r="Q144" i="15"/>
  <c r="Q140" i="15"/>
  <c r="Q136" i="15"/>
  <c r="Q132" i="15"/>
  <c r="Q128" i="15"/>
  <c r="Q124" i="15"/>
  <c r="Q120" i="15"/>
  <c r="Q116" i="15"/>
  <c r="Q112" i="15"/>
  <c r="Q104" i="15"/>
  <c r="Q96" i="15"/>
  <c r="Q88" i="15"/>
  <c r="Q80" i="15"/>
  <c r="Q72" i="15"/>
  <c r="Q53" i="15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0" i="15"/>
  <c r="T30" i="15" s="1"/>
  <c r="S30" i="15" s="1"/>
  <c r="R30" i="15" s="1"/>
  <c r="U32" i="15"/>
  <c r="T32" i="15" s="1"/>
  <c r="S32" i="15" s="1"/>
  <c r="R32" i="15" s="1"/>
  <c r="U34" i="15"/>
  <c r="T34" i="15" s="1"/>
  <c r="S34" i="15" s="1"/>
  <c r="R34" i="15" s="1"/>
  <c r="U36" i="15"/>
  <c r="T36" i="15" s="1"/>
  <c r="S36" i="15" s="1"/>
  <c r="R36" i="15" s="1"/>
  <c r="U38" i="15"/>
  <c r="T38" i="15" s="1"/>
  <c r="S38" i="15" s="1"/>
  <c r="R38" i="15" s="1"/>
  <c r="U40" i="15"/>
  <c r="T40" i="15" s="1"/>
  <c r="S40" i="15" s="1"/>
  <c r="R40" i="15" s="1"/>
  <c r="U42" i="15"/>
  <c r="T42" i="15" s="1"/>
  <c r="S42" i="15" s="1"/>
  <c r="R42" i="15" s="1"/>
  <c r="U44" i="15"/>
  <c r="T44" i="15" s="1"/>
  <c r="S44" i="15" s="1"/>
  <c r="R44" i="15" s="1"/>
  <c r="U46" i="15"/>
  <c r="T46" i="15" s="1"/>
  <c r="S46" i="15" s="1"/>
  <c r="R46" i="15" s="1"/>
  <c r="U48" i="15"/>
  <c r="T48" i="15" s="1"/>
  <c r="S48" i="15" s="1"/>
  <c r="R48" i="15" s="1"/>
  <c r="U50" i="15"/>
  <c r="T50" i="15" s="1"/>
  <c r="S50" i="15" s="1"/>
  <c r="R50" i="15" s="1"/>
  <c r="U52" i="15"/>
  <c r="T52" i="15" s="1"/>
  <c r="S52" i="15" s="1"/>
  <c r="R52" i="15" s="1"/>
  <c r="U54" i="15"/>
  <c r="T54" i="15" s="1"/>
  <c r="S54" i="15" s="1"/>
  <c r="R54" i="15" s="1"/>
  <c r="U56" i="15"/>
  <c r="T56" i="15" s="1"/>
  <c r="S56" i="15" s="1"/>
  <c r="R56" i="15" s="1"/>
  <c r="U58" i="15"/>
  <c r="T58" i="15" s="1"/>
  <c r="S58" i="15" s="1"/>
  <c r="R58" i="15" s="1"/>
  <c r="U60" i="15"/>
  <c r="T60" i="15" s="1"/>
  <c r="S60" i="15" s="1"/>
  <c r="R60" i="15" s="1"/>
  <c r="U62" i="15"/>
  <c r="T62" i="15" s="1"/>
  <c r="S62" i="15" s="1"/>
  <c r="R62" i="15" s="1"/>
  <c r="U64" i="15"/>
  <c r="T64" i="15" s="1"/>
  <c r="S64" i="15" s="1"/>
  <c r="R64" i="15" s="1"/>
  <c r="U66" i="15"/>
  <c r="T66" i="15" s="1"/>
  <c r="S66" i="15" s="1"/>
  <c r="R66" i="15" s="1"/>
  <c r="U68" i="15"/>
  <c r="T68" i="15" s="1"/>
  <c r="S68" i="15" s="1"/>
  <c r="R68" i="15" s="1"/>
  <c r="P68" i="15" s="1"/>
  <c r="V68" i="15" s="1"/>
  <c r="U70" i="15"/>
  <c r="T70" i="15" s="1"/>
  <c r="S70" i="15" s="1"/>
  <c r="R70" i="15" s="1"/>
  <c r="U72" i="15"/>
  <c r="T72" i="15" s="1"/>
  <c r="S72" i="15" s="1"/>
  <c r="R72" i="15" s="1"/>
  <c r="U74" i="15"/>
  <c r="T74" i="15" s="1"/>
  <c r="S74" i="15" s="1"/>
  <c r="R74" i="15" s="1"/>
  <c r="U76" i="15"/>
  <c r="T76" i="15" s="1"/>
  <c r="S76" i="15" s="1"/>
  <c r="R76" i="15" s="1"/>
  <c r="U78" i="15"/>
  <c r="T78" i="15" s="1"/>
  <c r="S78" i="15" s="1"/>
  <c r="R78" i="15" s="1"/>
  <c r="U80" i="15"/>
  <c r="T80" i="15" s="1"/>
  <c r="S80" i="15" s="1"/>
  <c r="R80" i="15" s="1"/>
  <c r="P80" i="15" s="1"/>
  <c r="V80" i="15" s="1"/>
  <c r="U82" i="15"/>
  <c r="T82" i="15" s="1"/>
  <c r="S82" i="15" s="1"/>
  <c r="R82" i="15" s="1"/>
  <c r="U84" i="15"/>
  <c r="T84" i="15" s="1"/>
  <c r="S84" i="15" s="1"/>
  <c r="R84" i="15" s="1"/>
  <c r="U86" i="15"/>
  <c r="T86" i="15" s="1"/>
  <c r="S86" i="15" s="1"/>
  <c r="R86" i="15" s="1"/>
  <c r="U88" i="15"/>
  <c r="T88" i="15" s="1"/>
  <c r="S88" i="15" s="1"/>
  <c r="R88" i="15" s="1"/>
  <c r="U90" i="15"/>
  <c r="T90" i="15" s="1"/>
  <c r="S90" i="15" s="1"/>
  <c r="R90" i="15" s="1"/>
  <c r="U92" i="15"/>
  <c r="T92" i="15" s="1"/>
  <c r="S92" i="15" s="1"/>
  <c r="R92" i="15" s="1"/>
  <c r="U94" i="15"/>
  <c r="T94" i="15" s="1"/>
  <c r="S94" i="15" s="1"/>
  <c r="R94" i="15" s="1"/>
  <c r="U96" i="15"/>
  <c r="T96" i="15" s="1"/>
  <c r="S96" i="15" s="1"/>
  <c r="R96" i="15" s="1"/>
  <c r="P96" i="15" s="1"/>
  <c r="V96" i="15" s="1"/>
  <c r="U98" i="15"/>
  <c r="T98" i="15" s="1"/>
  <c r="S98" i="15" s="1"/>
  <c r="R98" i="15" s="1"/>
  <c r="U100" i="15"/>
  <c r="T100" i="15" s="1"/>
  <c r="S100" i="15" s="1"/>
  <c r="R100" i="15" s="1"/>
  <c r="P100" i="15" s="1"/>
  <c r="V100" i="15" s="1"/>
  <c r="U102" i="15"/>
  <c r="T102" i="15" s="1"/>
  <c r="S102" i="15" s="1"/>
  <c r="R102" i="15" s="1"/>
  <c r="U104" i="15"/>
  <c r="T104" i="15" s="1"/>
  <c r="S104" i="15" s="1"/>
  <c r="R104" i="15" s="1"/>
  <c r="U106" i="15"/>
  <c r="T106" i="15" s="1"/>
  <c r="S106" i="15" s="1"/>
  <c r="R106" i="15" s="1"/>
  <c r="U108" i="15"/>
  <c r="T108" i="15" s="1"/>
  <c r="S108" i="15" s="1"/>
  <c r="R108" i="15" s="1"/>
  <c r="U110" i="15"/>
  <c r="T110" i="15" s="1"/>
  <c r="S110" i="15" s="1"/>
  <c r="R110" i="15" s="1"/>
  <c r="U112" i="15"/>
  <c r="T112" i="15" s="1"/>
  <c r="S112" i="15" s="1"/>
  <c r="R112" i="15" s="1"/>
  <c r="P112" i="15" s="1"/>
  <c r="V112" i="15" s="1"/>
  <c r="U114" i="15"/>
  <c r="T114" i="15" s="1"/>
  <c r="S114" i="15" s="1"/>
  <c r="R114" i="15" s="1"/>
  <c r="P114" i="15" s="1"/>
  <c r="V114" i="15" s="1"/>
  <c r="U116" i="15"/>
  <c r="T116" i="15" s="1"/>
  <c r="S116" i="15" s="1"/>
  <c r="R116" i="15" s="1"/>
  <c r="U118" i="15"/>
  <c r="T118" i="15" s="1"/>
  <c r="S118" i="15" s="1"/>
  <c r="R118" i="15" s="1"/>
  <c r="U120" i="15"/>
  <c r="T120" i="15" s="1"/>
  <c r="S120" i="15" s="1"/>
  <c r="R120" i="15" s="1"/>
  <c r="P120" i="15" s="1"/>
  <c r="V120" i="15" s="1"/>
  <c r="U122" i="15"/>
  <c r="T122" i="15" s="1"/>
  <c r="S122" i="15" s="1"/>
  <c r="R122" i="15" s="1"/>
  <c r="U124" i="15"/>
  <c r="T124" i="15" s="1"/>
  <c r="S124" i="15" s="1"/>
  <c r="R124" i="15" s="1"/>
  <c r="U126" i="15"/>
  <c r="T126" i="15" s="1"/>
  <c r="S126" i="15" s="1"/>
  <c r="R126" i="15" s="1"/>
  <c r="U128" i="15"/>
  <c r="T128" i="15" s="1"/>
  <c r="S128" i="15" s="1"/>
  <c r="R128" i="15" s="1"/>
  <c r="P128" i="15" s="1"/>
  <c r="V128" i="15" s="1"/>
  <c r="U130" i="15"/>
  <c r="T130" i="15" s="1"/>
  <c r="S130" i="15" s="1"/>
  <c r="R130" i="15" s="1"/>
  <c r="P130" i="15" s="1"/>
  <c r="V130" i="15" s="1"/>
  <c r="U132" i="15"/>
  <c r="T132" i="15" s="1"/>
  <c r="S132" i="15" s="1"/>
  <c r="R132" i="15" s="1"/>
  <c r="U134" i="15"/>
  <c r="T134" i="15" s="1"/>
  <c r="S134" i="15" s="1"/>
  <c r="R134" i="15" s="1"/>
  <c r="U136" i="15"/>
  <c r="T136" i="15" s="1"/>
  <c r="U138" i="15"/>
  <c r="T138" i="15" s="1"/>
  <c r="S138" i="15" s="1"/>
  <c r="R138" i="15" s="1"/>
  <c r="U140" i="15"/>
  <c r="T140" i="15" s="1"/>
  <c r="S140" i="15" s="1"/>
  <c r="R140" i="15" s="1"/>
  <c r="U142" i="15"/>
  <c r="T142" i="15" s="1"/>
  <c r="S142" i="15" s="1"/>
  <c r="R142" i="15" s="1"/>
  <c r="P142" i="15" s="1"/>
  <c r="V142" i="15" s="1"/>
  <c r="U144" i="15"/>
  <c r="T144" i="15" s="1"/>
  <c r="S144" i="15" s="1"/>
  <c r="R144" i="15" s="1"/>
  <c r="P144" i="15" s="1"/>
  <c r="V144" i="15" s="1"/>
  <c r="U146" i="15"/>
  <c r="T146" i="15" s="1"/>
  <c r="S146" i="15" s="1"/>
  <c r="R146" i="15" s="1"/>
  <c r="P146" i="15" s="1"/>
  <c r="V146" i="15" s="1"/>
  <c r="U148" i="15"/>
  <c r="T148" i="15" s="1"/>
  <c r="S148" i="15" s="1"/>
  <c r="R148" i="15" s="1"/>
  <c r="U150" i="15"/>
  <c r="T150" i="15" s="1"/>
  <c r="S150" i="15" s="1"/>
  <c r="R150" i="15" s="1"/>
  <c r="U152" i="15"/>
  <c r="T152" i="15" s="1"/>
  <c r="S152" i="15" s="1"/>
  <c r="R152" i="15" s="1"/>
  <c r="P152" i="15" s="1"/>
  <c r="V152" i="15" s="1"/>
  <c r="U154" i="15"/>
  <c r="T154" i="15" s="1"/>
  <c r="S154" i="15" s="1"/>
  <c r="R154" i="15" s="1"/>
  <c r="U156" i="15"/>
  <c r="T156" i="15" s="1"/>
  <c r="S156" i="15" s="1"/>
  <c r="R156" i="15" s="1"/>
  <c r="U158" i="15"/>
  <c r="T158" i="15" s="1"/>
  <c r="S158" i="15" s="1"/>
  <c r="R158" i="15" s="1"/>
  <c r="U160" i="15"/>
  <c r="T160" i="15" s="1"/>
  <c r="S160" i="15" s="1"/>
  <c r="R160" i="15" s="1"/>
  <c r="P160" i="15" s="1"/>
  <c r="V160" i="15" s="1"/>
  <c r="U162" i="15"/>
  <c r="T162" i="15" s="1"/>
  <c r="S162" i="15" s="1"/>
  <c r="R162" i="15" s="1"/>
  <c r="P162" i="15" s="1"/>
  <c r="V162" i="15" s="1"/>
  <c r="U164" i="15"/>
  <c r="T164" i="15" s="1"/>
  <c r="S164" i="15" s="1"/>
  <c r="R164" i="15" s="1"/>
  <c r="U166" i="15"/>
  <c r="T166" i="15" s="1"/>
  <c r="S166" i="15" s="1"/>
  <c r="R166" i="15" s="1"/>
  <c r="P166" i="15" s="1"/>
  <c r="V166" i="15" s="1"/>
  <c r="U168" i="15"/>
  <c r="T168" i="15" s="1"/>
  <c r="S168" i="15" s="1"/>
  <c r="R168" i="15" s="1"/>
  <c r="P168" i="15" s="1"/>
  <c r="V168" i="15" s="1"/>
  <c r="U170" i="15"/>
  <c r="T170" i="15" s="1"/>
  <c r="S170" i="15" s="1"/>
  <c r="R170" i="15" s="1"/>
  <c r="U172" i="15"/>
  <c r="T172" i="15" s="1"/>
  <c r="S172" i="15" s="1"/>
  <c r="R172" i="15" s="1"/>
  <c r="U174" i="15"/>
  <c r="T174" i="15" s="1"/>
  <c r="S174" i="15" s="1"/>
  <c r="R174" i="15" s="1"/>
  <c r="P174" i="15" s="1"/>
  <c r="V174" i="15" s="1"/>
  <c r="U176" i="15"/>
  <c r="T176" i="15" s="1"/>
  <c r="S176" i="15" s="1"/>
  <c r="R176" i="15" s="1"/>
  <c r="P176" i="15" s="1"/>
  <c r="V176" i="15" s="1"/>
  <c r="U178" i="15"/>
  <c r="T178" i="15" s="1"/>
  <c r="S178" i="15" s="1"/>
  <c r="R178" i="15" s="1"/>
  <c r="P178" i="15" s="1"/>
  <c r="V178" i="15" s="1"/>
  <c r="U180" i="15"/>
  <c r="T180" i="15" s="1"/>
  <c r="S180" i="15" s="1"/>
  <c r="R180" i="15" s="1"/>
  <c r="U182" i="15"/>
  <c r="T182" i="15" s="1"/>
  <c r="S182" i="15" s="1"/>
  <c r="R182" i="15" s="1"/>
  <c r="U184" i="15"/>
  <c r="T184" i="15" s="1"/>
  <c r="S184" i="15" s="1"/>
  <c r="R184" i="15" s="1"/>
  <c r="P184" i="15" s="1"/>
  <c r="V184" i="15" s="1"/>
  <c r="U22" i="15"/>
  <c r="T22" i="15" s="1"/>
  <c r="S22" i="15" s="1"/>
  <c r="R22" i="15" s="1"/>
  <c r="U26" i="15"/>
  <c r="T26" i="15" s="1"/>
  <c r="S26" i="15" s="1"/>
  <c r="R26" i="15" s="1"/>
  <c r="U31" i="15"/>
  <c r="T31" i="15" s="1"/>
  <c r="S31" i="15" s="1"/>
  <c r="R31" i="15" s="1"/>
  <c r="U35" i="15"/>
  <c r="T35" i="15" s="1"/>
  <c r="S35" i="15" s="1"/>
  <c r="R35" i="15" s="1"/>
  <c r="U39" i="15"/>
  <c r="T39" i="15" s="1"/>
  <c r="S39" i="15" s="1"/>
  <c r="R39" i="15" s="1"/>
  <c r="U43" i="15"/>
  <c r="T43" i="15" s="1"/>
  <c r="S43" i="15" s="1"/>
  <c r="R43" i="15" s="1"/>
  <c r="U47" i="15"/>
  <c r="T47" i="15" s="1"/>
  <c r="S47" i="15" s="1"/>
  <c r="R47" i="15" s="1"/>
  <c r="U51" i="15"/>
  <c r="T51" i="15" s="1"/>
  <c r="S51" i="15" s="1"/>
  <c r="R51" i="15" s="1"/>
  <c r="U55" i="15"/>
  <c r="T55" i="15" s="1"/>
  <c r="S55" i="15" s="1"/>
  <c r="R55" i="15" s="1"/>
  <c r="U59" i="15"/>
  <c r="T59" i="15" s="1"/>
  <c r="S59" i="15" s="1"/>
  <c r="R59" i="15" s="1"/>
  <c r="U63" i="15"/>
  <c r="T63" i="15" s="1"/>
  <c r="S63" i="15" s="1"/>
  <c r="R63" i="15" s="1"/>
  <c r="U67" i="15"/>
  <c r="T67" i="15" s="1"/>
  <c r="S67" i="15" s="1"/>
  <c r="R67" i="15" s="1"/>
  <c r="U71" i="15"/>
  <c r="T71" i="15" s="1"/>
  <c r="S71" i="15" s="1"/>
  <c r="R71" i="15" s="1"/>
  <c r="U75" i="15"/>
  <c r="T75" i="15" s="1"/>
  <c r="S75" i="15" s="1"/>
  <c r="R75" i="15" s="1"/>
  <c r="U79" i="15"/>
  <c r="T79" i="15" s="1"/>
  <c r="S79" i="15" s="1"/>
  <c r="R79" i="15" s="1"/>
  <c r="U83" i="15"/>
  <c r="T83" i="15" s="1"/>
  <c r="S83" i="15" s="1"/>
  <c r="R83" i="15" s="1"/>
  <c r="U87" i="15"/>
  <c r="T87" i="15" s="1"/>
  <c r="S87" i="15" s="1"/>
  <c r="R87" i="15" s="1"/>
  <c r="U91" i="15"/>
  <c r="T91" i="15" s="1"/>
  <c r="S91" i="15" s="1"/>
  <c r="R91" i="15" s="1"/>
  <c r="U95" i="15"/>
  <c r="T95" i="15" s="1"/>
  <c r="S95" i="15" s="1"/>
  <c r="R95" i="15" s="1"/>
  <c r="U99" i="15"/>
  <c r="T99" i="15" s="1"/>
  <c r="S99" i="15" s="1"/>
  <c r="R99" i="15" s="1"/>
  <c r="U103" i="15"/>
  <c r="T103" i="15" s="1"/>
  <c r="S103" i="15" s="1"/>
  <c r="R103" i="15" s="1"/>
  <c r="U107" i="15"/>
  <c r="T107" i="15" s="1"/>
  <c r="S107" i="15" s="1"/>
  <c r="R107" i="15" s="1"/>
  <c r="U111" i="15"/>
  <c r="T111" i="15" s="1"/>
  <c r="S111" i="15" s="1"/>
  <c r="R111" i="15" s="1"/>
  <c r="U115" i="15"/>
  <c r="T115" i="15" s="1"/>
  <c r="S115" i="15" s="1"/>
  <c r="R115" i="15" s="1"/>
  <c r="U119" i="15"/>
  <c r="T119" i="15" s="1"/>
  <c r="S119" i="15" s="1"/>
  <c r="R119" i="15" s="1"/>
  <c r="U123" i="15"/>
  <c r="T123" i="15" s="1"/>
  <c r="S123" i="15" s="1"/>
  <c r="R123" i="15" s="1"/>
  <c r="U127" i="15"/>
  <c r="T127" i="15" s="1"/>
  <c r="S127" i="15" s="1"/>
  <c r="R127" i="15" s="1"/>
  <c r="U131" i="15"/>
  <c r="T131" i="15" s="1"/>
  <c r="S131" i="15" s="1"/>
  <c r="R131" i="15" s="1"/>
  <c r="U135" i="15"/>
  <c r="T135" i="15" s="1"/>
  <c r="S135" i="15" s="1"/>
  <c r="R135" i="15" s="1"/>
  <c r="U139" i="15"/>
  <c r="T139" i="15" s="1"/>
  <c r="S139" i="15" s="1"/>
  <c r="R139" i="15" s="1"/>
  <c r="U143" i="15"/>
  <c r="T143" i="15" s="1"/>
  <c r="S143" i="15" s="1"/>
  <c r="R143" i="15" s="1"/>
  <c r="U147" i="15"/>
  <c r="T147" i="15" s="1"/>
  <c r="S147" i="15" s="1"/>
  <c r="R147" i="15" s="1"/>
  <c r="U151" i="15"/>
  <c r="T151" i="15" s="1"/>
  <c r="S151" i="15" s="1"/>
  <c r="R151" i="15" s="1"/>
  <c r="U155" i="15"/>
  <c r="T155" i="15" s="1"/>
  <c r="S155" i="15" s="1"/>
  <c r="R155" i="15" s="1"/>
  <c r="U159" i="15"/>
  <c r="T159" i="15" s="1"/>
  <c r="S159" i="15" s="1"/>
  <c r="R159" i="15" s="1"/>
  <c r="U163" i="15"/>
  <c r="T163" i="15" s="1"/>
  <c r="S163" i="15" s="1"/>
  <c r="R163" i="15" s="1"/>
  <c r="U167" i="15"/>
  <c r="T167" i="15" s="1"/>
  <c r="S167" i="15" s="1"/>
  <c r="R167" i="15" s="1"/>
  <c r="U171" i="15"/>
  <c r="T171" i="15" s="1"/>
  <c r="S171" i="15" s="1"/>
  <c r="R171" i="15" s="1"/>
  <c r="U175" i="15"/>
  <c r="T175" i="15" s="1"/>
  <c r="S175" i="15" s="1"/>
  <c r="R175" i="15" s="1"/>
  <c r="U179" i="15"/>
  <c r="T179" i="15" s="1"/>
  <c r="S179" i="15" s="1"/>
  <c r="R179" i="15" s="1"/>
  <c r="U183" i="15"/>
  <c r="T183" i="15" s="1"/>
  <c r="S183" i="15" s="1"/>
  <c r="R183" i="15" s="1"/>
  <c r="U186" i="15"/>
  <c r="T186" i="15" s="1"/>
  <c r="S186" i="15" s="1"/>
  <c r="R186" i="15" s="1"/>
  <c r="P186" i="15" s="1"/>
  <c r="V186" i="15" s="1"/>
  <c r="U188" i="15"/>
  <c r="T188" i="15" s="1"/>
  <c r="S188" i="15" s="1"/>
  <c r="R188" i="15" s="1"/>
  <c r="P188" i="15" s="1"/>
  <c r="V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P196" i="15" s="1"/>
  <c r="V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P202" i="15" s="1"/>
  <c r="V202" i="15" s="1"/>
  <c r="U204" i="15"/>
  <c r="T204" i="15" s="1"/>
  <c r="S204" i="15" s="1"/>
  <c r="R204" i="15" s="1"/>
  <c r="P204" i="15" s="1"/>
  <c r="V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P212" i="15" s="1"/>
  <c r="V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P218" i="15" s="1"/>
  <c r="V218" i="15" s="1"/>
  <c r="U220" i="15"/>
  <c r="T220" i="15" s="1"/>
  <c r="S220" i="15" s="1"/>
  <c r="R220" i="15" s="1"/>
  <c r="P220" i="15" s="1"/>
  <c r="V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P228" i="15" s="1"/>
  <c r="V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P234" i="15" s="1"/>
  <c r="V234" i="15" s="1"/>
  <c r="U236" i="15"/>
  <c r="T236" i="15" s="1"/>
  <c r="S236" i="15" s="1"/>
  <c r="R236" i="15" s="1"/>
  <c r="P236" i="15" s="1"/>
  <c r="V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P244" i="15" s="1"/>
  <c r="V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P250" i="15" s="1"/>
  <c r="V250" i="15" s="1"/>
  <c r="U252" i="15"/>
  <c r="T252" i="15" s="1"/>
  <c r="S252" i="15" s="1"/>
  <c r="R252" i="15" s="1"/>
  <c r="P252" i="15" s="1"/>
  <c r="V252" i="15" s="1"/>
  <c r="U254" i="15"/>
  <c r="T254" i="15" s="1"/>
  <c r="S254" i="15" s="1"/>
  <c r="R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P260" i="15" s="1"/>
  <c r="V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P266" i="15" s="1"/>
  <c r="V266" i="15" s="1"/>
  <c r="U268" i="15"/>
  <c r="T268" i="15" s="1"/>
  <c r="S268" i="15" s="1"/>
  <c r="R268" i="15" s="1"/>
  <c r="P268" i="15" s="1"/>
  <c r="V268" i="15" s="1"/>
  <c r="U270" i="15"/>
  <c r="T270" i="15" s="1"/>
  <c r="S270" i="15" s="1"/>
  <c r="R270" i="15" s="1"/>
  <c r="U272" i="15"/>
  <c r="T272" i="15" s="1"/>
  <c r="S272" i="15" s="1"/>
  <c r="R272" i="15" s="1"/>
  <c r="U15" i="15"/>
  <c r="T15" i="15" s="1"/>
  <c r="U33" i="15"/>
  <c r="T33" i="15" s="1"/>
  <c r="S33" i="15" s="1"/>
  <c r="R33" i="15" s="1"/>
  <c r="U41" i="15"/>
  <c r="T41" i="15" s="1"/>
  <c r="S41" i="15" s="1"/>
  <c r="R41" i="15" s="1"/>
  <c r="U49" i="15"/>
  <c r="T49" i="15" s="1"/>
  <c r="S49" i="15" s="1"/>
  <c r="R49" i="15" s="1"/>
  <c r="U57" i="15"/>
  <c r="T57" i="15" s="1"/>
  <c r="S57" i="15" s="1"/>
  <c r="R57" i="15" s="1"/>
  <c r="U65" i="15"/>
  <c r="T65" i="15" s="1"/>
  <c r="S65" i="15" s="1"/>
  <c r="R65" i="15" s="1"/>
  <c r="U73" i="15"/>
  <c r="T73" i="15" s="1"/>
  <c r="S73" i="15" s="1"/>
  <c r="R73" i="15" s="1"/>
  <c r="U81" i="15"/>
  <c r="T81" i="15" s="1"/>
  <c r="S81" i="15" s="1"/>
  <c r="R81" i="15" s="1"/>
  <c r="U89" i="15"/>
  <c r="T89" i="15" s="1"/>
  <c r="S89" i="15" s="1"/>
  <c r="R89" i="15" s="1"/>
  <c r="U97" i="15"/>
  <c r="T97" i="15" s="1"/>
  <c r="S97" i="15" s="1"/>
  <c r="R97" i="15" s="1"/>
  <c r="U105" i="15"/>
  <c r="T105" i="15" s="1"/>
  <c r="S105" i="15" s="1"/>
  <c r="R105" i="15" s="1"/>
  <c r="U113" i="15"/>
  <c r="T113" i="15" s="1"/>
  <c r="S113" i="15" s="1"/>
  <c r="R113" i="15" s="1"/>
  <c r="U121" i="15"/>
  <c r="T121" i="15" s="1"/>
  <c r="S121" i="15" s="1"/>
  <c r="R121" i="15" s="1"/>
  <c r="U129" i="15"/>
  <c r="T129" i="15" s="1"/>
  <c r="S129" i="15" s="1"/>
  <c r="R129" i="15" s="1"/>
  <c r="U137" i="15"/>
  <c r="T137" i="15" s="1"/>
  <c r="S137" i="15" s="1"/>
  <c r="R137" i="15" s="1"/>
  <c r="U145" i="15"/>
  <c r="T145" i="15" s="1"/>
  <c r="S145" i="15" s="1"/>
  <c r="R145" i="15" s="1"/>
  <c r="U153" i="15"/>
  <c r="T153" i="15" s="1"/>
  <c r="S153" i="15" s="1"/>
  <c r="R153" i="15" s="1"/>
  <c r="U161" i="15"/>
  <c r="T161" i="15" s="1"/>
  <c r="S161" i="15" s="1"/>
  <c r="R161" i="15" s="1"/>
  <c r="U169" i="15"/>
  <c r="T169" i="15" s="1"/>
  <c r="S169" i="15" s="1"/>
  <c r="R169" i="15" s="1"/>
  <c r="U177" i="15"/>
  <c r="T177" i="15" s="1"/>
  <c r="S177" i="15" s="1"/>
  <c r="R177" i="15" s="1"/>
  <c r="U185" i="15"/>
  <c r="T185" i="15" s="1"/>
  <c r="S185" i="15" s="1"/>
  <c r="R185" i="15" s="1"/>
  <c r="U189" i="15"/>
  <c r="T189" i="15" s="1"/>
  <c r="S189" i="15" s="1"/>
  <c r="R189" i="15" s="1"/>
  <c r="U193" i="15"/>
  <c r="T193" i="15" s="1"/>
  <c r="S193" i="15" s="1"/>
  <c r="R193" i="15" s="1"/>
  <c r="U197" i="15"/>
  <c r="T197" i="15" s="1"/>
  <c r="S197" i="15" s="1"/>
  <c r="R197" i="15" s="1"/>
  <c r="U201" i="15"/>
  <c r="T201" i="15" s="1"/>
  <c r="S201" i="15" s="1"/>
  <c r="R201" i="15" s="1"/>
  <c r="U205" i="15"/>
  <c r="T205" i="15" s="1"/>
  <c r="S205" i="15" s="1"/>
  <c r="R205" i="15" s="1"/>
  <c r="U209" i="15"/>
  <c r="T209" i="15" s="1"/>
  <c r="S209" i="15" s="1"/>
  <c r="R209" i="15" s="1"/>
  <c r="U213" i="15"/>
  <c r="T213" i="15" s="1"/>
  <c r="S213" i="15" s="1"/>
  <c r="R213" i="15" s="1"/>
  <c r="U217" i="15"/>
  <c r="T217" i="15" s="1"/>
  <c r="S217" i="15" s="1"/>
  <c r="R217" i="15" s="1"/>
  <c r="U221" i="15"/>
  <c r="T221" i="15" s="1"/>
  <c r="S221" i="15" s="1"/>
  <c r="R221" i="15" s="1"/>
  <c r="U225" i="15"/>
  <c r="T225" i="15" s="1"/>
  <c r="S225" i="15" s="1"/>
  <c r="R225" i="15" s="1"/>
  <c r="U229" i="15"/>
  <c r="T229" i="15" s="1"/>
  <c r="S229" i="15" s="1"/>
  <c r="R229" i="15" s="1"/>
  <c r="U233" i="15"/>
  <c r="T233" i="15" s="1"/>
  <c r="U237" i="15"/>
  <c r="T237" i="15" s="1"/>
  <c r="S237" i="15" s="1"/>
  <c r="R237" i="15" s="1"/>
  <c r="U241" i="15"/>
  <c r="T241" i="15" s="1"/>
  <c r="S241" i="15" s="1"/>
  <c r="R241" i="15" s="1"/>
  <c r="U245" i="15"/>
  <c r="T245" i="15" s="1"/>
  <c r="S245" i="15" s="1"/>
  <c r="R245" i="15" s="1"/>
  <c r="U249" i="15"/>
  <c r="T249" i="15" s="1"/>
  <c r="S249" i="15" s="1"/>
  <c r="R249" i="15" s="1"/>
  <c r="U253" i="15"/>
  <c r="T253" i="15" s="1"/>
  <c r="S253" i="15" s="1"/>
  <c r="R253" i="15" s="1"/>
  <c r="U257" i="15"/>
  <c r="T257" i="15" s="1"/>
  <c r="S257" i="15" s="1"/>
  <c r="R257" i="15" s="1"/>
  <c r="U261" i="15"/>
  <c r="T261" i="15" s="1"/>
  <c r="S261" i="15" s="1"/>
  <c r="R261" i="15" s="1"/>
  <c r="U265" i="15"/>
  <c r="T265" i="15" s="1"/>
  <c r="S265" i="15" s="1"/>
  <c r="R265" i="15" s="1"/>
  <c r="U269" i="15"/>
  <c r="T269" i="15" s="1"/>
  <c r="S269" i="15" s="1"/>
  <c r="R269" i="15" s="1"/>
  <c r="U273" i="15"/>
  <c r="T273" i="15" s="1"/>
  <c r="S273" i="15" s="1"/>
  <c r="R273" i="15" s="1"/>
  <c r="U275" i="15"/>
  <c r="T275" i="15" s="1"/>
  <c r="S275" i="15" s="1"/>
  <c r="R275" i="15" s="1"/>
  <c r="U277" i="15"/>
  <c r="T277" i="15" s="1"/>
  <c r="S277" i="15" s="1"/>
  <c r="R277" i="15" s="1"/>
  <c r="U279" i="15"/>
  <c r="T279" i="15" s="1"/>
  <c r="S279" i="15" s="1"/>
  <c r="R279" i="15" s="1"/>
  <c r="U281" i="15"/>
  <c r="T281" i="15" s="1"/>
  <c r="S281" i="15" s="1"/>
  <c r="R281" i="15" s="1"/>
  <c r="U283" i="15"/>
  <c r="T283" i="15" s="1"/>
  <c r="S283" i="15" s="1"/>
  <c r="R283" i="15" s="1"/>
  <c r="U285" i="15"/>
  <c r="T285" i="15" s="1"/>
  <c r="S285" i="15" s="1"/>
  <c r="R285" i="15" s="1"/>
  <c r="U287" i="15"/>
  <c r="T287" i="15" s="1"/>
  <c r="S287" i="15" s="1"/>
  <c r="R287" i="15" s="1"/>
  <c r="U289" i="15"/>
  <c r="T289" i="15" s="1"/>
  <c r="S289" i="15" s="1"/>
  <c r="R289" i="15" s="1"/>
  <c r="U291" i="15"/>
  <c r="T291" i="15" s="1"/>
  <c r="S291" i="15" s="1"/>
  <c r="R291" i="15" s="1"/>
  <c r="U293" i="15"/>
  <c r="T293" i="15" s="1"/>
  <c r="S293" i="15" s="1"/>
  <c r="R293" i="15" s="1"/>
  <c r="U295" i="15"/>
  <c r="T295" i="15" s="1"/>
  <c r="S295" i="15" s="1"/>
  <c r="R295" i="15" s="1"/>
  <c r="U297" i="15"/>
  <c r="T297" i="15" s="1"/>
  <c r="S297" i="15" s="1"/>
  <c r="R297" i="15" s="1"/>
  <c r="U299" i="15"/>
  <c r="T299" i="15" s="1"/>
  <c r="S299" i="15" s="1"/>
  <c r="R299" i="15" s="1"/>
  <c r="U301" i="15"/>
  <c r="T301" i="15" s="1"/>
  <c r="S301" i="15" s="1"/>
  <c r="R301" i="15" s="1"/>
  <c r="U303" i="15"/>
  <c r="T303" i="15" s="1"/>
  <c r="S303" i="15" s="1"/>
  <c r="R303" i="15" s="1"/>
  <c r="U305" i="15"/>
  <c r="T305" i="15" s="1"/>
  <c r="S305" i="15" s="1"/>
  <c r="R305" i="15" s="1"/>
  <c r="U307" i="15"/>
  <c r="T307" i="15" s="1"/>
  <c r="S307" i="15" s="1"/>
  <c r="R307" i="15" s="1"/>
  <c r="U309" i="15"/>
  <c r="T309" i="15" s="1"/>
  <c r="S309" i="15" s="1"/>
  <c r="R309" i="15" s="1"/>
  <c r="U311" i="15"/>
  <c r="T311" i="15" s="1"/>
  <c r="S311" i="15" s="1"/>
  <c r="R311" i="15" s="1"/>
  <c r="U313" i="15"/>
  <c r="T313" i="15" s="1"/>
  <c r="S313" i="15" s="1"/>
  <c r="R313" i="15" s="1"/>
  <c r="U315" i="15"/>
  <c r="T315" i="15" s="1"/>
  <c r="S315" i="15" s="1"/>
  <c r="R315" i="15" s="1"/>
  <c r="U317" i="15"/>
  <c r="T317" i="15" s="1"/>
  <c r="S317" i="15" s="1"/>
  <c r="R317" i="15" s="1"/>
  <c r="U319" i="15"/>
  <c r="T319" i="15" s="1"/>
  <c r="S319" i="15" s="1"/>
  <c r="R319" i="15" s="1"/>
  <c r="U321" i="15"/>
  <c r="T321" i="15" s="1"/>
  <c r="S321" i="15" s="1"/>
  <c r="R321" i="15" s="1"/>
  <c r="U323" i="15"/>
  <c r="T323" i="15" s="1"/>
  <c r="S323" i="15" s="1"/>
  <c r="R323" i="15" s="1"/>
  <c r="U325" i="15"/>
  <c r="T325" i="15" s="1"/>
  <c r="S325" i="15" s="1"/>
  <c r="R325" i="15" s="1"/>
  <c r="U327" i="15"/>
  <c r="T327" i="15" s="1"/>
  <c r="S327" i="15" s="1"/>
  <c r="R327" i="15" s="1"/>
  <c r="U329" i="15"/>
  <c r="T329" i="15" s="1"/>
  <c r="S329" i="15" s="1"/>
  <c r="R329" i="15" s="1"/>
  <c r="U331" i="15"/>
  <c r="T331" i="15" s="1"/>
  <c r="S331" i="15" s="1"/>
  <c r="R331" i="15" s="1"/>
  <c r="U333" i="15"/>
  <c r="T333" i="15" s="1"/>
  <c r="S333" i="15" s="1"/>
  <c r="R333" i="15" s="1"/>
  <c r="U335" i="15"/>
  <c r="T335" i="15" s="1"/>
  <c r="S335" i="15" s="1"/>
  <c r="R335" i="15" s="1"/>
  <c r="U337" i="15"/>
  <c r="T337" i="15" s="1"/>
  <c r="S337" i="15" s="1"/>
  <c r="R337" i="15" s="1"/>
  <c r="U339" i="15"/>
  <c r="T339" i="15" s="1"/>
  <c r="S339" i="15" s="1"/>
  <c r="R339" i="15" s="1"/>
  <c r="U341" i="15"/>
  <c r="T341" i="15" s="1"/>
  <c r="S341" i="15" s="1"/>
  <c r="R341" i="15" s="1"/>
  <c r="U343" i="15"/>
  <c r="T343" i="15" s="1"/>
  <c r="S343" i="15" s="1"/>
  <c r="R343" i="15" s="1"/>
  <c r="U345" i="15"/>
  <c r="T345" i="15" s="1"/>
  <c r="U347" i="15"/>
  <c r="T347" i="15" s="1"/>
  <c r="S347" i="15" s="1"/>
  <c r="R347" i="15" s="1"/>
  <c r="U349" i="15"/>
  <c r="T349" i="15" s="1"/>
  <c r="S349" i="15" s="1"/>
  <c r="R349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S365" i="15" s="1"/>
  <c r="R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H18" i="15" s="1"/>
  <c r="AI25" i="15"/>
  <c r="AH25" i="15" s="1"/>
  <c r="AG25" i="15" s="1"/>
  <c r="AF25" i="15" s="1"/>
  <c r="AI28" i="15"/>
  <c r="AH28" i="15" s="1"/>
  <c r="AI20" i="15"/>
  <c r="AH20" i="15" s="1"/>
  <c r="AG20" i="15" s="1"/>
  <c r="AF20" i="15" s="1"/>
  <c r="AI16" i="15"/>
  <c r="AI26" i="15"/>
  <c r="AH26" i="15" s="1"/>
  <c r="AI30" i="15"/>
  <c r="AH30" i="15" s="1"/>
  <c r="AI32" i="15"/>
  <c r="AH32" i="15" s="1"/>
  <c r="AI34" i="15"/>
  <c r="AH34" i="15" s="1"/>
  <c r="AG34" i="15" s="1"/>
  <c r="AF34" i="15" s="1"/>
  <c r="AI36" i="15"/>
  <c r="AH36" i="15" s="1"/>
  <c r="AG36" i="15" s="1"/>
  <c r="AF36" i="15" s="1"/>
  <c r="AI38" i="15"/>
  <c r="AH38" i="15" s="1"/>
  <c r="AI40" i="15"/>
  <c r="AH40" i="15" s="1"/>
  <c r="AI42" i="15"/>
  <c r="AH42" i="15" s="1"/>
  <c r="AI44" i="15"/>
  <c r="AH44" i="15" s="1"/>
  <c r="AG44" i="15" s="1"/>
  <c r="AF44" i="15" s="1"/>
  <c r="AI46" i="15"/>
  <c r="AH46" i="15" s="1"/>
  <c r="AI48" i="15"/>
  <c r="AH48" i="15" s="1"/>
  <c r="AI50" i="15"/>
  <c r="AH50" i="15" s="1"/>
  <c r="AG50" i="15" s="1"/>
  <c r="AF50" i="15" s="1"/>
  <c r="AI52" i="15"/>
  <c r="AH52" i="15" s="1"/>
  <c r="AI54" i="15"/>
  <c r="AH54" i="15" s="1"/>
  <c r="AI56" i="15"/>
  <c r="AH56" i="15" s="1"/>
  <c r="AI58" i="15"/>
  <c r="AH58" i="15" s="1"/>
  <c r="AI60" i="15"/>
  <c r="AH60" i="15" s="1"/>
  <c r="AI62" i="15"/>
  <c r="AH62" i="15" s="1"/>
  <c r="AI64" i="15"/>
  <c r="AH64" i="15" s="1"/>
  <c r="AG64" i="15" s="1"/>
  <c r="AF64" i="15" s="1"/>
  <c r="AI66" i="15"/>
  <c r="AH66" i="15" s="1"/>
  <c r="AI68" i="15"/>
  <c r="AH68" i="15" s="1"/>
  <c r="AG68" i="15" s="1"/>
  <c r="AF68" i="15" s="1"/>
  <c r="AI70" i="15"/>
  <c r="AH70" i="15" s="1"/>
  <c r="AG70" i="15" s="1"/>
  <c r="AF70" i="15" s="1"/>
  <c r="AI72" i="15"/>
  <c r="AH72" i="15" s="1"/>
  <c r="AG72" i="15" s="1"/>
  <c r="AF72" i="15" s="1"/>
  <c r="AI74" i="15"/>
  <c r="AI76" i="15"/>
  <c r="AH76" i="15" s="1"/>
  <c r="AG76" i="15" s="1"/>
  <c r="AF76" i="15" s="1"/>
  <c r="AI78" i="15"/>
  <c r="AH78" i="15" s="1"/>
  <c r="AG78" i="15" s="1"/>
  <c r="AF78" i="15" s="1"/>
  <c r="AI80" i="15"/>
  <c r="AH80" i="15" s="1"/>
  <c r="AI82" i="15"/>
  <c r="AH82" i="15" s="1"/>
  <c r="AI84" i="15"/>
  <c r="AH84" i="15" s="1"/>
  <c r="AI86" i="15"/>
  <c r="AH86" i="15" s="1"/>
  <c r="AI88" i="15"/>
  <c r="AH88" i="15" s="1"/>
  <c r="AI90" i="15"/>
  <c r="AI92" i="15"/>
  <c r="AH92" i="15" s="1"/>
  <c r="AG92" i="15" s="1"/>
  <c r="AF92" i="15" s="1"/>
  <c r="AI94" i="15"/>
  <c r="AH94" i="15" s="1"/>
  <c r="AI96" i="15"/>
  <c r="AH96" i="15" s="1"/>
  <c r="AI98" i="15"/>
  <c r="AH98" i="15" s="1"/>
  <c r="AG98" i="15" s="1"/>
  <c r="AF98" i="15" s="1"/>
  <c r="AI100" i="15"/>
  <c r="AH100" i="15" s="1"/>
  <c r="AI102" i="15"/>
  <c r="AH102" i="15" s="1"/>
  <c r="AG102" i="15" s="1"/>
  <c r="AF102" i="15" s="1"/>
  <c r="AI104" i="15"/>
  <c r="AH104" i="15" s="1"/>
  <c r="AG104" i="15" s="1"/>
  <c r="AF104" i="15" s="1"/>
  <c r="AI106" i="15"/>
  <c r="AI108" i="15"/>
  <c r="AH108" i="15" s="1"/>
  <c r="AI110" i="15"/>
  <c r="AH110" i="15" s="1"/>
  <c r="AI112" i="15"/>
  <c r="AH112" i="15" s="1"/>
  <c r="AG112" i="15" s="1"/>
  <c r="AF112" i="15" s="1"/>
  <c r="AI114" i="15"/>
  <c r="AH114" i="15" s="1"/>
  <c r="AI116" i="15"/>
  <c r="AH116" i="15" s="1"/>
  <c r="AI118" i="15"/>
  <c r="AH118" i="15" s="1"/>
  <c r="AI120" i="15"/>
  <c r="AH120" i="15" s="1"/>
  <c r="AI122" i="15"/>
  <c r="AI124" i="15"/>
  <c r="AH124" i="15" s="1"/>
  <c r="AG124" i="15" s="1"/>
  <c r="AF124" i="15" s="1"/>
  <c r="AI126" i="15"/>
  <c r="AH126" i="15" s="1"/>
  <c r="AI128" i="15"/>
  <c r="AH128" i="15" s="1"/>
  <c r="AI130" i="15"/>
  <c r="AH130" i="15" s="1"/>
  <c r="AG130" i="15" s="1"/>
  <c r="AF130" i="15" s="1"/>
  <c r="AI132" i="15"/>
  <c r="AH132" i="15" s="1"/>
  <c r="AI134" i="15"/>
  <c r="AH134" i="15" s="1"/>
  <c r="AG134" i="15" s="1"/>
  <c r="AF134" i="15" s="1"/>
  <c r="AI136" i="15"/>
  <c r="AH136" i="15" s="1"/>
  <c r="AG136" i="15" s="1"/>
  <c r="AF136" i="15" s="1"/>
  <c r="AI138" i="15"/>
  <c r="AH138" i="15" s="1"/>
  <c r="AI140" i="15"/>
  <c r="AH140" i="15" s="1"/>
  <c r="AG140" i="15" s="1"/>
  <c r="AF140" i="15" s="1"/>
  <c r="AI142" i="15"/>
  <c r="AH142" i="15" s="1"/>
  <c r="AG142" i="15" s="1"/>
  <c r="AF142" i="15" s="1"/>
  <c r="AI144" i="15"/>
  <c r="AH144" i="15" s="1"/>
  <c r="AI146" i="15"/>
  <c r="AH146" i="15" s="1"/>
  <c r="AI148" i="15"/>
  <c r="AH148" i="15" s="1"/>
  <c r="AI150" i="15"/>
  <c r="AH150" i="15" s="1"/>
  <c r="AG150" i="15" s="1"/>
  <c r="AF150" i="15" s="1"/>
  <c r="AI152" i="15"/>
  <c r="AH152" i="15" s="1"/>
  <c r="AI154" i="15"/>
  <c r="AI156" i="15"/>
  <c r="AH156" i="15" s="1"/>
  <c r="AG156" i="15" s="1"/>
  <c r="AF156" i="15" s="1"/>
  <c r="AI158" i="15"/>
  <c r="AH158" i="15" s="1"/>
  <c r="AI160" i="15"/>
  <c r="AH160" i="15" s="1"/>
  <c r="AG160" i="15" s="1"/>
  <c r="AF160" i="15" s="1"/>
  <c r="AI378" i="15"/>
  <c r="AH378" i="15" s="1"/>
  <c r="AI376" i="15"/>
  <c r="AH376" i="15" s="1"/>
  <c r="AI374" i="15"/>
  <c r="AH374" i="15" s="1"/>
  <c r="AG374" i="15" s="1"/>
  <c r="AF374" i="15" s="1"/>
  <c r="AI372" i="15"/>
  <c r="AH372" i="15" s="1"/>
  <c r="AI370" i="15"/>
  <c r="AH370" i="15" s="1"/>
  <c r="AI368" i="15"/>
  <c r="AH368" i="15" s="1"/>
  <c r="AG368" i="15" s="1"/>
  <c r="AF368" i="15" s="1"/>
  <c r="AI366" i="15"/>
  <c r="AH366" i="15" s="1"/>
  <c r="AI364" i="15"/>
  <c r="AH364" i="15" s="1"/>
  <c r="AI362" i="15"/>
  <c r="AI360" i="15"/>
  <c r="AH360" i="15" s="1"/>
  <c r="AG360" i="15" s="1"/>
  <c r="AF360" i="15" s="1"/>
  <c r="AI358" i="15"/>
  <c r="AH358" i="15" s="1"/>
  <c r="AI356" i="15"/>
  <c r="AH356" i="15" s="1"/>
  <c r="AG356" i="15" s="1"/>
  <c r="AF356" i="15" s="1"/>
  <c r="AI354" i="15"/>
  <c r="AH354" i="15" s="1"/>
  <c r="AI352" i="15"/>
  <c r="AH352" i="15" s="1"/>
  <c r="AI350" i="15"/>
  <c r="AH350" i="15" s="1"/>
  <c r="AG350" i="15" s="1"/>
  <c r="AF350" i="15" s="1"/>
  <c r="AI348" i="15"/>
  <c r="AH348" i="15" s="1"/>
  <c r="AI346" i="15"/>
  <c r="AI344" i="15"/>
  <c r="AH344" i="15" s="1"/>
  <c r="AG344" i="15" s="1"/>
  <c r="AF344" i="15" s="1"/>
  <c r="AI342" i="15"/>
  <c r="AH342" i="15" s="1"/>
  <c r="AG342" i="15" s="1"/>
  <c r="AF342" i="15" s="1"/>
  <c r="AI340" i="15"/>
  <c r="AH340" i="15" s="1"/>
  <c r="AG340" i="15" s="1"/>
  <c r="AF340" i="15" s="1"/>
  <c r="AI338" i="15"/>
  <c r="AH338" i="15" s="1"/>
  <c r="AI336" i="15"/>
  <c r="AH336" i="15" s="1"/>
  <c r="AG336" i="15" s="1"/>
  <c r="AF336" i="15" s="1"/>
  <c r="AI334" i="15"/>
  <c r="AH334" i="15" s="1"/>
  <c r="AI332" i="15"/>
  <c r="AH332" i="15" s="1"/>
  <c r="AI330" i="15"/>
  <c r="AI328" i="15"/>
  <c r="AH328" i="15" s="1"/>
  <c r="AI326" i="15"/>
  <c r="AH326" i="15" s="1"/>
  <c r="AI324" i="15"/>
  <c r="AH324" i="15" s="1"/>
  <c r="AG324" i="15" s="1"/>
  <c r="AF324" i="15" s="1"/>
  <c r="AI322" i="15"/>
  <c r="AH322" i="15" s="1"/>
  <c r="AG322" i="15" s="1"/>
  <c r="AF322" i="15" s="1"/>
  <c r="AI320" i="15"/>
  <c r="AH320" i="15" s="1"/>
  <c r="AI318" i="15"/>
  <c r="AH318" i="15" s="1"/>
  <c r="AG318" i="15" s="1"/>
  <c r="AF318" i="15" s="1"/>
  <c r="AI316" i="15"/>
  <c r="AH316" i="15" s="1"/>
  <c r="AG316" i="15" s="1"/>
  <c r="AF316" i="15" s="1"/>
  <c r="AI314" i="15"/>
  <c r="AI312" i="15"/>
  <c r="AH312" i="15" s="1"/>
  <c r="AI310" i="15"/>
  <c r="AH310" i="15" s="1"/>
  <c r="AG310" i="15" s="1"/>
  <c r="AF310" i="15" s="1"/>
  <c r="AI308" i="15"/>
  <c r="AH308" i="15" s="1"/>
  <c r="AI306" i="15"/>
  <c r="AH306" i="15" s="1"/>
  <c r="AI304" i="15"/>
  <c r="AH304" i="15" s="1"/>
  <c r="AI302" i="15"/>
  <c r="AH302" i="15" s="1"/>
  <c r="AI300" i="15"/>
  <c r="AH300" i="15" s="1"/>
  <c r="AI298" i="15"/>
  <c r="AI296" i="15"/>
  <c r="AH296" i="15" s="1"/>
  <c r="AI294" i="15"/>
  <c r="AH294" i="15" s="1"/>
  <c r="AG294" i="15" s="1"/>
  <c r="AF294" i="15" s="1"/>
  <c r="AI292" i="15"/>
  <c r="AH292" i="15" s="1"/>
  <c r="AI290" i="15"/>
  <c r="AH290" i="15" s="1"/>
  <c r="AG290" i="15" s="1"/>
  <c r="AF290" i="15" s="1"/>
  <c r="AI288" i="15"/>
  <c r="AH288" i="15" s="1"/>
  <c r="AG288" i="15" s="1"/>
  <c r="AF288" i="15" s="1"/>
  <c r="AI286" i="15"/>
  <c r="AH286" i="15" s="1"/>
  <c r="AI284" i="15"/>
  <c r="AH284" i="15" s="1"/>
  <c r="AI282" i="15"/>
  <c r="AH282" i="15" s="1"/>
  <c r="AI280" i="15"/>
  <c r="AH280" i="15" s="1"/>
  <c r="AG280" i="15" s="1"/>
  <c r="AF280" i="15" s="1"/>
  <c r="AI278" i="15"/>
  <c r="AH278" i="15" s="1"/>
  <c r="AG278" i="15" s="1"/>
  <c r="AF278" i="15" s="1"/>
  <c r="AI276" i="15"/>
  <c r="AH276" i="15" s="1"/>
  <c r="AI274" i="15"/>
  <c r="AH274" i="15" s="1"/>
  <c r="AI272" i="15"/>
  <c r="AH272" i="15" s="1"/>
  <c r="AI270" i="15"/>
  <c r="AH270" i="15" s="1"/>
  <c r="AI268" i="15"/>
  <c r="AH268" i="15" s="1"/>
  <c r="AI266" i="15"/>
  <c r="AI264" i="15"/>
  <c r="AH264" i="15" s="1"/>
  <c r="AG264" i="15" s="1"/>
  <c r="AF264" i="15" s="1"/>
  <c r="AI262" i="15"/>
  <c r="AH262" i="15" s="1"/>
  <c r="AG262" i="15" s="1"/>
  <c r="AF262" i="15" s="1"/>
  <c r="AI260" i="15"/>
  <c r="AH260" i="15" s="1"/>
  <c r="AI258" i="15"/>
  <c r="AH258" i="15" s="1"/>
  <c r="AG258" i="15" s="1"/>
  <c r="AF258" i="15" s="1"/>
  <c r="AI256" i="15"/>
  <c r="AH256" i="15" s="1"/>
  <c r="AI254" i="15"/>
  <c r="AH254" i="15" s="1"/>
  <c r="AG254" i="15" s="1"/>
  <c r="AF254" i="15" s="1"/>
  <c r="AI252" i="15"/>
  <c r="AH252" i="15" s="1"/>
  <c r="AI250" i="15"/>
  <c r="AI248" i="15"/>
  <c r="AH248" i="15" s="1"/>
  <c r="AI246" i="15"/>
  <c r="AH246" i="15" s="1"/>
  <c r="AI244" i="15"/>
  <c r="AH244" i="15" s="1"/>
  <c r="AG244" i="15" s="1"/>
  <c r="AF244" i="15" s="1"/>
  <c r="AI242" i="15"/>
  <c r="AH242" i="15" s="1"/>
  <c r="AI240" i="15"/>
  <c r="AH240" i="15" s="1"/>
  <c r="AG240" i="15" s="1"/>
  <c r="AF240" i="15" s="1"/>
  <c r="AI238" i="15"/>
  <c r="AH238" i="15" s="1"/>
  <c r="AG238" i="15" s="1"/>
  <c r="AF238" i="15" s="1"/>
  <c r="AI236" i="15"/>
  <c r="AH236" i="15" s="1"/>
  <c r="AG236" i="15" s="1"/>
  <c r="AF236" i="15" s="1"/>
  <c r="AI234" i="15"/>
  <c r="AH234" i="15" s="1"/>
  <c r="AI232" i="15"/>
  <c r="AH232" i="15" s="1"/>
  <c r="AI230" i="15"/>
  <c r="AH230" i="15" s="1"/>
  <c r="AG230" i="15" s="1"/>
  <c r="AF230" i="15" s="1"/>
  <c r="AI228" i="15"/>
  <c r="AH228" i="15" s="1"/>
  <c r="AI226" i="15"/>
  <c r="AH226" i="15" s="1"/>
  <c r="AI224" i="15"/>
  <c r="AH224" i="15" s="1"/>
  <c r="AG224" i="15" s="1"/>
  <c r="AF224" i="15" s="1"/>
  <c r="AI222" i="15"/>
  <c r="AH222" i="15" s="1"/>
  <c r="AI220" i="15"/>
  <c r="AH220" i="15" s="1"/>
  <c r="AG220" i="15" s="1"/>
  <c r="AF220" i="15" s="1"/>
  <c r="AI218" i="15"/>
  <c r="AI216" i="15"/>
  <c r="AH216" i="15" s="1"/>
  <c r="AG216" i="15" s="1"/>
  <c r="AF216" i="15" s="1"/>
  <c r="AI214" i="15"/>
  <c r="AH214" i="15" s="1"/>
  <c r="AI212" i="15"/>
  <c r="AH212" i="15" s="1"/>
  <c r="AI210" i="15"/>
  <c r="AH210" i="15" s="1"/>
  <c r="AG210" i="15" s="1"/>
  <c r="AF210" i="15" s="1"/>
  <c r="AI208" i="15"/>
  <c r="AH208" i="15" s="1"/>
  <c r="AI206" i="15"/>
  <c r="AH206" i="15" s="1"/>
  <c r="AG206" i="15" s="1"/>
  <c r="AF206" i="15" s="1"/>
  <c r="AI204" i="15"/>
  <c r="AH204" i="15" s="1"/>
  <c r="AI202" i="15"/>
  <c r="AH202" i="15" s="1"/>
  <c r="AI200" i="15"/>
  <c r="AH200" i="15" s="1"/>
  <c r="AG200" i="15" s="1"/>
  <c r="AF200" i="15" s="1"/>
  <c r="AI198" i="15"/>
  <c r="AH198" i="15" s="1"/>
  <c r="AI196" i="15"/>
  <c r="AH196" i="15" s="1"/>
  <c r="AI194" i="15"/>
  <c r="AH194" i="15" s="1"/>
  <c r="AI192" i="15"/>
  <c r="AH192" i="15" s="1"/>
  <c r="AG192" i="15" s="1"/>
  <c r="AF192" i="15" s="1"/>
  <c r="AI190" i="15"/>
  <c r="AH190" i="15" s="1"/>
  <c r="AI188" i="15"/>
  <c r="AH188" i="15" s="1"/>
  <c r="AI186" i="15"/>
  <c r="AI184" i="15"/>
  <c r="AH184" i="15" s="1"/>
  <c r="AG184" i="15" s="1"/>
  <c r="AF184" i="15" s="1"/>
  <c r="AI182" i="15"/>
  <c r="AH182" i="15" s="1"/>
  <c r="AG182" i="15" s="1"/>
  <c r="AF182" i="15" s="1"/>
  <c r="AI180" i="15"/>
  <c r="AH180" i="15" s="1"/>
  <c r="AI178" i="15"/>
  <c r="AH178" i="15" s="1"/>
  <c r="AI176" i="15"/>
  <c r="AH176" i="15" s="1"/>
  <c r="AG176" i="15" s="1"/>
  <c r="AF176" i="15" s="1"/>
  <c r="AI174" i="15"/>
  <c r="AH174" i="15" s="1"/>
  <c r="AI172" i="15"/>
  <c r="AH172" i="15" s="1"/>
  <c r="AI170" i="15"/>
  <c r="AH170" i="15" s="1"/>
  <c r="AI168" i="15"/>
  <c r="AH168" i="15" s="1"/>
  <c r="AI166" i="15"/>
  <c r="AH166" i="15" s="1"/>
  <c r="AG166" i="15" s="1"/>
  <c r="AF166" i="15" s="1"/>
  <c r="AI164" i="15"/>
  <c r="AH164" i="15" s="1"/>
  <c r="AG164" i="15" s="1"/>
  <c r="AF164" i="15" s="1"/>
  <c r="AI162" i="15"/>
  <c r="AH162" i="15" s="1"/>
  <c r="AG162" i="15" s="1"/>
  <c r="AF162" i="15" s="1"/>
  <c r="AI159" i="15"/>
  <c r="AH159" i="15" s="1"/>
  <c r="AI155" i="15"/>
  <c r="AH155" i="15" s="1"/>
  <c r="AI151" i="15"/>
  <c r="AH151" i="15" s="1"/>
  <c r="AI147" i="15"/>
  <c r="AI143" i="15"/>
  <c r="AH143" i="15" s="1"/>
  <c r="AG143" i="15" s="1"/>
  <c r="AF143" i="15" s="1"/>
  <c r="AI139" i="15"/>
  <c r="AH139" i="15" s="1"/>
  <c r="AG139" i="15" s="1"/>
  <c r="AF139" i="15" s="1"/>
  <c r="AI135" i="15"/>
  <c r="AH135" i="15" s="1"/>
  <c r="AG135" i="15" s="1"/>
  <c r="AF135" i="15" s="1"/>
  <c r="AI131" i="15"/>
  <c r="AI127" i="15"/>
  <c r="AH127" i="15" s="1"/>
  <c r="AI123" i="15"/>
  <c r="AH123" i="15" s="1"/>
  <c r="AG123" i="15" s="1"/>
  <c r="AF123" i="15" s="1"/>
  <c r="AI119" i="15"/>
  <c r="AH119" i="15" s="1"/>
  <c r="AG119" i="15" s="1"/>
  <c r="AF119" i="15" s="1"/>
  <c r="AI115" i="15"/>
  <c r="AI111" i="15"/>
  <c r="AH111" i="15" s="1"/>
  <c r="AI107" i="15"/>
  <c r="AH107" i="15" s="1"/>
  <c r="AI103" i="15"/>
  <c r="AH103" i="15" s="1"/>
  <c r="AG103" i="15" s="1"/>
  <c r="AF103" i="15" s="1"/>
  <c r="AI99" i="15"/>
  <c r="AH99" i="15" s="1"/>
  <c r="AI95" i="15"/>
  <c r="AH95" i="15" s="1"/>
  <c r="AG95" i="15" s="1"/>
  <c r="AF95" i="15" s="1"/>
  <c r="AI91" i="15"/>
  <c r="AI87" i="15"/>
  <c r="AH87" i="15" s="1"/>
  <c r="AI83" i="15"/>
  <c r="AH83" i="15" s="1"/>
  <c r="AI79" i="15"/>
  <c r="AH79" i="15" s="1"/>
  <c r="AG79" i="15" s="1"/>
  <c r="AF79" i="15" s="1"/>
  <c r="AI75" i="15"/>
  <c r="AI71" i="15"/>
  <c r="AH71" i="15" s="1"/>
  <c r="AG71" i="15" s="1"/>
  <c r="AF71" i="15" s="1"/>
  <c r="AI67" i="15"/>
  <c r="AH67" i="15" s="1"/>
  <c r="AG67" i="15" s="1"/>
  <c r="AF67" i="15" s="1"/>
  <c r="AI63" i="15"/>
  <c r="AH63" i="15" s="1"/>
  <c r="AI59" i="15"/>
  <c r="AH59" i="15" s="1"/>
  <c r="AI55" i="15"/>
  <c r="AH55" i="15" s="1"/>
  <c r="AI51" i="15"/>
  <c r="AH51" i="15" s="1"/>
  <c r="AI47" i="15"/>
  <c r="AH47" i="15" s="1"/>
  <c r="AG47" i="15" s="1"/>
  <c r="AF47" i="15" s="1"/>
  <c r="AI43" i="15"/>
  <c r="AH43" i="15" s="1"/>
  <c r="AI39" i="15"/>
  <c r="AH39" i="15" s="1"/>
  <c r="AI35" i="15"/>
  <c r="AH35" i="15" s="1"/>
  <c r="AI31" i="15"/>
  <c r="AH31" i="15" s="1"/>
  <c r="AG31" i="15" s="1"/>
  <c r="AF31" i="15" s="1"/>
  <c r="AI19" i="15"/>
  <c r="AH19" i="15" s="1"/>
  <c r="AI17" i="15"/>
  <c r="AH17" i="15" s="1"/>
  <c r="AI23" i="15"/>
  <c r="AI22" i="15"/>
  <c r="AH22" i="15" s="1"/>
  <c r="AG22" i="15" s="1"/>
  <c r="AF22" i="15" s="1"/>
  <c r="U378" i="15"/>
  <c r="T378" i="15" s="1"/>
  <c r="S378" i="15" s="1"/>
  <c r="R378" i="15" s="1"/>
  <c r="P378" i="15" s="1"/>
  <c r="V378" i="15" s="1"/>
  <c r="B378" i="15" s="1"/>
  <c r="U374" i="15"/>
  <c r="T374" i="15" s="1"/>
  <c r="S374" i="15" s="1"/>
  <c r="R374" i="15" s="1"/>
  <c r="P374" i="15" s="1"/>
  <c r="V374" i="15" s="1"/>
  <c r="U370" i="15"/>
  <c r="T370" i="15" s="1"/>
  <c r="S370" i="15" s="1"/>
  <c r="R370" i="15" s="1"/>
  <c r="P370" i="15" s="1"/>
  <c r="V370" i="15" s="1"/>
  <c r="U366" i="15"/>
  <c r="T366" i="15" s="1"/>
  <c r="S366" i="15" s="1"/>
  <c r="R366" i="15" s="1"/>
  <c r="P366" i="15" s="1"/>
  <c r="V366" i="15" s="1"/>
  <c r="U362" i="15"/>
  <c r="T362" i="15" s="1"/>
  <c r="U358" i="15"/>
  <c r="T358" i="15" s="1"/>
  <c r="S358" i="15" s="1"/>
  <c r="R358" i="15" s="1"/>
  <c r="P358" i="15" s="1"/>
  <c r="U354" i="15"/>
  <c r="T354" i="15" s="1"/>
  <c r="S354" i="15" s="1"/>
  <c r="R354" i="15" s="1"/>
  <c r="P354" i="15" s="1"/>
  <c r="V354" i="15" s="1"/>
  <c r="U350" i="15"/>
  <c r="T350" i="15" s="1"/>
  <c r="S350" i="15" s="1"/>
  <c r="R350" i="15" s="1"/>
  <c r="P350" i="15" s="1"/>
  <c r="V350" i="15" s="1"/>
  <c r="U346" i="15"/>
  <c r="T346" i="15" s="1"/>
  <c r="S346" i="15" s="1"/>
  <c r="R346" i="15" s="1"/>
  <c r="P346" i="15" s="1"/>
  <c r="V346" i="15" s="1"/>
  <c r="U342" i="15"/>
  <c r="T342" i="15" s="1"/>
  <c r="S342" i="15" s="1"/>
  <c r="R342" i="15" s="1"/>
  <c r="P342" i="15" s="1"/>
  <c r="V342" i="15" s="1"/>
  <c r="U338" i="15"/>
  <c r="T338" i="15" s="1"/>
  <c r="S338" i="15" s="1"/>
  <c r="R338" i="15" s="1"/>
  <c r="P338" i="15" s="1"/>
  <c r="V338" i="15" s="1"/>
  <c r="U334" i="15"/>
  <c r="T334" i="15" s="1"/>
  <c r="S334" i="15" s="1"/>
  <c r="R334" i="15" s="1"/>
  <c r="P334" i="15" s="1"/>
  <c r="V334" i="15" s="1"/>
  <c r="U330" i="15"/>
  <c r="T330" i="15" s="1"/>
  <c r="S330" i="15" s="1"/>
  <c r="R330" i="15" s="1"/>
  <c r="P330" i="15" s="1"/>
  <c r="V330" i="15" s="1"/>
  <c r="U326" i="15"/>
  <c r="T326" i="15" s="1"/>
  <c r="S326" i="15" s="1"/>
  <c r="R326" i="15" s="1"/>
  <c r="P326" i="15" s="1"/>
  <c r="V326" i="15" s="1"/>
  <c r="U322" i="15"/>
  <c r="T322" i="15" s="1"/>
  <c r="S322" i="15" s="1"/>
  <c r="R322" i="15" s="1"/>
  <c r="P322" i="15" s="1"/>
  <c r="V322" i="15" s="1"/>
  <c r="U318" i="15"/>
  <c r="T318" i="15" s="1"/>
  <c r="S318" i="15" s="1"/>
  <c r="R318" i="15" s="1"/>
  <c r="P318" i="15" s="1"/>
  <c r="V318" i="15" s="1"/>
  <c r="U314" i="15"/>
  <c r="T314" i="15" s="1"/>
  <c r="S314" i="15" s="1"/>
  <c r="R314" i="15" s="1"/>
  <c r="P314" i="15" s="1"/>
  <c r="V314" i="15" s="1"/>
  <c r="U310" i="15"/>
  <c r="T310" i="15" s="1"/>
  <c r="S310" i="15" s="1"/>
  <c r="R310" i="15" s="1"/>
  <c r="P310" i="15" s="1"/>
  <c r="V310" i="15" s="1"/>
  <c r="U306" i="15"/>
  <c r="T306" i="15" s="1"/>
  <c r="S306" i="15" s="1"/>
  <c r="R306" i="15" s="1"/>
  <c r="P306" i="15" s="1"/>
  <c r="V306" i="15" s="1"/>
  <c r="U302" i="15"/>
  <c r="T302" i="15" s="1"/>
  <c r="S302" i="15" s="1"/>
  <c r="R302" i="15" s="1"/>
  <c r="P302" i="15" s="1"/>
  <c r="V302" i="15" s="1"/>
  <c r="U298" i="15"/>
  <c r="T298" i="15" s="1"/>
  <c r="U294" i="15"/>
  <c r="T294" i="15" s="1"/>
  <c r="S294" i="15" s="1"/>
  <c r="R294" i="15" s="1"/>
  <c r="P294" i="15" s="1"/>
  <c r="V294" i="15" s="1"/>
  <c r="U290" i="15"/>
  <c r="T290" i="15" s="1"/>
  <c r="S290" i="15" s="1"/>
  <c r="R290" i="15" s="1"/>
  <c r="P290" i="15" s="1"/>
  <c r="V290" i="15" s="1"/>
  <c r="U286" i="15"/>
  <c r="T286" i="15" s="1"/>
  <c r="S286" i="15" s="1"/>
  <c r="R286" i="15" s="1"/>
  <c r="P286" i="15" s="1"/>
  <c r="V286" i="15" s="1"/>
  <c r="U282" i="15"/>
  <c r="T282" i="15" s="1"/>
  <c r="S282" i="15" s="1"/>
  <c r="R282" i="15" s="1"/>
  <c r="P282" i="15" s="1"/>
  <c r="V282" i="15" s="1"/>
  <c r="U278" i="15"/>
  <c r="T278" i="15" s="1"/>
  <c r="S278" i="15" s="1"/>
  <c r="R278" i="15" s="1"/>
  <c r="P278" i="15" s="1"/>
  <c r="V278" i="15" s="1"/>
  <c r="U274" i="15"/>
  <c r="T274" i="15" s="1"/>
  <c r="S274" i="15" s="1"/>
  <c r="R274" i="15" s="1"/>
  <c r="P274" i="15" s="1"/>
  <c r="V274" i="15" s="1"/>
  <c r="U267" i="15"/>
  <c r="T267" i="15" s="1"/>
  <c r="S267" i="15" s="1"/>
  <c r="R267" i="15" s="1"/>
  <c r="U259" i="15"/>
  <c r="T259" i="15" s="1"/>
  <c r="S259" i="15" s="1"/>
  <c r="R259" i="15" s="1"/>
  <c r="U251" i="15"/>
  <c r="T251" i="15" s="1"/>
  <c r="S251" i="15" s="1"/>
  <c r="R251" i="15" s="1"/>
  <c r="U243" i="15"/>
  <c r="T243" i="15" s="1"/>
  <c r="S243" i="15" s="1"/>
  <c r="R243" i="15" s="1"/>
  <c r="U235" i="15"/>
  <c r="T235" i="15" s="1"/>
  <c r="S235" i="15" s="1"/>
  <c r="R235" i="15" s="1"/>
  <c r="U227" i="15"/>
  <c r="T227" i="15" s="1"/>
  <c r="U219" i="15"/>
  <c r="T219" i="15" s="1"/>
  <c r="S219" i="15" s="1"/>
  <c r="R219" i="15" s="1"/>
  <c r="U211" i="15"/>
  <c r="T211" i="15" s="1"/>
  <c r="S211" i="15" s="1"/>
  <c r="R211" i="15" s="1"/>
  <c r="U203" i="15"/>
  <c r="T203" i="15" s="1"/>
  <c r="S203" i="15" s="1"/>
  <c r="R203" i="15" s="1"/>
  <c r="U195" i="15"/>
  <c r="T195" i="15" s="1"/>
  <c r="S195" i="15" s="1"/>
  <c r="R195" i="15" s="1"/>
  <c r="U187" i="15"/>
  <c r="T187" i="15" s="1"/>
  <c r="S187" i="15" s="1"/>
  <c r="R187" i="15" s="1"/>
  <c r="U173" i="15"/>
  <c r="T173" i="15" s="1"/>
  <c r="S173" i="15" s="1"/>
  <c r="R173" i="15" s="1"/>
  <c r="U157" i="15"/>
  <c r="T157" i="15" s="1"/>
  <c r="S157" i="15" s="1"/>
  <c r="R157" i="15" s="1"/>
  <c r="U141" i="15"/>
  <c r="T141" i="15" s="1"/>
  <c r="S141" i="15" s="1"/>
  <c r="R141" i="15" s="1"/>
  <c r="U125" i="15"/>
  <c r="T125" i="15" s="1"/>
  <c r="S125" i="15" s="1"/>
  <c r="R125" i="15" s="1"/>
  <c r="U109" i="15"/>
  <c r="T109" i="15" s="1"/>
  <c r="S109" i="15" s="1"/>
  <c r="R109" i="15" s="1"/>
  <c r="U93" i="15"/>
  <c r="T93" i="15" s="1"/>
  <c r="S93" i="15" s="1"/>
  <c r="R93" i="15" s="1"/>
  <c r="U77" i="15"/>
  <c r="T77" i="15" s="1"/>
  <c r="S77" i="15" s="1"/>
  <c r="R77" i="15" s="1"/>
  <c r="U61" i="15"/>
  <c r="T61" i="15" s="1"/>
  <c r="S61" i="15" s="1"/>
  <c r="R61" i="15" s="1"/>
  <c r="U45" i="15"/>
  <c r="T45" i="15" s="1"/>
  <c r="U29" i="15"/>
  <c r="T29" i="15" s="1"/>
  <c r="S29" i="15" s="1"/>
  <c r="R29" i="15" s="1"/>
  <c r="AM7" i="15"/>
  <c r="AM11" i="15" s="1"/>
  <c r="AK3" i="15" s="1"/>
  <c r="AM5" i="15"/>
  <c r="AK5" i="15"/>
  <c r="Q110" i="15"/>
  <c r="P110" i="15" s="1"/>
  <c r="V110" i="15" s="1"/>
  <c r="Q106" i="15"/>
  <c r="Q102" i="15"/>
  <c r="P102" i="15" s="1"/>
  <c r="V102" i="15" s="1"/>
  <c r="Q98" i="15"/>
  <c r="Q94" i="15"/>
  <c r="P94" i="15" s="1"/>
  <c r="V94" i="15" s="1"/>
  <c r="Q90" i="15"/>
  <c r="Q86" i="15"/>
  <c r="P86" i="15" s="1"/>
  <c r="V86" i="15" s="1"/>
  <c r="Q82" i="15"/>
  <c r="Q78" i="15"/>
  <c r="P78" i="15" s="1"/>
  <c r="V78" i="15" s="1"/>
  <c r="Q74" i="15"/>
  <c r="Q70" i="15"/>
  <c r="P70" i="15" s="1"/>
  <c r="V70" i="15" s="1"/>
  <c r="Q65" i="15"/>
  <c r="Q19" i="15"/>
  <c r="Q29" i="15"/>
  <c r="Q45" i="15"/>
  <c r="Q61" i="15"/>
  <c r="Q67" i="15"/>
  <c r="Q69" i="15"/>
  <c r="Q71" i="15"/>
  <c r="Q73" i="15"/>
  <c r="Q75" i="15"/>
  <c r="Q77" i="15"/>
  <c r="P77" i="15" s="1"/>
  <c r="V77" i="15" s="1"/>
  <c r="Q79" i="15"/>
  <c r="P79" i="15" s="1"/>
  <c r="V79" i="15" s="1"/>
  <c r="Q81" i="15"/>
  <c r="Q83" i="15"/>
  <c r="Q85" i="15"/>
  <c r="Q87" i="15"/>
  <c r="P87" i="15" s="1"/>
  <c r="V87" i="15" s="1"/>
  <c r="Q89" i="15"/>
  <c r="P89" i="15" s="1"/>
  <c r="V89" i="15" s="1"/>
  <c r="Q91" i="15"/>
  <c r="Q93" i="15"/>
  <c r="Q95" i="15"/>
  <c r="Q97" i="15"/>
  <c r="Q99" i="15"/>
  <c r="Q101" i="15"/>
  <c r="Q103" i="15"/>
  <c r="P103" i="15" s="1"/>
  <c r="V103" i="15" s="1"/>
  <c r="Q105" i="15"/>
  <c r="P105" i="15" s="1"/>
  <c r="V105" i="15" s="1"/>
  <c r="Q107" i="15"/>
  <c r="Q109" i="15"/>
  <c r="P109" i="15" s="1"/>
  <c r="V109" i="15" s="1"/>
  <c r="Q111" i="15"/>
  <c r="P111" i="15" s="1"/>
  <c r="V111" i="15" s="1"/>
  <c r="Q113" i="15"/>
  <c r="Q115" i="15"/>
  <c r="Q117" i="15"/>
  <c r="P117" i="15" s="1"/>
  <c r="V117" i="15" s="1"/>
  <c r="Q119" i="15"/>
  <c r="P119" i="15" s="1"/>
  <c r="V119" i="15" s="1"/>
  <c r="Q121" i="15"/>
  <c r="P121" i="15" s="1"/>
  <c r="V121" i="15" s="1"/>
  <c r="Q123" i="15"/>
  <c r="Q125" i="15"/>
  <c r="Q127" i="15"/>
  <c r="P127" i="15" s="1"/>
  <c r="V127" i="15" s="1"/>
  <c r="Q129" i="15"/>
  <c r="Q131" i="15"/>
  <c r="Q133" i="15"/>
  <c r="Q135" i="15"/>
  <c r="P135" i="15" s="1"/>
  <c r="V135" i="15" s="1"/>
  <c r="Q137" i="15"/>
  <c r="Q139" i="15"/>
  <c r="Q141" i="15"/>
  <c r="P141" i="15" s="1"/>
  <c r="V141" i="15" s="1"/>
  <c r="Q143" i="15"/>
  <c r="Q145" i="15"/>
  <c r="Q147" i="15"/>
  <c r="Q149" i="15"/>
  <c r="P149" i="15" s="1"/>
  <c r="V149" i="15" s="1"/>
  <c r="Q151" i="15"/>
  <c r="P151" i="15" s="1"/>
  <c r="V151" i="15" s="1"/>
  <c r="Q153" i="15"/>
  <c r="P153" i="15" s="1"/>
  <c r="V153" i="15" s="1"/>
  <c r="Q155" i="15"/>
  <c r="Q157" i="15"/>
  <c r="Q159" i="15"/>
  <c r="P159" i="15" s="1"/>
  <c r="V159" i="15" s="1"/>
  <c r="Q161" i="15"/>
  <c r="Q163" i="15"/>
  <c r="Q165" i="15"/>
  <c r="Q167" i="15"/>
  <c r="P167" i="15" s="1"/>
  <c r="V167" i="15" s="1"/>
  <c r="Q169" i="15"/>
  <c r="P169" i="15" s="1"/>
  <c r="V169" i="15" s="1"/>
  <c r="Q171" i="15"/>
  <c r="Q173" i="15"/>
  <c r="P173" i="15" s="1"/>
  <c r="V173" i="15" s="1"/>
  <c r="Q175" i="15"/>
  <c r="P175" i="15" s="1"/>
  <c r="V175" i="15" s="1"/>
  <c r="Q177" i="15"/>
  <c r="Q179" i="15"/>
  <c r="Q181" i="15"/>
  <c r="Q183" i="15"/>
  <c r="P183" i="15" s="1"/>
  <c r="V183" i="15" s="1"/>
  <c r="Q185" i="15"/>
  <c r="P185" i="15" s="1"/>
  <c r="V185" i="15" s="1"/>
  <c r="Q187" i="15"/>
  <c r="Q189" i="15"/>
  <c r="Q191" i="15"/>
  <c r="Q193" i="15"/>
  <c r="Q195" i="15"/>
  <c r="Q197" i="15"/>
  <c r="Q199" i="15"/>
  <c r="Q201" i="15"/>
  <c r="P201" i="15" s="1"/>
  <c r="V201" i="15" s="1"/>
  <c r="Q203" i="15"/>
  <c r="Q205" i="15"/>
  <c r="Q207" i="15"/>
  <c r="Q209" i="15"/>
  <c r="P209" i="15" s="1"/>
  <c r="V209" i="15" s="1"/>
  <c r="Q211" i="15"/>
  <c r="Q213" i="15"/>
  <c r="Q215" i="15"/>
  <c r="Q217" i="15"/>
  <c r="P217" i="15" s="1"/>
  <c r="V217" i="15" s="1"/>
  <c r="Q219" i="15"/>
  <c r="Q221" i="15"/>
  <c r="Q223" i="15"/>
  <c r="Q225" i="15"/>
  <c r="P225" i="15" s="1"/>
  <c r="V225" i="15" s="1"/>
  <c r="Q227" i="15"/>
  <c r="Q229" i="15"/>
  <c r="Q231" i="15"/>
  <c r="Q233" i="15"/>
  <c r="Q235" i="15"/>
  <c r="Q237" i="15"/>
  <c r="Q239" i="15"/>
  <c r="Q241" i="15"/>
  <c r="P241" i="15" s="1"/>
  <c r="D39" i="7" s="1"/>
  <c r="Q243" i="15"/>
  <c r="Q245" i="15"/>
  <c r="Q247" i="15"/>
  <c r="Q249" i="15"/>
  <c r="P249" i="15" s="1"/>
  <c r="V249" i="15" s="1"/>
  <c r="Q251" i="15"/>
  <c r="Q253" i="15"/>
  <c r="Q255" i="15"/>
  <c r="Q257" i="15"/>
  <c r="P257" i="15" s="1"/>
  <c r="V257" i="15" s="1"/>
  <c r="Q259" i="15"/>
  <c r="Q261" i="15"/>
  <c r="Q263" i="15"/>
  <c r="Q265" i="15"/>
  <c r="P265" i="15" s="1"/>
  <c r="V265" i="15" s="1"/>
  <c r="Q267" i="15"/>
  <c r="Q269" i="15"/>
  <c r="Q271" i="15"/>
  <c r="Q273" i="15"/>
  <c r="P273" i="15" s="1"/>
  <c r="V273" i="15" s="1"/>
  <c r="Q275" i="15"/>
  <c r="P275" i="15" s="1"/>
  <c r="V275" i="15" s="1"/>
  <c r="Q277" i="15"/>
  <c r="Q279" i="15"/>
  <c r="P279" i="15" s="1"/>
  <c r="V279" i="15" s="1"/>
  <c r="Q281" i="15"/>
  <c r="P281" i="15" s="1"/>
  <c r="V281" i="15" s="1"/>
  <c r="Q283" i="15"/>
  <c r="P283" i="15" s="1"/>
  <c r="V283" i="15" s="1"/>
  <c r="Q285" i="15"/>
  <c r="P285" i="15" s="1"/>
  <c r="V285" i="15" s="1"/>
  <c r="Q287" i="15"/>
  <c r="P287" i="15" s="1"/>
  <c r="V287" i="15" s="1"/>
  <c r="Q289" i="15"/>
  <c r="P289" i="15" s="1"/>
  <c r="V289" i="15" s="1"/>
  <c r="Q291" i="15"/>
  <c r="P291" i="15" s="1"/>
  <c r="V291" i="15" s="1"/>
  <c r="Q293" i="15"/>
  <c r="P293" i="15" s="1"/>
  <c r="V293" i="15" s="1"/>
  <c r="Q295" i="15"/>
  <c r="P295" i="15" s="1"/>
  <c r="V295" i="15" s="1"/>
  <c r="Q297" i="15"/>
  <c r="Q299" i="15"/>
  <c r="P299" i="15" s="1"/>
  <c r="V299" i="15" s="1"/>
  <c r="Q301" i="15"/>
  <c r="P301" i="15" s="1"/>
  <c r="V301" i="15" s="1"/>
  <c r="Q303" i="15"/>
  <c r="P303" i="15" s="1"/>
  <c r="V303" i="15" s="1"/>
  <c r="Q305" i="15"/>
  <c r="P305" i="15" s="1"/>
  <c r="V305" i="15" s="1"/>
  <c r="Q307" i="15"/>
  <c r="P307" i="15" s="1"/>
  <c r="V307" i="15" s="1"/>
  <c r="Q309" i="15"/>
  <c r="P309" i="15" s="1"/>
  <c r="V309" i="15" s="1"/>
  <c r="Q311" i="15"/>
  <c r="P311" i="15" s="1"/>
  <c r="V311" i="15" s="1"/>
  <c r="Q313" i="15"/>
  <c r="P313" i="15" s="1"/>
  <c r="V313" i="15" s="1"/>
  <c r="Q315" i="15"/>
  <c r="P315" i="15" s="1"/>
  <c r="V315" i="15" s="1"/>
  <c r="Q317" i="15"/>
  <c r="P317" i="15" s="1"/>
  <c r="V317" i="15" s="1"/>
  <c r="Q319" i="15"/>
  <c r="P319" i="15" s="1"/>
  <c r="V319" i="15" s="1"/>
  <c r="Q321" i="15"/>
  <c r="P321" i="15" s="1"/>
  <c r="V321" i="15" s="1"/>
  <c r="Q323" i="15"/>
  <c r="P323" i="15" s="1"/>
  <c r="V323" i="15" s="1"/>
  <c r="Q325" i="15"/>
  <c r="P325" i="15" s="1"/>
  <c r="V325" i="15" s="1"/>
  <c r="Q327" i="15"/>
  <c r="P327" i="15" s="1"/>
  <c r="V327" i="15" s="1"/>
  <c r="Q329" i="15"/>
  <c r="P329" i="15" s="1"/>
  <c r="V329" i="15" s="1"/>
  <c r="Q331" i="15"/>
  <c r="P331" i="15" s="1"/>
  <c r="V331" i="15" s="1"/>
  <c r="Q333" i="15"/>
  <c r="Q335" i="15"/>
  <c r="P335" i="15" s="1"/>
  <c r="V335" i="15" s="1"/>
  <c r="Q337" i="15"/>
  <c r="Q339" i="15"/>
  <c r="P339" i="15" s="1"/>
  <c r="V339" i="15" s="1"/>
  <c r="Q341" i="15"/>
  <c r="P341" i="15" s="1"/>
  <c r="V341" i="15" s="1"/>
  <c r="Q343" i="15"/>
  <c r="P343" i="15" s="1"/>
  <c r="V343" i="15" s="1"/>
  <c r="Q345" i="15"/>
  <c r="Q347" i="15"/>
  <c r="P347" i="15" s="1"/>
  <c r="V347" i="15" s="1"/>
  <c r="Q349" i="15"/>
  <c r="P349" i="15" s="1"/>
  <c r="V349" i="15" s="1"/>
  <c r="Q351" i="15"/>
  <c r="P351" i="15" s="1"/>
  <c r="V351" i="15" s="1"/>
  <c r="Q353" i="15"/>
  <c r="P353" i="15" s="1"/>
  <c r="V353" i="15" s="1"/>
  <c r="Q355" i="15"/>
  <c r="P355" i="15" s="1"/>
  <c r="V355" i="15" s="1"/>
  <c r="Q357" i="15"/>
  <c r="P357" i="15" s="1"/>
  <c r="V357" i="15" s="1"/>
  <c r="Q359" i="15"/>
  <c r="P359" i="15" s="1"/>
  <c r="V359" i="15" s="1"/>
  <c r="Q361" i="15"/>
  <c r="P361" i="15" s="1"/>
  <c r="V361" i="15" s="1"/>
  <c r="Q363" i="15"/>
  <c r="P363" i="15" s="1"/>
  <c r="Q365" i="15"/>
  <c r="Q367" i="15"/>
  <c r="P367" i="15" s="1"/>
  <c r="V367" i="15" s="1"/>
  <c r="Q369" i="15"/>
  <c r="P369" i="15" s="1"/>
  <c r="V369" i="15" s="1"/>
  <c r="Q371" i="15"/>
  <c r="P371" i="15" s="1"/>
  <c r="V371" i="15" s="1"/>
  <c r="Q373" i="15"/>
  <c r="P373" i="15" s="1"/>
  <c r="V373" i="15" s="1"/>
  <c r="Q375" i="15"/>
  <c r="P375" i="15" s="1"/>
  <c r="V375" i="15" s="1"/>
  <c r="Q377" i="15"/>
  <c r="P377" i="15" s="1"/>
  <c r="V377" i="15" s="1"/>
  <c r="Q379" i="15"/>
  <c r="J15" i="7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AC383" i="15"/>
  <c r="AC381" i="15"/>
  <c r="O382" i="15"/>
  <c r="O383" i="15"/>
  <c r="Q66" i="15"/>
  <c r="P66" i="15" s="1"/>
  <c r="V66" i="15" s="1"/>
  <c r="Q63" i="15"/>
  <c r="Q57" i="15"/>
  <c r="Q49" i="15"/>
  <c r="Q41" i="15"/>
  <c r="Q33" i="15"/>
  <c r="Q25" i="15"/>
  <c r="Q59" i="15"/>
  <c r="Q55" i="15"/>
  <c r="Q51" i="15"/>
  <c r="Q47" i="15"/>
  <c r="P47" i="15" s="1"/>
  <c r="V47" i="15" s="1"/>
  <c r="Q43" i="15"/>
  <c r="Q39" i="15"/>
  <c r="Q35" i="15"/>
  <c r="Q31" i="15"/>
  <c r="P31" i="15" s="1"/>
  <c r="V31" i="15" s="1"/>
  <c r="Q27" i="15"/>
  <c r="P55" i="15"/>
  <c r="V55" i="15" s="1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AG378" i="15"/>
  <c r="AF378" i="15" s="1"/>
  <c r="AH362" i="15"/>
  <c r="AH346" i="15"/>
  <c r="AH330" i="15"/>
  <c r="AH314" i="15"/>
  <c r="AH298" i="15"/>
  <c r="AG282" i="15"/>
  <c r="AF282" i="15" s="1"/>
  <c r="AH266" i="15"/>
  <c r="AH250" i="15"/>
  <c r="AG234" i="15"/>
  <c r="AF234" i="15" s="1"/>
  <c r="AH218" i="15"/>
  <c r="AG202" i="15"/>
  <c r="AF202" i="15" s="1"/>
  <c r="AH186" i="15"/>
  <c r="AG170" i="15"/>
  <c r="AF170" i="15" s="1"/>
  <c r="AH154" i="15"/>
  <c r="AG138" i="15"/>
  <c r="AF138" i="15" s="1"/>
  <c r="AH122" i="15"/>
  <c r="AH106" i="15"/>
  <c r="AH90" i="15"/>
  <c r="AH74" i="15"/>
  <c r="AG58" i="15"/>
  <c r="AF58" i="15" s="1"/>
  <c r="AG42" i="15"/>
  <c r="AF42" i="15" s="1"/>
  <c r="AH16" i="15"/>
  <c r="AB378" i="20"/>
  <c r="X378" i="20"/>
  <c r="AK378" i="20"/>
  <c r="K378" i="20"/>
  <c r="A379" i="20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345" i="15"/>
  <c r="R345" i="15" s="1"/>
  <c r="P345" i="15" s="1"/>
  <c r="V345" i="15" s="1"/>
  <c r="S233" i="15"/>
  <c r="R233" i="15" s="1"/>
  <c r="S231" i="15"/>
  <c r="R231" i="15" s="1"/>
  <c r="S227" i="15"/>
  <c r="R227" i="15" s="1"/>
  <c r="S165" i="15"/>
  <c r="R165" i="15" s="1"/>
  <c r="P165" i="15" s="1"/>
  <c r="V165" i="15" s="1"/>
  <c r="S85" i="15"/>
  <c r="R85" i="15" s="1"/>
  <c r="S45" i="15"/>
  <c r="R45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77" i="15"/>
  <c r="AG375" i="15"/>
  <c r="AF375" i="15" s="1"/>
  <c r="AD375" i="15" s="1"/>
  <c r="AH369" i="15"/>
  <c r="AG367" i="15"/>
  <c r="AF367" i="15" s="1"/>
  <c r="AG365" i="15"/>
  <c r="AF365" i="15" s="1"/>
  <c r="AH361" i="15"/>
  <c r="AG359" i="15"/>
  <c r="AF359" i="15" s="1"/>
  <c r="AG353" i="15"/>
  <c r="AF353" i="15" s="1"/>
  <c r="AG351" i="15"/>
  <c r="AF351" i="15" s="1"/>
  <c r="AD351" i="15" s="1"/>
  <c r="AG345" i="15"/>
  <c r="AF345" i="15" s="1"/>
  <c r="AH343" i="15"/>
  <c r="AG337" i="15"/>
  <c r="AF337" i="15" s="1"/>
  <c r="AH335" i="15"/>
  <c r="AH327" i="15"/>
  <c r="AH321" i="15"/>
  <c r="AG313" i="15"/>
  <c r="AF313" i="15" s="1"/>
  <c r="AG311" i="15"/>
  <c r="AF311" i="15" s="1"/>
  <c r="AD311" i="15" s="1"/>
  <c r="AG307" i="15"/>
  <c r="AF307" i="15" s="1"/>
  <c r="AH305" i="15"/>
  <c r="AH297" i="15"/>
  <c r="AH295" i="15"/>
  <c r="AG291" i="15"/>
  <c r="AF291" i="15" s="1"/>
  <c r="AG289" i="15"/>
  <c r="AF289" i="15" s="1"/>
  <c r="AH287" i="15"/>
  <c r="AG281" i="15"/>
  <c r="AF281" i="15" s="1"/>
  <c r="AG279" i="15"/>
  <c r="AF279" i="15" s="1"/>
  <c r="AD279" i="15" s="1"/>
  <c r="AH275" i="15"/>
  <c r="AG273" i="15"/>
  <c r="AF273" i="15" s="1"/>
  <c r="AG265" i="15"/>
  <c r="AF265" i="15" s="1"/>
  <c r="AG263" i="15"/>
  <c r="AF263" i="15" s="1"/>
  <c r="AD263" i="15" s="1"/>
  <c r="AG259" i="15"/>
  <c r="AF259" i="15" s="1"/>
  <c r="AG257" i="15"/>
  <c r="AF257" i="15" s="1"/>
  <c r="AG255" i="15"/>
  <c r="AF255" i="15" s="1"/>
  <c r="AG249" i="15"/>
  <c r="AF249" i="15" s="1"/>
  <c r="AH247" i="15"/>
  <c r="AH243" i="15"/>
  <c r="AG241" i="15"/>
  <c r="AF241" i="15" s="1"/>
  <c r="AH233" i="15"/>
  <c r="AG231" i="15"/>
  <c r="AF231" i="15" s="1"/>
  <c r="AD231" i="15" s="1"/>
  <c r="AG227" i="15"/>
  <c r="AF227" i="15" s="1"/>
  <c r="AH225" i="15"/>
  <c r="AH223" i="15"/>
  <c r="AG217" i="15"/>
  <c r="AF217" i="15" s="1"/>
  <c r="AG215" i="15"/>
  <c r="AF215" i="15" s="1"/>
  <c r="AD215" i="15" s="1"/>
  <c r="AG211" i="15"/>
  <c r="AF211" i="15" s="1"/>
  <c r="AH209" i="15"/>
  <c r="AG201" i="15"/>
  <c r="AF201" i="15" s="1"/>
  <c r="AG199" i="15"/>
  <c r="AF199" i="15" s="1"/>
  <c r="AD199" i="15" s="1"/>
  <c r="AG195" i="15"/>
  <c r="AF195" i="15" s="1"/>
  <c r="AH193" i="15"/>
  <c r="AH191" i="15"/>
  <c r="AH185" i="15"/>
  <c r="AG183" i="15"/>
  <c r="AF183" i="15" s="1"/>
  <c r="AD183" i="15" s="1"/>
  <c r="AH179" i="15"/>
  <c r="AG177" i="15"/>
  <c r="AF177" i="15" s="1"/>
  <c r="AG169" i="15"/>
  <c r="AF169" i="15" s="1"/>
  <c r="AH167" i="15"/>
  <c r="AG163" i="15"/>
  <c r="AF163" i="15" s="1"/>
  <c r="AG161" i="15"/>
  <c r="AF161" i="15" s="1"/>
  <c r="AH157" i="15"/>
  <c r="AH147" i="15"/>
  <c r="AG145" i="15"/>
  <c r="AF145" i="15" s="1"/>
  <c r="AH141" i="15"/>
  <c r="AH133" i="15"/>
  <c r="AH131" i="15"/>
  <c r="AG129" i="15"/>
  <c r="AF129" i="15" s="1"/>
  <c r="AH115" i="15"/>
  <c r="AH113" i="15"/>
  <c r="AG109" i="15"/>
  <c r="AF109" i="15" s="1"/>
  <c r="AG101" i="15"/>
  <c r="AF101" i="15" s="1"/>
  <c r="AG97" i="15"/>
  <c r="AF97" i="15" s="1"/>
  <c r="AH93" i="15"/>
  <c r="AH91" i="15"/>
  <c r="AH81" i="15"/>
  <c r="AG77" i="15"/>
  <c r="AF77" i="15" s="1"/>
  <c r="AH75" i="15"/>
  <c r="AG69" i="15"/>
  <c r="AF69" i="15" s="1"/>
  <c r="AG65" i="15"/>
  <c r="AF65" i="15" s="1"/>
  <c r="AG59" i="15"/>
  <c r="AF59" i="15" s="1"/>
  <c r="AD59" i="15" s="1"/>
  <c r="AG49" i="15"/>
  <c r="AF49" i="15" s="1"/>
  <c r="AG45" i="15"/>
  <c r="AF45" i="15" s="1"/>
  <c r="AG43" i="15"/>
  <c r="AF43" i="15" s="1"/>
  <c r="AG37" i="15"/>
  <c r="AF37" i="15" s="1"/>
  <c r="AG35" i="15"/>
  <c r="AF35" i="15" s="1"/>
  <c r="AH33" i="15"/>
  <c r="AG29" i="15"/>
  <c r="AF29" i="15" s="1"/>
  <c r="AH23" i="15"/>
  <c r="AG24" i="15"/>
  <c r="AF24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62" i="15"/>
  <c r="R362" i="15" s="1"/>
  <c r="P362" i="15" s="1"/>
  <c r="S316" i="15"/>
  <c r="R316" i="15" s="1"/>
  <c r="S298" i="15"/>
  <c r="R298" i="15" s="1"/>
  <c r="P298" i="15" s="1"/>
  <c r="S284" i="15"/>
  <c r="R284" i="15" s="1"/>
  <c r="S276" i="15"/>
  <c r="R276" i="15" s="1"/>
  <c r="S136" i="15"/>
  <c r="R136" i="15" s="1"/>
  <c r="P136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AD71" i="15" l="1"/>
  <c r="AD187" i="15"/>
  <c r="AD251" i="15"/>
  <c r="AD267" i="15"/>
  <c r="AD315" i="15"/>
  <c r="AD135" i="15"/>
  <c r="AD171" i="15"/>
  <c r="AD219" i="15"/>
  <c r="AD235" i="15"/>
  <c r="AD283" i="15"/>
  <c r="AD299" i="15"/>
  <c r="AD347" i="15"/>
  <c r="P276" i="15"/>
  <c r="V276" i="15" s="1"/>
  <c r="B276" i="15" s="1"/>
  <c r="Q12" i="16"/>
  <c r="Q10" i="16" s="1"/>
  <c r="Q364" i="16" s="1"/>
  <c r="AD67" i="15"/>
  <c r="AD123" i="15"/>
  <c r="P277" i="15"/>
  <c r="V277" i="15" s="1"/>
  <c r="P262" i="15"/>
  <c r="V262" i="15" s="1"/>
  <c r="P254" i="15"/>
  <c r="V254" i="15" s="1"/>
  <c r="B254" i="15" s="1"/>
  <c r="P222" i="15"/>
  <c r="V222" i="15" s="1"/>
  <c r="B222" i="15" s="1"/>
  <c r="P198" i="15"/>
  <c r="V198" i="15" s="1"/>
  <c r="P190" i="15"/>
  <c r="V190" i="15" s="1"/>
  <c r="P76" i="15"/>
  <c r="V76" i="15" s="1"/>
  <c r="B76" i="15" s="1"/>
  <c r="P26" i="15"/>
  <c r="V26" i="15" s="1"/>
  <c r="P85" i="15"/>
  <c r="V85" i="15" s="1"/>
  <c r="B85" i="15" s="1"/>
  <c r="AI12" i="16"/>
  <c r="P255" i="15"/>
  <c r="V255" i="15" s="1"/>
  <c r="P247" i="15"/>
  <c r="V247" i="15" s="1"/>
  <c r="P199" i="15"/>
  <c r="V199" i="15" s="1"/>
  <c r="B199" i="15" s="1"/>
  <c r="P191" i="15"/>
  <c r="V191" i="15" s="1"/>
  <c r="B191" i="15" s="1"/>
  <c r="P248" i="15"/>
  <c r="V248" i="15" s="1"/>
  <c r="B248" i="15" s="1"/>
  <c r="P150" i="15"/>
  <c r="V150" i="15" s="1"/>
  <c r="B150" i="15" s="1"/>
  <c r="P118" i="15"/>
  <c r="V118" i="15" s="1"/>
  <c r="B118" i="15" s="1"/>
  <c r="P280" i="15"/>
  <c r="V280" i="15" s="1"/>
  <c r="B280" i="15" s="1"/>
  <c r="P300" i="15"/>
  <c r="V300" i="15" s="1"/>
  <c r="B300" i="15" s="1"/>
  <c r="P364" i="15"/>
  <c r="V364" i="15" s="1"/>
  <c r="P312" i="15"/>
  <c r="V312" i="15" s="1"/>
  <c r="B312" i="15" s="1"/>
  <c r="P344" i="15"/>
  <c r="V344" i="15" s="1"/>
  <c r="P376" i="15"/>
  <c r="V376" i="15" s="1"/>
  <c r="B376" i="15" s="1"/>
  <c r="P45" i="15"/>
  <c r="V45" i="15" s="1"/>
  <c r="B45" i="15" s="1"/>
  <c r="P227" i="15"/>
  <c r="V227" i="15" s="1"/>
  <c r="B227" i="15" s="1"/>
  <c r="L36" i="19"/>
  <c r="P246" i="15"/>
  <c r="V246" i="15" s="1"/>
  <c r="B246" i="15" s="1"/>
  <c r="AD359" i="15"/>
  <c r="AD367" i="15"/>
  <c r="AI381" i="15"/>
  <c r="P333" i="15"/>
  <c r="V333" i="15" s="1"/>
  <c r="P193" i="15"/>
  <c r="V193" i="15" s="1"/>
  <c r="B193" i="15" s="1"/>
  <c r="P73" i="15"/>
  <c r="V73" i="15" s="1"/>
  <c r="B73" i="15" s="1"/>
  <c r="P263" i="15"/>
  <c r="V263" i="15" s="1"/>
  <c r="B263" i="15" s="1"/>
  <c r="P259" i="15"/>
  <c r="V259" i="15" s="1"/>
  <c r="B259" i="15" s="1"/>
  <c r="P243" i="15"/>
  <c r="V243" i="15" s="1"/>
  <c r="B243" i="15" s="1"/>
  <c r="P239" i="15"/>
  <c r="V239" i="15" s="1"/>
  <c r="B239" i="15" s="1"/>
  <c r="P215" i="15"/>
  <c r="V215" i="15" s="1"/>
  <c r="B215" i="15" s="1"/>
  <c r="P211" i="15"/>
  <c r="V211" i="15" s="1"/>
  <c r="B211" i="15" s="1"/>
  <c r="P195" i="15"/>
  <c r="V195" i="15" s="1"/>
  <c r="P272" i="15"/>
  <c r="V272" i="15" s="1"/>
  <c r="P264" i="15"/>
  <c r="V264" i="15" s="1"/>
  <c r="B264" i="15" s="1"/>
  <c r="P256" i="15"/>
  <c r="V256" i="15" s="1"/>
  <c r="B256" i="15" s="1"/>
  <c r="P240" i="15"/>
  <c r="V240" i="15" s="1"/>
  <c r="B240" i="15" s="1"/>
  <c r="P232" i="15"/>
  <c r="V232" i="15" s="1"/>
  <c r="B232" i="15" s="1"/>
  <c r="P224" i="15"/>
  <c r="V224" i="15" s="1"/>
  <c r="B224" i="15" s="1"/>
  <c r="P216" i="15"/>
  <c r="V216" i="15" s="1"/>
  <c r="B216" i="15" s="1"/>
  <c r="P208" i="15"/>
  <c r="V208" i="15" s="1"/>
  <c r="B208" i="15" s="1"/>
  <c r="P200" i="15"/>
  <c r="V200" i="15" s="1"/>
  <c r="B200" i="15" s="1"/>
  <c r="P192" i="15"/>
  <c r="V192" i="15" s="1"/>
  <c r="B192" i="15" s="1"/>
  <c r="P182" i="15"/>
  <c r="V182" i="15" s="1"/>
  <c r="B182" i="15" s="1"/>
  <c r="P170" i="15"/>
  <c r="V170" i="15" s="1"/>
  <c r="B170" i="15" s="1"/>
  <c r="P158" i="15"/>
  <c r="V158" i="15" s="1"/>
  <c r="B158" i="15" s="1"/>
  <c r="P154" i="15"/>
  <c r="V154" i="15" s="1"/>
  <c r="P138" i="15"/>
  <c r="V138" i="15" s="1"/>
  <c r="B138" i="15" s="1"/>
  <c r="P134" i="15"/>
  <c r="V134" i="15" s="1"/>
  <c r="B134" i="15" s="1"/>
  <c r="P126" i="15"/>
  <c r="V126" i="15" s="1"/>
  <c r="B126" i="15" s="1"/>
  <c r="P122" i="15"/>
  <c r="V122" i="15" s="1"/>
  <c r="B122" i="15" s="1"/>
  <c r="P332" i="15"/>
  <c r="V332" i="15" s="1"/>
  <c r="B332" i="15" s="1"/>
  <c r="L38" i="19"/>
  <c r="P368" i="15"/>
  <c r="V368" i="15" s="1"/>
  <c r="B368" i="15" s="1"/>
  <c r="P336" i="15"/>
  <c r="V336" i="15" s="1"/>
  <c r="B336" i="15" s="1"/>
  <c r="U12" i="16"/>
  <c r="P214" i="15"/>
  <c r="V214" i="15" s="1"/>
  <c r="B214" i="15" s="1"/>
  <c r="P308" i="15"/>
  <c r="V308" i="15" s="1"/>
  <c r="B308" i="15" s="1"/>
  <c r="P340" i="15"/>
  <c r="V340" i="15" s="1"/>
  <c r="B340" i="15" s="1"/>
  <c r="P372" i="15"/>
  <c r="V372" i="15" s="1"/>
  <c r="B372" i="15" s="1"/>
  <c r="P304" i="15"/>
  <c r="V304" i="15" s="1"/>
  <c r="B304" i="15" s="1"/>
  <c r="U383" i="15"/>
  <c r="AD43" i="15"/>
  <c r="AD47" i="15"/>
  <c r="AD22" i="15"/>
  <c r="AD31" i="15"/>
  <c r="AD79" i="15"/>
  <c r="AD95" i="15"/>
  <c r="AD103" i="15"/>
  <c r="AD119" i="15"/>
  <c r="AD143" i="15"/>
  <c r="P143" i="15"/>
  <c r="V143" i="15" s="1"/>
  <c r="B143" i="15" s="1"/>
  <c r="P95" i="15"/>
  <c r="V95" i="15" s="1"/>
  <c r="B95" i="15" s="1"/>
  <c r="P288" i="15"/>
  <c r="V288" i="15" s="1"/>
  <c r="B288" i="15" s="1"/>
  <c r="D288" i="15" s="1"/>
  <c r="E288" i="15" s="1"/>
  <c r="F288" i="15" s="1"/>
  <c r="P25" i="15"/>
  <c r="V25" i="15" s="1"/>
  <c r="B25" i="15" s="1"/>
  <c r="P324" i="15"/>
  <c r="V324" i="15" s="1"/>
  <c r="B324" i="15" s="1"/>
  <c r="P296" i="15"/>
  <c r="V296" i="15" s="1"/>
  <c r="B296" i="15" s="1"/>
  <c r="P203" i="15"/>
  <c r="V203" i="15" s="1"/>
  <c r="B203" i="15" s="1"/>
  <c r="P379" i="15"/>
  <c r="D36" i="19" s="1"/>
  <c r="P71" i="15"/>
  <c r="V71" i="15" s="1"/>
  <c r="B71" i="15" s="1"/>
  <c r="P19" i="15"/>
  <c r="V19" i="15" s="1"/>
  <c r="B19" i="15" s="1"/>
  <c r="P223" i="15"/>
  <c r="V223" i="15" s="1"/>
  <c r="B223" i="15" s="1"/>
  <c r="P24" i="15"/>
  <c r="V24" i="15" s="1"/>
  <c r="P22" i="15"/>
  <c r="V22" i="15" s="1"/>
  <c r="P38" i="15"/>
  <c r="V38" i="15" s="1"/>
  <c r="P42" i="15"/>
  <c r="V42" i="15" s="1"/>
  <c r="P46" i="15"/>
  <c r="V46" i="15" s="1"/>
  <c r="P50" i="15"/>
  <c r="V50" i="15" s="1"/>
  <c r="P54" i="15"/>
  <c r="V54" i="15" s="1"/>
  <c r="P58" i="15"/>
  <c r="V58" i="15" s="1"/>
  <c r="P62" i="15"/>
  <c r="V62" i="15" s="1"/>
  <c r="P17" i="15"/>
  <c r="V17" i="15" s="1"/>
  <c r="P284" i="15"/>
  <c r="V284" i="15" s="1"/>
  <c r="B284" i="15" s="1"/>
  <c r="AD35" i="15"/>
  <c r="AD139" i="15"/>
  <c r="AD163" i="15"/>
  <c r="AD175" i="15"/>
  <c r="AD195" i="15"/>
  <c r="AD207" i="15"/>
  <c r="AD211" i="15"/>
  <c r="AD227" i="15"/>
  <c r="AD239" i="15"/>
  <c r="AD255" i="15"/>
  <c r="AD259" i="15"/>
  <c r="AD271" i="15"/>
  <c r="AD291" i="15"/>
  <c r="AD303" i="15"/>
  <c r="AD307" i="15"/>
  <c r="P207" i="15"/>
  <c r="V207" i="15" s="1"/>
  <c r="B207" i="15" s="1"/>
  <c r="P271" i="15"/>
  <c r="V271" i="15" s="1"/>
  <c r="B271" i="15" s="1"/>
  <c r="J16" i="7"/>
  <c r="P11" i="7" s="1"/>
  <c r="U11" i="16" s="1"/>
  <c r="P352" i="15"/>
  <c r="V352" i="15" s="1"/>
  <c r="B352" i="15" s="1"/>
  <c r="P21" i="15"/>
  <c r="V21" i="15" s="1"/>
  <c r="U382" i="15"/>
  <c r="P172" i="15"/>
  <c r="V172" i="15" s="1"/>
  <c r="B172" i="15" s="1"/>
  <c r="P316" i="15"/>
  <c r="V316" i="15" s="1"/>
  <c r="B316" i="15" s="1"/>
  <c r="P231" i="15"/>
  <c r="V231" i="15" s="1"/>
  <c r="B231" i="15" s="1"/>
  <c r="P33" i="15"/>
  <c r="V33" i="15" s="1"/>
  <c r="B33" i="15" s="1"/>
  <c r="P49" i="15"/>
  <c r="V49" i="15" s="1"/>
  <c r="B49" i="15" s="1"/>
  <c r="P63" i="15"/>
  <c r="V63" i="15" s="1"/>
  <c r="B63" i="15" s="1"/>
  <c r="P261" i="15"/>
  <c r="V261" i="15" s="1"/>
  <c r="B261" i="15" s="1"/>
  <c r="P253" i="15"/>
  <c r="V253" i="15" s="1"/>
  <c r="B253" i="15" s="1"/>
  <c r="P245" i="15"/>
  <c r="V245" i="15" s="1"/>
  <c r="B245" i="15" s="1"/>
  <c r="P237" i="15"/>
  <c r="V237" i="15" s="1"/>
  <c r="B237" i="15" s="1"/>
  <c r="P229" i="15"/>
  <c r="V229" i="15" s="1"/>
  <c r="B229" i="15" s="1"/>
  <c r="P221" i="15"/>
  <c r="V221" i="15" s="1"/>
  <c r="B221" i="15" s="1"/>
  <c r="P213" i="15"/>
  <c r="V213" i="15" s="1"/>
  <c r="B213" i="15" s="1"/>
  <c r="P205" i="15"/>
  <c r="V205" i="15" s="1"/>
  <c r="B205" i="15" s="1"/>
  <c r="P189" i="15"/>
  <c r="V189" i="15" s="1"/>
  <c r="B189" i="15" s="1"/>
  <c r="P181" i="15"/>
  <c r="V181" i="15" s="1"/>
  <c r="B181" i="15" s="1"/>
  <c r="P177" i="15"/>
  <c r="V177" i="15" s="1"/>
  <c r="B177" i="15" s="1"/>
  <c r="P161" i="15"/>
  <c r="V161" i="15" s="1"/>
  <c r="B161" i="15" s="1"/>
  <c r="P157" i="15"/>
  <c r="V157" i="15" s="1"/>
  <c r="B157" i="15" s="1"/>
  <c r="P133" i="15"/>
  <c r="V133" i="15" s="1"/>
  <c r="B133" i="15" s="1"/>
  <c r="P129" i="15"/>
  <c r="V129" i="15" s="1"/>
  <c r="B129" i="15" s="1"/>
  <c r="P125" i="15"/>
  <c r="V125" i="15" s="1"/>
  <c r="B125" i="15" s="1"/>
  <c r="P113" i="15"/>
  <c r="V113" i="15" s="1"/>
  <c r="B113" i="15" s="1"/>
  <c r="P97" i="15"/>
  <c r="V97" i="15" s="1"/>
  <c r="B97" i="15" s="1"/>
  <c r="P93" i="15"/>
  <c r="V93" i="15" s="1"/>
  <c r="B93" i="15" s="1"/>
  <c r="P81" i="15"/>
  <c r="V81" i="15" s="1"/>
  <c r="B81" i="15" s="1"/>
  <c r="P69" i="15"/>
  <c r="V69" i="15" s="1"/>
  <c r="B69" i="15" s="1"/>
  <c r="P61" i="15"/>
  <c r="V61" i="15" s="1"/>
  <c r="B61" i="15" s="1"/>
  <c r="P29" i="15"/>
  <c r="V29" i="15" s="1"/>
  <c r="B29" i="15" s="1"/>
  <c r="P65" i="15"/>
  <c r="V65" i="15" s="1"/>
  <c r="B65" i="15" s="1"/>
  <c r="P74" i="15"/>
  <c r="V74" i="15" s="1"/>
  <c r="B74" i="15" s="1"/>
  <c r="P82" i="15"/>
  <c r="V82" i="15" s="1"/>
  <c r="B82" i="15" s="1"/>
  <c r="P90" i="15"/>
  <c r="V90" i="15" s="1"/>
  <c r="B90" i="15" s="1"/>
  <c r="P98" i="15"/>
  <c r="V98" i="15" s="1"/>
  <c r="B98" i="15" s="1"/>
  <c r="P106" i="15"/>
  <c r="V106" i="15" s="1"/>
  <c r="B106" i="15" s="1"/>
  <c r="P270" i="15"/>
  <c r="V270" i="15" s="1"/>
  <c r="B270" i="15" s="1"/>
  <c r="P258" i="15"/>
  <c r="V258" i="15" s="1"/>
  <c r="B258" i="15" s="1"/>
  <c r="P242" i="15"/>
  <c r="V242" i="15" s="1"/>
  <c r="B242" i="15" s="1"/>
  <c r="P238" i="15"/>
  <c r="V238" i="15" s="1"/>
  <c r="B238" i="15" s="1"/>
  <c r="P230" i="15"/>
  <c r="V230" i="15" s="1"/>
  <c r="B230" i="15" s="1"/>
  <c r="P226" i="15"/>
  <c r="V226" i="15" s="1"/>
  <c r="B226" i="15" s="1"/>
  <c r="P210" i="15"/>
  <c r="P206" i="15"/>
  <c r="V206" i="15" s="1"/>
  <c r="B206" i="15" s="1"/>
  <c r="P194" i="15"/>
  <c r="V194" i="15" s="1"/>
  <c r="B194" i="15" s="1"/>
  <c r="P180" i="15"/>
  <c r="D37" i="7" s="1"/>
  <c r="P164" i="15"/>
  <c r="V164" i="15" s="1"/>
  <c r="B164" i="15" s="1"/>
  <c r="P156" i="15"/>
  <c r="V156" i="15" s="1"/>
  <c r="B156" i="15" s="1"/>
  <c r="P148" i="15"/>
  <c r="V148" i="15" s="1"/>
  <c r="B148" i="15" s="1"/>
  <c r="P108" i="15"/>
  <c r="V108" i="15" s="1"/>
  <c r="P92" i="15"/>
  <c r="V92" i="15" s="1"/>
  <c r="B92" i="15" s="1"/>
  <c r="P84" i="15"/>
  <c r="V84" i="15" s="1"/>
  <c r="B84" i="15" s="1"/>
  <c r="P53" i="15"/>
  <c r="V53" i="15" s="1"/>
  <c r="B53" i="15" s="1"/>
  <c r="P292" i="15"/>
  <c r="V292" i="15" s="1"/>
  <c r="B292" i="15" s="1"/>
  <c r="P356" i="15"/>
  <c r="V356" i="15" s="1"/>
  <c r="B356" i="15" s="1"/>
  <c r="P328" i="15"/>
  <c r="V328" i="15" s="1"/>
  <c r="B328" i="15" s="1"/>
  <c r="P360" i="15"/>
  <c r="V360" i="15" s="1"/>
  <c r="B360" i="15" s="1"/>
  <c r="Q12" i="19"/>
  <c r="AI383" i="15"/>
  <c r="P297" i="15"/>
  <c r="V297" i="15" s="1"/>
  <c r="P171" i="15"/>
  <c r="V171" i="15" s="1"/>
  <c r="P75" i="15"/>
  <c r="V75" i="15" s="1"/>
  <c r="P140" i="15"/>
  <c r="V140" i="15" s="1"/>
  <c r="B140" i="15" s="1"/>
  <c r="P132" i="15"/>
  <c r="V132" i="15" s="1"/>
  <c r="B132" i="15" s="1"/>
  <c r="P124" i="15"/>
  <c r="V124" i="15" s="1"/>
  <c r="B124" i="15" s="1"/>
  <c r="P116" i="15"/>
  <c r="V116" i="15" s="1"/>
  <c r="B116" i="15" s="1"/>
  <c r="P104" i="15"/>
  <c r="V104" i="15" s="1"/>
  <c r="B104" i="15" s="1"/>
  <c r="P88" i="15"/>
  <c r="P72" i="15"/>
  <c r="V72" i="15" s="1"/>
  <c r="B72" i="15" s="1"/>
  <c r="D41" i="7"/>
  <c r="P23" i="15"/>
  <c r="V23" i="15" s="1"/>
  <c r="P16" i="15"/>
  <c r="V16" i="15" s="1"/>
  <c r="P32" i="15"/>
  <c r="V32" i="15" s="1"/>
  <c r="P36" i="15"/>
  <c r="V36" i="15" s="1"/>
  <c r="P40" i="15"/>
  <c r="V40" i="15" s="1"/>
  <c r="P44" i="15"/>
  <c r="V44" i="15" s="1"/>
  <c r="P48" i="15"/>
  <c r="V48" i="15" s="1"/>
  <c r="P52" i="15"/>
  <c r="V52" i="15" s="1"/>
  <c r="P60" i="15"/>
  <c r="V60" i="15" s="1"/>
  <c r="P64" i="15"/>
  <c r="V64" i="15" s="1"/>
  <c r="U381" i="15"/>
  <c r="P20" i="15"/>
  <c r="V20" i="15" s="1"/>
  <c r="P18" i="15"/>
  <c r="V18" i="15" s="1"/>
  <c r="P39" i="15"/>
  <c r="V39" i="15" s="1"/>
  <c r="B39" i="15" s="1"/>
  <c r="P145" i="15"/>
  <c r="V145" i="15" s="1"/>
  <c r="B145" i="15" s="1"/>
  <c r="AI382" i="15"/>
  <c r="P27" i="15"/>
  <c r="V27" i="15" s="1"/>
  <c r="B27" i="15" s="1"/>
  <c r="P43" i="15"/>
  <c r="V43" i="15" s="1"/>
  <c r="B43" i="15" s="1"/>
  <c r="P59" i="15"/>
  <c r="V59" i="15" s="1"/>
  <c r="B59" i="15" s="1"/>
  <c r="P57" i="15"/>
  <c r="V57" i="15" s="1"/>
  <c r="B57" i="15" s="1"/>
  <c r="P41" i="15"/>
  <c r="V41" i="15" s="1"/>
  <c r="B41" i="15" s="1"/>
  <c r="P267" i="15"/>
  <c r="V267" i="15" s="1"/>
  <c r="B267" i="15" s="1"/>
  <c r="P251" i="15"/>
  <c r="V251" i="15" s="1"/>
  <c r="B251" i="15" s="1"/>
  <c r="P235" i="15"/>
  <c r="V235" i="15" s="1"/>
  <c r="B235" i="15" s="1"/>
  <c r="P219" i="15"/>
  <c r="V219" i="15" s="1"/>
  <c r="B219" i="15" s="1"/>
  <c r="P187" i="15"/>
  <c r="V187" i="15" s="1"/>
  <c r="B187" i="15" s="1"/>
  <c r="P179" i="15"/>
  <c r="V179" i="15" s="1"/>
  <c r="B179" i="15" s="1"/>
  <c r="P163" i="15"/>
  <c r="V163" i="15" s="1"/>
  <c r="B163" i="15" s="1"/>
  <c r="P155" i="15"/>
  <c r="V155" i="15" s="1"/>
  <c r="B155" i="15" s="1"/>
  <c r="P147" i="15"/>
  <c r="V147" i="15" s="1"/>
  <c r="B147" i="15" s="1"/>
  <c r="P139" i="15"/>
  <c r="V139" i="15" s="1"/>
  <c r="B139" i="15" s="1"/>
  <c r="P131" i="15"/>
  <c r="V131" i="15" s="1"/>
  <c r="B131" i="15" s="1"/>
  <c r="P123" i="15"/>
  <c r="V123" i="15" s="1"/>
  <c r="B123" i="15" s="1"/>
  <c r="P115" i="15"/>
  <c r="V115" i="15" s="1"/>
  <c r="B115" i="15" s="1"/>
  <c r="P107" i="15"/>
  <c r="V107" i="15" s="1"/>
  <c r="B107" i="15" s="1"/>
  <c r="P99" i="15"/>
  <c r="V99" i="15" s="1"/>
  <c r="B99" i="15" s="1"/>
  <c r="P91" i="15"/>
  <c r="V91" i="15" s="1"/>
  <c r="B91" i="15" s="1"/>
  <c r="P83" i="15"/>
  <c r="V83" i="15" s="1"/>
  <c r="B83" i="15" s="1"/>
  <c r="P67" i="15"/>
  <c r="V67" i="15" s="1"/>
  <c r="B67" i="15" s="1"/>
  <c r="B299" i="15"/>
  <c r="B295" i="15"/>
  <c r="B287" i="15"/>
  <c r="B279" i="15"/>
  <c r="B275" i="15"/>
  <c r="B255" i="15"/>
  <c r="B247" i="15"/>
  <c r="B135" i="15"/>
  <c r="B127" i="15"/>
  <c r="B68" i="15"/>
  <c r="B80" i="15"/>
  <c r="B94" i="15"/>
  <c r="B102" i="15"/>
  <c r="B110" i="15"/>
  <c r="B114" i="15"/>
  <c r="B130" i="15"/>
  <c r="B142" i="15"/>
  <c r="B146" i="15"/>
  <c r="B154" i="15"/>
  <c r="B162" i="15"/>
  <c r="B166" i="15"/>
  <c r="B174" i="15"/>
  <c r="B178" i="15"/>
  <c r="B184" i="15"/>
  <c r="B188" i="15"/>
  <c r="B196" i="15"/>
  <c r="B204" i="15"/>
  <c r="B218" i="15"/>
  <c r="B234" i="15"/>
  <c r="B250" i="15"/>
  <c r="B262" i="15"/>
  <c r="B266" i="15"/>
  <c r="B274" i="15"/>
  <c r="B278" i="15"/>
  <c r="B282" i="15"/>
  <c r="B286" i="15"/>
  <c r="B290" i="15"/>
  <c r="B294" i="15"/>
  <c r="B302" i="15"/>
  <c r="B320" i="15"/>
  <c r="B344" i="15"/>
  <c r="B348" i="15"/>
  <c r="B364" i="15"/>
  <c r="B165" i="15"/>
  <c r="B185" i="15"/>
  <c r="B277" i="15"/>
  <c r="B283" i="15"/>
  <c r="B291" i="15"/>
  <c r="B345" i="15"/>
  <c r="B55" i="15"/>
  <c r="B47" i="15"/>
  <c r="B66" i="15"/>
  <c r="B375" i="15"/>
  <c r="B371" i="15"/>
  <c r="B367" i="15"/>
  <c r="B359" i="15"/>
  <c r="B355" i="15"/>
  <c r="B351" i="15"/>
  <c r="B347" i="15"/>
  <c r="B343" i="15"/>
  <c r="B339" i="15"/>
  <c r="B335" i="15"/>
  <c r="B331" i="15"/>
  <c r="B327" i="15"/>
  <c r="B323" i="15"/>
  <c r="B319" i="15"/>
  <c r="B315" i="15"/>
  <c r="B311" i="15"/>
  <c r="B307" i="15"/>
  <c r="B303" i="15"/>
  <c r="B195" i="15"/>
  <c r="B183" i="15"/>
  <c r="B175" i="15"/>
  <c r="B167" i="15"/>
  <c r="B159" i="15"/>
  <c r="B151" i="15"/>
  <c r="B119" i="15"/>
  <c r="B111" i="15"/>
  <c r="B103" i="15"/>
  <c r="B87" i="15"/>
  <c r="B79" i="15"/>
  <c r="B70" i="15"/>
  <c r="B78" i="15"/>
  <c r="B86" i="15"/>
  <c r="B96" i="15"/>
  <c r="B100" i="15"/>
  <c r="B112" i="15"/>
  <c r="B120" i="15"/>
  <c r="B128" i="15"/>
  <c r="B144" i="15"/>
  <c r="B152" i="15"/>
  <c r="B160" i="15"/>
  <c r="B168" i="15"/>
  <c r="B176" i="15"/>
  <c r="B186" i="15"/>
  <c r="B190" i="15"/>
  <c r="B198" i="15"/>
  <c r="B202" i="15"/>
  <c r="B212" i="15"/>
  <c r="B220" i="15"/>
  <c r="B228" i="15"/>
  <c r="B236" i="15"/>
  <c r="B244" i="15"/>
  <c r="B252" i="15"/>
  <c r="B260" i="15"/>
  <c r="B268" i="15"/>
  <c r="B306" i="15"/>
  <c r="B310" i="15"/>
  <c r="B314" i="15"/>
  <c r="B318" i="15"/>
  <c r="B322" i="15"/>
  <c r="B326" i="15"/>
  <c r="B330" i="15"/>
  <c r="B334" i="15"/>
  <c r="B338" i="15"/>
  <c r="B342" i="15"/>
  <c r="B346" i="15"/>
  <c r="B350" i="15"/>
  <c r="B354" i="15"/>
  <c r="B366" i="15"/>
  <c r="B370" i="15"/>
  <c r="B374" i="15"/>
  <c r="W378" i="15"/>
  <c r="D378" i="15"/>
  <c r="E378" i="15" s="1"/>
  <c r="F378" i="15" s="1"/>
  <c r="B37" i="15"/>
  <c r="D35" i="7"/>
  <c r="B217" i="15"/>
  <c r="B31" i="15"/>
  <c r="B377" i="15"/>
  <c r="B373" i="15"/>
  <c r="B369" i="15"/>
  <c r="B361" i="15"/>
  <c r="B357" i="15"/>
  <c r="B353" i="15"/>
  <c r="B349" i="15"/>
  <c r="B341" i="15"/>
  <c r="B329" i="15"/>
  <c r="B325" i="15"/>
  <c r="B321" i="15"/>
  <c r="B317" i="15"/>
  <c r="B313" i="15"/>
  <c r="B309" i="15"/>
  <c r="B305" i="15"/>
  <c r="B301" i="15"/>
  <c r="B293" i="15"/>
  <c r="B289" i="15"/>
  <c r="B285" i="15"/>
  <c r="B281" i="15"/>
  <c r="B273" i="15"/>
  <c r="B265" i="15"/>
  <c r="B257" i="15"/>
  <c r="B249" i="15"/>
  <c r="B225" i="15"/>
  <c r="B209" i="15"/>
  <c r="B201" i="15"/>
  <c r="B173" i="15"/>
  <c r="B169" i="15"/>
  <c r="B153" i="15"/>
  <c r="B149" i="15"/>
  <c r="B141" i="15"/>
  <c r="B121" i="15"/>
  <c r="B117" i="15"/>
  <c r="B109" i="15"/>
  <c r="B105" i="15"/>
  <c r="B89" i="15"/>
  <c r="B77" i="15"/>
  <c r="D36" i="7"/>
  <c r="AD24" i="15"/>
  <c r="AD29" i="15"/>
  <c r="AD37" i="15"/>
  <c r="AD45" i="15"/>
  <c r="AD49" i="15"/>
  <c r="AD53" i="15"/>
  <c r="AD57" i="15"/>
  <c r="AD65" i="15"/>
  <c r="AD69" i="15"/>
  <c r="AD73" i="15"/>
  <c r="AD77" i="15"/>
  <c r="AD85" i="15"/>
  <c r="AD89" i="15"/>
  <c r="AD97" i="15"/>
  <c r="AD101" i="15"/>
  <c r="AD105" i="15"/>
  <c r="AD109" i="15"/>
  <c r="AD125" i="15"/>
  <c r="AD129" i="15"/>
  <c r="AD145" i="15"/>
  <c r="AD153" i="15"/>
  <c r="AD161" i="15"/>
  <c r="AD169" i="15"/>
  <c r="AD177" i="15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D349" i="15"/>
  <c r="AD353" i="15"/>
  <c r="AD357" i="15"/>
  <c r="P101" i="15"/>
  <c r="V101" i="15" s="1"/>
  <c r="P137" i="15"/>
  <c r="V137" i="15" s="1"/>
  <c r="P197" i="15"/>
  <c r="V197" i="15" s="1"/>
  <c r="P233" i="15"/>
  <c r="V233" i="15" s="1"/>
  <c r="V241" i="15"/>
  <c r="P269" i="15"/>
  <c r="V269" i="15" s="1"/>
  <c r="P337" i="15"/>
  <c r="V337" i="15" s="1"/>
  <c r="P365" i="15"/>
  <c r="V365" i="15" s="1"/>
  <c r="V363" i="15"/>
  <c r="D43" i="7"/>
  <c r="P56" i="15"/>
  <c r="V56" i="15" s="1"/>
  <c r="AD365" i="15"/>
  <c r="AD373" i="15"/>
  <c r="AD27" i="15"/>
  <c r="AD21" i="15"/>
  <c r="P35" i="15"/>
  <c r="V35" i="15" s="1"/>
  <c r="P51" i="15"/>
  <c r="V51" i="15" s="1"/>
  <c r="B51" i="15" s="1"/>
  <c r="P28" i="15"/>
  <c r="V28" i="15" s="1"/>
  <c r="P34" i="15"/>
  <c r="V34" i="15" s="1"/>
  <c r="AC381" i="18"/>
  <c r="AC382" i="18"/>
  <c r="AC383" i="18"/>
  <c r="P30" i="15"/>
  <c r="V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K5" i="16"/>
  <c r="AM5" i="16"/>
  <c r="AK9" i="16"/>
  <c r="AM7" i="16"/>
  <c r="AM11" i="16" s="1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136" i="15"/>
  <c r="V298" i="15"/>
  <c r="V358" i="15"/>
  <c r="B358" i="15" s="1"/>
  <c r="V362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O15" i="7"/>
  <c r="AK3" i="17"/>
  <c r="AH383" i="15"/>
  <c r="AG15" i="15"/>
  <c r="AH381" i="15"/>
  <c r="AH382" i="15"/>
  <c r="AG379" i="15"/>
  <c r="AF379" i="15" s="1"/>
  <c r="AD379" i="15" s="1"/>
  <c r="E11" i="1"/>
  <c r="F35" i="19" s="1"/>
  <c r="T382" i="15"/>
  <c r="T381" i="15"/>
  <c r="T383" i="15"/>
  <c r="S15" i="15"/>
  <c r="AJ13" i="1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G99" i="15"/>
  <c r="AF99" i="15" s="1"/>
  <c r="AD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D42" i="7" l="1"/>
  <c r="O16" i="7"/>
  <c r="D40" i="7"/>
  <c r="U10" i="16"/>
  <c r="U240" i="16" s="1"/>
  <c r="T240" i="16" s="1"/>
  <c r="S240" i="16" s="1"/>
  <c r="R240" i="16" s="1"/>
  <c r="AI24" i="16"/>
  <c r="AH24" i="16" s="1"/>
  <c r="AG24" i="16" s="1"/>
  <c r="AF24" i="16" s="1"/>
  <c r="AI56" i="16"/>
  <c r="AH56" i="16" s="1"/>
  <c r="AG56" i="16" s="1"/>
  <c r="AF56" i="16" s="1"/>
  <c r="AI88" i="16"/>
  <c r="AH88" i="16" s="1"/>
  <c r="AI120" i="16"/>
  <c r="AH120" i="16" s="1"/>
  <c r="AG120" i="16" s="1"/>
  <c r="AF120" i="16" s="1"/>
  <c r="AI152" i="16"/>
  <c r="AH152" i="16" s="1"/>
  <c r="AG152" i="16" s="1"/>
  <c r="AF152" i="16" s="1"/>
  <c r="AI184" i="16"/>
  <c r="AH184" i="16" s="1"/>
  <c r="AG184" i="16" s="1"/>
  <c r="AF184" i="16" s="1"/>
  <c r="AI216" i="16"/>
  <c r="AH216" i="16" s="1"/>
  <c r="AG216" i="16" s="1"/>
  <c r="AF216" i="16" s="1"/>
  <c r="AI248" i="16"/>
  <c r="AH248" i="16" s="1"/>
  <c r="AG248" i="16" s="1"/>
  <c r="AF248" i="16" s="1"/>
  <c r="AI280" i="16"/>
  <c r="AH280" i="16" s="1"/>
  <c r="AG280" i="16" s="1"/>
  <c r="AF280" i="16" s="1"/>
  <c r="W288" i="15"/>
  <c r="V379" i="15"/>
  <c r="M62" i="19" s="1"/>
  <c r="V88" i="15"/>
  <c r="B88" i="15" s="1"/>
  <c r="W88" i="15" s="1"/>
  <c r="D34" i="7"/>
  <c r="U105" i="16"/>
  <c r="T105" i="16" s="1"/>
  <c r="U182" i="16"/>
  <c r="T182" i="16" s="1"/>
  <c r="S182" i="16" s="1"/>
  <c r="R182" i="16" s="1"/>
  <c r="U246" i="16"/>
  <c r="T246" i="16" s="1"/>
  <c r="S246" i="16" s="1"/>
  <c r="R246" i="16" s="1"/>
  <c r="U310" i="16"/>
  <c r="T310" i="16" s="1"/>
  <c r="S310" i="16" s="1"/>
  <c r="R310" i="16" s="1"/>
  <c r="U350" i="16"/>
  <c r="T350" i="16" s="1"/>
  <c r="S350" i="16" s="1"/>
  <c r="R350" i="16" s="1"/>
  <c r="U228" i="16"/>
  <c r="T228" i="16" s="1"/>
  <c r="S228" i="16" s="1"/>
  <c r="R228" i="16" s="1"/>
  <c r="U57" i="16"/>
  <c r="T57" i="16" s="1"/>
  <c r="S57" i="16" s="1"/>
  <c r="R57" i="16" s="1"/>
  <c r="L37" i="19"/>
  <c r="Q23" i="16"/>
  <c r="Q269" i="16"/>
  <c r="Q318" i="16"/>
  <c r="Q340" i="16"/>
  <c r="Q356" i="16"/>
  <c r="Q371" i="16"/>
  <c r="Q379" i="16"/>
  <c r="P15" i="7" s="1"/>
  <c r="Q301" i="16"/>
  <c r="Q348" i="16"/>
  <c r="Q375" i="16"/>
  <c r="D38" i="7"/>
  <c r="V210" i="15"/>
  <c r="B210" i="15" s="1"/>
  <c r="D210" i="15" s="1"/>
  <c r="E210" i="15" s="1"/>
  <c r="F210" i="15" s="1"/>
  <c r="AA210" i="15" s="1"/>
  <c r="Z210" i="15" s="1"/>
  <c r="Y210" i="15" s="1"/>
  <c r="U17" i="16"/>
  <c r="T17" i="16" s="1"/>
  <c r="S17" i="16" s="1"/>
  <c r="R17" i="16" s="1"/>
  <c r="U48" i="16"/>
  <c r="T48" i="16" s="1"/>
  <c r="S48" i="16" s="1"/>
  <c r="R48" i="16" s="1"/>
  <c r="U80" i="16"/>
  <c r="T80" i="16" s="1"/>
  <c r="S80" i="16" s="1"/>
  <c r="R80" i="16" s="1"/>
  <c r="U112" i="16"/>
  <c r="T112" i="16" s="1"/>
  <c r="S112" i="16" s="1"/>
  <c r="R112" i="16" s="1"/>
  <c r="U39" i="16"/>
  <c r="T39" i="16" s="1"/>
  <c r="S39" i="16" s="1"/>
  <c r="R39" i="16" s="1"/>
  <c r="U95" i="16"/>
  <c r="T95" i="16" s="1"/>
  <c r="S95" i="16" s="1"/>
  <c r="R95" i="16" s="1"/>
  <c r="U127" i="16"/>
  <c r="T127" i="16" s="1"/>
  <c r="S127" i="16" s="1"/>
  <c r="R127" i="16" s="1"/>
  <c r="U145" i="16"/>
  <c r="T145" i="16" s="1"/>
  <c r="S145" i="16" s="1"/>
  <c r="R145" i="16" s="1"/>
  <c r="U161" i="16"/>
  <c r="T161" i="16" s="1"/>
  <c r="U177" i="16"/>
  <c r="T177" i="16" s="1"/>
  <c r="S177" i="16" s="1"/>
  <c r="R177" i="16" s="1"/>
  <c r="U193" i="16"/>
  <c r="T193" i="16" s="1"/>
  <c r="S193" i="16" s="1"/>
  <c r="R193" i="16" s="1"/>
  <c r="U209" i="16"/>
  <c r="T209" i="16" s="1"/>
  <c r="S209" i="16" s="1"/>
  <c r="R209" i="16" s="1"/>
  <c r="U225" i="16"/>
  <c r="T225" i="16" s="1"/>
  <c r="S225" i="16" s="1"/>
  <c r="R225" i="16" s="1"/>
  <c r="U241" i="16"/>
  <c r="T241" i="16" s="1"/>
  <c r="S241" i="16" s="1"/>
  <c r="R241" i="16" s="1"/>
  <c r="U257" i="16"/>
  <c r="T257" i="16" s="1"/>
  <c r="S257" i="16" s="1"/>
  <c r="R257" i="16" s="1"/>
  <c r="U273" i="16"/>
  <c r="T273" i="16" s="1"/>
  <c r="S273" i="16" s="1"/>
  <c r="R273" i="16" s="1"/>
  <c r="U289" i="16"/>
  <c r="T289" i="16" s="1"/>
  <c r="S289" i="16" s="1"/>
  <c r="R289" i="16" s="1"/>
  <c r="U305" i="16"/>
  <c r="T305" i="16" s="1"/>
  <c r="S305" i="16" s="1"/>
  <c r="R305" i="16" s="1"/>
  <c r="U321" i="16"/>
  <c r="T321" i="16" s="1"/>
  <c r="U337" i="16"/>
  <c r="T337" i="16" s="1"/>
  <c r="S337" i="16" s="1"/>
  <c r="R337" i="16" s="1"/>
  <c r="U353" i="16"/>
  <c r="T353" i="16" s="1"/>
  <c r="S353" i="16" s="1"/>
  <c r="R353" i="16" s="1"/>
  <c r="U369" i="16"/>
  <c r="T369" i="16" s="1"/>
  <c r="S369" i="16" s="1"/>
  <c r="R369" i="16" s="1"/>
  <c r="U53" i="16"/>
  <c r="T53" i="16" s="1"/>
  <c r="S53" i="16" s="1"/>
  <c r="R53" i="16" s="1"/>
  <c r="Q332" i="16"/>
  <c r="Q377" i="16"/>
  <c r="Q373" i="16"/>
  <c r="Q368" i="16"/>
  <c r="Q360" i="16"/>
  <c r="Q352" i="16"/>
  <c r="Q344" i="16"/>
  <c r="Q336" i="16"/>
  <c r="Q326" i="16"/>
  <c r="Q310" i="16"/>
  <c r="Q285" i="16"/>
  <c r="Q241" i="16"/>
  <c r="V180" i="15"/>
  <c r="B180" i="15" s="1"/>
  <c r="D180" i="15" s="1"/>
  <c r="E180" i="15" s="1"/>
  <c r="F180" i="15" s="1"/>
  <c r="AA180" i="15" s="1"/>
  <c r="Z180" i="15" s="1"/>
  <c r="Y180" i="15" s="1"/>
  <c r="D32" i="7"/>
  <c r="Q380" i="16"/>
  <c r="Q378" i="16"/>
  <c r="Q376" i="16"/>
  <c r="Q374" i="16"/>
  <c r="Q372" i="16"/>
  <c r="Q370" i="16"/>
  <c r="Q366" i="16"/>
  <c r="Q362" i="16"/>
  <c r="Q358" i="16"/>
  <c r="Q354" i="16"/>
  <c r="Q350" i="16"/>
  <c r="Q346" i="16"/>
  <c r="Q342" i="16"/>
  <c r="Q338" i="16"/>
  <c r="Q334" i="16"/>
  <c r="Q330" i="16"/>
  <c r="Q322" i="16"/>
  <c r="Q314" i="16"/>
  <c r="Q306" i="16"/>
  <c r="Q293" i="16"/>
  <c r="Q277" i="16"/>
  <c r="Q261" i="16"/>
  <c r="Q189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3" i="16"/>
  <c r="Q331" i="16"/>
  <c r="Q328" i="16"/>
  <c r="Q324" i="16"/>
  <c r="Q320" i="16"/>
  <c r="Q316" i="16"/>
  <c r="Q312" i="16"/>
  <c r="Q308" i="16"/>
  <c r="Q304" i="16"/>
  <c r="Q297" i="16"/>
  <c r="Q289" i="16"/>
  <c r="Q281" i="16"/>
  <c r="Q273" i="16"/>
  <c r="Q265" i="16"/>
  <c r="Q255" i="16"/>
  <c r="Q221" i="16"/>
  <c r="Q129" i="16"/>
  <c r="Q14" i="19"/>
  <c r="Q329" i="16"/>
  <c r="Q327" i="16"/>
  <c r="Q325" i="16"/>
  <c r="Q323" i="16"/>
  <c r="Q321" i="16"/>
  <c r="Q319" i="16"/>
  <c r="Q317" i="16"/>
  <c r="Q315" i="16"/>
  <c r="Q313" i="16"/>
  <c r="Q311" i="16"/>
  <c r="Q309" i="16"/>
  <c r="Q307" i="16"/>
  <c r="Q305" i="16"/>
  <c r="Q303" i="16"/>
  <c r="Q299" i="16"/>
  <c r="Q295" i="16"/>
  <c r="Q291" i="16"/>
  <c r="Q287" i="16"/>
  <c r="Q283" i="16"/>
  <c r="Q279" i="16"/>
  <c r="Q275" i="16"/>
  <c r="Q271" i="16"/>
  <c r="Q267" i="16"/>
  <c r="Q263" i="16"/>
  <c r="Q259" i="16"/>
  <c r="Q249" i="16"/>
  <c r="Q233" i="16"/>
  <c r="Q205" i="16"/>
  <c r="Q161" i="16"/>
  <c r="Q97" i="16"/>
  <c r="Q302" i="16"/>
  <c r="Q300" i="16"/>
  <c r="Q298" i="16"/>
  <c r="Q296" i="16"/>
  <c r="Q294" i="16"/>
  <c r="Q292" i="16"/>
  <c r="Q290" i="16"/>
  <c r="Q288" i="16"/>
  <c r="Q286" i="16"/>
  <c r="Q284" i="16"/>
  <c r="Q282" i="16"/>
  <c r="Q280" i="16"/>
  <c r="Q278" i="16"/>
  <c r="Q276" i="16"/>
  <c r="Q274" i="16"/>
  <c r="Q272" i="16"/>
  <c r="Q270" i="16"/>
  <c r="Q268" i="16"/>
  <c r="Q266" i="16"/>
  <c r="Q264" i="16"/>
  <c r="Q262" i="16"/>
  <c r="Q260" i="16"/>
  <c r="Q257" i="16"/>
  <c r="Q253" i="16"/>
  <c r="Q245" i="16"/>
  <c r="Q237" i="16"/>
  <c r="Q229" i="16"/>
  <c r="Q213" i="16"/>
  <c r="Q197" i="16"/>
  <c r="Q177" i="16"/>
  <c r="Q145" i="16"/>
  <c r="Q113" i="16"/>
  <c r="Q81" i="16"/>
  <c r="Q258" i="16"/>
  <c r="Q256" i="16"/>
  <c r="Q254" i="16"/>
  <c r="Q251" i="16"/>
  <c r="Q247" i="16"/>
  <c r="Q243" i="16"/>
  <c r="Q239" i="16"/>
  <c r="Q235" i="16"/>
  <c r="Q231" i="16"/>
  <c r="Q225" i="16"/>
  <c r="Q217" i="16"/>
  <c r="Q209" i="16"/>
  <c r="Q201" i="16"/>
  <c r="Q193" i="16"/>
  <c r="Q185" i="16"/>
  <c r="Q169" i="16"/>
  <c r="Q153" i="16"/>
  <c r="Q137" i="16"/>
  <c r="Q121" i="16"/>
  <c r="Q105" i="16"/>
  <c r="Q89" i="16"/>
  <c r="Q59" i="16"/>
  <c r="D33" i="7"/>
  <c r="Q227" i="16"/>
  <c r="Q223" i="16"/>
  <c r="Q219" i="16"/>
  <c r="Q215" i="16"/>
  <c r="Q211" i="16"/>
  <c r="Q207" i="16"/>
  <c r="Q203" i="16"/>
  <c r="Q199" i="16"/>
  <c r="Q195" i="16"/>
  <c r="Q191" i="16"/>
  <c r="Q187" i="16"/>
  <c r="Q181" i="16"/>
  <c r="Q173" i="16"/>
  <c r="Q165" i="16"/>
  <c r="Q157" i="16"/>
  <c r="Q149" i="16"/>
  <c r="Q141" i="16"/>
  <c r="Q133" i="16"/>
  <c r="Q125" i="16"/>
  <c r="Q117" i="16"/>
  <c r="Q109" i="16"/>
  <c r="Q101" i="16"/>
  <c r="Q93" i="16"/>
  <c r="Q85" i="16"/>
  <c r="Q75" i="16"/>
  <c r="Q43" i="16"/>
  <c r="H378" i="15"/>
  <c r="I378" i="15" s="1"/>
  <c r="G378" i="15"/>
  <c r="BX378" i="6" s="1"/>
  <c r="B48" i="15"/>
  <c r="B233" i="15"/>
  <c r="W227" i="15"/>
  <c r="D227" i="15"/>
  <c r="E227" i="15" s="1"/>
  <c r="F227" i="15" s="1"/>
  <c r="H62" i="19"/>
  <c r="B197" i="15"/>
  <c r="B101" i="15"/>
  <c r="W51" i="15"/>
  <c r="D51" i="15"/>
  <c r="E51" i="15" s="1"/>
  <c r="F51" i="15" s="1"/>
  <c r="B362" i="15"/>
  <c r="B44" i="15"/>
  <c r="B18" i="15"/>
  <c r="B54" i="15"/>
  <c r="B22" i="15"/>
  <c r="B20" i="15"/>
  <c r="B60" i="15"/>
  <c r="B32" i="15"/>
  <c r="B23" i="15"/>
  <c r="E62" i="19"/>
  <c r="B108" i="15"/>
  <c r="B58" i="15"/>
  <c r="B46" i="15"/>
  <c r="B26" i="15"/>
  <c r="B30" i="15"/>
  <c r="B34" i="15"/>
  <c r="B365" i="15"/>
  <c r="B269" i="15"/>
  <c r="B137" i="15"/>
  <c r="W85" i="15"/>
  <c r="D85" i="15"/>
  <c r="E85" i="15" s="1"/>
  <c r="F85" i="15" s="1"/>
  <c r="W73" i="15"/>
  <c r="D73" i="15"/>
  <c r="E73" i="15" s="1"/>
  <c r="F73" i="15" s="1"/>
  <c r="W53" i="15"/>
  <c r="D53" i="15"/>
  <c r="E53" i="15" s="1"/>
  <c r="F53" i="15" s="1"/>
  <c r="W45" i="15"/>
  <c r="D45" i="15"/>
  <c r="E45" i="15" s="1"/>
  <c r="F45" i="15" s="1"/>
  <c r="W37" i="15"/>
  <c r="D37" i="15"/>
  <c r="E37" i="15" s="1"/>
  <c r="F37" i="15" s="1"/>
  <c r="W284" i="15"/>
  <c r="D284" i="15"/>
  <c r="E284" i="15" s="1"/>
  <c r="F284" i="15" s="1"/>
  <c r="W280" i="15"/>
  <c r="D280" i="15"/>
  <c r="E280" i="15" s="1"/>
  <c r="F280" i="15" s="1"/>
  <c r="AA280" i="15" s="1"/>
  <c r="Z280" i="15" s="1"/>
  <c r="Y280" i="15" s="1"/>
  <c r="W276" i="15"/>
  <c r="D276" i="15"/>
  <c r="E276" i="15" s="1"/>
  <c r="F276" i="15" s="1"/>
  <c r="AA276" i="15" s="1"/>
  <c r="Z276" i="15" s="1"/>
  <c r="Y276" i="15" s="1"/>
  <c r="W268" i="15"/>
  <c r="D268" i="15"/>
  <c r="E268" i="15" s="1"/>
  <c r="F268" i="15" s="1"/>
  <c r="AA268" i="15" s="1"/>
  <c r="Z268" i="15" s="1"/>
  <c r="Y268" i="15" s="1"/>
  <c r="W260" i="15"/>
  <c r="D260" i="15"/>
  <c r="E260" i="15" s="1"/>
  <c r="F260" i="15" s="1"/>
  <c r="AA260" i="15" s="1"/>
  <c r="Z260" i="15" s="1"/>
  <c r="Y260" i="15" s="1"/>
  <c r="W256" i="15"/>
  <c r="D256" i="15"/>
  <c r="E256" i="15" s="1"/>
  <c r="F256" i="15" s="1"/>
  <c r="W252" i="15"/>
  <c r="D252" i="15"/>
  <c r="E252" i="15" s="1"/>
  <c r="F252" i="15" s="1"/>
  <c r="W248" i="15"/>
  <c r="D248" i="15"/>
  <c r="E248" i="15" s="1"/>
  <c r="F248" i="15" s="1"/>
  <c r="AA248" i="15" s="1"/>
  <c r="Z248" i="15" s="1"/>
  <c r="Y248" i="15" s="1"/>
  <c r="W244" i="15"/>
  <c r="D244" i="15"/>
  <c r="E244" i="15" s="1"/>
  <c r="F244" i="15" s="1"/>
  <c r="AA244" i="15" s="1"/>
  <c r="Z244" i="15" s="1"/>
  <c r="Y244" i="15" s="1"/>
  <c r="W240" i="15"/>
  <c r="D240" i="15"/>
  <c r="E240" i="15" s="1"/>
  <c r="F240" i="15" s="1"/>
  <c r="W236" i="15"/>
  <c r="D236" i="15"/>
  <c r="E236" i="15" s="1"/>
  <c r="F236" i="15" s="1"/>
  <c r="W232" i="15"/>
  <c r="D232" i="15"/>
  <c r="E232" i="15" s="1"/>
  <c r="F232" i="15" s="1"/>
  <c r="AA232" i="15" s="1"/>
  <c r="Z232" i="15" s="1"/>
  <c r="Y232" i="15" s="1"/>
  <c r="W228" i="15"/>
  <c r="D228" i="15"/>
  <c r="E228" i="15" s="1"/>
  <c r="F228" i="15" s="1"/>
  <c r="AA228" i="15" s="1"/>
  <c r="Z228" i="15" s="1"/>
  <c r="Y228" i="15" s="1"/>
  <c r="W224" i="15"/>
  <c r="D224" i="15"/>
  <c r="E224" i="15" s="1"/>
  <c r="F224" i="15" s="1"/>
  <c r="W220" i="15"/>
  <c r="D220" i="15"/>
  <c r="E220" i="15" s="1"/>
  <c r="F220" i="15" s="1"/>
  <c r="W216" i="15"/>
  <c r="D216" i="15"/>
  <c r="E216" i="15" s="1"/>
  <c r="F216" i="15" s="1"/>
  <c r="AA216" i="15" s="1"/>
  <c r="Z216" i="15" s="1"/>
  <c r="Y216" i="15" s="1"/>
  <c r="W212" i="15"/>
  <c r="D212" i="15"/>
  <c r="E212" i="15" s="1"/>
  <c r="F212" i="15" s="1"/>
  <c r="W210" i="15"/>
  <c r="W206" i="15"/>
  <c r="D206" i="15"/>
  <c r="E206" i="15" s="1"/>
  <c r="F206" i="15" s="1"/>
  <c r="W202" i="15"/>
  <c r="D202" i="15"/>
  <c r="E202" i="15" s="1"/>
  <c r="F202" i="15" s="1"/>
  <c r="AA202" i="15" s="1"/>
  <c r="Z202" i="15" s="1"/>
  <c r="Y202" i="15" s="1"/>
  <c r="W198" i="15"/>
  <c r="D198" i="15"/>
  <c r="E198" i="15" s="1"/>
  <c r="F198" i="15" s="1"/>
  <c r="AA198" i="15" s="1"/>
  <c r="Z198" i="15" s="1"/>
  <c r="Y198" i="15" s="1"/>
  <c r="W194" i="15"/>
  <c r="D194" i="15"/>
  <c r="E194" i="15" s="1"/>
  <c r="F194" i="15" s="1"/>
  <c r="AA194" i="15" s="1"/>
  <c r="Z194" i="15" s="1"/>
  <c r="Y194" i="15" s="1"/>
  <c r="W190" i="15"/>
  <c r="D190" i="15"/>
  <c r="E190" i="15" s="1"/>
  <c r="F190" i="15" s="1"/>
  <c r="W186" i="15"/>
  <c r="D186" i="15"/>
  <c r="E186" i="15" s="1"/>
  <c r="F186" i="15" s="1"/>
  <c r="W182" i="15"/>
  <c r="D182" i="15"/>
  <c r="E182" i="15" s="1"/>
  <c r="F182" i="15" s="1"/>
  <c r="W176" i="15"/>
  <c r="D176" i="15"/>
  <c r="E176" i="15" s="1"/>
  <c r="F176" i="15" s="1"/>
  <c r="W172" i="15"/>
  <c r="D172" i="15"/>
  <c r="E172" i="15" s="1"/>
  <c r="F172" i="15" s="1"/>
  <c r="W168" i="15"/>
  <c r="D168" i="15"/>
  <c r="E168" i="15" s="1"/>
  <c r="F168" i="15" s="1"/>
  <c r="W164" i="15"/>
  <c r="D164" i="15"/>
  <c r="E164" i="15" s="1"/>
  <c r="F164" i="15" s="1"/>
  <c r="AA164" i="15" s="1"/>
  <c r="Z164" i="15" s="1"/>
  <c r="Y164" i="15" s="1"/>
  <c r="W160" i="15"/>
  <c r="D160" i="15"/>
  <c r="E160" i="15" s="1"/>
  <c r="F160" i="15" s="1"/>
  <c r="W156" i="15"/>
  <c r="D156" i="15"/>
  <c r="E156" i="15" s="1"/>
  <c r="F156" i="15" s="1"/>
  <c r="AA156" i="15" s="1"/>
  <c r="Z156" i="15" s="1"/>
  <c r="Y156" i="15" s="1"/>
  <c r="W152" i="15"/>
  <c r="D152" i="15"/>
  <c r="E152" i="15" s="1"/>
  <c r="F152" i="15" s="1"/>
  <c r="W148" i="15"/>
  <c r="D148" i="15"/>
  <c r="E148" i="15" s="1"/>
  <c r="F148" i="15" s="1"/>
  <c r="AA148" i="15" s="1"/>
  <c r="Z148" i="15" s="1"/>
  <c r="Y148" i="15" s="1"/>
  <c r="W144" i="15"/>
  <c r="D144" i="15"/>
  <c r="E144" i="15" s="1"/>
  <c r="F144" i="15" s="1"/>
  <c r="AA144" i="15" s="1"/>
  <c r="Z144" i="15" s="1"/>
  <c r="Y144" i="15" s="1"/>
  <c r="W140" i="15"/>
  <c r="D140" i="15"/>
  <c r="E140" i="15" s="1"/>
  <c r="F140" i="15" s="1"/>
  <c r="AA140" i="15" s="1"/>
  <c r="Z140" i="15" s="1"/>
  <c r="Y140" i="15" s="1"/>
  <c r="W132" i="15"/>
  <c r="D132" i="15"/>
  <c r="E132" i="15" s="1"/>
  <c r="F132" i="15" s="1"/>
  <c r="W128" i="15"/>
  <c r="D128" i="15"/>
  <c r="E128" i="15" s="1"/>
  <c r="F128" i="15" s="1"/>
  <c r="AA128" i="15" s="1"/>
  <c r="Z128" i="15" s="1"/>
  <c r="Y128" i="15" s="1"/>
  <c r="W124" i="15"/>
  <c r="D124" i="15"/>
  <c r="E124" i="15" s="1"/>
  <c r="F124" i="15" s="1"/>
  <c r="W120" i="15"/>
  <c r="D120" i="15"/>
  <c r="E120" i="15" s="1"/>
  <c r="F120" i="15" s="1"/>
  <c r="W116" i="15"/>
  <c r="D116" i="15"/>
  <c r="E116" i="15" s="1"/>
  <c r="F116" i="15" s="1"/>
  <c r="W112" i="15"/>
  <c r="D112" i="15"/>
  <c r="E112" i="15" s="1"/>
  <c r="F112" i="15" s="1"/>
  <c r="AA112" i="15" s="1"/>
  <c r="Z112" i="15" s="1"/>
  <c r="Y112" i="15" s="1"/>
  <c r="W104" i="15"/>
  <c r="D104" i="15"/>
  <c r="E104" i="15" s="1"/>
  <c r="F104" i="15" s="1"/>
  <c r="W100" i="15"/>
  <c r="D100" i="15"/>
  <c r="E100" i="15" s="1"/>
  <c r="F100" i="15" s="1"/>
  <c r="AA100" i="15" s="1"/>
  <c r="Z100" i="15" s="1"/>
  <c r="Y100" i="15" s="1"/>
  <c r="W96" i="15"/>
  <c r="D96" i="15"/>
  <c r="E96" i="15" s="1"/>
  <c r="F96" i="15" s="1"/>
  <c r="W92" i="15"/>
  <c r="D92" i="15"/>
  <c r="E92" i="15" s="1"/>
  <c r="F92" i="15" s="1"/>
  <c r="AA92" i="15" s="1"/>
  <c r="Z92" i="15" s="1"/>
  <c r="Y92" i="15" s="1"/>
  <c r="W86" i="15"/>
  <c r="D86" i="15"/>
  <c r="E86" i="15" s="1"/>
  <c r="F86" i="15" s="1"/>
  <c r="W82" i="15"/>
  <c r="D82" i="15"/>
  <c r="E82" i="15" s="1"/>
  <c r="F82" i="15" s="1"/>
  <c r="AA82" i="15" s="1"/>
  <c r="Z82" i="15" s="1"/>
  <c r="Y82" i="15" s="1"/>
  <c r="W78" i="15"/>
  <c r="D78" i="15"/>
  <c r="E78" i="15" s="1"/>
  <c r="F78" i="15" s="1"/>
  <c r="W74" i="15"/>
  <c r="D74" i="15"/>
  <c r="E74" i="15" s="1"/>
  <c r="F74" i="15" s="1"/>
  <c r="W70" i="15"/>
  <c r="D70" i="15"/>
  <c r="E70" i="15" s="1"/>
  <c r="F70" i="15" s="1"/>
  <c r="W19" i="15"/>
  <c r="D19" i="15"/>
  <c r="E19" i="15" s="1"/>
  <c r="F19" i="15" s="1"/>
  <c r="AA19" i="15" s="1"/>
  <c r="Z19" i="15" s="1"/>
  <c r="Y19" i="15" s="1"/>
  <c r="W67" i="15"/>
  <c r="D67" i="15"/>
  <c r="E67" i="15" s="1"/>
  <c r="F67" i="15" s="1"/>
  <c r="W79" i="15"/>
  <c r="D79" i="15"/>
  <c r="E79" i="15" s="1"/>
  <c r="F79" i="15" s="1"/>
  <c r="W83" i="15"/>
  <c r="D83" i="15"/>
  <c r="E83" i="15" s="1"/>
  <c r="F83" i="15" s="1"/>
  <c r="W87" i="15"/>
  <c r="D87" i="15"/>
  <c r="E87" i="15" s="1"/>
  <c r="F87" i="15" s="1"/>
  <c r="AA87" i="15" s="1"/>
  <c r="Z87" i="15" s="1"/>
  <c r="Y87" i="15" s="1"/>
  <c r="W91" i="15"/>
  <c r="D91" i="15"/>
  <c r="E91" i="15" s="1"/>
  <c r="F91" i="15" s="1"/>
  <c r="AA91" i="15" s="1"/>
  <c r="Z91" i="15" s="1"/>
  <c r="Y91" i="15" s="1"/>
  <c r="W99" i="15"/>
  <c r="D99" i="15"/>
  <c r="E99" i="15" s="1"/>
  <c r="F99" i="15" s="1"/>
  <c r="AA99" i="15" s="1"/>
  <c r="Z99" i="15" s="1"/>
  <c r="Y99" i="15" s="1"/>
  <c r="W103" i="15"/>
  <c r="D103" i="15"/>
  <c r="E103" i="15" s="1"/>
  <c r="F103" i="15" s="1"/>
  <c r="W107" i="15"/>
  <c r="D107" i="15"/>
  <c r="E107" i="15" s="1"/>
  <c r="F107" i="15" s="1"/>
  <c r="AA107" i="15" s="1"/>
  <c r="Z107" i="15" s="1"/>
  <c r="Y107" i="15" s="1"/>
  <c r="W111" i="15"/>
  <c r="D111" i="15"/>
  <c r="E111" i="15" s="1"/>
  <c r="F111" i="15" s="1"/>
  <c r="AA111" i="15" s="1"/>
  <c r="Z111" i="15" s="1"/>
  <c r="Y111" i="15" s="1"/>
  <c r="W115" i="15"/>
  <c r="D115" i="15"/>
  <c r="E115" i="15" s="1"/>
  <c r="F115" i="15" s="1"/>
  <c r="AA115" i="15" s="1"/>
  <c r="Z115" i="15" s="1"/>
  <c r="Y115" i="15" s="1"/>
  <c r="W119" i="15"/>
  <c r="D119" i="15"/>
  <c r="E119" i="15" s="1"/>
  <c r="F119" i="15" s="1"/>
  <c r="W151" i="15"/>
  <c r="D151" i="15"/>
  <c r="E151" i="15" s="1"/>
  <c r="F151" i="15" s="1"/>
  <c r="AA151" i="15" s="1"/>
  <c r="Z151" i="15" s="1"/>
  <c r="Y151" i="15" s="1"/>
  <c r="W155" i="15"/>
  <c r="D155" i="15"/>
  <c r="E155" i="15" s="1"/>
  <c r="F155" i="15" s="1"/>
  <c r="W159" i="15"/>
  <c r="D159" i="15"/>
  <c r="E159" i="15" s="1"/>
  <c r="F159" i="15" s="1"/>
  <c r="AA159" i="15" s="1"/>
  <c r="Z159" i="15" s="1"/>
  <c r="Y159" i="15" s="1"/>
  <c r="W163" i="15"/>
  <c r="D163" i="15"/>
  <c r="E163" i="15" s="1"/>
  <c r="F163" i="15" s="1"/>
  <c r="W167" i="15"/>
  <c r="D167" i="15"/>
  <c r="E167" i="15" s="1"/>
  <c r="F167" i="15" s="1"/>
  <c r="W175" i="15"/>
  <c r="D175" i="15"/>
  <c r="E175" i="15" s="1"/>
  <c r="F175" i="15" s="1"/>
  <c r="W179" i="15"/>
  <c r="D179" i="15"/>
  <c r="E179" i="15" s="1"/>
  <c r="F179" i="15" s="1"/>
  <c r="AA179" i="15" s="1"/>
  <c r="Z179" i="15" s="1"/>
  <c r="Y179" i="15" s="1"/>
  <c r="W183" i="15"/>
  <c r="D183" i="15"/>
  <c r="E183" i="15" s="1"/>
  <c r="F183" i="15" s="1"/>
  <c r="W187" i="15"/>
  <c r="D187" i="15"/>
  <c r="E187" i="15" s="1"/>
  <c r="F187" i="15" s="1"/>
  <c r="W191" i="15"/>
  <c r="D191" i="15"/>
  <c r="E191" i="15" s="1"/>
  <c r="F191" i="15" s="1"/>
  <c r="W195" i="15"/>
  <c r="D195" i="15"/>
  <c r="E195" i="15" s="1"/>
  <c r="F195" i="15" s="1"/>
  <c r="W199" i="15"/>
  <c r="D199" i="15"/>
  <c r="E199" i="15" s="1"/>
  <c r="F199" i="15" s="1"/>
  <c r="W211" i="15"/>
  <c r="D211" i="15"/>
  <c r="E211" i="15" s="1"/>
  <c r="F211" i="15" s="1"/>
  <c r="W215" i="15"/>
  <c r="D215" i="15"/>
  <c r="E215" i="15" s="1"/>
  <c r="F215" i="15" s="1"/>
  <c r="W219" i="15"/>
  <c r="D219" i="15"/>
  <c r="E219" i="15" s="1"/>
  <c r="F219" i="15" s="1"/>
  <c r="W235" i="15"/>
  <c r="D235" i="15"/>
  <c r="E235" i="15" s="1"/>
  <c r="F235" i="15" s="1"/>
  <c r="W239" i="15"/>
  <c r="D239" i="15"/>
  <c r="E239" i="15" s="1"/>
  <c r="F239" i="15" s="1"/>
  <c r="W303" i="15"/>
  <c r="D303" i="15"/>
  <c r="E303" i="15" s="1"/>
  <c r="F303" i="15" s="1"/>
  <c r="W307" i="15"/>
  <c r="D307" i="15"/>
  <c r="E307" i="15" s="1"/>
  <c r="F307" i="15" s="1"/>
  <c r="W311" i="15"/>
  <c r="D311" i="15"/>
  <c r="E311" i="15" s="1"/>
  <c r="F311" i="15" s="1"/>
  <c r="W315" i="15"/>
  <c r="D315" i="15"/>
  <c r="E315" i="15" s="1"/>
  <c r="F315" i="15" s="1"/>
  <c r="W319" i="15"/>
  <c r="D319" i="15"/>
  <c r="E319" i="15" s="1"/>
  <c r="F319" i="15" s="1"/>
  <c r="AA319" i="15" s="1"/>
  <c r="Z319" i="15" s="1"/>
  <c r="Y319" i="15" s="1"/>
  <c r="W323" i="15"/>
  <c r="D323" i="15"/>
  <c r="E323" i="15" s="1"/>
  <c r="F323" i="15" s="1"/>
  <c r="AA323" i="15" s="1"/>
  <c r="Z323" i="15" s="1"/>
  <c r="Y323" i="15" s="1"/>
  <c r="W327" i="15"/>
  <c r="D327" i="15"/>
  <c r="E327" i="15" s="1"/>
  <c r="F327" i="15" s="1"/>
  <c r="AA327" i="15" s="1"/>
  <c r="Z327" i="15" s="1"/>
  <c r="Y327" i="15" s="1"/>
  <c r="W331" i="15"/>
  <c r="D331" i="15"/>
  <c r="E331" i="15" s="1"/>
  <c r="F331" i="15" s="1"/>
  <c r="AA331" i="15" s="1"/>
  <c r="Z331" i="15" s="1"/>
  <c r="Y331" i="15" s="1"/>
  <c r="W335" i="15"/>
  <c r="D335" i="15"/>
  <c r="E335" i="15" s="1"/>
  <c r="F335" i="15" s="1"/>
  <c r="W339" i="15"/>
  <c r="D339" i="15"/>
  <c r="E339" i="15" s="1"/>
  <c r="F339" i="15" s="1"/>
  <c r="AA339" i="15" s="1"/>
  <c r="Z339" i="15" s="1"/>
  <c r="Y339" i="15" s="1"/>
  <c r="W343" i="15"/>
  <c r="D343" i="15"/>
  <c r="E343" i="15" s="1"/>
  <c r="F343" i="15" s="1"/>
  <c r="W347" i="15"/>
  <c r="D347" i="15"/>
  <c r="E347" i="15" s="1"/>
  <c r="F347" i="15" s="1"/>
  <c r="W351" i="15"/>
  <c r="D351" i="15"/>
  <c r="E351" i="15" s="1"/>
  <c r="F351" i="15" s="1"/>
  <c r="W355" i="15"/>
  <c r="D355" i="15"/>
  <c r="E355" i="15" s="1"/>
  <c r="F355" i="15" s="1"/>
  <c r="AA355" i="15" s="1"/>
  <c r="Z355" i="15" s="1"/>
  <c r="Y355" i="15" s="1"/>
  <c r="W359" i="15"/>
  <c r="D359" i="15"/>
  <c r="E359" i="15" s="1"/>
  <c r="F359" i="15" s="1"/>
  <c r="W367" i="15"/>
  <c r="D367" i="15"/>
  <c r="E367" i="15" s="1"/>
  <c r="F367" i="15" s="1"/>
  <c r="W371" i="15"/>
  <c r="D371" i="15"/>
  <c r="E371" i="15" s="1"/>
  <c r="F371" i="15" s="1"/>
  <c r="AA371" i="15" s="1"/>
  <c r="Z371" i="15" s="1"/>
  <c r="Y371" i="15" s="1"/>
  <c r="W375" i="15"/>
  <c r="D375" i="15"/>
  <c r="E375" i="15" s="1"/>
  <c r="F375" i="15" s="1"/>
  <c r="W66" i="15"/>
  <c r="D66" i="15"/>
  <c r="E66" i="15" s="1"/>
  <c r="F66" i="15" s="1"/>
  <c r="AA66" i="15" s="1"/>
  <c r="Z66" i="15" s="1"/>
  <c r="Y66" i="15" s="1"/>
  <c r="W57" i="15"/>
  <c r="D57" i="15"/>
  <c r="E57" i="15" s="1"/>
  <c r="F57" i="15" s="1"/>
  <c r="W25" i="15"/>
  <c r="D25" i="15"/>
  <c r="E25" i="15" s="1"/>
  <c r="F25" i="15" s="1"/>
  <c r="AA25" i="15" s="1"/>
  <c r="Z25" i="15" s="1"/>
  <c r="Y25" i="15" s="1"/>
  <c r="W47" i="15"/>
  <c r="D47" i="15"/>
  <c r="E47" i="15" s="1"/>
  <c r="F47" i="15" s="1"/>
  <c r="W55" i="15"/>
  <c r="D55" i="15"/>
  <c r="E55" i="15" s="1"/>
  <c r="F55" i="15" s="1"/>
  <c r="W345" i="15"/>
  <c r="D345" i="15"/>
  <c r="E345" i="15" s="1"/>
  <c r="F345" i="15" s="1"/>
  <c r="W291" i="15"/>
  <c r="D291" i="15"/>
  <c r="E291" i="15" s="1"/>
  <c r="F291" i="15" s="1"/>
  <c r="W283" i="15"/>
  <c r="D283" i="15"/>
  <c r="E283" i="15" s="1"/>
  <c r="F283" i="15" s="1"/>
  <c r="W277" i="15"/>
  <c r="D277" i="15"/>
  <c r="E277" i="15" s="1"/>
  <c r="F277" i="15" s="1"/>
  <c r="W271" i="15"/>
  <c r="D271" i="15"/>
  <c r="E271" i="15" s="1"/>
  <c r="F271" i="15" s="1"/>
  <c r="W267" i="15"/>
  <c r="D267" i="15"/>
  <c r="E267" i="15" s="1"/>
  <c r="F267" i="15" s="1"/>
  <c r="W259" i="15"/>
  <c r="D259" i="15"/>
  <c r="E259" i="15" s="1"/>
  <c r="F259" i="15" s="1"/>
  <c r="W251" i="15"/>
  <c r="D251" i="15"/>
  <c r="E251" i="15" s="1"/>
  <c r="F251" i="15" s="1"/>
  <c r="W243" i="15"/>
  <c r="D243" i="15"/>
  <c r="E243" i="15" s="1"/>
  <c r="F243" i="15" s="1"/>
  <c r="AA243" i="15" s="1"/>
  <c r="Z243" i="15" s="1"/>
  <c r="Y243" i="15" s="1"/>
  <c r="W231" i="15"/>
  <c r="D231" i="15"/>
  <c r="E231" i="15" s="1"/>
  <c r="F231" i="15" s="1"/>
  <c r="W223" i="15"/>
  <c r="D223" i="15"/>
  <c r="E223" i="15" s="1"/>
  <c r="F223" i="15" s="1"/>
  <c r="AA223" i="15" s="1"/>
  <c r="Z223" i="15" s="1"/>
  <c r="Y223" i="15" s="1"/>
  <c r="W207" i="15"/>
  <c r="D207" i="15"/>
  <c r="E207" i="15" s="1"/>
  <c r="F207" i="15" s="1"/>
  <c r="W185" i="15"/>
  <c r="D185" i="15"/>
  <c r="E185" i="15" s="1"/>
  <c r="F185" i="15" s="1"/>
  <c r="W165" i="15"/>
  <c r="D165" i="15"/>
  <c r="E165" i="15" s="1"/>
  <c r="F165" i="15" s="1"/>
  <c r="AA165" i="15" s="1"/>
  <c r="Z165" i="15" s="1"/>
  <c r="Y165" i="15" s="1"/>
  <c r="W147" i="15"/>
  <c r="D147" i="15"/>
  <c r="E147" i="15" s="1"/>
  <c r="F147" i="15" s="1"/>
  <c r="AA147" i="15" s="1"/>
  <c r="Z147" i="15" s="1"/>
  <c r="Y147" i="15" s="1"/>
  <c r="W143" i="15"/>
  <c r="D143" i="15"/>
  <c r="E143" i="15" s="1"/>
  <c r="F143" i="15" s="1"/>
  <c r="W131" i="15"/>
  <c r="D131" i="15"/>
  <c r="E131" i="15" s="1"/>
  <c r="F131" i="15" s="1"/>
  <c r="AA131" i="15" s="1"/>
  <c r="Z131" i="15" s="1"/>
  <c r="Y131" i="15" s="1"/>
  <c r="W123" i="15"/>
  <c r="D123" i="15"/>
  <c r="E123" i="15" s="1"/>
  <c r="F123" i="15" s="1"/>
  <c r="W113" i="15"/>
  <c r="D113" i="15"/>
  <c r="E113" i="15" s="1"/>
  <c r="F113" i="15" s="1"/>
  <c r="W95" i="15"/>
  <c r="D95" i="15"/>
  <c r="E95" i="15" s="1"/>
  <c r="F95" i="15" s="1"/>
  <c r="W71" i="15"/>
  <c r="D71" i="15"/>
  <c r="E71" i="15" s="1"/>
  <c r="F71" i="15" s="1"/>
  <c r="W39" i="15"/>
  <c r="D39" i="15"/>
  <c r="E39" i="15" s="1"/>
  <c r="F39" i="15" s="1"/>
  <c r="W376" i="15"/>
  <c r="D376" i="15"/>
  <c r="E376" i="15" s="1"/>
  <c r="F376" i="15" s="1"/>
  <c r="AA376" i="15" s="1"/>
  <c r="Z376" i="15" s="1"/>
  <c r="Y376" i="15" s="1"/>
  <c r="W372" i="15"/>
  <c r="D372" i="15"/>
  <c r="E372" i="15" s="1"/>
  <c r="F372" i="15" s="1"/>
  <c r="W368" i="15"/>
  <c r="D368" i="15"/>
  <c r="E368" i="15" s="1"/>
  <c r="F368" i="15" s="1"/>
  <c r="W364" i="15"/>
  <c r="D364" i="15"/>
  <c r="E364" i="15" s="1"/>
  <c r="F364" i="15" s="1"/>
  <c r="AA364" i="15" s="1"/>
  <c r="Z364" i="15" s="1"/>
  <c r="Y364" i="15" s="1"/>
  <c r="W360" i="15"/>
  <c r="D360" i="15"/>
  <c r="E360" i="15" s="1"/>
  <c r="F360" i="15" s="1"/>
  <c r="AA360" i="15" s="1"/>
  <c r="Z360" i="15" s="1"/>
  <c r="Y360" i="15" s="1"/>
  <c r="W356" i="15"/>
  <c r="D356" i="15"/>
  <c r="E356" i="15" s="1"/>
  <c r="F356" i="15" s="1"/>
  <c r="W352" i="15"/>
  <c r="D352" i="15"/>
  <c r="E352" i="15" s="1"/>
  <c r="F352" i="15" s="1"/>
  <c r="AA352" i="15" s="1"/>
  <c r="Z352" i="15" s="1"/>
  <c r="Y352" i="15" s="1"/>
  <c r="W348" i="15"/>
  <c r="D348" i="15"/>
  <c r="E348" i="15" s="1"/>
  <c r="F348" i="15" s="1"/>
  <c r="W344" i="15"/>
  <c r="D344" i="15"/>
  <c r="E344" i="15" s="1"/>
  <c r="F344" i="15" s="1"/>
  <c r="AA344" i="15" s="1"/>
  <c r="Z344" i="15" s="1"/>
  <c r="Y344" i="15" s="1"/>
  <c r="W340" i="15"/>
  <c r="D340" i="15"/>
  <c r="E340" i="15" s="1"/>
  <c r="F340" i="15" s="1"/>
  <c r="W336" i="15"/>
  <c r="D336" i="15"/>
  <c r="E336" i="15" s="1"/>
  <c r="F336" i="15" s="1"/>
  <c r="W332" i="15"/>
  <c r="D332" i="15"/>
  <c r="E332" i="15" s="1"/>
  <c r="F332" i="15" s="1"/>
  <c r="W328" i="15"/>
  <c r="D328" i="15"/>
  <c r="E328" i="15" s="1"/>
  <c r="F328" i="15" s="1"/>
  <c r="W320" i="15"/>
  <c r="D320" i="15"/>
  <c r="E320" i="15" s="1"/>
  <c r="F320" i="15" s="1"/>
  <c r="W316" i="15"/>
  <c r="D316" i="15"/>
  <c r="E316" i="15" s="1"/>
  <c r="F316" i="15" s="1"/>
  <c r="AA316" i="15" s="1"/>
  <c r="Z316" i="15" s="1"/>
  <c r="Y316" i="15" s="1"/>
  <c r="W312" i="15"/>
  <c r="D312" i="15"/>
  <c r="E312" i="15" s="1"/>
  <c r="F312" i="15" s="1"/>
  <c r="W308" i="15"/>
  <c r="D308" i="15"/>
  <c r="E308" i="15" s="1"/>
  <c r="F308" i="15" s="1"/>
  <c r="AA308" i="15" s="1"/>
  <c r="Z308" i="15" s="1"/>
  <c r="Y308" i="15" s="1"/>
  <c r="W304" i="15"/>
  <c r="D304" i="15"/>
  <c r="E304" i="15" s="1"/>
  <c r="F304" i="15" s="1"/>
  <c r="AA304" i="15" s="1"/>
  <c r="Z304" i="15" s="1"/>
  <c r="Y304" i="15" s="1"/>
  <c r="W302" i="15"/>
  <c r="D302" i="15"/>
  <c r="E302" i="15" s="1"/>
  <c r="F302" i="15" s="1"/>
  <c r="W294" i="15"/>
  <c r="D294" i="15"/>
  <c r="E294" i="15" s="1"/>
  <c r="F294" i="15" s="1"/>
  <c r="AA294" i="15" s="1"/>
  <c r="Z294" i="15" s="1"/>
  <c r="Y294" i="15" s="1"/>
  <c r="W290" i="15"/>
  <c r="D290" i="15"/>
  <c r="E290" i="15" s="1"/>
  <c r="F290" i="15" s="1"/>
  <c r="W286" i="15"/>
  <c r="D286" i="15"/>
  <c r="E286" i="15" s="1"/>
  <c r="F286" i="15" s="1"/>
  <c r="W282" i="15"/>
  <c r="D282" i="15"/>
  <c r="E282" i="15" s="1"/>
  <c r="F282" i="15" s="1"/>
  <c r="W278" i="15"/>
  <c r="D278" i="15"/>
  <c r="E278" i="15" s="1"/>
  <c r="F278" i="15" s="1"/>
  <c r="W274" i="15"/>
  <c r="D274" i="15"/>
  <c r="E274" i="15" s="1"/>
  <c r="F274" i="15" s="1"/>
  <c r="AA274" i="15" s="1"/>
  <c r="Z274" i="15" s="1"/>
  <c r="Y274" i="15" s="1"/>
  <c r="W270" i="15"/>
  <c r="D270" i="15"/>
  <c r="E270" i="15" s="1"/>
  <c r="F270" i="15" s="1"/>
  <c r="W266" i="15"/>
  <c r="D266" i="15"/>
  <c r="E266" i="15" s="1"/>
  <c r="F266" i="15" s="1"/>
  <c r="AA266" i="15" s="1"/>
  <c r="Z266" i="15" s="1"/>
  <c r="Y266" i="15" s="1"/>
  <c r="W262" i="15"/>
  <c r="D262" i="15"/>
  <c r="E262" i="15" s="1"/>
  <c r="F262" i="15" s="1"/>
  <c r="W258" i="15"/>
  <c r="D258" i="15"/>
  <c r="E258" i="15" s="1"/>
  <c r="F258" i="15" s="1"/>
  <c r="AA258" i="15" s="1"/>
  <c r="Z258" i="15" s="1"/>
  <c r="Y258" i="15" s="1"/>
  <c r="W254" i="15"/>
  <c r="D254" i="15"/>
  <c r="E254" i="15" s="1"/>
  <c r="F254" i="15" s="1"/>
  <c r="AA254" i="15" s="1"/>
  <c r="Z254" i="15" s="1"/>
  <c r="Y254" i="15" s="1"/>
  <c r="W250" i="15"/>
  <c r="D250" i="15"/>
  <c r="E250" i="15" s="1"/>
  <c r="F250" i="15" s="1"/>
  <c r="AA250" i="15" s="1"/>
  <c r="Z250" i="15" s="1"/>
  <c r="Y250" i="15" s="1"/>
  <c r="W246" i="15"/>
  <c r="D246" i="15"/>
  <c r="E246" i="15" s="1"/>
  <c r="F246" i="15" s="1"/>
  <c r="W242" i="15"/>
  <c r="D242" i="15"/>
  <c r="E242" i="15" s="1"/>
  <c r="F242" i="15" s="1"/>
  <c r="AA242" i="15" s="1"/>
  <c r="Z242" i="15" s="1"/>
  <c r="Y242" i="15" s="1"/>
  <c r="W238" i="15"/>
  <c r="D238" i="15"/>
  <c r="E238" i="15" s="1"/>
  <c r="F238" i="15" s="1"/>
  <c r="W234" i="15"/>
  <c r="D234" i="15"/>
  <c r="E234" i="15" s="1"/>
  <c r="F234" i="15" s="1"/>
  <c r="AA234" i="15" s="1"/>
  <c r="Z234" i="15" s="1"/>
  <c r="Y234" i="15" s="1"/>
  <c r="W230" i="15"/>
  <c r="D230" i="15"/>
  <c r="E230" i="15" s="1"/>
  <c r="F230" i="15" s="1"/>
  <c r="W226" i="15"/>
  <c r="D226" i="15"/>
  <c r="E226" i="15" s="1"/>
  <c r="F226" i="15" s="1"/>
  <c r="W222" i="15"/>
  <c r="D222" i="15"/>
  <c r="E222" i="15" s="1"/>
  <c r="F222" i="15" s="1"/>
  <c r="W218" i="15"/>
  <c r="D218" i="15"/>
  <c r="E218" i="15" s="1"/>
  <c r="F218" i="15" s="1"/>
  <c r="AA218" i="15" s="1"/>
  <c r="Z218" i="15" s="1"/>
  <c r="Y218" i="15" s="1"/>
  <c r="W214" i="15"/>
  <c r="D214" i="15"/>
  <c r="E214" i="15" s="1"/>
  <c r="F214" i="15" s="1"/>
  <c r="AA214" i="15" s="1"/>
  <c r="Z214" i="15" s="1"/>
  <c r="Y214" i="15" s="1"/>
  <c r="W208" i="15"/>
  <c r="D208" i="15"/>
  <c r="E208" i="15" s="1"/>
  <c r="F208" i="15" s="1"/>
  <c r="AA208" i="15" s="1"/>
  <c r="Z208" i="15" s="1"/>
  <c r="Y208" i="15" s="1"/>
  <c r="W204" i="15"/>
  <c r="D204" i="15"/>
  <c r="E204" i="15" s="1"/>
  <c r="F204" i="15" s="1"/>
  <c r="W200" i="15"/>
  <c r="D200" i="15"/>
  <c r="E200" i="15" s="1"/>
  <c r="F200" i="15" s="1"/>
  <c r="AA200" i="15" s="1"/>
  <c r="Z200" i="15" s="1"/>
  <c r="Y200" i="15" s="1"/>
  <c r="W196" i="15"/>
  <c r="D196" i="15"/>
  <c r="E196" i="15" s="1"/>
  <c r="F196" i="15" s="1"/>
  <c r="W192" i="15"/>
  <c r="D192" i="15"/>
  <c r="E192" i="15" s="1"/>
  <c r="F192" i="15" s="1"/>
  <c r="W188" i="15"/>
  <c r="D188" i="15"/>
  <c r="E188" i="15" s="1"/>
  <c r="F188" i="15" s="1"/>
  <c r="AA188" i="15" s="1"/>
  <c r="Z188" i="15" s="1"/>
  <c r="Y188" i="15" s="1"/>
  <c r="W184" i="15"/>
  <c r="D184" i="15"/>
  <c r="E184" i="15" s="1"/>
  <c r="F184" i="15" s="1"/>
  <c r="AA184" i="15" s="1"/>
  <c r="Z184" i="15" s="1"/>
  <c r="Y184" i="15" s="1"/>
  <c r="W178" i="15"/>
  <c r="D178" i="15"/>
  <c r="E178" i="15" s="1"/>
  <c r="F178" i="15" s="1"/>
  <c r="W174" i="15"/>
  <c r="D174" i="15"/>
  <c r="E174" i="15" s="1"/>
  <c r="F174" i="15" s="1"/>
  <c r="AA174" i="15" s="1"/>
  <c r="Z174" i="15" s="1"/>
  <c r="Y174" i="15" s="1"/>
  <c r="W170" i="15"/>
  <c r="D170" i="15"/>
  <c r="E170" i="15" s="1"/>
  <c r="F170" i="15" s="1"/>
  <c r="AA170" i="15" s="1"/>
  <c r="Z170" i="15" s="1"/>
  <c r="Y170" i="15" s="1"/>
  <c r="W166" i="15"/>
  <c r="D166" i="15"/>
  <c r="E166" i="15" s="1"/>
  <c r="F166" i="15" s="1"/>
  <c r="W162" i="15"/>
  <c r="D162" i="15"/>
  <c r="E162" i="15" s="1"/>
  <c r="F162" i="15" s="1"/>
  <c r="W158" i="15"/>
  <c r="D158" i="15"/>
  <c r="E158" i="15" s="1"/>
  <c r="F158" i="15" s="1"/>
  <c r="AA158" i="15" s="1"/>
  <c r="Z158" i="15" s="1"/>
  <c r="Y158" i="15" s="1"/>
  <c r="W154" i="15"/>
  <c r="D154" i="15"/>
  <c r="E154" i="15" s="1"/>
  <c r="F154" i="15" s="1"/>
  <c r="AA154" i="15" s="1"/>
  <c r="Z154" i="15" s="1"/>
  <c r="Y154" i="15" s="1"/>
  <c r="W150" i="15"/>
  <c r="D150" i="15"/>
  <c r="E150" i="15" s="1"/>
  <c r="F150" i="15" s="1"/>
  <c r="W146" i="15"/>
  <c r="D146" i="15"/>
  <c r="E146" i="15" s="1"/>
  <c r="F146" i="15" s="1"/>
  <c r="W142" i="15"/>
  <c r="D142" i="15"/>
  <c r="E142" i="15" s="1"/>
  <c r="F142" i="15" s="1"/>
  <c r="AA142" i="15" s="1"/>
  <c r="Z142" i="15" s="1"/>
  <c r="Y142" i="15" s="1"/>
  <c r="W138" i="15"/>
  <c r="D138" i="15"/>
  <c r="E138" i="15" s="1"/>
  <c r="F138" i="15" s="1"/>
  <c r="W134" i="15"/>
  <c r="D134" i="15"/>
  <c r="E134" i="15" s="1"/>
  <c r="F134" i="15" s="1"/>
  <c r="AA134" i="15" s="1"/>
  <c r="Z134" i="15" s="1"/>
  <c r="Y134" i="15" s="1"/>
  <c r="W130" i="15"/>
  <c r="D130" i="15"/>
  <c r="E130" i="15" s="1"/>
  <c r="F130" i="15" s="1"/>
  <c r="W126" i="15"/>
  <c r="D126" i="15"/>
  <c r="E126" i="15" s="1"/>
  <c r="F126" i="15" s="1"/>
  <c r="AA126" i="15" s="1"/>
  <c r="Z126" i="15" s="1"/>
  <c r="Y126" i="15" s="1"/>
  <c r="W122" i="15"/>
  <c r="D122" i="15"/>
  <c r="E122" i="15" s="1"/>
  <c r="F122" i="15" s="1"/>
  <c r="AA122" i="15" s="1"/>
  <c r="Z122" i="15" s="1"/>
  <c r="Y122" i="15" s="1"/>
  <c r="W118" i="15"/>
  <c r="D118" i="15"/>
  <c r="E118" i="15" s="1"/>
  <c r="F118" i="15" s="1"/>
  <c r="AA118" i="15" s="1"/>
  <c r="Z118" i="15" s="1"/>
  <c r="Y118" i="15" s="1"/>
  <c r="W114" i="15"/>
  <c r="D114" i="15"/>
  <c r="E114" i="15" s="1"/>
  <c r="F114" i="15" s="1"/>
  <c r="AA114" i="15" s="1"/>
  <c r="Z114" i="15" s="1"/>
  <c r="Y114" i="15" s="1"/>
  <c r="W110" i="15"/>
  <c r="D110" i="15"/>
  <c r="E110" i="15" s="1"/>
  <c r="F110" i="15" s="1"/>
  <c r="W106" i="15"/>
  <c r="D106" i="15"/>
  <c r="E106" i="15" s="1"/>
  <c r="F106" i="15" s="1"/>
  <c r="W102" i="15"/>
  <c r="D102" i="15"/>
  <c r="E102" i="15" s="1"/>
  <c r="F102" i="15" s="1"/>
  <c r="AA102" i="15" s="1"/>
  <c r="Z102" i="15" s="1"/>
  <c r="Y102" i="15" s="1"/>
  <c r="W98" i="15"/>
  <c r="D98" i="15"/>
  <c r="E98" i="15" s="1"/>
  <c r="F98" i="15" s="1"/>
  <c r="W94" i="15"/>
  <c r="D94" i="15"/>
  <c r="E94" i="15" s="1"/>
  <c r="F94" i="15" s="1"/>
  <c r="AA94" i="15" s="1"/>
  <c r="Z94" i="15" s="1"/>
  <c r="Y94" i="15" s="1"/>
  <c r="W90" i="15"/>
  <c r="D90" i="15"/>
  <c r="E90" i="15" s="1"/>
  <c r="F90" i="15" s="1"/>
  <c r="W84" i="15"/>
  <c r="D84" i="15"/>
  <c r="E84" i="15" s="1"/>
  <c r="F84" i="15" s="1"/>
  <c r="AA84" i="15" s="1"/>
  <c r="Z84" i="15" s="1"/>
  <c r="Y84" i="15" s="1"/>
  <c r="W80" i="15"/>
  <c r="D80" i="15"/>
  <c r="E80" i="15" s="1"/>
  <c r="F80" i="15" s="1"/>
  <c r="AA80" i="15" s="1"/>
  <c r="Z80" i="15" s="1"/>
  <c r="Y80" i="15" s="1"/>
  <c r="W76" i="15"/>
  <c r="D76" i="15"/>
  <c r="E76" i="15" s="1"/>
  <c r="F76" i="15" s="1"/>
  <c r="W72" i="15"/>
  <c r="D72" i="15"/>
  <c r="E72" i="15" s="1"/>
  <c r="F72" i="15" s="1"/>
  <c r="W68" i="15"/>
  <c r="D68" i="15"/>
  <c r="E68" i="15" s="1"/>
  <c r="F68" i="15" s="1"/>
  <c r="W127" i="15"/>
  <c r="D127" i="15"/>
  <c r="E127" i="15" s="1"/>
  <c r="F127" i="15" s="1"/>
  <c r="W135" i="15"/>
  <c r="D135" i="15"/>
  <c r="E135" i="15" s="1"/>
  <c r="F135" i="15" s="1"/>
  <c r="W139" i="15"/>
  <c r="D139" i="15"/>
  <c r="E139" i="15" s="1"/>
  <c r="F139" i="15" s="1"/>
  <c r="W247" i="15"/>
  <c r="D247" i="15"/>
  <c r="E247" i="15" s="1"/>
  <c r="F247" i="15" s="1"/>
  <c r="W255" i="15"/>
  <c r="D255" i="15"/>
  <c r="E255" i="15" s="1"/>
  <c r="F255" i="15" s="1"/>
  <c r="W263" i="15"/>
  <c r="D263" i="15"/>
  <c r="E263" i="15" s="1"/>
  <c r="F263" i="15" s="1"/>
  <c r="W275" i="15"/>
  <c r="D275" i="15"/>
  <c r="E275" i="15" s="1"/>
  <c r="F275" i="15" s="1"/>
  <c r="AA275" i="15" s="1"/>
  <c r="Z275" i="15" s="1"/>
  <c r="Y275" i="15" s="1"/>
  <c r="W279" i="15"/>
  <c r="D279" i="15"/>
  <c r="E279" i="15" s="1"/>
  <c r="F279" i="15" s="1"/>
  <c r="W287" i="15"/>
  <c r="D287" i="15"/>
  <c r="E287" i="15" s="1"/>
  <c r="F287" i="15" s="1"/>
  <c r="AA287" i="15" s="1"/>
  <c r="Z287" i="15" s="1"/>
  <c r="Y287" i="15" s="1"/>
  <c r="W295" i="15"/>
  <c r="D295" i="15"/>
  <c r="E295" i="15" s="1"/>
  <c r="F295" i="15" s="1"/>
  <c r="W299" i="15"/>
  <c r="D299" i="15"/>
  <c r="E299" i="15" s="1"/>
  <c r="F299" i="15" s="1"/>
  <c r="B52" i="15"/>
  <c r="B36" i="15"/>
  <c r="B171" i="15"/>
  <c r="B75" i="15"/>
  <c r="W358" i="15"/>
  <c r="D358" i="15"/>
  <c r="E358" i="15" s="1"/>
  <c r="F358" i="15" s="1"/>
  <c r="W324" i="15"/>
  <c r="D324" i="15"/>
  <c r="E324" i="15" s="1"/>
  <c r="F324" i="15" s="1"/>
  <c r="B40" i="15"/>
  <c r="B17" i="15"/>
  <c r="B298" i="15"/>
  <c r="B62" i="15"/>
  <c r="B42" i="15"/>
  <c r="B333" i="15"/>
  <c r="B297" i="15"/>
  <c r="B272" i="15"/>
  <c r="W264" i="15"/>
  <c r="D264" i="15"/>
  <c r="E264" i="15" s="1"/>
  <c r="F264" i="15" s="1"/>
  <c r="B64" i="15"/>
  <c r="B16" i="15"/>
  <c r="B21" i="15"/>
  <c r="F62" i="19"/>
  <c r="B136" i="15"/>
  <c r="B28" i="15"/>
  <c r="B50" i="15"/>
  <c r="B38" i="15"/>
  <c r="B24" i="15"/>
  <c r="B35" i="15"/>
  <c r="B56" i="15"/>
  <c r="B363" i="15"/>
  <c r="B337" i="15"/>
  <c r="B241" i="15"/>
  <c r="W65" i="15"/>
  <c r="D65" i="15"/>
  <c r="E65" i="15" s="1"/>
  <c r="F65" i="15" s="1"/>
  <c r="W29" i="15"/>
  <c r="D29" i="15"/>
  <c r="E29" i="15" s="1"/>
  <c r="F29" i="15" s="1"/>
  <c r="W61" i="15"/>
  <c r="D61" i="15"/>
  <c r="E61" i="15" s="1"/>
  <c r="F61" i="15" s="1"/>
  <c r="W69" i="15"/>
  <c r="D69" i="15"/>
  <c r="E69" i="15" s="1"/>
  <c r="F69" i="15" s="1"/>
  <c r="W77" i="15"/>
  <c r="D77" i="15"/>
  <c r="E77" i="15" s="1"/>
  <c r="F77" i="15" s="1"/>
  <c r="W81" i="15"/>
  <c r="D81" i="15"/>
  <c r="E81" i="15" s="1"/>
  <c r="F81" i="15" s="1"/>
  <c r="W89" i="15"/>
  <c r="D89" i="15"/>
  <c r="E89" i="15" s="1"/>
  <c r="F89" i="15" s="1"/>
  <c r="W93" i="15"/>
  <c r="D93" i="15"/>
  <c r="E93" i="15" s="1"/>
  <c r="F93" i="15" s="1"/>
  <c r="W97" i="15"/>
  <c r="D97" i="15"/>
  <c r="E97" i="15" s="1"/>
  <c r="F97" i="15" s="1"/>
  <c r="W105" i="15"/>
  <c r="D105" i="15"/>
  <c r="E105" i="15" s="1"/>
  <c r="F105" i="15" s="1"/>
  <c r="W109" i="15"/>
  <c r="D109" i="15"/>
  <c r="E109" i="15" s="1"/>
  <c r="F109" i="15" s="1"/>
  <c r="W117" i="15"/>
  <c r="D117" i="15"/>
  <c r="E117" i="15" s="1"/>
  <c r="F117" i="15" s="1"/>
  <c r="AA117" i="15" s="1"/>
  <c r="Z117" i="15" s="1"/>
  <c r="Y117" i="15" s="1"/>
  <c r="W121" i="15"/>
  <c r="D121" i="15"/>
  <c r="E121" i="15" s="1"/>
  <c r="F121" i="15" s="1"/>
  <c r="W125" i="15"/>
  <c r="D125" i="15"/>
  <c r="E125" i="15" s="1"/>
  <c r="F125" i="15" s="1"/>
  <c r="W129" i="15"/>
  <c r="D129" i="15"/>
  <c r="E129" i="15" s="1"/>
  <c r="F129" i="15" s="1"/>
  <c r="W133" i="15"/>
  <c r="D133" i="15"/>
  <c r="E133" i="15" s="1"/>
  <c r="F133" i="15" s="1"/>
  <c r="AA133" i="15" s="1"/>
  <c r="Z133" i="15" s="1"/>
  <c r="Y133" i="15" s="1"/>
  <c r="W141" i="15"/>
  <c r="D141" i="15"/>
  <c r="E141" i="15" s="1"/>
  <c r="F141" i="15" s="1"/>
  <c r="W149" i="15"/>
  <c r="D149" i="15"/>
  <c r="E149" i="15" s="1"/>
  <c r="F149" i="15" s="1"/>
  <c r="AA149" i="15" s="1"/>
  <c r="Z149" i="15" s="1"/>
  <c r="Y149" i="15" s="1"/>
  <c r="W153" i="15"/>
  <c r="D153" i="15"/>
  <c r="E153" i="15" s="1"/>
  <c r="F153" i="15" s="1"/>
  <c r="W161" i="15"/>
  <c r="D161" i="15"/>
  <c r="E161" i="15" s="1"/>
  <c r="F161" i="15" s="1"/>
  <c r="W169" i="15"/>
  <c r="D169" i="15"/>
  <c r="E169" i="15" s="1"/>
  <c r="F169" i="15" s="1"/>
  <c r="W173" i="15"/>
  <c r="D173" i="15"/>
  <c r="E173" i="15" s="1"/>
  <c r="F173" i="15" s="1"/>
  <c r="W177" i="15"/>
  <c r="D177" i="15"/>
  <c r="E177" i="15" s="1"/>
  <c r="F177" i="15" s="1"/>
  <c r="W181" i="15"/>
  <c r="D181" i="15"/>
  <c r="E181" i="15" s="1"/>
  <c r="F181" i="15" s="1"/>
  <c r="AA181" i="15" s="1"/>
  <c r="Z181" i="15" s="1"/>
  <c r="Y181" i="15" s="1"/>
  <c r="W189" i="15"/>
  <c r="D189" i="15"/>
  <c r="E189" i="15" s="1"/>
  <c r="F189" i="15" s="1"/>
  <c r="W201" i="15"/>
  <c r="D201" i="15"/>
  <c r="E201" i="15" s="1"/>
  <c r="F201" i="15" s="1"/>
  <c r="W205" i="15"/>
  <c r="D205" i="15"/>
  <c r="E205" i="15" s="1"/>
  <c r="F205" i="15" s="1"/>
  <c r="W209" i="15"/>
  <c r="D209" i="15"/>
  <c r="E209" i="15" s="1"/>
  <c r="F209" i="15" s="1"/>
  <c r="W213" i="15"/>
  <c r="D213" i="15"/>
  <c r="E213" i="15" s="1"/>
  <c r="F213" i="15" s="1"/>
  <c r="W221" i="15"/>
  <c r="D221" i="15"/>
  <c r="E221" i="15" s="1"/>
  <c r="F221" i="15" s="1"/>
  <c r="W225" i="15"/>
  <c r="D225" i="15"/>
  <c r="E225" i="15" s="1"/>
  <c r="F225" i="15" s="1"/>
  <c r="W229" i="15"/>
  <c r="D229" i="15"/>
  <c r="E229" i="15" s="1"/>
  <c r="F229" i="15" s="1"/>
  <c r="W237" i="15"/>
  <c r="D237" i="15"/>
  <c r="E237" i="15" s="1"/>
  <c r="F237" i="15" s="1"/>
  <c r="W245" i="15"/>
  <c r="D245" i="15"/>
  <c r="E245" i="15" s="1"/>
  <c r="F245" i="15" s="1"/>
  <c r="W249" i="15"/>
  <c r="D249" i="15"/>
  <c r="E249" i="15" s="1"/>
  <c r="F249" i="15" s="1"/>
  <c r="W253" i="15"/>
  <c r="D253" i="15"/>
  <c r="E253" i="15" s="1"/>
  <c r="F253" i="15" s="1"/>
  <c r="W257" i="15"/>
  <c r="D257" i="15"/>
  <c r="E257" i="15" s="1"/>
  <c r="F257" i="15" s="1"/>
  <c r="W261" i="15"/>
  <c r="D261" i="15"/>
  <c r="E261" i="15" s="1"/>
  <c r="F261" i="15" s="1"/>
  <c r="W265" i="15"/>
  <c r="D265" i="15"/>
  <c r="E265" i="15" s="1"/>
  <c r="F265" i="15" s="1"/>
  <c r="W273" i="15"/>
  <c r="D273" i="15"/>
  <c r="E273" i="15" s="1"/>
  <c r="F273" i="15" s="1"/>
  <c r="W281" i="15"/>
  <c r="D281" i="15"/>
  <c r="E281" i="15" s="1"/>
  <c r="F281" i="15" s="1"/>
  <c r="W285" i="15"/>
  <c r="D285" i="15"/>
  <c r="E285" i="15" s="1"/>
  <c r="F285" i="15" s="1"/>
  <c r="W289" i="15"/>
  <c r="D289" i="15"/>
  <c r="E289" i="15" s="1"/>
  <c r="F289" i="15" s="1"/>
  <c r="W293" i="15"/>
  <c r="D293" i="15"/>
  <c r="E293" i="15" s="1"/>
  <c r="F293" i="15" s="1"/>
  <c r="W301" i="15"/>
  <c r="D301" i="15"/>
  <c r="E301" i="15" s="1"/>
  <c r="F301" i="15" s="1"/>
  <c r="W305" i="15"/>
  <c r="D305" i="15"/>
  <c r="E305" i="15" s="1"/>
  <c r="F305" i="15" s="1"/>
  <c r="AA305" i="15" s="1"/>
  <c r="Z305" i="15" s="1"/>
  <c r="Y305" i="15" s="1"/>
  <c r="W309" i="15"/>
  <c r="D309" i="15"/>
  <c r="E309" i="15" s="1"/>
  <c r="F309" i="15" s="1"/>
  <c r="W313" i="15"/>
  <c r="D313" i="15"/>
  <c r="E313" i="15" s="1"/>
  <c r="F313" i="15" s="1"/>
  <c r="W317" i="15"/>
  <c r="D317" i="15"/>
  <c r="E317" i="15" s="1"/>
  <c r="F317" i="15" s="1"/>
  <c r="W321" i="15"/>
  <c r="D321" i="15"/>
  <c r="E321" i="15" s="1"/>
  <c r="F321" i="15" s="1"/>
  <c r="W325" i="15"/>
  <c r="D325" i="15"/>
  <c r="E325" i="15" s="1"/>
  <c r="F325" i="15" s="1"/>
  <c r="W329" i="15"/>
  <c r="D329" i="15"/>
  <c r="E329" i="15" s="1"/>
  <c r="F329" i="15" s="1"/>
  <c r="W341" i="15"/>
  <c r="D341" i="15"/>
  <c r="E341" i="15" s="1"/>
  <c r="F341" i="15" s="1"/>
  <c r="W349" i="15"/>
  <c r="D349" i="15"/>
  <c r="E349" i="15" s="1"/>
  <c r="F349" i="15" s="1"/>
  <c r="W353" i="15"/>
  <c r="D353" i="15"/>
  <c r="E353" i="15" s="1"/>
  <c r="F353" i="15" s="1"/>
  <c r="W357" i="15"/>
  <c r="D357" i="15"/>
  <c r="E357" i="15" s="1"/>
  <c r="F357" i="15" s="1"/>
  <c r="W361" i="15"/>
  <c r="D361" i="15"/>
  <c r="E361" i="15" s="1"/>
  <c r="F361" i="15" s="1"/>
  <c r="W369" i="15"/>
  <c r="D369" i="15"/>
  <c r="E369" i="15" s="1"/>
  <c r="F369" i="15" s="1"/>
  <c r="W373" i="15"/>
  <c r="D373" i="15"/>
  <c r="E373" i="15" s="1"/>
  <c r="F373" i="15" s="1"/>
  <c r="W377" i="15"/>
  <c r="D377" i="15"/>
  <c r="E377" i="15" s="1"/>
  <c r="F377" i="15" s="1"/>
  <c r="AA377" i="15" s="1"/>
  <c r="Z377" i="15" s="1"/>
  <c r="Y377" i="15" s="1"/>
  <c r="W63" i="15"/>
  <c r="D63" i="15"/>
  <c r="E63" i="15" s="1"/>
  <c r="F63" i="15" s="1"/>
  <c r="W49" i="15"/>
  <c r="D49" i="15"/>
  <c r="E49" i="15" s="1"/>
  <c r="F49" i="15" s="1"/>
  <c r="W33" i="15"/>
  <c r="D33" i="15"/>
  <c r="E33" i="15" s="1"/>
  <c r="F33" i="15" s="1"/>
  <c r="W41" i="15"/>
  <c r="D41" i="15"/>
  <c r="E41" i="15" s="1"/>
  <c r="F41" i="15" s="1"/>
  <c r="AA41" i="15" s="1"/>
  <c r="Z41" i="15" s="1"/>
  <c r="Y41" i="15" s="1"/>
  <c r="W59" i="15"/>
  <c r="D59" i="15"/>
  <c r="E59" i="15" s="1"/>
  <c r="F59" i="15" s="1"/>
  <c r="W43" i="15"/>
  <c r="D43" i="15"/>
  <c r="E43" i="15" s="1"/>
  <c r="F43" i="15" s="1"/>
  <c r="W27" i="15"/>
  <c r="D27" i="15"/>
  <c r="E27" i="15" s="1"/>
  <c r="F27" i="15" s="1"/>
  <c r="W31" i="15"/>
  <c r="D31" i="15"/>
  <c r="E31" i="15" s="1"/>
  <c r="F31" i="15" s="1"/>
  <c r="W217" i="15"/>
  <c r="D217" i="15"/>
  <c r="E217" i="15" s="1"/>
  <c r="F217" i="15" s="1"/>
  <c r="W203" i="15"/>
  <c r="D203" i="15"/>
  <c r="E203" i="15" s="1"/>
  <c r="F203" i="15" s="1"/>
  <c r="AA203" i="15" s="1"/>
  <c r="Z203" i="15" s="1"/>
  <c r="Y203" i="15" s="1"/>
  <c r="W193" i="15"/>
  <c r="D193" i="15"/>
  <c r="E193" i="15" s="1"/>
  <c r="F193" i="15" s="1"/>
  <c r="W157" i="15"/>
  <c r="D157" i="15"/>
  <c r="E157" i="15" s="1"/>
  <c r="F157" i="15" s="1"/>
  <c r="W145" i="15"/>
  <c r="D145" i="15"/>
  <c r="E145" i="15" s="1"/>
  <c r="F145" i="15" s="1"/>
  <c r="W374" i="15"/>
  <c r="D374" i="15"/>
  <c r="E374" i="15" s="1"/>
  <c r="F374" i="15" s="1"/>
  <c r="W370" i="15"/>
  <c r="D370" i="15"/>
  <c r="E370" i="15" s="1"/>
  <c r="F370" i="15" s="1"/>
  <c r="W366" i="15"/>
  <c r="D366" i="15"/>
  <c r="E366" i="15" s="1"/>
  <c r="F366" i="15" s="1"/>
  <c r="AA366" i="15" s="1"/>
  <c r="Z366" i="15" s="1"/>
  <c r="Y366" i="15" s="1"/>
  <c r="W354" i="15"/>
  <c r="D354" i="15"/>
  <c r="E354" i="15" s="1"/>
  <c r="F354" i="15" s="1"/>
  <c r="W350" i="15"/>
  <c r="D350" i="15"/>
  <c r="E350" i="15" s="1"/>
  <c r="F350" i="15" s="1"/>
  <c r="AA350" i="15" s="1"/>
  <c r="Z350" i="15" s="1"/>
  <c r="Y350" i="15" s="1"/>
  <c r="W346" i="15"/>
  <c r="D346" i="15"/>
  <c r="E346" i="15" s="1"/>
  <c r="F346" i="15" s="1"/>
  <c r="W342" i="15"/>
  <c r="D342" i="15"/>
  <c r="E342" i="15" s="1"/>
  <c r="F342" i="15" s="1"/>
  <c r="AA342" i="15" s="1"/>
  <c r="Z342" i="15" s="1"/>
  <c r="Y342" i="15" s="1"/>
  <c r="W338" i="15"/>
  <c r="D338" i="15"/>
  <c r="E338" i="15" s="1"/>
  <c r="F338" i="15" s="1"/>
  <c r="W334" i="15"/>
  <c r="D334" i="15"/>
  <c r="E334" i="15" s="1"/>
  <c r="F334" i="15" s="1"/>
  <c r="W330" i="15"/>
  <c r="D330" i="15"/>
  <c r="E330" i="15" s="1"/>
  <c r="F330" i="15" s="1"/>
  <c r="AA330" i="15" s="1"/>
  <c r="Z330" i="15" s="1"/>
  <c r="Y330" i="15" s="1"/>
  <c r="W326" i="15"/>
  <c r="D326" i="15"/>
  <c r="E326" i="15" s="1"/>
  <c r="F326" i="15" s="1"/>
  <c r="W322" i="15"/>
  <c r="D322" i="15"/>
  <c r="E322" i="15" s="1"/>
  <c r="F322" i="15" s="1"/>
  <c r="W318" i="15"/>
  <c r="D318" i="15"/>
  <c r="E318" i="15" s="1"/>
  <c r="F318" i="15" s="1"/>
  <c r="W314" i="15"/>
  <c r="D314" i="15"/>
  <c r="E314" i="15" s="1"/>
  <c r="F314" i="15" s="1"/>
  <c r="W310" i="15"/>
  <c r="D310" i="15"/>
  <c r="E310" i="15" s="1"/>
  <c r="F310" i="15" s="1"/>
  <c r="W306" i="15"/>
  <c r="D306" i="15"/>
  <c r="E306" i="15" s="1"/>
  <c r="F306" i="15" s="1"/>
  <c r="W300" i="15"/>
  <c r="D300" i="15"/>
  <c r="E300" i="15" s="1"/>
  <c r="F300" i="15" s="1"/>
  <c r="W296" i="15"/>
  <c r="D296" i="15"/>
  <c r="E296" i="15" s="1"/>
  <c r="F296" i="15" s="1"/>
  <c r="AA296" i="15" s="1"/>
  <c r="Z296" i="15" s="1"/>
  <c r="Y296" i="15" s="1"/>
  <c r="W292" i="15"/>
  <c r="D292" i="15"/>
  <c r="E292" i="15" s="1"/>
  <c r="F292" i="15" s="1"/>
  <c r="AA292" i="15" s="1"/>
  <c r="Z292" i="15" s="1"/>
  <c r="Y292" i="15" s="1"/>
  <c r="Q67" i="16"/>
  <c r="Q51" i="16"/>
  <c r="Q31" i="16"/>
  <c r="AA378" i="15"/>
  <c r="Z378" i="15" s="1"/>
  <c r="Y378" i="15" s="1"/>
  <c r="Q252" i="16"/>
  <c r="Q250" i="16"/>
  <c r="Q248" i="16"/>
  <c r="Q246" i="16"/>
  <c r="Q244" i="16"/>
  <c r="Q242" i="16"/>
  <c r="Q240" i="16"/>
  <c r="Q238" i="16"/>
  <c r="Q236" i="16"/>
  <c r="Q234" i="16"/>
  <c r="Q232" i="16"/>
  <c r="Q230" i="16"/>
  <c r="Q228" i="16"/>
  <c r="Q226" i="16"/>
  <c r="Q224" i="16"/>
  <c r="Q222" i="16"/>
  <c r="Q220" i="16"/>
  <c r="Q218" i="16"/>
  <c r="Q216" i="16"/>
  <c r="Q214" i="16"/>
  <c r="Q212" i="16"/>
  <c r="Q210" i="16"/>
  <c r="Q208" i="16"/>
  <c r="Q206" i="16"/>
  <c r="Q204" i="16"/>
  <c r="Q202" i="16"/>
  <c r="Q200" i="16"/>
  <c r="Q198" i="16"/>
  <c r="Q196" i="16"/>
  <c r="Q194" i="16"/>
  <c r="Q192" i="16"/>
  <c r="Q190" i="16"/>
  <c r="Q188" i="16"/>
  <c r="Q186" i="16"/>
  <c r="Q183" i="16"/>
  <c r="Q179" i="16"/>
  <c r="Q175" i="16"/>
  <c r="Q171" i="16"/>
  <c r="Q167" i="16"/>
  <c r="Q163" i="16"/>
  <c r="Q159" i="16"/>
  <c r="Q155" i="16"/>
  <c r="Q151" i="16"/>
  <c r="Q147" i="16"/>
  <c r="Q143" i="16"/>
  <c r="Q139" i="16"/>
  <c r="Q135" i="16"/>
  <c r="Q1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AC383" i="20"/>
  <c r="AC382" i="20"/>
  <c r="AC381" i="20"/>
  <c r="I62" i="19"/>
  <c r="C62" i="19"/>
  <c r="Q37" i="16"/>
  <c r="Q33" i="16"/>
  <c r="Q29" i="16"/>
  <c r="Q25" i="16"/>
  <c r="Q21" i="16"/>
  <c r="Q17" i="16"/>
  <c r="J62" i="19"/>
  <c r="V379" i="1"/>
  <c r="P382" i="1"/>
  <c r="P381" i="1"/>
  <c r="P383" i="1"/>
  <c r="AK3" i="16"/>
  <c r="K62" i="19"/>
  <c r="O381" i="20"/>
  <c r="O383" i="20"/>
  <c r="O382" i="20"/>
  <c r="AG88" i="16"/>
  <c r="AF88" i="1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AA288" i="15"/>
  <c r="Z288" i="15" s="1"/>
  <c r="Y288" i="15" s="1"/>
  <c r="G288" i="15"/>
  <c r="BX288" i="6" s="1"/>
  <c r="H288" i="15"/>
  <c r="C11" i="19"/>
  <c r="C31" i="19" s="1"/>
  <c r="AG383" i="15"/>
  <c r="AG381" i="15"/>
  <c r="AF15" i="15"/>
  <c r="S321" i="16"/>
  <c r="R321" i="16" s="1"/>
  <c r="S161" i="16"/>
  <c r="R161" i="16" s="1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380" i="22"/>
  <c r="AK379" i="22"/>
  <c r="O379" i="22"/>
  <c r="C41" i="19" s="1"/>
  <c r="AC379" i="22"/>
  <c r="AG382" i="15"/>
  <c r="AF17" i="15"/>
  <c r="S382" i="15"/>
  <c r="S383" i="15"/>
  <c r="S381" i="15"/>
  <c r="R15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D152" i="16" l="1"/>
  <c r="AD216" i="16"/>
  <c r="AD248" i="16"/>
  <c r="AD280" i="16"/>
  <c r="P48" i="16"/>
  <c r="P241" i="16"/>
  <c r="V241" i="16" s="1"/>
  <c r="B241" i="16" s="1"/>
  <c r="U21" i="16"/>
  <c r="T21" i="16" s="1"/>
  <c r="U377" i="16"/>
  <c r="T377" i="16" s="1"/>
  <c r="S377" i="16" s="1"/>
  <c r="R377" i="16" s="1"/>
  <c r="U361" i="16"/>
  <c r="T361" i="16" s="1"/>
  <c r="U345" i="16"/>
  <c r="T345" i="16" s="1"/>
  <c r="S345" i="16" s="1"/>
  <c r="R345" i="16" s="1"/>
  <c r="U329" i="16"/>
  <c r="T329" i="16" s="1"/>
  <c r="S329" i="16" s="1"/>
  <c r="R329" i="16" s="1"/>
  <c r="U313" i="16"/>
  <c r="T313" i="16" s="1"/>
  <c r="S313" i="16" s="1"/>
  <c r="R313" i="16" s="1"/>
  <c r="U297" i="16"/>
  <c r="T297" i="16" s="1"/>
  <c r="S297" i="16" s="1"/>
  <c r="R297" i="16" s="1"/>
  <c r="U281" i="16"/>
  <c r="T281" i="16" s="1"/>
  <c r="S281" i="16" s="1"/>
  <c r="R281" i="16" s="1"/>
  <c r="U265" i="16"/>
  <c r="T265" i="16" s="1"/>
  <c r="S265" i="16" s="1"/>
  <c r="R265" i="16" s="1"/>
  <c r="U249" i="16"/>
  <c r="T249" i="16" s="1"/>
  <c r="S249" i="16" s="1"/>
  <c r="R249" i="16" s="1"/>
  <c r="U233" i="16"/>
  <c r="T233" i="16" s="1"/>
  <c r="S233" i="16" s="1"/>
  <c r="R233" i="16" s="1"/>
  <c r="P233" i="16" s="1"/>
  <c r="U217" i="16"/>
  <c r="T217" i="16" s="1"/>
  <c r="S217" i="16" s="1"/>
  <c r="R217" i="16" s="1"/>
  <c r="U201" i="16"/>
  <c r="T201" i="16" s="1"/>
  <c r="U185" i="16"/>
  <c r="T185" i="16" s="1"/>
  <c r="S185" i="16" s="1"/>
  <c r="R185" i="16" s="1"/>
  <c r="U169" i="16"/>
  <c r="T169" i="16" s="1"/>
  <c r="S169" i="16" s="1"/>
  <c r="R169" i="16" s="1"/>
  <c r="U153" i="16"/>
  <c r="T153" i="16" s="1"/>
  <c r="S153" i="16" s="1"/>
  <c r="R153" i="16" s="1"/>
  <c r="U137" i="16"/>
  <c r="T137" i="16" s="1"/>
  <c r="S137" i="16" s="1"/>
  <c r="R137" i="16" s="1"/>
  <c r="U111" i="16"/>
  <c r="T111" i="16" s="1"/>
  <c r="S111" i="16" s="1"/>
  <c r="R111" i="16" s="1"/>
  <c r="U71" i="16"/>
  <c r="T71" i="16" s="1"/>
  <c r="S71" i="16" s="1"/>
  <c r="R71" i="16" s="1"/>
  <c r="U128" i="16"/>
  <c r="T128" i="16" s="1"/>
  <c r="S128" i="16" s="1"/>
  <c r="R128" i="16" s="1"/>
  <c r="U96" i="16"/>
  <c r="T96" i="16" s="1"/>
  <c r="U64" i="16"/>
  <c r="T64" i="16" s="1"/>
  <c r="S64" i="16" s="1"/>
  <c r="R64" i="16" s="1"/>
  <c r="U32" i="16"/>
  <c r="T32" i="16" s="1"/>
  <c r="U164" i="16"/>
  <c r="T164" i="16" s="1"/>
  <c r="S164" i="16" s="1"/>
  <c r="R164" i="16" s="1"/>
  <c r="U292" i="16"/>
  <c r="T292" i="16" s="1"/>
  <c r="S292" i="16" s="1"/>
  <c r="R292" i="16" s="1"/>
  <c r="U342" i="16"/>
  <c r="T342" i="16" s="1"/>
  <c r="S342" i="16" s="1"/>
  <c r="R342" i="16" s="1"/>
  <c r="U278" i="16"/>
  <c r="T278" i="16" s="1"/>
  <c r="U214" i="16"/>
  <c r="T214" i="16" s="1"/>
  <c r="S214" i="16" s="1"/>
  <c r="R214" i="16" s="1"/>
  <c r="U150" i="16"/>
  <c r="T150" i="16" s="1"/>
  <c r="AI296" i="16"/>
  <c r="AH296" i="16" s="1"/>
  <c r="AG296" i="16" s="1"/>
  <c r="AF296" i="16" s="1"/>
  <c r="AI264" i="16"/>
  <c r="AH264" i="16" s="1"/>
  <c r="AG264" i="16" s="1"/>
  <c r="AF264" i="16" s="1"/>
  <c r="AI232" i="16"/>
  <c r="AH232" i="16" s="1"/>
  <c r="AG232" i="16" s="1"/>
  <c r="AF232" i="16" s="1"/>
  <c r="AI200" i="16"/>
  <c r="AH200" i="16" s="1"/>
  <c r="AG200" i="16" s="1"/>
  <c r="AF200" i="16" s="1"/>
  <c r="AI168" i="16"/>
  <c r="AH168" i="16" s="1"/>
  <c r="AG168" i="16" s="1"/>
  <c r="AF168" i="16" s="1"/>
  <c r="AI136" i="16"/>
  <c r="AH136" i="16" s="1"/>
  <c r="AG136" i="16" s="1"/>
  <c r="AF136" i="16" s="1"/>
  <c r="AI104" i="16"/>
  <c r="AH104" i="16" s="1"/>
  <c r="AG104" i="16" s="1"/>
  <c r="AF104" i="16" s="1"/>
  <c r="AI72" i="16"/>
  <c r="AH72" i="16" s="1"/>
  <c r="AG72" i="16" s="1"/>
  <c r="AF72" i="16" s="1"/>
  <c r="AI40" i="16"/>
  <c r="AH40" i="16" s="1"/>
  <c r="AG40" i="16" s="1"/>
  <c r="AF40" i="16" s="1"/>
  <c r="U356" i="16"/>
  <c r="T356" i="16" s="1"/>
  <c r="P185" i="16"/>
  <c r="V185" i="16" s="1"/>
  <c r="P153" i="16"/>
  <c r="V153" i="16" s="1"/>
  <c r="P305" i="16"/>
  <c r="V305" i="16" s="1"/>
  <c r="P228" i="16"/>
  <c r="P337" i="16"/>
  <c r="V337" i="16" s="1"/>
  <c r="U248" i="16"/>
  <c r="T248" i="16" s="1"/>
  <c r="U144" i="16"/>
  <c r="T144" i="16" s="1"/>
  <c r="S144" i="16" s="1"/>
  <c r="R144" i="16" s="1"/>
  <c r="U208" i="16"/>
  <c r="T208" i="16" s="1"/>
  <c r="S208" i="16" s="1"/>
  <c r="R208" i="16" s="1"/>
  <c r="P208" i="16" s="1"/>
  <c r="V208" i="16" s="1"/>
  <c r="B208" i="16" s="1"/>
  <c r="U272" i="16"/>
  <c r="T272" i="16" s="1"/>
  <c r="U336" i="16"/>
  <c r="T336" i="16" s="1"/>
  <c r="S336" i="16" s="1"/>
  <c r="R336" i="16" s="1"/>
  <c r="U372" i="16"/>
  <c r="T372" i="16" s="1"/>
  <c r="S372" i="16" s="1"/>
  <c r="R372" i="16" s="1"/>
  <c r="AI20" i="16"/>
  <c r="AH20" i="16" s="1"/>
  <c r="AG20" i="16" s="1"/>
  <c r="AF20" i="16" s="1"/>
  <c r="AI28" i="16"/>
  <c r="AH28" i="16" s="1"/>
  <c r="AG28" i="16" s="1"/>
  <c r="AF28" i="16" s="1"/>
  <c r="AI36" i="16"/>
  <c r="AH36" i="16" s="1"/>
  <c r="AG36" i="16" s="1"/>
  <c r="AF36" i="16" s="1"/>
  <c r="AI44" i="16"/>
  <c r="AH44" i="16" s="1"/>
  <c r="AG44" i="16" s="1"/>
  <c r="AF44" i="16" s="1"/>
  <c r="AI52" i="16"/>
  <c r="AH52" i="16" s="1"/>
  <c r="AG52" i="16" s="1"/>
  <c r="AF52" i="16" s="1"/>
  <c r="AI60" i="16"/>
  <c r="AH60" i="16" s="1"/>
  <c r="AG60" i="16" s="1"/>
  <c r="AF60" i="16" s="1"/>
  <c r="AI68" i="16"/>
  <c r="AH68" i="16" s="1"/>
  <c r="AG68" i="16" s="1"/>
  <c r="AF68" i="16" s="1"/>
  <c r="AI76" i="16"/>
  <c r="AH76" i="16" s="1"/>
  <c r="AG76" i="16" s="1"/>
  <c r="AF76" i="16" s="1"/>
  <c r="AI84" i="16"/>
  <c r="AH84" i="16" s="1"/>
  <c r="AG84" i="16" s="1"/>
  <c r="AF84" i="16" s="1"/>
  <c r="AI92" i="16"/>
  <c r="AH92" i="16" s="1"/>
  <c r="AG92" i="16" s="1"/>
  <c r="AF92" i="16" s="1"/>
  <c r="AI100" i="16"/>
  <c r="AH100" i="16" s="1"/>
  <c r="AG100" i="16" s="1"/>
  <c r="AF100" i="16" s="1"/>
  <c r="AI108" i="16"/>
  <c r="AH108" i="16" s="1"/>
  <c r="AG108" i="16" s="1"/>
  <c r="AF108" i="16" s="1"/>
  <c r="AI116" i="16"/>
  <c r="AH116" i="16" s="1"/>
  <c r="AG116" i="16" s="1"/>
  <c r="AF116" i="16" s="1"/>
  <c r="AI124" i="16"/>
  <c r="AH124" i="16" s="1"/>
  <c r="AG124" i="16" s="1"/>
  <c r="AF124" i="16" s="1"/>
  <c r="AI132" i="16"/>
  <c r="AH132" i="16" s="1"/>
  <c r="AG132" i="16" s="1"/>
  <c r="AF132" i="16" s="1"/>
  <c r="AI140" i="16"/>
  <c r="AH140" i="16" s="1"/>
  <c r="AG140" i="16" s="1"/>
  <c r="AF140" i="16" s="1"/>
  <c r="AI148" i="16"/>
  <c r="AH148" i="16" s="1"/>
  <c r="AG148" i="16" s="1"/>
  <c r="AF148" i="16" s="1"/>
  <c r="AI156" i="16"/>
  <c r="AH156" i="16" s="1"/>
  <c r="AG156" i="16" s="1"/>
  <c r="AF156" i="16" s="1"/>
  <c r="AI164" i="16"/>
  <c r="AH164" i="16" s="1"/>
  <c r="AI172" i="16"/>
  <c r="AH172" i="16" s="1"/>
  <c r="AG172" i="16" s="1"/>
  <c r="AF172" i="16" s="1"/>
  <c r="AI180" i="16"/>
  <c r="AH180" i="16" s="1"/>
  <c r="AG180" i="16" s="1"/>
  <c r="AF180" i="16" s="1"/>
  <c r="AI188" i="16"/>
  <c r="AH188" i="16" s="1"/>
  <c r="AG188" i="16" s="1"/>
  <c r="AF188" i="16" s="1"/>
  <c r="AI196" i="16"/>
  <c r="AH196" i="16" s="1"/>
  <c r="AG196" i="16" s="1"/>
  <c r="AF196" i="16" s="1"/>
  <c r="AI204" i="16"/>
  <c r="AH204" i="16" s="1"/>
  <c r="AG204" i="16" s="1"/>
  <c r="AF204" i="16" s="1"/>
  <c r="AI212" i="16"/>
  <c r="AH212" i="16" s="1"/>
  <c r="AG212" i="16" s="1"/>
  <c r="AF212" i="16" s="1"/>
  <c r="AI220" i="16"/>
  <c r="AH220" i="16" s="1"/>
  <c r="AG220" i="16" s="1"/>
  <c r="AF220" i="16" s="1"/>
  <c r="AI228" i="16"/>
  <c r="AH228" i="16" s="1"/>
  <c r="AG228" i="16" s="1"/>
  <c r="AF228" i="16" s="1"/>
  <c r="AI236" i="16"/>
  <c r="AH236" i="16" s="1"/>
  <c r="AG236" i="16" s="1"/>
  <c r="AF236" i="16" s="1"/>
  <c r="AI244" i="16"/>
  <c r="AH244" i="16" s="1"/>
  <c r="AG244" i="16" s="1"/>
  <c r="AF244" i="16" s="1"/>
  <c r="AI252" i="16"/>
  <c r="AH252" i="16" s="1"/>
  <c r="AG252" i="16" s="1"/>
  <c r="AF252" i="16" s="1"/>
  <c r="AI260" i="16"/>
  <c r="AH260" i="16" s="1"/>
  <c r="AG260" i="16" s="1"/>
  <c r="AF260" i="16" s="1"/>
  <c r="AI268" i="16"/>
  <c r="AH268" i="16" s="1"/>
  <c r="AG268" i="16" s="1"/>
  <c r="AF268" i="16" s="1"/>
  <c r="AI276" i="16"/>
  <c r="AH276" i="16" s="1"/>
  <c r="AG276" i="16" s="1"/>
  <c r="AF276" i="16" s="1"/>
  <c r="AI284" i="16"/>
  <c r="AH284" i="16" s="1"/>
  <c r="AG284" i="16" s="1"/>
  <c r="AF284" i="16" s="1"/>
  <c r="AI292" i="16"/>
  <c r="AH292" i="16" s="1"/>
  <c r="AG292" i="16" s="1"/>
  <c r="AF292" i="16" s="1"/>
  <c r="U33" i="16"/>
  <c r="T33" i="16" s="1"/>
  <c r="S33" i="16" s="1"/>
  <c r="R33" i="16" s="1"/>
  <c r="U89" i="16"/>
  <c r="T89" i="16" s="1"/>
  <c r="S89" i="16" s="1"/>
  <c r="R89" i="16" s="1"/>
  <c r="P89" i="16" s="1"/>
  <c r="V89" i="16" s="1"/>
  <c r="B89" i="16" s="1"/>
  <c r="D89" i="16" s="1"/>
  <c r="E89" i="16" s="1"/>
  <c r="F89" i="16" s="1"/>
  <c r="U121" i="16"/>
  <c r="T121" i="16" s="1"/>
  <c r="S121" i="16" s="1"/>
  <c r="R121" i="16" s="1"/>
  <c r="P121" i="16" s="1"/>
  <c r="V121" i="16" s="1"/>
  <c r="B121" i="16" s="1"/>
  <c r="U142" i="16"/>
  <c r="T142" i="16" s="1"/>
  <c r="S142" i="16" s="1"/>
  <c r="R142" i="16" s="1"/>
  <c r="U158" i="16"/>
  <c r="T158" i="16" s="1"/>
  <c r="S158" i="16" s="1"/>
  <c r="R158" i="16" s="1"/>
  <c r="U174" i="16"/>
  <c r="T174" i="16" s="1"/>
  <c r="S174" i="16" s="1"/>
  <c r="R174" i="16" s="1"/>
  <c r="U190" i="16"/>
  <c r="T190" i="16" s="1"/>
  <c r="S190" i="16" s="1"/>
  <c r="R190" i="16" s="1"/>
  <c r="U206" i="16"/>
  <c r="T206" i="16" s="1"/>
  <c r="U222" i="16"/>
  <c r="T222" i="16" s="1"/>
  <c r="S222" i="16" s="1"/>
  <c r="R222" i="16" s="1"/>
  <c r="U238" i="16"/>
  <c r="T238" i="16" s="1"/>
  <c r="S238" i="16" s="1"/>
  <c r="R238" i="16" s="1"/>
  <c r="U254" i="16"/>
  <c r="T254" i="16" s="1"/>
  <c r="S254" i="16" s="1"/>
  <c r="R254" i="16" s="1"/>
  <c r="U270" i="16"/>
  <c r="T270" i="16" s="1"/>
  <c r="S270" i="16" s="1"/>
  <c r="R270" i="16" s="1"/>
  <c r="U286" i="16"/>
  <c r="T286" i="16" s="1"/>
  <c r="S286" i="16" s="1"/>
  <c r="R286" i="16" s="1"/>
  <c r="U302" i="16"/>
  <c r="T302" i="16" s="1"/>
  <c r="U318" i="16"/>
  <c r="T318" i="16" s="1"/>
  <c r="S318" i="16" s="1"/>
  <c r="R318" i="16" s="1"/>
  <c r="U334" i="16"/>
  <c r="T334" i="16" s="1"/>
  <c r="S334" i="16" s="1"/>
  <c r="R334" i="16" s="1"/>
  <c r="U374" i="16"/>
  <c r="T374" i="16" s="1"/>
  <c r="S374" i="16" s="1"/>
  <c r="R374" i="16" s="1"/>
  <c r="U358" i="16"/>
  <c r="T358" i="16" s="1"/>
  <c r="S358" i="16" s="1"/>
  <c r="R358" i="16" s="1"/>
  <c r="P358" i="16" s="1"/>
  <c r="V358" i="16" s="1"/>
  <c r="U340" i="16"/>
  <c r="T340" i="16" s="1"/>
  <c r="U308" i="16"/>
  <c r="T308" i="16" s="1"/>
  <c r="S308" i="16" s="1"/>
  <c r="R308" i="16" s="1"/>
  <c r="U276" i="16"/>
  <c r="T276" i="16" s="1"/>
  <c r="S276" i="16" s="1"/>
  <c r="R276" i="16" s="1"/>
  <c r="U244" i="16"/>
  <c r="T244" i="16" s="1"/>
  <c r="S244" i="16" s="1"/>
  <c r="R244" i="16" s="1"/>
  <c r="U212" i="16"/>
  <c r="T212" i="16" s="1"/>
  <c r="S212" i="16" s="1"/>
  <c r="R212" i="16" s="1"/>
  <c r="P212" i="16" s="1"/>
  <c r="U180" i="16"/>
  <c r="T180" i="16" s="1"/>
  <c r="U148" i="16"/>
  <c r="T148" i="16" s="1"/>
  <c r="S148" i="16" s="1"/>
  <c r="R148" i="16" s="1"/>
  <c r="U101" i="16"/>
  <c r="T101" i="16" s="1"/>
  <c r="S101" i="16" s="1"/>
  <c r="R101" i="16" s="1"/>
  <c r="P101" i="16" s="1"/>
  <c r="V101" i="16" s="1"/>
  <c r="B101" i="16" s="1"/>
  <c r="U20" i="16"/>
  <c r="T20" i="16" s="1"/>
  <c r="S20" i="16" s="1"/>
  <c r="R20" i="16" s="1"/>
  <c r="U28" i="16"/>
  <c r="T28" i="16" s="1"/>
  <c r="S28" i="16" s="1"/>
  <c r="R28" i="16" s="1"/>
  <c r="U36" i="16"/>
  <c r="T36" i="16" s="1"/>
  <c r="S36" i="16" s="1"/>
  <c r="R36" i="16" s="1"/>
  <c r="U44" i="16"/>
  <c r="T44" i="16" s="1"/>
  <c r="S44" i="16" s="1"/>
  <c r="R44" i="16" s="1"/>
  <c r="U52" i="16"/>
  <c r="T52" i="16" s="1"/>
  <c r="S52" i="16" s="1"/>
  <c r="R52" i="16" s="1"/>
  <c r="U60" i="16"/>
  <c r="T60" i="16" s="1"/>
  <c r="S60" i="16" s="1"/>
  <c r="R60" i="16" s="1"/>
  <c r="U68" i="16"/>
  <c r="T68" i="16" s="1"/>
  <c r="S68" i="16" s="1"/>
  <c r="R68" i="16" s="1"/>
  <c r="U76" i="16"/>
  <c r="T76" i="16" s="1"/>
  <c r="S76" i="16" s="1"/>
  <c r="R76" i="16" s="1"/>
  <c r="U84" i="16"/>
  <c r="T84" i="16" s="1"/>
  <c r="S84" i="16" s="1"/>
  <c r="R84" i="16" s="1"/>
  <c r="U92" i="16"/>
  <c r="T92" i="16" s="1"/>
  <c r="S92" i="16" s="1"/>
  <c r="R92" i="16" s="1"/>
  <c r="U100" i="16"/>
  <c r="T100" i="16" s="1"/>
  <c r="S100" i="16" s="1"/>
  <c r="R100" i="16" s="1"/>
  <c r="U108" i="16"/>
  <c r="T108" i="16" s="1"/>
  <c r="S108" i="16" s="1"/>
  <c r="R108" i="16" s="1"/>
  <c r="U116" i="16"/>
  <c r="T116" i="16" s="1"/>
  <c r="S116" i="16" s="1"/>
  <c r="R116" i="16" s="1"/>
  <c r="U124" i="16"/>
  <c r="T124" i="16" s="1"/>
  <c r="S124" i="16" s="1"/>
  <c r="R124" i="16" s="1"/>
  <c r="U15" i="16"/>
  <c r="T15" i="16" s="1"/>
  <c r="U31" i="16"/>
  <c r="T31" i="16" s="1"/>
  <c r="S31" i="16" s="1"/>
  <c r="R31" i="16" s="1"/>
  <c r="U47" i="16"/>
  <c r="T47" i="16" s="1"/>
  <c r="S47" i="16" s="1"/>
  <c r="R47" i="16" s="1"/>
  <c r="U63" i="16"/>
  <c r="T63" i="16" s="1"/>
  <c r="S63" i="16" s="1"/>
  <c r="R63" i="16" s="1"/>
  <c r="U79" i="16"/>
  <c r="T79" i="16" s="1"/>
  <c r="S79" i="16" s="1"/>
  <c r="R79" i="16" s="1"/>
  <c r="Q12" i="17"/>
  <c r="U15" i="7" s="1"/>
  <c r="U37" i="16"/>
  <c r="T37" i="16" s="1"/>
  <c r="S37" i="16" s="1"/>
  <c r="R37" i="16" s="1"/>
  <c r="U69" i="16"/>
  <c r="T69" i="16" s="1"/>
  <c r="S69" i="16" s="1"/>
  <c r="R69" i="16" s="1"/>
  <c r="U373" i="16"/>
  <c r="T373" i="16" s="1"/>
  <c r="S373" i="16" s="1"/>
  <c r="R373" i="16" s="1"/>
  <c r="U365" i="16"/>
  <c r="T365" i="16" s="1"/>
  <c r="S365" i="16" s="1"/>
  <c r="R365" i="16" s="1"/>
  <c r="U357" i="16"/>
  <c r="T357" i="16" s="1"/>
  <c r="S357" i="16" s="1"/>
  <c r="R357" i="16" s="1"/>
  <c r="U349" i="16"/>
  <c r="T349" i="16" s="1"/>
  <c r="S349" i="16" s="1"/>
  <c r="R349" i="16" s="1"/>
  <c r="U341" i="16"/>
  <c r="T341" i="16" s="1"/>
  <c r="S341" i="16" s="1"/>
  <c r="R341" i="16" s="1"/>
  <c r="U333" i="16"/>
  <c r="T333" i="16" s="1"/>
  <c r="S333" i="16" s="1"/>
  <c r="R333" i="16" s="1"/>
  <c r="U325" i="16"/>
  <c r="T325" i="16" s="1"/>
  <c r="S325" i="16" s="1"/>
  <c r="R325" i="16" s="1"/>
  <c r="U317" i="16"/>
  <c r="T317" i="16" s="1"/>
  <c r="S317" i="16" s="1"/>
  <c r="R317" i="16" s="1"/>
  <c r="U309" i="16"/>
  <c r="T309" i="16" s="1"/>
  <c r="S309" i="16" s="1"/>
  <c r="R309" i="16" s="1"/>
  <c r="U301" i="16"/>
  <c r="T301" i="16" s="1"/>
  <c r="S301" i="16" s="1"/>
  <c r="R301" i="16" s="1"/>
  <c r="U293" i="16"/>
  <c r="T293" i="16" s="1"/>
  <c r="S293" i="16" s="1"/>
  <c r="R293" i="16" s="1"/>
  <c r="U285" i="16"/>
  <c r="T285" i="16" s="1"/>
  <c r="S285" i="16" s="1"/>
  <c r="R285" i="16" s="1"/>
  <c r="U277" i="16"/>
  <c r="T277" i="16" s="1"/>
  <c r="S277" i="16" s="1"/>
  <c r="R277" i="16" s="1"/>
  <c r="U269" i="16"/>
  <c r="T269" i="16" s="1"/>
  <c r="S269" i="16" s="1"/>
  <c r="R269" i="16" s="1"/>
  <c r="P269" i="16" s="1"/>
  <c r="V269" i="16" s="1"/>
  <c r="B269" i="16" s="1"/>
  <c r="U261" i="16"/>
  <c r="T261" i="16" s="1"/>
  <c r="S261" i="16" s="1"/>
  <c r="R261" i="16" s="1"/>
  <c r="U253" i="16"/>
  <c r="T253" i="16" s="1"/>
  <c r="S253" i="16" s="1"/>
  <c r="R253" i="16" s="1"/>
  <c r="U245" i="16"/>
  <c r="T245" i="16" s="1"/>
  <c r="S245" i="16" s="1"/>
  <c r="R245" i="16" s="1"/>
  <c r="U237" i="16"/>
  <c r="T237" i="16" s="1"/>
  <c r="S237" i="16" s="1"/>
  <c r="R237" i="16" s="1"/>
  <c r="U229" i="16"/>
  <c r="T229" i="16" s="1"/>
  <c r="S229" i="16" s="1"/>
  <c r="R229" i="16" s="1"/>
  <c r="U221" i="16"/>
  <c r="T221" i="16" s="1"/>
  <c r="U213" i="16"/>
  <c r="T213" i="16" s="1"/>
  <c r="S213" i="16" s="1"/>
  <c r="R213" i="16" s="1"/>
  <c r="U205" i="16"/>
  <c r="T205" i="16" s="1"/>
  <c r="S205" i="16" s="1"/>
  <c r="R205" i="16" s="1"/>
  <c r="U197" i="16"/>
  <c r="T197" i="16" s="1"/>
  <c r="S197" i="16" s="1"/>
  <c r="R197" i="16" s="1"/>
  <c r="U189" i="16"/>
  <c r="T189" i="16" s="1"/>
  <c r="S189" i="16" s="1"/>
  <c r="R189" i="16" s="1"/>
  <c r="U181" i="16"/>
  <c r="T181" i="16" s="1"/>
  <c r="S181" i="16" s="1"/>
  <c r="R181" i="16" s="1"/>
  <c r="U173" i="16"/>
  <c r="T173" i="16" s="1"/>
  <c r="S173" i="16" s="1"/>
  <c r="R173" i="16" s="1"/>
  <c r="U165" i="16"/>
  <c r="T165" i="16" s="1"/>
  <c r="S165" i="16" s="1"/>
  <c r="R165" i="16" s="1"/>
  <c r="U157" i="16"/>
  <c r="T157" i="16" s="1"/>
  <c r="S157" i="16" s="1"/>
  <c r="R157" i="16" s="1"/>
  <c r="P157" i="16" s="1"/>
  <c r="V157" i="16" s="1"/>
  <c r="B157" i="16" s="1"/>
  <c r="U149" i="16"/>
  <c r="T149" i="16" s="1"/>
  <c r="S149" i="16" s="1"/>
  <c r="R149" i="16" s="1"/>
  <c r="U141" i="16"/>
  <c r="T141" i="16" s="1"/>
  <c r="U133" i="16"/>
  <c r="T133" i="16" s="1"/>
  <c r="S133" i="16" s="1"/>
  <c r="R133" i="16" s="1"/>
  <c r="U119" i="16"/>
  <c r="T119" i="16" s="1"/>
  <c r="U103" i="16"/>
  <c r="T103" i="16" s="1"/>
  <c r="S103" i="16" s="1"/>
  <c r="R103" i="16" s="1"/>
  <c r="U87" i="16"/>
  <c r="T87" i="16" s="1"/>
  <c r="U55" i="16"/>
  <c r="T55" i="16" s="1"/>
  <c r="S55" i="16" s="1"/>
  <c r="R55" i="16" s="1"/>
  <c r="U23" i="16"/>
  <c r="T23" i="16" s="1"/>
  <c r="S23" i="16" s="1"/>
  <c r="R23" i="16" s="1"/>
  <c r="P23" i="16" s="1"/>
  <c r="V23" i="16" s="1"/>
  <c r="B23" i="16" s="1"/>
  <c r="U120" i="16"/>
  <c r="T120" i="16" s="1"/>
  <c r="S120" i="16" s="1"/>
  <c r="R120" i="16" s="1"/>
  <c r="U104" i="16"/>
  <c r="T104" i="16" s="1"/>
  <c r="U88" i="16"/>
  <c r="T88" i="16" s="1"/>
  <c r="S88" i="16" s="1"/>
  <c r="R88" i="16" s="1"/>
  <c r="U72" i="16"/>
  <c r="T72" i="16" s="1"/>
  <c r="S72" i="16" s="1"/>
  <c r="R72" i="16" s="1"/>
  <c r="U56" i="16"/>
  <c r="T56" i="16" s="1"/>
  <c r="S56" i="16" s="1"/>
  <c r="R56" i="16" s="1"/>
  <c r="U40" i="16"/>
  <c r="T40" i="16" s="1"/>
  <c r="U24" i="16"/>
  <c r="T24" i="16" s="1"/>
  <c r="S24" i="16" s="1"/>
  <c r="R24" i="16" s="1"/>
  <c r="U132" i="16"/>
  <c r="T132" i="16" s="1"/>
  <c r="S132" i="16" s="1"/>
  <c r="R132" i="16" s="1"/>
  <c r="U196" i="16"/>
  <c r="T196" i="16" s="1"/>
  <c r="S196" i="16" s="1"/>
  <c r="R196" i="16" s="1"/>
  <c r="U260" i="16"/>
  <c r="T260" i="16" s="1"/>
  <c r="S260" i="16" s="1"/>
  <c r="R260" i="16" s="1"/>
  <c r="U324" i="16"/>
  <c r="T324" i="16" s="1"/>
  <c r="S324" i="16" s="1"/>
  <c r="R324" i="16" s="1"/>
  <c r="U366" i="16"/>
  <c r="T366" i="16" s="1"/>
  <c r="S366" i="16" s="1"/>
  <c r="R366" i="16" s="1"/>
  <c r="U326" i="16"/>
  <c r="T326" i="16" s="1"/>
  <c r="S326" i="16" s="1"/>
  <c r="R326" i="16" s="1"/>
  <c r="P326" i="16" s="1"/>
  <c r="V326" i="16" s="1"/>
  <c r="B326" i="16" s="1"/>
  <c r="U294" i="16"/>
  <c r="T294" i="16" s="1"/>
  <c r="S294" i="16" s="1"/>
  <c r="R294" i="16" s="1"/>
  <c r="U262" i="16"/>
  <c r="T262" i="16" s="1"/>
  <c r="S262" i="16" s="1"/>
  <c r="R262" i="16" s="1"/>
  <c r="U230" i="16"/>
  <c r="T230" i="16" s="1"/>
  <c r="S230" i="16" s="1"/>
  <c r="R230" i="16" s="1"/>
  <c r="U198" i="16"/>
  <c r="T198" i="16" s="1"/>
  <c r="S198" i="16" s="1"/>
  <c r="R198" i="16" s="1"/>
  <c r="U166" i="16"/>
  <c r="T166" i="16" s="1"/>
  <c r="S166" i="16" s="1"/>
  <c r="R166" i="16" s="1"/>
  <c r="U134" i="16"/>
  <c r="T134" i="16" s="1"/>
  <c r="S134" i="16" s="1"/>
  <c r="R134" i="16" s="1"/>
  <c r="U65" i="16"/>
  <c r="T65" i="16" s="1"/>
  <c r="AI288" i="16"/>
  <c r="AH288" i="16" s="1"/>
  <c r="AG288" i="16" s="1"/>
  <c r="AF288" i="16" s="1"/>
  <c r="AI272" i="16"/>
  <c r="AH272" i="16" s="1"/>
  <c r="AG272" i="16" s="1"/>
  <c r="AF272" i="16" s="1"/>
  <c r="AI256" i="16"/>
  <c r="AH256" i="16" s="1"/>
  <c r="AG256" i="16" s="1"/>
  <c r="AF256" i="16" s="1"/>
  <c r="AI240" i="16"/>
  <c r="AH240" i="16" s="1"/>
  <c r="AG240" i="16" s="1"/>
  <c r="AF240" i="16" s="1"/>
  <c r="AI224" i="16"/>
  <c r="AH224" i="16" s="1"/>
  <c r="AG224" i="16" s="1"/>
  <c r="AF224" i="16" s="1"/>
  <c r="AI208" i="16"/>
  <c r="AH208" i="16" s="1"/>
  <c r="AG208" i="16" s="1"/>
  <c r="AF208" i="16" s="1"/>
  <c r="AI192" i="16"/>
  <c r="AH192" i="16" s="1"/>
  <c r="AG192" i="16" s="1"/>
  <c r="AF192" i="16" s="1"/>
  <c r="AI176" i="16"/>
  <c r="AH176" i="16" s="1"/>
  <c r="AG176" i="16" s="1"/>
  <c r="AF176" i="16" s="1"/>
  <c r="AI160" i="16"/>
  <c r="AH160" i="16" s="1"/>
  <c r="AG160" i="16" s="1"/>
  <c r="AF160" i="16" s="1"/>
  <c r="AI144" i="16"/>
  <c r="AH144" i="16" s="1"/>
  <c r="AG144" i="16" s="1"/>
  <c r="AF144" i="16" s="1"/>
  <c r="AI128" i="16"/>
  <c r="AH128" i="16" s="1"/>
  <c r="AG128" i="16" s="1"/>
  <c r="AF128" i="16" s="1"/>
  <c r="AI112" i="16"/>
  <c r="AH112" i="16" s="1"/>
  <c r="AG112" i="16" s="1"/>
  <c r="AF112" i="16" s="1"/>
  <c r="AI96" i="16"/>
  <c r="AH96" i="16" s="1"/>
  <c r="AG96" i="16" s="1"/>
  <c r="AF96" i="16" s="1"/>
  <c r="AI80" i="16"/>
  <c r="AH80" i="16" s="1"/>
  <c r="AG80" i="16" s="1"/>
  <c r="AF80" i="16" s="1"/>
  <c r="AI64" i="16"/>
  <c r="AH64" i="16" s="1"/>
  <c r="AG64" i="16" s="1"/>
  <c r="AF64" i="16" s="1"/>
  <c r="AI48" i="16"/>
  <c r="AH48" i="16" s="1"/>
  <c r="AG48" i="16" s="1"/>
  <c r="AF48" i="16" s="1"/>
  <c r="AI32" i="16"/>
  <c r="AH32" i="16" s="1"/>
  <c r="AG32" i="16" s="1"/>
  <c r="AF32" i="16" s="1"/>
  <c r="AI15" i="16"/>
  <c r="AH15" i="16" s="1"/>
  <c r="AG15" i="16" s="1"/>
  <c r="U304" i="16"/>
  <c r="T304" i="16" s="1"/>
  <c r="S304" i="16" s="1"/>
  <c r="R304" i="16" s="1"/>
  <c r="U176" i="16"/>
  <c r="T176" i="16" s="1"/>
  <c r="S176" i="16" s="1"/>
  <c r="R176" i="16" s="1"/>
  <c r="AD76" i="16"/>
  <c r="P262" i="16"/>
  <c r="V262" i="16" s="1"/>
  <c r="B262" i="16" s="1"/>
  <c r="P158" i="16"/>
  <c r="V158" i="16" s="1"/>
  <c r="P270" i="16"/>
  <c r="V270" i="16" s="1"/>
  <c r="B270" i="16" s="1"/>
  <c r="P47" i="16"/>
  <c r="V47" i="16" s="1"/>
  <c r="P63" i="16"/>
  <c r="V63" i="16" s="1"/>
  <c r="B63" i="16" s="1"/>
  <c r="W63" i="16" s="1"/>
  <c r="P95" i="16"/>
  <c r="V95" i="16" s="1"/>
  <c r="B95" i="16" s="1"/>
  <c r="P244" i="16"/>
  <c r="V244" i="16" s="1"/>
  <c r="B244" i="16" s="1"/>
  <c r="P254" i="16"/>
  <c r="V254" i="16" s="1"/>
  <c r="B254" i="16" s="1"/>
  <c r="P177" i="16"/>
  <c r="V177" i="16" s="1"/>
  <c r="B177" i="16" s="1"/>
  <c r="W177" i="16" s="1"/>
  <c r="P276" i="16"/>
  <c r="V276" i="16" s="1"/>
  <c r="B276" i="16" s="1"/>
  <c r="P249" i="16"/>
  <c r="V249" i="16" s="1"/>
  <c r="B249" i="16" s="1"/>
  <c r="W249" i="16" s="1"/>
  <c r="P265" i="16"/>
  <c r="V265" i="16" s="1"/>
  <c r="B265" i="16" s="1"/>
  <c r="W265" i="16" s="1"/>
  <c r="P281" i="16"/>
  <c r="V281" i="16" s="1"/>
  <c r="B281" i="16" s="1"/>
  <c r="D281" i="16" s="1"/>
  <c r="E281" i="16" s="1"/>
  <c r="F281" i="16" s="1"/>
  <c r="G281" i="16" s="1"/>
  <c r="BY281" i="6" s="1"/>
  <c r="P301" i="16"/>
  <c r="V301" i="16" s="1"/>
  <c r="B301" i="16" s="1"/>
  <c r="W301" i="16" s="1"/>
  <c r="U93" i="16"/>
  <c r="T93" i="16" s="1"/>
  <c r="S93" i="16" s="1"/>
  <c r="R93" i="16" s="1"/>
  <c r="P325" i="16"/>
  <c r="V325" i="16" s="1"/>
  <c r="B325" i="16" s="1"/>
  <c r="W325" i="16" s="1"/>
  <c r="P213" i="16"/>
  <c r="V213" i="16" s="1"/>
  <c r="B213" i="16" s="1"/>
  <c r="W213" i="16" s="1"/>
  <c r="P149" i="16"/>
  <c r="D48" i="7" s="1"/>
  <c r="U109" i="16"/>
  <c r="T109" i="16" s="1"/>
  <c r="S109" i="16" s="1"/>
  <c r="R109" i="16" s="1"/>
  <c r="U360" i="16"/>
  <c r="T360" i="16" s="1"/>
  <c r="P93" i="16"/>
  <c r="P309" i="16"/>
  <c r="V309" i="16" s="1"/>
  <c r="B309" i="16" s="1"/>
  <c r="W309" i="16" s="1"/>
  <c r="P372" i="16"/>
  <c r="P169" i="16"/>
  <c r="V169" i="16" s="1"/>
  <c r="P257" i="16"/>
  <c r="V257" i="16" s="1"/>
  <c r="B257" i="16" s="1"/>
  <c r="D257" i="16" s="1"/>
  <c r="E257" i="16" s="1"/>
  <c r="F257" i="16" s="1"/>
  <c r="P289" i="16"/>
  <c r="V289" i="16" s="1"/>
  <c r="P369" i="16"/>
  <c r="V369" i="16" s="1"/>
  <c r="B369" i="16" s="1"/>
  <c r="P292" i="16"/>
  <c r="V292" i="16" s="1"/>
  <c r="B292" i="16" s="1"/>
  <c r="P324" i="16"/>
  <c r="V324" i="16" s="1"/>
  <c r="B324" i="16" s="1"/>
  <c r="D324" i="16" s="1"/>
  <c r="E324" i="16" s="1"/>
  <c r="F324" i="16" s="1"/>
  <c r="G324" i="16" s="1"/>
  <c r="BY324" i="6" s="1"/>
  <c r="P261" i="16"/>
  <c r="V261" i="16" s="1"/>
  <c r="B261" i="16" s="1"/>
  <c r="W261" i="16" s="1"/>
  <c r="U264" i="16"/>
  <c r="T264" i="16" s="1"/>
  <c r="S264" i="16" s="1"/>
  <c r="R264" i="16" s="1"/>
  <c r="AD128" i="16"/>
  <c r="AD184" i="16"/>
  <c r="S105" i="16"/>
  <c r="R105" i="16" s="1"/>
  <c r="P105" i="16" s="1"/>
  <c r="V105" i="16" s="1"/>
  <c r="B105" i="16" s="1"/>
  <c r="P134" i="16"/>
  <c r="V134" i="16" s="1"/>
  <c r="B134" i="16" s="1"/>
  <c r="P196" i="16"/>
  <c r="V196" i="16" s="1"/>
  <c r="B196" i="16" s="1"/>
  <c r="D196" i="16" s="1"/>
  <c r="E196" i="16" s="1"/>
  <c r="F196" i="16" s="1"/>
  <c r="G196" i="16" s="1"/>
  <c r="BY196" i="6" s="1"/>
  <c r="P240" i="16"/>
  <c r="V240" i="16" s="1"/>
  <c r="B240" i="16" s="1"/>
  <c r="W240" i="16" s="1"/>
  <c r="P181" i="16"/>
  <c r="V181" i="16" s="1"/>
  <c r="B181" i="16" s="1"/>
  <c r="D181" i="16" s="1"/>
  <c r="E181" i="16" s="1"/>
  <c r="F181" i="16" s="1"/>
  <c r="G181" i="16" s="1"/>
  <c r="BY181" i="6" s="1"/>
  <c r="S340" i="16"/>
  <c r="R340" i="16" s="1"/>
  <c r="P340" i="16" s="1"/>
  <c r="V340" i="16" s="1"/>
  <c r="B340" i="16" s="1"/>
  <c r="S272" i="16"/>
  <c r="R272" i="16" s="1"/>
  <c r="P272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I33" i="16"/>
  <c r="AH33" i="16" s="1"/>
  <c r="AG33" i="16" s="1"/>
  <c r="AF33" i="16" s="1"/>
  <c r="AI37" i="16"/>
  <c r="AH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I57" i="16"/>
  <c r="AH57" i="16" s="1"/>
  <c r="AG57" i="16" s="1"/>
  <c r="AF57" i="16" s="1"/>
  <c r="AI61" i="16"/>
  <c r="AH61" i="16" s="1"/>
  <c r="AI65" i="16"/>
  <c r="AH65" i="16" s="1"/>
  <c r="AG65" i="16" s="1"/>
  <c r="AF65" i="16" s="1"/>
  <c r="AI69" i="16"/>
  <c r="AH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61" i="16"/>
  <c r="AH161" i="16" s="1"/>
  <c r="AG161" i="16" s="1"/>
  <c r="AF161" i="16" s="1"/>
  <c r="AI165" i="16"/>
  <c r="AH165" i="16" s="1"/>
  <c r="AI169" i="16"/>
  <c r="AH169" i="16" s="1"/>
  <c r="AG169" i="16" s="1"/>
  <c r="AF169" i="16" s="1"/>
  <c r="AI173" i="16"/>
  <c r="AH173" i="16" s="1"/>
  <c r="AI177" i="16"/>
  <c r="AH177" i="16" s="1"/>
  <c r="AG177" i="16" s="1"/>
  <c r="AF177" i="16" s="1"/>
  <c r="AI181" i="16"/>
  <c r="AH181" i="16" s="1"/>
  <c r="AG181" i="16" s="1"/>
  <c r="AF181" i="16" s="1"/>
  <c r="AI185" i="16"/>
  <c r="AH185" i="16" s="1"/>
  <c r="AG185" i="16" s="1"/>
  <c r="AF185" i="16" s="1"/>
  <c r="AI189" i="16"/>
  <c r="AH189" i="16" s="1"/>
  <c r="AG189" i="16" s="1"/>
  <c r="AF189" i="16" s="1"/>
  <c r="AI193" i="16"/>
  <c r="AH193" i="16" s="1"/>
  <c r="AG193" i="16" s="1"/>
  <c r="AF193" i="16" s="1"/>
  <c r="AI197" i="16"/>
  <c r="AH197" i="16" s="1"/>
  <c r="AG197" i="16" s="1"/>
  <c r="AF197" i="16" s="1"/>
  <c r="AI201" i="16"/>
  <c r="AH201" i="16" s="1"/>
  <c r="AG201" i="16" s="1"/>
  <c r="AF201" i="16" s="1"/>
  <c r="AI205" i="16"/>
  <c r="AH205" i="16" s="1"/>
  <c r="AI209" i="16"/>
  <c r="AH209" i="16" s="1"/>
  <c r="AG209" i="16" s="1"/>
  <c r="AF209" i="16" s="1"/>
  <c r="AI213" i="16"/>
  <c r="AH213" i="16" s="1"/>
  <c r="AG213" i="16" s="1"/>
  <c r="AF213" i="16" s="1"/>
  <c r="AI217" i="16"/>
  <c r="AH217" i="16" s="1"/>
  <c r="AG217" i="16" s="1"/>
  <c r="AF217" i="16" s="1"/>
  <c r="AI221" i="16"/>
  <c r="AH221" i="16" s="1"/>
  <c r="AG221" i="16" s="1"/>
  <c r="AF221" i="16" s="1"/>
  <c r="AI225" i="16"/>
  <c r="AH225" i="16" s="1"/>
  <c r="AG225" i="16" s="1"/>
  <c r="AF225" i="16" s="1"/>
  <c r="AI229" i="16"/>
  <c r="AH229" i="16" s="1"/>
  <c r="AG229" i="16" s="1"/>
  <c r="AF229" i="16" s="1"/>
  <c r="AI233" i="16"/>
  <c r="AH233" i="16" s="1"/>
  <c r="AG233" i="16" s="1"/>
  <c r="AF233" i="16" s="1"/>
  <c r="AI237" i="16"/>
  <c r="AH237" i="16" s="1"/>
  <c r="AG237" i="16" s="1"/>
  <c r="AF237" i="16" s="1"/>
  <c r="AI241" i="16"/>
  <c r="AH241" i="16" s="1"/>
  <c r="AG241" i="16" s="1"/>
  <c r="AF241" i="16" s="1"/>
  <c r="AI245" i="16"/>
  <c r="AH245" i="16" s="1"/>
  <c r="AG245" i="16" s="1"/>
  <c r="AF245" i="16" s="1"/>
  <c r="AI249" i="16"/>
  <c r="AH249" i="16" s="1"/>
  <c r="AG249" i="16" s="1"/>
  <c r="AF249" i="16" s="1"/>
  <c r="AI253" i="16"/>
  <c r="AH253" i="16" s="1"/>
  <c r="AG253" i="16" s="1"/>
  <c r="AF253" i="16" s="1"/>
  <c r="AI257" i="16"/>
  <c r="AH257" i="16" s="1"/>
  <c r="AG257" i="16" s="1"/>
  <c r="AF257" i="16" s="1"/>
  <c r="AI261" i="16"/>
  <c r="AH261" i="16" s="1"/>
  <c r="AG261" i="16" s="1"/>
  <c r="AF261" i="16" s="1"/>
  <c r="AI265" i="16"/>
  <c r="AH265" i="16" s="1"/>
  <c r="AG265" i="16" s="1"/>
  <c r="AF265" i="16" s="1"/>
  <c r="AI269" i="16"/>
  <c r="AH269" i="16" s="1"/>
  <c r="AG269" i="16" s="1"/>
  <c r="AF269" i="16" s="1"/>
  <c r="AI19" i="16"/>
  <c r="AH19" i="16" s="1"/>
  <c r="AG19" i="16" s="1"/>
  <c r="AF19" i="16" s="1"/>
  <c r="AI27" i="16"/>
  <c r="AH27" i="16" s="1"/>
  <c r="AG27" i="16" s="1"/>
  <c r="AF27" i="16" s="1"/>
  <c r="AI35" i="16"/>
  <c r="AH35" i="16" s="1"/>
  <c r="AG35" i="16" s="1"/>
  <c r="AF35" i="16" s="1"/>
  <c r="AI43" i="16"/>
  <c r="AH43" i="16" s="1"/>
  <c r="AG43" i="16" s="1"/>
  <c r="AF43" i="16" s="1"/>
  <c r="AI51" i="16"/>
  <c r="AH51" i="16" s="1"/>
  <c r="AG51" i="16" s="1"/>
  <c r="AF51" i="16" s="1"/>
  <c r="AI59" i="16"/>
  <c r="AH59" i="16" s="1"/>
  <c r="AG59" i="16" s="1"/>
  <c r="AF59" i="16" s="1"/>
  <c r="AI67" i="16"/>
  <c r="AH67" i="16" s="1"/>
  <c r="AG67" i="16" s="1"/>
  <c r="AF67" i="16" s="1"/>
  <c r="AI75" i="16"/>
  <c r="AH75" i="16" s="1"/>
  <c r="AI83" i="16"/>
  <c r="AH83" i="16" s="1"/>
  <c r="AG83" i="16" s="1"/>
  <c r="AF83" i="16" s="1"/>
  <c r="AD83" i="16" s="1"/>
  <c r="AI91" i="16"/>
  <c r="AH91" i="16" s="1"/>
  <c r="AG91" i="16" s="1"/>
  <c r="AF91" i="16" s="1"/>
  <c r="AD91" i="16" s="1"/>
  <c r="AI99" i="16"/>
  <c r="AH99" i="16" s="1"/>
  <c r="AG99" i="16" s="1"/>
  <c r="AF99" i="16" s="1"/>
  <c r="AI107" i="16"/>
  <c r="AH107" i="16" s="1"/>
  <c r="AG107" i="16" s="1"/>
  <c r="AF107" i="16" s="1"/>
  <c r="AD107" i="16" s="1"/>
  <c r="AI115" i="16"/>
  <c r="AH115" i="16" s="1"/>
  <c r="AG115" i="16" s="1"/>
  <c r="AF115" i="16" s="1"/>
  <c r="AI123" i="16"/>
  <c r="AH123" i="16" s="1"/>
  <c r="AG123" i="16" s="1"/>
  <c r="AF123" i="16" s="1"/>
  <c r="AD123" i="16" s="1"/>
  <c r="AI131" i="16"/>
  <c r="AH131" i="16" s="1"/>
  <c r="AG131" i="16" s="1"/>
  <c r="AF131" i="16" s="1"/>
  <c r="AD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AI195" i="16"/>
  <c r="AH195" i="16" s="1"/>
  <c r="AG195" i="16" s="1"/>
  <c r="AF195" i="16" s="1"/>
  <c r="AI203" i="16"/>
  <c r="AH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I259" i="16"/>
  <c r="AH259" i="16" s="1"/>
  <c r="AG259" i="16" s="1"/>
  <c r="AF259" i="16" s="1"/>
  <c r="AI267" i="16"/>
  <c r="AH267" i="16" s="1"/>
  <c r="AG267" i="16" s="1"/>
  <c r="AF267" i="16" s="1"/>
  <c r="AI273" i="16"/>
  <c r="AH273" i="16" s="1"/>
  <c r="AG273" i="16" s="1"/>
  <c r="AF273" i="16" s="1"/>
  <c r="AI277" i="16"/>
  <c r="AH277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3" i="16"/>
  <c r="AH293" i="16" s="1"/>
  <c r="AG293" i="16" s="1"/>
  <c r="AF293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375" i="16"/>
  <c r="AH375" i="16" s="1"/>
  <c r="AG375" i="16" s="1"/>
  <c r="AF375" i="16" s="1"/>
  <c r="AI377" i="16"/>
  <c r="AH377" i="16" s="1"/>
  <c r="AG377" i="16" s="1"/>
  <c r="AF377" i="16" s="1"/>
  <c r="AI379" i="16"/>
  <c r="U73" i="16"/>
  <c r="T73" i="16" s="1"/>
  <c r="S73" i="16" s="1"/>
  <c r="R73" i="16" s="1"/>
  <c r="U168" i="16"/>
  <c r="T168" i="16" s="1"/>
  <c r="S168" i="16" s="1"/>
  <c r="R168" i="16" s="1"/>
  <c r="U232" i="16"/>
  <c r="T232" i="16" s="1"/>
  <c r="S232" i="16" s="1"/>
  <c r="R232" i="16" s="1"/>
  <c r="U296" i="16"/>
  <c r="T296" i="16" s="1"/>
  <c r="S296" i="16" s="1"/>
  <c r="R296" i="16" s="1"/>
  <c r="U352" i="16"/>
  <c r="T352" i="16" s="1"/>
  <c r="S352" i="16" s="1"/>
  <c r="R352" i="16" s="1"/>
  <c r="AI18" i="16"/>
  <c r="AH18" i="16" s="1"/>
  <c r="AI23" i="16"/>
  <c r="AH23" i="16" s="1"/>
  <c r="AG23" i="16" s="1"/>
  <c r="AF23" i="16" s="1"/>
  <c r="AI31" i="16"/>
  <c r="AH31" i="16" s="1"/>
  <c r="AG31" i="16" s="1"/>
  <c r="AF31" i="16" s="1"/>
  <c r="AI39" i="16"/>
  <c r="AH39" i="16" s="1"/>
  <c r="AG39" i="16" s="1"/>
  <c r="AF39" i="16" s="1"/>
  <c r="AI47" i="16"/>
  <c r="AH47" i="16" s="1"/>
  <c r="AG47" i="16" s="1"/>
  <c r="AF47" i="16" s="1"/>
  <c r="AI55" i="16"/>
  <c r="AH55" i="16" s="1"/>
  <c r="AG55" i="16" s="1"/>
  <c r="AF55" i="16" s="1"/>
  <c r="AI63" i="16"/>
  <c r="AH63" i="16" s="1"/>
  <c r="AI71" i="16"/>
  <c r="AH71" i="16" s="1"/>
  <c r="AG71" i="16" s="1"/>
  <c r="AF71" i="16" s="1"/>
  <c r="AI79" i="16"/>
  <c r="AH79" i="16" s="1"/>
  <c r="AG79" i="16" s="1"/>
  <c r="AF79" i="16" s="1"/>
  <c r="AI87" i="16"/>
  <c r="AH87" i="16" s="1"/>
  <c r="AG87" i="16" s="1"/>
  <c r="AF87" i="16" s="1"/>
  <c r="AI95" i="16"/>
  <c r="AH95" i="16" s="1"/>
  <c r="AI103" i="16"/>
  <c r="AH103" i="16" s="1"/>
  <c r="AG103" i="16" s="1"/>
  <c r="AF103" i="16" s="1"/>
  <c r="AD103" i="16" s="1"/>
  <c r="AI111" i="16"/>
  <c r="AH111" i="16" s="1"/>
  <c r="AG111" i="16" s="1"/>
  <c r="AF111" i="16" s="1"/>
  <c r="AD111" i="16" s="1"/>
  <c r="AI119" i="16"/>
  <c r="AH119" i="16" s="1"/>
  <c r="AG119" i="16" s="1"/>
  <c r="AF119" i="16" s="1"/>
  <c r="AI127" i="16"/>
  <c r="AH127" i="16" s="1"/>
  <c r="AG127" i="16" s="1"/>
  <c r="AF127" i="16" s="1"/>
  <c r="AI135" i="16"/>
  <c r="AH135" i="16" s="1"/>
  <c r="AG135" i="16" s="1"/>
  <c r="AF135" i="16" s="1"/>
  <c r="AD135" i="16" s="1"/>
  <c r="AI143" i="16"/>
  <c r="AH143" i="16" s="1"/>
  <c r="AI151" i="16"/>
  <c r="AH151" i="16" s="1"/>
  <c r="AG151" i="16" s="1"/>
  <c r="AF151" i="16" s="1"/>
  <c r="AD151" i="16" s="1"/>
  <c r="AI159" i="16"/>
  <c r="AH159" i="16" s="1"/>
  <c r="AG159" i="16" s="1"/>
  <c r="AF159" i="16" s="1"/>
  <c r="AD159" i="16" s="1"/>
  <c r="AI167" i="16"/>
  <c r="AH167" i="16" s="1"/>
  <c r="AG167" i="16" s="1"/>
  <c r="AF167" i="16" s="1"/>
  <c r="AI175" i="16"/>
  <c r="AH175" i="16" s="1"/>
  <c r="AG175" i="16" s="1"/>
  <c r="AF175" i="16" s="1"/>
  <c r="AI183" i="16"/>
  <c r="AH183" i="16" s="1"/>
  <c r="AG183" i="16" s="1"/>
  <c r="AF183" i="16" s="1"/>
  <c r="AI191" i="16"/>
  <c r="AH191" i="16" s="1"/>
  <c r="AG191" i="16" s="1"/>
  <c r="AF191" i="16" s="1"/>
  <c r="AI199" i="16"/>
  <c r="AH199" i="16" s="1"/>
  <c r="AG199" i="16" s="1"/>
  <c r="AF199" i="16" s="1"/>
  <c r="AI207" i="16"/>
  <c r="AH207" i="16" s="1"/>
  <c r="AG207" i="16" s="1"/>
  <c r="AF207" i="16" s="1"/>
  <c r="AI215" i="16"/>
  <c r="AH215" i="16" s="1"/>
  <c r="AG215" i="16" s="1"/>
  <c r="AF215" i="16" s="1"/>
  <c r="AI223" i="16"/>
  <c r="AH223" i="16" s="1"/>
  <c r="AI231" i="16"/>
  <c r="AH231" i="16" s="1"/>
  <c r="AG231" i="16" s="1"/>
  <c r="AF231" i="16" s="1"/>
  <c r="AI239" i="16"/>
  <c r="AH239" i="16" s="1"/>
  <c r="AG239" i="16" s="1"/>
  <c r="AF239" i="16" s="1"/>
  <c r="AI247" i="16"/>
  <c r="AH247" i="16" s="1"/>
  <c r="AG247" i="16" s="1"/>
  <c r="AF247" i="16" s="1"/>
  <c r="AI255" i="16"/>
  <c r="AH255" i="16" s="1"/>
  <c r="AG255" i="16" s="1"/>
  <c r="AF255" i="16" s="1"/>
  <c r="AI263" i="16"/>
  <c r="AH263" i="16" s="1"/>
  <c r="AG263" i="16" s="1"/>
  <c r="AF263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3" i="16"/>
  <c r="AH283" i="16" s="1"/>
  <c r="AG283" i="16" s="1"/>
  <c r="AF283" i="16" s="1"/>
  <c r="AI287" i="16"/>
  <c r="AH287" i="16" s="1"/>
  <c r="AI291" i="16"/>
  <c r="AH291" i="16" s="1"/>
  <c r="AG291" i="16" s="1"/>
  <c r="AF291" i="16" s="1"/>
  <c r="AI295" i="16"/>
  <c r="AH295" i="16" s="1"/>
  <c r="AG295" i="16" s="1"/>
  <c r="AF295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6" i="16"/>
  <c r="AH366" i="16" s="1"/>
  <c r="AI370" i="16"/>
  <c r="AH370" i="16" s="1"/>
  <c r="AG370" i="16" s="1"/>
  <c r="AF370" i="16" s="1"/>
  <c r="AI374" i="16"/>
  <c r="AH374" i="16" s="1"/>
  <c r="AG374" i="16" s="1"/>
  <c r="AF374" i="16" s="1"/>
  <c r="AI378" i="16"/>
  <c r="AH378" i="16" s="1"/>
  <c r="AG378" i="16" s="1"/>
  <c r="AF378" i="16" s="1"/>
  <c r="AI364" i="16"/>
  <c r="AH364" i="16" s="1"/>
  <c r="AG364" i="16" s="1"/>
  <c r="AF364" i="16" s="1"/>
  <c r="AI368" i="16"/>
  <c r="AH368" i="16" s="1"/>
  <c r="AG368" i="16" s="1"/>
  <c r="AF368" i="16" s="1"/>
  <c r="AI372" i="16"/>
  <c r="AH372" i="16" s="1"/>
  <c r="AI376" i="16"/>
  <c r="AH376" i="16" s="1"/>
  <c r="AG376" i="16" s="1"/>
  <c r="AF376" i="16" s="1"/>
  <c r="AI380" i="16"/>
  <c r="AH380" i="16" s="1"/>
  <c r="AG380" i="16" s="1"/>
  <c r="AF380" i="16" s="1"/>
  <c r="U152" i="16"/>
  <c r="T152" i="16" s="1"/>
  <c r="S152" i="16" s="1"/>
  <c r="R152" i="16" s="1"/>
  <c r="U216" i="16"/>
  <c r="T216" i="16" s="1"/>
  <c r="S216" i="16" s="1"/>
  <c r="R216" i="16" s="1"/>
  <c r="U280" i="16"/>
  <c r="T280" i="16" s="1"/>
  <c r="S280" i="16" s="1"/>
  <c r="R280" i="16" s="1"/>
  <c r="U344" i="16"/>
  <c r="T344" i="16" s="1"/>
  <c r="U376" i="16"/>
  <c r="T376" i="16" s="1"/>
  <c r="S376" i="16" s="1"/>
  <c r="R376" i="16" s="1"/>
  <c r="P376" i="16" s="1"/>
  <c r="V376" i="16" s="1"/>
  <c r="B376" i="16" s="1"/>
  <c r="U328" i="16"/>
  <c r="T328" i="16" s="1"/>
  <c r="S328" i="16" s="1"/>
  <c r="R328" i="16" s="1"/>
  <c r="P328" i="16" s="1"/>
  <c r="V328" i="16" s="1"/>
  <c r="B328" i="16" s="1"/>
  <c r="U200" i="16"/>
  <c r="T200" i="16" s="1"/>
  <c r="S200" i="16" s="1"/>
  <c r="R200" i="16" s="1"/>
  <c r="U41" i="16"/>
  <c r="T41" i="16" s="1"/>
  <c r="U125" i="16"/>
  <c r="T125" i="16" s="1"/>
  <c r="S125" i="16" s="1"/>
  <c r="R125" i="16" s="1"/>
  <c r="U160" i="16"/>
  <c r="T160" i="16" s="1"/>
  <c r="U192" i="16"/>
  <c r="T192" i="16" s="1"/>
  <c r="S192" i="16" s="1"/>
  <c r="R192" i="16" s="1"/>
  <c r="U224" i="16"/>
  <c r="T224" i="16" s="1"/>
  <c r="S224" i="16" s="1"/>
  <c r="R224" i="16" s="1"/>
  <c r="P224" i="16" s="1"/>
  <c r="V224" i="16" s="1"/>
  <c r="B224" i="16" s="1"/>
  <c r="D224" i="16" s="1"/>
  <c r="E224" i="16" s="1"/>
  <c r="F224" i="16" s="1"/>
  <c r="U256" i="16"/>
  <c r="T256" i="16" s="1"/>
  <c r="S256" i="16" s="1"/>
  <c r="R256" i="16" s="1"/>
  <c r="U288" i="16"/>
  <c r="T288" i="16" s="1"/>
  <c r="S288" i="16" s="1"/>
  <c r="R288" i="16" s="1"/>
  <c r="U320" i="16"/>
  <c r="T320" i="16" s="1"/>
  <c r="S320" i="16" s="1"/>
  <c r="R320" i="16" s="1"/>
  <c r="U348" i="16"/>
  <c r="T348" i="16" s="1"/>
  <c r="U364" i="16"/>
  <c r="T364" i="16" s="1"/>
  <c r="S364" i="16" s="1"/>
  <c r="R364" i="16" s="1"/>
  <c r="P364" i="16" s="1"/>
  <c r="V364" i="16" s="1"/>
  <c r="B364" i="16" s="1"/>
  <c r="U380" i="16"/>
  <c r="T380" i="16" s="1"/>
  <c r="AI17" i="16"/>
  <c r="AH17" i="16" s="1"/>
  <c r="AG17" i="16" s="1"/>
  <c r="AF17" i="16" s="1"/>
  <c r="AI22" i="16"/>
  <c r="AH22" i="16" s="1"/>
  <c r="AG22" i="16" s="1"/>
  <c r="AF22" i="16" s="1"/>
  <c r="AI26" i="16"/>
  <c r="AH26" i="16" s="1"/>
  <c r="AG26" i="16" s="1"/>
  <c r="AF26" i="16" s="1"/>
  <c r="AI30" i="16"/>
  <c r="AH30" i="16" s="1"/>
  <c r="AG30" i="16" s="1"/>
  <c r="AF30" i="16" s="1"/>
  <c r="AI34" i="16"/>
  <c r="AH34" i="16" s="1"/>
  <c r="AG34" i="16" s="1"/>
  <c r="AF34" i="16" s="1"/>
  <c r="AI38" i="16"/>
  <c r="AH38" i="16" s="1"/>
  <c r="AI42" i="16"/>
  <c r="AH42" i="16" s="1"/>
  <c r="AG42" i="16" s="1"/>
  <c r="AF42" i="16" s="1"/>
  <c r="AI46" i="16"/>
  <c r="AH46" i="16" s="1"/>
  <c r="AI50" i="16"/>
  <c r="AH50" i="16" s="1"/>
  <c r="AG50" i="16" s="1"/>
  <c r="AF50" i="16" s="1"/>
  <c r="AI54" i="16"/>
  <c r="AH54" i="16" s="1"/>
  <c r="AG54" i="16" s="1"/>
  <c r="AF54" i="16" s="1"/>
  <c r="AI58" i="16"/>
  <c r="AH58" i="16" s="1"/>
  <c r="AG58" i="16" s="1"/>
  <c r="AF58" i="16" s="1"/>
  <c r="AI62" i="16"/>
  <c r="AH62" i="16" s="1"/>
  <c r="AG62" i="16" s="1"/>
  <c r="AF62" i="16" s="1"/>
  <c r="AI66" i="16"/>
  <c r="AH66" i="16" s="1"/>
  <c r="AG66" i="16" s="1"/>
  <c r="AF66" i="16" s="1"/>
  <c r="AI70" i="16"/>
  <c r="AH70" i="16" s="1"/>
  <c r="AI74" i="16"/>
  <c r="AH74" i="16" s="1"/>
  <c r="AG74" i="16" s="1"/>
  <c r="AF74" i="16" s="1"/>
  <c r="AI78" i="16"/>
  <c r="AH78" i="16" s="1"/>
  <c r="AG78" i="16" s="1"/>
  <c r="AF78" i="16" s="1"/>
  <c r="AI82" i="16"/>
  <c r="AH82" i="16" s="1"/>
  <c r="AG82" i="16" s="1"/>
  <c r="AF82" i="16" s="1"/>
  <c r="AI86" i="16"/>
  <c r="AH86" i="16" s="1"/>
  <c r="AI90" i="16"/>
  <c r="AH90" i="16" s="1"/>
  <c r="AG90" i="16" s="1"/>
  <c r="AF90" i="16" s="1"/>
  <c r="AI94" i="16"/>
  <c r="AH94" i="16" s="1"/>
  <c r="AG94" i="16" s="1"/>
  <c r="AF94" i="16" s="1"/>
  <c r="AI98" i="16"/>
  <c r="AH98" i="16" s="1"/>
  <c r="AG98" i="16" s="1"/>
  <c r="AF98" i="16" s="1"/>
  <c r="AI102" i="16"/>
  <c r="AH102" i="16" s="1"/>
  <c r="AG102" i="16" s="1"/>
  <c r="AF102" i="16" s="1"/>
  <c r="AI106" i="16"/>
  <c r="AH106" i="16" s="1"/>
  <c r="AG106" i="16" s="1"/>
  <c r="AF106" i="16" s="1"/>
  <c r="AI110" i="16"/>
  <c r="AH110" i="16" s="1"/>
  <c r="AG110" i="16" s="1"/>
  <c r="AF110" i="16" s="1"/>
  <c r="AI114" i="16"/>
  <c r="AH114" i="16" s="1"/>
  <c r="AG114" i="16" s="1"/>
  <c r="AF114" i="16" s="1"/>
  <c r="AI118" i="16"/>
  <c r="AH118" i="16" s="1"/>
  <c r="AG118" i="16" s="1"/>
  <c r="AF118" i="16" s="1"/>
  <c r="AI122" i="16"/>
  <c r="AH122" i="16" s="1"/>
  <c r="AG122" i="16" s="1"/>
  <c r="AF122" i="16" s="1"/>
  <c r="AI126" i="16"/>
  <c r="AH126" i="16" s="1"/>
  <c r="AG126" i="16" s="1"/>
  <c r="AF126" i="16" s="1"/>
  <c r="AI130" i="16"/>
  <c r="AH130" i="16" s="1"/>
  <c r="AG130" i="16" s="1"/>
  <c r="AF130" i="16" s="1"/>
  <c r="AI134" i="16"/>
  <c r="AH134" i="16" s="1"/>
  <c r="AI138" i="16"/>
  <c r="AH138" i="16" s="1"/>
  <c r="AG138" i="16" s="1"/>
  <c r="AF138" i="16" s="1"/>
  <c r="AI142" i="16"/>
  <c r="AH142" i="16" s="1"/>
  <c r="AI146" i="16"/>
  <c r="AH146" i="16" s="1"/>
  <c r="AG146" i="16" s="1"/>
  <c r="AF146" i="16" s="1"/>
  <c r="AI150" i="16"/>
  <c r="AH150" i="16" s="1"/>
  <c r="AG150" i="16" s="1"/>
  <c r="AF150" i="16" s="1"/>
  <c r="AI154" i="16"/>
  <c r="AH154" i="16" s="1"/>
  <c r="AG154" i="16" s="1"/>
  <c r="AF154" i="16" s="1"/>
  <c r="AI158" i="16"/>
  <c r="AH158" i="16" s="1"/>
  <c r="AG158" i="16" s="1"/>
  <c r="AF158" i="16" s="1"/>
  <c r="AI162" i="16"/>
  <c r="AH162" i="16" s="1"/>
  <c r="AG162" i="16" s="1"/>
  <c r="AF162" i="16" s="1"/>
  <c r="AI166" i="16"/>
  <c r="AH166" i="16" s="1"/>
  <c r="AG166" i="16" s="1"/>
  <c r="AF166" i="16" s="1"/>
  <c r="AI170" i="16"/>
  <c r="AH170" i="16" s="1"/>
  <c r="AG170" i="16" s="1"/>
  <c r="AF170" i="16" s="1"/>
  <c r="AI174" i="16"/>
  <c r="AH174" i="16" s="1"/>
  <c r="AI178" i="16"/>
  <c r="AH178" i="16" s="1"/>
  <c r="AG178" i="16" s="1"/>
  <c r="AF178" i="16" s="1"/>
  <c r="AI182" i="16"/>
  <c r="AH182" i="16" s="1"/>
  <c r="AG182" i="16" s="1"/>
  <c r="AF182" i="16" s="1"/>
  <c r="AI186" i="16"/>
  <c r="AH186" i="16" s="1"/>
  <c r="AG186" i="16" s="1"/>
  <c r="AF186" i="16" s="1"/>
  <c r="AI190" i="16"/>
  <c r="AH190" i="16" s="1"/>
  <c r="AG190" i="16" s="1"/>
  <c r="AF190" i="16" s="1"/>
  <c r="AI194" i="16"/>
  <c r="AH194" i="16" s="1"/>
  <c r="AG194" i="16" s="1"/>
  <c r="AF194" i="16" s="1"/>
  <c r="AI198" i="16"/>
  <c r="AH198" i="16" s="1"/>
  <c r="AG198" i="16" s="1"/>
  <c r="AF198" i="16" s="1"/>
  <c r="AI202" i="16"/>
  <c r="AH202" i="16" s="1"/>
  <c r="AG202" i="16" s="1"/>
  <c r="AF202" i="16" s="1"/>
  <c r="AI206" i="16"/>
  <c r="AH206" i="16" s="1"/>
  <c r="AG206" i="16" s="1"/>
  <c r="AF206" i="16" s="1"/>
  <c r="AI210" i="16"/>
  <c r="AH210" i="16" s="1"/>
  <c r="AG210" i="16" s="1"/>
  <c r="AF210" i="16" s="1"/>
  <c r="AI214" i="16"/>
  <c r="AH214" i="16" s="1"/>
  <c r="AG214" i="16" s="1"/>
  <c r="AF214" i="16" s="1"/>
  <c r="AI218" i="16"/>
  <c r="AH218" i="16" s="1"/>
  <c r="AG218" i="16" s="1"/>
  <c r="AF218" i="16" s="1"/>
  <c r="AI222" i="16"/>
  <c r="AH222" i="16" s="1"/>
  <c r="AG222" i="16" s="1"/>
  <c r="AF222" i="16" s="1"/>
  <c r="AI226" i="16"/>
  <c r="AH226" i="16" s="1"/>
  <c r="AG226" i="16" s="1"/>
  <c r="AF226" i="16" s="1"/>
  <c r="AI230" i="16"/>
  <c r="AH230" i="16" s="1"/>
  <c r="AG230" i="16" s="1"/>
  <c r="AF230" i="16" s="1"/>
  <c r="AI234" i="16"/>
  <c r="AH234" i="16" s="1"/>
  <c r="AG234" i="16" s="1"/>
  <c r="AF234" i="16" s="1"/>
  <c r="AI238" i="16"/>
  <c r="AH238" i="16" s="1"/>
  <c r="AG238" i="16" s="1"/>
  <c r="AF238" i="16" s="1"/>
  <c r="AI242" i="16"/>
  <c r="AH242" i="16" s="1"/>
  <c r="AG242" i="16" s="1"/>
  <c r="AF242" i="16" s="1"/>
  <c r="AI246" i="16"/>
  <c r="AH246" i="16" s="1"/>
  <c r="AG246" i="16" s="1"/>
  <c r="AF246" i="16" s="1"/>
  <c r="AI250" i="16"/>
  <c r="AH250" i="16" s="1"/>
  <c r="AG250" i="16" s="1"/>
  <c r="AF250" i="16" s="1"/>
  <c r="AI254" i="16"/>
  <c r="AH254" i="16" s="1"/>
  <c r="AG254" i="16" s="1"/>
  <c r="AF254" i="16" s="1"/>
  <c r="AI258" i="16"/>
  <c r="AH258" i="16" s="1"/>
  <c r="AG258" i="16" s="1"/>
  <c r="AF258" i="16" s="1"/>
  <c r="AI262" i="16"/>
  <c r="AH262" i="16" s="1"/>
  <c r="AG262" i="16" s="1"/>
  <c r="AF262" i="16" s="1"/>
  <c r="AI266" i="16"/>
  <c r="AH266" i="16" s="1"/>
  <c r="AG266" i="16" s="1"/>
  <c r="AF266" i="16" s="1"/>
  <c r="AI270" i="16"/>
  <c r="AH270" i="16" s="1"/>
  <c r="AG270" i="16" s="1"/>
  <c r="AF270" i="16" s="1"/>
  <c r="AI274" i="16"/>
  <c r="AH274" i="16" s="1"/>
  <c r="AG274" i="16" s="1"/>
  <c r="AF274" i="16" s="1"/>
  <c r="AI278" i="16"/>
  <c r="AH278" i="16" s="1"/>
  <c r="AI282" i="16"/>
  <c r="AH282" i="16" s="1"/>
  <c r="AG282" i="16" s="1"/>
  <c r="AF282" i="16" s="1"/>
  <c r="AI286" i="16"/>
  <c r="AH286" i="16" s="1"/>
  <c r="AG286" i="16" s="1"/>
  <c r="AF286" i="16" s="1"/>
  <c r="AI290" i="16"/>
  <c r="AH290" i="16" s="1"/>
  <c r="AG290" i="16" s="1"/>
  <c r="AF290" i="16" s="1"/>
  <c r="AI294" i="16"/>
  <c r="AH294" i="16" s="1"/>
  <c r="AG294" i="16" s="1"/>
  <c r="AF294" i="16" s="1"/>
  <c r="U18" i="16"/>
  <c r="T18" i="16" s="1"/>
  <c r="S18" i="16" s="1"/>
  <c r="R18" i="16" s="1"/>
  <c r="U49" i="16"/>
  <c r="T49" i="16" s="1"/>
  <c r="S49" i="16" s="1"/>
  <c r="R49" i="16" s="1"/>
  <c r="U81" i="16"/>
  <c r="T81" i="16" s="1"/>
  <c r="S81" i="16" s="1"/>
  <c r="R81" i="16" s="1"/>
  <c r="U97" i="16"/>
  <c r="T97" i="16" s="1"/>
  <c r="S97" i="16" s="1"/>
  <c r="R97" i="16" s="1"/>
  <c r="U113" i="16"/>
  <c r="T113" i="16" s="1"/>
  <c r="S113" i="16" s="1"/>
  <c r="R113" i="16" s="1"/>
  <c r="U129" i="16"/>
  <c r="T129" i="16" s="1"/>
  <c r="S129" i="16" s="1"/>
  <c r="R129" i="16" s="1"/>
  <c r="U138" i="16"/>
  <c r="T138" i="16" s="1"/>
  <c r="S138" i="16" s="1"/>
  <c r="R138" i="16" s="1"/>
  <c r="U146" i="16"/>
  <c r="T146" i="16" s="1"/>
  <c r="S146" i="16" s="1"/>
  <c r="R146" i="16" s="1"/>
  <c r="U154" i="16"/>
  <c r="T154" i="16" s="1"/>
  <c r="S154" i="16" s="1"/>
  <c r="R154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P178" i="16" s="1"/>
  <c r="V178" i="16" s="1"/>
  <c r="U186" i="16"/>
  <c r="T186" i="16" s="1"/>
  <c r="S186" i="16" s="1"/>
  <c r="R186" i="16" s="1"/>
  <c r="U194" i="16"/>
  <c r="T194" i="16" s="1"/>
  <c r="S194" i="16" s="1"/>
  <c r="R194" i="16" s="1"/>
  <c r="U202" i="16"/>
  <c r="T202" i="16" s="1"/>
  <c r="S202" i="16" s="1"/>
  <c r="R202" i="16" s="1"/>
  <c r="U210" i="16"/>
  <c r="T210" i="16" s="1"/>
  <c r="U218" i="16"/>
  <c r="T218" i="16" s="1"/>
  <c r="S218" i="16" s="1"/>
  <c r="R218" i="16" s="1"/>
  <c r="U226" i="16"/>
  <c r="T226" i="16" s="1"/>
  <c r="U234" i="16"/>
  <c r="T234" i="16" s="1"/>
  <c r="S234" i="16" s="1"/>
  <c r="R234" i="16" s="1"/>
  <c r="U242" i="16"/>
  <c r="T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U274" i="16"/>
  <c r="T274" i="16" s="1"/>
  <c r="S274" i="16" s="1"/>
  <c r="R274" i="16" s="1"/>
  <c r="P274" i="16" s="1"/>
  <c r="V274" i="16" s="1"/>
  <c r="U282" i="16"/>
  <c r="T282" i="16" s="1"/>
  <c r="S282" i="16" s="1"/>
  <c r="R282" i="16" s="1"/>
  <c r="U290" i="16"/>
  <c r="T290" i="16" s="1"/>
  <c r="U298" i="16"/>
  <c r="T298" i="16" s="1"/>
  <c r="S298" i="16" s="1"/>
  <c r="R298" i="16" s="1"/>
  <c r="U306" i="16"/>
  <c r="T306" i="16" s="1"/>
  <c r="U314" i="16"/>
  <c r="T314" i="16" s="1"/>
  <c r="S314" i="16" s="1"/>
  <c r="R314" i="16" s="1"/>
  <c r="U322" i="16"/>
  <c r="T322" i="16" s="1"/>
  <c r="S322" i="16" s="1"/>
  <c r="R322" i="16" s="1"/>
  <c r="P322" i="16" s="1"/>
  <c r="U330" i="16"/>
  <c r="T330" i="16" s="1"/>
  <c r="S330" i="16" s="1"/>
  <c r="R330" i="16" s="1"/>
  <c r="U338" i="16"/>
  <c r="T338" i="16" s="1"/>
  <c r="U378" i="16"/>
  <c r="T378" i="16" s="1"/>
  <c r="S378" i="16" s="1"/>
  <c r="R378" i="16" s="1"/>
  <c r="U370" i="16"/>
  <c r="T370" i="16" s="1"/>
  <c r="S370" i="16" s="1"/>
  <c r="R370" i="16" s="1"/>
  <c r="U362" i="16"/>
  <c r="T362" i="16" s="1"/>
  <c r="S362" i="16" s="1"/>
  <c r="R362" i="16" s="1"/>
  <c r="U354" i="16"/>
  <c r="T354" i="16" s="1"/>
  <c r="S354" i="16" s="1"/>
  <c r="R354" i="16" s="1"/>
  <c r="U346" i="16"/>
  <c r="T346" i="16" s="1"/>
  <c r="S346" i="16" s="1"/>
  <c r="R346" i="16" s="1"/>
  <c r="U332" i="16"/>
  <c r="T332" i="16" s="1"/>
  <c r="U316" i="16"/>
  <c r="T316" i="16" s="1"/>
  <c r="S316" i="16" s="1"/>
  <c r="R316" i="16" s="1"/>
  <c r="U300" i="16"/>
  <c r="T300" i="16" s="1"/>
  <c r="S300" i="16" s="1"/>
  <c r="R300" i="16" s="1"/>
  <c r="P300" i="16" s="1"/>
  <c r="V300" i="16" s="1"/>
  <c r="B300" i="16" s="1"/>
  <c r="D300" i="16" s="1"/>
  <c r="E300" i="16" s="1"/>
  <c r="F300" i="16" s="1"/>
  <c r="G300" i="16" s="1"/>
  <c r="BY300" i="6" s="1"/>
  <c r="U284" i="16"/>
  <c r="T284" i="16" s="1"/>
  <c r="S284" i="16" s="1"/>
  <c r="R284" i="16" s="1"/>
  <c r="U268" i="16"/>
  <c r="T268" i="16" s="1"/>
  <c r="U252" i="16"/>
  <c r="T252" i="16" s="1"/>
  <c r="S252" i="16" s="1"/>
  <c r="R252" i="16" s="1"/>
  <c r="U236" i="16"/>
  <c r="T236" i="16" s="1"/>
  <c r="U220" i="16"/>
  <c r="T220" i="16" s="1"/>
  <c r="S220" i="16" s="1"/>
  <c r="R220" i="16" s="1"/>
  <c r="U204" i="16"/>
  <c r="T204" i="16" s="1"/>
  <c r="S204" i="16" s="1"/>
  <c r="R204" i="16" s="1"/>
  <c r="U188" i="16"/>
  <c r="T188" i="16" s="1"/>
  <c r="S188" i="16" s="1"/>
  <c r="R188" i="16" s="1"/>
  <c r="U172" i="16"/>
  <c r="T172" i="16" s="1"/>
  <c r="U156" i="16"/>
  <c r="T156" i="16" s="1"/>
  <c r="S156" i="16" s="1"/>
  <c r="R156" i="16" s="1"/>
  <c r="U140" i="16"/>
  <c r="T140" i="16" s="1"/>
  <c r="S140" i="16" s="1"/>
  <c r="R140" i="16" s="1"/>
  <c r="U117" i="16"/>
  <c r="T117" i="16" s="1"/>
  <c r="S117" i="16" s="1"/>
  <c r="R117" i="16" s="1"/>
  <c r="U85" i="16"/>
  <c r="T85" i="16" s="1"/>
  <c r="S85" i="16" s="1"/>
  <c r="R85" i="16" s="1"/>
  <c r="U25" i="16"/>
  <c r="T25" i="16" s="1"/>
  <c r="S25" i="16" s="1"/>
  <c r="R25" i="16" s="1"/>
  <c r="Q16" i="7"/>
  <c r="U16" i="16"/>
  <c r="U22" i="16"/>
  <c r="T22" i="16" s="1"/>
  <c r="S22" i="16" s="1"/>
  <c r="R22" i="16" s="1"/>
  <c r="U26" i="16"/>
  <c r="T26" i="16" s="1"/>
  <c r="S26" i="16" s="1"/>
  <c r="R26" i="16" s="1"/>
  <c r="U30" i="16"/>
  <c r="T30" i="16" s="1"/>
  <c r="S30" i="16" s="1"/>
  <c r="R30" i="16" s="1"/>
  <c r="U34" i="16"/>
  <c r="T34" i="16" s="1"/>
  <c r="S34" i="16" s="1"/>
  <c r="R34" i="16" s="1"/>
  <c r="U38" i="16"/>
  <c r="T38" i="16" s="1"/>
  <c r="U42" i="16"/>
  <c r="T42" i="16" s="1"/>
  <c r="S42" i="16" s="1"/>
  <c r="R42" i="16" s="1"/>
  <c r="U46" i="16"/>
  <c r="T46" i="16" s="1"/>
  <c r="S46" i="16" s="1"/>
  <c r="R46" i="16" s="1"/>
  <c r="U50" i="16"/>
  <c r="T50" i="16" s="1"/>
  <c r="S50" i="16" s="1"/>
  <c r="R50" i="16" s="1"/>
  <c r="U54" i="16"/>
  <c r="T54" i="16" s="1"/>
  <c r="S54" i="16" s="1"/>
  <c r="R54" i="16" s="1"/>
  <c r="U58" i="16"/>
  <c r="T58" i="16" s="1"/>
  <c r="S58" i="16" s="1"/>
  <c r="R58" i="16" s="1"/>
  <c r="U62" i="16"/>
  <c r="T62" i="16" s="1"/>
  <c r="S62" i="16" s="1"/>
  <c r="R62" i="16" s="1"/>
  <c r="U66" i="16"/>
  <c r="T66" i="16" s="1"/>
  <c r="S66" i="16" s="1"/>
  <c r="R66" i="16" s="1"/>
  <c r="U70" i="16"/>
  <c r="T70" i="16" s="1"/>
  <c r="U74" i="16"/>
  <c r="T74" i="16" s="1"/>
  <c r="S74" i="16" s="1"/>
  <c r="R74" i="16" s="1"/>
  <c r="U78" i="16"/>
  <c r="T78" i="16" s="1"/>
  <c r="S78" i="16" s="1"/>
  <c r="R78" i="16" s="1"/>
  <c r="U82" i="16"/>
  <c r="T82" i="16" s="1"/>
  <c r="S82" i="16" s="1"/>
  <c r="R82" i="16" s="1"/>
  <c r="U86" i="16"/>
  <c r="T86" i="16" s="1"/>
  <c r="S86" i="16" s="1"/>
  <c r="R86" i="16" s="1"/>
  <c r="U90" i="16"/>
  <c r="T90" i="16" s="1"/>
  <c r="S90" i="16" s="1"/>
  <c r="R90" i="16" s="1"/>
  <c r="U94" i="16"/>
  <c r="T94" i="16" s="1"/>
  <c r="S94" i="16" s="1"/>
  <c r="R94" i="16" s="1"/>
  <c r="U98" i="16"/>
  <c r="T98" i="16" s="1"/>
  <c r="S98" i="16" s="1"/>
  <c r="R98" i="16" s="1"/>
  <c r="P98" i="16" s="1"/>
  <c r="V98" i="16" s="1"/>
  <c r="B98" i="16" s="1"/>
  <c r="D98" i="16" s="1"/>
  <c r="E98" i="16" s="1"/>
  <c r="F98" i="16" s="1"/>
  <c r="G98" i="16" s="1"/>
  <c r="BY98" i="6" s="1"/>
  <c r="U102" i="16"/>
  <c r="T102" i="16" s="1"/>
  <c r="S102" i="16" s="1"/>
  <c r="R102" i="16" s="1"/>
  <c r="U106" i="16"/>
  <c r="T106" i="16" s="1"/>
  <c r="S106" i="16" s="1"/>
  <c r="R106" i="16" s="1"/>
  <c r="U110" i="16"/>
  <c r="T110" i="16" s="1"/>
  <c r="S110" i="16" s="1"/>
  <c r="R110" i="16" s="1"/>
  <c r="U114" i="16"/>
  <c r="T114" i="16" s="1"/>
  <c r="S114" i="16" s="1"/>
  <c r="R114" i="16" s="1"/>
  <c r="U118" i="16"/>
  <c r="T118" i="16" s="1"/>
  <c r="S118" i="16" s="1"/>
  <c r="R118" i="16" s="1"/>
  <c r="P118" i="16" s="1"/>
  <c r="V118" i="16" s="1"/>
  <c r="U122" i="16"/>
  <c r="T122" i="16" s="1"/>
  <c r="S122" i="16" s="1"/>
  <c r="R122" i="16" s="1"/>
  <c r="U126" i="16"/>
  <c r="T126" i="16" s="1"/>
  <c r="S126" i="16" s="1"/>
  <c r="R126" i="16" s="1"/>
  <c r="U130" i="16"/>
  <c r="T130" i="16" s="1"/>
  <c r="S130" i="16" s="1"/>
  <c r="R130" i="16" s="1"/>
  <c r="U19" i="16"/>
  <c r="T19" i="16" s="1"/>
  <c r="S19" i="16" s="1"/>
  <c r="R19" i="16" s="1"/>
  <c r="U27" i="16"/>
  <c r="T27" i="16" s="1"/>
  <c r="S27" i="16" s="1"/>
  <c r="R27" i="16" s="1"/>
  <c r="U35" i="16"/>
  <c r="T35" i="16" s="1"/>
  <c r="S35" i="16" s="1"/>
  <c r="R35" i="16" s="1"/>
  <c r="U43" i="16"/>
  <c r="T43" i="16" s="1"/>
  <c r="S43" i="16" s="1"/>
  <c r="R43" i="16" s="1"/>
  <c r="U51" i="16"/>
  <c r="T51" i="16" s="1"/>
  <c r="S51" i="16" s="1"/>
  <c r="R51" i="16" s="1"/>
  <c r="U59" i="16"/>
  <c r="T59" i="16" s="1"/>
  <c r="S59" i="16" s="1"/>
  <c r="R59" i="16" s="1"/>
  <c r="P59" i="16" s="1"/>
  <c r="V59" i="16" s="1"/>
  <c r="B59" i="16" s="1"/>
  <c r="U67" i="16"/>
  <c r="T67" i="16" s="1"/>
  <c r="S67" i="16" s="1"/>
  <c r="R67" i="16" s="1"/>
  <c r="U75" i="16"/>
  <c r="T75" i="16" s="1"/>
  <c r="S75" i="16" s="1"/>
  <c r="R75" i="16" s="1"/>
  <c r="U83" i="16"/>
  <c r="T83" i="16" s="1"/>
  <c r="S83" i="16" s="1"/>
  <c r="R83" i="16" s="1"/>
  <c r="U91" i="16"/>
  <c r="T91" i="16" s="1"/>
  <c r="S91" i="16" s="1"/>
  <c r="R91" i="16" s="1"/>
  <c r="U99" i="16"/>
  <c r="T99" i="16" s="1"/>
  <c r="S99" i="16" s="1"/>
  <c r="R99" i="16" s="1"/>
  <c r="U107" i="16"/>
  <c r="T107" i="16" s="1"/>
  <c r="S107" i="16" s="1"/>
  <c r="R107" i="16" s="1"/>
  <c r="U115" i="16"/>
  <c r="T115" i="16" s="1"/>
  <c r="S115" i="16" s="1"/>
  <c r="R115" i="16" s="1"/>
  <c r="U123" i="16"/>
  <c r="T123" i="16" s="1"/>
  <c r="S123" i="16" s="1"/>
  <c r="R123" i="16" s="1"/>
  <c r="U131" i="16"/>
  <c r="T131" i="16" s="1"/>
  <c r="S131" i="16" s="1"/>
  <c r="R131" i="16" s="1"/>
  <c r="U135" i="16"/>
  <c r="T135" i="16" s="1"/>
  <c r="S135" i="16" s="1"/>
  <c r="R135" i="16" s="1"/>
  <c r="U139" i="16"/>
  <c r="T139" i="16" s="1"/>
  <c r="S139" i="16" s="1"/>
  <c r="R139" i="16" s="1"/>
  <c r="U143" i="16"/>
  <c r="T143" i="16" s="1"/>
  <c r="S143" i="16" s="1"/>
  <c r="R143" i="16" s="1"/>
  <c r="U147" i="16"/>
  <c r="T147" i="16" s="1"/>
  <c r="S147" i="16" s="1"/>
  <c r="R147" i="16" s="1"/>
  <c r="U151" i="16"/>
  <c r="T151" i="16" s="1"/>
  <c r="S151" i="16" s="1"/>
  <c r="R151" i="16" s="1"/>
  <c r="U155" i="16"/>
  <c r="T155" i="16" s="1"/>
  <c r="S155" i="16" s="1"/>
  <c r="R155" i="16" s="1"/>
  <c r="U159" i="16"/>
  <c r="T159" i="16" s="1"/>
  <c r="S159" i="16" s="1"/>
  <c r="R159" i="16" s="1"/>
  <c r="U163" i="16"/>
  <c r="T163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P199" i="16" s="1"/>
  <c r="V199" i="16" s="1"/>
  <c r="U203" i="16"/>
  <c r="T203" i="16" s="1"/>
  <c r="U207" i="16"/>
  <c r="T207" i="16" s="1"/>
  <c r="S207" i="16" s="1"/>
  <c r="R207" i="16" s="1"/>
  <c r="U211" i="16"/>
  <c r="T211" i="16" s="1"/>
  <c r="S211" i="16" s="1"/>
  <c r="R211" i="16" s="1"/>
  <c r="U215" i="16"/>
  <c r="T215" i="16" s="1"/>
  <c r="S215" i="16" s="1"/>
  <c r="R215" i="16" s="1"/>
  <c r="U219" i="16"/>
  <c r="T219" i="16" s="1"/>
  <c r="S219" i="16" s="1"/>
  <c r="R219" i="16" s="1"/>
  <c r="P219" i="16" s="1"/>
  <c r="V219" i="16" s="1"/>
  <c r="B219" i="16" s="1"/>
  <c r="U223" i="16"/>
  <c r="T223" i="16" s="1"/>
  <c r="S223" i="16" s="1"/>
  <c r="R223" i="16" s="1"/>
  <c r="U227" i="16"/>
  <c r="T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U243" i="16"/>
  <c r="T243" i="16" s="1"/>
  <c r="S243" i="16" s="1"/>
  <c r="R243" i="16" s="1"/>
  <c r="P243" i="16" s="1"/>
  <c r="V243" i="16" s="1"/>
  <c r="B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P271" i="16" s="1"/>
  <c r="V271" i="16" s="1"/>
  <c r="B271" i="16" s="1"/>
  <c r="U275" i="16"/>
  <c r="T275" i="16" s="1"/>
  <c r="S275" i="16" s="1"/>
  <c r="R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S299" i="16" s="1"/>
  <c r="R299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P315" i="16" s="1"/>
  <c r="V315" i="16" s="1"/>
  <c r="B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S347" i="16" s="1"/>
  <c r="R347" i="16" s="1"/>
  <c r="P347" i="16" s="1"/>
  <c r="V347" i="16" s="1"/>
  <c r="B347" i="16" s="1"/>
  <c r="U351" i="16"/>
  <c r="T351" i="16" s="1"/>
  <c r="S351" i="16" s="1"/>
  <c r="R351" i="16" s="1"/>
  <c r="U355" i="16"/>
  <c r="T355" i="16" s="1"/>
  <c r="U359" i="16"/>
  <c r="T359" i="16" s="1"/>
  <c r="S359" i="16" s="1"/>
  <c r="R359" i="16" s="1"/>
  <c r="P359" i="16" s="1"/>
  <c r="V359" i="16" s="1"/>
  <c r="B359" i="16" s="1"/>
  <c r="U363" i="16"/>
  <c r="T363" i="16" s="1"/>
  <c r="S363" i="16" s="1"/>
  <c r="R363" i="16" s="1"/>
  <c r="U367" i="16"/>
  <c r="T367" i="16" s="1"/>
  <c r="S367" i="16" s="1"/>
  <c r="R367" i="16" s="1"/>
  <c r="U371" i="16"/>
  <c r="T371" i="16" s="1"/>
  <c r="S371" i="16" s="1"/>
  <c r="R371" i="16" s="1"/>
  <c r="P371" i="16" s="1"/>
  <c r="V371" i="16" s="1"/>
  <c r="B371" i="16" s="1"/>
  <c r="W371" i="16" s="1"/>
  <c r="U375" i="16"/>
  <c r="T375" i="16" s="1"/>
  <c r="S375" i="16" s="1"/>
  <c r="R375" i="16" s="1"/>
  <c r="P375" i="16" s="1"/>
  <c r="V375" i="16" s="1"/>
  <c r="B375" i="16" s="1"/>
  <c r="W375" i="16" s="1"/>
  <c r="U379" i="16"/>
  <c r="U77" i="16"/>
  <c r="T77" i="16" s="1"/>
  <c r="S77" i="16" s="1"/>
  <c r="R77" i="16" s="1"/>
  <c r="U61" i="16"/>
  <c r="T61" i="16" s="1"/>
  <c r="S61" i="16" s="1"/>
  <c r="R61" i="16" s="1"/>
  <c r="U45" i="16"/>
  <c r="T45" i="16" s="1"/>
  <c r="S45" i="16" s="1"/>
  <c r="R45" i="16" s="1"/>
  <c r="U29" i="16"/>
  <c r="T29" i="16" s="1"/>
  <c r="S29" i="16" s="1"/>
  <c r="R29" i="16" s="1"/>
  <c r="U136" i="16"/>
  <c r="T136" i="16" s="1"/>
  <c r="S136" i="16" s="1"/>
  <c r="R136" i="16" s="1"/>
  <c r="U368" i="16"/>
  <c r="T368" i="16" s="1"/>
  <c r="S368" i="16" s="1"/>
  <c r="R368" i="16" s="1"/>
  <c r="U312" i="16"/>
  <c r="T312" i="16" s="1"/>
  <c r="S312" i="16" s="1"/>
  <c r="R312" i="16" s="1"/>
  <c r="U184" i="16"/>
  <c r="T184" i="16" s="1"/>
  <c r="S184" i="16" s="1"/>
  <c r="R184" i="16" s="1"/>
  <c r="P164" i="16"/>
  <c r="V164" i="16" s="1"/>
  <c r="B164" i="16" s="1"/>
  <c r="P148" i="16"/>
  <c r="V148" i="16" s="1"/>
  <c r="B148" i="16" s="1"/>
  <c r="P144" i="16"/>
  <c r="V144" i="16" s="1"/>
  <c r="B144" i="16" s="1"/>
  <c r="P128" i="16"/>
  <c r="V128" i="16" s="1"/>
  <c r="B128" i="16" s="1"/>
  <c r="P120" i="16"/>
  <c r="V120" i="16" s="1"/>
  <c r="B120" i="16" s="1"/>
  <c r="P116" i="16"/>
  <c r="V116" i="16" s="1"/>
  <c r="B116" i="16" s="1"/>
  <c r="P100" i="16"/>
  <c r="V100" i="16" s="1"/>
  <c r="B100" i="16" s="1"/>
  <c r="P80" i="16"/>
  <c r="V80" i="16" s="1"/>
  <c r="B80" i="16" s="1"/>
  <c r="P39" i="16"/>
  <c r="V39" i="16" s="1"/>
  <c r="B39" i="16" s="1"/>
  <c r="P55" i="16"/>
  <c r="V55" i="16" s="1"/>
  <c r="B55" i="16" s="1"/>
  <c r="P99" i="16"/>
  <c r="V99" i="16" s="1"/>
  <c r="B99" i="16" s="1"/>
  <c r="P190" i="16"/>
  <c r="V190" i="16" s="1"/>
  <c r="B190" i="16" s="1"/>
  <c r="P214" i="16"/>
  <c r="V214" i="16" s="1"/>
  <c r="B214" i="16" s="1"/>
  <c r="P246" i="16"/>
  <c r="V246" i="16" s="1"/>
  <c r="B246" i="16" s="1"/>
  <c r="P133" i="16"/>
  <c r="V133" i="16" s="1"/>
  <c r="B133" i="16" s="1"/>
  <c r="D133" i="16" s="1"/>
  <c r="E133" i="16" s="1"/>
  <c r="F133" i="16" s="1"/>
  <c r="G133" i="16" s="1"/>
  <c r="BY133" i="6" s="1"/>
  <c r="P165" i="16"/>
  <c r="V165" i="16" s="1"/>
  <c r="B165" i="16" s="1"/>
  <c r="W165" i="16" s="1"/>
  <c r="P137" i="16"/>
  <c r="V137" i="16" s="1"/>
  <c r="B137" i="16" s="1"/>
  <c r="P193" i="16"/>
  <c r="V193" i="16" s="1"/>
  <c r="B193" i="16" s="1"/>
  <c r="W193" i="16" s="1"/>
  <c r="P209" i="16"/>
  <c r="V209" i="16" s="1"/>
  <c r="B209" i="16" s="1"/>
  <c r="P225" i="16"/>
  <c r="V225" i="16" s="1"/>
  <c r="B225" i="16" s="1"/>
  <c r="D225" i="16" s="1"/>
  <c r="E225" i="16" s="1"/>
  <c r="F225" i="16" s="1"/>
  <c r="G225" i="16" s="1"/>
  <c r="BY225" i="6" s="1"/>
  <c r="P145" i="16"/>
  <c r="V145" i="16" s="1"/>
  <c r="B145" i="16" s="1"/>
  <c r="D145" i="16" s="1"/>
  <c r="E145" i="16" s="1"/>
  <c r="F145" i="16" s="1"/>
  <c r="G145" i="16" s="1"/>
  <c r="BY145" i="6" s="1"/>
  <c r="P229" i="16"/>
  <c r="V229" i="16" s="1"/>
  <c r="B229" i="16" s="1"/>
  <c r="D229" i="16" s="1"/>
  <c r="E229" i="16" s="1"/>
  <c r="F229" i="16" s="1"/>
  <c r="G229" i="16" s="1"/>
  <c r="BY229" i="6" s="1"/>
  <c r="P245" i="16"/>
  <c r="V245" i="16" s="1"/>
  <c r="B245" i="16" s="1"/>
  <c r="D245" i="16" s="1"/>
  <c r="E245" i="16" s="1"/>
  <c r="F245" i="16" s="1"/>
  <c r="G245" i="16" s="1"/>
  <c r="BY245" i="6" s="1"/>
  <c r="P329" i="16"/>
  <c r="V329" i="16" s="1"/>
  <c r="B329" i="16" s="1"/>
  <c r="D329" i="16" s="1"/>
  <c r="E329" i="16" s="1"/>
  <c r="F329" i="16" s="1"/>
  <c r="G329" i="16" s="1"/>
  <c r="BY329" i="6" s="1"/>
  <c r="P273" i="16"/>
  <c r="V273" i="16" s="1"/>
  <c r="B273" i="16" s="1"/>
  <c r="D273" i="16" s="1"/>
  <c r="E273" i="16" s="1"/>
  <c r="F273" i="16" s="1"/>
  <c r="G273" i="16" s="1"/>
  <c r="BY273" i="6" s="1"/>
  <c r="P345" i="16"/>
  <c r="V345" i="16" s="1"/>
  <c r="B345" i="16" s="1"/>
  <c r="D345" i="16" s="1"/>
  <c r="E345" i="16" s="1"/>
  <c r="F345" i="16" s="1"/>
  <c r="G345" i="16" s="1"/>
  <c r="BY345" i="6" s="1"/>
  <c r="P353" i="16"/>
  <c r="V353" i="16" s="1"/>
  <c r="B353" i="16" s="1"/>
  <c r="W353" i="16" s="1"/>
  <c r="P357" i="16"/>
  <c r="V357" i="16" s="1"/>
  <c r="B357" i="16" s="1"/>
  <c r="P189" i="16"/>
  <c r="V189" i="16" s="1"/>
  <c r="B189" i="16" s="1"/>
  <c r="D189" i="16" s="1"/>
  <c r="E189" i="16" s="1"/>
  <c r="F189" i="16" s="1"/>
  <c r="G189" i="16" s="1"/>
  <c r="BY189" i="6" s="1"/>
  <c r="P277" i="16"/>
  <c r="V277" i="16" s="1"/>
  <c r="B277" i="16" s="1"/>
  <c r="D277" i="16" s="1"/>
  <c r="E277" i="16" s="1"/>
  <c r="F277" i="16" s="1"/>
  <c r="G277" i="16" s="1"/>
  <c r="BY277" i="6" s="1"/>
  <c r="P334" i="16"/>
  <c r="V334" i="16" s="1"/>
  <c r="B334" i="16" s="1"/>
  <c r="D334" i="16" s="1"/>
  <c r="E334" i="16" s="1"/>
  <c r="F334" i="16" s="1"/>
  <c r="P350" i="16"/>
  <c r="V350" i="16" s="1"/>
  <c r="B350" i="16" s="1"/>
  <c r="D350" i="16" s="1"/>
  <c r="E350" i="16" s="1"/>
  <c r="F350" i="16" s="1"/>
  <c r="P366" i="16"/>
  <c r="V366" i="16" s="1"/>
  <c r="B366" i="16" s="1"/>
  <c r="D366" i="16" s="1"/>
  <c r="E366" i="16" s="1"/>
  <c r="F366" i="16" s="1"/>
  <c r="P373" i="16"/>
  <c r="V373" i="16" s="1"/>
  <c r="B373" i="16" s="1"/>
  <c r="D373" i="16" s="1"/>
  <c r="E373" i="16" s="1"/>
  <c r="F373" i="16" s="1"/>
  <c r="G373" i="16" s="1"/>
  <c r="BY373" i="6" s="1"/>
  <c r="AD22" i="16"/>
  <c r="AD78" i="16"/>
  <c r="AD150" i="16"/>
  <c r="AD194" i="16"/>
  <c r="AD202" i="16"/>
  <c r="AD226" i="16"/>
  <c r="AD234" i="16"/>
  <c r="AD294" i="16"/>
  <c r="P66" i="16"/>
  <c r="V66" i="16" s="1"/>
  <c r="B66" i="16" s="1"/>
  <c r="P310" i="16"/>
  <c r="P318" i="16"/>
  <c r="V318" i="16" s="1"/>
  <c r="P297" i="16"/>
  <c r="V297" i="16" s="1"/>
  <c r="B297" i="16" s="1"/>
  <c r="P258" i="16"/>
  <c r="V258" i="16" s="1"/>
  <c r="B258" i="16" s="1"/>
  <c r="D258" i="16" s="1"/>
  <c r="E258" i="16" s="1"/>
  <c r="F258" i="16" s="1"/>
  <c r="P235" i="16"/>
  <c r="V235" i="16" s="1"/>
  <c r="B235" i="16" s="1"/>
  <c r="W235" i="16" s="1"/>
  <c r="L40" i="19"/>
  <c r="W180" i="15"/>
  <c r="B379" i="15"/>
  <c r="W379" i="15" s="1"/>
  <c r="G62" i="19"/>
  <c r="D62" i="19"/>
  <c r="D88" i="15"/>
  <c r="E88" i="15" s="1"/>
  <c r="F88" i="15" s="1"/>
  <c r="AA88" i="15" s="1"/>
  <c r="Z88" i="15" s="1"/>
  <c r="Y88" i="15" s="1"/>
  <c r="P79" i="16"/>
  <c r="V79" i="16" s="1"/>
  <c r="B79" i="16" s="1"/>
  <c r="P127" i="16"/>
  <c r="V127" i="16" s="1"/>
  <c r="B127" i="16" s="1"/>
  <c r="D51" i="7"/>
  <c r="P17" i="16"/>
  <c r="V17" i="16" s="1"/>
  <c r="B17" i="16" s="1"/>
  <c r="P198" i="16"/>
  <c r="V198" i="16" s="1"/>
  <c r="B198" i="16" s="1"/>
  <c r="P266" i="16"/>
  <c r="V266" i="16" s="1"/>
  <c r="B266" i="16" s="1"/>
  <c r="P294" i="16"/>
  <c r="V294" i="16" s="1"/>
  <c r="B294" i="16" s="1"/>
  <c r="P316" i="16"/>
  <c r="V316" i="16" s="1"/>
  <c r="B316" i="16" s="1"/>
  <c r="D316" i="16" s="1"/>
  <c r="E316" i="16" s="1"/>
  <c r="F316" i="16" s="1"/>
  <c r="P374" i="16"/>
  <c r="V374" i="16" s="1"/>
  <c r="P378" i="16"/>
  <c r="V378" i="16" s="1"/>
  <c r="P97" i="16"/>
  <c r="V97" i="16" s="1"/>
  <c r="P197" i="16"/>
  <c r="V197" i="16" s="1"/>
  <c r="P293" i="16"/>
  <c r="V293" i="16" s="1"/>
  <c r="B293" i="16" s="1"/>
  <c r="P304" i="16"/>
  <c r="V304" i="16" s="1"/>
  <c r="P342" i="16"/>
  <c r="V342" i="16" s="1"/>
  <c r="P103" i="16"/>
  <c r="V103" i="16" s="1"/>
  <c r="P161" i="16"/>
  <c r="V161" i="16" s="1"/>
  <c r="B161" i="16" s="1"/>
  <c r="P217" i="16"/>
  <c r="V217" i="16" s="1"/>
  <c r="P313" i="16"/>
  <c r="V313" i="16" s="1"/>
  <c r="B313" i="16" s="1"/>
  <c r="P321" i="16"/>
  <c r="V321" i="16" s="1"/>
  <c r="B321" i="16" s="1"/>
  <c r="D321" i="16" s="1"/>
  <c r="E321" i="16" s="1"/>
  <c r="F321" i="16" s="1"/>
  <c r="P341" i="16"/>
  <c r="V341" i="16" s="1"/>
  <c r="Q13" i="19"/>
  <c r="Q15" i="19"/>
  <c r="AD43" i="16"/>
  <c r="AD355" i="16"/>
  <c r="P53" i="16"/>
  <c r="V53" i="16" s="1"/>
  <c r="AD158" i="16"/>
  <c r="P182" i="16"/>
  <c r="V182" i="16" s="1"/>
  <c r="B182" i="16" s="1"/>
  <c r="D182" i="16" s="1"/>
  <c r="E182" i="16" s="1"/>
  <c r="F182" i="16" s="1"/>
  <c r="AD323" i="16"/>
  <c r="P37" i="16"/>
  <c r="V37" i="16" s="1"/>
  <c r="B37" i="16" s="1"/>
  <c r="P71" i="16"/>
  <c r="V71" i="16" s="1"/>
  <c r="B71" i="16" s="1"/>
  <c r="J378" i="15"/>
  <c r="P222" i="16"/>
  <c r="V222" i="16" s="1"/>
  <c r="P230" i="16"/>
  <c r="V230" i="16" s="1"/>
  <c r="B230" i="16" s="1"/>
  <c r="AD27" i="16"/>
  <c r="AD183" i="16"/>
  <c r="AD255" i="16"/>
  <c r="AD331" i="16"/>
  <c r="P33" i="16"/>
  <c r="V33" i="16" s="1"/>
  <c r="B33" i="16" s="1"/>
  <c r="W33" i="16" s="1"/>
  <c r="B304" i="16"/>
  <c r="W300" i="16"/>
  <c r="G306" i="15"/>
  <c r="BX306" i="6" s="1"/>
  <c r="H306" i="15"/>
  <c r="AA306" i="15"/>
  <c r="Z306" i="15" s="1"/>
  <c r="Y306" i="15" s="1"/>
  <c r="B318" i="16"/>
  <c r="G322" i="15"/>
  <c r="BX322" i="6" s="1"/>
  <c r="H322" i="15"/>
  <c r="AA322" i="15"/>
  <c r="Z322" i="15" s="1"/>
  <c r="Y322" i="15" s="1"/>
  <c r="W334" i="16"/>
  <c r="H338" i="15"/>
  <c r="G338" i="15"/>
  <c r="BX338" i="6" s="1"/>
  <c r="AA338" i="15"/>
  <c r="Z338" i="15" s="1"/>
  <c r="Y338" i="15" s="1"/>
  <c r="H354" i="15"/>
  <c r="G354" i="15"/>
  <c r="BX354" i="6" s="1"/>
  <c r="AA354" i="15"/>
  <c r="Z354" i="15" s="1"/>
  <c r="Y354" i="15" s="1"/>
  <c r="G27" i="15"/>
  <c r="BX27" i="6" s="1"/>
  <c r="H27" i="15"/>
  <c r="AA27" i="15"/>
  <c r="Z27" i="15" s="1"/>
  <c r="Y27" i="15" s="1"/>
  <c r="G59" i="15"/>
  <c r="BX59" i="6" s="1"/>
  <c r="H59" i="15"/>
  <c r="AA59" i="15"/>
  <c r="Z59" i="15" s="1"/>
  <c r="Y59" i="15" s="1"/>
  <c r="H63" i="15"/>
  <c r="G63" i="15"/>
  <c r="BX63" i="6" s="1"/>
  <c r="AA63" i="15"/>
  <c r="Z63" i="15" s="1"/>
  <c r="Y63" i="15" s="1"/>
  <c r="D63" i="16"/>
  <c r="E63" i="16" s="1"/>
  <c r="F63" i="16" s="1"/>
  <c r="G373" i="15"/>
  <c r="BX373" i="6" s="1"/>
  <c r="AA373" i="15"/>
  <c r="Z373" i="15" s="1"/>
  <c r="Y373" i="15" s="1"/>
  <c r="H373" i="15"/>
  <c r="W373" i="16"/>
  <c r="G317" i="15"/>
  <c r="BX317" i="6" s="1"/>
  <c r="H317" i="15"/>
  <c r="AA317" i="15"/>
  <c r="Z317" i="15" s="1"/>
  <c r="Y317" i="15" s="1"/>
  <c r="G301" i="15"/>
  <c r="BX301" i="6" s="1"/>
  <c r="AA301" i="15"/>
  <c r="Z301" i="15" s="1"/>
  <c r="Y301" i="15" s="1"/>
  <c r="H301" i="15"/>
  <c r="H281" i="15"/>
  <c r="AA281" i="15"/>
  <c r="Z281" i="15" s="1"/>
  <c r="Y281" i="15" s="1"/>
  <c r="G281" i="15"/>
  <c r="BX281" i="6" s="1"/>
  <c r="W281" i="16"/>
  <c r="H265" i="15"/>
  <c r="AA265" i="15"/>
  <c r="Z265" i="15" s="1"/>
  <c r="Y265" i="15" s="1"/>
  <c r="G265" i="15"/>
  <c r="BX265" i="6" s="1"/>
  <c r="G257" i="15"/>
  <c r="BX257" i="6" s="1"/>
  <c r="AA257" i="15"/>
  <c r="Z257" i="15" s="1"/>
  <c r="Y257" i="15" s="1"/>
  <c r="H257" i="15"/>
  <c r="H249" i="15"/>
  <c r="G249" i="15"/>
  <c r="BX249" i="6" s="1"/>
  <c r="AA249" i="15"/>
  <c r="Z249" i="15" s="1"/>
  <c r="Y249" i="15" s="1"/>
  <c r="D249" i="16"/>
  <c r="E249" i="16" s="1"/>
  <c r="F249" i="16" s="1"/>
  <c r="G249" i="16" s="1"/>
  <c r="BY249" i="6" s="1"/>
  <c r="AA237" i="15"/>
  <c r="Z237" i="15" s="1"/>
  <c r="Y237" i="15" s="1"/>
  <c r="G237" i="15"/>
  <c r="BX237" i="6" s="1"/>
  <c r="H237" i="15"/>
  <c r="H225" i="15"/>
  <c r="G225" i="15"/>
  <c r="BX225" i="6" s="1"/>
  <c r="AA213" i="15"/>
  <c r="Z213" i="15" s="1"/>
  <c r="Y213" i="15" s="1"/>
  <c r="H213" i="15"/>
  <c r="G213" i="15"/>
  <c r="BX213" i="6" s="1"/>
  <c r="D213" i="16"/>
  <c r="E213" i="16" s="1"/>
  <c r="F213" i="16" s="1"/>
  <c r="H169" i="15"/>
  <c r="AA169" i="15"/>
  <c r="Z169" i="15" s="1"/>
  <c r="Y169" i="15" s="1"/>
  <c r="G169" i="15"/>
  <c r="BX169" i="6" s="1"/>
  <c r="B169" i="16"/>
  <c r="G141" i="15"/>
  <c r="BX141" i="6" s="1"/>
  <c r="H141" i="15"/>
  <c r="AA141" i="15"/>
  <c r="Z141" i="15" s="1"/>
  <c r="Y141" i="15" s="1"/>
  <c r="AA129" i="15"/>
  <c r="Z129" i="15" s="1"/>
  <c r="Y129" i="15" s="1"/>
  <c r="G129" i="15"/>
  <c r="BX129" i="6" s="1"/>
  <c r="H129" i="15"/>
  <c r="AA89" i="15"/>
  <c r="Z89" i="15" s="1"/>
  <c r="Y89" i="15" s="1"/>
  <c r="G89" i="15"/>
  <c r="BX89" i="6" s="1"/>
  <c r="H89" i="15"/>
  <c r="W89" i="16"/>
  <c r="H61" i="15"/>
  <c r="G61" i="15"/>
  <c r="BX61" i="6" s="1"/>
  <c r="W35" i="15"/>
  <c r="D35" i="15"/>
  <c r="E35" i="15" s="1"/>
  <c r="F35" i="15" s="1"/>
  <c r="W38" i="15"/>
  <c r="D38" i="15"/>
  <c r="E38" i="15" s="1"/>
  <c r="F38" i="15" s="1"/>
  <c r="W28" i="15"/>
  <c r="D28" i="15"/>
  <c r="E28" i="15" s="1"/>
  <c r="F28" i="15" s="1"/>
  <c r="W16" i="15"/>
  <c r="D16" i="15"/>
  <c r="E16" i="15" s="1"/>
  <c r="F16" i="15" s="1"/>
  <c r="W52" i="15"/>
  <c r="D52" i="15"/>
  <c r="E52" i="15" s="1"/>
  <c r="F52" i="15" s="1"/>
  <c r="AA61" i="15"/>
  <c r="Z61" i="15" s="1"/>
  <c r="Y61" i="15" s="1"/>
  <c r="H279" i="15"/>
  <c r="G279" i="15"/>
  <c r="BX279" i="6" s="1"/>
  <c r="AA279" i="15"/>
  <c r="Z279" i="15" s="1"/>
  <c r="Y279" i="15" s="1"/>
  <c r="H135" i="15"/>
  <c r="AA135" i="15"/>
  <c r="Z135" i="15" s="1"/>
  <c r="Y135" i="15" s="1"/>
  <c r="G135" i="15"/>
  <c r="BX135" i="6" s="1"/>
  <c r="G76" i="15"/>
  <c r="BX76" i="6" s="1"/>
  <c r="H76" i="15"/>
  <c r="AA76" i="15"/>
  <c r="Z76" i="15" s="1"/>
  <c r="Y76" i="15" s="1"/>
  <c r="H98" i="15"/>
  <c r="G98" i="15"/>
  <c r="BX98" i="6" s="1"/>
  <c r="AA98" i="15"/>
  <c r="Z98" i="15" s="1"/>
  <c r="Y98" i="15" s="1"/>
  <c r="G114" i="15"/>
  <c r="BX114" i="6" s="1"/>
  <c r="H114" i="15"/>
  <c r="H130" i="15"/>
  <c r="G130" i="15"/>
  <c r="BX130" i="6" s="1"/>
  <c r="AA130" i="15"/>
  <c r="Z130" i="15" s="1"/>
  <c r="Y130" i="15" s="1"/>
  <c r="G146" i="15"/>
  <c r="BX146" i="6" s="1"/>
  <c r="H146" i="15"/>
  <c r="AA146" i="15"/>
  <c r="Z146" i="15" s="1"/>
  <c r="Y146" i="15" s="1"/>
  <c r="B178" i="16"/>
  <c r="B185" i="16"/>
  <c r="G296" i="15"/>
  <c r="BX296" i="6" s="1"/>
  <c r="H296" i="15"/>
  <c r="G314" i="15"/>
  <c r="BX314" i="6" s="1"/>
  <c r="H314" i="15"/>
  <c r="W326" i="16"/>
  <c r="D326" i="16"/>
  <c r="E326" i="16" s="1"/>
  <c r="F326" i="16" s="1"/>
  <c r="G330" i="15"/>
  <c r="BX330" i="6" s="1"/>
  <c r="H330" i="15"/>
  <c r="G346" i="15"/>
  <c r="BX346" i="6" s="1"/>
  <c r="H346" i="15"/>
  <c r="G370" i="15"/>
  <c r="BX370" i="6" s="1"/>
  <c r="H370" i="15"/>
  <c r="AA370" i="15"/>
  <c r="Z370" i="15" s="1"/>
  <c r="Y370" i="15" s="1"/>
  <c r="G145" i="15"/>
  <c r="BX145" i="6" s="1"/>
  <c r="AA145" i="15"/>
  <c r="Z145" i="15" s="1"/>
  <c r="Y145" i="15" s="1"/>
  <c r="H145" i="15"/>
  <c r="W145" i="16"/>
  <c r="H193" i="15"/>
  <c r="G193" i="15"/>
  <c r="BX193" i="6" s="1"/>
  <c r="AA193" i="15"/>
  <c r="Z193" i="15" s="1"/>
  <c r="Y193" i="15" s="1"/>
  <c r="G217" i="15"/>
  <c r="BX217" i="6" s="1"/>
  <c r="AA217" i="15"/>
  <c r="Z217" i="15" s="1"/>
  <c r="Y217" i="15" s="1"/>
  <c r="H217" i="15"/>
  <c r="G33" i="15"/>
  <c r="BX33" i="6" s="1"/>
  <c r="H33" i="15"/>
  <c r="AA33" i="15"/>
  <c r="Z33" i="15" s="1"/>
  <c r="Y33" i="15" s="1"/>
  <c r="G361" i="15"/>
  <c r="BX361" i="6" s="1"/>
  <c r="H361" i="15"/>
  <c r="AA361" i="15"/>
  <c r="Z361" i="15" s="1"/>
  <c r="Y361" i="15" s="1"/>
  <c r="AA353" i="15"/>
  <c r="Z353" i="15" s="1"/>
  <c r="Y353" i="15" s="1"/>
  <c r="G353" i="15"/>
  <c r="BX353" i="6" s="1"/>
  <c r="H353" i="15"/>
  <c r="G341" i="15"/>
  <c r="BX341" i="6" s="1"/>
  <c r="AA341" i="15"/>
  <c r="Z341" i="15" s="1"/>
  <c r="Y341" i="15" s="1"/>
  <c r="H341" i="15"/>
  <c r="H325" i="15"/>
  <c r="G325" i="15"/>
  <c r="BX325" i="6" s="1"/>
  <c r="AA325" i="15"/>
  <c r="Z325" i="15" s="1"/>
  <c r="Y325" i="15" s="1"/>
  <c r="G309" i="15"/>
  <c r="BX309" i="6" s="1"/>
  <c r="AA309" i="15"/>
  <c r="Z309" i="15" s="1"/>
  <c r="Y309" i="15" s="1"/>
  <c r="H309" i="15"/>
  <c r="H289" i="15"/>
  <c r="G289" i="15"/>
  <c r="BX289" i="6" s="1"/>
  <c r="AA289" i="15"/>
  <c r="Z289" i="15" s="1"/>
  <c r="Y289" i="15" s="1"/>
  <c r="G205" i="15"/>
  <c r="BX205" i="6" s="1"/>
  <c r="H205" i="15"/>
  <c r="AA205" i="15"/>
  <c r="Z205" i="15" s="1"/>
  <c r="Y205" i="15" s="1"/>
  <c r="G189" i="15"/>
  <c r="BX189" i="6" s="1"/>
  <c r="AA189" i="15"/>
  <c r="Z189" i="15" s="1"/>
  <c r="Y189" i="15" s="1"/>
  <c r="H189" i="15"/>
  <c r="AA177" i="15"/>
  <c r="Z177" i="15" s="1"/>
  <c r="Y177" i="15" s="1"/>
  <c r="G177" i="15"/>
  <c r="BX177" i="6" s="1"/>
  <c r="H177" i="15"/>
  <c r="D177" i="16"/>
  <c r="E177" i="16" s="1"/>
  <c r="F177" i="16" s="1"/>
  <c r="G177" i="16" s="1"/>
  <c r="BY177" i="6" s="1"/>
  <c r="AA153" i="15"/>
  <c r="Z153" i="15" s="1"/>
  <c r="Y153" i="15" s="1"/>
  <c r="G153" i="15"/>
  <c r="BX153" i="6" s="1"/>
  <c r="H153" i="15"/>
  <c r="B153" i="16"/>
  <c r="H121" i="15"/>
  <c r="G121" i="15"/>
  <c r="BX121" i="6" s="1"/>
  <c r="W121" i="16"/>
  <c r="D121" i="16"/>
  <c r="E121" i="16" s="1"/>
  <c r="F121" i="16" s="1"/>
  <c r="AA109" i="15"/>
  <c r="Z109" i="15" s="1"/>
  <c r="Y109" i="15" s="1"/>
  <c r="H109" i="15"/>
  <c r="G109" i="15"/>
  <c r="BX109" i="6" s="1"/>
  <c r="AA97" i="15"/>
  <c r="Z97" i="15" s="1"/>
  <c r="Y97" i="15" s="1"/>
  <c r="G97" i="15"/>
  <c r="BX97" i="6" s="1"/>
  <c r="H97" i="15"/>
  <c r="H77" i="15"/>
  <c r="AA77" i="15"/>
  <c r="Z77" i="15" s="1"/>
  <c r="Y77" i="15" s="1"/>
  <c r="G77" i="15"/>
  <c r="BX77" i="6" s="1"/>
  <c r="G65" i="15"/>
  <c r="BX65" i="6" s="1"/>
  <c r="H65" i="15"/>
  <c r="AA65" i="15"/>
  <c r="Z65" i="15" s="1"/>
  <c r="Y65" i="15" s="1"/>
  <c r="W24" i="15"/>
  <c r="D24" i="15"/>
  <c r="E24" i="15" s="1"/>
  <c r="F24" i="15" s="1"/>
  <c r="W50" i="15"/>
  <c r="D50" i="15"/>
  <c r="E50" i="15" s="1"/>
  <c r="F50" i="15" s="1"/>
  <c r="W136" i="15"/>
  <c r="D136" i="15"/>
  <c r="E136" i="15" s="1"/>
  <c r="F136" i="15" s="1"/>
  <c r="G136" i="15" s="1"/>
  <c r="BX136" i="6" s="1"/>
  <c r="W21" i="15"/>
  <c r="D21" i="15"/>
  <c r="E21" i="15" s="1"/>
  <c r="F21" i="15" s="1"/>
  <c r="W64" i="15"/>
  <c r="D64" i="15"/>
  <c r="E64" i="15" s="1"/>
  <c r="F64" i="15" s="1"/>
  <c r="W36" i="15"/>
  <c r="D36" i="15"/>
  <c r="E36" i="15" s="1"/>
  <c r="F36" i="15" s="1"/>
  <c r="AA121" i="15"/>
  <c r="Z121" i="15" s="1"/>
  <c r="Y121" i="15" s="1"/>
  <c r="AA225" i="15"/>
  <c r="Z225" i="15" s="1"/>
  <c r="Y225" i="15" s="1"/>
  <c r="AA314" i="15"/>
  <c r="Z314" i="15" s="1"/>
  <c r="Y314" i="15" s="1"/>
  <c r="AA346" i="15"/>
  <c r="Z346" i="15" s="1"/>
  <c r="Y346" i="15" s="1"/>
  <c r="H295" i="15"/>
  <c r="G295" i="15"/>
  <c r="BX295" i="6" s="1"/>
  <c r="AA295" i="15"/>
  <c r="Z295" i="15" s="1"/>
  <c r="Y295" i="15" s="1"/>
  <c r="G263" i="15"/>
  <c r="BX263" i="6" s="1"/>
  <c r="AA263" i="15"/>
  <c r="Z263" i="15" s="1"/>
  <c r="Y263" i="15" s="1"/>
  <c r="H263" i="15"/>
  <c r="H247" i="15"/>
  <c r="G247" i="15"/>
  <c r="BX247" i="6" s="1"/>
  <c r="AA247" i="15"/>
  <c r="Z247" i="15" s="1"/>
  <c r="Y247" i="15" s="1"/>
  <c r="G68" i="15"/>
  <c r="BX68" i="6" s="1"/>
  <c r="H68" i="15"/>
  <c r="AA68" i="15"/>
  <c r="Z68" i="15" s="1"/>
  <c r="Y68" i="15" s="1"/>
  <c r="G84" i="15"/>
  <c r="BX84" i="6" s="1"/>
  <c r="H84" i="15"/>
  <c r="H90" i="15"/>
  <c r="G90" i="15"/>
  <c r="BX90" i="6" s="1"/>
  <c r="AA90" i="15"/>
  <c r="Z90" i="15" s="1"/>
  <c r="Y90" i="15" s="1"/>
  <c r="H106" i="15"/>
  <c r="G106" i="15"/>
  <c r="BX106" i="6" s="1"/>
  <c r="AA106" i="15"/>
  <c r="Z106" i="15" s="1"/>
  <c r="Y106" i="15" s="1"/>
  <c r="H122" i="15"/>
  <c r="G122" i="15"/>
  <c r="BX122" i="6" s="1"/>
  <c r="G138" i="15"/>
  <c r="BX138" i="6" s="1"/>
  <c r="AA138" i="15"/>
  <c r="Z138" i="15" s="1"/>
  <c r="Y138" i="15" s="1"/>
  <c r="H138" i="15"/>
  <c r="G154" i="15"/>
  <c r="BX154" i="6" s="1"/>
  <c r="H154" i="15"/>
  <c r="H162" i="15"/>
  <c r="G162" i="15"/>
  <c r="BX162" i="6" s="1"/>
  <c r="G170" i="15"/>
  <c r="BX170" i="6" s="1"/>
  <c r="H170" i="15"/>
  <c r="H178" i="15"/>
  <c r="G178" i="15"/>
  <c r="BX178" i="6" s="1"/>
  <c r="G188" i="15"/>
  <c r="BX188" i="6" s="1"/>
  <c r="H188" i="15"/>
  <c r="G196" i="15"/>
  <c r="BX196" i="6" s="1"/>
  <c r="H196" i="15"/>
  <c r="G204" i="15"/>
  <c r="BX204" i="6" s="1"/>
  <c r="H204" i="15"/>
  <c r="G214" i="15"/>
  <c r="BX214" i="6" s="1"/>
  <c r="H214" i="15"/>
  <c r="H222" i="15"/>
  <c r="G222" i="15"/>
  <c r="BX222" i="6" s="1"/>
  <c r="H230" i="15"/>
  <c r="G230" i="15"/>
  <c r="BX230" i="6" s="1"/>
  <c r="G238" i="15"/>
  <c r="BX238" i="6" s="1"/>
  <c r="H238" i="15"/>
  <c r="G246" i="15"/>
  <c r="BX246" i="6" s="1"/>
  <c r="H246" i="15"/>
  <c r="H254" i="15"/>
  <c r="G254" i="15"/>
  <c r="BX254" i="6" s="1"/>
  <c r="G262" i="15"/>
  <c r="BX262" i="6" s="1"/>
  <c r="H262" i="15"/>
  <c r="G270" i="15"/>
  <c r="BX270" i="6" s="1"/>
  <c r="H270" i="15"/>
  <c r="G278" i="15"/>
  <c r="BX278" i="6" s="1"/>
  <c r="AA278" i="15"/>
  <c r="Z278" i="15" s="1"/>
  <c r="Y278" i="15" s="1"/>
  <c r="H278" i="15"/>
  <c r="H286" i="15"/>
  <c r="G286" i="15"/>
  <c r="BX286" i="6" s="1"/>
  <c r="H294" i="15"/>
  <c r="G294" i="15"/>
  <c r="BX294" i="6" s="1"/>
  <c r="H304" i="15"/>
  <c r="G304" i="15"/>
  <c r="BX304" i="6" s="1"/>
  <c r="G312" i="15"/>
  <c r="BX312" i="6" s="1"/>
  <c r="H312" i="15"/>
  <c r="H320" i="15"/>
  <c r="G320" i="15"/>
  <c r="BX320" i="6" s="1"/>
  <c r="H332" i="15"/>
  <c r="G332" i="15"/>
  <c r="BX332" i="6" s="1"/>
  <c r="G340" i="15"/>
  <c r="BX340" i="6" s="1"/>
  <c r="H340" i="15"/>
  <c r="AA340" i="15"/>
  <c r="Z340" i="15" s="1"/>
  <c r="Y340" i="15" s="1"/>
  <c r="H348" i="15"/>
  <c r="G348" i="15"/>
  <c r="BX348" i="6" s="1"/>
  <c r="G356" i="15"/>
  <c r="BX356" i="6" s="1"/>
  <c r="AA356" i="15"/>
  <c r="Z356" i="15" s="1"/>
  <c r="Y356" i="15" s="1"/>
  <c r="H356" i="15"/>
  <c r="G364" i="15"/>
  <c r="BX364" i="6" s="1"/>
  <c r="H364" i="15"/>
  <c r="G372" i="15"/>
  <c r="BX372" i="6" s="1"/>
  <c r="H372" i="15"/>
  <c r="H39" i="15"/>
  <c r="G39" i="15"/>
  <c r="BX39" i="6" s="1"/>
  <c r="G95" i="15"/>
  <c r="BX95" i="6" s="1"/>
  <c r="AA95" i="15"/>
  <c r="Z95" i="15" s="1"/>
  <c r="Y95" i="15" s="1"/>
  <c r="H95" i="15"/>
  <c r="W95" i="16"/>
  <c r="D95" i="16"/>
  <c r="E95" i="16" s="1"/>
  <c r="F95" i="16" s="1"/>
  <c r="AA123" i="15"/>
  <c r="Z123" i="15" s="1"/>
  <c r="Y123" i="15" s="1"/>
  <c r="G123" i="15"/>
  <c r="BX123" i="6" s="1"/>
  <c r="H123" i="15"/>
  <c r="AA143" i="15"/>
  <c r="Z143" i="15" s="1"/>
  <c r="Y143" i="15" s="1"/>
  <c r="H143" i="15"/>
  <c r="G143" i="15"/>
  <c r="BX143" i="6" s="1"/>
  <c r="H165" i="15"/>
  <c r="G165" i="15"/>
  <c r="BX165" i="6" s="1"/>
  <c r="AA207" i="15"/>
  <c r="Z207" i="15" s="1"/>
  <c r="Y207" i="15" s="1"/>
  <c r="H207" i="15"/>
  <c r="G207" i="15"/>
  <c r="BX207" i="6" s="1"/>
  <c r="H231" i="15"/>
  <c r="AA231" i="15"/>
  <c r="Z231" i="15" s="1"/>
  <c r="Y231" i="15" s="1"/>
  <c r="G231" i="15"/>
  <c r="BX231" i="6" s="1"/>
  <c r="G251" i="15"/>
  <c r="BX251" i="6" s="1"/>
  <c r="H251" i="15"/>
  <c r="AA251" i="15"/>
  <c r="Z251" i="15" s="1"/>
  <c r="Y251" i="15" s="1"/>
  <c r="G267" i="15"/>
  <c r="BX267" i="6" s="1"/>
  <c r="AA267" i="15"/>
  <c r="Z267" i="15" s="1"/>
  <c r="Y267" i="15" s="1"/>
  <c r="H267" i="15"/>
  <c r="G277" i="15"/>
  <c r="BX277" i="6" s="1"/>
  <c r="H277" i="15"/>
  <c r="AA277" i="15"/>
  <c r="Z277" i="15" s="1"/>
  <c r="Y277" i="15" s="1"/>
  <c r="G291" i="15"/>
  <c r="BX291" i="6" s="1"/>
  <c r="H291" i="15"/>
  <c r="AA291" i="15"/>
  <c r="Z291" i="15" s="1"/>
  <c r="Y291" i="15" s="1"/>
  <c r="H55" i="15"/>
  <c r="G55" i="15"/>
  <c r="BX55" i="6" s="1"/>
  <c r="G25" i="15"/>
  <c r="BX25" i="6" s="1"/>
  <c r="H25" i="15"/>
  <c r="H66" i="15"/>
  <c r="G66" i="15"/>
  <c r="BX66" i="6" s="1"/>
  <c r="G371" i="15"/>
  <c r="BX371" i="6" s="1"/>
  <c r="H371" i="15"/>
  <c r="G359" i="15"/>
  <c r="BX359" i="6" s="1"/>
  <c r="AA359" i="15"/>
  <c r="Z359" i="15" s="1"/>
  <c r="Y359" i="15" s="1"/>
  <c r="H359" i="15"/>
  <c r="G351" i="15"/>
  <c r="BX351" i="6" s="1"/>
  <c r="H351" i="15"/>
  <c r="AA351" i="15"/>
  <c r="Z351" i="15" s="1"/>
  <c r="Y351" i="15" s="1"/>
  <c r="G343" i="15"/>
  <c r="BX343" i="6" s="1"/>
  <c r="H343" i="15"/>
  <c r="G335" i="15"/>
  <c r="BX335" i="6" s="1"/>
  <c r="H335" i="15"/>
  <c r="G327" i="15"/>
  <c r="BX327" i="6" s="1"/>
  <c r="H327" i="15"/>
  <c r="G319" i="15"/>
  <c r="BX319" i="6" s="1"/>
  <c r="H319" i="15"/>
  <c r="AA311" i="15"/>
  <c r="Z311" i="15" s="1"/>
  <c r="Y311" i="15" s="1"/>
  <c r="H311" i="15"/>
  <c r="G311" i="15"/>
  <c r="BX311" i="6" s="1"/>
  <c r="G303" i="15"/>
  <c r="BX303" i="6" s="1"/>
  <c r="H303" i="15"/>
  <c r="AA303" i="15"/>
  <c r="Z303" i="15" s="1"/>
  <c r="Y303" i="15" s="1"/>
  <c r="AA235" i="15"/>
  <c r="Z235" i="15" s="1"/>
  <c r="Y235" i="15" s="1"/>
  <c r="H235" i="15"/>
  <c r="G235" i="15"/>
  <c r="BX235" i="6" s="1"/>
  <c r="H215" i="15"/>
  <c r="AA215" i="15"/>
  <c r="Z215" i="15" s="1"/>
  <c r="Y215" i="15" s="1"/>
  <c r="G215" i="15"/>
  <c r="BX215" i="6" s="1"/>
  <c r="G199" i="15"/>
  <c r="BX199" i="6" s="1"/>
  <c r="AA199" i="15"/>
  <c r="Z199" i="15" s="1"/>
  <c r="Y199" i="15" s="1"/>
  <c r="H199" i="15"/>
  <c r="G191" i="15"/>
  <c r="BX191" i="6" s="1"/>
  <c r="H191" i="15"/>
  <c r="H183" i="15"/>
  <c r="G183" i="15"/>
  <c r="BX183" i="6" s="1"/>
  <c r="AA183" i="15"/>
  <c r="Z183" i="15" s="1"/>
  <c r="Y183" i="15" s="1"/>
  <c r="AA175" i="15"/>
  <c r="Z175" i="15" s="1"/>
  <c r="Y175" i="15" s="1"/>
  <c r="G175" i="15"/>
  <c r="BX175" i="6" s="1"/>
  <c r="H175" i="15"/>
  <c r="G163" i="15"/>
  <c r="BX163" i="6" s="1"/>
  <c r="AA163" i="15"/>
  <c r="Z163" i="15" s="1"/>
  <c r="Y163" i="15" s="1"/>
  <c r="H163" i="15"/>
  <c r="H155" i="15"/>
  <c r="G155" i="15"/>
  <c r="BX155" i="6" s="1"/>
  <c r="AA119" i="15"/>
  <c r="Z119" i="15" s="1"/>
  <c r="Y119" i="15" s="1"/>
  <c r="G119" i="15"/>
  <c r="BX119" i="6" s="1"/>
  <c r="H119" i="15"/>
  <c r="G111" i="15"/>
  <c r="BX111" i="6" s="1"/>
  <c r="H111" i="15"/>
  <c r="H103" i="15"/>
  <c r="AA103" i="15"/>
  <c r="Z103" i="15" s="1"/>
  <c r="Y103" i="15" s="1"/>
  <c r="G103" i="15"/>
  <c r="BX103" i="6" s="1"/>
  <c r="H91" i="15"/>
  <c r="G91" i="15"/>
  <c r="BX91" i="6" s="1"/>
  <c r="H83" i="15"/>
  <c r="G83" i="15"/>
  <c r="BX83" i="6" s="1"/>
  <c r="AA67" i="15"/>
  <c r="Z67" i="15" s="1"/>
  <c r="Y67" i="15" s="1"/>
  <c r="H67" i="15"/>
  <c r="G67" i="15"/>
  <c r="BX67" i="6" s="1"/>
  <c r="G70" i="15"/>
  <c r="BX70" i="6" s="1"/>
  <c r="H70" i="15"/>
  <c r="G78" i="15"/>
  <c r="BX78" i="6" s="1"/>
  <c r="H78" i="15"/>
  <c r="G86" i="15"/>
  <c r="BX86" i="6" s="1"/>
  <c r="H86" i="15"/>
  <c r="G96" i="15"/>
  <c r="BX96" i="6" s="1"/>
  <c r="H96" i="15"/>
  <c r="H104" i="15"/>
  <c r="G104" i="15"/>
  <c r="BX104" i="6" s="1"/>
  <c r="G116" i="15"/>
  <c r="BX116" i="6" s="1"/>
  <c r="H116" i="15"/>
  <c r="G124" i="15"/>
  <c r="BX124" i="6" s="1"/>
  <c r="H124" i="15"/>
  <c r="G132" i="15"/>
  <c r="BX132" i="6" s="1"/>
  <c r="H132" i="15"/>
  <c r="H144" i="15"/>
  <c r="G144" i="15"/>
  <c r="BX144" i="6" s="1"/>
  <c r="G152" i="15"/>
  <c r="BX152" i="6" s="1"/>
  <c r="H152" i="15"/>
  <c r="H160" i="15"/>
  <c r="G160" i="15"/>
  <c r="BX160" i="6" s="1"/>
  <c r="H168" i="15"/>
  <c r="G168" i="15"/>
  <c r="BX168" i="6" s="1"/>
  <c r="G176" i="15"/>
  <c r="BX176" i="6" s="1"/>
  <c r="H176" i="15"/>
  <c r="G182" i="15"/>
  <c r="BX182" i="6" s="1"/>
  <c r="AA182" i="15"/>
  <c r="Z182" i="15" s="1"/>
  <c r="Y182" i="15" s="1"/>
  <c r="H182" i="15"/>
  <c r="H190" i="15"/>
  <c r="G190" i="15"/>
  <c r="BX190" i="6" s="1"/>
  <c r="G198" i="15"/>
  <c r="BX198" i="6" s="1"/>
  <c r="H198" i="15"/>
  <c r="AA206" i="15"/>
  <c r="Z206" i="15" s="1"/>
  <c r="Y206" i="15" s="1"/>
  <c r="G206" i="15"/>
  <c r="BX206" i="6" s="1"/>
  <c r="H206" i="15"/>
  <c r="H212" i="15"/>
  <c r="G212" i="15"/>
  <c r="BX212" i="6" s="1"/>
  <c r="G220" i="15"/>
  <c r="BX220" i="6" s="1"/>
  <c r="H220" i="15"/>
  <c r="W224" i="16"/>
  <c r="G228" i="15"/>
  <c r="BX228" i="6" s="1"/>
  <c r="H228" i="15"/>
  <c r="G236" i="15"/>
  <c r="BX236" i="6" s="1"/>
  <c r="H236" i="15"/>
  <c r="AA236" i="15"/>
  <c r="Z236" i="15" s="1"/>
  <c r="Y236" i="15" s="1"/>
  <c r="D240" i="16"/>
  <c r="E240" i="16" s="1"/>
  <c r="F240" i="16" s="1"/>
  <c r="G240" i="16" s="1"/>
  <c r="BY240" i="6" s="1"/>
  <c r="H244" i="15"/>
  <c r="G244" i="15"/>
  <c r="BX244" i="6" s="1"/>
  <c r="G252" i="15"/>
  <c r="BX252" i="6" s="1"/>
  <c r="H252" i="15"/>
  <c r="H260" i="15"/>
  <c r="G260" i="15"/>
  <c r="BX260" i="6" s="1"/>
  <c r="H276" i="15"/>
  <c r="G276" i="15"/>
  <c r="BX276" i="6" s="1"/>
  <c r="H284" i="15"/>
  <c r="G284" i="15"/>
  <c r="BX284" i="6" s="1"/>
  <c r="G45" i="15"/>
  <c r="BX45" i="6" s="1"/>
  <c r="H45" i="15"/>
  <c r="AA45" i="15"/>
  <c r="Z45" i="15" s="1"/>
  <c r="Y45" i="15" s="1"/>
  <c r="H73" i="15"/>
  <c r="AA73" i="15"/>
  <c r="Z73" i="15" s="1"/>
  <c r="Y73" i="15" s="1"/>
  <c r="G73" i="15"/>
  <c r="BX73" i="6" s="1"/>
  <c r="W137" i="15"/>
  <c r="D137" i="15"/>
  <c r="E137" i="15" s="1"/>
  <c r="F137" i="15" s="1"/>
  <c r="W269" i="15"/>
  <c r="D269" i="15"/>
  <c r="E269" i="15" s="1"/>
  <c r="F269" i="15" s="1"/>
  <c r="W365" i="15"/>
  <c r="D365" i="15"/>
  <c r="E365" i="15" s="1"/>
  <c r="F365" i="15" s="1"/>
  <c r="W34" i="15"/>
  <c r="D34" i="15"/>
  <c r="E34" i="15" s="1"/>
  <c r="F34" i="15" s="1"/>
  <c r="W30" i="15"/>
  <c r="D30" i="15"/>
  <c r="E30" i="15" s="1"/>
  <c r="F30" i="15" s="1"/>
  <c r="AA104" i="15"/>
  <c r="Z104" i="15" s="1"/>
  <c r="Y104" i="15" s="1"/>
  <c r="AA176" i="15"/>
  <c r="Z176" i="15" s="1"/>
  <c r="Y176" i="15" s="1"/>
  <c r="AA70" i="15"/>
  <c r="Z70" i="15" s="1"/>
  <c r="Y70" i="15" s="1"/>
  <c r="AA230" i="15"/>
  <c r="Z230" i="15" s="1"/>
  <c r="Y230" i="15" s="1"/>
  <c r="W101" i="15"/>
  <c r="D101" i="15"/>
  <c r="E101" i="15" s="1"/>
  <c r="F101" i="15" s="1"/>
  <c r="W197" i="15"/>
  <c r="D197" i="15"/>
  <c r="E197" i="15" s="1"/>
  <c r="F197" i="15" s="1"/>
  <c r="G197" i="15" s="1"/>
  <c r="BX197" i="6" s="1"/>
  <c r="AA335" i="15"/>
  <c r="Z335" i="15" s="1"/>
  <c r="Y335" i="15" s="1"/>
  <c r="AA116" i="15"/>
  <c r="Z116" i="15" s="1"/>
  <c r="Y116" i="15" s="1"/>
  <c r="AA178" i="15"/>
  <c r="Z178" i="15" s="1"/>
  <c r="Y178" i="15" s="1"/>
  <c r="AA190" i="15"/>
  <c r="Z190" i="15" s="1"/>
  <c r="Y190" i="15" s="1"/>
  <c r="AA204" i="15"/>
  <c r="Z204" i="15" s="1"/>
  <c r="Y204" i="15" s="1"/>
  <c r="AA320" i="15"/>
  <c r="Z320" i="15" s="1"/>
  <c r="Y320" i="15" s="1"/>
  <c r="AA332" i="15"/>
  <c r="Z332" i="15" s="1"/>
  <c r="Y332" i="15" s="1"/>
  <c r="AA348" i="15"/>
  <c r="Z348" i="15" s="1"/>
  <c r="Y348" i="15" s="1"/>
  <c r="G292" i="15"/>
  <c r="BX292" i="6" s="1"/>
  <c r="H292" i="15"/>
  <c r="H300" i="15"/>
  <c r="G300" i="15"/>
  <c r="BX300" i="6" s="1"/>
  <c r="AA310" i="15"/>
  <c r="Z310" i="15" s="1"/>
  <c r="Y310" i="15" s="1"/>
  <c r="G310" i="15"/>
  <c r="BX310" i="6" s="1"/>
  <c r="H310" i="15"/>
  <c r="G318" i="15"/>
  <c r="BX318" i="6" s="1"/>
  <c r="H318" i="15"/>
  <c r="H326" i="15"/>
  <c r="G326" i="15"/>
  <c r="BX326" i="6" s="1"/>
  <c r="H334" i="15"/>
  <c r="G334" i="15"/>
  <c r="BX334" i="6" s="1"/>
  <c r="G342" i="15"/>
  <c r="BX342" i="6" s="1"/>
  <c r="H342" i="15"/>
  <c r="H350" i="15"/>
  <c r="G350" i="15"/>
  <c r="BX350" i="6" s="1"/>
  <c r="G366" i="15"/>
  <c r="BX366" i="6" s="1"/>
  <c r="H366" i="15"/>
  <c r="G374" i="15"/>
  <c r="BX374" i="6" s="1"/>
  <c r="H374" i="15"/>
  <c r="H157" i="15"/>
  <c r="G157" i="15"/>
  <c r="BX157" i="6" s="1"/>
  <c r="G203" i="15"/>
  <c r="BX203" i="6" s="1"/>
  <c r="H203" i="15"/>
  <c r="G31" i="15"/>
  <c r="BX31" i="6" s="1"/>
  <c r="H31" i="15"/>
  <c r="AA31" i="15"/>
  <c r="Z31" i="15" s="1"/>
  <c r="Y31" i="15" s="1"/>
  <c r="G43" i="15"/>
  <c r="BX43" i="6" s="1"/>
  <c r="AA43" i="15"/>
  <c r="Z43" i="15" s="1"/>
  <c r="Y43" i="15" s="1"/>
  <c r="H43" i="15"/>
  <c r="H41" i="15"/>
  <c r="G41" i="15"/>
  <c r="BX41" i="6" s="1"/>
  <c r="H49" i="15"/>
  <c r="AA49" i="15"/>
  <c r="Z49" i="15" s="1"/>
  <c r="Y49" i="15" s="1"/>
  <c r="G49" i="15"/>
  <c r="BX49" i="6" s="1"/>
  <c r="G377" i="15"/>
  <c r="BX377" i="6" s="1"/>
  <c r="H377" i="15"/>
  <c r="H369" i="15"/>
  <c r="G369" i="15"/>
  <c r="BX369" i="6" s="1"/>
  <c r="AA357" i="15"/>
  <c r="Z357" i="15" s="1"/>
  <c r="Y357" i="15" s="1"/>
  <c r="H357" i="15"/>
  <c r="G357" i="15"/>
  <c r="BX357" i="6" s="1"/>
  <c r="AA349" i="15"/>
  <c r="Z349" i="15" s="1"/>
  <c r="Y349" i="15" s="1"/>
  <c r="G349" i="15"/>
  <c r="BX349" i="6" s="1"/>
  <c r="H349" i="15"/>
  <c r="H329" i="15"/>
  <c r="G329" i="15"/>
  <c r="BX329" i="6" s="1"/>
  <c r="H321" i="15"/>
  <c r="G321" i="15"/>
  <c r="BX321" i="6" s="1"/>
  <c r="H313" i="15"/>
  <c r="AA313" i="15"/>
  <c r="Z313" i="15" s="1"/>
  <c r="Y313" i="15" s="1"/>
  <c r="G313" i="15"/>
  <c r="BX313" i="6" s="1"/>
  <c r="H305" i="15"/>
  <c r="G305" i="15"/>
  <c r="BX305" i="6" s="1"/>
  <c r="B305" i="16"/>
  <c r="G293" i="15"/>
  <c r="BX293" i="6" s="1"/>
  <c r="H293" i="15"/>
  <c r="AA285" i="15"/>
  <c r="Z285" i="15" s="1"/>
  <c r="Y285" i="15" s="1"/>
  <c r="H285" i="15"/>
  <c r="G285" i="15"/>
  <c r="BX285" i="6" s="1"/>
  <c r="AA273" i="15"/>
  <c r="Z273" i="15" s="1"/>
  <c r="Y273" i="15" s="1"/>
  <c r="G273" i="15"/>
  <c r="BX273" i="6" s="1"/>
  <c r="H273" i="15"/>
  <c r="AA261" i="15"/>
  <c r="Z261" i="15" s="1"/>
  <c r="Y261" i="15" s="1"/>
  <c r="G261" i="15"/>
  <c r="BX261" i="6" s="1"/>
  <c r="H261" i="15"/>
  <c r="G253" i="15"/>
  <c r="BX253" i="6" s="1"/>
  <c r="AA253" i="15"/>
  <c r="Z253" i="15" s="1"/>
  <c r="Y253" i="15" s="1"/>
  <c r="H253" i="15"/>
  <c r="H245" i="15"/>
  <c r="G245" i="15"/>
  <c r="BX245" i="6" s="1"/>
  <c r="G229" i="15"/>
  <c r="BX229" i="6" s="1"/>
  <c r="H229" i="15"/>
  <c r="G221" i="15"/>
  <c r="BX221" i="6" s="1"/>
  <c r="H221" i="15"/>
  <c r="AA221" i="15"/>
  <c r="Z221" i="15" s="1"/>
  <c r="Y221" i="15" s="1"/>
  <c r="H209" i="15"/>
  <c r="G209" i="15"/>
  <c r="BX209" i="6" s="1"/>
  <c r="AA201" i="15"/>
  <c r="Z201" i="15" s="1"/>
  <c r="Y201" i="15" s="1"/>
  <c r="G201" i="15"/>
  <c r="BX201" i="6" s="1"/>
  <c r="H201" i="15"/>
  <c r="H181" i="15"/>
  <c r="G181" i="15"/>
  <c r="BX181" i="6" s="1"/>
  <c r="W181" i="16"/>
  <c r="G173" i="15"/>
  <c r="BX173" i="6" s="1"/>
  <c r="H173" i="15"/>
  <c r="G161" i="15"/>
  <c r="BX161" i="6" s="1"/>
  <c r="AA161" i="15"/>
  <c r="Z161" i="15" s="1"/>
  <c r="Y161" i="15" s="1"/>
  <c r="H161" i="15"/>
  <c r="G149" i="15"/>
  <c r="BX149" i="6" s="1"/>
  <c r="H149" i="15"/>
  <c r="G133" i="15"/>
  <c r="BX133" i="6" s="1"/>
  <c r="H133" i="15"/>
  <c r="G125" i="15"/>
  <c r="BX125" i="6" s="1"/>
  <c r="AA125" i="15"/>
  <c r="Z125" i="15" s="1"/>
  <c r="Y125" i="15" s="1"/>
  <c r="H125" i="15"/>
  <c r="H117" i="15"/>
  <c r="G117" i="15"/>
  <c r="BX117" i="6" s="1"/>
  <c r="AA105" i="15"/>
  <c r="Z105" i="15" s="1"/>
  <c r="Y105" i="15" s="1"/>
  <c r="H105" i="15"/>
  <c r="G105" i="15"/>
  <c r="BX105" i="6" s="1"/>
  <c r="G93" i="15"/>
  <c r="BX93" i="6" s="1"/>
  <c r="H93" i="15"/>
  <c r="G81" i="15"/>
  <c r="BX81" i="6" s="1"/>
  <c r="H81" i="15"/>
  <c r="G69" i="15"/>
  <c r="BX69" i="6" s="1"/>
  <c r="AA69" i="15"/>
  <c r="Z69" i="15" s="1"/>
  <c r="Y69" i="15" s="1"/>
  <c r="H69" i="15"/>
  <c r="G29" i="15"/>
  <c r="BX29" i="6" s="1"/>
  <c r="AA29" i="15"/>
  <c r="Z29" i="15" s="1"/>
  <c r="Y29" i="15" s="1"/>
  <c r="H29" i="15"/>
  <c r="W241" i="15"/>
  <c r="D241" i="15"/>
  <c r="E241" i="15" s="1"/>
  <c r="F241" i="15" s="1"/>
  <c r="B337" i="16"/>
  <c r="W337" i="15"/>
  <c r="D337" i="15"/>
  <c r="E337" i="15" s="1"/>
  <c r="F337" i="15" s="1"/>
  <c r="W363" i="15"/>
  <c r="D363" i="15"/>
  <c r="E363" i="15" s="1"/>
  <c r="F363" i="15" s="1"/>
  <c r="W56" i="15"/>
  <c r="D56" i="15"/>
  <c r="E56" i="15" s="1"/>
  <c r="F56" i="15" s="1"/>
  <c r="AA220" i="15"/>
  <c r="Z220" i="15" s="1"/>
  <c r="Y220" i="15" s="1"/>
  <c r="AA78" i="15"/>
  <c r="Z78" i="15" s="1"/>
  <c r="Y78" i="15" s="1"/>
  <c r="AA162" i="15"/>
  <c r="Z162" i="15" s="1"/>
  <c r="Y162" i="15" s="1"/>
  <c r="AA262" i="15"/>
  <c r="Z262" i="15" s="1"/>
  <c r="Y262" i="15" s="1"/>
  <c r="AA318" i="15"/>
  <c r="Z318" i="15" s="1"/>
  <c r="Y318" i="15" s="1"/>
  <c r="AA374" i="15"/>
  <c r="Z374" i="15" s="1"/>
  <c r="Y374" i="15" s="1"/>
  <c r="W272" i="15"/>
  <c r="D272" i="15"/>
  <c r="E272" i="15" s="1"/>
  <c r="F272" i="15" s="1"/>
  <c r="W297" i="15"/>
  <c r="D297" i="15"/>
  <c r="E297" i="15" s="1"/>
  <c r="F297" i="15" s="1"/>
  <c r="W333" i="15"/>
  <c r="D333" i="15"/>
  <c r="E333" i="15" s="1"/>
  <c r="F333" i="15" s="1"/>
  <c r="W42" i="15"/>
  <c r="D42" i="15"/>
  <c r="E42" i="15" s="1"/>
  <c r="F42" i="15" s="1"/>
  <c r="W62" i="15"/>
  <c r="D62" i="15"/>
  <c r="E62" i="15" s="1"/>
  <c r="F62" i="15" s="1"/>
  <c r="W298" i="15"/>
  <c r="D298" i="15"/>
  <c r="E298" i="15" s="1"/>
  <c r="F298" i="15" s="1"/>
  <c r="W17" i="15"/>
  <c r="D17" i="15"/>
  <c r="E17" i="15" s="1"/>
  <c r="F17" i="15" s="1"/>
  <c r="W40" i="15"/>
  <c r="D40" i="15"/>
  <c r="E40" i="15" s="1"/>
  <c r="F40" i="15" s="1"/>
  <c r="B358" i="16"/>
  <c r="W75" i="15"/>
  <c r="D75" i="15"/>
  <c r="E75" i="15" s="1"/>
  <c r="F75" i="15" s="1"/>
  <c r="W171" i="15"/>
  <c r="D171" i="15"/>
  <c r="E171" i="15" s="1"/>
  <c r="F171" i="15" s="1"/>
  <c r="H171" i="15" s="1"/>
  <c r="AA39" i="15"/>
  <c r="Z39" i="15" s="1"/>
  <c r="Y39" i="15" s="1"/>
  <c r="AA83" i="15"/>
  <c r="Z83" i="15" s="1"/>
  <c r="Y83" i="15" s="1"/>
  <c r="AA157" i="15"/>
  <c r="Z157" i="15" s="1"/>
  <c r="Y157" i="15" s="1"/>
  <c r="AA173" i="15"/>
  <c r="Z173" i="15" s="1"/>
  <c r="Y173" i="15" s="1"/>
  <c r="AA191" i="15"/>
  <c r="Z191" i="15" s="1"/>
  <c r="Y191" i="15" s="1"/>
  <c r="AA209" i="15"/>
  <c r="Z209" i="15" s="1"/>
  <c r="Y209" i="15" s="1"/>
  <c r="AA245" i="15"/>
  <c r="Z245" i="15" s="1"/>
  <c r="Y245" i="15" s="1"/>
  <c r="AA293" i="15"/>
  <c r="Z293" i="15" s="1"/>
  <c r="Y293" i="15" s="1"/>
  <c r="AA168" i="15"/>
  <c r="Z168" i="15" s="1"/>
  <c r="Y168" i="15" s="1"/>
  <c r="AA222" i="15"/>
  <c r="Z222" i="15" s="1"/>
  <c r="Y222" i="15" s="1"/>
  <c r="AA252" i="15"/>
  <c r="Z252" i="15" s="1"/>
  <c r="Y252" i="15" s="1"/>
  <c r="AA286" i="15"/>
  <c r="Z286" i="15" s="1"/>
  <c r="Y286" i="15" s="1"/>
  <c r="AA300" i="15"/>
  <c r="Z300" i="15" s="1"/>
  <c r="Y300" i="15" s="1"/>
  <c r="AA326" i="15"/>
  <c r="Z326" i="15" s="1"/>
  <c r="Y326" i="15" s="1"/>
  <c r="AA334" i="15"/>
  <c r="Z334" i="15" s="1"/>
  <c r="Y334" i="15" s="1"/>
  <c r="AA299" i="15"/>
  <c r="Z299" i="15" s="1"/>
  <c r="Y299" i="15" s="1"/>
  <c r="G299" i="15"/>
  <c r="BX299" i="6" s="1"/>
  <c r="H299" i="15"/>
  <c r="H287" i="15"/>
  <c r="G287" i="15"/>
  <c r="BX287" i="6" s="1"/>
  <c r="H275" i="15"/>
  <c r="G275" i="15"/>
  <c r="BX275" i="6" s="1"/>
  <c r="AA255" i="15"/>
  <c r="Z255" i="15" s="1"/>
  <c r="Y255" i="15" s="1"/>
  <c r="G255" i="15"/>
  <c r="BX255" i="6" s="1"/>
  <c r="H255" i="15"/>
  <c r="AA139" i="15"/>
  <c r="Z139" i="15" s="1"/>
  <c r="Y139" i="15" s="1"/>
  <c r="H139" i="15"/>
  <c r="G139" i="15"/>
  <c r="BX139" i="6" s="1"/>
  <c r="G127" i="15"/>
  <c r="BX127" i="6" s="1"/>
  <c r="H127" i="15"/>
  <c r="G72" i="15"/>
  <c r="BX72" i="6" s="1"/>
  <c r="H72" i="15"/>
  <c r="AA72" i="15"/>
  <c r="Z72" i="15" s="1"/>
  <c r="Y72" i="15" s="1"/>
  <c r="H80" i="15"/>
  <c r="G80" i="15"/>
  <c r="BX80" i="6" s="1"/>
  <c r="H94" i="15"/>
  <c r="G94" i="15"/>
  <c r="BX94" i="6" s="1"/>
  <c r="H102" i="15"/>
  <c r="G102" i="15"/>
  <c r="BX102" i="6" s="1"/>
  <c r="H110" i="15"/>
  <c r="G110" i="15"/>
  <c r="BX110" i="6" s="1"/>
  <c r="H118" i="15"/>
  <c r="G118" i="15"/>
  <c r="BX118" i="6" s="1"/>
  <c r="H126" i="15"/>
  <c r="G126" i="15"/>
  <c r="BX126" i="6" s="1"/>
  <c r="H134" i="15"/>
  <c r="G134" i="15"/>
  <c r="BX134" i="6" s="1"/>
  <c r="G142" i="15"/>
  <c r="BX142" i="6" s="1"/>
  <c r="H142" i="15"/>
  <c r="G150" i="15"/>
  <c r="BX150" i="6" s="1"/>
  <c r="H150" i="15"/>
  <c r="AA150" i="15"/>
  <c r="Z150" i="15" s="1"/>
  <c r="Y150" i="15" s="1"/>
  <c r="H158" i="15"/>
  <c r="G158" i="15"/>
  <c r="BX158" i="6" s="1"/>
  <c r="B158" i="16"/>
  <c r="H166" i="15"/>
  <c r="G166" i="15"/>
  <c r="BX166" i="6" s="1"/>
  <c r="G174" i="15"/>
  <c r="BX174" i="6" s="1"/>
  <c r="H174" i="15"/>
  <c r="G184" i="15"/>
  <c r="BX184" i="6" s="1"/>
  <c r="H184" i="15"/>
  <c r="G192" i="15"/>
  <c r="BX192" i="6" s="1"/>
  <c r="H192" i="15"/>
  <c r="G200" i="15"/>
  <c r="BX200" i="6" s="1"/>
  <c r="H200" i="15"/>
  <c r="H208" i="15"/>
  <c r="G208" i="15"/>
  <c r="BX208" i="6" s="1"/>
  <c r="H218" i="15"/>
  <c r="G218" i="15"/>
  <c r="BX218" i="6" s="1"/>
  <c r="G226" i="15"/>
  <c r="BX226" i="6" s="1"/>
  <c r="H226" i="15"/>
  <c r="H234" i="15"/>
  <c r="G234" i="15"/>
  <c r="BX234" i="6" s="1"/>
  <c r="H242" i="15"/>
  <c r="G242" i="15"/>
  <c r="BX242" i="6" s="1"/>
  <c r="H250" i="15"/>
  <c r="G250" i="15"/>
  <c r="BX250" i="6" s="1"/>
  <c r="G258" i="15"/>
  <c r="BX258" i="6" s="1"/>
  <c r="H258" i="15"/>
  <c r="H266" i="15"/>
  <c r="G266" i="15"/>
  <c r="BX266" i="6" s="1"/>
  <c r="H274" i="15"/>
  <c r="G274" i="15"/>
  <c r="BX274" i="6" s="1"/>
  <c r="H282" i="15"/>
  <c r="AA282" i="15"/>
  <c r="Z282" i="15" s="1"/>
  <c r="Y282" i="15" s="1"/>
  <c r="G282" i="15"/>
  <c r="BX282" i="6" s="1"/>
  <c r="G290" i="15"/>
  <c r="BX290" i="6" s="1"/>
  <c r="H290" i="15"/>
  <c r="G302" i="15"/>
  <c r="BX302" i="6" s="1"/>
  <c r="H302" i="15"/>
  <c r="H308" i="15"/>
  <c r="G308" i="15"/>
  <c r="BX308" i="6" s="1"/>
  <c r="H316" i="15"/>
  <c r="G316" i="15"/>
  <c r="BX316" i="6" s="1"/>
  <c r="H328" i="15"/>
  <c r="G328" i="15"/>
  <c r="BX328" i="6" s="1"/>
  <c r="H336" i="15"/>
  <c r="AA336" i="15"/>
  <c r="Z336" i="15" s="1"/>
  <c r="Y336" i="15" s="1"/>
  <c r="G336" i="15"/>
  <c r="BX336" i="6" s="1"/>
  <c r="H344" i="15"/>
  <c r="G344" i="15"/>
  <c r="BX344" i="6" s="1"/>
  <c r="H352" i="15"/>
  <c r="G352" i="15"/>
  <c r="BX352" i="6" s="1"/>
  <c r="H360" i="15"/>
  <c r="G360" i="15"/>
  <c r="BX360" i="6" s="1"/>
  <c r="G368" i="15"/>
  <c r="BX368" i="6" s="1"/>
  <c r="H368" i="15"/>
  <c r="H376" i="15"/>
  <c r="G376" i="15"/>
  <c r="BX376" i="6" s="1"/>
  <c r="G71" i="15"/>
  <c r="BX71" i="6" s="1"/>
  <c r="H71" i="15"/>
  <c r="AA71" i="15"/>
  <c r="Z71" i="15" s="1"/>
  <c r="Y71" i="15" s="1"/>
  <c r="G113" i="15"/>
  <c r="BX113" i="6" s="1"/>
  <c r="H113" i="15"/>
  <c r="G131" i="15"/>
  <c r="BX131" i="6" s="1"/>
  <c r="H131" i="15"/>
  <c r="H147" i="15"/>
  <c r="G147" i="15"/>
  <c r="BX147" i="6" s="1"/>
  <c r="G185" i="15"/>
  <c r="BX185" i="6" s="1"/>
  <c r="H185" i="15"/>
  <c r="H223" i="15"/>
  <c r="G223" i="15"/>
  <c r="BX223" i="6" s="1"/>
  <c r="H243" i="15"/>
  <c r="G243" i="15"/>
  <c r="BX243" i="6" s="1"/>
  <c r="G259" i="15"/>
  <c r="BX259" i="6" s="1"/>
  <c r="H259" i="15"/>
  <c r="AA259" i="15"/>
  <c r="Z259" i="15" s="1"/>
  <c r="Y259" i="15" s="1"/>
  <c r="H271" i="15"/>
  <c r="G271" i="15"/>
  <c r="BX271" i="6" s="1"/>
  <c r="AA271" i="15"/>
  <c r="Z271" i="15" s="1"/>
  <c r="Y271" i="15" s="1"/>
  <c r="G283" i="15"/>
  <c r="BX283" i="6" s="1"/>
  <c r="AA283" i="15"/>
  <c r="Z283" i="15" s="1"/>
  <c r="Y283" i="15" s="1"/>
  <c r="H283" i="15"/>
  <c r="H345" i="15"/>
  <c r="AA345" i="15"/>
  <c r="Z345" i="15" s="1"/>
  <c r="Y345" i="15" s="1"/>
  <c r="G345" i="15"/>
  <c r="BX345" i="6" s="1"/>
  <c r="G47" i="15"/>
  <c r="BX47" i="6" s="1"/>
  <c r="AA47" i="15"/>
  <c r="Z47" i="15" s="1"/>
  <c r="Y47" i="15" s="1"/>
  <c r="H47" i="15"/>
  <c r="B47" i="16"/>
  <c r="G57" i="15"/>
  <c r="BX57" i="6" s="1"/>
  <c r="AA57" i="15"/>
  <c r="Z57" i="15" s="1"/>
  <c r="Y57" i="15" s="1"/>
  <c r="H57" i="15"/>
  <c r="AA375" i="15"/>
  <c r="Z375" i="15" s="1"/>
  <c r="Y375" i="15" s="1"/>
  <c r="H375" i="15"/>
  <c r="G375" i="15"/>
  <c r="BX375" i="6" s="1"/>
  <c r="G367" i="15"/>
  <c r="BX367" i="6" s="1"/>
  <c r="H367" i="15"/>
  <c r="AA367" i="15"/>
  <c r="Z367" i="15" s="1"/>
  <c r="Y367" i="15" s="1"/>
  <c r="G355" i="15"/>
  <c r="BX355" i="6" s="1"/>
  <c r="H355" i="15"/>
  <c r="H347" i="15"/>
  <c r="G347" i="15"/>
  <c r="BX347" i="6" s="1"/>
  <c r="AA347" i="15"/>
  <c r="Z347" i="15" s="1"/>
  <c r="Y347" i="15" s="1"/>
  <c r="H339" i="15"/>
  <c r="G339" i="15"/>
  <c r="BX339" i="6" s="1"/>
  <c r="G331" i="15"/>
  <c r="BX331" i="6" s="1"/>
  <c r="H331" i="15"/>
  <c r="G323" i="15"/>
  <c r="BX323" i="6" s="1"/>
  <c r="H323" i="15"/>
  <c r="H315" i="15"/>
  <c r="AA315" i="15"/>
  <c r="Z315" i="15" s="1"/>
  <c r="Y315" i="15" s="1"/>
  <c r="G315" i="15"/>
  <c r="BX315" i="6" s="1"/>
  <c r="AA307" i="15"/>
  <c r="Z307" i="15" s="1"/>
  <c r="Y307" i="15" s="1"/>
  <c r="G307" i="15"/>
  <c r="BX307" i="6" s="1"/>
  <c r="H307" i="15"/>
  <c r="H239" i="15"/>
  <c r="AA239" i="15"/>
  <c r="Z239" i="15" s="1"/>
  <c r="Y239" i="15" s="1"/>
  <c r="G239" i="15"/>
  <c r="BX239" i="6" s="1"/>
  <c r="AA219" i="15"/>
  <c r="Z219" i="15" s="1"/>
  <c r="Y219" i="15" s="1"/>
  <c r="G219" i="15"/>
  <c r="BX219" i="6" s="1"/>
  <c r="H219" i="15"/>
  <c r="AA211" i="15"/>
  <c r="Z211" i="15" s="1"/>
  <c r="Y211" i="15" s="1"/>
  <c r="G211" i="15"/>
  <c r="BX211" i="6" s="1"/>
  <c r="H211" i="15"/>
  <c r="G195" i="15"/>
  <c r="BX195" i="6" s="1"/>
  <c r="AA195" i="15"/>
  <c r="Z195" i="15" s="1"/>
  <c r="Y195" i="15" s="1"/>
  <c r="H195" i="15"/>
  <c r="G187" i="15"/>
  <c r="BX187" i="6" s="1"/>
  <c r="H187" i="15"/>
  <c r="AA187" i="15"/>
  <c r="Z187" i="15" s="1"/>
  <c r="Y187" i="15" s="1"/>
  <c r="H179" i="15"/>
  <c r="G179" i="15"/>
  <c r="BX179" i="6" s="1"/>
  <c r="G167" i="15"/>
  <c r="BX167" i="6" s="1"/>
  <c r="H167" i="15"/>
  <c r="H159" i="15"/>
  <c r="G159" i="15"/>
  <c r="BX159" i="6" s="1"/>
  <c r="G151" i="15"/>
  <c r="BX151" i="6" s="1"/>
  <c r="H151" i="15"/>
  <c r="G115" i="15"/>
  <c r="BX115" i="6" s="1"/>
  <c r="H115" i="15"/>
  <c r="G107" i="15"/>
  <c r="BX107" i="6" s="1"/>
  <c r="H107" i="15"/>
  <c r="H99" i="15"/>
  <c r="G99" i="15"/>
  <c r="BX99" i="6" s="1"/>
  <c r="H87" i="15"/>
  <c r="G87" i="15"/>
  <c r="BX87" i="6" s="1"/>
  <c r="G79" i="15"/>
  <c r="BX79" i="6" s="1"/>
  <c r="H79" i="15"/>
  <c r="AA79" i="15"/>
  <c r="Z79" i="15" s="1"/>
  <c r="Y79" i="15" s="1"/>
  <c r="G19" i="15"/>
  <c r="BX19" i="6" s="1"/>
  <c r="H19" i="15"/>
  <c r="G74" i="15"/>
  <c r="BX74" i="6" s="1"/>
  <c r="H74" i="15"/>
  <c r="H82" i="15"/>
  <c r="G82" i="15"/>
  <c r="BX82" i="6" s="1"/>
  <c r="G92" i="15"/>
  <c r="BX92" i="6" s="1"/>
  <c r="H92" i="15"/>
  <c r="H100" i="15"/>
  <c r="G100" i="15"/>
  <c r="BX100" i="6" s="1"/>
  <c r="G112" i="15"/>
  <c r="BX112" i="6" s="1"/>
  <c r="H112" i="15"/>
  <c r="G120" i="15"/>
  <c r="BX120" i="6" s="1"/>
  <c r="H120" i="15"/>
  <c r="H128" i="15"/>
  <c r="G128" i="15"/>
  <c r="BX128" i="6" s="1"/>
  <c r="H140" i="15"/>
  <c r="G140" i="15"/>
  <c r="BX140" i="6" s="1"/>
  <c r="G148" i="15"/>
  <c r="BX148" i="6" s="1"/>
  <c r="H148" i="15"/>
  <c r="H156" i="15"/>
  <c r="G156" i="15"/>
  <c r="BX156" i="6" s="1"/>
  <c r="H164" i="15"/>
  <c r="G164" i="15"/>
  <c r="BX164" i="6" s="1"/>
  <c r="H172" i="15"/>
  <c r="G172" i="15"/>
  <c r="BX172" i="6" s="1"/>
  <c r="H180" i="15"/>
  <c r="G180" i="15"/>
  <c r="BX180" i="6" s="1"/>
  <c r="G186" i="15"/>
  <c r="BX186" i="6" s="1"/>
  <c r="H186" i="15"/>
  <c r="H194" i="15"/>
  <c r="G194" i="15"/>
  <c r="BX194" i="6" s="1"/>
  <c r="H202" i="15"/>
  <c r="G202" i="15"/>
  <c r="BX202" i="6" s="1"/>
  <c r="G210" i="15"/>
  <c r="BX210" i="6" s="1"/>
  <c r="H210" i="15"/>
  <c r="G216" i="15"/>
  <c r="BX216" i="6" s="1"/>
  <c r="H216" i="15"/>
  <c r="G224" i="15"/>
  <c r="BX224" i="6" s="1"/>
  <c r="AA224" i="15"/>
  <c r="Z224" i="15" s="1"/>
  <c r="Y224" i="15" s="1"/>
  <c r="H224" i="15"/>
  <c r="G232" i="15"/>
  <c r="BX232" i="6" s="1"/>
  <c r="H232" i="15"/>
  <c r="H240" i="15"/>
  <c r="AA240" i="15"/>
  <c r="Z240" i="15" s="1"/>
  <c r="Y240" i="15" s="1"/>
  <c r="G240" i="15"/>
  <c r="BX240" i="6" s="1"/>
  <c r="G248" i="15"/>
  <c r="BX248" i="6" s="1"/>
  <c r="H248" i="15"/>
  <c r="G256" i="15"/>
  <c r="BX256" i="6" s="1"/>
  <c r="H256" i="15"/>
  <c r="H268" i="15"/>
  <c r="G268" i="15"/>
  <c r="BX268" i="6" s="1"/>
  <c r="G280" i="15"/>
  <c r="BX280" i="6" s="1"/>
  <c r="H280" i="15"/>
  <c r="AA37" i="15"/>
  <c r="Z37" i="15" s="1"/>
  <c r="Y37" i="15" s="1"/>
  <c r="H37" i="15"/>
  <c r="G37" i="15"/>
  <c r="BX37" i="6" s="1"/>
  <c r="H53" i="15"/>
  <c r="AA53" i="15"/>
  <c r="Z53" i="15" s="1"/>
  <c r="Y53" i="15" s="1"/>
  <c r="G53" i="15"/>
  <c r="BX53" i="6" s="1"/>
  <c r="G85" i="15"/>
  <c r="BX85" i="6" s="1"/>
  <c r="AA85" i="15"/>
  <c r="Z85" i="15" s="1"/>
  <c r="Y85" i="15" s="1"/>
  <c r="H85" i="15"/>
  <c r="AA124" i="15"/>
  <c r="Z124" i="15" s="1"/>
  <c r="Y124" i="15" s="1"/>
  <c r="AA160" i="15"/>
  <c r="Z160" i="15" s="1"/>
  <c r="Y160" i="15" s="1"/>
  <c r="AA192" i="15"/>
  <c r="Z192" i="15" s="1"/>
  <c r="Y192" i="15" s="1"/>
  <c r="AA368" i="15"/>
  <c r="Z368" i="15" s="1"/>
  <c r="Y368" i="15" s="1"/>
  <c r="AA166" i="15"/>
  <c r="Z166" i="15" s="1"/>
  <c r="Y166" i="15" s="1"/>
  <c r="AA238" i="15"/>
  <c r="Z238" i="15" s="1"/>
  <c r="Y238" i="15" s="1"/>
  <c r="AA290" i="15"/>
  <c r="Z290" i="15" s="1"/>
  <c r="Y290" i="15" s="1"/>
  <c r="W26" i="15"/>
  <c r="D26" i="15"/>
  <c r="E26" i="15" s="1"/>
  <c r="F26" i="15" s="1"/>
  <c r="W46" i="15"/>
  <c r="D46" i="15"/>
  <c r="E46" i="15" s="1"/>
  <c r="F46" i="15" s="1"/>
  <c r="W58" i="15"/>
  <c r="D58" i="15"/>
  <c r="E58" i="15" s="1"/>
  <c r="F58" i="15" s="1"/>
  <c r="W108" i="15"/>
  <c r="D108" i="15"/>
  <c r="E108" i="15" s="1"/>
  <c r="F108" i="15" s="1"/>
  <c r="G108" i="15" s="1"/>
  <c r="BX108" i="6" s="1"/>
  <c r="W23" i="15"/>
  <c r="D23" i="15"/>
  <c r="E23" i="15" s="1"/>
  <c r="F23" i="15" s="1"/>
  <c r="W32" i="15"/>
  <c r="D32" i="15"/>
  <c r="E32" i="15" s="1"/>
  <c r="F32" i="15" s="1"/>
  <c r="W60" i="15"/>
  <c r="D60" i="15"/>
  <c r="E60" i="15" s="1"/>
  <c r="F60" i="15" s="1"/>
  <c r="W20" i="15"/>
  <c r="D20" i="15"/>
  <c r="E20" i="15" s="1"/>
  <c r="F20" i="15" s="1"/>
  <c r="W22" i="15"/>
  <c r="D22" i="15"/>
  <c r="E22" i="15" s="1"/>
  <c r="F22" i="15" s="1"/>
  <c r="W54" i="15"/>
  <c r="D54" i="15"/>
  <c r="E54" i="15" s="1"/>
  <c r="F54" i="15" s="1"/>
  <c r="W18" i="15"/>
  <c r="D18" i="15"/>
  <c r="E18" i="15" s="1"/>
  <c r="F18" i="15" s="1"/>
  <c r="W44" i="15"/>
  <c r="D44" i="15"/>
  <c r="E44" i="15" s="1"/>
  <c r="F44" i="15" s="1"/>
  <c r="W362" i="15"/>
  <c r="D362" i="15"/>
  <c r="E362" i="15" s="1"/>
  <c r="F362" i="15" s="1"/>
  <c r="W233" i="15"/>
  <c r="D233" i="15"/>
  <c r="E233" i="15" s="1"/>
  <c r="F233" i="15" s="1"/>
  <c r="W48" i="15"/>
  <c r="D48" i="15"/>
  <c r="E48" i="15" s="1"/>
  <c r="F48" i="15" s="1"/>
  <c r="AA55" i="15"/>
  <c r="Z55" i="15" s="1"/>
  <c r="Y55" i="15" s="1"/>
  <c r="AA81" i="15"/>
  <c r="Z81" i="15" s="1"/>
  <c r="Y81" i="15" s="1"/>
  <c r="AA93" i="15"/>
  <c r="Z93" i="15" s="1"/>
  <c r="Y93" i="15" s="1"/>
  <c r="AA113" i="15"/>
  <c r="Z113" i="15" s="1"/>
  <c r="Y113" i="15" s="1"/>
  <c r="AA127" i="15"/>
  <c r="Z127" i="15" s="1"/>
  <c r="Y127" i="15" s="1"/>
  <c r="AA155" i="15"/>
  <c r="Z155" i="15" s="1"/>
  <c r="Y155" i="15" s="1"/>
  <c r="AA167" i="15"/>
  <c r="Z167" i="15" s="1"/>
  <c r="Y167" i="15" s="1"/>
  <c r="AA185" i="15"/>
  <c r="Z185" i="15" s="1"/>
  <c r="Y185" i="15" s="1"/>
  <c r="AA229" i="15"/>
  <c r="Z229" i="15" s="1"/>
  <c r="Y229" i="15" s="1"/>
  <c r="AA321" i="15"/>
  <c r="Z321" i="15" s="1"/>
  <c r="Y321" i="15" s="1"/>
  <c r="AA329" i="15"/>
  <c r="Z329" i="15" s="1"/>
  <c r="Y329" i="15" s="1"/>
  <c r="AA343" i="15"/>
  <c r="Z343" i="15" s="1"/>
  <c r="Y343" i="15" s="1"/>
  <c r="AA369" i="15"/>
  <c r="Z369" i="15" s="1"/>
  <c r="Y369" i="15" s="1"/>
  <c r="AA74" i="15"/>
  <c r="Z74" i="15" s="1"/>
  <c r="Y74" i="15" s="1"/>
  <c r="AA86" i="15"/>
  <c r="Z86" i="15" s="1"/>
  <c r="Y86" i="15" s="1"/>
  <c r="AA96" i="15"/>
  <c r="Z96" i="15" s="1"/>
  <c r="Y96" i="15" s="1"/>
  <c r="AA110" i="15"/>
  <c r="Z110" i="15" s="1"/>
  <c r="Y110" i="15" s="1"/>
  <c r="AA120" i="15"/>
  <c r="Z120" i="15" s="1"/>
  <c r="Y120" i="15" s="1"/>
  <c r="AA132" i="15"/>
  <c r="Z132" i="15" s="1"/>
  <c r="Y132" i="15" s="1"/>
  <c r="AA152" i="15"/>
  <c r="Z152" i="15" s="1"/>
  <c r="Y152" i="15" s="1"/>
  <c r="AA172" i="15"/>
  <c r="Z172" i="15" s="1"/>
  <c r="Y172" i="15" s="1"/>
  <c r="AA186" i="15"/>
  <c r="Z186" i="15" s="1"/>
  <c r="Y186" i="15" s="1"/>
  <c r="AA196" i="15"/>
  <c r="Z196" i="15" s="1"/>
  <c r="Y196" i="15" s="1"/>
  <c r="AA212" i="15"/>
  <c r="Z212" i="15" s="1"/>
  <c r="Y212" i="15" s="1"/>
  <c r="AA226" i="15"/>
  <c r="Z226" i="15" s="1"/>
  <c r="Y226" i="15" s="1"/>
  <c r="AA246" i="15"/>
  <c r="Z246" i="15" s="1"/>
  <c r="Y246" i="15" s="1"/>
  <c r="AA256" i="15"/>
  <c r="Z256" i="15" s="1"/>
  <c r="Y256" i="15" s="1"/>
  <c r="AA270" i="15"/>
  <c r="Z270" i="15" s="1"/>
  <c r="Y270" i="15" s="1"/>
  <c r="AA284" i="15"/>
  <c r="Z284" i="15" s="1"/>
  <c r="Y284" i="15" s="1"/>
  <c r="AA302" i="15"/>
  <c r="Z302" i="15" s="1"/>
  <c r="Y302" i="15" s="1"/>
  <c r="AA312" i="15"/>
  <c r="Z312" i="15" s="1"/>
  <c r="Y312" i="15" s="1"/>
  <c r="AA328" i="15"/>
  <c r="Z328" i="15" s="1"/>
  <c r="Y328" i="15" s="1"/>
  <c r="AA372" i="15"/>
  <c r="Z372" i="15" s="1"/>
  <c r="Y372" i="15" s="1"/>
  <c r="AD246" i="16"/>
  <c r="P57" i="16"/>
  <c r="V57" i="16" s="1"/>
  <c r="P111" i="16"/>
  <c r="V111" i="16" s="1"/>
  <c r="P151" i="16"/>
  <c r="V151" i="16" s="1"/>
  <c r="AD52" i="16"/>
  <c r="P84" i="16"/>
  <c r="V84" i="16" s="1"/>
  <c r="P88" i="16"/>
  <c r="D46" i="7" s="1"/>
  <c r="P108" i="16"/>
  <c r="V108" i="16" s="1"/>
  <c r="P112" i="16"/>
  <c r="V112" i="16" s="1"/>
  <c r="P140" i="16"/>
  <c r="V140" i="16" s="1"/>
  <c r="P176" i="16"/>
  <c r="V176" i="16" s="1"/>
  <c r="AD133" i="16"/>
  <c r="P54" i="16"/>
  <c r="V54" i="16" s="1"/>
  <c r="B54" i="16" s="1"/>
  <c r="P56" i="16"/>
  <c r="V56" i="16" s="1"/>
  <c r="B56" i="16" s="1"/>
  <c r="AD93" i="16"/>
  <c r="P36" i="16"/>
  <c r="V36" i="16" s="1"/>
  <c r="P62" i="16"/>
  <c r="V62" i="16" s="1"/>
  <c r="AD56" i="16"/>
  <c r="AD192" i="16"/>
  <c r="AD21" i="16"/>
  <c r="AD105" i="16"/>
  <c r="AD229" i="16"/>
  <c r="AD44" i="16"/>
  <c r="AD48" i="16"/>
  <c r="AD54" i="16"/>
  <c r="AD74" i="16"/>
  <c r="AD88" i="16"/>
  <c r="AD102" i="16"/>
  <c r="AD114" i="16"/>
  <c r="AD120" i="16"/>
  <c r="AD146" i="16"/>
  <c r="AD156" i="16"/>
  <c r="AD188" i="16"/>
  <c r="AD200" i="16"/>
  <c r="AD212" i="16"/>
  <c r="AD220" i="16"/>
  <c r="AD224" i="16"/>
  <c r="AD254" i="16"/>
  <c r="AD304" i="16"/>
  <c r="F379" i="1"/>
  <c r="V382" i="1"/>
  <c r="V383" i="1"/>
  <c r="V381" i="1"/>
  <c r="M61" i="19"/>
  <c r="AD24" i="16"/>
  <c r="AD60" i="16"/>
  <c r="AD68" i="16"/>
  <c r="AD96" i="16"/>
  <c r="AD116" i="16"/>
  <c r="AD140" i="16"/>
  <c r="AD144" i="16"/>
  <c r="AD168" i="16"/>
  <c r="AD196" i="16"/>
  <c r="AD232" i="16"/>
  <c r="AD256" i="16"/>
  <c r="AD270" i="16"/>
  <c r="AD302" i="16"/>
  <c r="AD328" i="16"/>
  <c r="AD341" i="16"/>
  <c r="AD367" i="16"/>
  <c r="AD373" i="16"/>
  <c r="V48" i="16"/>
  <c r="B48" i="16" s="1"/>
  <c r="V212" i="16"/>
  <c r="V233" i="16"/>
  <c r="G264" i="15"/>
  <c r="BX264" i="6" s="1"/>
  <c r="AA264" i="15"/>
  <c r="Z264" i="15" s="1"/>
  <c r="Y264" i="15" s="1"/>
  <c r="H264" i="15"/>
  <c r="Q381" i="16"/>
  <c r="Q383" i="16"/>
  <c r="Q382" i="16"/>
  <c r="V310" i="16"/>
  <c r="AF381" i="15"/>
  <c r="AD17" i="15"/>
  <c r="K380" i="22"/>
  <c r="L380" i="22"/>
  <c r="AJ380" i="22"/>
  <c r="AB380" i="22"/>
  <c r="X380" i="22"/>
  <c r="AK380" i="22"/>
  <c r="O380" i="22"/>
  <c r="AC380" i="22"/>
  <c r="A378" i="25"/>
  <c r="L377" i="25"/>
  <c r="K377" i="25"/>
  <c r="AJ377" i="25"/>
  <c r="AB377" i="25"/>
  <c r="X377" i="25"/>
  <c r="AK377" i="25"/>
  <c r="O377" i="25"/>
  <c r="AC377" i="25"/>
  <c r="V228" i="16"/>
  <c r="B228" i="16" s="1"/>
  <c r="V322" i="16"/>
  <c r="V372" i="16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S15" i="16"/>
  <c r="V93" i="16"/>
  <c r="AF382" i="15"/>
  <c r="AF383" i="15"/>
  <c r="AD15" i="15"/>
  <c r="J288" i="15"/>
  <c r="I288" i="15"/>
  <c r="G51" i="15"/>
  <c r="BX51" i="6" s="1"/>
  <c r="AA51" i="15"/>
  <c r="Z51" i="15" s="1"/>
  <c r="Y51" i="15" s="1"/>
  <c r="H51" i="15"/>
  <c r="AA227" i="15"/>
  <c r="Z227" i="15" s="1"/>
  <c r="Y227" i="15" s="1"/>
  <c r="G227" i="15"/>
  <c r="BX227" i="6" s="1"/>
  <c r="H227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Q10" i="17"/>
  <c r="Q31" i="17" s="1"/>
  <c r="K379" i="23"/>
  <c r="L379" i="23"/>
  <c r="B42" i="19" s="1"/>
  <c r="AK379" i="23"/>
  <c r="AB379" i="23"/>
  <c r="X379" i="23"/>
  <c r="AJ379" i="23"/>
  <c r="O379" i="23"/>
  <c r="C42" i="19" s="1"/>
  <c r="AC379" i="23"/>
  <c r="W324" i="16" l="1"/>
  <c r="AD296" i="16"/>
  <c r="AD264" i="16"/>
  <c r="AD136" i="16"/>
  <c r="S355" i="16"/>
  <c r="R355" i="16" s="1"/>
  <c r="P355" i="16" s="1"/>
  <c r="V355" i="16" s="1"/>
  <c r="B355" i="16" s="1"/>
  <c r="D355" i="16" s="1"/>
  <c r="E355" i="16" s="1"/>
  <c r="F355" i="16" s="1"/>
  <c r="S163" i="16"/>
  <c r="R163" i="16" s="1"/>
  <c r="P163" i="16" s="1"/>
  <c r="V163" i="16" s="1"/>
  <c r="B163" i="16" s="1"/>
  <c r="W163" i="16" s="1"/>
  <c r="S70" i="16"/>
  <c r="R70" i="16" s="1"/>
  <c r="P70" i="16" s="1"/>
  <c r="V70" i="16" s="1"/>
  <c r="B70" i="16" s="1"/>
  <c r="S38" i="16"/>
  <c r="R38" i="16" s="1"/>
  <c r="P38" i="16" s="1"/>
  <c r="V38" i="16" s="1"/>
  <c r="S172" i="16"/>
  <c r="R172" i="16" s="1"/>
  <c r="P172" i="16" s="1"/>
  <c r="V172" i="16" s="1"/>
  <c r="B172" i="16" s="1"/>
  <c r="D172" i="16" s="1"/>
  <c r="E172" i="16" s="1"/>
  <c r="F172" i="16" s="1"/>
  <c r="G172" i="16" s="1"/>
  <c r="BY172" i="6" s="1"/>
  <c r="S236" i="16"/>
  <c r="R236" i="16" s="1"/>
  <c r="P236" i="16" s="1"/>
  <c r="V236" i="16" s="1"/>
  <c r="B236" i="16" s="1"/>
  <c r="D236" i="16" s="1"/>
  <c r="E236" i="16" s="1"/>
  <c r="F236" i="16" s="1"/>
  <c r="S338" i="16"/>
  <c r="R338" i="16" s="1"/>
  <c r="P338" i="16" s="1"/>
  <c r="V338" i="16" s="1"/>
  <c r="B338" i="16" s="1"/>
  <c r="D338" i="16" s="1"/>
  <c r="E338" i="16" s="1"/>
  <c r="F338" i="16" s="1"/>
  <c r="S290" i="16"/>
  <c r="R290" i="16" s="1"/>
  <c r="P290" i="16" s="1"/>
  <c r="V290" i="16" s="1"/>
  <c r="B290" i="16" s="1"/>
  <c r="W290" i="16" s="1"/>
  <c r="S242" i="16"/>
  <c r="R242" i="16" s="1"/>
  <c r="P242" i="16" s="1"/>
  <c r="V242" i="16" s="1"/>
  <c r="B242" i="16" s="1"/>
  <c r="W242" i="16" s="1"/>
  <c r="S226" i="16"/>
  <c r="R226" i="16" s="1"/>
  <c r="P226" i="16" s="1"/>
  <c r="V226" i="16" s="1"/>
  <c r="B226" i="16" s="1"/>
  <c r="W226" i="16" s="1"/>
  <c r="S210" i="16"/>
  <c r="R210" i="16" s="1"/>
  <c r="P210" i="16" s="1"/>
  <c r="D50" i="7" s="1"/>
  <c r="AG278" i="16"/>
  <c r="AF278" i="16" s="1"/>
  <c r="AD278" i="16" s="1"/>
  <c r="AG174" i="16"/>
  <c r="AF174" i="16" s="1"/>
  <c r="AD174" i="16" s="1"/>
  <c r="AG142" i="16"/>
  <c r="AF142" i="16" s="1"/>
  <c r="AD142" i="16" s="1"/>
  <c r="AG134" i="16"/>
  <c r="AF134" i="16" s="1"/>
  <c r="AD134" i="16" s="1"/>
  <c r="AG86" i="16"/>
  <c r="AF86" i="16" s="1"/>
  <c r="AD86" i="16" s="1"/>
  <c r="AG70" i="16"/>
  <c r="AF70" i="16" s="1"/>
  <c r="AD70" i="16" s="1"/>
  <c r="AG46" i="16"/>
  <c r="AF46" i="16" s="1"/>
  <c r="AD46" i="16" s="1"/>
  <c r="AG38" i="16"/>
  <c r="AF38" i="16" s="1"/>
  <c r="AD38" i="16" s="1"/>
  <c r="S380" i="16"/>
  <c r="R380" i="16" s="1"/>
  <c r="P380" i="16" s="1"/>
  <c r="V380" i="16" s="1"/>
  <c r="S160" i="16"/>
  <c r="R160" i="16" s="1"/>
  <c r="P160" i="16" s="1"/>
  <c r="V160" i="16" s="1"/>
  <c r="B160" i="16" s="1"/>
  <c r="D160" i="16" s="1"/>
  <c r="E160" i="16" s="1"/>
  <c r="F160" i="16" s="1"/>
  <c r="S41" i="16"/>
  <c r="R41" i="16" s="1"/>
  <c r="P41" i="16" s="1"/>
  <c r="V41" i="16" s="1"/>
  <c r="B41" i="16" s="1"/>
  <c r="D41" i="16" s="1"/>
  <c r="E41" i="16" s="1"/>
  <c r="F41" i="16" s="1"/>
  <c r="AG372" i="16"/>
  <c r="AF372" i="16" s="1"/>
  <c r="AD372" i="16" s="1"/>
  <c r="AG366" i="16"/>
  <c r="AF366" i="16" s="1"/>
  <c r="AD366" i="16" s="1"/>
  <c r="AA366" i="16" s="1"/>
  <c r="Z366" i="16" s="1"/>
  <c r="Y366" i="16" s="1"/>
  <c r="AG324" i="16"/>
  <c r="AF324" i="16" s="1"/>
  <c r="AD324" i="16" s="1"/>
  <c r="AA324" i="16" s="1"/>
  <c r="Z324" i="16" s="1"/>
  <c r="Y324" i="16" s="1"/>
  <c r="AG287" i="16"/>
  <c r="AF287" i="16" s="1"/>
  <c r="AD287" i="16" s="1"/>
  <c r="AG223" i="16"/>
  <c r="AF223" i="16" s="1"/>
  <c r="AD223" i="16" s="1"/>
  <c r="AG143" i="16"/>
  <c r="AF143" i="16" s="1"/>
  <c r="AD143" i="16" s="1"/>
  <c r="AG63" i="16"/>
  <c r="AF63" i="16" s="1"/>
  <c r="AD63" i="16" s="1"/>
  <c r="AG18" i="16"/>
  <c r="AF18" i="16" s="1"/>
  <c r="AD18" i="16" s="1"/>
  <c r="AG339" i="16"/>
  <c r="AF339" i="16" s="1"/>
  <c r="AD339" i="16" s="1"/>
  <c r="AG327" i="16"/>
  <c r="AF327" i="16" s="1"/>
  <c r="AD327" i="16" s="1"/>
  <c r="AG277" i="16"/>
  <c r="AF277" i="16" s="1"/>
  <c r="AD277" i="16" s="1"/>
  <c r="AG251" i="16"/>
  <c r="AF251" i="16" s="1"/>
  <c r="AD251" i="16" s="1"/>
  <c r="AG203" i="16"/>
  <c r="AF203" i="16" s="1"/>
  <c r="AD203" i="16" s="1"/>
  <c r="AG75" i="16"/>
  <c r="AF75" i="16" s="1"/>
  <c r="AD75" i="16" s="1"/>
  <c r="AG205" i="16"/>
  <c r="AF205" i="16" s="1"/>
  <c r="AD205" i="16" s="1"/>
  <c r="AG173" i="16"/>
  <c r="AF173" i="16" s="1"/>
  <c r="AD173" i="16" s="1"/>
  <c r="AG165" i="16"/>
  <c r="AF165" i="16" s="1"/>
  <c r="AD165" i="16" s="1"/>
  <c r="AG125" i="16"/>
  <c r="AF125" i="16" s="1"/>
  <c r="AD125" i="16" s="1"/>
  <c r="AG69" i="16"/>
  <c r="AF69" i="16" s="1"/>
  <c r="AD69" i="16" s="1"/>
  <c r="AG61" i="16"/>
  <c r="AF61" i="16" s="1"/>
  <c r="AD61" i="16" s="1"/>
  <c r="AG53" i="16"/>
  <c r="AF53" i="16" s="1"/>
  <c r="AD53" i="16" s="1"/>
  <c r="AG37" i="16"/>
  <c r="AF37" i="16" s="1"/>
  <c r="AD37" i="16" s="1"/>
  <c r="AG29" i="16"/>
  <c r="AF29" i="16" s="1"/>
  <c r="AD29" i="16" s="1"/>
  <c r="S360" i="16"/>
  <c r="R360" i="16" s="1"/>
  <c r="P360" i="16" s="1"/>
  <c r="V360" i="16" s="1"/>
  <c r="B360" i="16" s="1"/>
  <c r="W360" i="16" s="1"/>
  <c r="AD206" i="16"/>
  <c r="AD110" i="16"/>
  <c r="AD380" i="16"/>
  <c r="AD286" i="16"/>
  <c r="AD94" i="16"/>
  <c r="AD30" i="16"/>
  <c r="AD221" i="16"/>
  <c r="AD77" i="16"/>
  <c r="AD109" i="16"/>
  <c r="P30" i="16"/>
  <c r="V30" i="16" s="1"/>
  <c r="AD237" i="16"/>
  <c r="AD253" i="16"/>
  <c r="AD360" i="16"/>
  <c r="AD126" i="16"/>
  <c r="D309" i="16"/>
  <c r="E309" i="16" s="1"/>
  <c r="F309" i="16" s="1"/>
  <c r="G309" i="16" s="1"/>
  <c r="BY309" i="6" s="1"/>
  <c r="AD363" i="16"/>
  <c r="AD295" i="16"/>
  <c r="AD207" i="16"/>
  <c r="AD139" i="16"/>
  <c r="AD175" i="16"/>
  <c r="AD267" i="16"/>
  <c r="P299" i="16"/>
  <c r="V299" i="16" s="1"/>
  <c r="B299" i="16" s="1"/>
  <c r="P296" i="16"/>
  <c r="V296" i="16" s="1"/>
  <c r="P283" i="16"/>
  <c r="V283" i="16" s="1"/>
  <c r="B283" i="16" s="1"/>
  <c r="P204" i="16"/>
  <c r="V204" i="16" s="1"/>
  <c r="B204" i="16" s="1"/>
  <c r="D204" i="16" s="1"/>
  <c r="E204" i="16" s="1"/>
  <c r="F204" i="16" s="1"/>
  <c r="G204" i="16" s="1"/>
  <c r="BY204" i="6" s="1"/>
  <c r="P49" i="16"/>
  <c r="V49" i="16" s="1"/>
  <c r="B49" i="16" s="1"/>
  <c r="D49" i="16" s="1"/>
  <c r="E49" i="16" s="1"/>
  <c r="F49" i="16" s="1"/>
  <c r="AD238" i="16"/>
  <c r="AD230" i="16"/>
  <c r="AD214" i="16"/>
  <c r="AD198" i="16"/>
  <c r="AD190" i="16"/>
  <c r="AD118" i="16"/>
  <c r="AD62" i="16"/>
  <c r="W357" i="16"/>
  <c r="D357" i="16"/>
  <c r="E357" i="16" s="1"/>
  <c r="F357" i="16" s="1"/>
  <c r="G357" i="16" s="1"/>
  <c r="BY357" i="6" s="1"/>
  <c r="P168" i="16"/>
  <c r="V168" i="16" s="1"/>
  <c r="B168" i="16" s="1"/>
  <c r="D168" i="16" s="1"/>
  <c r="E168" i="16" s="1"/>
  <c r="F168" i="16" s="1"/>
  <c r="S65" i="16"/>
  <c r="R65" i="16" s="1"/>
  <c r="P65" i="16" s="1"/>
  <c r="V65" i="16" s="1"/>
  <c r="B65" i="16" s="1"/>
  <c r="W65" i="16" s="1"/>
  <c r="S40" i="16"/>
  <c r="R40" i="16" s="1"/>
  <c r="P40" i="16" s="1"/>
  <c r="V40" i="16" s="1"/>
  <c r="S104" i="16"/>
  <c r="R104" i="16" s="1"/>
  <c r="P104" i="16" s="1"/>
  <c r="V104" i="16" s="1"/>
  <c r="B104" i="16" s="1"/>
  <c r="D104" i="16" s="1"/>
  <c r="E104" i="16" s="1"/>
  <c r="F104" i="16" s="1"/>
  <c r="S87" i="16"/>
  <c r="R87" i="16" s="1"/>
  <c r="P87" i="16" s="1"/>
  <c r="V87" i="16" s="1"/>
  <c r="S119" i="16"/>
  <c r="R119" i="16" s="1"/>
  <c r="P119" i="16" s="1"/>
  <c r="D47" i="7" s="1"/>
  <c r="S141" i="16"/>
  <c r="R141" i="16" s="1"/>
  <c r="P141" i="16" s="1"/>
  <c r="V141" i="16" s="1"/>
  <c r="B141" i="16" s="1"/>
  <c r="D141" i="16" s="1"/>
  <c r="E141" i="16" s="1"/>
  <c r="F141" i="16" s="1"/>
  <c r="S221" i="16"/>
  <c r="R221" i="16" s="1"/>
  <c r="P221" i="16" s="1"/>
  <c r="V221" i="16" s="1"/>
  <c r="B221" i="16" s="1"/>
  <c r="S180" i="16"/>
  <c r="R180" i="16" s="1"/>
  <c r="P180" i="16" s="1"/>
  <c r="S302" i="16"/>
  <c r="R302" i="16" s="1"/>
  <c r="P302" i="16" s="1"/>
  <c r="V302" i="16" s="1"/>
  <c r="B302" i="16" s="1"/>
  <c r="D302" i="16" s="1"/>
  <c r="E302" i="16" s="1"/>
  <c r="F302" i="16" s="1"/>
  <c r="AA302" i="16" s="1"/>
  <c r="Z302" i="16" s="1"/>
  <c r="Y302" i="16" s="1"/>
  <c r="S206" i="16"/>
  <c r="R206" i="16" s="1"/>
  <c r="P206" i="16" s="1"/>
  <c r="V206" i="16" s="1"/>
  <c r="B206" i="16" s="1"/>
  <c r="D206" i="16" s="1"/>
  <c r="E206" i="16" s="1"/>
  <c r="F206" i="16" s="1"/>
  <c r="AG164" i="16"/>
  <c r="AF164" i="16" s="1"/>
  <c r="AD164" i="16" s="1"/>
  <c r="S248" i="16"/>
  <c r="R248" i="16" s="1"/>
  <c r="P248" i="16" s="1"/>
  <c r="V248" i="16" s="1"/>
  <c r="B248" i="16" s="1"/>
  <c r="W248" i="16" s="1"/>
  <c r="S356" i="16"/>
  <c r="R356" i="16" s="1"/>
  <c r="P356" i="16" s="1"/>
  <c r="V356" i="16" s="1"/>
  <c r="B356" i="16" s="1"/>
  <c r="D356" i="16" s="1"/>
  <c r="E356" i="16" s="1"/>
  <c r="F356" i="16" s="1"/>
  <c r="G356" i="16" s="1"/>
  <c r="BY356" i="6" s="1"/>
  <c r="S150" i="16"/>
  <c r="R150" i="16" s="1"/>
  <c r="P150" i="16" s="1"/>
  <c r="V150" i="16" s="1"/>
  <c r="B150" i="16" s="1"/>
  <c r="W150" i="16" s="1"/>
  <c r="S278" i="16"/>
  <c r="R278" i="16" s="1"/>
  <c r="P278" i="16" s="1"/>
  <c r="V278" i="16" s="1"/>
  <c r="B278" i="16" s="1"/>
  <c r="D278" i="16" s="1"/>
  <c r="E278" i="16" s="1"/>
  <c r="F278" i="16" s="1"/>
  <c r="S32" i="16"/>
  <c r="R32" i="16" s="1"/>
  <c r="P32" i="16" s="1"/>
  <c r="V32" i="16" s="1"/>
  <c r="B32" i="16" s="1"/>
  <c r="W32" i="16" s="1"/>
  <c r="S96" i="16"/>
  <c r="R96" i="16" s="1"/>
  <c r="P96" i="16" s="1"/>
  <c r="V96" i="16" s="1"/>
  <c r="B96" i="16" s="1"/>
  <c r="D96" i="16" s="1"/>
  <c r="E96" i="16" s="1"/>
  <c r="F96" i="16" s="1"/>
  <c r="S201" i="16"/>
  <c r="R201" i="16" s="1"/>
  <c r="P201" i="16" s="1"/>
  <c r="V201" i="16" s="1"/>
  <c r="B201" i="16" s="1"/>
  <c r="S361" i="16"/>
  <c r="R361" i="16" s="1"/>
  <c r="P361" i="16" s="1"/>
  <c r="V361" i="16" s="1"/>
  <c r="B361" i="16" s="1"/>
  <c r="D361" i="16" s="1"/>
  <c r="E361" i="16" s="1"/>
  <c r="F361" i="16" s="1"/>
  <c r="G361" i="16" s="1"/>
  <c r="BY361" i="6" s="1"/>
  <c r="S21" i="16"/>
  <c r="R21" i="16" s="1"/>
  <c r="P21" i="16" s="1"/>
  <c r="V21" i="16" s="1"/>
  <c r="AD72" i="16"/>
  <c r="P377" i="16"/>
  <c r="V377" i="16" s="1"/>
  <c r="B377" i="16" s="1"/>
  <c r="P64" i="16"/>
  <c r="V64" i="16" s="1"/>
  <c r="B64" i="16" s="1"/>
  <c r="W64" i="16" s="1"/>
  <c r="AD104" i="16"/>
  <c r="AD40" i="16"/>
  <c r="P52" i="16"/>
  <c r="V52" i="16" s="1"/>
  <c r="B52" i="16" s="1"/>
  <c r="D52" i="16" s="1"/>
  <c r="E52" i="16" s="1"/>
  <c r="F52" i="16" s="1"/>
  <c r="P43" i="16"/>
  <c r="V43" i="16" s="1"/>
  <c r="B43" i="16" s="1"/>
  <c r="W43" i="16" s="1"/>
  <c r="P68" i="16"/>
  <c r="V68" i="16" s="1"/>
  <c r="B68" i="16" s="1"/>
  <c r="D68" i="16" s="1"/>
  <c r="E68" i="16" s="1"/>
  <c r="F68" i="16" s="1"/>
  <c r="AA68" i="16" s="1"/>
  <c r="Z68" i="16" s="1"/>
  <c r="Y68" i="16" s="1"/>
  <c r="P20" i="16"/>
  <c r="V20" i="16" s="1"/>
  <c r="B20" i="16" s="1"/>
  <c r="W20" i="16" s="1"/>
  <c r="AD288" i="16"/>
  <c r="AD160" i="16"/>
  <c r="AD108" i="16"/>
  <c r="AD64" i="16"/>
  <c r="AD268" i="16"/>
  <c r="AD124" i="16"/>
  <c r="AD92" i="16"/>
  <c r="AD32" i="16"/>
  <c r="P336" i="16"/>
  <c r="V336" i="16" s="1"/>
  <c r="B336" i="16" s="1"/>
  <c r="P76" i="16"/>
  <c r="V76" i="16" s="1"/>
  <c r="B76" i="16" s="1"/>
  <c r="D76" i="16" s="1"/>
  <c r="E76" i="16" s="1"/>
  <c r="F76" i="16" s="1"/>
  <c r="P28" i="16"/>
  <c r="V28" i="16" s="1"/>
  <c r="B28" i="16" s="1"/>
  <c r="W28" i="16" s="1"/>
  <c r="AD276" i="16"/>
  <c r="AD240" i="16"/>
  <c r="AD228" i="16"/>
  <c r="AD180" i="16"/>
  <c r="V149" i="16"/>
  <c r="B149" i="16" s="1"/>
  <c r="AD244" i="16"/>
  <c r="AD84" i="16"/>
  <c r="AD20" i="16"/>
  <c r="AD260" i="16"/>
  <c r="AD176" i="16"/>
  <c r="AD132" i="16"/>
  <c r="AD17" i="16"/>
  <c r="P42" i="16"/>
  <c r="V42" i="16" s="1"/>
  <c r="B42" i="16" s="1"/>
  <c r="D42" i="16" s="1"/>
  <c r="E42" i="16" s="1"/>
  <c r="F42" i="16" s="1"/>
  <c r="AD65" i="16"/>
  <c r="P27" i="16"/>
  <c r="V27" i="16" s="1"/>
  <c r="P92" i="16"/>
  <c r="V92" i="16" s="1"/>
  <c r="B92" i="16" s="1"/>
  <c r="AD208" i="16"/>
  <c r="AD342" i="16"/>
  <c r="AD90" i="16"/>
  <c r="P73" i="16"/>
  <c r="V73" i="16" s="1"/>
  <c r="AD369" i="16"/>
  <c r="P173" i="16"/>
  <c r="V173" i="16" s="1"/>
  <c r="B173" i="16" s="1"/>
  <c r="P91" i="16"/>
  <c r="V91" i="16" s="1"/>
  <c r="B91" i="16" s="1"/>
  <c r="W91" i="16" s="1"/>
  <c r="P114" i="16"/>
  <c r="V114" i="16" s="1"/>
  <c r="B114" i="16" s="1"/>
  <c r="W114" i="16" s="1"/>
  <c r="P69" i="16"/>
  <c r="V69" i="16" s="1"/>
  <c r="B69" i="16" s="1"/>
  <c r="D69" i="16" s="1"/>
  <c r="E69" i="16" s="1"/>
  <c r="F69" i="16" s="1"/>
  <c r="AD227" i="16"/>
  <c r="AD211" i="16"/>
  <c r="AD147" i="16"/>
  <c r="AD55" i="16"/>
  <c r="AD259" i="16"/>
  <c r="P333" i="16"/>
  <c r="D54" i="7" s="1"/>
  <c r="P237" i="16"/>
  <c r="V237" i="16" s="1"/>
  <c r="B237" i="16" s="1"/>
  <c r="D237" i="16" s="1"/>
  <c r="E237" i="16" s="1"/>
  <c r="F237" i="16" s="1"/>
  <c r="G237" i="16" s="1"/>
  <c r="BY237" i="6" s="1"/>
  <c r="P31" i="16"/>
  <c r="V31" i="16" s="1"/>
  <c r="B31" i="16" s="1"/>
  <c r="P188" i="16"/>
  <c r="V188" i="16" s="1"/>
  <c r="B188" i="16" s="1"/>
  <c r="P308" i="16"/>
  <c r="V308" i="16" s="1"/>
  <c r="B308" i="16" s="1"/>
  <c r="P238" i="16"/>
  <c r="V238" i="16" s="1"/>
  <c r="B238" i="16" s="1"/>
  <c r="W238" i="16" s="1"/>
  <c r="P282" i="16"/>
  <c r="V282" i="16" s="1"/>
  <c r="B282" i="16" s="1"/>
  <c r="D282" i="16" s="1"/>
  <c r="E282" i="16" s="1"/>
  <c r="F282" i="16" s="1"/>
  <c r="P215" i="16"/>
  <c r="V215" i="16" s="1"/>
  <c r="B215" i="16" s="1"/>
  <c r="P175" i="16"/>
  <c r="V175" i="16" s="1"/>
  <c r="B175" i="16" s="1"/>
  <c r="D175" i="16" s="1"/>
  <c r="E175" i="16" s="1"/>
  <c r="F175" i="16" s="1"/>
  <c r="G175" i="16" s="1"/>
  <c r="BY175" i="6" s="1"/>
  <c r="P285" i="16"/>
  <c r="V285" i="16" s="1"/>
  <c r="B285" i="16" s="1"/>
  <c r="D285" i="16" s="1"/>
  <c r="E285" i="16" s="1"/>
  <c r="F285" i="16" s="1"/>
  <c r="P365" i="16"/>
  <c r="V365" i="16" s="1"/>
  <c r="B365" i="16" s="1"/>
  <c r="W365" i="16" s="1"/>
  <c r="P349" i="16"/>
  <c r="V349" i="16" s="1"/>
  <c r="B349" i="16" s="1"/>
  <c r="P317" i="16"/>
  <c r="V317" i="16" s="1"/>
  <c r="B317" i="16" s="1"/>
  <c r="D317" i="16" s="1"/>
  <c r="E317" i="16" s="1"/>
  <c r="F317" i="16" s="1"/>
  <c r="G317" i="16" s="1"/>
  <c r="BY317" i="6" s="1"/>
  <c r="P124" i="16"/>
  <c r="V124" i="16" s="1"/>
  <c r="B124" i="16" s="1"/>
  <c r="D124" i="16" s="1"/>
  <c r="E124" i="16" s="1"/>
  <c r="F124" i="16" s="1"/>
  <c r="P132" i="16"/>
  <c r="V132" i="16" s="1"/>
  <c r="B132" i="16" s="1"/>
  <c r="W132" i="16" s="1"/>
  <c r="P166" i="16"/>
  <c r="V166" i="16" s="1"/>
  <c r="B166" i="16" s="1"/>
  <c r="D166" i="16" s="1"/>
  <c r="E166" i="16" s="1"/>
  <c r="F166" i="16" s="1"/>
  <c r="P205" i="16"/>
  <c r="V205" i="16" s="1"/>
  <c r="B205" i="16" s="1"/>
  <c r="W205" i="16" s="1"/>
  <c r="P253" i="16"/>
  <c r="V253" i="16" s="1"/>
  <c r="B253" i="16" s="1"/>
  <c r="P260" i="16"/>
  <c r="V260" i="16" s="1"/>
  <c r="B260" i="16" s="1"/>
  <c r="W260" i="16" s="1"/>
  <c r="P142" i="16"/>
  <c r="V142" i="16" s="1"/>
  <c r="B142" i="16" s="1"/>
  <c r="D142" i="16" s="1"/>
  <c r="E142" i="16" s="1"/>
  <c r="F142" i="16" s="1"/>
  <c r="P174" i="16"/>
  <c r="V174" i="16" s="1"/>
  <c r="B174" i="16" s="1"/>
  <c r="W174" i="16" s="1"/>
  <c r="P286" i="16"/>
  <c r="V286" i="16" s="1"/>
  <c r="B286" i="16" s="1"/>
  <c r="D286" i="16" s="1"/>
  <c r="E286" i="16" s="1"/>
  <c r="F286" i="16" s="1"/>
  <c r="P72" i="16"/>
  <c r="V72" i="16" s="1"/>
  <c r="B72" i="16" s="1"/>
  <c r="P60" i="16"/>
  <c r="P44" i="16"/>
  <c r="V44" i="16" s="1"/>
  <c r="B44" i="16" s="1"/>
  <c r="D44" i="16" s="1"/>
  <c r="E44" i="16" s="1"/>
  <c r="F44" i="16" s="1"/>
  <c r="G44" i="16" s="1"/>
  <c r="BY44" i="6" s="1"/>
  <c r="P24" i="16"/>
  <c r="V24" i="16" s="1"/>
  <c r="B24" i="16" s="1"/>
  <c r="D24" i="16" s="1"/>
  <c r="E24" i="16" s="1"/>
  <c r="F24" i="16" s="1"/>
  <c r="G24" i="16" s="1"/>
  <c r="BY24" i="6" s="1"/>
  <c r="AD292" i="16"/>
  <c r="AD284" i="16"/>
  <c r="AD272" i="16"/>
  <c r="AD252" i="16"/>
  <c r="AD236" i="16"/>
  <c r="AD204" i="16"/>
  <c r="AD172" i="16"/>
  <c r="AD148" i="16"/>
  <c r="AD112" i="16"/>
  <c r="AD100" i="16"/>
  <c r="AD80" i="16"/>
  <c r="AD36" i="16"/>
  <c r="AD28" i="16"/>
  <c r="D261" i="16"/>
  <c r="E261" i="16" s="1"/>
  <c r="F261" i="16" s="1"/>
  <c r="G261" i="16" s="1"/>
  <c r="BY261" i="6" s="1"/>
  <c r="D165" i="16"/>
  <c r="E165" i="16" s="1"/>
  <c r="F165" i="16" s="1"/>
  <c r="G165" i="16" s="1"/>
  <c r="BY165" i="6" s="1"/>
  <c r="W196" i="16"/>
  <c r="W189" i="16"/>
  <c r="D325" i="16"/>
  <c r="E325" i="16" s="1"/>
  <c r="F325" i="16" s="1"/>
  <c r="W257" i="16"/>
  <c r="D265" i="16"/>
  <c r="E265" i="16" s="1"/>
  <c r="F265" i="16" s="1"/>
  <c r="G265" i="16" s="1"/>
  <c r="BY265" i="6" s="1"/>
  <c r="W345" i="16"/>
  <c r="W229" i="16"/>
  <c r="W329" i="16"/>
  <c r="W366" i="16"/>
  <c r="D353" i="16"/>
  <c r="E353" i="16" s="1"/>
  <c r="F353" i="16" s="1"/>
  <c r="G353" i="16" s="1"/>
  <c r="BY353" i="6" s="1"/>
  <c r="D193" i="16"/>
  <c r="E193" i="16" s="1"/>
  <c r="F193" i="16" s="1"/>
  <c r="G193" i="16" s="1"/>
  <c r="BY193" i="6" s="1"/>
  <c r="W225" i="16"/>
  <c r="D301" i="16"/>
  <c r="E301" i="16" s="1"/>
  <c r="F301" i="16" s="1"/>
  <c r="G301" i="16" s="1"/>
  <c r="BY301" i="6" s="1"/>
  <c r="AD250" i="16"/>
  <c r="AD345" i="16"/>
  <c r="AA345" i="16" s="1"/>
  <c r="Z345" i="16" s="1"/>
  <c r="Y345" i="16" s="1"/>
  <c r="AD318" i="16"/>
  <c r="AD298" i="16"/>
  <c r="AD33" i="16"/>
  <c r="AD301" i="16"/>
  <c r="AA301" i="16" s="1"/>
  <c r="Z301" i="16" s="1"/>
  <c r="Y301" i="16" s="1"/>
  <c r="AD233" i="16"/>
  <c r="AD329" i="16"/>
  <c r="AA329" i="16" s="1"/>
  <c r="Z329" i="16" s="1"/>
  <c r="Y329" i="16" s="1"/>
  <c r="AD185" i="16"/>
  <c r="P152" i="16"/>
  <c r="V152" i="16" s="1"/>
  <c r="B152" i="16" s="1"/>
  <c r="AD368" i="16"/>
  <c r="P135" i="16"/>
  <c r="V135" i="16" s="1"/>
  <c r="B135" i="16" s="1"/>
  <c r="D375" i="16"/>
  <c r="E375" i="16" s="1"/>
  <c r="F375" i="16" s="1"/>
  <c r="G375" i="16" s="1"/>
  <c r="BY375" i="6" s="1"/>
  <c r="W98" i="16"/>
  <c r="P123" i="16"/>
  <c r="V123" i="16" s="1"/>
  <c r="B123" i="16" s="1"/>
  <c r="W123" i="16" s="1"/>
  <c r="AD263" i="16"/>
  <c r="AD99" i="16"/>
  <c r="P90" i="16"/>
  <c r="V90" i="16" s="1"/>
  <c r="B90" i="16" s="1"/>
  <c r="D90" i="16" s="1"/>
  <c r="E90" i="16" s="1"/>
  <c r="F90" i="16" s="1"/>
  <c r="G90" i="16" s="1"/>
  <c r="BY90" i="6" s="1"/>
  <c r="AD258" i="16"/>
  <c r="AA258" i="16" s="1"/>
  <c r="Z258" i="16" s="1"/>
  <c r="Y258" i="16" s="1"/>
  <c r="AD50" i="16"/>
  <c r="AD34" i="16"/>
  <c r="AD19" i="16"/>
  <c r="P284" i="16"/>
  <c r="V284" i="16" s="1"/>
  <c r="B284" i="16" s="1"/>
  <c r="W284" i="16" s="1"/>
  <c r="P207" i="16"/>
  <c r="V207" i="16" s="1"/>
  <c r="B207" i="16" s="1"/>
  <c r="P320" i="16"/>
  <c r="V320" i="16" s="1"/>
  <c r="B320" i="16" s="1"/>
  <c r="P117" i="16"/>
  <c r="V117" i="16" s="1"/>
  <c r="B117" i="16" s="1"/>
  <c r="D117" i="16" s="1"/>
  <c r="E117" i="16" s="1"/>
  <c r="F117" i="16" s="1"/>
  <c r="P252" i="16"/>
  <c r="V252" i="16" s="1"/>
  <c r="B252" i="16" s="1"/>
  <c r="D252" i="16" s="1"/>
  <c r="E252" i="16" s="1"/>
  <c r="F252" i="16" s="1"/>
  <c r="P220" i="16"/>
  <c r="V220" i="16" s="1"/>
  <c r="B220" i="16" s="1"/>
  <c r="P192" i="16"/>
  <c r="V192" i="16" s="1"/>
  <c r="B192" i="16" s="1"/>
  <c r="D192" i="16" s="1"/>
  <c r="E192" i="16" s="1"/>
  <c r="F192" i="16" s="1"/>
  <c r="P159" i="16"/>
  <c r="V159" i="16" s="1"/>
  <c r="B159" i="16" s="1"/>
  <c r="P298" i="16"/>
  <c r="V298" i="16" s="1"/>
  <c r="B298" i="16" s="1"/>
  <c r="D298" i="16" s="1"/>
  <c r="E298" i="16" s="1"/>
  <c r="F298" i="16" s="1"/>
  <c r="G298" i="16" s="1"/>
  <c r="BY298" i="6" s="1"/>
  <c r="P156" i="16"/>
  <c r="V156" i="16" s="1"/>
  <c r="B156" i="16" s="1"/>
  <c r="W156" i="16" s="1"/>
  <c r="P34" i="16"/>
  <c r="V34" i="16" s="1"/>
  <c r="B34" i="16" s="1"/>
  <c r="W34" i="16" s="1"/>
  <c r="AD290" i="16"/>
  <c r="AD122" i="16"/>
  <c r="AD106" i="16"/>
  <c r="AD66" i="16"/>
  <c r="AD58" i="16"/>
  <c r="P218" i="16"/>
  <c r="V218" i="16" s="1"/>
  <c r="B218" i="16" s="1"/>
  <c r="P186" i="16"/>
  <c r="V186" i="16" s="1"/>
  <c r="B186" i="16" s="1"/>
  <c r="D186" i="16" s="1"/>
  <c r="E186" i="16" s="1"/>
  <c r="F186" i="16" s="1"/>
  <c r="W133" i="16"/>
  <c r="W245" i="16"/>
  <c r="D235" i="16"/>
  <c r="E235" i="16" s="1"/>
  <c r="F235" i="16" s="1"/>
  <c r="D371" i="16"/>
  <c r="E371" i="16" s="1"/>
  <c r="F371" i="16" s="1"/>
  <c r="G371" i="16" s="1"/>
  <c r="BY371" i="6" s="1"/>
  <c r="W277" i="16"/>
  <c r="W350" i="16"/>
  <c r="P147" i="16"/>
  <c r="V147" i="16" s="1"/>
  <c r="B147" i="16" s="1"/>
  <c r="W147" i="16" s="1"/>
  <c r="P83" i="16"/>
  <c r="V83" i="16" s="1"/>
  <c r="B83" i="16" s="1"/>
  <c r="D83" i="16" s="1"/>
  <c r="E83" i="16" s="1"/>
  <c r="F83" i="16" s="1"/>
  <c r="P94" i="16"/>
  <c r="V94" i="16" s="1"/>
  <c r="B94" i="16" s="1"/>
  <c r="D94" i="16" s="1"/>
  <c r="E94" i="16" s="1"/>
  <c r="F94" i="16" s="1"/>
  <c r="AD222" i="16"/>
  <c r="P67" i="16"/>
  <c r="V67" i="16" s="1"/>
  <c r="B67" i="16" s="1"/>
  <c r="P368" i="16"/>
  <c r="V368" i="16" s="1"/>
  <c r="B368" i="16" s="1"/>
  <c r="W368" i="16" s="1"/>
  <c r="P184" i="16"/>
  <c r="V184" i="16" s="1"/>
  <c r="B184" i="16" s="1"/>
  <c r="P129" i="16"/>
  <c r="V129" i="16" s="1"/>
  <c r="B129" i="16" s="1"/>
  <c r="W129" i="16" s="1"/>
  <c r="P259" i="16"/>
  <c r="V259" i="16" s="1"/>
  <c r="B259" i="16" s="1"/>
  <c r="D259" i="16" s="1"/>
  <c r="E259" i="16" s="1"/>
  <c r="F259" i="16" s="1"/>
  <c r="P85" i="16"/>
  <c r="V85" i="16" s="1"/>
  <c r="B85" i="16" s="1"/>
  <c r="AI381" i="16"/>
  <c r="P78" i="16"/>
  <c r="V78" i="16" s="1"/>
  <c r="B78" i="16" s="1"/>
  <c r="P46" i="16"/>
  <c r="V46" i="16" s="1"/>
  <c r="B46" i="16" s="1"/>
  <c r="D46" i="16" s="1"/>
  <c r="E46" i="16" s="1"/>
  <c r="F46" i="16" s="1"/>
  <c r="P22" i="16"/>
  <c r="V22" i="16" s="1"/>
  <c r="B22" i="16" s="1"/>
  <c r="D22" i="16" s="1"/>
  <c r="E22" i="16" s="1"/>
  <c r="F22" i="16" s="1"/>
  <c r="AD262" i="16"/>
  <c r="AD182" i="16"/>
  <c r="AD166" i="16"/>
  <c r="P179" i="16"/>
  <c r="V179" i="16" s="1"/>
  <c r="B179" i="16" s="1"/>
  <c r="W179" i="16" s="1"/>
  <c r="P131" i="16"/>
  <c r="V131" i="16" s="1"/>
  <c r="B131" i="16" s="1"/>
  <c r="W131" i="16" s="1"/>
  <c r="P109" i="16"/>
  <c r="V109" i="16" s="1"/>
  <c r="B109" i="16" s="1"/>
  <c r="W109" i="16" s="1"/>
  <c r="P61" i="16"/>
  <c r="V61" i="16" s="1"/>
  <c r="B61" i="16" s="1"/>
  <c r="P110" i="16"/>
  <c r="V110" i="16" s="1"/>
  <c r="B110" i="16" s="1"/>
  <c r="D110" i="16" s="1"/>
  <c r="E110" i="16" s="1"/>
  <c r="F110" i="16" s="1"/>
  <c r="P162" i="16"/>
  <c r="V162" i="16" s="1"/>
  <c r="B162" i="16" s="1"/>
  <c r="AD269" i="16"/>
  <c r="AD245" i="16"/>
  <c r="AA245" i="16" s="1"/>
  <c r="Z245" i="16" s="1"/>
  <c r="Y245" i="16" s="1"/>
  <c r="AD181" i="16"/>
  <c r="AA181" i="16" s="1"/>
  <c r="Z181" i="16" s="1"/>
  <c r="Y181" i="16" s="1"/>
  <c r="AD85" i="16"/>
  <c r="P339" i="16"/>
  <c r="V339" i="16" s="1"/>
  <c r="B339" i="16" s="1"/>
  <c r="D339" i="16" s="1"/>
  <c r="E339" i="16" s="1"/>
  <c r="F339" i="16" s="1"/>
  <c r="P323" i="16"/>
  <c r="V323" i="16" s="1"/>
  <c r="B323" i="16" s="1"/>
  <c r="P187" i="16"/>
  <c r="V187" i="16" s="1"/>
  <c r="B187" i="16" s="1"/>
  <c r="AD359" i="16"/>
  <c r="AD335" i="16"/>
  <c r="AD307" i="16"/>
  <c r="AD271" i="16"/>
  <c r="AD187" i="16"/>
  <c r="AD127" i="16"/>
  <c r="AD47" i="16"/>
  <c r="AD364" i="16"/>
  <c r="AD344" i="16"/>
  <c r="AD320" i="16"/>
  <c r="AD300" i="16"/>
  <c r="AA300" i="16" s="1"/>
  <c r="Z300" i="16" s="1"/>
  <c r="Y300" i="16" s="1"/>
  <c r="W273" i="16"/>
  <c r="W258" i="16"/>
  <c r="W317" i="16"/>
  <c r="P51" i="16"/>
  <c r="V51" i="16" s="1"/>
  <c r="B51" i="16" s="1"/>
  <c r="W51" i="16" s="1"/>
  <c r="P19" i="16"/>
  <c r="V19" i="16" s="1"/>
  <c r="B19" i="16" s="1"/>
  <c r="P139" i="16"/>
  <c r="V139" i="16" s="1"/>
  <c r="B139" i="16" s="1"/>
  <c r="P275" i="16"/>
  <c r="V275" i="16" s="1"/>
  <c r="B275" i="16" s="1"/>
  <c r="P363" i="16"/>
  <c r="P307" i="16"/>
  <c r="V307" i="16" s="1"/>
  <c r="B307" i="16" s="1"/>
  <c r="P291" i="16"/>
  <c r="V291" i="16" s="1"/>
  <c r="B291" i="16" s="1"/>
  <c r="D291" i="16" s="1"/>
  <c r="E291" i="16" s="1"/>
  <c r="F291" i="16" s="1"/>
  <c r="P267" i="16"/>
  <c r="V267" i="16" s="1"/>
  <c r="B267" i="16" s="1"/>
  <c r="P251" i="16"/>
  <c r="V251" i="16" s="1"/>
  <c r="B251" i="16" s="1"/>
  <c r="P194" i="16"/>
  <c r="V194" i="16" s="1"/>
  <c r="B194" i="16" s="1"/>
  <c r="P171" i="16"/>
  <c r="V171" i="16" s="1"/>
  <c r="B171" i="16" s="1"/>
  <c r="W171" i="16" s="1"/>
  <c r="P155" i="16"/>
  <c r="V155" i="16" s="1"/>
  <c r="B155" i="16" s="1"/>
  <c r="P115" i="16"/>
  <c r="V115" i="16" s="1"/>
  <c r="B115" i="16" s="1"/>
  <c r="D115" i="16" s="1"/>
  <c r="E115" i="16" s="1"/>
  <c r="F115" i="16" s="1"/>
  <c r="P102" i="16"/>
  <c r="V102" i="16" s="1"/>
  <c r="B102" i="16" s="1"/>
  <c r="P126" i="16"/>
  <c r="V126" i="16" s="1"/>
  <c r="B126" i="16" s="1"/>
  <c r="D126" i="16" s="1"/>
  <c r="E126" i="16" s="1"/>
  <c r="F126" i="16" s="1"/>
  <c r="AD261" i="16"/>
  <c r="AD213" i="16"/>
  <c r="AA213" i="16" s="1"/>
  <c r="Z213" i="16" s="1"/>
  <c r="Y213" i="16" s="1"/>
  <c r="AD157" i="16"/>
  <c r="AD374" i="16"/>
  <c r="P370" i="16"/>
  <c r="V370" i="16" s="1"/>
  <c r="B370" i="16" s="1"/>
  <c r="P331" i="16"/>
  <c r="V331" i="16" s="1"/>
  <c r="B331" i="16" s="1"/>
  <c r="P211" i="16"/>
  <c r="V211" i="16" s="1"/>
  <c r="B211" i="16" s="1"/>
  <c r="AD375" i="16"/>
  <c r="AD347" i="16"/>
  <c r="AD315" i="16"/>
  <c r="AD299" i="16"/>
  <c r="AD239" i="16"/>
  <c r="AD171" i="16"/>
  <c r="AD79" i="16"/>
  <c r="AD31" i="16"/>
  <c r="AD352" i="16"/>
  <c r="AD336" i="16"/>
  <c r="AD312" i="16"/>
  <c r="P264" i="16"/>
  <c r="V264" i="16" s="1"/>
  <c r="B264" i="16" s="1"/>
  <c r="D52" i="7"/>
  <c r="V272" i="16"/>
  <c r="B272" i="16" s="1"/>
  <c r="W105" i="16"/>
  <c r="D105" i="16"/>
  <c r="E105" i="16" s="1"/>
  <c r="F105" i="16" s="1"/>
  <c r="W157" i="16"/>
  <c r="D157" i="16"/>
  <c r="E157" i="16" s="1"/>
  <c r="F157" i="16" s="1"/>
  <c r="S239" i="16"/>
  <c r="R239" i="16" s="1"/>
  <c r="P239" i="16" s="1"/>
  <c r="V239" i="16" s="1"/>
  <c r="B239" i="16" s="1"/>
  <c r="T16" i="16"/>
  <c r="U381" i="16"/>
  <c r="U382" i="16"/>
  <c r="P232" i="16"/>
  <c r="V232" i="16" s="1"/>
  <c r="B232" i="16" s="1"/>
  <c r="P82" i="16"/>
  <c r="V82" i="16" s="1"/>
  <c r="B82" i="16" s="1"/>
  <c r="P170" i="16"/>
  <c r="V170" i="16" s="1"/>
  <c r="B170" i="16" s="1"/>
  <c r="AD377" i="16"/>
  <c r="AD361" i="16"/>
  <c r="AD353" i="16"/>
  <c r="AA353" i="16" s="1"/>
  <c r="Z353" i="16" s="1"/>
  <c r="Y353" i="16" s="1"/>
  <c r="AD325" i="16"/>
  <c r="AD317" i="16"/>
  <c r="AA317" i="16" s="1"/>
  <c r="Z317" i="16" s="1"/>
  <c r="Y317" i="16" s="1"/>
  <c r="AD297" i="16"/>
  <c r="AD289" i="16"/>
  <c r="AD281" i="16"/>
  <c r="AD201" i="16"/>
  <c r="AD193" i="16"/>
  <c r="AD169" i="16"/>
  <c r="AD145" i="16"/>
  <c r="AD137" i="16"/>
  <c r="AD121" i="16"/>
  <c r="AA121" i="16" s="1"/>
  <c r="Z121" i="16" s="1"/>
  <c r="Y121" i="16" s="1"/>
  <c r="AD113" i="16"/>
  <c r="AD97" i="16"/>
  <c r="AD57" i="16"/>
  <c r="AD25" i="16"/>
  <c r="AD354" i="16"/>
  <c r="AD334" i="16"/>
  <c r="AD326" i="16"/>
  <c r="AA326" i="16" s="1"/>
  <c r="Z326" i="16" s="1"/>
  <c r="Y326" i="16" s="1"/>
  <c r="AD310" i="16"/>
  <c r="P346" i="16"/>
  <c r="V346" i="16" s="1"/>
  <c r="B346" i="16" s="1"/>
  <c r="P314" i="16"/>
  <c r="V314" i="16" s="1"/>
  <c r="B314" i="16" s="1"/>
  <c r="W314" i="16" s="1"/>
  <c r="P351" i="16"/>
  <c r="V351" i="16" s="1"/>
  <c r="B351" i="16" s="1"/>
  <c r="P311" i="16"/>
  <c r="V311" i="16" s="1"/>
  <c r="B311" i="16" s="1"/>
  <c r="P295" i="16"/>
  <c r="V295" i="16" s="1"/>
  <c r="B295" i="16" s="1"/>
  <c r="P263" i="16"/>
  <c r="V263" i="16" s="1"/>
  <c r="B263" i="16" s="1"/>
  <c r="W263" i="16" s="1"/>
  <c r="P280" i="16"/>
  <c r="V280" i="16" s="1"/>
  <c r="B280" i="16" s="1"/>
  <c r="AD283" i="16"/>
  <c r="AD231" i="16"/>
  <c r="AD215" i="16"/>
  <c r="AD195" i="16"/>
  <c r="AD163" i="16"/>
  <c r="AD67" i="16"/>
  <c r="AD358" i="16"/>
  <c r="AD306" i="16"/>
  <c r="AD274" i="16"/>
  <c r="AD333" i="16"/>
  <c r="AD346" i="16"/>
  <c r="AD242" i="16"/>
  <c r="AD225" i="16"/>
  <c r="AA225" i="16" s="1"/>
  <c r="Z225" i="16" s="1"/>
  <c r="Y225" i="16" s="1"/>
  <c r="AD153" i="16"/>
  <c r="AD41" i="16"/>
  <c r="AD16" i="16"/>
  <c r="AD73" i="16"/>
  <c r="AD49" i="16"/>
  <c r="P50" i="16"/>
  <c r="V50" i="16" s="1"/>
  <c r="B50" i="16" s="1"/>
  <c r="P58" i="16"/>
  <c r="V58" i="16" s="1"/>
  <c r="B58" i="16" s="1"/>
  <c r="AD305" i="16"/>
  <c r="AD217" i="16"/>
  <c r="AD349" i="16"/>
  <c r="AD309" i="16"/>
  <c r="AD249" i="16"/>
  <c r="AA249" i="16" s="1"/>
  <c r="Z249" i="16" s="1"/>
  <c r="Y249" i="16" s="1"/>
  <c r="P143" i="16"/>
  <c r="V143" i="16" s="1"/>
  <c r="B143" i="16" s="1"/>
  <c r="P18" i="16"/>
  <c r="V18" i="16" s="1"/>
  <c r="B18" i="16" s="1"/>
  <c r="AD338" i="16"/>
  <c r="AD186" i="16"/>
  <c r="AD275" i="16"/>
  <c r="AD247" i="16"/>
  <c r="AD115" i="16"/>
  <c r="AD87" i="16"/>
  <c r="AD35" i="16"/>
  <c r="P75" i="16"/>
  <c r="V75" i="16" s="1"/>
  <c r="B75" i="16" s="1"/>
  <c r="D75" i="16" s="1"/>
  <c r="E75" i="16" s="1"/>
  <c r="F75" i="16" s="1"/>
  <c r="G75" i="16" s="1"/>
  <c r="BY75" i="6" s="1"/>
  <c r="P138" i="16"/>
  <c r="V138" i="16" s="1"/>
  <c r="B138" i="16" s="1"/>
  <c r="AD370" i="16"/>
  <c r="AD322" i="16"/>
  <c r="AD154" i="16"/>
  <c r="AD26" i="16"/>
  <c r="P45" i="16"/>
  <c r="V45" i="16" s="1"/>
  <c r="B45" i="16" s="1"/>
  <c r="D45" i="16" s="1"/>
  <c r="E45" i="16" s="1"/>
  <c r="F45" i="16" s="1"/>
  <c r="AD51" i="16"/>
  <c r="P25" i="16"/>
  <c r="V25" i="16" s="1"/>
  <c r="B25" i="16" s="1"/>
  <c r="D25" i="16" s="1"/>
  <c r="E25" i="16" s="1"/>
  <c r="F25" i="16" s="1"/>
  <c r="AD23" i="16"/>
  <c r="P247" i="16"/>
  <c r="V247" i="16" s="1"/>
  <c r="B247" i="16" s="1"/>
  <c r="W247" i="16" s="1"/>
  <c r="P231" i="16"/>
  <c r="V231" i="16" s="1"/>
  <c r="B231" i="16" s="1"/>
  <c r="P200" i="16"/>
  <c r="V200" i="16" s="1"/>
  <c r="B200" i="16" s="1"/>
  <c r="W200" i="16" s="1"/>
  <c r="P287" i="16"/>
  <c r="V287" i="16" s="1"/>
  <c r="B287" i="16" s="1"/>
  <c r="P81" i="16"/>
  <c r="V81" i="16" s="1"/>
  <c r="B81" i="16" s="1"/>
  <c r="D81" i="16" s="1"/>
  <c r="E81" i="16" s="1"/>
  <c r="F81" i="16" s="1"/>
  <c r="P362" i="16"/>
  <c r="V362" i="16" s="1"/>
  <c r="B362" i="16" s="1"/>
  <c r="P255" i="16"/>
  <c r="V255" i="16" s="1"/>
  <c r="B255" i="16" s="1"/>
  <c r="P256" i="16"/>
  <c r="V256" i="16" s="1"/>
  <c r="B256" i="16" s="1"/>
  <c r="P191" i="16"/>
  <c r="V191" i="16" s="1"/>
  <c r="B191" i="16" s="1"/>
  <c r="P223" i="16"/>
  <c r="V223" i="16" s="1"/>
  <c r="B223" i="16" s="1"/>
  <c r="P183" i="16"/>
  <c r="V183" i="16" s="1"/>
  <c r="B183" i="16" s="1"/>
  <c r="P167" i="16"/>
  <c r="V167" i="16" s="1"/>
  <c r="B167" i="16" s="1"/>
  <c r="AI382" i="16"/>
  <c r="U383" i="16"/>
  <c r="P74" i="16"/>
  <c r="V74" i="16" s="1"/>
  <c r="B74" i="16" s="1"/>
  <c r="P26" i="16"/>
  <c r="V26" i="16" s="1"/>
  <c r="B26" i="16" s="1"/>
  <c r="AD282" i="16"/>
  <c r="AD266" i="16"/>
  <c r="AD218" i="16"/>
  <c r="AD210" i="16"/>
  <c r="AD178" i="16"/>
  <c r="AD170" i="16"/>
  <c r="AD162" i="16"/>
  <c r="AD138" i="16"/>
  <c r="AD130" i="16"/>
  <c r="AD98" i="16"/>
  <c r="AA98" i="16" s="1"/>
  <c r="Z98" i="16" s="1"/>
  <c r="Y98" i="16" s="1"/>
  <c r="AD82" i="16"/>
  <c r="AD42" i="16"/>
  <c r="P312" i="16"/>
  <c r="V312" i="16" s="1"/>
  <c r="B312" i="16" s="1"/>
  <c r="W312" i="16" s="1"/>
  <c r="P250" i="16"/>
  <c r="V250" i="16" s="1"/>
  <c r="B250" i="16" s="1"/>
  <c r="P234" i="16"/>
  <c r="V234" i="16" s="1"/>
  <c r="B234" i="16" s="1"/>
  <c r="D234" i="16" s="1"/>
  <c r="E234" i="16" s="1"/>
  <c r="F234" i="16" s="1"/>
  <c r="P202" i="16"/>
  <c r="V202" i="16" s="1"/>
  <c r="B202" i="16" s="1"/>
  <c r="P107" i="16"/>
  <c r="V107" i="16" s="1"/>
  <c r="B107" i="16" s="1"/>
  <c r="W107" i="16" s="1"/>
  <c r="P136" i="16"/>
  <c r="V136" i="16" s="1"/>
  <c r="B136" i="16" s="1"/>
  <c r="D136" i="16" s="1"/>
  <c r="E136" i="16" s="1"/>
  <c r="F136" i="16" s="1"/>
  <c r="U12" i="17"/>
  <c r="U16" i="7" s="1"/>
  <c r="T379" i="16"/>
  <c r="S379" i="16" s="1"/>
  <c r="R379" i="16" s="1"/>
  <c r="P379" i="16" s="1"/>
  <c r="P16" i="7"/>
  <c r="V11" i="7" s="1"/>
  <c r="U11" i="17" s="1"/>
  <c r="U10" i="17" s="1"/>
  <c r="AI184" i="17" s="1"/>
  <c r="AH184" i="17" s="1"/>
  <c r="AG184" i="17" s="1"/>
  <c r="AF184" i="17" s="1"/>
  <c r="S227" i="16"/>
  <c r="R227" i="16" s="1"/>
  <c r="P227" i="16" s="1"/>
  <c r="V227" i="16" s="1"/>
  <c r="B227" i="16" s="1"/>
  <c r="S203" i="16"/>
  <c r="R203" i="16" s="1"/>
  <c r="P203" i="16" s="1"/>
  <c r="V203" i="16" s="1"/>
  <c r="B203" i="16" s="1"/>
  <c r="S268" i="16"/>
  <c r="R268" i="16" s="1"/>
  <c r="P268" i="16" s="1"/>
  <c r="V268" i="16" s="1"/>
  <c r="B268" i="16" s="1"/>
  <c r="S332" i="16"/>
  <c r="R332" i="16" s="1"/>
  <c r="P332" i="16" s="1"/>
  <c r="V332" i="16" s="1"/>
  <c r="B332" i="16" s="1"/>
  <c r="D332" i="16" s="1"/>
  <c r="E332" i="16" s="1"/>
  <c r="F332" i="16" s="1"/>
  <c r="S306" i="16"/>
  <c r="R306" i="16" s="1"/>
  <c r="P306" i="16" s="1"/>
  <c r="V306" i="16" s="1"/>
  <c r="B306" i="16" s="1"/>
  <c r="S348" i="16"/>
  <c r="R348" i="16" s="1"/>
  <c r="P348" i="16" s="1"/>
  <c r="V348" i="16" s="1"/>
  <c r="B348" i="16" s="1"/>
  <c r="S344" i="16"/>
  <c r="R344" i="16" s="1"/>
  <c r="P344" i="16" s="1"/>
  <c r="V344" i="16" s="1"/>
  <c r="B344" i="16" s="1"/>
  <c r="AG95" i="16"/>
  <c r="AF95" i="16" s="1"/>
  <c r="AD95" i="16" s="1"/>
  <c r="AA95" i="16" s="1"/>
  <c r="Z95" i="16" s="1"/>
  <c r="Y95" i="16" s="1"/>
  <c r="AI12" i="17"/>
  <c r="AH379" i="16"/>
  <c r="P216" i="16"/>
  <c r="V216" i="16" s="1"/>
  <c r="B216" i="16" s="1"/>
  <c r="P35" i="16"/>
  <c r="V35" i="16" s="1"/>
  <c r="B35" i="16" s="1"/>
  <c r="D35" i="16" s="1"/>
  <c r="E35" i="16" s="1"/>
  <c r="F35" i="16" s="1"/>
  <c r="P77" i="16"/>
  <c r="V77" i="16" s="1"/>
  <c r="B77" i="16" s="1"/>
  <c r="P86" i="16"/>
  <c r="V86" i="16" s="1"/>
  <c r="B86" i="16" s="1"/>
  <c r="P106" i="16"/>
  <c r="V106" i="16" s="1"/>
  <c r="B106" i="16" s="1"/>
  <c r="P122" i="16"/>
  <c r="V122" i="16" s="1"/>
  <c r="B122" i="16" s="1"/>
  <c r="P130" i="16"/>
  <c r="V130" i="16" s="1"/>
  <c r="B130" i="16" s="1"/>
  <c r="P146" i="16"/>
  <c r="V146" i="16" s="1"/>
  <c r="B146" i="16" s="1"/>
  <c r="P154" i="16"/>
  <c r="V154" i="16" s="1"/>
  <c r="B154" i="16" s="1"/>
  <c r="P29" i="16"/>
  <c r="AD365" i="16"/>
  <c r="AD357" i="16"/>
  <c r="AD337" i="16"/>
  <c r="AD321" i="16"/>
  <c r="AA321" i="16" s="1"/>
  <c r="Z321" i="16" s="1"/>
  <c r="Y321" i="16" s="1"/>
  <c r="AD313" i="16"/>
  <c r="AD293" i="16"/>
  <c r="AD285" i="16"/>
  <c r="AD273" i="16"/>
  <c r="AD265" i="16"/>
  <c r="AD257" i="16"/>
  <c r="AA257" i="16" s="1"/>
  <c r="Z257" i="16" s="1"/>
  <c r="Y257" i="16" s="1"/>
  <c r="AD241" i="16"/>
  <c r="AD209" i="16"/>
  <c r="AD197" i="16"/>
  <c r="AD189" i="16"/>
  <c r="AA189" i="16" s="1"/>
  <c r="Z189" i="16" s="1"/>
  <c r="Y189" i="16" s="1"/>
  <c r="AD177" i="16"/>
  <c r="AA177" i="16" s="1"/>
  <c r="Z177" i="16" s="1"/>
  <c r="Y177" i="16" s="1"/>
  <c r="AD161" i="16"/>
  <c r="AD149" i="16"/>
  <c r="AD141" i="16"/>
  <c r="AD129" i="16"/>
  <c r="AD117" i="16"/>
  <c r="AD101" i="16"/>
  <c r="AD89" i="16"/>
  <c r="AA89" i="16" s="1"/>
  <c r="Z89" i="16" s="1"/>
  <c r="Y89" i="16" s="1"/>
  <c r="AD81" i="16"/>
  <c r="AD45" i="16"/>
  <c r="AD378" i="16"/>
  <c r="AD362" i="16"/>
  <c r="AD350" i="16"/>
  <c r="AA350" i="16" s="1"/>
  <c r="Z350" i="16" s="1"/>
  <c r="Y350" i="16" s="1"/>
  <c r="AD330" i="16"/>
  <c r="AD314" i="16"/>
  <c r="P352" i="16"/>
  <c r="V352" i="16" s="1"/>
  <c r="B352" i="16" s="1"/>
  <c r="P354" i="16"/>
  <c r="V354" i="16" s="1"/>
  <c r="B354" i="16" s="1"/>
  <c r="P330" i="16"/>
  <c r="V330" i="16" s="1"/>
  <c r="B330" i="16" s="1"/>
  <c r="D330" i="16" s="1"/>
  <c r="E330" i="16" s="1"/>
  <c r="F330" i="16" s="1"/>
  <c r="P367" i="16"/>
  <c r="V367" i="16" s="1"/>
  <c r="B367" i="16" s="1"/>
  <c r="P343" i="16"/>
  <c r="V343" i="16" s="1"/>
  <c r="B343" i="16" s="1"/>
  <c r="D343" i="16" s="1"/>
  <c r="E343" i="16" s="1"/>
  <c r="F343" i="16" s="1"/>
  <c r="P335" i="16"/>
  <c r="V335" i="16" s="1"/>
  <c r="B335" i="16" s="1"/>
  <c r="P327" i="16"/>
  <c r="V327" i="16" s="1"/>
  <c r="B327" i="16" s="1"/>
  <c r="P319" i="16"/>
  <c r="V319" i="16" s="1"/>
  <c r="B319" i="16" s="1"/>
  <c r="P303" i="16"/>
  <c r="V303" i="16" s="1"/>
  <c r="B303" i="16" s="1"/>
  <c r="P279" i="16"/>
  <c r="V279" i="16" s="1"/>
  <c r="B279" i="16" s="1"/>
  <c r="P288" i="16"/>
  <c r="V288" i="16" s="1"/>
  <c r="B288" i="16" s="1"/>
  <c r="W288" i="16" s="1"/>
  <c r="P113" i="16"/>
  <c r="V113" i="16" s="1"/>
  <c r="B113" i="16" s="1"/>
  <c r="P195" i="16"/>
  <c r="V195" i="16" s="1"/>
  <c r="B195" i="16" s="1"/>
  <c r="P125" i="16"/>
  <c r="V125" i="16" s="1"/>
  <c r="B125" i="16" s="1"/>
  <c r="AD371" i="16"/>
  <c r="AD351" i="16"/>
  <c r="AD343" i="16"/>
  <c r="AD319" i="16"/>
  <c r="AD311" i="16"/>
  <c r="AD303" i="16"/>
  <c r="AD291" i="16"/>
  <c r="AD279" i="16"/>
  <c r="AD243" i="16"/>
  <c r="AD235" i="16"/>
  <c r="AD219" i="16"/>
  <c r="AD199" i="16"/>
  <c r="AD191" i="16"/>
  <c r="AD179" i="16"/>
  <c r="AD167" i="16"/>
  <c r="AD155" i="16"/>
  <c r="AD119" i="16"/>
  <c r="AD71" i="16"/>
  <c r="AD59" i="16"/>
  <c r="AD39" i="16"/>
  <c r="AD376" i="16"/>
  <c r="AD356" i="16"/>
  <c r="AD348" i="16"/>
  <c r="AD340" i="16"/>
  <c r="AD332" i="16"/>
  <c r="AD316" i="16"/>
  <c r="AA316" i="16" s="1"/>
  <c r="Z316" i="16" s="1"/>
  <c r="Y316" i="16" s="1"/>
  <c r="AD308" i="16"/>
  <c r="AI383" i="16"/>
  <c r="D379" i="15"/>
  <c r="E379" i="15" s="1"/>
  <c r="F379" i="15" s="1"/>
  <c r="W316" i="16"/>
  <c r="W237" i="16"/>
  <c r="H88" i="15"/>
  <c r="I88" i="15" s="1"/>
  <c r="G88" i="15"/>
  <c r="BX88" i="6" s="1"/>
  <c r="W321" i="16"/>
  <c r="Q356" i="17"/>
  <c r="Q292" i="17"/>
  <c r="Q168" i="17"/>
  <c r="Q324" i="17"/>
  <c r="Q232" i="17"/>
  <c r="Q104" i="17"/>
  <c r="Q372" i="17"/>
  <c r="Q340" i="17"/>
  <c r="Q308" i="17"/>
  <c r="Q264" i="17"/>
  <c r="Q200" i="17"/>
  <c r="Q136" i="17"/>
  <c r="Q72" i="17"/>
  <c r="AA171" i="15"/>
  <c r="Z171" i="15" s="1"/>
  <c r="Y171" i="15" s="1"/>
  <c r="W182" i="16"/>
  <c r="D114" i="16"/>
  <c r="E114" i="16" s="1"/>
  <c r="F114" i="16" s="1"/>
  <c r="AA114" i="16" s="1"/>
  <c r="Z114" i="16" s="1"/>
  <c r="Y114" i="16" s="1"/>
  <c r="Q364" i="17"/>
  <c r="Q348" i="17"/>
  <c r="Q332" i="17"/>
  <c r="Q316" i="17"/>
  <c r="Q300" i="17"/>
  <c r="Q280" i="17"/>
  <c r="Q248" i="17"/>
  <c r="Q216" i="17"/>
  <c r="Q184" i="17"/>
  <c r="Q152" i="17"/>
  <c r="Q120" i="17"/>
  <c r="Q88" i="17"/>
  <c r="Q56" i="17"/>
  <c r="V210" i="16"/>
  <c r="G316" i="16"/>
  <c r="BY316" i="6" s="1"/>
  <c r="H197" i="15"/>
  <c r="J197" i="15" s="1"/>
  <c r="D33" i="16"/>
  <c r="E33" i="16" s="1"/>
  <c r="F33" i="16" s="1"/>
  <c r="G33" i="16" s="1"/>
  <c r="BY33" i="6" s="1"/>
  <c r="G326" i="16"/>
  <c r="BY326" i="6" s="1"/>
  <c r="V88" i="16"/>
  <c r="B88" i="16" s="1"/>
  <c r="AA17" i="15"/>
  <c r="Z17" i="15" s="1"/>
  <c r="Y17" i="15" s="1"/>
  <c r="G366" i="16"/>
  <c r="BY366" i="6" s="1"/>
  <c r="AA197" i="15"/>
  <c r="Z197" i="15" s="1"/>
  <c r="Y197" i="15" s="1"/>
  <c r="G258" i="16"/>
  <c r="BY258" i="6" s="1"/>
  <c r="G89" i="16"/>
  <c r="BY89" i="6" s="1"/>
  <c r="G213" i="16"/>
  <c r="BY213" i="6" s="1"/>
  <c r="Q40" i="17"/>
  <c r="H108" i="15"/>
  <c r="J108" i="15" s="1"/>
  <c r="G95" i="16"/>
  <c r="BY95" i="6" s="1"/>
  <c r="AA196" i="16"/>
  <c r="Z196" i="16" s="1"/>
  <c r="Y196" i="16" s="1"/>
  <c r="AA229" i="16"/>
  <c r="Z229" i="16" s="1"/>
  <c r="Y229" i="16" s="1"/>
  <c r="AA133" i="16"/>
  <c r="Z133" i="16" s="1"/>
  <c r="Y133" i="16" s="1"/>
  <c r="AA108" i="15"/>
  <c r="Z108" i="15" s="1"/>
  <c r="Y108" i="15" s="1"/>
  <c r="AA240" i="16"/>
  <c r="Z240" i="16" s="1"/>
  <c r="Y240" i="16" s="1"/>
  <c r="AA273" i="16"/>
  <c r="Z273" i="16" s="1"/>
  <c r="Y273" i="16" s="1"/>
  <c r="G224" i="16"/>
  <c r="BY224" i="6" s="1"/>
  <c r="AA224" i="16"/>
  <c r="Z224" i="16" s="1"/>
  <c r="Y224" i="16" s="1"/>
  <c r="G206" i="16"/>
  <c r="BY206" i="6" s="1"/>
  <c r="G257" i="16"/>
  <c r="BY257" i="6" s="1"/>
  <c r="G63" i="16"/>
  <c r="BY63" i="6" s="1"/>
  <c r="AA63" i="16"/>
  <c r="Z63" i="16" s="1"/>
  <c r="Y63" i="16" s="1"/>
  <c r="G334" i="16"/>
  <c r="BY334" i="6" s="1"/>
  <c r="AA334" i="16"/>
  <c r="Z334" i="16" s="1"/>
  <c r="Y334" i="16" s="1"/>
  <c r="AA182" i="16"/>
  <c r="Z182" i="16" s="1"/>
  <c r="Y182" i="16" s="1"/>
  <c r="G182" i="16"/>
  <c r="BY182" i="6" s="1"/>
  <c r="G121" i="16"/>
  <c r="BY121" i="6" s="1"/>
  <c r="B199" i="16"/>
  <c r="B93" i="16"/>
  <c r="B73" i="16"/>
  <c r="B374" i="16"/>
  <c r="B274" i="16"/>
  <c r="W228" i="16"/>
  <c r="D228" i="16"/>
  <c r="E228" i="16" s="1"/>
  <c r="F228" i="16" s="1"/>
  <c r="B222" i="16"/>
  <c r="B296" i="16"/>
  <c r="B111" i="16"/>
  <c r="B118" i="16"/>
  <c r="B176" i="16"/>
  <c r="B112" i="16"/>
  <c r="B84" i="16"/>
  <c r="W48" i="16"/>
  <c r="D48" i="16"/>
  <c r="E48" i="16" s="1"/>
  <c r="F48" i="16" s="1"/>
  <c r="G233" i="15"/>
  <c r="BX233" i="6" s="1"/>
  <c r="H233" i="15"/>
  <c r="AA233" i="15"/>
  <c r="Z233" i="15" s="1"/>
  <c r="Y233" i="15" s="1"/>
  <c r="B233" i="16"/>
  <c r="H362" i="15"/>
  <c r="AA362" i="15"/>
  <c r="Z362" i="15" s="1"/>
  <c r="Y362" i="15" s="1"/>
  <c r="G362" i="15"/>
  <c r="BX362" i="6" s="1"/>
  <c r="W44" i="16"/>
  <c r="G18" i="15"/>
  <c r="BX18" i="6" s="1"/>
  <c r="H18" i="15"/>
  <c r="AA18" i="15"/>
  <c r="Z18" i="15" s="1"/>
  <c r="Y18" i="15" s="1"/>
  <c r="W54" i="16"/>
  <c r="D54" i="16"/>
  <c r="E54" i="16" s="1"/>
  <c r="F54" i="16" s="1"/>
  <c r="G54" i="16" s="1"/>
  <c r="BY54" i="6" s="1"/>
  <c r="H22" i="15"/>
  <c r="G22" i="15"/>
  <c r="BX22" i="6" s="1"/>
  <c r="AA22" i="15"/>
  <c r="Z22" i="15" s="1"/>
  <c r="Y22" i="15" s="1"/>
  <c r="D20" i="16"/>
  <c r="E20" i="16" s="1"/>
  <c r="F20" i="16" s="1"/>
  <c r="AA60" i="15"/>
  <c r="Z60" i="15" s="1"/>
  <c r="Y60" i="15" s="1"/>
  <c r="G60" i="15"/>
  <c r="BX60" i="6" s="1"/>
  <c r="H60" i="15"/>
  <c r="D32" i="16"/>
  <c r="E32" i="16" s="1"/>
  <c r="F32" i="16" s="1"/>
  <c r="AA23" i="15"/>
  <c r="Z23" i="15" s="1"/>
  <c r="Y23" i="15" s="1"/>
  <c r="H23" i="15"/>
  <c r="G23" i="15"/>
  <c r="BX23" i="6" s="1"/>
  <c r="W23" i="16"/>
  <c r="D23" i="16"/>
  <c r="E23" i="16" s="1"/>
  <c r="F23" i="16" s="1"/>
  <c r="AA58" i="15"/>
  <c r="Z58" i="15" s="1"/>
  <c r="Y58" i="15" s="1"/>
  <c r="G58" i="15"/>
  <c r="BX58" i="6" s="1"/>
  <c r="H58" i="15"/>
  <c r="H26" i="15"/>
  <c r="AA26" i="15"/>
  <c r="Z26" i="15" s="1"/>
  <c r="Y26" i="15" s="1"/>
  <c r="G26" i="15"/>
  <c r="BX26" i="6" s="1"/>
  <c r="I53" i="15"/>
  <c r="J53" i="15"/>
  <c r="J37" i="15"/>
  <c r="I37" i="15"/>
  <c r="J268" i="15"/>
  <c r="I268" i="15"/>
  <c r="J248" i="15"/>
  <c r="I248" i="15"/>
  <c r="W244" i="16"/>
  <c r="D244" i="16"/>
  <c r="E244" i="16" s="1"/>
  <c r="F244" i="16" s="1"/>
  <c r="W236" i="16"/>
  <c r="J202" i="15"/>
  <c r="I202" i="15"/>
  <c r="W186" i="16"/>
  <c r="I180" i="15"/>
  <c r="J180" i="15"/>
  <c r="I172" i="15"/>
  <c r="J172" i="15"/>
  <c r="J164" i="15"/>
  <c r="I164" i="15"/>
  <c r="I156" i="15"/>
  <c r="J156" i="15"/>
  <c r="I140" i="15"/>
  <c r="J140" i="15"/>
  <c r="J128" i="15"/>
  <c r="I128" i="15"/>
  <c r="J100" i="15"/>
  <c r="I100" i="15"/>
  <c r="J82" i="15"/>
  <c r="I82" i="15"/>
  <c r="J79" i="15"/>
  <c r="I79" i="15"/>
  <c r="I107" i="15"/>
  <c r="J107" i="15"/>
  <c r="I115" i="15"/>
  <c r="J115" i="15"/>
  <c r="J151" i="15"/>
  <c r="I151" i="15"/>
  <c r="J159" i="15"/>
  <c r="I159" i="15"/>
  <c r="J179" i="15"/>
  <c r="I179" i="15"/>
  <c r="I195" i="15"/>
  <c r="J195" i="15"/>
  <c r="I211" i="15"/>
  <c r="J211" i="15"/>
  <c r="J307" i="15"/>
  <c r="I307" i="15"/>
  <c r="J331" i="15"/>
  <c r="I331" i="15"/>
  <c r="J347" i="15"/>
  <c r="I347" i="15"/>
  <c r="I57" i="15"/>
  <c r="J57" i="15"/>
  <c r="J47" i="15"/>
  <c r="I47" i="15"/>
  <c r="J345" i="15"/>
  <c r="I345" i="15"/>
  <c r="H345" i="16" s="1"/>
  <c r="J283" i="15"/>
  <c r="I283" i="15"/>
  <c r="I243" i="15"/>
  <c r="J243" i="15"/>
  <c r="I185" i="15"/>
  <c r="J185" i="15"/>
  <c r="I147" i="15"/>
  <c r="J147" i="15"/>
  <c r="J113" i="15"/>
  <c r="I113" i="15"/>
  <c r="W71" i="16"/>
  <c r="D71" i="16"/>
  <c r="E71" i="16" s="1"/>
  <c r="F71" i="16" s="1"/>
  <c r="J71" i="15"/>
  <c r="I71" i="15"/>
  <c r="I368" i="15"/>
  <c r="J368" i="15"/>
  <c r="J352" i="15"/>
  <c r="I352" i="15"/>
  <c r="W340" i="16"/>
  <c r="D340" i="16"/>
  <c r="E340" i="16" s="1"/>
  <c r="F340" i="16" s="1"/>
  <c r="I328" i="15"/>
  <c r="J328" i="15"/>
  <c r="J316" i="15"/>
  <c r="I316" i="15"/>
  <c r="H316" i="16" s="1"/>
  <c r="I316" i="16" s="1"/>
  <c r="I308" i="15"/>
  <c r="J308" i="15"/>
  <c r="J290" i="15"/>
  <c r="I290" i="15"/>
  <c r="W286" i="16"/>
  <c r="W262" i="16"/>
  <c r="D262" i="16"/>
  <c r="E262" i="16" s="1"/>
  <c r="F262" i="16" s="1"/>
  <c r="W246" i="16"/>
  <c r="D246" i="16"/>
  <c r="E246" i="16" s="1"/>
  <c r="F246" i="16" s="1"/>
  <c r="I242" i="15"/>
  <c r="J242" i="15"/>
  <c r="J226" i="15"/>
  <c r="I226" i="15"/>
  <c r="W208" i="16"/>
  <c r="D208" i="16"/>
  <c r="E208" i="16" s="1"/>
  <c r="F208" i="16" s="1"/>
  <c r="J208" i="15"/>
  <c r="I208" i="15"/>
  <c r="I200" i="15"/>
  <c r="J200" i="15"/>
  <c r="J174" i="15"/>
  <c r="I174" i="15"/>
  <c r="W166" i="16"/>
  <c r="J166" i="15"/>
  <c r="I166" i="15"/>
  <c r="D150" i="16"/>
  <c r="E150" i="16" s="1"/>
  <c r="F150" i="16" s="1"/>
  <c r="J150" i="15"/>
  <c r="I150" i="15"/>
  <c r="W142" i="16"/>
  <c r="J126" i="15"/>
  <c r="I126" i="15"/>
  <c r="J118" i="15"/>
  <c r="I118" i="15"/>
  <c r="I102" i="15"/>
  <c r="J102" i="15"/>
  <c r="J139" i="15"/>
  <c r="I139" i="15"/>
  <c r="I299" i="15"/>
  <c r="J299" i="15"/>
  <c r="W358" i="16"/>
  <c r="D358" i="16"/>
  <c r="E358" i="16" s="1"/>
  <c r="F358" i="16" s="1"/>
  <c r="G358" i="16" s="1"/>
  <c r="BY358" i="6" s="1"/>
  <c r="B40" i="16"/>
  <c r="G17" i="15"/>
  <c r="BX17" i="6" s="1"/>
  <c r="H17" i="15"/>
  <c r="W17" i="16"/>
  <c r="D17" i="16"/>
  <c r="E17" i="16" s="1"/>
  <c r="F17" i="16" s="1"/>
  <c r="G17" i="16" s="1"/>
  <c r="BY17" i="6" s="1"/>
  <c r="AA62" i="15"/>
  <c r="Z62" i="15" s="1"/>
  <c r="Y62" i="15" s="1"/>
  <c r="G62" i="15"/>
  <c r="BX62" i="6" s="1"/>
  <c r="H62" i="15"/>
  <c r="W42" i="16"/>
  <c r="AA333" i="15"/>
  <c r="Z333" i="15" s="1"/>
  <c r="Y333" i="15" s="1"/>
  <c r="H333" i="15"/>
  <c r="G333" i="15"/>
  <c r="BX333" i="6" s="1"/>
  <c r="G272" i="15"/>
  <c r="BX272" i="6" s="1"/>
  <c r="AA272" i="15"/>
  <c r="Z272" i="15" s="1"/>
  <c r="Y272" i="15" s="1"/>
  <c r="H272" i="15"/>
  <c r="W56" i="16"/>
  <c r="D56" i="16"/>
  <c r="E56" i="16" s="1"/>
  <c r="F56" i="16" s="1"/>
  <c r="H363" i="15"/>
  <c r="G363" i="15"/>
  <c r="BX363" i="6" s="1"/>
  <c r="AA363" i="15"/>
  <c r="Z363" i="15" s="1"/>
  <c r="Y363" i="15" s="1"/>
  <c r="G241" i="15"/>
  <c r="BX241" i="6" s="1"/>
  <c r="AA241" i="15"/>
  <c r="Z241" i="15" s="1"/>
  <c r="Y241" i="15" s="1"/>
  <c r="H241" i="15"/>
  <c r="W241" i="16"/>
  <c r="D241" i="16"/>
  <c r="E241" i="16" s="1"/>
  <c r="F241" i="16" s="1"/>
  <c r="I69" i="15"/>
  <c r="J69" i="15"/>
  <c r="I81" i="15"/>
  <c r="J81" i="15"/>
  <c r="J93" i="15"/>
  <c r="I93" i="15"/>
  <c r="I105" i="15"/>
  <c r="J105" i="15"/>
  <c r="I117" i="15"/>
  <c r="J117" i="15"/>
  <c r="I125" i="15"/>
  <c r="J125" i="15"/>
  <c r="I133" i="15"/>
  <c r="H133" i="16" s="1"/>
  <c r="J133" i="15"/>
  <c r="J149" i="15"/>
  <c r="I149" i="15"/>
  <c r="J161" i="15"/>
  <c r="I161" i="15"/>
  <c r="W209" i="16"/>
  <c r="D209" i="16"/>
  <c r="E209" i="16" s="1"/>
  <c r="F209" i="16" s="1"/>
  <c r="J209" i="15"/>
  <c r="I209" i="15"/>
  <c r="J229" i="15"/>
  <c r="I229" i="15"/>
  <c r="H229" i="16" s="1"/>
  <c r="I245" i="15"/>
  <c r="H245" i="16" s="1"/>
  <c r="J245" i="15"/>
  <c r="J253" i="15"/>
  <c r="I253" i="15"/>
  <c r="I261" i="15"/>
  <c r="H261" i="16" s="1"/>
  <c r="J261" i="15"/>
  <c r="J273" i="15"/>
  <c r="I273" i="15"/>
  <c r="H273" i="16" s="1"/>
  <c r="I293" i="15"/>
  <c r="J293" i="15"/>
  <c r="W305" i="16"/>
  <c r="D305" i="16"/>
  <c r="E305" i="16" s="1"/>
  <c r="F305" i="16" s="1"/>
  <c r="I305" i="15"/>
  <c r="J305" i="15"/>
  <c r="J313" i="15"/>
  <c r="I313" i="15"/>
  <c r="J321" i="15"/>
  <c r="I321" i="15"/>
  <c r="H321" i="16" s="1"/>
  <c r="I321" i="16" s="1"/>
  <c r="I357" i="15"/>
  <c r="J357" i="15"/>
  <c r="W369" i="16"/>
  <c r="D369" i="16"/>
  <c r="E369" i="16" s="1"/>
  <c r="F369" i="16" s="1"/>
  <c r="J369" i="15"/>
  <c r="I369" i="15"/>
  <c r="J377" i="15"/>
  <c r="I377" i="15"/>
  <c r="J49" i="15"/>
  <c r="I49" i="15"/>
  <c r="I41" i="15"/>
  <c r="J41" i="15"/>
  <c r="I43" i="15"/>
  <c r="J43" i="15"/>
  <c r="J31" i="15"/>
  <c r="I31" i="15"/>
  <c r="J374" i="15"/>
  <c r="I374" i="15"/>
  <c r="J334" i="15"/>
  <c r="I334" i="15"/>
  <c r="H334" i="16" s="1"/>
  <c r="J326" i="15"/>
  <c r="I326" i="15"/>
  <c r="H326" i="16" s="1"/>
  <c r="J310" i="15"/>
  <c r="I310" i="15"/>
  <c r="J292" i="15"/>
  <c r="I292" i="15"/>
  <c r="G101" i="15"/>
  <c r="BX101" i="6" s="1"/>
  <c r="H101" i="15"/>
  <c r="AA101" i="15"/>
  <c r="Z101" i="15" s="1"/>
  <c r="Y101" i="15" s="1"/>
  <c r="W101" i="16"/>
  <c r="D101" i="16"/>
  <c r="E101" i="16" s="1"/>
  <c r="F101" i="16" s="1"/>
  <c r="B30" i="16"/>
  <c r="G34" i="15"/>
  <c r="BX34" i="6" s="1"/>
  <c r="AA34" i="15"/>
  <c r="Z34" i="15" s="1"/>
  <c r="Y34" i="15" s="1"/>
  <c r="H34" i="15"/>
  <c r="G269" i="15"/>
  <c r="BX269" i="6" s="1"/>
  <c r="H269" i="15"/>
  <c r="AA269" i="15"/>
  <c r="Z269" i="15" s="1"/>
  <c r="Y269" i="15" s="1"/>
  <c r="W269" i="16"/>
  <c r="D269" i="16"/>
  <c r="E269" i="16" s="1"/>
  <c r="F269" i="16" s="1"/>
  <c r="I73" i="15"/>
  <c r="J73" i="15"/>
  <c r="J45" i="15"/>
  <c r="I45" i="15"/>
  <c r="I276" i="15"/>
  <c r="J276" i="15"/>
  <c r="J252" i="15"/>
  <c r="I252" i="15"/>
  <c r="J244" i="15"/>
  <c r="I244" i="15"/>
  <c r="J228" i="15"/>
  <c r="I228" i="15"/>
  <c r="I198" i="15"/>
  <c r="J198" i="15"/>
  <c r="J176" i="15"/>
  <c r="I176" i="15"/>
  <c r="I152" i="15"/>
  <c r="J152" i="15"/>
  <c r="J132" i="15"/>
  <c r="I132" i="15"/>
  <c r="J124" i="15"/>
  <c r="I124" i="15"/>
  <c r="J116" i="15"/>
  <c r="I116" i="15"/>
  <c r="I96" i="15"/>
  <c r="J96" i="15"/>
  <c r="J78" i="15"/>
  <c r="I78" i="15"/>
  <c r="I70" i="15"/>
  <c r="J70" i="15"/>
  <c r="J67" i="15"/>
  <c r="I67" i="15"/>
  <c r="I103" i="15"/>
  <c r="J103" i="15"/>
  <c r="J163" i="15"/>
  <c r="I163" i="15"/>
  <c r="J175" i="15"/>
  <c r="I175" i="15"/>
  <c r="H175" i="16" s="1"/>
  <c r="J183" i="15"/>
  <c r="I183" i="15"/>
  <c r="J191" i="15"/>
  <c r="I191" i="15"/>
  <c r="I199" i="15"/>
  <c r="J199" i="15"/>
  <c r="I215" i="15"/>
  <c r="J215" i="15"/>
  <c r="I319" i="15"/>
  <c r="J319" i="15"/>
  <c r="J335" i="15"/>
  <c r="I335" i="15"/>
  <c r="J343" i="15"/>
  <c r="I343" i="15"/>
  <c r="I66" i="15"/>
  <c r="J66" i="15"/>
  <c r="I55" i="15"/>
  <c r="J55" i="15"/>
  <c r="J291" i="15"/>
  <c r="I291" i="15"/>
  <c r="J277" i="15"/>
  <c r="I277" i="15"/>
  <c r="H277" i="16" s="1"/>
  <c r="J251" i="15"/>
  <c r="I251" i="15"/>
  <c r="I231" i="15"/>
  <c r="J231" i="15"/>
  <c r="I207" i="15"/>
  <c r="J207" i="15"/>
  <c r="I165" i="15"/>
  <c r="J165" i="15"/>
  <c r="I143" i="15"/>
  <c r="J143" i="15"/>
  <c r="J123" i="15"/>
  <c r="I123" i="15"/>
  <c r="I95" i="15"/>
  <c r="H95" i="16" s="1"/>
  <c r="J95" i="15"/>
  <c r="J39" i="15"/>
  <c r="I39" i="15"/>
  <c r="I348" i="15"/>
  <c r="J348" i="15"/>
  <c r="J340" i="15"/>
  <c r="I340" i="15"/>
  <c r="I332" i="15"/>
  <c r="J332" i="15"/>
  <c r="J320" i="15"/>
  <c r="I320" i="15"/>
  <c r="I312" i="15"/>
  <c r="J312" i="15"/>
  <c r="I286" i="15"/>
  <c r="J286" i="15"/>
  <c r="I270" i="15"/>
  <c r="J270" i="15"/>
  <c r="J262" i="15"/>
  <c r="I262" i="15"/>
  <c r="J254" i="15"/>
  <c r="I254" i="15"/>
  <c r="J230" i="15"/>
  <c r="I230" i="15"/>
  <c r="J222" i="15"/>
  <c r="I222" i="15"/>
  <c r="I214" i="15"/>
  <c r="J214" i="15"/>
  <c r="J196" i="15"/>
  <c r="I196" i="15"/>
  <c r="H196" i="16" s="1"/>
  <c r="J178" i="15"/>
  <c r="I178" i="15"/>
  <c r="J170" i="15"/>
  <c r="I170" i="15"/>
  <c r="J162" i="15"/>
  <c r="I162" i="15"/>
  <c r="I154" i="15"/>
  <c r="J154" i="15"/>
  <c r="J138" i="15"/>
  <c r="I138" i="15"/>
  <c r="I84" i="15"/>
  <c r="J84" i="15"/>
  <c r="W80" i="16"/>
  <c r="D80" i="16"/>
  <c r="E80" i="16" s="1"/>
  <c r="F80" i="16" s="1"/>
  <c r="J68" i="15"/>
  <c r="I68" i="15"/>
  <c r="AA36" i="15"/>
  <c r="Z36" i="15" s="1"/>
  <c r="Y36" i="15" s="1"/>
  <c r="H36" i="15"/>
  <c r="G36" i="15"/>
  <c r="BX36" i="6" s="1"/>
  <c r="AA64" i="15"/>
  <c r="Z64" i="15" s="1"/>
  <c r="Y64" i="15" s="1"/>
  <c r="H64" i="15"/>
  <c r="G64" i="15"/>
  <c r="BX64" i="6" s="1"/>
  <c r="AA136" i="15"/>
  <c r="Z136" i="15" s="1"/>
  <c r="Y136" i="15" s="1"/>
  <c r="H136" i="15"/>
  <c r="AA24" i="15"/>
  <c r="Z24" i="15" s="1"/>
  <c r="Y24" i="15" s="1"/>
  <c r="G24" i="15"/>
  <c r="BX24" i="6" s="1"/>
  <c r="H24" i="15"/>
  <c r="I77" i="15"/>
  <c r="J77" i="15"/>
  <c r="I109" i="15"/>
  <c r="J109" i="15"/>
  <c r="J121" i="15"/>
  <c r="I121" i="15"/>
  <c r="H121" i="16" s="1"/>
  <c r="J153" i="15"/>
  <c r="I153" i="15"/>
  <c r="I177" i="15"/>
  <c r="H177" i="16" s="1"/>
  <c r="J177" i="15"/>
  <c r="J189" i="15"/>
  <c r="I189" i="15"/>
  <c r="H189" i="16" s="1"/>
  <c r="J341" i="15"/>
  <c r="I341" i="15"/>
  <c r="J353" i="15"/>
  <c r="I353" i="15"/>
  <c r="I314" i="15"/>
  <c r="J314" i="15"/>
  <c r="J296" i="15"/>
  <c r="I296" i="15"/>
  <c r="W292" i="16"/>
  <c r="D292" i="16"/>
  <c r="E292" i="16" s="1"/>
  <c r="F292" i="16" s="1"/>
  <c r="D179" i="16"/>
  <c r="E179" i="16" s="1"/>
  <c r="F179" i="16" s="1"/>
  <c r="W315" i="16"/>
  <c r="D315" i="16"/>
  <c r="E315" i="16" s="1"/>
  <c r="F315" i="16" s="1"/>
  <c r="W271" i="16"/>
  <c r="D271" i="16"/>
  <c r="E271" i="16" s="1"/>
  <c r="F271" i="16" s="1"/>
  <c r="W185" i="16"/>
  <c r="D185" i="16"/>
  <c r="E185" i="16" s="1"/>
  <c r="F185" i="16" s="1"/>
  <c r="W161" i="16"/>
  <c r="D161" i="16"/>
  <c r="E161" i="16" s="1"/>
  <c r="F161" i="16" s="1"/>
  <c r="W127" i="16"/>
  <c r="D127" i="16"/>
  <c r="E127" i="16" s="1"/>
  <c r="F127" i="16" s="1"/>
  <c r="D91" i="16"/>
  <c r="E91" i="16" s="1"/>
  <c r="F91" i="16" s="1"/>
  <c r="W37" i="16"/>
  <c r="D37" i="16"/>
  <c r="E37" i="16" s="1"/>
  <c r="F37" i="16" s="1"/>
  <c r="W364" i="16"/>
  <c r="D364" i="16"/>
  <c r="E364" i="16" s="1"/>
  <c r="F364" i="16" s="1"/>
  <c r="D360" i="16"/>
  <c r="E360" i="16" s="1"/>
  <c r="F360" i="16" s="1"/>
  <c r="W328" i="16"/>
  <c r="D328" i="16"/>
  <c r="E328" i="16" s="1"/>
  <c r="F328" i="16" s="1"/>
  <c r="D260" i="16"/>
  <c r="E260" i="16" s="1"/>
  <c r="F260" i="16" s="1"/>
  <c r="D242" i="16"/>
  <c r="E242" i="16" s="1"/>
  <c r="F242" i="16" s="1"/>
  <c r="W230" i="16"/>
  <c r="D230" i="16"/>
  <c r="E230" i="16" s="1"/>
  <c r="F230" i="16" s="1"/>
  <c r="D226" i="16"/>
  <c r="E226" i="16" s="1"/>
  <c r="F226" i="16" s="1"/>
  <c r="W198" i="16"/>
  <c r="D198" i="16"/>
  <c r="E198" i="16" s="1"/>
  <c r="F198" i="16" s="1"/>
  <c r="W178" i="16"/>
  <c r="D178" i="16"/>
  <c r="E178" i="16" s="1"/>
  <c r="F178" i="16" s="1"/>
  <c r="W76" i="16"/>
  <c r="J146" i="15"/>
  <c r="I146" i="15"/>
  <c r="J98" i="15"/>
  <c r="I98" i="15"/>
  <c r="H98" i="16" s="1"/>
  <c r="J76" i="15"/>
  <c r="I76" i="15"/>
  <c r="W52" i="16"/>
  <c r="AA16" i="15"/>
  <c r="Z16" i="15" s="1"/>
  <c r="Y16" i="15" s="1"/>
  <c r="G16" i="15"/>
  <c r="BX16" i="6" s="1"/>
  <c r="H16" i="15"/>
  <c r="D28" i="16"/>
  <c r="E28" i="16" s="1"/>
  <c r="F28" i="16" s="1"/>
  <c r="AA38" i="15"/>
  <c r="Z38" i="15" s="1"/>
  <c r="Y38" i="15" s="1"/>
  <c r="H38" i="15"/>
  <c r="G38" i="15"/>
  <c r="BX38" i="6" s="1"/>
  <c r="I61" i="15"/>
  <c r="J61" i="15"/>
  <c r="J89" i="15"/>
  <c r="I89" i="15"/>
  <c r="H89" i="16" s="1"/>
  <c r="I89" i="16" s="1"/>
  <c r="I129" i="15"/>
  <c r="J129" i="15"/>
  <c r="I169" i="15"/>
  <c r="J169" i="15"/>
  <c r="J317" i="15"/>
  <c r="I317" i="15"/>
  <c r="W59" i="16"/>
  <c r="D59" i="16"/>
  <c r="E59" i="16" s="1"/>
  <c r="F59" i="16" s="1"/>
  <c r="I59" i="15"/>
  <c r="J59" i="15"/>
  <c r="I322" i="15"/>
  <c r="J322" i="15"/>
  <c r="W318" i="16"/>
  <c r="D318" i="16"/>
  <c r="E318" i="16" s="1"/>
  <c r="F318" i="16" s="1"/>
  <c r="I306" i="15"/>
  <c r="J306" i="15"/>
  <c r="W291" i="16"/>
  <c r="W219" i="16"/>
  <c r="D219" i="16"/>
  <c r="E219" i="16" s="1"/>
  <c r="F219" i="16" s="1"/>
  <c r="W83" i="16"/>
  <c r="W79" i="16"/>
  <c r="D79" i="16"/>
  <c r="E79" i="16" s="1"/>
  <c r="F79" i="16" s="1"/>
  <c r="W69" i="16"/>
  <c r="AA357" i="16"/>
  <c r="Z357" i="16" s="1"/>
  <c r="Y357" i="16" s="1"/>
  <c r="AA145" i="16"/>
  <c r="Z145" i="16" s="1"/>
  <c r="Y145" i="16" s="1"/>
  <c r="W376" i="16"/>
  <c r="D376" i="16"/>
  <c r="E376" i="16" s="1"/>
  <c r="F376" i="16" s="1"/>
  <c r="W278" i="16"/>
  <c r="G171" i="15"/>
  <c r="BX171" i="6" s="1"/>
  <c r="B217" i="16"/>
  <c r="B378" i="16"/>
  <c r="B372" i="16"/>
  <c r="B342" i="16"/>
  <c r="B322" i="16"/>
  <c r="B97" i="16"/>
  <c r="B87" i="16"/>
  <c r="B310" i="16"/>
  <c r="B289" i="16"/>
  <c r="B103" i="16"/>
  <c r="B57" i="16"/>
  <c r="B212" i="16"/>
  <c r="B341" i="16"/>
  <c r="B53" i="16"/>
  <c r="W266" i="16"/>
  <c r="D266" i="16"/>
  <c r="E266" i="16" s="1"/>
  <c r="F266" i="16" s="1"/>
  <c r="AA373" i="16"/>
  <c r="Z373" i="16" s="1"/>
  <c r="Y373" i="16" s="1"/>
  <c r="B27" i="16"/>
  <c r="B140" i="16"/>
  <c r="AA175" i="16"/>
  <c r="Z175" i="16" s="1"/>
  <c r="Y175" i="16" s="1"/>
  <c r="B151" i="16"/>
  <c r="AA277" i="16"/>
  <c r="Z277" i="16" s="1"/>
  <c r="Y277" i="16" s="1"/>
  <c r="AA48" i="15"/>
  <c r="Z48" i="15" s="1"/>
  <c r="Y48" i="15" s="1"/>
  <c r="G48" i="15"/>
  <c r="BX48" i="6" s="1"/>
  <c r="H48" i="15"/>
  <c r="G44" i="15"/>
  <c r="BX44" i="6" s="1"/>
  <c r="H44" i="15"/>
  <c r="AA44" i="15"/>
  <c r="Z44" i="15" s="1"/>
  <c r="Y44" i="15" s="1"/>
  <c r="AA54" i="15"/>
  <c r="Z54" i="15" s="1"/>
  <c r="Y54" i="15" s="1"/>
  <c r="H54" i="15"/>
  <c r="G54" i="15"/>
  <c r="BX54" i="6" s="1"/>
  <c r="W22" i="16"/>
  <c r="AA20" i="15"/>
  <c r="Z20" i="15" s="1"/>
  <c r="Y20" i="15" s="1"/>
  <c r="H20" i="15"/>
  <c r="G20" i="15"/>
  <c r="BX20" i="6" s="1"/>
  <c r="AA32" i="15"/>
  <c r="Z32" i="15" s="1"/>
  <c r="Y32" i="15" s="1"/>
  <c r="H32" i="15"/>
  <c r="G32" i="15"/>
  <c r="BX32" i="6" s="1"/>
  <c r="B108" i="16"/>
  <c r="AA46" i="15"/>
  <c r="Z46" i="15" s="1"/>
  <c r="Y46" i="15" s="1"/>
  <c r="H46" i="15"/>
  <c r="G46" i="15"/>
  <c r="BX46" i="6" s="1"/>
  <c r="I85" i="15"/>
  <c r="J85" i="15"/>
  <c r="I280" i="15"/>
  <c r="J280" i="15"/>
  <c r="J256" i="15"/>
  <c r="I256" i="15"/>
  <c r="W252" i="16"/>
  <c r="I240" i="15"/>
  <c r="H240" i="16" s="1"/>
  <c r="J240" i="15"/>
  <c r="J232" i="15"/>
  <c r="I232" i="15"/>
  <c r="I224" i="15"/>
  <c r="H224" i="16" s="1"/>
  <c r="J224" i="15"/>
  <c r="J216" i="15"/>
  <c r="I216" i="15"/>
  <c r="I210" i="15"/>
  <c r="J210" i="15"/>
  <c r="J194" i="15"/>
  <c r="I194" i="15"/>
  <c r="I186" i="15"/>
  <c r="J186" i="15"/>
  <c r="I148" i="15"/>
  <c r="J148" i="15"/>
  <c r="I120" i="15"/>
  <c r="J120" i="15"/>
  <c r="J112" i="15"/>
  <c r="I112" i="15"/>
  <c r="I92" i="15"/>
  <c r="J92" i="15"/>
  <c r="I74" i="15"/>
  <c r="J74" i="15"/>
  <c r="J19" i="15"/>
  <c r="I19" i="15"/>
  <c r="I87" i="15"/>
  <c r="J87" i="15"/>
  <c r="I99" i="15"/>
  <c r="J99" i="15"/>
  <c r="J167" i="15"/>
  <c r="I167" i="15"/>
  <c r="J187" i="15"/>
  <c r="I187" i="15"/>
  <c r="J219" i="15"/>
  <c r="I219" i="15"/>
  <c r="J239" i="15"/>
  <c r="I239" i="15"/>
  <c r="J315" i="15"/>
  <c r="I315" i="15"/>
  <c r="I323" i="15"/>
  <c r="J323" i="15"/>
  <c r="I339" i="15"/>
  <c r="J339" i="15"/>
  <c r="I355" i="15"/>
  <c r="J355" i="15"/>
  <c r="I367" i="15"/>
  <c r="J367" i="15"/>
  <c r="J375" i="15"/>
  <c r="I375" i="15"/>
  <c r="W66" i="16"/>
  <c r="D66" i="16"/>
  <c r="E66" i="16" s="1"/>
  <c r="F66" i="16" s="1"/>
  <c r="W47" i="16"/>
  <c r="D47" i="16"/>
  <c r="E47" i="16" s="1"/>
  <c r="F47" i="16" s="1"/>
  <c r="J271" i="15"/>
  <c r="I271" i="15"/>
  <c r="J259" i="15"/>
  <c r="I259" i="15"/>
  <c r="I223" i="15"/>
  <c r="J223" i="15"/>
  <c r="I131" i="15"/>
  <c r="J131" i="15"/>
  <c r="J376" i="15"/>
  <c r="I376" i="15"/>
  <c r="I360" i="15"/>
  <c r="J360" i="15"/>
  <c r="I344" i="15"/>
  <c r="J344" i="15"/>
  <c r="J336" i="15"/>
  <c r="I336" i="15"/>
  <c r="J302" i="15"/>
  <c r="I302" i="15"/>
  <c r="W294" i="16"/>
  <c r="D294" i="16"/>
  <c r="E294" i="16" s="1"/>
  <c r="F294" i="16" s="1"/>
  <c r="J282" i="15"/>
  <c r="I282" i="15"/>
  <c r="I274" i="15"/>
  <c r="J274" i="15"/>
  <c r="I266" i="15"/>
  <c r="J266" i="15"/>
  <c r="I258" i="15"/>
  <c r="H258" i="16" s="1"/>
  <c r="J258" i="15"/>
  <c r="W254" i="16"/>
  <c r="D254" i="16"/>
  <c r="E254" i="16" s="1"/>
  <c r="F254" i="16" s="1"/>
  <c r="I250" i="15"/>
  <c r="J250" i="15"/>
  <c r="D238" i="16"/>
  <c r="E238" i="16" s="1"/>
  <c r="F238" i="16" s="1"/>
  <c r="J234" i="15"/>
  <c r="I234" i="15"/>
  <c r="J218" i="15"/>
  <c r="I218" i="15"/>
  <c r="I192" i="15"/>
  <c r="J192" i="15"/>
  <c r="I184" i="15"/>
  <c r="J184" i="15"/>
  <c r="D174" i="16"/>
  <c r="E174" i="16" s="1"/>
  <c r="F174" i="16" s="1"/>
  <c r="W158" i="16"/>
  <c r="D158" i="16"/>
  <c r="E158" i="16" s="1"/>
  <c r="F158" i="16" s="1"/>
  <c r="J158" i="15"/>
  <c r="I158" i="15"/>
  <c r="J142" i="15"/>
  <c r="I142" i="15"/>
  <c r="W134" i="16"/>
  <c r="D134" i="16"/>
  <c r="E134" i="16" s="1"/>
  <c r="F134" i="16" s="1"/>
  <c r="J134" i="15"/>
  <c r="I134" i="15"/>
  <c r="J110" i="15"/>
  <c r="I110" i="15"/>
  <c r="J94" i="15"/>
  <c r="I94" i="15"/>
  <c r="J80" i="15"/>
  <c r="I80" i="15"/>
  <c r="J72" i="15"/>
  <c r="I72" i="15"/>
  <c r="J127" i="15"/>
  <c r="I127" i="15"/>
  <c r="I255" i="15"/>
  <c r="J255" i="15"/>
  <c r="J275" i="15"/>
  <c r="I275" i="15"/>
  <c r="I287" i="15"/>
  <c r="J287" i="15"/>
  <c r="H75" i="15"/>
  <c r="G75" i="15"/>
  <c r="BX75" i="6" s="1"/>
  <c r="AA75" i="15"/>
  <c r="Z75" i="15" s="1"/>
  <c r="Y75" i="15" s="1"/>
  <c r="G40" i="15"/>
  <c r="BX40" i="6" s="1"/>
  <c r="AA40" i="15"/>
  <c r="Z40" i="15" s="1"/>
  <c r="Y40" i="15" s="1"/>
  <c r="H40" i="15"/>
  <c r="AA298" i="15"/>
  <c r="Z298" i="15" s="1"/>
  <c r="Y298" i="15" s="1"/>
  <c r="H298" i="15"/>
  <c r="G298" i="15"/>
  <c r="BX298" i="6" s="1"/>
  <c r="B62" i="16"/>
  <c r="AA42" i="15"/>
  <c r="Z42" i="15" s="1"/>
  <c r="Y42" i="15" s="1"/>
  <c r="G42" i="15"/>
  <c r="BX42" i="6" s="1"/>
  <c r="H42" i="15"/>
  <c r="G297" i="15"/>
  <c r="BX297" i="6" s="1"/>
  <c r="AA297" i="15"/>
  <c r="Z297" i="15" s="1"/>
  <c r="Y297" i="15" s="1"/>
  <c r="H297" i="15"/>
  <c r="W297" i="16"/>
  <c r="D297" i="16"/>
  <c r="E297" i="16" s="1"/>
  <c r="F297" i="16" s="1"/>
  <c r="H56" i="15"/>
  <c r="G56" i="15"/>
  <c r="BX56" i="6" s="1"/>
  <c r="AA56" i="15"/>
  <c r="Z56" i="15" s="1"/>
  <c r="Y56" i="15" s="1"/>
  <c r="AA337" i="15"/>
  <c r="Z337" i="15" s="1"/>
  <c r="Y337" i="15" s="1"/>
  <c r="H337" i="15"/>
  <c r="G337" i="15"/>
  <c r="BX337" i="6" s="1"/>
  <c r="W337" i="16"/>
  <c r="D337" i="16"/>
  <c r="E337" i="16" s="1"/>
  <c r="F337" i="16" s="1"/>
  <c r="J29" i="15"/>
  <c r="I29" i="15"/>
  <c r="J173" i="15"/>
  <c r="I173" i="15"/>
  <c r="I181" i="15"/>
  <c r="H181" i="16" s="1"/>
  <c r="J181" i="15"/>
  <c r="J201" i="15"/>
  <c r="I201" i="15"/>
  <c r="I221" i="15"/>
  <c r="J221" i="15"/>
  <c r="W285" i="16"/>
  <c r="I285" i="15"/>
  <c r="J285" i="15"/>
  <c r="W293" i="16"/>
  <c r="D293" i="16"/>
  <c r="E293" i="16" s="1"/>
  <c r="F293" i="16" s="1"/>
  <c r="W313" i="16"/>
  <c r="D313" i="16"/>
  <c r="E313" i="16" s="1"/>
  <c r="F313" i="16" s="1"/>
  <c r="I329" i="15"/>
  <c r="H329" i="16" s="1"/>
  <c r="J329" i="15"/>
  <c r="J349" i="15"/>
  <c r="I349" i="15"/>
  <c r="I203" i="15"/>
  <c r="J203" i="15"/>
  <c r="I157" i="15"/>
  <c r="J157" i="15"/>
  <c r="J366" i="15"/>
  <c r="I366" i="15"/>
  <c r="H366" i="16" s="1"/>
  <c r="J350" i="15"/>
  <c r="I350" i="15"/>
  <c r="H350" i="16" s="1"/>
  <c r="I342" i="15"/>
  <c r="J342" i="15"/>
  <c r="J318" i="15"/>
  <c r="I318" i="15"/>
  <c r="I300" i="15"/>
  <c r="H300" i="16" s="1"/>
  <c r="J300" i="15"/>
  <c r="B197" i="16"/>
  <c r="AA30" i="15"/>
  <c r="Z30" i="15" s="1"/>
  <c r="Y30" i="15" s="1"/>
  <c r="H30" i="15"/>
  <c r="G30" i="15"/>
  <c r="BX30" i="6" s="1"/>
  <c r="H365" i="15"/>
  <c r="G365" i="15"/>
  <c r="BX365" i="6" s="1"/>
  <c r="AA365" i="15"/>
  <c r="Z365" i="15" s="1"/>
  <c r="Y365" i="15" s="1"/>
  <c r="D365" i="16"/>
  <c r="E365" i="16" s="1"/>
  <c r="F365" i="16" s="1"/>
  <c r="G137" i="15"/>
  <c r="BX137" i="6" s="1"/>
  <c r="H137" i="15"/>
  <c r="AA137" i="15"/>
  <c r="Z137" i="15" s="1"/>
  <c r="Y137" i="15" s="1"/>
  <c r="W137" i="16"/>
  <c r="D137" i="16"/>
  <c r="E137" i="16" s="1"/>
  <c r="F137" i="16" s="1"/>
  <c r="I284" i="15"/>
  <c r="J284" i="15"/>
  <c r="I260" i="15"/>
  <c r="J260" i="15"/>
  <c r="J236" i="15"/>
  <c r="I236" i="15"/>
  <c r="I220" i="15"/>
  <c r="J220" i="15"/>
  <c r="I212" i="15"/>
  <c r="J212" i="15"/>
  <c r="J206" i="15"/>
  <c r="I206" i="15"/>
  <c r="J190" i="15"/>
  <c r="I190" i="15"/>
  <c r="J182" i="15"/>
  <c r="I182" i="15"/>
  <c r="H182" i="16" s="1"/>
  <c r="I168" i="15"/>
  <c r="J168" i="15"/>
  <c r="J160" i="15"/>
  <c r="I160" i="15"/>
  <c r="J144" i="15"/>
  <c r="I144" i="15"/>
  <c r="I104" i="15"/>
  <c r="J104" i="15"/>
  <c r="J86" i="15"/>
  <c r="I86" i="15"/>
  <c r="I83" i="15"/>
  <c r="J83" i="15"/>
  <c r="I91" i="15"/>
  <c r="J91" i="15"/>
  <c r="J111" i="15"/>
  <c r="I111" i="15"/>
  <c r="J119" i="15"/>
  <c r="I119" i="15"/>
  <c r="I155" i="15"/>
  <c r="J155" i="15"/>
  <c r="I235" i="15"/>
  <c r="J235" i="15"/>
  <c r="I303" i="15"/>
  <c r="J303" i="15"/>
  <c r="J311" i="15"/>
  <c r="I311" i="15"/>
  <c r="I327" i="15"/>
  <c r="J327" i="15"/>
  <c r="I351" i="15"/>
  <c r="J351" i="15"/>
  <c r="J359" i="15"/>
  <c r="I359" i="15"/>
  <c r="J371" i="15"/>
  <c r="I371" i="15"/>
  <c r="I25" i="15"/>
  <c r="J25" i="15"/>
  <c r="I267" i="15"/>
  <c r="J267" i="15"/>
  <c r="I372" i="15"/>
  <c r="J372" i="15"/>
  <c r="J364" i="15"/>
  <c r="I364" i="15"/>
  <c r="J356" i="15"/>
  <c r="I356" i="15"/>
  <c r="I304" i="15"/>
  <c r="J304" i="15"/>
  <c r="J294" i="15"/>
  <c r="I294" i="15"/>
  <c r="I278" i="15"/>
  <c r="J278" i="15"/>
  <c r="J246" i="15"/>
  <c r="I246" i="15"/>
  <c r="J238" i="15"/>
  <c r="I238" i="15"/>
  <c r="I204" i="15"/>
  <c r="H204" i="16" s="1"/>
  <c r="J204" i="15"/>
  <c r="I188" i="15"/>
  <c r="J188" i="15"/>
  <c r="J122" i="15"/>
  <c r="I122" i="15"/>
  <c r="I106" i="15"/>
  <c r="J106" i="15"/>
  <c r="J90" i="15"/>
  <c r="I90" i="15"/>
  <c r="I247" i="15"/>
  <c r="J247" i="15"/>
  <c r="J263" i="15"/>
  <c r="I263" i="15"/>
  <c r="J295" i="15"/>
  <c r="I295" i="15"/>
  <c r="B36" i="16"/>
  <c r="D64" i="16"/>
  <c r="E64" i="16" s="1"/>
  <c r="F64" i="16" s="1"/>
  <c r="H21" i="15"/>
  <c r="AA21" i="15"/>
  <c r="Z21" i="15" s="1"/>
  <c r="Y21" i="15" s="1"/>
  <c r="G21" i="15"/>
  <c r="BX21" i="6" s="1"/>
  <c r="B21" i="16"/>
  <c r="H50" i="15"/>
  <c r="G50" i="15"/>
  <c r="BX50" i="6" s="1"/>
  <c r="AA50" i="15"/>
  <c r="Z50" i="15" s="1"/>
  <c r="Y50" i="15" s="1"/>
  <c r="W24" i="16"/>
  <c r="I65" i="15"/>
  <c r="J65" i="15"/>
  <c r="I97" i="15"/>
  <c r="J97" i="15"/>
  <c r="W153" i="16"/>
  <c r="D153" i="16"/>
  <c r="E153" i="16" s="1"/>
  <c r="F153" i="16" s="1"/>
  <c r="D205" i="16"/>
  <c r="E205" i="16" s="1"/>
  <c r="F205" i="16" s="1"/>
  <c r="I205" i="15"/>
  <c r="J205" i="15"/>
  <c r="J289" i="15"/>
  <c r="I289" i="15"/>
  <c r="I309" i="15"/>
  <c r="J309" i="15"/>
  <c r="I325" i="15"/>
  <c r="J325" i="15"/>
  <c r="I361" i="15"/>
  <c r="J361" i="15"/>
  <c r="I33" i="15"/>
  <c r="J33" i="15"/>
  <c r="I217" i="15"/>
  <c r="J217" i="15"/>
  <c r="I193" i="15"/>
  <c r="J193" i="15"/>
  <c r="I145" i="15"/>
  <c r="H145" i="16" s="1"/>
  <c r="J145" i="15"/>
  <c r="J370" i="15"/>
  <c r="I370" i="15"/>
  <c r="J346" i="15"/>
  <c r="I346" i="15"/>
  <c r="J330" i="15"/>
  <c r="I330" i="15"/>
  <c r="D163" i="16"/>
  <c r="E163" i="16" s="1"/>
  <c r="F163" i="16" s="1"/>
  <c r="D107" i="16"/>
  <c r="E107" i="16" s="1"/>
  <c r="F107" i="16" s="1"/>
  <c r="W99" i="16"/>
  <c r="D99" i="16"/>
  <c r="E99" i="16" s="1"/>
  <c r="F99" i="16" s="1"/>
  <c r="W55" i="16"/>
  <c r="D55" i="16"/>
  <c r="E55" i="16" s="1"/>
  <c r="F55" i="16" s="1"/>
  <c r="W39" i="16"/>
  <c r="D39" i="16"/>
  <c r="E39" i="16" s="1"/>
  <c r="F39" i="16" s="1"/>
  <c r="W302" i="16"/>
  <c r="W282" i="16"/>
  <c r="W276" i="16"/>
  <c r="D276" i="16"/>
  <c r="E276" i="16" s="1"/>
  <c r="F276" i="16" s="1"/>
  <c r="W270" i="16"/>
  <c r="D270" i="16"/>
  <c r="E270" i="16" s="1"/>
  <c r="F270" i="16" s="1"/>
  <c r="W214" i="16"/>
  <c r="D214" i="16"/>
  <c r="E214" i="16" s="1"/>
  <c r="F214" i="16" s="1"/>
  <c r="W190" i="16"/>
  <c r="D190" i="16"/>
  <c r="E190" i="16" s="1"/>
  <c r="F190" i="16" s="1"/>
  <c r="W41" i="16"/>
  <c r="W49" i="16"/>
  <c r="W96" i="16"/>
  <c r="W100" i="16"/>
  <c r="D100" i="16"/>
  <c r="E100" i="16" s="1"/>
  <c r="F100" i="16" s="1"/>
  <c r="W116" i="16"/>
  <c r="D116" i="16"/>
  <c r="E116" i="16" s="1"/>
  <c r="F116" i="16" s="1"/>
  <c r="W120" i="16"/>
  <c r="D120" i="16"/>
  <c r="E120" i="16" s="1"/>
  <c r="F120" i="16" s="1"/>
  <c r="AA120" i="16" s="1"/>
  <c r="Z120" i="16" s="1"/>
  <c r="Y120" i="16" s="1"/>
  <c r="W124" i="16"/>
  <c r="W128" i="16"/>
  <c r="D128" i="16"/>
  <c r="E128" i="16" s="1"/>
  <c r="F128" i="16" s="1"/>
  <c r="D132" i="16"/>
  <c r="E132" i="16" s="1"/>
  <c r="F132" i="16" s="1"/>
  <c r="W144" i="16"/>
  <c r="D144" i="16"/>
  <c r="E144" i="16" s="1"/>
  <c r="F144" i="16" s="1"/>
  <c r="W148" i="16"/>
  <c r="D148" i="16"/>
  <c r="E148" i="16" s="1"/>
  <c r="F148" i="16" s="1"/>
  <c r="W160" i="16"/>
  <c r="W164" i="16"/>
  <c r="D164" i="16"/>
  <c r="E164" i="16" s="1"/>
  <c r="F164" i="16" s="1"/>
  <c r="W168" i="16"/>
  <c r="W359" i="16"/>
  <c r="D359" i="16"/>
  <c r="E359" i="16" s="1"/>
  <c r="F359" i="16" s="1"/>
  <c r="W68" i="16"/>
  <c r="J130" i="15"/>
  <c r="I130" i="15"/>
  <c r="J114" i="15"/>
  <c r="I114" i="15"/>
  <c r="J135" i="15"/>
  <c r="I135" i="15"/>
  <c r="I279" i="15"/>
  <c r="J279" i="15"/>
  <c r="G52" i="15"/>
  <c r="BX52" i="6" s="1"/>
  <c r="H52" i="15"/>
  <c r="AA52" i="15"/>
  <c r="Z52" i="15" s="1"/>
  <c r="Y52" i="15" s="1"/>
  <c r="G28" i="15"/>
  <c r="BX28" i="6" s="1"/>
  <c r="H28" i="15"/>
  <c r="AA28" i="15"/>
  <c r="Z28" i="15" s="1"/>
  <c r="Y28" i="15" s="1"/>
  <c r="B38" i="16"/>
  <c r="AA35" i="15"/>
  <c r="Z35" i="15" s="1"/>
  <c r="Y35" i="15" s="1"/>
  <c r="G35" i="15"/>
  <c r="BX35" i="6" s="1"/>
  <c r="H35" i="15"/>
  <c r="W141" i="16"/>
  <c r="I141" i="15"/>
  <c r="J141" i="15"/>
  <c r="W169" i="16"/>
  <c r="D169" i="16"/>
  <c r="E169" i="16" s="1"/>
  <c r="F169" i="16" s="1"/>
  <c r="I213" i="15"/>
  <c r="H213" i="16" s="1"/>
  <c r="J213" i="15"/>
  <c r="I225" i="15"/>
  <c r="H225" i="16" s="1"/>
  <c r="J225" i="15"/>
  <c r="I237" i="15"/>
  <c r="J237" i="15"/>
  <c r="I249" i="15"/>
  <c r="H249" i="16" s="1"/>
  <c r="J249" i="15"/>
  <c r="J257" i="15"/>
  <c r="I257" i="15"/>
  <c r="H257" i="16" s="1"/>
  <c r="J265" i="15"/>
  <c r="I265" i="15"/>
  <c r="I281" i="15"/>
  <c r="H281" i="16" s="1"/>
  <c r="J281" i="15"/>
  <c r="I301" i="15"/>
  <c r="J301" i="15"/>
  <c r="I373" i="15"/>
  <c r="H373" i="16" s="1"/>
  <c r="J373" i="15"/>
  <c r="I63" i="15"/>
  <c r="H63" i="16" s="1"/>
  <c r="J63" i="15"/>
  <c r="J27" i="15"/>
  <c r="I27" i="15"/>
  <c r="I354" i="15"/>
  <c r="J354" i="15"/>
  <c r="J338" i="15"/>
  <c r="I338" i="15"/>
  <c r="W355" i="16"/>
  <c r="W347" i="16"/>
  <c r="D347" i="16"/>
  <c r="E347" i="16" s="1"/>
  <c r="F347" i="16" s="1"/>
  <c r="W243" i="16"/>
  <c r="D243" i="16"/>
  <c r="E243" i="16" s="1"/>
  <c r="F243" i="16" s="1"/>
  <c r="AA281" i="16"/>
  <c r="Z281" i="16" s="1"/>
  <c r="Y281" i="16" s="1"/>
  <c r="W304" i="16"/>
  <c r="D304" i="16"/>
  <c r="E304" i="16" s="1"/>
  <c r="F304" i="16" s="1"/>
  <c r="G350" i="16"/>
  <c r="BY350" i="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72" i="17"/>
  <c r="Q256" i="17"/>
  <c r="Q240" i="17"/>
  <c r="Q224" i="17"/>
  <c r="Q208" i="17"/>
  <c r="Q192" i="17"/>
  <c r="Q176" i="17"/>
  <c r="Q160" i="17"/>
  <c r="Q144" i="17"/>
  <c r="Q128" i="17"/>
  <c r="Q112" i="17"/>
  <c r="Q96" i="17"/>
  <c r="Q80" i="17"/>
  <c r="Q64" i="17"/>
  <c r="Q48" i="17"/>
  <c r="AI372" i="17"/>
  <c r="AH372" i="17" s="1"/>
  <c r="AG372" i="17" s="1"/>
  <c r="AF372" i="17" s="1"/>
  <c r="AI244" i="17"/>
  <c r="AH244" i="17" s="1"/>
  <c r="AG244" i="17" s="1"/>
  <c r="AF244" i="17" s="1"/>
  <c r="AI103" i="17"/>
  <c r="AH103" i="17" s="1"/>
  <c r="AG103" i="17" s="1"/>
  <c r="AF103" i="17" s="1"/>
  <c r="AI346" i="17"/>
  <c r="AH346" i="17" s="1"/>
  <c r="AG346" i="17" s="1"/>
  <c r="AF346" i="17" s="1"/>
  <c r="AI314" i="17"/>
  <c r="AH314" i="17" s="1"/>
  <c r="AG314" i="17" s="1"/>
  <c r="AF314" i="17" s="1"/>
  <c r="AI282" i="17"/>
  <c r="AH282" i="17" s="1"/>
  <c r="AG282" i="17" s="1"/>
  <c r="AF282" i="17" s="1"/>
  <c r="AI250" i="17"/>
  <c r="AH250" i="17" s="1"/>
  <c r="AG250" i="17" s="1"/>
  <c r="AF250" i="17" s="1"/>
  <c r="AI218" i="17"/>
  <c r="AH218" i="17" s="1"/>
  <c r="AG218" i="17" s="1"/>
  <c r="AF218" i="17" s="1"/>
  <c r="AI186" i="17"/>
  <c r="AH186" i="17" s="1"/>
  <c r="AG186" i="17" s="1"/>
  <c r="AF186" i="17" s="1"/>
  <c r="AI154" i="17"/>
  <c r="AH154" i="17" s="1"/>
  <c r="AG154" i="17" s="1"/>
  <c r="AF154" i="17" s="1"/>
  <c r="AI115" i="17"/>
  <c r="AH115" i="17" s="1"/>
  <c r="AG115" i="17" s="1"/>
  <c r="AF115" i="17" s="1"/>
  <c r="AI51" i="17"/>
  <c r="AH51" i="17" s="1"/>
  <c r="AG51" i="17" s="1"/>
  <c r="AF51" i="17" s="1"/>
  <c r="W16" i="7"/>
  <c r="AI22" i="17"/>
  <c r="AH22" i="17" s="1"/>
  <c r="AG22" i="17" s="1"/>
  <c r="AF22" i="17" s="1"/>
  <c r="AI38" i="17"/>
  <c r="AH38" i="17" s="1"/>
  <c r="AG38" i="17" s="1"/>
  <c r="AF38" i="17" s="1"/>
  <c r="AI54" i="17"/>
  <c r="AH54" i="17" s="1"/>
  <c r="AG54" i="17" s="1"/>
  <c r="AF54" i="17" s="1"/>
  <c r="AI70" i="17"/>
  <c r="AH70" i="17" s="1"/>
  <c r="AG70" i="17" s="1"/>
  <c r="AF70" i="17" s="1"/>
  <c r="AI82" i="17"/>
  <c r="AH82" i="17" s="1"/>
  <c r="AG82" i="17" s="1"/>
  <c r="AF82" i="17" s="1"/>
  <c r="AI90" i="17"/>
  <c r="AH90" i="17" s="1"/>
  <c r="AG90" i="17" s="1"/>
  <c r="AF90" i="17" s="1"/>
  <c r="AI98" i="17"/>
  <c r="AH98" i="17" s="1"/>
  <c r="AG98" i="17" s="1"/>
  <c r="AF98" i="17" s="1"/>
  <c r="AI106" i="17"/>
  <c r="AH106" i="17" s="1"/>
  <c r="AG106" i="17" s="1"/>
  <c r="AF106" i="17" s="1"/>
  <c r="AI114" i="17"/>
  <c r="AH114" i="17" s="1"/>
  <c r="AG114" i="17" s="1"/>
  <c r="AF114" i="17" s="1"/>
  <c r="AI122" i="17"/>
  <c r="AH122" i="17" s="1"/>
  <c r="AG122" i="17" s="1"/>
  <c r="AF122" i="17" s="1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Q12" i="18" s="1"/>
  <c r="AI373" i="17"/>
  <c r="AH373" i="17" s="1"/>
  <c r="AG373" i="17" s="1"/>
  <c r="AF373" i="17" s="1"/>
  <c r="AI365" i="17"/>
  <c r="AH365" i="17" s="1"/>
  <c r="AG365" i="17" s="1"/>
  <c r="AF365" i="17" s="1"/>
  <c r="AI357" i="17"/>
  <c r="AH357" i="17" s="1"/>
  <c r="AG357" i="17" s="1"/>
  <c r="AF357" i="17" s="1"/>
  <c r="AI349" i="17"/>
  <c r="AH349" i="17" s="1"/>
  <c r="AG349" i="17" s="1"/>
  <c r="AF349" i="17" s="1"/>
  <c r="AI341" i="17"/>
  <c r="AH341" i="17" s="1"/>
  <c r="AG341" i="17" s="1"/>
  <c r="AF341" i="17" s="1"/>
  <c r="AI333" i="17"/>
  <c r="AH333" i="17" s="1"/>
  <c r="AG333" i="17" s="1"/>
  <c r="AF333" i="17" s="1"/>
  <c r="AI325" i="17"/>
  <c r="AH325" i="17" s="1"/>
  <c r="AG325" i="17" s="1"/>
  <c r="AF325" i="17" s="1"/>
  <c r="AI317" i="17"/>
  <c r="AH317" i="17" s="1"/>
  <c r="AG317" i="17" s="1"/>
  <c r="AF317" i="17" s="1"/>
  <c r="AI309" i="17"/>
  <c r="AH309" i="17" s="1"/>
  <c r="AG309" i="17" s="1"/>
  <c r="AF309" i="17" s="1"/>
  <c r="AI301" i="17"/>
  <c r="AH301" i="17" s="1"/>
  <c r="AG301" i="17" s="1"/>
  <c r="AF301" i="17" s="1"/>
  <c r="AI293" i="17"/>
  <c r="AH293" i="17" s="1"/>
  <c r="AG293" i="17" s="1"/>
  <c r="AF293" i="17" s="1"/>
  <c r="AI285" i="17"/>
  <c r="AH285" i="17" s="1"/>
  <c r="AG285" i="17" s="1"/>
  <c r="AF285" i="17" s="1"/>
  <c r="AI277" i="17"/>
  <c r="AH277" i="17" s="1"/>
  <c r="AG277" i="17" s="1"/>
  <c r="AF277" i="17" s="1"/>
  <c r="AI269" i="17"/>
  <c r="AH269" i="17" s="1"/>
  <c r="AG269" i="17" s="1"/>
  <c r="AF269" i="17" s="1"/>
  <c r="AI261" i="17"/>
  <c r="AH261" i="17" s="1"/>
  <c r="AG261" i="17" s="1"/>
  <c r="AF261" i="17" s="1"/>
  <c r="AI253" i="17"/>
  <c r="AH253" i="17" s="1"/>
  <c r="AG253" i="17" s="1"/>
  <c r="AF253" i="17" s="1"/>
  <c r="AI245" i="17"/>
  <c r="AH245" i="17" s="1"/>
  <c r="AG245" i="17" s="1"/>
  <c r="AF245" i="17" s="1"/>
  <c r="AI237" i="17"/>
  <c r="AH237" i="17" s="1"/>
  <c r="AG237" i="17" s="1"/>
  <c r="AF237" i="17" s="1"/>
  <c r="AI229" i="17"/>
  <c r="AH229" i="17" s="1"/>
  <c r="AG229" i="17" s="1"/>
  <c r="AF229" i="17" s="1"/>
  <c r="AI221" i="17"/>
  <c r="AH221" i="17" s="1"/>
  <c r="AG221" i="17" s="1"/>
  <c r="AF221" i="17" s="1"/>
  <c r="AI213" i="17"/>
  <c r="AH213" i="17" s="1"/>
  <c r="AG213" i="17" s="1"/>
  <c r="AF213" i="17" s="1"/>
  <c r="AI205" i="17"/>
  <c r="AH205" i="17" s="1"/>
  <c r="AG205" i="17" s="1"/>
  <c r="AF205" i="17" s="1"/>
  <c r="AI197" i="17"/>
  <c r="AH197" i="17" s="1"/>
  <c r="AG197" i="17" s="1"/>
  <c r="AF197" i="17" s="1"/>
  <c r="AI189" i="17"/>
  <c r="AH189" i="17" s="1"/>
  <c r="AG189" i="17" s="1"/>
  <c r="AF189" i="17" s="1"/>
  <c r="AI181" i="17"/>
  <c r="AH181" i="17" s="1"/>
  <c r="AG181" i="17" s="1"/>
  <c r="AF181" i="17" s="1"/>
  <c r="AI173" i="17"/>
  <c r="AH173" i="17" s="1"/>
  <c r="AG173" i="17" s="1"/>
  <c r="AF173" i="17" s="1"/>
  <c r="AI165" i="17"/>
  <c r="AH165" i="17" s="1"/>
  <c r="AG165" i="17" s="1"/>
  <c r="AF165" i="17" s="1"/>
  <c r="AI157" i="17"/>
  <c r="AH157" i="17" s="1"/>
  <c r="AG157" i="17" s="1"/>
  <c r="AF157" i="17" s="1"/>
  <c r="AI149" i="17"/>
  <c r="AH149" i="17" s="1"/>
  <c r="AG149" i="17" s="1"/>
  <c r="AF149" i="17" s="1"/>
  <c r="AI141" i="17"/>
  <c r="AH141" i="17" s="1"/>
  <c r="AG141" i="17" s="1"/>
  <c r="AF141" i="17" s="1"/>
  <c r="AI133" i="17"/>
  <c r="AH133" i="17" s="1"/>
  <c r="AG133" i="17" s="1"/>
  <c r="AF133" i="17" s="1"/>
  <c r="AI121" i="17"/>
  <c r="AH121" i="17" s="1"/>
  <c r="AG121" i="17" s="1"/>
  <c r="AF121" i="17" s="1"/>
  <c r="AI105" i="17"/>
  <c r="AH105" i="17" s="1"/>
  <c r="AG105" i="17" s="1"/>
  <c r="AF105" i="17" s="1"/>
  <c r="AI89" i="17"/>
  <c r="AH89" i="17" s="1"/>
  <c r="AG89" i="17" s="1"/>
  <c r="AF89" i="17" s="1"/>
  <c r="AI73" i="17"/>
  <c r="AH73" i="17" s="1"/>
  <c r="AG73" i="17" s="1"/>
  <c r="AF73" i="17" s="1"/>
  <c r="AI57" i="17"/>
  <c r="AH57" i="17" s="1"/>
  <c r="AG57" i="17" s="1"/>
  <c r="AF57" i="17" s="1"/>
  <c r="AI41" i="17"/>
  <c r="AH41" i="17" s="1"/>
  <c r="AG41" i="17" s="1"/>
  <c r="AF41" i="17" s="1"/>
  <c r="AI25" i="17"/>
  <c r="AH25" i="17" s="1"/>
  <c r="AG25" i="17" s="1"/>
  <c r="AF25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G321" i="16"/>
  <c r="BY321" i="6" s="1"/>
  <c r="O381" i="23"/>
  <c r="O382" i="23"/>
  <c r="O383" i="23"/>
  <c r="L42" i="19" s="1"/>
  <c r="AC383" i="22"/>
  <c r="AC381" i="22"/>
  <c r="AC382" i="22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B379" i="6" s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AF15" i="16"/>
  <c r="U379" i="17"/>
  <c r="U377" i="17"/>
  <c r="T377" i="17" s="1"/>
  <c r="U375" i="17"/>
  <c r="T375" i="17" s="1"/>
  <c r="U373" i="17"/>
  <c r="T373" i="17" s="1"/>
  <c r="U371" i="17"/>
  <c r="T371" i="17" s="1"/>
  <c r="U369" i="17"/>
  <c r="T369" i="17" s="1"/>
  <c r="U367" i="17"/>
  <c r="T367" i="17" s="1"/>
  <c r="S367" i="17" s="1"/>
  <c r="R367" i="17" s="1"/>
  <c r="U365" i="17"/>
  <c r="T365" i="17" s="1"/>
  <c r="S365" i="17" s="1"/>
  <c r="R365" i="17" s="1"/>
  <c r="U363" i="17"/>
  <c r="T363" i="17" s="1"/>
  <c r="S363" i="17" s="1"/>
  <c r="R363" i="17" s="1"/>
  <c r="U361" i="17"/>
  <c r="T361" i="17" s="1"/>
  <c r="U359" i="17"/>
  <c r="T359" i="17" s="1"/>
  <c r="U357" i="17"/>
  <c r="T357" i="17" s="1"/>
  <c r="S357" i="17" s="1"/>
  <c r="R357" i="17" s="1"/>
  <c r="U355" i="17"/>
  <c r="T355" i="17" s="1"/>
  <c r="U353" i="17"/>
  <c r="T353" i="17" s="1"/>
  <c r="U351" i="17"/>
  <c r="T351" i="17" s="1"/>
  <c r="S351" i="17" s="1"/>
  <c r="R351" i="17" s="1"/>
  <c r="U349" i="17"/>
  <c r="T349" i="17" s="1"/>
  <c r="S349" i="17" s="1"/>
  <c r="R349" i="17" s="1"/>
  <c r="U347" i="17"/>
  <c r="T347" i="17" s="1"/>
  <c r="S347" i="17" s="1"/>
  <c r="R347" i="17" s="1"/>
  <c r="U345" i="17"/>
  <c r="T345" i="17" s="1"/>
  <c r="S345" i="17" s="1"/>
  <c r="R345" i="17" s="1"/>
  <c r="U343" i="17"/>
  <c r="T343" i="17" s="1"/>
  <c r="U341" i="17"/>
  <c r="T341" i="17" s="1"/>
  <c r="U339" i="17"/>
  <c r="T339" i="17" s="1"/>
  <c r="U337" i="17"/>
  <c r="T337" i="17" s="1"/>
  <c r="U335" i="17"/>
  <c r="T335" i="17" s="1"/>
  <c r="U333" i="17"/>
  <c r="T333" i="17" s="1"/>
  <c r="S333" i="17" s="1"/>
  <c r="R333" i="17" s="1"/>
  <c r="U331" i="17"/>
  <c r="T331" i="17" s="1"/>
  <c r="U329" i="17"/>
  <c r="T329" i="17" s="1"/>
  <c r="U327" i="17"/>
  <c r="T327" i="17" s="1"/>
  <c r="U325" i="17"/>
  <c r="T325" i="17" s="1"/>
  <c r="U323" i="17"/>
  <c r="T323" i="17" s="1"/>
  <c r="S323" i="17" s="1"/>
  <c r="R323" i="17" s="1"/>
  <c r="U321" i="17"/>
  <c r="T321" i="17" s="1"/>
  <c r="S321" i="17" s="1"/>
  <c r="R321" i="17" s="1"/>
  <c r="U319" i="17"/>
  <c r="T319" i="17" s="1"/>
  <c r="U317" i="17"/>
  <c r="T317" i="17" s="1"/>
  <c r="U315" i="17"/>
  <c r="T315" i="17" s="1"/>
  <c r="U313" i="17"/>
  <c r="T313" i="17" s="1"/>
  <c r="U311" i="17"/>
  <c r="T311" i="17" s="1"/>
  <c r="U309" i="17"/>
  <c r="T309" i="17" s="1"/>
  <c r="U307" i="17"/>
  <c r="T307" i="17" s="1"/>
  <c r="S307" i="17" s="1"/>
  <c r="R307" i="17" s="1"/>
  <c r="U305" i="17"/>
  <c r="T305" i="17" s="1"/>
  <c r="S305" i="17" s="1"/>
  <c r="R305" i="17" s="1"/>
  <c r="U303" i="17"/>
  <c r="T303" i="17" s="1"/>
  <c r="S303" i="17" s="1"/>
  <c r="R303" i="17" s="1"/>
  <c r="U301" i="17"/>
  <c r="T301" i="17" s="1"/>
  <c r="U299" i="17"/>
  <c r="T299" i="17" s="1"/>
  <c r="U297" i="17"/>
  <c r="T297" i="17" s="1"/>
  <c r="U295" i="17"/>
  <c r="T295" i="17" s="1"/>
  <c r="S295" i="17" s="1"/>
  <c r="R295" i="17" s="1"/>
  <c r="U293" i="17"/>
  <c r="T293" i="17" s="1"/>
  <c r="U291" i="17"/>
  <c r="T291" i="17" s="1"/>
  <c r="S291" i="17" s="1"/>
  <c r="R291" i="17" s="1"/>
  <c r="U289" i="17"/>
  <c r="T289" i="17" s="1"/>
  <c r="S289" i="17" s="1"/>
  <c r="R289" i="17" s="1"/>
  <c r="U287" i="17"/>
  <c r="T287" i="17" s="1"/>
  <c r="U285" i="17"/>
  <c r="T285" i="17" s="1"/>
  <c r="U283" i="17"/>
  <c r="T283" i="17" s="1"/>
  <c r="U281" i="17"/>
  <c r="T281" i="17" s="1"/>
  <c r="U279" i="17"/>
  <c r="T279" i="17" s="1"/>
  <c r="U277" i="17"/>
  <c r="T277" i="17" s="1"/>
  <c r="S277" i="17" s="1"/>
  <c r="R277" i="17" s="1"/>
  <c r="U275" i="17"/>
  <c r="T275" i="17" s="1"/>
  <c r="S275" i="17" s="1"/>
  <c r="R275" i="17" s="1"/>
  <c r="U273" i="17"/>
  <c r="T273" i="17" s="1"/>
  <c r="S273" i="17" s="1"/>
  <c r="R273" i="17" s="1"/>
  <c r="U271" i="17"/>
  <c r="T271" i="17" s="1"/>
  <c r="U269" i="17"/>
  <c r="T269" i="17" s="1"/>
  <c r="S269" i="17" s="1"/>
  <c r="R269" i="17" s="1"/>
  <c r="U267" i="17"/>
  <c r="T267" i="17" s="1"/>
  <c r="S267" i="17" s="1"/>
  <c r="R267" i="17" s="1"/>
  <c r="U265" i="17"/>
  <c r="T265" i="17" s="1"/>
  <c r="S265" i="17" s="1"/>
  <c r="R265" i="17" s="1"/>
  <c r="U263" i="17"/>
  <c r="T263" i="17" s="1"/>
  <c r="U261" i="17"/>
  <c r="T261" i="17" s="1"/>
  <c r="S261" i="17" s="1"/>
  <c r="R261" i="17" s="1"/>
  <c r="U259" i="17"/>
  <c r="T259" i="17" s="1"/>
  <c r="U257" i="17"/>
  <c r="T257" i="17" s="1"/>
  <c r="S257" i="17" s="1"/>
  <c r="R257" i="17" s="1"/>
  <c r="U255" i="17"/>
  <c r="T255" i="17" s="1"/>
  <c r="U253" i="17"/>
  <c r="T253" i="17" s="1"/>
  <c r="U251" i="17"/>
  <c r="T251" i="17" s="1"/>
  <c r="S251" i="17" s="1"/>
  <c r="R251" i="17" s="1"/>
  <c r="U249" i="17"/>
  <c r="T249" i="17" s="1"/>
  <c r="U247" i="17"/>
  <c r="T247" i="17" s="1"/>
  <c r="U245" i="17"/>
  <c r="T245" i="17" s="1"/>
  <c r="S245" i="17" s="1"/>
  <c r="R245" i="17" s="1"/>
  <c r="U243" i="17"/>
  <c r="T243" i="17" s="1"/>
  <c r="S243" i="17" s="1"/>
  <c r="R243" i="17" s="1"/>
  <c r="U241" i="17"/>
  <c r="T241" i="17" s="1"/>
  <c r="U239" i="17"/>
  <c r="T239" i="17" s="1"/>
  <c r="S239" i="17" s="1"/>
  <c r="R239" i="17" s="1"/>
  <c r="U237" i="17"/>
  <c r="T237" i="17" s="1"/>
  <c r="U235" i="17"/>
  <c r="T235" i="17" s="1"/>
  <c r="S235" i="17" s="1"/>
  <c r="R235" i="17" s="1"/>
  <c r="U233" i="17"/>
  <c r="T233" i="17" s="1"/>
  <c r="S233" i="17" s="1"/>
  <c r="R233" i="17" s="1"/>
  <c r="U231" i="17"/>
  <c r="T231" i="17" s="1"/>
  <c r="S231" i="17" s="1"/>
  <c r="R231" i="17" s="1"/>
  <c r="U229" i="17"/>
  <c r="T229" i="17" s="1"/>
  <c r="U227" i="17"/>
  <c r="T227" i="17" s="1"/>
  <c r="S227" i="17" s="1"/>
  <c r="R227" i="17" s="1"/>
  <c r="U225" i="17"/>
  <c r="T225" i="17" s="1"/>
  <c r="U223" i="17"/>
  <c r="T223" i="17" s="1"/>
  <c r="S223" i="17" s="1"/>
  <c r="R223" i="17" s="1"/>
  <c r="U221" i="17"/>
  <c r="T221" i="17" s="1"/>
  <c r="S221" i="17" s="1"/>
  <c r="R221" i="17" s="1"/>
  <c r="U219" i="17"/>
  <c r="T219" i="17" s="1"/>
  <c r="U217" i="17"/>
  <c r="T217" i="17" s="1"/>
  <c r="U215" i="17"/>
  <c r="T215" i="17" s="1"/>
  <c r="U213" i="17"/>
  <c r="T213" i="17" s="1"/>
  <c r="S213" i="17" s="1"/>
  <c r="R213" i="17" s="1"/>
  <c r="U211" i="17"/>
  <c r="T211" i="17" s="1"/>
  <c r="U209" i="17"/>
  <c r="T209" i="17" s="1"/>
  <c r="U207" i="17"/>
  <c r="T207" i="17" s="1"/>
  <c r="S207" i="17" s="1"/>
  <c r="R207" i="17" s="1"/>
  <c r="U205" i="17"/>
  <c r="T205" i="17" s="1"/>
  <c r="S205" i="17" s="1"/>
  <c r="R205" i="17" s="1"/>
  <c r="U203" i="17"/>
  <c r="T203" i="17" s="1"/>
  <c r="U201" i="17"/>
  <c r="T201" i="17" s="1"/>
  <c r="S201" i="17" s="1"/>
  <c r="R201" i="17" s="1"/>
  <c r="U199" i="17"/>
  <c r="T199" i="17" s="1"/>
  <c r="U197" i="17"/>
  <c r="T197" i="17" s="1"/>
  <c r="S197" i="17" s="1"/>
  <c r="R197" i="17" s="1"/>
  <c r="U195" i="17"/>
  <c r="T195" i="17" s="1"/>
  <c r="U193" i="17"/>
  <c r="T193" i="17" s="1"/>
  <c r="U191" i="17"/>
  <c r="T191" i="17" s="1"/>
  <c r="U189" i="17"/>
  <c r="T189" i="17" s="1"/>
  <c r="S189" i="17" s="1"/>
  <c r="R189" i="17" s="1"/>
  <c r="U187" i="17"/>
  <c r="T187" i="17" s="1"/>
  <c r="U185" i="17"/>
  <c r="T185" i="17" s="1"/>
  <c r="S185" i="17" s="1"/>
  <c r="R185" i="17" s="1"/>
  <c r="U183" i="17"/>
  <c r="T183" i="17" s="1"/>
  <c r="S183" i="17" s="1"/>
  <c r="R183" i="17" s="1"/>
  <c r="U181" i="17"/>
  <c r="T181" i="17" s="1"/>
  <c r="U179" i="17"/>
  <c r="T179" i="17" s="1"/>
  <c r="S179" i="17" s="1"/>
  <c r="R179" i="17" s="1"/>
  <c r="U177" i="17"/>
  <c r="T177" i="17" s="1"/>
  <c r="S177" i="17" s="1"/>
  <c r="R177" i="17" s="1"/>
  <c r="U175" i="17"/>
  <c r="T175" i="17" s="1"/>
  <c r="U173" i="17"/>
  <c r="T173" i="17" s="1"/>
  <c r="S173" i="17" s="1"/>
  <c r="R173" i="17" s="1"/>
  <c r="U171" i="17"/>
  <c r="T171" i="17" s="1"/>
  <c r="S171" i="17" s="1"/>
  <c r="R171" i="17" s="1"/>
  <c r="U169" i="17"/>
  <c r="T169" i="17" s="1"/>
  <c r="S169" i="17" s="1"/>
  <c r="R169" i="17" s="1"/>
  <c r="U167" i="17"/>
  <c r="T167" i="17" s="1"/>
  <c r="U165" i="17"/>
  <c r="T165" i="17" s="1"/>
  <c r="S165" i="17" s="1"/>
  <c r="R165" i="17" s="1"/>
  <c r="U163" i="17"/>
  <c r="T163" i="17" s="1"/>
  <c r="S163" i="17" s="1"/>
  <c r="R163" i="17" s="1"/>
  <c r="U161" i="17"/>
  <c r="T161" i="17" s="1"/>
  <c r="U159" i="17"/>
  <c r="T159" i="17" s="1"/>
  <c r="S159" i="17" s="1"/>
  <c r="R159" i="17" s="1"/>
  <c r="U157" i="17"/>
  <c r="T157" i="17" s="1"/>
  <c r="U155" i="17"/>
  <c r="T155" i="17" s="1"/>
  <c r="S155" i="17" s="1"/>
  <c r="R155" i="17" s="1"/>
  <c r="U153" i="17"/>
  <c r="T153" i="17" s="1"/>
  <c r="S153" i="17" s="1"/>
  <c r="R153" i="17" s="1"/>
  <c r="U151" i="17"/>
  <c r="T151" i="17" s="1"/>
  <c r="U149" i="17"/>
  <c r="T149" i="17" s="1"/>
  <c r="S149" i="17" s="1"/>
  <c r="R149" i="17" s="1"/>
  <c r="U147" i="17"/>
  <c r="T147" i="17" s="1"/>
  <c r="S147" i="17" s="1"/>
  <c r="R147" i="17" s="1"/>
  <c r="U145" i="17"/>
  <c r="T145" i="17" s="1"/>
  <c r="S145" i="17" s="1"/>
  <c r="R145" i="17" s="1"/>
  <c r="U143" i="17"/>
  <c r="T143" i="17" s="1"/>
  <c r="S143" i="17" s="1"/>
  <c r="R143" i="17" s="1"/>
  <c r="U141" i="17"/>
  <c r="T141" i="17" s="1"/>
  <c r="U139" i="17"/>
  <c r="T139" i="17" s="1"/>
  <c r="U137" i="17"/>
  <c r="T137" i="17" s="1"/>
  <c r="S137" i="17" s="1"/>
  <c r="R137" i="17" s="1"/>
  <c r="U135" i="17"/>
  <c r="T135" i="17" s="1"/>
  <c r="S135" i="17" s="1"/>
  <c r="R135" i="17" s="1"/>
  <c r="U133" i="17"/>
  <c r="T133" i="17" s="1"/>
  <c r="S133" i="17" s="1"/>
  <c r="R133" i="17" s="1"/>
  <c r="U131" i="17"/>
  <c r="T131" i="17" s="1"/>
  <c r="S131" i="17" s="1"/>
  <c r="R131" i="17" s="1"/>
  <c r="U129" i="17"/>
  <c r="T129" i="17" s="1"/>
  <c r="U127" i="17"/>
  <c r="T127" i="17" s="1"/>
  <c r="U125" i="17"/>
  <c r="T125" i="17" s="1"/>
  <c r="S125" i="17" s="1"/>
  <c r="R125" i="17" s="1"/>
  <c r="U123" i="17"/>
  <c r="T123" i="17" s="1"/>
  <c r="U121" i="17"/>
  <c r="T121" i="17" s="1"/>
  <c r="S121" i="17" s="1"/>
  <c r="R121" i="17" s="1"/>
  <c r="U119" i="17"/>
  <c r="T119" i="17" s="1"/>
  <c r="S119" i="17" s="1"/>
  <c r="R119" i="17" s="1"/>
  <c r="U117" i="17"/>
  <c r="T117" i="17" s="1"/>
  <c r="U115" i="17"/>
  <c r="T115" i="17" s="1"/>
  <c r="S115" i="17" s="1"/>
  <c r="R115" i="17" s="1"/>
  <c r="U113" i="17"/>
  <c r="T113" i="17" s="1"/>
  <c r="U111" i="17"/>
  <c r="T111" i="17" s="1"/>
  <c r="S111" i="17" s="1"/>
  <c r="R111" i="17" s="1"/>
  <c r="U109" i="17"/>
  <c r="T109" i="17" s="1"/>
  <c r="S109" i="17" s="1"/>
  <c r="R109" i="17" s="1"/>
  <c r="U107" i="17"/>
  <c r="T107" i="17" s="1"/>
  <c r="U105" i="17"/>
  <c r="T105" i="17" s="1"/>
  <c r="U103" i="17"/>
  <c r="T103" i="17" s="1"/>
  <c r="U101" i="17"/>
  <c r="T101" i="17" s="1"/>
  <c r="S101" i="17" s="1"/>
  <c r="R101" i="17" s="1"/>
  <c r="U99" i="17"/>
  <c r="T99" i="17" s="1"/>
  <c r="U97" i="17"/>
  <c r="T97" i="17" s="1"/>
  <c r="S97" i="17" s="1"/>
  <c r="R97" i="17" s="1"/>
  <c r="U95" i="17"/>
  <c r="T95" i="17" s="1"/>
  <c r="S95" i="17" s="1"/>
  <c r="R95" i="17" s="1"/>
  <c r="U93" i="17"/>
  <c r="T93" i="17" s="1"/>
  <c r="U91" i="17"/>
  <c r="T91" i="17" s="1"/>
  <c r="S91" i="17" s="1"/>
  <c r="R91" i="17" s="1"/>
  <c r="U89" i="17"/>
  <c r="T89" i="17" s="1"/>
  <c r="U87" i="17"/>
  <c r="T87" i="17" s="1"/>
  <c r="S87" i="17" s="1"/>
  <c r="R87" i="17" s="1"/>
  <c r="U85" i="17"/>
  <c r="T85" i="17" s="1"/>
  <c r="U83" i="17"/>
  <c r="T83" i="17" s="1"/>
  <c r="U81" i="17"/>
  <c r="T81" i="17" s="1"/>
  <c r="S81" i="17" s="1"/>
  <c r="R81" i="17" s="1"/>
  <c r="U79" i="17"/>
  <c r="T79" i="17" s="1"/>
  <c r="S79" i="17" s="1"/>
  <c r="R79" i="17" s="1"/>
  <c r="U77" i="17"/>
  <c r="T77" i="17" s="1"/>
  <c r="S77" i="17" s="1"/>
  <c r="R77" i="17" s="1"/>
  <c r="U75" i="17"/>
  <c r="T75" i="17" s="1"/>
  <c r="S75" i="17" s="1"/>
  <c r="R75" i="17" s="1"/>
  <c r="U73" i="17"/>
  <c r="T73" i="17" s="1"/>
  <c r="U71" i="17"/>
  <c r="T71" i="17" s="1"/>
  <c r="S71" i="17" s="1"/>
  <c r="R71" i="17" s="1"/>
  <c r="U69" i="17"/>
  <c r="T69" i="17" s="1"/>
  <c r="U67" i="17"/>
  <c r="T67" i="17" s="1"/>
  <c r="U65" i="17"/>
  <c r="T65" i="17" s="1"/>
  <c r="U63" i="17"/>
  <c r="T63" i="17" s="1"/>
  <c r="U61" i="17"/>
  <c r="T61" i="17" s="1"/>
  <c r="U59" i="17"/>
  <c r="T59" i="17" s="1"/>
  <c r="S59" i="17" s="1"/>
  <c r="R59" i="17" s="1"/>
  <c r="U57" i="17"/>
  <c r="T57" i="17" s="1"/>
  <c r="S57" i="17" s="1"/>
  <c r="R57" i="17" s="1"/>
  <c r="U55" i="17"/>
  <c r="T55" i="17" s="1"/>
  <c r="S55" i="17" s="1"/>
  <c r="R55" i="17" s="1"/>
  <c r="U53" i="17"/>
  <c r="T53" i="17" s="1"/>
  <c r="S53" i="17" s="1"/>
  <c r="R53" i="17" s="1"/>
  <c r="U51" i="17"/>
  <c r="T51" i="17" s="1"/>
  <c r="S51" i="17" s="1"/>
  <c r="R51" i="17" s="1"/>
  <c r="U49" i="17"/>
  <c r="T49" i="17" s="1"/>
  <c r="U47" i="17"/>
  <c r="T47" i="17" s="1"/>
  <c r="U45" i="17"/>
  <c r="T45" i="17" s="1"/>
  <c r="U43" i="17"/>
  <c r="T43" i="17" s="1"/>
  <c r="S43" i="17" s="1"/>
  <c r="R43" i="17" s="1"/>
  <c r="U41" i="17"/>
  <c r="T41" i="17" s="1"/>
  <c r="S41" i="17" s="1"/>
  <c r="R41" i="17" s="1"/>
  <c r="U39" i="17"/>
  <c r="T39" i="17" s="1"/>
  <c r="U37" i="17"/>
  <c r="T37" i="17" s="1"/>
  <c r="S37" i="17" s="1"/>
  <c r="R37" i="17" s="1"/>
  <c r="U35" i="17"/>
  <c r="T35" i="17" s="1"/>
  <c r="U33" i="17"/>
  <c r="T33" i="17" s="1"/>
  <c r="U31" i="17"/>
  <c r="T31" i="17" s="1"/>
  <c r="S31" i="17" s="1"/>
  <c r="R31" i="17" s="1"/>
  <c r="P31" i="17" s="1"/>
  <c r="V31" i="17" s="1"/>
  <c r="U29" i="17"/>
  <c r="T29" i="17" s="1"/>
  <c r="S29" i="17" s="1"/>
  <c r="R29" i="17" s="1"/>
  <c r="U27" i="17"/>
  <c r="T27" i="17" s="1"/>
  <c r="S27" i="17" s="1"/>
  <c r="R27" i="17" s="1"/>
  <c r="U25" i="17"/>
  <c r="T25" i="17" s="1"/>
  <c r="U23" i="17"/>
  <c r="T23" i="17" s="1"/>
  <c r="U21" i="17"/>
  <c r="T21" i="17" s="1"/>
  <c r="U15" i="17"/>
  <c r="U16" i="17"/>
  <c r="T16" i="17" s="1"/>
  <c r="S16" i="17" s="1"/>
  <c r="R16" i="17" s="1"/>
  <c r="U19" i="17"/>
  <c r="T19" i="17" s="1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324" i="15"/>
  <c r="H324" i="16" s="1"/>
  <c r="J324" i="15"/>
  <c r="I227" i="15"/>
  <c r="J227" i="15"/>
  <c r="I51" i="15"/>
  <c r="J51" i="15"/>
  <c r="AD381" i="15"/>
  <c r="AD382" i="15"/>
  <c r="AD383" i="15"/>
  <c r="R15" i="16"/>
  <c r="P383" i="15"/>
  <c r="P381" i="15"/>
  <c r="V15" i="15"/>
  <c r="B15" i="15" s="1"/>
  <c r="AJ5" i="15" s="1"/>
  <c r="P382" i="15"/>
  <c r="X378" i="25"/>
  <c r="L378" i="25"/>
  <c r="AB378" i="25"/>
  <c r="AJ378" i="25"/>
  <c r="K378" i="25"/>
  <c r="A379" i="25"/>
  <c r="AK378" i="25"/>
  <c r="O378" i="25"/>
  <c r="AC378" i="25"/>
  <c r="U378" i="17"/>
  <c r="T378" i="17" s="1"/>
  <c r="U376" i="17"/>
  <c r="T376" i="17" s="1"/>
  <c r="S376" i="17" s="1"/>
  <c r="R376" i="17" s="1"/>
  <c r="U374" i="17"/>
  <c r="T374" i="17" s="1"/>
  <c r="U372" i="17"/>
  <c r="T372" i="17" s="1"/>
  <c r="S372" i="17" s="1"/>
  <c r="R372" i="17" s="1"/>
  <c r="U370" i="17"/>
  <c r="T370" i="17" s="1"/>
  <c r="U368" i="17"/>
  <c r="T368" i="17" s="1"/>
  <c r="U366" i="17"/>
  <c r="T366" i="17" s="1"/>
  <c r="S366" i="17" s="1"/>
  <c r="R366" i="17" s="1"/>
  <c r="U364" i="17"/>
  <c r="T364" i="17" s="1"/>
  <c r="S364" i="17" s="1"/>
  <c r="R364" i="17" s="1"/>
  <c r="U362" i="17"/>
  <c r="T362" i="17" s="1"/>
  <c r="U360" i="17"/>
  <c r="T360" i="17" s="1"/>
  <c r="S360" i="17" s="1"/>
  <c r="R360" i="17" s="1"/>
  <c r="U358" i="17"/>
  <c r="T358" i="17" s="1"/>
  <c r="U356" i="17"/>
  <c r="T356" i="17" s="1"/>
  <c r="S356" i="17" s="1"/>
  <c r="R356" i="17" s="1"/>
  <c r="P356" i="17" s="1"/>
  <c r="V356" i="17" s="1"/>
  <c r="B356" i="17" s="1"/>
  <c r="U354" i="17"/>
  <c r="T354" i="17" s="1"/>
  <c r="S354" i="17" s="1"/>
  <c r="R354" i="17" s="1"/>
  <c r="U352" i="17"/>
  <c r="T352" i="17" s="1"/>
  <c r="U350" i="17"/>
  <c r="T350" i="17" s="1"/>
  <c r="S350" i="17" s="1"/>
  <c r="R350" i="17" s="1"/>
  <c r="U348" i="17"/>
  <c r="T348" i="17" s="1"/>
  <c r="U346" i="17"/>
  <c r="T346" i="17" s="1"/>
  <c r="S346" i="17" s="1"/>
  <c r="R346" i="17" s="1"/>
  <c r="U344" i="17"/>
  <c r="T344" i="17" s="1"/>
  <c r="U342" i="17"/>
  <c r="T342" i="17" s="1"/>
  <c r="U340" i="17"/>
  <c r="T340" i="17" s="1"/>
  <c r="U338" i="17"/>
  <c r="T338" i="17" s="1"/>
  <c r="U336" i="17"/>
  <c r="T336" i="17" s="1"/>
  <c r="S336" i="17" s="1"/>
  <c r="R336" i="17" s="1"/>
  <c r="U334" i="17"/>
  <c r="T334" i="17" s="1"/>
  <c r="S334" i="17" s="1"/>
  <c r="R334" i="17" s="1"/>
  <c r="U332" i="17"/>
  <c r="T332" i="17" s="1"/>
  <c r="S332" i="17" s="1"/>
  <c r="R332" i="17" s="1"/>
  <c r="U330" i="17"/>
  <c r="T330" i="17" s="1"/>
  <c r="S330" i="17" s="1"/>
  <c r="R330" i="17" s="1"/>
  <c r="U328" i="17"/>
  <c r="T328" i="17" s="1"/>
  <c r="U326" i="17"/>
  <c r="T326" i="17" s="1"/>
  <c r="S326" i="17" s="1"/>
  <c r="R326" i="17" s="1"/>
  <c r="U324" i="17"/>
  <c r="T324" i="17" s="1"/>
  <c r="U322" i="17"/>
  <c r="T322" i="17" s="1"/>
  <c r="S322" i="17" s="1"/>
  <c r="R322" i="17" s="1"/>
  <c r="U320" i="17"/>
  <c r="T320" i="17" s="1"/>
  <c r="U318" i="17"/>
  <c r="T318" i="17" s="1"/>
  <c r="S318" i="17" s="1"/>
  <c r="R318" i="17" s="1"/>
  <c r="U316" i="17"/>
  <c r="T316" i="17" s="1"/>
  <c r="S316" i="17" s="1"/>
  <c r="R316" i="17" s="1"/>
  <c r="P316" i="17" s="1"/>
  <c r="V316" i="17" s="1"/>
  <c r="B316" i="17" s="1"/>
  <c r="U314" i="17"/>
  <c r="T314" i="17" s="1"/>
  <c r="U312" i="17"/>
  <c r="T312" i="17" s="1"/>
  <c r="S312" i="17" s="1"/>
  <c r="R312" i="17" s="1"/>
  <c r="U310" i="17"/>
  <c r="T310" i="17" s="1"/>
  <c r="U308" i="17"/>
  <c r="T308" i="17" s="1"/>
  <c r="S308" i="17" s="1"/>
  <c r="R308" i="17" s="1"/>
  <c r="P308" i="17" s="1"/>
  <c r="U306" i="17"/>
  <c r="T306" i="17" s="1"/>
  <c r="U304" i="17"/>
  <c r="T304" i="17" s="1"/>
  <c r="U302" i="17"/>
  <c r="T302" i="17" s="1"/>
  <c r="U300" i="17"/>
  <c r="T300" i="17" s="1"/>
  <c r="S300" i="17" s="1"/>
  <c r="R300" i="17" s="1"/>
  <c r="U298" i="17"/>
  <c r="T298" i="17" s="1"/>
  <c r="U296" i="17"/>
  <c r="T296" i="17" s="1"/>
  <c r="S296" i="17" s="1"/>
  <c r="R296" i="17" s="1"/>
  <c r="U294" i="17"/>
  <c r="T294" i="17" s="1"/>
  <c r="U292" i="17"/>
  <c r="T292" i="17" s="1"/>
  <c r="S292" i="17" s="1"/>
  <c r="R292" i="17" s="1"/>
  <c r="P292" i="17" s="1"/>
  <c r="V292" i="17" s="1"/>
  <c r="B292" i="17" s="1"/>
  <c r="U290" i="17"/>
  <c r="T290" i="17" s="1"/>
  <c r="U288" i="17"/>
  <c r="T288" i="17" s="1"/>
  <c r="U286" i="17"/>
  <c r="T286" i="17" s="1"/>
  <c r="U284" i="17"/>
  <c r="T284" i="17" s="1"/>
  <c r="S284" i="17" s="1"/>
  <c r="R284" i="17" s="1"/>
  <c r="U282" i="17"/>
  <c r="T282" i="17" s="1"/>
  <c r="S282" i="17" s="1"/>
  <c r="R282" i="17" s="1"/>
  <c r="U280" i="17"/>
  <c r="T280" i="17" s="1"/>
  <c r="S280" i="17" s="1"/>
  <c r="R280" i="17" s="1"/>
  <c r="P280" i="17" s="1"/>
  <c r="V280" i="17" s="1"/>
  <c r="U278" i="17"/>
  <c r="T278" i="17" s="1"/>
  <c r="U276" i="17"/>
  <c r="T276" i="17" s="1"/>
  <c r="S276" i="17" s="1"/>
  <c r="R276" i="17" s="1"/>
  <c r="U274" i="17"/>
  <c r="T274" i="17" s="1"/>
  <c r="U272" i="17"/>
  <c r="T272" i="17" s="1"/>
  <c r="S272" i="17" s="1"/>
  <c r="R272" i="17" s="1"/>
  <c r="U270" i="17"/>
  <c r="T270" i="17" s="1"/>
  <c r="U268" i="17"/>
  <c r="T268" i="17" s="1"/>
  <c r="S268" i="17" s="1"/>
  <c r="R268" i="17" s="1"/>
  <c r="U266" i="17"/>
  <c r="T266" i="17" s="1"/>
  <c r="S266" i="17" s="1"/>
  <c r="R266" i="17" s="1"/>
  <c r="U264" i="17"/>
  <c r="T264" i="17" s="1"/>
  <c r="U262" i="17"/>
  <c r="T262" i="17" s="1"/>
  <c r="S262" i="17" s="1"/>
  <c r="R262" i="17" s="1"/>
  <c r="U260" i="17"/>
  <c r="T260" i="17" s="1"/>
  <c r="S260" i="17" s="1"/>
  <c r="R260" i="17" s="1"/>
  <c r="U258" i="17"/>
  <c r="T258" i="17" s="1"/>
  <c r="U256" i="17"/>
  <c r="T256" i="17" s="1"/>
  <c r="S256" i="17" s="1"/>
  <c r="R256" i="17" s="1"/>
  <c r="U254" i="17"/>
  <c r="T254" i="17" s="1"/>
  <c r="U252" i="17"/>
  <c r="T252" i="17" s="1"/>
  <c r="U250" i="17"/>
  <c r="T250" i="17" s="1"/>
  <c r="U248" i="17"/>
  <c r="T248" i="17" s="1"/>
  <c r="S248" i="17" s="1"/>
  <c r="R248" i="17" s="1"/>
  <c r="U246" i="17"/>
  <c r="T246" i="17" s="1"/>
  <c r="S246" i="17" s="1"/>
  <c r="R246" i="17" s="1"/>
  <c r="U244" i="17"/>
  <c r="T244" i="17" s="1"/>
  <c r="U242" i="17"/>
  <c r="T242" i="17" s="1"/>
  <c r="U240" i="17"/>
  <c r="T240" i="17" s="1"/>
  <c r="U238" i="17"/>
  <c r="T238" i="17" s="1"/>
  <c r="U236" i="17"/>
  <c r="T236" i="17" s="1"/>
  <c r="S236" i="17" s="1"/>
  <c r="R236" i="17" s="1"/>
  <c r="U234" i="17"/>
  <c r="T234" i="17" s="1"/>
  <c r="S234" i="17" s="1"/>
  <c r="R234" i="17" s="1"/>
  <c r="U232" i="17"/>
  <c r="T232" i="17" s="1"/>
  <c r="U230" i="17"/>
  <c r="T230" i="17" s="1"/>
  <c r="U228" i="17"/>
  <c r="T228" i="17" s="1"/>
  <c r="S228" i="17" s="1"/>
  <c r="R228" i="17" s="1"/>
  <c r="U226" i="17"/>
  <c r="T226" i="17" s="1"/>
  <c r="U224" i="17"/>
  <c r="T224" i="17" s="1"/>
  <c r="U222" i="17"/>
  <c r="T222" i="17" s="1"/>
  <c r="U220" i="17"/>
  <c r="T220" i="17" s="1"/>
  <c r="S220" i="17" s="1"/>
  <c r="R220" i="17" s="1"/>
  <c r="U218" i="17"/>
  <c r="T218" i="17" s="1"/>
  <c r="S218" i="17" s="1"/>
  <c r="R218" i="17" s="1"/>
  <c r="U216" i="17"/>
  <c r="T216" i="17" s="1"/>
  <c r="S216" i="17" s="1"/>
  <c r="R216" i="17" s="1"/>
  <c r="P216" i="17" s="1"/>
  <c r="V216" i="17" s="1"/>
  <c r="U214" i="17"/>
  <c r="T214" i="17" s="1"/>
  <c r="U212" i="17"/>
  <c r="T212" i="17" s="1"/>
  <c r="U210" i="17"/>
  <c r="T210" i="17" s="1"/>
  <c r="S210" i="17" s="1"/>
  <c r="R210" i="17" s="1"/>
  <c r="U208" i="17"/>
  <c r="T208" i="17" s="1"/>
  <c r="S208" i="17" s="1"/>
  <c r="R208" i="17" s="1"/>
  <c r="U206" i="17"/>
  <c r="T206" i="17" s="1"/>
  <c r="S206" i="17" s="1"/>
  <c r="R206" i="17" s="1"/>
  <c r="U204" i="17"/>
  <c r="T204" i="17" s="1"/>
  <c r="S204" i="17" s="1"/>
  <c r="R204" i="17" s="1"/>
  <c r="U202" i="17"/>
  <c r="T202" i="17" s="1"/>
  <c r="S202" i="17" s="1"/>
  <c r="R202" i="17" s="1"/>
  <c r="U200" i="17"/>
  <c r="T200" i="17" s="1"/>
  <c r="S200" i="17" s="1"/>
  <c r="R200" i="17" s="1"/>
  <c r="P200" i="17" s="1"/>
  <c r="U198" i="17"/>
  <c r="T198" i="17" s="1"/>
  <c r="S198" i="17" s="1"/>
  <c r="R198" i="17" s="1"/>
  <c r="U196" i="17"/>
  <c r="T196" i="17" s="1"/>
  <c r="S196" i="17" s="1"/>
  <c r="R196" i="17" s="1"/>
  <c r="U194" i="17"/>
  <c r="T194" i="17" s="1"/>
  <c r="U192" i="17"/>
  <c r="T192" i="17" s="1"/>
  <c r="U190" i="17"/>
  <c r="T190" i="17" s="1"/>
  <c r="S190" i="17" s="1"/>
  <c r="R190" i="17" s="1"/>
  <c r="U188" i="17"/>
  <c r="T188" i="17" s="1"/>
  <c r="U186" i="17"/>
  <c r="T186" i="17" s="1"/>
  <c r="U184" i="17"/>
  <c r="T184" i="17" s="1"/>
  <c r="U182" i="17"/>
  <c r="T182" i="17" s="1"/>
  <c r="S182" i="17" s="1"/>
  <c r="R182" i="17" s="1"/>
  <c r="U180" i="17"/>
  <c r="T180" i="17" s="1"/>
  <c r="U178" i="17"/>
  <c r="T178" i="17" s="1"/>
  <c r="S178" i="17" s="1"/>
  <c r="R178" i="17" s="1"/>
  <c r="U176" i="17"/>
  <c r="T176" i="17" s="1"/>
  <c r="S176" i="17" s="1"/>
  <c r="R176" i="17" s="1"/>
  <c r="U174" i="17"/>
  <c r="T174" i="17" s="1"/>
  <c r="S174" i="17" s="1"/>
  <c r="R174" i="17" s="1"/>
  <c r="U172" i="17"/>
  <c r="T172" i="17" s="1"/>
  <c r="U170" i="17"/>
  <c r="T170" i="17" s="1"/>
  <c r="U168" i="17"/>
  <c r="T168" i="17" s="1"/>
  <c r="U166" i="17"/>
  <c r="T166" i="17" s="1"/>
  <c r="S166" i="17" s="1"/>
  <c r="R166" i="17" s="1"/>
  <c r="U164" i="17"/>
  <c r="T164" i="17" s="1"/>
  <c r="U162" i="17"/>
  <c r="T162" i="17" s="1"/>
  <c r="U160" i="17"/>
  <c r="T160" i="17" s="1"/>
  <c r="U158" i="17"/>
  <c r="T158" i="17" s="1"/>
  <c r="S158" i="17" s="1"/>
  <c r="R158" i="17" s="1"/>
  <c r="U156" i="17"/>
  <c r="T156" i="17" s="1"/>
  <c r="S156" i="17" s="1"/>
  <c r="R156" i="17" s="1"/>
  <c r="U154" i="17"/>
  <c r="T154" i="17" s="1"/>
  <c r="U152" i="17"/>
  <c r="T152" i="17" s="1"/>
  <c r="S152" i="17" s="1"/>
  <c r="R152" i="17" s="1"/>
  <c r="P152" i="17" s="1"/>
  <c r="V152" i="17" s="1"/>
  <c r="U150" i="17"/>
  <c r="T150" i="17" s="1"/>
  <c r="U148" i="17"/>
  <c r="T148" i="17" s="1"/>
  <c r="U146" i="17"/>
  <c r="T146" i="17" s="1"/>
  <c r="S146" i="17" s="1"/>
  <c r="R146" i="17" s="1"/>
  <c r="U144" i="17"/>
  <c r="T144" i="17" s="1"/>
  <c r="U142" i="17"/>
  <c r="T142" i="17" s="1"/>
  <c r="U140" i="17"/>
  <c r="T140" i="17" s="1"/>
  <c r="U138" i="17"/>
  <c r="T138" i="17" s="1"/>
  <c r="S138" i="17" s="1"/>
  <c r="R138" i="17" s="1"/>
  <c r="U136" i="17"/>
  <c r="T136" i="17" s="1"/>
  <c r="S136" i="17" s="1"/>
  <c r="R136" i="17" s="1"/>
  <c r="U134" i="17"/>
  <c r="T134" i="17" s="1"/>
  <c r="U132" i="17"/>
  <c r="T132" i="17" s="1"/>
  <c r="U130" i="17"/>
  <c r="T130" i="17" s="1"/>
  <c r="S130" i="17" s="1"/>
  <c r="R130" i="17" s="1"/>
  <c r="U128" i="17"/>
  <c r="T128" i="17" s="1"/>
  <c r="S128" i="17" s="1"/>
  <c r="R128" i="17" s="1"/>
  <c r="U126" i="17"/>
  <c r="T126" i="17" s="1"/>
  <c r="S126" i="17" s="1"/>
  <c r="R126" i="17" s="1"/>
  <c r="U124" i="17"/>
  <c r="T124" i="17" s="1"/>
  <c r="U122" i="17"/>
  <c r="T122" i="17" s="1"/>
  <c r="U120" i="17"/>
  <c r="T120" i="17" s="1"/>
  <c r="U118" i="17"/>
  <c r="T118" i="17" s="1"/>
  <c r="S118" i="17" s="1"/>
  <c r="R118" i="17" s="1"/>
  <c r="U116" i="17"/>
  <c r="T116" i="17" s="1"/>
  <c r="S116" i="17" s="1"/>
  <c r="R116" i="17" s="1"/>
  <c r="U114" i="17"/>
  <c r="T114" i="17" s="1"/>
  <c r="S114" i="17" s="1"/>
  <c r="R114" i="17" s="1"/>
  <c r="U112" i="17"/>
  <c r="T112" i="17" s="1"/>
  <c r="U110" i="17"/>
  <c r="T110" i="17" s="1"/>
  <c r="S110" i="17" s="1"/>
  <c r="R110" i="17" s="1"/>
  <c r="U108" i="17"/>
  <c r="T108" i="17" s="1"/>
  <c r="S108" i="17" s="1"/>
  <c r="R108" i="17" s="1"/>
  <c r="U106" i="17"/>
  <c r="T106" i="17" s="1"/>
  <c r="U104" i="17"/>
  <c r="T104" i="17" s="1"/>
  <c r="U102" i="17"/>
  <c r="T102" i="17" s="1"/>
  <c r="S102" i="17" s="1"/>
  <c r="R102" i="17" s="1"/>
  <c r="U100" i="17"/>
  <c r="T100" i="17" s="1"/>
  <c r="U98" i="17"/>
  <c r="T98" i="17" s="1"/>
  <c r="U96" i="17"/>
  <c r="T96" i="17" s="1"/>
  <c r="U94" i="17"/>
  <c r="T94" i="17" s="1"/>
  <c r="S94" i="17" s="1"/>
  <c r="R94" i="17" s="1"/>
  <c r="U92" i="17"/>
  <c r="T92" i="17" s="1"/>
  <c r="S92" i="17" s="1"/>
  <c r="R92" i="17" s="1"/>
  <c r="U90" i="17"/>
  <c r="T90" i="17" s="1"/>
  <c r="U88" i="17"/>
  <c r="T88" i="17" s="1"/>
  <c r="S88" i="17" s="1"/>
  <c r="R88" i="17" s="1"/>
  <c r="P88" i="17" s="1"/>
  <c r="U86" i="17"/>
  <c r="T86" i="17" s="1"/>
  <c r="U84" i="17"/>
  <c r="T84" i="17" s="1"/>
  <c r="U82" i="17"/>
  <c r="T82" i="17" s="1"/>
  <c r="S82" i="17" s="1"/>
  <c r="R82" i="17" s="1"/>
  <c r="U80" i="17"/>
  <c r="T80" i="17" s="1"/>
  <c r="U78" i="17"/>
  <c r="T78" i="17" s="1"/>
  <c r="U76" i="17"/>
  <c r="T76" i="17" s="1"/>
  <c r="U74" i="17"/>
  <c r="T74" i="17" s="1"/>
  <c r="U72" i="17"/>
  <c r="T72" i="17" s="1"/>
  <c r="S72" i="17" s="1"/>
  <c r="R72" i="17" s="1"/>
  <c r="P72" i="17" s="1"/>
  <c r="U70" i="17"/>
  <c r="T70" i="17" s="1"/>
  <c r="U68" i="17"/>
  <c r="T68" i="17" s="1"/>
  <c r="S68" i="17" s="1"/>
  <c r="R68" i="17" s="1"/>
  <c r="U66" i="17"/>
  <c r="T66" i="17" s="1"/>
  <c r="U64" i="17"/>
  <c r="T64" i="17" s="1"/>
  <c r="S64" i="17" s="1"/>
  <c r="R64" i="17" s="1"/>
  <c r="U62" i="17"/>
  <c r="T62" i="17" s="1"/>
  <c r="U60" i="17"/>
  <c r="T60" i="17" s="1"/>
  <c r="U58" i="17"/>
  <c r="T58" i="17" s="1"/>
  <c r="U56" i="17"/>
  <c r="T56" i="17" s="1"/>
  <c r="S56" i="17" s="1"/>
  <c r="R56" i="17" s="1"/>
  <c r="U54" i="17"/>
  <c r="T54" i="17" s="1"/>
  <c r="S54" i="17" s="1"/>
  <c r="R54" i="17" s="1"/>
  <c r="U52" i="17"/>
  <c r="T52" i="17" s="1"/>
  <c r="U50" i="17"/>
  <c r="T50" i="17" s="1"/>
  <c r="U48" i="17"/>
  <c r="T48" i="17" s="1"/>
  <c r="S48" i="17" s="1"/>
  <c r="R48" i="17" s="1"/>
  <c r="U46" i="17"/>
  <c r="T46" i="17" s="1"/>
  <c r="S46" i="17" s="1"/>
  <c r="R46" i="17" s="1"/>
  <c r="U44" i="17"/>
  <c r="T44" i="17" s="1"/>
  <c r="S44" i="17" s="1"/>
  <c r="R44" i="17" s="1"/>
  <c r="U42" i="17"/>
  <c r="T42" i="17" s="1"/>
  <c r="S42" i="17" s="1"/>
  <c r="R42" i="17" s="1"/>
  <c r="U40" i="17"/>
  <c r="T40" i="17" s="1"/>
  <c r="U38" i="17"/>
  <c r="T38" i="17" s="1"/>
  <c r="S38" i="17" s="1"/>
  <c r="R38" i="17" s="1"/>
  <c r="U36" i="17"/>
  <c r="T36" i="17" s="1"/>
  <c r="S36" i="17" s="1"/>
  <c r="R36" i="17" s="1"/>
  <c r="U34" i="17"/>
  <c r="T34" i="17" s="1"/>
  <c r="U32" i="17"/>
  <c r="T32" i="17" s="1"/>
  <c r="S32" i="17" s="1"/>
  <c r="R32" i="17" s="1"/>
  <c r="U30" i="17"/>
  <c r="T30" i="17" s="1"/>
  <c r="S30" i="17" s="1"/>
  <c r="R30" i="17" s="1"/>
  <c r="U28" i="17"/>
  <c r="T28" i="17" s="1"/>
  <c r="U26" i="17"/>
  <c r="T26" i="17" s="1"/>
  <c r="S26" i="17" s="1"/>
  <c r="R26" i="17" s="1"/>
  <c r="U24" i="17"/>
  <c r="T24" i="17" s="1"/>
  <c r="U22" i="17"/>
  <c r="T22" i="17" s="1"/>
  <c r="S22" i="17" s="1"/>
  <c r="R22" i="17" s="1"/>
  <c r="U20" i="17"/>
  <c r="T20" i="17" s="1"/>
  <c r="U17" i="17"/>
  <c r="T17" i="17" s="1"/>
  <c r="U18" i="17"/>
  <c r="T18" i="17" s="1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264" i="15"/>
  <c r="J264" i="15"/>
  <c r="AA237" i="16" l="1"/>
  <c r="Z237" i="16" s="1"/>
  <c r="Y237" i="16" s="1"/>
  <c r="AA206" i="16"/>
  <c r="Z206" i="16" s="1"/>
  <c r="Y206" i="16" s="1"/>
  <c r="AA361" i="16"/>
  <c r="Z361" i="16" s="1"/>
  <c r="Y361" i="16" s="1"/>
  <c r="W104" i="16"/>
  <c r="W338" i="16"/>
  <c r="H309" i="16"/>
  <c r="D65" i="16"/>
  <c r="E65" i="16" s="1"/>
  <c r="F65" i="16" s="1"/>
  <c r="W172" i="16"/>
  <c r="H357" i="16"/>
  <c r="AA204" i="16"/>
  <c r="Z204" i="16" s="1"/>
  <c r="Y204" i="16" s="1"/>
  <c r="W204" i="16"/>
  <c r="D43" i="16"/>
  <c r="E43" i="16" s="1"/>
  <c r="F43" i="16" s="1"/>
  <c r="G43" i="16" s="1"/>
  <c r="BY43" i="6" s="1"/>
  <c r="D53" i="7"/>
  <c r="G325" i="16"/>
  <c r="BY325" i="6" s="1"/>
  <c r="AA325" i="16"/>
  <c r="Z325" i="16" s="1"/>
  <c r="Y325" i="16" s="1"/>
  <c r="D49" i="7"/>
  <c r="V180" i="16"/>
  <c r="B180" i="16" s="1"/>
  <c r="AA356" i="16"/>
  <c r="Z356" i="16" s="1"/>
  <c r="Y356" i="16" s="1"/>
  <c r="AA265" i="16"/>
  <c r="Z265" i="16" s="1"/>
  <c r="Y265" i="16" s="1"/>
  <c r="AI192" i="17"/>
  <c r="AH192" i="17" s="1"/>
  <c r="AG192" i="17" s="1"/>
  <c r="AF192" i="17" s="1"/>
  <c r="AA309" i="16"/>
  <c r="Z309" i="16" s="1"/>
  <c r="Y309" i="16" s="1"/>
  <c r="D377" i="16"/>
  <c r="E377" i="16" s="1"/>
  <c r="F377" i="16" s="1"/>
  <c r="G377" i="16" s="1"/>
  <c r="BY377" i="6" s="1"/>
  <c r="W377" i="16"/>
  <c r="D201" i="16"/>
  <c r="E201" i="16" s="1"/>
  <c r="F201" i="16" s="1"/>
  <c r="G201" i="16" s="1"/>
  <c r="BY201" i="6" s="1"/>
  <c r="W201" i="16"/>
  <c r="W221" i="16"/>
  <c r="D221" i="16"/>
  <c r="E221" i="16" s="1"/>
  <c r="F221" i="16" s="1"/>
  <c r="W283" i="16"/>
  <c r="D283" i="16"/>
  <c r="E283" i="16" s="1"/>
  <c r="F283" i="16" s="1"/>
  <c r="P322" i="17"/>
  <c r="V322" i="17" s="1"/>
  <c r="B322" i="17" s="1"/>
  <c r="P330" i="17"/>
  <c r="V330" i="17" s="1"/>
  <c r="P346" i="17"/>
  <c r="V346" i="17" s="1"/>
  <c r="B346" i="17" s="1"/>
  <c r="P354" i="17"/>
  <c r="V354" i="17" s="1"/>
  <c r="B354" i="17" s="1"/>
  <c r="AI19" i="17"/>
  <c r="AH19" i="17" s="1"/>
  <c r="AG19" i="17" s="1"/>
  <c r="AF19" i="17" s="1"/>
  <c r="AI33" i="17"/>
  <c r="AH33" i="17" s="1"/>
  <c r="AG33" i="17" s="1"/>
  <c r="AF33" i="17" s="1"/>
  <c r="AI49" i="17"/>
  <c r="AH49" i="17" s="1"/>
  <c r="AG49" i="17" s="1"/>
  <c r="AF49" i="17" s="1"/>
  <c r="AI65" i="17"/>
  <c r="AH65" i="17" s="1"/>
  <c r="AG65" i="17" s="1"/>
  <c r="AF65" i="17" s="1"/>
  <c r="AI81" i="17"/>
  <c r="AH81" i="17" s="1"/>
  <c r="AG81" i="17" s="1"/>
  <c r="AF81" i="17" s="1"/>
  <c r="AI97" i="17"/>
  <c r="AH97" i="17" s="1"/>
  <c r="AG97" i="17" s="1"/>
  <c r="AF97" i="17" s="1"/>
  <c r="AI113" i="17"/>
  <c r="AH113" i="17" s="1"/>
  <c r="AG113" i="17" s="1"/>
  <c r="AF113" i="17" s="1"/>
  <c r="AI129" i="17"/>
  <c r="AH129" i="17" s="1"/>
  <c r="AG129" i="17" s="1"/>
  <c r="AF129" i="17" s="1"/>
  <c r="AI137" i="17"/>
  <c r="AH137" i="17" s="1"/>
  <c r="AG137" i="17" s="1"/>
  <c r="AF137" i="17" s="1"/>
  <c r="AI145" i="17"/>
  <c r="AH145" i="17" s="1"/>
  <c r="AG145" i="17" s="1"/>
  <c r="AF145" i="17" s="1"/>
  <c r="AI153" i="17"/>
  <c r="AH153" i="17" s="1"/>
  <c r="AG153" i="17" s="1"/>
  <c r="AF153" i="17" s="1"/>
  <c r="AI161" i="17"/>
  <c r="AH161" i="17" s="1"/>
  <c r="AG161" i="17" s="1"/>
  <c r="AF161" i="17" s="1"/>
  <c r="AI169" i="17"/>
  <c r="AH169" i="17" s="1"/>
  <c r="AG169" i="17" s="1"/>
  <c r="AF169" i="17" s="1"/>
  <c r="AI177" i="17"/>
  <c r="AH177" i="17" s="1"/>
  <c r="AG177" i="17" s="1"/>
  <c r="AF177" i="17" s="1"/>
  <c r="AI185" i="17"/>
  <c r="AH185" i="17" s="1"/>
  <c r="AG185" i="17" s="1"/>
  <c r="AF185" i="17" s="1"/>
  <c r="AI193" i="17"/>
  <c r="AH193" i="17" s="1"/>
  <c r="AG193" i="17" s="1"/>
  <c r="AF193" i="17" s="1"/>
  <c r="AI201" i="17"/>
  <c r="AH201" i="17" s="1"/>
  <c r="AG201" i="17" s="1"/>
  <c r="AF201" i="17" s="1"/>
  <c r="AI209" i="17"/>
  <c r="AH209" i="17" s="1"/>
  <c r="AG209" i="17" s="1"/>
  <c r="AF209" i="17" s="1"/>
  <c r="AI217" i="17"/>
  <c r="AH217" i="17" s="1"/>
  <c r="AG217" i="17" s="1"/>
  <c r="AF217" i="17" s="1"/>
  <c r="AI225" i="17"/>
  <c r="AH225" i="17" s="1"/>
  <c r="AG225" i="17" s="1"/>
  <c r="AF225" i="17" s="1"/>
  <c r="AI233" i="17"/>
  <c r="AH233" i="17" s="1"/>
  <c r="AG233" i="17" s="1"/>
  <c r="AF233" i="17" s="1"/>
  <c r="AI241" i="17"/>
  <c r="AH241" i="17" s="1"/>
  <c r="AG241" i="17" s="1"/>
  <c r="AF241" i="17" s="1"/>
  <c r="AI249" i="17"/>
  <c r="AH249" i="17" s="1"/>
  <c r="AG249" i="17" s="1"/>
  <c r="AF249" i="17" s="1"/>
  <c r="AI257" i="17"/>
  <c r="AH257" i="17" s="1"/>
  <c r="AG257" i="17" s="1"/>
  <c r="AF257" i="17" s="1"/>
  <c r="AI265" i="17"/>
  <c r="AH265" i="17" s="1"/>
  <c r="AG265" i="17" s="1"/>
  <c r="AF265" i="17" s="1"/>
  <c r="AI273" i="17"/>
  <c r="AH273" i="17" s="1"/>
  <c r="AG273" i="17" s="1"/>
  <c r="AF273" i="17" s="1"/>
  <c r="AI281" i="17"/>
  <c r="AH281" i="17" s="1"/>
  <c r="AG281" i="17" s="1"/>
  <c r="AF281" i="17" s="1"/>
  <c r="AI289" i="17"/>
  <c r="AH289" i="17" s="1"/>
  <c r="AG289" i="17" s="1"/>
  <c r="AF289" i="17" s="1"/>
  <c r="AI297" i="17"/>
  <c r="AH297" i="17" s="1"/>
  <c r="AG297" i="17" s="1"/>
  <c r="AF297" i="17" s="1"/>
  <c r="AI305" i="17"/>
  <c r="AH305" i="17" s="1"/>
  <c r="AG305" i="17" s="1"/>
  <c r="AF305" i="17" s="1"/>
  <c r="AI313" i="17"/>
  <c r="AH313" i="17" s="1"/>
  <c r="AG313" i="17" s="1"/>
  <c r="AF313" i="17" s="1"/>
  <c r="AI321" i="17"/>
  <c r="AH321" i="17" s="1"/>
  <c r="AG321" i="17" s="1"/>
  <c r="AF321" i="17" s="1"/>
  <c r="AI329" i="17"/>
  <c r="AH329" i="17" s="1"/>
  <c r="AG329" i="17" s="1"/>
  <c r="AF329" i="17" s="1"/>
  <c r="AI337" i="17"/>
  <c r="AH337" i="17" s="1"/>
  <c r="AG337" i="17" s="1"/>
  <c r="AF337" i="17" s="1"/>
  <c r="AI345" i="17"/>
  <c r="AH345" i="17" s="1"/>
  <c r="AG345" i="17" s="1"/>
  <c r="AF345" i="17" s="1"/>
  <c r="AI353" i="17"/>
  <c r="AH353" i="17" s="1"/>
  <c r="AG353" i="17" s="1"/>
  <c r="AF353" i="17" s="1"/>
  <c r="AI361" i="17"/>
  <c r="AH361" i="17" s="1"/>
  <c r="AG361" i="17" s="1"/>
  <c r="AF361" i="17" s="1"/>
  <c r="AI369" i="17"/>
  <c r="AH369" i="17" s="1"/>
  <c r="AG369" i="17" s="1"/>
  <c r="AF369" i="17" s="1"/>
  <c r="AI377" i="17"/>
  <c r="AH377" i="17" s="1"/>
  <c r="AG377" i="17" s="1"/>
  <c r="AF377" i="17" s="1"/>
  <c r="AI126" i="17"/>
  <c r="AH126" i="17" s="1"/>
  <c r="AG126" i="17" s="1"/>
  <c r="AF126" i="17" s="1"/>
  <c r="AI118" i="17"/>
  <c r="AH118" i="17" s="1"/>
  <c r="AG118" i="17" s="1"/>
  <c r="AF118" i="17" s="1"/>
  <c r="AI110" i="17"/>
  <c r="AH110" i="17" s="1"/>
  <c r="AG110" i="17" s="1"/>
  <c r="AF110" i="17" s="1"/>
  <c r="AI102" i="17"/>
  <c r="AH102" i="17" s="1"/>
  <c r="AG102" i="17" s="1"/>
  <c r="AF102" i="17" s="1"/>
  <c r="AI94" i="17"/>
  <c r="AH94" i="17" s="1"/>
  <c r="AG94" i="17" s="1"/>
  <c r="AF94" i="17" s="1"/>
  <c r="AI86" i="17"/>
  <c r="AH86" i="17" s="1"/>
  <c r="AG86" i="17" s="1"/>
  <c r="AF86" i="17" s="1"/>
  <c r="AI78" i="17"/>
  <c r="AH78" i="17" s="1"/>
  <c r="AG78" i="17" s="1"/>
  <c r="AF78" i="17" s="1"/>
  <c r="AI62" i="17"/>
  <c r="AH62" i="17" s="1"/>
  <c r="AG62" i="17" s="1"/>
  <c r="AF62" i="17" s="1"/>
  <c r="AI46" i="17"/>
  <c r="AH46" i="17" s="1"/>
  <c r="AG46" i="17" s="1"/>
  <c r="AF46" i="17" s="1"/>
  <c r="AI30" i="17"/>
  <c r="AH30" i="17" s="1"/>
  <c r="AG30" i="17" s="1"/>
  <c r="AF30" i="17" s="1"/>
  <c r="AI83" i="17"/>
  <c r="AH83" i="17" s="1"/>
  <c r="AG83" i="17" s="1"/>
  <c r="AF83" i="17" s="1"/>
  <c r="AI138" i="17"/>
  <c r="AH138" i="17" s="1"/>
  <c r="AG138" i="17" s="1"/>
  <c r="AF138" i="17" s="1"/>
  <c r="AI170" i="17"/>
  <c r="AH170" i="17" s="1"/>
  <c r="AG170" i="17" s="1"/>
  <c r="AF170" i="17" s="1"/>
  <c r="AI202" i="17"/>
  <c r="AH202" i="17" s="1"/>
  <c r="AG202" i="17" s="1"/>
  <c r="AF202" i="17" s="1"/>
  <c r="AI234" i="17"/>
  <c r="AH234" i="17" s="1"/>
  <c r="AG234" i="17" s="1"/>
  <c r="AF234" i="17" s="1"/>
  <c r="AI266" i="17"/>
  <c r="AH266" i="17" s="1"/>
  <c r="AG266" i="17" s="1"/>
  <c r="AF266" i="17" s="1"/>
  <c r="AI298" i="17"/>
  <c r="AH298" i="17" s="1"/>
  <c r="AG298" i="17" s="1"/>
  <c r="AF298" i="17" s="1"/>
  <c r="AI330" i="17"/>
  <c r="AH330" i="17" s="1"/>
  <c r="AG330" i="17" s="1"/>
  <c r="AF330" i="17" s="1"/>
  <c r="AI370" i="17"/>
  <c r="AH370" i="17" s="1"/>
  <c r="AG370" i="17" s="1"/>
  <c r="AF370" i="17" s="1"/>
  <c r="AI180" i="17"/>
  <c r="AH180" i="17" s="1"/>
  <c r="AG180" i="17" s="1"/>
  <c r="AF180" i="17" s="1"/>
  <c r="AI308" i="17"/>
  <c r="AH308" i="17" s="1"/>
  <c r="AG308" i="17" s="1"/>
  <c r="AF308" i="17" s="1"/>
  <c r="AA164" i="16"/>
  <c r="Z164" i="16" s="1"/>
  <c r="Y164" i="16" s="1"/>
  <c r="D156" i="16"/>
  <c r="E156" i="16" s="1"/>
  <c r="F156" i="16" s="1"/>
  <c r="H361" i="16"/>
  <c r="I361" i="16" s="1"/>
  <c r="H325" i="16"/>
  <c r="H356" i="16"/>
  <c r="J356" i="16" s="1"/>
  <c r="H206" i="16"/>
  <c r="H221" i="16"/>
  <c r="J221" i="16" s="1"/>
  <c r="H317" i="16"/>
  <c r="H117" i="16"/>
  <c r="J117" i="16" s="1"/>
  <c r="AA244" i="16"/>
  <c r="Z244" i="16" s="1"/>
  <c r="Y244" i="16" s="1"/>
  <c r="AA90" i="16"/>
  <c r="Z90" i="16" s="1"/>
  <c r="Y90" i="16" s="1"/>
  <c r="AA165" i="16"/>
  <c r="Z165" i="16" s="1"/>
  <c r="Y165" i="16" s="1"/>
  <c r="V333" i="16"/>
  <c r="B333" i="16" s="1"/>
  <c r="W333" i="16" s="1"/>
  <c r="V119" i="16"/>
  <c r="B119" i="16" s="1"/>
  <c r="W206" i="16"/>
  <c r="W175" i="16"/>
  <c r="W356" i="16"/>
  <c r="W361" i="16"/>
  <c r="D248" i="16"/>
  <c r="E248" i="16" s="1"/>
  <c r="F248" i="16" s="1"/>
  <c r="AA248" i="16" s="1"/>
  <c r="Z248" i="16" s="1"/>
  <c r="Y248" i="16" s="1"/>
  <c r="D290" i="16"/>
  <c r="E290" i="16" s="1"/>
  <c r="F290" i="16" s="1"/>
  <c r="G290" i="16" s="1"/>
  <c r="BY290" i="6" s="1"/>
  <c r="P42" i="17"/>
  <c r="V42" i="17" s="1"/>
  <c r="B42" i="17" s="1"/>
  <c r="P82" i="17"/>
  <c r="V82" i="17" s="1"/>
  <c r="B82" i="17" s="1"/>
  <c r="P114" i="17"/>
  <c r="V114" i="17" s="1"/>
  <c r="B114" i="17" s="1"/>
  <c r="P130" i="17"/>
  <c r="P138" i="17"/>
  <c r="P146" i="17"/>
  <c r="V146" i="17" s="1"/>
  <c r="P178" i="17"/>
  <c r="V178" i="17" s="1"/>
  <c r="B178" i="17" s="1"/>
  <c r="P202" i="17"/>
  <c r="V202" i="17" s="1"/>
  <c r="B202" i="17" s="1"/>
  <c r="P210" i="17"/>
  <c r="V210" i="17" s="1"/>
  <c r="P218" i="17"/>
  <c r="V218" i="17" s="1"/>
  <c r="P234" i="17"/>
  <c r="V234" i="17" s="1"/>
  <c r="B234" i="17" s="1"/>
  <c r="P266" i="17"/>
  <c r="V266" i="17" s="1"/>
  <c r="B266" i="17" s="1"/>
  <c r="P282" i="17"/>
  <c r="V282" i="17" s="1"/>
  <c r="B282" i="17" s="1"/>
  <c r="AD30" i="17"/>
  <c r="AD94" i="17"/>
  <c r="AD110" i="17"/>
  <c r="AD126" i="17"/>
  <c r="AD22" i="17"/>
  <c r="AD38" i="17"/>
  <c r="AD54" i="17"/>
  <c r="AD70" i="17"/>
  <c r="AD98" i="17"/>
  <c r="AD114" i="17"/>
  <c r="P29" i="17"/>
  <c r="G248" i="16"/>
  <c r="BY248" i="6" s="1"/>
  <c r="V60" i="16"/>
  <c r="B60" i="16" s="1"/>
  <c r="W60" i="16" s="1"/>
  <c r="D45" i="7"/>
  <c r="W253" i="16"/>
  <c r="D253" i="16"/>
  <c r="E253" i="16" s="1"/>
  <c r="F253" i="16" s="1"/>
  <c r="D349" i="16"/>
  <c r="E349" i="16" s="1"/>
  <c r="F349" i="16" s="1"/>
  <c r="H349" i="16" s="1"/>
  <c r="W349" i="16"/>
  <c r="W215" i="16"/>
  <c r="D215" i="16"/>
  <c r="E215" i="16" s="1"/>
  <c r="F215" i="16" s="1"/>
  <c r="G215" i="16" s="1"/>
  <c r="BY215" i="6" s="1"/>
  <c r="W188" i="16"/>
  <c r="D188" i="16"/>
  <c r="E188" i="16" s="1"/>
  <c r="F188" i="16" s="1"/>
  <c r="G188" i="16" s="1"/>
  <c r="BY188" i="6" s="1"/>
  <c r="D125" i="16"/>
  <c r="E125" i="16" s="1"/>
  <c r="F125" i="16" s="1"/>
  <c r="G125" i="16" s="1"/>
  <c r="BY125" i="6" s="1"/>
  <c r="W125" i="16"/>
  <c r="AI168" i="17"/>
  <c r="AH168" i="17" s="1"/>
  <c r="AG168" i="17" s="1"/>
  <c r="AF168" i="17" s="1"/>
  <c r="AI320" i="17"/>
  <c r="AH320" i="17" s="1"/>
  <c r="AG320" i="17" s="1"/>
  <c r="AF320" i="17" s="1"/>
  <c r="AI340" i="17"/>
  <c r="AH340" i="17" s="1"/>
  <c r="AG340" i="17" s="1"/>
  <c r="AF340" i="17" s="1"/>
  <c r="AI276" i="17"/>
  <c r="AH276" i="17" s="1"/>
  <c r="AG276" i="17" s="1"/>
  <c r="AF276" i="17" s="1"/>
  <c r="AI212" i="17"/>
  <c r="AH212" i="17" s="1"/>
  <c r="AG212" i="17" s="1"/>
  <c r="AF212" i="17" s="1"/>
  <c r="AI148" i="17"/>
  <c r="AH148" i="17" s="1"/>
  <c r="AG148" i="17" s="1"/>
  <c r="AF148" i="17" s="1"/>
  <c r="AI39" i="17"/>
  <c r="AH39" i="17" s="1"/>
  <c r="AG39" i="17" s="1"/>
  <c r="AF39" i="17" s="1"/>
  <c r="AI354" i="17"/>
  <c r="AH354" i="17" s="1"/>
  <c r="AG354" i="17" s="1"/>
  <c r="AF354" i="17" s="1"/>
  <c r="AI338" i="17"/>
  <c r="AH338" i="17" s="1"/>
  <c r="AG338" i="17" s="1"/>
  <c r="AF338" i="17" s="1"/>
  <c r="AI322" i="17"/>
  <c r="AH322" i="17" s="1"/>
  <c r="AG322" i="17" s="1"/>
  <c r="AF322" i="17" s="1"/>
  <c r="AI306" i="17"/>
  <c r="AH306" i="17" s="1"/>
  <c r="AG306" i="17" s="1"/>
  <c r="AF306" i="17" s="1"/>
  <c r="AI290" i="17"/>
  <c r="AH290" i="17" s="1"/>
  <c r="AG290" i="17" s="1"/>
  <c r="AF290" i="17" s="1"/>
  <c r="AI274" i="17"/>
  <c r="AH274" i="17" s="1"/>
  <c r="AG274" i="17" s="1"/>
  <c r="AF274" i="17" s="1"/>
  <c r="AI258" i="17"/>
  <c r="AH258" i="17" s="1"/>
  <c r="AG258" i="17" s="1"/>
  <c r="AF258" i="17" s="1"/>
  <c r="AI242" i="17"/>
  <c r="AH242" i="17" s="1"/>
  <c r="AG242" i="17" s="1"/>
  <c r="AF242" i="17" s="1"/>
  <c r="AI226" i="17"/>
  <c r="AH226" i="17" s="1"/>
  <c r="AG226" i="17" s="1"/>
  <c r="AF226" i="17" s="1"/>
  <c r="AI210" i="17"/>
  <c r="AH210" i="17" s="1"/>
  <c r="AG210" i="17" s="1"/>
  <c r="AF210" i="17" s="1"/>
  <c r="AI194" i="17"/>
  <c r="AH194" i="17" s="1"/>
  <c r="AG194" i="17" s="1"/>
  <c r="AF194" i="17" s="1"/>
  <c r="AI178" i="17"/>
  <c r="AH178" i="17" s="1"/>
  <c r="AG178" i="17" s="1"/>
  <c r="AF178" i="17" s="1"/>
  <c r="AI162" i="17"/>
  <c r="AH162" i="17" s="1"/>
  <c r="AG162" i="17" s="1"/>
  <c r="AF162" i="17" s="1"/>
  <c r="AI146" i="17"/>
  <c r="AH146" i="17" s="1"/>
  <c r="AG146" i="17" s="1"/>
  <c r="AF146" i="17" s="1"/>
  <c r="AI130" i="17"/>
  <c r="AH130" i="17" s="1"/>
  <c r="AG130" i="17" s="1"/>
  <c r="AF130" i="17" s="1"/>
  <c r="AI99" i="17"/>
  <c r="AH99" i="17" s="1"/>
  <c r="AG99" i="17" s="1"/>
  <c r="AF99" i="17" s="1"/>
  <c r="AI67" i="17"/>
  <c r="AH67" i="17" s="1"/>
  <c r="AG67" i="17" s="1"/>
  <c r="AF67" i="17" s="1"/>
  <c r="AI35" i="17"/>
  <c r="AH35" i="17" s="1"/>
  <c r="AG35" i="17" s="1"/>
  <c r="AF35" i="17" s="1"/>
  <c r="AI16" i="17"/>
  <c r="AH16" i="17" s="1"/>
  <c r="AG16" i="17" s="1"/>
  <c r="AF16" i="17" s="1"/>
  <c r="AI26" i="17"/>
  <c r="AH26" i="17" s="1"/>
  <c r="AG26" i="17" s="1"/>
  <c r="AF26" i="17" s="1"/>
  <c r="AI34" i="17"/>
  <c r="AH34" i="17" s="1"/>
  <c r="AG34" i="17" s="1"/>
  <c r="AF34" i="17" s="1"/>
  <c r="AI42" i="17"/>
  <c r="AH42" i="17" s="1"/>
  <c r="AG42" i="17" s="1"/>
  <c r="AF42" i="17" s="1"/>
  <c r="AI50" i="17"/>
  <c r="AH50" i="17" s="1"/>
  <c r="AG50" i="17" s="1"/>
  <c r="AF50" i="17" s="1"/>
  <c r="AI58" i="17"/>
  <c r="AH58" i="17" s="1"/>
  <c r="AG58" i="17" s="1"/>
  <c r="AF58" i="17" s="1"/>
  <c r="AI66" i="17"/>
  <c r="AH66" i="17" s="1"/>
  <c r="AG66" i="17" s="1"/>
  <c r="AF66" i="17" s="1"/>
  <c r="AI74" i="17"/>
  <c r="AH74" i="17" s="1"/>
  <c r="AG74" i="17" s="1"/>
  <c r="AF74" i="17" s="1"/>
  <c r="AI80" i="17"/>
  <c r="AH80" i="17" s="1"/>
  <c r="AG80" i="17" s="1"/>
  <c r="AF80" i="17" s="1"/>
  <c r="AI84" i="17"/>
  <c r="AH84" i="17" s="1"/>
  <c r="AG84" i="17" s="1"/>
  <c r="AF84" i="17" s="1"/>
  <c r="AI88" i="17"/>
  <c r="AH88" i="17" s="1"/>
  <c r="AG88" i="17" s="1"/>
  <c r="AF88" i="17" s="1"/>
  <c r="AI92" i="17"/>
  <c r="AH92" i="17" s="1"/>
  <c r="AG92" i="17" s="1"/>
  <c r="AF92" i="17" s="1"/>
  <c r="AI96" i="17"/>
  <c r="AH96" i="17" s="1"/>
  <c r="AG96" i="17" s="1"/>
  <c r="AF96" i="17" s="1"/>
  <c r="AI100" i="17"/>
  <c r="AH100" i="17" s="1"/>
  <c r="AG100" i="17" s="1"/>
  <c r="AF100" i="17" s="1"/>
  <c r="AI104" i="17"/>
  <c r="AH104" i="17" s="1"/>
  <c r="AG104" i="17" s="1"/>
  <c r="AF104" i="17" s="1"/>
  <c r="AI108" i="17"/>
  <c r="AH108" i="17" s="1"/>
  <c r="AG108" i="17" s="1"/>
  <c r="AF108" i="17" s="1"/>
  <c r="AI112" i="17"/>
  <c r="AH112" i="17" s="1"/>
  <c r="AG112" i="17" s="1"/>
  <c r="AF112" i="17" s="1"/>
  <c r="AI116" i="17"/>
  <c r="AH116" i="17" s="1"/>
  <c r="AG116" i="17" s="1"/>
  <c r="AF116" i="17" s="1"/>
  <c r="AI120" i="17"/>
  <c r="AH120" i="17" s="1"/>
  <c r="AG120" i="17" s="1"/>
  <c r="AF120" i="17" s="1"/>
  <c r="AI124" i="17"/>
  <c r="AH124" i="17" s="1"/>
  <c r="AG124" i="17" s="1"/>
  <c r="AF124" i="17" s="1"/>
  <c r="AI128" i="17"/>
  <c r="AH128" i="17" s="1"/>
  <c r="AG128" i="17" s="1"/>
  <c r="AF128" i="17" s="1"/>
  <c r="AI379" i="17"/>
  <c r="AI12" i="18" s="1"/>
  <c r="AI375" i="17"/>
  <c r="AH375" i="17" s="1"/>
  <c r="AG375" i="17" s="1"/>
  <c r="AF375" i="17" s="1"/>
  <c r="AI371" i="17"/>
  <c r="AH371" i="17" s="1"/>
  <c r="AG371" i="17" s="1"/>
  <c r="AF371" i="17" s="1"/>
  <c r="AI367" i="17"/>
  <c r="AH367" i="17" s="1"/>
  <c r="AG367" i="17" s="1"/>
  <c r="AF367" i="17" s="1"/>
  <c r="AI363" i="17"/>
  <c r="AH363" i="17" s="1"/>
  <c r="AG363" i="17" s="1"/>
  <c r="AF363" i="17" s="1"/>
  <c r="AI359" i="17"/>
  <c r="AH359" i="17" s="1"/>
  <c r="AG359" i="17" s="1"/>
  <c r="AF359" i="17" s="1"/>
  <c r="AI355" i="17"/>
  <c r="AH355" i="17" s="1"/>
  <c r="AG355" i="17" s="1"/>
  <c r="AF355" i="17" s="1"/>
  <c r="AI351" i="17"/>
  <c r="AH351" i="17" s="1"/>
  <c r="AG351" i="17" s="1"/>
  <c r="AF351" i="17" s="1"/>
  <c r="AI347" i="17"/>
  <c r="AH347" i="17" s="1"/>
  <c r="AG347" i="17" s="1"/>
  <c r="AF347" i="17" s="1"/>
  <c r="AI343" i="17"/>
  <c r="AH343" i="17" s="1"/>
  <c r="AG343" i="17" s="1"/>
  <c r="AF343" i="17" s="1"/>
  <c r="AI339" i="17"/>
  <c r="AH339" i="17" s="1"/>
  <c r="AG339" i="17" s="1"/>
  <c r="AF339" i="17" s="1"/>
  <c r="AI335" i="17"/>
  <c r="AH335" i="17" s="1"/>
  <c r="AG335" i="17" s="1"/>
  <c r="AF335" i="17" s="1"/>
  <c r="AI331" i="17"/>
  <c r="AH331" i="17" s="1"/>
  <c r="AG331" i="17" s="1"/>
  <c r="AF331" i="17" s="1"/>
  <c r="AI327" i="17"/>
  <c r="AH327" i="17" s="1"/>
  <c r="AG327" i="17" s="1"/>
  <c r="AF327" i="17" s="1"/>
  <c r="AI323" i="17"/>
  <c r="AH323" i="17" s="1"/>
  <c r="AG323" i="17" s="1"/>
  <c r="AF323" i="17" s="1"/>
  <c r="AI319" i="17"/>
  <c r="AH319" i="17" s="1"/>
  <c r="AG319" i="17" s="1"/>
  <c r="AF319" i="17" s="1"/>
  <c r="AI315" i="17"/>
  <c r="AH315" i="17" s="1"/>
  <c r="AG315" i="17" s="1"/>
  <c r="AF315" i="17" s="1"/>
  <c r="AI311" i="17"/>
  <c r="AH311" i="17" s="1"/>
  <c r="AG311" i="17" s="1"/>
  <c r="AF311" i="17" s="1"/>
  <c r="AI307" i="17"/>
  <c r="AH307" i="17" s="1"/>
  <c r="AG307" i="17" s="1"/>
  <c r="AF307" i="17" s="1"/>
  <c r="AI303" i="17"/>
  <c r="AH303" i="17" s="1"/>
  <c r="AG303" i="17" s="1"/>
  <c r="AF303" i="17" s="1"/>
  <c r="AI299" i="17"/>
  <c r="AH299" i="17" s="1"/>
  <c r="AG299" i="17" s="1"/>
  <c r="AF299" i="17" s="1"/>
  <c r="AI295" i="17"/>
  <c r="AH295" i="17" s="1"/>
  <c r="AG295" i="17" s="1"/>
  <c r="AF295" i="17" s="1"/>
  <c r="AI291" i="17"/>
  <c r="AH291" i="17" s="1"/>
  <c r="AG291" i="17" s="1"/>
  <c r="AF291" i="17" s="1"/>
  <c r="AI287" i="17"/>
  <c r="AH287" i="17" s="1"/>
  <c r="AG287" i="17" s="1"/>
  <c r="AF287" i="17" s="1"/>
  <c r="AI283" i="17"/>
  <c r="AH283" i="17" s="1"/>
  <c r="AG283" i="17" s="1"/>
  <c r="AF283" i="17" s="1"/>
  <c r="AI279" i="17"/>
  <c r="AH279" i="17" s="1"/>
  <c r="AG279" i="17" s="1"/>
  <c r="AF279" i="17" s="1"/>
  <c r="AI275" i="17"/>
  <c r="AH275" i="17" s="1"/>
  <c r="AG275" i="17" s="1"/>
  <c r="AF275" i="17" s="1"/>
  <c r="AI271" i="17"/>
  <c r="AH271" i="17" s="1"/>
  <c r="AG271" i="17" s="1"/>
  <c r="AF271" i="17" s="1"/>
  <c r="AI267" i="17"/>
  <c r="AH267" i="17" s="1"/>
  <c r="AG267" i="17" s="1"/>
  <c r="AF267" i="17" s="1"/>
  <c r="AI263" i="17"/>
  <c r="AH263" i="17" s="1"/>
  <c r="AG263" i="17" s="1"/>
  <c r="AF263" i="17" s="1"/>
  <c r="AI259" i="17"/>
  <c r="AH259" i="17" s="1"/>
  <c r="AG259" i="17" s="1"/>
  <c r="AF259" i="17" s="1"/>
  <c r="AI255" i="17"/>
  <c r="AH255" i="17" s="1"/>
  <c r="AG255" i="17" s="1"/>
  <c r="AF255" i="17" s="1"/>
  <c r="AI251" i="17"/>
  <c r="AH251" i="17" s="1"/>
  <c r="AG251" i="17" s="1"/>
  <c r="AF251" i="17" s="1"/>
  <c r="AI247" i="17"/>
  <c r="AH247" i="17" s="1"/>
  <c r="AG247" i="17" s="1"/>
  <c r="AF247" i="17" s="1"/>
  <c r="AI243" i="17"/>
  <c r="AH243" i="17" s="1"/>
  <c r="AG243" i="17" s="1"/>
  <c r="AF243" i="17" s="1"/>
  <c r="AI239" i="17"/>
  <c r="AH239" i="17" s="1"/>
  <c r="AG239" i="17" s="1"/>
  <c r="AF239" i="17" s="1"/>
  <c r="AI235" i="17"/>
  <c r="AH235" i="17" s="1"/>
  <c r="AG235" i="17" s="1"/>
  <c r="AF235" i="17" s="1"/>
  <c r="AI231" i="17"/>
  <c r="AH231" i="17" s="1"/>
  <c r="AG231" i="17" s="1"/>
  <c r="AF231" i="17" s="1"/>
  <c r="AI227" i="17"/>
  <c r="AH227" i="17" s="1"/>
  <c r="AG227" i="17" s="1"/>
  <c r="AF227" i="17" s="1"/>
  <c r="AI223" i="17"/>
  <c r="AH223" i="17" s="1"/>
  <c r="AG223" i="17" s="1"/>
  <c r="AF223" i="17" s="1"/>
  <c r="AI219" i="17"/>
  <c r="AH219" i="17" s="1"/>
  <c r="AG219" i="17" s="1"/>
  <c r="AF219" i="17" s="1"/>
  <c r="AI215" i="17"/>
  <c r="AH215" i="17" s="1"/>
  <c r="AG215" i="17" s="1"/>
  <c r="AF215" i="17" s="1"/>
  <c r="AI211" i="17"/>
  <c r="AH211" i="17" s="1"/>
  <c r="AG211" i="17" s="1"/>
  <c r="AF211" i="17" s="1"/>
  <c r="AI207" i="17"/>
  <c r="AH207" i="17" s="1"/>
  <c r="AG207" i="17" s="1"/>
  <c r="AF207" i="17" s="1"/>
  <c r="AI203" i="17"/>
  <c r="AH203" i="17" s="1"/>
  <c r="AG203" i="17" s="1"/>
  <c r="AF203" i="17" s="1"/>
  <c r="AI199" i="17"/>
  <c r="AH199" i="17" s="1"/>
  <c r="AG199" i="17" s="1"/>
  <c r="AF199" i="17" s="1"/>
  <c r="AI195" i="17"/>
  <c r="AH195" i="17" s="1"/>
  <c r="AG195" i="17" s="1"/>
  <c r="AF195" i="17" s="1"/>
  <c r="AI191" i="17"/>
  <c r="AH191" i="17" s="1"/>
  <c r="AG191" i="17" s="1"/>
  <c r="AF191" i="17" s="1"/>
  <c r="AI187" i="17"/>
  <c r="AH187" i="17" s="1"/>
  <c r="AG187" i="17" s="1"/>
  <c r="AF187" i="17" s="1"/>
  <c r="AI183" i="17"/>
  <c r="AH183" i="17" s="1"/>
  <c r="AG183" i="17" s="1"/>
  <c r="AF183" i="17" s="1"/>
  <c r="AI179" i="17"/>
  <c r="AH179" i="17" s="1"/>
  <c r="AG179" i="17" s="1"/>
  <c r="AF179" i="17" s="1"/>
  <c r="AI175" i="17"/>
  <c r="AH175" i="17" s="1"/>
  <c r="AG175" i="17" s="1"/>
  <c r="AF175" i="17" s="1"/>
  <c r="AI171" i="17"/>
  <c r="AH171" i="17" s="1"/>
  <c r="AG171" i="17" s="1"/>
  <c r="AF171" i="17" s="1"/>
  <c r="AI167" i="17"/>
  <c r="AH167" i="17" s="1"/>
  <c r="AG167" i="17" s="1"/>
  <c r="AF167" i="17" s="1"/>
  <c r="AI163" i="17"/>
  <c r="AH163" i="17" s="1"/>
  <c r="AG163" i="17" s="1"/>
  <c r="AF163" i="17" s="1"/>
  <c r="AI159" i="17"/>
  <c r="AH159" i="17" s="1"/>
  <c r="AG159" i="17" s="1"/>
  <c r="AF159" i="17" s="1"/>
  <c r="AI155" i="17"/>
  <c r="AH155" i="17" s="1"/>
  <c r="AG155" i="17" s="1"/>
  <c r="AF155" i="17" s="1"/>
  <c r="AI151" i="17"/>
  <c r="AH151" i="17" s="1"/>
  <c r="AG151" i="17" s="1"/>
  <c r="AF151" i="17" s="1"/>
  <c r="AI147" i="17"/>
  <c r="AH147" i="17" s="1"/>
  <c r="AG147" i="17" s="1"/>
  <c r="AF147" i="17" s="1"/>
  <c r="AI143" i="17"/>
  <c r="AH143" i="17" s="1"/>
  <c r="AG143" i="17" s="1"/>
  <c r="AF143" i="17" s="1"/>
  <c r="AI139" i="17"/>
  <c r="AH139" i="17" s="1"/>
  <c r="AG139" i="17" s="1"/>
  <c r="AF139" i="17" s="1"/>
  <c r="AI135" i="17"/>
  <c r="AH135" i="17" s="1"/>
  <c r="AG135" i="17" s="1"/>
  <c r="AF135" i="17" s="1"/>
  <c r="AI131" i="17"/>
  <c r="AH131" i="17" s="1"/>
  <c r="AG131" i="17" s="1"/>
  <c r="AF131" i="17" s="1"/>
  <c r="AI125" i="17"/>
  <c r="AH125" i="17" s="1"/>
  <c r="AG125" i="17" s="1"/>
  <c r="AF125" i="17" s="1"/>
  <c r="AI117" i="17"/>
  <c r="AH117" i="17" s="1"/>
  <c r="AG117" i="17" s="1"/>
  <c r="AF117" i="17" s="1"/>
  <c r="AI109" i="17"/>
  <c r="AH109" i="17" s="1"/>
  <c r="AG109" i="17" s="1"/>
  <c r="AF109" i="17" s="1"/>
  <c r="AI101" i="17"/>
  <c r="AH101" i="17" s="1"/>
  <c r="AG101" i="17" s="1"/>
  <c r="AF101" i="17" s="1"/>
  <c r="AI93" i="17"/>
  <c r="AH93" i="17" s="1"/>
  <c r="AG93" i="17" s="1"/>
  <c r="AF93" i="17" s="1"/>
  <c r="AI85" i="17"/>
  <c r="AH85" i="17" s="1"/>
  <c r="AG85" i="17" s="1"/>
  <c r="AF85" i="17" s="1"/>
  <c r="AI77" i="17"/>
  <c r="AH77" i="17" s="1"/>
  <c r="AG77" i="17" s="1"/>
  <c r="AF77" i="17" s="1"/>
  <c r="AI69" i="17"/>
  <c r="AH69" i="17" s="1"/>
  <c r="AG69" i="17" s="1"/>
  <c r="AF69" i="17" s="1"/>
  <c r="AI61" i="17"/>
  <c r="AH61" i="17" s="1"/>
  <c r="AG61" i="17" s="1"/>
  <c r="AF61" i="17" s="1"/>
  <c r="AI53" i="17"/>
  <c r="AH53" i="17" s="1"/>
  <c r="AG53" i="17" s="1"/>
  <c r="AF53" i="17" s="1"/>
  <c r="AI45" i="17"/>
  <c r="AH45" i="17" s="1"/>
  <c r="AG45" i="17" s="1"/>
  <c r="AF45" i="17" s="1"/>
  <c r="AI37" i="17"/>
  <c r="AH37" i="17" s="1"/>
  <c r="AG37" i="17" s="1"/>
  <c r="AF37" i="17" s="1"/>
  <c r="AI29" i="17"/>
  <c r="AH29" i="17" s="1"/>
  <c r="AG29" i="17" s="1"/>
  <c r="AF29" i="17" s="1"/>
  <c r="AI21" i="17"/>
  <c r="AH21" i="17" s="1"/>
  <c r="AG21" i="17" s="1"/>
  <c r="AF21" i="17" s="1"/>
  <c r="D256" i="16"/>
  <c r="E256" i="16" s="1"/>
  <c r="F256" i="16" s="1"/>
  <c r="W256" i="16"/>
  <c r="AA261" i="16"/>
  <c r="Z261" i="16" s="1"/>
  <c r="Y261" i="16" s="1"/>
  <c r="D159" i="16"/>
  <c r="E159" i="16" s="1"/>
  <c r="F159" i="16" s="1"/>
  <c r="G159" i="16" s="1"/>
  <c r="BY159" i="6" s="1"/>
  <c r="W159" i="16"/>
  <c r="D220" i="16"/>
  <c r="E220" i="16" s="1"/>
  <c r="F220" i="16" s="1"/>
  <c r="G220" i="16" s="1"/>
  <c r="BY220" i="6" s="1"/>
  <c r="W220" i="16"/>
  <c r="G117" i="16"/>
  <c r="BY117" i="6" s="1"/>
  <c r="AA117" i="16"/>
  <c r="Z117" i="16" s="1"/>
  <c r="Y117" i="16" s="1"/>
  <c r="D207" i="16"/>
  <c r="E207" i="16" s="1"/>
  <c r="F207" i="16" s="1"/>
  <c r="AA207" i="16" s="1"/>
  <c r="Z207" i="16" s="1"/>
  <c r="Y207" i="16" s="1"/>
  <c r="W207" i="16"/>
  <c r="P372" i="17"/>
  <c r="V372" i="17" s="1"/>
  <c r="B372" i="17" s="1"/>
  <c r="AD80" i="17"/>
  <c r="AD84" i="17"/>
  <c r="AD88" i="17"/>
  <c r="AD92" i="17"/>
  <c r="AD104" i="17"/>
  <c r="AD108" i="17"/>
  <c r="AD128" i="17"/>
  <c r="AD148" i="17"/>
  <c r="AD184" i="17"/>
  <c r="AD276" i="17"/>
  <c r="AD340" i="17"/>
  <c r="H237" i="16"/>
  <c r="H90" i="16"/>
  <c r="J90" i="16" s="1"/>
  <c r="H253" i="16"/>
  <c r="I253" i="16" s="1"/>
  <c r="W72" i="16"/>
  <c r="D72" i="16"/>
  <c r="E72" i="16" s="1"/>
  <c r="F72" i="16" s="1"/>
  <c r="D336" i="16"/>
  <c r="E336" i="16" s="1"/>
  <c r="F336" i="16" s="1"/>
  <c r="G336" i="16" s="1"/>
  <c r="BY336" i="6" s="1"/>
  <c r="W336" i="16"/>
  <c r="H265" i="16"/>
  <c r="W35" i="16"/>
  <c r="H371" i="16"/>
  <c r="D368" i="16"/>
  <c r="E368" i="16" s="1"/>
  <c r="F368" i="16" s="1"/>
  <c r="H368" i="16" s="1"/>
  <c r="H353" i="16"/>
  <c r="D109" i="16"/>
  <c r="E109" i="16" s="1"/>
  <c r="F109" i="16" s="1"/>
  <c r="AA109" i="16" s="1"/>
  <c r="Z109" i="16" s="1"/>
  <c r="Y109" i="16" s="1"/>
  <c r="D247" i="16"/>
  <c r="E247" i="16" s="1"/>
  <c r="F247" i="16" s="1"/>
  <c r="H165" i="16"/>
  <c r="I165" i="16" s="1"/>
  <c r="W298" i="16"/>
  <c r="J88" i="15"/>
  <c r="D284" i="16"/>
  <c r="E284" i="16" s="1"/>
  <c r="F284" i="16" s="1"/>
  <c r="B216" i="17"/>
  <c r="B280" i="17"/>
  <c r="J63" i="19"/>
  <c r="AA290" i="16"/>
  <c r="Z290" i="16" s="1"/>
  <c r="Y290" i="16" s="1"/>
  <c r="W136" i="16"/>
  <c r="H290" i="16"/>
  <c r="I290" i="16" s="1"/>
  <c r="H248" i="16"/>
  <c r="I248" i="16" s="1"/>
  <c r="AA371" i="16"/>
  <c r="Z371" i="16" s="1"/>
  <c r="Y371" i="16" s="1"/>
  <c r="W90" i="16"/>
  <c r="D129" i="16"/>
  <c r="E129" i="16" s="1"/>
  <c r="F129" i="16" s="1"/>
  <c r="AA129" i="16" s="1"/>
  <c r="Z129" i="16" s="1"/>
  <c r="Y129" i="16" s="1"/>
  <c r="W117" i="16"/>
  <c r="W234" i="16"/>
  <c r="D288" i="16"/>
  <c r="E288" i="16" s="1"/>
  <c r="F288" i="16" s="1"/>
  <c r="AA288" i="16" s="1"/>
  <c r="Z288" i="16" s="1"/>
  <c r="Y288" i="16" s="1"/>
  <c r="D314" i="16"/>
  <c r="E314" i="16" s="1"/>
  <c r="F314" i="16" s="1"/>
  <c r="H314" i="16" s="1"/>
  <c r="W81" i="16"/>
  <c r="W259" i="16"/>
  <c r="W46" i="16"/>
  <c r="K63" i="19"/>
  <c r="AA193" i="16"/>
  <c r="Z193" i="16" s="1"/>
  <c r="Y193" i="16" s="1"/>
  <c r="W45" i="16"/>
  <c r="H301" i="16"/>
  <c r="J301" i="16" s="1"/>
  <c r="W343" i="16"/>
  <c r="D312" i="16"/>
  <c r="E312" i="16" s="1"/>
  <c r="F312" i="16" s="1"/>
  <c r="H312" i="16" s="1"/>
  <c r="D131" i="16"/>
  <c r="E131" i="16" s="1"/>
  <c r="F131" i="16" s="1"/>
  <c r="H131" i="16" s="1"/>
  <c r="H193" i="16"/>
  <c r="I193" i="16" s="1"/>
  <c r="D200" i="16"/>
  <c r="E200" i="16" s="1"/>
  <c r="F200" i="16" s="1"/>
  <c r="H200" i="16" s="1"/>
  <c r="W25" i="16"/>
  <c r="W330" i="16"/>
  <c r="D263" i="16"/>
  <c r="E263" i="16" s="1"/>
  <c r="F263" i="16" s="1"/>
  <c r="AA263" i="16" s="1"/>
  <c r="Z263" i="16" s="1"/>
  <c r="Y263" i="16" s="1"/>
  <c r="W332" i="16"/>
  <c r="W75" i="16"/>
  <c r="B146" i="17"/>
  <c r="B218" i="17"/>
  <c r="B330" i="17"/>
  <c r="G63" i="19"/>
  <c r="D34" i="16"/>
  <c r="E34" i="16" s="1"/>
  <c r="F34" i="16" s="1"/>
  <c r="G34" i="16" s="1"/>
  <c r="BY34" i="6" s="1"/>
  <c r="W94" i="16"/>
  <c r="D123" i="16"/>
  <c r="E123" i="16" s="1"/>
  <c r="F123" i="16" s="1"/>
  <c r="H123" i="16" s="1"/>
  <c r="W192" i="16"/>
  <c r="D147" i="16"/>
  <c r="E147" i="16" s="1"/>
  <c r="F147" i="16" s="1"/>
  <c r="AA147" i="16" s="1"/>
  <c r="Z147" i="16" s="1"/>
  <c r="Y147" i="16" s="1"/>
  <c r="AA215" i="16"/>
  <c r="Z215" i="16" s="1"/>
  <c r="Y215" i="16" s="1"/>
  <c r="AD51" i="17"/>
  <c r="AD83" i="17"/>
  <c r="AD103" i="17"/>
  <c r="AD115" i="17"/>
  <c r="AD168" i="17"/>
  <c r="AD308" i="17"/>
  <c r="AD372" i="17"/>
  <c r="AA379" i="15"/>
  <c r="Z379" i="15" s="1"/>
  <c r="Y379" i="15" s="1"/>
  <c r="G379" i="15"/>
  <c r="BX379" i="6" s="1"/>
  <c r="D354" i="16"/>
  <c r="E354" i="16" s="1"/>
  <c r="F354" i="16" s="1"/>
  <c r="H354" i="16" s="1"/>
  <c r="W354" i="16"/>
  <c r="AI328" i="17"/>
  <c r="AH328" i="17" s="1"/>
  <c r="AG328" i="17" s="1"/>
  <c r="AF328" i="17" s="1"/>
  <c r="AI296" i="17"/>
  <c r="AH296" i="17" s="1"/>
  <c r="AG296" i="17" s="1"/>
  <c r="AF296" i="17" s="1"/>
  <c r="AI376" i="17"/>
  <c r="AH376" i="17" s="1"/>
  <c r="AG376" i="17" s="1"/>
  <c r="AF376" i="17" s="1"/>
  <c r="AI248" i="17"/>
  <c r="AH248" i="17" s="1"/>
  <c r="AG248" i="17" s="1"/>
  <c r="AF248" i="17" s="1"/>
  <c r="AI111" i="17"/>
  <c r="AH111" i="17" s="1"/>
  <c r="AG111" i="17" s="1"/>
  <c r="AF111" i="17" s="1"/>
  <c r="AI352" i="17"/>
  <c r="AH352" i="17" s="1"/>
  <c r="AG352" i="17" s="1"/>
  <c r="AF352" i="17" s="1"/>
  <c r="AI288" i="17"/>
  <c r="AH288" i="17" s="1"/>
  <c r="AG288" i="17" s="1"/>
  <c r="AF288" i="17" s="1"/>
  <c r="AI224" i="17"/>
  <c r="AH224" i="17" s="1"/>
  <c r="AG224" i="17" s="1"/>
  <c r="AF224" i="17" s="1"/>
  <c r="AI160" i="17"/>
  <c r="AH160" i="17" s="1"/>
  <c r="AG160" i="17" s="1"/>
  <c r="AF160" i="17" s="1"/>
  <c r="AI63" i="17"/>
  <c r="AH63" i="17" s="1"/>
  <c r="AG63" i="17" s="1"/>
  <c r="AF63" i="17" s="1"/>
  <c r="AI364" i="17"/>
  <c r="AH364" i="17" s="1"/>
  <c r="AG364" i="17" s="1"/>
  <c r="AF364" i="17" s="1"/>
  <c r="AI348" i="17"/>
  <c r="AH348" i="17" s="1"/>
  <c r="AG348" i="17" s="1"/>
  <c r="AF348" i="17" s="1"/>
  <c r="AI332" i="17"/>
  <c r="AH332" i="17" s="1"/>
  <c r="AG332" i="17" s="1"/>
  <c r="AF332" i="17" s="1"/>
  <c r="AI316" i="17"/>
  <c r="AH316" i="17" s="1"/>
  <c r="AG316" i="17" s="1"/>
  <c r="AF316" i="17" s="1"/>
  <c r="AI300" i="17"/>
  <c r="AH300" i="17" s="1"/>
  <c r="AG300" i="17" s="1"/>
  <c r="AF300" i="17" s="1"/>
  <c r="AI284" i="17"/>
  <c r="AH284" i="17" s="1"/>
  <c r="AG284" i="17" s="1"/>
  <c r="AF284" i="17" s="1"/>
  <c r="AI268" i="17"/>
  <c r="AH268" i="17" s="1"/>
  <c r="AG268" i="17" s="1"/>
  <c r="AF268" i="17" s="1"/>
  <c r="AI252" i="17"/>
  <c r="AH252" i="17" s="1"/>
  <c r="AG252" i="17" s="1"/>
  <c r="AF252" i="17" s="1"/>
  <c r="AI236" i="17"/>
  <c r="AH236" i="17" s="1"/>
  <c r="AG236" i="17" s="1"/>
  <c r="AF236" i="17" s="1"/>
  <c r="AI220" i="17"/>
  <c r="AH220" i="17" s="1"/>
  <c r="AG220" i="17" s="1"/>
  <c r="AF220" i="17" s="1"/>
  <c r="AI204" i="17"/>
  <c r="AH204" i="17" s="1"/>
  <c r="AG204" i="17" s="1"/>
  <c r="AF204" i="17" s="1"/>
  <c r="AI188" i="17"/>
  <c r="AH188" i="17" s="1"/>
  <c r="AG188" i="17" s="1"/>
  <c r="AF188" i="17" s="1"/>
  <c r="AI172" i="17"/>
  <c r="AH172" i="17" s="1"/>
  <c r="AG172" i="17" s="1"/>
  <c r="AF172" i="17" s="1"/>
  <c r="AI156" i="17"/>
  <c r="AH156" i="17" s="1"/>
  <c r="AG156" i="17" s="1"/>
  <c r="AF156" i="17" s="1"/>
  <c r="AI140" i="17"/>
  <c r="AH140" i="17" s="1"/>
  <c r="AG140" i="17" s="1"/>
  <c r="AF140" i="17" s="1"/>
  <c r="AI119" i="17"/>
  <c r="AH119" i="17" s="1"/>
  <c r="AG119" i="17" s="1"/>
  <c r="AF119" i="17" s="1"/>
  <c r="AI87" i="17"/>
  <c r="AH87" i="17" s="1"/>
  <c r="AG87" i="17" s="1"/>
  <c r="AF87" i="17" s="1"/>
  <c r="AI55" i="17"/>
  <c r="AH55" i="17" s="1"/>
  <c r="AG55" i="17" s="1"/>
  <c r="AF55" i="17" s="1"/>
  <c r="AI23" i="17"/>
  <c r="AH23" i="17" s="1"/>
  <c r="AG23" i="17" s="1"/>
  <c r="AF23" i="17" s="1"/>
  <c r="AI374" i="17"/>
  <c r="AH374" i="17" s="1"/>
  <c r="AG374" i="17" s="1"/>
  <c r="AF374" i="17" s="1"/>
  <c r="AI366" i="17"/>
  <c r="AH366" i="17" s="1"/>
  <c r="AG366" i="17" s="1"/>
  <c r="AF366" i="17" s="1"/>
  <c r="AI358" i="17"/>
  <c r="AH358" i="17" s="1"/>
  <c r="AG358" i="17" s="1"/>
  <c r="AF358" i="17" s="1"/>
  <c r="AI18" i="17"/>
  <c r="AH18" i="17" s="1"/>
  <c r="AG18" i="17" s="1"/>
  <c r="AF18" i="17" s="1"/>
  <c r="AI312" i="17"/>
  <c r="AH312" i="17" s="1"/>
  <c r="AG312" i="17" s="1"/>
  <c r="AF312" i="17" s="1"/>
  <c r="AI256" i="17"/>
  <c r="AH256" i="17" s="1"/>
  <c r="AG256" i="17" s="1"/>
  <c r="AF256" i="17" s="1"/>
  <c r="AI127" i="17"/>
  <c r="AH127" i="17" s="1"/>
  <c r="AG127" i="17" s="1"/>
  <c r="AF127" i="17" s="1"/>
  <c r="AI356" i="17"/>
  <c r="AH356" i="17" s="1"/>
  <c r="AG356" i="17" s="1"/>
  <c r="AF356" i="17" s="1"/>
  <c r="AI324" i="17"/>
  <c r="AH324" i="17" s="1"/>
  <c r="AG324" i="17" s="1"/>
  <c r="AF324" i="17" s="1"/>
  <c r="AI292" i="17"/>
  <c r="AH292" i="17" s="1"/>
  <c r="AG292" i="17" s="1"/>
  <c r="AF292" i="17" s="1"/>
  <c r="AI260" i="17"/>
  <c r="AH260" i="17" s="1"/>
  <c r="AG260" i="17" s="1"/>
  <c r="AF260" i="17" s="1"/>
  <c r="AI228" i="17"/>
  <c r="AH228" i="17" s="1"/>
  <c r="AG228" i="17" s="1"/>
  <c r="AF228" i="17" s="1"/>
  <c r="AI196" i="17"/>
  <c r="AH196" i="17" s="1"/>
  <c r="AG196" i="17" s="1"/>
  <c r="AF196" i="17" s="1"/>
  <c r="AI164" i="17"/>
  <c r="AH164" i="17" s="1"/>
  <c r="AG164" i="17" s="1"/>
  <c r="AF164" i="17" s="1"/>
  <c r="AI132" i="17"/>
  <c r="AH132" i="17" s="1"/>
  <c r="AG132" i="17" s="1"/>
  <c r="AF132" i="17" s="1"/>
  <c r="AI71" i="17"/>
  <c r="AH71" i="17" s="1"/>
  <c r="AG71" i="17" s="1"/>
  <c r="AF71" i="17" s="1"/>
  <c r="AI378" i="17"/>
  <c r="AH378" i="17" s="1"/>
  <c r="AG378" i="17" s="1"/>
  <c r="AF378" i="17" s="1"/>
  <c r="AI362" i="17"/>
  <c r="AH362" i="17" s="1"/>
  <c r="AG362" i="17" s="1"/>
  <c r="AF362" i="17" s="1"/>
  <c r="AI350" i="17"/>
  <c r="AH350" i="17" s="1"/>
  <c r="AG350" i="17" s="1"/>
  <c r="AF350" i="17" s="1"/>
  <c r="AI342" i="17"/>
  <c r="AH342" i="17" s="1"/>
  <c r="AG342" i="17" s="1"/>
  <c r="AF342" i="17" s="1"/>
  <c r="AI334" i="17"/>
  <c r="AH334" i="17" s="1"/>
  <c r="AG334" i="17" s="1"/>
  <c r="AF334" i="17" s="1"/>
  <c r="AI326" i="17"/>
  <c r="AH326" i="17" s="1"/>
  <c r="AG326" i="17" s="1"/>
  <c r="AF326" i="17" s="1"/>
  <c r="AI318" i="17"/>
  <c r="AH318" i="17" s="1"/>
  <c r="AG318" i="17" s="1"/>
  <c r="AF318" i="17" s="1"/>
  <c r="AI310" i="17"/>
  <c r="AH310" i="17" s="1"/>
  <c r="AG310" i="17" s="1"/>
  <c r="AF310" i="17" s="1"/>
  <c r="AI302" i="17"/>
  <c r="AH302" i="17" s="1"/>
  <c r="AG302" i="17" s="1"/>
  <c r="AF302" i="17" s="1"/>
  <c r="AI294" i="17"/>
  <c r="AH294" i="17" s="1"/>
  <c r="AG294" i="17" s="1"/>
  <c r="AF294" i="17" s="1"/>
  <c r="AI286" i="17"/>
  <c r="AH286" i="17" s="1"/>
  <c r="AG286" i="17" s="1"/>
  <c r="AF286" i="17" s="1"/>
  <c r="AI278" i="17"/>
  <c r="AH278" i="17" s="1"/>
  <c r="AG278" i="17" s="1"/>
  <c r="AF278" i="17" s="1"/>
  <c r="AI270" i="17"/>
  <c r="AH270" i="17" s="1"/>
  <c r="AG270" i="17" s="1"/>
  <c r="AF270" i="17" s="1"/>
  <c r="AI262" i="17"/>
  <c r="AH262" i="17" s="1"/>
  <c r="AG262" i="17" s="1"/>
  <c r="AF262" i="17" s="1"/>
  <c r="AI254" i="17"/>
  <c r="AH254" i="17" s="1"/>
  <c r="AG254" i="17" s="1"/>
  <c r="AF254" i="17" s="1"/>
  <c r="AI246" i="17"/>
  <c r="AH246" i="17" s="1"/>
  <c r="AG246" i="17" s="1"/>
  <c r="AF246" i="17" s="1"/>
  <c r="AI238" i="17"/>
  <c r="AH238" i="17" s="1"/>
  <c r="AG238" i="17" s="1"/>
  <c r="AF238" i="17" s="1"/>
  <c r="AI230" i="17"/>
  <c r="AH230" i="17" s="1"/>
  <c r="AG230" i="17" s="1"/>
  <c r="AF230" i="17" s="1"/>
  <c r="AI222" i="17"/>
  <c r="AH222" i="17" s="1"/>
  <c r="AG222" i="17" s="1"/>
  <c r="AF222" i="17" s="1"/>
  <c r="AI214" i="17"/>
  <c r="AH214" i="17" s="1"/>
  <c r="AG214" i="17" s="1"/>
  <c r="AF214" i="17" s="1"/>
  <c r="AI206" i="17"/>
  <c r="AH206" i="17" s="1"/>
  <c r="AG206" i="17" s="1"/>
  <c r="AF206" i="17" s="1"/>
  <c r="AI198" i="17"/>
  <c r="AH198" i="17" s="1"/>
  <c r="AG198" i="17" s="1"/>
  <c r="AF198" i="17" s="1"/>
  <c r="AI190" i="17"/>
  <c r="AH190" i="17" s="1"/>
  <c r="AG190" i="17" s="1"/>
  <c r="AF190" i="17" s="1"/>
  <c r="AI182" i="17"/>
  <c r="AH182" i="17" s="1"/>
  <c r="AG182" i="17" s="1"/>
  <c r="AF182" i="17" s="1"/>
  <c r="AI174" i="17"/>
  <c r="AH174" i="17" s="1"/>
  <c r="AG174" i="17" s="1"/>
  <c r="AF174" i="17" s="1"/>
  <c r="AI166" i="17"/>
  <c r="AH166" i="17" s="1"/>
  <c r="AG166" i="17" s="1"/>
  <c r="AF166" i="17" s="1"/>
  <c r="AI158" i="17"/>
  <c r="AH158" i="17" s="1"/>
  <c r="AG158" i="17" s="1"/>
  <c r="AF158" i="17" s="1"/>
  <c r="AI150" i="17"/>
  <c r="AH150" i="17" s="1"/>
  <c r="AG150" i="17" s="1"/>
  <c r="AF150" i="17" s="1"/>
  <c r="AI142" i="17"/>
  <c r="AH142" i="17" s="1"/>
  <c r="AG142" i="17" s="1"/>
  <c r="AF142" i="17" s="1"/>
  <c r="AI134" i="17"/>
  <c r="AH134" i="17" s="1"/>
  <c r="AG134" i="17" s="1"/>
  <c r="AF134" i="17" s="1"/>
  <c r="AI123" i="17"/>
  <c r="AH123" i="17" s="1"/>
  <c r="AG123" i="17" s="1"/>
  <c r="AF123" i="17" s="1"/>
  <c r="AI107" i="17"/>
  <c r="AH107" i="17" s="1"/>
  <c r="AG107" i="17" s="1"/>
  <c r="AF107" i="17" s="1"/>
  <c r="AI91" i="17"/>
  <c r="AH91" i="17" s="1"/>
  <c r="AG91" i="17" s="1"/>
  <c r="AF91" i="17" s="1"/>
  <c r="AI75" i="17"/>
  <c r="AH75" i="17" s="1"/>
  <c r="AG75" i="17" s="1"/>
  <c r="AF75" i="17" s="1"/>
  <c r="AI59" i="17"/>
  <c r="AH59" i="17" s="1"/>
  <c r="AG59" i="17" s="1"/>
  <c r="AF59" i="17" s="1"/>
  <c r="AI43" i="17"/>
  <c r="AH43" i="17" s="1"/>
  <c r="AG43" i="17" s="1"/>
  <c r="AF43" i="17" s="1"/>
  <c r="AI27" i="17"/>
  <c r="AH27" i="17" s="1"/>
  <c r="AG27" i="17" s="1"/>
  <c r="AF27" i="17" s="1"/>
  <c r="AI17" i="17"/>
  <c r="AH17" i="17" s="1"/>
  <c r="AG17" i="17" s="1"/>
  <c r="AF17" i="17" s="1"/>
  <c r="AI20" i="17"/>
  <c r="AH20" i="17" s="1"/>
  <c r="AG20" i="17" s="1"/>
  <c r="AF20" i="17" s="1"/>
  <c r="AI24" i="17"/>
  <c r="AH24" i="17" s="1"/>
  <c r="AG24" i="17" s="1"/>
  <c r="AF24" i="17" s="1"/>
  <c r="AI28" i="17"/>
  <c r="AH28" i="17" s="1"/>
  <c r="AG28" i="17" s="1"/>
  <c r="AF28" i="17" s="1"/>
  <c r="AI32" i="17"/>
  <c r="AH32" i="17" s="1"/>
  <c r="AG32" i="17" s="1"/>
  <c r="AF32" i="17" s="1"/>
  <c r="AI36" i="17"/>
  <c r="AH36" i="17" s="1"/>
  <c r="AG36" i="17" s="1"/>
  <c r="AF36" i="17" s="1"/>
  <c r="AI40" i="17"/>
  <c r="AH40" i="17" s="1"/>
  <c r="AG40" i="17" s="1"/>
  <c r="AF40" i="17" s="1"/>
  <c r="AI44" i="17"/>
  <c r="AH44" i="17" s="1"/>
  <c r="AG44" i="17" s="1"/>
  <c r="AF44" i="17" s="1"/>
  <c r="AI48" i="17"/>
  <c r="AH48" i="17" s="1"/>
  <c r="AG48" i="17" s="1"/>
  <c r="AF48" i="17" s="1"/>
  <c r="AI52" i="17"/>
  <c r="AH52" i="17" s="1"/>
  <c r="AG52" i="17" s="1"/>
  <c r="AF52" i="17" s="1"/>
  <c r="AI56" i="17"/>
  <c r="AH56" i="17" s="1"/>
  <c r="AG56" i="17" s="1"/>
  <c r="AF56" i="17" s="1"/>
  <c r="AI60" i="17"/>
  <c r="AH60" i="17" s="1"/>
  <c r="AG60" i="17" s="1"/>
  <c r="AF60" i="17" s="1"/>
  <c r="AI64" i="17"/>
  <c r="AH64" i="17" s="1"/>
  <c r="AG64" i="17" s="1"/>
  <c r="AF64" i="17" s="1"/>
  <c r="AI68" i="17"/>
  <c r="AH68" i="17" s="1"/>
  <c r="AG68" i="17" s="1"/>
  <c r="AF68" i="17" s="1"/>
  <c r="AI72" i="17"/>
  <c r="AH72" i="17" s="1"/>
  <c r="AG72" i="17" s="1"/>
  <c r="AF72" i="17" s="1"/>
  <c r="AI76" i="17"/>
  <c r="AH76" i="17" s="1"/>
  <c r="AG76" i="17" s="1"/>
  <c r="AF76" i="17" s="1"/>
  <c r="D344" i="16"/>
  <c r="E344" i="16" s="1"/>
  <c r="F344" i="16" s="1"/>
  <c r="G344" i="16" s="1"/>
  <c r="BY344" i="6" s="1"/>
  <c r="W344" i="16"/>
  <c r="D306" i="16"/>
  <c r="E306" i="16" s="1"/>
  <c r="F306" i="16" s="1"/>
  <c r="G306" i="16" s="1"/>
  <c r="BY306" i="6" s="1"/>
  <c r="W306" i="16"/>
  <c r="D37" i="19"/>
  <c r="V379" i="16"/>
  <c r="B379" i="16" s="1"/>
  <c r="W379" i="16" s="1"/>
  <c r="D202" i="16"/>
  <c r="E202" i="16" s="1"/>
  <c r="F202" i="16" s="1"/>
  <c r="AA202" i="16" s="1"/>
  <c r="Z202" i="16" s="1"/>
  <c r="Y202" i="16" s="1"/>
  <c r="W202" i="16"/>
  <c r="D250" i="16"/>
  <c r="E250" i="16" s="1"/>
  <c r="F250" i="16" s="1"/>
  <c r="G250" i="16" s="1"/>
  <c r="BY250" i="6" s="1"/>
  <c r="W250" i="16"/>
  <c r="D26" i="16"/>
  <c r="E26" i="16" s="1"/>
  <c r="F26" i="16" s="1"/>
  <c r="G26" i="16" s="1"/>
  <c r="BY26" i="6" s="1"/>
  <c r="W26" i="16"/>
  <c r="W362" i="16"/>
  <c r="D362" i="16"/>
  <c r="E362" i="16" s="1"/>
  <c r="F362" i="16" s="1"/>
  <c r="AA362" i="16" s="1"/>
  <c r="Z362" i="16" s="1"/>
  <c r="Y362" i="16" s="1"/>
  <c r="D287" i="16"/>
  <c r="E287" i="16" s="1"/>
  <c r="F287" i="16" s="1"/>
  <c r="G287" i="16" s="1"/>
  <c r="BY287" i="6" s="1"/>
  <c r="W287" i="16"/>
  <c r="W231" i="16"/>
  <c r="D231" i="16"/>
  <c r="E231" i="16" s="1"/>
  <c r="F231" i="16" s="1"/>
  <c r="H231" i="16" s="1"/>
  <c r="D138" i="16"/>
  <c r="E138" i="16" s="1"/>
  <c r="F138" i="16" s="1"/>
  <c r="G138" i="16" s="1"/>
  <c r="BY138" i="6" s="1"/>
  <c r="W138" i="16"/>
  <c r="D295" i="16"/>
  <c r="E295" i="16" s="1"/>
  <c r="F295" i="16" s="1"/>
  <c r="AA295" i="16" s="1"/>
  <c r="Z295" i="16" s="1"/>
  <c r="Y295" i="16" s="1"/>
  <c r="W295" i="16"/>
  <c r="D351" i="16"/>
  <c r="E351" i="16" s="1"/>
  <c r="F351" i="16" s="1"/>
  <c r="H351" i="16" s="1"/>
  <c r="W351" i="16"/>
  <c r="W346" i="16"/>
  <c r="D346" i="16"/>
  <c r="E346" i="16" s="1"/>
  <c r="F346" i="16" s="1"/>
  <c r="H346" i="16" s="1"/>
  <c r="G157" i="16"/>
  <c r="BY157" i="6" s="1"/>
  <c r="AA157" i="16"/>
  <c r="Z157" i="16" s="1"/>
  <c r="Y157" i="16" s="1"/>
  <c r="G105" i="16"/>
  <c r="BY105" i="6" s="1"/>
  <c r="AA105" i="16"/>
  <c r="Z105" i="16" s="1"/>
  <c r="Y105" i="16" s="1"/>
  <c r="D272" i="16"/>
  <c r="E272" i="16" s="1"/>
  <c r="F272" i="16" s="1"/>
  <c r="AA272" i="16" s="1"/>
  <c r="Z272" i="16" s="1"/>
  <c r="Y272" i="16" s="1"/>
  <c r="W272" i="16"/>
  <c r="D264" i="16"/>
  <c r="E264" i="16" s="1"/>
  <c r="F264" i="16" s="1"/>
  <c r="AA264" i="16" s="1"/>
  <c r="Z264" i="16" s="1"/>
  <c r="Y264" i="16" s="1"/>
  <c r="W264" i="16"/>
  <c r="D102" i="16"/>
  <c r="E102" i="16" s="1"/>
  <c r="F102" i="16" s="1"/>
  <c r="G102" i="16" s="1"/>
  <c r="BY102" i="6" s="1"/>
  <c r="W102" i="16"/>
  <c r="W155" i="16"/>
  <c r="D155" i="16"/>
  <c r="E155" i="16" s="1"/>
  <c r="F155" i="16" s="1"/>
  <c r="H155" i="16" s="1"/>
  <c r="D194" i="16"/>
  <c r="E194" i="16" s="1"/>
  <c r="F194" i="16" s="1"/>
  <c r="H194" i="16" s="1"/>
  <c r="W194" i="16"/>
  <c r="D307" i="16"/>
  <c r="E307" i="16" s="1"/>
  <c r="F307" i="16" s="1"/>
  <c r="AA307" i="16" s="1"/>
  <c r="Z307" i="16" s="1"/>
  <c r="Y307" i="16" s="1"/>
  <c r="W307" i="16"/>
  <c r="W19" i="16"/>
  <c r="D19" i="16"/>
  <c r="E19" i="16" s="1"/>
  <c r="F19" i="16" s="1"/>
  <c r="H19" i="16" s="1"/>
  <c r="H105" i="16"/>
  <c r="I105" i="16" s="1"/>
  <c r="D67" i="16"/>
  <c r="E67" i="16" s="1"/>
  <c r="F67" i="16" s="1"/>
  <c r="G67" i="16" s="1"/>
  <c r="BY67" i="6" s="1"/>
  <c r="W67" i="16"/>
  <c r="G235" i="16"/>
  <c r="BY235" i="6" s="1"/>
  <c r="AA235" i="16"/>
  <c r="Z235" i="16" s="1"/>
  <c r="Y235" i="16" s="1"/>
  <c r="W218" i="16"/>
  <c r="D218" i="16"/>
  <c r="E218" i="16" s="1"/>
  <c r="F218" i="16" s="1"/>
  <c r="W320" i="16"/>
  <c r="D320" i="16"/>
  <c r="E320" i="16" s="1"/>
  <c r="F320" i="16" s="1"/>
  <c r="H235" i="16"/>
  <c r="I235" i="16" s="1"/>
  <c r="H157" i="16"/>
  <c r="I157" i="16" s="1"/>
  <c r="H375" i="16"/>
  <c r="J375" i="16" s="1"/>
  <c r="AA266" i="16"/>
  <c r="Z266" i="16" s="1"/>
  <c r="Y266" i="16" s="1"/>
  <c r="H215" i="16"/>
  <c r="J215" i="16" s="1"/>
  <c r="H63" i="19"/>
  <c r="AA375" i="16"/>
  <c r="Z375" i="16" s="1"/>
  <c r="Y375" i="16" s="1"/>
  <c r="D85" i="16"/>
  <c r="E85" i="16" s="1"/>
  <c r="F85" i="16" s="1"/>
  <c r="W85" i="16"/>
  <c r="W331" i="16"/>
  <c r="D331" i="16"/>
  <c r="E331" i="16" s="1"/>
  <c r="F331" i="16" s="1"/>
  <c r="H331" i="16" s="1"/>
  <c r="D251" i="16"/>
  <c r="E251" i="16" s="1"/>
  <c r="F251" i="16" s="1"/>
  <c r="W251" i="16"/>
  <c r="V363" i="16"/>
  <c r="B363" i="16" s="1"/>
  <c r="W363" i="16" s="1"/>
  <c r="D55" i="7"/>
  <c r="G129" i="16"/>
  <c r="BY129" i="6" s="1"/>
  <c r="D187" i="16"/>
  <c r="E187" i="16" s="1"/>
  <c r="F187" i="16" s="1"/>
  <c r="W187" i="16"/>
  <c r="AD16" i="17"/>
  <c r="AD23" i="17"/>
  <c r="AD43" i="17"/>
  <c r="AD75" i="17"/>
  <c r="AD87" i="17"/>
  <c r="AD107" i="17"/>
  <c r="AD111" i="17"/>
  <c r="AD123" i="17"/>
  <c r="P22" i="17"/>
  <c r="V22" i="17" s="1"/>
  <c r="B22" i="17" s="1"/>
  <c r="P26" i="17"/>
  <c r="V26" i="17" s="1"/>
  <c r="B26" i="17" s="1"/>
  <c r="P30" i="17"/>
  <c r="P38" i="17"/>
  <c r="V38" i="17" s="1"/>
  <c r="B38" i="17" s="1"/>
  <c r="P46" i="17"/>
  <c r="P54" i="17"/>
  <c r="V54" i="17" s="1"/>
  <c r="B54" i="17" s="1"/>
  <c r="P94" i="17"/>
  <c r="P102" i="17"/>
  <c r="V102" i="17" s="1"/>
  <c r="B102" i="17" s="1"/>
  <c r="P110" i="17"/>
  <c r="V110" i="17" s="1"/>
  <c r="B110" i="17" s="1"/>
  <c r="P118" i="17"/>
  <c r="V118" i="17" s="1"/>
  <c r="B118" i="17" s="1"/>
  <c r="P126" i="17"/>
  <c r="V126" i="17" s="1"/>
  <c r="B126" i="17" s="1"/>
  <c r="P158" i="17"/>
  <c r="V158" i="17" s="1"/>
  <c r="B158" i="17" s="1"/>
  <c r="P166" i="17"/>
  <c r="V166" i="17" s="1"/>
  <c r="B166" i="17" s="1"/>
  <c r="P174" i="17"/>
  <c r="V174" i="17" s="1"/>
  <c r="B174" i="17" s="1"/>
  <c r="P182" i="17"/>
  <c r="V182" i="17" s="1"/>
  <c r="B182" i="17" s="1"/>
  <c r="P190" i="17"/>
  <c r="V190" i="17" s="1"/>
  <c r="B190" i="17" s="1"/>
  <c r="P198" i="17"/>
  <c r="P206" i="17"/>
  <c r="V206" i="17" s="1"/>
  <c r="B206" i="17" s="1"/>
  <c r="P246" i="17"/>
  <c r="P262" i="17"/>
  <c r="V262" i="17" s="1"/>
  <c r="B262" i="17" s="1"/>
  <c r="P318" i="17"/>
  <c r="V318" i="17" s="1"/>
  <c r="B318" i="17" s="1"/>
  <c r="P326" i="17"/>
  <c r="V326" i="17" s="1"/>
  <c r="B326" i="17" s="1"/>
  <c r="P334" i="17"/>
  <c r="V334" i="17" s="1"/>
  <c r="B334" i="17" s="1"/>
  <c r="P350" i="17"/>
  <c r="V350" i="17" s="1"/>
  <c r="B350" i="17" s="1"/>
  <c r="P366" i="17"/>
  <c r="V15" i="7"/>
  <c r="AD328" i="17"/>
  <c r="F63" i="19"/>
  <c r="E63" i="19"/>
  <c r="I63" i="19"/>
  <c r="W339" i="16"/>
  <c r="W115" i="16"/>
  <c r="W110" i="16"/>
  <c r="D51" i="16"/>
  <c r="E51" i="16" s="1"/>
  <c r="F51" i="16" s="1"/>
  <c r="AA51" i="16" s="1"/>
  <c r="Z51" i="16" s="1"/>
  <c r="Y51" i="16" s="1"/>
  <c r="D171" i="16"/>
  <c r="E171" i="16" s="1"/>
  <c r="F171" i="16" s="1"/>
  <c r="G171" i="16" s="1"/>
  <c r="BY171" i="6" s="1"/>
  <c r="W126" i="16"/>
  <c r="AA43" i="16"/>
  <c r="Z43" i="16" s="1"/>
  <c r="Y43" i="16" s="1"/>
  <c r="AI136" i="17"/>
  <c r="AH136" i="17" s="1"/>
  <c r="AG136" i="17" s="1"/>
  <c r="AF136" i="17" s="1"/>
  <c r="AI200" i="17"/>
  <c r="AH200" i="17" s="1"/>
  <c r="AG200" i="17" s="1"/>
  <c r="AF200" i="17" s="1"/>
  <c r="AI360" i="17"/>
  <c r="AH360" i="17" s="1"/>
  <c r="AG360" i="17" s="1"/>
  <c r="AF360" i="17" s="1"/>
  <c r="AI232" i="17"/>
  <c r="AH232" i="17" s="1"/>
  <c r="AG232" i="17" s="1"/>
  <c r="AF232" i="17" s="1"/>
  <c r="AI79" i="17"/>
  <c r="AH79" i="17" s="1"/>
  <c r="AG79" i="17" s="1"/>
  <c r="AF79" i="17" s="1"/>
  <c r="AI344" i="17"/>
  <c r="AH344" i="17" s="1"/>
  <c r="AG344" i="17" s="1"/>
  <c r="AF344" i="17" s="1"/>
  <c r="AI280" i="17"/>
  <c r="AH280" i="17" s="1"/>
  <c r="AG280" i="17" s="1"/>
  <c r="AF280" i="17" s="1"/>
  <c r="AI216" i="17"/>
  <c r="AH216" i="17" s="1"/>
  <c r="AG216" i="17" s="1"/>
  <c r="AF216" i="17" s="1"/>
  <c r="AI152" i="17"/>
  <c r="AH152" i="17" s="1"/>
  <c r="AG152" i="17" s="1"/>
  <c r="AF152" i="17" s="1"/>
  <c r="AI47" i="17"/>
  <c r="AH47" i="17" s="1"/>
  <c r="AG47" i="17" s="1"/>
  <c r="AF47" i="17" s="1"/>
  <c r="AI368" i="17"/>
  <c r="AH368" i="17" s="1"/>
  <c r="AG368" i="17" s="1"/>
  <c r="AF368" i="17" s="1"/>
  <c r="AI336" i="17"/>
  <c r="AH336" i="17" s="1"/>
  <c r="AG336" i="17" s="1"/>
  <c r="AF336" i="17" s="1"/>
  <c r="AI304" i="17"/>
  <c r="AH304" i="17" s="1"/>
  <c r="AG304" i="17" s="1"/>
  <c r="AF304" i="17" s="1"/>
  <c r="AI272" i="17"/>
  <c r="AH272" i="17" s="1"/>
  <c r="AG272" i="17" s="1"/>
  <c r="AF272" i="17" s="1"/>
  <c r="AI240" i="17"/>
  <c r="AH240" i="17" s="1"/>
  <c r="AG240" i="17" s="1"/>
  <c r="AF240" i="17" s="1"/>
  <c r="AI208" i="17"/>
  <c r="AH208" i="17" s="1"/>
  <c r="AG208" i="17" s="1"/>
  <c r="AF208" i="17" s="1"/>
  <c r="AI176" i="17"/>
  <c r="AH176" i="17" s="1"/>
  <c r="AG176" i="17" s="1"/>
  <c r="AF176" i="17" s="1"/>
  <c r="AI144" i="17"/>
  <c r="AH144" i="17" s="1"/>
  <c r="AG144" i="17" s="1"/>
  <c r="AF144" i="17" s="1"/>
  <c r="AI95" i="17"/>
  <c r="AH95" i="17" s="1"/>
  <c r="AG95" i="17" s="1"/>
  <c r="AF95" i="17" s="1"/>
  <c r="AI31" i="17"/>
  <c r="AH31" i="17" s="1"/>
  <c r="AG31" i="17" s="1"/>
  <c r="AF31" i="17" s="1"/>
  <c r="AA338" i="16"/>
  <c r="Z338" i="16" s="1"/>
  <c r="Y338" i="16" s="1"/>
  <c r="H187" i="16"/>
  <c r="J187" i="16" s="1"/>
  <c r="H251" i="16"/>
  <c r="J251" i="16" s="1"/>
  <c r="H43" i="16"/>
  <c r="J43" i="16" s="1"/>
  <c r="AI15" i="17"/>
  <c r="AH15" i="17" s="1"/>
  <c r="D211" i="16"/>
  <c r="E211" i="16" s="1"/>
  <c r="F211" i="16" s="1"/>
  <c r="W211" i="16"/>
  <c r="W370" i="16"/>
  <c r="D370" i="16"/>
  <c r="E370" i="16" s="1"/>
  <c r="F370" i="16" s="1"/>
  <c r="D267" i="16"/>
  <c r="E267" i="16" s="1"/>
  <c r="F267" i="16" s="1"/>
  <c r="H267" i="16" s="1"/>
  <c r="W267" i="16"/>
  <c r="W323" i="16"/>
  <c r="D323" i="16"/>
  <c r="E323" i="16" s="1"/>
  <c r="F323" i="16" s="1"/>
  <c r="D162" i="16"/>
  <c r="E162" i="16" s="1"/>
  <c r="F162" i="16" s="1"/>
  <c r="W162" i="16"/>
  <c r="D61" i="16"/>
  <c r="E61" i="16" s="1"/>
  <c r="F61" i="16" s="1"/>
  <c r="H61" i="16" s="1"/>
  <c r="W61" i="16"/>
  <c r="W113" i="16"/>
  <c r="D113" i="16"/>
  <c r="E113" i="16" s="1"/>
  <c r="F113" i="16" s="1"/>
  <c r="W279" i="16"/>
  <c r="D279" i="16"/>
  <c r="E279" i="16" s="1"/>
  <c r="F279" i="16" s="1"/>
  <c r="D319" i="16"/>
  <c r="E319" i="16" s="1"/>
  <c r="F319" i="16" s="1"/>
  <c r="H319" i="16" s="1"/>
  <c r="W319" i="16"/>
  <c r="D335" i="16"/>
  <c r="E335" i="16" s="1"/>
  <c r="F335" i="16" s="1"/>
  <c r="H335" i="16" s="1"/>
  <c r="W335" i="16"/>
  <c r="D367" i="16"/>
  <c r="E367" i="16" s="1"/>
  <c r="F367" i="16" s="1"/>
  <c r="W367" i="16"/>
  <c r="D154" i="16"/>
  <c r="E154" i="16" s="1"/>
  <c r="F154" i="16" s="1"/>
  <c r="H154" i="16" s="1"/>
  <c r="W154" i="16"/>
  <c r="W130" i="16"/>
  <c r="D130" i="16"/>
  <c r="E130" i="16" s="1"/>
  <c r="F130" i="16" s="1"/>
  <c r="W106" i="16"/>
  <c r="D106" i="16"/>
  <c r="E106" i="16" s="1"/>
  <c r="F106" i="16" s="1"/>
  <c r="W77" i="16"/>
  <c r="D77" i="16"/>
  <c r="E77" i="16" s="1"/>
  <c r="F77" i="16" s="1"/>
  <c r="D216" i="16"/>
  <c r="E216" i="16" s="1"/>
  <c r="F216" i="16" s="1"/>
  <c r="H216" i="16" s="1"/>
  <c r="W216" i="16"/>
  <c r="AI264" i="17"/>
  <c r="AH264" i="17" s="1"/>
  <c r="AG264" i="17" s="1"/>
  <c r="AF264" i="17" s="1"/>
  <c r="W223" i="16"/>
  <c r="D223" i="16"/>
  <c r="E223" i="16" s="1"/>
  <c r="F223" i="16" s="1"/>
  <c r="H223" i="16" s="1"/>
  <c r="W280" i="16"/>
  <c r="D280" i="16"/>
  <c r="E280" i="16" s="1"/>
  <c r="F280" i="16" s="1"/>
  <c r="H280" i="16" s="1"/>
  <c r="D82" i="16"/>
  <c r="E82" i="16" s="1"/>
  <c r="F82" i="16" s="1"/>
  <c r="W82" i="16"/>
  <c r="D239" i="16"/>
  <c r="E239" i="16" s="1"/>
  <c r="F239" i="16" s="1"/>
  <c r="H239" i="16" s="1"/>
  <c r="W239" i="16"/>
  <c r="H279" i="16"/>
  <c r="I279" i="16" s="1"/>
  <c r="W195" i="16"/>
  <c r="D195" i="16"/>
  <c r="E195" i="16" s="1"/>
  <c r="F195" i="16" s="1"/>
  <c r="D303" i="16"/>
  <c r="E303" i="16" s="1"/>
  <c r="F303" i="16" s="1"/>
  <c r="W303" i="16"/>
  <c r="D327" i="16"/>
  <c r="E327" i="16" s="1"/>
  <c r="F327" i="16" s="1"/>
  <c r="W327" i="16"/>
  <c r="W352" i="16"/>
  <c r="D352" i="16"/>
  <c r="E352" i="16" s="1"/>
  <c r="F352" i="16" s="1"/>
  <c r="V29" i="16"/>
  <c r="B29" i="16" s="1"/>
  <c r="D44" i="7"/>
  <c r="D146" i="16"/>
  <c r="E146" i="16" s="1"/>
  <c r="F146" i="16" s="1"/>
  <c r="W146" i="16"/>
  <c r="W122" i="16"/>
  <c r="D122" i="16"/>
  <c r="E122" i="16" s="1"/>
  <c r="F122" i="16" s="1"/>
  <c r="D86" i="16"/>
  <c r="E86" i="16" s="1"/>
  <c r="F86" i="16" s="1"/>
  <c r="W86" i="16"/>
  <c r="AG379" i="16"/>
  <c r="AH381" i="16"/>
  <c r="AH382" i="16"/>
  <c r="D348" i="16"/>
  <c r="E348" i="16" s="1"/>
  <c r="F348" i="16" s="1"/>
  <c r="W348" i="16"/>
  <c r="W268" i="16"/>
  <c r="D268" i="16"/>
  <c r="E268" i="16" s="1"/>
  <c r="F268" i="16" s="1"/>
  <c r="H268" i="16" s="1"/>
  <c r="W203" i="16"/>
  <c r="D203" i="16"/>
  <c r="E203" i="16" s="1"/>
  <c r="F203" i="16" s="1"/>
  <c r="H203" i="16" s="1"/>
  <c r="D227" i="16"/>
  <c r="E227" i="16" s="1"/>
  <c r="F227" i="16" s="1"/>
  <c r="W227" i="16"/>
  <c r="D183" i="16"/>
  <c r="E183" i="16" s="1"/>
  <c r="F183" i="16" s="1"/>
  <c r="W183" i="16"/>
  <c r="W191" i="16"/>
  <c r="D191" i="16"/>
  <c r="E191" i="16" s="1"/>
  <c r="F191" i="16" s="1"/>
  <c r="D255" i="16"/>
  <c r="E255" i="16" s="1"/>
  <c r="F255" i="16" s="1"/>
  <c r="W255" i="16"/>
  <c r="AH383" i="16"/>
  <c r="W311" i="16"/>
  <c r="D311" i="16"/>
  <c r="E311" i="16" s="1"/>
  <c r="F311" i="16" s="1"/>
  <c r="H311" i="16" s="1"/>
  <c r="D170" i="16"/>
  <c r="E170" i="16" s="1"/>
  <c r="F170" i="16" s="1"/>
  <c r="W170" i="16"/>
  <c r="D232" i="16"/>
  <c r="E232" i="16" s="1"/>
  <c r="F232" i="16" s="1"/>
  <c r="W232" i="16"/>
  <c r="S16" i="16"/>
  <c r="T382" i="16"/>
  <c r="T383" i="16"/>
  <c r="T381" i="16"/>
  <c r="H188" i="16"/>
  <c r="J188" i="16" s="1"/>
  <c r="J366" i="16"/>
  <c r="J326" i="16"/>
  <c r="AD134" i="17"/>
  <c r="AD214" i="17"/>
  <c r="AD334" i="17"/>
  <c r="J300" i="16"/>
  <c r="AA188" i="16"/>
  <c r="Z188" i="16" s="1"/>
  <c r="Y188" i="16" s="1"/>
  <c r="L41" i="19"/>
  <c r="AD271" i="17"/>
  <c r="AD311" i="17"/>
  <c r="AH379" i="17"/>
  <c r="AG379" i="17" s="1"/>
  <c r="AF379" i="17" s="1"/>
  <c r="AD230" i="17"/>
  <c r="AD33" i="17"/>
  <c r="AD41" i="17"/>
  <c r="AD49" i="17"/>
  <c r="AD65" i="17"/>
  <c r="AD73" i="17"/>
  <c r="AD89" i="17"/>
  <c r="AD97" i="17"/>
  <c r="AD113" i="17"/>
  <c r="AD129" i="17"/>
  <c r="AD133" i="17"/>
  <c r="AD141" i="17"/>
  <c r="AD145" i="17"/>
  <c r="AD149" i="17"/>
  <c r="AD157" i="17"/>
  <c r="AD161" i="17"/>
  <c r="AD173" i="17"/>
  <c r="AD177" i="17"/>
  <c r="AD185" i="17"/>
  <c r="AD189" i="17"/>
  <c r="AD193" i="17"/>
  <c r="AD197" i="17"/>
  <c r="AD201" i="17"/>
  <c r="AD205" i="17"/>
  <c r="AD209" i="17"/>
  <c r="AD213" i="17"/>
  <c r="AD217" i="17"/>
  <c r="AD221" i="17"/>
  <c r="AD225" i="17"/>
  <c r="AD229" i="17"/>
  <c r="AD233" i="17"/>
  <c r="AD241" i="17"/>
  <c r="AD245" i="17"/>
  <c r="AD253" i="17"/>
  <c r="AD257" i="17"/>
  <c r="AD261" i="17"/>
  <c r="AD269" i="17"/>
  <c r="AD273" i="17"/>
  <c r="AD277" i="17"/>
  <c r="AD289" i="17"/>
  <c r="AD301" i="17"/>
  <c r="AD305" i="17"/>
  <c r="AD309" i="17"/>
  <c r="AD317" i="17"/>
  <c r="AD321" i="17"/>
  <c r="AD325" i="17"/>
  <c r="AD333" i="17"/>
  <c r="AD337" i="17"/>
  <c r="AD345" i="17"/>
  <c r="AD349" i="17"/>
  <c r="AD353" i="17"/>
  <c r="AD369" i="17"/>
  <c r="AD373" i="17"/>
  <c r="P32" i="17"/>
  <c r="V32" i="17" s="1"/>
  <c r="B32" i="17" s="1"/>
  <c r="P44" i="17"/>
  <c r="V44" i="17" s="1"/>
  <c r="B44" i="17" s="1"/>
  <c r="P48" i="17"/>
  <c r="V48" i="17" s="1"/>
  <c r="B48" i="17" s="1"/>
  <c r="P92" i="17"/>
  <c r="V92" i="17" s="1"/>
  <c r="B92" i="17" s="1"/>
  <c r="P108" i="17"/>
  <c r="V108" i="17" s="1"/>
  <c r="B108" i="17" s="1"/>
  <c r="P136" i="17"/>
  <c r="V136" i="17" s="1"/>
  <c r="B136" i="17" s="1"/>
  <c r="P156" i="17"/>
  <c r="V156" i="17" s="1"/>
  <c r="B156" i="17" s="1"/>
  <c r="P176" i="17"/>
  <c r="V176" i="17" s="1"/>
  <c r="B176" i="17" s="1"/>
  <c r="P204" i="17"/>
  <c r="V204" i="17" s="1"/>
  <c r="B204" i="17" s="1"/>
  <c r="P208" i="17"/>
  <c r="V208" i="17" s="1"/>
  <c r="B208" i="17" s="1"/>
  <c r="P220" i="17"/>
  <c r="V220" i="17" s="1"/>
  <c r="B220" i="17" s="1"/>
  <c r="P236" i="17"/>
  <c r="V236" i="17" s="1"/>
  <c r="B236" i="17" s="1"/>
  <c r="P268" i="17"/>
  <c r="V268" i="17" s="1"/>
  <c r="B268" i="17" s="1"/>
  <c r="P272" i="17"/>
  <c r="D64" i="7" s="1"/>
  <c r="P284" i="17"/>
  <c r="V284" i="17" s="1"/>
  <c r="B284" i="17" s="1"/>
  <c r="P296" i="17"/>
  <c r="V296" i="17" s="1"/>
  <c r="B296" i="17" s="1"/>
  <c r="P312" i="17"/>
  <c r="V312" i="17" s="1"/>
  <c r="B312" i="17" s="1"/>
  <c r="P360" i="17"/>
  <c r="V360" i="17" s="1"/>
  <c r="B360" i="17" s="1"/>
  <c r="P376" i="17"/>
  <c r="V376" i="17" s="1"/>
  <c r="B376" i="17" s="1"/>
  <c r="AD140" i="17"/>
  <c r="AD152" i="17"/>
  <c r="AD172" i="17"/>
  <c r="AD192" i="17"/>
  <c r="AD220" i="17"/>
  <c r="AD256" i="17"/>
  <c r="AD280" i="17"/>
  <c r="AD300" i="17"/>
  <c r="AD320" i="17"/>
  <c r="AD332" i="17"/>
  <c r="AD352" i="17"/>
  <c r="AD364" i="17"/>
  <c r="Q382" i="17"/>
  <c r="J196" i="16"/>
  <c r="B210" i="16"/>
  <c r="W210" i="16" s="1"/>
  <c r="G114" i="16"/>
  <c r="BY114" i="6" s="1"/>
  <c r="H114" i="16"/>
  <c r="J114" i="16" s="1"/>
  <c r="AD267" i="17"/>
  <c r="AD339" i="17"/>
  <c r="AD359" i="17"/>
  <c r="AD21" i="17"/>
  <c r="AD45" i="17"/>
  <c r="AD53" i="17"/>
  <c r="AD61" i="17"/>
  <c r="AD69" i="17"/>
  <c r="AD77" i="17"/>
  <c r="AD85" i="17"/>
  <c r="AD93" i="17"/>
  <c r="AD101" i="17"/>
  <c r="AD105" i="17"/>
  <c r="AD109" i="17"/>
  <c r="AD125" i="17"/>
  <c r="AD165" i="17"/>
  <c r="AD265" i="17"/>
  <c r="P36" i="17"/>
  <c r="V36" i="17" s="1"/>
  <c r="B36" i="17" s="1"/>
  <c r="P56" i="17"/>
  <c r="V56" i="17" s="1"/>
  <c r="B56" i="17" s="1"/>
  <c r="P64" i="17"/>
  <c r="V64" i="17" s="1"/>
  <c r="B64" i="17" s="1"/>
  <c r="P68" i="17"/>
  <c r="V68" i="17" s="1"/>
  <c r="B68" i="17" s="1"/>
  <c r="P116" i="17"/>
  <c r="V116" i="17" s="1"/>
  <c r="B116" i="17" s="1"/>
  <c r="P128" i="17"/>
  <c r="V128" i="17" s="1"/>
  <c r="B128" i="17" s="1"/>
  <c r="P196" i="17"/>
  <c r="V196" i="17" s="1"/>
  <c r="B196" i="17" s="1"/>
  <c r="P228" i="17"/>
  <c r="V228" i="17" s="1"/>
  <c r="B228" i="17" s="1"/>
  <c r="P248" i="17"/>
  <c r="V248" i="17" s="1"/>
  <c r="B248" i="17" s="1"/>
  <c r="P256" i="17"/>
  <c r="V256" i="17" s="1"/>
  <c r="B256" i="17" s="1"/>
  <c r="P260" i="17"/>
  <c r="V260" i="17" s="1"/>
  <c r="B260" i="17" s="1"/>
  <c r="P276" i="17"/>
  <c r="V276" i="17" s="1"/>
  <c r="B276" i="17" s="1"/>
  <c r="P300" i="17"/>
  <c r="V300" i="17" s="1"/>
  <c r="B300" i="17" s="1"/>
  <c r="P332" i="17"/>
  <c r="V332" i="17" s="1"/>
  <c r="B332" i="17" s="1"/>
  <c r="P336" i="17"/>
  <c r="V336" i="17" s="1"/>
  <c r="B336" i="17" s="1"/>
  <c r="P364" i="17"/>
  <c r="V364" i="17" s="1"/>
  <c r="B364" i="17" s="1"/>
  <c r="AD130" i="17"/>
  <c r="AD154" i="17"/>
  <c r="AD162" i="17"/>
  <c r="AD170" i="17"/>
  <c r="AD186" i="17"/>
  <c r="AD194" i="17"/>
  <c r="AD202" i="17"/>
  <c r="AD218" i="17"/>
  <c r="AD226" i="17"/>
  <c r="AD234" i="17"/>
  <c r="AD258" i="17"/>
  <c r="AD266" i="17"/>
  <c r="AD282" i="17"/>
  <c r="AD290" i="17"/>
  <c r="AD298" i="17"/>
  <c r="AD314" i="17"/>
  <c r="AD346" i="17"/>
  <c r="AD354" i="17"/>
  <c r="AD362" i="17"/>
  <c r="AD370" i="17"/>
  <c r="P16" i="17"/>
  <c r="V16" i="17" s="1"/>
  <c r="P37" i="17"/>
  <c r="V37" i="17" s="1"/>
  <c r="B37" i="17" s="1"/>
  <c r="P41" i="17"/>
  <c r="V41" i="17" s="1"/>
  <c r="B41" i="17" s="1"/>
  <c r="P53" i="17"/>
  <c r="V53" i="17" s="1"/>
  <c r="B53" i="17" s="1"/>
  <c r="P57" i="17"/>
  <c r="V57" i="17" s="1"/>
  <c r="B57" i="17" s="1"/>
  <c r="P77" i="17"/>
  <c r="V77" i="17" s="1"/>
  <c r="B77" i="17" s="1"/>
  <c r="P81" i="17"/>
  <c r="V81" i="17" s="1"/>
  <c r="B81" i="17" s="1"/>
  <c r="P97" i="17"/>
  <c r="V97" i="17" s="1"/>
  <c r="B97" i="17" s="1"/>
  <c r="P101" i="17"/>
  <c r="V101" i="17" s="1"/>
  <c r="B101" i="17" s="1"/>
  <c r="P109" i="17"/>
  <c r="V109" i="17" s="1"/>
  <c r="B109" i="17" s="1"/>
  <c r="P121" i="17"/>
  <c r="V121" i="17" s="1"/>
  <c r="B121" i="17" s="1"/>
  <c r="P125" i="17"/>
  <c r="V125" i="17" s="1"/>
  <c r="B125" i="17" s="1"/>
  <c r="P133" i="17"/>
  <c r="V133" i="17" s="1"/>
  <c r="B133" i="17" s="1"/>
  <c r="P137" i="17"/>
  <c r="V137" i="17" s="1"/>
  <c r="B137" i="17" s="1"/>
  <c r="P145" i="17"/>
  <c r="V145" i="17" s="1"/>
  <c r="B145" i="17" s="1"/>
  <c r="P149" i="17"/>
  <c r="D60" i="7" s="1"/>
  <c r="P153" i="17"/>
  <c r="V153" i="17" s="1"/>
  <c r="B153" i="17" s="1"/>
  <c r="P165" i="17"/>
  <c r="V165" i="17" s="1"/>
  <c r="B165" i="17" s="1"/>
  <c r="P169" i="17"/>
  <c r="V169" i="17" s="1"/>
  <c r="B169" i="17" s="1"/>
  <c r="P173" i="17"/>
  <c r="V173" i="17" s="1"/>
  <c r="B173" i="17" s="1"/>
  <c r="P177" i="17"/>
  <c r="V177" i="17" s="1"/>
  <c r="B177" i="17" s="1"/>
  <c r="P185" i="17"/>
  <c r="V185" i="17" s="1"/>
  <c r="B185" i="17" s="1"/>
  <c r="P189" i="17"/>
  <c r="V189" i="17" s="1"/>
  <c r="B189" i="17" s="1"/>
  <c r="P197" i="17"/>
  <c r="V197" i="17" s="1"/>
  <c r="B197" i="17" s="1"/>
  <c r="P201" i="17"/>
  <c r="V201" i="17" s="1"/>
  <c r="B201" i="17" s="1"/>
  <c r="P205" i="17"/>
  <c r="V205" i="17" s="1"/>
  <c r="B205" i="17" s="1"/>
  <c r="P213" i="17"/>
  <c r="V213" i="17" s="1"/>
  <c r="B213" i="17" s="1"/>
  <c r="P221" i="17"/>
  <c r="V221" i="17" s="1"/>
  <c r="B221" i="17" s="1"/>
  <c r="P233" i="17"/>
  <c r="V233" i="17" s="1"/>
  <c r="B233" i="17" s="1"/>
  <c r="P245" i="17"/>
  <c r="V245" i="17" s="1"/>
  <c r="B245" i="17" s="1"/>
  <c r="P257" i="17"/>
  <c r="V257" i="17" s="1"/>
  <c r="B257" i="17" s="1"/>
  <c r="P261" i="17"/>
  <c r="V261" i="17" s="1"/>
  <c r="B261" i="17" s="1"/>
  <c r="P265" i="17"/>
  <c r="V265" i="17" s="1"/>
  <c r="B265" i="17" s="1"/>
  <c r="P269" i="17"/>
  <c r="V269" i="17" s="1"/>
  <c r="B269" i="17" s="1"/>
  <c r="P273" i="17"/>
  <c r="V273" i="17" s="1"/>
  <c r="B273" i="17" s="1"/>
  <c r="P277" i="17"/>
  <c r="V277" i="17" s="1"/>
  <c r="B277" i="17" s="1"/>
  <c r="P289" i="17"/>
  <c r="V289" i="17" s="1"/>
  <c r="B289" i="17" s="1"/>
  <c r="P305" i="17"/>
  <c r="V305" i="17" s="1"/>
  <c r="B305" i="17" s="1"/>
  <c r="P321" i="17"/>
  <c r="V321" i="17" s="1"/>
  <c r="B321" i="17" s="1"/>
  <c r="P333" i="17"/>
  <c r="D66" i="7" s="1"/>
  <c r="P345" i="17"/>
  <c r="V345" i="17" s="1"/>
  <c r="B345" i="17" s="1"/>
  <c r="P349" i="17"/>
  <c r="V349" i="17" s="1"/>
  <c r="B349" i="17" s="1"/>
  <c r="P357" i="17"/>
  <c r="V357" i="17" s="1"/>
  <c r="B357" i="17" s="1"/>
  <c r="P365" i="17"/>
  <c r="V365" i="17" s="1"/>
  <c r="B365" i="17" s="1"/>
  <c r="I197" i="15"/>
  <c r="H33" i="16"/>
  <c r="J33" i="16" s="1"/>
  <c r="I108" i="15"/>
  <c r="D63" i="19"/>
  <c r="I300" i="16"/>
  <c r="AA33" i="16"/>
  <c r="Z33" i="16" s="1"/>
  <c r="Y33" i="16" s="1"/>
  <c r="J89" i="16"/>
  <c r="J316" i="16"/>
  <c r="I366" i="16"/>
  <c r="I326" i="16"/>
  <c r="H358" i="16"/>
  <c r="J358" i="16" s="1"/>
  <c r="J63" i="16"/>
  <c r="Q383" i="17"/>
  <c r="AA52" i="16"/>
  <c r="Z52" i="16" s="1"/>
  <c r="Y52" i="16" s="1"/>
  <c r="G52" i="16"/>
  <c r="BY52" i="6" s="1"/>
  <c r="I95" i="16"/>
  <c r="J95" i="16"/>
  <c r="G48" i="16"/>
  <c r="BY48" i="6" s="1"/>
  <c r="AA48" i="16"/>
  <c r="Z48" i="16" s="1"/>
  <c r="Y48" i="16" s="1"/>
  <c r="H266" i="16"/>
  <c r="I266" i="16" s="1"/>
  <c r="AA54" i="16"/>
  <c r="Z54" i="16" s="1"/>
  <c r="Y54" i="16" s="1"/>
  <c r="AA17" i="16"/>
  <c r="Z17" i="16" s="1"/>
  <c r="Y17" i="16" s="1"/>
  <c r="AA298" i="16"/>
  <c r="Z298" i="16" s="1"/>
  <c r="Y298" i="16" s="1"/>
  <c r="J309" i="16"/>
  <c r="I309" i="16"/>
  <c r="I237" i="16"/>
  <c r="J237" i="16"/>
  <c r="I213" i="16"/>
  <c r="J213" i="16"/>
  <c r="I90" i="16"/>
  <c r="I257" i="16"/>
  <c r="J257" i="16"/>
  <c r="J325" i="16"/>
  <c r="I325" i="16"/>
  <c r="J182" i="16"/>
  <c r="I182" i="16"/>
  <c r="J206" i="16"/>
  <c r="I206" i="16"/>
  <c r="I350" i="16"/>
  <c r="J350" i="16"/>
  <c r="J258" i="16"/>
  <c r="I258" i="16"/>
  <c r="I224" i="16"/>
  <c r="J224" i="16"/>
  <c r="I98" i="16"/>
  <c r="J98" i="16"/>
  <c r="J121" i="16"/>
  <c r="I121" i="16"/>
  <c r="G56" i="16"/>
  <c r="BY56" i="6" s="1"/>
  <c r="AA56" i="16"/>
  <c r="Z56" i="16" s="1"/>
  <c r="Y56" i="16" s="1"/>
  <c r="AA42" i="16"/>
  <c r="Z42" i="16" s="1"/>
  <c r="Y42" i="16" s="1"/>
  <c r="G42" i="16"/>
  <c r="BY42" i="6" s="1"/>
  <c r="J204" i="16"/>
  <c r="I204" i="16"/>
  <c r="AA28" i="16"/>
  <c r="Z28" i="16" s="1"/>
  <c r="Y28" i="16" s="1"/>
  <c r="G28" i="16"/>
  <c r="BY28" i="6" s="1"/>
  <c r="I334" i="16"/>
  <c r="J334" i="16"/>
  <c r="J248" i="16"/>
  <c r="G304" i="16"/>
  <c r="BY304" i="6" s="1"/>
  <c r="H304" i="16"/>
  <c r="G45" i="16"/>
  <c r="BY45" i="6" s="1"/>
  <c r="AA45" i="16"/>
  <c r="Z45" i="16" s="1"/>
  <c r="Y45" i="16" s="1"/>
  <c r="H45" i="16"/>
  <c r="G347" i="16"/>
  <c r="BY347" i="6" s="1"/>
  <c r="AA347" i="16"/>
  <c r="Z347" i="16" s="1"/>
  <c r="Y347" i="16" s="1"/>
  <c r="H347" i="16"/>
  <c r="I265" i="16"/>
  <c r="J265" i="16"/>
  <c r="H169" i="16"/>
  <c r="AA169" i="16"/>
  <c r="Z169" i="16" s="1"/>
  <c r="Y169" i="16" s="1"/>
  <c r="G169" i="16"/>
  <c r="BY169" i="6" s="1"/>
  <c r="G35" i="16"/>
  <c r="BY35" i="6" s="1"/>
  <c r="AA35" i="16"/>
  <c r="Z35" i="16" s="1"/>
  <c r="Y35" i="16" s="1"/>
  <c r="W38" i="16"/>
  <c r="D38" i="16"/>
  <c r="E38" i="16" s="1"/>
  <c r="F38" i="16" s="1"/>
  <c r="J28" i="15"/>
  <c r="I28" i="15"/>
  <c r="H28" i="16" s="1"/>
  <c r="J52" i="15"/>
  <c r="I52" i="15"/>
  <c r="H52" i="16" s="1"/>
  <c r="H339" i="16"/>
  <c r="AA339" i="16"/>
  <c r="Z339" i="16" s="1"/>
  <c r="Y339" i="16" s="1"/>
  <c r="G339" i="16"/>
  <c r="BY339" i="6" s="1"/>
  <c r="AA351" i="16"/>
  <c r="Z351" i="16" s="1"/>
  <c r="Y351" i="16" s="1"/>
  <c r="G168" i="16"/>
  <c r="BY168" i="6" s="1"/>
  <c r="H168" i="16"/>
  <c r="G160" i="16"/>
  <c r="BY160" i="6" s="1"/>
  <c r="AA160" i="16"/>
  <c r="Z160" i="16" s="1"/>
  <c r="Y160" i="16" s="1"/>
  <c r="H160" i="16"/>
  <c r="G148" i="16"/>
  <c r="BY148" i="6" s="1"/>
  <c r="H148" i="16"/>
  <c r="AA148" i="16"/>
  <c r="Z148" i="16" s="1"/>
  <c r="Y148" i="16" s="1"/>
  <c r="H132" i="16"/>
  <c r="G132" i="16"/>
  <c r="BY132" i="6" s="1"/>
  <c r="G124" i="16"/>
  <c r="BY124" i="6" s="1"/>
  <c r="H124" i="16"/>
  <c r="AA124" i="16"/>
  <c r="Z124" i="16" s="1"/>
  <c r="Y124" i="16" s="1"/>
  <c r="G116" i="16"/>
  <c r="BY116" i="6" s="1"/>
  <c r="H116" i="16"/>
  <c r="G100" i="16"/>
  <c r="BY100" i="6" s="1"/>
  <c r="H100" i="16"/>
  <c r="AA100" i="16"/>
  <c r="Z100" i="16" s="1"/>
  <c r="Y100" i="16" s="1"/>
  <c r="G49" i="16"/>
  <c r="BY49" i="6" s="1"/>
  <c r="H49" i="16"/>
  <c r="G190" i="16"/>
  <c r="BY190" i="6" s="1"/>
  <c r="H190" i="16"/>
  <c r="AA190" i="16"/>
  <c r="Z190" i="16" s="1"/>
  <c r="Y190" i="16" s="1"/>
  <c r="G214" i="16"/>
  <c r="BY214" i="6" s="1"/>
  <c r="AA214" i="16"/>
  <c r="Z214" i="16" s="1"/>
  <c r="Y214" i="16" s="1"/>
  <c r="H214" i="16"/>
  <c r="AA276" i="16"/>
  <c r="Z276" i="16" s="1"/>
  <c r="Y276" i="16" s="1"/>
  <c r="G276" i="16"/>
  <c r="BY276" i="6" s="1"/>
  <c r="H276" i="16"/>
  <c r="AA344" i="16"/>
  <c r="Z344" i="16" s="1"/>
  <c r="Y344" i="16" s="1"/>
  <c r="G55" i="16"/>
  <c r="BY55" i="6" s="1"/>
  <c r="AA55" i="16"/>
  <c r="Z55" i="16" s="1"/>
  <c r="Y55" i="16" s="1"/>
  <c r="H55" i="16"/>
  <c r="G107" i="16"/>
  <c r="BY107" i="6" s="1"/>
  <c r="H107" i="16"/>
  <c r="AA107" i="16"/>
  <c r="Z107" i="16" s="1"/>
  <c r="Y107" i="16" s="1"/>
  <c r="G131" i="16"/>
  <c r="BY131" i="6" s="1"/>
  <c r="AA131" i="16"/>
  <c r="Z131" i="16" s="1"/>
  <c r="Y131" i="16" s="1"/>
  <c r="G163" i="16"/>
  <c r="BY163" i="6" s="1"/>
  <c r="AA163" i="16"/>
  <c r="Z163" i="16" s="1"/>
  <c r="Y163" i="16" s="1"/>
  <c r="H163" i="16"/>
  <c r="AA205" i="16"/>
  <c r="Z205" i="16" s="1"/>
  <c r="Y205" i="16" s="1"/>
  <c r="H205" i="16"/>
  <c r="G205" i="16"/>
  <c r="BY205" i="6" s="1"/>
  <c r="G65" i="16"/>
  <c r="BY65" i="6" s="1"/>
  <c r="H65" i="16"/>
  <c r="J50" i="15"/>
  <c r="I50" i="15"/>
  <c r="J21" i="15"/>
  <c r="I21" i="15"/>
  <c r="W36" i="16"/>
  <c r="D36" i="16"/>
  <c r="E36" i="16" s="1"/>
  <c r="F36" i="16" s="1"/>
  <c r="J365" i="15"/>
  <c r="I365" i="15"/>
  <c r="H365" i="16" s="1"/>
  <c r="H306" i="16"/>
  <c r="G354" i="16"/>
  <c r="BY354" i="6" s="1"/>
  <c r="AA354" i="16"/>
  <c r="Z354" i="16" s="1"/>
  <c r="Y354" i="16" s="1"/>
  <c r="J329" i="16"/>
  <c r="I329" i="16"/>
  <c r="H293" i="16"/>
  <c r="AA293" i="16"/>
  <c r="Z293" i="16" s="1"/>
  <c r="Y293" i="16" s="1"/>
  <c r="G293" i="16"/>
  <c r="BY293" i="6" s="1"/>
  <c r="H125" i="16"/>
  <c r="G337" i="16"/>
  <c r="BY337" i="6" s="1"/>
  <c r="AA337" i="16"/>
  <c r="Z337" i="16" s="1"/>
  <c r="Y337" i="16" s="1"/>
  <c r="I337" i="15"/>
  <c r="H337" i="16" s="1"/>
  <c r="J337" i="15"/>
  <c r="J56" i="15"/>
  <c r="I56" i="15"/>
  <c r="H56" i="16" s="1"/>
  <c r="G297" i="16"/>
  <c r="BY297" i="6" s="1"/>
  <c r="AA297" i="16"/>
  <c r="Z297" i="16" s="1"/>
  <c r="Y297" i="16" s="1"/>
  <c r="J42" i="15"/>
  <c r="I42" i="15"/>
  <c r="H42" i="16" s="1"/>
  <c r="I75" i="15"/>
  <c r="H75" i="16" s="1"/>
  <c r="I75" i="16" s="1"/>
  <c r="J75" i="15"/>
  <c r="G110" i="16"/>
  <c r="BY110" i="6" s="1"/>
  <c r="H110" i="16"/>
  <c r="H158" i="16"/>
  <c r="AA158" i="16"/>
  <c r="Z158" i="16" s="1"/>
  <c r="Y158" i="16" s="1"/>
  <c r="G158" i="16"/>
  <c r="BY158" i="6" s="1"/>
  <c r="G200" i="16"/>
  <c r="BY200" i="6" s="1"/>
  <c r="G254" i="16"/>
  <c r="BY254" i="6" s="1"/>
  <c r="H254" i="16"/>
  <c r="G47" i="16"/>
  <c r="BY47" i="6" s="1"/>
  <c r="AA47" i="16"/>
  <c r="Z47" i="16" s="1"/>
  <c r="Y47" i="16" s="1"/>
  <c r="H47" i="16"/>
  <c r="I187" i="16"/>
  <c r="G194" i="16"/>
  <c r="BY194" i="6" s="1"/>
  <c r="I240" i="16"/>
  <c r="J240" i="16"/>
  <c r="AA26" i="16"/>
  <c r="Z26" i="16" s="1"/>
  <c r="Y26" i="16" s="1"/>
  <c r="J46" i="15"/>
  <c r="I46" i="15"/>
  <c r="H46" i="16" s="1"/>
  <c r="W58" i="16"/>
  <c r="D58" i="16"/>
  <c r="E58" i="16" s="1"/>
  <c r="F58" i="16" s="1"/>
  <c r="J290" i="16"/>
  <c r="W135" i="16"/>
  <c r="D135" i="16"/>
  <c r="E135" i="16" s="1"/>
  <c r="F135" i="16" s="1"/>
  <c r="W151" i="16"/>
  <c r="D151" i="16"/>
  <c r="E151" i="16" s="1"/>
  <c r="F151" i="16" s="1"/>
  <c r="W167" i="16"/>
  <c r="D167" i="16"/>
  <c r="E167" i="16" s="1"/>
  <c r="F167" i="16" s="1"/>
  <c r="I175" i="16"/>
  <c r="J175" i="16"/>
  <c r="W140" i="16"/>
  <c r="D140" i="16"/>
  <c r="E140" i="16" s="1"/>
  <c r="F140" i="16" s="1"/>
  <c r="W27" i="16"/>
  <c r="D27" i="16"/>
  <c r="E27" i="16" s="1"/>
  <c r="F27" i="16" s="1"/>
  <c r="AA65" i="16"/>
  <c r="Z65" i="16" s="1"/>
  <c r="Y65" i="16" s="1"/>
  <c r="W70" i="16"/>
  <c r="D70" i="16"/>
  <c r="E70" i="16" s="1"/>
  <c r="F70" i="16" s="1"/>
  <c r="AA132" i="16"/>
  <c r="Z132" i="16" s="1"/>
  <c r="Y132" i="16" s="1"/>
  <c r="AA116" i="16"/>
  <c r="Z116" i="16" s="1"/>
  <c r="Y116" i="16" s="1"/>
  <c r="W139" i="16"/>
  <c r="D139" i="16"/>
  <c r="E139" i="16" s="1"/>
  <c r="F139" i="16" s="1"/>
  <c r="W299" i="16"/>
  <c r="D299" i="16"/>
  <c r="E299" i="16" s="1"/>
  <c r="F299" i="16" s="1"/>
  <c r="W341" i="16"/>
  <c r="D341" i="16"/>
  <c r="E341" i="16" s="1"/>
  <c r="F341" i="16" s="1"/>
  <c r="W74" i="16"/>
  <c r="D74" i="16"/>
  <c r="E74" i="16" s="1"/>
  <c r="F74" i="16" s="1"/>
  <c r="H278" i="16"/>
  <c r="AA278" i="16"/>
  <c r="Z278" i="16" s="1"/>
  <c r="Y278" i="16" s="1"/>
  <c r="G278" i="16"/>
  <c r="BY278" i="6" s="1"/>
  <c r="AA69" i="16"/>
  <c r="Z69" i="16" s="1"/>
  <c r="Y69" i="16" s="1"/>
  <c r="H69" i="16"/>
  <c r="G69" i="16"/>
  <c r="BY69" i="6" s="1"/>
  <c r="G83" i="16"/>
  <c r="BY83" i="6" s="1"/>
  <c r="AA83" i="16"/>
  <c r="Z83" i="16" s="1"/>
  <c r="Y83" i="16" s="1"/>
  <c r="H83" i="16"/>
  <c r="H219" i="16"/>
  <c r="G219" i="16"/>
  <c r="BY219" i="6" s="1"/>
  <c r="AA219" i="16"/>
  <c r="Z219" i="16" s="1"/>
  <c r="Y219" i="16" s="1"/>
  <c r="AA291" i="16"/>
  <c r="Z291" i="16" s="1"/>
  <c r="Y291" i="16" s="1"/>
  <c r="G291" i="16"/>
  <c r="BY291" i="6" s="1"/>
  <c r="H291" i="16"/>
  <c r="H59" i="16"/>
  <c r="G59" i="16"/>
  <c r="BY59" i="6" s="1"/>
  <c r="AA59" i="16"/>
  <c r="Z59" i="16" s="1"/>
  <c r="Y59" i="16" s="1"/>
  <c r="J38" i="15"/>
  <c r="I38" i="15"/>
  <c r="G76" i="16"/>
  <c r="BY76" i="6" s="1"/>
  <c r="AA76" i="16"/>
  <c r="Z76" i="16" s="1"/>
  <c r="Y76" i="16" s="1"/>
  <c r="H76" i="16"/>
  <c r="G198" i="16"/>
  <c r="BY198" i="6" s="1"/>
  <c r="AA198" i="16"/>
  <c r="Z198" i="16" s="1"/>
  <c r="Y198" i="16" s="1"/>
  <c r="H198" i="16"/>
  <c r="AA230" i="16"/>
  <c r="Z230" i="16" s="1"/>
  <c r="Y230" i="16" s="1"/>
  <c r="G230" i="16"/>
  <c r="BY230" i="6" s="1"/>
  <c r="H230" i="16"/>
  <c r="G260" i="16"/>
  <c r="BY260" i="6" s="1"/>
  <c r="H260" i="16"/>
  <c r="AA260" i="16"/>
  <c r="Z260" i="16" s="1"/>
  <c r="Y260" i="16" s="1"/>
  <c r="G360" i="16"/>
  <c r="BY360" i="6" s="1"/>
  <c r="AA360" i="16"/>
  <c r="Z360" i="16" s="1"/>
  <c r="Y360" i="16" s="1"/>
  <c r="H360" i="16"/>
  <c r="AA368" i="16"/>
  <c r="Z368" i="16" s="1"/>
  <c r="Y368" i="16" s="1"/>
  <c r="H25" i="16"/>
  <c r="G25" i="16"/>
  <c r="BY25" i="6" s="1"/>
  <c r="AA25" i="16"/>
  <c r="Z25" i="16" s="1"/>
  <c r="Y25" i="16" s="1"/>
  <c r="H91" i="16"/>
  <c r="AA91" i="16"/>
  <c r="Z91" i="16" s="1"/>
  <c r="Y91" i="16" s="1"/>
  <c r="G91" i="16"/>
  <c r="BY91" i="6" s="1"/>
  <c r="G127" i="16"/>
  <c r="BY127" i="6" s="1"/>
  <c r="H127" i="16"/>
  <c r="AA127" i="16"/>
  <c r="Z127" i="16" s="1"/>
  <c r="Y127" i="16" s="1"/>
  <c r="G185" i="16"/>
  <c r="BY185" i="6" s="1"/>
  <c r="H185" i="16"/>
  <c r="AA185" i="16"/>
  <c r="Z185" i="16" s="1"/>
  <c r="Y185" i="16" s="1"/>
  <c r="AA259" i="16"/>
  <c r="Z259" i="16" s="1"/>
  <c r="Y259" i="16" s="1"/>
  <c r="G259" i="16"/>
  <c r="BY259" i="6" s="1"/>
  <c r="H259" i="16"/>
  <c r="H307" i="16"/>
  <c r="G179" i="16"/>
  <c r="BY179" i="6" s="1"/>
  <c r="AA179" i="16"/>
  <c r="Z179" i="16" s="1"/>
  <c r="Y179" i="16" s="1"/>
  <c r="H179" i="16"/>
  <c r="J353" i="16"/>
  <c r="I353" i="16"/>
  <c r="J189" i="16"/>
  <c r="I189" i="16"/>
  <c r="H109" i="16"/>
  <c r="W50" i="16"/>
  <c r="D50" i="16"/>
  <c r="E50" i="16" s="1"/>
  <c r="F50" i="16" s="1"/>
  <c r="J136" i="15"/>
  <c r="I136" i="15"/>
  <c r="H136" i="16" s="1"/>
  <c r="I136" i="16" s="1"/>
  <c r="I36" i="15"/>
  <c r="J36" i="15"/>
  <c r="H247" i="16"/>
  <c r="AA247" i="16"/>
  <c r="Z247" i="16" s="1"/>
  <c r="Y247" i="16" s="1"/>
  <c r="G247" i="16"/>
  <c r="BY247" i="6" s="1"/>
  <c r="I251" i="16"/>
  <c r="I277" i="16"/>
  <c r="J277" i="16"/>
  <c r="G269" i="16"/>
  <c r="BY269" i="6" s="1"/>
  <c r="AA269" i="16"/>
  <c r="Z269" i="16" s="1"/>
  <c r="Y269" i="16" s="1"/>
  <c r="I269" i="15"/>
  <c r="H269" i="16" s="1"/>
  <c r="J269" i="15"/>
  <c r="I34" i="15"/>
  <c r="J34" i="15"/>
  <c r="AA101" i="16"/>
  <c r="Z101" i="16" s="1"/>
  <c r="Y101" i="16" s="1"/>
  <c r="G101" i="16"/>
  <c r="BY101" i="6" s="1"/>
  <c r="J101" i="15"/>
  <c r="I101" i="15"/>
  <c r="H101" i="16" s="1"/>
  <c r="G305" i="16"/>
  <c r="BY305" i="6" s="1"/>
  <c r="AA305" i="16"/>
  <c r="Z305" i="16" s="1"/>
  <c r="Y305" i="16" s="1"/>
  <c r="H305" i="16"/>
  <c r="I261" i="16"/>
  <c r="J261" i="16"/>
  <c r="J245" i="16"/>
  <c r="I245" i="16"/>
  <c r="G241" i="16"/>
  <c r="BY241" i="6" s="1"/>
  <c r="AA241" i="16"/>
  <c r="Z241" i="16" s="1"/>
  <c r="Y241" i="16" s="1"/>
  <c r="D363" i="16"/>
  <c r="E363" i="16" s="1"/>
  <c r="F363" i="16" s="1"/>
  <c r="D333" i="16"/>
  <c r="E333" i="16" s="1"/>
  <c r="F333" i="16" s="1"/>
  <c r="J333" i="15"/>
  <c r="I333" i="15"/>
  <c r="J17" i="15"/>
  <c r="I17" i="15"/>
  <c r="H17" i="16" s="1"/>
  <c r="W40" i="16"/>
  <c r="D40" i="16"/>
  <c r="E40" i="16" s="1"/>
  <c r="F40" i="16" s="1"/>
  <c r="G126" i="16"/>
  <c r="BY126" i="6" s="1"/>
  <c r="H126" i="16"/>
  <c r="G150" i="16"/>
  <c r="BY150" i="6" s="1"/>
  <c r="H150" i="16"/>
  <c r="AA150" i="16"/>
  <c r="Z150" i="16" s="1"/>
  <c r="Y150" i="16" s="1"/>
  <c r="G192" i="16"/>
  <c r="BY192" i="6" s="1"/>
  <c r="H192" i="16"/>
  <c r="H246" i="16"/>
  <c r="AA246" i="16"/>
  <c r="Z246" i="16" s="1"/>
  <c r="Y246" i="16" s="1"/>
  <c r="G246" i="16"/>
  <c r="BY246" i="6" s="1"/>
  <c r="G286" i="16"/>
  <c r="BY286" i="6" s="1"/>
  <c r="H286" i="16"/>
  <c r="G340" i="16"/>
  <c r="BY340" i="6" s="1"/>
  <c r="H340" i="16"/>
  <c r="AA340" i="16"/>
  <c r="Z340" i="16" s="1"/>
  <c r="Y340" i="16" s="1"/>
  <c r="G186" i="16"/>
  <c r="BY186" i="6" s="1"/>
  <c r="H186" i="16"/>
  <c r="G236" i="16"/>
  <c r="BY236" i="6" s="1"/>
  <c r="H236" i="16"/>
  <c r="AA236" i="16"/>
  <c r="Z236" i="16" s="1"/>
  <c r="Y236" i="16" s="1"/>
  <c r="G284" i="16"/>
  <c r="BY284" i="6" s="1"/>
  <c r="AA284" i="16"/>
  <c r="Z284" i="16" s="1"/>
  <c r="Y284" i="16" s="1"/>
  <c r="H284" i="16"/>
  <c r="G23" i="16"/>
  <c r="BY23" i="6" s="1"/>
  <c r="AA23" i="16"/>
  <c r="Z23" i="16" s="1"/>
  <c r="Y23" i="16" s="1"/>
  <c r="I23" i="15"/>
  <c r="H23" i="16" s="1"/>
  <c r="J23" i="15"/>
  <c r="G32" i="16"/>
  <c r="BY32" i="6" s="1"/>
  <c r="AA32" i="16"/>
  <c r="Z32" i="16" s="1"/>
  <c r="Y32" i="16" s="1"/>
  <c r="AA20" i="16"/>
  <c r="Z20" i="16" s="1"/>
  <c r="Y20" i="16" s="1"/>
  <c r="G20" i="16"/>
  <c r="BY20" i="6" s="1"/>
  <c r="I18" i="15"/>
  <c r="J18" i="15"/>
  <c r="W233" i="16"/>
  <c r="D233" i="16"/>
  <c r="E233" i="16" s="1"/>
  <c r="F233" i="16" s="1"/>
  <c r="J233" i="15"/>
  <c r="I233" i="15"/>
  <c r="AA186" i="16"/>
  <c r="Z186" i="16" s="1"/>
  <c r="Y186" i="16" s="1"/>
  <c r="W84" i="16"/>
  <c r="D84" i="16"/>
  <c r="E84" i="16" s="1"/>
  <c r="F84" i="16" s="1"/>
  <c r="W92" i="16"/>
  <c r="D92" i="16"/>
  <c r="E92" i="16" s="1"/>
  <c r="F92" i="16" s="1"/>
  <c r="W112" i="16"/>
  <c r="D112" i="16"/>
  <c r="E112" i="16" s="1"/>
  <c r="F112" i="16" s="1"/>
  <c r="B152" i="17"/>
  <c r="W152" i="16"/>
  <c r="D152" i="16"/>
  <c r="E152" i="16" s="1"/>
  <c r="F152" i="16" s="1"/>
  <c r="W176" i="16"/>
  <c r="D176" i="16"/>
  <c r="E176" i="16" s="1"/>
  <c r="F176" i="16" s="1"/>
  <c r="AA44" i="16"/>
  <c r="Z44" i="16" s="1"/>
  <c r="Y44" i="16" s="1"/>
  <c r="AA200" i="16"/>
  <c r="Z200" i="16" s="1"/>
  <c r="Y200" i="16" s="1"/>
  <c r="AA286" i="16"/>
  <c r="Z286" i="16" s="1"/>
  <c r="Y286" i="16" s="1"/>
  <c r="AA168" i="16"/>
  <c r="Z168" i="16" s="1"/>
  <c r="Y168" i="16" s="1"/>
  <c r="AA306" i="16"/>
  <c r="Z306" i="16" s="1"/>
  <c r="Y306" i="16" s="1"/>
  <c r="W118" i="16"/>
  <c r="D118" i="16"/>
  <c r="E118" i="16" s="1"/>
  <c r="F118" i="16" s="1"/>
  <c r="W111" i="16"/>
  <c r="D111" i="16"/>
  <c r="E111" i="16" s="1"/>
  <c r="F111" i="16" s="1"/>
  <c r="W173" i="16"/>
  <c r="D173" i="16"/>
  <c r="E173" i="16" s="1"/>
  <c r="F173" i="16" s="1"/>
  <c r="W78" i="16"/>
  <c r="D78" i="16"/>
  <c r="E78" i="16" s="1"/>
  <c r="F78" i="16" s="1"/>
  <c r="W88" i="16"/>
  <c r="D88" i="16"/>
  <c r="E88" i="16" s="1"/>
  <c r="F88" i="16" s="1"/>
  <c r="W222" i="16"/>
  <c r="D222" i="16"/>
  <c r="E222" i="16" s="1"/>
  <c r="F222" i="16" s="1"/>
  <c r="W15" i="15"/>
  <c r="H9" i="15"/>
  <c r="B383" i="15"/>
  <c r="B381" i="15"/>
  <c r="B382" i="15"/>
  <c r="D15" i="15"/>
  <c r="AJ7" i="15" s="1"/>
  <c r="AK6" i="15"/>
  <c r="AJ6" i="15"/>
  <c r="I196" i="16"/>
  <c r="I63" i="16"/>
  <c r="G243" i="16"/>
  <c r="BY243" i="6" s="1"/>
  <c r="H243" i="16"/>
  <c r="AA243" i="16"/>
  <c r="Z243" i="16" s="1"/>
  <c r="Y243" i="16" s="1"/>
  <c r="H355" i="16"/>
  <c r="G355" i="16"/>
  <c r="BY355" i="6" s="1"/>
  <c r="AA355" i="16"/>
  <c r="Z355" i="16" s="1"/>
  <c r="Y355" i="16" s="1"/>
  <c r="I373" i="16"/>
  <c r="J373" i="16"/>
  <c r="I281" i="16"/>
  <c r="J281" i="16"/>
  <c r="I249" i="16"/>
  <c r="J249" i="16"/>
  <c r="I225" i="16"/>
  <c r="J225" i="16"/>
  <c r="G141" i="16"/>
  <c r="BY141" i="6" s="1"/>
  <c r="AA141" i="16"/>
  <c r="Z141" i="16" s="1"/>
  <c r="Y141" i="16" s="1"/>
  <c r="H141" i="16"/>
  <c r="J35" i="15"/>
  <c r="I35" i="15"/>
  <c r="H35" i="16" s="1"/>
  <c r="G68" i="16"/>
  <c r="BY68" i="6" s="1"/>
  <c r="H68" i="16"/>
  <c r="AA343" i="16"/>
  <c r="Z343" i="16" s="1"/>
  <c r="Y343" i="16" s="1"/>
  <c r="H343" i="16"/>
  <c r="G343" i="16"/>
  <c r="BY343" i="6" s="1"/>
  <c r="G359" i="16"/>
  <c r="BY359" i="6" s="1"/>
  <c r="H359" i="16"/>
  <c r="AA359" i="16"/>
  <c r="Z359" i="16" s="1"/>
  <c r="Y359" i="16" s="1"/>
  <c r="H164" i="16"/>
  <c r="G164" i="16"/>
  <c r="BY164" i="6" s="1"/>
  <c r="H156" i="16"/>
  <c r="G156" i="16"/>
  <c r="BY156" i="6" s="1"/>
  <c r="G144" i="16"/>
  <c r="BY144" i="6" s="1"/>
  <c r="H144" i="16"/>
  <c r="AA128" i="16"/>
  <c r="Z128" i="16" s="1"/>
  <c r="Y128" i="16" s="1"/>
  <c r="H128" i="16"/>
  <c r="G128" i="16"/>
  <c r="BY128" i="6" s="1"/>
  <c r="G120" i="16"/>
  <c r="BY120" i="6" s="1"/>
  <c r="H120" i="16"/>
  <c r="G104" i="16"/>
  <c r="BY104" i="6" s="1"/>
  <c r="H104" i="16"/>
  <c r="AA104" i="16"/>
  <c r="Z104" i="16" s="1"/>
  <c r="Y104" i="16" s="1"/>
  <c r="G96" i="16"/>
  <c r="BY96" i="6" s="1"/>
  <c r="H96" i="16"/>
  <c r="G41" i="16"/>
  <c r="BY41" i="6" s="1"/>
  <c r="H41" i="16"/>
  <c r="G202" i="16"/>
  <c r="BY202" i="6" s="1"/>
  <c r="G234" i="16"/>
  <c r="BY234" i="6" s="1"/>
  <c r="AA234" i="16"/>
  <c r="Z234" i="16" s="1"/>
  <c r="Y234" i="16" s="1"/>
  <c r="G256" i="16"/>
  <c r="BY256" i="6" s="1"/>
  <c r="H256" i="16"/>
  <c r="G270" i="16"/>
  <c r="BY270" i="6" s="1"/>
  <c r="H270" i="16"/>
  <c r="G282" i="16"/>
  <c r="BY282" i="6" s="1"/>
  <c r="AA282" i="16"/>
  <c r="Z282" i="16" s="1"/>
  <c r="Y282" i="16" s="1"/>
  <c r="H282" i="16"/>
  <c r="G302" i="16"/>
  <c r="BY302" i="6" s="1"/>
  <c r="H302" i="16"/>
  <c r="G338" i="16"/>
  <c r="BY338" i="6" s="1"/>
  <c r="H338" i="16"/>
  <c r="G39" i="16"/>
  <c r="BY39" i="6" s="1"/>
  <c r="AA39" i="16"/>
  <c r="Z39" i="16" s="1"/>
  <c r="Y39" i="16" s="1"/>
  <c r="H39" i="16"/>
  <c r="G99" i="16"/>
  <c r="BY99" i="6" s="1"/>
  <c r="AA99" i="16"/>
  <c r="Z99" i="16" s="1"/>
  <c r="Y99" i="16" s="1"/>
  <c r="H99" i="16"/>
  <c r="G115" i="16"/>
  <c r="BY115" i="6" s="1"/>
  <c r="H115" i="16"/>
  <c r="AA115" i="16"/>
  <c r="Z115" i="16" s="1"/>
  <c r="Y115" i="16" s="1"/>
  <c r="G155" i="16"/>
  <c r="BY155" i="6" s="1"/>
  <c r="J145" i="16"/>
  <c r="I145" i="16"/>
  <c r="J361" i="16"/>
  <c r="G153" i="16"/>
  <c r="BY153" i="6" s="1"/>
  <c r="H153" i="16"/>
  <c r="AA153" i="16"/>
  <c r="Z153" i="16" s="1"/>
  <c r="Y153" i="16" s="1"/>
  <c r="W21" i="16"/>
  <c r="D21" i="16"/>
  <c r="E21" i="16" s="1"/>
  <c r="F21" i="16" s="1"/>
  <c r="AA64" i="16"/>
  <c r="Z64" i="16" s="1"/>
  <c r="Y64" i="16" s="1"/>
  <c r="G64" i="16"/>
  <c r="BY64" i="6" s="1"/>
  <c r="I356" i="16"/>
  <c r="I371" i="16"/>
  <c r="J371" i="16"/>
  <c r="G137" i="16"/>
  <c r="BY137" i="6" s="1"/>
  <c r="AA137" i="16"/>
  <c r="Z137" i="16" s="1"/>
  <c r="Y137" i="16" s="1"/>
  <c r="J137" i="15"/>
  <c r="I137" i="15"/>
  <c r="H137" i="16" s="1"/>
  <c r="G365" i="16"/>
  <c r="BY365" i="6" s="1"/>
  <c r="AA365" i="16"/>
  <c r="Z365" i="16" s="1"/>
  <c r="Y365" i="16" s="1"/>
  <c r="I30" i="15"/>
  <c r="J30" i="15"/>
  <c r="W197" i="16"/>
  <c r="D197" i="16"/>
  <c r="E197" i="16" s="1"/>
  <c r="F197" i="16" s="1"/>
  <c r="G314" i="16"/>
  <c r="BY314" i="6" s="1"/>
  <c r="AA314" i="16"/>
  <c r="Z314" i="16" s="1"/>
  <c r="Y314" i="16" s="1"/>
  <c r="H313" i="16"/>
  <c r="AA313" i="16"/>
  <c r="Z313" i="16" s="1"/>
  <c r="Y313" i="16" s="1"/>
  <c r="G313" i="16"/>
  <c r="BY313" i="6" s="1"/>
  <c r="G285" i="16"/>
  <c r="BY285" i="6" s="1"/>
  <c r="H285" i="16"/>
  <c r="AA285" i="16"/>
  <c r="Z285" i="16" s="1"/>
  <c r="Y285" i="16" s="1"/>
  <c r="I221" i="16"/>
  <c r="I181" i="16"/>
  <c r="J181" i="16"/>
  <c r="G81" i="16"/>
  <c r="BY81" i="6" s="1"/>
  <c r="AA81" i="16"/>
  <c r="Z81" i="16" s="1"/>
  <c r="Y81" i="16" s="1"/>
  <c r="H81" i="16"/>
  <c r="G272" i="16"/>
  <c r="BY272" i="6" s="1"/>
  <c r="I297" i="15"/>
  <c r="H297" i="16" s="1"/>
  <c r="J297" i="15"/>
  <c r="W62" i="16"/>
  <c r="D62" i="16"/>
  <c r="E62" i="16" s="1"/>
  <c r="F62" i="16" s="1"/>
  <c r="I298" i="15"/>
  <c r="H298" i="16" s="1"/>
  <c r="J298" i="15"/>
  <c r="J40" i="15"/>
  <c r="I40" i="15"/>
  <c r="G94" i="16"/>
  <c r="BY94" i="6" s="1"/>
  <c r="AA94" i="16"/>
  <c r="Z94" i="16" s="1"/>
  <c r="Y94" i="16" s="1"/>
  <c r="H94" i="16"/>
  <c r="G134" i="16"/>
  <c r="BY134" i="6" s="1"/>
  <c r="H134" i="16"/>
  <c r="AA134" i="16"/>
  <c r="Z134" i="16" s="1"/>
  <c r="Y134" i="16" s="1"/>
  <c r="G174" i="16"/>
  <c r="BY174" i="6" s="1"/>
  <c r="H174" i="16"/>
  <c r="AA174" i="16"/>
  <c r="Z174" i="16" s="1"/>
  <c r="Y174" i="16" s="1"/>
  <c r="H234" i="16"/>
  <c r="AA238" i="16"/>
  <c r="Z238" i="16" s="1"/>
  <c r="Y238" i="16" s="1"/>
  <c r="H238" i="16"/>
  <c r="G238" i="16"/>
  <c r="BY238" i="6" s="1"/>
  <c r="H250" i="16"/>
  <c r="H294" i="16"/>
  <c r="G294" i="16"/>
  <c r="BY294" i="6" s="1"/>
  <c r="AA294" i="16"/>
  <c r="Z294" i="16" s="1"/>
  <c r="Y294" i="16" s="1"/>
  <c r="G66" i="16"/>
  <c r="BY66" i="6" s="1"/>
  <c r="AA66" i="16"/>
  <c r="Z66" i="16" s="1"/>
  <c r="Y66" i="16" s="1"/>
  <c r="H66" i="16"/>
  <c r="AA252" i="16"/>
  <c r="Z252" i="16" s="1"/>
  <c r="Y252" i="16" s="1"/>
  <c r="H252" i="16"/>
  <c r="G252" i="16"/>
  <c r="BY252" i="6" s="1"/>
  <c r="W108" i="16"/>
  <c r="D108" i="16"/>
  <c r="E108" i="16" s="1"/>
  <c r="F108" i="16" s="1"/>
  <c r="I32" i="15"/>
  <c r="H32" i="16" s="1"/>
  <c r="J32" i="15"/>
  <c r="D60" i="16"/>
  <c r="E60" i="16" s="1"/>
  <c r="F60" i="16" s="1"/>
  <c r="J20" i="15"/>
  <c r="I20" i="15"/>
  <c r="H20" i="16" s="1"/>
  <c r="AA22" i="16"/>
  <c r="Z22" i="16" s="1"/>
  <c r="Y22" i="16" s="1"/>
  <c r="G22" i="16"/>
  <c r="BY22" i="6" s="1"/>
  <c r="J54" i="15"/>
  <c r="I54" i="15"/>
  <c r="H54" i="16" s="1"/>
  <c r="W18" i="16"/>
  <c r="D18" i="16"/>
  <c r="E18" i="16" s="1"/>
  <c r="F18" i="16" s="1"/>
  <c r="J44" i="15"/>
  <c r="I44" i="15"/>
  <c r="H44" i="16" s="1"/>
  <c r="J48" i="15"/>
  <c r="I48" i="15"/>
  <c r="H48" i="16" s="1"/>
  <c r="W180" i="16"/>
  <c r="D180" i="16"/>
  <c r="E180" i="16" s="1"/>
  <c r="F180" i="16" s="1"/>
  <c r="AA254" i="16"/>
  <c r="Z254" i="16" s="1"/>
  <c r="Y254" i="16" s="1"/>
  <c r="AA24" i="16"/>
  <c r="Z24" i="16" s="1"/>
  <c r="Y24" i="16" s="1"/>
  <c r="AA96" i="16"/>
  <c r="Z96" i="16" s="1"/>
  <c r="Y96" i="16" s="1"/>
  <c r="AA144" i="16"/>
  <c r="Z144" i="16" s="1"/>
  <c r="Y144" i="16" s="1"/>
  <c r="AA270" i="16"/>
  <c r="Z270" i="16" s="1"/>
  <c r="Y270" i="16" s="1"/>
  <c r="W53" i="16"/>
  <c r="D53" i="16"/>
  <c r="E53" i="16" s="1"/>
  <c r="F53" i="16" s="1"/>
  <c r="W212" i="16"/>
  <c r="D212" i="16"/>
  <c r="E212" i="16" s="1"/>
  <c r="F212" i="16" s="1"/>
  <c r="W57" i="16"/>
  <c r="D57" i="16"/>
  <c r="E57" i="16" s="1"/>
  <c r="F57" i="16" s="1"/>
  <c r="W103" i="16"/>
  <c r="D103" i="16"/>
  <c r="E103" i="16" s="1"/>
  <c r="F103" i="16" s="1"/>
  <c r="W289" i="16"/>
  <c r="D289" i="16"/>
  <c r="E289" i="16" s="1"/>
  <c r="F289" i="16" s="1"/>
  <c r="W310" i="16"/>
  <c r="D310" i="16"/>
  <c r="E310" i="16" s="1"/>
  <c r="F310" i="16" s="1"/>
  <c r="W87" i="16"/>
  <c r="D87" i="16"/>
  <c r="E87" i="16" s="1"/>
  <c r="F87" i="16" s="1"/>
  <c r="W97" i="16"/>
  <c r="D97" i="16"/>
  <c r="E97" i="16" s="1"/>
  <c r="F97" i="16" s="1"/>
  <c r="W119" i="16"/>
  <c r="D119" i="16"/>
  <c r="E119" i="16" s="1"/>
  <c r="F119" i="16" s="1"/>
  <c r="W184" i="16"/>
  <c r="D184" i="16"/>
  <c r="E184" i="16" s="1"/>
  <c r="F184" i="16" s="1"/>
  <c r="W308" i="16"/>
  <c r="D308" i="16"/>
  <c r="E308" i="16" s="1"/>
  <c r="F308" i="16" s="1"/>
  <c r="W322" i="16"/>
  <c r="D322" i="16"/>
  <c r="E322" i="16" s="1"/>
  <c r="F322" i="16" s="1"/>
  <c r="W342" i="16"/>
  <c r="D342" i="16"/>
  <c r="E342" i="16" s="1"/>
  <c r="F342" i="16" s="1"/>
  <c r="W372" i="16"/>
  <c r="D372" i="16"/>
  <c r="E372" i="16" s="1"/>
  <c r="F372" i="16" s="1"/>
  <c r="W378" i="16"/>
  <c r="D378" i="16"/>
  <c r="E378" i="16" s="1"/>
  <c r="F378" i="16" s="1"/>
  <c r="W149" i="16"/>
  <c r="D149" i="16"/>
  <c r="E149" i="16" s="1"/>
  <c r="F149" i="16" s="1"/>
  <c r="W217" i="16"/>
  <c r="D217" i="16"/>
  <c r="E217" i="16" s="1"/>
  <c r="F217" i="16" s="1"/>
  <c r="G376" i="16"/>
  <c r="BY376" i="6" s="1"/>
  <c r="H376" i="16"/>
  <c r="AA376" i="16"/>
  <c r="Z376" i="16" s="1"/>
  <c r="Y376" i="16" s="1"/>
  <c r="AA79" i="16"/>
  <c r="Z79" i="16" s="1"/>
  <c r="Y79" i="16" s="1"/>
  <c r="G79" i="16"/>
  <c r="BY79" i="6" s="1"/>
  <c r="H79" i="16"/>
  <c r="H207" i="16"/>
  <c r="H287" i="16"/>
  <c r="H318" i="16"/>
  <c r="AA318" i="16"/>
  <c r="Z318" i="16" s="1"/>
  <c r="Y318" i="16" s="1"/>
  <c r="G318" i="16"/>
  <c r="BY318" i="6" s="1"/>
  <c r="J317" i="16"/>
  <c r="I317" i="16"/>
  <c r="I16" i="15"/>
  <c r="J16" i="15"/>
  <c r="AA178" i="16"/>
  <c r="Z178" i="16" s="1"/>
  <c r="Y178" i="16" s="1"/>
  <c r="G178" i="16"/>
  <c r="BY178" i="6" s="1"/>
  <c r="H178" i="16"/>
  <c r="G226" i="16"/>
  <c r="BY226" i="6" s="1"/>
  <c r="AA226" i="16"/>
  <c r="Z226" i="16" s="1"/>
  <c r="Y226" i="16" s="1"/>
  <c r="H226" i="16"/>
  <c r="G242" i="16"/>
  <c r="BY242" i="6" s="1"/>
  <c r="AA242" i="16"/>
  <c r="Z242" i="16" s="1"/>
  <c r="Y242" i="16" s="1"/>
  <c r="H242" i="16"/>
  <c r="G328" i="16"/>
  <c r="BY328" i="6" s="1"/>
  <c r="AA328" i="16"/>
  <c r="Z328" i="16" s="1"/>
  <c r="Y328" i="16" s="1"/>
  <c r="H328" i="16"/>
  <c r="G364" i="16"/>
  <c r="BY364" i="6" s="1"/>
  <c r="AA364" i="16"/>
  <c r="Z364" i="16" s="1"/>
  <c r="Y364" i="16" s="1"/>
  <c r="H364" i="16"/>
  <c r="G37" i="16"/>
  <c r="BY37" i="6" s="1"/>
  <c r="H37" i="16"/>
  <c r="AA37" i="16"/>
  <c r="Z37" i="16" s="1"/>
  <c r="Y37" i="16" s="1"/>
  <c r="AA161" i="16"/>
  <c r="Z161" i="16" s="1"/>
  <c r="Y161" i="16" s="1"/>
  <c r="G161" i="16"/>
  <c r="BY161" i="6" s="1"/>
  <c r="H161" i="16"/>
  <c r="AA271" i="16"/>
  <c r="Z271" i="16" s="1"/>
  <c r="Y271" i="16" s="1"/>
  <c r="H271" i="16"/>
  <c r="G271" i="16"/>
  <c r="BY271" i="6" s="1"/>
  <c r="AA315" i="16"/>
  <c r="Z315" i="16" s="1"/>
  <c r="Y315" i="16" s="1"/>
  <c r="G315" i="16"/>
  <c r="BY315" i="6" s="1"/>
  <c r="H315" i="16"/>
  <c r="G330" i="16"/>
  <c r="BY330" i="6" s="1"/>
  <c r="H330" i="16"/>
  <c r="AA330" i="16"/>
  <c r="Z330" i="16" s="1"/>
  <c r="Y330" i="16" s="1"/>
  <c r="H292" i="16"/>
  <c r="G292" i="16"/>
  <c r="BY292" i="6" s="1"/>
  <c r="AA292" i="16"/>
  <c r="Z292" i="16" s="1"/>
  <c r="Y292" i="16" s="1"/>
  <c r="I177" i="16"/>
  <c r="J177" i="16"/>
  <c r="I24" i="15"/>
  <c r="H24" i="16" s="1"/>
  <c r="J24" i="15"/>
  <c r="AA136" i="16"/>
  <c r="Z136" i="16" s="1"/>
  <c r="Y136" i="16" s="1"/>
  <c r="G136" i="16"/>
  <c r="BY136" i="6" s="1"/>
  <c r="J64" i="15"/>
  <c r="I64" i="15"/>
  <c r="H64" i="16" s="1"/>
  <c r="G80" i="16"/>
  <c r="BY80" i="6" s="1"/>
  <c r="AA80" i="16"/>
  <c r="Z80" i="16" s="1"/>
  <c r="Y80" i="16" s="1"/>
  <c r="H80" i="16"/>
  <c r="J165" i="16"/>
  <c r="W30" i="16"/>
  <c r="D30" i="16"/>
  <c r="E30" i="16" s="1"/>
  <c r="F30" i="16" s="1"/>
  <c r="H369" i="16"/>
  <c r="G369" i="16"/>
  <c r="BY369" i="6" s="1"/>
  <c r="AA369" i="16"/>
  <c r="Z369" i="16" s="1"/>
  <c r="Y369" i="16" s="1"/>
  <c r="J357" i="16"/>
  <c r="I357" i="16"/>
  <c r="J273" i="16"/>
  <c r="I273" i="16"/>
  <c r="J253" i="16"/>
  <c r="I229" i="16"/>
  <c r="J229" i="16"/>
  <c r="AA209" i="16"/>
  <c r="Z209" i="16" s="1"/>
  <c r="Y209" i="16" s="1"/>
  <c r="G209" i="16"/>
  <c r="BY209" i="6" s="1"/>
  <c r="H209" i="16"/>
  <c r="J133" i="16"/>
  <c r="I133" i="16"/>
  <c r="I117" i="16"/>
  <c r="J105" i="16"/>
  <c r="I241" i="15"/>
  <c r="H241" i="16" s="1"/>
  <c r="J241" i="15"/>
  <c r="I363" i="15"/>
  <c r="J363" i="15"/>
  <c r="J272" i="15"/>
  <c r="I272" i="15"/>
  <c r="H272" i="16" s="1"/>
  <c r="I62" i="15"/>
  <c r="J62" i="15"/>
  <c r="G142" i="16"/>
  <c r="BY142" i="6" s="1"/>
  <c r="AA142" i="16"/>
  <c r="Z142" i="16" s="1"/>
  <c r="Y142" i="16" s="1"/>
  <c r="H142" i="16"/>
  <c r="G166" i="16"/>
  <c r="BY166" i="6" s="1"/>
  <c r="AA166" i="16"/>
  <c r="Z166" i="16" s="1"/>
  <c r="Y166" i="16" s="1"/>
  <c r="H166" i="16"/>
  <c r="G208" i="16"/>
  <c r="BY208" i="6" s="1"/>
  <c r="H208" i="16"/>
  <c r="AA262" i="16"/>
  <c r="Z262" i="16" s="1"/>
  <c r="Y262" i="16" s="1"/>
  <c r="G262" i="16"/>
  <c r="BY262" i="6" s="1"/>
  <c r="H262" i="16"/>
  <c r="G332" i="16"/>
  <c r="BY332" i="6" s="1"/>
  <c r="H332" i="16"/>
  <c r="AA332" i="16"/>
  <c r="Z332" i="16" s="1"/>
  <c r="Y332" i="16" s="1"/>
  <c r="AA71" i="16"/>
  <c r="Z71" i="16" s="1"/>
  <c r="Y71" i="16" s="1"/>
  <c r="G71" i="16"/>
  <c r="BY71" i="6" s="1"/>
  <c r="H71" i="16"/>
  <c r="I345" i="16"/>
  <c r="J345" i="16"/>
  <c r="H159" i="16"/>
  <c r="H202" i="16"/>
  <c r="H220" i="16"/>
  <c r="G244" i="16"/>
  <c r="BY244" i="6" s="1"/>
  <c r="H244" i="16"/>
  <c r="I26" i="15"/>
  <c r="J26" i="15"/>
  <c r="J58" i="15"/>
  <c r="I58" i="15"/>
  <c r="I60" i="15"/>
  <c r="J60" i="15"/>
  <c r="I22" i="15"/>
  <c r="H22" i="16" s="1"/>
  <c r="J22" i="15"/>
  <c r="I362" i="15"/>
  <c r="J362" i="15"/>
  <c r="AA126" i="16"/>
  <c r="Z126" i="16" s="1"/>
  <c r="Y126" i="16" s="1"/>
  <c r="W143" i="16"/>
  <c r="D143" i="16"/>
  <c r="E143" i="16" s="1"/>
  <c r="F143" i="16" s="1"/>
  <c r="AA208" i="16"/>
  <c r="Z208" i="16" s="1"/>
  <c r="Y208" i="16" s="1"/>
  <c r="AA49" i="16"/>
  <c r="Z49" i="16" s="1"/>
  <c r="Y49" i="16" s="1"/>
  <c r="AA192" i="16"/>
  <c r="Z192" i="16" s="1"/>
  <c r="Y192" i="16" s="1"/>
  <c r="AA41" i="16"/>
  <c r="Z41" i="16" s="1"/>
  <c r="Y41" i="16" s="1"/>
  <c r="AA156" i="16"/>
  <c r="Z156" i="16" s="1"/>
  <c r="Y156" i="16" s="1"/>
  <c r="AA304" i="16"/>
  <c r="Z304" i="16" s="1"/>
  <c r="Y304" i="16" s="1"/>
  <c r="AA110" i="16"/>
  <c r="Z110" i="16" s="1"/>
  <c r="Y110" i="16" s="1"/>
  <c r="AA256" i="16"/>
  <c r="Z256" i="16" s="1"/>
  <c r="Y256" i="16" s="1"/>
  <c r="AA358" i="16"/>
  <c r="Z358" i="16" s="1"/>
  <c r="Y358" i="16" s="1"/>
  <c r="W275" i="16"/>
  <c r="D275" i="16"/>
  <c r="E275" i="16" s="1"/>
  <c r="F275" i="16" s="1"/>
  <c r="W296" i="16"/>
  <c r="D296" i="16"/>
  <c r="E296" i="16" s="1"/>
  <c r="F296" i="16" s="1"/>
  <c r="B31" i="17"/>
  <c r="W31" i="16"/>
  <c r="D31" i="16"/>
  <c r="E31" i="16" s="1"/>
  <c r="F31" i="16" s="1"/>
  <c r="W274" i="16"/>
  <c r="D274" i="16"/>
  <c r="E274" i="16" s="1"/>
  <c r="F274" i="16" s="1"/>
  <c r="W374" i="16"/>
  <c r="D374" i="16"/>
  <c r="E374" i="16" s="1"/>
  <c r="F374" i="16" s="1"/>
  <c r="W73" i="16"/>
  <c r="D73" i="16"/>
  <c r="E73" i="16" s="1"/>
  <c r="F73" i="16" s="1"/>
  <c r="W93" i="16"/>
  <c r="D93" i="16"/>
  <c r="E93" i="16" s="1"/>
  <c r="F93" i="16" s="1"/>
  <c r="W199" i="16"/>
  <c r="D199" i="16"/>
  <c r="E199" i="16" s="1"/>
  <c r="F199" i="16" s="1"/>
  <c r="H172" i="16"/>
  <c r="J172" i="16" s="1"/>
  <c r="J321" i="16"/>
  <c r="AA172" i="16"/>
  <c r="Z172" i="16" s="1"/>
  <c r="Y172" i="16" s="1"/>
  <c r="Q381" i="17"/>
  <c r="AD46" i="17"/>
  <c r="AD122" i="17"/>
  <c r="G266" i="16"/>
  <c r="BY266" i="6" s="1"/>
  <c r="AD17" i="17"/>
  <c r="AD100" i="17"/>
  <c r="AD112" i="17"/>
  <c r="AD120" i="17"/>
  <c r="AD160" i="17"/>
  <c r="AD204" i="17"/>
  <c r="AD228" i="17"/>
  <c r="AD260" i="17"/>
  <c r="AD268" i="17"/>
  <c r="AD288" i="17"/>
  <c r="AD360" i="17"/>
  <c r="AD376" i="17"/>
  <c r="AA75" i="16"/>
  <c r="Z75" i="16" s="1"/>
  <c r="Y75" i="16" s="1"/>
  <c r="P27" i="17"/>
  <c r="V27" i="17" s="1"/>
  <c r="B27" i="17" s="1"/>
  <c r="P43" i="17"/>
  <c r="V43" i="17" s="1"/>
  <c r="B43" i="17" s="1"/>
  <c r="P51" i="17"/>
  <c r="V51" i="17" s="1"/>
  <c r="B51" i="17" s="1"/>
  <c r="P55" i="17"/>
  <c r="V55" i="17" s="1"/>
  <c r="B55" i="17" s="1"/>
  <c r="P59" i="17"/>
  <c r="V59" i="17" s="1"/>
  <c r="B59" i="17" s="1"/>
  <c r="P71" i="17"/>
  <c r="V71" i="17" s="1"/>
  <c r="B71" i="17" s="1"/>
  <c r="P75" i="17"/>
  <c r="V75" i="17" s="1"/>
  <c r="B75" i="17" s="1"/>
  <c r="P79" i="17"/>
  <c r="V79" i="17" s="1"/>
  <c r="B79" i="17" s="1"/>
  <c r="P87" i="17"/>
  <c r="V87" i="17" s="1"/>
  <c r="B87" i="17" s="1"/>
  <c r="P91" i="17"/>
  <c r="V91" i="17" s="1"/>
  <c r="B91" i="17" s="1"/>
  <c r="P95" i="17"/>
  <c r="V95" i="17" s="1"/>
  <c r="B95" i="17" s="1"/>
  <c r="P111" i="17"/>
  <c r="V111" i="17" s="1"/>
  <c r="B111" i="17" s="1"/>
  <c r="P115" i="17"/>
  <c r="V115" i="17" s="1"/>
  <c r="B115" i="17" s="1"/>
  <c r="P119" i="17"/>
  <c r="D59" i="7" s="1"/>
  <c r="P131" i="17"/>
  <c r="V131" i="17" s="1"/>
  <c r="B131" i="17" s="1"/>
  <c r="P135" i="17"/>
  <c r="V135" i="17" s="1"/>
  <c r="B135" i="17" s="1"/>
  <c r="P143" i="17"/>
  <c r="V143" i="17" s="1"/>
  <c r="B143" i="17" s="1"/>
  <c r="P147" i="17"/>
  <c r="V147" i="17" s="1"/>
  <c r="B147" i="17" s="1"/>
  <c r="P155" i="17"/>
  <c r="V155" i="17" s="1"/>
  <c r="B155" i="17" s="1"/>
  <c r="P159" i="17"/>
  <c r="V159" i="17" s="1"/>
  <c r="B159" i="17" s="1"/>
  <c r="P163" i="17"/>
  <c r="V163" i="17" s="1"/>
  <c r="B163" i="17" s="1"/>
  <c r="P171" i="17"/>
  <c r="V171" i="17" s="1"/>
  <c r="B171" i="17" s="1"/>
  <c r="P179" i="17"/>
  <c r="V179" i="17" s="1"/>
  <c r="B179" i="17" s="1"/>
  <c r="P183" i="17"/>
  <c r="V183" i="17" s="1"/>
  <c r="B183" i="17" s="1"/>
  <c r="P207" i="17"/>
  <c r="V207" i="17" s="1"/>
  <c r="B207" i="17" s="1"/>
  <c r="P223" i="17"/>
  <c r="V223" i="17" s="1"/>
  <c r="B223" i="17" s="1"/>
  <c r="P227" i="17"/>
  <c r="V227" i="17" s="1"/>
  <c r="B227" i="17" s="1"/>
  <c r="P231" i="17"/>
  <c r="V231" i="17" s="1"/>
  <c r="B231" i="17" s="1"/>
  <c r="P235" i="17"/>
  <c r="V235" i="17" s="1"/>
  <c r="B235" i="17" s="1"/>
  <c r="P239" i="17"/>
  <c r="V239" i="17" s="1"/>
  <c r="B239" i="17" s="1"/>
  <c r="P243" i="17"/>
  <c r="V243" i="17" s="1"/>
  <c r="B243" i="17" s="1"/>
  <c r="P251" i="17"/>
  <c r="V251" i="17" s="1"/>
  <c r="B251" i="17" s="1"/>
  <c r="P267" i="17"/>
  <c r="V267" i="17" s="1"/>
  <c r="B267" i="17" s="1"/>
  <c r="P275" i="17"/>
  <c r="V275" i="17" s="1"/>
  <c r="B275" i="17" s="1"/>
  <c r="P291" i="17"/>
  <c r="V291" i="17" s="1"/>
  <c r="B291" i="17" s="1"/>
  <c r="P295" i="17"/>
  <c r="V295" i="17" s="1"/>
  <c r="B295" i="17" s="1"/>
  <c r="P303" i="17"/>
  <c r="V303" i="17" s="1"/>
  <c r="B303" i="17" s="1"/>
  <c r="P307" i="17"/>
  <c r="V307" i="17" s="1"/>
  <c r="B307" i="17" s="1"/>
  <c r="P323" i="17"/>
  <c r="V323" i="17" s="1"/>
  <c r="B323" i="17" s="1"/>
  <c r="P347" i="17"/>
  <c r="V347" i="17" s="1"/>
  <c r="B347" i="17" s="1"/>
  <c r="P351" i="17"/>
  <c r="V351" i="17" s="1"/>
  <c r="B351" i="17" s="1"/>
  <c r="P363" i="17"/>
  <c r="D67" i="7" s="1"/>
  <c r="P367" i="17"/>
  <c r="V367" i="17" s="1"/>
  <c r="B367" i="17" s="1"/>
  <c r="AD285" i="17"/>
  <c r="AD341" i="17"/>
  <c r="AD357" i="17"/>
  <c r="AD82" i="17"/>
  <c r="AD106" i="17"/>
  <c r="AD25" i="17"/>
  <c r="AD29" i="17"/>
  <c r="AD37" i="17"/>
  <c r="AD57" i="17"/>
  <c r="AD121" i="17"/>
  <c r="AD181" i="17"/>
  <c r="AD237" i="17"/>
  <c r="AD323" i="17"/>
  <c r="O382" i="24"/>
  <c r="O381" i="24"/>
  <c r="O383" i="24"/>
  <c r="AD64" i="17"/>
  <c r="AD96" i="17"/>
  <c r="AD116" i="17"/>
  <c r="AD236" i="17"/>
  <c r="AD244" i="17"/>
  <c r="AD252" i="17"/>
  <c r="AD291" i="17"/>
  <c r="G383" i="1"/>
  <c r="G12" i="1" s="1"/>
  <c r="G381" i="1"/>
  <c r="G382" i="1"/>
  <c r="AD27" i="17"/>
  <c r="AD55" i="17"/>
  <c r="AD131" i="17"/>
  <c r="AD143" i="17"/>
  <c r="AD247" i="17"/>
  <c r="AD293" i="17"/>
  <c r="AC383" i="24"/>
  <c r="AC382" i="24"/>
  <c r="AC381" i="24"/>
  <c r="AD62" i="17"/>
  <c r="AD78" i="17"/>
  <c r="AD90" i="17"/>
  <c r="AD146" i="17"/>
  <c r="AD242" i="17"/>
  <c r="AD250" i="17"/>
  <c r="AD278" i="17"/>
  <c r="AD322" i="17"/>
  <c r="AD330" i="17"/>
  <c r="AD295" i="17"/>
  <c r="AD365" i="17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F11" i="1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S52" i="17"/>
  <c r="R52" i="17" s="1"/>
  <c r="P52" i="17" s="1"/>
  <c r="S60" i="17"/>
  <c r="R60" i="17" s="1"/>
  <c r="P60" i="17" s="1"/>
  <c r="V72" i="17"/>
  <c r="B72" i="17" s="1"/>
  <c r="S76" i="17"/>
  <c r="R76" i="17" s="1"/>
  <c r="P76" i="17" s="1"/>
  <c r="S80" i="17"/>
  <c r="R80" i="17" s="1"/>
  <c r="P80" i="17" s="1"/>
  <c r="S84" i="17"/>
  <c r="R84" i="17" s="1"/>
  <c r="P84" i="17" s="1"/>
  <c r="D58" i="7"/>
  <c r="V88" i="17"/>
  <c r="B88" i="17" s="1"/>
  <c r="S96" i="17"/>
  <c r="R96" i="17" s="1"/>
  <c r="P96" i="17" s="1"/>
  <c r="S100" i="17"/>
  <c r="R100" i="17" s="1"/>
  <c r="P100" i="17" s="1"/>
  <c r="S104" i="17"/>
  <c r="R104" i="17" s="1"/>
  <c r="P104" i="17" s="1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B124" i="17" s="1"/>
  <c r="S132" i="17"/>
  <c r="R132" i="17" s="1"/>
  <c r="P132" i="17" s="1"/>
  <c r="S140" i="17"/>
  <c r="R140" i="17" s="1"/>
  <c r="P140" i="17" s="1"/>
  <c r="V140" i="17" s="1"/>
  <c r="B140" i="17" s="1"/>
  <c r="S144" i="17"/>
  <c r="R144" i="17" s="1"/>
  <c r="P144" i="17" s="1"/>
  <c r="S148" i="17"/>
  <c r="R148" i="17" s="1"/>
  <c r="P148" i="17" s="1"/>
  <c r="S160" i="17"/>
  <c r="R160" i="17" s="1"/>
  <c r="P160" i="17" s="1"/>
  <c r="S164" i="17"/>
  <c r="R164" i="17" s="1"/>
  <c r="P164" i="17" s="1"/>
  <c r="V164" i="17" s="1"/>
  <c r="B164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B184" i="17" s="1"/>
  <c r="S188" i="17"/>
  <c r="R188" i="17" s="1"/>
  <c r="P188" i="17" s="1"/>
  <c r="S192" i="17"/>
  <c r="R192" i="17" s="1"/>
  <c r="P192" i="17" s="1"/>
  <c r="V200" i="17"/>
  <c r="B200" i="17" s="1"/>
  <c r="S212" i="17"/>
  <c r="R212" i="17" s="1"/>
  <c r="P212" i="17" s="1"/>
  <c r="S224" i="17"/>
  <c r="R224" i="17" s="1"/>
  <c r="P224" i="17" s="1"/>
  <c r="V224" i="17" s="1"/>
  <c r="B224" i="17" s="1"/>
  <c r="S232" i="17"/>
  <c r="R232" i="17" s="1"/>
  <c r="P232" i="17" s="1"/>
  <c r="V232" i="17" s="1"/>
  <c r="B232" i="17" s="1"/>
  <c r="S240" i="17"/>
  <c r="R240" i="17" s="1"/>
  <c r="P240" i="17" s="1"/>
  <c r="V240" i="17" s="1"/>
  <c r="B240" i="17" s="1"/>
  <c r="S244" i="17"/>
  <c r="R244" i="17" s="1"/>
  <c r="P244" i="17" s="1"/>
  <c r="V244" i="17" s="1"/>
  <c r="B244" i="17" s="1"/>
  <c r="S252" i="17"/>
  <c r="R252" i="17" s="1"/>
  <c r="P252" i="17" s="1"/>
  <c r="S264" i="17"/>
  <c r="R264" i="17" s="1"/>
  <c r="P264" i="17" s="1"/>
  <c r="S288" i="17"/>
  <c r="R288" i="17" s="1"/>
  <c r="P288" i="17" s="1"/>
  <c r="S304" i="17"/>
  <c r="R304" i="17" s="1"/>
  <c r="P304" i="17" s="1"/>
  <c r="V308" i="17"/>
  <c r="B308" i="17" s="1"/>
  <c r="S320" i="17"/>
  <c r="R320" i="17" s="1"/>
  <c r="P320" i="17" s="1"/>
  <c r="V320" i="17" s="1"/>
  <c r="B320" i="17" s="1"/>
  <c r="S324" i="17"/>
  <c r="R324" i="17" s="1"/>
  <c r="P324" i="17" s="1"/>
  <c r="S328" i="17"/>
  <c r="R328" i="17" s="1"/>
  <c r="P328" i="17" s="1"/>
  <c r="V328" i="17" s="1"/>
  <c r="B328" i="17" s="1"/>
  <c r="S340" i="17"/>
  <c r="R340" i="17" s="1"/>
  <c r="P340" i="17" s="1"/>
  <c r="V340" i="17" s="1"/>
  <c r="B340" i="17" s="1"/>
  <c r="S344" i="17"/>
  <c r="R344" i="17" s="1"/>
  <c r="P344" i="17" s="1"/>
  <c r="V344" i="17" s="1"/>
  <c r="B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B368" i="17" s="1"/>
  <c r="P15" i="16"/>
  <c r="I324" i="16"/>
  <c r="J324" i="16"/>
  <c r="AG15" i="17"/>
  <c r="S19" i="17"/>
  <c r="R19" i="17" s="1"/>
  <c r="P19" i="17" s="1"/>
  <c r="T15" i="17"/>
  <c r="U381" i="17"/>
  <c r="U382" i="17"/>
  <c r="U383" i="17"/>
  <c r="S23" i="17"/>
  <c r="R23" i="17" s="1"/>
  <c r="P23" i="17" s="1"/>
  <c r="S35" i="17"/>
  <c r="R35" i="17" s="1"/>
  <c r="P35" i="17" s="1"/>
  <c r="S39" i="17"/>
  <c r="R39" i="17" s="1"/>
  <c r="P39" i="17" s="1"/>
  <c r="S47" i="17"/>
  <c r="R47" i="17" s="1"/>
  <c r="P47" i="17" s="1"/>
  <c r="S63" i="17"/>
  <c r="R63" i="17" s="1"/>
  <c r="P63" i="17" s="1"/>
  <c r="S67" i="17"/>
  <c r="R67" i="17" s="1"/>
  <c r="P67" i="17" s="1"/>
  <c r="S83" i="17"/>
  <c r="R83" i="17" s="1"/>
  <c r="P83" i="17" s="1"/>
  <c r="S99" i="17"/>
  <c r="R99" i="17" s="1"/>
  <c r="P99" i="17" s="1"/>
  <c r="S103" i="17"/>
  <c r="R103" i="17" s="1"/>
  <c r="P103" i="17" s="1"/>
  <c r="S107" i="17"/>
  <c r="R107" i="17" s="1"/>
  <c r="P107" i="17" s="1"/>
  <c r="S123" i="17"/>
  <c r="R123" i="17" s="1"/>
  <c r="P123" i="17" s="1"/>
  <c r="S127" i="17"/>
  <c r="R127" i="17" s="1"/>
  <c r="P127" i="17" s="1"/>
  <c r="S139" i="17"/>
  <c r="R139" i="17" s="1"/>
  <c r="P139" i="17" s="1"/>
  <c r="S151" i="17"/>
  <c r="R151" i="17" s="1"/>
  <c r="P151" i="17" s="1"/>
  <c r="S167" i="17"/>
  <c r="R167" i="17" s="1"/>
  <c r="P167" i="17" s="1"/>
  <c r="V167" i="17" s="1"/>
  <c r="B167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B191" i="17" s="1"/>
  <c r="S195" i="17"/>
  <c r="R195" i="17" s="1"/>
  <c r="P195" i="17" s="1"/>
  <c r="V195" i="17" s="1"/>
  <c r="B195" i="17" s="1"/>
  <c r="S199" i="17"/>
  <c r="R199" i="17" s="1"/>
  <c r="P199" i="17" s="1"/>
  <c r="S203" i="17"/>
  <c r="R203" i="17" s="1"/>
  <c r="P203" i="17" s="1"/>
  <c r="V203" i="17" s="1"/>
  <c r="B203" i="17" s="1"/>
  <c r="S211" i="17"/>
  <c r="R211" i="17" s="1"/>
  <c r="P211" i="17" s="1"/>
  <c r="S215" i="17"/>
  <c r="R215" i="17" s="1"/>
  <c r="P215" i="17" s="1"/>
  <c r="V215" i="17" s="1"/>
  <c r="B215" i="17" s="1"/>
  <c r="S219" i="17"/>
  <c r="R219" i="17" s="1"/>
  <c r="P219" i="17" s="1"/>
  <c r="V219" i="17" s="1"/>
  <c r="B219" i="17" s="1"/>
  <c r="S247" i="17"/>
  <c r="R247" i="17" s="1"/>
  <c r="P247" i="17" s="1"/>
  <c r="S255" i="17"/>
  <c r="R255" i="17" s="1"/>
  <c r="P255" i="17" s="1"/>
  <c r="V255" i="17" s="1"/>
  <c r="B255" i="17" s="1"/>
  <c r="S259" i="17"/>
  <c r="R259" i="17" s="1"/>
  <c r="P259" i="17" s="1"/>
  <c r="S263" i="17"/>
  <c r="R263" i="17" s="1"/>
  <c r="P263" i="17" s="1"/>
  <c r="V263" i="17" s="1"/>
  <c r="B263" i="17" s="1"/>
  <c r="S271" i="17"/>
  <c r="R271" i="17" s="1"/>
  <c r="P271" i="17" s="1"/>
  <c r="S279" i="17"/>
  <c r="R279" i="17" s="1"/>
  <c r="P279" i="17" s="1"/>
  <c r="V279" i="17" s="1"/>
  <c r="B279" i="17" s="1"/>
  <c r="S283" i="17"/>
  <c r="R283" i="17" s="1"/>
  <c r="P283" i="17" s="1"/>
  <c r="S287" i="17"/>
  <c r="R287" i="17" s="1"/>
  <c r="P287" i="17" s="1"/>
  <c r="S299" i="17"/>
  <c r="R299" i="17" s="1"/>
  <c r="P299" i="17" s="1"/>
  <c r="S311" i="17"/>
  <c r="R311" i="17" s="1"/>
  <c r="P311" i="17" s="1"/>
  <c r="V311" i="17" s="1"/>
  <c r="B311" i="17" s="1"/>
  <c r="S315" i="17"/>
  <c r="R315" i="17" s="1"/>
  <c r="P315" i="17" s="1"/>
  <c r="S319" i="17"/>
  <c r="R319" i="17" s="1"/>
  <c r="P319" i="17" s="1"/>
  <c r="S327" i="17"/>
  <c r="R327" i="17" s="1"/>
  <c r="P327" i="17" s="1"/>
  <c r="S331" i="17"/>
  <c r="R331" i="17" s="1"/>
  <c r="P331" i="17" s="1"/>
  <c r="S335" i="17"/>
  <c r="R335" i="17" s="1"/>
  <c r="P335" i="17" s="1"/>
  <c r="V335" i="17" s="1"/>
  <c r="B335" i="17" s="1"/>
  <c r="S339" i="17"/>
  <c r="R339" i="17" s="1"/>
  <c r="P339" i="17" s="1"/>
  <c r="S343" i="17"/>
  <c r="R343" i="17" s="1"/>
  <c r="P343" i="17" s="1"/>
  <c r="S355" i="17"/>
  <c r="R355" i="17" s="1"/>
  <c r="P355" i="17" s="1"/>
  <c r="S359" i="17"/>
  <c r="R359" i="17" s="1"/>
  <c r="P359" i="17" s="1"/>
  <c r="S371" i="17"/>
  <c r="R371" i="17" s="1"/>
  <c r="P371" i="17" s="1"/>
  <c r="S375" i="17"/>
  <c r="R375" i="17" s="1"/>
  <c r="P375" i="17" s="1"/>
  <c r="T379" i="17"/>
  <c r="U12" i="18"/>
  <c r="V16" i="7"/>
  <c r="AB11" i="7" s="1"/>
  <c r="U11" i="18" s="1"/>
  <c r="AK5" i="24"/>
  <c r="AM5" i="24"/>
  <c r="AK7" i="24"/>
  <c r="AK11" i="24" s="1"/>
  <c r="AM9" i="24"/>
  <c r="AK9" i="24"/>
  <c r="AM7" i="24"/>
  <c r="AM11" i="24" s="1"/>
  <c r="AD379" i="17"/>
  <c r="G46" i="16"/>
  <c r="BY46" i="6" s="1"/>
  <c r="AA46" i="16"/>
  <c r="Z46" i="16" s="1"/>
  <c r="Y46" i="16" s="1"/>
  <c r="AE382" i="17"/>
  <c r="AE381" i="17"/>
  <c r="AE383" i="17"/>
  <c r="S17" i="17"/>
  <c r="R17" i="17" s="1"/>
  <c r="P17" i="17" s="1"/>
  <c r="V30" i="17"/>
  <c r="B30" i="17" s="1"/>
  <c r="S34" i="17"/>
  <c r="R34" i="17" s="1"/>
  <c r="P34" i="17" s="1"/>
  <c r="V46" i="17"/>
  <c r="B46" i="17" s="1"/>
  <c r="S50" i="17"/>
  <c r="R50" i="17" s="1"/>
  <c r="P50" i="17" s="1"/>
  <c r="S58" i="17"/>
  <c r="R58" i="17" s="1"/>
  <c r="P58" i="17" s="1"/>
  <c r="S62" i="17"/>
  <c r="R62" i="17" s="1"/>
  <c r="P62" i="17" s="1"/>
  <c r="S66" i="17"/>
  <c r="R66" i="17" s="1"/>
  <c r="P66" i="17" s="1"/>
  <c r="S70" i="17"/>
  <c r="R70" i="17" s="1"/>
  <c r="P70" i="17" s="1"/>
  <c r="S74" i="17"/>
  <c r="R74" i="17" s="1"/>
  <c r="P74" i="17" s="1"/>
  <c r="S78" i="17"/>
  <c r="R78" i="17" s="1"/>
  <c r="P78" i="17" s="1"/>
  <c r="S86" i="17"/>
  <c r="R86" i="17" s="1"/>
  <c r="P86" i="17" s="1"/>
  <c r="S90" i="17"/>
  <c r="R90" i="17" s="1"/>
  <c r="P90" i="17" s="1"/>
  <c r="V94" i="17"/>
  <c r="B94" i="17" s="1"/>
  <c r="S98" i="17"/>
  <c r="R98" i="17" s="1"/>
  <c r="P98" i="17" s="1"/>
  <c r="S106" i="17"/>
  <c r="R106" i="17" s="1"/>
  <c r="P106" i="17" s="1"/>
  <c r="S122" i="17"/>
  <c r="R122" i="17" s="1"/>
  <c r="P122" i="17" s="1"/>
  <c r="V130" i="17"/>
  <c r="B130" i="17" s="1"/>
  <c r="S134" i="17"/>
  <c r="R134" i="17" s="1"/>
  <c r="P134" i="17" s="1"/>
  <c r="V134" i="17" s="1"/>
  <c r="B134" i="17" s="1"/>
  <c r="V138" i="17"/>
  <c r="B138" i="17" s="1"/>
  <c r="S142" i="17"/>
  <c r="R142" i="17" s="1"/>
  <c r="P142" i="17" s="1"/>
  <c r="V142" i="17" s="1"/>
  <c r="B142" i="17" s="1"/>
  <c r="S150" i="17"/>
  <c r="R150" i="17" s="1"/>
  <c r="P150" i="17" s="1"/>
  <c r="V150" i="17" s="1"/>
  <c r="B150" i="17" s="1"/>
  <c r="S154" i="17"/>
  <c r="R154" i="17" s="1"/>
  <c r="P154" i="17" s="1"/>
  <c r="V154" i="17" s="1"/>
  <c r="B154" i="17" s="1"/>
  <c r="S162" i="17"/>
  <c r="R162" i="17" s="1"/>
  <c r="P162" i="17" s="1"/>
  <c r="V162" i="17" s="1"/>
  <c r="B162" i="17" s="1"/>
  <c r="S170" i="17"/>
  <c r="R170" i="17" s="1"/>
  <c r="P170" i="17" s="1"/>
  <c r="S186" i="17"/>
  <c r="R186" i="17" s="1"/>
  <c r="P186" i="17" s="1"/>
  <c r="S194" i="17"/>
  <c r="R194" i="17" s="1"/>
  <c r="P194" i="17" s="1"/>
  <c r="V198" i="17"/>
  <c r="B198" i="17" s="1"/>
  <c r="D62" i="7"/>
  <c r="S214" i="17"/>
  <c r="R214" i="17" s="1"/>
  <c r="P214" i="17" s="1"/>
  <c r="V214" i="17" s="1"/>
  <c r="B214" i="17" s="1"/>
  <c r="S222" i="17"/>
  <c r="R222" i="17" s="1"/>
  <c r="P222" i="17" s="1"/>
  <c r="S226" i="17"/>
  <c r="R226" i="17" s="1"/>
  <c r="P226" i="17" s="1"/>
  <c r="S230" i="17"/>
  <c r="R230" i="17" s="1"/>
  <c r="P230" i="17" s="1"/>
  <c r="S238" i="17"/>
  <c r="R238" i="17" s="1"/>
  <c r="P238" i="17" s="1"/>
  <c r="S242" i="17"/>
  <c r="R242" i="17" s="1"/>
  <c r="P242" i="17" s="1"/>
  <c r="V246" i="17"/>
  <c r="B246" i="17" s="1"/>
  <c r="S250" i="17"/>
  <c r="R250" i="17" s="1"/>
  <c r="P250" i="17" s="1"/>
  <c r="S254" i="17"/>
  <c r="R254" i="17" s="1"/>
  <c r="P254" i="17" s="1"/>
  <c r="S258" i="17"/>
  <c r="R258" i="17" s="1"/>
  <c r="P258" i="17" s="1"/>
  <c r="V258" i="17" s="1"/>
  <c r="B258" i="17" s="1"/>
  <c r="S270" i="17"/>
  <c r="R270" i="17" s="1"/>
  <c r="P270" i="17" s="1"/>
  <c r="S274" i="17"/>
  <c r="R274" i="17" s="1"/>
  <c r="P274" i="17" s="1"/>
  <c r="S278" i="17"/>
  <c r="R278" i="17" s="1"/>
  <c r="P278" i="17" s="1"/>
  <c r="S286" i="17"/>
  <c r="R286" i="17" s="1"/>
  <c r="P286" i="17" s="1"/>
  <c r="V286" i="17" s="1"/>
  <c r="B286" i="17" s="1"/>
  <c r="S290" i="17"/>
  <c r="R290" i="17" s="1"/>
  <c r="P290" i="17" s="1"/>
  <c r="S294" i="17"/>
  <c r="R294" i="17" s="1"/>
  <c r="P294" i="17" s="1"/>
  <c r="V294" i="17" s="1"/>
  <c r="B294" i="17" s="1"/>
  <c r="S298" i="17"/>
  <c r="R298" i="17" s="1"/>
  <c r="P298" i="17" s="1"/>
  <c r="S302" i="17"/>
  <c r="R302" i="17" s="1"/>
  <c r="P302" i="17" s="1"/>
  <c r="S306" i="17"/>
  <c r="R306" i="17" s="1"/>
  <c r="P306" i="17" s="1"/>
  <c r="V306" i="17" s="1"/>
  <c r="B306" i="17" s="1"/>
  <c r="S310" i="17"/>
  <c r="R310" i="17" s="1"/>
  <c r="P310" i="17" s="1"/>
  <c r="S314" i="17"/>
  <c r="R314" i="17" s="1"/>
  <c r="P314" i="17" s="1"/>
  <c r="S338" i="17"/>
  <c r="R338" i="17" s="1"/>
  <c r="P338" i="17" s="1"/>
  <c r="S342" i="17"/>
  <c r="R342" i="17" s="1"/>
  <c r="P342" i="17" s="1"/>
  <c r="S358" i="17"/>
  <c r="R358" i="17" s="1"/>
  <c r="P358" i="17" s="1"/>
  <c r="S362" i="17"/>
  <c r="R362" i="17" s="1"/>
  <c r="P362" i="17" s="1"/>
  <c r="V362" i="17" s="1"/>
  <c r="B362" i="17" s="1"/>
  <c r="V366" i="17"/>
  <c r="B366" i="17" s="1"/>
  <c r="S370" i="17"/>
  <c r="R370" i="17" s="1"/>
  <c r="P370" i="17" s="1"/>
  <c r="S374" i="17"/>
  <c r="R374" i="17" s="1"/>
  <c r="P374" i="17" s="1"/>
  <c r="S378" i="17"/>
  <c r="R378" i="17" s="1"/>
  <c r="P378" i="17" s="1"/>
  <c r="V378" i="17" s="1"/>
  <c r="B378" i="17" s="1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B62" i="19"/>
  <c r="V380" i="15"/>
  <c r="V381" i="15" s="1"/>
  <c r="AA15" i="7"/>
  <c r="Q10" i="18"/>
  <c r="AE18" i="18" s="1"/>
  <c r="AK3" i="22"/>
  <c r="S21" i="17"/>
  <c r="R21" i="17" s="1"/>
  <c r="P21" i="17" s="1"/>
  <c r="S25" i="17"/>
  <c r="R25" i="17" s="1"/>
  <c r="P25" i="17" s="1"/>
  <c r="D56" i="7"/>
  <c r="V29" i="17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3" i="17"/>
  <c r="R113" i="17" s="1"/>
  <c r="P113" i="17" s="1"/>
  <c r="S117" i="17"/>
  <c r="R117" i="17" s="1"/>
  <c r="P117" i="17" s="1"/>
  <c r="S129" i="17"/>
  <c r="R129" i="17" s="1"/>
  <c r="P129" i="17" s="1"/>
  <c r="S141" i="17"/>
  <c r="R141" i="17" s="1"/>
  <c r="P141" i="17" s="1"/>
  <c r="S157" i="17"/>
  <c r="R157" i="17" s="1"/>
  <c r="P157" i="17" s="1"/>
  <c r="V157" i="17" s="1"/>
  <c r="B157" i="17" s="1"/>
  <c r="S161" i="17"/>
  <c r="R161" i="17" s="1"/>
  <c r="P161" i="17" s="1"/>
  <c r="S181" i="17"/>
  <c r="R181" i="17" s="1"/>
  <c r="P181" i="17" s="1"/>
  <c r="V181" i="17" s="1"/>
  <c r="B181" i="17" s="1"/>
  <c r="S193" i="17"/>
  <c r="R193" i="17" s="1"/>
  <c r="P193" i="17" s="1"/>
  <c r="S209" i="17"/>
  <c r="R209" i="17" s="1"/>
  <c r="P209" i="17" s="1"/>
  <c r="V209" i="17" s="1"/>
  <c r="B209" i="17" s="1"/>
  <c r="S217" i="17"/>
  <c r="R217" i="17" s="1"/>
  <c r="P217" i="17" s="1"/>
  <c r="V217" i="17" s="1"/>
  <c r="B217" i="17" s="1"/>
  <c r="S225" i="17"/>
  <c r="R225" i="17" s="1"/>
  <c r="P225" i="17" s="1"/>
  <c r="V225" i="17" s="1"/>
  <c r="B225" i="17" s="1"/>
  <c r="S229" i="17"/>
  <c r="R229" i="17" s="1"/>
  <c r="P229" i="17" s="1"/>
  <c r="S237" i="17"/>
  <c r="R237" i="17" s="1"/>
  <c r="P237" i="17" s="1"/>
  <c r="V237" i="17" s="1"/>
  <c r="B237" i="17" s="1"/>
  <c r="S241" i="17"/>
  <c r="R241" i="17" s="1"/>
  <c r="P241" i="17" s="1"/>
  <c r="S249" i="17"/>
  <c r="R249" i="17" s="1"/>
  <c r="P249" i="17" s="1"/>
  <c r="S253" i="17"/>
  <c r="R253" i="17" s="1"/>
  <c r="P253" i="17" s="1"/>
  <c r="V253" i="17" s="1"/>
  <c r="B253" i="17" s="1"/>
  <c r="S281" i="17"/>
  <c r="R281" i="17" s="1"/>
  <c r="P281" i="17" s="1"/>
  <c r="V281" i="17" s="1"/>
  <c r="B281" i="17" s="1"/>
  <c r="S285" i="17"/>
  <c r="R285" i="17" s="1"/>
  <c r="P285" i="17" s="1"/>
  <c r="V285" i="17" s="1"/>
  <c r="B285" i="17" s="1"/>
  <c r="S293" i="17"/>
  <c r="R293" i="17" s="1"/>
  <c r="P293" i="17" s="1"/>
  <c r="S297" i="17"/>
  <c r="R297" i="17" s="1"/>
  <c r="P297" i="17" s="1"/>
  <c r="V297" i="17" s="1"/>
  <c r="B297" i="17" s="1"/>
  <c r="S301" i="17"/>
  <c r="R301" i="17" s="1"/>
  <c r="P301" i="17" s="1"/>
  <c r="V301" i="17" s="1"/>
  <c r="B301" i="17" s="1"/>
  <c r="S309" i="17"/>
  <c r="R309" i="17" s="1"/>
  <c r="P309" i="17" s="1"/>
  <c r="V309" i="17" s="1"/>
  <c r="B309" i="17" s="1"/>
  <c r="S313" i="17"/>
  <c r="R313" i="17" s="1"/>
  <c r="P313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B329" i="17" s="1"/>
  <c r="S337" i="17"/>
  <c r="R337" i="17" s="1"/>
  <c r="P337" i="17" s="1"/>
  <c r="V337" i="17" s="1"/>
  <c r="B337" i="17" s="1"/>
  <c r="S341" i="17"/>
  <c r="R341" i="17" s="1"/>
  <c r="P341" i="17" s="1"/>
  <c r="S353" i="17"/>
  <c r="R353" i="17" s="1"/>
  <c r="P353" i="17" s="1"/>
  <c r="V353" i="17" s="1"/>
  <c r="B353" i="17" s="1"/>
  <c r="S361" i="17"/>
  <c r="R361" i="17" s="1"/>
  <c r="P361" i="17" s="1"/>
  <c r="V361" i="17" s="1"/>
  <c r="B361" i="17" s="1"/>
  <c r="S369" i="17"/>
  <c r="R369" i="17" s="1"/>
  <c r="P369" i="17" s="1"/>
  <c r="V369" i="17" s="1"/>
  <c r="B369" i="17" s="1"/>
  <c r="S373" i="17"/>
  <c r="R373" i="17" s="1"/>
  <c r="P373" i="17" s="1"/>
  <c r="V373" i="17" s="1"/>
  <c r="B373" i="17" s="1"/>
  <c r="S377" i="17"/>
  <c r="R377" i="17" s="1"/>
  <c r="P377" i="17" s="1"/>
  <c r="V377" i="17" s="1"/>
  <c r="B377" i="17" s="1"/>
  <c r="AD15" i="16"/>
  <c r="L381" i="24"/>
  <c r="L382" i="24"/>
  <c r="L383" i="24"/>
  <c r="AH383" i="17" l="1"/>
  <c r="I349" i="16"/>
  <c r="J349" i="16"/>
  <c r="AA201" i="16"/>
  <c r="Z201" i="16" s="1"/>
  <c r="Y201" i="16" s="1"/>
  <c r="H377" i="16"/>
  <c r="AD338" i="17"/>
  <c r="AD174" i="17"/>
  <c r="AD138" i="17"/>
  <c r="AD58" i="17"/>
  <c r="AD119" i="17"/>
  <c r="AD35" i="17"/>
  <c r="AD296" i="17"/>
  <c r="AD180" i="17"/>
  <c r="AD153" i="17"/>
  <c r="AD361" i="17"/>
  <c r="AD281" i="17"/>
  <c r="AD232" i="17"/>
  <c r="AD212" i="17"/>
  <c r="AD188" i="17"/>
  <c r="AD156" i="17"/>
  <c r="AI381" i="17"/>
  <c r="AA220" i="16"/>
  <c r="Z220" i="16" s="1"/>
  <c r="Y220" i="16" s="1"/>
  <c r="AA159" i="16"/>
  <c r="Z159" i="16" s="1"/>
  <c r="Y159" i="16" s="1"/>
  <c r="G207" i="16"/>
  <c r="BY207" i="6" s="1"/>
  <c r="AA346" i="16"/>
  <c r="Z346" i="16" s="1"/>
  <c r="Y346" i="16" s="1"/>
  <c r="AA125" i="16"/>
  <c r="Z125" i="16" s="1"/>
  <c r="Y125" i="16" s="1"/>
  <c r="AA171" i="16"/>
  <c r="Z171" i="16" s="1"/>
  <c r="Y171" i="16" s="1"/>
  <c r="G109" i="16"/>
  <c r="BY109" i="6" s="1"/>
  <c r="G368" i="16"/>
  <c r="BY368" i="6" s="1"/>
  <c r="G288" i="16"/>
  <c r="BY288" i="6" s="1"/>
  <c r="AD306" i="17"/>
  <c r="AD274" i="17"/>
  <c r="AD210" i="17"/>
  <c r="AD178" i="17"/>
  <c r="AD117" i="17"/>
  <c r="AD283" i="17"/>
  <c r="AD99" i="17"/>
  <c r="AD216" i="17"/>
  <c r="AD377" i="17"/>
  <c r="AD329" i="17"/>
  <c r="AD313" i="17"/>
  <c r="AD297" i="17"/>
  <c r="AD249" i="17"/>
  <c r="AD169" i="17"/>
  <c r="AD137" i="17"/>
  <c r="AD81" i="17"/>
  <c r="AD355" i="17"/>
  <c r="AD374" i="17"/>
  <c r="L63" i="19"/>
  <c r="C63" i="19"/>
  <c r="AD63" i="17"/>
  <c r="AD124" i="17"/>
  <c r="AD118" i="17"/>
  <c r="AD102" i="17"/>
  <c r="AD86" i="17"/>
  <c r="AD19" i="17"/>
  <c r="G283" i="16"/>
  <c r="BY283" i="6" s="1"/>
  <c r="AA283" i="16"/>
  <c r="Z283" i="16" s="1"/>
  <c r="Y283" i="16" s="1"/>
  <c r="G221" i="16"/>
  <c r="BY221" i="6" s="1"/>
  <c r="AA221" i="16"/>
  <c r="Z221" i="16" s="1"/>
  <c r="Y221" i="16" s="1"/>
  <c r="AA377" i="16"/>
  <c r="Z377" i="16" s="1"/>
  <c r="Y377" i="16" s="1"/>
  <c r="H283" i="16"/>
  <c r="H201" i="16"/>
  <c r="AI382" i="17"/>
  <c r="AD344" i="17"/>
  <c r="AD158" i="17"/>
  <c r="AD292" i="17"/>
  <c r="AD164" i="17"/>
  <c r="AD48" i="17"/>
  <c r="AD32" i="17"/>
  <c r="AD366" i="17"/>
  <c r="AD262" i="17"/>
  <c r="AD166" i="17"/>
  <c r="G72" i="16"/>
  <c r="BY72" i="6" s="1"/>
  <c r="AA72" i="16"/>
  <c r="Z72" i="16" s="1"/>
  <c r="Y72" i="16" s="1"/>
  <c r="AA336" i="16"/>
  <c r="Z336" i="16" s="1"/>
  <c r="Y336" i="16" s="1"/>
  <c r="H72" i="16"/>
  <c r="AD363" i="17"/>
  <c r="AD331" i="17"/>
  <c r="AD307" i="17"/>
  <c r="AD275" i="17"/>
  <c r="AD251" i="17"/>
  <c r="AD235" i="17"/>
  <c r="AD219" i="17"/>
  <c r="AD203" i="17"/>
  <c r="AD187" i="17"/>
  <c r="AD171" i="17"/>
  <c r="AD155" i="17"/>
  <c r="AD139" i="17"/>
  <c r="G253" i="16"/>
  <c r="BY253" i="6" s="1"/>
  <c r="AA253" i="16"/>
  <c r="Z253" i="16" s="1"/>
  <c r="Y253" i="16" s="1"/>
  <c r="H336" i="16"/>
  <c r="AD74" i="17"/>
  <c r="AD66" i="17"/>
  <c r="AD50" i="17"/>
  <c r="AD26" i="17"/>
  <c r="AD375" i="17"/>
  <c r="AD351" i="17"/>
  <c r="AD335" i="17"/>
  <c r="AD319" i="17"/>
  <c r="AD287" i="17"/>
  <c r="AD263" i="17"/>
  <c r="AD239" i="17"/>
  <c r="AD223" i="17"/>
  <c r="AD207" i="17"/>
  <c r="AD191" i="17"/>
  <c r="AD175" i="17"/>
  <c r="AD159" i="17"/>
  <c r="AD135" i="17"/>
  <c r="AD56" i="17"/>
  <c r="AD40" i="17"/>
  <c r="AD24" i="17"/>
  <c r="AD342" i="17"/>
  <c r="AD246" i="17"/>
  <c r="AD371" i="17"/>
  <c r="AD347" i="17"/>
  <c r="AD315" i="17"/>
  <c r="AD299" i="17"/>
  <c r="AD259" i="17"/>
  <c r="AD243" i="17"/>
  <c r="AD227" i="17"/>
  <c r="AD211" i="17"/>
  <c r="AD195" i="17"/>
  <c r="AD179" i="17"/>
  <c r="AD163" i="17"/>
  <c r="AD147" i="17"/>
  <c r="AD67" i="17"/>
  <c r="G349" i="16"/>
  <c r="BY349" i="6" s="1"/>
  <c r="AA349" i="16"/>
  <c r="Z349" i="16" s="1"/>
  <c r="Y349" i="16" s="1"/>
  <c r="AD42" i="17"/>
  <c r="AD34" i="17"/>
  <c r="AD367" i="17"/>
  <c r="AD343" i="17"/>
  <c r="AD327" i="17"/>
  <c r="AD303" i="17"/>
  <c r="AD279" i="17"/>
  <c r="AD255" i="17"/>
  <c r="AD231" i="17"/>
  <c r="AD215" i="17"/>
  <c r="AD199" i="17"/>
  <c r="AD183" i="17"/>
  <c r="AD167" i="17"/>
  <c r="AD151" i="17"/>
  <c r="AD39" i="17"/>
  <c r="H288" i="16"/>
  <c r="J288" i="16" s="1"/>
  <c r="G231" i="16"/>
  <c r="BY231" i="6" s="1"/>
  <c r="G123" i="16"/>
  <c r="BY123" i="6" s="1"/>
  <c r="AA19" i="16"/>
  <c r="Z19" i="16" s="1"/>
  <c r="Y19" i="16" s="1"/>
  <c r="AA34" i="16"/>
  <c r="Z34" i="16" s="1"/>
  <c r="Y34" i="16" s="1"/>
  <c r="J193" i="16"/>
  <c r="H171" i="16"/>
  <c r="I171" i="16" s="1"/>
  <c r="I43" i="16"/>
  <c r="I375" i="16"/>
  <c r="J235" i="16"/>
  <c r="G312" i="16"/>
  <c r="BY312" i="6" s="1"/>
  <c r="H129" i="16"/>
  <c r="H26" i="16"/>
  <c r="I26" i="16" s="1"/>
  <c r="H102" i="16"/>
  <c r="J102" i="16" s="1"/>
  <c r="AA287" i="16"/>
  <c r="Z287" i="16" s="1"/>
  <c r="Y287" i="16" s="1"/>
  <c r="H264" i="16"/>
  <c r="J264" i="16" s="1"/>
  <c r="G295" i="16"/>
  <c r="BY295" i="6" s="1"/>
  <c r="H36" i="16"/>
  <c r="I36" i="16" s="1"/>
  <c r="G307" i="16"/>
  <c r="BY307" i="6" s="1"/>
  <c r="AA250" i="16"/>
  <c r="Z250" i="16" s="1"/>
  <c r="Y250" i="16" s="1"/>
  <c r="AA194" i="16"/>
  <c r="Z194" i="16" s="1"/>
  <c r="Y194" i="16" s="1"/>
  <c r="J157" i="16"/>
  <c r="H344" i="16"/>
  <c r="J344" i="16" s="1"/>
  <c r="G264" i="16"/>
  <c r="BY264" i="6" s="1"/>
  <c r="M63" i="19"/>
  <c r="AA138" i="16"/>
  <c r="Z138" i="16" s="1"/>
  <c r="Y138" i="16" s="1"/>
  <c r="H138" i="16"/>
  <c r="L43" i="19"/>
  <c r="H263" i="16"/>
  <c r="I263" i="16" s="1"/>
  <c r="G362" i="16"/>
  <c r="BY362" i="6" s="1"/>
  <c r="AA155" i="16"/>
  <c r="Z155" i="16" s="1"/>
  <c r="Y155" i="16" s="1"/>
  <c r="J279" i="16"/>
  <c r="I301" i="16"/>
  <c r="G147" i="16"/>
  <c r="BY147" i="6" s="1"/>
  <c r="G346" i="16"/>
  <c r="BY346" i="6" s="1"/>
  <c r="H34" i="16"/>
  <c r="J34" i="16" s="1"/>
  <c r="G51" i="16"/>
  <c r="BY51" i="6" s="1"/>
  <c r="AA312" i="16"/>
  <c r="Z312" i="16" s="1"/>
  <c r="Y312" i="16" s="1"/>
  <c r="I239" i="16"/>
  <c r="J239" i="16"/>
  <c r="B29" i="17"/>
  <c r="H362" i="16"/>
  <c r="I362" i="16" s="1"/>
  <c r="I215" i="16"/>
  <c r="G263" i="16"/>
  <c r="BY263" i="6" s="1"/>
  <c r="AA231" i="16"/>
  <c r="Z231" i="16" s="1"/>
  <c r="Y231" i="16" s="1"/>
  <c r="AA123" i="16"/>
  <c r="Z123" i="16" s="1"/>
  <c r="Y123" i="16" s="1"/>
  <c r="G19" i="16"/>
  <c r="BY19" i="6" s="1"/>
  <c r="H147" i="16"/>
  <c r="I147" i="16" s="1"/>
  <c r="H51" i="16"/>
  <c r="I51" i="16" s="1"/>
  <c r="D379" i="16"/>
  <c r="E379" i="16" s="1"/>
  <c r="F379" i="16" s="1"/>
  <c r="G379" i="16" s="1"/>
  <c r="BY379" i="6" s="1"/>
  <c r="J331" i="16"/>
  <c r="I331" i="16"/>
  <c r="J335" i="16"/>
  <c r="I335" i="16"/>
  <c r="J35" i="19"/>
  <c r="G31" i="19"/>
  <c r="AA320" i="16"/>
  <c r="Z320" i="16" s="1"/>
  <c r="Y320" i="16" s="1"/>
  <c r="G320" i="16"/>
  <c r="BY320" i="6" s="1"/>
  <c r="AA218" i="16"/>
  <c r="Z218" i="16" s="1"/>
  <c r="Y218" i="16" s="1"/>
  <c r="G218" i="16"/>
  <c r="BY218" i="6" s="1"/>
  <c r="H320" i="16"/>
  <c r="AD312" i="17"/>
  <c r="AD318" i="17"/>
  <c r="AD302" i="17"/>
  <c r="AD206" i="17"/>
  <c r="AD190" i="17"/>
  <c r="AH381" i="17"/>
  <c r="AH382" i="17"/>
  <c r="AD222" i="17"/>
  <c r="AD59" i="17"/>
  <c r="AD324" i="17"/>
  <c r="AD264" i="17"/>
  <c r="AD224" i="17"/>
  <c r="AD76" i="17"/>
  <c r="AD60" i="17"/>
  <c r="AD304" i="17"/>
  <c r="AD196" i="17"/>
  <c r="AD132" i="17"/>
  <c r="AD68" i="17"/>
  <c r="AA102" i="16"/>
  <c r="Z102" i="16" s="1"/>
  <c r="Y102" i="16" s="1"/>
  <c r="H295" i="16"/>
  <c r="J295" i="16" s="1"/>
  <c r="G351" i="16"/>
  <c r="BY351" i="6" s="1"/>
  <c r="B380" i="16"/>
  <c r="W380" i="16" s="1"/>
  <c r="AD378" i="17"/>
  <c r="AD348" i="17"/>
  <c r="AD316" i="17"/>
  <c r="AD284" i="17"/>
  <c r="AD127" i="17"/>
  <c r="AD350" i="17"/>
  <c r="AD270" i="17"/>
  <c r="AD142" i="17"/>
  <c r="AI383" i="17"/>
  <c r="AD286" i="17"/>
  <c r="AD248" i="17"/>
  <c r="AD91" i="17"/>
  <c r="H218" i="16"/>
  <c r="H67" i="16"/>
  <c r="AA67" i="16"/>
  <c r="Z67" i="16" s="1"/>
  <c r="Y67" i="16" s="1"/>
  <c r="AD356" i="17"/>
  <c r="AD72" i="17"/>
  <c r="AD52" i="17"/>
  <c r="AD44" i="17"/>
  <c r="AD36" i="17"/>
  <c r="AD28" i="17"/>
  <c r="AD20" i="17"/>
  <c r="AD71" i="17"/>
  <c r="AD18" i="17"/>
  <c r="AD358" i="17"/>
  <c r="AD326" i="17"/>
  <c r="AD310" i="17"/>
  <c r="AD294" i="17"/>
  <c r="AD254" i="17"/>
  <c r="AD238" i="17"/>
  <c r="AD198" i="17"/>
  <c r="AD182" i="17"/>
  <c r="AD150" i="17"/>
  <c r="G85" i="16"/>
  <c r="BY85" i="6" s="1"/>
  <c r="AA85" i="16"/>
  <c r="Z85" i="16" s="1"/>
  <c r="Y85" i="16" s="1"/>
  <c r="H85" i="16"/>
  <c r="I216" i="16"/>
  <c r="J216" i="16"/>
  <c r="I61" i="16"/>
  <c r="J61" i="16"/>
  <c r="J267" i="16"/>
  <c r="I267" i="16"/>
  <c r="G323" i="16"/>
  <c r="BY323" i="6" s="1"/>
  <c r="AA323" i="16"/>
  <c r="Z323" i="16" s="1"/>
  <c r="Y323" i="16" s="1"/>
  <c r="G370" i="16"/>
  <c r="BY370" i="6" s="1"/>
  <c r="AA370" i="16"/>
  <c r="Z370" i="16" s="1"/>
  <c r="Y370" i="16" s="1"/>
  <c r="H370" i="16"/>
  <c r="H323" i="16"/>
  <c r="AD336" i="17"/>
  <c r="AD272" i="17"/>
  <c r="AD240" i="17"/>
  <c r="AD200" i="17"/>
  <c r="AD144" i="17"/>
  <c r="AD79" i="17"/>
  <c r="G331" i="16"/>
  <c r="BY331" i="6" s="1"/>
  <c r="AA331" i="16"/>
  <c r="Z331" i="16" s="1"/>
  <c r="Y331" i="16" s="1"/>
  <c r="G61" i="16"/>
  <c r="BY61" i="6" s="1"/>
  <c r="AA61" i="16"/>
  <c r="Z61" i="16" s="1"/>
  <c r="Y61" i="16" s="1"/>
  <c r="G162" i="16"/>
  <c r="BY162" i="6" s="1"/>
  <c r="AA162" i="16"/>
  <c r="Z162" i="16" s="1"/>
  <c r="Y162" i="16" s="1"/>
  <c r="G267" i="16"/>
  <c r="BY267" i="6" s="1"/>
  <c r="AA267" i="16"/>
  <c r="Z267" i="16" s="1"/>
  <c r="Y267" i="16" s="1"/>
  <c r="G211" i="16"/>
  <c r="BY211" i="6" s="1"/>
  <c r="AA211" i="16"/>
  <c r="Z211" i="16" s="1"/>
  <c r="Y211" i="16" s="1"/>
  <c r="H162" i="16"/>
  <c r="AD368" i="17"/>
  <c r="AD208" i="17"/>
  <c r="AD176" i="17"/>
  <c r="AD136" i="17"/>
  <c r="AD95" i="17"/>
  <c r="AD47" i="17"/>
  <c r="AD31" i="17"/>
  <c r="G187" i="16"/>
  <c r="BY187" i="6" s="1"/>
  <c r="AA187" i="16"/>
  <c r="Z187" i="16" s="1"/>
  <c r="Y187" i="16" s="1"/>
  <c r="G251" i="16"/>
  <c r="BY251" i="6" s="1"/>
  <c r="AA251" i="16"/>
  <c r="Z251" i="16" s="1"/>
  <c r="Y251" i="16" s="1"/>
  <c r="H211" i="16"/>
  <c r="J311" i="16"/>
  <c r="I311" i="16"/>
  <c r="J203" i="16"/>
  <c r="I203" i="16"/>
  <c r="I268" i="16"/>
  <c r="J268" i="16"/>
  <c r="J280" i="16"/>
  <c r="I280" i="16"/>
  <c r="I223" i="16"/>
  <c r="J223" i="16"/>
  <c r="I154" i="16"/>
  <c r="J154" i="16"/>
  <c r="I319" i="16"/>
  <c r="J319" i="16"/>
  <c r="R16" i="16"/>
  <c r="S382" i="16"/>
  <c r="S381" i="16"/>
  <c r="S383" i="16"/>
  <c r="G232" i="16"/>
  <c r="BY232" i="6" s="1"/>
  <c r="AA232" i="16"/>
  <c r="Z232" i="16" s="1"/>
  <c r="Y232" i="16" s="1"/>
  <c r="AA170" i="16"/>
  <c r="Z170" i="16" s="1"/>
  <c r="Y170" i="16" s="1"/>
  <c r="G170" i="16"/>
  <c r="BY170" i="6" s="1"/>
  <c r="G255" i="16"/>
  <c r="BY255" i="6" s="1"/>
  <c r="AA255" i="16"/>
  <c r="Z255" i="16" s="1"/>
  <c r="Y255" i="16" s="1"/>
  <c r="AA183" i="16"/>
  <c r="Z183" i="16" s="1"/>
  <c r="Y183" i="16" s="1"/>
  <c r="G183" i="16"/>
  <c r="BY183" i="6" s="1"/>
  <c r="G227" i="16"/>
  <c r="BY227" i="6" s="1"/>
  <c r="AA227" i="16"/>
  <c r="Z227" i="16" s="1"/>
  <c r="Y227" i="16" s="1"/>
  <c r="G348" i="16"/>
  <c r="BY348" i="6" s="1"/>
  <c r="AA348" i="16"/>
  <c r="Z348" i="16" s="1"/>
  <c r="Y348" i="16" s="1"/>
  <c r="AF379" i="16"/>
  <c r="AG383" i="16"/>
  <c r="AG382" i="16"/>
  <c r="AG381" i="16"/>
  <c r="AA86" i="16"/>
  <c r="Z86" i="16" s="1"/>
  <c r="Y86" i="16" s="1"/>
  <c r="G86" i="16"/>
  <c r="BY86" i="6" s="1"/>
  <c r="G146" i="16"/>
  <c r="BY146" i="6" s="1"/>
  <c r="AA146" i="16"/>
  <c r="Z146" i="16" s="1"/>
  <c r="Y146" i="16" s="1"/>
  <c r="W29" i="16"/>
  <c r="D29" i="16"/>
  <c r="E29" i="16" s="1"/>
  <c r="F29" i="16" s="1"/>
  <c r="G327" i="16"/>
  <c r="BY327" i="6" s="1"/>
  <c r="AA327" i="16"/>
  <c r="Z327" i="16" s="1"/>
  <c r="Y327" i="16" s="1"/>
  <c r="G303" i="16"/>
  <c r="BY303" i="6" s="1"/>
  <c r="AA303" i="16"/>
  <c r="Z303" i="16" s="1"/>
  <c r="Y303" i="16" s="1"/>
  <c r="H183" i="16"/>
  <c r="H146" i="16"/>
  <c r="G239" i="16"/>
  <c r="BY239" i="6" s="1"/>
  <c r="AA239" i="16"/>
  <c r="Z239" i="16" s="1"/>
  <c r="Y239" i="16" s="1"/>
  <c r="AA82" i="16"/>
  <c r="Z82" i="16" s="1"/>
  <c r="Y82" i="16" s="1"/>
  <c r="G82" i="16"/>
  <c r="BY82" i="6" s="1"/>
  <c r="G77" i="16"/>
  <c r="BY77" i="6" s="1"/>
  <c r="AA77" i="16"/>
  <c r="Z77" i="16" s="1"/>
  <c r="Y77" i="16" s="1"/>
  <c r="AA106" i="16"/>
  <c r="Z106" i="16" s="1"/>
  <c r="Y106" i="16" s="1"/>
  <c r="G106" i="16"/>
  <c r="BY106" i="6" s="1"/>
  <c r="G130" i="16"/>
  <c r="BY130" i="6" s="1"/>
  <c r="AA130" i="16"/>
  <c r="Z130" i="16" s="1"/>
  <c r="Y130" i="16" s="1"/>
  <c r="G279" i="16"/>
  <c r="BY279" i="6" s="1"/>
  <c r="AA279" i="16"/>
  <c r="Z279" i="16" s="1"/>
  <c r="Y279" i="16" s="1"/>
  <c r="G113" i="16"/>
  <c r="BY113" i="6" s="1"/>
  <c r="AA113" i="16"/>
  <c r="Z113" i="16" s="1"/>
  <c r="Y113" i="16" s="1"/>
  <c r="H113" i="16"/>
  <c r="H327" i="16"/>
  <c r="H130" i="16"/>
  <c r="G311" i="16"/>
  <c r="BY311" i="6" s="1"/>
  <c r="AA311" i="16"/>
  <c r="Z311" i="16" s="1"/>
  <c r="Y311" i="16" s="1"/>
  <c r="AA191" i="16"/>
  <c r="Z191" i="16" s="1"/>
  <c r="Y191" i="16" s="1"/>
  <c r="G191" i="16"/>
  <c r="BY191" i="6" s="1"/>
  <c r="G203" i="16"/>
  <c r="BY203" i="6" s="1"/>
  <c r="AA203" i="16"/>
  <c r="Z203" i="16" s="1"/>
  <c r="Y203" i="16" s="1"/>
  <c r="AA268" i="16"/>
  <c r="Z268" i="16" s="1"/>
  <c r="Y268" i="16" s="1"/>
  <c r="G268" i="16"/>
  <c r="BY268" i="6" s="1"/>
  <c r="G122" i="16"/>
  <c r="BY122" i="6" s="1"/>
  <c r="AA122" i="16"/>
  <c r="Z122" i="16" s="1"/>
  <c r="Y122" i="16" s="1"/>
  <c r="G352" i="16"/>
  <c r="BY352" i="6" s="1"/>
  <c r="AA352" i="16"/>
  <c r="Z352" i="16" s="1"/>
  <c r="Y352" i="16" s="1"/>
  <c r="G195" i="16"/>
  <c r="BY195" i="6" s="1"/>
  <c r="AA195" i="16"/>
  <c r="Z195" i="16" s="1"/>
  <c r="Y195" i="16" s="1"/>
  <c r="H195" i="16"/>
  <c r="H191" i="16"/>
  <c r="H170" i="16"/>
  <c r="H232" i="16"/>
  <c r="H86" i="16"/>
  <c r="H122" i="16"/>
  <c r="AA280" i="16"/>
  <c r="Z280" i="16" s="1"/>
  <c r="Y280" i="16" s="1"/>
  <c r="G280" i="16"/>
  <c r="BY280" i="6" s="1"/>
  <c r="G223" i="16"/>
  <c r="BY223" i="6" s="1"/>
  <c r="AA223" i="16"/>
  <c r="Z223" i="16" s="1"/>
  <c r="Y223" i="16" s="1"/>
  <c r="G216" i="16"/>
  <c r="BY216" i="6" s="1"/>
  <c r="AA216" i="16"/>
  <c r="Z216" i="16" s="1"/>
  <c r="Y216" i="16" s="1"/>
  <c r="AA154" i="16"/>
  <c r="Z154" i="16" s="1"/>
  <c r="Y154" i="16" s="1"/>
  <c r="G154" i="16"/>
  <c r="BY154" i="6" s="1"/>
  <c r="G367" i="16"/>
  <c r="BY367" i="6" s="1"/>
  <c r="AA367" i="16"/>
  <c r="Z367" i="16" s="1"/>
  <c r="Y367" i="16" s="1"/>
  <c r="G335" i="16"/>
  <c r="BY335" i="6" s="1"/>
  <c r="AA335" i="16"/>
  <c r="Z335" i="16" s="1"/>
  <c r="Y335" i="16" s="1"/>
  <c r="G319" i="16"/>
  <c r="BY319" i="6" s="1"/>
  <c r="AA319" i="16"/>
  <c r="Z319" i="16" s="1"/>
  <c r="Y319" i="16" s="1"/>
  <c r="H82" i="16"/>
  <c r="H352" i="16"/>
  <c r="H348" i="16"/>
  <c r="H77" i="16"/>
  <c r="H367" i="16"/>
  <c r="H255" i="16"/>
  <c r="H303" i="16"/>
  <c r="H106" i="16"/>
  <c r="H227" i="16"/>
  <c r="I188" i="16"/>
  <c r="V272" i="17"/>
  <c r="B272" i="17" s="1"/>
  <c r="V149" i="17"/>
  <c r="B149" i="17" s="1"/>
  <c r="D11" i="19"/>
  <c r="D31" i="19" s="1"/>
  <c r="G35" i="19"/>
  <c r="Q327" i="18"/>
  <c r="Q198" i="18"/>
  <c r="Q359" i="18"/>
  <c r="Q263" i="18"/>
  <c r="Q134" i="18"/>
  <c r="Q375" i="18"/>
  <c r="Q343" i="18"/>
  <c r="Q295" i="18"/>
  <c r="Q230" i="18"/>
  <c r="Q166" i="18"/>
  <c r="Q78" i="18"/>
  <c r="Q367" i="18"/>
  <c r="Q351" i="18"/>
  <c r="Q335" i="18"/>
  <c r="Q311" i="18"/>
  <c r="Q279" i="18"/>
  <c r="Q247" i="18"/>
  <c r="Q214" i="18"/>
  <c r="Q182" i="18"/>
  <c r="Q150" i="18"/>
  <c r="Q110" i="18"/>
  <c r="Q46" i="18"/>
  <c r="Q17" i="19"/>
  <c r="B12" i="19"/>
  <c r="Q319" i="18"/>
  <c r="Q303" i="18"/>
  <c r="Q287" i="18"/>
  <c r="Q271" i="18"/>
  <c r="Q255" i="18"/>
  <c r="Q239" i="18"/>
  <c r="Q222" i="18"/>
  <c r="Q206" i="18"/>
  <c r="Q190" i="18"/>
  <c r="Q174" i="18"/>
  <c r="Q158" i="18"/>
  <c r="Q142" i="18"/>
  <c r="Q126" i="18"/>
  <c r="Q94" i="18"/>
  <c r="Q62" i="18"/>
  <c r="Q30" i="18"/>
  <c r="Q379" i="18"/>
  <c r="Q12" i="20" s="1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18" i="18"/>
  <c r="Q102" i="18"/>
  <c r="Q86" i="18"/>
  <c r="Q70" i="18"/>
  <c r="Q54" i="18"/>
  <c r="Q38" i="18"/>
  <c r="Q22" i="18"/>
  <c r="V333" i="17"/>
  <c r="B333" i="17" s="1"/>
  <c r="B210" i="17"/>
  <c r="D210" i="16"/>
  <c r="E210" i="16" s="1"/>
  <c r="F210" i="16" s="1"/>
  <c r="H210" i="16" s="1"/>
  <c r="I114" i="16"/>
  <c r="H108" i="16"/>
  <c r="I108" i="16" s="1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I33" i="16"/>
  <c r="I264" i="16"/>
  <c r="J266" i="16"/>
  <c r="I358" i="16"/>
  <c r="H40" i="16"/>
  <c r="J40" i="16" s="1"/>
  <c r="I172" i="16"/>
  <c r="J136" i="16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I52" i="16"/>
  <c r="J52" i="16"/>
  <c r="V363" i="17"/>
  <c r="B363" i="17" s="1"/>
  <c r="V119" i="17"/>
  <c r="B119" i="17" s="1"/>
  <c r="J75" i="16"/>
  <c r="H58" i="16"/>
  <c r="I58" i="16" s="1"/>
  <c r="H62" i="16"/>
  <c r="I62" i="16" s="1"/>
  <c r="J48" i="16"/>
  <c r="I48" i="16"/>
  <c r="H30" i="16"/>
  <c r="I30" i="16" s="1"/>
  <c r="I241" i="16"/>
  <c r="J241" i="16"/>
  <c r="J54" i="16"/>
  <c r="I54" i="16"/>
  <c r="J20" i="16"/>
  <c r="I20" i="16"/>
  <c r="I42" i="16"/>
  <c r="J42" i="16"/>
  <c r="J137" i="16"/>
  <c r="I137" i="16"/>
  <c r="I35" i="16"/>
  <c r="J35" i="16"/>
  <c r="J28" i="16"/>
  <c r="I28" i="16"/>
  <c r="I288" i="16"/>
  <c r="G93" i="16"/>
  <c r="BY93" i="6" s="1"/>
  <c r="H93" i="16"/>
  <c r="AA93" i="16"/>
  <c r="Z93" i="16" s="1"/>
  <c r="Y93" i="16" s="1"/>
  <c r="AA374" i="16"/>
  <c r="Z374" i="16" s="1"/>
  <c r="Y374" i="16" s="1"/>
  <c r="H374" i="16"/>
  <c r="G374" i="16"/>
  <c r="BY374" i="6" s="1"/>
  <c r="AA31" i="16"/>
  <c r="Z31" i="16" s="1"/>
  <c r="Y31" i="16" s="1"/>
  <c r="H31" i="16"/>
  <c r="G31" i="16"/>
  <c r="BY31" i="6" s="1"/>
  <c r="G275" i="16"/>
  <c r="BY275" i="6" s="1"/>
  <c r="AA275" i="16"/>
  <c r="Z275" i="16" s="1"/>
  <c r="Y275" i="16" s="1"/>
  <c r="H275" i="16"/>
  <c r="G143" i="16"/>
  <c r="BY143" i="6" s="1"/>
  <c r="H143" i="16"/>
  <c r="AA143" i="16"/>
  <c r="Z143" i="16" s="1"/>
  <c r="Y143" i="16" s="1"/>
  <c r="J58" i="16"/>
  <c r="I244" i="16"/>
  <c r="J244" i="16"/>
  <c r="I220" i="16"/>
  <c r="J220" i="16"/>
  <c r="J202" i="16"/>
  <c r="I202" i="16"/>
  <c r="I159" i="16"/>
  <c r="J159" i="16"/>
  <c r="J71" i="16"/>
  <c r="I71" i="16"/>
  <c r="I332" i="16"/>
  <c r="J332" i="16"/>
  <c r="J262" i="16"/>
  <c r="I262" i="16"/>
  <c r="I142" i="16"/>
  <c r="J142" i="16"/>
  <c r="J369" i="16"/>
  <c r="I369" i="16"/>
  <c r="J80" i="16"/>
  <c r="I80" i="16"/>
  <c r="I64" i="16"/>
  <c r="J64" i="16"/>
  <c r="I292" i="16"/>
  <c r="J292" i="16"/>
  <c r="J330" i="16"/>
  <c r="I330" i="16"/>
  <c r="J315" i="16"/>
  <c r="I315" i="16"/>
  <c r="J271" i="16"/>
  <c r="I271" i="16"/>
  <c r="I123" i="16"/>
  <c r="J123" i="16"/>
  <c r="J37" i="16"/>
  <c r="I37" i="16"/>
  <c r="I19" i="16"/>
  <c r="J19" i="16"/>
  <c r="I328" i="16"/>
  <c r="J328" i="16"/>
  <c r="J226" i="16"/>
  <c r="I226" i="16"/>
  <c r="J318" i="16"/>
  <c r="I318" i="16"/>
  <c r="I287" i="16"/>
  <c r="J287" i="16"/>
  <c r="H217" i="16"/>
  <c r="G217" i="16"/>
  <c r="BY217" i="6" s="1"/>
  <c r="AA217" i="16"/>
  <c r="Z217" i="16" s="1"/>
  <c r="Y217" i="16" s="1"/>
  <c r="H378" i="16"/>
  <c r="G378" i="16"/>
  <c r="BY378" i="6" s="1"/>
  <c r="AA378" i="16"/>
  <c r="Z378" i="16" s="1"/>
  <c r="Y378" i="16" s="1"/>
  <c r="H342" i="16"/>
  <c r="G342" i="16"/>
  <c r="BY342" i="6" s="1"/>
  <c r="AA342" i="16"/>
  <c r="Z342" i="16" s="1"/>
  <c r="Y342" i="16" s="1"/>
  <c r="AA308" i="16"/>
  <c r="Z308" i="16" s="1"/>
  <c r="Y308" i="16" s="1"/>
  <c r="H308" i="16"/>
  <c r="G308" i="16"/>
  <c r="BY308" i="6" s="1"/>
  <c r="G119" i="16"/>
  <c r="BY119" i="6" s="1"/>
  <c r="H119" i="16"/>
  <c r="AA119" i="16"/>
  <c r="Z119" i="16" s="1"/>
  <c r="Y119" i="16" s="1"/>
  <c r="AA87" i="16"/>
  <c r="Z87" i="16" s="1"/>
  <c r="Y87" i="16" s="1"/>
  <c r="H87" i="16"/>
  <c r="G87" i="16"/>
  <c r="BY87" i="6" s="1"/>
  <c r="G289" i="16"/>
  <c r="BY289" i="6" s="1"/>
  <c r="AA289" i="16"/>
  <c r="Z289" i="16" s="1"/>
  <c r="Y289" i="16" s="1"/>
  <c r="H289" i="16"/>
  <c r="H57" i="16"/>
  <c r="AA57" i="16"/>
  <c r="Z57" i="16" s="1"/>
  <c r="Y57" i="16" s="1"/>
  <c r="G57" i="16"/>
  <c r="BY57" i="6" s="1"/>
  <c r="AA53" i="16"/>
  <c r="Z53" i="16" s="1"/>
  <c r="Y53" i="16" s="1"/>
  <c r="H53" i="16"/>
  <c r="G53" i="16"/>
  <c r="BY53" i="6" s="1"/>
  <c r="AA180" i="16"/>
  <c r="Z180" i="16" s="1"/>
  <c r="Y180" i="16" s="1"/>
  <c r="G180" i="16"/>
  <c r="BY180" i="6" s="1"/>
  <c r="H180" i="16"/>
  <c r="H60" i="16"/>
  <c r="AA60" i="16"/>
  <c r="Z60" i="16" s="1"/>
  <c r="Y60" i="16" s="1"/>
  <c r="G60" i="16"/>
  <c r="BY60" i="6" s="1"/>
  <c r="J32" i="16"/>
  <c r="I32" i="16"/>
  <c r="J294" i="16"/>
  <c r="I294" i="16"/>
  <c r="I134" i="16"/>
  <c r="J134" i="16"/>
  <c r="I94" i="16"/>
  <c r="J94" i="16"/>
  <c r="J298" i="16"/>
  <c r="I298" i="16"/>
  <c r="J81" i="16"/>
  <c r="I81" i="16"/>
  <c r="I285" i="16"/>
  <c r="J285" i="16"/>
  <c r="I313" i="16"/>
  <c r="J313" i="16"/>
  <c r="I314" i="16"/>
  <c r="J314" i="16"/>
  <c r="AA197" i="16"/>
  <c r="Z197" i="16" s="1"/>
  <c r="Y197" i="16" s="1"/>
  <c r="G197" i="16"/>
  <c r="BY197" i="6" s="1"/>
  <c r="J155" i="16"/>
  <c r="I155" i="16"/>
  <c r="J39" i="16"/>
  <c r="I39" i="16"/>
  <c r="I270" i="16"/>
  <c r="J270" i="16"/>
  <c r="I256" i="16"/>
  <c r="J256" i="16"/>
  <c r="I41" i="16"/>
  <c r="J41" i="16"/>
  <c r="I96" i="16"/>
  <c r="J96" i="16"/>
  <c r="I128" i="16"/>
  <c r="J128" i="16"/>
  <c r="I144" i="16"/>
  <c r="J144" i="16"/>
  <c r="I343" i="16"/>
  <c r="J343" i="16"/>
  <c r="J68" i="16"/>
  <c r="I68" i="16"/>
  <c r="J141" i="16"/>
  <c r="I141" i="16"/>
  <c r="G88" i="16"/>
  <c r="BY88" i="6" s="1"/>
  <c r="AA88" i="16"/>
  <c r="Z88" i="16" s="1"/>
  <c r="Y88" i="16" s="1"/>
  <c r="H88" i="16"/>
  <c r="G173" i="16"/>
  <c r="BY173" i="6" s="1"/>
  <c r="AA173" i="16"/>
  <c r="Z173" i="16" s="1"/>
  <c r="Y173" i="16" s="1"/>
  <c r="H173" i="16"/>
  <c r="G152" i="16"/>
  <c r="BY152" i="6" s="1"/>
  <c r="H152" i="16"/>
  <c r="AA152" i="16"/>
  <c r="Z152" i="16" s="1"/>
  <c r="Y152" i="16" s="1"/>
  <c r="AA92" i="16"/>
  <c r="Z92" i="16" s="1"/>
  <c r="Y92" i="16" s="1"/>
  <c r="G92" i="16"/>
  <c r="BY92" i="6" s="1"/>
  <c r="H92" i="16"/>
  <c r="I23" i="16"/>
  <c r="J23" i="16"/>
  <c r="I192" i="16"/>
  <c r="J192" i="16"/>
  <c r="J17" i="16"/>
  <c r="I17" i="16"/>
  <c r="H333" i="16"/>
  <c r="AA333" i="16"/>
  <c r="Z333" i="16" s="1"/>
  <c r="Y333" i="16" s="1"/>
  <c r="G333" i="16"/>
  <c r="BY333" i="6" s="1"/>
  <c r="J346" i="16"/>
  <c r="I346" i="16"/>
  <c r="I101" i="16"/>
  <c r="J101" i="16"/>
  <c r="J269" i="16"/>
  <c r="I269" i="16"/>
  <c r="J36" i="16"/>
  <c r="I109" i="16"/>
  <c r="J109" i="16"/>
  <c r="I307" i="16"/>
  <c r="J307" i="16"/>
  <c r="I127" i="16"/>
  <c r="J127" i="16"/>
  <c r="I91" i="16"/>
  <c r="J91" i="16"/>
  <c r="J198" i="16"/>
  <c r="I198" i="16"/>
  <c r="I59" i="16"/>
  <c r="J59" i="16"/>
  <c r="I219" i="16"/>
  <c r="J219" i="16"/>
  <c r="AA74" i="16"/>
  <c r="Z74" i="16" s="1"/>
  <c r="Y74" i="16" s="1"/>
  <c r="H74" i="16"/>
  <c r="G74" i="16"/>
  <c r="BY74" i="6" s="1"/>
  <c r="AA299" i="16"/>
  <c r="Z299" i="16" s="1"/>
  <c r="Y299" i="16" s="1"/>
  <c r="G299" i="16"/>
  <c r="BY299" i="6" s="1"/>
  <c r="H299" i="16"/>
  <c r="G140" i="16"/>
  <c r="BY140" i="6" s="1"/>
  <c r="H140" i="16"/>
  <c r="AA140" i="16"/>
  <c r="Z140" i="16" s="1"/>
  <c r="Y140" i="16" s="1"/>
  <c r="G151" i="16"/>
  <c r="BY151" i="6" s="1"/>
  <c r="H151" i="16"/>
  <c r="AA151" i="16"/>
  <c r="Z151" i="16" s="1"/>
  <c r="Y151" i="16" s="1"/>
  <c r="G58" i="16"/>
  <c r="BY58" i="6" s="1"/>
  <c r="AA58" i="16"/>
  <c r="Z58" i="16" s="1"/>
  <c r="Y58" i="16" s="1"/>
  <c r="I194" i="16"/>
  <c r="J194" i="16"/>
  <c r="J47" i="16"/>
  <c r="I47" i="16"/>
  <c r="J110" i="16"/>
  <c r="I110" i="16"/>
  <c r="J56" i="16"/>
  <c r="I56" i="16"/>
  <c r="J337" i="16"/>
  <c r="I337" i="16"/>
  <c r="J306" i="16"/>
  <c r="I306" i="16"/>
  <c r="I65" i="16"/>
  <c r="J65" i="16"/>
  <c r="J107" i="16"/>
  <c r="I107" i="16"/>
  <c r="J55" i="16"/>
  <c r="I55" i="16"/>
  <c r="J214" i="16"/>
  <c r="I214" i="16"/>
  <c r="J190" i="16"/>
  <c r="I190" i="16"/>
  <c r="J49" i="16"/>
  <c r="I49" i="16"/>
  <c r="I124" i="16"/>
  <c r="J124" i="16"/>
  <c r="J168" i="16"/>
  <c r="I168" i="16"/>
  <c r="J351" i="16"/>
  <c r="I351" i="16"/>
  <c r="I347" i="16"/>
  <c r="J347" i="16"/>
  <c r="I304" i="16"/>
  <c r="J304" i="16"/>
  <c r="H197" i="16"/>
  <c r="AA199" i="16"/>
  <c r="Z199" i="16" s="1"/>
  <c r="Y199" i="16" s="1"/>
  <c r="H199" i="16"/>
  <c r="G199" i="16"/>
  <c r="BY199" i="6" s="1"/>
  <c r="AA73" i="16"/>
  <c r="Z73" i="16" s="1"/>
  <c r="Y73" i="16" s="1"/>
  <c r="G73" i="16"/>
  <c r="BY73" i="6" s="1"/>
  <c r="H73" i="16"/>
  <c r="H274" i="16"/>
  <c r="G274" i="16"/>
  <c r="BY274" i="6" s="1"/>
  <c r="AA274" i="16"/>
  <c r="Z274" i="16" s="1"/>
  <c r="Y274" i="16" s="1"/>
  <c r="AA296" i="16"/>
  <c r="Z296" i="16" s="1"/>
  <c r="Y296" i="16" s="1"/>
  <c r="G296" i="16"/>
  <c r="BY296" i="6" s="1"/>
  <c r="H296" i="16"/>
  <c r="J362" i="16"/>
  <c r="I22" i="16"/>
  <c r="J22" i="16"/>
  <c r="J208" i="16"/>
  <c r="I208" i="16"/>
  <c r="I166" i="16"/>
  <c r="J166" i="16"/>
  <c r="I102" i="16"/>
  <c r="J272" i="16"/>
  <c r="I272" i="16"/>
  <c r="I209" i="16"/>
  <c r="J209" i="16"/>
  <c r="G30" i="16"/>
  <c r="BY30" i="6" s="1"/>
  <c r="AA30" i="16"/>
  <c r="Z30" i="16" s="1"/>
  <c r="Y30" i="16" s="1"/>
  <c r="J24" i="16"/>
  <c r="I24" i="16"/>
  <c r="I231" i="16"/>
  <c r="J231" i="16"/>
  <c r="I161" i="16"/>
  <c r="J161" i="16"/>
  <c r="J364" i="16"/>
  <c r="I364" i="16"/>
  <c r="J242" i="16"/>
  <c r="I242" i="16"/>
  <c r="J178" i="16"/>
  <c r="I178" i="16"/>
  <c r="J207" i="16"/>
  <c r="I207" i="16"/>
  <c r="J79" i="16"/>
  <c r="I79" i="16"/>
  <c r="I376" i="16"/>
  <c r="J376" i="16"/>
  <c r="H149" i="16"/>
  <c r="AA149" i="16"/>
  <c r="Z149" i="16" s="1"/>
  <c r="Y149" i="16" s="1"/>
  <c r="G149" i="16"/>
  <c r="BY149" i="6" s="1"/>
  <c r="AA372" i="16"/>
  <c r="Z372" i="16" s="1"/>
  <c r="Y372" i="16" s="1"/>
  <c r="H372" i="16"/>
  <c r="G372" i="16"/>
  <c r="BY372" i="6" s="1"/>
  <c r="AA322" i="16"/>
  <c r="Z322" i="16" s="1"/>
  <c r="Y322" i="16" s="1"/>
  <c r="G322" i="16"/>
  <c r="BY322" i="6" s="1"/>
  <c r="H322" i="16"/>
  <c r="AA184" i="16"/>
  <c r="Z184" i="16" s="1"/>
  <c r="Y184" i="16" s="1"/>
  <c r="G184" i="16"/>
  <c r="BY184" i="6" s="1"/>
  <c r="H184" i="16"/>
  <c r="G97" i="16"/>
  <c r="BY97" i="6" s="1"/>
  <c r="AA97" i="16"/>
  <c r="Z97" i="16" s="1"/>
  <c r="Y97" i="16" s="1"/>
  <c r="H97" i="16"/>
  <c r="G310" i="16"/>
  <c r="BY310" i="6" s="1"/>
  <c r="H310" i="16"/>
  <c r="AA310" i="16"/>
  <c r="Z310" i="16" s="1"/>
  <c r="Y310" i="16" s="1"/>
  <c r="G103" i="16"/>
  <c r="BY103" i="6" s="1"/>
  <c r="AA103" i="16"/>
  <c r="Z103" i="16" s="1"/>
  <c r="Y103" i="16" s="1"/>
  <c r="H103" i="16"/>
  <c r="AA212" i="16"/>
  <c r="Z212" i="16" s="1"/>
  <c r="Y212" i="16" s="1"/>
  <c r="H212" i="16"/>
  <c r="G212" i="16"/>
  <c r="BY212" i="6" s="1"/>
  <c r="J44" i="16"/>
  <c r="I44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J252" i="16"/>
  <c r="I252" i="16"/>
  <c r="J66" i="16"/>
  <c r="I66" i="16"/>
  <c r="I250" i="16"/>
  <c r="J250" i="16"/>
  <c r="J238" i="16"/>
  <c r="I238" i="16"/>
  <c r="J234" i="16"/>
  <c r="I234" i="16"/>
  <c r="I174" i="16"/>
  <c r="J174" i="16"/>
  <c r="AA62" i="16"/>
  <c r="Z62" i="16" s="1"/>
  <c r="Y62" i="16" s="1"/>
  <c r="G62" i="16"/>
  <c r="BY62" i="6" s="1"/>
  <c r="J297" i="16"/>
  <c r="I297" i="16"/>
  <c r="I34" i="16"/>
  <c r="G21" i="16"/>
  <c r="BY21" i="6" s="1"/>
  <c r="AA21" i="16"/>
  <c r="Z21" i="16" s="1"/>
  <c r="Y21" i="16" s="1"/>
  <c r="H21" i="16"/>
  <c r="J153" i="16"/>
  <c r="I153" i="16"/>
  <c r="J115" i="16"/>
  <c r="I115" i="16"/>
  <c r="I99" i="16"/>
  <c r="J99" i="16"/>
  <c r="J338" i="16"/>
  <c r="I338" i="16"/>
  <c r="J302" i="16"/>
  <c r="I302" i="16"/>
  <c r="I282" i="16"/>
  <c r="J282" i="16"/>
  <c r="J104" i="16"/>
  <c r="I104" i="16"/>
  <c r="I120" i="16"/>
  <c r="J120" i="16"/>
  <c r="I156" i="16"/>
  <c r="J156" i="16"/>
  <c r="I164" i="16"/>
  <c r="J164" i="16"/>
  <c r="I359" i="16"/>
  <c r="J359" i="16"/>
  <c r="J355" i="16"/>
  <c r="I355" i="16"/>
  <c r="I243" i="16"/>
  <c r="J243" i="16"/>
  <c r="E15" i="15"/>
  <c r="AJ9" i="15" s="1"/>
  <c r="AJ11" i="15" s="1"/>
  <c r="D381" i="15"/>
  <c r="D382" i="15"/>
  <c r="AJ8" i="15"/>
  <c r="D383" i="15"/>
  <c r="D9" i="15"/>
  <c r="D11" i="15" s="1"/>
  <c r="E36" i="19" s="1"/>
  <c r="AA222" i="16"/>
  <c r="Z222" i="16" s="1"/>
  <c r="Y222" i="16" s="1"/>
  <c r="G222" i="16"/>
  <c r="BY222" i="6" s="1"/>
  <c r="H222" i="16"/>
  <c r="G78" i="16"/>
  <c r="BY78" i="6" s="1"/>
  <c r="H78" i="16"/>
  <c r="AA78" i="16"/>
  <c r="Z78" i="16" s="1"/>
  <c r="Y78" i="16" s="1"/>
  <c r="AA111" i="16"/>
  <c r="Z111" i="16" s="1"/>
  <c r="Y111" i="16" s="1"/>
  <c r="G111" i="16"/>
  <c r="BY111" i="6" s="1"/>
  <c r="H111" i="16"/>
  <c r="H118" i="16"/>
  <c r="AA118" i="16"/>
  <c r="Z118" i="16" s="1"/>
  <c r="Y118" i="16" s="1"/>
  <c r="G118" i="16"/>
  <c r="BY118" i="6" s="1"/>
  <c r="H176" i="16"/>
  <c r="G176" i="16"/>
  <c r="BY176" i="6" s="1"/>
  <c r="AA176" i="16"/>
  <c r="Z176" i="16" s="1"/>
  <c r="Y176" i="16" s="1"/>
  <c r="G112" i="16"/>
  <c r="BY112" i="6" s="1"/>
  <c r="AA112" i="16"/>
  <c r="Z112" i="16" s="1"/>
  <c r="Y112" i="16" s="1"/>
  <c r="H112" i="16"/>
  <c r="G84" i="16"/>
  <c r="BY84" i="6" s="1"/>
  <c r="AA84" i="16"/>
  <c r="Z84" i="16" s="1"/>
  <c r="Y84" i="16" s="1"/>
  <c r="H84" i="16"/>
  <c r="H233" i="16"/>
  <c r="AA233" i="16"/>
  <c r="Z233" i="16" s="1"/>
  <c r="Y233" i="16" s="1"/>
  <c r="G233" i="16"/>
  <c r="BY233" i="6" s="1"/>
  <c r="H18" i="16"/>
  <c r="I284" i="16"/>
  <c r="J284" i="16"/>
  <c r="J236" i="16"/>
  <c r="I236" i="16"/>
  <c r="I186" i="16"/>
  <c r="J186" i="16"/>
  <c r="J147" i="16"/>
  <c r="J340" i="16"/>
  <c r="I340" i="16"/>
  <c r="I286" i="16"/>
  <c r="J286" i="16"/>
  <c r="J246" i="16"/>
  <c r="I246" i="16"/>
  <c r="J150" i="16"/>
  <c r="I150" i="16"/>
  <c r="I126" i="16"/>
  <c r="J126" i="16"/>
  <c r="G40" i="16"/>
  <c r="BY40" i="6" s="1"/>
  <c r="AA40" i="16"/>
  <c r="Z40" i="16" s="1"/>
  <c r="Y40" i="16" s="1"/>
  <c r="AA363" i="16"/>
  <c r="Z363" i="16" s="1"/>
  <c r="Y363" i="16" s="1"/>
  <c r="H363" i="16"/>
  <c r="G363" i="16"/>
  <c r="BY363" i="6" s="1"/>
  <c r="I305" i="16"/>
  <c r="J305" i="16"/>
  <c r="I247" i="16"/>
  <c r="J247" i="16"/>
  <c r="AA50" i="16"/>
  <c r="Z50" i="16" s="1"/>
  <c r="Y50" i="16" s="1"/>
  <c r="G50" i="16"/>
  <c r="BY50" i="6" s="1"/>
  <c r="H50" i="16"/>
  <c r="I179" i="16"/>
  <c r="J179" i="16"/>
  <c r="I259" i="16"/>
  <c r="J259" i="16"/>
  <c r="I185" i="16"/>
  <c r="J185" i="16"/>
  <c r="I25" i="16"/>
  <c r="J25" i="16"/>
  <c r="J368" i="16"/>
  <c r="I368" i="16"/>
  <c r="J360" i="16"/>
  <c r="I360" i="16"/>
  <c r="J260" i="16"/>
  <c r="I260" i="16"/>
  <c r="J230" i="16"/>
  <c r="I230" i="16"/>
  <c r="J76" i="16"/>
  <c r="I76" i="16"/>
  <c r="I291" i="16"/>
  <c r="J291" i="16"/>
  <c r="J83" i="16"/>
  <c r="I83" i="16"/>
  <c r="I69" i="16"/>
  <c r="J69" i="16"/>
  <c r="J278" i="16"/>
  <c r="I278" i="16"/>
  <c r="H341" i="16"/>
  <c r="AA341" i="16"/>
  <c r="Z341" i="16" s="1"/>
  <c r="Y341" i="16" s="1"/>
  <c r="G341" i="16"/>
  <c r="BY341" i="6" s="1"/>
  <c r="AA139" i="16"/>
  <c r="Z139" i="16" s="1"/>
  <c r="Y139" i="16" s="1"/>
  <c r="H139" i="16"/>
  <c r="G139" i="16"/>
  <c r="BY139" i="6" s="1"/>
  <c r="G70" i="16"/>
  <c r="BY70" i="6" s="1"/>
  <c r="AA70" i="16"/>
  <c r="Z70" i="16" s="1"/>
  <c r="Y70" i="16" s="1"/>
  <c r="H70" i="16"/>
  <c r="AA27" i="16"/>
  <c r="Z27" i="16" s="1"/>
  <c r="Y27" i="16" s="1"/>
  <c r="H27" i="16"/>
  <c r="G27" i="16"/>
  <c r="BY27" i="6" s="1"/>
  <c r="G167" i="16"/>
  <c r="BY167" i="6" s="1"/>
  <c r="AA167" i="16"/>
  <c r="Z167" i="16" s="1"/>
  <c r="Y167" i="16" s="1"/>
  <c r="H167" i="16"/>
  <c r="H135" i="16"/>
  <c r="G135" i="16"/>
  <c r="BY135" i="6" s="1"/>
  <c r="AA135" i="16"/>
  <c r="Z135" i="16" s="1"/>
  <c r="Y135" i="16" s="1"/>
  <c r="J254" i="16"/>
  <c r="I254" i="16"/>
  <c r="J200" i="16"/>
  <c r="I200" i="16"/>
  <c r="I158" i="16"/>
  <c r="J158" i="16"/>
  <c r="I125" i="16"/>
  <c r="J125" i="16"/>
  <c r="J293" i="16"/>
  <c r="I293" i="16"/>
  <c r="I354" i="16"/>
  <c r="J354" i="16"/>
  <c r="J365" i="16"/>
  <c r="I365" i="16"/>
  <c r="G36" i="16"/>
  <c r="BY36" i="6" s="1"/>
  <c r="AA36" i="16"/>
  <c r="Z36" i="16" s="1"/>
  <c r="Y36" i="16" s="1"/>
  <c r="J205" i="16"/>
  <c r="I205" i="16"/>
  <c r="I163" i="16"/>
  <c r="J163" i="16"/>
  <c r="I131" i="16"/>
  <c r="J131" i="16"/>
  <c r="J312" i="16"/>
  <c r="I312" i="16"/>
  <c r="I276" i="16"/>
  <c r="J276" i="16"/>
  <c r="I100" i="16"/>
  <c r="J100" i="16"/>
  <c r="I116" i="16"/>
  <c r="J116" i="16"/>
  <c r="J132" i="16"/>
  <c r="I132" i="16"/>
  <c r="J148" i="16"/>
  <c r="I148" i="16"/>
  <c r="I160" i="16"/>
  <c r="J160" i="16"/>
  <c r="J339" i="16"/>
  <c r="I339" i="16"/>
  <c r="AA38" i="16"/>
  <c r="Z38" i="16" s="1"/>
  <c r="Y38" i="16" s="1"/>
  <c r="G38" i="16"/>
  <c r="BY38" i="6" s="1"/>
  <c r="H38" i="16"/>
  <c r="I169" i="16"/>
  <c r="J169" i="16"/>
  <c r="I45" i="16"/>
  <c r="J45" i="16"/>
  <c r="U10" i="18"/>
  <c r="U21" i="18" s="1"/>
  <c r="T21" i="18" s="1"/>
  <c r="S21" i="18" s="1"/>
  <c r="R21" i="18" s="1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V113" i="17"/>
  <c r="B113" i="17" s="1"/>
  <c r="V105" i="17"/>
  <c r="B105" i="17" s="1"/>
  <c r="V89" i="17"/>
  <c r="B89" i="17" s="1"/>
  <c r="V73" i="17"/>
  <c r="B73" i="17" s="1"/>
  <c r="V65" i="17"/>
  <c r="B65" i="17" s="1"/>
  <c r="V49" i="17"/>
  <c r="B49" i="17" s="1"/>
  <c r="V33" i="17"/>
  <c r="B33" i="17" s="1"/>
  <c r="V186" i="17"/>
  <c r="B186" i="17" s="1"/>
  <c r="V170" i="17"/>
  <c r="B170" i="17" s="1"/>
  <c r="V359" i="17"/>
  <c r="B359" i="17" s="1"/>
  <c r="V343" i="17"/>
  <c r="B343" i="17" s="1"/>
  <c r="V327" i="17"/>
  <c r="B327" i="17" s="1"/>
  <c r="V315" i="17"/>
  <c r="B315" i="17" s="1"/>
  <c r="V283" i="17"/>
  <c r="B283" i="17" s="1"/>
  <c r="V259" i="17"/>
  <c r="B259" i="17" s="1"/>
  <c r="V247" i="17"/>
  <c r="B247" i="17" s="1"/>
  <c r="V127" i="17"/>
  <c r="B127" i="17" s="1"/>
  <c r="V19" i="17"/>
  <c r="B19" i="17" s="1"/>
  <c r="V348" i="17"/>
  <c r="B348" i="17" s="1"/>
  <c r="V80" i="17"/>
  <c r="B80" i="17" s="1"/>
  <c r="V40" i="17"/>
  <c r="B40" i="17" s="1"/>
  <c r="V28" i="17"/>
  <c r="B28" i="17" s="1"/>
  <c r="V20" i="17"/>
  <c r="B20" i="17" s="1"/>
  <c r="V141" i="17"/>
  <c r="B141" i="17" s="1"/>
  <c r="V129" i="17"/>
  <c r="B129" i="17" s="1"/>
  <c r="V117" i="17"/>
  <c r="B117" i="17" s="1"/>
  <c r="V93" i="17"/>
  <c r="B93" i="17" s="1"/>
  <c r="V85" i="17"/>
  <c r="B85" i="17" s="1"/>
  <c r="V69" i="17"/>
  <c r="B69" i="17" s="1"/>
  <c r="V61" i="17"/>
  <c r="B61" i="17" s="1"/>
  <c r="V45" i="17"/>
  <c r="B45" i="17" s="1"/>
  <c r="V194" i="17"/>
  <c r="B194" i="17" s="1"/>
  <c r="V355" i="17"/>
  <c r="B355" i="17" s="1"/>
  <c r="V339" i="17"/>
  <c r="B339" i="17" s="1"/>
  <c r="V331" i="17"/>
  <c r="B331" i="17" s="1"/>
  <c r="V319" i="17"/>
  <c r="B319" i="17" s="1"/>
  <c r="V299" i="17"/>
  <c r="B299" i="17" s="1"/>
  <c r="V287" i="17"/>
  <c r="B287" i="17" s="1"/>
  <c r="V271" i="17"/>
  <c r="B271" i="17" s="1"/>
  <c r="V123" i="17"/>
  <c r="B123" i="17" s="1"/>
  <c r="V352" i="17"/>
  <c r="B352" i="17" s="1"/>
  <c r="V324" i="17"/>
  <c r="B324" i="17" s="1"/>
  <c r="V304" i="17"/>
  <c r="B304" i="17" s="1"/>
  <c r="V288" i="17"/>
  <c r="B288" i="17" s="1"/>
  <c r="V84" i="17"/>
  <c r="B84" i="17" s="1"/>
  <c r="V76" i="17"/>
  <c r="B76" i="17" s="1"/>
  <c r="D57" i="7"/>
  <c r="V60" i="17"/>
  <c r="B60" i="17" s="1"/>
  <c r="V52" i="17"/>
  <c r="B52" i="17" s="1"/>
  <c r="V24" i="17"/>
  <c r="B24" i="17" s="1"/>
  <c r="V18" i="17"/>
  <c r="B18" i="17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K3" i="24"/>
  <c r="AA16" i="7"/>
  <c r="U25" i="18"/>
  <c r="T25" i="18" s="1"/>
  <c r="S25" i="18" s="1"/>
  <c r="R25" i="18" s="1"/>
  <c r="P25" i="18" s="1"/>
  <c r="V25" i="18" s="1"/>
  <c r="U33" i="18"/>
  <c r="T33" i="18" s="1"/>
  <c r="U41" i="18"/>
  <c r="T41" i="18" s="1"/>
  <c r="U49" i="18"/>
  <c r="T49" i="18" s="1"/>
  <c r="U57" i="18"/>
  <c r="T57" i="18" s="1"/>
  <c r="U65" i="18"/>
  <c r="T65" i="18" s="1"/>
  <c r="S65" i="18" s="1"/>
  <c r="R65" i="18" s="1"/>
  <c r="P65" i="18" s="1"/>
  <c r="V65" i="18" s="1"/>
  <c r="U73" i="18"/>
  <c r="T73" i="18" s="1"/>
  <c r="S73" i="18" s="1"/>
  <c r="R73" i="18" s="1"/>
  <c r="P73" i="18" s="1"/>
  <c r="V73" i="18" s="1"/>
  <c r="U81" i="18"/>
  <c r="T81" i="18" s="1"/>
  <c r="S81" i="18" s="1"/>
  <c r="R81" i="18" s="1"/>
  <c r="P81" i="18" s="1"/>
  <c r="V81" i="18" s="1"/>
  <c r="U89" i="18"/>
  <c r="T89" i="18" s="1"/>
  <c r="U97" i="18"/>
  <c r="T97" i="18" s="1"/>
  <c r="U105" i="18"/>
  <c r="T105" i="18" s="1"/>
  <c r="U113" i="18"/>
  <c r="T113" i="18" s="1"/>
  <c r="S113" i="18" s="1"/>
  <c r="R113" i="18" s="1"/>
  <c r="P113" i="18" s="1"/>
  <c r="V113" i="18" s="1"/>
  <c r="U121" i="18"/>
  <c r="T121" i="18" s="1"/>
  <c r="U129" i="18"/>
  <c r="T129" i="18" s="1"/>
  <c r="U137" i="18"/>
  <c r="T137" i="18" s="1"/>
  <c r="U145" i="18"/>
  <c r="T145" i="18" s="1"/>
  <c r="S145" i="18" s="1"/>
  <c r="R145" i="18" s="1"/>
  <c r="P145" i="18" s="1"/>
  <c r="V145" i="18" s="1"/>
  <c r="U153" i="18"/>
  <c r="T153" i="18" s="1"/>
  <c r="U161" i="18"/>
  <c r="T161" i="18" s="1"/>
  <c r="S161" i="18" s="1"/>
  <c r="R161" i="18" s="1"/>
  <c r="P161" i="18" s="1"/>
  <c r="V161" i="18" s="1"/>
  <c r="U169" i="18"/>
  <c r="T169" i="18" s="1"/>
  <c r="S169" i="18" s="1"/>
  <c r="R169" i="18" s="1"/>
  <c r="P169" i="18" s="1"/>
  <c r="V169" i="18" s="1"/>
  <c r="U177" i="18"/>
  <c r="T177" i="18" s="1"/>
  <c r="S177" i="18" s="1"/>
  <c r="R177" i="18" s="1"/>
  <c r="P177" i="18" s="1"/>
  <c r="V177" i="18" s="1"/>
  <c r="U184" i="18"/>
  <c r="T184" i="18" s="1"/>
  <c r="U188" i="18"/>
  <c r="T188" i="18" s="1"/>
  <c r="S188" i="18" s="1"/>
  <c r="R188" i="18" s="1"/>
  <c r="U192" i="18"/>
  <c r="T192" i="18" s="1"/>
  <c r="U196" i="18"/>
  <c r="T196" i="18" s="1"/>
  <c r="U200" i="18"/>
  <c r="T200" i="18" s="1"/>
  <c r="U204" i="18"/>
  <c r="T204" i="18" s="1"/>
  <c r="S204" i="18" s="1"/>
  <c r="R204" i="18" s="1"/>
  <c r="U208" i="18"/>
  <c r="T208" i="18" s="1"/>
  <c r="U212" i="18"/>
  <c r="T212" i="18" s="1"/>
  <c r="S212" i="18" s="1"/>
  <c r="R212" i="18" s="1"/>
  <c r="U216" i="18"/>
  <c r="T216" i="18" s="1"/>
  <c r="U220" i="18"/>
  <c r="T220" i="18" s="1"/>
  <c r="S220" i="18" s="1"/>
  <c r="R220" i="18" s="1"/>
  <c r="U224" i="18"/>
  <c r="T224" i="18" s="1"/>
  <c r="U228" i="18"/>
  <c r="T228" i="18" s="1"/>
  <c r="U232" i="18"/>
  <c r="T232" i="18" s="1"/>
  <c r="S232" i="18" s="1"/>
  <c r="R232" i="18" s="1"/>
  <c r="P232" i="18" s="1"/>
  <c r="V232" i="18" s="1"/>
  <c r="U236" i="18"/>
  <c r="T236" i="18" s="1"/>
  <c r="U240" i="18"/>
  <c r="T240" i="18" s="1"/>
  <c r="S240" i="18" s="1"/>
  <c r="R240" i="18" s="1"/>
  <c r="U244" i="18"/>
  <c r="T244" i="18" s="1"/>
  <c r="U248" i="18"/>
  <c r="T248" i="18" s="1"/>
  <c r="S248" i="18" s="1"/>
  <c r="R248" i="18" s="1"/>
  <c r="U252" i="18"/>
  <c r="T252" i="18" s="1"/>
  <c r="S252" i="18" s="1"/>
  <c r="R252" i="18" s="1"/>
  <c r="P252" i="18" s="1"/>
  <c r="V252" i="18" s="1"/>
  <c r="U256" i="18"/>
  <c r="T256" i="18" s="1"/>
  <c r="S256" i="18" s="1"/>
  <c r="R256" i="18" s="1"/>
  <c r="U260" i="18"/>
  <c r="T260" i="18" s="1"/>
  <c r="U264" i="18"/>
  <c r="T264" i="18" s="1"/>
  <c r="U268" i="18"/>
  <c r="T268" i="18" s="1"/>
  <c r="S268" i="18" s="1"/>
  <c r="R268" i="18" s="1"/>
  <c r="P268" i="18" s="1"/>
  <c r="V268" i="18" s="1"/>
  <c r="U272" i="18"/>
  <c r="T272" i="18" s="1"/>
  <c r="U276" i="18"/>
  <c r="T276" i="18" s="1"/>
  <c r="U280" i="18"/>
  <c r="T280" i="18" s="1"/>
  <c r="U284" i="18"/>
  <c r="T284" i="18" s="1"/>
  <c r="S284" i="18" s="1"/>
  <c r="R284" i="18" s="1"/>
  <c r="P284" i="18" s="1"/>
  <c r="V284" i="18" s="1"/>
  <c r="U288" i="18"/>
  <c r="T288" i="18" s="1"/>
  <c r="U292" i="18"/>
  <c r="T292" i="18" s="1"/>
  <c r="U296" i="18"/>
  <c r="T296" i="18" s="1"/>
  <c r="U300" i="18"/>
  <c r="T300" i="18" s="1"/>
  <c r="S300" i="18" s="1"/>
  <c r="R300" i="18" s="1"/>
  <c r="P300" i="18" s="1"/>
  <c r="V300" i="18" s="1"/>
  <c r="U304" i="18"/>
  <c r="T304" i="18" s="1"/>
  <c r="U308" i="18"/>
  <c r="T308" i="18" s="1"/>
  <c r="U312" i="18"/>
  <c r="T312" i="18" s="1"/>
  <c r="U316" i="18"/>
  <c r="T316" i="18" s="1"/>
  <c r="S316" i="18" s="1"/>
  <c r="R316" i="18" s="1"/>
  <c r="P316" i="18" s="1"/>
  <c r="V316" i="18" s="1"/>
  <c r="U320" i="18"/>
  <c r="T320" i="18" s="1"/>
  <c r="S320" i="18" s="1"/>
  <c r="R320" i="18" s="1"/>
  <c r="U324" i="18"/>
  <c r="T324" i="18" s="1"/>
  <c r="U328" i="18"/>
  <c r="T328" i="18" s="1"/>
  <c r="S328" i="18" s="1"/>
  <c r="R328" i="18" s="1"/>
  <c r="U332" i="18"/>
  <c r="T332" i="18" s="1"/>
  <c r="U336" i="18"/>
  <c r="T336" i="18" s="1"/>
  <c r="U340" i="18"/>
  <c r="T340" i="18" s="1"/>
  <c r="U344" i="18"/>
  <c r="T344" i="18" s="1"/>
  <c r="S344" i="18" s="1"/>
  <c r="R344" i="18" s="1"/>
  <c r="U348" i="18"/>
  <c r="T348" i="18" s="1"/>
  <c r="U352" i="18"/>
  <c r="T352" i="18" s="1"/>
  <c r="U356" i="18"/>
  <c r="T356" i="18" s="1"/>
  <c r="S356" i="18" s="1"/>
  <c r="R356" i="18" s="1"/>
  <c r="P356" i="18" s="1"/>
  <c r="V356" i="18" s="1"/>
  <c r="U360" i="18"/>
  <c r="T360" i="18" s="1"/>
  <c r="U364" i="18"/>
  <c r="T364" i="18" s="1"/>
  <c r="U368" i="18"/>
  <c r="T368" i="18" s="1"/>
  <c r="S368" i="18" s="1"/>
  <c r="R368" i="18" s="1"/>
  <c r="U372" i="18"/>
  <c r="T372" i="18" s="1"/>
  <c r="U376" i="18"/>
  <c r="T376" i="18" s="1"/>
  <c r="S376" i="18" s="1"/>
  <c r="R376" i="18" s="1"/>
  <c r="T381" i="17"/>
  <c r="T382" i="17"/>
  <c r="T383" i="17"/>
  <c r="S15" i="17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B341" i="17" s="1"/>
  <c r="V325" i="17"/>
  <c r="B325" i="17" s="1"/>
  <c r="V317" i="17"/>
  <c r="B317" i="17" s="1"/>
  <c r="V313" i="17"/>
  <c r="B313" i="17" s="1"/>
  <c r="V293" i="17"/>
  <c r="B293" i="17" s="1"/>
  <c r="V249" i="17"/>
  <c r="B249" i="17" s="1"/>
  <c r="D63" i="7"/>
  <c r="V241" i="17"/>
  <c r="B241" i="17" s="1"/>
  <c r="V229" i="17"/>
  <c r="B229" i="17" s="1"/>
  <c r="V193" i="17"/>
  <c r="B193" i="17" s="1"/>
  <c r="V161" i="17"/>
  <c r="B161" i="17" s="1"/>
  <c r="V25" i="17"/>
  <c r="B25" i="17" s="1"/>
  <c r="V21" i="17"/>
  <c r="B21" i="17" s="1"/>
  <c r="AB15" i="7"/>
  <c r="Q237" i="18"/>
  <c r="AC15" i="7"/>
  <c r="V374" i="17"/>
  <c r="B374" i="17" s="1"/>
  <c r="V370" i="17"/>
  <c r="B370" i="17" s="1"/>
  <c r="V358" i="17"/>
  <c r="B358" i="17" s="1"/>
  <c r="V342" i="17"/>
  <c r="B342" i="17" s="1"/>
  <c r="V338" i="17"/>
  <c r="B338" i="17" s="1"/>
  <c r="V314" i="17"/>
  <c r="B314" i="17" s="1"/>
  <c r="V310" i="17"/>
  <c r="B310" i="17" s="1"/>
  <c r="D65" i="7"/>
  <c r="V302" i="17"/>
  <c r="B302" i="17" s="1"/>
  <c r="V298" i="17"/>
  <c r="B298" i="17" s="1"/>
  <c r="V290" i="17"/>
  <c r="B290" i="17" s="1"/>
  <c r="V278" i="17"/>
  <c r="B278" i="17" s="1"/>
  <c r="V274" i="17"/>
  <c r="B274" i="17" s="1"/>
  <c r="V270" i="17"/>
  <c r="B270" i="17" s="1"/>
  <c r="V254" i="17"/>
  <c r="B254" i="17" s="1"/>
  <c r="V250" i="17"/>
  <c r="B250" i="17" s="1"/>
  <c r="V242" i="17"/>
  <c r="B242" i="17" s="1"/>
  <c r="V238" i="17"/>
  <c r="B238" i="17" s="1"/>
  <c r="V230" i="17"/>
  <c r="B230" i="17" s="1"/>
  <c r="V226" i="17"/>
  <c r="B226" i="17" s="1"/>
  <c r="V222" i="17"/>
  <c r="B222" i="17" s="1"/>
  <c r="V122" i="17"/>
  <c r="B122" i="17" s="1"/>
  <c r="V106" i="17"/>
  <c r="B106" i="17" s="1"/>
  <c r="V98" i="17"/>
  <c r="B98" i="17" s="1"/>
  <c r="V90" i="17"/>
  <c r="B90" i="17" s="1"/>
  <c r="V86" i="17"/>
  <c r="B86" i="17" s="1"/>
  <c r="V78" i="17"/>
  <c r="B78" i="17" s="1"/>
  <c r="V74" i="17"/>
  <c r="B74" i="17" s="1"/>
  <c r="V70" i="17"/>
  <c r="B70" i="17" s="1"/>
  <c r="V66" i="17"/>
  <c r="B66" i="17" s="1"/>
  <c r="V62" i="17"/>
  <c r="B62" i="17" s="1"/>
  <c r="V58" i="17"/>
  <c r="B58" i="17" s="1"/>
  <c r="V50" i="17"/>
  <c r="B50" i="17" s="1"/>
  <c r="V34" i="17"/>
  <c r="B34" i="17" s="1"/>
  <c r="V17" i="17"/>
  <c r="B17" i="17" s="1"/>
  <c r="J46" i="16"/>
  <c r="I46" i="16"/>
  <c r="S379" i="17"/>
  <c r="R379" i="17" s="1"/>
  <c r="P379" i="17" s="1"/>
  <c r="D38" i="19" s="1"/>
  <c r="V375" i="17"/>
  <c r="B375" i="17" s="1"/>
  <c r="V371" i="17"/>
  <c r="B371" i="17" s="1"/>
  <c r="V211" i="17"/>
  <c r="B211" i="17" s="1"/>
  <c r="V199" i="17"/>
  <c r="B199" i="17" s="1"/>
  <c r="V187" i="17"/>
  <c r="B187" i="17" s="1"/>
  <c r="V175" i="17"/>
  <c r="B175" i="17" s="1"/>
  <c r="V151" i="17"/>
  <c r="B151" i="17" s="1"/>
  <c r="V139" i="17"/>
  <c r="B139" i="17" s="1"/>
  <c r="V107" i="17"/>
  <c r="B107" i="17" s="1"/>
  <c r="V103" i="17"/>
  <c r="B103" i="17" s="1"/>
  <c r="V99" i="17"/>
  <c r="B99" i="17" s="1"/>
  <c r="V83" i="17"/>
  <c r="B83" i="17" s="1"/>
  <c r="V67" i="17"/>
  <c r="B67" i="17" s="1"/>
  <c r="V63" i="17"/>
  <c r="B63" i="17" s="1"/>
  <c r="V47" i="17"/>
  <c r="B47" i="17" s="1"/>
  <c r="V39" i="17"/>
  <c r="B39" i="17" s="1"/>
  <c r="V35" i="17"/>
  <c r="B35" i="17" s="1"/>
  <c r="V23" i="17"/>
  <c r="B23" i="17" s="1"/>
  <c r="AG382" i="17"/>
  <c r="AG381" i="17"/>
  <c r="AG383" i="17"/>
  <c r="AF15" i="17"/>
  <c r="V15" i="16"/>
  <c r="B15" i="16" s="1"/>
  <c r="V264" i="17"/>
  <c r="B264" i="17" s="1"/>
  <c r="V252" i="17"/>
  <c r="B252" i="17" s="1"/>
  <c r="V212" i="17"/>
  <c r="B212" i="17" s="1"/>
  <c r="V192" i="17"/>
  <c r="B192" i="17" s="1"/>
  <c r="V188" i="17"/>
  <c r="B188" i="17" s="1"/>
  <c r="D61" i="7"/>
  <c r="V180" i="17"/>
  <c r="B180" i="17" s="1"/>
  <c r="V172" i="17"/>
  <c r="B172" i="17" s="1"/>
  <c r="V168" i="17"/>
  <c r="B168" i="17" s="1"/>
  <c r="V160" i="17"/>
  <c r="B160" i="17" s="1"/>
  <c r="V148" i="17"/>
  <c r="B148" i="17" s="1"/>
  <c r="V144" i="17"/>
  <c r="B144" i="17" s="1"/>
  <c r="V132" i="17"/>
  <c r="B132" i="17" s="1"/>
  <c r="V120" i="17"/>
  <c r="B120" i="17" s="1"/>
  <c r="V112" i="17"/>
  <c r="B112" i="17" s="1"/>
  <c r="V104" i="17"/>
  <c r="B104" i="17" s="1"/>
  <c r="V100" i="17"/>
  <c r="B100" i="17" s="1"/>
  <c r="V96" i="17"/>
  <c r="B96" i="17" s="1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J201" i="16" l="1"/>
  <c r="I201" i="16"/>
  <c r="J377" i="16"/>
  <c r="I377" i="16"/>
  <c r="J62" i="16"/>
  <c r="J171" i="16"/>
  <c r="I283" i="16"/>
  <c r="J283" i="16"/>
  <c r="P376" i="18"/>
  <c r="V376" i="18" s="1"/>
  <c r="P368" i="18"/>
  <c r="V368" i="18" s="1"/>
  <c r="P344" i="18"/>
  <c r="V344" i="18" s="1"/>
  <c r="P328" i="18"/>
  <c r="V328" i="18" s="1"/>
  <c r="P320" i="18"/>
  <c r="V320" i="18" s="1"/>
  <c r="P256" i="18"/>
  <c r="V256" i="18" s="1"/>
  <c r="P248" i="18"/>
  <c r="V248" i="18" s="1"/>
  <c r="P240" i="18"/>
  <c r="V240" i="18" s="1"/>
  <c r="I344" i="16"/>
  <c r="J26" i="16"/>
  <c r="J51" i="16"/>
  <c r="J336" i="16"/>
  <c r="I336" i="16"/>
  <c r="P21" i="18"/>
  <c r="V21" i="18" s="1"/>
  <c r="I72" i="16"/>
  <c r="J72" i="16"/>
  <c r="H379" i="16"/>
  <c r="AA210" i="16"/>
  <c r="Z210" i="16" s="1"/>
  <c r="Y210" i="16" s="1"/>
  <c r="I138" i="16"/>
  <c r="J138" i="16"/>
  <c r="I295" i="16"/>
  <c r="J263" i="16"/>
  <c r="I129" i="16"/>
  <c r="J129" i="16"/>
  <c r="D380" i="16"/>
  <c r="E380" i="16" s="1"/>
  <c r="F380" i="16" s="1"/>
  <c r="AA380" i="16" s="1"/>
  <c r="Z380" i="16" s="1"/>
  <c r="Y380" i="16" s="1"/>
  <c r="J218" i="16"/>
  <c r="I218" i="16"/>
  <c r="U378" i="18"/>
  <c r="T378" i="18" s="1"/>
  <c r="U374" i="18"/>
  <c r="T374" i="18" s="1"/>
  <c r="S374" i="18" s="1"/>
  <c r="R374" i="18" s="1"/>
  <c r="U370" i="18"/>
  <c r="T370" i="18" s="1"/>
  <c r="S370" i="18" s="1"/>
  <c r="R370" i="18" s="1"/>
  <c r="U366" i="18"/>
  <c r="T366" i="18" s="1"/>
  <c r="S366" i="18" s="1"/>
  <c r="R366" i="18" s="1"/>
  <c r="P366" i="18" s="1"/>
  <c r="V366" i="18" s="1"/>
  <c r="U362" i="18"/>
  <c r="T362" i="18" s="1"/>
  <c r="S362" i="18" s="1"/>
  <c r="R362" i="18" s="1"/>
  <c r="U358" i="18"/>
  <c r="T358" i="18" s="1"/>
  <c r="U354" i="18"/>
  <c r="T354" i="18" s="1"/>
  <c r="S354" i="18" s="1"/>
  <c r="R354" i="18" s="1"/>
  <c r="P354" i="18" s="1"/>
  <c r="V354" i="18" s="1"/>
  <c r="U350" i="18"/>
  <c r="T350" i="18" s="1"/>
  <c r="S350" i="18" s="1"/>
  <c r="R350" i="18" s="1"/>
  <c r="P350" i="18" s="1"/>
  <c r="V350" i="18" s="1"/>
  <c r="U346" i="18"/>
  <c r="T346" i="18" s="1"/>
  <c r="U342" i="18"/>
  <c r="T342" i="18" s="1"/>
  <c r="U338" i="18"/>
  <c r="T338" i="18" s="1"/>
  <c r="S338" i="18" s="1"/>
  <c r="R338" i="18" s="1"/>
  <c r="U334" i="18"/>
  <c r="T334" i="18" s="1"/>
  <c r="S334" i="18" s="1"/>
  <c r="R334" i="18" s="1"/>
  <c r="P334" i="18" s="1"/>
  <c r="V334" i="18" s="1"/>
  <c r="U330" i="18"/>
  <c r="T330" i="18" s="1"/>
  <c r="S330" i="18" s="1"/>
  <c r="R330" i="18" s="1"/>
  <c r="U326" i="18"/>
  <c r="T326" i="18" s="1"/>
  <c r="S326" i="18" s="1"/>
  <c r="R326" i="18" s="1"/>
  <c r="P326" i="18" s="1"/>
  <c r="V326" i="18" s="1"/>
  <c r="U322" i="18"/>
  <c r="T322" i="18" s="1"/>
  <c r="U318" i="18"/>
  <c r="T318" i="18" s="1"/>
  <c r="S318" i="18" s="1"/>
  <c r="R318" i="18" s="1"/>
  <c r="U314" i="18"/>
  <c r="T314" i="18" s="1"/>
  <c r="S314" i="18" s="1"/>
  <c r="R314" i="18" s="1"/>
  <c r="P314" i="18" s="1"/>
  <c r="V314" i="18" s="1"/>
  <c r="U310" i="18"/>
  <c r="T310" i="18" s="1"/>
  <c r="S310" i="18" s="1"/>
  <c r="R310" i="18" s="1"/>
  <c r="U306" i="18"/>
  <c r="T306" i="18" s="1"/>
  <c r="S306" i="18" s="1"/>
  <c r="R306" i="18" s="1"/>
  <c r="U302" i="18"/>
  <c r="T302" i="18" s="1"/>
  <c r="S302" i="18" s="1"/>
  <c r="R302" i="18" s="1"/>
  <c r="U298" i="18"/>
  <c r="T298" i="18" s="1"/>
  <c r="S298" i="18" s="1"/>
  <c r="R298" i="18" s="1"/>
  <c r="P298" i="18" s="1"/>
  <c r="V298" i="18" s="1"/>
  <c r="U294" i="18"/>
  <c r="T294" i="18" s="1"/>
  <c r="U290" i="18"/>
  <c r="T290" i="18" s="1"/>
  <c r="S290" i="18" s="1"/>
  <c r="R290" i="18" s="1"/>
  <c r="U286" i="18"/>
  <c r="T286" i="18" s="1"/>
  <c r="S286" i="18" s="1"/>
  <c r="R286" i="18" s="1"/>
  <c r="P286" i="18" s="1"/>
  <c r="V286" i="18" s="1"/>
  <c r="U282" i="18"/>
  <c r="T282" i="18" s="1"/>
  <c r="S282" i="18" s="1"/>
  <c r="R282" i="18" s="1"/>
  <c r="U278" i="18"/>
  <c r="T278" i="18" s="1"/>
  <c r="S278" i="18" s="1"/>
  <c r="R278" i="18" s="1"/>
  <c r="U274" i="18"/>
  <c r="T274" i="18" s="1"/>
  <c r="U270" i="18"/>
  <c r="T270" i="18" s="1"/>
  <c r="S270" i="18" s="1"/>
  <c r="R270" i="18" s="1"/>
  <c r="U266" i="18"/>
  <c r="T266" i="18" s="1"/>
  <c r="U262" i="18"/>
  <c r="T262" i="18" s="1"/>
  <c r="U258" i="18"/>
  <c r="T258" i="18" s="1"/>
  <c r="U254" i="18"/>
  <c r="T254" i="18" s="1"/>
  <c r="S254" i="18" s="1"/>
  <c r="R254" i="18" s="1"/>
  <c r="P254" i="18" s="1"/>
  <c r="V254" i="18" s="1"/>
  <c r="U250" i="18"/>
  <c r="T250" i="18" s="1"/>
  <c r="S250" i="18" s="1"/>
  <c r="R250" i="18" s="1"/>
  <c r="P250" i="18" s="1"/>
  <c r="V250" i="18" s="1"/>
  <c r="U246" i="18"/>
  <c r="T246" i="18" s="1"/>
  <c r="S246" i="18" s="1"/>
  <c r="R246" i="18" s="1"/>
  <c r="U242" i="18"/>
  <c r="T242" i="18" s="1"/>
  <c r="S242" i="18" s="1"/>
  <c r="R242" i="18" s="1"/>
  <c r="U238" i="18"/>
  <c r="T238" i="18" s="1"/>
  <c r="U234" i="18"/>
  <c r="T234" i="18" s="1"/>
  <c r="S234" i="18" s="1"/>
  <c r="R234" i="18" s="1"/>
  <c r="P234" i="18" s="1"/>
  <c r="V234" i="18" s="1"/>
  <c r="U230" i="18"/>
  <c r="T230" i="18" s="1"/>
  <c r="S230" i="18" s="1"/>
  <c r="R230" i="18" s="1"/>
  <c r="P230" i="18" s="1"/>
  <c r="V230" i="18" s="1"/>
  <c r="U226" i="18"/>
  <c r="T226" i="18" s="1"/>
  <c r="S226" i="18" s="1"/>
  <c r="R226" i="18" s="1"/>
  <c r="U222" i="18"/>
  <c r="T222" i="18" s="1"/>
  <c r="U218" i="18"/>
  <c r="T218" i="18" s="1"/>
  <c r="S218" i="18" s="1"/>
  <c r="R218" i="18" s="1"/>
  <c r="P218" i="18" s="1"/>
  <c r="V218" i="18" s="1"/>
  <c r="U214" i="18"/>
  <c r="T214" i="18" s="1"/>
  <c r="S214" i="18" s="1"/>
  <c r="R214" i="18" s="1"/>
  <c r="U210" i="18"/>
  <c r="T210" i="18" s="1"/>
  <c r="S210" i="18" s="1"/>
  <c r="R210" i="18" s="1"/>
  <c r="U206" i="18"/>
  <c r="T206" i="18" s="1"/>
  <c r="S206" i="18" s="1"/>
  <c r="R206" i="18" s="1"/>
  <c r="U202" i="18"/>
  <c r="T202" i="18" s="1"/>
  <c r="U198" i="18"/>
  <c r="T198" i="18" s="1"/>
  <c r="S198" i="18" s="1"/>
  <c r="R198" i="18" s="1"/>
  <c r="P198" i="18" s="1"/>
  <c r="V198" i="18" s="1"/>
  <c r="U194" i="18"/>
  <c r="T194" i="18" s="1"/>
  <c r="S194" i="18" s="1"/>
  <c r="R194" i="18" s="1"/>
  <c r="P194" i="18" s="1"/>
  <c r="V194" i="18" s="1"/>
  <c r="U190" i="18"/>
  <c r="T190" i="18" s="1"/>
  <c r="S190" i="18" s="1"/>
  <c r="R190" i="18" s="1"/>
  <c r="P190" i="18" s="1"/>
  <c r="V190" i="18" s="1"/>
  <c r="U186" i="18"/>
  <c r="T186" i="18" s="1"/>
  <c r="S186" i="18" s="1"/>
  <c r="R186" i="18" s="1"/>
  <c r="P186" i="18" s="1"/>
  <c r="V186" i="18" s="1"/>
  <c r="U181" i="18"/>
  <c r="T181" i="18" s="1"/>
  <c r="S181" i="18" s="1"/>
  <c r="R181" i="18" s="1"/>
  <c r="P181" i="18" s="1"/>
  <c r="V181" i="18" s="1"/>
  <c r="U173" i="18"/>
  <c r="T173" i="18" s="1"/>
  <c r="U165" i="18"/>
  <c r="T165" i="18" s="1"/>
  <c r="S165" i="18" s="1"/>
  <c r="R165" i="18" s="1"/>
  <c r="P165" i="18" s="1"/>
  <c r="V165" i="18" s="1"/>
  <c r="U157" i="18"/>
  <c r="T157" i="18" s="1"/>
  <c r="S157" i="18" s="1"/>
  <c r="R157" i="18" s="1"/>
  <c r="P157" i="18" s="1"/>
  <c r="V157" i="18" s="1"/>
  <c r="U149" i="18"/>
  <c r="T149" i="18" s="1"/>
  <c r="S149" i="18" s="1"/>
  <c r="R149" i="18" s="1"/>
  <c r="P149" i="18" s="1"/>
  <c r="V149" i="18" s="1"/>
  <c r="U141" i="18"/>
  <c r="T141" i="18" s="1"/>
  <c r="S141" i="18" s="1"/>
  <c r="R141" i="18" s="1"/>
  <c r="P141" i="18" s="1"/>
  <c r="V141" i="18" s="1"/>
  <c r="U133" i="18"/>
  <c r="T133" i="18" s="1"/>
  <c r="S133" i="18" s="1"/>
  <c r="R133" i="18" s="1"/>
  <c r="P133" i="18" s="1"/>
  <c r="V133" i="18" s="1"/>
  <c r="U125" i="18"/>
  <c r="T125" i="18" s="1"/>
  <c r="S125" i="18" s="1"/>
  <c r="R125" i="18" s="1"/>
  <c r="P125" i="18" s="1"/>
  <c r="V125" i="18" s="1"/>
  <c r="U117" i="18"/>
  <c r="T117" i="18" s="1"/>
  <c r="S117" i="18" s="1"/>
  <c r="R117" i="18" s="1"/>
  <c r="P117" i="18" s="1"/>
  <c r="V117" i="18" s="1"/>
  <c r="U109" i="18"/>
  <c r="T109" i="18" s="1"/>
  <c r="S109" i="18" s="1"/>
  <c r="R109" i="18" s="1"/>
  <c r="P109" i="18" s="1"/>
  <c r="V109" i="18" s="1"/>
  <c r="U101" i="18"/>
  <c r="T101" i="18" s="1"/>
  <c r="S101" i="18" s="1"/>
  <c r="R101" i="18" s="1"/>
  <c r="P101" i="18" s="1"/>
  <c r="V101" i="18" s="1"/>
  <c r="U93" i="18"/>
  <c r="T93" i="18" s="1"/>
  <c r="U85" i="18"/>
  <c r="T85" i="18" s="1"/>
  <c r="S85" i="18" s="1"/>
  <c r="R85" i="18" s="1"/>
  <c r="P85" i="18" s="1"/>
  <c r="V85" i="18" s="1"/>
  <c r="U77" i="18"/>
  <c r="T77" i="18" s="1"/>
  <c r="S77" i="18" s="1"/>
  <c r="R77" i="18" s="1"/>
  <c r="P77" i="18" s="1"/>
  <c r="V77" i="18" s="1"/>
  <c r="U69" i="18"/>
  <c r="T69" i="18" s="1"/>
  <c r="S69" i="18" s="1"/>
  <c r="R69" i="18" s="1"/>
  <c r="P69" i="18" s="1"/>
  <c r="V69" i="18" s="1"/>
  <c r="U61" i="18"/>
  <c r="T61" i="18" s="1"/>
  <c r="S61" i="18" s="1"/>
  <c r="R61" i="18" s="1"/>
  <c r="P61" i="18" s="1"/>
  <c r="V61" i="18" s="1"/>
  <c r="U53" i="18"/>
  <c r="T53" i="18" s="1"/>
  <c r="S53" i="18" s="1"/>
  <c r="R53" i="18" s="1"/>
  <c r="P53" i="18" s="1"/>
  <c r="V53" i="18" s="1"/>
  <c r="U45" i="18"/>
  <c r="T45" i="18" s="1"/>
  <c r="U37" i="18"/>
  <c r="T37" i="18" s="1"/>
  <c r="S37" i="18" s="1"/>
  <c r="R37" i="18" s="1"/>
  <c r="P37" i="18" s="1"/>
  <c r="V37" i="18" s="1"/>
  <c r="U29" i="18"/>
  <c r="T29" i="18" s="1"/>
  <c r="S29" i="18" s="1"/>
  <c r="R29" i="18" s="1"/>
  <c r="P29" i="18" s="1"/>
  <c r="E11" i="19"/>
  <c r="E31" i="19" s="1"/>
  <c r="J67" i="16"/>
  <c r="I67" i="16"/>
  <c r="I320" i="16"/>
  <c r="J320" i="16"/>
  <c r="J85" i="16"/>
  <c r="I85" i="16"/>
  <c r="I323" i="16"/>
  <c r="J323" i="16"/>
  <c r="I211" i="16"/>
  <c r="J211" i="16"/>
  <c r="J162" i="16"/>
  <c r="I162" i="16"/>
  <c r="J370" i="16"/>
  <c r="I370" i="16"/>
  <c r="I227" i="16"/>
  <c r="J227" i="16"/>
  <c r="J303" i="16"/>
  <c r="I303" i="16"/>
  <c r="I367" i="16"/>
  <c r="J367" i="16"/>
  <c r="I348" i="16"/>
  <c r="J348" i="16"/>
  <c r="I82" i="16"/>
  <c r="J82" i="16"/>
  <c r="J86" i="16"/>
  <c r="I86" i="16"/>
  <c r="I170" i="16"/>
  <c r="J170" i="16"/>
  <c r="J195" i="16"/>
  <c r="I195" i="16"/>
  <c r="J130" i="16"/>
  <c r="I130" i="16"/>
  <c r="J113" i="16"/>
  <c r="I113" i="16"/>
  <c r="I183" i="16"/>
  <c r="J183" i="16"/>
  <c r="AF381" i="16"/>
  <c r="AF382" i="16"/>
  <c r="AD379" i="16"/>
  <c r="AF383" i="16"/>
  <c r="R381" i="16"/>
  <c r="R383" i="16"/>
  <c r="P16" i="16"/>
  <c r="R382" i="16"/>
  <c r="I106" i="16"/>
  <c r="J106" i="16"/>
  <c r="I255" i="16"/>
  <c r="J255" i="16"/>
  <c r="J77" i="16"/>
  <c r="I77" i="16"/>
  <c r="I352" i="16"/>
  <c r="J352" i="16"/>
  <c r="I122" i="16"/>
  <c r="J122" i="16"/>
  <c r="I232" i="16"/>
  <c r="J232" i="16"/>
  <c r="I191" i="16"/>
  <c r="J191" i="16"/>
  <c r="J327" i="16"/>
  <c r="I327" i="16"/>
  <c r="I146" i="16"/>
  <c r="J146" i="16"/>
  <c r="G29" i="16"/>
  <c r="BY29" i="6" s="1"/>
  <c r="AA29" i="16"/>
  <c r="Z29" i="16" s="1"/>
  <c r="Y29" i="16" s="1"/>
  <c r="H29" i="16"/>
  <c r="L44" i="19"/>
  <c r="U15" i="18"/>
  <c r="T15" i="18" s="1"/>
  <c r="U16" i="18"/>
  <c r="T16" i="18" s="1"/>
  <c r="S16" i="18" s="1"/>
  <c r="R16" i="18" s="1"/>
  <c r="P16" i="18" s="1"/>
  <c r="V16" i="18" s="1"/>
  <c r="U17" i="18"/>
  <c r="T17" i="18" s="1"/>
  <c r="U20" i="18"/>
  <c r="T20" i="18" s="1"/>
  <c r="S20" i="18" s="1"/>
  <c r="R20" i="18" s="1"/>
  <c r="P20" i="18" s="1"/>
  <c r="V20" i="18" s="1"/>
  <c r="U22" i="18"/>
  <c r="T22" i="18" s="1"/>
  <c r="S22" i="18" s="1"/>
  <c r="R22" i="18" s="1"/>
  <c r="P22" i="18" s="1"/>
  <c r="V22" i="18" s="1"/>
  <c r="B22" i="18" s="1"/>
  <c r="U24" i="18"/>
  <c r="T24" i="18" s="1"/>
  <c r="S24" i="18" s="1"/>
  <c r="R24" i="18" s="1"/>
  <c r="P24" i="18" s="1"/>
  <c r="V24" i="18" s="1"/>
  <c r="U26" i="18"/>
  <c r="T26" i="18" s="1"/>
  <c r="U28" i="18"/>
  <c r="T28" i="18" s="1"/>
  <c r="S28" i="18" s="1"/>
  <c r="R28" i="18" s="1"/>
  <c r="U30" i="18"/>
  <c r="T30" i="18" s="1"/>
  <c r="S30" i="18" s="1"/>
  <c r="R30" i="18" s="1"/>
  <c r="P30" i="18" s="1"/>
  <c r="V30" i="18" s="1"/>
  <c r="U32" i="18"/>
  <c r="T32" i="18" s="1"/>
  <c r="S32" i="18" s="1"/>
  <c r="R32" i="18" s="1"/>
  <c r="P32" i="18" s="1"/>
  <c r="V32" i="18" s="1"/>
  <c r="U34" i="18"/>
  <c r="T34" i="18" s="1"/>
  <c r="S34" i="18" s="1"/>
  <c r="R34" i="18" s="1"/>
  <c r="P34" i="18" s="1"/>
  <c r="V34" i="18" s="1"/>
  <c r="U36" i="18"/>
  <c r="T36" i="18" s="1"/>
  <c r="S36" i="18" s="1"/>
  <c r="R36" i="18" s="1"/>
  <c r="U38" i="18"/>
  <c r="T38" i="18" s="1"/>
  <c r="U40" i="18"/>
  <c r="T40" i="18" s="1"/>
  <c r="S40" i="18" s="1"/>
  <c r="R40" i="18" s="1"/>
  <c r="P40" i="18" s="1"/>
  <c r="V40" i="18" s="1"/>
  <c r="U42" i="18"/>
  <c r="T42" i="18" s="1"/>
  <c r="S42" i="18" s="1"/>
  <c r="R42" i="18" s="1"/>
  <c r="U44" i="18"/>
  <c r="T44" i="18" s="1"/>
  <c r="S44" i="18" s="1"/>
  <c r="R44" i="18" s="1"/>
  <c r="P44" i="18" s="1"/>
  <c r="V44" i="18" s="1"/>
  <c r="U46" i="18"/>
  <c r="T46" i="18" s="1"/>
  <c r="S46" i="18" s="1"/>
  <c r="R46" i="18" s="1"/>
  <c r="P46" i="18" s="1"/>
  <c r="V46" i="18" s="1"/>
  <c r="U48" i="18"/>
  <c r="T48" i="18" s="1"/>
  <c r="S48" i="18" s="1"/>
  <c r="R48" i="18" s="1"/>
  <c r="P48" i="18" s="1"/>
  <c r="V48" i="18" s="1"/>
  <c r="U50" i="18"/>
  <c r="T50" i="18" s="1"/>
  <c r="S50" i="18" s="1"/>
  <c r="R50" i="18" s="1"/>
  <c r="P50" i="18" s="1"/>
  <c r="V50" i="18" s="1"/>
  <c r="U52" i="18"/>
  <c r="T52" i="18" s="1"/>
  <c r="S52" i="18" s="1"/>
  <c r="R52" i="18" s="1"/>
  <c r="P52" i="18" s="1"/>
  <c r="V52" i="18" s="1"/>
  <c r="U54" i="18"/>
  <c r="T54" i="18" s="1"/>
  <c r="U56" i="18"/>
  <c r="T56" i="18" s="1"/>
  <c r="S56" i="18" s="1"/>
  <c r="R56" i="18" s="1"/>
  <c r="P56" i="18" s="1"/>
  <c r="V56" i="18" s="1"/>
  <c r="U58" i="18"/>
  <c r="T58" i="18" s="1"/>
  <c r="S58" i="18" s="1"/>
  <c r="R58" i="18" s="1"/>
  <c r="U60" i="18"/>
  <c r="T60" i="18" s="1"/>
  <c r="S60" i="18" s="1"/>
  <c r="R60" i="18" s="1"/>
  <c r="P60" i="18" s="1"/>
  <c r="U62" i="18"/>
  <c r="T62" i="18" s="1"/>
  <c r="S62" i="18" s="1"/>
  <c r="R62" i="18" s="1"/>
  <c r="P62" i="18" s="1"/>
  <c r="V62" i="18" s="1"/>
  <c r="U64" i="18"/>
  <c r="T64" i="18" s="1"/>
  <c r="S64" i="18" s="1"/>
  <c r="R64" i="18" s="1"/>
  <c r="P64" i="18" s="1"/>
  <c r="V64" i="18" s="1"/>
  <c r="U66" i="18"/>
  <c r="T66" i="18" s="1"/>
  <c r="U68" i="18"/>
  <c r="T68" i="18" s="1"/>
  <c r="S68" i="18" s="1"/>
  <c r="R68" i="18" s="1"/>
  <c r="P68" i="18" s="1"/>
  <c r="V68" i="18" s="1"/>
  <c r="U70" i="18"/>
  <c r="T70" i="18" s="1"/>
  <c r="S70" i="18" s="1"/>
  <c r="R70" i="18" s="1"/>
  <c r="U72" i="18"/>
  <c r="T72" i="18" s="1"/>
  <c r="S72" i="18" s="1"/>
  <c r="R72" i="18" s="1"/>
  <c r="P72" i="18" s="1"/>
  <c r="V72" i="18" s="1"/>
  <c r="U74" i="18"/>
  <c r="T74" i="18" s="1"/>
  <c r="S74" i="18" s="1"/>
  <c r="R74" i="18" s="1"/>
  <c r="U76" i="18"/>
  <c r="T76" i="18" s="1"/>
  <c r="S76" i="18" s="1"/>
  <c r="R76" i="18" s="1"/>
  <c r="U78" i="18"/>
  <c r="T78" i="18" s="1"/>
  <c r="S78" i="18" s="1"/>
  <c r="R78" i="18" s="1"/>
  <c r="P78" i="18" s="1"/>
  <c r="V78" i="18" s="1"/>
  <c r="U80" i="18"/>
  <c r="T80" i="18" s="1"/>
  <c r="S80" i="18" s="1"/>
  <c r="R80" i="18" s="1"/>
  <c r="P80" i="18" s="1"/>
  <c r="V80" i="18" s="1"/>
  <c r="U82" i="18"/>
  <c r="T82" i="18" s="1"/>
  <c r="S82" i="18" s="1"/>
  <c r="R82" i="18" s="1"/>
  <c r="P82" i="18" s="1"/>
  <c r="V82" i="18" s="1"/>
  <c r="U84" i="18"/>
  <c r="T84" i="18" s="1"/>
  <c r="S84" i="18" s="1"/>
  <c r="R84" i="18" s="1"/>
  <c r="P84" i="18" s="1"/>
  <c r="V84" i="18" s="1"/>
  <c r="U86" i="18"/>
  <c r="T86" i="18" s="1"/>
  <c r="U88" i="18"/>
  <c r="T88" i="18" s="1"/>
  <c r="S88" i="18" s="1"/>
  <c r="R88" i="18" s="1"/>
  <c r="P88" i="18" s="1"/>
  <c r="D70" i="7" s="1"/>
  <c r="U90" i="18"/>
  <c r="T90" i="18" s="1"/>
  <c r="S90" i="18" s="1"/>
  <c r="R90" i="18" s="1"/>
  <c r="P90" i="18" s="1"/>
  <c r="V90" i="18" s="1"/>
  <c r="U92" i="18"/>
  <c r="T92" i="18" s="1"/>
  <c r="S92" i="18" s="1"/>
  <c r="R92" i="18" s="1"/>
  <c r="U94" i="18"/>
  <c r="T94" i="18" s="1"/>
  <c r="S94" i="18" s="1"/>
  <c r="R94" i="18" s="1"/>
  <c r="U96" i="18"/>
  <c r="T96" i="18" s="1"/>
  <c r="S96" i="18" s="1"/>
  <c r="R96" i="18" s="1"/>
  <c r="P96" i="18" s="1"/>
  <c r="V96" i="18" s="1"/>
  <c r="U98" i="18"/>
  <c r="T98" i="18" s="1"/>
  <c r="S98" i="18" s="1"/>
  <c r="R98" i="18" s="1"/>
  <c r="P98" i="18" s="1"/>
  <c r="V98" i="18" s="1"/>
  <c r="U100" i="18"/>
  <c r="T100" i="18" s="1"/>
  <c r="S100" i="18" s="1"/>
  <c r="R100" i="18" s="1"/>
  <c r="U102" i="18"/>
  <c r="T102" i="18" s="1"/>
  <c r="U104" i="18"/>
  <c r="T104" i="18" s="1"/>
  <c r="S104" i="18" s="1"/>
  <c r="R104" i="18" s="1"/>
  <c r="P104" i="18" s="1"/>
  <c r="V104" i="18" s="1"/>
  <c r="U106" i="18"/>
  <c r="T106" i="18" s="1"/>
  <c r="S106" i="18" s="1"/>
  <c r="R106" i="18" s="1"/>
  <c r="P106" i="18" s="1"/>
  <c r="V106" i="18" s="1"/>
  <c r="U108" i="18"/>
  <c r="T108" i="18" s="1"/>
  <c r="S108" i="18" s="1"/>
  <c r="R108" i="18" s="1"/>
  <c r="U110" i="18"/>
  <c r="T110" i="18" s="1"/>
  <c r="U112" i="18"/>
  <c r="T112" i="18" s="1"/>
  <c r="S112" i="18" s="1"/>
  <c r="R112" i="18" s="1"/>
  <c r="P112" i="18" s="1"/>
  <c r="V112" i="18" s="1"/>
  <c r="U114" i="18"/>
  <c r="T114" i="18" s="1"/>
  <c r="S114" i="18" s="1"/>
  <c r="R114" i="18" s="1"/>
  <c r="P114" i="18" s="1"/>
  <c r="V114" i="18" s="1"/>
  <c r="U116" i="18"/>
  <c r="T116" i="18" s="1"/>
  <c r="S116" i="18" s="1"/>
  <c r="R116" i="18" s="1"/>
  <c r="P116" i="18" s="1"/>
  <c r="V116" i="18" s="1"/>
  <c r="U118" i="18"/>
  <c r="T118" i="18" s="1"/>
  <c r="S118" i="18" s="1"/>
  <c r="R118" i="18" s="1"/>
  <c r="P118" i="18" s="1"/>
  <c r="V118" i="18" s="1"/>
  <c r="U120" i="18"/>
  <c r="T120" i="18" s="1"/>
  <c r="S120" i="18" s="1"/>
  <c r="R120" i="18" s="1"/>
  <c r="P120" i="18" s="1"/>
  <c r="V120" i="18" s="1"/>
  <c r="U122" i="18"/>
  <c r="T122" i="18" s="1"/>
  <c r="S122" i="18" s="1"/>
  <c r="R122" i="18" s="1"/>
  <c r="U124" i="18"/>
  <c r="T124" i="18" s="1"/>
  <c r="S124" i="18" s="1"/>
  <c r="R124" i="18" s="1"/>
  <c r="P124" i="18" s="1"/>
  <c r="V124" i="18" s="1"/>
  <c r="U126" i="18"/>
  <c r="T126" i="18" s="1"/>
  <c r="U128" i="18"/>
  <c r="T128" i="18" s="1"/>
  <c r="S128" i="18" s="1"/>
  <c r="R128" i="18" s="1"/>
  <c r="P128" i="18" s="1"/>
  <c r="V128" i="18" s="1"/>
  <c r="U130" i="18"/>
  <c r="T130" i="18" s="1"/>
  <c r="S130" i="18" s="1"/>
  <c r="R130" i="18" s="1"/>
  <c r="P130" i="18" s="1"/>
  <c r="V130" i="18" s="1"/>
  <c r="U132" i="18"/>
  <c r="T132" i="18" s="1"/>
  <c r="S132" i="18" s="1"/>
  <c r="R132" i="18" s="1"/>
  <c r="P132" i="18" s="1"/>
  <c r="V132" i="18" s="1"/>
  <c r="U134" i="18"/>
  <c r="T134" i="18" s="1"/>
  <c r="U136" i="18"/>
  <c r="T136" i="18" s="1"/>
  <c r="S136" i="18" s="1"/>
  <c r="R136" i="18" s="1"/>
  <c r="P136" i="18" s="1"/>
  <c r="V136" i="18" s="1"/>
  <c r="U138" i="18"/>
  <c r="T138" i="18" s="1"/>
  <c r="S138" i="18" s="1"/>
  <c r="R138" i="18" s="1"/>
  <c r="P138" i="18" s="1"/>
  <c r="V138" i="18" s="1"/>
  <c r="U140" i="18"/>
  <c r="T140" i="18" s="1"/>
  <c r="S140" i="18" s="1"/>
  <c r="R140" i="18" s="1"/>
  <c r="U142" i="18"/>
  <c r="T142" i="18" s="1"/>
  <c r="U144" i="18"/>
  <c r="T144" i="18" s="1"/>
  <c r="S144" i="18" s="1"/>
  <c r="R144" i="18" s="1"/>
  <c r="P144" i="18" s="1"/>
  <c r="V144" i="18" s="1"/>
  <c r="U146" i="18"/>
  <c r="T146" i="18" s="1"/>
  <c r="S146" i="18" s="1"/>
  <c r="R146" i="18" s="1"/>
  <c r="P146" i="18" s="1"/>
  <c r="V146" i="18" s="1"/>
  <c r="U148" i="18"/>
  <c r="T148" i="18" s="1"/>
  <c r="S148" i="18" s="1"/>
  <c r="R148" i="18" s="1"/>
  <c r="U150" i="18"/>
  <c r="T150" i="18" s="1"/>
  <c r="S150" i="18" s="1"/>
  <c r="R150" i="18" s="1"/>
  <c r="U152" i="18"/>
  <c r="T152" i="18" s="1"/>
  <c r="S152" i="18" s="1"/>
  <c r="R152" i="18" s="1"/>
  <c r="P152" i="18" s="1"/>
  <c r="V152" i="18" s="1"/>
  <c r="U154" i="18"/>
  <c r="T154" i="18" s="1"/>
  <c r="S154" i="18" s="1"/>
  <c r="R154" i="18" s="1"/>
  <c r="P154" i="18" s="1"/>
  <c r="V154" i="18" s="1"/>
  <c r="U156" i="18"/>
  <c r="T156" i="18" s="1"/>
  <c r="S156" i="18" s="1"/>
  <c r="R156" i="18" s="1"/>
  <c r="P156" i="18" s="1"/>
  <c r="V156" i="18" s="1"/>
  <c r="U158" i="18"/>
  <c r="T158" i="18" s="1"/>
  <c r="S158" i="18" s="1"/>
  <c r="R158" i="18" s="1"/>
  <c r="P158" i="18" s="1"/>
  <c r="V158" i="18" s="1"/>
  <c r="U160" i="18"/>
  <c r="T160" i="18" s="1"/>
  <c r="S160" i="18" s="1"/>
  <c r="R160" i="18" s="1"/>
  <c r="P160" i="18" s="1"/>
  <c r="V160" i="18" s="1"/>
  <c r="U162" i="18"/>
  <c r="T162" i="18" s="1"/>
  <c r="U164" i="18"/>
  <c r="T164" i="18" s="1"/>
  <c r="S164" i="18" s="1"/>
  <c r="R164" i="18" s="1"/>
  <c r="U166" i="18"/>
  <c r="T166" i="18" s="1"/>
  <c r="S166" i="18" s="1"/>
  <c r="R166" i="18" s="1"/>
  <c r="U168" i="18"/>
  <c r="T168" i="18" s="1"/>
  <c r="S168" i="18" s="1"/>
  <c r="R168" i="18" s="1"/>
  <c r="P168" i="18" s="1"/>
  <c r="V168" i="18" s="1"/>
  <c r="U170" i="18"/>
  <c r="T170" i="18" s="1"/>
  <c r="S170" i="18" s="1"/>
  <c r="R170" i="18" s="1"/>
  <c r="P170" i="18" s="1"/>
  <c r="V170" i="18" s="1"/>
  <c r="U172" i="18"/>
  <c r="T172" i="18" s="1"/>
  <c r="S172" i="18" s="1"/>
  <c r="R172" i="18" s="1"/>
  <c r="P172" i="18" s="1"/>
  <c r="V172" i="18" s="1"/>
  <c r="U174" i="18"/>
  <c r="T174" i="18" s="1"/>
  <c r="S174" i="18" s="1"/>
  <c r="R174" i="18" s="1"/>
  <c r="P174" i="18" s="1"/>
  <c r="V174" i="18" s="1"/>
  <c r="U176" i="18"/>
  <c r="T176" i="18" s="1"/>
  <c r="S176" i="18" s="1"/>
  <c r="R176" i="18" s="1"/>
  <c r="P176" i="18" s="1"/>
  <c r="V176" i="18" s="1"/>
  <c r="U178" i="18"/>
  <c r="T178" i="18" s="1"/>
  <c r="S178" i="18" s="1"/>
  <c r="R178" i="18" s="1"/>
  <c r="U180" i="18"/>
  <c r="T180" i="18" s="1"/>
  <c r="S180" i="18" s="1"/>
  <c r="R180" i="18" s="1"/>
  <c r="P180" i="18" s="1"/>
  <c r="U182" i="18"/>
  <c r="T182" i="18" s="1"/>
  <c r="U379" i="18"/>
  <c r="AB16" i="7" s="1"/>
  <c r="U377" i="18"/>
  <c r="T377" i="18" s="1"/>
  <c r="S377" i="18" s="1"/>
  <c r="R377" i="18" s="1"/>
  <c r="P377" i="18" s="1"/>
  <c r="V377" i="18" s="1"/>
  <c r="U375" i="18"/>
  <c r="T375" i="18" s="1"/>
  <c r="S375" i="18" s="1"/>
  <c r="R375" i="18" s="1"/>
  <c r="P375" i="18" s="1"/>
  <c r="V375" i="18" s="1"/>
  <c r="U373" i="18"/>
  <c r="T373" i="18" s="1"/>
  <c r="S373" i="18" s="1"/>
  <c r="R373" i="18" s="1"/>
  <c r="P373" i="18" s="1"/>
  <c r="V373" i="18" s="1"/>
  <c r="U371" i="18"/>
  <c r="T371" i="18" s="1"/>
  <c r="S371" i="18" s="1"/>
  <c r="R371" i="18" s="1"/>
  <c r="P371" i="18" s="1"/>
  <c r="V371" i="18" s="1"/>
  <c r="U369" i="18"/>
  <c r="T369" i="18" s="1"/>
  <c r="U367" i="18"/>
  <c r="T367" i="18" s="1"/>
  <c r="S367" i="18" s="1"/>
  <c r="R367" i="18" s="1"/>
  <c r="P367" i="18" s="1"/>
  <c r="V367" i="18" s="1"/>
  <c r="U365" i="18"/>
  <c r="T365" i="18" s="1"/>
  <c r="S365" i="18" s="1"/>
  <c r="R365" i="18" s="1"/>
  <c r="P365" i="18" s="1"/>
  <c r="V365" i="18" s="1"/>
  <c r="U363" i="18"/>
  <c r="T363" i="18" s="1"/>
  <c r="S363" i="18" s="1"/>
  <c r="R363" i="18" s="1"/>
  <c r="P363" i="18" s="1"/>
  <c r="U361" i="18"/>
  <c r="T361" i="18" s="1"/>
  <c r="S361" i="18" s="1"/>
  <c r="R361" i="18" s="1"/>
  <c r="P361" i="18" s="1"/>
  <c r="V361" i="18" s="1"/>
  <c r="U359" i="18"/>
  <c r="T359" i="18" s="1"/>
  <c r="S359" i="18" s="1"/>
  <c r="R359" i="18" s="1"/>
  <c r="P359" i="18" s="1"/>
  <c r="V359" i="18" s="1"/>
  <c r="U357" i="18"/>
  <c r="T357" i="18" s="1"/>
  <c r="U355" i="18"/>
  <c r="T355" i="18" s="1"/>
  <c r="S355" i="18" s="1"/>
  <c r="R355" i="18" s="1"/>
  <c r="P355" i="18" s="1"/>
  <c r="V355" i="18" s="1"/>
  <c r="U353" i="18"/>
  <c r="T353" i="18" s="1"/>
  <c r="S353" i="18" s="1"/>
  <c r="R353" i="18" s="1"/>
  <c r="P353" i="18" s="1"/>
  <c r="V353" i="18" s="1"/>
  <c r="U351" i="18"/>
  <c r="T351" i="18" s="1"/>
  <c r="S351" i="18" s="1"/>
  <c r="R351" i="18" s="1"/>
  <c r="P351" i="18" s="1"/>
  <c r="V351" i="18" s="1"/>
  <c r="U349" i="18"/>
  <c r="T349" i="18" s="1"/>
  <c r="S349" i="18" s="1"/>
  <c r="R349" i="18" s="1"/>
  <c r="P349" i="18" s="1"/>
  <c r="V349" i="18" s="1"/>
  <c r="U347" i="18"/>
  <c r="T347" i="18" s="1"/>
  <c r="S347" i="18" s="1"/>
  <c r="R347" i="18" s="1"/>
  <c r="P347" i="18" s="1"/>
  <c r="V347" i="18" s="1"/>
  <c r="U345" i="18"/>
  <c r="T345" i="18" s="1"/>
  <c r="S345" i="18" s="1"/>
  <c r="R345" i="18" s="1"/>
  <c r="P345" i="18" s="1"/>
  <c r="V345" i="18" s="1"/>
  <c r="U343" i="18"/>
  <c r="T343" i="18" s="1"/>
  <c r="S343" i="18" s="1"/>
  <c r="R343" i="18" s="1"/>
  <c r="P343" i="18" s="1"/>
  <c r="V343" i="18" s="1"/>
  <c r="U341" i="18"/>
  <c r="T341" i="18" s="1"/>
  <c r="U339" i="18"/>
  <c r="T339" i="18" s="1"/>
  <c r="S339" i="18" s="1"/>
  <c r="R339" i="18" s="1"/>
  <c r="P339" i="18" s="1"/>
  <c r="V339" i="18" s="1"/>
  <c r="U337" i="18"/>
  <c r="T337" i="18" s="1"/>
  <c r="S337" i="18" s="1"/>
  <c r="R337" i="18" s="1"/>
  <c r="P337" i="18" s="1"/>
  <c r="V337" i="18" s="1"/>
  <c r="U335" i="18"/>
  <c r="T335" i="18" s="1"/>
  <c r="S335" i="18" s="1"/>
  <c r="R335" i="18" s="1"/>
  <c r="P335" i="18" s="1"/>
  <c r="V335" i="18" s="1"/>
  <c r="U333" i="18"/>
  <c r="T333" i="18" s="1"/>
  <c r="S333" i="18" s="1"/>
  <c r="R333" i="18" s="1"/>
  <c r="P333" i="18" s="1"/>
  <c r="U331" i="18"/>
  <c r="T331" i="18" s="1"/>
  <c r="S331" i="18" s="1"/>
  <c r="R331" i="18" s="1"/>
  <c r="P331" i="18" s="1"/>
  <c r="V331" i="18" s="1"/>
  <c r="U329" i="18"/>
  <c r="T329" i="18" s="1"/>
  <c r="S329" i="18" s="1"/>
  <c r="R329" i="18" s="1"/>
  <c r="P329" i="18" s="1"/>
  <c r="V329" i="18" s="1"/>
  <c r="U327" i="18"/>
  <c r="T327" i="18" s="1"/>
  <c r="S327" i="18" s="1"/>
  <c r="R327" i="18" s="1"/>
  <c r="P327" i="18" s="1"/>
  <c r="V327" i="18" s="1"/>
  <c r="U325" i="18"/>
  <c r="T325" i="18" s="1"/>
  <c r="S325" i="18" s="1"/>
  <c r="R325" i="18" s="1"/>
  <c r="P325" i="18" s="1"/>
  <c r="V325" i="18" s="1"/>
  <c r="U323" i="18"/>
  <c r="T323" i="18" s="1"/>
  <c r="S323" i="18" s="1"/>
  <c r="R323" i="18" s="1"/>
  <c r="P323" i="18" s="1"/>
  <c r="V323" i="18" s="1"/>
  <c r="U321" i="18"/>
  <c r="T321" i="18" s="1"/>
  <c r="S321" i="18" s="1"/>
  <c r="R321" i="18" s="1"/>
  <c r="P321" i="18" s="1"/>
  <c r="V321" i="18" s="1"/>
  <c r="U319" i="18"/>
  <c r="T319" i="18" s="1"/>
  <c r="S319" i="18" s="1"/>
  <c r="R319" i="18" s="1"/>
  <c r="P319" i="18" s="1"/>
  <c r="V319" i="18" s="1"/>
  <c r="U317" i="18"/>
  <c r="T317" i="18" s="1"/>
  <c r="S317" i="18" s="1"/>
  <c r="R317" i="18" s="1"/>
  <c r="P317" i="18" s="1"/>
  <c r="V317" i="18" s="1"/>
  <c r="U315" i="18"/>
  <c r="T315" i="18" s="1"/>
  <c r="S315" i="18" s="1"/>
  <c r="R315" i="18" s="1"/>
  <c r="P315" i="18" s="1"/>
  <c r="V315" i="18" s="1"/>
  <c r="U313" i="18"/>
  <c r="T313" i="18" s="1"/>
  <c r="S313" i="18" s="1"/>
  <c r="R313" i="18" s="1"/>
  <c r="P313" i="18" s="1"/>
  <c r="V313" i="18" s="1"/>
  <c r="U311" i="18"/>
  <c r="T311" i="18" s="1"/>
  <c r="S311" i="18" s="1"/>
  <c r="R311" i="18" s="1"/>
  <c r="P311" i="18" s="1"/>
  <c r="V311" i="18" s="1"/>
  <c r="U309" i="18"/>
  <c r="T309" i="18" s="1"/>
  <c r="U307" i="18"/>
  <c r="T307" i="18" s="1"/>
  <c r="S307" i="18" s="1"/>
  <c r="R307" i="18" s="1"/>
  <c r="P307" i="18" s="1"/>
  <c r="V307" i="18" s="1"/>
  <c r="U305" i="18"/>
  <c r="T305" i="18" s="1"/>
  <c r="S305" i="18" s="1"/>
  <c r="R305" i="18" s="1"/>
  <c r="P305" i="18" s="1"/>
  <c r="V305" i="18" s="1"/>
  <c r="U303" i="18"/>
  <c r="T303" i="18" s="1"/>
  <c r="S303" i="18" s="1"/>
  <c r="R303" i="18" s="1"/>
  <c r="P303" i="18" s="1"/>
  <c r="V303" i="18" s="1"/>
  <c r="U301" i="18"/>
  <c r="T301" i="18" s="1"/>
  <c r="S301" i="18" s="1"/>
  <c r="R301" i="18" s="1"/>
  <c r="P301" i="18" s="1"/>
  <c r="V301" i="18" s="1"/>
  <c r="U299" i="18"/>
  <c r="T299" i="18" s="1"/>
  <c r="S299" i="18" s="1"/>
  <c r="R299" i="18" s="1"/>
  <c r="P299" i="18" s="1"/>
  <c r="V299" i="18" s="1"/>
  <c r="U297" i="18"/>
  <c r="T297" i="18" s="1"/>
  <c r="S297" i="18" s="1"/>
  <c r="R297" i="18" s="1"/>
  <c r="P297" i="18" s="1"/>
  <c r="V297" i="18" s="1"/>
  <c r="U295" i="18"/>
  <c r="T295" i="18" s="1"/>
  <c r="S295" i="18" s="1"/>
  <c r="R295" i="18" s="1"/>
  <c r="P295" i="18" s="1"/>
  <c r="V295" i="18" s="1"/>
  <c r="U293" i="18"/>
  <c r="T293" i="18" s="1"/>
  <c r="S293" i="18" s="1"/>
  <c r="R293" i="18" s="1"/>
  <c r="P293" i="18" s="1"/>
  <c r="V293" i="18" s="1"/>
  <c r="U291" i="18"/>
  <c r="T291" i="18" s="1"/>
  <c r="S291" i="18" s="1"/>
  <c r="R291" i="18" s="1"/>
  <c r="P291" i="18" s="1"/>
  <c r="V291" i="18" s="1"/>
  <c r="U289" i="18"/>
  <c r="T289" i="18" s="1"/>
  <c r="S289" i="18" s="1"/>
  <c r="R289" i="18" s="1"/>
  <c r="P289" i="18" s="1"/>
  <c r="V289" i="18" s="1"/>
  <c r="U287" i="18"/>
  <c r="T287" i="18" s="1"/>
  <c r="S287" i="18" s="1"/>
  <c r="R287" i="18" s="1"/>
  <c r="P287" i="18" s="1"/>
  <c r="V287" i="18" s="1"/>
  <c r="U285" i="18"/>
  <c r="T285" i="18" s="1"/>
  <c r="S285" i="18" s="1"/>
  <c r="R285" i="18" s="1"/>
  <c r="P285" i="18" s="1"/>
  <c r="V285" i="18" s="1"/>
  <c r="U283" i="18"/>
  <c r="T283" i="18" s="1"/>
  <c r="S283" i="18" s="1"/>
  <c r="R283" i="18" s="1"/>
  <c r="P283" i="18" s="1"/>
  <c r="V283" i="18" s="1"/>
  <c r="U281" i="18"/>
  <c r="T281" i="18" s="1"/>
  <c r="S281" i="18" s="1"/>
  <c r="R281" i="18" s="1"/>
  <c r="P281" i="18" s="1"/>
  <c r="V281" i="18" s="1"/>
  <c r="U279" i="18"/>
  <c r="T279" i="18" s="1"/>
  <c r="S279" i="18" s="1"/>
  <c r="R279" i="18" s="1"/>
  <c r="P279" i="18" s="1"/>
  <c r="V279" i="18" s="1"/>
  <c r="U277" i="18"/>
  <c r="T277" i="18" s="1"/>
  <c r="U275" i="18"/>
  <c r="T275" i="18" s="1"/>
  <c r="S275" i="18" s="1"/>
  <c r="R275" i="18" s="1"/>
  <c r="P275" i="18" s="1"/>
  <c r="V275" i="18" s="1"/>
  <c r="U273" i="18"/>
  <c r="T273" i="18" s="1"/>
  <c r="S273" i="18" s="1"/>
  <c r="R273" i="18" s="1"/>
  <c r="P273" i="18" s="1"/>
  <c r="V273" i="18" s="1"/>
  <c r="U271" i="18"/>
  <c r="T271" i="18" s="1"/>
  <c r="S271" i="18" s="1"/>
  <c r="R271" i="18" s="1"/>
  <c r="P271" i="18" s="1"/>
  <c r="V271" i="18" s="1"/>
  <c r="U269" i="18"/>
  <c r="T269" i="18" s="1"/>
  <c r="S269" i="18" s="1"/>
  <c r="R269" i="18" s="1"/>
  <c r="P269" i="18" s="1"/>
  <c r="V269" i="18" s="1"/>
  <c r="U267" i="18"/>
  <c r="T267" i="18" s="1"/>
  <c r="S267" i="18" s="1"/>
  <c r="R267" i="18" s="1"/>
  <c r="P267" i="18" s="1"/>
  <c r="V267" i="18" s="1"/>
  <c r="U265" i="18"/>
  <c r="T265" i="18" s="1"/>
  <c r="S265" i="18" s="1"/>
  <c r="R265" i="18" s="1"/>
  <c r="P265" i="18" s="1"/>
  <c r="V265" i="18" s="1"/>
  <c r="U263" i="18"/>
  <c r="T263" i="18" s="1"/>
  <c r="S263" i="18" s="1"/>
  <c r="R263" i="18" s="1"/>
  <c r="P263" i="18" s="1"/>
  <c r="V263" i="18" s="1"/>
  <c r="U261" i="18"/>
  <c r="T261" i="18" s="1"/>
  <c r="U259" i="18"/>
  <c r="T259" i="18" s="1"/>
  <c r="S259" i="18" s="1"/>
  <c r="R259" i="18" s="1"/>
  <c r="P259" i="18" s="1"/>
  <c r="V259" i="18" s="1"/>
  <c r="U257" i="18"/>
  <c r="T257" i="18" s="1"/>
  <c r="S257" i="18" s="1"/>
  <c r="R257" i="18" s="1"/>
  <c r="P257" i="18" s="1"/>
  <c r="V257" i="18" s="1"/>
  <c r="U255" i="18"/>
  <c r="T255" i="18" s="1"/>
  <c r="S255" i="18" s="1"/>
  <c r="R255" i="18" s="1"/>
  <c r="P255" i="18" s="1"/>
  <c r="V255" i="18" s="1"/>
  <c r="U253" i="18"/>
  <c r="T253" i="18" s="1"/>
  <c r="S253" i="18" s="1"/>
  <c r="R253" i="18" s="1"/>
  <c r="P253" i="18" s="1"/>
  <c r="V253" i="18" s="1"/>
  <c r="U251" i="18"/>
  <c r="T251" i="18" s="1"/>
  <c r="S251" i="18" s="1"/>
  <c r="R251" i="18" s="1"/>
  <c r="P251" i="18" s="1"/>
  <c r="V251" i="18" s="1"/>
  <c r="U249" i="18"/>
  <c r="T249" i="18" s="1"/>
  <c r="S249" i="18" s="1"/>
  <c r="R249" i="18" s="1"/>
  <c r="P249" i="18" s="1"/>
  <c r="V249" i="18" s="1"/>
  <c r="U247" i="18"/>
  <c r="T247" i="18" s="1"/>
  <c r="S247" i="18" s="1"/>
  <c r="R247" i="18" s="1"/>
  <c r="P247" i="18" s="1"/>
  <c r="V247" i="18" s="1"/>
  <c r="U245" i="18"/>
  <c r="T245" i="18" s="1"/>
  <c r="S245" i="18" s="1"/>
  <c r="R245" i="18" s="1"/>
  <c r="P245" i="18" s="1"/>
  <c r="V245" i="18" s="1"/>
  <c r="U243" i="18"/>
  <c r="T243" i="18" s="1"/>
  <c r="S243" i="18" s="1"/>
  <c r="R243" i="18" s="1"/>
  <c r="P243" i="18" s="1"/>
  <c r="V243" i="18" s="1"/>
  <c r="U241" i="18"/>
  <c r="T241" i="18" s="1"/>
  <c r="U239" i="18"/>
  <c r="T239" i="18" s="1"/>
  <c r="S239" i="18" s="1"/>
  <c r="R239" i="18" s="1"/>
  <c r="P239" i="18" s="1"/>
  <c r="V239" i="18" s="1"/>
  <c r="U237" i="18"/>
  <c r="T237" i="18" s="1"/>
  <c r="S237" i="18" s="1"/>
  <c r="R237" i="18" s="1"/>
  <c r="P237" i="18" s="1"/>
  <c r="V237" i="18" s="1"/>
  <c r="U235" i="18"/>
  <c r="T235" i="18" s="1"/>
  <c r="S235" i="18" s="1"/>
  <c r="R235" i="18" s="1"/>
  <c r="P235" i="18" s="1"/>
  <c r="V235" i="18" s="1"/>
  <c r="U233" i="18"/>
  <c r="T233" i="18" s="1"/>
  <c r="S233" i="18" s="1"/>
  <c r="R233" i="18" s="1"/>
  <c r="P233" i="18" s="1"/>
  <c r="V233" i="18" s="1"/>
  <c r="U231" i="18"/>
  <c r="T231" i="18" s="1"/>
  <c r="S231" i="18" s="1"/>
  <c r="R231" i="18" s="1"/>
  <c r="P231" i="18" s="1"/>
  <c r="V231" i="18" s="1"/>
  <c r="U229" i="18"/>
  <c r="T229" i="18" s="1"/>
  <c r="S229" i="18" s="1"/>
  <c r="R229" i="18" s="1"/>
  <c r="P229" i="18" s="1"/>
  <c r="V229" i="18" s="1"/>
  <c r="U227" i="18"/>
  <c r="T227" i="18" s="1"/>
  <c r="S227" i="18" s="1"/>
  <c r="R227" i="18" s="1"/>
  <c r="P227" i="18" s="1"/>
  <c r="V227" i="18" s="1"/>
  <c r="U225" i="18"/>
  <c r="T225" i="18" s="1"/>
  <c r="U223" i="18"/>
  <c r="T223" i="18" s="1"/>
  <c r="S223" i="18" s="1"/>
  <c r="R223" i="18" s="1"/>
  <c r="P223" i="18" s="1"/>
  <c r="V223" i="18" s="1"/>
  <c r="U221" i="18"/>
  <c r="T221" i="18" s="1"/>
  <c r="S221" i="18" s="1"/>
  <c r="R221" i="18" s="1"/>
  <c r="P221" i="18" s="1"/>
  <c r="V221" i="18" s="1"/>
  <c r="U219" i="18"/>
  <c r="T219" i="18" s="1"/>
  <c r="S219" i="18" s="1"/>
  <c r="R219" i="18" s="1"/>
  <c r="P219" i="18" s="1"/>
  <c r="V219" i="18" s="1"/>
  <c r="U217" i="18"/>
  <c r="T217" i="18" s="1"/>
  <c r="S217" i="18" s="1"/>
  <c r="R217" i="18" s="1"/>
  <c r="P217" i="18" s="1"/>
  <c r="V217" i="18" s="1"/>
  <c r="U215" i="18"/>
  <c r="T215" i="18" s="1"/>
  <c r="S215" i="18" s="1"/>
  <c r="R215" i="18" s="1"/>
  <c r="P215" i="18" s="1"/>
  <c r="V215" i="18" s="1"/>
  <c r="U213" i="18"/>
  <c r="T213" i="18" s="1"/>
  <c r="S213" i="18" s="1"/>
  <c r="R213" i="18" s="1"/>
  <c r="P213" i="18" s="1"/>
  <c r="V213" i="18" s="1"/>
  <c r="U211" i="18"/>
  <c r="T211" i="18" s="1"/>
  <c r="S211" i="18" s="1"/>
  <c r="R211" i="18" s="1"/>
  <c r="P211" i="18" s="1"/>
  <c r="V211" i="18" s="1"/>
  <c r="U209" i="18"/>
  <c r="T209" i="18" s="1"/>
  <c r="S209" i="18" s="1"/>
  <c r="R209" i="18" s="1"/>
  <c r="P209" i="18" s="1"/>
  <c r="V209" i="18" s="1"/>
  <c r="U207" i="18"/>
  <c r="T207" i="18" s="1"/>
  <c r="S207" i="18" s="1"/>
  <c r="R207" i="18" s="1"/>
  <c r="P207" i="18" s="1"/>
  <c r="V207" i="18" s="1"/>
  <c r="U205" i="18"/>
  <c r="T205" i="18" s="1"/>
  <c r="S205" i="18" s="1"/>
  <c r="R205" i="18" s="1"/>
  <c r="P205" i="18" s="1"/>
  <c r="V205" i="18" s="1"/>
  <c r="U203" i="18"/>
  <c r="T203" i="18" s="1"/>
  <c r="S203" i="18" s="1"/>
  <c r="R203" i="18" s="1"/>
  <c r="P203" i="18" s="1"/>
  <c r="V203" i="18" s="1"/>
  <c r="U201" i="18"/>
  <c r="T201" i="18" s="1"/>
  <c r="S201" i="18" s="1"/>
  <c r="R201" i="18" s="1"/>
  <c r="P201" i="18" s="1"/>
  <c r="V201" i="18" s="1"/>
  <c r="U199" i="18"/>
  <c r="T199" i="18" s="1"/>
  <c r="S199" i="18" s="1"/>
  <c r="R199" i="18" s="1"/>
  <c r="P199" i="18" s="1"/>
  <c r="V199" i="18" s="1"/>
  <c r="U197" i="18"/>
  <c r="T197" i="18" s="1"/>
  <c r="S197" i="18" s="1"/>
  <c r="R197" i="18" s="1"/>
  <c r="P197" i="18" s="1"/>
  <c r="V197" i="18" s="1"/>
  <c r="U195" i="18"/>
  <c r="T195" i="18" s="1"/>
  <c r="S195" i="18" s="1"/>
  <c r="R195" i="18" s="1"/>
  <c r="P195" i="18" s="1"/>
  <c r="V195" i="18" s="1"/>
  <c r="U193" i="18"/>
  <c r="T193" i="18" s="1"/>
  <c r="S193" i="18" s="1"/>
  <c r="R193" i="18" s="1"/>
  <c r="P193" i="18" s="1"/>
  <c r="V193" i="18" s="1"/>
  <c r="U191" i="18"/>
  <c r="T191" i="18" s="1"/>
  <c r="S191" i="18" s="1"/>
  <c r="R191" i="18" s="1"/>
  <c r="P191" i="18" s="1"/>
  <c r="V191" i="18" s="1"/>
  <c r="U189" i="18"/>
  <c r="T189" i="18" s="1"/>
  <c r="S189" i="18" s="1"/>
  <c r="R189" i="18" s="1"/>
  <c r="P189" i="18" s="1"/>
  <c r="V189" i="18" s="1"/>
  <c r="U187" i="18"/>
  <c r="T187" i="18" s="1"/>
  <c r="S187" i="18" s="1"/>
  <c r="R187" i="18" s="1"/>
  <c r="P187" i="18" s="1"/>
  <c r="V187" i="18" s="1"/>
  <c r="U185" i="18"/>
  <c r="T185" i="18" s="1"/>
  <c r="U183" i="18"/>
  <c r="T183" i="18" s="1"/>
  <c r="S183" i="18" s="1"/>
  <c r="R183" i="18" s="1"/>
  <c r="P183" i="18" s="1"/>
  <c r="V183" i="18" s="1"/>
  <c r="U179" i="18"/>
  <c r="T179" i="18" s="1"/>
  <c r="S179" i="18" s="1"/>
  <c r="R179" i="18" s="1"/>
  <c r="P179" i="18" s="1"/>
  <c r="V179" i="18" s="1"/>
  <c r="U175" i="18"/>
  <c r="T175" i="18" s="1"/>
  <c r="S175" i="18" s="1"/>
  <c r="R175" i="18" s="1"/>
  <c r="P175" i="18" s="1"/>
  <c r="V175" i="18" s="1"/>
  <c r="U171" i="18"/>
  <c r="T171" i="18" s="1"/>
  <c r="S171" i="18" s="1"/>
  <c r="R171" i="18" s="1"/>
  <c r="P171" i="18" s="1"/>
  <c r="V171" i="18" s="1"/>
  <c r="U167" i="18"/>
  <c r="T167" i="18" s="1"/>
  <c r="S167" i="18" s="1"/>
  <c r="R167" i="18" s="1"/>
  <c r="P167" i="18" s="1"/>
  <c r="V167" i="18" s="1"/>
  <c r="U163" i="18"/>
  <c r="T163" i="18" s="1"/>
  <c r="U159" i="18"/>
  <c r="T159" i="18" s="1"/>
  <c r="S159" i="18" s="1"/>
  <c r="R159" i="18" s="1"/>
  <c r="U155" i="18"/>
  <c r="T155" i="18" s="1"/>
  <c r="U151" i="18"/>
  <c r="T151" i="18" s="1"/>
  <c r="S151" i="18" s="1"/>
  <c r="R151" i="18" s="1"/>
  <c r="P151" i="18" s="1"/>
  <c r="V151" i="18" s="1"/>
  <c r="U147" i="18"/>
  <c r="T147" i="18" s="1"/>
  <c r="S147" i="18" s="1"/>
  <c r="R147" i="18" s="1"/>
  <c r="P147" i="18" s="1"/>
  <c r="V147" i="18" s="1"/>
  <c r="U143" i="18"/>
  <c r="T143" i="18" s="1"/>
  <c r="S143" i="18" s="1"/>
  <c r="R143" i="18" s="1"/>
  <c r="P143" i="18" s="1"/>
  <c r="V143" i="18" s="1"/>
  <c r="U139" i="18"/>
  <c r="T139" i="18" s="1"/>
  <c r="S139" i="18" s="1"/>
  <c r="R139" i="18" s="1"/>
  <c r="U135" i="18"/>
  <c r="T135" i="18" s="1"/>
  <c r="S135" i="18" s="1"/>
  <c r="R135" i="18" s="1"/>
  <c r="P135" i="18" s="1"/>
  <c r="V135" i="18" s="1"/>
  <c r="U131" i="18"/>
  <c r="T131" i="18" s="1"/>
  <c r="S131" i="18" s="1"/>
  <c r="R131" i="18" s="1"/>
  <c r="U127" i="18"/>
  <c r="T127" i="18" s="1"/>
  <c r="S127" i="18" s="1"/>
  <c r="R127" i="18" s="1"/>
  <c r="U123" i="18"/>
  <c r="T123" i="18" s="1"/>
  <c r="S123" i="18" s="1"/>
  <c r="R123" i="18" s="1"/>
  <c r="U119" i="18"/>
  <c r="T119" i="18" s="1"/>
  <c r="S119" i="18" s="1"/>
  <c r="R119" i="18" s="1"/>
  <c r="U115" i="18"/>
  <c r="T115" i="18" s="1"/>
  <c r="S115" i="18" s="1"/>
  <c r="R115" i="18" s="1"/>
  <c r="P115" i="18" s="1"/>
  <c r="V115" i="18" s="1"/>
  <c r="U111" i="18"/>
  <c r="T111" i="18" s="1"/>
  <c r="S111" i="18" s="1"/>
  <c r="R111" i="18" s="1"/>
  <c r="U107" i="18"/>
  <c r="T107" i="18" s="1"/>
  <c r="S107" i="18" s="1"/>
  <c r="R107" i="18" s="1"/>
  <c r="U103" i="18"/>
  <c r="T103" i="18" s="1"/>
  <c r="S103" i="18" s="1"/>
  <c r="R103" i="18" s="1"/>
  <c r="P103" i="18" s="1"/>
  <c r="V103" i="18" s="1"/>
  <c r="U99" i="18"/>
  <c r="T99" i="18" s="1"/>
  <c r="S99" i="18" s="1"/>
  <c r="R99" i="18" s="1"/>
  <c r="U95" i="18"/>
  <c r="T95" i="18" s="1"/>
  <c r="S95" i="18" s="1"/>
  <c r="R95" i="18" s="1"/>
  <c r="P95" i="18" s="1"/>
  <c r="V95" i="18" s="1"/>
  <c r="U91" i="18"/>
  <c r="T91" i="18" s="1"/>
  <c r="S91" i="18" s="1"/>
  <c r="R91" i="18" s="1"/>
  <c r="U87" i="18"/>
  <c r="T87" i="18" s="1"/>
  <c r="S87" i="18" s="1"/>
  <c r="R87" i="18" s="1"/>
  <c r="P87" i="18" s="1"/>
  <c r="V87" i="18" s="1"/>
  <c r="U83" i="18"/>
  <c r="T83" i="18" s="1"/>
  <c r="S83" i="18" s="1"/>
  <c r="R83" i="18" s="1"/>
  <c r="U79" i="18"/>
  <c r="T79" i="18" s="1"/>
  <c r="S79" i="18" s="1"/>
  <c r="R79" i="18" s="1"/>
  <c r="P79" i="18" s="1"/>
  <c r="V79" i="18" s="1"/>
  <c r="U75" i="18"/>
  <c r="T75" i="18" s="1"/>
  <c r="U71" i="18"/>
  <c r="T71" i="18" s="1"/>
  <c r="S71" i="18" s="1"/>
  <c r="R71" i="18" s="1"/>
  <c r="P71" i="18" s="1"/>
  <c r="V71" i="18" s="1"/>
  <c r="U67" i="18"/>
  <c r="T67" i="18" s="1"/>
  <c r="S67" i="18" s="1"/>
  <c r="R67" i="18" s="1"/>
  <c r="P67" i="18" s="1"/>
  <c r="V67" i="18" s="1"/>
  <c r="U63" i="18"/>
  <c r="T63" i="18" s="1"/>
  <c r="S63" i="18" s="1"/>
  <c r="R63" i="18" s="1"/>
  <c r="U59" i="18"/>
  <c r="T59" i="18" s="1"/>
  <c r="S59" i="18" s="1"/>
  <c r="R59" i="18" s="1"/>
  <c r="U55" i="18"/>
  <c r="T55" i="18" s="1"/>
  <c r="S55" i="18" s="1"/>
  <c r="R55" i="18" s="1"/>
  <c r="P55" i="18" s="1"/>
  <c r="V55" i="18" s="1"/>
  <c r="U51" i="18"/>
  <c r="T51" i="18" s="1"/>
  <c r="S51" i="18" s="1"/>
  <c r="R51" i="18" s="1"/>
  <c r="P51" i="18" s="1"/>
  <c r="V51" i="18" s="1"/>
  <c r="U47" i="18"/>
  <c r="T47" i="18" s="1"/>
  <c r="S47" i="18" s="1"/>
  <c r="R47" i="18" s="1"/>
  <c r="P47" i="18" s="1"/>
  <c r="V47" i="18" s="1"/>
  <c r="U43" i="18"/>
  <c r="T43" i="18" s="1"/>
  <c r="S43" i="18" s="1"/>
  <c r="R43" i="18" s="1"/>
  <c r="U39" i="18"/>
  <c r="T39" i="18" s="1"/>
  <c r="S39" i="18" s="1"/>
  <c r="R39" i="18" s="1"/>
  <c r="P39" i="18" s="1"/>
  <c r="V39" i="18" s="1"/>
  <c r="U35" i="18"/>
  <c r="T35" i="18" s="1"/>
  <c r="S35" i="18" s="1"/>
  <c r="R35" i="18" s="1"/>
  <c r="U31" i="18"/>
  <c r="T31" i="18" s="1"/>
  <c r="S31" i="18" s="1"/>
  <c r="R31" i="18" s="1"/>
  <c r="U27" i="18"/>
  <c r="T27" i="18" s="1"/>
  <c r="S27" i="18" s="1"/>
  <c r="R27" i="18" s="1"/>
  <c r="U23" i="18"/>
  <c r="T23" i="18" s="1"/>
  <c r="S23" i="18" s="1"/>
  <c r="R23" i="18" s="1"/>
  <c r="U19" i="18"/>
  <c r="T19" i="18" s="1"/>
  <c r="S19" i="18" s="1"/>
  <c r="R19" i="18" s="1"/>
  <c r="P19" i="18" s="1"/>
  <c r="V19" i="18" s="1"/>
  <c r="U18" i="18"/>
  <c r="T18" i="18" s="1"/>
  <c r="S18" i="18" s="1"/>
  <c r="R18" i="18" s="1"/>
  <c r="P18" i="18" s="1"/>
  <c r="V18" i="18" s="1"/>
  <c r="P226" i="18"/>
  <c r="V226" i="18" s="1"/>
  <c r="P214" i="18"/>
  <c r="V214" i="18" s="1"/>
  <c r="P210" i="18"/>
  <c r="V210" i="18" s="1"/>
  <c r="P206" i="18"/>
  <c r="V206" i="18" s="1"/>
  <c r="P178" i="18"/>
  <c r="V178" i="18" s="1"/>
  <c r="P70" i="18"/>
  <c r="V70" i="18" s="1"/>
  <c r="J108" i="16"/>
  <c r="G210" i="16"/>
  <c r="BY210" i="6" s="1"/>
  <c r="P83" i="18"/>
  <c r="V83" i="18" s="1"/>
  <c r="Q19" i="19"/>
  <c r="P370" i="18"/>
  <c r="V370" i="18" s="1"/>
  <c r="P338" i="18"/>
  <c r="V338" i="18" s="1"/>
  <c r="P318" i="18"/>
  <c r="V318" i="18" s="1"/>
  <c r="P290" i="18"/>
  <c r="V290" i="18" s="1"/>
  <c r="P278" i="18"/>
  <c r="V278" i="18" s="1"/>
  <c r="P246" i="18"/>
  <c r="V246" i="18" s="1"/>
  <c r="P242" i="18"/>
  <c r="V242" i="18" s="1"/>
  <c r="P220" i="18"/>
  <c r="V220" i="18" s="1"/>
  <c r="P212" i="18"/>
  <c r="V212" i="18" s="1"/>
  <c r="P204" i="18"/>
  <c r="V204" i="18" s="1"/>
  <c r="P188" i="18"/>
  <c r="V188" i="18" s="1"/>
  <c r="P148" i="18"/>
  <c r="V148" i="18" s="1"/>
  <c r="P74" i="18"/>
  <c r="V74" i="18" s="1"/>
  <c r="I40" i="16"/>
  <c r="H380" i="16"/>
  <c r="J380" i="16" s="1"/>
  <c r="G380" i="16"/>
  <c r="BY380" i="6" s="1"/>
  <c r="J30" i="16"/>
  <c r="I38" i="16"/>
  <c r="J38" i="16"/>
  <c r="J167" i="16"/>
  <c r="I167" i="16"/>
  <c r="J27" i="16"/>
  <c r="I27" i="16"/>
  <c r="I70" i="16"/>
  <c r="J70" i="16"/>
  <c r="J139" i="16"/>
  <c r="I139" i="16"/>
  <c r="J341" i="16"/>
  <c r="I341" i="16"/>
  <c r="I233" i="16"/>
  <c r="J233" i="16"/>
  <c r="J112" i="16"/>
  <c r="I112" i="16"/>
  <c r="J118" i="16"/>
  <c r="I118" i="16"/>
  <c r="J184" i="16"/>
  <c r="I184" i="16"/>
  <c r="J274" i="16"/>
  <c r="I274" i="16"/>
  <c r="J140" i="16"/>
  <c r="I140" i="16"/>
  <c r="I299" i="16"/>
  <c r="J299" i="16"/>
  <c r="I74" i="16"/>
  <c r="J74" i="16"/>
  <c r="I333" i="16"/>
  <c r="J333" i="16"/>
  <c r="I210" i="16"/>
  <c r="J210" i="16"/>
  <c r="I173" i="16"/>
  <c r="J173" i="16"/>
  <c r="J60" i="16"/>
  <c r="I60" i="16"/>
  <c r="J289" i="16"/>
  <c r="I289" i="16"/>
  <c r="J87" i="16"/>
  <c r="I87" i="16"/>
  <c r="J308" i="16"/>
  <c r="I308" i="16"/>
  <c r="J342" i="16"/>
  <c r="I342" i="16"/>
  <c r="J217" i="16"/>
  <c r="I217" i="16"/>
  <c r="I143" i="16"/>
  <c r="J143" i="16"/>
  <c r="I275" i="16"/>
  <c r="J275" i="16"/>
  <c r="J31" i="16"/>
  <c r="I31" i="16"/>
  <c r="J93" i="16"/>
  <c r="I93" i="16"/>
  <c r="W15" i="16"/>
  <c r="D15" i="16"/>
  <c r="J135" i="16"/>
  <c r="I135" i="16"/>
  <c r="J50" i="16"/>
  <c r="I50" i="16"/>
  <c r="I363" i="16"/>
  <c r="J363" i="16"/>
  <c r="I18" i="16"/>
  <c r="J18" i="16"/>
  <c r="I84" i="16"/>
  <c r="J84" i="16"/>
  <c r="I176" i="16"/>
  <c r="J176" i="16"/>
  <c r="J111" i="16"/>
  <c r="I111" i="16"/>
  <c r="I78" i="16"/>
  <c r="J78" i="16"/>
  <c r="I222" i="16"/>
  <c r="J222" i="16"/>
  <c r="E381" i="15"/>
  <c r="E383" i="15"/>
  <c r="E382" i="15"/>
  <c r="AJ10" i="15"/>
  <c r="AJ12" i="15" s="1"/>
  <c r="AJ13" i="15" s="1"/>
  <c r="E9" i="15"/>
  <c r="E11" i="15" s="1"/>
  <c r="F36" i="19" s="1"/>
  <c r="AK8" i="15"/>
  <c r="F15" i="15"/>
  <c r="I21" i="16"/>
  <c r="J21" i="16"/>
  <c r="I212" i="16"/>
  <c r="J212" i="16"/>
  <c r="J103" i="16"/>
  <c r="I103" i="16"/>
  <c r="I310" i="16"/>
  <c r="J310" i="16"/>
  <c r="J97" i="16"/>
  <c r="I97" i="16"/>
  <c r="I322" i="16"/>
  <c r="J322" i="16"/>
  <c r="J372" i="16"/>
  <c r="I372" i="16"/>
  <c r="I149" i="16"/>
  <c r="J149" i="16"/>
  <c r="I296" i="16"/>
  <c r="J296" i="16"/>
  <c r="I73" i="16"/>
  <c r="J73" i="16"/>
  <c r="I199" i="16"/>
  <c r="J199" i="16"/>
  <c r="J197" i="16"/>
  <c r="I197" i="16"/>
  <c r="I151" i="16"/>
  <c r="J151" i="16"/>
  <c r="J92" i="16"/>
  <c r="I92" i="16"/>
  <c r="I152" i="16"/>
  <c r="J152" i="16"/>
  <c r="I88" i="16"/>
  <c r="J88" i="16"/>
  <c r="I180" i="16"/>
  <c r="J180" i="16"/>
  <c r="I53" i="16"/>
  <c r="J53" i="16"/>
  <c r="J57" i="16"/>
  <c r="I57" i="16"/>
  <c r="J119" i="16"/>
  <c r="I119" i="16"/>
  <c r="I378" i="16"/>
  <c r="J378" i="16"/>
  <c r="I374" i="16"/>
  <c r="J374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D107" i="18" s="1"/>
  <c r="AI109" i="18"/>
  <c r="AH109" i="18" s="1"/>
  <c r="AI111" i="18"/>
  <c r="AH111" i="18" s="1"/>
  <c r="AG111" i="18" s="1"/>
  <c r="AF111" i="18" s="1"/>
  <c r="AD111" i="18" s="1"/>
  <c r="AI113" i="18"/>
  <c r="AH113" i="18" s="1"/>
  <c r="AI115" i="18"/>
  <c r="AH115" i="18" s="1"/>
  <c r="AG115" i="18" s="1"/>
  <c r="AF115" i="18" s="1"/>
  <c r="AD115" i="18" s="1"/>
  <c r="AI117" i="18"/>
  <c r="AH117" i="18" s="1"/>
  <c r="AG117" i="18" s="1"/>
  <c r="AF117" i="18" s="1"/>
  <c r="AD117" i="18" s="1"/>
  <c r="AI119" i="18"/>
  <c r="AH119" i="18" s="1"/>
  <c r="AG119" i="18" s="1"/>
  <c r="AF119" i="18" s="1"/>
  <c r="AD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D125" i="18" s="1"/>
  <c r="AI127" i="18"/>
  <c r="AH127" i="18" s="1"/>
  <c r="AG127" i="18" s="1"/>
  <c r="AF127" i="18" s="1"/>
  <c r="AD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D135" i="18" s="1"/>
  <c r="AI137" i="18"/>
  <c r="AH137" i="18" s="1"/>
  <c r="AI139" i="18"/>
  <c r="AH139" i="18" s="1"/>
  <c r="AI141" i="18"/>
  <c r="AH141" i="18" s="1"/>
  <c r="AG141" i="18" s="1"/>
  <c r="AF141" i="18" s="1"/>
  <c r="AD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D149" i="18" s="1"/>
  <c r="AI151" i="18"/>
  <c r="AH151" i="18" s="1"/>
  <c r="AG151" i="18" s="1"/>
  <c r="AF151" i="18" s="1"/>
  <c r="AD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D159" i="18" s="1"/>
  <c r="AI161" i="18"/>
  <c r="AH161" i="18" s="1"/>
  <c r="AG161" i="18" s="1"/>
  <c r="AF161" i="18" s="1"/>
  <c r="AD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D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D179" i="18" s="1"/>
  <c r="AI181" i="18"/>
  <c r="AH181" i="18" s="1"/>
  <c r="AG181" i="18" s="1"/>
  <c r="AF181" i="18" s="1"/>
  <c r="AI183" i="18"/>
  <c r="AH183" i="18" s="1"/>
  <c r="AG183" i="18" s="1"/>
  <c r="AF183" i="18" s="1"/>
  <c r="AD183" i="18" s="1"/>
  <c r="AI185" i="18"/>
  <c r="AH185" i="18" s="1"/>
  <c r="AG185" i="18" s="1"/>
  <c r="AF185" i="18" s="1"/>
  <c r="AD185" i="18" s="1"/>
  <c r="AI187" i="18"/>
  <c r="AH187" i="18" s="1"/>
  <c r="AI189" i="18"/>
  <c r="AH189" i="18" s="1"/>
  <c r="AG189" i="18" s="1"/>
  <c r="AF189" i="18" s="1"/>
  <c r="AD189" i="18" s="1"/>
  <c r="AI191" i="18"/>
  <c r="AH191" i="18" s="1"/>
  <c r="AG191" i="18" s="1"/>
  <c r="AF191" i="18" s="1"/>
  <c r="AD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D201" i="18" s="1"/>
  <c r="AI203" i="18"/>
  <c r="AH203" i="18" s="1"/>
  <c r="AI205" i="18"/>
  <c r="AH205" i="18" s="1"/>
  <c r="AI207" i="18"/>
  <c r="AH207" i="18" s="1"/>
  <c r="AG207" i="18" s="1"/>
  <c r="AF207" i="18" s="1"/>
  <c r="AD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D231" i="18" s="1"/>
  <c r="AI233" i="18"/>
  <c r="AH233" i="18" s="1"/>
  <c r="AI235" i="18"/>
  <c r="AH235" i="18" s="1"/>
  <c r="AG235" i="18" s="1"/>
  <c r="AF235" i="18" s="1"/>
  <c r="AD235" i="18" s="1"/>
  <c r="AI237" i="18"/>
  <c r="AH237" i="18" s="1"/>
  <c r="AI239" i="18"/>
  <c r="AH239" i="18" s="1"/>
  <c r="AG239" i="18" s="1"/>
  <c r="AF239" i="18" s="1"/>
  <c r="AD239" i="18" s="1"/>
  <c r="AI241" i="18"/>
  <c r="AH241" i="18" s="1"/>
  <c r="AG241" i="18" s="1"/>
  <c r="AF241" i="18" s="1"/>
  <c r="AD241" i="18" s="1"/>
  <c r="AI243" i="18"/>
  <c r="AH243" i="18" s="1"/>
  <c r="AI245" i="18"/>
  <c r="AH245" i="18" s="1"/>
  <c r="AG245" i="18" s="1"/>
  <c r="AF245" i="18" s="1"/>
  <c r="AD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G261" i="18" s="1"/>
  <c r="AF261" i="18" s="1"/>
  <c r="AI263" i="18"/>
  <c r="AH263" i="18" s="1"/>
  <c r="AG263" i="18" s="1"/>
  <c r="AF263" i="18" s="1"/>
  <c r="AD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D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D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D287" i="18" s="1"/>
  <c r="AI289" i="18"/>
  <c r="AH289" i="18" s="1"/>
  <c r="AG289" i="18" s="1"/>
  <c r="AF289" i="18" s="1"/>
  <c r="AI291" i="18"/>
  <c r="AH291" i="18" s="1"/>
  <c r="AG291" i="18" s="1"/>
  <c r="AF291" i="18" s="1"/>
  <c r="AD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D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G345" i="18" s="1"/>
  <c r="AF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G186" i="18" s="1"/>
  <c r="AF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G198" i="18" s="1"/>
  <c r="AF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G234" i="18" s="1"/>
  <c r="AF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G274" i="18" s="1"/>
  <c r="AF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G346" i="18" s="1"/>
  <c r="AF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G296" i="18" s="1"/>
  <c r="AF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D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AD90" i="18"/>
  <c r="I379" i="16"/>
  <c r="J379" i="16"/>
  <c r="Y382" i="1"/>
  <c r="AM6" i="1"/>
  <c r="AM12" i="1" s="1"/>
  <c r="Y381" i="1"/>
  <c r="X9" i="1"/>
  <c r="Y383" i="1"/>
  <c r="AL6" i="1"/>
  <c r="AL12" i="1" s="1"/>
  <c r="V379" i="17"/>
  <c r="B379" i="17" s="1"/>
  <c r="AF382" i="17"/>
  <c r="AF381" i="17"/>
  <c r="AF383" i="17"/>
  <c r="AD15" i="17"/>
  <c r="D64" i="19"/>
  <c r="AG15" i="7"/>
  <c r="Q10" i="20"/>
  <c r="Q116" i="20" s="1"/>
  <c r="AE382" i="18"/>
  <c r="AE383" i="18"/>
  <c r="AE381" i="18"/>
  <c r="AE22" i="20"/>
  <c r="S381" i="17"/>
  <c r="S382" i="17"/>
  <c r="S383" i="17"/>
  <c r="R15" i="17"/>
  <c r="S378" i="18"/>
  <c r="R378" i="18" s="1"/>
  <c r="P378" i="18" s="1"/>
  <c r="V378" i="18" s="1"/>
  <c r="S372" i="18"/>
  <c r="R372" i="18" s="1"/>
  <c r="P372" i="18" s="1"/>
  <c r="V372" i="18" s="1"/>
  <c r="S364" i="18"/>
  <c r="R364" i="18" s="1"/>
  <c r="P364" i="18" s="1"/>
  <c r="V364" i="18" s="1"/>
  <c r="S360" i="18"/>
  <c r="R360" i="18" s="1"/>
  <c r="P360" i="18" s="1"/>
  <c r="V360" i="18" s="1"/>
  <c r="S358" i="18"/>
  <c r="R358" i="18" s="1"/>
  <c r="P358" i="18" s="1"/>
  <c r="V358" i="18" s="1"/>
  <c r="S352" i="18"/>
  <c r="R352" i="18" s="1"/>
  <c r="P352" i="18" s="1"/>
  <c r="V352" i="18" s="1"/>
  <c r="S348" i="18"/>
  <c r="R348" i="18" s="1"/>
  <c r="P348" i="18" s="1"/>
  <c r="V348" i="18" s="1"/>
  <c r="S346" i="18"/>
  <c r="R346" i="18" s="1"/>
  <c r="P346" i="18" s="1"/>
  <c r="V346" i="18" s="1"/>
  <c r="S342" i="18"/>
  <c r="R342" i="18" s="1"/>
  <c r="P342" i="18" s="1"/>
  <c r="V342" i="18" s="1"/>
  <c r="S340" i="18"/>
  <c r="R340" i="18" s="1"/>
  <c r="P340" i="18" s="1"/>
  <c r="V340" i="18" s="1"/>
  <c r="S336" i="18"/>
  <c r="R336" i="18" s="1"/>
  <c r="P336" i="18" s="1"/>
  <c r="V336" i="18" s="1"/>
  <c r="S332" i="18"/>
  <c r="R332" i="18" s="1"/>
  <c r="P332" i="18" s="1"/>
  <c r="V332" i="18" s="1"/>
  <c r="S324" i="18"/>
  <c r="R324" i="18" s="1"/>
  <c r="P324" i="18" s="1"/>
  <c r="V324" i="18" s="1"/>
  <c r="S322" i="18"/>
  <c r="R322" i="18" s="1"/>
  <c r="P322" i="18" s="1"/>
  <c r="V322" i="18" s="1"/>
  <c r="S312" i="18"/>
  <c r="R312" i="18" s="1"/>
  <c r="P312" i="18" s="1"/>
  <c r="V312" i="18" s="1"/>
  <c r="S308" i="18"/>
  <c r="R308" i="18" s="1"/>
  <c r="P308" i="18" s="1"/>
  <c r="V308" i="18" s="1"/>
  <c r="S304" i="18"/>
  <c r="R304" i="18" s="1"/>
  <c r="P304" i="18" s="1"/>
  <c r="V304" i="18" s="1"/>
  <c r="S296" i="18"/>
  <c r="R296" i="18" s="1"/>
  <c r="P296" i="18" s="1"/>
  <c r="V296" i="18" s="1"/>
  <c r="S294" i="18"/>
  <c r="R294" i="18" s="1"/>
  <c r="P294" i="18" s="1"/>
  <c r="V294" i="18" s="1"/>
  <c r="S292" i="18"/>
  <c r="R292" i="18" s="1"/>
  <c r="P292" i="18" s="1"/>
  <c r="V292" i="18" s="1"/>
  <c r="S288" i="18"/>
  <c r="R288" i="18" s="1"/>
  <c r="P288" i="18" s="1"/>
  <c r="V288" i="18" s="1"/>
  <c r="S280" i="18"/>
  <c r="R280" i="18" s="1"/>
  <c r="P280" i="18" s="1"/>
  <c r="V280" i="18" s="1"/>
  <c r="S276" i="18"/>
  <c r="R276" i="18" s="1"/>
  <c r="P276" i="18" s="1"/>
  <c r="V276" i="18" s="1"/>
  <c r="S274" i="18"/>
  <c r="R274" i="18" s="1"/>
  <c r="P274" i="18" s="1"/>
  <c r="V274" i="18" s="1"/>
  <c r="S272" i="18"/>
  <c r="R272" i="18" s="1"/>
  <c r="P272" i="18" s="1"/>
  <c r="S266" i="18"/>
  <c r="R266" i="18" s="1"/>
  <c r="P266" i="18" s="1"/>
  <c r="V266" i="18" s="1"/>
  <c r="S264" i="18"/>
  <c r="R264" i="18" s="1"/>
  <c r="P264" i="18" s="1"/>
  <c r="V264" i="18" s="1"/>
  <c r="S262" i="18"/>
  <c r="R262" i="18" s="1"/>
  <c r="P262" i="18" s="1"/>
  <c r="V262" i="18" s="1"/>
  <c r="S260" i="18"/>
  <c r="R260" i="18" s="1"/>
  <c r="P260" i="18" s="1"/>
  <c r="V260" i="18" s="1"/>
  <c r="S258" i="18"/>
  <c r="R258" i="18" s="1"/>
  <c r="P258" i="18" s="1"/>
  <c r="V258" i="18" s="1"/>
  <c r="S244" i="18"/>
  <c r="R244" i="18" s="1"/>
  <c r="P244" i="18" s="1"/>
  <c r="V244" i="18" s="1"/>
  <c r="S238" i="18"/>
  <c r="R238" i="18" s="1"/>
  <c r="P238" i="18" s="1"/>
  <c r="V238" i="18" s="1"/>
  <c r="S236" i="18"/>
  <c r="R236" i="18" s="1"/>
  <c r="P236" i="18" s="1"/>
  <c r="V236" i="18" s="1"/>
  <c r="S228" i="18"/>
  <c r="R228" i="18" s="1"/>
  <c r="P228" i="18" s="1"/>
  <c r="V228" i="18" s="1"/>
  <c r="S224" i="18"/>
  <c r="R224" i="18" s="1"/>
  <c r="P224" i="18" s="1"/>
  <c r="V224" i="18" s="1"/>
  <c r="S222" i="18"/>
  <c r="R222" i="18" s="1"/>
  <c r="P222" i="18" s="1"/>
  <c r="V222" i="18" s="1"/>
  <c r="S216" i="18"/>
  <c r="R216" i="18" s="1"/>
  <c r="P216" i="18" s="1"/>
  <c r="V216" i="18" s="1"/>
  <c r="S208" i="18"/>
  <c r="R208" i="18" s="1"/>
  <c r="P208" i="18" s="1"/>
  <c r="V208" i="18" s="1"/>
  <c r="S202" i="18"/>
  <c r="R202" i="18" s="1"/>
  <c r="P202" i="18" s="1"/>
  <c r="V202" i="18" s="1"/>
  <c r="S200" i="18"/>
  <c r="R200" i="18" s="1"/>
  <c r="P200" i="18" s="1"/>
  <c r="V200" i="18" s="1"/>
  <c r="S196" i="18"/>
  <c r="R196" i="18" s="1"/>
  <c r="P196" i="18" s="1"/>
  <c r="V196" i="18" s="1"/>
  <c r="S192" i="18"/>
  <c r="R192" i="18" s="1"/>
  <c r="P192" i="18" s="1"/>
  <c r="V192" i="18" s="1"/>
  <c r="S184" i="18"/>
  <c r="R184" i="18" s="1"/>
  <c r="P184" i="18" s="1"/>
  <c r="V184" i="18" s="1"/>
  <c r="S182" i="18"/>
  <c r="R182" i="18" s="1"/>
  <c r="P182" i="18" s="1"/>
  <c r="V182" i="18" s="1"/>
  <c r="S162" i="18"/>
  <c r="R162" i="18" s="1"/>
  <c r="P162" i="18" s="1"/>
  <c r="V162" i="18" s="1"/>
  <c r="S142" i="18"/>
  <c r="R142" i="18" s="1"/>
  <c r="P142" i="18" s="1"/>
  <c r="V142" i="18" s="1"/>
  <c r="S134" i="18"/>
  <c r="R134" i="18" s="1"/>
  <c r="P134" i="18" s="1"/>
  <c r="V134" i="18" s="1"/>
  <c r="S126" i="18"/>
  <c r="R126" i="18" s="1"/>
  <c r="P126" i="18" s="1"/>
  <c r="V126" i="18" s="1"/>
  <c r="S110" i="18"/>
  <c r="R110" i="18" s="1"/>
  <c r="P110" i="18" s="1"/>
  <c r="V110" i="18" s="1"/>
  <c r="S102" i="18"/>
  <c r="R102" i="18" s="1"/>
  <c r="P102" i="18" s="1"/>
  <c r="V102" i="18" s="1"/>
  <c r="S86" i="18"/>
  <c r="R86" i="18" s="1"/>
  <c r="P86" i="18" s="1"/>
  <c r="V86" i="18" s="1"/>
  <c r="S66" i="18"/>
  <c r="R66" i="18" s="1"/>
  <c r="P66" i="18" s="1"/>
  <c r="V66" i="18" s="1"/>
  <c r="S54" i="18"/>
  <c r="R54" i="18" s="1"/>
  <c r="P54" i="18" s="1"/>
  <c r="V54" i="18" s="1"/>
  <c r="S38" i="18"/>
  <c r="R38" i="18" s="1"/>
  <c r="P38" i="18" s="1"/>
  <c r="V38" i="18" s="1"/>
  <c r="S26" i="18"/>
  <c r="R26" i="18" s="1"/>
  <c r="P26" i="18" s="1"/>
  <c r="V26" i="18" s="1"/>
  <c r="S17" i="18"/>
  <c r="R17" i="18" s="1"/>
  <c r="P17" i="18" s="1"/>
  <c r="V17" i="18" s="1"/>
  <c r="Q381" i="18"/>
  <c r="Q382" i="18"/>
  <c r="Q383" i="18"/>
  <c r="S369" i="18"/>
  <c r="R369" i="18" s="1"/>
  <c r="P369" i="18" s="1"/>
  <c r="V369" i="18" s="1"/>
  <c r="S357" i="18"/>
  <c r="R357" i="18" s="1"/>
  <c r="P357" i="18" s="1"/>
  <c r="V357" i="18" s="1"/>
  <c r="S341" i="18"/>
  <c r="R341" i="18" s="1"/>
  <c r="P341" i="18" s="1"/>
  <c r="V341" i="18" s="1"/>
  <c r="S309" i="18"/>
  <c r="R309" i="18" s="1"/>
  <c r="P309" i="18" s="1"/>
  <c r="V309" i="18" s="1"/>
  <c r="S277" i="18"/>
  <c r="R277" i="18" s="1"/>
  <c r="P277" i="18" s="1"/>
  <c r="V277" i="18" s="1"/>
  <c r="S261" i="18"/>
  <c r="R261" i="18" s="1"/>
  <c r="P261" i="18" s="1"/>
  <c r="V261" i="18" s="1"/>
  <c r="S241" i="18"/>
  <c r="R241" i="18" s="1"/>
  <c r="P241" i="18" s="1"/>
  <c r="S225" i="18"/>
  <c r="R225" i="18" s="1"/>
  <c r="P225" i="18" s="1"/>
  <c r="V225" i="18" s="1"/>
  <c r="S185" i="18"/>
  <c r="R185" i="18" s="1"/>
  <c r="P185" i="18" s="1"/>
  <c r="V185" i="18" s="1"/>
  <c r="S173" i="18"/>
  <c r="R173" i="18" s="1"/>
  <c r="P173" i="18" s="1"/>
  <c r="V173" i="18" s="1"/>
  <c r="S163" i="18"/>
  <c r="R163" i="18" s="1"/>
  <c r="P163" i="18" s="1"/>
  <c r="V163" i="18" s="1"/>
  <c r="S155" i="18"/>
  <c r="R155" i="18" s="1"/>
  <c r="P155" i="18" s="1"/>
  <c r="V155" i="18" s="1"/>
  <c r="S153" i="18"/>
  <c r="R153" i="18" s="1"/>
  <c r="P153" i="18" s="1"/>
  <c r="V153" i="18" s="1"/>
  <c r="D72" i="7"/>
  <c r="S137" i="18"/>
  <c r="R137" i="18" s="1"/>
  <c r="P137" i="18" s="1"/>
  <c r="V137" i="18" s="1"/>
  <c r="S129" i="18"/>
  <c r="R129" i="18" s="1"/>
  <c r="P129" i="18" s="1"/>
  <c r="V129" i="18" s="1"/>
  <c r="S121" i="18"/>
  <c r="R121" i="18" s="1"/>
  <c r="P121" i="18" s="1"/>
  <c r="V121" i="18" s="1"/>
  <c r="S105" i="18"/>
  <c r="R105" i="18" s="1"/>
  <c r="P105" i="18" s="1"/>
  <c r="V105" i="18" s="1"/>
  <c r="S97" i="18"/>
  <c r="R97" i="18" s="1"/>
  <c r="P97" i="18" s="1"/>
  <c r="V97" i="18" s="1"/>
  <c r="S93" i="18"/>
  <c r="R93" i="18" s="1"/>
  <c r="P93" i="18" s="1"/>
  <c r="V93" i="18" s="1"/>
  <c r="S89" i="18"/>
  <c r="R89" i="18" s="1"/>
  <c r="P89" i="18" s="1"/>
  <c r="V89" i="18" s="1"/>
  <c r="S75" i="18"/>
  <c r="R75" i="18" s="1"/>
  <c r="P75" i="18" s="1"/>
  <c r="V75" i="18" s="1"/>
  <c r="S57" i="18"/>
  <c r="R57" i="18" s="1"/>
  <c r="P57" i="18" s="1"/>
  <c r="V57" i="18" s="1"/>
  <c r="S49" i="18"/>
  <c r="R49" i="18" s="1"/>
  <c r="P49" i="18" s="1"/>
  <c r="V49" i="18" s="1"/>
  <c r="S45" i="18"/>
  <c r="R45" i="18" s="1"/>
  <c r="P45" i="18" s="1"/>
  <c r="V45" i="18" s="1"/>
  <c r="S41" i="18"/>
  <c r="R41" i="18" s="1"/>
  <c r="P41" i="18" s="1"/>
  <c r="V41" i="18" s="1"/>
  <c r="S33" i="18"/>
  <c r="R33" i="18" s="1"/>
  <c r="P33" i="18" s="1"/>
  <c r="V33" i="18" s="1"/>
  <c r="AK3" i="25"/>
  <c r="K64" i="19"/>
  <c r="L64" i="19"/>
  <c r="E64" i="19"/>
  <c r="P127" i="18" l="1"/>
  <c r="V127" i="18" s="1"/>
  <c r="P42" i="18"/>
  <c r="V42" i="18" s="1"/>
  <c r="P282" i="18"/>
  <c r="V282" i="18" s="1"/>
  <c r="P306" i="18"/>
  <c r="V306" i="18" s="1"/>
  <c r="P330" i="18"/>
  <c r="V330" i="18" s="1"/>
  <c r="P362" i="18"/>
  <c r="V362" i="18" s="1"/>
  <c r="P150" i="18"/>
  <c r="V150" i="18" s="1"/>
  <c r="T379" i="18"/>
  <c r="S379" i="18" s="1"/>
  <c r="R379" i="18" s="1"/>
  <c r="P379" i="18" s="1"/>
  <c r="D39" i="19" s="1"/>
  <c r="V88" i="18"/>
  <c r="F11" i="19"/>
  <c r="F31" i="19" s="1"/>
  <c r="P76" i="18"/>
  <c r="V76" i="18" s="1"/>
  <c r="P270" i="18"/>
  <c r="V270" i="18" s="1"/>
  <c r="P302" i="18"/>
  <c r="V302" i="18" s="1"/>
  <c r="P310" i="18"/>
  <c r="V310" i="18" s="1"/>
  <c r="P374" i="18"/>
  <c r="V374" i="18" s="1"/>
  <c r="AD102" i="18"/>
  <c r="I29" i="16"/>
  <c r="J29" i="16"/>
  <c r="V16" i="16"/>
  <c r="P381" i="16"/>
  <c r="P383" i="16"/>
  <c r="P382" i="16"/>
  <c r="AA379" i="16"/>
  <c r="Z379" i="16" s="1"/>
  <c r="Y379" i="16" s="1"/>
  <c r="AD383" i="16"/>
  <c r="AD381" i="16"/>
  <c r="AD382" i="16"/>
  <c r="U12" i="20"/>
  <c r="AG16" i="7" s="1"/>
  <c r="U383" i="18"/>
  <c r="AD202" i="18"/>
  <c r="AD238" i="18"/>
  <c r="AD365" i="18"/>
  <c r="P36" i="18"/>
  <c r="V36" i="18" s="1"/>
  <c r="P100" i="18"/>
  <c r="V100" i="18" s="1"/>
  <c r="D74" i="7"/>
  <c r="D77" i="7"/>
  <c r="P35" i="18"/>
  <c r="V35" i="18" s="1"/>
  <c r="AD54" i="18"/>
  <c r="AD118" i="18"/>
  <c r="AD82" i="18"/>
  <c r="V379" i="18"/>
  <c r="AD124" i="18"/>
  <c r="AD84" i="18"/>
  <c r="AD281" i="18"/>
  <c r="AD229" i="18"/>
  <c r="P58" i="18"/>
  <c r="V58" i="18" s="1"/>
  <c r="P122" i="18"/>
  <c r="V122" i="18" s="1"/>
  <c r="P27" i="18"/>
  <c r="V27" i="18" s="1"/>
  <c r="P59" i="18"/>
  <c r="V59" i="18" s="1"/>
  <c r="P99" i="18"/>
  <c r="V99" i="18" s="1"/>
  <c r="P139" i="18"/>
  <c r="V139" i="18" s="1"/>
  <c r="P94" i="18"/>
  <c r="V94" i="18" s="1"/>
  <c r="P166" i="18"/>
  <c r="V166" i="18" s="1"/>
  <c r="AD248" i="18"/>
  <c r="AD160" i="18"/>
  <c r="AD364" i="18"/>
  <c r="AD212" i="18"/>
  <c r="P63" i="18"/>
  <c r="V63" i="18" s="1"/>
  <c r="AD284" i="18"/>
  <c r="AD192" i="18"/>
  <c r="P23" i="18"/>
  <c r="V23" i="18" s="1"/>
  <c r="P31" i="18"/>
  <c r="V31" i="18" s="1"/>
  <c r="P119" i="18"/>
  <c r="AD296" i="18"/>
  <c r="AD274" i="18"/>
  <c r="AD346" i="18"/>
  <c r="P43" i="18"/>
  <c r="V43" i="18" s="1"/>
  <c r="P91" i="18"/>
  <c r="V91" i="18" s="1"/>
  <c r="P107" i="18"/>
  <c r="V107" i="18" s="1"/>
  <c r="P123" i="18"/>
  <c r="V123" i="18" s="1"/>
  <c r="P131" i="18"/>
  <c r="V131" i="18" s="1"/>
  <c r="U382" i="18"/>
  <c r="U381" i="18"/>
  <c r="AD338" i="18"/>
  <c r="AD282" i="18"/>
  <c r="AD178" i="18"/>
  <c r="AD64" i="18"/>
  <c r="AD345" i="18"/>
  <c r="AD41" i="18"/>
  <c r="P28" i="18"/>
  <c r="V28" i="18" s="1"/>
  <c r="P92" i="18"/>
  <c r="V92" i="18" s="1"/>
  <c r="P108" i="18"/>
  <c r="V108" i="18" s="1"/>
  <c r="P140" i="18"/>
  <c r="V140" i="18" s="1"/>
  <c r="P164" i="18"/>
  <c r="V164" i="18" s="1"/>
  <c r="P111" i="18"/>
  <c r="V111" i="18" s="1"/>
  <c r="P159" i="18"/>
  <c r="V159" i="18" s="1"/>
  <c r="AE86" i="20"/>
  <c r="AD261" i="18"/>
  <c r="AD322" i="18"/>
  <c r="AD190" i="18"/>
  <c r="AD140" i="18"/>
  <c r="AD120" i="18"/>
  <c r="AD88" i="18"/>
  <c r="AD76" i="18"/>
  <c r="AD32" i="18"/>
  <c r="AD336" i="18"/>
  <c r="AD264" i="18"/>
  <c r="AD234" i="18"/>
  <c r="AD198" i="18"/>
  <c r="AD186" i="18"/>
  <c r="AD44" i="18"/>
  <c r="AD357" i="18"/>
  <c r="AD265" i="18"/>
  <c r="AD69" i="18"/>
  <c r="AD21" i="18"/>
  <c r="AE11" i="20"/>
  <c r="AE134" i="20" s="1"/>
  <c r="Q372" i="20"/>
  <c r="Q308" i="20"/>
  <c r="Q20" i="19"/>
  <c r="C12" i="19"/>
  <c r="AE102" i="20"/>
  <c r="AE54" i="20"/>
  <c r="Q340" i="20"/>
  <c r="Q234" i="20"/>
  <c r="AE318" i="20"/>
  <c r="AE94" i="20"/>
  <c r="AE70" i="20"/>
  <c r="AE38" i="20"/>
  <c r="Q356" i="20"/>
  <c r="Q324" i="20"/>
  <c r="Q286" i="20"/>
  <c r="Q170" i="20"/>
  <c r="AH11" i="7"/>
  <c r="U11" i="20" s="1"/>
  <c r="AE369" i="20"/>
  <c r="AE305" i="20"/>
  <c r="AE218" i="20"/>
  <c r="AE98" i="20"/>
  <c r="AE90" i="20"/>
  <c r="AE78" i="20"/>
  <c r="AE62" i="20"/>
  <c r="AE46" i="20"/>
  <c r="AE30" i="20"/>
  <c r="Q364" i="20"/>
  <c r="Q348" i="20"/>
  <c r="Q332" i="20"/>
  <c r="Q316" i="20"/>
  <c r="Q300" i="20"/>
  <c r="Q266" i="20"/>
  <c r="Q202" i="20"/>
  <c r="Q138" i="20"/>
  <c r="AD228" i="18"/>
  <c r="AD374" i="18"/>
  <c r="AD316" i="18"/>
  <c r="AD278" i="18"/>
  <c r="AD244" i="18"/>
  <c r="AD122" i="18"/>
  <c r="AD106" i="18"/>
  <c r="AD86" i="18"/>
  <c r="I380" i="16"/>
  <c r="H380" i="17" s="1"/>
  <c r="J380" i="17" s="1"/>
  <c r="AE82" i="20"/>
  <c r="AE74" i="20"/>
  <c r="AE66" i="20"/>
  <c r="AE58" i="20"/>
  <c r="AE50" i="20"/>
  <c r="AE42" i="20"/>
  <c r="AE34" i="20"/>
  <c r="AE26" i="20"/>
  <c r="AE16" i="20"/>
  <c r="Q376" i="20"/>
  <c r="Q368" i="20"/>
  <c r="Q360" i="20"/>
  <c r="Q352" i="20"/>
  <c r="Q344" i="20"/>
  <c r="Q336" i="20"/>
  <c r="Q328" i="20"/>
  <c r="Q320" i="20"/>
  <c r="Q312" i="20"/>
  <c r="Q304" i="20"/>
  <c r="Q294" i="20"/>
  <c r="Q278" i="20"/>
  <c r="Q250" i="20"/>
  <c r="Q218" i="20"/>
  <c r="Q186" i="20"/>
  <c r="Q154" i="20"/>
  <c r="AA15" i="15"/>
  <c r="AL9" i="15" s="1"/>
  <c r="AK10" i="15"/>
  <c r="AK12" i="15" s="1"/>
  <c r="AK13" i="15" s="1"/>
  <c r="H15" i="15"/>
  <c r="F383" i="15"/>
  <c r="F9" i="15"/>
  <c r="F382" i="15"/>
  <c r="F381" i="15"/>
  <c r="G15" i="15"/>
  <c r="BX15" i="6" s="1"/>
  <c r="AM10" i="15"/>
  <c r="E15" i="16"/>
  <c r="Q17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6" i="20"/>
  <c r="Q280" i="20"/>
  <c r="Q284" i="20"/>
  <c r="Q288" i="20"/>
  <c r="Q292" i="20"/>
  <c r="Q296" i="20"/>
  <c r="Q299" i="20"/>
  <c r="Q301" i="20"/>
  <c r="Q303" i="20"/>
  <c r="Q305" i="20"/>
  <c r="Q307" i="20"/>
  <c r="Q309" i="20"/>
  <c r="Q311" i="20"/>
  <c r="Q313" i="20"/>
  <c r="Q315" i="20"/>
  <c r="Q317" i="20"/>
  <c r="Q319" i="20"/>
  <c r="Q321" i="20"/>
  <c r="Q323" i="20"/>
  <c r="Q325" i="20"/>
  <c r="Q327" i="20"/>
  <c r="Q329" i="20"/>
  <c r="Q331" i="20"/>
  <c r="Q333" i="20"/>
  <c r="Q335" i="20"/>
  <c r="Q337" i="20"/>
  <c r="Q339" i="20"/>
  <c r="Q341" i="20"/>
  <c r="Q343" i="20"/>
  <c r="Q345" i="20"/>
  <c r="Q347" i="20"/>
  <c r="Q349" i="20"/>
  <c r="Q351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33" i="20"/>
  <c r="AE165" i="20"/>
  <c r="AE197" i="20"/>
  <c r="AE253" i="20"/>
  <c r="AE221" i="20"/>
  <c r="AE160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0" i="20"/>
  <c r="Q282" i="20"/>
  <c r="Q274" i="20"/>
  <c r="Q258" i="20"/>
  <c r="Q242" i="20"/>
  <c r="Q226" i="20"/>
  <c r="Q210" i="20"/>
  <c r="Q194" i="20"/>
  <c r="Q178" i="20"/>
  <c r="Q162" i="20"/>
  <c r="Q146" i="20"/>
  <c r="Q130" i="20"/>
  <c r="Q78" i="20"/>
  <c r="Q297" i="20"/>
  <c r="Q295" i="20"/>
  <c r="Q293" i="20"/>
  <c r="Q291" i="20"/>
  <c r="Q289" i="20"/>
  <c r="Q287" i="20"/>
  <c r="Q285" i="20"/>
  <c r="Q283" i="20"/>
  <c r="Q281" i="20"/>
  <c r="Q279" i="20"/>
  <c r="Q277" i="20"/>
  <c r="Q275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Q273" i="20"/>
  <c r="Q271" i="20"/>
  <c r="Q269" i="20"/>
  <c r="Q267" i="20"/>
  <c r="Q265" i="20"/>
  <c r="Q263" i="20"/>
  <c r="Q261" i="20"/>
  <c r="Q259" i="20"/>
  <c r="Q257" i="20"/>
  <c r="Q255" i="20"/>
  <c r="Q253" i="20"/>
  <c r="Q251" i="20"/>
  <c r="Q249" i="20"/>
  <c r="Q247" i="20"/>
  <c r="Q245" i="20"/>
  <c r="Q243" i="20"/>
  <c r="Q241" i="20"/>
  <c r="Q239" i="20"/>
  <c r="Q237" i="20"/>
  <c r="Q235" i="20"/>
  <c r="Q233" i="20"/>
  <c r="Q231" i="20"/>
  <c r="Q229" i="20"/>
  <c r="Q227" i="20"/>
  <c r="Q225" i="20"/>
  <c r="Q223" i="20"/>
  <c r="Q221" i="20"/>
  <c r="Q219" i="20"/>
  <c r="Q217" i="20"/>
  <c r="Q215" i="20"/>
  <c r="Q213" i="20"/>
  <c r="Q211" i="20"/>
  <c r="Q209" i="20"/>
  <c r="Q207" i="20"/>
  <c r="Q205" i="20"/>
  <c r="Q203" i="20"/>
  <c r="Q201" i="20"/>
  <c r="Q199" i="20"/>
  <c r="Q197" i="20"/>
  <c r="Q195" i="20"/>
  <c r="Q193" i="20"/>
  <c r="Q191" i="20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1" i="20"/>
  <c r="Q129" i="20"/>
  <c r="Q126" i="20"/>
  <c r="Q122" i="20"/>
  <c r="Q118" i="20"/>
  <c r="Q114" i="20"/>
  <c r="Q106" i="20"/>
  <c r="Q98" i="20"/>
  <c r="Q86" i="20"/>
  <c r="Q70" i="20"/>
  <c r="Q54" i="20"/>
  <c r="Q38" i="20"/>
  <c r="Q22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D369" i="18" s="1"/>
  <c r="AG353" i="18"/>
  <c r="AF353" i="18" s="1"/>
  <c r="AD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D225" i="18" s="1"/>
  <c r="AG221" i="18"/>
  <c r="AF221" i="18" s="1"/>
  <c r="AD221" i="18" s="1"/>
  <c r="AG217" i="18"/>
  <c r="AF217" i="18" s="1"/>
  <c r="AD217" i="18" s="1"/>
  <c r="AG213" i="18"/>
  <c r="AF213" i="18" s="1"/>
  <c r="AD213" i="18" s="1"/>
  <c r="AG209" i="18"/>
  <c r="AF209" i="18" s="1"/>
  <c r="AD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D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D113" i="18" s="1"/>
  <c r="AG109" i="18"/>
  <c r="AF109" i="18" s="1"/>
  <c r="AD109" i="18" s="1"/>
  <c r="AG105" i="18"/>
  <c r="AF105" i="18" s="1"/>
  <c r="AD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47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76" i="18"/>
  <c r="AD260" i="18"/>
  <c r="AD236" i="18"/>
  <c r="AD216" i="18"/>
  <c r="AD196" i="18"/>
  <c r="AD180" i="18"/>
  <c r="AD164" i="18"/>
  <c r="AD148" i="18"/>
  <c r="AD116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10" i="18"/>
  <c r="AD302" i="18"/>
  <c r="AD294" i="18"/>
  <c r="AD286" i="18"/>
  <c r="AD266" i="18"/>
  <c r="AD258" i="18"/>
  <c r="AD250" i="18"/>
  <c r="AD242" i="18"/>
  <c r="AD226" i="18"/>
  <c r="AD218" i="18"/>
  <c r="AD210" i="18"/>
  <c r="AD194" i="18"/>
  <c r="AD174" i="18"/>
  <c r="AD166" i="18"/>
  <c r="AD158" i="18"/>
  <c r="AD150" i="18"/>
  <c r="AD142" i="18"/>
  <c r="AD134" i="18"/>
  <c r="AD126" i="18"/>
  <c r="AD110" i="18"/>
  <c r="AD94" i="18"/>
  <c r="AD74" i="18"/>
  <c r="AD66" i="18"/>
  <c r="AD58" i="18"/>
  <c r="AD46" i="18"/>
  <c r="AD38" i="18"/>
  <c r="AD30" i="18"/>
  <c r="AD22" i="18"/>
  <c r="AD324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D259" i="18" s="1"/>
  <c r="AG255" i="18"/>
  <c r="AF255" i="18" s="1"/>
  <c r="AD255" i="18" s="1"/>
  <c r="AG251" i="18"/>
  <c r="AF251" i="18" s="1"/>
  <c r="AD251" i="18" s="1"/>
  <c r="AG247" i="18"/>
  <c r="AF247" i="18" s="1"/>
  <c r="AD247" i="18" s="1"/>
  <c r="AG243" i="18"/>
  <c r="AF243" i="18" s="1"/>
  <c r="AD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D203" i="18" s="1"/>
  <c r="AG199" i="18"/>
  <c r="AF199" i="18" s="1"/>
  <c r="AD199" i="18" s="1"/>
  <c r="AG195" i="18"/>
  <c r="AF195" i="18" s="1"/>
  <c r="AD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D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AL13" i="1"/>
  <c r="AJ4" i="1"/>
  <c r="J11" i="19"/>
  <c r="J31" i="19" s="1"/>
  <c r="AA11" i="1"/>
  <c r="AA5" i="1" s="1"/>
  <c r="AM13" i="1"/>
  <c r="AK4" i="1"/>
  <c r="Y11" i="1"/>
  <c r="M64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D73" i="7"/>
  <c r="V180" i="18"/>
  <c r="D78" i="7"/>
  <c r="V333" i="18"/>
  <c r="D79" i="7"/>
  <c r="V363" i="18"/>
  <c r="H65" i="19"/>
  <c r="D68" i="7"/>
  <c r="V29" i="18"/>
  <c r="D69" i="7"/>
  <c r="V60" i="18"/>
  <c r="D76" i="7"/>
  <c r="V272" i="18"/>
  <c r="R383" i="17"/>
  <c r="R382" i="17"/>
  <c r="R381" i="17"/>
  <c r="P15" i="17"/>
  <c r="D75" i="7"/>
  <c r="V241" i="18"/>
  <c r="S15" i="18"/>
  <c r="T382" i="18"/>
  <c r="T383" i="18"/>
  <c r="T381" i="18"/>
  <c r="AH15" i="7"/>
  <c r="Q12" i="22"/>
  <c r="Q90" i="20"/>
  <c r="AI15" i="7"/>
  <c r="AD381" i="17"/>
  <c r="AD382" i="17"/>
  <c r="AD383" i="17"/>
  <c r="K65" i="19" l="1"/>
  <c r="AE348" i="20"/>
  <c r="B16" i="16"/>
  <c r="AJ5" i="16" s="1"/>
  <c r="V382" i="16"/>
  <c r="V381" i="16"/>
  <c r="B63" i="19"/>
  <c r="N63" i="19" s="1"/>
  <c r="V383" i="16"/>
  <c r="D65" i="19"/>
  <c r="F65" i="19"/>
  <c r="AE273" i="20"/>
  <c r="AE337" i="20"/>
  <c r="AE244" i="20"/>
  <c r="AE316" i="20"/>
  <c r="AE240" i="20"/>
  <c r="AE366" i="20"/>
  <c r="AE334" i="20"/>
  <c r="AE302" i="20"/>
  <c r="AE270" i="20"/>
  <c r="AE206" i="20"/>
  <c r="AE377" i="20"/>
  <c r="AE361" i="20"/>
  <c r="AE345" i="20"/>
  <c r="AE329" i="20"/>
  <c r="AE313" i="20"/>
  <c r="AE297" i="20"/>
  <c r="AE281" i="20"/>
  <c r="AE265" i="20"/>
  <c r="AE234" i="20"/>
  <c r="AE186" i="20"/>
  <c r="AE122" i="20"/>
  <c r="AE109" i="20"/>
  <c r="AE125" i="20"/>
  <c r="AE141" i="20"/>
  <c r="AE157" i="20"/>
  <c r="AE173" i="20"/>
  <c r="AE189" i="20"/>
  <c r="AE205" i="20"/>
  <c r="AE261" i="20"/>
  <c r="AE245" i="20"/>
  <c r="AE229" i="20"/>
  <c r="AE208" i="20"/>
  <c r="AE176" i="20"/>
  <c r="AE144" i="20"/>
  <c r="AE112" i="20"/>
  <c r="AE284" i="20"/>
  <c r="AE350" i="20"/>
  <c r="AE286" i="20"/>
  <c r="AE142" i="20"/>
  <c r="AE353" i="20"/>
  <c r="AE321" i="20"/>
  <c r="AE289" i="20"/>
  <c r="AE250" i="20"/>
  <c r="AE154" i="20"/>
  <c r="AE117" i="20"/>
  <c r="AE149" i="20"/>
  <c r="AE181" i="20"/>
  <c r="AE213" i="20"/>
  <c r="AE237" i="20"/>
  <c r="AE192" i="20"/>
  <c r="AE128" i="20"/>
  <c r="U10" i="20"/>
  <c r="U110" i="20" s="1"/>
  <c r="T110" i="20" s="1"/>
  <c r="S110" i="20" s="1"/>
  <c r="R110" i="20" s="1"/>
  <c r="P110" i="20" s="1"/>
  <c r="V110" i="20" s="1"/>
  <c r="D71" i="7"/>
  <c r="V119" i="18"/>
  <c r="E65" i="19" s="1"/>
  <c r="AE150" i="20"/>
  <c r="AE214" i="20"/>
  <c r="AE248" i="20"/>
  <c r="AE272" i="20"/>
  <c r="AE288" i="20"/>
  <c r="AE304" i="20"/>
  <c r="AE320" i="20"/>
  <c r="AE336" i="20"/>
  <c r="AE352" i="20"/>
  <c r="AE368" i="20"/>
  <c r="AE118" i="20"/>
  <c r="AE182" i="20"/>
  <c r="AE232" i="20"/>
  <c r="AE264" i="20"/>
  <c r="AE280" i="20"/>
  <c r="AE296" i="20"/>
  <c r="AE312" i="20"/>
  <c r="AE328" i="20"/>
  <c r="AE344" i="20"/>
  <c r="AE360" i="20"/>
  <c r="AE376" i="20"/>
  <c r="AE372" i="20"/>
  <c r="AE356" i="20"/>
  <c r="AE340" i="20"/>
  <c r="AE324" i="20"/>
  <c r="AE308" i="20"/>
  <c r="AE292" i="20"/>
  <c r="AE276" i="20"/>
  <c r="AE256" i="20"/>
  <c r="AE224" i="20"/>
  <c r="AE166" i="20"/>
  <c r="AE378" i="20"/>
  <c r="AE370" i="20"/>
  <c r="AE362" i="20"/>
  <c r="AE354" i="20"/>
  <c r="AE346" i="20"/>
  <c r="AE338" i="20"/>
  <c r="AE330" i="20"/>
  <c r="AE322" i="20"/>
  <c r="AE314" i="20"/>
  <c r="AE306" i="20"/>
  <c r="AE298" i="20"/>
  <c r="AE290" i="20"/>
  <c r="AE282" i="20"/>
  <c r="AE274" i="20"/>
  <c r="AE266" i="20"/>
  <c r="AE252" i="20"/>
  <c r="AE236" i="20"/>
  <c r="AE220" i="20"/>
  <c r="AE190" i="20"/>
  <c r="AE158" i="20"/>
  <c r="AE126" i="20"/>
  <c r="AE379" i="20"/>
  <c r="AE12" i="22" s="1"/>
  <c r="AE375" i="20"/>
  <c r="AE371" i="20"/>
  <c r="AE367" i="20"/>
  <c r="AE363" i="20"/>
  <c r="AE359" i="20"/>
  <c r="AE355" i="20"/>
  <c r="AE351" i="20"/>
  <c r="AE347" i="20"/>
  <c r="AE343" i="20"/>
  <c r="AE339" i="20"/>
  <c r="AE335" i="20"/>
  <c r="AE331" i="20"/>
  <c r="AE327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2" i="20"/>
  <c r="AE254" i="20"/>
  <c r="AE246" i="20"/>
  <c r="AE238" i="20"/>
  <c r="AE230" i="20"/>
  <c r="AE222" i="20"/>
  <c r="AE210" i="20"/>
  <c r="AE194" i="20"/>
  <c r="AE178" i="20"/>
  <c r="AE162" i="20"/>
  <c r="AE146" i="20"/>
  <c r="AE130" i="20"/>
  <c r="AE114" i="20"/>
  <c r="AE107" i="20"/>
  <c r="AE111" i="20"/>
  <c r="AE115" i="20"/>
  <c r="AE119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263" i="20"/>
  <c r="AE259" i="20"/>
  <c r="AE255" i="20"/>
  <c r="AE251" i="20"/>
  <c r="AE247" i="20"/>
  <c r="AE243" i="20"/>
  <c r="AE239" i="20"/>
  <c r="AE235" i="20"/>
  <c r="AE231" i="20"/>
  <c r="AE227" i="20"/>
  <c r="AE223" i="20"/>
  <c r="AE219" i="20"/>
  <c r="AE212" i="20"/>
  <c r="AE204" i="20"/>
  <c r="AE196" i="20"/>
  <c r="AE188" i="20"/>
  <c r="AE180" i="20"/>
  <c r="AE172" i="20"/>
  <c r="AE164" i="20"/>
  <c r="AE156" i="20"/>
  <c r="AE148" i="20"/>
  <c r="AE140" i="20"/>
  <c r="AE132" i="20"/>
  <c r="AE124" i="20"/>
  <c r="AE116" i="20"/>
  <c r="AE108" i="20"/>
  <c r="Q382" i="20"/>
  <c r="AE104" i="20"/>
  <c r="AE120" i="20"/>
  <c r="AE136" i="20"/>
  <c r="AE152" i="20"/>
  <c r="AE168" i="20"/>
  <c r="AE184" i="20"/>
  <c r="AE200" i="20"/>
  <c r="AE216" i="20"/>
  <c r="AE225" i="20"/>
  <c r="AE233" i="20"/>
  <c r="AE241" i="20"/>
  <c r="AE249" i="20"/>
  <c r="AE257" i="20"/>
  <c r="AE217" i="20"/>
  <c r="AE209" i="20"/>
  <c r="AE201" i="20"/>
  <c r="AE193" i="20"/>
  <c r="AE185" i="20"/>
  <c r="AE177" i="20"/>
  <c r="AE169" i="20"/>
  <c r="AE161" i="20"/>
  <c r="AE153" i="20"/>
  <c r="AE145" i="20"/>
  <c r="AE137" i="20"/>
  <c r="AE129" i="20"/>
  <c r="AE121" i="20"/>
  <c r="AE113" i="20"/>
  <c r="AE105" i="20"/>
  <c r="AE106" i="20"/>
  <c r="AE138" i="20"/>
  <c r="AE170" i="20"/>
  <c r="AE202" i="20"/>
  <c r="AE226" i="20"/>
  <c r="AE242" i="20"/>
  <c r="AE258" i="20"/>
  <c r="AE269" i="20"/>
  <c r="AE277" i="20"/>
  <c r="AE285" i="20"/>
  <c r="AE293" i="20"/>
  <c r="AE301" i="20"/>
  <c r="AE309" i="20"/>
  <c r="AE317" i="20"/>
  <c r="AE325" i="20"/>
  <c r="AE333" i="20"/>
  <c r="AE341" i="20"/>
  <c r="AE349" i="20"/>
  <c r="AE357" i="20"/>
  <c r="AE365" i="20"/>
  <c r="AE373" i="20"/>
  <c r="AI11" i="20"/>
  <c r="AI25" i="20"/>
  <c r="AH25" i="20" s="1"/>
  <c r="AG25" i="20" s="1"/>
  <c r="AF25" i="20" s="1"/>
  <c r="AD25" i="20" s="1"/>
  <c r="U30" i="20"/>
  <c r="T30" i="20" s="1"/>
  <c r="S30" i="20" s="1"/>
  <c r="R30" i="20" s="1"/>
  <c r="P30" i="20" s="1"/>
  <c r="V30" i="20" s="1"/>
  <c r="U46" i="20"/>
  <c r="T46" i="20" s="1"/>
  <c r="S46" i="20" s="1"/>
  <c r="R46" i="20" s="1"/>
  <c r="P46" i="20" s="1"/>
  <c r="V46" i="20" s="1"/>
  <c r="AE110" i="20"/>
  <c r="AE174" i="20"/>
  <c r="AE228" i="20"/>
  <c r="AE260" i="20"/>
  <c r="AE278" i="20"/>
  <c r="AE294" i="20"/>
  <c r="AE310" i="20"/>
  <c r="AE326" i="20"/>
  <c r="AE342" i="20"/>
  <c r="AE358" i="20"/>
  <c r="AE374" i="20"/>
  <c r="AE198" i="20"/>
  <c r="AE268" i="20"/>
  <c r="AE300" i="20"/>
  <c r="AE332" i="20"/>
  <c r="AE364" i="20"/>
  <c r="R11" i="19"/>
  <c r="N12" i="19" s="1"/>
  <c r="I11" i="19"/>
  <c r="P11" i="19"/>
  <c r="AI29" i="20"/>
  <c r="AH29" i="20" s="1"/>
  <c r="AG29" i="20" s="1"/>
  <c r="AF29" i="20" s="1"/>
  <c r="AD29" i="20" s="1"/>
  <c r="AI93" i="20"/>
  <c r="AH93" i="20" s="1"/>
  <c r="AG93" i="20" s="1"/>
  <c r="AF93" i="20" s="1"/>
  <c r="AD93" i="20" s="1"/>
  <c r="AI205" i="20"/>
  <c r="AH205" i="20" s="1"/>
  <c r="AG205" i="20" s="1"/>
  <c r="AF205" i="20" s="1"/>
  <c r="AD205" i="20" s="1"/>
  <c r="AI333" i="20"/>
  <c r="AH333" i="20" s="1"/>
  <c r="AG333" i="20" s="1"/>
  <c r="AF333" i="20" s="1"/>
  <c r="H11" i="19"/>
  <c r="I380" i="17"/>
  <c r="H380" i="18" s="1"/>
  <c r="J380" i="18" s="1"/>
  <c r="AI36" i="20"/>
  <c r="AH36" i="20" s="1"/>
  <c r="AG36" i="20" s="1"/>
  <c r="AF36" i="20" s="1"/>
  <c r="AD36" i="20" s="1"/>
  <c r="AI68" i="20"/>
  <c r="AH68" i="20" s="1"/>
  <c r="AG68" i="20" s="1"/>
  <c r="AF68" i="20" s="1"/>
  <c r="AD68" i="20" s="1"/>
  <c r="AI100" i="20"/>
  <c r="AH100" i="20" s="1"/>
  <c r="AG100" i="20" s="1"/>
  <c r="AF100" i="20" s="1"/>
  <c r="AD100" i="20" s="1"/>
  <c r="AI164" i="20"/>
  <c r="AH164" i="20" s="1"/>
  <c r="AG164" i="20" s="1"/>
  <c r="AF164" i="20" s="1"/>
  <c r="AI228" i="20"/>
  <c r="AH228" i="20" s="1"/>
  <c r="AG228" i="20" s="1"/>
  <c r="AF228" i="20" s="1"/>
  <c r="AI292" i="20"/>
  <c r="AH292" i="20" s="1"/>
  <c r="AG292" i="20" s="1"/>
  <c r="AF292" i="20" s="1"/>
  <c r="AI356" i="20"/>
  <c r="AH356" i="20" s="1"/>
  <c r="AG356" i="20" s="1"/>
  <c r="AF356" i="20" s="1"/>
  <c r="AI35" i="20"/>
  <c r="AH35" i="20" s="1"/>
  <c r="AG35" i="20" s="1"/>
  <c r="AF35" i="20" s="1"/>
  <c r="AD35" i="20" s="1"/>
  <c r="AI67" i="20"/>
  <c r="AH67" i="20" s="1"/>
  <c r="AG67" i="20" s="1"/>
  <c r="AF67" i="20" s="1"/>
  <c r="AD67" i="20" s="1"/>
  <c r="AI99" i="20"/>
  <c r="AH99" i="20" s="1"/>
  <c r="AG99" i="20" s="1"/>
  <c r="AF99" i="20" s="1"/>
  <c r="AD99" i="20" s="1"/>
  <c r="AI159" i="20"/>
  <c r="AH159" i="20" s="1"/>
  <c r="AG159" i="20" s="1"/>
  <c r="AF159" i="20" s="1"/>
  <c r="AD159" i="20" s="1"/>
  <c r="AI223" i="20"/>
  <c r="AH223" i="20" s="1"/>
  <c r="AG223" i="20" s="1"/>
  <c r="AF223" i="20" s="1"/>
  <c r="AI287" i="20"/>
  <c r="AH287" i="20" s="1"/>
  <c r="AG287" i="20" s="1"/>
  <c r="AF287" i="20" s="1"/>
  <c r="AD287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F15" i="16"/>
  <c r="G381" i="15"/>
  <c r="G383" i="15"/>
  <c r="G12" i="15" s="1"/>
  <c r="G382" i="15"/>
  <c r="F11" i="15"/>
  <c r="G36" i="19" s="1"/>
  <c r="AB9" i="15"/>
  <c r="G12" i="19"/>
  <c r="J36" i="19" s="1"/>
  <c r="I15" i="15"/>
  <c r="J15" i="15"/>
  <c r="AL10" i="15"/>
  <c r="Z15" i="15"/>
  <c r="AL7" i="15" s="1"/>
  <c r="AA9" i="15"/>
  <c r="AA383" i="15"/>
  <c r="AM8" i="15"/>
  <c r="AA382" i="15"/>
  <c r="AA381" i="15"/>
  <c r="I65" i="19"/>
  <c r="AH381" i="18"/>
  <c r="AH383" i="18"/>
  <c r="AG15" i="18"/>
  <c r="AH382" i="18"/>
  <c r="AG379" i="18"/>
  <c r="AF379" i="18" s="1"/>
  <c r="AD379" i="18" s="1"/>
  <c r="J65" i="19"/>
  <c r="C65" i="19"/>
  <c r="L65" i="19"/>
  <c r="Q381" i="20"/>
  <c r="M65" i="19"/>
  <c r="G65" i="19"/>
  <c r="AM15" i="7"/>
  <c r="Q10" i="22"/>
  <c r="Q16" i="22" s="1"/>
  <c r="Q383" i="20"/>
  <c r="P383" i="17"/>
  <c r="V15" i="17"/>
  <c r="B15" i="17" s="1"/>
  <c r="P382" i="17"/>
  <c r="P381" i="17"/>
  <c r="S381" i="18"/>
  <c r="S382" i="18"/>
  <c r="S383" i="18"/>
  <c r="R15" i="18"/>
  <c r="AI359" i="20" l="1"/>
  <c r="AH359" i="20" s="1"/>
  <c r="AG359" i="20" s="1"/>
  <c r="AF359" i="20" s="1"/>
  <c r="AD359" i="20" s="1"/>
  <c r="AI319" i="20"/>
  <c r="AH319" i="20" s="1"/>
  <c r="AG319" i="20" s="1"/>
  <c r="AF319" i="20" s="1"/>
  <c r="AD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83" i="20"/>
  <c r="AH83" i="20" s="1"/>
  <c r="AG83" i="20" s="1"/>
  <c r="AF83" i="20" s="1"/>
  <c r="AD83" i="20" s="1"/>
  <c r="AI51" i="20"/>
  <c r="AH51" i="20" s="1"/>
  <c r="AG51" i="20" s="1"/>
  <c r="AF51" i="20" s="1"/>
  <c r="AD51" i="20" s="1"/>
  <c r="AI16" i="20"/>
  <c r="AH16" i="20" s="1"/>
  <c r="AG16" i="20" s="1"/>
  <c r="AF16" i="20" s="1"/>
  <c r="AD16" i="20" s="1"/>
  <c r="AI324" i="20"/>
  <c r="AH324" i="20" s="1"/>
  <c r="AG324" i="20" s="1"/>
  <c r="AF324" i="20" s="1"/>
  <c r="AD324" i="20" s="1"/>
  <c r="AI260" i="20"/>
  <c r="AH260" i="20" s="1"/>
  <c r="AG260" i="20" s="1"/>
  <c r="AF260" i="20" s="1"/>
  <c r="AI196" i="20"/>
  <c r="AH196" i="20" s="1"/>
  <c r="AG196" i="20" s="1"/>
  <c r="AF196" i="20" s="1"/>
  <c r="AD196" i="20" s="1"/>
  <c r="AI132" i="20"/>
  <c r="AH132" i="20" s="1"/>
  <c r="AG132" i="20" s="1"/>
  <c r="AF132" i="20" s="1"/>
  <c r="AD132" i="20" s="1"/>
  <c r="AI84" i="20"/>
  <c r="AH84" i="20" s="1"/>
  <c r="AG84" i="20" s="1"/>
  <c r="AF84" i="20" s="1"/>
  <c r="AD84" i="20" s="1"/>
  <c r="AI52" i="20"/>
  <c r="AH52" i="20" s="1"/>
  <c r="AG52" i="20" s="1"/>
  <c r="AF52" i="20" s="1"/>
  <c r="AD52" i="20" s="1"/>
  <c r="AI17" i="20"/>
  <c r="AH17" i="20" s="1"/>
  <c r="AG17" i="20" s="1"/>
  <c r="AF17" i="20" s="1"/>
  <c r="AD17" i="20" s="1"/>
  <c r="AI269" i="20"/>
  <c r="AH269" i="20" s="1"/>
  <c r="AG269" i="20" s="1"/>
  <c r="AF269" i="20" s="1"/>
  <c r="AI141" i="20"/>
  <c r="AH141" i="20" s="1"/>
  <c r="AG141" i="20" s="1"/>
  <c r="AF141" i="20" s="1"/>
  <c r="AD141" i="20" s="1"/>
  <c r="AI61" i="20"/>
  <c r="AH61" i="20" s="1"/>
  <c r="AG61" i="20" s="1"/>
  <c r="AF61" i="20" s="1"/>
  <c r="AD61" i="20" s="1"/>
  <c r="U38" i="20"/>
  <c r="T38" i="20" s="1"/>
  <c r="S38" i="20" s="1"/>
  <c r="R38" i="20" s="1"/>
  <c r="P38" i="20" s="1"/>
  <c r="V38" i="20" s="1"/>
  <c r="U22" i="20"/>
  <c r="T22" i="20" s="1"/>
  <c r="S22" i="20" s="1"/>
  <c r="R22" i="20" s="1"/>
  <c r="P22" i="20" s="1"/>
  <c r="V22" i="20" s="1"/>
  <c r="AI89" i="20"/>
  <c r="AH89" i="20" s="1"/>
  <c r="AG89" i="20" s="1"/>
  <c r="AF89" i="20" s="1"/>
  <c r="AD89" i="20" s="1"/>
  <c r="AI16" i="7"/>
  <c r="H35" i="19"/>
  <c r="H31" i="19"/>
  <c r="AD223" i="20"/>
  <c r="AD356" i="20"/>
  <c r="AD292" i="20"/>
  <c r="AD228" i="20"/>
  <c r="AD164" i="20"/>
  <c r="I35" i="19"/>
  <c r="I31" i="19"/>
  <c r="U124" i="20"/>
  <c r="T124" i="20" s="1"/>
  <c r="S124" i="20" s="1"/>
  <c r="R124" i="20" s="1"/>
  <c r="P124" i="20" s="1"/>
  <c r="V124" i="20" s="1"/>
  <c r="U116" i="20"/>
  <c r="T116" i="20" s="1"/>
  <c r="S116" i="20" s="1"/>
  <c r="R116" i="20" s="1"/>
  <c r="P116" i="20" s="1"/>
  <c r="V116" i="20" s="1"/>
  <c r="AI367" i="20"/>
  <c r="AH367" i="20" s="1"/>
  <c r="AG367" i="20" s="1"/>
  <c r="AF367" i="20" s="1"/>
  <c r="AD367" i="20" s="1"/>
  <c r="AI351" i="20"/>
  <c r="AH351" i="20" s="1"/>
  <c r="AG351" i="20" s="1"/>
  <c r="AF351" i="20" s="1"/>
  <c r="AD351" i="20" s="1"/>
  <c r="AI335" i="20"/>
  <c r="AH335" i="20" s="1"/>
  <c r="AG335" i="20" s="1"/>
  <c r="AF335" i="20" s="1"/>
  <c r="AD335" i="20" s="1"/>
  <c r="AI303" i="20"/>
  <c r="AH303" i="20" s="1"/>
  <c r="AG303" i="20" s="1"/>
  <c r="AF303" i="20" s="1"/>
  <c r="AD303" i="20" s="1"/>
  <c r="AI271" i="20"/>
  <c r="AH271" i="20" s="1"/>
  <c r="AG271" i="20" s="1"/>
  <c r="AF271" i="20" s="1"/>
  <c r="AD271" i="20" s="1"/>
  <c r="AI239" i="20"/>
  <c r="AH239" i="20" s="1"/>
  <c r="AG239" i="20" s="1"/>
  <c r="AF239" i="20" s="1"/>
  <c r="AD239" i="20" s="1"/>
  <c r="AI207" i="20"/>
  <c r="AH207" i="20" s="1"/>
  <c r="AG207" i="20" s="1"/>
  <c r="AF207" i="20" s="1"/>
  <c r="AD207" i="20" s="1"/>
  <c r="AI175" i="20"/>
  <c r="AH175" i="20" s="1"/>
  <c r="AG175" i="20" s="1"/>
  <c r="AF175" i="20" s="1"/>
  <c r="AD175" i="20" s="1"/>
  <c r="AI143" i="20"/>
  <c r="AH143" i="20" s="1"/>
  <c r="AG143" i="20" s="1"/>
  <c r="AF143" i="20" s="1"/>
  <c r="AD143" i="20" s="1"/>
  <c r="AI111" i="20"/>
  <c r="AH111" i="20" s="1"/>
  <c r="AG111" i="20" s="1"/>
  <c r="AF111" i="20" s="1"/>
  <c r="AD111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3" i="20"/>
  <c r="AH43" i="20" s="1"/>
  <c r="AG43" i="20" s="1"/>
  <c r="AF43" i="20" s="1"/>
  <c r="AD43" i="20" s="1"/>
  <c r="AI27" i="20"/>
  <c r="AH27" i="20" s="1"/>
  <c r="AG27" i="20" s="1"/>
  <c r="AF27" i="20" s="1"/>
  <c r="AD27" i="20" s="1"/>
  <c r="AI372" i="20"/>
  <c r="AH372" i="20" s="1"/>
  <c r="AG372" i="20" s="1"/>
  <c r="AF372" i="20" s="1"/>
  <c r="AD372" i="20" s="1"/>
  <c r="AI340" i="20"/>
  <c r="AH340" i="20" s="1"/>
  <c r="AG340" i="20" s="1"/>
  <c r="AF340" i="20" s="1"/>
  <c r="AD340" i="20" s="1"/>
  <c r="AI308" i="20"/>
  <c r="AH308" i="20" s="1"/>
  <c r="AG308" i="20" s="1"/>
  <c r="AF308" i="20" s="1"/>
  <c r="AD308" i="20" s="1"/>
  <c r="AI276" i="20"/>
  <c r="AH276" i="20" s="1"/>
  <c r="AG276" i="20" s="1"/>
  <c r="AF276" i="20" s="1"/>
  <c r="AD276" i="20" s="1"/>
  <c r="AI244" i="20"/>
  <c r="AH244" i="20" s="1"/>
  <c r="AG244" i="20" s="1"/>
  <c r="AF244" i="20" s="1"/>
  <c r="AD244" i="20" s="1"/>
  <c r="AI212" i="20"/>
  <c r="AH212" i="20" s="1"/>
  <c r="AG212" i="20" s="1"/>
  <c r="AF212" i="20" s="1"/>
  <c r="AD212" i="20" s="1"/>
  <c r="AI180" i="20"/>
  <c r="AH180" i="20" s="1"/>
  <c r="AG180" i="20" s="1"/>
  <c r="AF180" i="20" s="1"/>
  <c r="AD180" i="20" s="1"/>
  <c r="AI148" i="20"/>
  <c r="AH148" i="20" s="1"/>
  <c r="AG148" i="20" s="1"/>
  <c r="AF148" i="20" s="1"/>
  <c r="AD148" i="20" s="1"/>
  <c r="AI116" i="20"/>
  <c r="AH116" i="20" s="1"/>
  <c r="AG116" i="20" s="1"/>
  <c r="AF116" i="20" s="1"/>
  <c r="AD116" i="20" s="1"/>
  <c r="AI92" i="20"/>
  <c r="AH92" i="20" s="1"/>
  <c r="AG92" i="20" s="1"/>
  <c r="AF92" i="20" s="1"/>
  <c r="AD92" i="20" s="1"/>
  <c r="AI76" i="20"/>
  <c r="AH76" i="20" s="1"/>
  <c r="AG76" i="20" s="1"/>
  <c r="AF76" i="20" s="1"/>
  <c r="AD76" i="20" s="1"/>
  <c r="AI60" i="20"/>
  <c r="AH60" i="20" s="1"/>
  <c r="AG60" i="20" s="1"/>
  <c r="AF60" i="20" s="1"/>
  <c r="AD60" i="20" s="1"/>
  <c r="AI44" i="20"/>
  <c r="AH44" i="20" s="1"/>
  <c r="AG44" i="20" s="1"/>
  <c r="AF44" i="20" s="1"/>
  <c r="AD44" i="20" s="1"/>
  <c r="AI28" i="20"/>
  <c r="AH28" i="20" s="1"/>
  <c r="AG28" i="20" s="1"/>
  <c r="AF28" i="20" s="1"/>
  <c r="AD28" i="20" s="1"/>
  <c r="AI365" i="20"/>
  <c r="AH365" i="20" s="1"/>
  <c r="AG365" i="20" s="1"/>
  <c r="AF365" i="20" s="1"/>
  <c r="AD365" i="20" s="1"/>
  <c r="AI301" i="20"/>
  <c r="AH301" i="20" s="1"/>
  <c r="AG301" i="20" s="1"/>
  <c r="AF301" i="20" s="1"/>
  <c r="AI237" i="20"/>
  <c r="AH237" i="20" s="1"/>
  <c r="AG237" i="20" s="1"/>
  <c r="AF237" i="20" s="1"/>
  <c r="AD237" i="20" s="1"/>
  <c r="AI173" i="20"/>
  <c r="AH173" i="20" s="1"/>
  <c r="AG173" i="20" s="1"/>
  <c r="AF173" i="20" s="1"/>
  <c r="AD173" i="20" s="1"/>
  <c r="AI109" i="20"/>
  <c r="AH109" i="20" s="1"/>
  <c r="AG109" i="20" s="1"/>
  <c r="AF109" i="20" s="1"/>
  <c r="AD109" i="20" s="1"/>
  <c r="AI77" i="20"/>
  <c r="AH77" i="20" s="1"/>
  <c r="AG77" i="20" s="1"/>
  <c r="AF77" i="20" s="1"/>
  <c r="AD77" i="20" s="1"/>
  <c r="AI45" i="20"/>
  <c r="AH45" i="20" s="1"/>
  <c r="AG45" i="20" s="1"/>
  <c r="AF45" i="20" s="1"/>
  <c r="AD45" i="20" s="1"/>
  <c r="U42" i="20"/>
  <c r="T42" i="20" s="1"/>
  <c r="S42" i="20" s="1"/>
  <c r="R42" i="20" s="1"/>
  <c r="P42" i="20" s="1"/>
  <c r="V42" i="20" s="1"/>
  <c r="U34" i="20"/>
  <c r="T34" i="20" s="1"/>
  <c r="S34" i="20" s="1"/>
  <c r="R34" i="20" s="1"/>
  <c r="P34" i="20" s="1"/>
  <c r="V34" i="20" s="1"/>
  <c r="U26" i="20"/>
  <c r="T26" i="20" s="1"/>
  <c r="S26" i="20" s="1"/>
  <c r="R26" i="20" s="1"/>
  <c r="P26" i="20" s="1"/>
  <c r="V26" i="20" s="1"/>
  <c r="U20" i="20"/>
  <c r="T20" i="20" s="1"/>
  <c r="S20" i="20" s="1"/>
  <c r="R20" i="20" s="1"/>
  <c r="AI57" i="20"/>
  <c r="AH57" i="20" s="1"/>
  <c r="AG57" i="20" s="1"/>
  <c r="AF57" i="20" s="1"/>
  <c r="AD57" i="20" s="1"/>
  <c r="U128" i="20"/>
  <c r="T128" i="20" s="1"/>
  <c r="S128" i="20" s="1"/>
  <c r="R128" i="20" s="1"/>
  <c r="P128" i="20" s="1"/>
  <c r="V128" i="20" s="1"/>
  <c r="U120" i="20"/>
  <c r="T120" i="20" s="1"/>
  <c r="S120" i="20" s="1"/>
  <c r="R120" i="20" s="1"/>
  <c r="P120" i="20" s="1"/>
  <c r="V120" i="20" s="1"/>
  <c r="D16" i="16"/>
  <c r="AJ7" i="16" s="1"/>
  <c r="W16" i="16"/>
  <c r="B16" i="17"/>
  <c r="AJ5" i="17" s="1"/>
  <c r="B383" i="16"/>
  <c r="H9" i="16"/>
  <c r="B13" i="19" s="1"/>
  <c r="AK6" i="16"/>
  <c r="B381" i="16"/>
  <c r="B382" i="16"/>
  <c r="AJ6" i="16"/>
  <c r="AI97" i="20"/>
  <c r="AH97" i="20" s="1"/>
  <c r="AG97" i="20" s="1"/>
  <c r="AF97" i="20" s="1"/>
  <c r="AD97" i="20" s="1"/>
  <c r="U106" i="20"/>
  <c r="T106" i="20" s="1"/>
  <c r="S106" i="20" s="1"/>
  <c r="R106" i="20" s="1"/>
  <c r="P106" i="20" s="1"/>
  <c r="V106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AI73" i="20"/>
  <c r="AH73" i="20" s="1"/>
  <c r="AG73" i="20" s="1"/>
  <c r="AF73" i="20" s="1"/>
  <c r="AD73" i="20" s="1"/>
  <c r="AI41" i="20"/>
  <c r="AH41" i="20" s="1"/>
  <c r="AG41" i="20" s="1"/>
  <c r="AF41" i="20" s="1"/>
  <c r="AD41" i="20" s="1"/>
  <c r="U19" i="20"/>
  <c r="T19" i="20" s="1"/>
  <c r="S19" i="20" s="1"/>
  <c r="R19" i="20" s="1"/>
  <c r="P19" i="20" s="1"/>
  <c r="V19" i="20" s="1"/>
  <c r="U17" i="20"/>
  <c r="T17" i="20" s="1"/>
  <c r="S17" i="20" s="1"/>
  <c r="R17" i="20" s="1"/>
  <c r="P17" i="20" s="1"/>
  <c r="V17" i="20" s="1"/>
  <c r="U24" i="20"/>
  <c r="T24" i="20" s="1"/>
  <c r="S24" i="20" s="1"/>
  <c r="R24" i="20" s="1"/>
  <c r="P24" i="20" s="1"/>
  <c r="V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AI379" i="20"/>
  <c r="AI19" i="20"/>
  <c r="AH19" i="20" s="1"/>
  <c r="AG19" i="20" s="1"/>
  <c r="AF19" i="20" s="1"/>
  <c r="AD19" i="20" s="1"/>
  <c r="AI37" i="20"/>
  <c r="AH37" i="20" s="1"/>
  <c r="AG37" i="20" s="1"/>
  <c r="AF37" i="20" s="1"/>
  <c r="AD37" i="20" s="1"/>
  <c r="AI53" i="20"/>
  <c r="AH53" i="20" s="1"/>
  <c r="AG53" i="20" s="1"/>
  <c r="AF53" i="20" s="1"/>
  <c r="AD53" i="20" s="1"/>
  <c r="AI69" i="20"/>
  <c r="AH69" i="20" s="1"/>
  <c r="AG69" i="20" s="1"/>
  <c r="AF69" i="20" s="1"/>
  <c r="AD69" i="20" s="1"/>
  <c r="AI85" i="20"/>
  <c r="AH85" i="20" s="1"/>
  <c r="AG85" i="20" s="1"/>
  <c r="AF85" i="20" s="1"/>
  <c r="AD85" i="20" s="1"/>
  <c r="AI101" i="20"/>
  <c r="AH101" i="20" s="1"/>
  <c r="AG101" i="20" s="1"/>
  <c r="AF101" i="20" s="1"/>
  <c r="AD101" i="20" s="1"/>
  <c r="AI125" i="20"/>
  <c r="AH125" i="20" s="1"/>
  <c r="AG125" i="20" s="1"/>
  <c r="AF125" i="20" s="1"/>
  <c r="AD125" i="20" s="1"/>
  <c r="AI157" i="20"/>
  <c r="AH157" i="20" s="1"/>
  <c r="AG157" i="20" s="1"/>
  <c r="AF157" i="20" s="1"/>
  <c r="AD157" i="20" s="1"/>
  <c r="AI189" i="20"/>
  <c r="AH189" i="20" s="1"/>
  <c r="AG189" i="20" s="1"/>
  <c r="AF189" i="20" s="1"/>
  <c r="AD189" i="20" s="1"/>
  <c r="AI221" i="20"/>
  <c r="AH221" i="20" s="1"/>
  <c r="AG221" i="20" s="1"/>
  <c r="AF221" i="20" s="1"/>
  <c r="AD221" i="20" s="1"/>
  <c r="AI253" i="20"/>
  <c r="AH253" i="20" s="1"/>
  <c r="AG253" i="20" s="1"/>
  <c r="AF253" i="20" s="1"/>
  <c r="AD253" i="20" s="1"/>
  <c r="AI285" i="20"/>
  <c r="AH285" i="20" s="1"/>
  <c r="AG285" i="20" s="1"/>
  <c r="AF285" i="20" s="1"/>
  <c r="AD285" i="20" s="1"/>
  <c r="AI317" i="20"/>
  <c r="AH317" i="20" s="1"/>
  <c r="AG317" i="20" s="1"/>
  <c r="AF317" i="20" s="1"/>
  <c r="AD317" i="20" s="1"/>
  <c r="AI349" i="20"/>
  <c r="AH349" i="20" s="1"/>
  <c r="AG349" i="20" s="1"/>
  <c r="AF349" i="20" s="1"/>
  <c r="AD34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8" i="20"/>
  <c r="AH108" i="20" s="1"/>
  <c r="AG108" i="20" s="1"/>
  <c r="AF108" i="20" s="1"/>
  <c r="AD108" i="20" s="1"/>
  <c r="AI124" i="20"/>
  <c r="AH124" i="20" s="1"/>
  <c r="AG124" i="20" s="1"/>
  <c r="AF124" i="20" s="1"/>
  <c r="AD124" i="20" s="1"/>
  <c r="AI140" i="20"/>
  <c r="AH140" i="20" s="1"/>
  <c r="AG140" i="20" s="1"/>
  <c r="AF140" i="20" s="1"/>
  <c r="AD140" i="20" s="1"/>
  <c r="AI156" i="20"/>
  <c r="AH156" i="20" s="1"/>
  <c r="AG156" i="20" s="1"/>
  <c r="AF156" i="20" s="1"/>
  <c r="AD156" i="20" s="1"/>
  <c r="AI172" i="20"/>
  <c r="AH172" i="20" s="1"/>
  <c r="AG172" i="20" s="1"/>
  <c r="AF172" i="20" s="1"/>
  <c r="AD172" i="20" s="1"/>
  <c r="AI188" i="20"/>
  <c r="AH188" i="20" s="1"/>
  <c r="AG188" i="20" s="1"/>
  <c r="AF188" i="20" s="1"/>
  <c r="AD188" i="20" s="1"/>
  <c r="AI204" i="20"/>
  <c r="AH204" i="20" s="1"/>
  <c r="AG204" i="20" s="1"/>
  <c r="AF204" i="20" s="1"/>
  <c r="AD204" i="20" s="1"/>
  <c r="AI220" i="20"/>
  <c r="AH220" i="20" s="1"/>
  <c r="AG220" i="20" s="1"/>
  <c r="AF220" i="20" s="1"/>
  <c r="AD220" i="20" s="1"/>
  <c r="AI236" i="20"/>
  <c r="AH236" i="20" s="1"/>
  <c r="AG236" i="20" s="1"/>
  <c r="AF236" i="20" s="1"/>
  <c r="AD236" i="20" s="1"/>
  <c r="AI252" i="20"/>
  <c r="AH252" i="20" s="1"/>
  <c r="AG252" i="20" s="1"/>
  <c r="AF252" i="20" s="1"/>
  <c r="AD252" i="20" s="1"/>
  <c r="AI268" i="20"/>
  <c r="AH268" i="20" s="1"/>
  <c r="AG268" i="20" s="1"/>
  <c r="AF268" i="20" s="1"/>
  <c r="AD268" i="20" s="1"/>
  <c r="AI284" i="20"/>
  <c r="AH284" i="20" s="1"/>
  <c r="AG284" i="20" s="1"/>
  <c r="AF284" i="20" s="1"/>
  <c r="AD284" i="20" s="1"/>
  <c r="AI300" i="20"/>
  <c r="AH300" i="20" s="1"/>
  <c r="AG300" i="20" s="1"/>
  <c r="AF300" i="20" s="1"/>
  <c r="AD300" i="20" s="1"/>
  <c r="AI316" i="20"/>
  <c r="AH316" i="20" s="1"/>
  <c r="AG316" i="20" s="1"/>
  <c r="AF316" i="20" s="1"/>
  <c r="AD316" i="20" s="1"/>
  <c r="AI332" i="20"/>
  <c r="AH332" i="20" s="1"/>
  <c r="AG332" i="20" s="1"/>
  <c r="AF332" i="20" s="1"/>
  <c r="AD332" i="20" s="1"/>
  <c r="AI348" i="20"/>
  <c r="AH348" i="20" s="1"/>
  <c r="AG348" i="20" s="1"/>
  <c r="AF348" i="20" s="1"/>
  <c r="AD348" i="20" s="1"/>
  <c r="AI364" i="20"/>
  <c r="AH364" i="20" s="1"/>
  <c r="AG364" i="20" s="1"/>
  <c r="AF364" i="20" s="1"/>
  <c r="AD364" i="20" s="1"/>
  <c r="AI21" i="20"/>
  <c r="AH21" i="20" s="1"/>
  <c r="AG21" i="20" s="1"/>
  <c r="AF21" i="20" s="1"/>
  <c r="AD21" i="20" s="1"/>
  <c r="AI23" i="20"/>
  <c r="AH23" i="20" s="1"/>
  <c r="AG23" i="20" s="1"/>
  <c r="AF23" i="20" s="1"/>
  <c r="AD23" i="20" s="1"/>
  <c r="AI31" i="20"/>
  <c r="AH31" i="20" s="1"/>
  <c r="AG31" i="20" s="1"/>
  <c r="AF31" i="20" s="1"/>
  <c r="AD31" i="20" s="1"/>
  <c r="AI39" i="20"/>
  <c r="AH39" i="20" s="1"/>
  <c r="AG39" i="20" s="1"/>
  <c r="AF39" i="20" s="1"/>
  <c r="AD39" i="20" s="1"/>
  <c r="AI47" i="20"/>
  <c r="AH47" i="20" s="1"/>
  <c r="AG47" i="20" s="1"/>
  <c r="AF47" i="20" s="1"/>
  <c r="AD47" i="20" s="1"/>
  <c r="AI55" i="20"/>
  <c r="AH55" i="20" s="1"/>
  <c r="AG55" i="20" s="1"/>
  <c r="AF55" i="20" s="1"/>
  <c r="AD55" i="20" s="1"/>
  <c r="AI63" i="20"/>
  <c r="AH63" i="20" s="1"/>
  <c r="AG63" i="20" s="1"/>
  <c r="AF63" i="20" s="1"/>
  <c r="AD63" i="20" s="1"/>
  <c r="AI71" i="20"/>
  <c r="AH71" i="20" s="1"/>
  <c r="AG71" i="20" s="1"/>
  <c r="AF71" i="20" s="1"/>
  <c r="AD71" i="20" s="1"/>
  <c r="AI79" i="20"/>
  <c r="AH79" i="20" s="1"/>
  <c r="AG79" i="20" s="1"/>
  <c r="AF79" i="20" s="1"/>
  <c r="AD79" i="20" s="1"/>
  <c r="AI87" i="20"/>
  <c r="AH87" i="20" s="1"/>
  <c r="AG87" i="20" s="1"/>
  <c r="AF87" i="20" s="1"/>
  <c r="AD87" i="20" s="1"/>
  <c r="AI95" i="20"/>
  <c r="AH95" i="20" s="1"/>
  <c r="AG95" i="20" s="1"/>
  <c r="AF95" i="20" s="1"/>
  <c r="AD95" i="20" s="1"/>
  <c r="AI103" i="20"/>
  <c r="AH103" i="20" s="1"/>
  <c r="AG103" i="20" s="1"/>
  <c r="AF103" i="20" s="1"/>
  <c r="AD103" i="20" s="1"/>
  <c r="AI119" i="20"/>
  <c r="AH119" i="20" s="1"/>
  <c r="AG119" i="20" s="1"/>
  <c r="AF119" i="20" s="1"/>
  <c r="AD119" i="20" s="1"/>
  <c r="AI135" i="20"/>
  <c r="AH135" i="20" s="1"/>
  <c r="AG135" i="20" s="1"/>
  <c r="AF135" i="20" s="1"/>
  <c r="AD135" i="20" s="1"/>
  <c r="AI151" i="20"/>
  <c r="AH151" i="20" s="1"/>
  <c r="AG151" i="20" s="1"/>
  <c r="AF151" i="20" s="1"/>
  <c r="AD151" i="20" s="1"/>
  <c r="AI167" i="20"/>
  <c r="AH167" i="20" s="1"/>
  <c r="AG167" i="20" s="1"/>
  <c r="AF167" i="20" s="1"/>
  <c r="AD167" i="20" s="1"/>
  <c r="AI183" i="20"/>
  <c r="AH183" i="20" s="1"/>
  <c r="AG183" i="20" s="1"/>
  <c r="AF183" i="20" s="1"/>
  <c r="AD183" i="20" s="1"/>
  <c r="AI199" i="20"/>
  <c r="AH199" i="20" s="1"/>
  <c r="AG199" i="20" s="1"/>
  <c r="AF199" i="20" s="1"/>
  <c r="AD199" i="20" s="1"/>
  <c r="AI215" i="20"/>
  <c r="AH215" i="20" s="1"/>
  <c r="AG215" i="20" s="1"/>
  <c r="AF215" i="20" s="1"/>
  <c r="AD215" i="20" s="1"/>
  <c r="AI231" i="20"/>
  <c r="AH231" i="20" s="1"/>
  <c r="AG231" i="20" s="1"/>
  <c r="AF231" i="20" s="1"/>
  <c r="AD231" i="20" s="1"/>
  <c r="AI247" i="20"/>
  <c r="AH247" i="20" s="1"/>
  <c r="AG247" i="20" s="1"/>
  <c r="AF247" i="20" s="1"/>
  <c r="AD247" i="20" s="1"/>
  <c r="AI263" i="20"/>
  <c r="AH263" i="20" s="1"/>
  <c r="AG263" i="20" s="1"/>
  <c r="AF263" i="20" s="1"/>
  <c r="AD263" i="20" s="1"/>
  <c r="AI279" i="20"/>
  <c r="AH279" i="20" s="1"/>
  <c r="AG279" i="20" s="1"/>
  <c r="AF279" i="20" s="1"/>
  <c r="AD279" i="20" s="1"/>
  <c r="AI295" i="20"/>
  <c r="AH295" i="20" s="1"/>
  <c r="AG295" i="20" s="1"/>
  <c r="AF295" i="20" s="1"/>
  <c r="AD295" i="20" s="1"/>
  <c r="AI311" i="20"/>
  <c r="AH311" i="20" s="1"/>
  <c r="AG311" i="20" s="1"/>
  <c r="AF311" i="20" s="1"/>
  <c r="AD311" i="20" s="1"/>
  <c r="AI327" i="20"/>
  <c r="AH327" i="20" s="1"/>
  <c r="AG327" i="20" s="1"/>
  <c r="AF327" i="20" s="1"/>
  <c r="AD327" i="20" s="1"/>
  <c r="U112" i="20"/>
  <c r="T112" i="20" s="1"/>
  <c r="S112" i="20" s="1"/>
  <c r="R112" i="20" s="1"/>
  <c r="P112" i="20" s="1"/>
  <c r="V112" i="20" s="1"/>
  <c r="U108" i="20"/>
  <c r="T108" i="20" s="1"/>
  <c r="S108" i="20" s="1"/>
  <c r="R108" i="20" s="1"/>
  <c r="P108" i="20" s="1"/>
  <c r="V108" i="20" s="1"/>
  <c r="U104" i="20"/>
  <c r="T104" i="20" s="1"/>
  <c r="S104" i="20" s="1"/>
  <c r="R104" i="20" s="1"/>
  <c r="P104" i="20" s="1"/>
  <c r="V104" i="20" s="1"/>
  <c r="AI90" i="20"/>
  <c r="AH90" i="20" s="1"/>
  <c r="AG90" i="20" s="1"/>
  <c r="AF90" i="20" s="1"/>
  <c r="AD90" i="20" s="1"/>
  <c r="AI20" i="20"/>
  <c r="AH20" i="20" s="1"/>
  <c r="AG20" i="20" s="1"/>
  <c r="AF20" i="20" s="1"/>
  <c r="AD20" i="20" s="1"/>
  <c r="AI33" i="20"/>
  <c r="AH33" i="20" s="1"/>
  <c r="AG33" i="20" s="1"/>
  <c r="AF33" i="20" s="1"/>
  <c r="AD33" i="20" s="1"/>
  <c r="U15" i="20"/>
  <c r="U21" i="20"/>
  <c r="T21" i="20" s="1"/>
  <c r="U25" i="20"/>
  <c r="T25" i="20" s="1"/>
  <c r="S25" i="20" s="1"/>
  <c r="R25" i="20" s="1"/>
  <c r="P25" i="20" s="1"/>
  <c r="V25" i="20" s="1"/>
  <c r="U29" i="20"/>
  <c r="T29" i="20" s="1"/>
  <c r="S29" i="20" s="1"/>
  <c r="R29" i="20" s="1"/>
  <c r="P29" i="20" s="1"/>
  <c r="AH20" i="7" s="1"/>
  <c r="U33" i="20"/>
  <c r="T33" i="20" s="1"/>
  <c r="S33" i="20" s="1"/>
  <c r="R33" i="20" s="1"/>
  <c r="P33" i="20" s="1"/>
  <c r="V33" i="20" s="1"/>
  <c r="U37" i="20"/>
  <c r="T37" i="20" s="1"/>
  <c r="S37" i="20" s="1"/>
  <c r="R37" i="20" s="1"/>
  <c r="P37" i="20" s="1"/>
  <c r="V37" i="20" s="1"/>
  <c r="U41" i="20"/>
  <c r="T41" i="20" s="1"/>
  <c r="U45" i="20"/>
  <c r="T45" i="20" s="1"/>
  <c r="U48" i="20"/>
  <c r="T48" i="20" s="1"/>
  <c r="S48" i="20" s="1"/>
  <c r="R48" i="20" s="1"/>
  <c r="P48" i="20" s="1"/>
  <c r="V48" i="20" s="1"/>
  <c r="U50" i="20"/>
  <c r="T50" i="20" s="1"/>
  <c r="S50" i="20" s="1"/>
  <c r="R50" i="20" s="1"/>
  <c r="P50" i="20" s="1"/>
  <c r="V50" i="20" s="1"/>
  <c r="U52" i="20"/>
  <c r="T52" i="20" s="1"/>
  <c r="S52" i="20" s="1"/>
  <c r="R52" i="20" s="1"/>
  <c r="P52" i="20" s="1"/>
  <c r="V52" i="20" s="1"/>
  <c r="U54" i="20"/>
  <c r="T54" i="20" s="1"/>
  <c r="S54" i="20" s="1"/>
  <c r="R54" i="20" s="1"/>
  <c r="P54" i="20" s="1"/>
  <c r="V54" i="20" s="1"/>
  <c r="U56" i="20"/>
  <c r="T56" i="20" s="1"/>
  <c r="S56" i="20" s="1"/>
  <c r="R56" i="20" s="1"/>
  <c r="P56" i="20" s="1"/>
  <c r="V56" i="20" s="1"/>
  <c r="U58" i="20"/>
  <c r="T58" i="20" s="1"/>
  <c r="S58" i="20" s="1"/>
  <c r="R58" i="20" s="1"/>
  <c r="P58" i="20" s="1"/>
  <c r="V58" i="20" s="1"/>
  <c r="U60" i="20"/>
  <c r="T60" i="20" s="1"/>
  <c r="S60" i="20" s="1"/>
  <c r="R60" i="20" s="1"/>
  <c r="P60" i="20" s="1"/>
  <c r="U62" i="20"/>
  <c r="T62" i="20" s="1"/>
  <c r="S62" i="20" s="1"/>
  <c r="R62" i="20" s="1"/>
  <c r="P62" i="20" s="1"/>
  <c r="V62" i="20" s="1"/>
  <c r="U64" i="20"/>
  <c r="T64" i="20" s="1"/>
  <c r="S64" i="20" s="1"/>
  <c r="R64" i="20" s="1"/>
  <c r="P64" i="20" s="1"/>
  <c r="V64" i="20" s="1"/>
  <c r="U66" i="20"/>
  <c r="T66" i="20" s="1"/>
  <c r="S66" i="20" s="1"/>
  <c r="R66" i="20" s="1"/>
  <c r="P66" i="20" s="1"/>
  <c r="V66" i="20" s="1"/>
  <c r="U68" i="20"/>
  <c r="T68" i="20" s="1"/>
  <c r="S68" i="20" s="1"/>
  <c r="R68" i="20" s="1"/>
  <c r="P68" i="20" s="1"/>
  <c r="V68" i="20" s="1"/>
  <c r="U70" i="20"/>
  <c r="T70" i="20" s="1"/>
  <c r="S70" i="20" s="1"/>
  <c r="R70" i="20" s="1"/>
  <c r="P70" i="20" s="1"/>
  <c r="V70" i="20" s="1"/>
  <c r="U72" i="20"/>
  <c r="T72" i="20" s="1"/>
  <c r="S72" i="20" s="1"/>
  <c r="R72" i="20" s="1"/>
  <c r="P72" i="20" s="1"/>
  <c r="V72" i="20" s="1"/>
  <c r="U74" i="20"/>
  <c r="T74" i="20" s="1"/>
  <c r="S74" i="20" s="1"/>
  <c r="R74" i="20" s="1"/>
  <c r="P74" i="20" s="1"/>
  <c r="V74" i="20" s="1"/>
  <c r="U76" i="20"/>
  <c r="T76" i="20" s="1"/>
  <c r="S76" i="20" s="1"/>
  <c r="R76" i="20" s="1"/>
  <c r="P76" i="20" s="1"/>
  <c r="V76" i="20" s="1"/>
  <c r="U78" i="20"/>
  <c r="T78" i="20" s="1"/>
  <c r="S78" i="20" s="1"/>
  <c r="R78" i="20" s="1"/>
  <c r="P78" i="20" s="1"/>
  <c r="V78" i="20" s="1"/>
  <c r="U80" i="20"/>
  <c r="T80" i="20" s="1"/>
  <c r="S80" i="20" s="1"/>
  <c r="R80" i="20" s="1"/>
  <c r="P80" i="20" s="1"/>
  <c r="V80" i="20" s="1"/>
  <c r="U82" i="20"/>
  <c r="T82" i="20" s="1"/>
  <c r="S82" i="20" s="1"/>
  <c r="R82" i="20" s="1"/>
  <c r="P82" i="20" s="1"/>
  <c r="V82" i="20" s="1"/>
  <c r="U84" i="20"/>
  <c r="T84" i="20" s="1"/>
  <c r="S84" i="20" s="1"/>
  <c r="R84" i="20" s="1"/>
  <c r="P84" i="20" s="1"/>
  <c r="V84" i="20" s="1"/>
  <c r="U86" i="20"/>
  <c r="T86" i="20" s="1"/>
  <c r="S86" i="20" s="1"/>
  <c r="R86" i="20" s="1"/>
  <c r="P86" i="20" s="1"/>
  <c r="V86" i="20" s="1"/>
  <c r="U88" i="20"/>
  <c r="T88" i="20" s="1"/>
  <c r="S88" i="20" s="1"/>
  <c r="R88" i="20" s="1"/>
  <c r="P88" i="20" s="1"/>
  <c r="U90" i="20"/>
  <c r="T90" i="20" s="1"/>
  <c r="U92" i="20"/>
  <c r="T92" i="20" s="1"/>
  <c r="S92" i="20" s="1"/>
  <c r="R92" i="20" s="1"/>
  <c r="P92" i="20" s="1"/>
  <c r="V92" i="20" s="1"/>
  <c r="U94" i="20"/>
  <c r="T94" i="20" s="1"/>
  <c r="S94" i="20" s="1"/>
  <c r="R94" i="20" s="1"/>
  <c r="P94" i="20" s="1"/>
  <c r="V94" i="20" s="1"/>
  <c r="U96" i="20"/>
  <c r="T96" i="20" s="1"/>
  <c r="S96" i="20" s="1"/>
  <c r="R96" i="20" s="1"/>
  <c r="P96" i="20" s="1"/>
  <c r="V96" i="20" s="1"/>
  <c r="U98" i="20"/>
  <c r="T98" i="20" s="1"/>
  <c r="S98" i="20" s="1"/>
  <c r="R98" i="20" s="1"/>
  <c r="P98" i="20" s="1"/>
  <c r="V98" i="20" s="1"/>
  <c r="U100" i="20"/>
  <c r="T100" i="20" s="1"/>
  <c r="S100" i="20" s="1"/>
  <c r="R100" i="20" s="1"/>
  <c r="P100" i="20" s="1"/>
  <c r="V100" i="20" s="1"/>
  <c r="U102" i="20"/>
  <c r="T102" i="20" s="1"/>
  <c r="S102" i="20" s="1"/>
  <c r="R102" i="20" s="1"/>
  <c r="P102" i="20" s="1"/>
  <c r="V102" i="20" s="1"/>
  <c r="U18" i="20"/>
  <c r="T18" i="20" s="1"/>
  <c r="U23" i="20"/>
  <c r="T23" i="20" s="1"/>
  <c r="S23" i="20" s="1"/>
  <c r="R23" i="20" s="1"/>
  <c r="P23" i="20" s="1"/>
  <c r="V23" i="20" s="1"/>
  <c r="U31" i="20"/>
  <c r="T31" i="20" s="1"/>
  <c r="S31" i="20" s="1"/>
  <c r="R31" i="20" s="1"/>
  <c r="P31" i="20" s="1"/>
  <c r="V31" i="20" s="1"/>
  <c r="U39" i="20"/>
  <c r="T39" i="20" s="1"/>
  <c r="S39" i="20" s="1"/>
  <c r="R39" i="20" s="1"/>
  <c r="P39" i="20" s="1"/>
  <c r="V39" i="20" s="1"/>
  <c r="U47" i="20"/>
  <c r="T47" i="20" s="1"/>
  <c r="S47" i="20" s="1"/>
  <c r="R47" i="20" s="1"/>
  <c r="P47" i="20" s="1"/>
  <c r="V47" i="20" s="1"/>
  <c r="U51" i="20"/>
  <c r="T51" i="20" s="1"/>
  <c r="S51" i="20" s="1"/>
  <c r="R51" i="20" s="1"/>
  <c r="P51" i="20" s="1"/>
  <c r="V51" i="20" s="1"/>
  <c r="U55" i="20"/>
  <c r="T55" i="20" s="1"/>
  <c r="S55" i="20" s="1"/>
  <c r="R55" i="20" s="1"/>
  <c r="P55" i="20" s="1"/>
  <c r="V55" i="20" s="1"/>
  <c r="U59" i="20"/>
  <c r="T59" i="20" s="1"/>
  <c r="S59" i="20" s="1"/>
  <c r="R59" i="20" s="1"/>
  <c r="P59" i="20" s="1"/>
  <c r="V59" i="20" s="1"/>
  <c r="U63" i="20"/>
  <c r="T63" i="20" s="1"/>
  <c r="S63" i="20" s="1"/>
  <c r="R63" i="20" s="1"/>
  <c r="P63" i="20" s="1"/>
  <c r="V63" i="20" s="1"/>
  <c r="U67" i="20"/>
  <c r="T67" i="20" s="1"/>
  <c r="S67" i="20" s="1"/>
  <c r="R67" i="20" s="1"/>
  <c r="P67" i="20" s="1"/>
  <c r="V67" i="20" s="1"/>
  <c r="U71" i="20"/>
  <c r="T71" i="20" s="1"/>
  <c r="S71" i="20" s="1"/>
  <c r="R71" i="20" s="1"/>
  <c r="P71" i="20" s="1"/>
  <c r="V71" i="20" s="1"/>
  <c r="U75" i="20"/>
  <c r="T75" i="20" s="1"/>
  <c r="S75" i="20" s="1"/>
  <c r="R75" i="20" s="1"/>
  <c r="P75" i="20" s="1"/>
  <c r="V75" i="20" s="1"/>
  <c r="U79" i="20"/>
  <c r="T79" i="20" s="1"/>
  <c r="S79" i="20" s="1"/>
  <c r="R79" i="20" s="1"/>
  <c r="P79" i="20" s="1"/>
  <c r="V79" i="20" s="1"/>
  <c r="U83" i="20"/>
  <c r="T83" i="20" s="1"/>
  <c r="S83" i="20" s="1"/>
  <c r="R83" i="20" s="1"/>
  <c r="P83" i="20" s="1"/>
  <c r="V83" i="20" s="1"/>
  <c r="U87" i="20"/>
  <c r="T87" i="20" s="1"/>
  <c r="S87" i="20" s="1"/>
  <c r="R87" i="20" s="1"/>
  <c r="P87" i="20" s="1"/>
  <c r="V87" i="20" s="1"/>
  <c r="U91" i="20"/>
  <c r="T91" i="20" s="1"/>
  <c r="S91" i="20" s="1"/>
  <c r="R91" i="20" s="1"/>
  <c r="P91" i="20" s="1"/>
  <c r="V91" i="20" s="1"/>
  <c r="U95" i="20"/>
  <c r="T95" i="20" s="1"/>
  <c r="S95" i="20" s="1"/>
  <c r="R95" i="20" s="1"/>
  <c r="P95" i="20" s="1"/>
  <c r="V95" i="20" s="1"/>
  <c r="U99" i="20"/>
  <c r="T99" i="20" s="1"/>
  <c r="S99" i="20" s="1"/>
  <c r="R99" i="20" s="1"/>
  <c r="P99" i="20" s="1"/>
  <c r="V99" i="20" s="1"/>
  <c r="U103" i="20"/>
  <c r="T103" i="20" s="1"/>
  <c r="S103" i="20" s="1"/>
  <c r="R103" i="20" s="1"/>
  <c r="P103" i="20" s="1"/>
  <c r="V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U115" i="20"/>
  <c r="T115" i="20" s="1"/>
  <c r="S115" i="20" s="1"/>
  <c r="R115" i="20" s="1"/>
  <c r="P115" i="20" s="1"/>
  <c r="V115" i="20" s="1"/>
  <c r="U119" i="20"/>
  <c r="T119" i="20" s="1"/>
  <c r="S119" i="20" s="1"/>
  <c r="R119" i="20" s="1"/>
  <c r="P119" i="20" s="1"/>
  <c r="V119" i="20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U131" i="20"/>
  <c r="T131" i="20" s="1"/>
  <c r="S131" i="20" s="1"/>
  <c r="R131" i="20" s="1"/>
  <c r="P131" i="20" s="1"/>
  <c r="V131" i="20" s="1"/>
  <c r="U133" i="20"/>
  <c r="T133" i="20" s="1"/>
  <c r="S133" i="20" s="1"/>
  <c r="R133" i="20" s="1"/>
  <c r="P133" i="20" s="1"/>
  <c r="V133" i="20" s="1"/>
  <c r="U135" i="20"/>
  <c r="T135" i="20" s="1"/>
  <c r="S135" i="20" s="1"/>
  <c r="R135" i="20" s="1"/>
  <c r="P135" i="20" s="1"/>
  <c r="V135" i="20" s="1"/>
  <c r="U137" i="20"/>
  <c r="T137" i="20" s="1"/>
  <c r="U139" i="20"/>
  <c r="T139" i="20" s="1"/>
  <c r="S139" i="20" s="1"/>
  <c r="R139" i="20" s="1"/>
  <c r="P139" i="20" s="1"/>
  <c r="V139" i="20" s="1"/>
  <c r="U141" i="20"/>
  <c r="T141" i="20" s="1"/>
  <c r="S141" i="20" s="1"/>
  <c r="R141" i="20" s="1"/>
  <c r="P141" i="20" s="1"/>
  <c r="V141" i="20" s="1"/>
  <c r="U143" i="20"/>
  <c r="T143" i="20" s="1"/>
  <c r="S143" i="20" s="1"/>
  <c r="R143" i="20" s="1"/>
  <c r="P143" i="20" s="1"/>
  <c r="V143" i="20" s="1"/>
  <c r="U145" i="20"/>
  <c r="T145" i="20" s="1"/>
  <c r="U147" i="20"/>
  <c r="T147" i="20" s="1"/>
  <c r="S147" i="20" s="1"/>
  <c r="R147" i="20" s="1"/>
  <c r="P147" i="20" s="1"/>
  <c r="V147" i="20" s="1"/>
  <c r="U149" i="20"/>
  <c r="T149" i="20" s="1"/>
  <c r="S149" i="20" s="1"/>
  <c r="R149" i="20" s="1"/>
  <c r="P149" i="20" s="1"/>
  <c r="V149" i="20" s="1"/>
  <c r="U151" i="20"/>
  <c r="T151" i="20" s="1"/>
  <c r="S151" i="20" s="1"/>
  <c r="R151" i="20" s="1"/>
  <c r="P151" i="20" s="1"/>
  <c r="V151" i="20" s="1"/>
  <c r="U153" i="20"/>
  <c r="T153" i="20" s="1"/>
  <c r="S153" i="20" s="1"/>
  <c r="R153" i="20" s="1"/>
  <c r="P153" i="20" s="1"/>
  <c r="V153" i="20" s="1"/>
  <c r="U155" i="20"/>
  <c r="T155" i="20" s="1"/>
  <c r="S155" i="20" s="1"/>
  <c r="R155" i="20" s="1"/>
  <c r="P155" i="20" s="1"/>
  <c r="V155" i="20" s="1"/>
  <c r="U157" i="20"/>
  <c r="T157" i="20" s="1"/>
  <c r="U159" i="20"/>
  <c r="T159" i="20" s="1"/>
  <c r="S159" i="20" s="1"/>
  <c r="R159" i="20" s="1"/>
  <c r="P159" i="20" s="1"/>
  <c r="V159" i="20" s="1"/>
  <c r="U161" i="20"/>
  <c r="T161" i="20" s="1"/>
  <c r="U163" i="20"/>
  <c r="T163" i="20" s="1"/>
  <c r="S163" i="20" s="1"/>
  <c r="R163" i="20" s="1"/>
  <c r="P163" i="20" s="1"/>
  <c r="V163" i="20" s="1"/>
  <c r="U165" i="20"/>
  <c r="T165" i="20" s="1"/>
  <c r="U167" i="20"/>
  <c r="T167" i="20" s="1"/>
  <c r="S167" i="20" s="1"/>
  <c r="R167" i="20" s="1"/>
  <c r="P167" i="20" s="1"/>
  <c r="V167" i="20" s="1"/>
  <c r="U169" i="20"/>
  <c r="T169" i="20" s="1"/>
  <c r="U171" i="20"/>
  <c r="T171" i="20" s="1"/>
  <c r="S171" i="20" s="1"/>
  <c r="R171" i="20" s="1"/>
  <c r="P171" i="20" s="1"/>
  <c r="V171" i="20" s="1"/>
  <c r="U173" i="20"/>
  <c r="T173" i="20" s="1"/>
  <c r="S173" i="20" s="1"/>
  <c r="R173" i="20" s="1"/>
  <c r="P173" i="20" s="1"/>
  <c r="V173" i="20" s="1"/>
  <c r="U175" i="20"/>
  <c r="T175" i="20" s="1"/>
  <c r="S175" i="20" s="1"/>
  <c r="R175" i="20" s="1"/>
  <c r="P175" i="20" s="1"/>
  <c r="V175" i="20" s="1"/>
  <c r="U177" i="20"/>
  <c r="T177" i="20" s="1"/>
  <c r="U179" i="20"/>
  <c r="T179" i="20" s="1"/>
  <c r="S179" i="20" s="1"/>
  <c r="R179" i="20" s="1"/>
  <c r="P179" i="20" s="1"/>
  <c r="V179" i="20" s="1"/>
  <c r="U181" i="20"/>
  <c r="T181" i="20" s="1"/>
  <c r="U183" i="20"/>
  <c r="T183" i="20" s="1"/>
  <c r="S183" i="20" s="1"/>
  <c r="R183" i="20" s="1"/>
  <c r="P183" i="20" s="1"/>
  <c r="V183" i="20" s="1"/>
  <c r="U185" i="20"/>
  <c r="T185" i="20" s="1"/>
  <c r="S185" i="20" s="1"/>
  <c r="R185" i="20" s="1"/>
  <c r="P185" i="20" s="1"/>
  <c r="V185" i="20" s="1"/>
  <c r="U187" i="20"/>
  <c r="T187" i="20" s="1"/>
  <c r="S187" i="20" s="1"/>
  <c r="R187" i="20" s="1"/>
  <c r="P187" i="20" s="1"/>
  <c r="V187" i="20" s="1"/>
  <c r="U189" i="20"/>
  <c r="T189" i="20" s="1"/>
  <c r="U191" i="20"/>
  <c r="T191" i="20" s="1"/>
  <c r="S191" i="20" s="1"/>
  <c r="R191" i="20" s="1"/>
  <c r="P191" i="20" s="1"/>
  <c r="V191" i="20" s="1"/>
  <c r="U193" i="20"/>
  <c r="T193" i="20" s="1"/>
  <c r="S193" i="20" s="1"/>
  <c r="R193" i="20" s="1"/>
  <c r="P193" i="20" s="1"/>
  <c r="V193" i="20" s="1"/>
  <c r="U195" i="20"/>
  <c r="T195" i="20" s="1"/>
  <c r="S195" i="20" s="1"/>
  <c r="R195" i="20" s="1"/>
  <c r="P195" i="20" s="1"/>
  <c r="V195" i="20" s="1"/>
  <c r="U197" i="20"/>
  <c r="T197" i="20" s="1"/>
  <c r="S197" i="20" s="1"/>
  <c r="R197" i="20" s="1"/>
  <c r="P197" i="20" s="1"/>
  <c r="V197" i="20" s="1"/>
  <c r="U199" i="20"/>
  <c r="T199" i="20" s="1"/>
  <c r="S199" i="20" s="1"/>
  <c r="R199" i="20" s="1"/>
  <c r="P199" i="20" s="1"/>
  <c r="V199" i="20" s="1"/>
  <c r="U201" i="20"/>
  <c r="T201" i="20" s="1"/>
  <c r="S201" i="20" s="1"/>
  <c r="R201" i="20" s="1"/>
  <c r="P201" i="20" s="1"/>
  <c r="V201" i="20" s="1"/>
  <c r="U203" i="20"/>
  <c r="T203" i="20" s="1"/>
  <c r="S203" i="20" s="1"/>
  <c r="R203" i="20" s="1"/>
  <c r="P203" i="20" s="1"/>
  <c r="V203" i="20" s="1"/>
  <c r="U205" i="20"/>
  <c r="T205" i="20" s="1"/>
  <c r="S205" i="20" s="1"/>
  <c r="R205" i="20" s="1"/>
  <c r="P205" i="20" s="1"/>
  <c r="V205" i="20" s="1"/>
  <c r="U207" i="20"/>
  <c r="T207" i="20" s="1"/>
  <c r="S207" i="20" s="1"/>
  <c r="R207" i="20" s="1"/>
  <c r="P207" i="20" s="1"/>
  <c r="V207" i="20" s="1"/>
  <c r="U209" i="20"/>
  <c r="T209" i="20" s="1"/>
  <c r="S209" i="20" s="1"/>
  <c r="R209" i="20" s="1"/>
  <c r="P209" i="20" s="1"/>
  <c r="V209" i="20" s="1"/>
  <c r="U211" i="20"/>
  <c r="T211" i="20" s="1"/>
  <c r="S211" i="20" s="1"/>
  <c r="R211" i="20" s="1"/>
  <c r="P211" i="20" s="1"/>
  <c r="V211" i="20" s="1"/>
  <c r="U213" i="20"/>
  <c r="T213" i="20" s="1"/>
  <c r="U215" i="20"/>
  <c r="T215" i="20" s="1"/>
  <c r="S215" i="20" s="1"/>
  <c r="R215" i="20" s="1"/>
  <c r="P215" i="20" s="1"/>
  <c r="V215" i="20" s="1"/>
  <c r="U217" i="20"/>
  <c r="T217" i="20" s="1"/>
  <c r="S217" i="20" s="1"/>
  <c r="R217" i="20" s="1"/>
  <c r="P217" i="20" s="1"/>
  <c r="V217" i="20" s="1"/>
  <c r="U219" i="20"/>
  <c r="T219" i="20" s="1"/>
  <c r="S219" i="20" s="1"/>
  <c r="R219" i="20" s="1"/>
  <c r="P219" i="20" s="1"/>
  <c r="V219" i="20" s="1"/>
  <c r="U221" i="20"/>
  <c r="T221" i="20" s="1"/>
  <c r="U223" i="20"/>
  <c r="T223" i="20" s="1"/>
  <c r="S223" i="20" s="1"/>
  <c r="R223" i="20" s="1"/>
  <c r="P223" i="20" s="1"/>
  <c r="V223" i="20" s="1"/>
  <c r="U225" i="20"/>
  <c r="T225" i="20" s="1"/>
  <c r="U227" i="20"/>
  <c r="T227" i="20" s="1"/>
  <c r="S227" i="20" s="1"/>
  <c r="R227" i="20" s="1"/>
  <c r="P227" i="20" s="1"/>
  <c r="V227" i="20" s="1"/>
  <c r="U229" i="20"/>
  <c r="T229" i="20" s="1"/>
  <c r="S229" i="20" s="1"/>
  <c r="R229" i="20" s="1"/>
  <c r="P229" i="20" s="1"/>
  <c r="V229" i="20" s="1"/>
  <c r="U231" i="20"/>
  <c r="T231" i="20" s="1"/>
  <c r="S231" i="20" s="1"/>
  <c r="R231" i="20" s="1"/>
  <c r="P231" i="20" s="1"/>
  <c r="V231" i="20" s="1"/>
  <c r="U233" i="20"/>
  <c r="T233" i="20" s="1"/>
  <c r="S233" i="20" s="1"/>
  <c r="R233" i="20" s="1"/>
  <c r="P233" i="20" s="1"/>
  <c r="V233" i="20" s="1"/>
  <c r="U235" i="20"/>
  <c r="T235" i="20" s="1"/>
  <c r="S235" i="20" s="1"/>
  <c r="R235" i="20" s="1"/>
  <c r="P235" i="20" s="1"/>
  <c r="V235" i="20" s="1"/>
  <c r="U237" i="20"/>
  <c r="T237" i="20" s="1"/>
  <c r="S237" i="20" s="1"/>
  <c r="R237" i="20" s="1"/>
  <c r="P237" i="20" s="1"/>
  <c r="V237" i="20" s="1"/>
  <c r="U239" i="20"/>
  <c r="T239" i="20" s="1"/>
  <c r="S239" i="20" s="1"/>
  <c r="R239" i="20" s="1"/>
  <c r="P239" i="20" s="1"/>
  <c r="V239" i="20" s="1"/>
  <c r="U241" i="20"/>
  <c r="T241" i="20" s="1"/>
  <c r="S241" i="20" s="1"/>
  <c r="R241" i="20" s="1"/>
  <c r="P241" i="20" s="1"/>
  <c r="V241" i="20" s="1"/>
  <c r="U243" i="20"/>
  <c r="T243" i="20" s="1"/>
  <c r="S243" i="20" s="1"/>
  <c r="R243" i="20" s="1"/>
  <c r="P243" i="20" s="1"/>
  <c r="V243" i="20" s="1"/>
  <c r="U245" i="20"/>
  <c r="T245" i="20" s="1"/>
  <c r="S245" i="20" s="1"/>
  <c r="R245" i="20" s="1"/>
  <c r="P245" i="20" s="1"/>
  <c r="V245" i="20" s="1"/>
  <c r="U247" i="20"/>
  <c r="T247" i="20" s="1"/>
  <c r="S247" i="20" s="1"/>
  <c r="R247" i="20" s="1"/>
  <c r="P247" i="20" s="1"/>
  <c r="V247" i="20" s="1"/>
  <c r="U249" i="20"/>
  <c r="T249" i="20" s="1"/>
  <c r="U251" i="20"/>
  <c r="T251" i="20" s="1"/>
  <c r="S251" i="20" s="1"/>
  <c r="R251" i="20" s="1"/>
  <c r="P251" i="20" s="1"/>
  <c r="V251" i="20" s="1"/>
  <c r="U253" i="20"/>
  <c r="T253" i="20" s="1"/>
  <c r="S253" i="20" s="1"/>
  <c r="R253" i="20" s="1"/>
  <c r="P253" i="20" s="1"/>
  <c r="V253" i="20" s="1"/>
  <c r="U255" i="20"/>
  <c r="T255" i="20" s="1"/>
  <c r="S255" i="20" s="1"/>
  <c r="R255" i="20" s="1"/>
  <c r="P255" i="20" s="1"/>
  <c r="V255" i="20" s="1"/>
  <c r="U257" i="20"/>
  <c r="T257" i="20" s="1"/>
  <c r="S257" i="20" s="1"/>
  <c r="R257" i="20" s="1"/>
  <c r="P257" i="20" s="1"/>
  <c r="V257" i="20" s="1"/>
  <c r="U259" i="20"/>
  <c r="T259" i="20" s="1"/>
  <c r="S259" i="20" s="1"/>
  <c r="R259" i="20" s="1"/>
  <c r="P259" i="20" s="1"/>
  <c r="V259" i="20" s="1"/>
  <c r="U261" i="20"/>
  <c r="T261" i="20" s="1"/>
  <c r="S261" i="20" s="1"/>
  <c r="R261" i="20" s="1"/>
  <c r="P261" i="20" s="1"/>
  <c r="V261" i="20" s="1"/>
  <c r="U263" i="20"/>
  <c r="T263" i="20" s="1"/>
  <c r="S263" i="20" s="1"/>
  <c r="R263" i="20" s="1"/>
  <c r="P263" i="20" s="1"/>
  <c r="V263" i="20" s="1"/>
  <c r="U265" i="20"/>
  <c r="T265" i="20" s="1"/>
  <c r="S265" i="20" s="1"/>
  <c r="R265" i="20" s="1"/>
  <c r="P265" i="20" s="1"/>
  <c r="V265" i="20" s="1"/>
  <c r="U267" i="20"/>
  <c r="T267" i="20" s="1"/>
  <c r="S267" i="20" s="1"/>
  <c r="R267" i="20" s="1"/>
  <c r="P267" i="20" s="1"/>
  <c r="V267" i="20" s="1"/>
  <c r="U269" i="20"/>
  <c r="T269" i="20" s="1"/>
  <c r="U271" i="20"/>
  <c r="T271" i="20" s="1"/>
  <c r="S271" i="20" s="1"/>
  <c r="R271" i="20" s="1"/>
  <c r="P271" i="20" s="1"/>
  <c r="V271" i="20" s="1"/>
  <c r="U273" i="20"/>
  <c r="T273" i="20" s="1"/>
  <c r="U275" i="20"/>
  <c r="T275" i="20" s="1"/>
  <c r="S275" i="20" s="1"/>
  <c r="R275" i="20" s="1"/>
  <c r="P275" i="20" s="1"/>
  <c r="V275" i="20" s="1"/>
  <c r="U277" i="20"/>
  <c r="T277" i="20" s="1"/>
  <c r="S277" i="20" s="1"/>
  <c r="R277" i="20" s="1"/>
  <c r="P277" i="20" s="1"/>
  <c r="V277" i="20" s="1"/>
  <c r="U279" i="20"/>
  <c r="T279" i="20" s="1"/>
  <c r="S279" i="20" s="1"/>
  <c r="R279" i="20" s="1"/>
  <c r="P279" i="20" s="1"/>
  <c r="V279" i="20" s="1"/>
  <c r="U281" i="20"/>
  <c r="T281" i="20" s="1"/>
  <c r="S281" i="20" s="1"/>
  <c r="R281" i="20" s="1"/>
  <c r="P281" i="20" s="1"/>
  <c r="V281" i="20" s="1"/>
  <c r="U283" i="20"/>
  <c r="T283" i="20" s="1"/>
  <c r="S283" i="20" s="1"/>
  <c r="R283" i="20" s="1"/>
  <c r="P283" i="20" s="1"/>
  <c r="V283" i="20" s="1"/>
  <c r="U285" i="20"/>
  <c r="T285" i="20" s="1"/>
  <c r="S285" i="20" s="1"/>
  <c r="R285" i="20" s="1"/>
  <c r="P285" i="20" s="1"/>
  <c r="V285" i="20" s="1"/>
  <c r="U287" i="20"/>
  <c r="T287" i="20" s="1"/>
  <c r="S287" i="20" s="1"/>
  <c r="R287" i="20" s="1"/>
  <c r="P287" i="20" s="1"/>
  <c r="V287" i="20" s="1"/>
  <c r="U289" i="20"/>
  <c r="T289" i="20" s="1"/>
  <c r="U291" i="20"/>
  <c r="T291" i="20" s="1"/>
  <c r="S291" i="20" s="1"/>
  <c r="R291" i="20" s="1"/>
  <c r="P291" i="20" s="1"/>
  <c r="V291" i="20" s="1"/>
  <c r="U293" i="20"/>
  <c r="T293" i="20" s="1"/>
  <c r="S293" i="20" s="1"/>
  <c r="R293" i="20" s="1"/>
  <c r="P293" i="20" s="1"/>
  <c r="V293" i="20" s="1"/>
  <c r="U295" i="20"/>
  <c r="T295" i="20" s="1"/>
  <c r="S295" i="20" s="1"/>
  <c r="R295" i="20" s="1"/>
  <c r="P295" i="20" s="1"/>
  <c r="V295" i="20" s="1"/>
  <c r="U297" i="20"/>
  <c r="T297" i="20" s="1"/>
  <c r="S297" i="20" s="1"/>
  <c r="R297" i="20" s="1"/>
  <c r="P297" i="20" s="1"/>
  <c r="V297" i="20" s="1"/>
  <c r="U299" i="20"/>
  <c r="T299" i="20" s="1"/>
  <c r="S299" i="20" s="1"/>
  <c r="R299" i="20" s="1"/>
  <c r="P299" i="20" s="1"/>
  <c r="V299" i="20" s="1"/>
  <c r="U301" i="20"/>
  <c r="T301" i="20" s="1"/>
  <c r="S301" i="20" s="1"/>
  <c r="R301" i="20" s="1"/>
  <c r="P301" i="20" s="1"/>
  <c r="V301" i="20" s="1"/>
  <c r="U303" i="20"/>
  <c r="T303" i="20" s="1"/>
  <c r="S303" i="20" s="1"/>
  <c r="R303" i="20" s="1"/>
  <c r="P303" i="20" s="1"/>
  <c r="V303" i="20" s="1"/>
  <c r="U305" i="20"/>
  <c r="T305" i="20" s="1"/>
  <c r="S305" i="20" s="1"/>
  <c r="R305" i="20" s="1"/>
  <c r="P305" i="20" s="1"/>
  <c r="V305" i="20" s="1"/>
  <c r="U307" i="20"/>
  <c r="T307" i="20" s="1"/>
  <c r="S307" i="20" s="1"/>
  <c r="R307" i="20" s="1"/>
  <c r="P307" i="20" s="1"/>
  <c r="V307" i="20" s="1"/>
  <c r="U309" i="20"/>
  <c r="T309" i="20" s="1"/>
  <c r="S309" i="20" s="1"/>
  <c r="R309" i="20" s="1"/>
  <c r="P309" i="20" s="1"/>
  <c r="V309" i="20" s="1"/>
  <c r="U311" i="20"/>
  <c r="T311" i="20" s="1"/>
  <c r="S311" i="20" s="1"/>
  <c r="R311" i="20" s="1"/>
  <c r="P311" i="20" s="1"/>
  <c r="V311" i="20" s="1"/>
  <c r="U313" i="20"/>
  <c r="T313" i="20" s="1"/>
  <c r="S313" i="20" s="1"/>
  <c r="R313" i="20" s="1"/>
  <c r="P313" i="20" s="1"/>
  <c r="V313" i="20" s="1"/>
  <c r="U315" i="20"/>
  <c r="T315" i="20" s="1"/>
  <c r="S315" i="20" s="1"/>
  <c r="R315" i="20" s="1"/>
  <c r="P315" i="20" s="1"/>
  <c r="V315" i="20" s="1"/>
  <c r="U317" i="20"/>
  <c r="T317" i="20" s="1"/>
  <c r="S317" i="20" s="1"/>
  <c r="R317" i="20" s="1"/>
  <c r="P317" i="20" s="1"/>
  <c r="V317" i="20" s="1"/>
  <c r="U319" i="20"/>
  <c r="T319" i="20" s="1"/>
  <c r="S319" i="20" s="1"/>
  <c r="R319" i="20" s="1"/>
  <c r="P319" i="20" s="1"/>
  <c r="V319" i="20" s="1"/>
  <c r="U321" i="20"/>
  <c r="T321" i="20" s="1"/>
  <c r="U323" i="20"/>
  <c r="T323" i="20" s="1"/>
  <c r="S323" i="20" s="1"/>
  <c r="R323" i="20" s="1"/>
  <c r="P323" i="20" s="1"/>
  <c r="V323" i="20" s="1"/>
  <c r="U325" i="20"/>
  <c r="T325" i="20" s="1"/>
  <c r="U327" i="20"/>
  <c r="T327" i="20" s="1"/>
  <c r="S327" i="20" s="1"/>
  <c r="R327" i="20" s="1"/>
  <c r="P327" i="20" s="1"/>
  <c r="V327" i="20" s="1"/>
  <c r="U329" i="20"/>
  <c r="T329" i="20" s="1"/>
  <c r="S329" i="20" s="1"/>
  <c r="R329" i="20" s="1"/>
  <c r="P329" i="20" s="1"/>
  <c r="V329" i="20" s="1"/>
  <c r="U331" i="20"/>
  <c r="T331" i="20" s="1"/>
  <c r="S331" i="20" s="1"/>
  <c r="R331" i="20" s="1"/>
  <c r="P331" i="20" s="1"/>
  <c r="V331" i="20" s="1"/>
  <c r="U333" i="20"/>
  <c r="T333" i="20" s="1"/>
  <c r="S333" i="20" s="1"/>
  <c r="R333" i="20" s="1"/>
  <c r="P333" i="20" s="1"/>
  <c r="V333" i="20" s="1"/>
  <c r="U335" i="20"/>
  <c r="T335" i="20" s="1"/>
  <c r="S335" i="20" s="1"/>
  <c r="R335" i="20" s="1"/>
  <c r="P335" i="20" s="1"/>
  <c r="V335" i="20" s="1"/>
  <c r="U337" i="20"/>
  <c r="T337" i="20" s="1"/>
  <c r="S337" i="20" s="1"/>
  <c r="R337" i="20" s="1"/>
  <c r="P337" i="20" s="1"/>
  <c r="V337" i="20" s="1"/>
  <c r="U339" i="20"/>
  <c r="T339" i="20" s="1"/>
  <c r="S339" i="20" s="1"/>
  <c r="R339" i="20" s="1"/>
  <c r="P339" i="20" s="1"/>
  <c r="V339" i="20" s="1"/>
  <c r="U341" i="20"/>
  <c r="T341" i="20" s="1"/>
  <c r="S341" i="20" s="1"/>
  <c r="R341" i="20" s="1"/>
  <c r="P341" i="20" s="1"/>
  <c r="V341" i="20" s="1"/>
  <c r="U343" i="20"/>
  <c r="T343" i="20" s="1"/>
  <c r="S343" i="20" s="1"/>
  <c r="R343" i="20" s="1"/>
  <c r="P343" i="20" s="1"/>
  <c r="V343" i="20" s="1"/>
  <c r="U345" i="20"/>
  <c r="T345" i="20" s="1"/>
  <c r="U347" i="20"/>
  <c r="T347" i="20" s="1"/>
  <c r="S347" i="20" s="1"/>
  <c r="R347" i="20" s="1"/>
  <c r="P347" i="20" s="1"/>
  <c r="V347" i="20" s="1"/>
  <c r="U349" i="20"/>
  <c r="T349" i="20" s="1"/>
  <c r="U351" i="20"/>
  <c r="T351" i="20" s="1"/>
  <c r="S351" i="20" s="1"/>
  <c r="R351" i="20" s="1"/>
  <c r="P351" i="20" s="1"/>
  <c r="V351" i="20" s="1"/>
  <c r="U353" i="20"/>
  <c r="T353" i="20" s="1"/>
  <c r="S353" i="20" s="1"/>
  <c r="R353" i="20" s="1"/>
  <c r="P353" i="20" s="1"/>
  <c r="V353" i="20" s="1"/>
  <c r="U355" i="20"/>
  <c r="T355" i="20" s="1"/>
  <c r="S355" i="20" s="1"/>
  <c r="R355" i="20" s="1"/>
  <c r="P355" i="20" s="1"/>
  <c r="V355" i="20" s="1"/>
  <c r="U357" i="20"/>
  <c r="T357" i="20" s="1"/>
  <c r="U359" i="20"/>
  <c r="T359" i="20" s="1"/>
  <c r="S359" i="20" s="1"/>
  <c r="R359" i="20" s="1"/>
  <c r="P359" i="20" s="1"/>
  <c r="V359" i="20" s="1"/>
  <c r="U361" i="20"/>
  <c r="T361" i="20" s="1"/>
  <c r="S361" i="20" s="1"/>
  <c r="R361" i="20" s="1"/>
  <c r="P361" i="20" s="1"/>
  <c r="V361" i="20" s="1"/>
  <c r="U363" i="20"/>
  <c r="T363" i="20" s="1"/>
  <c r="S363" i="20" s="1"/>
  <c r="R363" i="20" s="1"/>
  <c r="P363" i="20" s="1"/>
  <c r="AH31" i="7" s="1"/>
  <c r="U365" i="20"/>
  <c r="T365" i="20" s="1"/>
  <c r="U367" i="20"/>
  <c r="T367" i="20" s="1"/>
  <c r="S367" i="20" s="1"/>
  <c r="R367" i="20" s="1"/>
  <c r="P367" i="20" s="1"/>
  <c r="V367" i="20" s="1"/>
  <c r="U369" i="20"/>
  <c r="T369" i="20" s="1"/>
  <c r="U371" i="20"/>
  <c r="T371" i="20" s="1"/>
  <c r="S371" i="20" s="1"/>
  <c r="R371" i="20" s="1"/>
  <c r="P371" i="20" s="1"/>
  <c r="V371" i="20" s="1"/>
  <c r="U373" i="20"/>
  <c r="T373" i="20" s="1"/>
  <c r="U375" i="20"/>
  <c r="T375" i="20" s="1"/>
  <c r="S375" i="20" s="1"/>
  <c r="R375" i="20" s="1"/>
  <c r="P375" i="20" s="1"/>
  <c r="V375" i="20" s="1"/>
  <c r="U377" i="20"/>
  <c r="T377" i="20" s="1"/>
  <c r="S377" i="20" s="1"/>
  <c r="R377" i="20" s="1"/>
  <c r="P377" i="20" s="1"/>
  <c r="V377" i="20" s="1"/>
  <c r="U379" i="20"/>
  <c r="U27" i="20"/>
  <c r="T27" i="20" s="1"/>
  <c r="S27" i="20" s="1"/>
  <c r="R27" i="20" s="1"/>
  <c r="P27" i="20" s="1"/>
  <c r="V27" i="20" s="1"/>
  <c r="U43" i="20"/>
  <c r="T43" i="20" s="1"/>
  <c r="S43" i="20" s="1"/>
  <c r="R43" i="20" s="1"/>
  <c r="P43" i="20" s="1"/>
  <c r="V43" i="20" s="1"/>
  <c r="U53" i="20"/>
  <c r="T53" i="20" s="1"/>
  <c r="S53" i="20" s="1"/>
  <c r="R53" i="20" s="1"/>
  <c r="P53" i="20" s="1"/>
  <c r="V53" i="20" s="1"/>
  <c r="U61" i="20"/>
  <c r="T61" i="20" s="1"/>
  <c r="S61" i="20" s="1"/>
  <c r="R61" i="20" s="1"/>
  <c r="P61" i="20" s="1"/>
  <c r="V61" i="20" s="1"/>
  <c r="U69" i="20"/>
  <c r="T69" i="20" s="1"/>
  <c r="S69" i="20" s="1"/>
  <c r="R69" i="20" s="1"/>
  <c r="P69" i="20" s="1"/>
  <c r="V69" i="20" s="1"/>
  <c r="U77" i="20"/>
  <c r="T77" i="20" s="1"/>
  <c r="U85" i="20"/>
  <c r="T85" i="20" s="1"/>
  <c r="U93" i="20"/>
  <c r="T93" i="20" s="1"/>
  <c r="U101" i="20"/>
  <c r="T101" i="20" s="1"/>
  <c r="S101" i="20" s="1"/>
  <c r="R101" i="20" s="1"/>
  <c r="P101" i="20" s="1"/>
  <c r="V101" i="20" s="1"/>
  <c r="U109" i="20"/>
  <c r="T109" i="20" s="1"/>
  <c r="S109" i="20" s="1"/>
  <c r="R109" i="20" s="1"/>
  <c r="P109" i="20" s="1"/>
  <c r="V109" i="20" s="1"/>
  <c r="U117" i="20"/>
  <c r="T117" i="20" s="1"/>
  <c r="U125" i="20"/>
  <c r="T125" i="20" s="1"/>
  <c r="S125" i="20" s="1"/>
  <c r="R125" i="20" s="1"/>
  <c r="P125" i="20" s="1"/>
  <c r="V125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256" i="20"/>
  <c r="T256" i="20" s="1"/>
  <c r="S256" i="20" s="1"/>
  <c r="R256" i="20" s="1"/>
  <c r="P256" i="20" s="1"/>
  <c r="V256" i="20" s="1"/>
  <c r="U260" i="20"/>
  <c r="T260" i="20" s="1"/>
  <c r="S260" i="20" s="1"/>
  <c r="R260" i="20" s="1"/>
  <c r="P260" i="20" s="1"/>
  <c r="V260" i="20" s="1"/>
  <c r="U264" i="20"/>
  <c r="T264" i="20" s="1"/>
  <c r="S264" i="20" s="1"/>
  <c r="R264" i="20" s="1"/>
  <c r="P264" i="20" s="1"/>
  <c r="V264" i="20" s="1"/>
  <c r="U268" i="20"/>
  <c r="T268" i="20" s="1"/>
  <c r="S268" i="20" s="1"/>
  <c r="R268" i="20" s="1"/>
  <c r="P268" i="20" s="1"/>
  <c r="V268" i="20" s="1"/>
  <c r="U272" i="20"/>
  <c r="T272" i="20" s="1"/>
  <c r="S272" i="20" s="1"/>
  <c r="R272" i="20" s="1"/>
  <c r="P272" i="20" s="1"/>
  <c r="AH28" i="7" s="1"/>
  <c r="U276" i="20"/>
  <c r="T276" i="20" s="1"/>
  <c r="S276" i="20" s="1"/>
  <c r="R276" i="20" s="1"/>
  <c r="P276" i="20" s="1"/>
  <c r="V276" i="20" s="1"/>
  <c r="U280" i="20"/>
  <c r="T280" i="20" s="1"/>
  <c r="S280" i="20" s="1"/>
  <c r="R280" i="20" s="1"/>
  <c r="P280" i="20" s="1"/>
  <c r="V280" i="20" s="1"/>
  <c r="U284" i="20"/>
  <c r="T284" i="20" s="1"/>
  <c r="S284" i="20" s="1"/>
  <c r="R284" i="20" s="1"/>
  <c r="P284" i="20" s="1"/>
  <c r="V284" i="20" s="1"/>
  <c r="U288" i="20"/>
  <c r="T288" i="20" s="1"/>
  <c r="S288" i="20" s="1"/>
  <c r="R288" i="20" s="1"/>
  <c r="P288" i="20" s="1"/>
  <c r="V288" i="20" s="1"/>
  <c r="U292" i="20"/>
  <c r="T292" i="20" s="1"/>
  <c r="S292" i="20" s="1"/>
  <c r="R292" i="20" s="1"/>
  <c r="P292" i="20" s="1"/>
  <c r="V292" i="20" s="1"/>
  <c r="U296" i="20"/>
  <c r="T296" i="20" s="1"/>
  <c r="S296" i="20" s="1"/>
  <c r="R296" i="20" s="1"/>
  <c r="P296" i="20" s="1"/>
  <c r="V296" i="20" s="1"/>
  <c r="U300" i="20"/>
  <c r="T300" i="20" s="1"/>
  <c r="S300" i="20" s="1"/>
  <c r="R300" i="20" s="1"/>
  <c r="P300" i="20" s="1"/>
  <c r="V300" i="20" s="1"/>
  <c r="U304" i="20"/>
  <c r="T304" i="20" s="1"/>
  <c r="S304" i="20" s="1"/>
  <c r="R304" i="20" s="1"/>
  <c r="P304" i="20" s="1"/>
  <c r="V304" i="20" s="1"/>
  <c r="U308" i="20"/>
  <c r="T308" i="20" s="1"/>
  <c r="S308" i="20" s="1"/>
  <c r="R308" i="20" s="1"/>
  <c r="P308" i="20" s="1"/>
  <c r="V308" i="20" s="1"/>
  <c r="U312" i="20"/>
  <c r="T312" i="20" s="1"/>
  <c r="S312" i="20" s="1"/>
  <c r="R312" i="20" s="1"/>
  <c r="P312" i="20" s="1"/>
  <c r="V312" i="20" s="1"/>
  <c r="U316" i="20"/>
  <c r="T316" i="20" s="1"/>
  <c r="S316" i="20" s="1"/>
  <c r="R316" i="20" s="1"/>
  <c r="P316" i="20" s="1"/>
  <c r="V316" i="20" s="1"/>
  <c r="U320" i="20"/>
  <c r="T320" i="20" s="1"/>
  <c r="S320" i="20" s="1"/>
  <c r="R320" i="20" s="1"/>
  <c r="P320" i="20" s="1"/>
  <c r="V320" i="20" s="1"/>
  <c r="U324" i="20"/>
  <c r="T324" i="20" s="1"/>
  <c r="S324" i="20" s="1"/>
  <c r="R324" i="20" s="1"/>
  <c r="P324" i="20" s="1"/>
  <c r="V324" i="20" s="1"/>
  <c r="U328" i="20"/>
  <c r="T328" i="20" s="1"/>
  <c r="S328" i="20" s="1"/>
  <c r="R328" i="20" s="1"/>
  <c r="P328" i="20" s="1"/>
  <c r="V328" i="20" s="1"/>
  <c r="U332" i="20"/>
  <c r="T332" i="20" s="1"/>
  <c r="S332" i="20" s="1"/>
  <c r="R332" i="20" s="1"/>
  <c r="P332" i="20" s="1"/>
  <c r="V332" i="20" s="1"/>
  <c r="U336" i="20"/>
  <c r="T336" i="20" s="1"/>
  <c r="S336" i="20" s="1"/>
  <c r="R336" i="20" s="1"/>
  <c r="P336" i="20" s="1"/>
  <c r="V336" i="20" s="1"/>
  <c r="U340" i="20"/>
  <c r="T340" i="20" s="1"/>
  <c r="S340" i="20" s="1"/>
  <c r="R340" i="20" s="1"/>
  <c r="P340" i="20" s="1"/>
  <c r="V340" i="20" s="1"/>
  <c r="U344" i="20"/>
  <c r="T344" i="20" s="1"/>
  <c r="S344" i="20" s="1"/>
  <c r="R344" i="20" s="1"/>
  <c r="P344" i="20" s="1"/>
  <c r="V344" i="20" s="1"/>
  <c r="U348" i="20"/>
  <c r="T348" i="20" s="1"/>
  <c r="S348" i="20" s="1"/>
  <c r="R348" i="20" s="1"/>
  <c r="P348" i="20" s="1"/>
  <c r="V348" i="20" s="1"/>
  <c r="U352" i="20"/>
  <c r="T352" i="20" s="1"/>
  <c r="S352" i="20" s="1"/>
  <c r="R352" i="20" s="1"/>
  <c r="P352" i="20" s="1"/>
  <c r="V352" i="20" s="1"/>
  <c r="U356" i="20"/>
  <c r="T356" i="20" s="1"/>
  <c r="S356" i="20" s="1"/>
  <c r="R356" i="20" s="1"/>
  <c r="P356" i="20" s="1"/>
  <c r="V356" i="20" s="1"/>
  <c r="U360" i="20"/>
  <c r="T360" i="20" s="1"/>
  <c r="S360" i="20" s="1"/>
  <c r="R360" i="20" s="1"/>
  <c r="P360" i="20" s="1"/>
  <c r="V360" i="20" s="1"/>
  <c r="U364" i="20"/>
  <c r="T364" i="20" s="1"/>
  <c r="S364" i="20" s="1"/>
  <c r="R364" i="20" s="1"/>
  <c r="P364" i="20" s="1"/>
  <c r="V364" i="20" s="1"/>
  <c r="U368" i="20"/>
  <c r="T368" i="20" s="1"/>
  <c r="S368" i="20" s="1"/>
  <c r="R368" i="20" s="1"/>
  <c r="P368" i="20" s="1"/>
  <c r="V368" i="20" s="1"/>
  <c r="U372" i="20"/>
  <c r="T372" i="20" s="1"/>
  <c r="S372" i="20" s="1"/>
  <c r="R372" i="20" s="1"/>
  <c r="P372" i="20" s="1"/>
  <c r="V372" i="20" s="1"/>
  <c r="U376" i="20"/>
  <c r="T376" i="20" s="1"/>
  <c r="S376" i="20" s="1"/>
  <c r="R376" i="20" s="1"/>
  <c r="P376" i="20" s="1"/>
  <c r="V376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8" i="20"/>
  <c r="AH78" i="20" s="1"/>
  <c r="AG78" i="20" s="1"/>
  <c r="AF78" i="20" s="1"/>
  <c r="AD78" i="20" s="1"/>
  <c r="AI70" i="20"/>
  <c r="AH70" i="20" s="1"/>
  <c r="AG70" i="20" s="1"/>
  <c r="AF70" i="20" s="1"/>
  <c r="AD70" i="20" s="1"/>
  <c r="AI62" i="20"/>
  <c r="AH62" i="20" s="1"/>
  <c r="AG62" i="20" s="1"/>
  <c r="AF62" i="20" s="1"/>
  <c r="AD62" i="20" s="1"/>
  <c r="AI54" i="20"/>
  <c r="AH54" i="20" s="1"/>
  <c r="AI46" i="20"/>
  <c r="AH46" i="20" s="1"/>
  <c r="AG46" i="20" s="1"/>
  <c r="AF46" i="20" s="1"/>
  <c r="AD46" i="20" s="1"/>
  <c r="AI38" i="20"/>
  <c r="AH38" i="20" s="1"/>
  <c r="AG38" i="20" s="1"/>
  <c r="AF38" i="20" s="1"/>
  <c r="AD38" i="20" s="1"/>
  <c r="AI30" i="20"/>
  <c r="AH30" i="20" s="1"/>
  <c r="AG30" i="20" s="1"/>
  <c r="AF30" i="20" s="1"/>
  <c r="AD30" i="20" s="1"/>
  <c r="AI22" i="20"/>
  <c r="AH22" i="20" s="1"/>
  <c r="AG22" i="20" s="1"/>
  <c r="AF22" i="20" s="1"/>
  <c r="AD22" i="20" s="1"/>
  <c r="U35" i="20"/>
  <c r="T35" i="20" s="1"/>
  <c r="S35" i="20" s="1"/>
  <c r="R35" i="20" s="1"/>
  <c r="P35" i="20" s="1"/>
  <c r="V35" i="20" s="1"/>
  <c r="U57" i="20"/>
  <c r="T57" i="20" s="1"/>
  <c r="U73" i="20"/>
  <c r="T73" i="20" s="1"/>
  <c r="S73" i="20" s="1"/>
  <c r="R73" i="20" s="1"/>
  <c r="P73" i="20" s="1"/>
  <c r="V73" i="20" s="1"/>
  <c r="U89" i="20"/>
  <c r="T89" i="20" s="1"/>
  <c r="U105" i="20"/>
  <c r="T105" i="20" s="1"/>
  <c r="S105" i="20" s="1"/>
  <c r="R105" i="20" s="1"/>
  <c r="P105" i="20" s="1"/>
  <c r="V105" i="20" s="1"/>
  <c r="U121" i="20"/>
  <c r="T121" i="20" s="1"/>
  <c r="S121" i="20" s="1"/>
  <c r="R121" i="20" s="1"/>
  <c r="P121" i="20" s="1"/>
  <c r="V121" i="20" s="1"/>
  <c r="U134" i="20"/>
  <c r="T134" i="20" s="1"/>
  <c r="S134" i="20" s="1"/>
  <c r="R134" i="20" s="1"/>
  <c r="P134" i="20" s="1"/>
  <c r="V134" i="20" s="1"/>
  <c r="U142" i="20"/>
  <c r="T142" i="20" s="1"/>
  <c r="S142" i="20" s="1"/>
  <c r="R142" i="20" s="1"/>
  <c r="P142" i="20" s="1"/>
  <c r="V142" i="20" s="1"/>
  <c r="U150" i="20"/>
  <c r="T150" i="20" s="1"/>
  <c r="S150" i="20" s="1"/>
  <c r="R150" i="20" s="1"/>
  <c r="P150" i="20" s="1"/>
  <c r="V150" i="20" s="1"/>
  <c r="U158" i="20"/>
  <c r="T158" i="20" s="1"/>
  <c r="S158" i="20" s="1"/>
  <c r="R158" i="20" s="1"/>
  <c r="P158" i="20" s="1"/>
  <c r="V158" i="20" s="1"/>
  <c r="U166" i="20"/>
  <c r="T166" i="20" s="1"/>
  <c r="S166" i="20" s="1"/>
  <c r="R166" i="20" s="1"/>
  <c r="P166" i="20" s="1"/>
  <c r="V166" i="20" s="1"/>
  <c r="U174" i="20"/>
  <c r="T174" i="20" s="1"/>
  <c r="S174" i="20" s="1"/>
  <c r="R174" i="20" s="1"/>
  <c r="P174" i="20" s="1"/>
  <c r="V174" i="20" s="1"/>
  <c r="U182" i="20"/>
  <c r="T182" i="20" s="1"/>
  <c r="S182" i="20" s="1"/>
  <c r="R182" i="20" s="1"/>
  <c r="P182" i="20" s="1"/>
  <c r="V182" i="20" s="1"/>
  <c r="U190" i="20"/>
  <c r="T190" i="20" s="1"/>
  <c r="S190" i="20" s="1"/>
  <c r="R190" i="20" s="1"/>
  <c r="P190" i="20" s="1"/>
  <c r="V190" i="20" s="1"/>
  <c r="U198" i="20"/>
  <c r="T198" i="20" s="1"/>
  <c r="S198" i="20" s="1"/>
  <c r="R198" i="20" s="1"/>
  <c r="P198" i="20" s="1"/>
  <c r="V198" i="20" s="1"/>
  <c r="U206" i="20"/>
  <c r="T206" i="20" s="1"/>
  <c r="S206" i="20" s="1"/>
  <c r="R206" i="20" s="1"/>
  <c r="P206" i="20" s="1"/>
  <c r="V206" i="20" s="1"/>
  <c r="U214" i="20"/>
  <c r="T214" i="20" s="1"/>
  <c r="S214" i="20" s="1"/>
  <c r="R214" i="20" s="1"/>
  <c r="P214" i="20" s="1"/>
  <c r="V214" i="20" s="1"/>
  <c r="U222" i="20"/>
  <c r="T222" i="20" s="1"/>
  <c r="S222" i="20" s="1"/>
  <c r="R222" i="20" s="1"/>
  <c r="P222" i="20" s="1"/>
  <c r="V222" i="20" s="1"/>
  <c r="U230" i="20"/>
  <c r="T230" i="20" s="1"/>
  <c r="S230" i="20" s="1"/>
  <c r="R230" i="20" s="1"/>
  <c r="P230" i="20" s="1"/>
  <c r="V230" i="20" s="1"/>
  <c r="U238" i="20"/>
  <c r="T238" i="20" s="1"/>
  <c r="S238" i="20" s="1"/>
  <c r="R238" i="20" s="1"/>
  <c r="P238" i="20" s="1"/>
  <c r="V238" i="20" s="1"/>
  <c r="U246" i="20"/>
  <c r="T246" i="20" s="1"/>
  <c r="S246" i="20" s="1"/>
  <c r="R246" i="20" s="1"/>
  <c r="P246" i="20" s="1"/>
  <c r="V246" i="20" s="1"/>
  <c r="U254" i="20"/>
  <c r="T254" i="20" s="1"/>
  <c r="S254" i="20" s="1"/>
  <c r="R254" i="20" s="1"/>
  <c r="P254" i="20" s="1"/>
  <c r="V254" i="20" s="1"/>
  <c r="U262" i="20"/>
  <c r="T262" i="20" s="1"/>
  <c r="S262" i="20" s="1"/>
  <c r="R262" i="20" s="1"/>
  <c r="P262" i="20" s="1"/>
  <c r="V262" i="20" s="1"/>
  <c r="U270" i="20"/>
  <c r="T270" i="20" s="1"/>
  <c r="S270" i="20" s="1"/>
  <c r="R270" i="20" s="1"/>
  <c r="P270" i="20" s="1"/>
  <c r="V270" i="20" s="1"/>
  <c r="U278" i="20"/>
  <c r="T278" i="20" s="1"/>
  <c r="S278" i="20" s="1"/>
  <c r="R278" i="20" s="1"/>
  <c r="P278" i="20" s="1"/>
  <c r="V278" i="20" s="1"/>
  <c r="U286" i="20"/>
  <c r="T286" i="20" s="1"/>
  <c r="S286" i="20" s="1"/>
  <c r="R286" i="20" s="1"/>
  <c r="P286" i="20" s="1"/>
  <c r="V286" i="20" s="1"/>
  <c r="U294" i="20"/>
  <c r="T294" i="20" s="1"/>
  <c r="S294" i="20" s="1"/>
  <c r="R294" i="20" s="1"/>
  <c r="P294" i="20" s="1"/>
  <c r="V294" i="20" s="1"/>
  <c r="U302" i="20"/>
  <c r="T302" i="20" s="1"/>
  <c r="S302" i="20" s="1"/>
  <c r="R302" i="20" s="1"/>
  <c r="P302" i="20" s="1"/>
  <c r="AH29" i="7" s="1"/>
  <c r="U310" i="20"/>
  <c r="T310" i="20" s="1"/>
  <c r="S310" i="20" s="1"/>
  <c r="R310" i="20" s="1"/>
  <c r="P310" i="20" s="1"/>
  <c r="V310" i="20" s="1"/>
  <c r="U318" i="20"/>
  <c r="T318" i="20" s="1"/>
  <c r="S318" i="20" s="1"/>
  <c r="R318" i="20" s="1"/>
  <c r="P318" i="20" s="1"/>
  <c r="V318" i="20" s="1"/>
  <c r="U326" i="20"/>
  <c r="T326" i="20" s="1"/>
  <c r="S326" i="20" s="1"/>
  <c r="R326" i="20" s="1"/>
  <c r="P326" i="20" s="1"/>
  <c r="V326" i="20" s="1"/>
  <c r="U334" i="20"/>
  <c r="T334" i="20" s="1"/>
  <c r="S334" i="20" s="1"/>
  <c r="R334" i="20" s="1"/>
  <c r="P334" i="20" s="1"/>
  <c r="V334" i="20" s="1"/>
  <c r="U342" i="20"/>
  <c r="T342" i="20" s="1"/>
  <c r="S342" i="20" s="1"/>
  <c r="R342" i="20" s="1"/>
  <c r="P342" i="20" s="1"/>
  <c r="V342" i="20" s="1"/>
  <c r="U350" i="20"/>
  <c r="T350" i="20" s="1"/>
  <c r="S350" i="20" s="1"/>
  <c r="R350" i="20" s="1"/>
  <c r="P350" i="20" s="1"/>
  <c r="V350" i="20" s="1"/>
  <c r="U358" i="20"/>
  <c r="T358" i="20" s="1"/>
  <c r="S358" i="20" s="1"/>
  <c r="R358" i="20" s="1"/>
  <c r="P358" i="20" s="1"/>
  <c r="V358" i="20" s="1"/>
  <c r="U366" i="20"/>
  <c r="T366" i="20" s="1"/>
  <c r="S366" i="20" s="1"/>
  <c r="R366" i="20" s="1"/>
  <c r="P366" i="20" s="1"/>
  <c r="V366" i="20" s="1"/>
  <c r="U374" i="20"/>
  <c r="T374" i="20" s="1"/>
  <c r="S374" i="20" s="1"/>
  <c r="R374" i="20" s="1"/>
  <c r="P374" i="20" s="1"/>
  <c r="V374" i="20" s="1"/>
  <c r="AI94" i="20"/>
  <c r="AH94" i="20" s="1"/>
  <c r="AG94" i="20" s="1"/>
  <c r="AF94" i="20" s="1"/>
  <c r="AD94" i="20" s="1"/>
  <c r="AI74" i="20"/>
  <c r="AH74" i="20" s="1"/>
  <c r="AG74" i="20" s="1"/>
  <c r="AF74" i="20" s="1"/>
  <c r="AD74" i="20" s="1"/>
  <c r="AI58" i="20"/>
  <c r="AH58" i="20" s="1"/>
  <c r="AG58" i="20" s="1"/>
  <c r="AF58" i="20" s="1"/>
  <c r="AD58" i="20" s="1"/>
  <c r="AI42" i="20"/>
  <c r="AH42" i="20" s="1"/>
  <c r="AG42" i="20" s="1"/>
  <c r="AF42" i="20" s="1"/>
  <c r="AD42" i="20" s="1"/>
  <c r="AI26" i="20"/>
  <c r="AH26" i="20" s="1"/>
  <c r="AG26" i="20" s="1"/>
  <c r="AF26" i="20" s="1"/>
  <c r="AD26" i="20" s="1"/>
  <c r="U16" i="20"/>
  <c r="T16" i="20" s="1"/>
  <c r="S16" i="20" s="1"/>
  <c r="R16" i="20" s="1"/>
  <c r="P16" i="20" s="1"/>
  <c r="V16" i="20" s="1"/>
  <c r="U49" i="20"/>
  <c r="T49" i="20" s="1"/>
  <c r="U81" i="20"/>
  <c r="T81" i="20" s="1"/>
  <c r="U113" i="20"/>
  <c r="T113" i="20" s="1"/>
  <c r="S113" i="20" s="1"/>
  <c r="R113" i="20" s="1"/>
  <c r="P113" i="20" s="1"/>
  <c r="V113" i="20" s="1"/>
  <c r="U138" i="20"/>
  <c r="T138" i="20" s="1"/>
  <c r="S138" i="20" s="1"/>
  <c r="R138" i="20" s="1"/>
  <c r="P138" i="20" s="1"/>
  <c r="V138" i="20" s="1"/>
  <c r="U154" i="20"/>
  <c r="T154" i="20" s="1"/>
  <c r="S154" i="20" s="1"/>
  <c r="R154" i="20" s="1"/>
  <c r="P154" i="20" s="1"/>
  <c r="V154" i="20" s="1"/>
  <c r="U170" i="20"/>
  <c r="T170" i="20" s="1"/>
  <c r="S170" i="20" s="1"/>
  <c r="R170" i="20" s="1"/>
  <c r="P170" i="20" s="1"/>
  <c r="V170" i="20" s="1"/>
  <c r="U186" i="20"/>
  <c r="T186" i="20" s="1"/>
  <c r="S186" i="20" s="1"/>
  <c r="R186" i="20" s="1"/>
  <c r="P186" i="20" s="1"/>
  <c r="V186" i="20" s="1"/>
  <c r="U202" i="20"/>
  <c r="T202" i="20" s="1"/>
  <c r="S202" i="20" s="1"/>
  <c r="R202" i="20" s="1"/>
  <c r="P202" i="20" s="1"/>
  <c r="V202" i="20" s="1"/>
  <c r="U218" i="20"/>
  <c r="T218" i="20" s="1"/>
  <c r="S218" i="20" s="1"/>
  <c r="R218" i="20" s="1"/>
  <c r="P218" i="20" s="1"/>
  <c r="V218" i="20" s="1"/>
  <c r="U234" i="20"/>
  <c r="T234" i="20" s="1"/>
  <c r="S234" i="20" s="1"/>
  <c r="R234" i="20" s="1"/>
  <c r="P234" i="20" s="1"/>
  <c r="V234" i="20" s="1"/>
  <c r="U250" i="20"/>
  <c r="T250" i="20" s="1"/>
  <c r="S250" i="20" s="1"/>
  <c r="R250" i="20" s="1"/>
  <c r="P250" i="20" s="1"/>
  <c r="V250" i="20" s="1"/>
  <c r="U266" i="20"/>
  <c r="T266" i="20" s="1"/>
  <c r="S266" i="20" s="1"/>
  <c r="R266" i="20" s="1"/>
  <c r="P266" i="20" s="1"/>
  <c r="V266" i="20" s="1"/>
  <c r="U282" i="20"/>
  <c r="T282" i="20" s="1"/>
  <c r="S282" i="20" s="1"/>
  <c r="R282" i="20" s="1"/>
  <c r="P282" i="20" s="1"/>
  <c r="V282" i="20" s="1"/>
  <c r="U298" i="20"/>
  <c r="T298" i="20" s="1"/>
  <c r="S298" i="20" s="1"/>
  <c r="R298" i="20" s="1"/>
  <c r="P298" i="20" s="1"/>
  <c r="V298" i="20" s="1"/>
  <c r="U314" i="20"/>
  <c r="T314" i="20" s="1"/>
  <c r="S314" i="20" s="1"/>
  <c r="R314" i="20" s="1"/>
  <c r="P314" i="20" s="1"/>
  <c r="V314" i="20" s="1"/>
  <c r="U330" i="20"/>
  <c r="T330" i="20" s="1"/>
  <c r="S330" i="20" s="1"/>
  <c r="R330" i="20" s="1"/>
  <c r="P330" i="20" s="1"/>
  <c r="V330" i="20" s="1"/>
  <c r="U346" i="20"/>
  <c r="T346" i="20" s="1"/>
  <c r="S346" i="20" s="1"/>
  <c r="R346" i="20" s="1"/>
  <c r="P346" i="20" s="1"/>
  <c r="V346" i="20" s="1"/>
  <c r="U362" i="20"/>
  <c r="T362" i="20" s="1"/>
  <c r="S362" i="20" s="1"/>
  <c r="R362" i="20" s="1"/>
  <c r="P362" i="20" s="1"/>
  <c r="V362" i="20" s="1"/>
  <c r="AI82" i="20"/>
  <c r="AH82" i="20" s="1"/>
  <c r="AG82" i="20" s="1"/>
  <c r="AF82" i="20" s="1"/>
  <c r="AD82" i="20" s="1"/>
  <c r="AI50" i="20"/>
  <c r="AH50" i="20" s="1"/>
  <c r="AG50" i="20" s="1"/>
  <c r="AF50" i="20" s="1"/>
  <c r="AD50" i="20" s="1"/>
  <c r="AI34" i="20"/>
  <c r="AH34" i="20" s="1"/>
  <c r="AG34" i="20" s="1"/>
  <c r="AF34" i="20" s="1"/>
  <c r="AD34" i="20" s="1"/>
  <c r="AI49" i="20"/>
  <c r="AH49" i="20" s="1"/>
  <c r="AG49" i="20" s="1"/>
  <c r="AF49" i="20" s="1"/>
  <c r="AD49" i="20" s="1"/>
  <c r="U65" i="20"/>
  <c r="T65" i="20" s="1"/>
  <c r="S65" i="20" s="1"/>
  <c r="R65" i="20" s="1"/>
  <c r="P65" i="20" s="1"/>
  <c r="V65" i="20" s="1"/>
  <c r="U97" i="20"/>
  <c r="T97" i="20" s="1"/>
  <c r="S97" i="20" s="1"/>
  <c r="R97" i="20" s="1"/>
  <c r="P97" i="20" s="1"/>
  <c r="V97" i="20" s="1"/>
  <c r="U129" i="20"/>
  <c r="T129" i="20" s="1"/>
  <c r="S129" i="20" s="1"/>
  <c r="R129" i="20" s="1"/>
  <c r="P129" i="20" s="1"/>
  <c r="V129" i="20" s="1"/>
  <c r="U146" i="20"/>
  <c r="T146" i="20" s="1"/>
  <c r="S146" i="20" s="1"/>
  <c r="R146" i="20" s="1"/>
  <c r="P146" i="20" s="1"/>
  <c r="V146" i="20" s="1"/>
  <c r="U162" i="20"/>
  <c r="T162" i="20" s="1"/>
  <c r="S162" i="20" s="1"/>
  <c r="R162" i="20" s="1"/>
  <c r="P162" i="20" s="1"/>
  <c r="V162" i="20" s="1"/>
  <c r="U178" i="20"/>
  <c r="T178" i="20" s="1"/>
  <c r="S178" i="20" s="1"/>
  <c r="R178" i="20" s="1"/>
  <c r="P178" i="20" s="1"/>
  <c r="V178" i="20" s="1"/>
  <c r="U194" i="20"/>
  <c r="T194" i="20" s="1"/>
  <c r="S194" i="20" s="1"/>
  <c r="R194" i="20" s="1"/>
  <c r="P194" i="20" s="1"/>
  <c r="V194" i="20" s="1"/>
  <c r="U210" i="20"/>
  <c r="T210" i="20" s="1"/>
  <c r="S210" i="20" s="1"/>
  <c r="R210" i="20" s="1"/>
  <c r="P210" i="20" s="1"/>
  <c r="V210" i="20" s="1"/>
  <c r="U226" i="20"/>
  <c r="T226" i="20" s="1"/>
  <c r="S226" i="20" s="1"/>
  <c r="R226" i="20" s="1"/>
  <c r="P226" i="20" s="1"/>
  <c r="V226" i="20" s="1"/>
  <c r="U242" i="20"/>
  <c r="T242" i="20" s="1"/>
  <c r="S242" i="20" s="1"/>
  <c r="R242" i="20" s="1"/>
  <c r="P242" i="20" s="1"/>
  <c r="V242" i="20" s="1"/>
  <c r="U258" i="20"/>
  <c r="T258" i="20" s="1"/>
  <c r="S258" i="20" s="1"/>
  <c r="R258" i="20" s="1"/>
  <c r="P258" i="20" s="1"/>
  <c r="V258" i="20" s="1"/>
  <c r="U274" i="20"/>
  <c r="T274" i="20" s="1"/>
  <c r="S274" i="20" s="1"/>
  <c r="R274" i="20" s="1"/>
  <c r="P274" i="20" s="1"/>
  <c r="V274" i="20" s="1"/>
  <c r="U290" i="20"/>
  <c r="T290" i="20" s="1"/>
  <c r="S290" i="20" s="1"/>
  <c r="R290" i="20" s="1"/>
  <c r="P290" i="20" s="1"/>
  <c r="V290" i="20" s="1"/>
  <c r="U306" i="20"/>
  <c r="T306" i="20" s="1"/>
  <c r="S306" i="20" s="1"/>
  <c r="R306" i="20" s="1"/>
  <c r="P306" i="20" s="1"/>
  <c r="V306" i="20" s="1"/>
  <c r="U322" i="20"/>
  <c r="T322" i="20" s="1"/>
  <c r="S322" i="20" s="1"/>
  <c r="R322" i="20" s="1"/>
  <c r="P322" i="20" s="1"/>
  <c r="V322" i="20" s="1"/>
  <c r="U338" i="20"/>
  <c r="T338" i="20" s="1"/>
  <c r="S338" i="20" s="1"/>
  <c r="R338" i="20" s="1"/>
  <c r="P338" i="20" s="1"/>
  <c r="V338" i="20" s="1"/>
  <c r="U354" i="20"/>
  <c r="T354" i="20" s="1"/>
  <c r="S354" i="20" s="1"/>
  <c r="R354" i="20" s="1"/>
  <c r="P354" i="20" s="1"/>
  <c r="V354" i="20" s="1"/>
  <c r="U370" i="20"/>
  <c r="T370" i="20" s="1"/>
  <c r="S370" i="20" s="1"/>
  <c r="R370" i="20" s="1"/>
  <c r="P370" i="20" s="1"/>
  <c r="V370" i="20" s="1"/>
  <c r="U378" i="20"/>
  <c r="T378" i="20" s="1"/>
  <c r="S378" i="20" s="1"/>
  <c r="R378" i="20" s="1"/>
  <c r="P378" i="20" s="1"/>
  <c r="V378" i="20" s="1"/>
  <c r="AI66" i="20"/>
  <c r="AH66" i="20" s="1"/>
  <c r="AG66" i="20" s="1"/>
  <c r="AF66" i="20" s="1"/>
  <c r="AD66" i="20" s="1"/>
  <c r="AI15" i="20"/>
  <c r="AH15" i="20" s="1"/>
  <c r="AI98" i="20"/>
  <c r="AH98" i="20" s="1"/>
  <c r="AG98" i="20" s="1"/>
  <c r="AF98" i="20" s="1"/>
  <c r="AD98" i="20" s="1"/>
  <c r="AI81" i="20"/>
  <c r="AH81" i="20" s="1"/>
  <c r="AG81" i="20" s="1"/>
  <c r="AF81" i="20" s="1"/>
  <c r="AD81" i="20" s="1"/>
  <c r="AI65" i="20"/>
  <c r="AH65" i="20" s="1"/>
  <c r="AG65" i="20" s="1"/>
  <c r="AF65" i="20" s="1"/>
  <c r="AD65" i="20" s="1"/>
  <c r="AD333" i="20"/>
  <c r="P20" i="20"/>
  <c r="V20" i="20" s="1"/>
  <c r="AE381" i="20"/>
  <c r="AI377" i="20"/>
  <c r="AH377" i="20" s="1"/>
  <c r="AG377" i="20" s="1"/>
  <c r="AF377" i="20" s="1"/>
  <c r="AD377" i="20" s="1"/>
  <c r="AI361" i="20"/>
  <c r="AH361" i="20" s="1"/>
  <c r="AG361" i="20" s="1"/>
  <c r="AF361" i="20" s="1"/>
  <c r="AD361" i="20" s="1"/>
  <c r="AI345" i="20"/>
  <c r="AH345" i="20" s="1"/>
  <c r="AG345" i="20" s="1"/>
  <c r="AF345" i="20" s="1"/>
  <c r="AD345" i="20" s="1"/>
  <c r="AI329" i="20"/>
  <c r="AH329" i="20" s="1"/>
  <c r="AG329" i="20" s="1"/>
  <c r="AF329" i="20" s="1"/>
  <c r="AD329" i="20" s="1"/>
  <c r="AI313" i="20"/>
  <c r="AH313" i="20" s="1"/>
  <c r="AG313" i="20" s="1"/>
  <c r="AF313" i="20" s="1"/>
  <c r="AD313" i="20" s="1"/>
  <c r="AI297" i="20"/>
  <c r="AH297" i="20" s="1"/>
  <c r="AG297" i="20" s="1"/>
  <c r="AF297" i="20" s="1"/>
  <c r="AD297" i="20" s="1"/>
  <c r="AI281" i="20"/>
  <c r="AH281" i="20" s="1"/>
  <c r="AG281" i="20" s="1"/>
  <c r="AF281" i="20" s="1"/>
  <c r="AD281" i="20" s="1"/>
  <c r="AI265" i="20"/>
  <c r="AH265" i="20" s="1"/>
  <c r="AG265" i="20" s="1"/>
  <c r="AF265" i="20" s="1"/>
  <c r="AD265" i="20" s="1"/>
  <c r="AI249" i="20"/>
  <c r="AH249" i="20" s="1"/>
  <c r="AG249" i="20" s="1"/>
  <c r="AF249" i="20" s="1"/>
  <c r="AD249" i="20" s="1"/>
  <c r="AI233" i="20"/>
  <c r="AH233" i="20" s="1"/>
  <c r="AG233" i="20" s="1"/>
  <c r="AF233" i="20" s="1"/>
  <c r="AD233" i="20" s="1"/>
  <c r="AI217" i="20"/>
  <c r="AH217" i="20" s="1"/>
  <c r="AG217" i="20" s="1"/>
  <c r="AF217" i="20" s="1"/>
  <c r="AD217" i="20" s="1"/>
  <c r="AI201" i="20"/>
  <c r="AH201" i="20" s="1"/>
  <c r="AG201" i="20" s="1"/>
  <c r="AF201" i="20" s="1"/>
  <c r="AD201" i="20" s="1"/>
  <c r="AI185" i="20"/>
  <c r="AH185" i="20" s="1"/>
  <c r="AG185" i="20" s="1"/>
  <c r="AF185" i="20" s="1"/>
  <c r="AD185" i="20" s="1"/>
  <c r="AI169" i="20"/>
  <c r="AH169" i="20" s="1"/>
  <c r="AG169" i="20" s="1"/>
  <c r="AF169" i="20" s="1"/>
  <c r="AD169" i="20" s="1"/>
  <c r="AI153" i="20"/>
  <c r="AH153" i="20" s="1"/>
  <c r="AG153" i="20" s="1"/>
  <c r="AF153" i="20" s="1"/>
  <c r="AD153" i="20" s="1"/>
  <c r="AI137" i="20"/>
  <c r="AH137" i="20" s="1"/>
  <c r="AG137" i="20" s="1"/>
  <c r="AF137" i="20" s="1"/>
  <c r="AD137" i="20" s="1"/>
  <c r="AI121" i="20"/>
  <c r="AH121" i="20" s="1"/>
  <c r="AG121" i="20" s="1"/>
  <c r="AF121" i="20" s="1"/>
  <c r="AD121" i="20" s="1"/>
  <c r="AI105" i="20"/>
  <c r="AH105" i="20" s="1"/>
  <c r="AG105" i="20" s="1"/>
  <c r="AF105" i="20" s="1"/>
  <c r="AD105" i="20" s="1"/>
  <c r="AI369" i="20"/>
  <c r="AH369" i="20" s="1"/>
  <c r="AG369" i="20" s="1"/>
  <c r="AF369" i="20" s="1"/>
  <c r="AD369" i="20" s="1"/>
  <c r="AI337" i="20"/>
  <c r="AH337" i="20" s="1"/>
  <c r="AG337" i="20" s="1"/>
  <c r="AF337" i="20" s="1"/>
  <c r="AD337" i="20" s="1"/>
  <c r="AI305" i="20"/>
  <c r="AH305" i="20" s="1"/>
  <c r="AG305" i="20" s="1"/>
  <c r="AF305" i="20" s="1"/>
  <c r="AD305" i="20" s="1"/>
  <c r="AI273" i="20"/>
  <c r="AH273" i="20" s="1"/>
  <c r="AG273" i="20" s="1"/>
  <c r="AF273" i="20" s="1"/>
  <c r="AD273" i="20" s="1"/>
  <c r="AI241" i="20"/>
  <c r="AH241" i="20" s="1"/>
  <c r="AG241" i="20" s="1"/>
  <c r="AF241" i="20" s="1"/>
  <c r="AD241" i="20" s="1"/>
  <c r="AI209" i="20"/>
  <c r="AH209" i="20" s="1"/>
  <c r="AG209" i="20" s="1"/>
  <c r="AF209" i="20" s="1"/>
  <c r="AD209" i="20" s="1"/>
  <c r="AI177" i="20"/>
  <c r="AH177" i="20" s="1"/>
  <c r="AG177" i="20" s="1"/>
  <c r="AF177" i="20" s="1"/>
  <c r="AD177" i="20" s="1"/>
  <c r="AI145" i="20"/>
  <c r="AH145" i="20" s="1"/>
  <c r="AG145" i="20" s="1"/>
  <c r="AF145" i="20" s="1"/>
  <c r="AD145" i="20" s="1"/>
  <c r="AI113" i="20"/>
  <c r="AH113" i="20" s="1"/>
  <c r="AG113" i="20" s="1"/>
  <c r="AF113" i="20" s="1"/>
  <c r="AD113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10" i="20"/>
  <c r="AH110" i="20" s="1"/>
  <c r="AG110" i="20" s="1"/>
  <c r="AF110" i="20" s="1"/>
  <c r="AD110" i="20" s="1"/>
  <c r="AI353" i="20"/>
  <c r="AH353" i="20" s="1"/>
  <c r="AG353" i="20" s="1"/>
  <c r="AF353" i="20" s="1"/>
  <c r="AD353" i="20" s="1"/>
  <c r="AI321" i="20"/>
  <c r="AH321" i="20" s="1"/>
  <c r="AG321" i="20" s="1"/>
  <c r="AF321" i="20" s="1"/>
  <c r="AD321" i="20" s="1"/>
  <c r="AI289" i="20"/>
  <c r="AH289" i="20" s="1"/>
  <c r="AG289" i="20" s="1"/>
  <c r="AF289" i="20" s="1"/>
  <c r="AD289" i="20" s="1"/>
  <c r="AI257" i="20"/>
  <c r="AH257" i="20" s="1"/>
  <c r="AG257" i="20" s="1"/>
  <c r="AF257" i="20" s="1"/>
  <c r="AD257" i="20" s="1"/>
  <c r="AI225" i="20"/>
  <c r="AH225" i="20" s="1"/>
  <c r="AG225" i="20" s="1"/>
  <c r="AF225" i="20" s="1"/>
  <c r="AD225" i="20" s="1"/>
  <c r="AI193" i="20"/>
  <c r="AH193" i="20" s="1"/>
  <c r="AG193" i="20" s="1"/>
  <c r="AF193" i="20" s="1"/>
  <c r="AD193" i="20" s="1"/>
  <c r="AI161" i="20"/>
  <c r="AH161" i="20" s="1"/>
  <c r="AG161" i="20" s="1"/>
  <c r="AF161" i="20" s="1"/>
  <c r="AD161" i="20" s="1"/>
  <c r="AI129" i="20"/>
  <c r="AH129" i="20" s="1"/>
  <c r="AG129" i="20" s="1"/>
  <c r="AF129" i="20" s="1"/>
  <c r="AD129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6" i="20"/>
  <c r="AH106" i="20" s="1"/>
  <c r="AG106" i="20" s="1"/>
  <c r="AF106" i="20" s="1"/>
  <c r="AD106" i="20" s="1"/>
  <c r="AI371" i="20"/>
  <c r="AH371" i="20" s="1"/>
  <c r="AG371" i="20" s="1"/>
  <c r="AF371" i="20" s="1"/>
  <c r="AD371" i="20" s="1"/>
  <c r="AI363" i="20"/>
  <c r="AH363" i="20" s="1"/>
  <c r="AG363" i="20" s="1"/>
  <c r="AF363" i="20" s="1"/>
  <c r="AD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D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D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D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D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D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D243" i="20" s="1"/>
  <c r="AI235" i="20"/>
  <c r="AH235" i="20" s="1"/>
  <c r="AG235" i="20" s="1"/>
  <c r="AF235" i="20" s="1"/>
  <c r="AD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I203" i="20"/>
  <c r="AH203" i="20" s="1"/>
  <c r="AG203" i="20" s="1"/>
  <c r="AF203" i="20" s="1"/>
  <c r="AD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I147" i="20"/>
  <c r="AH147" i="20" s="1"/>
  <c r="AG147" i="20" s="1"/>
  <c r="AF147" i="20" s="1"/>
  <c r="AD147" i="20" s="1"/>
  <c r="AI139" i="20"/>
  <c r="AH139" i="20" s="1"/>
  <c r="AG139" i="20" s="1"/>
  <c r="AF139" i="20" s="1"/>
  <c r="AD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I107" i="20"/>
  <c r="AH107" i="20" s="1"/>
  <c r="AG107" i="20" s="1"/>
  <c r="AF107" i="20" s="1"/>
  <c r="AD107" i="20" s="1"/>
  <c r="AI376" i="20"/>
  <c r="AH376" i="20" s="1"/>
  <c r="AG376" i="20" s="1"/>
  <c r="AF376" i="20" s="1"/>
  <c r="AD376" i="20" s="1"/>
  <c r="AI368" i="20"/>
  <c r="AH368" i="20" s="1"/>
  <c r="AG368" i="20" s="1"/>
  <c r="AF368" i="20" s="1"/>
  <c r="AD368" i="20" s="1"/>
  <c r="AI360" i="20"/>
  <c r="AH360" i="20" s="1"/>
  <c r="AG360" i="20" s="1"/>
  <c r="AF360" i="20" s="1"/>
  <c r="AD360" i="20" s="1"/>
  <c r="AI352" i="20"/>
  <c r="AH352" i="20" s="1"/>
  <c r="AG352" i="20" s="1"/>
  <c r="AF352" i="20" s="1"/>
  <c r="AD352" i="20" s="1"/>
  <c r="AI344" i="20"/>
  <c r="AH344" i="20" s="1"/>
  <c r="AG344" i="20" s="1"/>
  <c r="AF344" i="20" s="1"/>
  <c r="AD344" i="20" s="1"/>
  <c r="AI336" i="20"/>
  <c r="AH336" i="20" s="1"/>
  <c r="AG336" i="20" s="1"/>
  <c r="AF336" i="20" s="1"/>
  <c r="AD336" i="20" s="1"/>
  <c r="AI328" i="20"/>
  <c r="AH328" i="20" s="1"/>
  <c r="AG328" i="20" s="1"/>
  <c r="AF328" i="20" s="1"/>
  <c r="AD328" i="20" s="1"/>
  <c r="AI320" i="20"/>
  <c r="AH320" i="20" s="1"/>
  <c r="AG320" i="20" s="1"/>
  <c r="AF320" i="20" s="1"/>
  <c r="AD320" i="20" s="1"/>
  <c r="AI312" i="20"/>
  <c r="AH312" i="20" s="1"/>
  <c r="AG312" i="20" s="1"/>
  <c r="AF312" i="20" s="1"/>
  <c r="AD312" i="20" s="1"/>
  <c r="AI304" i="20"/>
  <c r="AH304" i="20" s="1"/>
  <c r="AG304" i="20" s="1"/>
  <c r="AF304" i="20" s="1"/>
  <c r="AD304" i="20" s="1"/>
  <c r="AI296" i="20"/>
  <c r="AH296" i="20" s="1"/>
  <c r="AG296" i="20" s="1"/>
  <c r="AF296" i="20" s="1"/>
  <c r="AD296" i="20" s="1"/>
  <c r="AI288" i="20"/>
  <c r="AH288" i="20" s="1"/>
  <c r="AG288" i="20" s="1"/>
  <c r="AF288" i="20" s="1"/>
  <c r="AD288" i="20" s="1"/>
  <c r="AI280" i="20"/>
  <c r="AH280" i="20" s="1"/>
  <c r="AG280" i="20" s="1"/>
  <c r="AF280" i="20" s="1"/>
  <c r="AD280" i="20" s="1"/>
  <c r="AI272" i="20"/>
  <c r="AH272" i="20" s="1"/>
  <c r="AG272" i="20" s="1"/>
  <c r="AF272" i="20" s="1"/>
  <c r="AD272" i="20" s="1"/>
  <c r="AI264" i="20"/>
  <c r="AH264" i="20" s="1"/>
  <c r="AG264" i="20" s="1"/>
  <c r="AF264" i="20" s="1"/>
  <c r="AD264" i="20" s="1"/>
  <c r="AI256" i="20"/>
  <c r="AH256" i="20" s="1"/>
  <c r="AG256" i="20" s="1"/>
  <c r="AF256" i="20" s="1"/>
  <c r="AD256" i="20" s="1"/>
  <c r="AI248" i="20"/>
  <c r="AH248" i="20" s="1"/>
  <c r="AG248" i="20" s="1"/>
  <c r="AF248" i="20" s="1"/>
  <c r="AD248" i="20" s="1"/>
  <c r="AI240" i="20"/>
  <c r="AH240" i="20" s="1"/>
  <c r="AG240" i="20" s="1"/>
  <c r="AF240" i="20" s="1"/>
  <c r="AD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D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G200" i="20" s="1"/>
  <c r="AF200" i="20" s="1"/>
  <c r="AD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G176" i="20" s="1"/>
  <c r="AF176" i="20" s="1"/>
  <c r="AD176" i="20" s="1"/>
  <c r="AI168" i="20"/>
  <c r="AH168" i="20" s="1"/>
  <c r="AG168" i="20" s="1"/>
  <c r="AF168" i="20" s="1"/>
  <c r="AD168" i="20" s="1"/>
  <c r="AI160" i="20"/>
  <c r="AH160" i="20" s="1"/>
  <c r="AG160" i="20" s="1"/>
  <c r="AF160" i="20" s="1"/>
  <c r="AD160" i="20" s="1"/>
  <c r="AI152" i="20"/>
  <c r="AH152" i="20" s="1"/>
  <c r="AG152" i="20" s="1"/>
  <c r="AF152" i="20" s="1"/>
  <c r="AD152" i="20" s="1"/>
  <c r="AI144" i="20"/>
  <c r="AH144" i="20" s="1"/>
  <c r="AG144" i="20" s="1"/>
  <c r="AF144" i="20" s="1"/>
  <c r="AD144" i="20" s="1"/>
  <c r="AI136" i="20"/>
  <c r="AH136" i="20" s="1"/>
  <c r="AG136" i="20" s="1"/>
  <c r="AF136" i="20" s="1"/>
  <c r="AD136" i="20" s="1"/>
  <c r="AI128" i="20"/>
  <c r="AH128" i="20" s="1"/>
  <c r="AG128" i="20" s="1"/>
  <c r="AF128" i="20" s="1"/>
  <c r="AD128" i="20" s="1"/>
  <c r="AI120" i="20"/>
  <c r="AH120" i="20" s="1"/>
  <c r="AG120" i="20" s="1"/>
  <c r="AF120" i="20" s="1"/>
  <c r="AD120" i="20" s="1"/>
  <c r="AI112" i="20"/>
  <c r="AH112" i="20" s="1"/>
  <c r="AG112" i="20" s="1"/>
  <c r="AF112" i="20" s="1"/>
  <c r="AD112" i="20" s="1"/>
  <c r="AI104" i="20"/>
  <c r="AH104" i="20" s="1"/>
  <c r="AG104" i="20" s="1"/>
  <c r="AF104" i="20" s="1"/>
  <c r="AD104" i="20" s="1"/>
  <c r="AE383" i="20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I213" i="20"/>
  <c r="AH213" i="20" s="1"/>
  <c r="AG213" i="20" s="1"/>
  <c r="AF213" i="20" s="1"/>
  <c r="AD213" i="20" s="1"/>
  <c r="AI197" i="20"/>
  <c r="AH197" i="20" s="1"/>
  <c r="AG197" i="20" s="1"/>
  <c r="AF197" i="20" s="1"/>
  <c r="AD197" i="20" s="1"/>
  <c r="AI181" i="20"/>
  <c r="AH181" i="20" s="1"/>
  <c r="AG181" i="20" s="1"/>
  <c r="AF181" i="20" s="1"/>
  <c r="AD181" i="20" s="1"/>
  <c r="AI165" i="20"/>
  <c r="AH165" i="20" s="1"/>
  <c r="AG165" i="20" s="1"/>
  <c r="AF165" i="20" s="1"/>
  <c r="AD165" i="20" s="1"/>
  <c r="AI149" i="20"/>
  <c r="AH149" i="20" s="1"/>
  <c r="AG149" i="20" s="1"/>
  <c r="AF149" i="20" s="1"/>
  <c r="AD149" i="20" s="1"/>
  <c r="AI133" i="20"/>
  <c r="AH133" i="20" s="1"/>
  <c r="AG133" i="20" s="1"/>
  <c r="AF133" i="20" s="1"/>
  <c r="AD133" i="20" s="1"/>
  <c r="AI117" i="20"/>
  <c r="AH117" i="20" s="1"/>
  <c r="AG117" i="20" s="1"/>
  <c r="AF117" i="20" s="1"/>
  <c r="AD117" i="20" s="1"/>
  <c r="AE382" i="20"/>
  <c r="Q344" i="22"/>
  <c r="Q280" i="22"/>
  <c r="Q376" i="22"/>
  <c r="Q312" i="22"/>
  <c r="Q232" i="22"/>
  <c r="D12" i="19"/>
  <c r="Q360" i="22"/>
  <c r="Q328" i="22"/>
  <c r="Q296" i="22"/>
  <c r="Q264" i="22"/>
  <c r="Q200" i="22"/>
  <c r="Q368" i="22"/>
  <c r="Q352" i="22"/>
  <c r="Q336" i="22"/>
  <c r="Q320" i="22"/>
  <c r="Q304" i="22"/>
  <c r="Q288" i="22"/>
  <c r="Q272" i="22"/>
  <c r="Q248" i="22"/>
  <c r="Q216" i="22"/>
  <c r="Q150" i="22"/>
  <c r="I380" i="18"/>
  <c r="H380" i="20" s="1"/>
  <c r="Q38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56" i="22"/>
  <c r="Q240" i="22"/>
  <c r="Q224" i="22"/>
  <c r="Q208" i="22"/>
  <c r="Q182" i="22"/>
  <c r="Q110" i="22"/>
  <c r="I382" i="15"/>
  <c r="I381" i="15"/>
  <c r="I383" i="15"/>
  <c r="BA380" i="6"/>
  <c r="D380" i="6" s="1"/>
  <c r="Y15" i="15"/>
  <c r="AL5" i="15" s="1"/>
  <c r="AL11" i="15" s="1"/>
  <c r="AJ3" i="15" s="1"/>
  <c r="O12" i="19" s="1"/>
  <c r="M12" i="19" s="1"/>
  <c r="Z9" i="15"/>
  <c r="Z383" i="15"/>
  <c r="Z382" i="15"/>
  <c r="Z381" i="15"/>
  <c r="AL8" i="15"/>
  <c r="J381" i="15"/>
  <c r="J383" i="15"/>
  <c r="J382" i="15"/>
  <c r="B7" i="6"/>
  <c r="K7" i="7"/>
  <c r="AA15" i="16"/>
  <c r="G15" i="16"/>
  <c r="BY15" i="6" s="1"/>
  <c r="H15" i="16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B64" i="19"/>
  <c r="V382" i="17"/>
  <c r="V383" i="17"/>
  <c r="V381" i="17"/>
  <c r="AG15" i="20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R381" i="18"/>
  <c r="R382" i="18"/>
  <c r="R383" i="18"/>
  <c r="P15" i="18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D269" i="20" l="1"/>
  <c r="AD260" i="20"/>
  <c r="Q12" i="23"/>
  <c r="U382" i="20"/>
  <c r="AD301" i="20"/>
  <c r="E16" i="16"/>
  <c r="AJ9" i="16" s="1"/>
  <c r="AJ11" i="16" s="1"/>
  <c r="D383" i="16"/>
  <c r="AJ8" i="16"/>
  <c r="D9" i="16"/>
  <c r="D11" i="16" s="1"/>
  <c r="E37" i="19" s="1"/>
  <c r="D381" i="16"/>
  <c r="D382" i="16"/>
  <c r="U383" i="20"/>
  <c r="AH379" i="20"/>
  <c r="AH383" i="20" s="1"/>
  <c r="AI12" i="22"/>
  <c r="AH27" i="7"/>
  <c r="AH26" i="7"/>
  <c r="V272" i="20"/>
  <c r="V29" i="20"/>
  <c r="AH24" i="7"/>
  <c r="AH30" i="7"/>
  <c r="AH23" i="7"/>
  <c r="AI383" i="20"/>
  <c r="V363" i="20"/>
  <c r="V302" i="20"/>
  <c r="S49" i="20"/>
  <c r="R49" i="20" s="1"/>
  <c r="P49" i="20" s="1"/>
  <c r="V49" i="20" s="1"/>
  <c r="S89" i="20"/>
  <c r="R89" i="20" s="1"/>
  <c r="P89" i="20" s="1"/>
  <c r="V89" i="20" s="1"/>
  <c r="S57" i="20"/>
  <c r="R57" i="20" s="1"/>
  <c r="P57" i="20" s="1"/>
  <c r="V57" i="20" s="1"/>
  <c r="AG54" i="20"/>
  <c r="AF54" i="20" s="1"/>
  <c r="AD54" i="20" s="1"/>
  <c r="S93" i="20"/>
  <c r="R93" i="20" s="1"/>
  <c r="P93" i="20" s="1"/>
  <c r="V93" i="20" s="1"/>
  <c r="S77" i="20"/>
  <c r="R77" i="20" s="1"/>
  <c r="P77" i="20" s="1"/>
  <c r="V77" i="20" s="1"/>
  <c r="AH16" i="7"/>
  <c r="AN11" i="7" s="1"/>
  <c r="U11" i="22" s="1"/>
  <c r="T379" i="20"/>
  <c r="S379" i="20" s="1"/>
  <c r="R379" i="20" s="1"/>
  <c r="P379" i="20" s="1"/>
  <c r="U12" i="22"/>
  <c r="AM16" i="7" s="1"/>
  <c r="S90" i="20"/>
  <c r="R90" i="20" s="1"/>
  <c r="P90" i="20" s="1"/>
  <c r="V90" i="20" s="1"/>
  <c r="S45" i="20"/>
  <c r="R45" i="20" s="1"/>
  <c r="P45" i="20" s="1"/>
  <c r="V45" i="20" s="1"/>
  <c r="S21" i="20"/>
  <c r="R21" i="20" s="1"/>
  <c r="P21" i="20" s="1"/>
  <c r="V21" i="20" s="1"/>
  <c r="S81" i="20"/>
  <c r="R81" i="20" s="1"/>
  <c r="P81" i="20" s="1"/>
  <c r="V81" i="20" s="1"/>
  <c r="V180" i="20"/>
  <c r="AH25" i="7"/>
  <c r="S117" i="20"/>
  <c r="R117" i="20" s="1"/>
  <c r="P117" i="20" s="1"/>
  <c r="V117" i="20" s="1"/>
  <c r="E66" i="19" s="1"/>
  <c r="S85" i="20"/>
  <c r="R85" i="20" s="1"/>
  <c r="P85" i="20" s="1"/>
  <c r="V85" i="20" s="1"/>
  <c r="S373" i="20"/>
  <c r="R373" i="20" s="1"/>
  <c r="P373" i="20" s="1"/>
  <c r="V373" i="20" s="1"/>
  <c r="S369" i="20"/>
  <c r="R369" i="20" s="1"/>
  <c r="P369" i="20" s="1"/>
  <c r="V369" i="20" s="1"/>
  <c r="S365" i="20"/>
  <c r="R365" i="20" s="1"/>
  <c r="P365" i="20" s="1"/>
  <c r="V365" i="20" s="1"/>
  <c r="S357" i="20"/>
  <c r="R357" i="20" s="1"/>
  <c r="P357" i="20" s="1"/>
  <c r="V357" i="20" s="1"/>
  <c r="S349" i="20"/>
  <c r="R349" i="20" s="1"/>
  <c r="P349" i="20" s="1"/>
  <c r="V349" i="20" s="1"/>
  <c r="S345" i="20"/>
  <c r="R345" i="20" s="1"/>
  <c r="P345" i="20" s="1"/>
  <c r="V345" i="20" s="1"/>
  <c r="S325" i="20"/>
  <c r="R325" i="20" s="1"/>
  <c r="P325" i="20" s="1"/>
  <c r="V325" i="20" s="1"/>
  <c r="S321" i="20"/>
  <c r="R321" i="20" s="1"/>
  <c r="P321" i="20" s="1"/>
  <c r="V321" i="20" s="1"/>
  <c r="S289" i="20"/>
  <c r="R289" i="20" s="1"/>
  <c r="P289" i="20" s="1"/>
  <c r="V289" i="20" s="1"/>
  <c r="S273" i="20"/>
  <c r="R273" i="20" s="1"/>
  <c r="P273" i="20" s="1"/>
  <c r="V273" i="20" s="1"/>
  <c r="S269" i="20"/>
  <c r="R269" i="20" s="1"/>
  <c r="P269" i="20" s="1"/>
  <c r="V269" i="20" s="1"/>
  <c r="S249" i="20"/>
  <c r="R249" i="20" s="1"/>
  <c r="P249" i="20" s="1"/>
  <c r="V249" i="20" s="1"/>
  <c r="I66" i="19" s="1"/>
  <c r="S225" i="20"/>
  <c r="R225" i="20" s="1"/>
  <c r="P225" i="20" s="1"/>
  <c r="V225" i="20" s="1"/>
  <c r="S221" i="20"/>
  <c r="R221" i="20" s="1"/>
  <c r="P221" i="20" s="1"/>
  <c r="V221" i="20" s="1"/>
  <c r="S213" i="20"/>
  <c r="R213" i="20" s="1"/>
  <c r="P213" i="20" s="1"/>
  <c r="V213" i="20" s="1"/>
  <c r="S189" i="20"/>
  <c r="R189" i="20" s="1"/>
  <c r="P189" i="20" s="1"/>
  <c r="V189" i="20" s="1"/>
  <c r="S181" i="20"/>
  <c r="R181" i="20" s="1"/>
  <c r="P181" i="20" s="1"/>
  <c r="V181" i="20" s="1"/>
  <c r="S177" i="20"/>
  <c r="R177" i="20" s="1"/>
  <c r="P177" i="20" s="1"/>
  <c r="V177" i="20" s="1"/>
  <c r="S169" i="20"/>
  <c r="R169" i="20" s="1"/>
  <c r="P169" i="20" s="1"/>
  <c r="V169" i="20" s="1"/>
  <c r="S165" i="20"/>
  <c r="R165" i="20" s="1"/>
  <c r="P165" i="20" s="1"/>
  <c r="V165" i="20" s="1"/>
  <c r="S161" i="20"/>
  <c r="R161" i="20" s="1"/>
  <c r="P161" i="20" s="1"/>
  <c r="V161" i="20" s="1"/>
  <c r="S157" i="20"/>
  <c r="R157" i="20" s="1"/>
  <c r="P157" i="20" s="1"/>
  <c r="V157" i="20" s="1"/>
  <c r="S145" i="20"/>
  <c r="R145" i="20" s="1"/>
  <c r="P145" i="20" s="1"/>
  <c r="V145" i="20" s="1"/>
  <c r="S137" i="20"/>
  <c r="R137" i="20" s="1"/>
  <c r="P137" i="20" s="1"/>
  <c r="V137" i="20" s="1"/>
  <c r="S18" i="20"/>
  <c r="R18" i="20" s="1"/>
  <c r="P18" i="20" s="1"/>
  <c r="V18" i="20" s="1"/>
  <c r="AH22" i="7"/>
  <c r="V88" i="20"/>
  <c r="V60" i="20"/>
  <c r="AH21" i="7"/>
  <c r="S41" i="20"/>
  <c r="R41" i="20" s="1"/>
  <c r="P41" i="20" s="1"/>
  <c r="V41" i="20" s="1"/>
  <c r="T15" i="20"/>
  <c r="U381" i="20"/>
  <c r="AI382" i="20"/>
  <c r="AH381" i="20"/>
  <c r="AI381" i="20"/>
  <c r="E12" i="19"/>
  <c r="Y382" i="15"/>
  <c r="AL6" i="15"/>
  <c r="AL12" i="15" s="1"/>
  <c r="AM6" i="15"/>
  <c r="AM12" i="15" s="1"/>
  <c r="X9" i="15"/>
  <c r="Y383" i="15"/>
  <c r="Y381" i="15"/>
  <c r="J15" i="16"/>
  <c r="I15" i="16"/>
  <c r="Z15" i="16"/>
  <c r="I380" i="20"/>
  <c r="J380" i="20"/>
  <c r="AF382" i="18"/>
  <c r="AF381" i="18"/>
  <c r="AF383" i="18"/>
  <c r="AD15" i="18"/>
  <c r="Q381" i="22"/>
  <c r="N64" i="19"/>
  <c r="AE381" i="22"/>
  <c r="AE382" i="22"/>
  <c r="AE383" i="22"/>
  <c r="Q382" i="22"/>
  <c r="AF15" i="20"/>
  <c r="Q10" i="23"/>
  <c r="Q47" i="23" s="1"/>
  <c r="AS15" i="7"/>
  <c r="Q16" i="23"/>
  <c r="Q193" i="23"/>
  <c r="Q257" i="23"/>
  <c r="Q321" i="23"/>
  <c r="P382" i="18"/>
  <c r="P383" i="18"/>
  <c r="V15" i="18"/>
  <c r="P381" i="18"/>
  <c r="AE20" i="23"/>
  <c r="AE82" i="23"/>
  <c r="Q383" i="22"/>
  <c r="AE98" i="23" l="1"/>
  <c r="AE52" i="23"/>
  <c r="Q353" i="23"/>
  <c r="Q289" i="23"/>
  <c r="Q225" i="23"/>
  <c r="Q143" i="23"/>
  <c r="AE90" i="23"/>
  <c r="AE68" i="23"/>
  <c r="AE36" i="23"/>
  <c r="Q369" i="23"/>
  <c r="Q337" i="23"/>
  <c r="Q305" i="23"/>
  <c r="Q273" i="23"/>
  <c r="Q241" i="23"/>
  <c r="Q209" i="23"/>
  <c r="Q175" i="23"/>
  <c r="Q111" i="23"/>
  <c r="AE11" i="23"/>
  <c r="AE350" i="23" s="1"/>
  <c r="AE254" i="23"/>
  <c r="AE190" i="23"/>
  <c r="AE126" i="23"/>
  <c r="AE102" i="23"/>
  <c r="AE94" i="23"/>
  <c r="AE86" i="23"/>
  <c r="AE76" i="23"/>
  <c r="AE60" i="23"/>
  <c r="AE44" i="23"/>
  <c r="AE28" i="23"/>
  <c r="Q377" i="23"/>
  <c r="Q361" i="23"/>
  <c r="Q345" i="23"/>
  <c r="Q329" i="23"/>
  <c r="Q313" i="23"/>
  <c r="Q297" i="23"/>
  <c r="Q281" i="23"/>
  <c r="Q265" i="23"/>
  <c r="Q249" i="23"/>
  <c r="Q233" i="23"/>
  <c r="Q217" i="23"/>
  <c r="Q201" i="23"/>
  <c r="Q185" i="23"/>
  <c r="Q159" i="23"/>
  <c r="Q127" i="23"/>
  <c r="Q95" i="23"/>
  <c r="F16" i="16"/>
  <c r="E381" i="16"/>
  <c r="AK8" i="16"/>
  <c r="E382" i="16"/>
  <c r="E9" i="16"/>
  <c r="E11" i="16" s="1"/>
  <c r="E383" i="16"/>
  <c r="AJ10" i="16"/>
  <c r="AJ12" i="16" s="1"/>
  <c r="AJ13" i="16" s="1"/>
  <c r="AG379" i="20"/>
  <c r="AH382" i="20"/>
  <c r="F66" i="19"/>
  <c r="L66" i="19"/>
  <c r="H66" i="19"/>
  <c r="J66" i="19"/>
  <c r="Q63" i="23"/>
  <c r="K66" i="19"/>
  <c r="G66" i="19"/>
  <c r="Q79" i="23"/>
  <c r="V379" i="20"/>
  <c r="M66" i="19" s="1"/>
  <c r="D40" i="19"/>
  <c r="D66" i="19"/>
  <c r="C66" i="19"/>
  <c r="T381" i="20"/>
  <c r="T382" i="20"/>
  <c r="S15" i="20"/>
  <c r="T383" i="20"/>
  <c r="U10" i="22"/>
  <c r="AU15" i="7"/>
  <c r="Q23" i="23"/>
  <c r="Q39" i="23"/>
  <c r="Q51" i="23"/>
  <c r="Q59" i="23"/>
  <c r="Q67" i="23"/>
  <c r="Q75" i="23"/>
  <c r="Q83" i="23"/>
  <c r="Q91" i="23"/>
  <c r="Q99" i="23"/>
  <c r="Q107" i="23"/>
  <c r="Q115" i="23"/>
  <c r="Q123" i="23"/>
  <c r="Q131" i="23"/>
  <c r="Q139" i="23"/>
  <c r="Q147" i="23"/>
  <c r="Q155" i="23"/>
  <c r="Q163" i="23"/>
  <c r="Q171" i="23"/>
  <c r="Q179" i="23"/>
  <c r="Q183" i="23"/>
  <c r="Q187" i="23"/>
  <c r="Q191" i="23"/>
  <c r="Q195" i="23"/>
  <c r="Q199" i="23"/>
  <c r="Q203" i="23"/>
  <c r="Q207" i="23"/>
  <c r="Q211" i="23"/>
  <c r="Q215" i="23"/>
  <c r="Q219" i="23"/>
  <c r="Q223" i="23"/>
  <c r="Q227" i="23"/>
  <c r="Q231" i="23"/>
  <c r="Q235" i="23"/>
  <c r="Q239" i="23"/>
  <c r="Q243" i="23"/>
  <c r="Q247" i="23"/>
  <c r="Q251" i="23"/>
  <c r="Q255" i="23"/>
  <c r="Q259" i="23"/>
  <c r="Q263" i="23"/>
  <c r="Q267" i="23"/>
  <c r="Q271" i="23"/>
  <c r="Q275" i="23"/>
  <c r="Q279" i="23"/>
  <c r="Q283" i="23"/>
  <c r="Q287" i="23"/>
  <c r="Q291" i="23"/>
  <c r="Q295" i="23"/>
  <c r="Q299" i="23"/>
  <c r="Q303" i="23"/>
  <c r="Q307" i="23"/>
  <c r="Q311" i="23"/>
  <c r="Q315" i="23"/>
  <c r="Q319" i="23"/>
  <c r="Q323" i="23"/>
  <c r="Q327" i="23"/>
  <c r="Q331" i="23"/>
  <c r="Q335" i="23"/>
  <c r="Q339" i="23"/>
  <c r="Q343" i="23"/>
  <c r="Q347" i="23"/>
  <c r="Q351" i="23"/>
  <c r="Q355" i="23"/>
  <c r="Q359" i="23"/>
  <c r="Q363" i="23"/>
  <c r="Q367" i="23"/>
  <c r="Q371" i="23"/>
  <c r="Q375" i="23"/>
  <c r="Q379" i="23"/>
  <c r="Q12" i="24" s="1"/>
  <c r="AE19" i="23"/>
  <c r="AE22" i="23"/>
  <c r="AE26" i="23"/>
  <c r="AE30" i="23"/>
  <c r="AE34" i="23"/>
  <c r="AE38" i="23"/>
  <c r="AE42" i="23"/>
  <c r="AE46" i="23"/>
  <c r="AE50" i="23"/>
  <c r="AE54" i="23"/>
  <c r="AE58" i="23"/>
  <c r="AE62" i="23"/>
  <c r="AE66" i="23"/>
  <c r="AE70" i="23"/>
  <c r="AE74" i="23"/>
  <c r="AE78" i="23"/>
  <c r="AE368" i="23"/>
  <c r="AE336" i="23"/>
  <c r="AE304" i="23"/>
  <c r="AE272" i="23"/>
  <c r="AE240" i="23"/>
  <c r="AE208" i="23"/>
  <c r="AE176" i="23"/>
  <c r="AE144" i="23"/>
  <c r="AE112" i="23"/>
  <c r="AE100" i="23"/>
  <c r="AE96" i="23"/>
  <c r="AE92" i="23"/>
  <c r="AE88" i="23"/>
  <c r="AE84" i="23"/>
  <c r="AE80" i="23"/>
  <c r="AE72" i="23"/>
  <c r="AE64" i="23"/>
  <c r="AE56" i="23"/>
  <c r="AE48" i="23"/>
  <c r="AE40" i="23"/>
  <c r="AE32" i="23"/>
  <c r="AE24" i="23"/>
  <c r="AE17" i="23"/>
  <c r="Q373" i="23"/>
  <c r="Q365" i="23"/>
  <c r="Q357" i="23"/>
  <c r="Q349" i="23"/>
  <c r="Q341" i="23"/>
  <c r="Q333" i="23"/>
  <c r="Q325" i="23"/>
  <c r="Q317" i="23"/>
  <c r="Q309" i="23"/>
  <c r="Q301" i="23"/>
  <c r="Q293" i="23"/>
  <c r="Q285" i="23"/>
  <c r="Q277" i="23"/>
  <c r="Q269" i="23"/>
  <c r="Q261" i="23"/>
  <c r="Q253" i="23"/>
  <c r="Q245" i="23"/>
  <c r="Q237" i="23"/>
  <c r="Q229" i="23"/>
  <c r="Q221" i="23"/>
  <c r="Q213" i="23"/>
  <c r="Q205" i="23"/>
  <c r="Q197" i="23"/>
  <c r="Q189" i="23"/>
  <c r="Q181" i="23"/>
  <c r="Q167" i="23"/>
  <c r="Q151" i="23"/>
  <c r="Q135" i="23"/>
  <c r="Q119" i="23"/>
  <c r="Q103" i="23"/>
  <c r="Q87" i="23"/>
  <c r="Q71" i="23"/>
  <c r="Q55" i="23"/>
  <c r="Q31" i="23"/>
  <c r="F12" i="19"/>
  <c r="AE375" i="23"/>
  <c r="AE359" i="23"/>
  <c r="AE343" i="23"/>
  <c r="AE327" i="23"/>
  <c r="AE311" i="23"/>
  <c r="AE295" i="23"/>
  <c r="AE279" i="23"/>
  <c r="AE263" i="23"/>
  <c r="AE247" i="23"/>
  <c r="AE237" i="23"/>
  <c r="AE229" i="23"/>
  <c r="AE221" i="23"/>
  <c r="AE213" i="23"/>
  <c r="AE205" i="23"/>
  <c r="AE197" i="23"/>
  <c r="AE189" i="23"/>
  <c r="AE181" i="23"/>
  <c r="AE173" i="23"/>
  <c r="AE165" i="23"/>
  <c r="AE157" i="23"/>
  <c r="AE149" i="23"/>
  <c r="AE141" i="23"/>
  <c r="AE133" i="23"/>
  <c r="AE125" i="23"/>
  <c r="AE117" i="23"/>
  <c r="AE109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AM13" i="15"/>
  <c r="AK4" i="15"/>
  <c r="Y15" i="16"/>
  <c r="Y11" i="15"/>
  <c r="J12" i="19"/>
  <c r="AA11" i="15"/>
  <c r="AA5" i="15" s="1"/>
  <c r="AJ4" i="15"/>
  <c r="AL13" i="15"/>
  <c r="Z11" i="15"/>
  <c r="Z5" i="15" s="1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AD15" i="20"/>
  <c r="AE318" i="23" l="1"/>
  <c r="AE105" i="23"/>
  <c r="AE113" i="23"/>
  <c r="AE121" i="23"/>
  <c r="AE129" i="23"/>
  <c r="AE137" i="23"/>
  <c r="AE145" i="23"/>
  <c r="AE153" i="23"/>
  <c r="AE161" i="23"/>
  <c r="AE169" i="23"/>
  <c r="AE177" i="23"/>
  <c r="AE185" i="23"/>
  <c r="AE193" i="23"/>
  <c r="AE201" i="23"/>
  <c r="AE209" i="23"/>
  <c r="AE217" i="23"/>
  <c r="AE225" i="23"/>
  <c r="AE233" i="23"/>
  <c r="AE241" i="23"/>
  <c r="AE255" i="23"/>
  <c r="AE271" i="23"/>
  <c r="AE287" i="23"/>
  <c r="AE303" i="23"/>
  <c r="AE319" i="23"/>
  <c r="AE335" i="23"/>
  <c r="AE351" i="23"/>
  <c r="AE367" i="23"/>
  <c r="AE128" i="23"/>
  <c r="AE160" i="23"/>
  <c r="AE192" i="23"/>
  <c r="AE224" i="23"/>
  <c r="AE256" i="23"/>
  <c r="AE288" i="23"/>
  <c r="AE320" i="23"/>
  <c r="AE352" i="23"/>
  <c r="AE158" i="23"/>
  <c r="AE222" i="23"/>
  <c r="AE286" i="23"/>
  <c r="AE106" i="23"/>
  <c r="AE122" i="23"/>
  <c r="AE138" i="23"/>
  <c r="AE154" i="23"/>
  <c r="AE170" i="23"/>
  <c r="AE186" i="23"/>
  <c r="AE202" i="23"/>
  <c r="AE218" i="23"/>
  <c r="AE234" i="23"/>
  <c r="AE250" i="23"/>
  <c r="AE266" i="23"/>
  <c r="AE282" i="23"/>
  <c r="AE298" i="23"/>
  <c r="AE314" i="23"/>
  <c r="AE330" i="23"/>
  <c r="AE346" i="23"/>
  <c r="AE362" i="23"/>
  <c r="AE378" i="23"/>
  <c r="AE114" i="23"/>
  <c r="AE130" i="23"/>
  <c r="AE146" i="23"/>
  <c r="AE162" i="23"/>
  <c r="AE178" i="23"/>
  <c r="AE194" i="23"/>
  <c r="AE210" i="23"/>
  <c r="AE226" i="23"/>
  <c r="AE242" i="23"/>
  <c r="AE258" i="23"/>
  <c r="AE274" i="23"/>
  <c r="AE290" i="23"/>
  <c r="AE306" i="23"/>
  <c r="AE322" i="23"/>
  <c r="AE338" i="23"/>
  <c r="AE354" i="23"/>
  <c r="AE370" i="23"/>
  <c r="AE374" i="23"/>
  <c r="AE358" i="23"/>
  <c r="AE342" i="23"/>
  <c r="AE326" i="23"/>
  <c r="AE310" i="23"/>
  <c r="AE294" i="23"/>
  <c r="AE278" i="23"/>
  <c r="AE262" i="23"/>
  <c r="AE246" i="23"/>
  <c r="AE230" i="23"/>
  <c r="AE214" i="23"/>
  <c r="AE198" i="23"/>
  <c r="AE182" i="23"/>
  <c r="AE166" i="23"/>
  <c r="AE150" i="23"/>
  <c r="AE134" i="23"/>
  <c r="AE118" i="23"/>
  <c r="AE372" i="23"/>
  <c r="AE364" i="23"/>
  <c r="AE356" i="23"/>
  <c r="AE348" i="23"/>
  <c r="AE340" i="23"/>
  <c r="AE332" i="23"/>
  <c r="AE324" i="23"/>
  <c r="AE316" i="23"/>
  <c r="AE308" i="23"/>
  <c r="AE300" i="23"/>
  <c r="AE292" i="23"/>
  <c r="AE284" i="23"/>
  <c r="AE276" i="23"/>
  <c r="AE268" i="23"/>
  <c r="AE260" i="23"/>
  <c r="AE252" i="23"/>
  <c r="AE244" i="23"/>
  <c r="AE236" i="23"/>
  <c r="AE228" i="23"/>
  <c r="AE220" i="23"/>
  <c r="AE212" i="23"/>
  <c r="AE204" i="23"/>
  <c r="AE196" i="23"/>
  <c r="AE188" i="23"/>
  <c r="AE180" i="23"/>
  <c r="AE172" i="23"/>
  <c r="AE164" i="23"/>
  <c r="AE156" i="23"/>
  <c r="AE148" i="23"/>
  <c r="AE140" i="23"/>
  <c r="AE132" i="23"/>
  <c r="AE124" i="23"/>
  <c r="AE116" i="23"/>
  <c r="AE108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107" i="23"/>
  <c r="AE111" i="23"/>
  <c r="AE115" i="23"/>
  <c r="AE119" i="23"/>
  <c r="AE123" i="23"/>
  <c r="AE127" i="23"/>
  <c r="AE131" i="23"/>
  <c r="AE135" i="23"/>
  <c r="AE139" i="23"/>
  <c r="AE143" i="23"/>
  <c r="AE147" i="23"/>
  <c r="AE151" i="23"/>
  <c r="AE155" i="23"/>
  <c r="AE159" i="23"/>
  <c r="AE163" i="23"/>
  <c r="AE167" i="23"/>
  <c r="AE171" i="23"/>
  <c r="AE175" i="23"/>
  <c r="AE179" i="23"/>
  <c r="AE183" i="23"/>
  <c r="AE187" i="23"/>
  <c r="AE191" i="23"/>
  <c r="AE195" i="23"/>
  <c r="AE199" i="23"/>
  <c r="AE203" i="23"/>
  <c r="AE207" i="23"/>
  <c r="AE211" i="23"/>
  <c r="AE215" i="23"/>
  <c r="AE219" i="23"/>
  <c r="AE223" i="23"/>
  <c r="AE227" i="23"/>
  <c r="AE231" i="23"/>
  <c r="AE235" i="23"/>
  <c r="AE239" i="23"/>
  <c r="AE243" i="23"/>
  <c r="AE251" i="23"/>
  <c r="AE259" i="23"/>
  <c r="AE267" i="23"/>
  <c r="AE275" i="23"/>
  <c r="AE283" i="23"/>
  <c r="AE291" i="23"/>
  <c r="AE299" i="23"/>
  <c r="AE307" i="23"/>
  <c r="AE315" i="23"/>
  <c r="AE323" i="23"/>
  <c r="AE331" i="23"/>
  <c r="AE339" i="23"/>
  <c r="AE347" i="23"/>
  <c r="AE355" i="23"/>
  <c r="AE363" i="23"/>
  <c r="AE371" i="23"/>
  <c r="AE379" i="23"/>
  <c r="AE12" i="24" s="1"/>
  <c r="AE104" i="23"/>
  <c r="AE120" i="23"/>
  <c r="AE136" i="23"/>
  <c r="AE152" i="23"/>
  <c r="AE168" i="23"/>
  <c r="AE184" i="23"/>
  <c r="AE200" i="23"/>
  <c r="AE216" i="23"/>
  <c r="AE232" i="23"/>
  <c r="AE248" i="23"/>
  <c r="AE264" i="23"/>
  <c r="AE280" i="23"/>
  <c r="AE296" i="23"/>
  <c r="AE312" i="23"/>
  <c r="AE328" i="23"/>
  <c r="AE344" i="23"/>
  <c r="AE360" i="23"/>
  <c r="AE376" i="23"/>
  <c r="AE110" i="23"/>
  <c r="AE142" i="23"/>
  <c r="AE174" i="23"/>
  <c r="AE206" i="23"/>
  <c r="AE238" i="23"/>
  <c r="AE270" i="23"/>
  <c r="AE302" i="23"/>
  <c r="AE334" i="23"/>
  <c r="AE366" i="23"/>
  <c r="AT15" i="7"/>
  <c r="F37" i="19"/>
  <c r="C13" i="19"/>
  <c r="AA16" i="16"/>
  <c r="AL9" i="16" s="1"/>
  <c r="H16" i="16"/>
  <c r="G16" i="16"/>
  <c r="AK10" i="16"/>
  <c r="AK12" i="16" s="1"/>
  <c r="AK13" i="16" s="1"/>
  <c r="F382" i="16"/>
  <c r="F381" i="16"/>
  <c r="AM10" i="16"/>
  <c r="F383" i="16"/>
  <c r="F9" i="16"/>
  <c r="AF379" i="20"/>
  <c r="AG383" i="20"/>
  <c r="AG381" i="20"/>
  <c r="AE383" i="23"/>
  <c r="AG382" i="20"/>
  <c r="AO16" i="7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U380" i="22"/>
  <c r="T380" i="22" s="1"/>
  <c r="S380" i="22" s="1"/>
  <c r="R380" i="22" s="1"/>
  <c r="P380" i="22" s="1"/>
  <c r="V380" i="22" s="1"/>
  <c r="U376" i="22"/>
  <c r="T376" i="22" s="1"/>
  <c r="S376" i="22" s="1"/>
  <c r="R376" i="22" s="1"/>
  <c r="P376" i="22" s="1"/>
  <c r="V376" i="22" s="1"/>
  <c r="U372" i="22"/>
  <c r="T372" i="22" s="1"/>
  <c r="S372" i="22" s="1"/>
  <c r="R372" i="22" s="1"/>
  <c r="P372" i="22" s="1"/>
  <c r="V372" i="22" s="1"/>
  <c r="U368" i="22"/>
  <c r="T368" i="22" s="1"/>
  <c r="S368" i="22" s="1"/>
  <c r="R368" i="22" s="1"/>
  <c r="P368" i="22" s="1"/>
  <c r="V368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U374" i="22"/>
  <c r="T374" i="22" s="1"/>
  <c r="S374" i="22" s="1"/>
  <c r="R374" i="22" s="1"/>
  <c r="P374" i="22" s="1"/>
  <c r="V374" i="22" s="1"/>
  <c r="U370" i="22"/>
  <c r="T370" i="22" s="1"/>
  <c r="S370" i="22" s="1"/>
  <c r="R370" i="22" s="1"/>
  <c r="P370" i="22" s="1"/>
  <c r="V370" i="22" s="1"/>
  <c r="U366" i="22"/>
  <c r="T366" i="22" s="1"/>
  <c r="S366" i="22" s="1"/>
  <c r="R366" i="22" s="1"/>
  <c r="P366" i="22" s="1"/>
  <c r="V366" i="22" s="1"/>
  <c r="U362" i="22"/>
  <c r="T362" i="22" s="1"/>
  <c r="S362" i="22" s="1"/>
  <c r="R362" i="22" s="1"/>
  <c r="P362" i="22" s="1"/>
  <c r="V362" i="22" s="1"/>
  <c r="U358" i="22"/>
  <c r="T358" i="22" s="1"/>
  <c r="S358" i="22" s="1"/>
  <c r="R358" i="22" s="1"/>
  <c r="P358" i="22" s="1"/>
  <c r="V358" i="22" s="1"/>
  <c r="U354" i="22"/>
  <c r="T354" i="22" s="1"/>
  <c r="S354" i="22" s="1"/>
  <c r="R354" i="22" s="1"/>
  <c r="P354" i="22" s="1"/>
  <c r="V354" i="22" s="1"/>
  <c r="U350" i="22"/>
  <c r="T350" i="22" s="1"/>
  <c r="S350" i="22" s="1"/>
  <c r="R350" i="22" s="1"/>
  <c r="P350" i="22" s="1"/>
  <c r="V350" i="22" s="1"/>
  <c r="U346" i="22"/>
  <c r="T346" i="22" s="1"/>
  <c r="S346" i="22" s="1"/>
  <c r="R346" i="22" s="1"/>
  <c r="P346" i="22" s="1"/>
  <c r="V346" i="22" s="1"/>
  <c r="U342" i="22"/>
  <c r="T342" i="22" s="1"/>
  <c r="S342" i="22" s="1"/>
  <c r="R342" i="22" s="1"/>
  <c r="P342" i="22" s="1"/>
  <c r="V342" i="22" s="1"/>
  <c r="U338" i="22"/>
  <c r="T338" i="22" s="1"/>
  <c r="S338" i="22" s="1"/>
  <c r="R338" i="22" s="1"/>
  <c r="P338" i="22" s="1"/>
  <c r="V338" i="22" s="1"/>
  <c r="U334" i="22"/>
  <c r="T334" i="22" s="1"/>
  <c r="S334" i="22" s="1"/>
  <c r="R334" i="22" s="1"/>
  <c r="P334" i="22" s="1"/>
  <c r="V334" i="22" s="1"/>
  <c r="U330" i="22"/>
  <c r="T330" i="22" s="1"/>
  <c r="S330" i="22" s="1"/>
  <c r="R330" i="22" s="1"/>
  <c r="P330" i="22" s="1"/>
  <c r="V330" i="22" s="1"/>
  <c r="U326" i="22"/>
  <c r="T326" i="22" s="1"/>
  <c r="S326" i="22" s="1"/>
  <c r="R326" i="22" s="1"/>
  <c r="P326" i="22" s="1"/>
  <c r="V326" i="22" s="1"/>
  <c r="U322" i="22"/>
  <c r="T322" i="22" s="1"/>
  <c r="S322" i="22" s="1"/>
  <c r="R322" i="22" s="1"/>
  <c r="P322" i="22" s="1"/>
  <c r="V322" i="22" s="1"/>
  <c r="U318" i="22"/>
  <c r="T318" i="22" s="1"/>
  <c r="S318" i="22" s="1"/>
  <c r="R318" i="22" s="1"/>
  <c r="P318" i="22" s="1"/>
  <c r="V318" i="22" s="1"/>
  <c r="U314" i="22"/>
  <c r="T314" i="22" s="1"/>
  <c r="S314" i="22" s="1"/>
  <c r="R314" i="22" s="1"/>
  <c r="P314" i="22" s="1"/>
  <c r="V314" i="22" s="1"/>
  <c r="U310" i="22"/>
  <c r="T310" i="22" s="1"/>
  <c r="S310" i="22" s="1"/>
  <c r="R310" i="22" s="1"/>
  <c r="P310" i="22" s="1"/>
  <c r="V310" i="22" s="1"/>
  <c r="U306" i="22"/>
  <c r="T306" i="22" s="1"/>
  <c r="S306" i="22" s="1"/>
  <c r="R306" i="22" s="1"/>
  <c r="P306" i="22" s="1"/>
  <c r="V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U294" i="22"/>
  <c r="T294" i="22" s="1"/>
  <c r="S294" i="22" s="1"/>
  <c r="R294" i="22" s="1"/>
  <c r="P294" i="22" s="1"/>
  <c r="V294" i="22" s="1"/>
  <c r="U290" i="22"/>
  <c r="T290" i="22" s="1"/>
  <c r="S290" i="22" s="1"/>
  <c r="R290" i="22" s="1"/>
  <c r="P290" i="22" s="1"/>
  <c r="V290" i="22" s="1"/>
  <c r="U286" i="22"/>
  <c r="T286" i="22" s="1"/>
  <c r="S286" i="22" s="1"/>
  <c r="R286" i="22" s="1"/>
  <c r="P286" i="22" s="1"/>
  <c r="V286" i="22" s="1"/>
  <c r="U282" i="22"/>
  <c r="T282" i="22" s="1"/>
  <c r="S282" i="22" s="1"/>
  <c r="R282" i="22" s="1"/>
  <c r="P282" i="22" s="1"/>
  <c r="V282" i="22" s="1"/>
  <c r="U278" i="22"/>
  <c r="T278" i="22" s="1"/>
  <c r="S278" i="22" s="1"/>
  <c r="R278" i="22" s="1"/>
  <c r="P278" i="22" s="1"/>
  <c r="V278" i="22" s="1"/>
  <c r="U274" i="22"/>
  <c r="T274" i="22" s="1"/>
  <c r="S274" i="22" s="1"/>
  <c r="R274" i="22" s="1"/>
  <c r="P274" i="22" s="1"/>
  <c r="V274" i="22" s="1"/>
  <c r="U270" i="22"/>
  <c r="T270" i="22" s="1"/>
  <c r="S270" i="22" s="1"/>
  <c r="R270" i="22" s="1"/>
  <c r="P270" i="22" s="1"/>
  <c r="V270" i="22" s="1"/>
  <c r="U266" i="22"/>
  <c r="T266" i="22" s="1"/>
  <c r="S266" i="22" s="1"/>
  <c r="R266" i="22" s="1"/>
  <c r="P266" i="22" s="1"/>
  <c r="V266" i="22" s="1"/>
  <c r="U262" i="22"/>
  <c r="T262" i="22" s="1"/>
  <c r="S262" i="22" s="1"/>
  <c r="R262" i="22" s="1"/>
  <c r="P262" i="22" s="1"/>
  <c r="V262" i="22" s="1"/>
  <c r="U258" i="22"/>
  <c r="T258" i="22" s="1"/>
  <c r="S258" i="22" s="1"/>
  <c r="R258" i="22" s="1"/>
  <c r="P258" i="22" s="1"/>
  <c r="V258" i="22" s="1"/>
  <c r="U254" i="22"/>
  <c r="T254" i="22" s="1"/>
  <c r="S254" i="22" s="1"/>
  <c r="R254" i="22" s="1"/>
  <c r="P254" i="22" s="1"/>
  <c r="V254" i="22" s="1"/>
  <c r="U250" i="22"/>
  <c r="T250" i="22" s="1"/>
  <c r="S250" i="22" s="1"/>
  <c r="R250" i="22" s="1"/>
  <c r="P250" i="22" s="1"/>
  <c r="V250" i="22" s="1"/>
  <c r="U246" i="22"/>
  <c r="T246" i="22" s="1"/>
  <c r="S246" i="22" s="1"/>
  <c r="R246" i="22" s="1"/>
  <c r="P246" i="22" s="1"/>
  <c r="V246" i="22" s="1"/>
  <c r="U242" i="22"/>
  <c r="T242" i="22" s="1"/>
  <c r="S242" i="22" s="1"/>
  <c r="R242" i="22" s="1"/>
  <c r="P242" i="22" s="1"/>
  <c r="V242" i="22" s="1"/>
  <c r="U238" i="22"/>
  <c r="T238" i="22" s="1"/>
  <c r="S238" i="22" s="1"/>
  <c r="R238" i="22" s="1"/>
  <c r="P238" i="22" s="1"/>
  <c r="V238" i="22" s="1"/>
  <c r="U234" i="22"/>
  <c r="T234" i="22" s="1"/>
  <c r="S234" i="22" s="1"/>
  <c r="R234" i="22" s="1"/>
  <c r="P234" i="22" s="1"/>
  <c r="V234" i="22" s="1"/>
  <c r="U230" i="22"/>
  <c r="T230" i="22" s="1"/>
  <c r="S230" i="22" s="1"/>
  <c r="R230" i="22" s="1"/>
  <c r="P230" i="22" s="1"/>
  <c r="V230" i="22" s="1"/>
  <c r="U226" i="22"/>
  <c r="T226" i="22" s="1"/>
  <c r="S226" i="22" s="1"/>
  <c r="R226" i="22" s="1"/>
  <c r="P226" i="22" s="1"/>
  <c r="V226" i="22" s="1"/>
  <c r="U222" i="22"/>
  <c r="T222" i="22" s="1"/>
  <c r="S222" i="22" s="1"/>
  <c r="R222" i="22" s="1"/>
  <c r="P222" i="22" s="1"/>
  <c r="V222" i="22" s="1"/>
  <c r="U218" i="22"/>
  <c r="T218" i="22" s="1"/>
  <c r="S218" i="22" s="1"/>
  <c r="R218" i="22" s="1"/>
  <c r="P218" i="22" s="1"/>
  <c r="V218" i="22" s="1"/>
  <c r="U214" i="22"/>
  <c r="T214" i="22" s="1"/>
  <c r="S214" i="22" s="1"/>
  <c r="R214" i="22" s="1"/>
  <c r="P214" i="22" s="1"/>
  <c r="V214" i="22" s="1"/>
  <c r="U210" i="22"/>
  <c r="T210" i="22" s="1"/>
  <c r="S210" i="22" s="1"/>
  <c r="R210" i="22" s="1"/>
  <c r="P210" i="22" s="1"/>
  <c r="AH38" i="7" s="1"/>
  <c r="U206" i="22"/>
  <c r="T206" i="22" s="1"/>
  <c r="S206" i="22" s="1"/>
  <c r="R206" i="22" s="1"/>
  <c r="P206" i="22" s="1"/>
  <c r="V206" i="22" s="1"/>
  <c r="U202" i="22"/>
  <c r="T202" i="22" s="1"/>
  <c r="S202" i="22" s="1"/>
  <c r="R202" i="22" s="1"/>
  <c r="P202" i="22" s="1"/>
  <c r="V202" i="22" s="1"/>
  <c r="U198" i="22"/>
  <c r="T198" i="22" s="1"/>
  <c r="S198" i="22" s="1"/>
  <c r="R198" i="22" s="1"/>
  <c r="P198" i="22" s="1"/>
  <c r="V198" i="22" s="1"/>
  <c r="U194" i="22"/>
  <c r="T194" i="22" s="1"/>
  <c r="S194" i="22" s="1"/>
  <c r="R194" i="22" s="1"/>
  <c r="P194" i="22" s="1"/>
  <c r="V194" i="22" s="1"/>
  <c r="U190" i="22"/>
  <c r="T190" i="22" s="1"/>
  <c r="S190" i="22" s="1"/>
  <c r="R190" i="22" s="1"/>
  <c r="P190" i="22" s="1"/>
  <c r="V190" i="22" s="1"/>
  <c r="U186" i="22"/>
  <c r="T186" i="22" s="1"/>
  <c r="S186" i="22" s="1"/>
  <c r="R186" i="22" s="1"/>
  <c r="P186" i="22" s="1"/>
  <c r="V186" i="22" s="1"/>
  <c r="U182" i="22"/>
  <c r="T182" i="22" s="1"/>
  <c r="S182" i="22" s="1"/>
  <c r="R182" i="22" s="1"/>
  <c r="P182" i="22" s="1"/>
  <c r="V182" i="22" s="1"/>
  <c r="U178" i="22"/>
  <c r="T178" i="22" s="1"/>
  <c r="S178" i="22" s="1"/>
  <c r="R178" i="22" s="1"/>
  <c r="P178" i="22" s="1"/>
  <c r="V178" i="22" s="1"/>
  <c r="U174" i="22"/>
  <c r="T174" i="22" s="1"/>
  <c r="S174" i="22" s="1"/>
  <c r="R174" i="22" s="1"/>
  <c r="P174" i="22" s="1"/>
  <c r="V174" i="22" s="1"/>
  <c r="U170" i="22"/>
  <c r="T170" i="22" s="1"/>
  <c r="S170" i="22" s="1"/>
  <c r="R170" i="22" s="1"/>
  <c r="P170" i="22" s="1"/>
  <c r="V170" i="22" s="1"/>
  <c r="U166" i="22"/>
  <c r="T166" i="22" s="1"/>
  <c r="S166" i="22" s="1"/>
  <c r="R166" i="22" s="1"/>
  <c r="P166" i="22" s="1"/>
  <c r="V166" i="22" s="1"/>
  <c r="U162" i="22"/>
  <c r="T162" i="22" s="1"/>
  <c r="S162" i="22" s="1"/>
  <c r="R162" i="22" s="1"/>
  <c r="P162" i="22" s="1"/>
  <c r="V162" i="22" s="1"/>
  <c r="U158" i="22"/>
  <c r="T158" i="22" s="1"/>
  <c r="S158" i="22" s="1"/>
  <c r="R158" i="22" s="1"/>
  <c r="P158" i="22" s="1"/>
  <c r="V158" i="22" s="1"/>
  <c r="U154" i="22"/>
  <c r="T154" i="22" s="1"/>
  <c r="S154" i="22" s="1"/>
  <c r="R154" i="22" s="1"/>
  <c r="P154" i="22" s="1"/>
  <c r="V154" i="22" s="1"/>
  <c r="U150" i="22"/>
  <c r="T150" i="22" s="1"/>
  <c r="S150" i="22" s="1"/>
  <c r="R150" i="22" s="1"/>
  <c r="P150" i="22" s="1"/>
  <c r="V150" i="22" s="1"/>
  <c r="U146" i="22"/>
  <c r="T146" i="22" s="1"/>
  <c r="S146" i="22" s="1"/>
  <c r="R146" i="22" s="1"/>
  <c r="P146" i="22" s="1"/>
  <c r="V146" i="22" s="1"/>
  <c r="U142" i="22"/>
  <c r="T142" i="22" s="1"/>
  <c r="S142" i="22" s="1"/>
  <c r="R142" i="22" s="1"/>
  <c r="P142" i="22" s="1"/>
  <c r="V142" i="22" s="1"/>
  <c r="U138" i="22"/>
  <c r="T138" i="22" s="1"/>
  <c r="S138" i="22" s="1"/>
  <c r="R138" i="22" s="1"/>
  <c r="P138" i="22" s="1"/>
  <c r="V138" i="22" s="1"/>
  <c r="U134" i="22"/>
  <c r="T134" i="22" s="1"/>
  <c r="S134" i="22" s="1"/>
  <c r="R134" i="22" s="1"/>
  <c r="P134" i="22" s="1"/>
  <c r="V134" i="22" s="1"/>
  <c r="U130" i="22"/>
  <c r="T130" i="22" s="1"/>
  <c r="S130" i="22" s="1"/>
  <c r="R130" i="22" s="1"/>
  <c r="P130" i="22" s="1"/>
  <c r="V130" i="22" s="1"/>
  <c r="U126" i="22"/>
  <c r="T126" i="22" s="1"/>
  <c r="S126" i="22" s="1"/>
  <c r="R126" i="22" s="1"/>
  <c r="P126" i="22" s="1"/>
  <c r="V126" i="22" s="1"/>
  <c r="U122" i="22"/>
  <c r="T122" i="22" s="1"/>
  <c r="S122" i="22" s="1"/>
  <c r="R122" i="22" s="1"/>
  <c r="P122" i="22" s="1"/>
  <c r="V122" i="22" s="1"/>
  <c r="U118" i="22"/>
  <c r="T118" i="22" s="1"/>
  <c r="S118" i="22" s="1"/>
  <c r="R118" i="22" s="1"/>
  <c r="P118" i="22" s="1"/>
  <c r="V118" i="22" s="1"/>
  <c r="U114" i="22"/>
  <c r="T114" i="22" s="1"/>
  <c r="S114" i="22" s="1"/>
  <c r="R114" i="22" s="1"/>
  <c r="P114" i="22" s="1"/>
  <c r="V114" i="22" s="1"/>
  <c r="U110" i="22"/>
  <c r="T110" i="22" s="1"/>
  <c r="S110" i="22" s="1"/>
  <c r="R110" i="22" s="1"/>
  <c r="P110" i="22" s="1"/>
  <c r="V110" i="22" s="1"/>
  <c r="U106" i="22"/>
  <c r="T106" i="22" s="1"/>
  <c r="S106" i="22" s="1"/>
  <c r="R106" i="22" s="1"/>
  <c r="P106" i="22" s="1"/>
  <c r="V106" i="22" s="1"/>
  <c r="U102" i="22"/>
  <c r="T102" i="22" s="1"/>
  <c r="S102" i="22" s="1"/>
  <c r="R102" i="22" s="1"/>
  <c r="P102" i="22" s="1"/>
  <c r="V102" i="22" s="1"/>
  <c r="U98" i="22"/>
  <c r="T98" i="22" s="1"/>
  <c r="S98" i="22" s="1"/>
  <c r="R98" i="22" s="1"/>
  <c r="P98" i="22" s="1"/>
  <c r="V98" i="22" s="1"/>
  <c r="U94" i="22"/>
  <c r="T94" i="22" s="1"/>
  <c r="S94" i="22" s="1"/>
  <c r="R94" i="22" s="1"/>
  <c r="P94" i="22" s="1"/>
  <c r="V94" i="22" s="1"/>
  <c r="U90" i="22"/>
  <c r="T90" i="22" s="1"/>
  <c r="S90" i="22" s="1"/>
  <c r="R90" i="22" s="1"/>
  <c r="P90" i="22" s="1"/>
  <c r="V90" i="22" s="1"/>
  <c r="U86" i="22"/>
  <c r="T86" i="22" s="1"/>
  <c r="S86" i="22" s="1"/>
  <c r="R86" i="22" s="1"/>
  <c r="P86" i="22" s="1"/>
  <c r="V86" i="22" s="1"/>
  <c r="U82" i="22"/>
  <c r="T82" i="22" s="1"/>
  <c r="S82" i="22" s="1"/>
  <c r="R82" i="22" s="1"/>
  <c r="P82" i="22" s="1"/>
  <c r="V82" i="22" s="1"/>
  <c r="U78" i="22"/>
  <c r="T78" i="22" s="1"/>
  <c r="S78" i="22" s="1"/>
  <c r="R78" i="22" s="1"/>
  <c r="P78" i="22" s="1"/>
  <c r="V78" i="22" s="1"/>
  <c r="U74" i="22"/>
  <c r="T74" i="22" s="1"/>
  <c r="S74" i="22" s="1"/>
  <c r="R74" i="22" s="1"/>
  <c r="P74" i="22" s="1"/>
  <c r="V74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6" i="22"/>
  <c r="T36" i="22" s="1"/>
  <c r="S36" i="22" s="1"/>
  <c r="R36" i="22" s="1"/>
  <c r="P36" i="22" s="1"/>
  <c r="V36" i="22" s="1"/>
  <c r="U32" i="22"/>
  <c r="T32" i="22" s="1"/>
  <c r="S32" i="22" s="1"/>
  <c r="R32" i="22" s="1"/>
  <c r="P32" i="22" s="1"/>
  <c r="V32" i="22" s="1"/>
  <c r="U28" i="22"/>
  <c r="T28" i="22" s="1"/>
  <c r="S28" i="22" s="1"/>
  <c r="R28" i="22" s="1"/>
  <c r="P28" i="22" s="1"/>
  <c r="V28" i="22" s="1"/>
  <c r="U24" i="22"/>
  <c r="T24" i="22" s="1"/>
  <c r="S24" i="22" s="1"/>
  <c r="R24" i="22" s="1"/>
  <c r="P24" i="22" s="1"/>
  <c r="V24" i="22" s="1"/>
  <c r="U15" i="22"/>
  <c r="U18" i="22"/>
  <c r="T18" i="22" s="1"/>
  <c r="S18" i="22" s="1"/>
  <c r="R18" i="22" s="1"/>
  <c r="P18" i="22" s="1"/>
  <c r="V18" i="22" s="1"/>
  <c r="AI379" i="22"/>
  <c r="AI371" i="22"/>
  <c r="AH371" i="22" s="1"/>
  <c r="AG371" i="22" s="1"/>
  <c r="AF371" i="22" s="1"/>
  <c r="AD371" i="22" s="1"/>
  <c r="AI359" i="22"/>
  <c r="AH359" i="22" s="1"/>
  <c r="AG359" i="22" s="1"/>
  <c r="AF359" i="22" s="1"/>
  <c r="AD359" i="22" s="1"/>
  <c r="AI351" i="22"/>
  <c r="AH351" i="22" s="1"/>
  <c r="AG351" i="22" s="1"/>
  <c r="AF351" i="22" s="1"/>
  <c r="AD351" i="22" s="1"/>
  <c r="AI343" i="22"/>
  <c r="AH343" i="22" s="1"/>
  <c r="AG343" i="22" s="1"/>
  <c r="AF343" i="22" s="1"/>
  <c r="AD343" i="22" s="1"/>
  <c r="AI335" i="22"/>
  <c r="AH335" i="22" s="1"/>
  <c r="AG335" i="22" s="1"/>
  <c r="AF335" i="22" s="1"/>
  <c r="AD335" i="22" s="1"/>
  <c r="AI327" i="22"/>
  <c r="AH327" i="22" s="1"/>
  <c r="AG327" i="22" s="1"/>
  <c r="AF327" i="22" s="1"/>
  <c r="AD327" i="22" s="1"/>
  <c r="AI319" i="22"/>
  <c r="AH319" i="22" s="1"/>
  <c r="AG319" i="22" s="1"/>
  <c r="AF319" i="22" s="1"/>
  <c r="AD319" i="22" s="1"/>
  <c r="AI311" i="22"/>
  <c r="AH311" i="22" s="1"/>
  <c r="AG311" i="22" s="1"/>
  <c r="AF311" i="22" s="1"/>
  <c r="AD311" i="22" s="1"/>
  <c r="AI303" i="22"/>
  <c r="AH303" i="22" s="1"/>
  <c r="AG303" i="22" s="1"/>
  <c r="AF303" i="22" s="1"/>
  <c r="AD303" i="22" s="1"/>
  <c r="AI295" i="22"/>
  <c r="AH295" i="22" s="1"/>
  <c r="AG295" i="22" s="1"/>
  <c r="AF295" i="22" s="1"/>
  <c r="AD295" i="22" s="1"/>
  <c r="AI287" i="22"/>
  <c r="AH287" i="22" s="1"/>
  <c r="AG287" i="22" s="1"/>
  <c r="AF287" i="22" s="1"/>
  <c r="AD287" i="22" s="1"/>
  <c r="AI279" i="22"/>
  <c r="AH279" i="22" s="1"/>
  <c r="AG279" i="22" s="1"/>
  <c r="AF279" i="22" s="1"/>
  <c r="AD279" i="22" s="1"/>
  <c r="AI271" i="22"/>
  <c r="AH271" i="22" s="1"/>
  <c r="AG271" i="22" s="1"/>
  <c r="AF271" i="22" s="1"/>
  <c r="AD271" i="22" s="1"/>
  <c r="AI263" i="22"/>
  <c r="AH263" i="22" s="1"/>
  <c r="AG263" i="22" s="1"/>
  <c r="AF263" i="22" s="1"/>
  <c r="AD263" i="22" s="1"/>
  <c r="AI255" i="22"/>
  <c r="AH255" i="22" s="1"/>
  <c r="AG255" i="22" s="1"/>
  <c r="AF255" i="22" s="1"/>
  <c r="AD255" i="22" s="1"/>
  <c r="AI247" i="22"/>
  <c r="AH247" i="22" s="1"/>
  <c r="AG247" i="22" s="1"/>
  <c r="AF247" i="22" s="1"/>
  <c r="AD247" i="22" s="1"/>
  <c r="AI239" i="22"/>
  <c r="AH239" i="22" s="1"/>
  <c r="AG239" i="22" s="1"/>
  <c r="AF239" i="22" s="1"/>
  <c r="AD239" i="22" s="1"/>
  <c r="AI231" i="22"/>
  <c r="AH231" i="22" s="1"/>
  <c r="AG231" i="22" s="1"/>
  <c r="AF231" i="22" s="1"/>
  <c r="AD231" i="22" s="1"/>
  <c r="AI223" i="22"/>
  <c r="AH223" i="22" s="1"/>
  <c r="AG223" i="22" s="1"/>
  <c r="AF223" i="22" s="1"/>
  <c r="AD223" i="22" s="1"/>
  <c r="AI215" i="22"/>
  <c r="AH215" i="22" s="1"/>
  <c r="AG215" i="22" s="1"/>
  <c r="AF215" i="22" s="1"/>
  <c r="AD215" i="22" s="1"/>
  <c r="AI207" i="22"/>
  <c r="AH207" i="22" s="1"/>
  <c r="AG207" i="22" s="1"/>
  <c r="AF207" i="22" s="1"/>
  <c r="AD207" i="22" s="1"/>
  <c r="AI199" i="22"/>
  <c r="AH199" i="22" s="1"/>
  <c r="AG199" i="22" s="1"/>
  <c r="AF199" i="22" s="1"/>
  <c r="AD199" i="22" s="1"/>
  <c r="AI191" i="22"/>
  <c r="AH191" i="22" s="1"/>
  <c r="AG191" i="22" s="1"/>
  <c r="AF191" i="22" s="1"/>
  <c r="AD191" i="22" s="1"/>
  <c r="AI183" i="22"/>
  <c r="AH183" i="22" s="1"/>
  <c r="AG183" i="22" s="1"/>
  <c r="AF183" i="22" s="1"/>
  <c r="AD183" i="22" s="1"/>
  <c r="AI175" i="22"/>
  <c r="AH175" i="22" s="1"/>
  <c r="AG175" i="22" s="1"/>
  <c r="AF175" i="22" s="1"/>
  <c r="AD175" i="22" s="1"/>
  <c r="AI167" i="22"/>
  <c r="AH167" i="22" s="1"/>
  <c r="AG167" i="22" s="1"/>
  <c r="AF167" i="22" s="1"/>
  <c r="AD167" i="22" s="1"/>
  <c r="AI159" i="22"/>
  <c r="AH159" i="22" s="1"/>
  <c r="AG159" i="22" s="1"/>
  <c r="AF159" i="22" s="1"/>
  <c r="AD159" i="22" s="1"/>
  <c r="AI151" i="22"/>
  <c r="AH151" i="22" s="1"/>
  <c r="AG151" i="22" s="1"/>
  <c r="AF151" i="22" s="1"/>
  <c r="AD151" i="22" s="1"/>
  <c r="AI143" i="22"/>
  <c r="AH143" i="22" s="1"/>
  <c r="AG143" i="22" s="1"/>
  <c r="AF143" i="22" s="1"/>
  <c r="AD143" i="22" s="1"/>
  <c r="AI135" i="22"/>
  <c r="AH135" i="22" s="1"/>
  <c r="AG135" i="22" s="1"/>
  <c r="AF135" i="22" s="1"/>
  <c r="AD135" i="22" s="1"/>
  <c r="AI127" i="22"/>
  <c r="AH127" i="22" s="1"/>
  <c r="AG127" i="22" s="1"/>
  <c r="AF127" i="22" s="1"/>
  <c r="AD127" i="22" s="1"/>
  <c r="AI119" i="22"/>
  <c r="AH119" i="22" s="1"/>
  <c r="AG119" i="22" s="1"/>
  <c r="AF119" i="22" s="1"/>
  <c r="AD119" i="22" s="1"/>
  <c r="AI111" i="22"/>
  <c r="AH111" i="22" s="1"/>
  <c r="AG111" i="22" s="1"/>
  <c r="AF111" i="22" s="1"/>
  <c r="AD111" i="22" s="1"/>
  <c r="AI103" i="22"/>
  <c r="AH103" i="22" s="1"/>
  <c r="AG103" i="22" s="1"/>
  <c r="AF103" i="22" s="1"/>
  <c r="AD103" i="22" s="1"/>
  <c r="AI95" i="22"/>
  <c r="AH95" i="22" s="1"/>
  <c r="AG95" i="22" s="1"/>
  <c r="AF95" i="22" s="1"/>
  <c r="AD95" i="22" s="1"/>
  <c r="AI87" i="22"/>
  <c r="AH87" i="22" s="1"/>
  <c r="AG87" i="22" s="1"/>
  <c r="AF87" i="22" s="1"/>
  <c r="AD87" i="22" s="1"/>
  <c r="AI79" i="22"/>
  <c r="AH79" i="22" s="1"/>
  <c r="AG79" i="22" s="1"/>
  <c r="AF79" i="22" s="1"/>
  <c r="AD79" i="22" s="1"/>
  <c r="AI71" i="22"/>
  <c r="AH71" i="22" s="1"/>
  <c r="AG71" i="22" s="1"/>
  <c r="AF71" i="22" s="1"/>
  <c r="AD71" i="22" s="1"/>
  <c r="AI63" i="22"/>
  <c r="AH63" i="22" s="1"/>
  <c r="AG63" i="22" s="1"/>
  <c r="AF63" i="22" s="1"/>
  <c r="AD63" i="22" s="1"/>
  <c r="AI55" i="22"/>
  <c r="AH55" i="22" s="1"/>
  <c r="AG55" i="22" s="1"/>
  <c r="AF55" i="22" s="1"/>
  <c r="AD55" i="22" s="1"/>
  <c r="AI47" i="22"/>
  <c r="AH47" i="22" s="1"/>
  <c r="AG47" i="22" s="1"/>
  <c r="AF47" i="22" s="1"/>
  <c r="AD47" i="22" s="1"/>
  <c r="AI39" i="22"/>
  <c r="AH39" i="22" s="1"/>
  <c r="AG39" i="22" s="1"/>
  <c r="AF39" i="22" s="1"/>
  <c r="AD39" i="22" s="1"/>
  <c r="AI31" i="22"/>
  <c r="AH31" i="22" s="1"/>
  <c r="AG31" i="22" s="1"/>
  <c r="AF31" i="22" s="1"/>
  <c r="AD31" i="22" s="1"/>
  <c r="AI23" i="22"/>
  <c r="AH23" i="22" s="1"/>
  <c r="AG23" i="22" s="1"/>
  <c r="AF23" i="22" s="1"/>
  <c r="AD23" i="22" s="1"/>
  <c r="AI15" i="22"/>
  <c r="U377" i="22"/>
  <c r="T377" i="22" s="1"/>
  <c r="S377" i="22" s="1"/>
  <c r="R377" i="22" s="1"/>
  <c r="P377" i="22" s="1"/>
  <c r="V377" i="22" s="1"/>
  <c r="U365" i="22"/>
  <c r="T365" i="22" s="1"/>
  <c r="S365" i="22" s="1"/>
  <c r="R365" i="22" s="1"/>
  <c r="P365" i="22" s="1"/>
  <c r="V365" i="22" s="1"/>
  <c r="U357" i="22"/>
  <c r="T357" i="22" s="1"/>
  <c r="S357" i="22" s="1"/>
  <c r="R357" i="22" s="1"/>
  <c r="P357" i="22" s="1"/>
  <c r="V357" i="22" s="1"/>
  <c r="U349" i="22"/>
  <c r="T349" i="22" s="1"/>
  <c r="S349" i="22" s="1"/>
  <c r="R349" i="22" s="1"/>
  <c r="P349" i="22" s="1"/>
  <c r="V349" i="22" s="1"/>
  <c r="U341" i="22"/>
  <c r="T341" i="22" s="1"/>
  <c r="S341" i="22" s="1"/>
  <c r="R341" i="22" s="1"/>
  <c r="P341" i="22" s="1"/>
  <c r="V341" i="22" s="1"/>
  <c r="U333" i="22"/>
  <c r="T333" i="22" s="1"/>
  <c r="S333" i="22" s="1"/>
  <c r="R333" i="22" s="1"/>
  <c r="P333" i="22" s="1"/>
  <c r="U325" i="22"/>
  <c r="T325" i="22" s="1"/>
  <c r="S325" i="22" s="1"/>
  <c r="R325" i="22" s="1"/>
  <c r="P325" i="22" s="1"/>
  <c r="V325" i="22" s="1"/>
  <c r="U317" i="22"/>
  <c r="T317" i="22" s="1"/>
  <c r="S317" i="22" s="1"/>
  <c r="R317" i="22" s="1"/>
  <c r="P317" i="22" s="1"/>
  <c r="V317" i="22" s="1"/>
  <c r="U309" i="22"/>
  <c r="T309" i="22" s="1"/>
  <c r="S309" i="22" s="1"/>
  <c r="R309" i="22" s="1"/>
  <c r="P309" i="22" s="1"/>
  <c r="V309" i="22" s="1"/>
  <c r="U301" i="22"/>
  <c r="T301" i="22" s="1"/>
  <c r="S301" i="22" s="1"/>
  <c r="R301" i="22" s="1"/>
  <c r="P301" i="22" s="1"/>
  <c r="V301" i="22" s="1"/>
  <c r="U293" i="22"/>
  <c r="T293" i="22" s="1"/>
  <c r="S293" i="22" s="1"/>
  <c r="R293" i="22" s="1"/>
  <c r="P293" i="22" s="1"/>
  <c r="V293" i="22" s="1"/>
  <c r="U285" i="22"/>
  <c r="T285" i="22" s="1"/>
  <c r="S285" i="22" s="1"/>
  <c r="R285" i="22" s="1"/>
  <c r="P285" i="22" s="1"/>
  <c r="V285" i="22" s="1"/>
  <c r="U277" i="22"/>
  <c r="T277" i="22" s="1"/>
  <c r="S277" i="22" s="1"/>
  <c r="R277" i="22" s="1"/>
  <c r="P277" i="22" s="1"/>
  <c r="V277" i="22" s="1"/>
  <c r="U269" i="22"/>
  <c r="T269" i="22" s="1"/>
  <c r="S269" i="22" s="1"/>
  <c r="R269" i="22" s="1"/>
  <c r="P269" i="22" s="1"/>
  <c r="V269" i="22" s="1"/>
  <c r="U261" i="22"/>
  <c r="T261" i="22" s="1"/>
  <c r="S261" i="22" s="1"/>
  <c r="R261" i="22" s="1"/>
  <c r="P261" i="22" s="1"/>
  <c r="V261" i="22" s="1"/>
  <c r="U253" i="22"/>
  <c r="T253" i="22" s="1"/>
  <c r="S253" i="22" s="1"/>
  <c r="R253" i="22" s="1"/>
  <c r="P253" i="22" s="1"/>
  <c r="V253" i="22" s="1"/>
  <c r="U245" i="22"/>
  <c r="T245" i="22" s="1"/>
  <c r="S245" i="22" s="1"/>
  <c r="R245" i="22" s="1"/>
  <c r="P245" i="22" s="1"/>
  <c r="V245" i="22" s="1"/>
  <c r="U237" i="22"/>
  <c r="T237" i="22" s="1"/>
  <c r="S237" i="22" s="1"/>
  <c r="R237" i="22" s="1"/>
  <c r="P237" i="22" s="1"/>
  <c r="V237" i="22" s="1"/>
  <c r="U229" i="22"/>
  <c r="T229" i="22" s="1"/>
  <c r="S229" i="22" s="1"/>
  <c r="R229" i="22" s="1"/>
  <c r="P229" i="22" s="1"/>
  <c r="V229" i="22" s="1"/>
  <c r="U221" i="22"/>
  <c r="T221" i="22" s="1"/>
  <c r="S221" i="22" s="1"/>
  <c r="R221" i="22" s="1"/>
  <c r="P221" i="22" s="1"/>
  <c r="V221" i="22" s="1"/>
  <c r="U213" i="22"/>
  <c r="T213" i="22" s="1"/>
  <c r="S213" i="22" s="1"/>
  <c r="R213" i="22" s="1"/>
  <c r="P213" i="22" s="1"/>
  <c r="V213" i="22" s="1"/>
  <c r="U205" i="22"/>
  <c r="T205" i="22" s="1"/>
  <c r="S205" i="22" s="1"/>
  <c r="R205" i="22" s="1"/>
  <c r="P205" i="22" s="1"/>
  <c r="V205" i="22" s="1"/>
  <c r="U197" i="22"/>
  <c r="T197" i="22" s="1"/>
  <c r="S197" i="22" s="1"/>
  <c r="R197" i="22" s="1"/>
  <c r="P197" i="22" s="1"/>
  <c r="V197" i="22" s="1"/>
  <c r="U189" i="22"/>
  <c r="T189" i="22" s="1"/>
  <c r="S189" i="22" s="1"/>
  <c r="R189" i="22" s="1"/>
  <c r="P189" i="22" s="1"/>
  <c r="V189" i="22" s="1"/>
  <c r="U181" i="22"/>
  <c r="T181" i="22" s="1"/>
  <c r="S181" i="22" s="1"/>
  <c r="R181" i="22" s="1"/>
  <c r="P181" i="22" s="1"/>
  <c r="V181" i="22" s="1"/>
  <c r="U173" i="22"/>
  <c r="T173" i="22" s="1"/>
  <c r="S173" i="22" s="1"/>
  <c r="R173" i="22" s="1"/>
  <c r="P173" i="22" s="1"/>
  <c r="V173" i="22" s="1"/>
  <c r="U165" i="22"/>
  <c r="T165" i="22" s="1"/>
  <c r="S165" i="22" s="1"/>
  <c r="R165" i="22" s="1"/>
  <c r="P165" i="22" s="1"/>
  <c r="V165" i="22" s="1"/>
  <c r="U157" i="22"/>
  <c r="T157" i="22" s="1"/>
  <c r="S157" i="22" s="1"/>
  <c r="R157" i="22" s="1"/>
  <c r="P157" i="22" s="1"/>
  <c r="V157" i="22" s="1"/>
  <c r="U149" i="22"/>
  <c r="T149" i="22" s="1"/>
  <c r="S149" i="22" s="1"/>
  <c r="R149" i="22" s="1"/>
  <c r="P149" i="22" s="1"/>
  <c r="AH36" i="7" s="1"/>
  <c r="U141" i="22"/>
  <c r="T141" i="22" s="1"/>
  <c r="S141" i="22" s="1"/>
  <c r="R141" i="22" s="1"/>
  <c r="P141" i="22" s="1"/>
  <c r="V141" i="22" s="1"/>
  <c r="U133" i="22"/>
  <c r="T133" i="22" s="1"/>
  <c r="S133" i="22" s="1"/>
  <c r="R133" i="22" s="1"/>
  <c r="P133" i="22" s="1"/>
  <c r="V133" i="22" s="1"/>
  <c r="U125" i="22"/>
  <c r="T125" i="22" s="1"/>
  <c r="S125" i="22" s="1"/>
  <c r="R125" i="22" s="1"/>
  <c r="P125" i="22" s="1"/>
  <c r="V125" i="22" s="1"/>
  <c r="U117" i="22"/>
  <c r="T117" i="22" s="1"/>
  <c r="S117" i="22" s="1"/>
  <c r="R117" i="22" s="1"/>
  <c r="P117" i="22" s="1"/>
  <c r="V117" i="22" s="1"/>
  <c r="U109" i="22"/>
  <c r="T109" i="22" s="1"/>
  <c r="S109" i="22" s="1"/>
  <c r="R109" i="22" s="1"/>
  <c r="P109" i="22" s="1"/>
  <c r="V109" i="22" s="1"/>
  <c r="U101" i="22"/>
  <c r="T101" i="22" s="1"/>
  <c r="S101" i="22" s="1"/>
  <c r="R101" i="22" s="1"/>
  <c r="P101" i="22" s="1"/>
  <c r="V101" i="22" s="1"/>
  <c r="U93" i="22"/>
  <c r="T93" i="22" s="1"/>
  <c r="S93" i="22" s="1"/>
  <c r="R93" i="22" s="1"/>
  <c r="P93" i="22" s="1"/>
  <c r="V93" i="22" s="1"/>
  <c r="U85" i="22"/>
  <c r="T85" i="22" s="1"/>
  <c r="S85" i="22" s="1"/>
  <c r="R85" i="22" s="1"/>
  <c r="P85" i="22" s="1"/>
  <c r="V85" i="22" s="1"/>
  <c r="U77" i="22"/>
  <c r="T77" i="22" s="1"/>
  <c r="S77" i="22" s="1"/>
  <c r="R77" i="22" s="1"/>
  <c r="P77" i="22" s="1"/>
  <c r="V77" i="22" s="1"/>
  <c r="U69" i="22"/>
  <c r="T69" i="22" s="1"/>
  <c r="S69" i="22" s="1"/>
  <c r="R69" i="22" s="1"/>
  <c r="P69" i="22" s="1"/>
  <c r="V69" i="22" s="1"/>
  <c r="U61" i="22"/>
  <c r="T61" i="22" s="1"/>
  <c r="S61" i="22" s="1"/>
  <c r="R61" i="22" s="1"/>
  <c r="P61" i="22" s="1"/>
  <c r="V61" i="22" s="1"/>
  <c r="U53" i="22"/>
  <c r="T53" i="22" s="1"/>
  <c r="S53" i="22" s="1"/>
  <c r="R53" i="22" s="1"/>
  <c r="P53" i="22" s="1"/>
  <c r="V53" i="22" s="1"/>
  <c r="U45" i="22"/>
  <c r="T45" i="22" s="1"/>
  <c r="S45" i="22" s="1"/>
  <c r="R45" i="22" s="1"/>
  <c r="P45" i="22" s="1"/>
  <c r="V45" i="22" s="1"/>
  <c r="U37" i="22"/>
  <c r="T37" i="22" s="1"/>
  <c r="S37" i="22" s="1"/>
  <c r="R37" i="22" s="1"/>
  <c r="P37" i="22" s="1"/>
  <c r="V37" i="22" s="1"/>
  <c r="U29" i="22"/>
  <c r="T29" i="22" s="1"/>
  <c r="S29" i="22" s="1"/>
  <c r="R29" i="22" s="1"/>
  <c r="P29" i="22" s="1"/>
  <c r="V29" i="22" s="1"/>
  <c r="U23" i="22"/>
  <c r="T23" i="22" s="1"/>
  <c r="S23" i="22" s="1"/>
  <c r="R23" i="22" s="1"/>
  <c r="P23" i="22" s="1"/>
  <c r="V23" i="22" s="1"/>
  <c r="U70" i="22"/>
  <c r="T70" i="22" s="1"/>
  <c r="S70" i="22" s="1"/>
  <c r="R70" i="22" s="1"/>
  <c r="P70" i="22" s="1"/>
  <c r="V70" i="22" s="1"/>
  <c r="U66" i="22"/>
  <c r="T66" i="22" s="1"/>
  <c r="S66" i="22" s="1"/>
  <c r="R66" i="22" s="1"/>
  <c r="P66" i="22" s="1"/>
  <c r="V66" i="22" s="1"/>
  <c r="U62" i="22"/>
  <c r="T62" i="22" s="1"/>
  <c r="S62" i="22" s="1"/>
  <c r="R62" i="22" s="1"/>
  <c r="P62" i="22" s="1"/>
  <c r="V62" i="22" s="1"/>
  <c r="U58" i="22"/>
  <c r="T58" i="22" s="1"/>
  <c r="S58" i="22" s="1"/>
  <c r="R58" i="22" s="1"/>
  <c r="P58" i="22" s="1"/>
  <c r="V58" i="22" s="1"/>
  <c r="U54" i="22"/>
  <c r="T54" i="22" s="1"/>
  <c r="S54" i="22" s="1"/>
  <c r="R54" i="22" s="1"/>
  <c r="P54" i="22" s="1"/>
  <c r="V54" i="22" s="1"/>
  <c r="U50" i="22"/>
  <c r="T50" i="22" s="1"/>
  <c r="S50" i="22" s="1"/>
  <c r="R50" i="22" s="1"/>
  <c r="P50" i="22" s="1"/>
  <c r="V50" i="22" s="1"/>
  <c r="U46" i="22"/>
  <c r="T46" i="22" s="1"/>
  <c r="S46" i="22" s="1"/>
  <c r="R46" i="22" s="1"/>
  <c r="P46" i="22" s="1"/>
  <c r="V46" i="22" s="1"/>
  <c r="U42" i="22"/>
  <c r="T42" i="22" s="1"/>
  <c r="S42" i="22" s="1"/>
  <c r="R42" i="22" s="1"/>
  <c r="P42" i="22" s="1"/>
  <c r="V42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7" i="22"/>
  <c r="AH177" i="22" s="1"/>
  <c r="AG177" i="22" s="1"/>
  <c r="AF177" i="22" s="1"/>
  <c r="AD177" i="22" s="1"/>
  <c r="AI173" i="22"/>
  <c r="AH173" i="22" s="1"/>
  <c r="AG173" i="22" s="1"/>
  <c r="AF173" i="22" s="1"/>
  <c r="AD173" i="22" s="1"/>
  <c r="AI169" i="22"/>
  <c r="AH169" i="22" s="1"/>
  <c r="AG169" i="22" s="1"/>
  <c r="AF169" i="22" s="1"/>
  <c r="AD169" i="22" s="1"/>
  <c r="AI165" i="22"/>
  <c r="AH165" i="22" s="1"/>
  <c r="AG165" i="22" s="1"/>
  <c r="AF165" i="22" s="1"/>
  <c r="AD165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6" i="22"/>
  <c r="T16" i="22" s="1"/>
  <c r="S16" i="22" s="1"/>
  <c r="R16" i="22" s="1"/>
  <c r="P16" i="22" s="1"/>
  <c r="V16" i="22" s="1"/>
  <c r="U19" i="22"/>
  <c r="T19" i="22" s="1"/>
  <c r="S19" i="22" s="1"/>
  <c r="R19" i="22" s="1"/>
  <c r="P19" i="22" s="1"/>
  <c r="V19" i="22" s="1"/>
  <c r="U22" i="22"/>
  <c r="T22" i="22" s="1"/>
  <c r="S22" i="22" s="1"/>
  <c r="R22" i="22" s="1"/>
  <c r="P22" i="22" s="1"/>
  <c r="V22" i="22" s="1"/>
  <c r="AI375" i="22"/>
  <c r="AH375" i="22" s="1"/>
  <c r="AG375" i="22" s="1"/>
  <c r="AF375" i="22" s="1"/>
  <c r="AD375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5" i="22"/>
  <c r="AH355" i="22" s="1"/>
  <c r="AG355" i="22" s="1"/>
  <c r="AF355" i="22" s="1"/>
  <c r="AD355" i="22" s="1"/>
  <c r="AI347" i="22"/>
  <c r="AH347" i="22" s="1"/>
  <c r="AG347" i="22" s="1"/>
  <c r="AF347" i="22" s="1"/>
  <c r="AD347" i="22" s="1"/>
  <c r="AI339" i="22"/>
  <c r="AH339" i="22" s="1"/>
  <c r="AG339" i="22" s="1"/>
  <c r="AF339" i="22" s="1"/>
  <c r="AD339" i="22" s="1"/>
  <c r="AI331" i="22"/>
  <c r="AH331" i="22" s="1"/>
  <c r="AG331" i="22" s="1"/>
  <c r="AF331" i="22" s="1"/>
  <c r="AD331" i="22" s="1"/>
  <c r="AI323" i="22"/>
  <c r="AH323" i="22" s="1"/>
  <c r="AG323" i="22" s="1"/>
  <c r="AF323" i="22" s="1"/>
  <c r="AD323" i="22" s="1"/>
  <c r="AI315" i="22"/>
  <c r="AH315" i="22" s="1"/>
  <c r="AG315" i="22" s="1"/>
  <c r="AF315" i="22" s="1"/>
  <c r="AD315" i="22" s="1"/>
  <c r="AI307" i="22"/>
  <c r="AH307" i="22" s="1"/>
  <c r="AG307" i="22" s="1"/>
  <c r="AF307" i="22" s="1"/>
  <c r="AD307" i="22" s="1"/>
  <c r="AI299" i="22"/>
  <c r="AH299" i="22" s="1"/>
  <c r="AG299" i="22" s="1"/>
  <c r="AF299" i="22" s="1"/>
  <c r="AD299" i="22" s="1"/>
  <c r="AI291" i="22"/>
  <c r="AH291" i="22" s="1"/>
  <c r="AG291" i="22" s="1"/>
  <c r="AF291" i="22" s="1"/>
  <c r="AD291" i="22" s="1"/>
  <c r="AI283" i="22"/>
  <c r="AH283" i="22" s="1"/>
  <c r="AG283" i="22" s="1"/>
  <c r="AF283" i="22" s="1"/>
  <c r="AD283" i="22" s="1"/>
  <c r="AI275" i="22"/>
  <c r="AH275" i="22" s="1"/>
  <c r="AG275" i="22" s="1"/>
  <c r="AF275" i="22" s="1"/>
  <c r="AD275" i="22" s="1"/>
  <c r="AI267" i="22"/>
  <c r="AH267" i="22" s="1"/>
  <c r="AG267" i="22" s="1"/>
  <c r="AF267" i="22" s="1"/>
  <c r="AD267" i="22" s="1"/>
  <c r="AI259" i="22"/>
  <c r="AH259" i="22" s="1"/>
  <c r="AG259" i="22" s="1"/>
  <c r="AF259" i="22" s="1"/>
  <c r="AD259" i="22" s="1"/>
  <c r="AI251" i="22"/>
  <c r="AH251" i="22" s="1"/>
  <c r="AG251" i="22" s="1"/>
  <c r="AF251" i="22" s="1"/>
  <c r="AD251" i="22" s="1"/>
  <c r="AI243" i="22"/>
  <c r="AH243" i="22" s="1"/>
  <c r="AG243" i="22" s="1"/>
  <c r="AF243" i="22" s="1"/>
  <c r="AD243" i="22" s="1"/>
  <c r="AI235" i="22"/>
  <c r="AH235" i="22" s="1"/>
  <c r="AG235" i="22" s="1"/>
  <c r="AF235" i="22" s="1"/>
  <c r="AD235" i="22" s="1"/>
  <c r="AI227" i="22"/>
  <c r="AH227" i="22" s="1"/>
  <c r="AG227" i="22" s="1"/>
  <c r="AF227" i="22" s="1"/>
  <c r="AD227" i="22" s="1"/>
  <c r="AI219" i="22"/>
  <c r="AH219" i="22" s="1"/>
  <c r="AG219" i="22" s="1"/>
  <c r="AF219" i="22" s="1"/>
  <c r="AD219" i="22" s="1"/>
  <c r="AI211" i="22"/>
  <c r="AH211" i="22" s="1"/>
  <c r="AG211" i="22" s="1"/>
  <c r="AF211" i="22" s="1"/>
  <c r="AD211" i="22" s="1"/>
  <c r="AI203" i="22"/>
  <c r="AH203" i="22" s="1"/>
  <c r="AG203" i="22" s="1"/>
  <c r="AF203" i="22" s="1"/>
  <c r="AD203" i="22" s="1"/>
  <c r="AI195" i="22"/>
  <c r="AH195" i="22" s="1"/>
  <c r="AG195" i="22" s="1"/>
  <c r="AF195" i="22" s="1"/>
  <c r="AD195" i="22" s="1"/>
  <c r="AI187" i="22"/>
  <c r="AH187" i="22" s="1"/>
  <c r="AG187" i="22" s="1"/>
  <c r="AF187" i="22" s="1"/>
  <c r="AD187" i="22" s="1"/>
  <c r="AI179" i="22"/>
  <c r="AH179" i="22" s="1"/>
  <c r="AG179" i="22" s="1"/>
  <c r="AF179" i="22" s="1"/>
  <c r="AD179" i="22" s="1"/>
  <c r="AI171" i="22"/>
  <c r="AH171" i="22" s="1"/>
  <c r="AG171" i="22" s="1"/>
  <c r="AF171" i="22" s="1"/>
  <c r="AD171" i="22" s="1"/>
  <c r="AI163" i="22"/>
  <c r="AH163" i="22" s="1"/>
  <c r="AG163" i="22" s="1"/>
  <c r="AF163" i="22" s="1"/>
  <c r="AD163" i="22" s="1"/>
  <c r="AI155" i="22"/>
  <c r="AH155" i="22" s="1"/>
  <c r="AG155" i="22" s="1"/>
  <c r="AF155" i="22" s="1"/>
  <c r="AD155" i="22" s="1"/>
  <c r="AI147" i="22"/>
  <c r="AH147" i="22" s="1"/>
  <c r="AG147" i="22" s="1"/>
  <c r="AF147" i="22" s="1"/>
  <c r="AD147" i="22" s="1"/>
  <c r="AI139" i="22"/>
  <c r="AH139" i="22" s="1"/>
  <c r="AG139" i="22" s="1"/>
  <c r="AF139" i="22" s="1"/>
  <c r="AD139" i="22" s="1"/>
  <c r="AI131" i="22"/>
  <c r="AH131" i="22" s="1"/>
  <c r="AG131" i="22" s="1"/>
  <c r="AF131" i="22" s="1"/>
  <c r="AD131" i="22" s="1"/>
  <c r="AI123" i="22"/>
  <c r="AH123" i="22" s="1"/>
  <c r="AG123" i="22" s="1"/>
  <c r="AF123" i="22" s="1"/>
  <c r="AD123" i="22" s="1"/>
  <c r="AI115" i="22"/>
  <c r="AH115" i="22" s="1"/>
  <c r="AG115" i="22" s="1"/>
  <c r="AF115" i="22" s="1"/>
  <c r="AD115" i="22" s="1"/>
  <c r="AI107" i="22"/>
  <c r="AH107" i="22" s="1"/>
  <c r="AG107" i="22" s="1"/>
  <c r="AF107" i="22" s="1"/>
  <c r="AD107" i="22" s="1"/>
  <c r="AI99" i="22"/>
  <c r="AH99" i="22" s="1"/>
  <c r="AG99" i="22" s="1"/>
  <c r="AF99" i="22" s="1"/>
  <c r="AD99" i="22" s="1"/>
  <c r="AI91" i="22"/>
  <c r="AH91" i="22" s="1"/>
  <c r="AG91" i="22" s="1"/>
  <c r="AF91" i="22" s="1"/>
  <c r="AD91" i="22" s="1"/>
  <c r="AI83" i="22"/>
  <c r="AH83" i="22" s="1"/>
  <c r="AG83" i="22" s="1"/>
  <c r="AF83" i="22" s="1"/>
  <c r="AD83" i="22" s="1"/>
  <c r="AI75" i="22"/>
  <c r="AH75" i="22" s="1"/>
  <c r="AG75" i="22" s="1"/>
  <c r="AF75" i="22" s="1"/>
  <c r="AD75" i="22" s="1"/>
  <c r="AI67" i="22"/>
  <c r="AH67" i="22" s="1"/>
  <c r="AG67" i="22" s="1"/>
  <c r="AF67" i="22" s="1"/>
  <c r="AD67" i="22" s="1"/>
  <c r="AI59" i="22"/>
  <c r="AH59" i="22" s="1"/>
  <c r="AG59" i="22" s="1"/>
  <c r="AF59" i="22" s="1"/>
  <c r="AD59" i="22" s="1"/>
  <c r="AI51" i="22"/>
  <c r="AH51" i="22" s="1"/>
  <c r="AG51" i="22" s="1"/>
  <c r="AF51" i="22" s="1"/>
  <c r="AD51" i="22" s="1"/>
  <c r="AI43" i="22"/>
  <c r="AH43" i="22" s="1"/>
  <c r="AG43" i="22" s="1"/>
  <c r="AF43" i="22" s="1"/>
  <c r="AD43" i="22" s="1"/>
  <c r="AI35" i="22"/>
  <c r="AH35" i="22" s="1"/>
  <c r="AG35" i="22" s="1"/>
  <c r="AF35" i="22" s="1"/>
  <c r="AD35" i="22" s="1"/>
  <c r="AI27" i="22"/>
  <c r="AH27" i="22" s="1"/>
  <c r="AG27" i="22" s="1"/>
  <c r="AF27" i="22" s="1"/>
  <c r="AD27" i="22" s="1"/>
  <c r="AI17" i="22"/>
  <c r="AH17" i="22" s="1"/>
  <c r="AG17" i="22" s="1"/>
  <c r="AF17" i="22" s="1"/>
  <c r="AD17" i="22" s="1"/>
  <c r="U373" i="22"/>
  <c r="T373" i="22" s="1"/>
  <c r="S373" i="22" s="1"/>
  <c r="R373" i="22" s="1"/>
  <c r="P373" i="22" s="1"/>
  <c r="V373" i="22" s="1"/>
  <c r="U369" i="22"/>
  <c r="T369" i="22" s="1"/>
  <c r="S369" i="22" s="1"/>
  <c r="R369" i="22" s="1"/>
  <c r="P369" i="22" s="1"/>
  <c r="V369" i="22" s="1"/>
  <c r="U361" i="22"/>
  <c r="T361" i="22" s="1"/>
  <c r="S361" i="22" s="1"/>
  <c r="R361" i="22" s="1"/>
  <c r="P361" i="22" s="1"/>
  <c r="V361" i="22" s="1"/>
  <c r="U353" i="22"/>
  <c r="T353" i="22" s="1"/>
  <c r="S353" i="22" s="1"/>
  <c r="R353" i="22" s="1"/>
  <c r="P353" i="22" s="1"/>
  <c r="V353" i="22" s="1"/>
  <c r="U345" i="22"/>
  <c r="T345" i="22" s="1"/>
  <c r="S345" i="22" s="1"/>
  <c r="R345" i="22" s="1"/>
  <c r="P345" i="22" s="1"/>
  <c r="V345" i="22" s="1"/>
  <c r="U337" i="22"/>
  <c r="T337" i="22" s="1"/>
  <c r="S337" i="22" s="1"/>
  <c r="R337" i="22" s="1"/>
  <c r="P337" i="22" s="1"/>
  <c r="V337" i="22" s="1"/>
  <c r="U329" i="22"/>
  <c r="T329" i="22" s="1"/>
  <c r="S329" i="22" s="1"/>
  <c r="R329" i="22" s="1"/>
  <c r="P329" i="22" s="1"/>
  <c r="V329" i="22" s="1"/>
  <c r="U321" i="22"/>
  <c r="T321" i="22" s="1"/>
  <c r="S321" i="22" s="1"/>
  <c r="R321" i="22" s="1"/>
  <c r="P321" i="22" s="1"/>
  <c r="V321" i="22" s="1"/>
  <c r="U313" i="22"/>
  <c r="T313" i="22" s="1"/>
  <c r="S313" i="22" s="1"/>
  <c r="R313" i="22" s="1"/>
  <c r="P313" i="22" s="1"/>
  <c r="V313" i="22" s="1"/>
  <c r="U305" i="22"/>
  <c r="T305" i="22" s="1"/>
  <c r="S305" i="22" s="1"/>
  <c r="R305" i="22" s="1"/>
  <c r="P305" i="22" s="1"/>
  <c r="V305" i="22" s="1"/>
  <c r="U297" i="22"/>
  <c r="T297" i="22" s="1"/>
  <c r="S297" i="22" s="1"/>
  <c r="R297" i="22" s="1"/>
  <c r="P297" i="22" s="1"/>
  <c r="V297" i="22" s="1"/>
  <c r="U289" i="22"/>
  <c r="T289" i="22" s="1"/>
  <c r="S289" i="22" s="1"/>
  <c r="R289" i="22" s="1"/>
  <c r="P289" i="22" s="1"/>
  <c r="V289" i="22" s="1"/>
  <c r="U281" i="22"/>
  <c r="T281" i="22" s="1"/>
  <c r="S281" i="22" s="1"/>
  <c r="R281" i="22" s="1"/>
  <c r="P281" i="22" s="1"/>
  <c r="V281" i="22" s="1"/>
  <c r="U273" i="22"/>
  <c r="T273" i="22" s="1"/>
  <c r="S273" i="22" s="1"/>
  <c r="R273" i="22" s="1"/>
  <c r="P273" i="22" s="1"/>
  <c r="V273" i="22" s="1"/>
  <c r="U265" i="22"/>
  <c r="T265" i="22" s="1"/>
  <c r="S265" i="22" s="1"/>
  <c r="R265" i="22" s="1"/>
  <c r="P265" i="22" s="1"/>
  <c r="V265" i="22" s="1"/>
  <c r="U257" i="22"/>
  <c r="T257" i="22" s="1"/>
  <c r="S257" i="22" s="1"/>
  <c r="R257" i="22" s="1"/>
  <c r="P257" i="22" s="1"/>
  <c r="V257" i="22" s="1"/>
  <c r="U249" i="22"/>
  <c r="T249" i="22" s="1"/>
  <c r="S249" i="22" s="1"/>
  <c r="R249" i="22" s="1"/>
  <c r="P249" i="22" s="1"/>
  <c r="V249" i="22" s="1"/>
  <c r="U241" i="22"/>
  <c r="T241" i="22" s="1"/>
  <c r="S241" i="22" s="1"/>
  <c r="R241" i="22" s="1"/>
  <c r="P241" i="22" s="1"/>
  <c r="U233" i="22"/>
  <c r="T233" i="22" s="1"/>
  <c r="S233" i="22" s="1"/>
  <c r="R233" i="22" s="1"/>
  <c r="P233" i="22" s="1"/>
  <c r="V233" i="22" s="1"/>
  <c r="U225" i="22"/>
  <c r="T225" i="22" s="1"/>
  <c r="S225" i="22" s="1"/>
  <c r="R225" i="22" s="1"/>
  <c r="P225" i="22" s="1"/>
  <c r="V225" i="22" s="1"/>
  <c r="U217" i="22"/>
  <c r="T217" i="22" s="1"/>
  <c r="S217" i="22" s="1"/>
  <c r="R217" i="22" s="1"/>
  <c r="P217" i="22" s="1"/>
  <c r="V217" i="22" s="1"/>
  <c r="U209" i="22"/>
  <c r="T209" i="22" s="1"/>
  <c r="S209" i="22" s="1"/>
  <c r="R209" i="22" s="1"/>
  <c r="P209" i="22" s="1"/>
  <c r="V209" i="22" s="1"/>
  <c r="U201" i="22"/>
  <c r="T201" i="22" s="1"/>
  <c r="S201" i="22" s="1"/>
  <c r="R201" i="22" s="1"/>
  <c r="P201" i="22" s="1"/>
  <c r="V201" i="22" s="1"/>
  <c r="U193" i="22"/>
  <c r="T193" i="22" s="1"/>
  <c r="S193" i="22" s="1"/>
  <c r="R193" i="22" s="1"/>
  <c r="P193" i="22" s="1"/>
  <c r="V193" i="22" s="1"/>
  <c r="U185" i="22"/>
  <c r="T185" i="22" s="1"/>
  <c r="S185" i="22" s="1"/>
  <c r="R185" i="22" s="1"/>
  <c r="P185" i="22" s="1"/>
  <c r="V185" i="22" s="1"/>
  <c r="U177" i="22"/>
  <c r="T177" i="22" s="1"/>
  <c r="S177" i="22" s="1"/>
  <c r="R177" i="22" s="1"/>
  <c r="P177" i="22" s="1"/>
  <c r="V177" i="22" s="1"/>
  <c r="U169" i="22"/>
  <c r="T169" i="22" s="1"/>
  <c r="S169" i="22" s="1"/>
  <c r="R169" i="22" s="1"/>
  <c r="P169" i="22" s="1"/>
  <c r="V169" i="22" s="1"/>
  <c r="U161" i="22"/>
  <c r="T161" i="22" s="1"/>
  <c r="S161" i="22" s="1"/>
  <c r="R161" i="22" s="1"/>
  <c r="P161" i="22" s="1"/>
  <c r="V161" i="22" s="1"/>
  <c r="U153" i="22"/>
  <c r="T153" i="22" s="1"/>
  <c r="S153" i="22" s="1"/>
  <c r="R153" i="22" s="1"/>
  <c r="P153" i="22" s="1"/>
  <c r="V153" i="22" s="1"/>
  <c r="U145" i="22"/>
  <c r="T145" i="22" s="1"/>
  <c r="S145" i="22" s="1"/>
  <c r="R145" i="22" s="1"/>
  <c r="P145" i="22" s="1"/>
  <c r="V145" i="22" s="1"/>
  <c r="U137" i="22"/>
  <c r="T137" i="22" s="1"/>
  <c r="S137" i="22" s="1"/>
  <c r="R137" i="22" s="1"/>
  <c r="P137" i="22" s="1"/>
  <c r="V137" i="22" s="1"/>
  <c r="U129" i="22"/>
  <c r="T129" i="22" s="1"/>
  <c r="S129" i="22" s="1"/>
  <c r="R129" i="22" s="1"/>
  <c r="P129" i="22" s="1"/>
  <c r="V129" i="22" s="1"/>
  <c r="U121" i="22"/>
  <c r="T121" i="22" s="1"/>
  <c r="S121" i="22" s="1"/>
  <c r="R121" i="22" s="1"/>
  <c r="P121" i="22" s="1"/>
  <c r="V121" i="22" s="1"/>
  <c r="U113" i="22"/>
  <c r="T113" i="22" s="1"/>
  <c r="S113" i="22" s="1"/>
  <c r="R113" i="22" s="1"/>
  <c r="P113" i="22" s="1"/>
  <c r="V113" i="22" s="1"/>
  <c r="U105" i="22"/>
  <c r="T105" i="22" s="1"/>
  <c r="S105" i="22" s="1"/>
  <c r="R105" i="22" s="1"/>
  <c r="P105" i="22" s="1"/>
  <c r="V105" i="22" s="1"/>
  <c r="U97" i="22"/>
  <c r="T97" i="22" s="1"/>
  <c r="S97" i="22" s="1"/>
  <c r="R97" i="22" s="1"/>
  <c r="P97" i="22" s="1"/>
  <c r="V97" i="22" s="1"/>
  <c r="U89" i="22"/>
  <c r="T89" i="22" s="1"/>
  <c r="S89" i="22" s="1"/>
  <c r="R89" i="22" s="1"/>
  <c r="P89" i="22" s="1"/>
  <c r="V89" i="22" s="1"/>
  <c r="U81" i="22"/>
  <c r="T81" i="22" s="1"/>
  <c r="S81" i="22" s="1"/>
  <c r="R81" i="22" s="1"/>
  <c r="P81" i="22" s="1"/>
  <c r="V81" i="22" s="1"/>
  <c r="U73" i="22"/>
  <c r="T73" i="22" s="1"/>
  <c r="S73" i="22" s="1"/>
  <c r="R73" i="22" s="1"/>
  <c r="P73" i="22" s="1"/>
  <c r="V73" i="22" s="1"/>
  <c r="U65" i="22"/>
  <c r="T65" i="22" s="1"/>
  <c r="S65" i="22" s="1"/>
  <c r="R65" i="22" s="1"/>
  <c r="P65" i="22" s="1"/>
  <c r="V65" i="22" s="1"/>
  <c r="U57" i="22"/>
  <c r="T57" i="22" s="1"/>
  <c r="S57" i="22" s="1"/>
  <c r="R57" i="22" s="1"/>
  <c r="P57" i="22" s="1"/>
  <c r="V57" i="22" s="1"/>
  <c r="U49" i="22"/>
  <c r="T49" i="22" s="1"/>
  <c r="S49" i="22" s="1"/>
  <c r="R49" i="22" s="1"/>
  <c r="P49" i="22" s="1"/>
  <c r="V49" i="22" s="1"/>
  <c r="U41" i="22"/>
  <c r="T41" i="22" s="1"/>
  <c r="S41" i="22" s="1"/>
  <c r="R41" i="22" s="1"/>
  <c r="P41" i="22" s="1"/>
  <c r="V41" i="22" s="1"/>
  <c r="U33" i="22"/>
  <c r="T33" i="22" s="1"/>
  <c r="S33" i="22" s="1"/>
  <c r="R33" i="22" s="1"/>
  <c r="P33" i="22" s="1"/>
  <c r="V33" i="22" s="1"/>
  <c r="U25" i="22"/>
  <c r="T25" i="22" s="1"/>
  <c r="S25" i="22" s="1"/>
  <c r="R25" i="22" s="1"/>
  <c r="P25" i="22" s="1"/>
  <c r="V25" i="22" s="1"/>
  <c r="U20" i="22"/>
  <c r="T20" i="22" s="1"/>
  <c r="S20" i="22" s="1"/>
  <c r="R20" i="22" s="1"/>
  <c r="P20" i="22" s="1"/>
  <c r="V20" i="22" s="1"/>
  <c r="S383" i="20"/>
  <c r="S381" i="20"/>
  <c r="S382" i="20"/>
  <c r="R15" i="20"/>
  <c r="Q381" i="23"/>
  <c r="I12" i="19"/>
  <c r="I36" i="19" s="1"/>
  <c r="R12" i="19"/>
  <c r="N13" i="19" s="1"/>
  <c r="H12" i="19"/>
  <c r="H36" i="19" s="1"/>
  <c r="P12" i="19"/>
  <c r="N65" i="19"/>
  <c r="Q10" i="24"/>
  <c r="Q103" i="24" s="1"/>
  <c r="AY15" i="7"/>
  <c r="Q21" i="24"/>
  <c r="Q382" i="23"/>
  <c r="Q383" i="23"/>
  <c r="AH32" i="7" l="1"/>
  <c r="V210" i="22"/>
  <c r="AE381" i="23"/>
  <c r="AH35" i="7"/>
  <c r="AE382" i="23"/>
  <c r="Q263" i="24"/>
  <c r="G13" i="19"/>
  <c r="J37" i="19" s="1"/>
  <c r="AB9" i="16"/>
  <c r="F11" i="16"/>
  <c r="BY16" i="6"/>
  <c r="G383" i="16"/>
  <c r="G12" i="16" s="1"/>
  <c r="G382" i="16"/>
  <c r="G381" i="16"/>
  <c r="Z16" i="16"/>
  <c r="AL7" i="16" s="1"/>
  <c r="AA382" i="16"/>
  <c r="AL10" i="16"/>
  <c r="AA381" i="16"/>
  <c r="AA383" i="16"/>
  <c r="AA9" i="16"/>
  <c r="AM8" i="16"/>
  <c r="I16" i="16"/>
  <c r="J16" i="16"/>
  <c r="AD379" i="20"/>
  <c r="AF381" i="20"/>
  <c r="AF382" i="20"/>
  <c r="AF383" i="20"/>
  <c r="Q327" i="24"/>
  <c r="Q199" i="24"/>
  <c r="V149" i="22"/>
  <c r="F67" i="19" s="1"/>
  <c r="H67" i="19"/>
  <c r="AH43" i="7"/>
  <c r="V363" i="22"/>
  <c r="U12" i="23"/>
  <c r="T379" i="22"/>
  <c r="S379" i="22" s="1"/>
  <c r="R379" i="22" s="1"/>
  <c r="P379" i="22" s="1"/>
  <c r="AN16" i="7"/>
  <c r="AT11" i="7" s="1"/>
  <c r="U11" i="23" s="1"/>
  <c r="U10" i="23" s="1"/>
  <c r="U22" i="23" s="1"/>
  <c r="T22" i="23" s="1"/>
  <c r="S22" i="23" s="1"/>
  <c r="R22" i="23" s="1"/>
  <c r="P22" i="23" s="1"/>
  <c r="V22" i="23" s="1"/>
  <c r="AH379" i="22"/>
  <c r="AG379" i="22" s="1"/>
  <c r="AF379" i="22" s="1"/>
  <c r="AD379" i="22" s="1"/>
  <c r="AI12" i="23"/>
  <c r="U383" i="22"/>
  <c r="U381" i="22"/>
  <c r="U382" i="22"/>
  <c r="T15" i="22"/>
  <c r="AH33" i="7"/>
  <c r="V60" i="22"/>
  <c r="C67" i="19" s="1"/>
  <c r="AH41" i="7"/>
  <c r="V302" i="22"/>
  <c r="K67" i="19" s="1"/>
  <c r="V88" i="22"/>
  <c r="D67" i="19" s="1"/>
  <c r="AH34" i="7"/>
  <c r="AH40" i="7"/>
  <c r="V272" i="22"/>
  <c r="J67" i="19" s="1"/>
  <c r="R382" i="20"/>
  <c r="R381" i="20"/>
  <c r="R383" i="20"/>
  <c r="P15" i="20"/>
  <c r="AH39" i="7"/>
  <c r="V241" i="22"/>
  <c r="I67" i="19" s="1"/>
  <c r="AH42" i="7"/>
  <c r="V333" i="22"/>
  <c r="L67" i="19" s="1"/>
  <c r="AI381" i="22"/>
  <c r="AH15" i="22"/>
  <c r="AI383" i="22"/>
  <c r="AI382" i="22"/>
  <c r="V180" i="22"/>
  <c r="G67" i="19" s="1"/>
  <c r="AH37" i="7"/>
  <c r="Q135" i="24"/>
  <c r="U195" i="23"/>
  <c r="T195" i="23" s="1"/>
  <c r="S195" i="23" s="1"/>
  <c r="R195" i="23" s="1"/>
  <c r="P195" i="23" s="1"/>
  <c r="V195" i="23" s="1"/>
  <c r="U163" i="23"/>
  <c r="T163" i="23" s="1"/>
  <c r="S163" i="23" s="1"/>
  <c r="R163" i="23" s="1"/>
  <c r="P163" i="23" s="1"/>
  <c r="V163" i="23" s="1"/>
  <c r="U131" i="23"/>
  <c r="T131" i="23" s="1"/>
  <c r="S131" i="23" s="1"/>
  <c r="R131" i="23" s="1"/>
  <c r="P131" i="23" s="1"/>
  <c r="V131" i="23" s="1"/>
  <c r="U91" i="23"/>
  <c r="T91" i="23" s="1"/>
  <c r="S91" i="23" s="1"/>
  <c r="R91" i="23" s="1"/>
  <c r="P91" i="23" s="1"/>
  <c r="V91" i="23" s="1"/>
  <c r="U27" i="23"/>
  <c r="T27" i="23" s="1"/>
  <c r="S27" i="23" s="1"/>
  <c r="R27" i="23" s="1"/>
  <c r="P27" i="23" s="1"/>
  <c r="V27" i="23" s="1"/>
  <c r="Q359" i="24"/>
  <c r="Q295" i="24"/>
  <c r="Q231" i="24"/>
  <c r="Q167" i="24"/>
  <c r="U41" i="23"/>
  <c r="T41" i="23" s="1"/>
  <c r="U73" i="23"/>
  <c r="T73" i="23" s="1"/>
  <c r="S73" i="23" s="1"/>
  <c r="R73" i="23" s="1"/>
  <c r="P73" i="23" s="1"/>
  <c r="V73" i="23" s="1"/>
  <c r="U105" i="23"/>
  <c r="T105" i="23" s="1"/>
  <c r="S105" i="23" s="1"/>
  <c r="R105" i="23" s="1"/>
  <c r="P105" i="23" s="1"/>
  <c r="V105" i="23" s="1"/>
  <c r="U122" i="23"/>
  <c r="T122" i="23" s="1"/>
  <c r="S122" i="23" s="1"/>
  <c r="R122" i="23" s="1"/>
  <c r="P122" i="23" s="1"/>
  <c r="V122" i="23" s="1"/>
  <c r="U138" i="23"/>
  <c r="T138" i="23" s="1"/>
  <c r="S138" i="23" s="1"/>
  <c r="R138" i="23" s="1"/>
  <c r="P138" i="23" s="1"/>
  <c r="V138" i="23" s="1"/>
  <c r="U154" i="23"/>
  <c r="T154" i="23" s="1"/>
  <c r="S154" i="23" s="1"/>
  <c r="R154" i="23" s="1"/>
  <c r="P154" i="23" s="1"/>
  <c r="V154" i="23" s="1"/>
  <c r="U170" i="23"/>
  <c r="T170" i="23" s="1"/>
  <c r="S170" i="23" s="1"/>
  <c r="R170" i="23" s="1"/>
  <c r="P170" i="23" s="1"/>
  <c r="V170" i="23" s="1"/>
  <c r="U186" i="23"/>
  <c r="T186" i="23" s="1"/>
  <c r="S186" i="23" s="1"/>
  <c r="R186" i="23" s="1"/>
  <c r="P186" i="23" s="1"/>
  <c r="V186" i="23" s="1"/>
  <c r="U202" i="23"/>
  <c r="T202" i="23" s="1"/>
  <c r="S202" i="23" s="1"/>
  <c r="R202" i="23" s="1"/>
  <c r="P202" i="23" s="1"/>
  <c r="V202" i="23" s="1"/>
  <c r="Q79" i="24"/>
  <c r="Q87" i="24"/>
  <c r="Q119" i="24"/>
  <c r="Q151" i="24"/>
  <c r="Q183" i="24"/>
  <c r="Q215" i="24"/>
  <c r="Q247" i="24"/>
  <c r="Q279" i="24"/>
  <c r="Q311" i="24"/>
  <c r="Q343" i="24"/>
  <c r="Q375" i="24"/>
  <c r="U20" i="23"/>
  <c r="T20" i="23" s="1"/>
  <c r="S20" i="23" s="1"/>
  <c r="R20" i="23" s="1"/>
  <c r="P20" i="23" s="1"/>
  <c r="V20" i="23" s="1"/>
  <c r="U38" i="23"/>
  <c r="T38" i="23" s="1"/>
  <c r="U54" i="23"/>
  <c r="T54" i="23" s="1"/>
  <c r="S54" i="23" s="1"/>
  <c r="R54" i="23" s="1"/>
  <c r="P54" i="23" s="1"/>
  <c r="V54" i="23" s="1"/>
  <c r="U70" i="23"/>
  <c r="T70" i="23" s="1"/>
  <c r="S70" i="23" s="1"/>
  <c r="R70" i="23" s="1"/>
  <c r="P70" i="23" s="1"/>
  <c r="V70" i="23" s="1"/>
  <c r="U86" i="23"/>
  <c r="T86" i="23" s="1"/>
  <c r="S86" i="23" s="1"/>
  <c r="R86" i="23" s="1"/>
  <c r="P86" i="23" s="1"/>
  <c r="V86" i="23" s="1"/>
  <c r="U102" i="23"/>
  <c r="T102" i="23" s="1"/>
  <c r="S102" i="23" s="1"/>
  <c r="R102" i="23" s="1"/>
  <c r="P102" i="23" s="1"/>
  <c r="V102" i="23" s="1"/>
  <c r="Q367" i="24"/>
  <c r="Q351" i="24"/>
  <c r="Q335" i="24"/>
  <c r="Q319" i="24"/>
  <c r="Q303" i="24"/>
  <c r="Q287" i="24"/>
  <c r="Q271" i="24"/>
  <c r="Q255" i="24"/>
  <c r="Q239" i="24"/>
  <c r="Q223" i="24"/>
  <c r="Q207" i="24"/>
  <c r="Q191" i="24"/>
  <c r="Q175" i="24"/>
  <c r="Q159" i="24"/>
  <c r="Q143" i="24"/>
  <c r="Q127" i="24"/>
  <c r="Q111" i="24"/>
  <c r="Q95" i="24"/>
  <c r="Q19" i="24"/>
  <c r="Q75" i="24"/>
  <c r="Q83" i="24"/>
  <c r="Q91" i="24"/>
  <c r="Q99" i="24"/>
  <c r="Q107" i="24"/>
  <c r="Q115" i="24"/>
  <c r="Q123" i="24"/>
  <c r="Q131" i="24"/>
  <c r="Q139" i="24"/>
  <c r="Q147" i="24"/>
  <c r="Q155" i="24"/>
  <c r="Q163" i="24"/>
  <c r="Q171" i="24"/>
  <c r="Q179" i="24"/>
  <c r="Q187" i="24"/>
  <c r="Q195" i="24"/>
  <c r="Q203" i="24"/>
  <c r="Q211" i="24"/>
  <c r="Q219" i="24"/>
  <c r="Q227" i="24"/>
  <c r="Q235" i="24"/>
  <c r="Q243" i="24"/>
  <c r="Q251" i="24"/>
  <c r="Q259" i="24"/>
  <c r="Q267" i="24"/>
  <c r="Q275" i="24"/>
  <c r="Q283" i="24"/>
  <c r="Q291" i="24"/>
  <c r="Q299" i="24"/>
  <c r="Q307" i="24"/>
  <c r="Q315" i="24"/>
  <c r="Q323" i="24"/>
  <c r="Q331" i="24"/>
  <c r="Q339" i="24"/>
  <c r="Q347" i="24"/>
  <c r="Q355" i="24"/>
  <c r="Q363" i="24"/>
  <c r="Q371" i="24"/>
  <c r="Q379" i="24"/>
  <c r="Q12" i="25" s="1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8" i="24"/>
  <c r="Q71" i="24"/>
  <c r="Q60" i="24"/>
  <c r="Q64" i="24"/>
  <c r="Q56" i="24"/>
  <c r="Q48" i="24"/>
  <c r="Q52" i="24"/>
  <c r="Q40" i="24"/>
  <c r="Q44" i="24"/>
  <c r="Q36" i="24"/>
  <c r="Q32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6" i="24"/>
  <c r="Q62" i="24"/>
  <c r="Q58" i="24"/>
  <c r="Q54" i="24"/>
  <c r="Q50" i="24"/>
  <c r="Q46" i="24"/>
  <c r="Q42" i="24"/>
  <c r="Q38" i="24"/>
  <c r="Q34" i="24"/>
  <c r="Q30" i="24"/>
  <c r="Q69" i="24"/>
  <c r="Q67" i="24"/>
  <c r="Q65" i="24"/>
  <c r="Q63" i="24"/>
  <c r="Q61" i="24"/>
  <c r="Q59" i="24"/>
  <c r="Q57" i="24"/>
  <c r="Q55" i="24"/>
  <c r="Q53" i="24"/>
  <c r="Q51" i="24"/>
  <c r="Q49" i="24"/>
  <c r="Q47" i="24"/>
  <c r="Q45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Q22" i="24"/>
  <c r="Q20" i="24"/>
  <c r="Q15" i="24"/>
  <c r="Q16" i="24"/>
  <c r="S41" i="23"/>
  <c r="R41" i="23" s="1"/>
  <c r="P41" i="23" s="1"/>
  <c r="V41" i="23" s="1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S38" i="23"/>
  <c r="R38" i="23" s="1"/>
  <c r="P38" i="23" s="1"/>
  <c r="V38" i="23" s="1"/>
  <c r="AI11" i="23" l="1"/>
  <c r="AZ15" i="7"/>
  <c r="U94" i="23"/>
  <c r="T94" i="23" s="1"/>
  <c r="S94" i="23" s="1"/>
  <c r="R94" i="23" s="1"/>
  <c r="P94" i="23" s="1"/>
  <c r="V94" i="23" s="1"/>
  <c r="U78" i="23"/>
  <c r="T78" i="23" s="1"/>
  <c r="S78" i="23" s="1"/>
  <c r="R78" i="23" s="1"/>
  <c r="P78" i="23" s="1"/>
  <c r="V78" i="23" s="1"/>
  <c r="U62" i="23"/>
  <c r="T62" i="23" s="1"/>
  <c r="S62" i="23" s="1"/>
  <c r="R62" i="23" s="1"/>
  <c r="P62" i="23" s="1"/>
  <c r="V62" i="23" s="1"/>
  <c r="U46" i="23"/>
  <c r="T46" i="23" s="1"/>
  <c r="S46" i="23" s="1"/>
  <c r="R46" i="23" s="1"/>
  <c r="P46" i="23" s="1"/>
  <c r="V46" i="23" s="1"/>
  <c r="U30" i="23"/>
  <c r="T30" i="23" s="1"/>
  <c r="S30" i="23" s="1"/>
  <c r="R30" i="23" s="1"/>
  <c r="P30" i="23" s="1"/>
  <c r="V30" i="23" s="1"/>
  <c r="AU16" i="7"/>
  <c r="U210" i="23"/>
  <c r="T210" i="23" s="1"/>
  <c r="S210" i="23" s="1"/>
  <c r="R210" i="23" s="1"/>
  <c r="P210" i="23" s="1"/>
  <c r="U194" i="23"/>
  <c r="T194" i="23" s="1"/>
  <c r="S194" i="23" s="1"/>
  <c r="R194" i="23" s="1"/>
  <c r="P194" i="23" s="1"/>
  <c r="V194" i="23" s="1"/>
  <c r="U178" i="23"/>
  <c r="T178" i="23" s="1"/>
  <c r="S178" i="23" s="1"/>
  <c r="R178" i="23" s="1"/>
  <c r="P178" i="23" s="1"/>
  <c r="V178" i="23" s="1"/>
  <c r="U162" i="23"/>
  <c r="T162" i="23" s="1"/>
  <c r="S162" i="23" s="1"/>
  <c r="R162" i="23" s="1"/>
  <c r="P162" i="23" s="1"/>
  <c r="V162" i="23" s="1"/>
  <c r="U146" i="23"/>
  <c r="T146" i="23" s="1"/>
  <c r="S146" i="23" s="1"/>
  <c r="R146" i="23" s="1"/>
  <c r="P146" i="23" s="1"/>
  <c r="V146" i="23" s="1"/>
  <c r="U130" i="23"/>
  <c r="T130" i="23" s="1"/>
  <c r="S130" i="23" s="1"/>
  <c r="R130" i="23" s="1"/>
  <c r="P130" i="23" s="1"/>
  <c r="V130" i="23" s="1"/>
  <c r="U114" i="23"/>
  <c r="T114" i="23" s="1"/>
  <c r="S114" i="23" s="1"/>
  <c r="R114" i="23" s="1"/>
  <c r="P114" i="23" s="1"/>
  <c r="V114" i="23" s="1"/>
  <c r="U89" i="23"/>
  <c r="T89" i="23" s="1"/>
  <c r="S89" i="23" s="1"/>
  <c r="R89" i="23" s="1"/>
  <c r="P89" i="23" s="1"/>
  <c r="V89" i="23" s="1"/>
  <c r="U57" i="23"/>
  <c r="T57" i="23" s="1"/>
  <c r="S57" i="23" s="1"/>
  <c r="R57" i="23" s="1"/>
  <c r="P57" i="23" s="1"/>
  <c r="V57" i="23" s="1"/>
  <c r="U25" i="23"/>
  <c r="T25" i="23" s="1"/>
  <c r="S25" i="23" s="1"/>
  <c r="R25" i="23" s="1"/>
  <c r="P25" i="23" s="1"/>
  <c r="V25" i="23" s="1"/>
  <c r="U59" i="23"/>
  <c r="T59" i="23" s="1"/>
  <c r="S59" i="23" s="1"/>
  <c r="R59" i="23" s="1"/>
  <c r="P59" i="23" s="1"/>
  <c r="V59" i="23" s="1"/>
  <c r="U115" i="23"/>
  <c r="T115" i="23" s="1"/>
  <c r="S115" i="23" s="1"/>
  <c r="R115" i="23" s="1"/>
  <c r="P115" i="23" s="1"/>
  <c r="V115" i="23" s="1"/>
  <c r="U147" i="23"/>
  <c r="T147" i="23" s="1"/>
  <c r="S147" i="23" s="1"/>
  <c r="R147" i="23" s="1"/>
  <c r="P147" i="23" s="1"/>
  <c r="V147" i="23" s="1"/>
  <c r="U179" i="23"/>
  <c r="T179" i="23" s="1"/>
  <c r="S179" i="23" s="1"/>
  <c r="R179" i="23" s="1"/>
  <c r="P179" i="23" s="1"/>
  <c r="V179" i="23" s="1"/>
  <c r="U187" i="23"/>
  <c r="T187" i="23" s="1"/>
  <c r="S187" i="23" s="1"/>
  <c r="R187" i="23" s="1"/>
  <c r="P187" i="23" s="1"/>
  <c r="V187" i="23" s="1"/>
  <c r="Q382" i="24"/>
  <c r="U106" i="23"/>
  <c r="T106" i="23" s="1"/>
  <c r="S106" i="23" s="1"/>
  <c r="R106" i="23" s="1"/>
  <c r="P106" i="23" s="1"/>
  <c r="V106" i="23" s="1"/>
  <c r="U98" i="23"/>
  <c r="T98" i="23" s="1"/>
  <c r="S98" i="23" s="1"/>
  <c r="R98" i="23" s="1"/>
  <c r="P98" i="23" s="1"/>
  <c r="V98" i="23" s="1"/>
  <c r="U90" i="23"/>
  <c r="T90" i="23" s="1"/>
  <c r="S90" i="23" s="1"/>
  <c r="R90" i="23" s="1"/>
  <c r="P90" i="23" s="1"/>
  <c r="V90" i="23" s="1"/>
  <c r="U82" i="23"/>
  <c r="T82" i="23" s="1"/>
  <c r="S82" i="23" s="1"/>
  <c r="R82" i="23" s="1"/>
  <c r="P82" i="23" s="1"/>
  <c r="V82" i="23" s="1"/>
  <c r="U74" i="23"/>
  <c r="T74" i="23" s="1"/>
  <c r="S74" i="23" s="1"/>
  <c r="R74" i="23" s="1"/>
  <c r="P74" i="23" s="1"/>
  <c r="V74" i="23" s="1"/>
  <c r="U66" i="23"/>
  <c r="T66" i="23" s="1"/>
  <c r="S66" i="23" s="1"/>
  <c r="R66" i="23" s="1"/>
  <c r="P66" i="23" s="1"/>
  <c r="V66" i="23" s="1"/>
  <c r="U58" i="23"/>
  <c r="T58" i="23" s="1"/>
  <c r="S58" i="23" s="1"/>
  <c r="R58" i="23" s="1"/>
  <c r="P58" i="23" s="1"/>
  <c r="V58" i="23" s="1"/>
  <c r="U50" i="23"/>
  <c r="T50" i="23" s="1"/>
  <c r="S50" i="23" s="1"/>
  <c r="R50" i="23" s="1"/>
  <c r="P50" i="23" s="1"/>
  <c r="V50" i="23" s="1"/>
  <c r="U42" i="23"/>
  <c r="T42" i="23" s="1"/>
  <c r="S42" i="23" s="1"/>
  <c r="R42" i="23" s="1"/>
  <c r="P42" i="23" s="1"/>
  <c r="V42" i="23" s="1"/>
  <c r="U34" i="23"/>
  <c r="T34" i="23" s="1"/>
  <c r="S34" i="23" s="1"/>
  <c r="R34" i="23" s="1"/>
  <c r="P34" i="23" s="1"/>
  <c r="V34" i="23" s="1"/>
  <c r="U26" i="23"/>
  <c r="T26" i="23" s="1"/>
  <c r="S26" i="23" s="1"/>
  <c r="R26" i="23" s="1"/>
  <c r="P26" i="23" s="1"/>
  <c r="V26" i="23" s="1"/>
  <c r="U18" i="23"/>
  <c r="T18" i="23" s="1"/>
  <c r="S18" i="23" s="1"/>
  <c r="R18" i="23" s="1"/>
  <c r="P18" i="23" s="1"/>
  <c r="V18" i="23" s="1"/>
  <c r="U206" i="23"/>
  <c r="T206" i="23" s="1"/>
  <c r="S206" i="23" s="1"/>
  <c r="R206" i="23" s="1"/>
  <c r="P206" i="23" s="1"/>
  <c r="V206" i="23" s="1"/>
  <c r="U198" i="23"/>
  <c r="T198" i="23" s="1"/>
  <c r="S198" i="23" s="1"/>
  <c r="R198" i="23" s="1"/>
  <c r="P198" i="23" s="1"/>
  <c r="V198" i="23" s="1"/>
  <c r="U190" i="23"/>
  <c r="T190" i="23" s="1"/>
  <c r="S190" i="23" s="1"/>
  <c r="R190" i="23" s="1"/>
  <c r="P190" i="23" s="1"/>
  <c r="V190" i="23" s="1"/>
  <c r="U182" i="23"/>
  <c r="T182" i="23" s="1"/>
  <c r="S182" i="23" s="1"/>
  <c r="R182" i="23" s="1"/>
  <c r="P182" i="23" s="1"/>
  <c r="V182" i="23" s="1"/>
  <c r="U174" i="23"/>
  <c r="T174" i="23" s="1"/>
  <c r="S174" i="23" s="1"/>
  <c r="R174" i="23" s="1"/>
  <c r="P174" i="23" s="1"/>
  <c r="V174" i="23" s="1"/>
  <c r="U166" i="23"/>
  <c r="T166" i="23" s="1"/>
  <c r="S166" i="23" s="1"/>
  <c r="R166" i="23" s="1"/>
  <c r="P166" i="23" s="1"/>
  <c r="V166" i="23" s="1"/>
  <c r="U158" i="23"/>
  <c r="T158" i="23" s="1"/>
  <c r="S158" i="23" s="1"/>
  <c r="R158" i="23" s="1"/>
  <c r="P158" i="23" s="1"/>
  <c r="V158" i="23" s="1"/>
  <c r="U150" i="23"/>
  <c r="T150" i="23" s="1"/>
  <c r="S150" i="23" s="1"/>
  <c r="R150" i="23" s="1"/>
  <c r="P150" i="23" s="1"/>
  <c r="V150" i="23" s="1"/>
  <c r="U142" i="23"/>
  <c r="T142" i="23" s="1"/>
  <c r="S142" i="23" s="1"/>
  <c r="R142" i="23" s="1"/>
  <c r="P142" i="23" s="1"/>
  <c r="V142" i="23" s="1"/>
  <c r="U134" i="23"/>
  <c r="T134" i="23" s="1"/>
  <c r="S134" i="23" s="1"/>
  <c r="R134" i="23" s="1"/>
  <c r="P134" i="23" s="1"/>
  <c r="V134" i="23" s="1"/>
  <c r="U126" i="23"/>
  <c r="T126" i="23" s="1"/>
  <c r="S126" i="23" s="1"/>
  <c r="R126" i="23" s="1"/>
  <c r="P126" i="23" s="1"/>
  <c r="V126" i="23" s="1"/>
  <c r="U118" i="23"/>
  <c r="T118" i="23" s="1"/>
  <c r="S118" i="23" s="1"/>
  <c r="R118" i="23" s="1"/>
  <c r="P118" i="23" s="1"/>
  <c r="V118" i="23" s="1"/>
  <c r="U110" i="23"/>
  <c r="T110" i="23" s="1"/>
  <c r="S110" i="23" s="1"/>
  <c r="R110" i="23" s="1"/>
  <c r="P110" i="23" s="1"/>
  <c r="V110" i="23" s="1"/>
  <c r="U97" i="23"/>
  <c r="T97" i="23" s="1"/>
  <c r="S97" i="23" s="1"/>
  <c r="R97" i="23" s="1"/>
  <c r="P97" i="23" s="1"/>
  <c r="V97" i="23" s="1"/>
  <c r="U81" i="23"/>
  <c r="T81" i="23" s="1"/>
  <c r="S81" i="23" s="1"/>
  <c r="R81" i="23" s="1"/>
  <c r="P81" i="23" s="1"/>
  <c r="V81" i="23" s="1"/>
  <c r="U65" i="23"/>
  <c r="T65" i="23" s="1"/>
  <c r="S65" i="23" s="1"/>
  <c r="R65" i="23" s="1"/>
  <c r="P65" i="23" s="1"/>
  <c r="V65" i="23" s="1"/>
  <c r="U49" i="23"/>
  <c r="T49" i="23" s="1"/>
  <c r="S49" i="23" s="1"/>
  <c r="R49" i="23" s="1"/>
  <c r="P49" i="23" s="1"/>
  <c r="V49" i="23" s="1"/>
  <c r="U33" i="23"/>
  <c r="T33" i="23" s="1"/>
  <c r="S33" i="23" s="1"/>
  <c r="R33" i="23" s="1"/>
  <c r="P33" i="23" s="1"/>
  <c r="V33" i="23" s="1"/>
  <c r="U15" i="23"/>
  <c r="T15" i="23" s="1"/>
  <c r="U43" i="23"/>
  <c r="T43" i="23" s="1"/>
  <c r="S43" i="23" s="1"/>
  <c r="R43" i="23" s="1"/>
  <c r="P43" i="23" s="1"/>
  <c r="V43" i="23" s="1"/>
  <c r="U75" i="23"/>
  <c r="T75" i="23" s="1"/>
  <c r="S75" i="23" s="1"/>
  <c r="R75" i="23" s="1"/>
  <c r="P75" i="23" s="1"/>
  <c r="V75" i="23" s="1"/>
  <c r="U107" i="23"/>
  <c r="T107" i="23" s="1"/>
  <c r="S107" i="23" s="1"/>
  <c r="R107" i="23" s="1"/>
  <c r="P107" i="23" s="1"/>
  <c r="V107" i="23" s="1"/>
  <c r="U123" i="23"/>
  <c r="T123" i="23" s="1"/>
  <c r="S123" i="23" s="1"/>
  <c r="R123" i="23" s="1"/>
  <c r="P123" i="23" s="1"/>
  <c r="V123" i="23" s="1"/>
  <c r="U139" i="23"/>
  <c r="T139" i="23" s="1"/>
  <c r="S139" i="23" s="1"/>
  <c r="R139" i="23" s="1"/>
  <c r="P139" i="23" s="1"/>
  <c r="V139" i="23" s="1"/>
  <c r="U155" i="23"/>
  <c r="T155" i="23" s="1"/>
  <c r="S155" i="23" s="1"/>
  <c r="R155" i="23" s="1"/>
  <c r="P155" i="23" s="1"/>
  <c r="V155" i="23" s="1"/>
  <c r="U171" i="23"/>
  <c r="T171" i="23" s="1"/>
  <c r="S171" i="23" s="1"/>
  <c r="R171" i="23" s="1"/>
  <c r="P171" i="23" s="1"/>
  <c r="V171" i="23" s="1"/>
  <c r="Q381" i="24"/>
  <c r="J381" i="16"/>
  <c r="J383" i="16"/>
  <c r="J382" i="16"/>
  <c r="Y16" i="16"/>
  <c r="AL5" i="16" s="1"/>
  <c r="AL11" i="16" s="1"/>
  <c r="AJ3" i="16" s="1"/>
  <c r="O13" i="19" s="1"/>
  <c r="M13" i="19" s="1"/>
  <c r="Z381" i="16"/>
  <c r="AL8" i="16"/>
  <c r="Z383" i="16"/>
  <c r="Z382" i="16"/>
  <c r="Z9" i="16"/>
  <c r="U191" i="23"/>
  <c r="T191" i="23" s="1"/>
  <c r="S191" i="23" s="1"/>
  <c r="R191" i="23" s="1"/>
  <c r="P191" i="23" s="1"/>
  <c r="V191" i="23" s="1"/>
  <c r="I383" i="16"/>
  <c r="I382" i="16"/>
  <c r="I381" i="16"/>
  <c r="Q7" i="7"/>
  <c r="C7" i="6"/>
  <c r="G37" i="19"/>
  <c r="D13" i="19"/>
  <c r="E13" i="19" s="1"/>
  <c r="F13" i="19" s="1"/>
  <c r="AD381" i="20"/>
  <c r="AD382" i="20"/>
  <c r="AD383" i="20"/>
  <c r="U104" i="23"/>
  <c r="T104" i="23" s="1"/>
  <c r="S104" i="23" s="1"/>
  <c r="R104" i="23" s="1"/>
  <c r="P104" i="23" s="1"/>
  <c r="V104" i="23" s="1"/>
  <c r="U100" i="23"/>
  <c r="T100" i="23" s="1"/>
  <c r="S100" i="23" s="1"/>
  <c r="R100" i="23" s="1"/>
  <c r="P100" i="23" s="1"/>
  <c r="V100" i="23" s="1"/>
  <c r="U96" i="23"/>
  <c r="T96" i="23" s="1"/>
  <c r="S96" i="23" s="1"/>
  <c r="R96" i="23" s="1"/>
  <c r="P96" i="23" s="1"/>
  <c r="V96" i="23" s="1"/>
  <c r="U92" i="23"/>
  <c r="T92" i="23" s="1"/>
  <c r="S92" i="23" s="1"/>
  <c r="R92" i="23" s="1"/>
  <c r="P92" i="23" s="1"/>
  <c r="V92" i="23" s="1"/>
  <c r="U88" i="23"/>
  <c r="T88" i="23" s="1"/>
  <c r="S88" i="23" s="1"/>
  <c r="R88" i="23" s="1"/>
  <c r="P88" i="23" s="1"/>
  <c r="U84" i="23"/>
  <c r="T84" i="23" s="1"/>
  <c r="S84" i="23" s="1"/>
  <c r="R84" i="23" s="1"/>
  <c r="P84" i="23" s="1"/>
  <c r="V84" i="23" s="1"/>
  <c r="U80" i="23"/>
  <c r="T80" i="23" s="1"/>
  <c r="S80" i="23" s="1"/>
  <c r="R80" i="23" s="1"/>
  <c r="P80" i="23" s="1"/>
  <c r="V80" i="23" s="1"/>
  <c r="U76" i="23"/>
  <c r="T76" i="23" s="1"/>
  <c r="S76" i="23" s="1"/>
  <c r="R76" i="23" s="1"/>
  <c r="P76" i="23" s="1"/>
  <c r="V76" i="23" s="1"/>
  <c r="U72" i="23"/>
  <c r="T72" i="23" s="1"/>
  <c r="S72" i="23" s="1"/>
  <c r="R72" i="23" s="1"/>
  <c r="P72" i="23" s="1"/>
  <c r="V72" i="23" s="1"/>
  <c r="U68" i="23"/>
  <c r="T68" i="23" s="1"/>
  <c r="S68" i="23" s="1"/>
  <c r="R68" i="23" s="1"/>
  <c r="P68" i="23" s="1"/>
  <c r="V68" i="23" s="1"/>
  <c r="U64" i="23"/>
  <c r="T64" i="23" s="1"/>
  <c r="S64" i="23" s="1"/>
  <c r="R64" i="23" s="1"/>
  <c r="P64" i="23" s="1"/>
  <c r="V64" i="23" s="1"/>
  <c r="U60" i="23"/>
  <c r="T60" i="23" s="1"/>
  <c r="S60" i="23" s="1"/>
  <c r="R60" i="23" s="1"/>
  <c r="P60" i="23" s="1"/>
  <c r="AH45" i="7" s="1"/>
  <c r="U56" i="23"/>
  <c r="T56" i="23" s="1"/>
  <c r="S56" i="23" s="1"/>
  <c r="R56" i="23" s="1"/>
  <c r="P56" i="23" s="1"/>
  <c r="V56" i="23" s="1"/>
  <c r="U52" i="23"/>
  <c r="T52" i="23" s="1"/>
  <c r="S52" i="23" s="1"/>
  <c r="R52" i="23" s="1"/>
  <c r="P52" i="23" s="1"/>
  <c r="V52" i="23" s="1"/>
  <c r="U48" i="23"/>
  <c r="T48" i="23" s="1"/>
  <c r="S48" i="23" s="1"/>
  <c r="R48" i="23" s="1"/>
  <c r="P48" i="23" s="1"/>
  <c r="V48" i="23" s="1"/>
  <c r="U44" i="23"/>
  <c r="T44" i="23" s="1"/>
  <c r="S44" i="23" s="1"/>
  <c r="R44" i="23" s="1"/>
  <c r="P44" i="23" s="1"/>
  <c r="V44" i="23" s="1"/>
  <c r="U40" i="23"/>
  <c r="T40" i="23" s="1"/>
  <c r="S40" i="23" s="1"/>
  <c r="R40" i="23" s="1"/>
  <c r="P40" i="23" s="1"/>
  <c r="V40" i="23" s="1"/>
  <c r="U36" i="23"/>
  <c r="T36" i="23" s="1"/>
  <c r="S36" i="23" s="1"/>
  <c r="R36" i="23" s="1"/>
  <c r="P36" i="23" s="1"/>
  <c r="V36" i="23" s="1"/>
  <c r="U32" i="23"/>
  <c r="T32" i="23" s="1"/>
  <c r="S32" i="23" s="1"/>
  <c r="R32" i="23" s="1"/>
  <c r="P32" i="23" s="1"/>
  <c r="V32" i="23" s="1"/>
  <c r="U28" i="23"/>
  <c r="T28" i="23" s="1"/>
  <c r="S28" i="23" s="1"/>
  <c r="R28" i="23" s="1"/>
  <c r="P28" i="23" s="1"/>
  <c r="V28" i="23" s="1"/>
  <c r="U24" i="23"/>
  <c r="T24" i="23" s="1"/>
  <c r="S24" i="23" s="1"/>
  <c r="R24" i="23" s="1"/>
  <c r="P24" i="23" s="1"/>
  <c r="V24" i="23" s="1"/>
  <c r="U19" i="23"/>
  <c r="T19" i="23" s="1"/>
  <c r="S19" i="23" s="1"/>
  <c r="R19" i="23" s="1"/>
  <c r="P19" i="23" s="1"/>
  <c r="V19" i="23" s="1"/>
  <c r="U23" i="23"/>
  <c r="T23" i="23" s="1"/>
  <c r="S23" i="23" s="1"/>
  <c r="R23" i="23" s="1"/>
  <c r="P23" i="23" s="1"/>
  <c r="V23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80" i="23"/>
  <c r="T180" i="23" s="1"/>
  <c r="S180" i="23" s="1"/>
  <c r="R180" i="23" s="1"/>
  <c r="P180" i="23" s="1"/>
  <c r="AH49" i="7" s="1"/>
  <c r="U176" i="23"/>
  <c r="T176" i="23" s="1"/>
  <c r="S176" i="23" s="1"/>
  <c r="R176" i="23" s="1"/>
  <c r="P176" i="23" s="1"/>
  <c r="V176" i="23" s="1"/>
  <c r="U172" i="23"/>
  <c r="T172" i="23" s="1"/>
  <c r="S172" i="23" s="1"/>
  <c r="R172" i="23" s="1"/>
  <c r="P172" i="23" s="1"/>
  <c r="V172" i="23" s="1"/>
  <c r="U168" i="23"/>
  <c r="T168" i="23" s="1"/>
  <c r="S168" i="23" s="1"/>
  <c r="R168" i="23" s="1"/>
  <c r="P168" i="23" s="1"/>
  <c r="V168" i="23" s="1"/>
  <c r="U164" i="23"/>
  <c r="T164" i="23" s="1"/>
  <c r="S164" i="23" s="1"/>
  <c r="R164" i="23" s="1"/>
  <c r="P164" i="23" s="1"/>
  <c r="V164" i="23" s="1"/>
  <c r="U160" i="23"/>
  <c r="T160" i="23" s="1"/>
  <c r="S160" i="23" s="1"/>
  <c r="R160" i="23" s="1"/>
  <c r="P160" i="23" s="1"/>
  <c r="V160" i="23" s="1"/>
  <c r="U156" i="23"/>
  <c r="T156" i="23" s="1"/>
  <c r="S156" i="23" s="1"/>
  <c r="R156" i="23" s="1"/>
  <c r="P156" i="23" s="1"/>
  <c r="V156" i="23" s="1"/>
  <c r="U152" i="23"/>
  <c r="T152" i="23" s="1"/>
  <c r="S152" i="23" s="1"/>
  <c r="R152" i="23" s="1"/>
  <c r="P152" i="23" s="1"/>
  <c r="V152" i="23" s="1"/>
  <c r="U148" i="23"/>
  <c r="T148" i="23" s="1"/>
  <c r="S148" i="23" s="1"/>
  <c r="R148" i="23" s="1"/>
  <c r="P148" i="23" s="1"/>
  <c r="V148" i="23" s="1"/>
  <c r="U144" i="23"/>
  <c r="T144" i="23" s="1"/>
  <c r="S144" i="23" s="1"/>
  <c r="R144" i="23" s="1"/>
  <c r="P144" i="23" s="1"/>
  <c r="V144" i="23" s="1"/>
  <c r="U140" i="23"/>
  <c r="T140" i="23" s="1"/>
  <c r="S140" i="23" s="1"/>
  <c r="R140" i="23" s="1"/>
  <c r="P140" i="23" s="1"/>
  <c r="V140" i="23" s="1"/>
  <c r="U136" i="23"/>
  <c r="T136" i="23" s="1"/>
  <c r="S136" i="23" s="1"/>
  <c r="R136" i="23" s="1"/>
  <c r="P136" i="23" s="1"/>
  <c r="V136" i="23" s="1"/>
  <c r="U132" i="23"/>
  <c r="T132" i="23" s="1"/>
  <c r="S132" i="23" s="1"/>
  <c r="R132" i="23" s="1"/>
  <c r="P132" i="23" s="1"/>
  <c r="V132" i="23" s="1"/>
  <c r="U128" i="23"/>
  <c r="T128" i="23" s="1"/>
  <c r="S128" i="23" s="1"/>
  <c r="R128" i="23" s="1"/>
  <c r="P128" i="23" s="1"/>
  <c r="V128" i="23" s="1"/>
  <c r="U124" i="23"/>
  <c r="T124" i="23" s="1"/>
  <c r="S124" i="23" s="1"/>
  <c r="R124" i="23" s="1"/>
  <c r="P124" i="23" s="1"/>
  <c r="V124" i="23" s="1"/>
  <c r="U120" i="23"/>
  <c r="T120" i="23" s="1"/>
  <c r="S120" i="23" s="1"/>
  <c r="R120" i="23" s="1"/>
  <c r="P120" i="23" s="1"/>
  <c r="V120" i="23" s="1"/>
  <c r="U116" i="23"/>
  <c r="T116" i="23" s="1"/>
  <c r="S116" i="23" s="1"/>
  <c r="R116" i="23" s="1"/>
  <c r="P116" i="23" s="1"/>
  <c r="V116" i="23" s="1"/>
  <c r="U112" i="23"/>
  <c r="T112" i="23" s="1"/>
  <c r="S112" i="23" s="1"/>
  <c r="R112" i="23" s="1"/>
  <c r="P112" i="23" s="1"/>
  <c r="V112" i="23" s="1"/>
  <c r="U108" i="23"/>
  <c r="T108" i="23" s="1"/>
  <c r="S108" i="23" s="1"/>
  <c r="R108" i="23" s="1"/>
  <c r="P108" i="23" s="1"/>
  <c r="V108" i="23" s="1"/>
  <c r="U101" i="23"/>
  <c r="T101" i="23" s="1"/>
  <c r="S101" i="23" s="1"/>
  <c r="R101" i="23" s="1"/>
  <c r="P101" i="23" s="1"/>
  <c r="V101" i="23" s="1"/>
  <c r="U93" i="23"/>
  <c r="T93" i="23" s="1"/>
  <c r="S93" i="23" s="1"/>
  <c r="R93" i="23" s="1"/>
  <c r="P93" i="23" s="1"/>
  <c r="V93" i="23" s="1"/>
  <c r="U85" i="23"/>
  <c r="T85" i="23" s="1"/>
  <c r="S85" i="23" s="1"/>
  <c r="R85" i="23" s="1"/>
  <c r="P85" i="23" s="1"/>
  <c r="V85" i="23" s="1"/>
  <c r="U77" i="23"/>
  <c r="T77" i="23" s="1"/>
  <c r="S77" i="23" s="1"/>
  <c r="R77" i="23" s="1"/>
  <c r="P77" i="23" s="1"/>
  <c r="V77" i="23" s="1"/>
  <c r="U69" i="23"/>
  <c r="T69" i="23" s="1"/>
  <c r="S69" i="23" s="1"/>
  <c r="R69" i="23" s="1"/>
  <c r="P69" i="23" s="1"/>
  <c r="V69" i="23" s="1"/>
  <c r="U61" i="23"/>
  <c r="T61" i="23" s="1"/>
  <c r="S61" i="23" s="1"/>
  <c r="R61" i="23" s="1"/>
  <c r="P61" i="23" s="1"/>
  <c r="V61" i="23" s="1"/>
  <c r="U53" i="23"/>
  <c r="T53" i="23" s="1"/>
  <c r="S53" i="23" s="1"/>
  <c r="R53" i="23" s="1"/>
  <c r="P53" i="23" s="1"/>
  <c r="V53" i="23" s="1"/>
  <c r="U45" i="23"/>
  <c r="T45" i="23" s="1"/>
  <c r="S45" i="23" s="1"/>
  <c r="R45" i="23" s="1"/>
  <c r="P45" i="23" s="1"/>
  <c r="V45" i="23" s="1"/>
  <c r="U37" i="23"/>
  <c r="T37" i="23" s="1"/>
  <c r="S37" i="23" s="1"/>
  <c r="R37" i="23" s="1"/>
  <c r="P37" i="23" s="1"/>
  <c r="V37" i="23" s="1"/>
  <c r="U29" i="23"/>
  <c r="T29" i="23" s="1"/>
  <c r="S29" i="23" s="1"/>
  <c r="R29" i="23" s="1"/>
  <c r="P29" i="23" s="1"/>
  <c r="AH44" i="7" s="1"/>
  <c r="U16" i="23"/>
  <c r="T16" i="23" s="1"/>
  <c r="S16" i="23" s="1"/>
  <c r="R16" i="23" s="1"/>
  <c r="P16" i="23" s="1"/>
  <c r="V16" i="23" s="1"/>
  <c r="U17" i="23"/>
  <c r="T17" i="23" s="1"/>
  <c r="S17" i="23" s="1"/>
  <c r="R17" i="23" s="1"/>
  <c r="P17" i="23" s="1"/>
  <c r="V17" i="23" s="1"/>
  <c r="U35" i="23"/>
  <c r="T35" i="23" s="1"/>
  <c r="S35" i="23" s="1"/>
  <c r="R35" i="23" s="1"/>
  <c r="P35" i="23" s="1"/>
  <c r="V35" i="23" s="1"/>
  <c r="U51" i="23"/>
  <c r="T51" i="23" s="1"/>
  <c r="S51" i="23" s="1"/>
  <c r="R51" i="23" s="1"/>
  <c r="P51" i="23" s="1"/>
  <c r="V51" i="23" s="1"/>
  <c r="U67" i="23"/>
  <c r="T67" i="23" s="1"/>
  <c r="S67" i="23" s="1"/>
  <c r="R67" i="23" s="1"/>
  <c r="P67" i="23" s="1"/>
  <c r="V67" i="23" s="1"/>
  <c r="U83" i="23"/>
  <c r="T83" i="23" s="1"/>
  <c r="S83" i="23" s="1"/>
  <c r="R83" i="23" s="1"/>
  <c r="P83" i="23" s="1"/>
  <c r="V83" i="23" s="1"/>
  <c r="U99" i="23"/>
  <c r="T99" i="23" s="1"/>
  <c r="S99" i="23" s="1"/>
  <c r="R99" i="23" s="1"/>
  <c r="P99" i="23" s="1"/>
  <c r="V99" i="23" s="1"/>
  <c r="U111" i="23"/>
  <c r="T111" i="23" s="1"/>
  <c r="S111" i="23" s="1"/>
  <c r="R111" i="23" s="1"/>
  <c r="P111" i="23" s="1"/>
  <c r="V111" i="23" s="1"/>
  <c r="U119" i="23"/>
  <c r="T119" i="23" s="1"/>
  <c r="S119" i="23" s="1"/>
  <c r="R119" i="23" s="1"/>
  <c r="P119" i="23" s="1"/>
  <c r="AH47" i="7" s="1"/>
  <c r="U127" i="23"/>
  <c r="T127" i="23" s="1"/>
  <c r="S127" i="23" s="1"/>
  <c r="R127" i="23" s="1"/>
  <c r="P127" i="23" s="1"/>
  <c r="V127" i="23" s="1"/>
  <c r="U135" i="23"/>
  <c r="T135" i="23" s="1"/>
  <c r="S135" i="23" s="1"/>
  <c r="R135" i="23" s="1"/>
  <c r="P135" i="23" s="1"/>
  <c r="V135" i="23" s="1"/>
  <c r="U143" i="23"/>
  <c r="T143" i="23" s="1"/>
  <c r="S143" i="23" s="1"/>
  <c r="R143" i="23" s="1"/>
  <c r="P143" i="23" s="1"/>
  <c r="V143" i="23" s="1"/>
  <c r="U151" i="23"/>
  <c r="T151" i="23" s="1"/>
  <c r="S151" i="23" s="1"/>
  <c r="R151" i="23" s="1"/>
  <c r="P151" i="23" s="1"/>
  <c r="V151" i="23" s="1"/>
  <c r="U159" i="23"/>
  <c r="T159" i="23" s="1"/>
  <c r="S159" i="23" s="1"/>
  <c r="R159" i="23" s="1"/>
  <c r="P159" i="23" s="1"/>
  <c r="V159" i="23" s="1"/>
  <c r="U167" i="23"/>
  <c r="T167" i="23" s="1"/>
  <c r="S167" i="23" s="1"/>
  <c r="R167" i="23" s="1"/>
  <c r="P167" i="23" s="1"/>
  <c r="V167" i="23" s="1"/>
  <c r="U175" i="23"/>
  <c r="T175" i="23" s="1"/>
  <c r="S175" i="23" s="1"/>
  <c r="R175" i="23" s="1"/>
  <c r="P175" i="23" s="1"/>
  <c r="V175" i="23" s="1"/>
  <c r="U183" i="23"/>
  <c r="T183" i="23" s="1"/>
  <c r="S183" i="23" s="1"/>
  <c r="R183" i="23" s="1"/>
  <c r="P183" i="23" s="1"/>
  <c r="V183" i="23" s="1"/>
  <c r="V379" i="22"/>
  <c r="D41" i="19"/>
  <c r="M67" i="19"/>
  <c r="AH383" i="22"/>
  <c r="AH382" i="22"/>
  <c r="AG15" i="22"/>
  <c r="AH381" i="22"/>
  <c r="V15" i="20"/>
  <c r="P381" i="20"/>
  <c r="P382" i="20"/>
  <c r="P383" i="20"/>
  <c r="S15" i="22"/>
  <c r="T381" i="22"/>
  <c r="T382" i="22"/>
  <c r="T383" i="22"/>
  <c r="AI22" i="23"/>
  <c r="AH22" i="23" s="1"/>
  <c r="AG22" i="23" s="1"/>
  <c r="AF22" i="23" s="1"/>
  <c r="AD22" i="23" s="1"/>
  <c r="AI23" i="23"/>
  <c r="AH23" i="23" s="1"/>
  <c r="AG23" i="23" s="1"/>
  <c r="AF23" i="23" s="1"/>
  <c r="AD23" i="23" s="1"/>
  <c r="AI16" i="23"/>
  <c r="AH16" i="23" s="1"/>
  <c r="AG16" i="23" s="1"/>
  <c r="AF16" i="23" s="1"/>
  <c r="AD16" i="23" s="1"/>
  <c r="AI15" i="23"/>
  <c r="AI24" i="23"/>
  <c r="AH24" i="23" s="1"/>
  <c r="AG24" i="23" s="1"/>
  <c r="AF24" i="23" s="1"/>
  <c r="AD24" i="23" s="1"/>
  <c r="AI26" i="23"/>
  <c r="AH26" i="23" s="1"/>
  <c r="AG26" i="23" s="1"/>
  <c r="AF26" i="23" s="1"/>
  <c r="AD26" i="23" s="1"/>
  <c r="AI28" i="23"/>
  <c r="AH28" i="23" s="1"/>
  <c r="AG28" i="23" s="1"/>
  <c r="AF28" i="23" s="1"/>
  <c r="AD28" i="23" s="1"/>
  <c r="AI30" i="23"/>
  <c r="AH30" i="23" s="1"/>
  <c r="AG30" i="23" s="1"/>
  <c r="AF30" i="23" s="1"/>
  <c r="AD30" i="23" s="1"/>
  <c r="AI32" i="23"/>
  <c r="AH32" i="23" s="1"/>
  <c r="AG32" i="23" s="1"/>
  <c r="AF32" i="23" s="1"/>
  <c r="AD32" i="23" s="1"/>
  <c r="AI34" i="23"/>
  <c r="AH34" i="23" s="1"/>
  <c r="AG34" i="23" s="1"/>
  <c r="AF34" i="23" s="1"/>
  <c r="AD34" i="23" s="1"/>
  <c r="AI36" i="23"/>
  <c r="AH36" i="23" s="1"/>
  <c r="AG36" i="23" s="1"/>
  <c r="AF36" i="23" s="1"/>
  <c r="AD36" i="23" s="1"/>
  <c r="AI38" i="23"/>
  <c r="AH38" i="23" s="1"/>
  <c r="AG38" i="23" s="1"/>
  <c r="AF38" i="23" s="1"/>
  <c r="AD38" i="23" s="1"/>
  <c r="AI40" i="23"/>
  <c r="AH40" i="23" s="1"/>
  <c r="AG40" i="23" s="1"/>
  <c r="AF40" i="23" s="1"/>
  <c r="AD40" i="23" s="1"/>
  <c r="AI42" i="23"/>
  <c r="AH42" i="23" s="1"/>
  <c r="AG42" i="23" s="1"/>
  <c r="AF42" i="23" s="1"/>
  <c r="AD42" i="23" s="1"/>
  <c r="AI44" i="23"/>
  <c r="AH44" i="23" s="1"/>
  <c r="AG44" i="23" s="1"/>
  <c r="AF44" i="23" s="1"/>
  <c r="AD44" i="23" s="1"/>
  <c r="AI46" i="23"/>
  <c r="AH46" i="23" s="1"/>
  <c r="AG46" i="23" s="1"/>
  <c r="AF46" i="23" s="1"/>
  <c r="AD46" i="23" s="1"/>
  <c r="AI48" i="23"/>
  <c r="AH48" i="23" s="1"/>
  <c r="AG48" i="23" s="1"/>
  <c r="AF48" i="23" s="1"/>
  <c r="AD48" i="23" s="1"/>
  <c r="AI50" i="23"/>
  <c r="AH50" i="23" s="1"/>
  <c r="AG50" i="23" s="1"/>
  <c r="AF50" i="23" s="1"/>
  <c r="AD50" i="23" s="1"/>
  <c r="AI52" i="23"/>
  <c r="AH52" i="23" s="1"/>
  <c r="AG52" i="23" s="1"/>
  <c r="AF52" i="23" s="1"/>
  <c r="AD52" i="23" s="1"/>
  <c r="AI54" i="23"/>
  <c r="AH54" i="23" s="1"/>
  <c r="AG54" i="23" s="1"/>
  <c r="AF54" i="23" s="1"/>
  <c r="AD54" i="23" s="1"/>
  <c r="AI56" i="23"/>
  <c r="AH56" i="23" s="1"/>
  <c r="AG56" i="23" s="1"/>
  <c r="AF56" i="23" s="1"/>
  <c r="AD56" i="23" s="1"/>
  <c r="AI58" i="23"/>
  <c r="AH58" i="23" s="1"/>
  <c r="AG58" i="23" s="1"/>
  <c r="AF58" i="23" s="1"/>
  <c r="AD58" i="23" s="1"/>
  <c r="AI60" i="23"/>
  <c r="AH60" i="23" s="1"/>
  <c r="AG60" i="23" s="1"/>
  <c r="AF60" i="23" s="1"/>
  <c r="AD60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G88" i="23" s="1"/>
  <c r="AF88" i="23" s="1"/>
  <c r="AD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G100" i="23" s="1"/>
  <c r="AF100" i="23" s="1"/>
  <c r="AD100" i="23" s="1"/>
  <c r="AI102" i="23"/>
  <c r="AH102" i="23" s="1"/>
  <c r="AG102" i="23" s="1"/>
  <c r="AF102" i="23" s="1"/>
  <c r="AD102" i="23" s="1"/>
  <c r="AI104" i="23"/>
  <c r="AH104" i="23" s="1"/>
  <c r="AG104" i="23" s="1"/>
  <c r="AF104" i="23" s="1"/>
  <c r="AD104" i="23" s="1"/>
  <c r="AI106" i="23"/>
  <c r="AH106" i="23" s="1"/>
  <c r="AG106" i="23" s="1"/>
  <c r="AF106" i="23" s="1"/>
  <c r="AD106" i="23" s="1"/>
  <c r="AI108" i="23"/>
  <c r="AH108" i="23" s="1"/>
  <c r="AG108" i="23" s="1"/>
  <c r="AF108" i="23" s="1"/>
  <c r="AD108" i="23" s="1"/>
  <c r="AI110" i="23"/>
  <c r="AH110" i="23" s="1"/>
  <c r="AG110" i="23" s="1"/>
  <c r="AF110" i="23" s="1"/>
  <c r="AD110" i="23" s="1"/>
  <c r="AI112" i="23"/>
  <c r="AH112" i="23" s="1"/>
  <c r="AG112" i="23" s="1"/>
  <c r="AF112" i="23" s="1"/>
  <c r="AD112" i="23" s="1"/>
  <c r="AI114" i="23"/>
  <c r="AH114" i="23" s="1"/>
  <c r="AG114" i="23" s="1"/>
  <c r="AF114" i="23" s="1"/>
  <c r="AD114" i="23" s="1"/>
  <c r="AI116" i="23"/>
  <c r="AH116" i="23" s="1"/>
  <c r="AG116" i="23" s="1"/>
  <c r="AF116" i="23" s="1"/>
  <c r="AD116" i="23" s="1"/>
  <c r="AI118" i="23"/>
  <c r="AH118" i="23" s="1"/>
  <c r="AG118" i="23" s="1"/>
  <c r="AF118" i="23" s="1"/>
  <c r="AD118" i="23" s="1"/>
  <c r="AI120" i="23"/>
  <c r="AH120" i="23" s="1"/>
  <c r="AG120" i="23" s="1"/>
  <c r="AF120" i="23" s="1"/>
  <c r="AD120" i="23" s="1"/>
  <c r="AI122" i="23"/>
  <c r="AH122" i="23" s="1"/>
  <c r="AG122" i="23" s="1"/>
  <c r="AF122" i="23" s="1"/>
  <c r="AD122" i="23" s="1"/>
  <c r="AI124" i="23"/>
  <c r="AH124" i="23" s="1"/>
  <c r="AG124" i="23" s="1"/>
  <c r="AF124" i="23" s="1"/>
  <c r="AD124" i="23" s="1"/>
  <c r="AI126" i="23"/>
  <c r="AH126" i="23" s="1"/>
  <c r="AG126" i="23" s="1"/>
  <c r="AF126" i="23" s="1"/>
  <c r="AD126" i="23" s="1"/>
  <c r="AI128" i="23"/>
  <c r="AH128" i="23" s="1"/>
  <c r="AG128" i="23" s="1"/>
  <c r="AF128" i="23" s="1"/>
  <c r="AD128" i="23" s="1"/>
  <c r="AI130" i="23"/>
  <c r="AH130" i="23" s="1"/>
  <c r="AG130" i="23" s="1"/>
  <c r="AF130" i="23" s="1"/>
  <c r="AD130" i="23" s="1"/>
  <c r="AI132" i="23"/>
  <c r="AH132" i="23" s="1"/>
  <c r="AG132" i="23" s="1"/>
  <c r="AF132" i="23" s="1"/>
  <c r="AD132" i="23" s="1"/>
  <c r="AI134" i="23"/>
  <c r="AH134" i="23" s="1"/>
  <c r="AG134" i="23" s="1"/>
  <c r="AF134" i="23" s="1"/>
  <c r="AD134" i="23" s="1"/>
  <c r="AI136" i="23"/>
  <c r="AH136" i="23" s="1"/>
  <c r="AG136" i="23" s="1"/>
  <c r="AF136" i="23" s="1"/>
  <c r="AD136" i="23" s="1"/>
  <c r="AI138" i="23"/>
  <c r="AH138" i="23" s="1"/>
  <c r="AG138" i="23" s="1"/>
  <c r="AF138" i="23" s="1"/>
  <c r="AD138" i="23" s="1"/>
  <c r="AI140" i="23"/>
  <c r="AH140" i="23" s="1"/>
  <c r="AG140" i="23" s="1"/>
  <c r="AF140" i="23" s="1"/>
  <c r="AD140" i="23" s="1"/>
  <c r="AI142" i="23"/>
  <c r="AH142" i="23" s="1"/>
  <c r="AG142" i="23" s="1"/>
  <c r="AF142" i="23" s="1"/>
  <c r="AD142" i="23" s="1"/>
  <c r="AI144" i="23"/>
  <c r="AH144" i="23" s="1"/>
  <c r="AG144" i="23" s="1"/>
  <c r="AF144" i="23" s="1"/>
  <c r="AD144" i="23" s="1"/>
  <c r="AI146" i="23"/>
  <c r="AH146" i="23" s="1"/>
  <c r="AG146" i="23" s="1"/>
  <c r="AF146" i="23" s="1"/>
  <c r="AD146" i="23" s="1"/>
  <c r="AI148" i="23"/>
  <c r="AH148" i="23" s="1"/>
  <c r="AG148" i="23" s="1"/>
  <c r="AF148" i="23" s="1"/>
  <c r="AD148" i="23" s="1"/>
  <c r="AI150" i="23"/>
  <c r="AH150" i="23" s="1"/>
  <c r="AG150" i="23" s="1"/>
  <c r="AF150" i="23" s="1"/>
  <c r="AD150" i="23" s="1"/>
  <c r="AI152" i="23"/>
  <c r="AH152" i="23" s="1"/>
  <c r="AG152" i="23" s="1"/>
  <c r="AF152" i="23" s="1"/>
  <c r="AD152" i="23" s="1"/>
  <c r="AI154" i="23"/>
  <c r="AH154" i="23" s="1"/>
  <c r="AG154" i="23" s="1"/>
  <c r="AF154" i="23" s="1"/>
  <c r="AD154" i="23" s="1"/>
  <c r="AI156" i="23"/>
  <c r="AH156" i="23" s="1"/>
  <c r="AG156" i="23" s="1"/>
  <c r="AF156" i="23" s="1"/>
  <c r="AD156" i="23" s="1"/>
  <c r="AI158" i="23"/>
  <c r="AH158" i="23" s="1"/>
  <c r="AG158" i="23" s="1"/>
  <c r="AF158" i="23" s="1"/>
  <c r="AD158" i="23" s="1"/>
  <c r="AI160" i="23"/>
  <c r="AH160" i="23" s="1"/>
  <c r="AG160" i="23" s="1"/>
  <c r="AF160" i="23" s="1"/>
  <c r="AD160" i="23" s="1"/>
  <c r="AI162" i="23"/>
  <c r="AH162" i="23" s="1"/>
  <c r="AG162" i="23" s="1"/>
  <c r="AF162" i="23" s="1"/>
  <c r="AD162" i="23" s="1"/>
  <c r="AI164" i="23"/>
  <c r="AH164" i="23" s="1"/>
  <c r="AG164" i="23" s="1"/>
  <c r="AF164" i="23" s="1"/>
  <c r="AD164" i="23" s="1"/>
  <c r="AI166" i="23"/>
  <c r="AH166" i="23" s="1"/>
  <c r="AG166" i="23" s="1"/>
  <c r="AF166" i="23" s="1"/>
  <c r="AD166" i="23" s="1"/>
  <c r="AI168" i="23"/>
  <c r="AH168" i="23" s="1"/>
  <c r="AG168" i="23" s="1"/>
  <c r="AF168" i="23" s="1"/>
  <c r="AD168" i="23" s="1"/>
  <c r="AI170" i="23"/>
  <c r="AH170" i="23" s="1"/>
  <c r="AG170" i="23" s="1"/>
  <c r="AF170" i="23" s="1"/>
  <c r="AD170" i="23" s="1"/>
  <c r="AI172" i="23"/>
  <c r="AH172" i="23" s="1"/>
  <c r="AG172" i="23" s="1"/>
  <c r="AF172" i="23" s="1"/>
  <c r="AD172" i="23" s="1"/>
  <c r="AI174" i="23"/>
  <c r="AH174" i="23" s="1"/>
  <c r="AG174" i="23" s="1"/>
  <c r="AF174" i="23" s="1"/>
  <c r="AD174" i="23" s="1"/>
  <c r="AI176" i="23"/>
  <c r="AH176" i="23" s="1"/>
  <c r="AG176" i="23" s="1"/>
  <c r="AF176" i="23" s="1"/>
  <c r="AD176" i="23" s="1"/>
  <c r="AI178" i="23"/>
  <c r="AH178" i="23" s="1"/>
  <c r="AG178" i="23" s="1"/>
  <c r="AF178" i="23" s="1"/>
  <c r="AD178" i="23" s="1"/>
  <c r="AI180" i="23"/>
  <c r="AH180" i="23" s="1"/>
  <c r="AG180" i="23" s="1"/>
  <c r="AF180" i="23" s="1"/>
  <c r="AD180" i="23" s="1"/>
  <c r="AI182" i="23"/>
  <c r="AH182" i="23" s="1"/>
  <c r="AG182" i="23" s="1"/>
  <c r="AF182" i="23" s="1"/>
  <c r="AD182" i="23" s="1"/>
  <c r="AI184" i="23"/>
  <c r="AH184" i="23" s="1"/>
  <c r="AG184" i="23" s="1"/>
  <c r="AF184" i="23" s="1"/>
  <c r="AD184" i="23" s="1"/>
  <c r="AI186" i="23"/>
  <c r="AH186" i="23" s="1"/>
  <c r="AG186" i="23" s="1"/>
  <c r="AF186" i="23" s="1"/>
  <c r="AD186" i="23" s="1"/>
  <c r="AI188" i="23"/>
  <c r="AH188" i="23" s="1"/>
  <c r="AG188" i="23" s="1"/>
  <c r="AF188" i="23" s="1"/>
  <c r="AD188" i="23" s="1"/>
  <c r="AI190" i="23"/>
  <c r="AH190" i="23" s="1"/>
  <c r="AG190" i="23" s="1"/>
  <c r="AF190" i="23" s="1"/>
  <c r="AD190" i="23" s="1"/>
  <c r="AI192" i="23"/>
  <c r="AH192" i="23" s="1"/>
  <c r="AG192" i="23" s="1"/>
  <c r="AF192" i="23" s="1"/>
  <c r="AD192" i="23" s="1"/>
  <c r="AI194" i="23"/>
  <c r="AH194" i="23" s="1"/>
  <c r="AG194" i="23" s="1"/>
  <c r="AF194" i="23" s="1"/>
  <c r="AD194" i="23" s="1"/>
  <c r="AI196" i="23"/>
  <c r="AH196" i="23" s="1"/>
  <c r="AG196" i="23" s="1"/>
  <c r="AF196" i="23" s="1"/>
  <c r="AD196" i="23" s="1"/>
  <c r="AI198" i="23"/>
  <c r="AH198" i="23" s="1"/>
  <c r="AG198" i="23" s="1"/>
  <c r="AF198" i="23" s="1"/>
  <c r="AD198" i="23" s="1"/>
  <c r="AI200" i="23"/>
  <c r="AH200" i="23" s="1"/>
  <c r="AG200" i="23" s="1"/>
  <c r="AF200" i="23" s="1"/>
  <c r="AD200" i="23" s="1"/>
  <c r="AI202" i="23"/>
  <c r="AH202" i="23" s="1"/>
  <c r="AG202" i="23" s="1"/>
  <c r="AF202" i="23" s="1"/>
  <c r="AD202" i="23" s="1"/>
  <c r="AI204" i="23"/>
  <c r="AH204" i="23" s="1"/>
  <c r="AG204" i="23" s="1"/>
  <c r="AF204" i="23" s="1"/>
  <c r="AD204" i="23" s="1"/>
  <c r="AI206" i="23"/>
  <c r="AH206" i="23" s="1"/>
  <c r="AG206" i="23" s="1"/>
  <c r="AF206" i="23" s="1"/>
  <c r="AD206" i="23" s="1"/>
  <c r="AI208" i="23"/>
  <c r="AH208" i="23" s="1"/>
  <c r="AG208" i="23" s="1"/>
  <c r="AF208" i="23" s="1"/>
  <c r="AD208" i="23" s="1"/>
  <c r="AI210" i="23"/>
  <c r="AH210" i="23" s="1"/>
  <c r="AG210" i="23" s="1"/>
  <c r="AF210" i="23" s="1"/>
  <c r="AD210" i="23" s="1"/>
  <c r="AI212" i="23"/>
  <c r="AH212" i="23" s="1"/>
  <c r="AG212" i="23" s="1"/>
  <c r="AF212" i="23" s="1"/>
  <c r="AD212" i="23" s="1"/>
  <c r="AI214" i="23"/>
  <c r="AH214" i="23" s="1"/>
  <c r="AG214" i="23" s="1"/>
  <c r="AF214" i="23" s="1"/>
  <c r="AD214" i="23" s="1"/>
  <c r="AI216" i="23"/>
  <c r="AH216" i="23" s="1"/>
  <c r="AG216" i="23" s="1"/>
  <c r="AF216" i="23" s="1"/>
  <c r="AD216" i="23" s="1"/>
  <c r="AI218" i="23"/>
  <c r="AH218" i="23" s="1"/>
  <c r="AG218" i="23" s="1"/>
  <c r="AF218" i="23" s="1"/>
  <c r="AD218" i="23" s="1"/>
  <c r="AI220" i="23"/>
  <c r="AH220" i="23" s="1"/>
  <c r="AG220" i="23" s="1"/>
  <c r="AF220" i="23" s="1"/>
  <c r="AD220" i="23" s="1"/>
  <c r="AI222" i="23"/>
  <c r="AH222" i="23" s="1"/>
  <c r="AG222" i="23" s="1"/>
  <c r="AF222" i="23" s="1"/>
  <c r="AD222" i="23" s="1"/>
  <c r="AI224" i="23"/>
  <c r="AH224" i="23" s="1"/>
  <c r="AG224" i="23" s="1"/>
  <c r="AF224" i="23" s="1"/>
  <c r="AD224" i="23" s="1"/>
  <c r="AI226" i="23"/>
  <c r="AH226" i="23" s="1"/>
  <c r="AG226" i="23" s="1"/>
  <c r="AF226" i="23" s="1"/>
  <c r="AD226" i="23" s="1"/>
  <c r="AI228" i="23"/>
  <c r="AH228" i="23" s="1"/>
  <c r="AG228" i="23" s="1"/>
  <c r="AF228" i="23" s="1"/>
  <c r="AD228" i="23" s="1"/>
  <c r="AI230" i="23"/>
  <c r="AH230" i="23" s="1"/>
  <c r="AG230" i="23" s="1"/>
  <c r="AF230" i="23" s="1"/>
  <c r="AD230" i="23" s="1"/>
  <c r="AI232" i="23"/>
  <c r="AH232" i="23" s="1"/>
  <c r="AG232" i="23" s="1"/>
  <c r="AF232" i="23" s="1"/>
  <c r="AD232" i="23" s="1"/>
  <c r="AI234" i="23"/>
  <c r="AH234" i="23" s="1"/>
  <c r="AG234" i="23" s="1"/>
  <c r="AF234" i="23" s="1"/>
  <c r="AD234" i="23" s="1"/>
  <c r="AI236" i="23"/>
  <c r="AH236" i="23" s="1"/>
  <c r="AG236" i="23" s="1"/>
  <c r="AF236" i="23" s="1"/>
  <c r="AD236" i="23" s="1"/>
  <c r="AI238" i="23"/>
  <c r="AH238" i="23" s="1"/>
  <c r="AG238" i="23" s="1"/>
  <c r="AF238" i="23" s="1"/>
  <c r="AD238" i="23" s="1"/>
  <c r="AI240" i="23"/>
  <c r="AH240" i="23" s="1"/>
  <c r="AG240" i="23" s="1"/>
  <c r="AF240" i="23" s="1"/>
  <c r="AD240" i="23" s="1"/>
  <c r="AI242" i="23"/>
  <c r="AH242" i="23" s="1"/>
  <c r="AG242" i="23" s="1"/>
  <c r="AF242" i="23" s="1"/>
  <c r="AD242" i="23" s="1"/>
  <c r="AI244" i="23"/>
  <c r="AH244" i="23" s="1"/>
  <c r="AG244" i="23" s="1"/>
  <c r="AF244" i="23" s="1"/>
  <c r="AD244" i="23" s="1"/>
  <c r="AI246" i="23"/>
  <c r="AH246" i="23" s="1"/>
  <c r="AG246" i="23" s="1"/>
  <c r="AF246" i="23" s="1"/>
  <c r="AD246" i="23" s="1"/>
  <c r="AI248" i="23"/>
  <c r="AH248" i="23" s="1"/>
  <c r="AG248" i="23" s="1"/>
  <c r="AF248" i="23" s="1"/>
  <c r="AD248" i="23" s="1"/>
  <c r="AI250" i="23"/>
  <c r="AH250" i="23" s="1"/>
  <c r="AG250" i="23" s="1"/>
  <c r="AF250" i="23" s="1"/>
  <c r="AD250" i="23" s="1"/>
  <c r="AI252" i="23"/>
  <c r="AH252" i="23" s="1"/>
  <c r="AG252" i="23" s="1"/>
  <c r="AF252" i="23" s="1"/>
  <c r="AD252" i="23" s="1"/>
  <c r="AI254" i="23"/>
  <c r="AH254" i="23" s="1"/>
  <c r="AG254" i="23" s="1"/>
  <c r="AF254" i="23" s="1"/>
  <c r="AD254" i="23" s="1"/>
  <c r="AI256" i="23"/>
  <c r="AH256" i="23" s="1"/>
  <c r="AG256" i="23" s="1"/>
  <c r="AF256" i="23" s="1"/>
  <c r="AD256" i="23" s="1"/>
  <c r="AI258" i="23"/>
  <c r="AH258" i="23" s="1"/>
  <c r="AG258" i="23" s="1"/>
  <c r="AF258" i="23" s="1"/>
  <c r="AD258" i="23" s="1"/>
  <c r="AI260" i="23"/>
  <c r="AH260" i="23" s="1"/>
  <c r="AG260" i="23" s="1"/>
  <c r="AF260" i="23" s="1"/>
  <c r="AD260" i="23" s="1"/>
  <c r="AI262" i="23"/>
  <c r="AH262" i="23" s="1"/>
  <c r="AG262" i="23" s="1"/>
  <c r="AF262" i="23" s="1"/>
  <c r="AD262" i="23" s="1"/>
  <c r="AI264" i="23"/>
  <c r="AH264" i="23" s="1"/>
  <c r="AG264" i="23" s="1"/>
  <c r="AF264" i="23" s="1"/>
  <c r="AD264" i="23" s="1"/>
  <c r="AI266" i="23"/>
  <c r="AH266" i="23" s="1"/>
  <c r="AG266" i="23" s="1"/>
  <c r="AF266" i="23" s="1"/>
  <c r="AD266" i="23" s="1"/>
  <c r="AI268" i="23"/>
  <c r="AH268" i="23" s="1"/>
  <c r="AG268" i="23" s="1"/>
  <c r="AF268" i="23" s="1"/>
  <c r="AD268" i="23" s="1"/>
  <c r="AI270" i="23"/>
  <c r="AH270" i="23" s="1"/>
  <c r="AG270" i="23" s="1"/>
  <c r="AF270" i="23" s="1"/>
  <c r="AD270" i="23" s="1"/>
  <c r="AI272" i="23"/>
  <c r="AH272" i="23" s="1"/>
  <c r="AG272" i="23" s="1"/>
  <c r="AF272" i="23" s="1"/>
  <c r="AD272" i="23" s="1"/>
  <c r="AI274" i="23"/>
  <c r="AH274" i="23" s="1"/>
  <c r="AG274" i="23" s="1"/>
  <c r="AF274" i="23" s="1"/>
  <c r="AD274" i="23" s="1"/>
  <c r="AI276" i="23"/>
  <c r="AH276" i="23" s="1"/>
  <c r="AG276" i="23" s="1"/>
  <c r="AF276" i="23" s="1"/>
  <c r="AD276" i="23" s="1"/>
  <c r="AI278" i="23"/>
  <c r="AH278" i="23" s="1"/>
  <c r="AG278" i="23" s="1"/>
  <c r="AF278" i="23" s="1"/>
  <c r="AD278" i="23" s="1"/>
  <c r="AI280" i="23"/>
  <c r="AH280" i="23" s="1"/>
  <c r="AG280" i="23" s="1"/>
  <c r="AF280" i="23" s="1"/>
  <c r="AD280" i="23" s="1"/>
  <c r="AI282" i="23"/>
  <c r="AH282" i="23" s="1"/>
  <c r="AG282" i="23" s="1"/>
  <c r="AF282" i="23" s="1"/>
  <c r="AD282" i="23" s="1"/>
  <c r="AI284" i="23"/>
  <c r="AH284" i="23" s="1"/>
  <c r="AG284" i="23" s="1"/>
  <c r="AF284" i="23" s="1"/>
  <c r="AD284" i="23" s="1"/>
  <c r="AI286" i="23"/>
  <c r="AH286" i="23" s="1"/>
  <c r="AG286" i="23" s="1"/>
  <c r="AF286" i="23" s="1"/>
  <c r="AD286" i="23" s="1"/>
  <c r="AI288" i="23"/>
  <c r="AH288" i="23" s="1"/>
  <c r="AG288" i="23" s="1"/>
  <c r="AF288" i="23" s="1"/>
  <c r="AD288" i="23" s="1"/>
  <c r="AI290" i="23"/>
  <c r="AH290" i="23" s="1"/>
  <c r="AG290" i="23" s="1"/>
  <c r="AF290" i="23" s="1"/>
  <c r="AD290" i="23" s="1"/>
  <c r="AI292" i="23"/>
  <c r="AH292" i="23" s="1"/>
  <c r="AG292" i="23" s="1"/>
  <c r="AF292" i="23" s="1"/>
  <c r="AD292" i="23" s="1"/>
  <c r="AI294" i="23"/>
  <c r="AH294" i="23" s="1"/>
  <c r="AG294" i="23" s="1"/>
  <c r="AF294" i="23" s="1"/>
  <c r="AD294" i="23" s="1"/>
  <c r="AI296" i="23"/>
  <c r="AH296" i="23" s="1"/>
  <c r="AG296" i="23" s="1"/>
  <c r="AF296" i="23" s="1"/>
  <c r="AD296" i="23" s="1"/>
  <c r="AI298" i="23"/>
  <c r="AH298" i="23" s="1"/>
  <c r="AG298" i="23" s="1"/>
  <c r="AF298" i="23" s="1"/>
  <c r="AD298" i="23" s="1"/>
  <c r="AI300" i="23"/>
  <c r="AH300" i="23" s="1"/>
  <c r="AG300" i="23" s="1"/>
  <c r="AF300" i="23" s="1"/>
  <c r="AD300" i="23" s="1"/>
  <c r="AI302" i="23"/>
  <c r="AH302" i="23" s="1"/>
  <c r="AG302" i="23" s="1"/>
  <c r="AF302" i="23" s="1"/>
  <c r="AD302" i="23" s="1"/>
  <c r="AI304" i="23"/>
  <c r="AH304" i="23" s="1"/>
  <c r="AG304" i="23" s="1"/>
  <c r="AF304" i="23" s="1"/>
  <c r="AD304" i="23" s="1"/>
  <c r="AI306" i="23"/>
  <c r="AH306" i="23" s="1"/>
  <c r="AG306" i="23" s="1"/>
  <c r="AF306" i="23" s="1"/>
  <c r="AD306" i="23" s="1"/>
  <c r="AI308" i="23"/>
  <c r="AH308" i="23" s="1"/>
  <c r="AG308" i="23" s="1"/>
  <c r="AF308" i="23" s="1"/>
  <c r="AD308" i="23" s="1"/>
  <c r="AI310" i="23"/>
  <c r="AH310" i="23" s="1"/>
  <c r="AG310" i="23" s="1"/>
  <c r="AF310" i="23" s="1"/>
  <c r="AD310" i="23" s="1"/>
  <c r="AI312" i="23"/>
  <c r="AH312" i="23" s="1"/>
  <c r="AG312" i="23" s="1"/>
  <c r="AF312" i="23" s="1"/>
  <c r="AD312" i="23" s="1"/>
  <c r="AI314" i="23"/>
  <c r="AH314" i="23" s="1"/>
  <c r="AG314" i="23" s="1"/>
  <c r="AF314" i="23" s="1"/>
  <c r="AD314" i="23" s="1"/>
  <c r="AI316" i="23"/>
  <c r="AH316" i="23" s="1"/>
  <c r="AG316" i="23" s="1"/>
  <c r="AF316" i="23" s="1"/>
  <c r="AD316" i="23" s="1"/>
  <c r="AI318" i="23"/>
  <c r="AH318" i="23" s="1"/>
  <c r="AG318" i="23" s="1"/>
  <c r="AF318" i="23" s="1"/>
  <c r="AD318" i="23" s="1"/>
  <c r="AI320" i="23"/>
  <c r="AH320" i="23" s="1"/>
  <c r="AG320" i="23" s="1"/>
  <c r="AF320" i="23" s="1"/>
  <c r="AD320" i="23" s="1"/>
  <c r="AI322" i="23"/>
  <c r="AH322" i="23" s="1"/>
  <c r="AG322" i="23" s="1"/>
  <c r="AF322" i="23" s="1"/>
  <c r="AD322" i="23" s="1"/>
  <c r="AI324" i="23"/>
  <c r="AH324" i="23" s="1"/>
  <c r="AG324" i="23" s="1"/>
  <c r="AF324" i="23" s="1"/>
  <c r="AD324" i="23" s="1"/>
  <c r="AI326" i="23"/>
  <c r="AH326" i="23" s="1"/>
  <c r="AG326" i="23" s="1"/>
  <c r="AF326" i="23" s="1"/>
  <c r="AD326" i="23" s="1"/>
  <c r="AI328" i="23"/>
  <c r="AH328" i="23" s="1"/>
  <c r="AG328" i="23" s="1"/>
  <c r="AF328" i="23" s="1"/>
  <c r="AD328" i="23" s="1"/>
  <c r="AI330" i="23"/>
  <c r="AH330" i="23" s="1"/>
  <c r="AG330" i="23" s="1"/>
  <c r="AF330" i="23" s="1"/>
  <c r="AD330" i="23" s="1"/>
  <c r="AI332" i="23"/>
  <c r="AH332" i="23" s="1"/>
  <c r="AG332" i="23" s="1"/>
  <c r="AF332" i="23" s="1"/>
  <c r="AD332" i="23" s="1"/>
  <c r="AI334" i="23"/>
  <c r="AH334" i="23" s="1"/>
  <c r="AG334" i="23" s="1"/>
  <c r="AF334" i="23" s="1"/>
  <c r="AD334" i="23" s="1"/>
  <c r="AI336" i="23"/>
  <c r="AH336" i="23" s="1"/>
  <c r="AG336" i="23" s="1"/>
  <c r="AF336" i="23" s="1"/>
  <c r="AD336" i="23" s="1"/>
  <c r="AI338" i="23"/>
  <c r="AH338" i="23" s="1"/>
  <c r="AG338" i="23" s="1"/>
  <c r="AF338" i="23" s="1"/>
  <c r="AD338" i="23" s="1"/>
  <c r="AI340" i="23"/>
  <c r="AH340" i="23" s="1"/>
  <c r="AG340" i="23" s="1"/>
  <c r="AF340" i="23" s="1"/>
  <c r="AD340" i="23" s="1"/>
  <c r="AI342" i="23"/>
  <c r="AH342" i="23" s="1"/>
  <c r="AG342" i="23" s="1"/>
  <c r="AF342" i="23" s="1"/>
  <c r="AD342" i="23" s="1"/>
  <c r="AI344" i="23"/>
  <c r="AH344" i="23" s="1"/>
  <c r="AG344" i="23" s="1"/>
  <c r="AF344" i="23" s="1"/>
  <c r="AD344" i="23" s="1"/>
  <c r="AI346" i="23"/>
  <c r="AH346" i="23" s="1"/>
  <c r="AG346" i="23" s="1"/>
  <c r="AF346" i="23" s="1"/>
  <c r="AD346" i="23" s="1"/>
  <c r="AI348" i="23"/>
  <c r="AH348" i="23" s="1"/>
  <c r="AG348" i="23" s="1"/>
  <c r="AF348" i="23" s="1"/>
  <c r="AD348" i="23" s="1"/>
  <c r="AI350" i="23"/>
  <c r="AH350" i="23" s="1"/>
  <c r="AG350" i="23" s="1"/>
  <c r="AF350" i="23" s="1"/>
  <c r="AD350" i="23" s="1"/>
  <c r="AI352" i="23"/>
  <c r="AH352" i="23" s="1"/>
  <c r="AG352" i="23" s="1"/>
  <c r="AF352" i="23" s="1"/>
  <c r="AD352" i="23" s="1"/>
  <c r="AI354" i="23"/>
  <c r="AH354" i="23" s="1"/>
  <c r="AG354" i="23" s="1"/>
  <c r="AF354" i="23" s="1"/>
  <c r="AD354" i="23" s="1"/>
  <c r="AI356" i="23"/>
  <c r="AH356" i="23" s="1"/>
  <c r="AG356" i="23" s="1"/>
  <c r="AF356" i="23" s="1"/>
  <c r="AD356" i="23" s="1"/>
  <c r="AI358" i="23"/>
  <c r="AH358" i="23" s="1"/>
  <c r="AG358" i="23" s="1"/>
  <c r="AF358" i="23" s="1"/>
  <c r="AD358" i="23" s="1"/>
  <c r="AI360" i="23"/>
  <c r="AH360" i="23" s="1"/>
  <c r="AG360" i="23" s="1"/>
  <c r="AF360" i="23" s="1"/>
  <c r="AD360" i="23" s="1"/>
  <c r="AI362" i="23"/>
  <c r="AH362" i="23" s="1"/>
  <c r="AG362" i="23" s="1"/>
  <c r="AF362" i="23" s="1"/>
  <c r="AD362" i="23" s="1"/>
  <c r="AI364" i="23"/>
  <c r="AH364" i="23" s="1"/>
  <c r="AG364" i="23" s="1"/>
  <c r="AF364" i="23" s="1"/>
  <c r="AD364" i="23" s="1"/>
  <c r="AI366" i="23"/>
  <c r="AH366" i="23" s="1"/>
  <c r="AG366" i="23" s="1"/>
  <c r="AF366" i="23" s="1"/>
  <c r="AD366" i="23" s="1"/>
  <c r="AI368" i="23"/>
  <c r="AH368" i="23" s="1"/>
  <c r="AG368" i="23" s="1"/>
  <c r="AF368" i="23" s="1"/>
  <c r="AD368" i="23" s="1"/>
  <c r="AI370" i="23"/>
  <c r="AH370" i="23" s="1"/>
  <c r="AG370" i="23" s="1"/>
  <c r="AF370" i="23" s="1"/>
  <c r="AD370" i="23" s="1"/>
  <c r="AI372" i="23"/>
  <c r="AH372" i="23" s="1"/>
  <c r="AG372" i="23" s="1"/>
  <c r="AF372" i="23" s="1"/>
  <c r="AD372" i="23" s="1"/>
  <c r="AI374" i="23"/>
  <c r="AH374" i="23" s="1"/>
  <c r="AG374" i="23" s="1"/>
  <c r="AF374" i="23" s="1"/>
  <c r="AD374" i="23" s="1"/>
  <c r="AI376" i="23"/>
  <c r="AH376" i="23" s="1"/>
  <c r="AG376" i="23" s="1"/>
  <c r="AF376" i="23" s="1"/>
  <c r="AD376" i="23" s="1"/>
  <c r="AI378" i="23"/>
  <c r="AH378" i="23" s="1"/>
  <c r="AG378" i="23" s="1"/>
  <c r="AF378" i="23" s="1"/>
  <c r="AD378" i="23" s="1"/>
  <c r="AI20" i="23"/>
  <c r="AH20" i="23" s="1"/>
  <c r="AG20" i="23" s="1"/>
  <c r="AF20" i="23" s="1"/>
  <c r="AD20" i="23" s="1"/>
  <c r="AI18" i="23"/>
  <c r="AH18" i="23" s="1"/>
  <c r="AG18" i="23" s="1"/>
  <c r="AF18" i="23" s="1"/>
  <c r="AD18" i="23" s="1"/>
  <c r="AI17" i="23"/>
  <c r="AH17" i="23" s="1"/>
  <c r="AG17" i="23" s="1"/>
  <c r="AF17" i="23" s="1"/>
  <c r="AD17" i="23" s="1"/>
  <c r="AI21" i="23"/>
  <c r="AH21" i="23" s="1"/>
  <c r="AG21" i="23" s="1"/>
  <c r="AF21" i="23" s="1"/>
  <c r="AD21" i="23" s="1"/>
  <c r="AI19" i="23"/>
  <c r="AH19" i="23" s="1"/>
  <c r="AG19" i="23" s="1"/>
  <c r="AF19" i="23" s="1"/>
  <c r="AD19" i="23" s="1"/>
  <c r="AI25" i="23"/>
  <c r="AH25" i="23" s="1"/>
  <c r="AG25" i="23" s="1"/>
  <c r="AF25" i="23" s="1"/>
  <c r="AD25" i="23" s="1"/>
  <c r="AI27" i="23"/>
  <c r="AH27" i="23" s="1"/>
  <c r="AG27" i="23" s="1"/>
  <c r="AF27" i="23" s="1"/>
  <c r="AD27" i="23" s="1"/>
  <c r="AI29" i="23"/>
  <c r="AH29" i="23" s="1"/>
  <c r="AG29" i="23" s="1"/>
  <c r="AF29" i="23" s="1"/>
  <c r="AD29" i="23" s="1"/>
  <c r="AI31" i="23"/>
  <c r="AH31" i="23" s="1"/>
  <c r="AG31" i="23" s="1"/>
  <c r="AF31" i="23" s="1"/>
  <c r="AD31" i="23" s="1"/>
  <c r="AI33" i="23"/>
  <c r="AH33" i="23" s="1"/>
  <c r="AG33" i="23" s="1"/>
  <c r="AF33" i="23" s="1"/>
  <c r="AD33" i="23" s="1"/>
  <c r="AI35" i="23"/>
  <c r="AH35" i="23" s="1"/>
  <c r="AG35" i="23" s="1"/>
  <c r="AF35" i="23" s="1"/>
  <c r="AD35" i="23" s="1"/>
  <c r="AI37" i="23"/>
  <c r="AH37" i="23" s="1"/>
  <c r="AG37" i="23" s="1"/>
  <c r="AF37" i="23" s="1"/>
  <c r="AD37" i="23" s="1"/>
  <c r="AI39" i="23"/>
  <c r="AH39" i="23" s="1"/>
  <c r="AG39" i="23" s="1"/>
  <c r="AF39" i="23" s="1"/>
  <c r="AD39" i="23" s="1"/>
  <c r="AI41" i="23"/>
  <c r="AH41" i="23" s="1"/>
  <c r="AG41" i="23" s="1"/>
  <c r="AF41" i="23" s="1"/>
  <c r="AD41" i="23" s="1"/>
  <c r="AI43" i="23"/>
  <c r="AH43" i="23" s="1"/>
  <c r="AG43" i="23" s="1"/>
  <c r="AF43" i="23" s="1"/>
  <c r="AD43" i="23" s="1"/>
  <c r="AI45" i="23"/>
  <c r="AH45" i="23" s="1"/>
  <c r="AG45" i="23" s="1"/>
  <c r="AF45" i="23" s="1"/>
  <c r="AD45" i="23" s="1"/>
  <c r="AI47" i="23"/>
  <c r="AH47" i="23" s="1"/>
  <c r="AG47" i="23" s="1"/>
  <c r="AF47" i="23" s="1"/>
  <c r="AD47" i="23" s="1"/>
  <c r="AI49" i="23"/>
  <c r="AH49" i="23" s="1"/>
  <c r="AG49" i="23" s="1"/>
  <c r="AF49" i="23" s="1"/>
  <c r="AD49" i="23" s="1"/>
  <c r="AI51" i="23"/>
  <c r="AH51" i="23" s="1"/>
  <c r="AG51" i="23" s="1"/>
  <c r="AF51" i="23" s="1"/>
  <c r="AD51" i="23" s="1"/>
  <c r="AI53" i="23"/>
  <c r="AH53" i="23" s="1"/>
  <c r="AG53" i="23" s="1"/>
  <c r="AF53" i="23" s="1"/>
  <c r="AD53" i="23" s="1"/>
  <c r="AI55" i="23"/>
  <c r="AH55" i="23" s="1"/>
  <c r="AG55" i="23" s="1"/>
  <c r="AF55" i="23" s="1"/>
  <c r="AD55" i="23" s="1"/>
  <c r="AI57" i="23"/>
  <c r="AH57" i="23" s="1"/>
  <c r="AG57" i="23" s="1"/>
  <c r="AF57" i="23" s="1"/>
  <c r="AD57" i="23" s="1"/>
  <c r="AI59" i="23"/>
  <c r="AH59" i="23" s="1"/>
  <c r="AG59" i="23" s="1"/>
  <c r="AF59" i="23" s="1"/>
  <c r="AD59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G103" i="23" s="1"/>
  <c r="AF103" i="23" s="1"/>
  <c r="AD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G145" i="23" s="1"/>
  <c r="AF145" i="23" s="1"/>
  <c r="AD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G161" i="23" s="1"/>
  <c r="AF161" i="23" s="1"/>
  <c r="AD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AG203" i="23" s="1"/>
  <c r="AF203" i="23" s="1"/>
  <c r="AD203" i="23" s="1"/>
  <c r="AI205" i="23"/>
  <c r="AH205" i="23" s="1"/>
  <c r="AG205" i="23" s="1"/>
  <c r="AF205" i="23" s="1"/>
  <c r="AD205" i="23" s="1"/>
  <c r="AI207" i="23"/>
  <c r="AH207" i="23" s="1"/>
  <c r="AG207" i="23" s="1"/>
  <c r="AF207" i="23" s="1"/>
  <c r="AD207" i="23" s="1"/>
  <c r="AI209" i="23"/>
  <c r="AH209" i="23" s="1"/>
  <c r="AG209" i="23" s="1"/>
  <c r="AF209" i="23" s="1"/>
  <c r="AD209" i="23" s="1"/>
  <c r="AI211" i="23"/>
  <c r="AH211" i="23" s="1"/>
  <c r="AG211" i="23" s="1"/>
  <c r="AF211" i="23" s="1"/>
  <c r="AD211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217" i="23"/>
  <c r="AH217" i="23" s="1"/>
  <c r="AG217" i="23" s="1"/>
  <c r="AF217" i="23" s="1"/>
  <c r="AD217" i="23" s="1"/>
  <c r="AI219" i="23"/>
  <c r="AH219" i="23" s="1"/>
  <c r="AG219" i="23" s="1"/>
  <c r="AF219" i="23" s="1"/>
  <c r="AD219" i="23" s="1"/>
  <c r="AI221" i="23"/>
  <c r="AH221" i="23" s="1"/>
  <c r="AG221" i="23" s="1"/>
  <c r="AF221" i="23" s="1"/>
  <c r="AD221" i="23" s="1"/>
  <c r="AI223" i="23"/>
  <c r="AH223" i="23" s="1"/>
  <c r="AG223" i="23" s="1"/>
  <c r="AF223" i="23" s="1"/>
  <c r="AD223" i="23" s="1"/>
  <c r="AI225" i="23"/>
  <c r="AH225" i="23" s="1"/>
  <c r="AG225" i="23" s="1"/>
  <c r="AF225" i="23" s="1"/>
  <c r="AD225" i="23" s="1"/>
  <c r="AI227" i="23"/>
  <c r="AH227" i="23" s="1"/>
  <c r="AG227" i="23" s="1"/>
  <c r="AF227" i="23" s="1"/>
  <c r="AD227" i="23" s="1"/>
  <c r="AI229" i="23"/>
  <c r="AH229" i="23" s="1"/>
  <c r="AG229" i="23" s="1"/>
  <c r="AF229" i="23" s="1"/>
  <c r="AD229" i="23" s="1"/>
  <c r="AI231" i="23"/>
  <c r="AH231" i="23" s="1"/>
  <c r="AG231" i="23" s="1"/>
  <c r="AF231" i="23" s="1"/>
  <c r="AD231" i="23" s="1"/>
  <c r="AI233" i="23"/>
  <c r="AH233" i="23" s="1"/>
  <c r="AG233" i="23" s="1"/>
  <c r="AF233" i="23" s="1"/>
  <c r="AD233" i="23" s="1"/>
  <c r="AI235" i="23"/>
  <c r="AH235" i="23" s="1"/>
  <c r="AG235" i="23" s="1"/>
  <c r="AF235" i="23" s="1"/>
  <c r="AD235" i="23" s="1"/>
  <c r="AI237" i="23"/>
  <c r="AH237" i="23" s="1"/>
  <c r="AG237" i="23" s="1"/>
  <c r="AF237" i="23" s="1"/>
  <c r="AD237" i="23" s="1"/>
  <c r="AI239" i="23"/>
  <c r="AH239" i="23" s="1"/>
  <c r="AG239" i="23" s="1"/>
  <c r="AF239" i="23" s="1"/>
  <c r="AD239" i="23" s="1"/>
  <c r="AI241" i="23"/>
  <c r="AH241" i="23" s="1"/>
  <c r="AG241" i="23" s="1"/>
  <c r="AF241" i="23" s="1"/>
  <c r="AD241" i="23" s="1"/>
  <c r="AI243" i="23"/>
  <c r="AH243" i="23" s="1"/>
  <c r="AG243" i="23" s="1"/>
  <c r="AF243" i="23" s="1"/>
  <c r="AD243" i="23" s="1"/>
  <c r="AI245" i="23"/>
  <c r="AH245" i="23" s="1"/>
  <c r="AG245" i="23" s="1"/>
  <c r="AF245" i="23" s="1"/>
  <c r="AD245" i="23" s="1"/>
  <c r="AI247" i="23"/>
  <c r="AH247" i="23" s="1"/>
  <c r="AG247" i="23" s="1"/>
  <c r="AF247" i="23" s="1"/>
  <c r="AD247" i="23" s="1"/>
  <c r="AI249" i="23"/>
  <c r="AH249" i="23" s="1"/>
  <c r="AG249" i="23" s="1"/>
  <c r="AF249" i="23" s="1"/>
  <c r="AD249" i="23" s="1"/>
  <c r="AI251" i="23"/>
  <c r="AH251" i="23" s="1"/>
  <c r="AG251" i="23" s="1"/>
  <c r="AF251" i="23" s="1"/>
  <c r="AD251" i="23" s="1"/>
  <c r="AI253" i="23"/>
  <c r="AH253" i="23" s="1"/>
  <c r="AG253" i="23" s="1"/>
  <c r="AF253" i="23" s="1"/>
  <c r="AD253" i="23" s="1"/>
  <c r="AI255" i="23"/>
  <c r="AH255" i="23" s="1"/>
  <c r="AG255" i="23" s="1"/>
  <c r="AF255" i="23" s="1"/>
  <c r="AD255" i="23" s="1"/>
  <c r="AI257" i="23"/>
  <c r="AH257" i="23" s="1"/>
  <c r="AG257" i="23" s="1"/>
  <c r="AF257" i="23" s="1"/>
  <c r="AD257" i="23" s="1"/>
  <c r="AI259" i="23"/>
  <c r="AH259" i="23" s="1"/>
  <c r="AG259" i="23" s="1"/>
  <c r="AF259" i="23" s="1"/>
  <c r="AD259" i="23" s="1"/>
  <c r="AI261" i="23"/>
  <c r="AH261" i="23" s="1"/>
  <c r="AG261" i="23" s="1"/>
  <c r="AF261" i="23" s="1"/>
  <c r="AD261" i="23" s="1"/>
  <c r="AI263" i="23"/>
  <c r="AH263" i="23" s="1"/>
  <c r="AG263" i="23" s="1"/>
  <c r="AF263" i="23" s="1"/>
  <c r="AD263" i="23" s="1"/>
  <c r="AI265" i="23"/>
  <c r="AH265" i="23" s="1"/>
  <c r="AG265" i="23" s="1"/>
  <c r="AF265" i="23" s="1"/>
  <c r="AD265" i="23" s="1"/>
  <c r="AI267" i="23"/>
  <c r="AH267" i="23" s="1"/>
  <c r="AG267" i="23" s="1"/>
  <c r="AF267" i="23" s="1"/>
  <c r="AD267" i="23" s="1"/>
  <c r="AI269" i="23"/>
  <c r="AH269" i="23" s="1"/>
  <c r="AG269" i="23" s="1"/>
  <c r="AF269" i="23" s="1"/>
  <c r="AD269" i="23" s="1"/>
  <c r="AI271" i="23"/>
  <c r="AH271" i="23" s="1"/>
  <c r="AG271" i="23" s="1"/>
  <c r="AF271" i="23" s="1"/>
  <c r="AD271" i="23" s="1"/>
  <c r="AI273" i="23"/>
  <c r="AH273" i="23" s="1"/>
  <c r="AG273" i="23" s="1"/>
  <c r="AF273" i="23" s="1"/>
  <c r="AD273" i="23" s="1"/>
  <c r="AI275" i="23"/>
  <c r="AH275" i="23" s="1"/>
  <c r="AG275" i="23" s="1"/>
  <c r="AF275" i="23" s="1"/>
  <c r="AD275" i="23" s="1"/>
  <c r="AI277" i="23"/>
  <c r="AH277" i="23" s="1"/>
  <c r="AG277" i="23" s="1"/>
  <c r="AF277" i="23" s="1"/>
  <c r="AD277" i="23" s="1"/>
  <c r="AI279" i="23"/>
  <c r="AH279" i="23" s="1"/>
  <c r="AG279" i="23" s="1"/>
  <c r="AF279" i="23" s="1"/>
  <c r="AD279" i="23" s="1"/>
  <c r="AI281" i="23"/>
  <c r="AH281" i="23" s="1"/>
  <c r="AG281" i="23" s="1"/>
  <c r="AF281" i="23" s="1"/>
  <c r="AD281" i="23" s="1"/>
  <c r="AI283" i="23"/>
  <c r="AH283" i="23" s="1"/>
  <c r="AG283" i="23" s="1"/>
  <c r="AF283" i="23" s="1"/>
  <c r="AD283" i="23" s="1"/>
  <c r="AI285" i="23"/>
  <c r="AH285" i="23" s="1"/>
  <c r="AG285" i="23" s="1"/>
  <c r="AF285" i="23" s="1"/>
  <c r="AD285" i="23" s="1"/>
  <c r="AI287" i="23"/>
  <c r="AH287" i="23" s="1"/>
  <c r="AG287" i="23" s="1"/>
  <c r="AF287" i="23" s="1"/>
  <c r="AD287" i="23" s="1"/>
  <c r="AI289" i="23"/>
  <c r="AH289" i="23" s="1"/>
  <c r="AG289" i="23" s="1"/>
  <c r="AF289" i="23" s="1"/>
  <c r="AD289" i="23" s="1"/>
  <c r="AI291" i="23"/>
  <c r="AH291" i="23" s="1"/>
  <c r="AG291" i="23" s="1"/>
  <c r="AF291" i="23" s="1"/>
  <c r="AD291" i="23" s="1"/>
  <c r="AI293" i="23"/>
  <c r="AH293" i="23" s="1"/>
  <c r="AG293" i="23" s="1"/>
  <c r="AF293" i="23" s="1"/>
  <c r="AD293" i="23" s="1"/>
  <c r="AI295" i="23"/>
  <c r="AH295" i="23" s="1"/>
  <c r="AG295" i="23" s="1"/>
  <c r="AF295" i="23" s="1"/>
  <c r="AD295" i="23" s="1"/>
  <c r="AI297" i="23"/>
  <c r="AH297" i="23" s="1"/>
  <c r="AG297" i="23" s="1"/>
  <c r="AF297" i="23" s="1"/>
  <c r="AD297" i="23" s="1"/>
  <c r="AI299" i="23"/>
  <c r="AH299" i="23" s="1"/>
  <c r="AG299" i="23" s="1"/>
  <c r="AF299" i="23" s="1"/>
  <c r="AD299" i="23" s="1"/>
  <c r="AI301" i="23"/>
  <c r="AH301" i="23" s="1"/>
  <c r="AG301" i="23" s="1"/>
  <c r="AF301" i="23" s="1"/>
  <c r="AD301" i="23" s="1"/>
  <c r="AI303" i="23"/>
  <c r="AH303" i="23" s="1"/>
  <c r="AG303" i="23" s="1"/>
  <c r="AF303" i="23" s="1"/>
  <c r="AD303" i="23" s="1"/>
  <c r="AI305" i="23"/>
  <c r="AH305" i="23" s="1"/>
  <c r="AG305" i="23" s="1"/>
  <c r="AF305" i="23" s="1"/>
  <c r="AD305" i="23" s="1"/>
  <c r="AI307" i="23"/>
  <c r="AH307" i="23" s="1"/>
  <c r="AG307" i="23" s="1"/>
  <c r="AF307" i="23" s="1"/>
  <c r="AD307" i="23" s="1"/>
  <c r="AI309" i="23"/>
  <c r="AH309" i="23" s="1"/>
  <c r="AG309" i="23" s="1"/>
  <c r="AF309" i="23" s="1"/>
  <c r="AD309" i="23" s="1"/>
  <c r="AI311" i="23"/>
  <c r="AH311" i="23" s="1"/>
  <c r="AG311" i="23" s="1"/>
  <c r="AF311" i="23" s="1"/>
  <c r="AD311" i="23" s="1"/>
  <c r="AI313" i="23"/>
  <c r="AH313" i="23" s="1"/>
  <c r="AG313" i="23" s="1"/>
  <c r="AF313" i="23" s="1"/>
  <c r="AD313" i="23" s="1"/>
  <c r="AI315" i="23"/>
  <c r="AH315" i="23" s="1"/>
  <c r="AG315" i="23" s="1"/>
  <c r="AF315" i="23" s="1"/>
  <c r="AD315" i="23" s="1"/>
  <c r="AI317" i="23"/>
  <c r="AH317" i="23" s="1"/>
  <c r="AG317" i="23" s="1"/>
  <c r="AF317" i="23" s="1"/>
  <c r="AD317" i="23" s="1"/>
  <c r="AI319" i="23"/>
  <c r="AH319" i="23" s="1"/>
  <c r="AG319" i="23" s="1"/>
  <c r="AF319" i="23" s="1"/>
  <c r="AD319" i="23" s="1"/>
  <c r="AI321" i="23"/>
  <c r="AH321" i="23" s="1"/>
  <c r="AG321" i="23" s="1"/>
  <c r="AF321" i="23" s="1"/>
  <c r="AD321" i="23" s="1"/>
  <c r="AI323" i="23"/>
  <c r="AH323" i="23" s="1"/>
  <c r="AG323" i="23" s="1"/>
  <c r="AF323" i="23" s="1"/>
  <c r="AD323" i="23" s="1"/>
  <c r="AI325" i="23"/>
  <c r="AH325" i="23" s="1"/>
  <c r="AG325" i="23" s="1"/>
  <c r="AF325" i="23" s="1"/>
  <c r="AD325" i="23" s="1"/>
  <c r="AI327" i="23"/>
  <c r="AH327" i="23" s="1"/>
  <c r="AG327" i="23" s="1"/>
  <c r="AF327" i="23" s="1"/>
  <c r="AD327" i="23" s="1"/>
  <c r="AI329" i="23"/>
  <c r="AH329" i="23" s="1"/>
  <c r="AG329" i="23" s="1"/>
  <c r="AF329" i="23" s="1"/>
  <c r="AD329" i="23" s="1"/>
  <c r="AI331" i="23"/>
  <c r="AH331" i="23" s="1"/>
  <c r="AG331" i="23" s="1"/>
  <c r="AF331" i="23" s="1"/>
  <c r="AD331" i="23" s="1"/>
  <c r="AI333" i="23"/>
  <c r="AH333" i="23" s="1"/>
  <c r="AG333" i="23" s="1"/>
  <c r="AF333" i="23" s="1"/>
  <c r="AD333" i="23" s="1"/>
  <c r="AI335" i="23"/>
  <c r="AH335" i="23" s="1"/>
  <c r="AG335" i="23" s="1"/>
  <c r="AF335" i="23" s="1"/>
  <c r="AD335" i="23" s="1"/>
  <c r="AI337" i="23"/>
  <c r="AH337" i="23" s="1"/>
  <c r="AG337" i="23" s="1"/>
  <c r="AF337" i="23" s="1"/>
  <c r="AD337" i="23" s="1"/>
  <c r="AI339" i="23"/>
  <c r="AH339" i="23" s="1"/>
  <c r="AG339" i="23" s="1"/>
  <c r="AF339" i="23" s="1"/>
  <c r="AD339" i="23" s="1"/>
  <c r="AI341" i="23"/>
  <c r="AH341" i="23" s="1"/>
  <c r="AG341" i="23" s="1"/>
  <c r="AF341" i="23" s="1"/>
  <c r="AD341" i="23" s="1"/>
  <c r="AI343" i="23"/>
  <c r="AH343" i="23" s="1"/>
  <c r="AG343" i="23" s="1"/>
  <c r="AF343" i="23" s="1"/>
  <c r="AD343" i="23" s="1"/>
  <c r="AI345" i="23"/>
  <c r="AH345" i="23" s="1"/>
  <c r="AG345" i="23" s="1"/>
  <c r="AF345" i="23" s="1"/>
  <c r="AD345" i="23" s="1"/>
  <c r="AI347" i="23"/>
  <c r="AH347" i="23" s="1"/>
  <c r="AG347" i="23" s="1"/>
  <c r="AF347" i="23" s="1"/>
  <c r="AD347" i="23" s="1"/>
  <c r="AI349" i="23"/>
  <c r="AH349" i="23" s="1"/>
  <c r="AG349" i="23" s="1"/>
  <c r="AF349" i="23" s="1"/>
  <c r="AD349" i="23" s="1"/>
  <c r="AI351" i="23"/>
  <c r="AH351" i="23" s="1"/>
  <c r="AG351" i="23" s="1"/>
  <c r="AF351" i="23" s="1"/>
  <c r="AD351" i="23" s="1"/>
  <c r="AI353" i="23"/>
  <c r="AH353" i="23" s="1"/>
  <c r="AG353" i="23" s="1"/>
  <c r="AF353" i="23" s="1"/>
  <c r="AD353" i="23" s="1"/>
  <c r="AI355" i="23"/>
  <c r="AH355" i="23" s="1"/>
  <c r="AG355" i="23" s="1"/>
  <c r="AF355" i="23" s="1"/>
  <c r="AD355" i="23" s="1"/>
  <c r="AI357" i="23"/>
  <c r="AH357" i="23" s="1"/>
  <c r="AG357" i="23" s="1"/>
  <c r="AF357" i="23" s="1"/>
  <c r="AD357" i="23" s="1"/>
  <c r="AI359" i="23"/>
  <c r="AH359" i="23" s="1"/>
  <c r="AG359" i="23" s="1"/>
  <c r="AF359" i="23" s="1"/>
  <c r="AD359" i="23" s="1"/>
  <c r="AI361" i="23"/>
  <c r="AH361" i="23" s="1"/>
  <c r="AG361" i="23" s="1"/>
  <c r="AF361" i="23" s="1"/>
  <c r="AD361" i="23" s="1"/>
  <c r="AI363" i="23"/>
  <c r="AH363" i="23" s="1"/>
  <c r="AG363" i="23" s="1"/>
  <c r="AF363" i="23" s="1"/>
  <c r="AD363" i="23" s="1"/>
  <c r="AI365" i="23"/>
  <c r="AH365" i="23" s="1"/>
  <c r="AG365" i="23" s="1"/>
  <c r="AF365" i="23" s="1"/>
  <c r="AD365" i="23" s="1"/>
  <c r="AI367" i="23"/>
  <c r="AH367" i="23" s="1"/>
  <c r="AG367" i="23" s="1"/>
  <c r="AF367" i="23" s="1"/>
  <c r="AD367" i="23" s="1"/>
  <c r="AI369" i="23"/>
  <c r="AH369" i="23" s="1"/>
  <c r="AG369" i="23" s="1"/>
  <c r="AF369" i="23" s="1"/>
  <c r="AD369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75" i="23"/>
  <c r="AH375" i="23" s="1"/>
  <c r="AG375" i="23" s="1"/>
  <c r="AF375" i="23" s="1"/>
  <c r="AD375" i="23" s="1"/>
  <c r="AI377" i="23"/>
  <c r="AH377" i="23" s="1"/>
  <c r="AG377" i="23" s="1"/>
  <c r="AF377" i="23" s="1"/>
  <c r="AD377" i="23" s="1"/>
  <c r="AI379" i="23"/>
  <c r="AS16" i="7"/>
  <c r="U31" i="23"/>
  <c r="T31" i="23" s="1"/>
  <c r="S31" i="23" s="1"/>
  <c r="R31" i="23" s="1"/>
  <c r="P31" i="23" s="1"/>
  <c r="V31" i="23" s="1"/>
  <c r="U47" i="23"/>
  <c r="T47" i="23" s="1"/>
  <c r="S47" i="23" s="1"/>
  <c r="R47" i="23" s="1"/>
  <c r="P47" i="23" s="1"/>
  <c r="V47" i="23" s="1"/>
  <c r="U63" i="23"/>
  <c r="T63" i="23" s="1"/>
  <c r="S63" i="23" s="1"/>
  <c r="R63" i="23" s="1"/>
  <c r="P63" i="23" s="1"/>
  <c r="V63" i="23" s="1"/>
  <c r="U79" i="23"/>
  <c r="T79" i="23" s="1"/>
  <c r="S79" i="23" s="1"/>
  <c r="R79" i="23" s="1"/>
  <c r="P79" i="23" s="1"/>
  <c r="V79" i="23" s="1"/>
  <c r="U95" i="23"/>
  <c r="T95" i="23" s="1"/>
  <c r="S95" i="23" s="1"/>
  <c r="R95" i="23" s="1"/>
  <c r="P95" i="23" s="1"/>
  <c r="V95" i="23" s="1"/>
  <c r="U109" i="23"/>
  <c r="T109" i="23" s="1"/>
  <c r="S109" i="23" s="1"/>
  <c r="R109" i="23" s="1"/>
  <c r="P109" i="23" s="1"/>
  <c r="V109" i="23" s="1"/>
  <c r="U117" i="23"/>
  <c r="T117" i="23" s="1"/>
  <c r="S117" i="23" s="1"/>
  <c r="R117" i="23" s="1"/>
  <c r="P117" i="23" s="1"/>
  <c r="V117" i="23" s="1"/>
  <c r="U125" i="23"/>
  <c r="T125" i="23" s="1"/>
  <c r="S125" i="23" s="1"/>
  <c r="R125" i="23" s="1"/>
  <c r="P125" i="23" s="1"/>
  <c r="V125" i="23" s="1"/>
  <c r="U133" i="23"/>
  <c r="T133" i="23" s="1"/>
  <c r="S133" i="23" s="1"/>
  <c r="R133" i="23" s="1"/>
  <c r="P133" i="23" s="1"/>
  <c r="V133" i="23" s="1"/>
  <c r="U141" i="23"/>
  <c r="T141" i="23" s="1"/>
  <c r="S141" i="23" s="1"/>
  <c r="R141" i="23" s="1"/>
  <c r="P141" i="23" s="1"/>
  <c r="V141" i="23" s="1"/>
  <c r="U149" i="23"/>
  <c r="T149" i="23" s="1"/>
  <c r="S149" i="23" s="1"/>
  <c r="R149" i="23" s="1"/>
  <c r="P149" i="23" s="1"/>
  <c r="AH48" i="7" s="1"/>
  <c r="U157" i="23"/>
  <c r="T157" i="23" s="1"/>
  <c r="S157" i="23" s="1"/>
  <c r="R157" i="23" s="1"/>
  <c r="P157" i="23" s="1"/>
  <c r="V157" i="23" s="1"/>
  <c r="U165" i="23"/>
  <c r="T165" i="23" s="1"/>
  <c r="S165" i="23" s="1"/>
  <c r="R165" i="23" s="1"/>
  <c r="P165" i="23" s="1"/>
  <c r="V165" i="23" s="1"/>
  <c r="U173" i="23"/>
  <c r="T173" i="23" s="1"/>
  <c r="S173" i="23" s="1"/>
  <c r="R173" i="23" s="1"/>
  <c r="P173" i="23" s="1"/>
  <c r="V173" i="23" s="1"/>
  <c r="U181" i="23"/>
  <c r="T181" i="23" s="1"/>
  <c r="S181" i="23" s="1"/>
  <c r="R181" i="23" s="1"/>
  <c r="P181" i="23" s="1"/>
  <c r="V181" i="23" s="1"/>
  <c r="U189" i="23"/>
  <c r="T189" i="23" s="1"/>
  <c r="S189" i="23" s="1"/>
  <c r="R189" i="23" s="1"/>
  <c r="P189" i="23" s="1"/>
  <c r="V189" i="23" s="1"/>
  <c r="U197" i="23"/>
  <c r="T197" i="23" s="1"/>
  <c r="S197" i="23" s="1"/>
  <c r="R197" i="23" s="1"/>
  <c r="P197" i="23" s="1"/>
  <c r="V197" i="23" s="1"/>
  <c r="U201" i="23"/>
  <c r="T201" i="23" s="1"/>
  <c r="S201" i="23" s="1"/>
  <c r="R201" i="23" s="1"/>
  <c r="P201" i="23" s="1"/>
  <c r="V201" i="23" s="1"/>
  <c r="U205" i="23"/>
  <c r="T205" i="23" s="1"/>
  <c r="S205" i="23" s="1"/>
  <c r="R205" i="23" s="1"/>
  <c r="P205" i="23" s="1"/>
  <c r="V205" i="23" s="1"/>
  <c r="U209" i="23"/>
  <c r="T209" i="23" s="1"/>
  <c r="S209" i="23" s="1"/>
  <c r="R209" i="23" s="1"/>
  <c r="P209" i="23" s="1"/>
  <c r="V209" i="23" s="1"/>
  <c r="U212" i="23"/>
  <c r="T212" i="23" s="1"/>
  <c r="S212" i="23" s="1"/>
  <c r="R212" i="23" s="1"/>
  <c r="P212" i="23" s="1"/>
  <c r="V212" i="23" s="1"/>
  <c r="U214" i="23"/>
  <c r="T214" i="23" s="1"/>
  <c r="S214" i="23" s="1"/>
  <c r="R214" i="23" s="1"/>
  <c r="P214" i="23" s="1"/>
  <c r="V214" i="23" s="1"/>
  <c r="U216" i="23"/>
  <c r="T216" i="23" s="1"/>
  <c r="S216" i="23" s="1"/>
  <c r="R216" i="23" s="1"/>
  <c r="P216" i="23" s="1"/>
  <c r="V216" i="23" s="1"/>
  <c r="U218" i="23"/>
  <c r="T218" i="23" s="1"/>
  <c r="S218" i="23" s="1"/>
  <c r="R218" i="23" s="1"/>
  <c r="P218" i="23" s="1"/>
  <c r="V218" i="23" s="1"/>
  <c r="U220" i="23"/>
  <c r="T220" i="23" s="1"/>
  <c r="S220" i="23" s="1"/>
  <c r="R220" i="23" s="1"/>
  <c r="P220" i="23" s="1"/>
  <c r="V220" i="23" s="1"/>
  <c r="U222" i="23"/>
  <c r="T222" i="23" s="1"/>
  <c r="S222" i="23" s="1"/>
  <c r="R222" i="23" s="1"/>
  <c r="P222" i="23" s="1"/>
  <c r="V222" i="23" s="1"/>
  <c r="U224" i="23"/>
  <c r="T224" i="23" s="1"/>
  <c r="S224" i="23" s="1"/>
  <c r="R224" i="23" s="1"/>
  <c r="P224" i="23" s="1"/>
  <c r="V224" i="23" s="1"/>
  <c r="U226" i="23"/>
  <c r="T226" i="23" s="1"/>
  <c r="S226" i="23" s="1"/>
  <c r="R226" i="23" s="1"/>
  <c r="P226" i="23" s="1"/>
  <c r="V226" i="23" s="1"/>
  <c r="U228" i="23"/>
  <c r="T228" i="23" s="1"/>
  <c r="S228" i="23" s="1"/>
  <c r="R228" i="23" s="1"/>
  <c r="P228" i="23" s="1"/>
  <c r="V228" i="23" s="1"/>
  <c r="U230" i="23"/>
  <c r="T230" i="23" s="1"/>
  <c r="S230" i="23" s="1"/>
  <c r="R230" i="23" s="1"/>
  <c r="P230" i="23" s="1"/>
  <c r="V230" i="23" s="1"/>
  <c r="U232" i="23"/>
  <c r="T232" i="23" s="1"/>
  <c r="S232" i="23" s="1"/>
  <c r="R232" i="23" s="1"/>
  <c r="P232" i="23" s="1"/>
  <c r="V232" i="23" s="1"/>
  <c r="U234" i="23"/>
  <c r="T234" i="23" s="1"/>
  <c r="S234" i="23" s="1"/>
  <c r="R234" i="23" s="1"/>
  <c r="P234" i="23" s="1"/>
  <c r="V234" i="23" s="1"/>
  <c r="U236" i="23"/>
  <c r="T236" i="23" s="1"/>
  <c r="S236" i="23" s="1"/>
  <c r="R236" i="23" s="1"/>
  <c r="P236" i="23" s="1"/>
  <c r="V236" i="23" s="1"/>
  <c r="U238" i="23"/>
  <c r="T238" i="23" s="1"/>
  <c r="S238" i="23" s="1"/>
  <c r="R238" i="23" s="1"/>
  <c r="P238" i="23" s="1"/>
  <c r="V238" i="23" s="1"/>
  <c r="U240" i="23"/>
  <c r="T240" i="23" s="1"/>
  <c r="S240" i="23" s="1"/>
  <c r="R240" i="23" s="1"/>
  <c r="P240" i="23" s="1"/>
  <c r="V240" i="23" s="1"/>
  <c r="U242" i="23"/>
  <c r="T242" i="23" s="1"/>
  <c r="S242" i="23" s="1"/>
  <c r="R242" i="23" s="1"/>
  <c r="P242" i="23" s="1"/>
  <c r="V242" i="23" s="1"/>
  <c r="U244" i="23"/>
  <c r="T244" i="23" s="1"/>
  <c r="S244" i="23" s="1"/>
  <c r="R244" i="23" s="1"/>
  <c r="P244" i="23" s="1"/>
  <c r="V244" i="23" s="1"/>
  <c r="U246" i="23"/>
  <c r="T246" i="23" s="1"/>
  <c r="S246" i="23" s="1"/>
  <c r="R246" i="23" s="1"/>
  <c r="P246" i="23" s="1"/>
  <c r="V246" i="23" s="1"/>
  <c r="U248" i="23"/>
  <c r="T248" i="23" s="1"/>
  <c r="S248" i="23" s="1"/>
  <c r="R248" i="23" s="1"/>
  <c r="P248" i="23" s="1"/>
  <c r="V248" i="23" s="1"/>
  <c r="U250" i="23"/>
  <c r="T250" i="23" s="1"/>
  <c r="S250" i="23" s="1"/>
  <c r="R250" i="23" s="1"/>
  <c r="P250" i="23" s="1"/>
  <c r="V250" i="23" s="1"/>
  <c r="U252" i="23"/>
  <c r="T252" i="23" s="1"/>
  <c r="S252" i="23" s="1"/>
  <c r="R252" i="23" s="1"/>
  <c r="P252" i="23" s="1"/>
  <c r="V252" i="23" s="1"/>
  <c r="U254" i="23"/>
  <c r="T254" i="23" s="1"/>
  <c r="S254" i="23" s="1"/>
  <c r="R254" i="23" s="1"/>
  <c r="P254" i="23" s="1"/>
  <c r="V254" i="23" s="1"/>
  <c r="U256" i="23"/>
  <c r="T256" i="23" s="1"/>
  <c r="S256" i="23" s="1"/>
  <c r="R256" i="23" s="1"/>
  <c r="P256" i="23" s="1"/>
  <c r="V256" i="23" s="1"/>
  <c r="U258" i="23"/>
  <c r="T258" i="23" s="1"/>
  <c r="S258" i="23" s="1"/>
  <c r="R258" i="23" s="1"/>
  <c r="P258" i="23" s="1"/>
  <c r="V258" i="23" s="1"/>
  <c r="U260" i="23"/>
  <c r="T260" i="23" s="1"/>
  <c r="S260" i="23" s="1"/>
  <c r="R260" i="23" s="1"/>
  <c r="P260" i="23" s="1"/>
  <c r="V260" i="23" s="1"/>
  <c r="U262" i="23"/>
  <c r="T262" i="23" s="1"/>
  <c r="S262" i="23" s="1"/>
  <c r="R262" i="23" s="1"/>
  <c r="P262" i="23" s="1"/>
  <c r="V262" i="23" s="1"/>
  <c r="U264" i="23"/>
  <c r="T264" i="23" s="1"/>
  <c r="S264" i="23" s="1"/>
  <c r="R264" i="23" s="1"/>
  <c r="P264" i="23" s="1"/>
  <c r="V264" i="23" s="1"/>
  <c r="U266" i="23"/>
  <c r="T266" i="23" s="1"/>
  <c r="S266" i="23" s="1"/>
  <c r="R266" i="23" s="1"/>
  <c r="P266" i="23" s="1"/>
  <c r="V266" i="23" s="1"/>
  <c r="U268" i="23"/>
  <c r="T268" i="23" s="1"/>
  <c r="S268" i="23" s="1"/>
  <c r="R268" i="23" s="1"/>
  <c r="P268" i="23" s="1"/>
  <c r="V268" i="23" s="1"/>
  <c r="U270" i="23"/>
  <c r="T270" i="23" s="1"/>
  <c r="S270" i="23" s="1"/>
  <c r="R270" i="23" s="1"/>
  <c r="P270" i="23" s="1"/>
  <c r="V270" i="23" s="1"/>
  <c r="U272" i="23"/>
  <c r="T272" i="23" s="1"/>
  <c r="S272" i="23" s="1"/>
  <c r="R272" i="23" s="1"/>
  <c r="P272" i="23" s="1"/>
  <c r="AH52" i="7" s="1"/>
  <c r="U274" i="23"/>
  <c r="T274" i="23" s="1"/>
  <c r="S274" i="23" s="1"/>
  <c r="R274" i="23" s="1"/>
  <c r="P274" i="23" s="1"/>
  <c r="V274" i="23" s="1"/>
  <c r="U276" i="23"/>
  <c r="T276" i="23" s="1"/>
  <c r="S276" i="23" s="1"/>
  <c r="R276" i="23" s="1"/>
  <c r="P276" i="23" s="1"/>
  <c r="V276" i="23" s="1"/>
  <c r="U278" i="23"/>
  <c r="T278" i="23" s="1"/>
  <c r="S278" i="23" s="1"/>
  <c r="R278" i="23" s="1"/>
  <c r="P278" i="23" s="1"/>
  <c r="V278" i="23" s="1"/>
  <c r="U280" i="23"/>
  <c r="T280" i="23" s="1"/>
  <c r="S280" i="23" s="1"/>
  <c r="R280" i="23" s="1"/>
  <c r="P280" i="23" s="1"/>
  <c r="V280" i="23" s="1"/>
  <c r="U282" i="23"/>
  <c r="T282" i="23" s="1"/>
  <c r="S282" i="23" s="1"/>
  <c r="R282" i="23" s="1"/>
  <c r="P282" i="23" s="1"/>
  <c r="V282" i="23" s="1"/>
  <c r="U284" i="23"/>
  <c r="T284" i="23" s="1"/>
  <c r="S284" i="23" s="1"/>
  <c r="R284" i="23" s="1"/>
  <c r="P284" i="23" s="1"/>
  <c r="V284" i="23" s="1"/>
  <c r="U286" i="23"/>
  <c r="T286" i="23" s="1"/>
  <c r="S286" i="23" s="1"/>
  <c r="R286" i="23" s="1"/>
  <c r="P286" i="23" s="1"/>
  <c r="V286" i="23" s="1"/>
  <c r="U288" i="23"/>
  <c r="T288" i="23" s="1"/>
  <c r="S288" i="23" s="1"/>
  <c r="R288" i="23" s="1"/>
  <c r="P288" i="23" s="1"/>
  <c r="V288" i="23" s="1"/>
  <c r="U290" i="23"/>
  <c r="T290" i="23" s="1"/>
  <c r="S290" i="23" s="1"/>
  <c r="R290" i="23" s="1"/>
  <c r="P290" i="23" s="1"/>
  <c r="V290" i="23" s="1"/>
  <c r="U292" i="23"/>
  <c r="T292" i="23" s="1"/>
  <c r="S292" i="23" s="1"/>
  <c r="R292" i="23" s="1"/>
  <c r="P292" i="23" s="1"/>
  <c r="V292" i="23" s="1"/>
  <c r="U294" i="23"/>
  <c r="T294" i="23" s="1"/>
  <c r="S294" i="23" s="1"/>
  <c r="R294" i="23" s="1"/>
  <c r="P294" i="23" s="1"/>
  <c r="V294" i="23" s="1"/>
  <c r="U296" i="23"/>
  <c r="T296" i="23" s="1"/>
  <c r="S296" i="23" s="1"/>
  <c r="R296" i="23" s="1"/>
  <c r="P296" i="23" s="1"/>
  <c r="V296" i="23" s="1"/>
  <c r="U298" i="23"/>
  <c r="T298" i="23" s="1"/>
  <c r="S298" i="23" s="1"/>
  <c r="R298" i="23" s="1"/>
  <c r="P298" i="23" s="1"/>
  <c r="V298" i="23" s="1"/>
  <c r="U300" i="23"/>
  <c r="T300" i="23" s="1"/>
  <c r="S300" i="23" s="1"/>
  <c r="R300" i="23" s="1"/>
  <c r="P300" i="23" s="1"/>
  <c r="V300" i="23" s="1"/>
  <c r="U302" i="23"/>
  <c r="T302" i="23" s="1"/>
  <c r="S302" i="23" s="1"/>
  <c r="R302" i="23" s="1"/>
  <c r="P302" i="23" s="1"/>
  <c r="U304" i="23"/>
  <c r="T304" i="23" s="1"/>
  <c r="S304" i="23" s="1"/>
  <c r="R304" i="23" s="1"/>
  <c r="P304" i="23" s="1"/>
  <c r="V304" i="23" s="1"/>
  <c r="U306" i="23"/>
  <c r="T306" i="23" s="1"/>
  <c r="S306" i="23" s="1"/>
  <c r="R306" i="23" s="1"/>
  <c r="P306" i="23" s="1"/>
  <c r="V306" i="23" s="1"/>
  <c r="U308" i="23"/>
  <c r="T308" i="23" s="1"/>
  <c r="S308" i="23" s="1"/>
  <c r="R308" i="23" s="1"/>
  <c r="P308" i="23" s="1"/>
  <c r="V308" i="23" s="1"/>
  <c r="U310" i="23"/>
  <c r="T310" i="23" s="1"/>
  <c r="S310" i="23" s="1"/>
  <c r="R310" i="23" s="1"/>
  <c r="P310" i="23" s="1"/>
  <c r="V310" i="23" s="1"/>
  <c r="U312" i="23"/>
  <c r="T312" i="23" s="1"/>
  <c r="S312" i="23" s="1"/>
  <c r="R312" i="23" s="1"/>
  <c r="P312" i="23" s="1"/>
  <c r="V312" i="23" s="1"/>
  <c r="U314" i="23"/>
  <c r="T314" i="23" s="1"/>
  <c r="S314" i="23" s="1"/>
  <c r="R314" i="23" s="1"/>
  <c r="P314" i="23" s="1"/>
  <c r="V314" i="23" s="1"/>
  <c r="U316" i="23"/>
  <c r="T316" i="23" s="1"/>
  <c r="S316" i="23" s="1"/>
  <c r="R316" i="23" s="1"/>
  <c r="P316" i="23" s="1"/>
  <c r="V316" i="23" s="1"/>
  <c r="U318" i="23"/>
  <c r="T318" i="23" s="1"/>
  <c r="S318" i="23" s="1"/>
  <c r="R318" i="23" s="1"/>
  <c r="P318" i="23" s="1"/>
  <c r="V318" i="23" s="1"/>
  <c r="U320" i="23"/>
  <c r="T320" i="23" s="1"/>
  <c r="S320" i="23" s="1"/>
  <c r="R320" i="23" s="1"/>
  <c r="P320" i="23" s="1"/>
  <c r="V320" i="23" s="1"/>
  <c r="U322" i="23"/>
  <c r="T322" i="23" s="1"/>
  <c r="S322" i="23" s="1"/>
  <c r="R322" i="23" s="1"/>
  <c r="P322" i="23" s="1"/>
  <c r="V322" i="23" s="1"/>
  <c r="U324" i="23"/>
  <c r="T324" i="23" s="1"/>
  <c r="S324" i="23" s="1"/>
  <c r="R324" i="23" s="1"/>
  <c r="P324" i="23" s="1"/>
  <c r="V324" i="23" s="1"/>
  <c r="U326" i="23"/>
  <c r="T326" i="23" s="1"/>
  <c r="S326" i="23" s="1"/>
  <c r="R326" i="23" s="1"/>
  <c r="P326" i="23" s="1"/>
  <c r="V326" i="23" s="1"/>
  <c r="U328" i="23"/>
  <c r="T328" i="23" s="1"/>
  <c r="S328" i="23" s="1"/>
  <c r="R328" i="23" s="1"/>
  <c r="P328" i="23" s="1"/>
  <c r="V328" i="23" s="1"/>
  <c r="U330" i="23"/>
  <c r="T330" i="23" s="1"/>
  <c r="S330" i="23" s="1"/>
  <c r="R330" i="23" s="1"/>
  <c r="P330" i="23" s="1"/>
  <c r="V330" i="23" s="1"/>
  <c r="U332" i="23"/>
  <c r="T332" i="23" s="1"/>
  <c r="S332" i="23" s="1"/>
  <c r="R332" i="23" s="1"/>
  <c r="P332" i="23" s="1"/>
  <c r="V332" i="23" s="1"/>
  <c r="U334" i="23"/>
  <c r="T334" i="23" s="1"/>
  <c r="S334" i="23" s="1"/>
  <c r="R334" i="23" s="1"/>
  <c r="P334" i="23" s="1"/>
  <c r="V334" i="23" s="1"/>
  <c r="U336" i="23"/>
  <c r="T336" i="23" s="1"/>
  <c r="S336" i="23" s="1"/>
  <c r="R336" i="23" s="1"/>
  <c r="P336" i="23" s="1"/>
  <c r="V336" i="23" s="1"/>
  <c r="U338" i="23"/>
  <c r="T338" i="23" s="1"/>
  <c r="S338" i="23" s="1"/>
  <c r="R338" i="23" s="1"/>
  <c r="P338" i="23" s="1"/>
  <c r="V338" i="23" s="1"/>
  <c r="U340" i="23"/>
  <c r="T340" i="23" s="1"/>
  <c r="S340" i="23" s="1"/>
  <c r="R340" i="23" s="1"/>
  <c r="P340" i="23" s="1"/>
  <c r="V340" i="23" s="1"/>
  <c r="U342" i="23"/>
  <c r="T342" i="23" s="1"/>
  <c r="S342" i="23" s="1"/>
  <c r="R342" i="23" s="1"/>
  <c r="P342" i="23" s="1"/>
  <c r="V342" i="23" s="1"/>
  <c r="U344" i="23"/>
  <c r="T344" i="23" s="1"/>
  <c r="S344" i="23" s="1"/>
  <c r="R344" i="23" s="1"/>
  <c r="P344" i="23" s="1"/>
  <c r="V344" i="23" s="1"/>
  <c r="U346" i="23"/>
  <c r="T346" i="23" s="1"/>
  <c r="S346" i="23" s="1"/>
  <c r="R346" i="23" s="1"/>
  <c r="P346" i="23" s="1"/>
  <c r="V346" i="23" s="1"/>
  <c r="U348" i="23"/>
  <c r="T348" i="23" s="1"/>
  <c r="S348" i="23" s="1"/>
  <c r="R348" i="23" s="1"/>
  <c r="P348" i="23" s="1"/>
  <c r="V348" i="23" s="1"/>
  <c r="U350" i="23"/>
  <c r="T350" i="23" s="1"/>
  <c r="S350" i="23" s="1"/>
  <c r="R350" i="23" s="1"/>
  <c r="P350" i="23" s="1"/>
  <c r="V350" i="23" s="1"/>
  <c r="U352" i="23"/>
  <c r="T352" i="23" s="1"/>
  <c r="S352" i="23" s="1"/>
  <c r="R352" i="23" s="1"/>
  <c r="P352" i="23" s="1"/>
  <c r="V352" i="23" s="1"/>
  <c r="U354" i="23"/>
  <c r="T354" i="23" s="1"/>
  <c r="S354" i="23" s="1"/>
  <c r="R354" i="23" s="1"/>
  <c r="P354" i="23" s="1"/>
  <c r="V354" i="23" s="1"/>
  <c r="U356" i="23"/>
  <c r="T356" i="23" s="1"/>
  <c r="S356" i="23" s="1"/>
  <c r="R356" i="23" s="1"/>
  <c r="P356" i="23" s="1"/>
  <c r="V356" i="23" s="1"/>
  <c r="U358" i="23"/>
  <c r="T358" i="23" s="1"/>
  <c r="S358" i="23" s="1"/>
  <c r="R358" i="23" s="1"/>
  <c r="P358" i="23" s="1"/>
  <c r="V358" i="23" s="1"/>
  <c r="U360" i="23"/>
  <c r="T360" i="23" s="1"/>
  <c r="S360" i="23" s="1"/>
  <c r="R360" i="23" s="1"/>
  <c r="P360" i="23" s="1"/>
  <c r="V360" i="23" s="1"/>
  <c r="U362" i="23"/>
  <c r="T362" i="23" s="1"/>
  <c r="S362" i="23" s="1"/>
  <c r="R362" i="23" s="1"/>
  <c r="P362" i="23" s="1"/>
  <c r="V362" i="23" s="1"/>
  <c r="U364" i="23"/>
  <c r="T364" i="23" s="1"/>
  <c r="S364" i="23" s="1"/>
  <c r="R364" i="23" s="1"/>
  <c r="P364" i="23" s="1"/>
  <c r="V364" i="23" s="1"/>
  <c r="U366" i="23"/>
  <c r="T366" i="23" s="1"/>
  <c r="S366" i="23" s="1"/>
  <c r="R366" i="23" s="1"/>
  <c r="P366" i="23" s="1"/>
  <c r="V366" i="23" s="1"/>
  <c r="U368" i="23"/>
  <c r="T368" i="23" s="1"/>
  <c r="S368" i="23" s="1"/>
  <c r="R368" i="23" s="1"/>
  <c r="P368" i="23" s="1"/>
  <c r="V368" i="23" s="1"/>
  <c r="U370" i="23"/>
  <c r="T370" i="23" s="1"/>
  <c r="S370" i="23" s="1"/>
  <c r="R370" i="23" s="1"/>
  <c r="P370" i="23" s="1"/>
  <c r="V370" i="23" s="1"/>
  <c r="U372" i="23"/>
  <c r="T372" i="23" s="1"/>
  <c r="S372" i="23" s="1"/>
  <c r="R372" i="23" s="1"/>
  <c r="P372" i="23" s="1"/>
  <c r="V372" i="23" s="1"/>
  <c r="U374" i="23"/>
  <c r="T374" i="23" s="1"/>
  <c r="S374" i="23" s="1"/>
  <c r="R374" i="23" s="1"/>
  <c r="P374" i="23" s="1"/>
  <c r="V374" i="23" s="1"/>
  <c r="U376" i="23"/>
  <c r="T376" i="23" s="1"/>
  <c r="S376" i="23" s="1"/>
  <c r="R376" i="23" s="1"/>
  <c r="P376" i="23" s="1"/>
  <c r="V376" i="23" s="1"/>
  <c r="U378" i="23"/>
  <c r="T378" i="23" s="1"/>
  <c r="S378" i="23" s="1"/>
  <c r="R378" i="23" s="1"/>
  <c r="P378" i="23" s="1"/>
  <c r="V378" i="23" s="1"/>
  <c r="U21" i="23"/>
  <c r="U39" i="23"/>
  <c r="T39" i="23" s="1"/>
  <c r="S39" i="23" s="1"/>
  <c r="R39" i="23" s="1"/>
  <c r="P39" i="23" s="1"/>
  <c r="V39" i="23" s="1"/>
  <c r="U55" i="23"/>
  <c r="T55" i="23" s="1"/>
  <c r="S55" i="23" s="1"/>
  <c r="R55" i="23" s="1"/>
  <c r="P55" i="23" s="1"/>
  <c r="V55" i="23" s="1"/>
  <c r="U71" i="23"/>
  <c r="T71" i="23" s="1"/>
  <c r="S71" i="23" s="1"/>
  <c r="R71" i="23" s="1"/>
  <c r="P71" i="23" s="1"/>
  <c r="V71" i="23" s="1"/>
  <c r="U87" i="23"/>
  <c r="T87" i="23" s="1"/>
  <c r="S87" i="23" s="1"/>
  <c r="R87" i="23" s="1"/>
  <c r="P87" i="23" s="1"/>
  <c r="V87" i="23" s="1"/>
  <c r="U103" i="23"/>
  <c r="T103" i="23" s="1"/>
  <c r="S103" i="23" s="1"/>
  <c r="R103" i="23" s="1"/>
  <c r="P103" i="23" s="1"/>
  <c r="V103" i="23" s="1"/>
  <c r="U113" i="23"/>
  <c r="T113" i="23" s="1"/>
  <c r="S113" i="23" s="1"/>
  <c r="R113" i="23" s="1"/>
  <c r="P113" i="23" s="1"/>
  <c r="V113" i="23" s="1"/>
  <c r="U121" i="23"/>
  <c r="T121" i="23" s="1"/>
  <c r="S121" i="23" s="1"/>
  <c r="R121" i="23" s="1"/>
  <c r="P121" i="23" s="1"/>
  <c r="V121" i="23" s="1"/>
  <c r="U129" i="23"/>
  <c r="T129" i="23" s="1"/>
  <c r="S129" i="23" s="1"/>
  <c r="R129" i="23" s="1"/>
  <c r="P129" i="23" s="1"/>
  <c r="V129" i="23" s="1"/>
  <c r="U137" i="23"/>
  <c r="T137" i="23" s="1"/>
  <c r="S137" i="23" s="1"/>
  <c r="R137" i="23" s="1"/>
  <c r="P137" i="23" s="1"/>
  <c r="V137" i="23" s="1"/>
  <c r="U145" i="23"/>
  <c r="T145" i="23" s="1"/>
  <c r="S145" i="23" s="1"/>
  <c r="R145" i="23" s="1"/>
  <c r="P145" i="23" s="1"/>
  <c r="V145" i="23" s="1"/>
  <c r="U153" i="23"/>
  <c r="T153" i="23" s="1"/>
  <c r="S153" i="23" s="1"/>
  <c r="R153" i="23" s="1"/>
  <c r="P153" i="23" s="1"/>
  <c r="V153" i="23" s="1"/>
  <c r="U161" i="23"/>
  <c r="T161" i="23" s="1"/>
  <c r="S161" i="23" s="1"/>
  <c r="R161" i="23" s="1"/>
  <c r="P161" i="23" s="1"/>
  <c r="V161" i="23" s="1"/>
  <c r="U169" i="23"/>
  <c r="T169" i="23" s="1"/>
  <c r="S169" i="23" s="1"/>
  <c r="R169" i="23" s="1"/>
  <c r="P169" i="23" s="1"/>
  <c r="V169" i="23" s="1"/>
  <c r="U177" i="23"/>
  <c r="T177" i="23" s="1"/>
  <c r="S177" i="23" s="1"/>
  <c r="R177" i="23" s="1"/>
  <c r="P177" i="23" s="1"/>
  <c r="V177" i="23" s="1"/>
  <c r="U185" i="23"/>
  <c r="T185" i="23" s="1"/>
  <c r="S185" i="23" s="1"/>
  <c r="R185" i="23" s="1"/>
  <c r="P185" i="23" s="1"/>
  <c r="V185" i="23" s="1"/>
  <c r="U193" i="23"/>
  <c r="T193" i="23" s="1"/>
  <c r="S193" i="23" s="1"/>
  <c r="R193" i="23" s="1"/>
  <c r="P193" i="23" s="1"/>
  <c r="V193" i="23" s="1"/>
  <c r="U199" i="23"/>
  <c r="T199" i="23" s="1"/>
  <c r="S199" i="23" s="1"/>
  <c r="R199" i="23" s="1"/>
  <c r="P199" i="23" s="1"/>
  <c r="V199" i="23" s="1"/>
  <c r="U203" i="23"/>
  <c r="T203" i="23" s="1"/>
  <c r="S203" i="23" s="1"/>
  <c r="R203" i="23" s="1"/>
  <c r="P203" i="23" s="1"/>
  <c r="V203" i="23" s="1"/>
  <c r="U207" i="23"/>
  <c r="T207" i="23" s="1"/>
  <c r="S207" i="23" s="1"/>
  <c r="R207" i="23" s="1"/>
  <c r="P207" i="23" s="1"/>
  <c r="V207" i="23" s="1"/>
  <c r="U211" i="23"/>
  <c r="T211" i="23" s="1"/>
  <c r="S211" i="23" s="1"/>
  <c r="R211" i="23" s="1"/>
  <c r="P211" i="23" s="1"/>
  <c r="V211" i="23" s="1"/>
  <c r="U213" i="23"/>
  <c r="T213" i="23" s="1"/>
  <c r="S213" i="23" s="1"/>
  <c r="R213" i="23" s="1"/>
  <c r="P213" i="23" s="1"/>
  <c r="V213" i="23" s="1"/>
  <c r="U215" i="23"/>
  <c r="T215" i="23" s="1"/>
  <c r="S215" i="23" s="1"/>
  <c r="R215" i="23" s="1"/>
  <c r="P215" i="23" s="1"/>
  <c r="V215" i="23" s="1"/>
  <c r="U217" i="23"/>
  <c r="T217" i="23" s="1"/>
  <c r="S217" i="23" s="1"/>
  <c r="R217" i="23" s="1"/>
  <c r="P217" i="23" s="1"/>
  <c r="V217" i="23" s="1"/>
  <c r="U219" i="23"/>
  <c r="T219" i="23" s="1"/>
  <c r="S219" i="23" s="1"/>
  <c r="R219" i="23" s="1"/>
  <c r="P219" i="23" s="1"/>
  <c r="V219" i="23" s="1"/>
  <c r="U221" i="23"/>
  <c r="T221" i="23" s="1"/>
  <c r="S221" i="23" s="1"/>
  <c r="R221" i="23" s="1"/>
  <c r="P221" i="23" s="1"/>
  <c r="V221" i="23" s="1"/>
  <c r="U223" i="23"/>
  <c r="T223" i="23" s="1"/>
  <c r="S223" i="23" s="1"/>
  <c r="R223" i="23" s="1"/>
  <c r="P223" i="23" s="1"/>
  <c r="V223" i="23" s="1"/>
  <c r="U225" i="23"/>
  <c r="T225" i="23" s="1"/>
  <c r="S225" i="23" s="1"/>
  <c r="R225" i="23" s="1"/>
  <c r="P225" i="23" s="1"/>
  <c r="V225" i="23" s="1"/>
  <c r="U227" i="23"/>
  <c r="T227" i="23" s="1"/>
  <c r="S227" i="23" s="1"/>
  <c r="R227" i="23" s="1"/>
  <c r="P227" i="23" s="1"/>
  <c r="V227" i="23" s="1"/>
  <c r="U229" i="23"/>
  <c r="T229" i="23" s="1"/>
  <c r="S229" i="23" s="1"/>
  <c r="R229" i="23" s="1"/>
  <c r="P229" i="23" s="1"/>
  <c r="V229" i="23" s="1"/>
  <c r="U231" i="23"/>
  <c r="T231" i="23" s="1"/>
  <c r="S231" i="23" s="1"/>
  <c r="R231" i="23" s="1"/>
  <c r="P231" i="23" s="1"/>
  <c r="V231" i="23" s="1"/>
  <c r="U233" i="23"/>
  <c r="T233" i="23" s="1"/>
  <c r="S233" i="23" s="1"/>
  <c r="R233" i="23" s="1"/>
  <c r="P233" i="23" s="1"/>
  <c r="V233" i="23" s="1"/>
  <c r="U235" i="23"/>
  <c r="T235" i="23" s="1"/>
  <c r="S235" i="23" s="1"/>
  <c r="R235" i="23" s="1"/>
  <c r="P235" i="23" s="1"/>
  <c r="V235" i="23" s="1"/>
  <c r="U237" i="23"/>
  <c r="T237" i="23" s="1"/>
  <c r="S237" i="23" s="1"/>
  <c r="R237" i="23" s="1"/>
  <c r="P237" i="23" s="1"/>
  <c r="V237" i="23" s="1"/>
  <c r="U239" i="23"/>
  <c r="T239" i="23" s="1"/>
  <c r="S239" i="23" s="1"/>
  <c r="R239" i="23" s="1"/>
  <c r="P239" i="23" s="1"/>
  <c r="V239" i="23" s="1"/>
  <c r="U241" i="23"/>
  <c r="T241" i="23" s="1"/>
  <c r="S241" i="23" s="1"/>
  <c r="R241" i="23" s="1"/>
  <c r="P241" i="23" s="1"/>
  <c r="V241" i="23" s="1"/>
  <c r="U243" i="23"/>
  <c r="T243" i="23" s="1"/>
  <c r="S243" i="23" s="1"/>
  <c r="R243" i="23" s="1"/>
  <c r="P243" i="23" s="1"/>
  <c r="V243" i="23" s="1"/>
  <c r="U245" i="23"/>
  <c r="T245" i="23" s="1"/>
  <c r="S245" i="23" s="1"/>
  <c r="R245" i="23" s="1"/>
  <c r="P245" i="23" s="1"/>
  <c r="V245" i="23" s="1"/>
  <c r="U247" i="23"/>
  <c r="T247" i="23" s="1"/>
  <c r="S247" i="23" s="1"/>
  <c r="R247" i="23" s="1"/>
  <c r="P247" i="23" s="1"/>
  <c r="V247" i="23" s="1"/>
  <c r="U249" i="23"/>
  <c r="T249" i="23" s="1"/>
  <c r="S249" i="23" s="1"/>
  <c r="R249" i="23" s="1"/>
  <c r="P249" i="23" s="1"/>
  <c r="V249" i="23" s="1"/>
  <c r="U251" i="23"/>
  <c r="T251" i="23" s="1"/>
  <c r="S251" i="23" s="1"/>
  <c r="R251" i="23" s="1"/>
  <c r="P251" i="23" s="1"/>
  <c r="V251" i="23" s="1"/>
  <c r="U253" i="23"/>
  <c r="T253" i="23" s="1"/>
  <c r="S253" i="23" s="1"/>
  <c r="R253" i="23" s="1"/>
  <c r="P253" i="23" s="1"/>
  <c r="V253" i="23" s="1"/>
  <c r="U255" i="23"/>
  <c r="T255" i="23" s="1"/>
  <c r="S255" i="23" s="1"/>
  <c r="R255" i="23" s="1"/>
  <c r="P255" i="23" s="1"/>
  <c r="V255" i="23" s="1"/>
  <c r="U257" i="23"/>
  <c r="T257" i="23" s="1"/>
  <c r="S257" i="23" s="1"/>
  <c r="R257" i="23" s="1"/>
  <c r="P257" i="23" s="1"/>
  <c r="V257" i="23" s="1"/>
  <c r="U259" i="23"/>
  <c r="T259" i="23" s="1"/>
  <c r="S259" i="23" s="1"/>
  <c r="R259" i="23" s="1"/>
  <c r="P259" i="23" s="1"/>
  <c r="V259" i="23" s="1"/>
  <c r="U261" i="23"/>
  <c r="T261" i="23" s="1"/>
  <c r="S261" i="23" s="1"/>
  <c r="R261" i="23" s="1"/>
  <c r="P261" i="23" s="1"/>
  <c r="V261" i="23" s="1"/>
  <c r="U263" i="23"/>
  <c r="T263" i="23" s="1"/>
  <c r="S263" i="23" s="1"/>
  <c r="R263" i="23" s="1"/>
  <c r="P263" i="23" s="1"/>
  <c r="V263" i="23" s="1"/>
  <c r="U265" i="23"/>
  <c r="T265" i="23" s="1"/>
  <c r="S265" i="23" s="1"/>
  <c r="R265" i="23" s="1"/>
  <c r="P265" i="23" s="1"/>
  <c r="V265" i="23" s="1"/>
  <c r="U267" i="23"/>
  <c r="T267" i="23" s="1"/>
  <c r="S267" i="23" s="1"/>
  <c r="R267" i="23" s="1"/>
  <c r="P267" i="23" s="1"/>
  <c r="V267" i="23" s="1"/>
  <c r="U269" i="23"/>
  <c r="T269" i="23" s="1"/>
  <c r="S269" i="23" s="1"/>
  <c r="R269" i="23" s="1"/>
  <c r="P269" i="23" s="1"/>
  <c r="V269" i="23" s="1"/>
  <c r="U271" i="23"/>
  <c r="T271" i="23" s="1"/>
  <c r="S271" i="23" s="1"/>
  <c r="R271" i="23" s="1"/>
  <c r="P271" i="23" s="1"/>
  <c r="V271" i="23" s="1"/>
  <c r="U273" i="23"/>
  <c r="T273" i="23" s="1"/>
  <c r="S273" i="23" s="1"/>
  <c r="R273" i="23" s="1"/>
  <c r="P273" i="23" s="1"/>
  <c r="V273" i="23" s="1"/>
  <c r="U275" i="23"/>
  <c r="T275" i="23" s="1"/>
  <c r="S275" i="23" s="1"/>
  <c r="R275" i="23" s="1"/>
  <c r="P275" i="23" s="1"/>
  <c r="V275" i="23" s="1"/>
  <c r="U277" i="23"/>
  <c r="T277" i="23" s="1"/>
  <c r="S277" i="23" s="1"/>
  <c r="R277" i="23" s="1"/>
  <c r="P277" i="23" s="1"/>
  <c r="V277" i="23" s="1"/>
  <c r="U279" i="23"/>
  <c r="T279" i="23" s="1"/>
  <c r="S279" i="23" s="1"/>
  <c r="R279" i="23" s="1"/>
  <c r="P279" i="23" s="1"/>
  <c r="V279" i="23" s="1"/>
  <c r="U281" i="23"/>
  <c r="T281" i="23" s="1"/>
  <c r="S281" i="23" s="1"/>
  <c r="R281" i="23" s="1"/>
  <c r="P281" i="23" s="1"/>
  <c r="V281" i="23" s="1"/>
  <c r="U283" i="23"/>
  <c r="T283" i="23" s="1"/>
  <c r="S283" i="23" s="1"/>
  <c r="R283" i="23" s="1"/>
  <c r="P283" i="23" s="1"/>
  <c r="V283" i="23" s="1"/>
  <c r="U285" i="23"/>
  <c r="T285" i="23" s="1"/>
  <c r="S285" i="23" s="1"/>
  <c r="R285" i="23" s="1"/>
  <c r="P285" i="23" s="1"/>
  <c r="V285" i="23" s="1"/>
  <c r="U287" i="23"/>
  <c r="T287" i="23" s="1"/>
  <c r="S287" i="23" s="1"/>
  <c r="R287" i="23" s="1"/>
  <c r="P287" i="23" s="1"/>
  <c r="V287" i="23" s="1"/>
  <c r="U289" i="23"/>
  <c r="T289" i="23" s="1"/>
  <c r="S289" i="23" s="1"/>
  <c r="R289" i="23" s="1"/>
  <c r="P289" i="23" s="1"/>
  <c r="V289" i="23" s="1"/>
  <c r="U291" i="23"/>
  <c r="T291" i="23" s="1"/>
  <c r="S291" i="23" s="1"/>
  <c r="R291" i="23" s="1"/>
  <c r="P291" i="23" s="1"/>
  <c r="V291" i="23" s="1"/>
  <c r="U293" i="23"/>
  <c r="T293" i="23" s="1"/>
  <c r="S293" i="23" s="1"/>
  <c r="R293" i="23" s="1"/>
  <c r="P293" i="23" s="1"/>
  <c r="V293" i="23" s="1"/>
  <c r="U295" i="23"/>
  <c r="T295" i="23" s="1"/>
  <c r="S295" i="23" s="1"/>
  <c r="R295" i="23" s="1"/>
  <c r="P295" i="23" s="1"/>
  <c r="V295" i="23" s="1"/>
  <c r="U297" i="23"/>
  <c r="T297" i="23" s="1"/>
  <c r="S297" i="23" s="1"/>
  <c r="R297" i="23" s="1"/>
  <c r="P297" i="23" s="1"/>
  <c r="V297" i="23" s="1"/>
  <c r="U299" i="23"/>
  <c r="T299" i="23" s="1"/>
  <c r="S299" i="23" s="1"/>
  <c r="R299" i="23" s="1"/>
  <c r="P299" i="23" s="1"/>
  <c r="V299" i="23" s="1"/>
  <c r="U301" i="23"/>
  <c r="T301" i="23" s="1"/>
  <c r="S301" i="23" s="1"/>
  <c r="R301" i="23" s="1"/>
  <c r="P301" i="23" s="1"/>
  <c r="V301" i="23" s="1"/>
  <c r="U303" i="23"/>
  <c r="T303" i="23" s="1"/>
  <c r="S303" i="23" s="1"/>
  <c r="R303" i="23" s="1"/>
  <c r="P303" i="23" s="1"/>
  <c r="V303" i="23" s="1"/>
  <c r="U305" i="23"/>
  <c r="T305" i="23" s="1"/>
  <c r="S305" i="23" s="1"/>
  <c r="R305" i="23" s="1"/>
  <c r="P305" i="23" s="1"/>
  <c r="V305" i="23" s="1"/>
  <c r="U307" i="23"/>
  <c r="T307" i="23" s="1"/>
  <c r="S307" i="23" s="1"/>
  <c r="R307" i="23" s="1"/>
  <c r="P307" i="23" s="1"/>
  <c r="V307" i="23" s="1"/>
  <c r="U309" i="23"/>
  <c r="T309" i="23" s="1"/>
  <c r="S309" i="23" s="1"/>
  <c r="R309" i="23" s="1"/>
  <c r="P309" i="23" s="1"/>
  <c r="V309" i="23" s="1"/>
  <c r="U311" i="23"/>
  <c r="T311" i="23" s="1"/>
  <c r="S311" i="23" s="1"/>
  <c r="R311" i="23" s="1"/>
  <c r="P311" i="23" s="1"/>
  <c r="V311" i="23" s="1"/>
  <c r="U313" i="23"/>
  <c r="T313" i="23" s="1"/>
  <c r="S313" i="23" s="1"/>
  <c r="R313" i="23" s="1"/>
  <c r="P313" i="23" s="1"/>
  <c r="V313" i="23" s="1"/>
  <c r="U315" i="23"/>
  <c r="T315" i="23" s="1"/>
  <c r="S315" i="23" s="1"/>
  <c r="R315" i="23" s="1"/>
  <c r="P315" i="23" s="1"/>
  <c r="V315" i="23" s="1"/>
  <c r="U317" i="23"/>
  <c r="T317" i="23" s="1"/>
  <c r="S317" i="23" s="1"/>
  <c r="R317" i="23" s="1"/>
  <c r="P317" i="23" s="1"/>
  <c r="V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U323" i="23"/>
  <c r="T323" i="23" s="1"/>
  <c r="S323" i="23" s="1"/>
  <c r="R323" i="23" s="1"/>
  <c r="P323" i="23" s="1"/>
  <c r="V323" i="23" s="1"/>
  <c r="U325" i="23"/>
  <c r="T325" i="23" s="1"/>
  <c r="S325" i="23" s="1"/>
  <c r="R325" i="23" s="1"/>
  <c r="P325" i="23" s="1"/>
  <c r="V325" i="23" s="1"/>
  <c r="U327" i="23"/>
  <c r="T327" i="23" s="1"/>
  <c r="S327" i="23" s="1"/>
  <c r="R327" i="23" s="1"/>
  <c r="P327" i="23" s="1"/>
  <c r="V327" i="23" s="1"/>
  <c r="U329" i="23"/>
  <c r="T329" i="23" s="1"/>
  <c r="S329" i="23" s="1"/>
  <c r="R329" i="23" s="1"/>
  <c r="P329" i="23" s="1"/>
  <c r="V329" i="23" s="1"/>
  <c r="U331" i="23"/>
  <c r="T331" i="23" s="1"/>
  <c r="S331" i="23" s="1"/>
  <c r="R331" i="23" s="1"/>
  <c r="P331" i="23" s="1"/>
  <c r="V331" i="23" s="1"/>
  <c r="U333" i="23"/>
  <c r="T333" i="23" s="1"/>
  <c r="S333" i="23" s="1"/>
  <c r="R333" i="23" s="1"/>
  <c r="P333" i="23" s="1"/>
  <c r="AH54" i="7" s="1"/>
  <c r="U335" i="23"/>
  <c r="T335" i="23" s="1"/>
  <c r="S335" i="23" s="1"/>
  <c r="R335" i="23" s="1"/>
  <c r="P335" i="23" s="1"/>
  <c r="V335" i="23" s="1"/>
  <c r="U337" i="23"/>
  <c r="T337" i="23" s="1"/>
  <c r="S337" i="23" s="1"/>
  <c r="R337" i="23" s="1"/>
  <c r="P337" i="23" s="1"/>
  <c r="V337" i="23" s="1"/>
  <c r="U339" i="23"/>
  <c r="T339" i="23" s="1"/>
  <c r="S339" i="23" s="1"/>
  <c r="R339" i="23" s="1"/>
  <c r="P339" i="23" s="1"/>
  <c r="V339" i="23" s="1"/>
  <c r="U341" i="23"/>
  <c r="T341" i="23" s="1"/>
  <c r="S341" i="23" s="1"/>
  <c r="R341" i="23" s="1"/>
  <c r="P341" i="23" s="1"/>
  <c r="V341" i="23" s="1"/>
  <c r="U343" i="23"/>
  <c r="T343" i="23" s="1"/>
  <c r="S343" i="23" s="1"/>
  <c r="R343" i="23" s="1"/>
  <c r="P343" i="23" s="1"/>
  <c r="V343" i="23" s="1"/>
  <c r="U345" i="23"/>
  <c r="T345" i="23" s="1"/>
  <c r="S345" i="23" s="1"/>
  <c r="R345" i="23" s="1"/>
  <c r="P345" i="23" s="1"/>
  <c r="V345" i="23" s="1"/>
  <c r="U347" i="23"/>
  <c r="T347" i="23" s="1"/>
  <c r="S347" i="23" s="1"/>
  <c r="R347" i="23" s="1"/>
  <c r="P347" i="23" s="1"/>
  <c r="V347" i="23" s="1"/>
  <c r="U349" i="23"/>
  <c r="T349" i="23" s="1"/>
  <c r="S349" i="23" s="1"/>
  <c r="R349" i="23" s="1"/>
  <c r="P349" i="23" s="1"/>
  <c r="V349" i="23" s="1"/>
  <c r="U351" i="23"/>
  <c r="T351" i="23" s="1"/>
  <c r="S351" i="23" s="1"/>
  <c r="R351" i="23" s="1"/>
  <c r="P351" i="23" s="1"/>
  <c r="V351" i="23" s="1"/>
  <c r="U353" i="23"/>
  <c r="T353" i="23" s="1"/>
  <c r="S353" i="23" s="1"/>
  <c r="R353" i="23" s="1"/>
  <c r="P353" i="23" s="1"/>
  <c r="V353" i="23" s="1"/>
  <c r="U355" i="23"/>
  <c r="T355" i="23" s="1"/>
  <c r="S355" i="23" s="1"/>
  <c r="R355" i="23" s="1"/>
  <c r="P355" i="23" s="1"/>
  <c r="V355" i="23" s="1"/>
  <c r="U357" i="23"/>
  <c r="T357" i="23" s="1"/>
  <c r="S357" i="23" s="1"/>
  <c r="R357" i="23" s="1"/>
  <c r="P357" i="23" s="1"/>
  <c r="V357" i="23" s="1"/>
  <c r="U359" i="23"/>
  <c r="T359" i="23" s="1"/>
  <c r="S359" i="23" s="1"/>
  <c r="R359" i="23" s="1"/>
  <c r="P359" i="23" s="1"/>
  <c r="V359" i="23" s="1"/>
  <c r="U361" i="23"/>
  <c r="T361" i="23" s="1"/>
  <c r="S361" i="23" s="1"/>
  <c r="R361" i="23" s="1"/>
  <c r="P361" i="23" s="1"/>
  <c r="V361" i="23" s="1"/>
  <c r="U363" i="23"/>
  <c r="T363" i="23" s="1"/>
  <c r="S363" i="23" s="1"/>
  <c r="R363" i="23" s="1"/>
  <c r="P363" i="23" s="1"/>
  <c r="AH55" i="7" s="1"/>
  <c r="U365" i="23"/>
  <c r="T365" i="23" s="1"/>
  <c r="S365" i="23" s="1"/>
  <c r="R365" i="23" s="1"/>
  <c r="P365" i="23" s="1"/>
  <c r="V365" i="23" s="1"/>
  <c r="U367" i="23"/>
  <c r="T367" i="23" s="1"/>
  <c r="S367" i="23" s="1"/>
  <c r="R367" i="23" s="1"/>
  <c r="P367" i="23" s="1"/>
  <c r="V367" i="23" s="1"/>
  <c r="U369" i="23"/>
  <c r="T369" i="23" s="1"/>
  <c r="S369" i="23" s="1"/>
  <c r="R369" i="23" s="1"/>
  <c r="P369" i="23" s="1"/>
  <c r="V369" i="23" s="1"/>
  <c r="U371" i="23"/>
  <c r="T371" i="23" s="1"/>
  <c r="S371" i="23" s="1"/>
  <c r="R371" i="23" s="1"/>
  <c r="P371" i="23" s="1"/>
  <c r="V371" i="23" s="1"/>
  <c r="U373" i="23"/>
  <c r="T373" i="23" s="1"/>
  <c r="S373" i="23" s="1"/>
  <c r="R373" i="23" s="1"/>
  <c r="P373" i="23" s="1"/>
  <c r="V373" i="23" s="1"/>
  <c r="U375" i="23"/>
  <c r="T375" i="23" s="1"/>
  <c r="S375" i="23" s="1"/>
  <c r="R375" i="23" s="1"/>
  <c r="P375" i="23" s="1"/>
  <c r="V375" i="23" s="1"/>
  <c r="U377" i="23"/>
  <c r="T377" i="23" s="1"/>
  <c r="S377" i="23" s="1"/>
  <c r="R377" i="23" s="1"/>
  <c r="P377" i="23" s="1"/>
  <c r="V377" i="23" s="1"/>
  <c r="U379" i="23"/>
  <c r="Q383" i="24"/>
  <c r="V60" i="23"/>
  <c r="AH50" i="7"/>
  <c r="V210" i="23"/>
  <c r="AE381" i="24"/>
  <c r="AE382" i="24"/>
  <c r="AE383" i="24"/>
  <c r="S15" i="23"/>
  <c r="BE15" i="7"/>
  <c r="Q10" i="25"/>
  <c r="BG15" i="7" s="1"/>
  <c r="Q219" i="25"/>
  <c r="Q347" i="25"/>
  <c r="V29" i="23" l="1"/>
  <c r="Q283" i="25"/>
  <c r="Q155" i="25"/>
  <c r="V180" i="23"/>
  <c r="G68" i="19" s="1"/>
  <c r="Q379" i="25"/>
  <c r="BF15" i="7" s="1"/>
  <c r="Q315" i="25"/>
  <c r="Q251" i="25"/>
  <c r="Q187" i="25"/>
  <c r="Q117" i="25"/>
  <c r="U381" i="23"/>
  <c r="V119" i="23"/>
  <c r="E68" i="19" s="1"/>
  <c r="Q363" i="25"/>
  <c r="Q331" i="25"/>
  <c r="Q299" i="25"/>
  <c r="Q267" i="25"/>
  <c r="Q235" i="25"/>
  <c r="Q203" i="25"/>
  <c r="Q171" i="25"/>
  <c r="Q139" i="25"/>
  <c r="Q85" i="25"/>
  <c r="Q371" i="25"/>
  <c r="Q355" i="25"/>
  <c r="Q339" i="25"/>
  <c r="Q323" i="25"/>
  <c r="Q307" i="25"/>
  <c r="Q291" i="25"/>
  <c r="Q275" i="25"/>
  <c r="Q259" i="25"/>
  <c r="Q243" i="25"/>
  <c r="Q227" i="25"/>
  <c r="Q211" i="25"/>
  <c r="Q195" i="25"/>
  <c r="Q179" i="25"/>
  <c r="Q163" i="25"/>
  <c r="Q147" i="25"/>
  <c r="Q131" i="25"/>
  <c r="Q101" i="25"/>
  <c r="Q53" i="25"/>
  <c r="Y383" i="16"/>
  <c r="Y381" i="16"/>
  <c r="AM6" i="16"/>
  <c r="AM12" i="16" s="1"/>
  <c r="AL6" i="16"/>
  <c r="AL12" i="16" s="1"/>
  <c r="Y382" i="16"/>
  <c r="X9" i="16"/>
  <c r="Y11" i="16" s="1"/>
  <c r="Q375" i="25"/>
  <c r="Q367" i="25"/>
  <c r="Q359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15" i="25"/>
  <c r="Q207" i="25"/>
  <c r="Q199" i="25"/>
  <c r="Q191" i="25"/>
  <c r="Q183" i="25"/>
  <c r="Q175" i="25"/>
  <c r="Q167" i="25"/>
  <c r="Q159" i="25"/>
  <c r="Q151" i="25"/>
  <c r="Q143" i="25"/>
  <c r="Q135" i="25"/>
  <c r="Q125" i="25"/>
  <c r="Q109" i="25"/>
  <c r="Q93" i="25"/>
  <c r="Q69" i="25"/>
  <c r="Q37" i="25"/>
  <c r="AH46" i="7"/>
  <c r="V88" i="23"/>
  <c r="V149" i="23"/>
  <c r="F68" i="19" s="1"/>
  <c r="AH51" i="7"/>
  <c r="V333" i="23"/>
  <c r="L68" i="19" s="1"/>
  <c r="D68" i="19"/>
  <c r="C68" i="19"/>
  <c r="V363" i="23"/>
  <c r="V272" i="23"/>
  <c r="J68" i="19" s="1"/>
  <c r="T379" i="23"/>
  <c r="S379" i="23" s="1"/>
  <c r="R379" i="23" s="1"/>
  <c r="P379" i="23" s="1"/>
  <c r="AT16" i="7"/>
  <c r="AZ11" i="7" s="1"/>
  <c r="U11" i="24" s="1"/>
  <c r="U12" i="24"/>
  <c r="T21" i="23"/>
  <c r="U383" i="23"/>
  <c r="U382" i="23"/>
  <c r="AI12" i="24"/>
  <c r="AH379" i="23"/>
  <c r="AG379" i="23" s="1"/>
  <c r="AF379" i="23" s="1"/>
  <c r="AD379" i="23" s="1"/>
  <c r="S383" i="22"/>
  <c r="R15" i="22"/>
  <c r="S381" i="22"/>
  <c r="S382" i="22"/>
  <c r="B66" i="19"/>
  <c r="N66" i="19" s="1"/>
  <c r="V380" i="20"/>
  <c r="AG382" i="22"/>
  <c r="AG383" i="22"/>
  <c r="AF15" i="22"/>
  <c r="AG381" i="22"/>
  <c r="AH53" i="7"/>
  <c r="V302" i="23"/>
  <c r="K68" i="19" s="1"/>
  <c r="AI383" i="23"/>
  <c r="AI382" i="23"/>
  <c r="AI381" i="23"/>
  <c r="AH15" i="23"/>
  <c r="Q77" i="25"/>
  <c r="Q61" i="25"/>
  <c r="Q45" i="25"/>
  <c r="Q29" i="25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7" i="25"/>
  <c r="Q173" i="25"/>
  <c r="Q169" i="25"/>
  <c r="Q165" i="25"/>
  <c r="Q161" i="25"/>
  <c r="Q157" i="25"/>
  <c r="Q153" i="25"/>
  <c r="Q149" i="25"/>
  <c r="Q145" i="25"/>
  <c r="Q141" i="25"/>
  <c r="Q137" i="25"/>
  <c r="Q133" i="25"/>
  <c r="Q129" i="25"/>
  <c r="Q121" i="25"/>
  <c r="Q113" i="25"/>
  <c r="Q105" i="25"/>
  <c r="Q97" i="25"/>
  <c r="Q89" i="25"/>
  <c r="Q81" i="25"/>
  <c r="Q73" i="25"/>
  <c r="Q65" i="25"/>
  <c r="Q57" i="25"/>
  <c r="Q49" i="25"/>
  <c r="Q41" i="25"/>
  <c r="Q33" i="25"/>
  <c r="Q25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16" i="25"/>
  <c r="Q23" i="25"/>
  <c r="Q18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20" i="25"/>
  <c r="Q19" i="25"/>
  <c r="Q17" i="25"/>
  <c r="I68" i="19"/>
  <c r="H68" i="19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U10" i="24" l="1"/>
  <c r="Z11" i="16"/>
  <c r="Z5" i="16" s="1"/>
  <c r="H13" i="19" s="1"/>
  <c r="J13" i="19"/>
  <c r="AA11" i="16"/>
  <c r="AA5" i="16" s="1"/>
  <c r="I13" i="19" s="1"/>
  <c r="I37" i="19" s="1"/>
  <c r="AJ4" i="16"/>
  <c r="P13" i="19" s="1"/>
  <c r="AL13" i="16"/>
  <c r="AK4" i="16"/>
  <c r="R13" i="19" s="1"/>
  <c r="N14" i="19" s="1"/>
  <c r="AM13" i="16"/>
  <c r="AI131" i="24"/>
  <c r="AH131" i="24" s="1"/>
  <c r="AG131" i="24" s="1"/>
  <c r="AF131" i="24" s="1"/>
  <c r="AD131" i="24" s="1"/>
  <c r="U372" i="24"/>
  <c r="T372" i="24" s="1"/>
  <c r="S372" i="24" s="1"/>
  <c r="R372" i="24" s="1"/>
  <c r="P372" i="24" s="1"/>
  <c r="V372" i="24" s="1"/>
  <c r="U340" i="24"/>
  <c r="T340" i="24" s="1"/>
  <c r="S340" i="24" s="1"/>
  <c r="R340" i="24" s="1"/>
  <c r="P340" i="24" s="1"/>
  <c r="V340" i="24" s="1"/>
  <c r="U308" i="24"/>
  <c r="T308" i="24" s="1"/>
  <c r="S308" i="24" s="1"/>
  <c r="R308" i="24" s="1"/>
  <c r="P308" i="24" s="1"/>
  <c r="V308" i="24" s="1"/>
  <c r="U276" i="24"/>
  <c r="T276" i="24" s="1"/>
  <c r="S276" i="24" s="1"/>
  <c r="R276" i="24" s="1"/>
  <c r="P276" i="24" s="1"/>
  <c r="V276" i="24" s="1"/>
  <c r="U244" i="24"/>
  <c r="T244" i="24" s="1"/>
  <c r="S244" i="24" s="1"/>
  <c r="R244" i="24" s="1"/>
  <c r="P244" i="24" s="1"/>
  <c r="V244" i="24" s="1"/>
  <c r="U212" i="24"/>
  <c r="T212" i="24" s="1"/>
  <c r="S212" i="24" s="1"/>
  <c r="R212" i="24" s="1"/>
  <c r="P212" i="24" s="1"/>
  <c r="V212" i="24" s="1"/>
  <c r="U180" i="24"/>
  <c r="T180" i="24" s="1"/>
  <c r="S180" i="24" s="1"/>
  <c r="R180" i="24" s="1"/>
  <c r="P180" i="24" s="1"/>
  <c r="AH61" i="7" s="1"/>
  <c r="U148" i="24"/>
  <c r="T148" i="24" s="1"/>
  <c r="S148" i="24" s="1"/>
  <c r="R148" i="24" s="1"/>
  <c r="P148" i="24" s="1"/>
  <c r="V148" i="24" s="1"/>
  <c r="U116" i="24"/>
  <c r="T116" i="24" s="1"/>
  <c r="S116" i="24" s="1"/>
  <c r="R116" i="24" s="1"/>
  <c r="P116" i="24" s="1"/>
  <c r="V116" i="24" s="1"/>
  <c r="U84" i="24"/>
  <c r="T84" i="24" s="1"/>
  <c r="S84" i="24" s="1"/>
  <c r="R84" i="24" s="1"/>
  <c r="P84" i="24" s="1"/>
  <c r="V84" i="24" s="1"/>
  <c r="U52" i="24"/>
  <c r="T52" i="24" s="1"/>
  <c r="S52" i="24" s="1"/>
  <c r="R52" i="24" s="1"/>
  <c r="P52" i="24" s="1"/>
  <c r="V52" i="24" s="1"/>
  <c r="U15" i="24"/>
  <c r="T15" i="24" s="1"/>
  <c r="S15" i="24" s="1"/>
  <c r="AI343" i="24"/>
  <c r="AH343" i="24" s="1"/>
  <c r="AG343" i="24" s="1"/>
  <c r="AF343" i="24" s="1"/>
  <c r="AD343" i="24" s="1"/>
  <c r="AI279" i="24"/>
  <c r="AH279" i="24" s="1"/>
  <c r="AG279" i="24" s="1"/>
  <c r="AF279" i="24" s="1"/>
  <c r="AD279" i="24" s="1"/>
  <c r="AI215" i="24"/>
  <c r="AH215" i="24" s="1"/>
  <c r="AG215" i="24" s="1"/>
  <c r="AF215" i="24" s="1"/>
  <c r="AD215" i="24" s="1"/>
  <c r="AI151" i="24"/>
  <c r="AH151" i="24" s="1"/>
  <c r="AG151" i="24" s="1"/>
  <c r="AF151" i="24" s="1"/>
  <c r="AD151" i="24" s="1"/>
  <c r="AI87" i="24"/>
  <c r="AH87" i="24" s="1"/>
  <c r="AG87" i="24" s="1"/>
  <c r="AF87" i="24" s="1"/>
  <c r="AD87" i="24" s="1"/>
  <c r="AI23" i="24"/>
  <c r="AH23" i="24" s="1"/>
  <c r="AG23" i="24" s="1"/>
  <c r="AF23" i="24" s="1"/>
  <c r="AD23" i="24" s="1"/>
  <c r="AI44" i="24"/>
  <c r="AH44" i="24" s="1"/>
  <c r="AG44" i="24" s="1"/>
  <c r="AF44" i="24" s="1"/>
  <c r="AD44" i="24" s="1"/>
  <c r="AI60" i="24"/>
  <c r="AH60" i="24" s="1"/>
  <c r="AG60" i="24" s="1"/>
  <c r="AF60" i="24" s="1"/>
  <c r="AD60" i="24" s="1"/>
  <c r="AI76" i="24"/>
  <c r="AH76" i="24" s="1"/>
  <c r="AG76" i="24" s="1"/>
  <c r="AF76" i="24" s="1"/>
  <c r="AD76" i="24" s="1"/>
  <c r="AI92" i="24"/>
  <c r="AH92" i="24" s="1"/>
  <c r="AG92" i="24" s="1"/>
  <c r="AF92" i="24" s="1"/>
  <c r="AD92" i="24" s="1"/>
  <c r="AI108" i="24"/>
  <c r="AH108" i="24" s="1"/>
  <c r="AG108" i="24" s="1"/>
  <c r="AF108" i="24" s="1"/>
  <c r="AD108" i="24" s="1"/>
  <c r="AI124" i="24"/>
  <c r="AH124" i="24" s="1"/>
  <c r="AG124" i="24" s="1"/>
  <c r="AF124" i="24" s="1"/>
  <c r="AD124" i="24" s="1"/>
  <c r="AI140" i="24"/>
  <c r="AH140" i="24" s="1"/>
  <c r="AG140" i="24" s="1"/>
  <c r="AF140" i="24" s="1"/>
  <c r="AD140" i="24" s="1"/>
  <c r="AI156" i="24"/>
  <c r="AH156" i="24" s="1"/>
  <c r="AG156" i="24" s="1"/>
  <c r="AF156" i="24" s="1"/>
  <c r="AD156" i="24" s="1"/>
  <c r="AI172" i="24"/>
  <c r="AH172" i="24" s="1"/>
  <c r="AG172" i="24" s="1"/>
  <c r="AF172" i="24" s="1"/>
  <c r="AD172" i="24" s="1"/>
  <c r="AI188" i="24"/>
  <c r="AH188" i="24" s="1"/>
  <c r="AG188" i="24" s="1"/>
  <c r="AF188" i="24" s="1"/>
  <c r="AD188" i="24" s="1"/>
  <c r="AI204" i="24"/>
  <c r="AH204" i="24" s="1"/>
  <c r="AG204" i="24" s="1"/>
  <c r="AF204" i="24" s="1"/>
  <c r="AD204" i="24" s="1"/>
  <c r="AI220" i="24"/>
  <c r="AH220" i="24" s="1"/>
  <c r="AG220" i="24" s="1"/>
  <c r="AF220" i="24" s="1"/>
  <c r="AD220" i="24" s="1"/>
  <c r="AI236" i="24"/>
  <c r="AH236" i="24" s="1"/>
  <c r="AG236" i="24" s="1"/>
  <c r="AF236" i="24" s="1"/>
  <c r="AD236" i="24" s="1"/>
  <c r="AI252" i="24"/>
  <c r="AH252" i="24" s="1"/>
  <c r="AG252" i="24" s="1"/>
  <c r="AF252" i="24" s="1"/>
  <c r="AD252" i="24" s="1"/>
  <c r="AI268" i="24"/>
  <c r="AH268" i="24" s="1"/>
  <c r="AG268" i="24" s="1"/>
  <c r="AF268" i="24" s="1"/>
  <c r="AD268" i="24" s="1"/>
  <c r="AI284" i="24"/>
  <c r="AH284" i="24" s="1"/>
  <c r="AG284" i="24" s="1"/>
  <c r="AF284" i="24" s="1"/>
  <c r="AD284" i="24" s="1"/>
  <c r="AI300" i="24"/>
  <c r="AH300" i="24" s="1"/>
  <c r="AG300" i="24" s="1"/>
  <c r="AF300" i="24" s="1"/>
  <c r="AD300" i="24" s="1"/>
  <c r="AI316" i="24"/>
  <c r="AH316" i="24" s="1"/>
  <c r="AG316" i="24" s="1"/>
  <c r="AF316" i="24" s="1"/>
  <c r="AD316" i="24" s="1"/>
  <c r="AI332" i="24"/>
  <c r="AH332" i="24" s="1"/>
  <c r="AG332" i="24" s="1"/>
  <c r="AF332" i="24" s="1"/>
  <c r="AD332" i="24" s="1"/>
  <c r="AI348" i="24"/>
  <c r="AH348" i="24" s="1"/>
  <c r="AG348" i="24" s="1"/>
  <c r="AF348" i="24" s="1"/>
  <c r="AD348" i="24" s="1"/>
  <c r="AI364" i="24"/>
  <c r="AH364" i="24" s="1"/>
  <c r="AG364" i="24" s="1"/>
  <c r="AF364" i="24" s="1"/>
  <c r="AD364" i="24" s="1"/>
  <c r="U367" i="24"/>
  <c r="T367" i="24" s="1"/>
  <c r="S367" i="24" s="1"/>
  <c r="R367" i="24" s="1"/>
  <c r="P367" i="24" s="1"/>
  <c r="V367" i="24" s="1"/>
  <c r="U351" i="24"/>
  <c r="T351" i="24" s="1"/>
  <c r="S351" i="24" s="1"/>
  <c r="R351" i="24" s="1"/>
  <c r="P351" i="24" s="1"/>
  <c r="V351" i="24" s="1"/>
  <c r="U335" i="24"/>
  <c r="T335" i="24" s="1"/>
  <c r="S335" i="24" s="1"/>
  <c r="R335" i="24" s="1"/>
  <c r="P335" i="24" s="1"/>
  <c r="V335" i="24" s="1"/>
  <c r="U319" i="24"/>
  <c r="T319" i="24" s="1"/>
  <c r="S319" i="24" s="1"/>
  <c r="R319" i="24" s="1"/>
  <c r="P319" i="24" s="1"/>
  <c r="V319" i="24" s="1"/>
  <c r="U303" i="24"/>
  <c r="T303" i="24" s="1"/>
  <c r="S303" i="24" s="1"/>
  <c r="R303" i="24" s="1"/>
  <c r="P303" i="24" s="1"/>
  <c r="V303" i="24" s="1"/>
  <c r="U287" i="24"/>
  <c r="T287" i="24" s="1"/>
  <c r="S287" i="24" s="1"/>
  <c r="R287" i="24" s="1"/>
  <c r="P287" i="24" s="1"/>
  <c r="V287" i="24" s="1"/>
  <c r="U271" i="24"/>
  <c r="T271" i="24" s="1"/>
  <c r="S271" i="24" s="1"/>
  <c r="R271" i="24" s="1"/>
  <c r="P271" i="24" s="1"/>
  <c r="V271" i="24" s="1"/>
  <c r="U255" i="24"/>
  <c r="T255" i="24" s="1"/>
  <c r="S255" i="24" s="1"/>
  <c r="R255" i="24" s="1"/>
  <c r="P255" i="24" s="1"/>
  <c r="V255" i="24" s="1"/>
  <c r="U239" i="24"/>
  <c r="T239" i="24" s="1"/>
  <c r="S239" i="24" s="1"/>
  <c r="R239" i="24" s="1"/>
  <c r="P239" i="24" s="1"/>
  <c r="V239" i="24" s="1"/>
  <c r="U223" i="24"/>
  <c r="T223" i="24" s="1"/>
  <c r="S223" i="24" s="1"/>
  <c r="R223" i="24" s="1"/>
  <c r="P223" i="24" s="1"/>
  <c r="V223" i="24" s="1"/>
  <c r="U207" i="24"/>
  <c r="T207" i="24" s="1"/>
  <c r="S207" i="24" s="1"/>
  <c r="R207" i="24" s="1"/>
  <c r="P207" i="24" s="1"/>
  <c r="V207" i="24" s="1"/>
  <c r="U191" i="24"/>
  <c r="T191" i="24" s="1"/>
  <c r="S191" i="24" s="1"/>
  <c r="R191" i="24" s="1"/>
  <c r="P191" i="24" s="1"/>
  <c r="V191" i="24" s="1"/>
  <c r="U175" i="24"/>
  <c r="T175" i="24" s="1"/>
  <c r="S175" i="24" s="1"/>
  <c r="R175" i="24" s="1"/>
  <c r="P175" i="24" s="1"/>
  <c r="V175" i="24" s="1"/>
  <c r="U159" i="24"/>
  <c r="T159" i="24" s="1"/>
  <c r="S159" i="24" s="1"/>
  <c r="R159" i="24" s="1"/>
  <c r="P159" i="24" s="1"/>
  <c r="V159" i="24" s="1"/>
  <c r="U143" i="24"/>
  <c r="T143" i="24" s="1"/>
  <c r="S143" i="24" s="1"/>
  <c r="R143" i="24" s="1"/>
  <c r="P143" i="24" s="1"/>
  <c r="V143" i="24" s="1"/>
  <c r="U127" i="24"/>
  <c r="T127" i="24" s="1"/>
  <c r="S127" i="24" s="1"/>
  <c r="R127" i="24" s="1"/>
  <c r="P127" i="24" s="1"/>
  <c r="V127" i="24" s="1"/>
  <c r="U111" i="24"/>
  <c r="T111" i="24" s="1"/>
  <c r="S111" i="24" s="1"/>
  <c r="R111" i="24" s="1"/>
  <c r="P111" i="24" s="1"/>
  <c r="V111" i="24" s="1"/>
  <c r="U95" i="24"/>
  <c r="T95" i="24" s="1"/>
  <c r="S95" i="24" s="1"/>
  <c r="R95" i="24" s="1"/>
  <c r="P95" i="24" s="1"/>
  <c r="V95" i="24" s="1"/>
  <c r="U79" i="24"/>
  <c r="T79" i="24" s="1"/>
  <c r="S79" i="24" s="1"/>
  <c r="R79" i="24" s="1"/>
  <c r="P79" i="24" s="1"/>
  <c r="V79" i="24" s="1"/>
  <c r="U63" i="24"/>
  <c r="T63" i="24" s="1"/>
  <c r="S63" i="24" s="1"/>
  <c r="R63" i="24" s="1"/>
  <c r="P63" i="24" s="1"/>
  <c r="V63" i="24" s="1"/>
  <c r="U47" i="24"/>
  <c r="T47" i="24" s="1"/>
  <c r="S47" i="24" s="1"/>
  <c r="R47" i="24" s="1"/>
  <c r="P47" i="24" s="1"/>
  <c r="V47" i="24" s="1"/>
  <c r="U31" i="24"/>
  <c r="T31" i="24" s="1"/>
  <c r="S31" i="24" s="1"/>
  <c r="R31" i="24" s="1"/>
  <c r="P31" i="24" s="1"/>
  <c r="V31" i="24" s="1"/>
  <c r="AI378" i="24"/>
  <c r="AH378" i="24" s="1"/>
  <c r="AG378" i="24" s="1"/>
  <c r="AF378" i="24" s="1"/>
  <c r="AD378" i="24" s="1"/>
  <c r="AI357" i="24"/>
  <c r="AH357" i="24" s="1"/>
  <c r="AG357" i="24" s="1"/>
  <c r="AF357" i="24" s="1"/>
  <c r="AD357" i="24" s="1"/>
  <c r="AI325" i="24"/>
  <c r="AH325" i="24" s="1"/>
  <c r="AG325" i="24" s="1"/>
  <c r="AF325" i="24" s="1"/>
  <c r="AD325" i="24" s="1"/>
  <c r="AI293" i="24"/>
  <c r="AH293" i="24" s="1"/>
  <c r="AG293" i="24" s="1"/>
  <c r="AF293" i="24" s="1"/>
  <c r="AD293" i="24" s="1"/>
  <c r="AI261" i="24"/>
  <c r="AH261" i="24" s="1"/>
  <c r="AG261" i="24" s="1"/>
  <c r="AF261" i="24" s="1"/>
  <c r="AD261" i="24" s="1"/>
  <c r="AI237" i="24"/>
  <c r="AH237" i="24" s="1"/>
  <c r="AG237" i="24" s="1"/>
  <c r="AF237" i="24" s="1"/>
  <c r="AD237" i="24" s="1"/>
  <c r="AI221" i="24"/>
  <c r="AH221" i="24" s="1"/>
  <c r="AG221" i="24" s="1"/>
  <c r="AF221" i="24" s="1"/>
  <c r="AD221" i="24" s="1"/>
  <c r="AI205" i="24"/>
  <c r="AH205" i="24" s="1"/>
  <c r="AG205" i="24" s="1"/>
  <c r="AF205" i="24" s="1"/>
  <c r="AD205" i="24" s="1"/>
  <c r="AI189" i="24"/>
  <c r="AH189" i="24" s="1"/>
  <c r="AG189" i="24" s="1"/>
  <c r="AF189" i="24" s="1"/>
  <c r="AD189" i="24" s="1"/>
  <c r="AI173" i="24"/>
  <c r="AH173" i="24" s="1"/>
  <c r="AG173" i="24" s="1"/>
  <c r="AF173" i="24" s="1"/>
  <c r="AD173" i="24" s="1"/>
  <c r="AI157" i="24"/>
  <c r="AH157" i="24" s="1"/>
  <c r="AG157" i="24" s="1"/>
  <c r="AF157" i="24" s="1"/>
  <c r="AD157" i="24" s="1"/>
  <c r="AI141" i="24"/>
  <c r="AH141" i="24" s="1"/>
  <c r="AG141" i="24" s="1"/>
  <c r="AF141" i="24" s="1"/>
  <c r="AD141" i="24" s="1"/>
  <c r="AI125" i="24"/>
  <c r="AH125" i="24" s="1"/>
  <c r="AG125" i="24" s="1"/>
  <c r="AF125" i="24" s="1"/>
  <c r="AD125" i="24" s="1"/>
  <c r="AI109" i="24"/>
  <c r="AH109" i="24" s="1"/>
  <c r="AG109" i="24" s="1"/>
  <c r="AF109" i="24" s="1"/>
  <c r="AD109" i="24" s="1"/>
  <c r="AI93" i="24"/>
  <c r="AH93" i="24" s="1"/>
  <c r="AG93" i="24" s="1"/>
  <c r="AF93" i="24" s="1"/>
  <c r="AD93" i="24" s="1"/>
  <c r="AI77" i="24"/>
  <c r="AH77" i="24" s="1"/>
  <c r="AG77" i="24" s="1"/>
  <c r="AF77" i="24" s="1"/>
  <c r="AD77" i="24" s="1"/>
  <c r="AI61" i="24"/>
  <c r="AH61" i="24" s="1"/>
  <c r="AG61" i="24" s="1"/>
  <c r="AF61" i="24" s="1"/>
  <c r="AD61" i="24" s="1"/>
  <c r="AI45" i="24"/>
  <c r="AH45" i="24" s="1"/>
  <c r="AG45" i="24" s="1"/>
  <c r="AF45" i="24" s="1"/>
  <c r="AD45" i="24" s="1"/>
  <c r="AI22" i="24"/>
  <c r="AH22" i="24" s="1"/>
  <c r="AG22" i="24" s="1"/>
  <c r="AF22" i="24" s="1"/>
  <c r="AD22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27" i="24"/>
  <c r="AH27" i="24" s="1"/>
  <c r="AG27" i="24" s="1"/>
  <c r="AF27" i="24" s="1"/>
  <c r="AD27" i="24" s="1"/>
  <c r="AI26" i="24"/>
  <c r="AH26" i="24" s="1"/>
  <c r="AG26" i="24" s="1"/>
  <c r="AF26" i="24" s="1"/>
  <c r="AD26" i="24" s="1"/>
  <c r="AI65" i="24"/>
  <c r="AH65" i="24" s="1"/>
  <c r="AG65" i="24" s="1"/>
  <c r="AF65" i="24" s="1"/>
  <c r="AD65" i="24" s="1"/>
  <c r="AI97" i="24"/>
  <c r="AH97" i="24" s="1"/>
  <c r="AG97" i="24" s="1"/>
  <c r="AF97" i="24" s="1"/>
  <c r="AD97" i="24" s="1"/>
  <c r="AI129" i="24"/>
  <c r="AH129" i="24" s="1"/>
  <c r="AG129" i="24" s="1"/>
  <c r="AF129" i="24" s="1"/>
  <c r="AD129" i="24" s="1"/>
  <c r="AI161" i="24"/>
  <c r="AH161" i="24" s="1"/>
  <c r="AG161" i="24" s="1"/>
  <c r="AF161" i="24" s="1"/>
  <c r="AD161" i="24" s="1"/>
  <c r="AI193" i="24"/>
  <c r="AH193" i="24" s="1"/>
  <c r="AG193" i="24" s="1"/>
  <c r="AF193" i="24" s="1"/>
  <c r="AD193" i="24" s="1"/>
  <c r="AI225" i="24"/>
  <c r="AH225" i="24" s="1"/>
  <c r="AG225" i="24" s="1"/>
  <c r="AF225" i="24" s="1"/>
  <c r="AD225" i="24" s="1"/>
  <c r="AI257" i="24"/>
  <c r="AH257" i="24" s="1"/>
  <c r="AG257" i="24" s="1"/>
  <c r="AF257" i="24" s="1"/>
  <c r="AD257" i="24" s="1"/>
  <c r="AI289" i="24"/>
  <c r="AH289" i="24" s="1"/>
  <c r="AG289" i="24" s="1"/>
  <c r="AF289" i="24" s="1"/>
  <c r="AD289" i="24" s="1"/>
  <c r="AI321" i="24"/>
  <c r="AH321" i="24" s="1"/>
  <c r="AG321" i="24" s="1"/>
  <c r="AF321" i="24" s="1"/>
  <c r="AD321" i="24" s="1"/>
  <c r="AI353" i="24"/>
  <c r="AH353" i="24" s="1"/>
  <c r="AG353" i="24" s="1"/>
  <c r="AF353" i="24" s="1"/>
  <c r="AD353" i="24" s="1"/>
  <c r="AI376" i="24"/>
  <c r="AH376" i="24" s="1"/>
  <c r="AG376" i="24" s="1"/>
  <c r="AF376" i="24" s="1"/>
  <c r="AD376" i="24" s="1"/>
  <c r="U29" i="24"/>
  <c r="T29" i="24" s="1"/>
  <c r="S29" i="24" s="1"/>
  <c r="R29" i="24" s="1"/>
  <c r="P29" i="24" s="1"/>
  <c r="V29" i="24" s="1"/>
  <c r="U45" i="24"/>
  <c r="T45" i="24" s="1"/>
  <c r="S45" i="24" s="1"/>
  <c r="R45" i="24" s="1"/>
  <c r="P45" i="24" s="1"/>
  <c r="V45" i="24" s="1"/>
  <c r="U61" i="24"/>
  <c r="T61" i="24" s="1"/>
  <c r="S61" i="24" s="1"/>
  <c r="R61" i="24" s="1"/>
  <c r="P61" i="24" s="1"/>
  <c r="V61" i="24" s="1"/>
  <c r="U77" i="24"/>
  <c r="T77" i="24" s="1"/>
  <c r="S77" i="24" s="1"/>
  <c r="R77" i="24" s="1"/>
  <c r="P77" i="24" s="1"/>
  <c r="V77" i="24" s="1"/>
  <c r="U93" i="24"/>
  <c r="T93" i="24" s="1"/>
  <c r="S93" i="24" s="1"/>
  <c r="R93" i="24" s="1"/>
  <c r="P93" i="24" s="1"/>
  <c r="V93" i="24" s="1"/>
  <c r="U109" i="24"/>
  <c r="T109" i="24" s="1"/>
  <c r="S109" i="24" s="1"/>
  <c r="R109" i="24" s="1"/>
  <c r="P109" i="24" s="1"/>
  <c r="V109" i="24" s="1"/>
  <c r="U125" i="24"/>
  <c r="T125" i="24" s="1"/>
  <c r="S125" i="24" s="1"/>
  <c r="R125" i="24" s="1"/>
  <c r="P125" i="24" s="1"/>
  <c r="V125" i="24" s="1"/>
  <c r="U141" i="24"/>
  <c r="T141" i="24" s="1"/>
  <c r="S141" i="24" s="1"/>
  <c r="R141" i="24" s="1"/>
  <c r="P141" i="24" s="1"/>
  <c r="V141" i="24" s="1"/>
  <c r="U157" i="24"/>
  <c r="T157" i="24" s="1"/>
  <c r="S157" i="24" s="1"/>
  <c r="R157" i="24" s="1"/>
  <c r="P157" i="24" s="1"/>
  <c r="V157" i="24" s="1"/>
  <c r="U173" i="24"/>
  <c r="T173" i="24" s="1"/>
  <c r="S173" i="24" s="1"/>
  <c r="R173" i="24" s="1"/>
  <c r="P173" i="24" s="1"/>
  <c r="V173" i="24" s="1"/>
  <c r="U189" i="24"/>
  <c r="T189" i="24" s="1"/>
  <c r="S189" i="24" s="1"/>
  <c r="R189" i="24" s="1"/>
  <c r="P189" i="24" s="1"/>
  <c r="V189" i="24" s="1"/>
  <c r="U205" i="24"/>
  <c r="T205" i="24" s="1"/>
  <c r="S205" i="24" s="1"/>
  <c r="R205" i="24" s="1"/>
  <c r="P205" i="24" s="1"/>
  <c r="V205" i="24" s="1"/>
  <c r="U221" i="24"/>
  <c r="T221" i="24" s="1"/>
  <c r="S221" i="24" s="1"/>
  <c r="R221" i="24" s="1"/>
  <c r="P221" i="24" s="1"/>
  <c r="V221" i="24" s="1"/>
  <c r="U237" i="24"/>
  <c r="T237" i="24" s="1"/>
  <c r="S237" i="24" s="1"/>
  <c r="R237" i="24" s="1"/>
  <c r="P237" i="24" s="1"/>
  <c r="V237" i="24" s="1"/>
  <c r="U253" i="24"/>
  <c r="T253" i="24" s="1"/>
  <c r="S253" i="24" s="1"/>
  <c r="R253" i="24" s="1"/>
  <c r="P253" i="24" s="1"/>
  <c r="V253" i="24" s="1"/>
  <c r="U269" i="24"/>
  <c r="T269" i="24" s="1"/>
  <c r="S269" i="24" s="1"/>
  <c r="R269" i="24" s="1"/>
  <c r="P269" i="24" s="1"/>
  <c r="V269" i="24" s="1"/>
  <c r="U285" i="24"/>
  <c r="T285" i="24" s="1"/>
  <c r="S285" i="24" s="1"/>
  <c r="R285" i="24" s="1"/>
  <c r="P285" i="24" s="1"/>
  <c r="V285" i="24" s="1"/>
  <c r="U301" i="24"/>
  <c r="T301" i="24" s="1"/>
  <c r="S301" i="24" s="1"/>
  <c r="R301" i="24" s="1"/>
  <c r="P301" i="24" s="1"/>
  <c r="V301" i="24" s="1"/>
  <c r="U317" i="24"/>
  <c r="T317" i="24" s="1"/>
  <c r="S317" i="24" s="1"/>
  <c r="R317" i="24" s="1"/>
  <c r="P317" i="24" s="1"/>
  <c r="V317" i="24" s="1"/>
  <c r="U333" i="24"/>
  <c r="T333" i="24" s="1"/>
  <c r="S333" i="24" s="1"/>
  <c r="R333" i="24" s="1"/>
  <c r="P333" i="24" s="1"/>
  <c r="U349" i="24"/>
  <c r="T349" i="24" s="1"/>
  <c r="S349" i="24" s="1"/>
  <c r="R349" i="24" s="1"/>
  <c r="P349" i="24" s="1"/>
  <c r="V349" i="24" s="1"/>
  <c r="U365" i="24"/>
  <c r="T365" i="24" s="1"/>
  <c r="S365" i="24" s="1"/>
  <c r="R365" i="24" s="1"/>
  <c r="P365" i="24" s="1"/>
  <c r="V365" i="24" s="1"/>
  <c r="AI366" i="24"/>
  <c r="AH366" i="24" s="1"/>
  <c r="AG366" i="24" s="1"/>
  <c r="AF366" i="24" s="1"/>
  <c r="AD366" i="24" s="1"/>
  <c r="AI350" i="24"/>
  <c r="AH350" i="24" s="1"/>
  <c r="AG350" i="24" s="1"/>
  <c r="AF350" i="24" s="1"/>
  <c r="AD350" i="24" s="1"/>
  <c r="AI334" i="24"/>
  <c r="AH334" i="24" s="1"/>
  <c r="AG334" i="24" s="1"/>
  <c r="AF334" i="24" s="1"/>
  <c r="AD334" i="24" s="1"/>
  <c r="AI318" i="24"/>
  <c r="AH318" i="24" s="1"/>
  <c r="AG318" i="24" s="1"/>
  <c r="AF318" i="24" s="1"/>
  <c r="AD318" i="24" s="1"/>
  <c r="AI302" i="24"/>
  <c r="AH302" i="24" s="1"/>
  <c r="AG302" i="24" s="1"/>
  <c r="AF302" i="24" s="1"/>
  <c r="AD302" i="24" s="1"/>
  <c r="AI286" i="24"/>
  <c r="AH286" i="24" s="1"/>
  <c r="AG286" i="24" s="1"/>
  <c r="AF286" i="24" s="1"/>
  <c r="AD286" i="24" s="1"/>
  <c r="AI270" i="24"/>
  <c r="AH270" i="24" s="1"/>
  <c r="AG270" i="24" s="1"/>
  <c r="AF270" i="24" s="1"/>
  <c r="AD270" i="24" s="1"/>
  <c r="AI254" i="24"/>
  <c r="AH254" i="24" s="1"/>
  <c r="AG254" i="24" s="1"/>
  <c r="AF254" i="24" s="1"/>
  <c r="AD254" i="24" s="1"/>
  <c r="AI238" i="24"/>
  <c r="AH238" i="24" s="1"/>
  <c r="AG238" i="24" s="1"/>
  <c r="AF238" i="24" s="1"/>
  <c r="AD238" i="24" s="1"/>
  <c r="AI222" i="24"/>
  <c r="AH222" i="24" s="1"/>
  <c r="AG222" i="24" s="1"/>
  <c r="AF222" i="24" s="1"/>
  <c r="AD222" i="24" s="1"/>
  <c r="AI206" i="24"/>
  <c r="AH206" i="24" s="1"/>
  <c r="AG206" i="24" s="1"/>
  <c r="AF206" i="24" s="1"/>
  <c r="AD206" i="24" s="1"/>
  <c r="AI190" i="24"/>
  <c r="AH190" i="24" s="1"/>
  <c r="AG190" i="24" s="1"/>
  <c r="AF190" i="24" s="1"/>
  <c r="AD190" i="24" s="1"/>
  <c r="AI174" i="24"/>
  <c r="AH174" i="24" s="1"/>
  <c r="AG174" i="24" s="1"/>
  <c r="AF174" i="24" s="1"/>
  <c r="AD174" i="24" s="1"/>
  <c r="AI158" i="24"/>
  <c r="AH158" i="24" s="1"/>
  <c r="AG158" i="24" s="1"/>
  <c r="AF158" i="24" s="1"/>
  <c r="AD158" i="24" s="1"/>
  <c r="AI142" i="24"/>
  <c r="AH142" i="24" s="1"/>
  <c r="AG142" i="24" s="1"/>
  <c r="AF142" i="24" s="1"/>
  <c r="AD142" i="24" s="1"/>
  <c r="AI126" i="24"/>
  <c r="AH126" i="24" s="1"/>
  <c r="AG126" i="24" s="1"/>
  <c r="AF126" i="24" s="1"/>
  <c r="AD126" i="24" s="1"/>
  <c r="AI110" i="24"/>
  <c r="AH110" i="24" s="1"/>
  <c r="AG110" i="24" s="1"/>
  <c r="AF110" i="24" s="1"/>
  <c r="AD110" i="24" s="1"/>
  <c r="AI94" i="24"/>
  <c r="AH94" i="24" s="1"/>
  <c r="AG94" i="24" s="1"/>
  <c r="AF94" i="24" s="1"/>
  <c r="AD94" i="24" s="1"/>
  <c r="AI78" i="24"/>
  <c r="AH78" i="24" s="1"/>
  <c r="AG78" i="24" s="1"/>
  <c r="AF78" i="24" s="1"/>
  <c r="AD78" i="24" s="1"/>
  <c r="AI62" i="24"/>
  <c r="AH62" i="24" s="1"/>
  <c r="AG62" i="24" s="1"/>
  <c r="AF62" i="24" s="1"/>
  <c r="AD62" i="24" s="1"/>
  <c r="AI46" i="24"/>
  <c r="AH46" i="24" s="1"/>
  <c r="AG46" i="24" s="1"/>
  <c r="AF46" i="24" s="1"/>
  <c r="AD46" i="24" s="1"/>
  <c r="AI16" i="24"/>
  <c r="AH16" i="24" s="1"/>
  <c r="AG16" i="24" s="1"/>
  <c r="AF16" i="24" s="1"/>
  <c r="AD16" i="24" s="1"/>
  <c r="AI79" i="24"/>
  <c r="AH79" i="24" s="1"/>
  <c r="AG79" i="24" s="1"/>
  <c r="AF79" i="24" s="1"/>
  <c r="AD79" i="24" s="1"/>
  <c r="AI143" i="24"/>
  <c r="AH143" i="24" s="1"/>
  <c r="AG143" i="24" s="1"/>
  <c r="AF143" i="24" s="1"/>
  <c r="AD143" i="24" s="1"/>
  <c r="AI207" i="24"/>
  <c r="AH207" i="24" s="1"/>
  <c r="AG207" i="24" s="1"/>
  <c r="AF207" i="24" s="1"/>
  <c r="AD207" i="24" s="1"/>
  <c r="AI271" i="24"/>
  <c r="AH271" i="24" s="1"/>
  <c r="AG271" i="24" s="1"/>
  <c r="AF271" i="24" s="1"/>
  <c r="AD271" i="24" s="1"/>
  <c r="AI335" i="24"/>
  <c r="AH335" i="24" s="1"/>
  <c r="AG335" i="24" s="1"/>
  <c r="AF335" i="24" s="1"/>
  <c r="AD335" i="24" s="1"/>
  <c r="U20" i="24"/>
  <c r="T20" i="24" s="1"/>
  <c r="S20" i="24" s="1"/>
  <c r="R20" i="24" s="1"/>
  <c r="P20" i="24" s="1"/>
  <c r="V20" i="24" s="1"/>
  <c r="U48" i="24"/>
  <c r="T48" i="24" s="1"/>
  <c r="S48" i="24" s="1"/>
  <c r="R48" i="24" s="1"/>
  <c r="P48" i="24" s="1"/>
  <c r="V48" i="24" s="1"/>
  <c r="U80" i="24"/>
  <c r="T80" i="24" s="1"/>
  <c r="S80" i="24" s="1"/>
  <c r="R80" i="24" s="1"/>
  <c r="P80" i="24" s="1"/>
  <c r="V80" i="24" s="1"/>
  <c r="U112" i="24"/>
  <c r="T112" i="24" s="1"/>
  <c r="S112" i="24" s="1"/>
  <c r="R112" i="24" s="1"/>
  <c r="P112" i="24" s="1"/>
  <c r="V112" i="24" s="1"/>
  <c r="U144" i="24"/>
  <c r="T144" i="24" s="1"/>
  <c r="S144" i="24" s="1"/>
  <c r="R144" i="24" s="1"/>
  <c r="P144" i="24" s="1"/>
  <c r="V144" i="24" s="1"/>
  <c r="U176" i="24"/>
  <c r="T176" i="24" s="1"/>
  <c r="S176" i="24" s="1"/>
  <c r="R176" i="24" s="1"/>
  <c r="P176" i="24" s="1"/>
  <c r="V176" i="24" s="1"/>
  <c r="U208" i="24"/>
  <c r="T208" i="24" s="1"/>
  <c r="S208" i="24" s="1"/>
  <c r="R208" i="24" s="1"/>
  <c r="P208" i="24" s="1"/>
  <c r="V208" i="24" s="1"/>
  <c r="U240" i="24"/>
  <c r="T240" i="24" s="1"/>
  <c r="S240" i="24" s="1"/>
  <c r="R240" i="24" s="1"/>
  <c r="P240" i="24" s="1"/>
  <c r="V240" i="24" s="1"/>
  <c r="U272" i="24"/>
  <c r="T272" i="24" s="1"/>
  <c r="S272" i="24" s="1"/>
  <c r="R272" i="24" s="1"/>
  <c r="P272" i="24" s="1"/>
  <c r="U304" i="24"/>
  <c r="T304" i="24" s="1"/>
  <c r="S304" i="24" s="1"/>
  <c r="R304" i="24" s="1"/>
  <c r="P304" i="24" s="1"/>
  <c r="V304" i="24" s="1"/>
  <c r="U336" i="24"/>
  <c r="T336" i="24" s="1"/>
  <c r="S336" i="24" s="1"/>
  <c r="R336" i="24" s="1"/>
  <c r="P336" i="24" s="1"/>
  <c r="V336" i="24" s="1"/>
  <c r="U368" i="24"/>
  <c r="T368" i="24" s="1"/>
  <c r="S368" i="24" s="1"/>
  <c r="R368" i="24" s="1"/>
  <c r="P368" i="24" s="1"/>
  <c r="V368" i="24" s="1"/>
  <c r="AI115" i="24"/>
  <c r="AH115" i="24" s="1"/>
  <c r="AG115" i="24" s="1"/>
  <c r="AF115" i="24" s="1"/>
  <c r="AD115" i="24" s="1"/>
  <c r="AH56" i="7"/>
  <c r="V379" i="23"/>
  <c r="M68" i="19" s="1"/>
  <c r="D42" i="19"/>
  <c r="AH381" i="23"/>
  <c r="AH383" i="23"/>
  <c r="AH382" i="23"/>
  <c r="AG15" i="23"/>
  <c r="V381" i="20"/>
  <c r="V383" i="20"/>
  <c r="V382" i="20"/>
  <c r="R382" i="22"/>
  <c r="P15" i="22"/>
  <c r="R381" i="22"/>
  <c r="R383" i="22"/>
  <c r="S21" i="23"/>
  <c r="T381" i="23"/>
  <c r="T383" i="23"/>
  <c r="T382" i="23"/>
  <c r="AI20" i="24"/>
  <c r="AH20" i="24" s="1"/>
  <c r="AG20" i="24" s="1"/>
  <c r="AF20" i="24" s="1"/>
  <c r="AD20" i="24" s="1"/>
  <c r="AF382" i="22"/>
  <c r="AD15" i="22"/>
  <c r="AF381" i="22"/>
  <c r="AF383" i="22"/>
  <c r="AI91" i="24"/>
  <c r="AH91" i="24" s="1"/>
  <c r="AG91" i="24" s="1"/>
  <c r="AF91" i="24" s="1"/>
  <c r="AD91" i="24" s="1"/>
  <c r="AI147" i="24"/>
  <c r="AH147" i="24" s="1"/>
  <c r="AG147" i="24" s="1"/>
  <c r="AF147" i="24" s="1"/>
  <c r="AD147" i="24" s="1"/>
  <c r="AI179" i="24"/>
  <c r="AH179" i="24" s="1"/>
  <c r="AG179" i="24" s="1"/>
  <c r="AF179" i="24" s="1"/>
  <c r="AD179" i="24" s="1"/>
  <c r="AI211" i="24"/>
  <c r="AH211" i="24" s="1"/>
  <c r="AG211" i="24" s="1"/>
  <c r="AF211" i="24" s="1"/>
  <c r="AD211" i="24" s="1"/>
  <c r="AI243" i="24"/>
  <c r="AH243" i="24" s="1"/>
  <c r="AG243" i="24" s="1"/>
  <c r="AF243" i="24" s="1"/>
  <c r="AD243" i="24" s="1"/>
  <c r="AI275" i="24"/>
  <c r="AH275" i="24" s="1"/>
  <c r="AG275" i="24" s="1"/>
  <c r="AF275" i="24" s="1"/>
  <c r="AD275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9" i="24"/>
  <c r="AH369" i="24" s="1"/>
  <c r="AG369" i="24" s="1"/>
  <c r="AF369" i="24" s="1"/>
  <c r="AD369" i="24" s="1"/>
  <c r="AI30" i="24"/>
  <c r="AH30" i="24" s="1"/>
  <c r="AG30" i="24" s="1"/>
  <c r="AF30" i="24" s="1"/>
  <c r="AD30" i="24" s="1"/>
  <c r="AI107" i="24"/>
  <c r="AI155" i="24"/>
  <c r="AH155" i="24" s="1"/>
  <c r="AG155" i="24" s="1"/>
  <c r="AF155" i="24" s="1"/>
  <c r="AD155" i="24" s="1"/>
  <c r="AI187" i="24"/>
  <c r="AH187" i="24" s="1"/>
  <c r="AG187" i="24" s="1"/>
  <c r="AF187" i="24" s="1"/>
  <c r="AD187" i="24" s="1"/>
  <c r="AI219" i="24"/>
  <c r="AH219" i="24" s="1"/>
  <c r="AG219" i="24" s="1"/>
  <c r="AF219" i="24" s="1"/>
  <c r="AD219" i="24" s="1"/>
  <c r="AI251" i="24"/>
  <c r="AH251" i="24" s="1"/>
  <c r="AG251" i="24" s="1"/>
  <c r="AF251" i="24" s="1"/>
  <c r="AD251" i="24" s="1"/>
  <c r="AI283" i="24"/>
  <c r="AH283" i="24" s="1"/>
  <c r="AG283" i="24" s="1"/>
  <c r="AF283" i="24" s="1"/>
  <c r="AD283" i="24" s="1"/>
  <c r="AI315" i="24"/>
  <c r="AH315" i="24" s="1"/>
  <c r="AG315" i="24" s="1"/>
  <c r="AF315" i="24" s="1"/>
  <c r="AD315" i="24" s="1"/>
  <c r="AI347" i="24"/>
  <c r="AH347" i="24" s="1"/>
  <c r="AG347" i="24" s="1"/>
  <c r="AF347" i="24" s="1"/>
  <c r="AD347" i="24" s="1"/>
  <c r="AI373" i="24"/>
  <c r="AH373" i="24" s="1"/>
  <c r="AG373" i="24" s="1"/>
  <c r="AF373" i="24" s="1"/>
  <c r="AD373" i="24" s="1"/>
  <c r="U23" i="24"/>
  <c r="T23" i="24" s="1"/>
  <c r="S23" i="24" s="1"/>
  <c r="R23" i="24" s="1"/>
  <c r="P23" i="24" s="1"/>
  <c r="V23" i="24" s="1"/>
  <c r="U34" i="24"/>
  <c r="T34" i="24" s="1"/>
  <c r="S34" i="24" s="1"/>
  <c r="R34" i="24" s="1"/>
  <c r="P34" i="24" s="1"/>
  <c r="V34" i="24" s="1"/>
  <c r="U50" i="24"/>
  <c r="T50" i="24" s="1"/>
  <c r="S50" i="24" s="1"/>
  <c r="R50" i="24" s="1"/>
  <c r="P50" i="24" s="1"/>
  <c r="V50" i="24" s="1"/>
  <c r="U66" i="24"/>
  <c r="T66" i="24" s="1"/>
  <c r="S66" i="24" s="1"/>
  <c r="R66" i="24" s="1"/>
  <c r="P66" i="24" s="1"/>
  <c r="V66" i="24" s="1"/>
  <c r="U82" i="24"/>
  <c r="T82" i="24" s="1"/>
  <c r="S82" i="24" s="1"/>
  <c r="R82" i="24" s="1"/>
  <c r="P82" i="24" s="1"/>
  <c r="V82" i="24" s="1"/>
  <c r="U98" i="24"/>
  <c r="T98" i="24" s="1"/>
  <c r="S98" i="24" s="1"/>
  <c r="R98" i="24" s="1"/>
  <c r="P98" i="24" s="1"/>
  <c r="V98" i="24" s="1"/>
  <c r="U114" i="24"/>
  <c r="T114" i="24" s="1"/>
  <c r="S114" i="24" s="1"/>
  <c r="R114" i="24" s="1"/>
  <c r="P114" i="24" s="1"/>
  <c r="V114" i="24" s="1"/>
  <c r="U130" i="24"/>
  <c r="T130" i="24" s="1"/>
  <c r="S130" i="24" s="1"/>
  <c r="R130" i="24" s="1"/>
  <c r="P130" i="24" s="1"/>
  <c r="V130" i="24" s="1"/>
  <c r="U146" i="24"/>
  <c r="T146" i="24" s="1"/>
  <c r="S146" i="24" s="1"/>
  <c r="R146" i="24" s="1"/>
  <c r="P146" i="24" s="1"/>
  <c r="V146" i="24" s="1"/>
  <c r="U162" i="24"/>
  <c r="T162" i="24" s="1"/>
  <c r="S162" i="24" s="1"/>
  <c r="R162" i="24" s="1"/>
  <c r="P162" i="24" s="1"/>
  <c r="V162" i="24" s="1"/>
  <c r="U178" i="24"/>
  <c r="T178" i="24" s="1"/>
  <c r="S178" i="24" s="1"/>
  <c r="R178" i="24" s="1"/>
  <c r="P178" i="24" s="1"/>
  <c r="V178" i="24" s="1"/>
  <c r="U194" i="24"/>
  <c r="T194" i="24" s="1"/>
  <c r="S194" i="24" s="1"/>
  <c r="R194" i="24" s="1"/>
  <c r="P194" i="24" s="1"/>
  <c r="V194" i="24" s="1"/>
  <c r="U210" i="24"/>
  <c r="T210" i="24" s="1"/>
  <c r="S210" i="24" s="1"/>
  <c r="R210" i="24" s="1"/>
  <c r="P210" i="24" s="1"/>
  <c r="V210" i="24" s="1"/>
  <c r="U226" i="24"/>
  <c r="T226" i="24" s="1"/>
  <c r="S226" i="24" s="1"/>
  <c r="R226" i="24" s="1"/>
  <c r="P226" i="24" s="1"/>
  <c r="V226" i="24" s="1"/>
  <c r="U242" i="24"/>
  <c r="T242" i="24" s="1"/>
  <c r="S242" i="24" s="1"/>
  <c r="R242" i="24" s="1"/>
  <c r="P242" i="24" s="1"/>
  <c r="V242" i="24" s="1"/>
  <c r="U258" i="24"/>
  <c r="T258" i="24" s="1"/>
  <c r="S258" i="24" s="1"/>
  <c r="R258" i="24" s="1"/>
  <c r="P258" i="24" s="1"/>
  <c r="V258" i="24" s="1"/>
  <c r="U274" i="24"/>
  <c r="T274" i="24" s="1"/>
  <c r="S274" i="24" s="1"/>
  <c r="R274" i="24" s="1"/>
  <c r="P274" i="24" s="1"/>
  <c r="V274" i="24" s="1"/>
  <c r="U290" i="24"/>
  <c r="T290" i="24" s="1"/>
  <c r="S290" i="24" s="1"/>
  <c r="R290" i="24" s="1"/>
  <c r="P290" i="24" s="1"/>
  <c r="V290" i="24" s="1"/>
  <c r="U306" i="24"/>
  <c r="T306" i="24" s="1"/>
  <c r="S306" i="24" s="1"/>
  <c r="R306" i="24" s="1"/>
  <c r="P306" i="24" s="1"/>
  <c r="V306" i="24" s="1"/>
  <c r="U322" i="24"/>
  <c r="T322" i="24" s="1"/>
  <c r="S322" i="24" s="1"/>
  <c r="R322" i="24" s="1"/>
  <c r="P322" i="24" s="1"/>
  <c r="V322" i="24" s="1"/>
  <c r="U338" i="24"/>
  <c r="T338" i="24" s="1"/>
  <c r="S338" i="24" s="1"/>
  <c r="R338" i="24" s="1"/>
  <c r="P338" i="24" s="1"/>
  <c r="V338" i="24" s="1"/>
  <c r="U354" i="24"/>
  <c r="T354" i="24" s="1"/>
  <c r="S354" i="24" s="1"/>
  <c r="R354" i="24" s="1"/>
  <c r="P354" i="24" s="1"/>
  <c r="V354" i="24" s="1"/>
  <c r="U370" i="24"/>
  <c r="T370" i="24" s="1"/>
  <c r="S370" i="24" s="1"/>
  <c r="R370" i="24" s="1"/>
  <c r="P370" i="24" s="1"/>
  <c r="V370" i="24" s="1"/>
  <c r="AY16" i="7"/>
  <c r="U30" i="24"/>
  <c r="T30" i="24" s="1"/>
  <c r="S30" i="24" s="1"/>
  <c r="R30" i="24" s="1"/>
  <c r="P30" i="24" s="1"/>
  <c r="V30" i="24" s="1"/>
  <c r="U46" i="24"/>
  <c r="T46" i="24" s="1"/>
  <c r="S46" i="24" s="1"/>
  <c r="R46" i="24" s="1"/>
  <c r="P46" i="24" s="1"/>
  <c r="V46" i="24" s="1"/>
  <c r="U62" i="24"/>
  <c r="T62" i="24" s="1"/>
  <c r="S62" i="24" s="1"/>
  <c r="R62" i="24" s="1"/>
  <c r="P62" i="24" s="1"/>
  <c r="V62" i="24" s="1"/>
  <c r="U78" i="24"/>
  <c r="T78" i="24" s="1"/>
  <c r="S78" i="24" s="1"/>
  <c r="R78" i="24" s="1"/>
  <c r="P78" i="24" s="1"/>
  <c r="V78" i="24" s="1"/>
  <c r="U94" i="24"/>
  <c r="T94" i="24" s="1"/>
  <c r="S94" i="24" s="1"/>
  <c r="R94" i="24" s="1"/>
  <c r="P94" i="24" s="1"/>
  <c r="V94" i="24" s="1"/>
  <c r="U110" i="24"/>
  <c r="T110" i="24" s="1"/>
  <c r="S110" i="24" s="1"/>
  <c r="R110" i="24" s="1"/>
  <c r="P110" i="24" s="1"/>
  <c r="V110" i="24" s="1"/>
  <c r="U126" i="24"/>
  <c r="T126" i="24" s="1"/>
  <c r="S126" i="24" s="1"/>
  <c r="R126" i="24" s="1"/>
  <c r="P126" i="24" s="1"/>
  <c r="V126" i="24" s="1"/>
  <c r="U142" i="24"/>
  <c r="T142" i="24" s="1"/>
  <c r="S142" i="24" s="1"/>
  <c r="R142" i="24" s="1"/>
  <c r="P142" i="24" s="1"/>
  <c r="V142" i="24" s="1"/>
  <c r="U158" i="24"/>
  <c r="T158" i="24" s="1"/>
  <c r="S158" i="24" s="1"/>
  <c r="R158" i="24" s="1"/>
  <c r="P158" i="24" s="1"/>
  <c r="V158" i="24" s="1"/>
  <c r="U174" i="24"/>
  <c r="T174" i="24" s="1"/>
  <c r="S174" i="24" s="1"/>
  <c r="R174" i="24" s="1"/>
  <c r="P174" i="24" s="1"/>
  <c r="V174" i="24" s="1"/>
  <c r="U190" i="24"/>
  <c r="T190" i="24" s="1"/>
  <c r="S190" i="24" s="1"/>
  <c r="R190" i="24" s="1"/>
  <c r="P190" i="24" s="1"/>
  <c r="V190" i="24" s="1"/>
  <c r="U206" i="24"/>
  <c r="T206" i="24" s="1"/>
  <c r="S206" i="24" s="1"/>
  <c r="R206" i="24" s="1"/>
  <c r="P206" i="24" s="1"/>
  <c r="V206" i="24" s="1"/>
  <c r="U222" i="24"/>
  <c r="T222" i="24" s="1"/>
  <c r="S222" i="24" s="1"/>
  <c r="R222" i="24" s="1"/>
  <c r="P222" i="24" s="1"/>
  <c r="V222" i="24" s="1"/>
  <c r="U238" i="24"/>
  <c r="T238" i="24" s="1"/>
  <c r="S238" i="24" s="1"/>
  <c r="R238" i="24" s="1"/>
  <c r="P238" i="24" s="1"/>
  <c r="V238" i="24" s="1"/>
  <c r="U254" i="24"/>
  <c r="T254" i="24" s="1"/>
  <c r="S254" i="24" s="1"/>
  <c r="R254" i="24" s="1"/>
  <c r="P254" i="24" s="1"/>
  <c r="V254" i="24" s="1"/>
  <c r="U270" i="24"/>
  <c r="T270" i="24" s="1"/>
  <c r="S270" i="24" s="1"/>
  <c r="R270" i="24" s="1"/>
  <c r="P270" i="24" s="1"/>
  <c r="V270" i="24" s="1"/>
  <c r="U286" i="24"/>
  <c r="T286" i="24" s="1"/>
  <c r="S286" i="24" s="1"/>
  <c r="R286" i="24" s="1"/>
  <c r="P286" i="24" s="1"/>
  <c r="V286" i="24" s="1"/>
  <c r="U302" i="24"/>
  <c r="T302" i="24" s="1"/>
  <c r="S302" i="24" s="1"/>
  <c r="R302" i="24" s="1"/>
  <c r="P302" i="24" s="1"/>
  <c r="AH65" i="7" s="1"/>
  <c r="U318" i="24"/>
  <c r="T318" i="24" s="1"/>
  <c r="S318" i="24" s="1"/>
  <c r="R318" i="24" s="1"/>
  <c r="P318" i="24" s="1"/>
  <c r="V318" i="24" s="1"/>
  <c r="U334" i="24"/>
  <c r="T334" i="24" s="1"/>
  <c r="S334" i="24" s="1"/>
  <c r="R334" i="24" s="1"/>
  <c r="P334" i="24" s="1"/>
  <c r="V334" i="24" s="1"/>
  <c r="U350" i="24"/>
  <c r="T350" i="24" s="1"/>
  <c r="S350" i="24" s="1"/>
  <c r="R350" i="24" s="1"/>
  <c r="P350" i="24" s="1"/>
  <c r="V350" i="24" s="1"/>
  <c r="U366" i="24"/>
  <c r="T366" i="24" s="1"/>
  <c r="S366" i="24" s="1"/>
  <c r="R366" i="24" s="1"/>
  <c r="P366" i="24" s="1"/>
  <c r="V366" i="24" s="1"/>
  <c r="Q381" i="25"/>
  <c r="Q383" i="25"/>
  <c r="Q382" i="25"/>
  <c r="AE381" i="25"/>
  <c r="AE382" i="25"/>
  <c r="AE383" i="25"/>
  <c r="P15" i="23"/>
  <c r="V302" i="24"/>
  <c r="BA16" i="7" l="1"/>
  <c r="AI83" i="24"/>
  <c r="AH83" i="24" s="1"/>
  <c r="AG83" i="24" s="1"/>
  <c r="AF83" i="24" s="1"/>
  <c r="AD83" i="24" s="1"/>
  <c r="U360" i="24"/>
  <c r="T360" i="24" s="1"/>
  <c r="S360" i="24" s="1"/>
  <c r="R360" i="24" s="1"/>
  <c r="P360" i="24" s="1"/>
  <c r="V360" i="24" s="1"/>
  <c r="U328" i="24"/>
  <c r="T328" i="24" s="1"/>
  <c r="S328" i="24" s="1"/>
  <c r="R328" i="24" s="1"/>
  <c r="P328" i="24" s="1"/>
  <c r="V328" i="24" s="1"/>
  <c r="U296" i="24"/>
  <c r="T296" i="24" s="1"/>
  <c r="S296" i="24" s="1"/>
  <c r="R296" i="24" s="1"/>
  <c r="P296" i="24" s="1"/>
  <c r="V296" i="24" s="1"/>
  <c r="U264" i="24"/>
  <c r="T264" i="24" s="1"/>
  <c r="S264" i="24" s="1"/>
  <c r="R264" i="24" s="1"/>
  <c r="P264" i="24" s="1"/>
  <c r="V264" i="24" s="1"/>
  <c r="U232" i="24"/>
  <c r="T232" i="24" s="1"/>
  <c r="S232" i="24" s="1"/>
  <c r="R232" i="24" s="1"/>
  <c r="P232" i="24" s="1"/>
  <c r="V232" i="24" s="1"/>
  <c r="U200" i="24"/>
  <c r="T200" i="24" s="1"/>
  <c r="S200" i="24" s="1"/>
  <c r="R200" i="24" s="1"/>
  <c r="P200" i="24" s="1"/>
  <c r="V200" i="24" s="1"/>
  <c r="U168" i="24"/>
  <c r="T168" i="24" s="1"/>
  <c r="S168" i="24" s="1"/>
  <c r="R168" i="24" s="1"/>
  <c r="P168" i="24" s="1"/>
  <c r="V168" i="24" s="1"/>
  <c r="U136" i="24"/>
  <c r="T136" i="24" s="1"/>
  <c r="S136" i="24" s="1"/>
  <c r="R136" i="24" s="1"/>
  <c r="P136" i="24" s="1"/>
  <c r="V136" i="24" s="1"/>
  <c r="U104" i="24"/>
  <c r="T104" i="24" s="1"/>
  <c r="S104" i="24" s="1"/>
  <c r="R104" i="24" s="1"/>
  <c r="P104" i="24" s="1"/>
  <c r="V104" i="24" s="1"/>
  <c r="U72" i="24"/>
  <c r="T72" i="24" s="1"/>
  <c r="S72" i="24" s="1"/>
  <c r="R72" i="24" s="1"/>
  <c r="P72" i="24" s="1"/>
  <c r="V72" i="24" s="1"/>
  <c r="U40" i="24"/>
  <c r="T40" i="24" s="1"/>
  <c r="S40" i="24" s="1"/>
  <c r="R40" i="24" s="1"/>
  <c r="P40" i="24" s="1"/>
  <c r="V40" i="24" s="1"/>
  <c r="AI375" i="24"/>
  <c r="AH375" i="24" s="1"/>
  <c r="AG375" i="24" s="1"/>
  <c r="AF375" i="24" s="1"/>
  <c r="AD375" i="24" s="1"/>
  <c r="AI319" i="24"/>
  <c r="AH319" i="24" s="1"/>
  <c r="AG319" i="24" s="1"/>
  <c r="AF319" i="24" s="1"/>
  <c r="AD319" i="24" s="1"/>
  <c r="AI255" i="24"/>
  <c r="AH255" i="24" s="1"/>
  <c r="AG255" i="24" s="1"/>
  <c r="AF255" i="24" s="1"/>
  <c r="AD255" i="24" s="1"/>
  <c r="AI191" i="24"/>
  <c r="AH191" i="24" s="1"/>
  <c r="AG191" i="24" s="1"/>
  <c r="AF191" i="24" s="1"/>
  <c r="AD191" i="24" s="1"/>
  <c r="AI127" i="24"/>
  <c r="AH127" i="24" s="1"/>
  <c r="AG127" i="24" s="1"/>
  <c r="AF127" i="24" s="1"/>
  <c r="AD127" i="24" s="1"/>
  <c r="AI63" i="24"/>
  <c r="AH63" i="24" s="1"/>
  <c r="AG63" i="24" s="1"/>
  <c r="AF63" i="24" s="1"/>
  <c r="AD63" i="24" s="1"/>
  <c r="AI28" i="24"/>
  <c r="AH28" i="24" s="1"/>
  <c r="AG28" i="24" s="1"/>
  <c r="AF28" i="24" s="1"/>
  <c r="AD28" i="24" s="1"/>
  <c r="AI50" i="24"/>
  <c r="AH50" i="24" s="1"/>
  <c r="AG50" i="24" s="1"/>
  <c r="AF50" i="24" s="1"/>
  <c r="AD50" i="24" s="1"/>
  <c r="AI66" i="24"/>
  <c r="AH66" i="24" s="1"/>
  <c r="AG66" i="24" s="1"/>
  <c r="AF66" i="24" s="1"/>
  <c r="AD66" i="24" s="1"/>
  <c r="AI82" i="24"/>
  <c r="AH82" i="24" s="1"/>
  <c r="AG82" i="24" s="1"/>
  <c r="AF82" i="24" s="1"/>
  <c r="AD82" i="24" s="1"/>
  <c r="AI98" i="24"/>
  <c r="AH98" i="24" s="1"/>
  <c r="AG98" i="24" s="1"/>
  <c r="AF98" i="24" s="1"/>
  <c r="AD98" i="24" s="1"/>
  <c r="AI114" i="24"/>
  <c r="AH114" i="24" s="1"/>
  <c r="AG114" i="24" s="1"/>
  <c r="AF114" i="24" s="1"/>
  <c r="AD114" i="24" s="1"/>
  <c r="AI130" i="24"/>
  <c r="AH130" i="24" s="1"/>
  <c r="AG130" i="24" s="1"/>
  <c r="AF130" i="24" s="1"/>
  <c r="AD130" i="24" s="1"/>
  <c r="AI146" i="24"/>
  <c r="AH146" i="24" s="1"/>
  <c r="AG146" i="24" s="1"/>
  <c r="AF146" i="24" s="1"/>
  <c r="AD146" i="24" s="1"/>
  <c r="AI162" i="24"/>
  <c r="AH162" i="24" s="1"/>
  <c r="AG162" i="24" s="1"/>
  <c r="AF162" i="24" s="1"/>
  <c r="AD162" i="24" s="1"/>
  <c r="AI178" i="24"/>
  <c r="AH178" i="24" s="1"/>
  <c r="AG178" i="24" s="1"/>
  <c r="AF178" i="24" s="1"/>
  <c r="AD178" i="24" s="1"/>
  <c r="AI194" i="24"/>
  <c r="AH194" i="24" s="1"/>
  <c r="AG194" i="24" s="1"/>
  <c r="AF194" i="24" s="1"/>
  <c r="AD194" i="24" s="1"/>
  <c r="AI210" i="24"/>
  <c r="AH210" i="24" s="1"/>
  <c r="AG210" i="24" s="1"/>
  <c r="AF210" i="24" s="1"/>
  <c r="AD210" i="24" s="1"/>
  <c r="AI226" i="24"/>
  <c r="AH226" i="24" s="1"/>
  <c r="AG226" i="24" s="1"/>
  <c r="AF226" i="24" s="1"/>
  <c r="AD226" i="24" s="1"/>
  <c r="AI242" i="24"/>
  <c r="AH242" i="24" s="1"/>
  <c r="AG242" i="24" s="1"/>
  <c r="AF242" i="24" s="1"/>
  <c r="AD242" i="24" s="1"/>
  <c r="AI258" i="24"/>
  <c r="AH258" i="24" s="1"/>
  <c r="AG258" i="24" s="1"/>
  <c r="AF258" i="24" s="1"/>
  <c r="AD258" i="24" s="1"/>
  <c r="AI274" i="24"/>
  <c r="AH274" i="24" s="1"/>
  <c r="AG274" i="24" s="1"/>
  <c r="AF274" i="24" s="1"/>
  <c r="AD274" i="24" s="1"/>
  <c r="AI290" i="24"/>
  <c r="AH290" i="24" s="1"/>
  <c r="AG290" i="24" s="1"/>
  <c r="AF290" i="24" s="1"/>
  <c r="AD290" i="24" s="1"/>
  <c r="AI306" i="24"/>
  <c r="AH306" i="24" s="1"/>
  <c r="AG306" i="24" s="1"/>
  <c r="AF306" i="24" s="1"/>
  <c r="AD306" i="24" s="1"/>
  <c r="AI322" i="24"/>
  <c r="AH322" i="24" s="1"/>
  <c r="AG322" i="24" s="1"/>
  <c r="AF322" i="24" s="1"/>
  <c r="AD322" i="24" s="1"/>
  <c r="AI338" i="24"/>
  <c r="AH338" i="24" s="1"/>
  <c r="AG338" i="24" s="1"/>
  <c r="AF338" i="24" s="1"/>
  <c r="AD338" i="24" s="1"/>
  <c r="AI354" i="24"/>
  <c r="AH354" i="24" s="1"/>
  <c r="AG354" i="24" s="1"/>
  <c r="AF354" i="24" s="1"/>
  <c r="AD354" i="24" s="1"/>
  <c r="U377" i="24"/>
  <c r="T377" i="24" s="1"/>
  <c r="S377" i="24" s="1"/>
  <c r="R377" i="24" s="1"/>
  <c r="P377" i="24" s="1"/>
  <c r="V377" i="24" s="1"/>
  <c r="U361" i="24"/>
  <c r="T361" i="24" s="1"/>
  <c r="S361" i="24" s="1"/>
  <c r="R361" i="24" s="1"/>
  <c r="P361" i="24" s="1"/>
  <c r="V361" i="24" s="1"/>
  <c r="U345" i="24"/>
  <c r="T345" i="24" s="1"/>
  <c r="S345" i="24" s="1"/>
  <c r="R345" i="24" s="1"/>
  <c r="P345" i="24" s="1"/>
  <c r="V345" i="24" s="1"/>
  <c r="U329" i="24"/>
  <c r="T329" i="24" s="1"/>
  <c r="S329" i="24" s="1"/>
  <c r="R329" i="24" s="1"/>
  <c r="P329" i="24" s="1"/>
  <c r="V329" i="24" s="1"/>
  <c r="U313" i="24"/>
  <c r="T313" i="24" s="1"/>
  <c r="S313" i="24" s="1"/>
  <c r="R313" i="24" s="1"/>
  <c r="P313" i="24" s="1"/>
  <c r="V313" i="24" s="1"/>
  <c r="U297" i="24"/>
  <c r="T297" i="24" s="1"/>
  <c r="S297" i="24" s="1"/>
  <c r="R297" i="24" s="1"/>
  <c r="P297" i="24" s="1"/>
  <c r="V297" i="24" s="1"/>
  <c r="U281" i="24"/>
  <c r="T281" i="24" s="1"/>
  <c r="S281" i="24" s="1"/>
  <c r="R281" i="24" s="1"/>
  <c r="P281" i="24" s="1"/>
  <c r="V281" i="24" s="1"/>
  <c r="U265" i="24"/>
  <c r="T265" i="24" s="1"/>
  <c r="S265" i="24" s="1"/>
  <c r="R265" i="24" s="1"/>
  <c r="P265" i="24" s="1"/>
  <c r="V265" i="24" s="1"/>
  <c r="U249" i="24"/>
  <c r="T249" i="24" s="1"/>
  <c r="S249" i="24" s="1"/>
  <c r="R249" i="24" s="1"/>
  <c r="P249" i="24" s="1"/>
  <c r="V249" i="24" s="1"/>
  <c r="U233" i="24"/>
  <c r="T233" i="24" s="1"/>
  <c r="S233" i="24" s="1"/>
  <c r="R233" i="24" s="1"/>
  <c r="P233" i="24" s="1"/>
  <c r="V233" i="24" s="1"/>
  <c r="U217" i="24"/>
  <c r="T217" i="24" s="1"/>
  <c r="S217" i="24" s="1"/>
  <c r="R217" i="24" s="1"/>
  <c r="P217" i="24" s="1"/>
  <c r="V217" i="24" s="1"/>
  <c r="U201" i="24"/>
  <c r="T201" i="24" s="1"/>
  <c r="S201" i="24" s="1"/>
  <c r="R201" i="24" s="1"/>
  <c r="P201" i="24" s="1"/>
  <c r="V201" i="24" s="1"/>
  <c r="U185" i="24"/>
  <c r="T185" i="24" s="1"/>
  <c r="S185" i="24" s="1"/>
  <c r="R185" i="24" s="1"/>
  <c r="P185" i="24" s="1"/>
  <c r="V185" i="24" s="1"/>
  <c r="U169" i="24"/>
  <c r="T169" i="24" s="1"/>
  <c r="S169" i="24" s="1"/>
  <c r="R169" i="24" s="1"/>
  <c r="P169" i="24" s="1"/>
  <c r="V169" i="24" s="1"/>
  <c r="U153" i="24"/>
  <c r="T153" i="24" s="1"/>
  <c r="S153" i="24" s="1"/>
  <c r="R153" i="24" s="1"/>
  <c r="P153" i="24" s="1"/>
  <c r="V153" i="24" s="1"/>
  <c r="U137" i="24"/>
  <c r="T137" i="24" s="1"/>
  <c r="S137" i="24" s="1"/>
  <c r="R137" i="24" s="1"/>
  <c r="P137" i="24" s="1"/>
  <c r="V137" i="24" s="1"/>
  <c r="U121" i="24"/>
  <c r="T121" i="24" s="1"/>
  <c r="S121" i="24" s="1"/>
  <c r="R121" i="24" s="1"/>
  <c r="P121" i="24" s="1"/>
  <c r="V121" i="24" s="1"/>
  <c r="U105" i="24"/>
  <c r="T105" i="24" s="1"/>
  <c r="S105" i="24" s="1"/>
  <c r="R105" i="24" s="1"/>
  <c r="P105" i="24" s="1"/>
  <c r="V105" i="24" s="1"/>
  <c r="U89" i="24"/>
  <c r="T89" i="24" s="1"/>
  <c r="S89" i="24" s="1"/>
  <c r="R89" i="24" s="1"/>
  <c r="P89" i="24" s="1"/>
  <c r="V89" i="24" s="1"/>
  <c r="U73" i="24"/>
  <c r="T73" i="24" s="1"/>
  <c r="S73" i="24" s="1"/>
  <c r="R73" i="24" s="1"/>
  <c r="P73" i="24" s="1"/>
  <c r="V73" i="24" s="1"/>
  <c r="U57" i="24"/>
  <c r="T57" i="24" s="1"/>
  <c r="S57" i="24" s="1"/>
  <c r="R57" i="24" s="1"/>
  <c r="P57" i="24" s="1"/>
  <c r="V57" i="24" s="1"/>
  <c r="U41" i="24"/>
  <c r="T41" i="24" s="1"/>
  <c r="S41" i="24" s="1"/>
  <c r="R41" i="24" s="1"/>
  <c r="P41" i="24" s="1"/>
  <c r="V41" i="24" s="1"/>
  <c r="U21" i="24"/>
  <c r="T21" i="24" s="1"/>
  <c r="S21" i="24" s="1"/>
  <c r="R21" i="24" s="1"/>
  <c r="P21" i="24" s="1"/>
  <c r="V21" i="24" s="1"/>
  <c r="AI372" i="24"/>
  <c r="AH372" i="24" s="1"/>
  <c r="AG372" i="24" s="1"/>
  <c r="AF372" i="24" s="1"/>
  <c r="AD372" i="24" s="1"/>
  <c r="AI345" i="24"/>
  <c r="AH345" i="24" s="1"/>
  <c r="AG345" i="24" s="1"/>
  <c r="AF345" i="24" s="1"/>
  <c r="AD345" i="24" s="1"/>
  <c r="AI313" i="24"/>
  <c r="AH313" i="24" s="1"/>
  <c r="AG313" i="24" s="1"/>
  <c r="AF313" i="24" s="1"/>
  <c r="AD313" i="24" s="1"/>
  <c r="AI281" i="24"/>
  <c r="AH281" i="24" s="1"/>
  <c r="AG281" i="24" s="1"/>
  <c r="AF281" i="24" s="1"/>
  <c r="AD281" i="24" s="1"/>
  <c r="AI249" i="24"/>
  <c r="AH249" i="24" s="1"/>
  <c r="AG249" i="24" s="1"/>
  <c r="AF249" i="24" s="1"/>
  <c r="AD249" i="24" s="1"/>
  <c r="AI217" i="24"/>
  <c r="AH217" i="24" s="1"/>
  <c r="AG217" i="24" s="1"/>
  <c r="AF217" i="24" s="1"/>
  <c r="AD217" i="24" s="1"/>
  <c r="AI185" i="24"/>
  <c r="AH185" i="24" s="1"/>
  <c r="AG185" i="24" s="1"/>
  <c r="AF185" i="24" s="1"/>
  <c r="AD185" i="24" s="1"/>
  <c r="AI153" i="24"/>
  <c r="AH153" i="24" s="1"/>
  <c r="AG153" i="24" s="1"/>
  <c r="AF153" i="24" s="1"/>
  <c r="AD153" i="24" s="1"/>
  <c r="AI121" i="24"/>
  <c r="AH121" i="24" s="1"/>
  <c r="AG121" i="24" s="1"/>
  <c r="AF121" i="24" s="1"/>
  <c r="AD121" i="24" s="1"/>
  <c r="AI89" i="24"/>
  <c r="AH89" i="24" s="1"/>
  <c r="AG89" i="24" s="1"/>
  <c r="AF89" i="24" s="1"/>
  <c r="AD89" i="24" s="1"/>
  <c r="AI57" i="24"/>
  <c r="AH57" i="24" s="1"/>
  <c r="AG57" i="24" s="1"/>
  <c r="AF57" i="24" s="1"/>
  <c r="AD57" i="24" s="1"/>
  <c r="AI39" i="24"/>
  <c r="AH39" i="24" s="1"/>
  <c r="AG39" i="24" s="1"/>
  <c r="AF39" i="24" s="1"/>
  <c r="AD39" i="24" s="1"/>
  <c r="AI17" i="24"/>
  <c r="AH17" i="24" s="1"/>
  <c r="AG17" i="24" s="1"/>
  <c r="AF17" i="24" s="1"/>
  <c r="AD17" i="24" s="1"/>
  <c r="U376" i="24"/>
  <c r="T376" i="24" s="1"/>
  <c r="S376" i="24" s="1"/>
  <c r="R376" i="24" s="1"/>
  <c r="P376" i="24" s="1"/>
  <c r="V376" i="24" s="1"/>
  <c r="AI31" i="24"/>
  <c r="AH31" i="24" s="1"/>
  <c r="AG31" i="24" s="1"/>
  <c r="AF31" i="24" s="1"/>
  <c r="AD31" i="24" s="1"/>
  <c r="AI73" i="24"/>
  <c r="AH73" i="24" s="1"/>
  <c r="AG73" i="24" s="1"/>
  <c r="AF73" i="24" s="1"/>
  <c r="AD73" i="24" s="1"/>
  <c r="AI137" i="24"/>
  <c r="AH137" i="24" s="1"/>
  <c r="AG137" i="24" s="1"/>
  <c r="AF137" i="24" s="1"/>
  <c r="AD137" i="24" s="1"/>
  <c r="AI201" i="24"/>
  <c r="AH201" i="24" s="1"/>
  <c r="AG201" i="24" s="1"/>
  <c r="AF201" i="24" s="1"/>
  <c r="AD201" i="24" s="1"/>
  <c r="AI265" i="24"/>
  <c r="AH265" i="24" s="1"/>
  <c r="AG265" i="24" s="1"/>
  <c r="AF265" i="24" s="1"/>
  <c r="AD265" i="24" s="1"/>
  <c r="AI329" i="24"/>
  <c r="AH329" i="24" s="1"/>
  <c r="AG329" i="24" s="1"/>
  <c r="AF329" i="24" s="1"/>
  <c r="AD329" i="24" s="1"/>
  <c r="U24" i="24"/>
  <c r="T24" i="24" s="1"/>
  <c r="S24" i="24" s="1"/>
  <c r="R24" i="24" s="1"/>
  <c r="P24" i="24" s="1"/>
  <c r="V24" i="24" s="1"/>
  <c r="U49" i="24"/>
  <c r="T49" i="24" s="1"/>
  <c r="S49" i="24" s="1"/>
  <c r="R49" i="24" s="1"/>
  <c r="P49" i="24" s="1"/>
  <c r="V49" i="24" s="1"/>
  <c r="U81" i="24"/>
  <c r="T81" i="24" s="1"/>
  <c r="S81" i="24" s="1"/>
  <c r="R81" i="24" s="1"/>
  <c r="P81" i="24" s="1"/>
  <c r="V81" i="24" s="1"/>
  <c r="U113" i="24"/>
  <c r="T113" i="24" s="1"/>
  <c r="S113" i="24" s="1"/>
  <c r="R113" i="24" s="1"/>
  <c r="P113" i="24" s="1"/>
  <c r="V113" i="24" s="1"/>
  <c r="U145" i="24"/>
  <c r="T145" i="24" s="1"/>
  <c r="S145" i="24" s="1"/>
  <c r="R145" i="24" s="1"/>
  <c r="P145" i="24" s="1"/>
  <c r="V145" i="24" s="1"/>
  <c r="U177" i="24"/>
  <c r="T177" i="24" s="1"/>
  <c r="S177" i="24" s="1"/>
  <c r="R177" i="24" s="1"/>
  <c r="P177" i="24" s="1"/>
  <c r="V177" i="24" s="1"/>
  <c r="U209" i="24"/>
  <c r="T209" i="24" s="1"/>
  <c r="S209" i="24" s="1"/>
  <c r="R209" i="24" s="1"/>
  <c r="P209" i="24" s="1"/>
  <c r="V209" i="24" s="1"/>
  <c r="U241" i="24"/>
  <c r="T241" i="24" s="1"/>
  <c r="S241" i="24" s="1"/>
  <c r="R241" i="24" s="1"/>
  <c r="P241" i="24" s="1"/>
  <c r="U273" i="24"/>
  <c r="T273" i="24" s="1"/>
  <c r="S273" i="24" s="1"/>
  <c r="R273" i="24" s="1"/>
  <c r="P273" i="24" s="1"/>
  <c r="V273" i="24" s="1"/>
  <c r="U305" i="24"/>
  <c r="T305" i="24" s="1"/>
  <c r="S305" i="24" s="1"/>
  <c r="R305" i="24" s="1"/>
  <c r="P305" i="24" s="1"/>
  <c r="V305" i="24" s="1"/>
  <c r="U337" i="24"/>
  <c r="T337" i="24" s="1"/>
  <c r="S337" i="24" s="1"/>
  <c r="R337" i="24" s="1"/>
  <c r="P337" i="24" s="1"/>
  <c r="V337" i="24" s="1"/>
  <c r="U369" i="24"/>
  <c r="T369" i="24" s="1"/>
  <c r="S369" i="24" s="1"/>
  <c r="R369" i="24" s="1"/>
  <c r="P369" i="24" s="1"/>
  <c r="V369" i="24" s="1"/>
  <c r="AI346" i="24"/>
  <c r="AH346" i="24" s="1"/>
  <c r="AG346" i="24" s="1"/>
  <c r="AF346" i="24" s="1"/>
  <c r="AD346" i="24" s="1"/>
  <c r="AI314" i="24"/>
  <c r="AH314" i="24" s="1"/>
  <c r="AG314" i="24" s="1"/>
  <c r="AF314" i="24" s="1"/>
  <c r="AD314" i="24" s="1"/>
  <c r="AI282" i="24"/>
  <c r="AH282" i="24" s="1"/>
  <c r="AG282" i="24" s="1"/>
  <c r="AF282" i="24" s="1"/>
  <c r="AD282" i="24" s="1"/>
  <c r="AI250" i="24"/>
  <c r="AH250" i="24" s="1"/>
  <c r="AG250" i="24" s="1"/>
  <c r="AF250" i="24" s="1"/>
  <c r="AD250" i="24" s="1"/>
  <c r="AI218" i="24"/>
  <c r="AH218" i="24" s="1"/>
  <c r="AG218" i="24" s="1"/>
  <c r="AF218" i="24" s="1"/>
  <c r="AD218" i="24" s="1"/>
  <c r="AI186" i="24"/>
  <c r="AH186" i="24" s="1"/>
  <c r="AG186" i="24" s="1"/>
  <c r="AF186" i="24" s="1"/>
  <c r="AD186" i="24" s="1"/>
  <c r="AI154" i="24"/>
  <c r="AH154" i="24" s="1"/>
  <c r="AG154" i="24" s="1"/>
  <c r="AF154" i="24" s="1"/>
  <c r="AD154" i="24" s="1"/>
  <c r="AI122" i="24"/>
  <c r="AH122" i="24" s="1"/>
  <c r="AG122" i="24" s="1"/>
  <c r="AF122" i="24" s="1"/>
  <c r="AD122" i="24" s="1"/>
  <c r="AI90" i="24"/>
  <c r="AH90" i="24" s="1"/>
  <c r="AG90" i="24" s="1"/>
  <c r="AF90" i="24" s="1"/>
  <c r="AD90" i="24" s="1"/>
  <c r="AI58" i="24"/>
  <c r="AH58" i="24" s="1"/>
  <c r="AG58" i="24" s="1"/>
  <c r="AF58" i="24" s="1"/>
  <c r="AD58" i="24" s="1"/>
  <c r="AI95" i="24"/>
  <c r="AH95" i="24" s="1"/>
  <c r="AG95" i="24" s="1"/>
  <c r="AF95" i="24" s="1"/>
  <c r="AD95" i="24" s="1"/>
  <c r="AI223" i="24"/>
  <c r="AH223" i="24" s="1"/>
  <c r="AG223" i="24" s="1"/>
  <c r="AF223" i="24" s="1"/>
  <c r="AD223" i="24" s="1"/>
  <c r="U25" i="24"/>
  <c r="T25" i="24" s="1"/>
  <c r="S25" i="24" s="1"/>
  <c r="R25" i="24" s="1"/>
  <c r="P25" i="24" s="1"/>
  <c r="V25" i="24" s="1"/>
  <c r="U88" i="24"/>
  <c r="T88" i="24" s="1"/>
  <c r="S88" i="24" s="1"/>
  <c r="R88" i="24" s="1"/>
  <c r="P88" i="24" s="1"/>
  <c r="U152" i="24"/>
  <c r="T152" i="24" s="1"/>
  <c r="S152" i="24" s="1"/>
  <c r="R152" i="24" s="1"/>
  <c r="P152" i="24" s="1"/>
  <c r="V152" i="24" s="1"/>
  <c r="U216" i="24"/>
  <c r="T216" i="24" s="1"/>
  <c r="S216" i="24" s="1"/>
  <c r="R216" i="24" s="1"/>
  <c r="P216" i="24" s="1"/>
  <c r="V216" i="24" s="1"/>
  <c r="U280" i="24"/>
  <c r="T280" i="24" s="1"/>
  <c r="S280" i="24" s="1"/>
  <c r="R280" i="24" s="1"/>
  <c r="P280" i="24" s="1"/>
  <c r="V280" i="24" s="1"/>
  <c r="U344" i="24"/>
  <c r="T344" i="24" s="1"/>
  <c r="S344" i="24" s="1"/>
  <c r="R344" i="24" s="1"/>
  <c r="P344" i="24" s="1"/>
  <c r="V344" i="24" s="1"/>
  <c r="AI99" i="24"/>
  <c r="AH99" i="24" s="1"/>
  <c r="AG99" i="24" s="1"/>
  <c r="AF99" i="24" s="1"/>
  <c r="AD99" i="24" s="1"/>
  <c r="AI43" i="24"/>
  <c r="AH43" i="24" s="1"/>
  <c r="AG43" i="24" s="1"/>
  <c r="AF43" i="24" s="1"/>
  <c r="AD43" i="24" s="1"/>
  <c r="U364" i="24"/>
  <c r="T364" i="24" s="1"/>
  <c r="S364" i="24" s="1"/>
  <c r="R364" i="24" s="1"/>
  <c r="P364" i="24" s="1"/>
  <c r="V364" i="24" s="1"/>
  <c r="U348" i="24"/>
  <c r="T348" i="24" s="1"/>
  <c r="S348" i="24" s="1"/>
  <c r="R348" i="24" s="1"/>
  <c r="P348" i="24" s="1"/>
  <c r="V348" i="24" s="1"/>
  <c r="U332" i="24"/>
  <c r="T332" i="24" s="1"/>
  <c r="S332" i="24" s="1"/>
  <c r="R332" i="24" s="1"/>
  <c r="P332" i="24" s="1"/>
  <c r="V332" i="24" s="1"/>
  <c r="U316" i="24"/>
  <c r="T316" i="24" s="1"/>
  <c r="S316" i="24" s="1"/>
  <c r="R316" i="24" s="1"/>
  <c r="P316" i="24" s="1"/>
  <c r="V316" i="24" s="1"/>
  <c r="U300" i="24"/>
  <c r="T300" i="24" s="1"/>
  <c r="S300" i="24" s="1"/>
  <c r="R300" i="24" s="1"/>
  <c r="P300" i="24" s="1"/>
  <c r="V300" i="24" s="1"/>
  <c r="U284" i="24"/>
  <c r="T284" i="24" s="1"/>
  <c r="S284" i="24" s="1"/>
  <c r="R284" i="24" s="1"/>
  <c r="P284" i="24" s="1"/>
  <c r="V284" i="24" s="1"/>
  <c r="U268" i="24"/>
  <c r="T268" i="24" s="1"/>
  <c r="S268" i="24" s="1"/>
  <c r="R268" i="24" s="1"/>
  <c r="P268" i="24" s="1"/>
  <c r="V268" i="24" s="1"/>
  <c r="U252" i="24"/>
  <c r="T252" i="24" s="1"/>
  <c r="S252" i="24" s="1"/>
  <c r="R252" i="24" s="1"/>
  <c r="P252" i="24" s="1"/>
  <c r="V252" i="24" s="1"/>
  <c r="U236" i="24"/>
  <c r="T236" i="24" s="1"/>
  <c r="S236" i="24" s="1"/>
  <c r="R236" i="24" s="1"/>
  <c r="P236" i="24" s="1"/>
  <c r="V236" i="24" s="1"/>
  <c r="U220" i="24"/>
  <c r="T220" i="24" s="1"/>
  <c r="S220" i="24" s="1"/>
  <c r="R220" i="24" s="1"/>
  <c r="P220" i="24" s="1"/>
  <c r="V220" i="24" s="1"/>
  <c r="U204" i="24"/>
  <c r="T204" i="24" s="1"/>
  <c r="S204" i="24" s="1"/>
  <c r="R204" i="24" s="1"/>
  <c r="P204" i="24" s="1"/>
  <c r="V204" i="24" s="1"/>
  <c r="U188" i="24"/>
  <c r="T188" i="24" s="1"/>
  <c r="S188" i="24" s="1"/>
  <c r="R188" i="24" s="1"/>
  <c r="P188" i="24" s="1"/>
  <c r="V188" i="24" s="1"/>
  <c r="U172" i="24"/>
  <c r="T172" i="24" s="1"/>
  <c r="S172" i="24" s="1"/>
  <c r="R172" i="24" s="1"/>
  <c r="P172" i="24" s="1"/>
  <c r="V172" i="24" s="1"/>
  <c r="U156" i="24"/>
  <c r="T156" i="24" s="1"/>
  <c r="S156" i="24" s="1"/>
  <c r="R156" i="24" s="1"/>
  <c r="P156" i="24" s="1"/>
  <c r="V156" i="24" s="1"/>
  <c r="U140" i="24"/>
  <c r="T140" i="24" s="1"/>
  <c r="S140" i="24" s="1"/>
  <c r="R140" i="24" s="1"/>
  <c r="P140" i="24" s="1"/>
  <c r="V140" i="24" s="1"/>
  <c r="U124" i="24"/>
  <c r="T124" i="24" s="1"/>
  <c r="S124" i="24" s="1"/>
  <c r="R124" i="24" s="1"/>
  <c r="P124" i="24" s="1"/>
  <c r="V124" i="24" s="1"/>
  <c r="U108" i="24"/>
  <c r="T108" i="24" s="1"/>
  <c r="S108" i="24" s="1"/>
  <c r="R108" i="24" s="1"/>
  <c r="P108" i="24" s="1"/>
  <c r="V108" i="24" s="1"/>
  <c r="U92" i="24"/>
  <c r="T92" i="24" s="1"/>
  <c r="S92" i="24" s="1"/>
  <c r="R92" i="24" s="1"/>
  <c r="P92" i="24" s="1"/>
  <c r="V92" i="24" s="1"/>
  <c r="U76" i="24"/>
  <c r="T76" i="24" s="1"/>
  <c r="S76" i="24" s="1"/>
  <c r="R76" i="24" s="1"/>
  <c r="P76" i="24" s="1"/>
  <c r="V76" i="24" s="1"/>
  <c r="U60" i="24"/>
  <c r="T60" i="24" s="1"/>
  <c r="S60" i="24" s="1"/>
  <c r="R60" i="24" s="1"/>
  <c r="P60" i="24" s="1"/>
  <c r="U44" i="24"/>
  <c r="T44" i="24" s="1"/>
  <c r="S44" i="24" s="1"/>
  <c r="R44" i="24" s="1"/>
  <c r="P44" i="24" s="1"/>
  <c r="V44" i="24" s="1"/>
  <c r="U28" i="24"/>
  <c r="T28" i="24" s="1"/>
  <c r="S28" i="24" s="1"/>
  <c r="R28" i="24" s="1"/>
  <c r="P28" i="24" s="1"/>
  <c r="V28" i="24" s="1"/>
  <c r="AI379" i="24"/>
  <c r="AI12" i="25" s="1"/>
  <c r="AI359" i="24"/>
  <c r="AH359" i="24" s="1"/>
  <c r="AG359" i="24" s="1"/>
  <c r="AF359" i="24" s="1"/>
  <c r="AD359" i="24" s="1"/>
  <c r="AI327" i="24"/>
  <c r="AH327" i="24" s="1"/>
  <c r="AG327" i="24" s="1"/>
  <c r="AF327" i="24" s="1"/>
  <c r="AD327" i="24" s="1"/>
  <c r="AI295" i="24"/>
  <c r="AH295" i="24" s="1"/>
  <c r="AG295" i="24" s="1"/>
  <c r="AF295" i="24" s="1"/>
  <c r="AD295" i="24" s="1"/>
  <c r="AI263" i="24"/>
  <c r="AH263" i="24" s="1"/>
  <c r="AG263" i="24" s="1"/>
  <c r="AF263" i="24" s="1"/>
  <c r="AD263" i="24" s="1"/>
  <c r="AI231" i="24"/>
  <c r="AH231" i="24" s="1"/>
  <c r="AG231" i="24" s="1"/>
  <c r="AF231" i="24" s="1"/>
  <c r="AD231" i="24" s="1"/>
  <c r="AI199" i="24"/>
  <c r="AH199" i="24" s="1"/>
  <c r="AG199" i="24" s="1"/>
  <c r="AF199" i="24" s="1"/>
  <c r="AD199" i="24" s="1"/>
  <c r="AI167" i="24"/>
  <c r="AH167" i="24" s="1"/>
  <c r="AG167" i="24" s="1"/>
  <c r="AF167" i="24" s="1"/>
  <c r="AD167" i="24" s="1"/>
  <c r="AI135" i="24"/>
  <c r="AH135" i="24" s="1"/>
  <c r="AG135" i="24" s="1"/>
  <c r="AF135" i="24" s="1"/>
  <c r="AD135" i="24" s="1"/>
  <c r="AI103" i="24"/>
  <c r="AH103" i="24" s="1"/>
  <c r="AG103" i="24" s="1"/>
  <c r="AF103" i="24" s="1"/>
  <c r="AD103" i="24" s="1"/>
  <c r="AI71" i="24"/>
  <c r="AH71" i="24" s="1"/>
  <c r="AG71" i="24" s="1"/>
  <c r="AF71" i="24" s="1"/>
  <c r="AD71" i="24" s="1"/>
  <c r="AI38" i="24"/>
  <c r="AH38" i="24" s="1"/>
  <c r="AG38" i="24" s="1"/>
  <c r="AF38" i="24" s="1"/>
  <c r="AD38" i="24" s="1"/>
  <c r="AI24" i="24"/>
  <c r="AH24" i="24" s="1"/>
  <c r="AG24" i="24" s="1"/>
  <c r="AF24" i="24" s="1"/>
  <c r="AD24" i="24" s="1"/>
  <c r="AI40" i="24"/>
  <c r="AH40" i="24" s="1"/>
  <c r="AG40" i="24" s="1"/>
  <c r="AF40" i="24" s="1"/>
  <c r="AD40" i="24" s="1"/>
  <c r="AI48" i="24"/>
  <c r="AH48" i="24" s="1"/>
  <c r="AG48" i="24" s="1"/>
  <c r="AF48" i="24" s="1"/>
  <c r="AD48" i="24" s="1"/>
  <c r="AI56" i="24"/>
  <c r="AH56" i="24" s="1"/>
  <c r="AG56" i="24" s="1"/>
  <c r="AF56" i="24" s="1"/>
  <c r="AD56" i="24" s="1"/>
  <c r="AI64" i="24"/>
  <c r="AH64" i="24" s="1"/>
  <c r="AG64" i="24" s="1"/>
  <c r="AF64" i="24" s="1"/>
  <c r="AD64" i="24" s="1"/>
  <c r="AI72" i="24"/>
  <c r="AH72" i="24" s="1"/>
  <c r="AG72" i="24" s="1"/>
  <c r="AF72" i="24" s="1"/>
  <c r="AD72" i="24" s="1"/>
  <c r="AI80" i="24"/>
  <c r="AH80" i="24" s="1"/>
  <c r="AG80" i="24" s="1"/>
  <c r="AF80" i="24" s="1"/>
  <c r="AD80" i="24" s="1"/>
  <c r="AI88" i="24"/>
  <c r="AH88" i="24" s="1"/>
  <c r="AG88" i="24" s="1"/>
  <c r="AF88" i="24" s="1"/>
  <c r="AD88" i="24" s="1"/>
  <c r="AI96" i="24"/>
  <c r="AH96" i="24" s="1"/>
  <c r="AG96" i="24" s="1"/>
  <c r="AF96" i="24" s="1"/>
  <c r="AD96" i="24" s="1"/>
  <c r="AI104" i="24"/>
  <c r="AH104" i="24" s="1"/>
  <c r="AG104" i="24" s="1"/>
  <c r="AF104" i="24" s="1"/>
  <c r="AD104" i="24" s="1"/>
  <c r="AI112" i="24"/>
  <c r="AH112" i="24" s="1"/>
  <c r="AG112" i="24" s="1"/>
  <c r="AF112" i="24" s="1"/>
  <c r="AD112" i="24" s="1"/>
  <c r="AI120" i="24"/>
  <c r="AH120" i="24" s="1"/>
  <c r="AG120" i="24" s="1"/>
  <c r="AF120" i="24" s="1"/>
  <c r="AD120" i="24" s="1"/>
  <c r="AI128" i="24"/>
  <c r="AH128" i="24" s="1"/>
  <c r="AG128" i="24" s="1"/>
  <c r="AF128" i="24" s="1"/>
  <c r="AD128" i="24" s="1"/>
  <c r="AI136" i="24"/>
  <c r="AH136" i="24" s="1"/>
  <c r="AG136" i="24" s="1"/>
  <c r="AF136" i="24" s="1"/>
  <c r="AD136" i="24" s="1"/>
  <c r="AI144" i="24"/>
  <c r="AH144" i="24" s="1"/>
  <c r="AG144" i="24" s="1"/>
  <c r="AF144" i="24" s="1"/>
  <c r="AD144" i="24" s="1"/>
  <c r="AI152" i="24"/>
  <c r="AH152" i="24" s="1"/>
  <c r="AG152" i="24" s="1"/>
  <c r="AF152" i="24" s="1"/>
  <c r="AD152" i="24" s="1"/>
  <c r="AI160" i="24"/>
  <c r="AH160" i="24" s="1"/>
  <c r="AG160" i="24" s="1"/>
  <c r="AF160" i="24" s="1"/>
  <c r="AD160" i="24" s="1"/>
  <c r="AI168" i="24"/>
  <c r="AH168" i="24" s="1"/>
  <c r="AG168" i="24" s="1"/>
  <c r="AF168" i="24" s="1"/>
  <c r="AD168" i="24" s="1"/>
  <c r="AI176" i="24"/>
  <c r="AH176" i="24" s="1"/>
  <c r="AG176" i="24" s="1"/>
  <c r="AF176" i="24" s="1"/>
  <c r="AD176" i="24" s="1"/>
  <c r="AI184" i="24"/>
  <c r="AH184" i="24" s="1"/>
  <c r="AG184" i="24" s="1"/>
  <c r="AF184" i="24" s="1"/>
  <c r="AD184" i="24" s="1"/>
  <c r="AI192" i="24"/>
  <c r="AH192" i="24" s="1"/>
  <c r="AG192" i="24" s="1"/>
  <c r="AF192" i="24" s="1"/>
  <c r="AD192" i="24" s="1"/>
  <c r="AI200" i="24"/>
  <c r="AH200" i="24" s="1"/>
  <c r="AG200" i="24" s="1"/>
  <c r="AF200" i="24" s="1"/>
  <c r="AD200" i="24" s="1"/>
  <c r="AI208" i="24"/>
  <c r="AH208" i="24" s="1"/>
  <c r="AG208" i="24" s="1"/>
  <c r="AF208" i="24" s="1"/>
  <c r="AD208" i="24" s="1"/>
  <c r="AI216" i="24"/>
  <c r="AH216" i="24" s="1"/>
  <c r="AG216" i="24" s="1"/>
  <c r="AF216" i="24" s="1"/>
  <c r="AD216" i="24" s="1"/>
  <c r="AI224" i="24"/>
  <c r="AH224" i="24" s="1"/>
  <c r="AG224" i="24" s="1"/>
  <c r="AF224" i="24" s="1"/>
  <c r="AD224" i="24" s="1"/>
  <c r="AI232" i="24"/>
  <c r="AH232" i="24" s="1"/>
  <c r="AG232" i="24" s="1"/>
  <c r="AF232" i="24" s="1"/>
  <c r="AD232" i="24" s="1"/>
  <c r="AI240" i="24"/>
  <c r="AH240" i="24" s="1"/>
  <c r="AG240" i="24" s="1"/>
  <c r="AF240" i="24" s="1"/>
  <c r="AD240" i="24" s="1"/>
  <c r="AI248" i="24"/>
  <c r="AH248" i="24" s="1"/>
  <c r="AG248" i="24" s="1"/>
  <c r="AF248" i="24" s="1"/>
  <c r="AD248" i="24" s="1"/>
  <c r="AI256" i="24"/>
  <c r="AH256" i="24" s="1"/>
  <c r="AG256" i="24" s="1"/>
  <c r="AF256" i="24" s="1"/>
  <c r="AD256" i="24" s="1"/>
  <c r="AI264" i="24"/>
  <c r="AH264" i="24" s="1"/>
  <c r="AG264" i="24" s="1"/>
  <c r="AF264" i="24" s="1"/>
  <c r="AD264" i="24" s="1"/>
  <c r="AI272" i="24"/>
  <c r="AH272" i="24" s="1"/>
  <c r="AG272" i="24" s="1"/>
  <c r="AF272" i="24" s="1"/>
  <c r="AD272" i="24" s="1"/>
  <c r="AI280" i="24"/>
  <c r="AH280" i="24" s="1"/>
  <c r="AG280" i="24" s="1"/>
  <c r="AF280" i="24" s="1"/>
  <c r="AD280" i="24" s="1"/>
  <c r="AI288" i="24"/>
  <c r="AH288" i="24" s="1"/>
  <c r="AG288" i="24" s="1"/>
  <c r="AF288" i="24" s="1"/>
  <c r="AD288" i="24" s="1"/>
  <c r="AI296" i="24"/>
  <c r="AH296" i="24" s="1"/>
  <c r="AG296" i="24" s="1"/>
  <c r="AF296" i="24" s="1"/>
  <c r="AD296" i="24" s="1"/>
  <c r="AI304" i="24"/>
  <c r="AH304" i="24" s="1"/>
  <c r="AG304" i="24" s="1"/>
  <c r="AF304" i="24" s="1"/>
  <c r="AD304" i="24" s="1"/>
  <c r="AI312" i="24"/>
  <c r="AH312" i="24" s="1"/>
  <c r="AG312" i="24" s="1"/>
  <c r="AF312" i="24" s="1"/>
  <c r="AD312" i="24" s="1"/>
  <c r="AI320" i="24"/>
  <c r="AH320" i="24" s="1"/>
  <c r="AG320" i="24" s="1"/>
  <c r="AF320" i="24" s="1"/>
  <c r="AD320" i="24" s="1"/>
  <c r="AI328" i="24"/>
  <c r="AH328" i="24" s="1"/>
  <c r="AG328" i="24" s="1"/>
  <c r="AF328" i="24" s="1"/>
  <c r="AD328" i="24" s="1"/>
  <c r="AI336" i="24"/>
  <c r="AH336" i="24" s="1"/>
  <c r="AG336" i="24" s="1"/>
  <c r="AF336" i="24" s="1"/>
  <c r="AD336" i="24" s="1"/>
  <c r="AI344" i="24"/>
  <c r="AH344" i="24" s="1"/>
  <c r="AG344" i="24" s="1"/>
  <c r="AF344" i="24" s="1"/>
  <c r="AD344" i="24" s="1"/>
  <c r="AI352" i="24"/>
  <c r="AH352" i="24" s="1"/>
  <c r="AG352" i="24" s="1"/>
  <c r="AF352" i="24" s="1"/>
  <c r="AD352" i="24" s="1"/>
  <c r="AI360" i="24"/>
  <c r="AH360" i="24" s="1"/>
  <c r="AG360" i="24" s="1"/>
  <c r="AF360" i="24" s="1"/>
  <c r="AD360" i="24" s="1"/>
  <c r="U379" i="24"/>
  <c r="T379" i="24" s="1"/>
  <c r="S379" i="24" s="1"/>
  <c r="R379" i="24" s="1"/>
  <c r="P379" i="24" s="1"/>
  <c r="V379" i="24" s="1"/>
  <c r="U371" i="24"/>
  <c r="T371" i="24" s="1"/>
  <c r="S371" i="24" s="1"/>
  <c r="R371" i="24" s="1"/>
  <c r="P371" i="24" s="1"/>
  <c r="V371" i="24" s="1"/>
  <c r="U363" i="24"/>
  <c r="T363" i="24" s="1"/>
  <c r="S363" i="24" s="1"/>
  <c r="R363" i="24" s="1"/>
  <c r="P363" i="24" s="1"/>
  <c r="U355" i="24"/>
  <c r="T355" i="24" s="1"/>
  <c r="S355" i="24" s="1"/>
  <c r="R355" i="24" s="1"/>
  <c r="P355" i="24" s="1"/>
  <c r="V355" i="24" s="1"/>
  <c r="U347" i="24"/>
  <c r="T347" i="24" s="1"/>
  <c r="S347" i="24" s="1"/>
  <c r="R347" i="24" s="1"/>
  <c r="P347" i="24" s="1"/>
  <c r="V347" i="24" s="1"/>
  <c r="U339" i="24"/>
  <c r="T339" i="24" s="1"/>
  <c r="S339" i="24" s="1"/>
  <c r="R339" i="24" s="1"/>
  <c r="P339" i="24" s="1"/>
  <c r="V339" i="24" s="1"/>
  <c r="U331" i="24"/>
  <c r="T331" i="24" s="1"/>
  <c r="S331" i="24" s="1"/>
  <c r="R331" i="24" s="1"/>
  <c r="P331" i="24" s="1"/>
  <c r="V331" i="24" s="1"/>
  <c r="U323" i="24"/>
  <c r="T323" i="24" s="1"/>
  <c r="S323" i="24" s="1"/>
  <c r="R323" i="24" s="1"/>
  <c r="P323" i="24" s="1"/>
  <c r="V323" i="24" s="1"/>
  <c r="U315" i="24"/>
  <c r="T315" i="24" s="1"/>
  <c r="S315" i="24" s="1"/>
  <c r="R315" i="24" s="1"/>
  <c r="P315" i="24" s="1"/>
  <c r="V315" i="24" s="1"/>
  <c r="U307" i="24"/>
  <c r="T307" i="24" s="1"/>
  <c r="S307" i="24" s="1"/>
  <c r="R307" i="24" s="1"/>
  <c r="P307" i="24" s="1"/>
  <c r="V307" i="24" s="1"/>
  <c r="U299" i="24"/>
  <c r="T299" i="24" s="1"/>
  <c r="S299" i="24" s="1"/>
  <c r="R299" i="24" s="1"/>
  <c r="P299" i="24" s="1"/>
  <c r="V299" i="24" s="1"/>
  <c r="U291" i="24"/>
  <c r="T291" i="24" s="1"/>
  <c r="S291" i="24" s="1"/>
  <c r="R291" i="24" s="1"/>
  <c r="P291" i="24" s="1"/>
  <c r="V291" i="24" s="1"/>
  <c r="U283" i="24"/>
  <c r="T283" i="24" s="1"/>
  <c r="S283" i="24" s="1"/>
  <c r="R283" i="24" s="1"/>
  <c r="P283" i="24" s="1"/>
  <c r="V283" i="24" s="1"/>
  <c r="U275" i="24"/>
  <c r="T275" i="24" s="1"/>
  <c r="S275" i="24" s="1"/>
  <c r="R275" i="24" s="1"/>
  <c r="P275" i="24" s="1"/>
  <c r="V275" i="24" s="1"/>
  <c r="U267" i="24"/>
  <c r="T267" i="24" s="1"/>
  <c r="S267" i="24" s="1"/>
  <c r="R267" i="24" s="1"/>
  <c r="P267" i="24" s="1"/>
  <c r="V267" i="24" s="1"/>
  <c r="U259" i="24"/>
  <c r="T259" i="24" s="1"/>
  <c r="S259" i="24" s="1"/>
  <c r="R259" i="24" s="1"/>
  <c r="P259" i="24" s="1"/>
  <c r="V259" i="24" s="1"/>
  <c r="U251" i="24"/>
  <c r="T251" i="24" s="1"/>
  <c r="S251" i="24" s="1"/>
  <c r="R251" i="24" s="1"/>
  <c r="P251" i="24" s="1"/>
  <c r="V251" i="24" s="1"/>
  <c r="U243" i="24"/>
  <c r="T243" i="24" s="1"/>
  <c r="S243" i="24" s="1"/>
  <c r="R243" i="24" s="1"/>
  <c r="P243" i="24" s="1"/>
  <c r="V243" i="24" s="1"/>
  <c r="U235" i="24"/>
  <c r="T235" i="24" s="1"/>
  <c r="S235" i="24" s="1"/>
  <c r="R235" i="24" s="1"/>
  <c r="P235" i="24" s="1"/>
  <c r="V235" i="24" s="1"/>
  <c r="U227" i="24"/>
  <c r="T227" i="24" s="1"/>
  <c r="S227" i="24" s="1"/>
  <c r="R227" i="24" s="1"/>
  <c r="P227" i="24" s="1"/>
  <c r="V227" i="24" s="1"/>
  <c r="U219" i="24"/>
  <c r="T219" i="24" s="1"/>
  <c r="S219" i="24" s="1"/>
  <c r="R219" i="24" s="1"/>
  <c r="P219" i="24" s="1"/>
  <c r="V219" i="24" s="1"/>
  <c r="U211" i="24"/>
  <c r="T211" i="24" s="1"/>
  <c r="S211" i="24" s="1"/>
  <c r="R211" i="24" s="1"/>
  <c r="P211" i="24" s="1"/>
  <c r="V211" i="24" s="1"/>
  <c r="U203" i="24"/>
  <c r="T203" i="24" s="1"/>
  <c r="S203" i="24" s="1"/>
  <c r="R203" i="24" s="1"/>
  <c r="P203" i="24" s="1"/>
  <c r="V203" i="24" s="1"/>
  <c r="U195" i="24"/>
  <c r="T195" i="24" s="1"/>
  <c r="S195" i="24" s="1"/>
  <c r="R195" i="24" s="1"/>
  <c r="P195" i="24" s="1"/>
  <c r="V195" i="24" s="1"/>
  <c r="U187" i="24"/>
  <c r="T187" i="24" s="1"/>
  <c r="S187" i="24" s="1"/>
  <c r="R187" i="24" s="1"/>
  <c r="P187" i="24" s="1"/>
  <c r="V187" i="24" s="1"/>
  <c r="U179" i="24"/>
  <c r="T179" i="24" s="1"/>
  <c r="S179" i="24" s="1"/>
  <c r="R179" i="24" s="1"/>
  <c r="P179" i="24" s="1"/>
  <c r="V179" i="24" s="1"/>
  <c r="U171" i="24"/>
  <c r="T171" i="24" s="1"/>
  <c r="S171" i="24" s="1"/>
  <c r="R171" i="24" s="1"/>
  <c r="P171" i="24" s="1"/>
  <c r="V171" i="24" s="1"/>
  <c r="U163" i="24"/>
  <c r="T163" i="24" s="1"/>
  <c r="S163" i="24" s="1"/>
  <c r="R163" i="24" s="1"/>
  <c r="P163" i="24" s="1"/>
  <c r="V163" i="24" s="1"/>
  <c r="U155" i="24"/>
  <c r="T155" i="24" s="1"/>
  <c r="S155" i="24" s="1"/>
  <c r="R155" i="24" s="1"/>
  <c r="P155" i="24" s="1"/>
  <c r="V155" i="24" s="1"/>
  <c r="U147" i="24"/>
  <c r="T147" i="24" s="1"/>
  <c r="S147" i="24" s="1"/>
  <c r="R147" i="24" s="1"/>
  <c r="P147" i="24" s="1"/>
  <c r="V147" i="24" s="1"/>
  <c r="U139" i="24"/>
  <c r="T139" i="24" s="1"/>
  <c r="S139" i="24" s="1"/>
  <c r="R139" i="24" s="1"/>
  <c r="P139" i="24" s="1"/>
  <c r="V139" i="24" s="1"/>
  <c r="U131" i="24"/>
  <c r="T131" i="24" s="1"/>
  <c r="S131" i="24" s="1"/>
  <c r="R131" i="24" s="1"/>
  <c r="P131" i="24" s="1"/>
  <c r="V131" i="24" s="1"/>
  <c r="U123" i="24"/>
  <c r="T123" i="24" s="1"/>
  <c r="S123" i="24" s="1"/>
  <c r="R123" i="24" s="1"/>
  <c r="P123" i="24" s="1"/>
  <c r="V123" i="24" s="1"/>
  <c r="U115" i="24"/>
  <c r="T115" i="24" s="1"/>
  <c r="S115" i="24" s="1"/>
  <c r="R115" i="24" s="1"/>
  <c r="P115" i="24" s="1"/>
  <c r="V115" i="24" s="1"/>
  <c r="U107" i="24"/>
  <c r="T107" i="24" s="1"/>
  <c r="S107" i="24" s="1"/>
  <c r="R107" i="24" s="1"/>
  <c r="P107" i="24" s="1"/>
  <c r="V107" i="24" s="1"/>
  <c r="U99" i="24"/>
  <c r="T99" i="24" s="1"/>
  <c r="S99" i="24" s="1"/>
  <c r="R99" i="24" s="1"/>
  <c r="P99" i="24" s="1"/>
  <c r="V99" i="24" s="1"/>
  <c r="U91" i="24"/>
  <c r="T91" i="24" s="1"/>
  <c r="S91" i="24" s="1"/>
  <c r="R91" i="24" s="1"/>
  <c r="P91" i="24" s="1"/>
  <c r="V91" i="24" s="1"/>
  <c r="U83" i="24"/>
  <c r="T83" i="24" s="1"/>
  <c r="S83" i="24" s="1"/>
  <c r="R83" i="24" s="1"/>
  <c r="P83" i="24" s="1"/>
  <c r="V83" i="24" s="1"/>
  <c r="U75" i="24"/>
  <c r="T75" i="24" s="1"/>
  <c r="S75" i="24" s="1"/>
  <c r="R75" i="24" s="1"/>
  <c r="P75" i="24" s="1"/>
  <c r="V75" i="24" s="1"/>
  <c r="U67" i="24"/>
  <c r="T67" i="24" s="1"/>
  <c r="S67" i="24" s="1"/>
  <c r="R67" i="24" s="1"/>
  <c r="P67" i="24" s="1"/>
  <c r="V67" i="24" s="1"/>
  <c r="U59" i="24"/>
  <c r="T59" i="24" s="1"/>
  <c r="S59" i="24" s="1"/>
  <c r="R59" i="24" s="1"/>
  <c r="P59" i="24" s="1"/>
  <c r="V59" i="24" s="1"/>
  <c r="U51" i="24"/>
  <c r="T51" i="24" s="1"/>
  <c r="S51" i="24" s="1"/>
  <c r="R51" i="24" s="1"/>
  <c r="P51" i="24" s="1"/>
  <c r="V51" i="24" s="1"/>
  <c r="U43" i="24"/>
  <c r="T43" i="24" s="1"/>
  <c r="S43" i="24" s="1"/>
  <c r="R43" i="24" s="1"/>
  <c r="P43" i="24" s="1"/>
  <c r="V43" i="24" s="1"/>
  <c r="U35" i="24"/>
  <c r="T35" i="24" s="1"/>
  <c r="S35" i="24" s="1"/>
  <c r="R35" i="24" s="1"/>
  <c r="P35" i="24" s="1"/>
  <c r="V35" i="24" s="1"/>
  <c r="U27" i="24"/>
  <c r="T27" i="24" s="1"/>
  <c r="S27" i="24" s="1"/>
  <c r="R27" i="24" s="1"/>
  <c r="P27" i="24" s="1"/>
  <c r="V27" i="24" s="1"/>
  <c r="U16" i="24"/>
  <c r="T16" i="24" s="1"/>
  <c r="S16" i="24" s="1"/>
  <c r="R16" i="24" s="1"/>
  <c r="P16" i="24" s="1"/>
  <c r="V16" i="24" s="1"/>
  <c r="AI374" i="24"/>
  <c r="AH374" i="24" s="1"/>
  <c r="AG374" i="24" s="1"/>
  <c r="AF374" i="24" s="1"/>
  <c r="AD374" i="24" s="1"/>
  <c r="AI365" i="24"/>
  <c r="AH365" i="24" s="1"/>
  <c r="AG365" i="24" s="1"/>
  <c r="AF365" i="24" s="1"/>
  <c r="AD365" i="24" s="1"/>
  <c r="AI349" i="24"/>
  <c r="AH349" i="24" s="1"/>
  <c r="AG349" i="24" s="1"/>
  <c r="AF349" i="24" s="1"/>
  <c r="AD349" i="24" s="1"/>
  <c r="AI333" i="24"/>
  <c r="AH333" i="24" s="1"/>
  <c r="AG333" i="24" s="1"/>
  <c r="AF333" i="24" s="1"/>
  <c r="AD333" i="24" s="1"/>
  <c r="AI317" i="24"/>
  <c r="AH317" i="24" s="1"/>
  <c r="AG317" i="24" s="1"/>
  <c r="AF317" i="24" s="1"/>
  <c r="AD317" i="24" s="1"/>
  <c r="AI301" i="24"/>
  <c r="AH301" i="24" s="1"/>
  <c r="AG301" i="24" s="1"/>
  <c r="AF301" i="24" s="1"/>
  <c r="AD301" i="24" s="1"/>
  <c r="AI285" i="24"/>
  <c r="AH285" i="24" s="1"/>
  <c r="AG285" i="24" s="1"/>
  <c r="AF285" i="24" s="1"/>
  <c r="AD285" i="24" s="1"/>
  <c r="AI269" i="24"/>
  <c r="AH269" i="24" s="1"/>
  <c r="AG269" i="24" s="1"/>
  <c r="AF269" i="24" s="1"/>
  <c r="AD269" i="24" s="1"/>
  <c r="AI253" i="24"/>
  <c r="AH253" i="24" s="1"/>
  <c r="AG253" i="24" s="1"/>
  <c r="AF253" i="24" s="1"/>
  <c r="AD253" i="24" s="1"/>
  <c r="U248" i="24"/>
  <c r="T248" i="24" s="1"/>
  <c r="S248" i="24" s="1"/>
  <c r="R248" i="24" s="1"/>
  <c r="P248" i="24" s="1"/>
  <c r="V248" i="24" s="1"/>
  <c r="U120" i="24"/>
  <c r="T120" i="24" s="1"/>
  <c r="S120" i="24" s="1"/>
  <c r="R120" i="24" s="1"/>
  <c r="P120" i="24" s="1"/>
  <c r="V120" i="24" s="1"/>
  <c r="AI287" i="24"/>
  <c r="AH287" i="24" s="1"/>
  <c r="AG287" i="24" s="1"/>
  <c r="AF287" i="24" s="1"/>
  <c r="AD287" i="24" s="1"/>
  <c r="AI42" i="24"/>
  <c r="AH42" i="24" s="1"/>
  <c r="AG42" i="24" s="1"/>
  <c r="AF42" i="24" s="1"/>
  <c r="AD42" i="24" s="1"/>
  <c r="AI106" i="24"/>
  <c r="AH106" i="24" s="1"/>
  <c r="AG106" i="24" s="1"/>
  <c r="AF106" i="24" s="1"/>
  <c r="AD106" i="24" s="1"/>
  <c r="AI170" i="24"/>
  <c r="AH170" i="24" s="1"/>
  <c r="AG170" i="24" s="1"/>
  <c r="AF170" i="24" s="1"/>
  <c r="AD170" i="24" s="1"/>
  <c r="AI234" i="24"/>
  <c r="AH234" i="24" s="1"/>
  <c r="AG234" i="24" s="1"/>
  <c r="AF234" i="24" s="1"/>
  <c r="AD234" i="24" s="1"/>
  <c r="AI298" i="24"/>
  <c r="AH298" i="24" s="1"/>
  <c r="AG298" i="24" s="1"/>
  <c r="AF298" i="24" s="1"/>
  <c r="AD298" i="24" s="1"/>
  <c r="AI362" i="24"/>
  <c r="AH362" i="24" s="1"/>
  <c r="AG362" i="24" s="1"/>
  <c r="AF362" i="24" s="1"/>
  <c r="AD362" i="24" s="1"/>
  <c r="U321" i="24"/>
  <c r="T321" i="24" s="1"/>
  <c r="S321" i="24" s="1"/>
  <c r="R321" i="24" s="1"/>
  <c r="P321" i="24" s="1"/>
  <c r="V321" i="24" s="1"/>
  <c r="U257" i="24"/>
  <c r="T257" i="24" s="1"/>
  <c r="S257" i="24" s="1"/>
  <c r="R257" i="24" s="1"/>
  <c r="P257" i="24" s="1"/>
  <c r="V257" i="24" s="1"/>
  <c r="U193" i="24"/>
  <c r="T193" i="24" s="1"/>
  <c r="S193" i="24" s="1"/>
  <c r="R193" i="24" s="1"/>
  <c r="P193" i="24" s="1"/>
  <c r="V193" i="24" s="1"/>
  <c r="U129" i="24"/>
  <c r="T129" i="24" s="1"/>
  <c r="S129" i="24" s="1"/>
  <c r="R129" i="24" s="1"/>
  <c r="P129" i="24" s="1"/>
  <c r="V129" i="24" s="1"/>
  <c r="U65" i="24"/>
  <c r="T65" i="24" s="1"/>
  <c r="S65" i="24" s="1"/>
  <c r="R65" i="24" s="1"/>
  <c r="P65" i="24" s="1"/>
  <c r="V65" i="24" s="1"/>
  <c r="AI361" i="24"/>
  <c r="AH361" i="24" s="1"/>
  <c r="AG361" i="24" s="1"/>
  <c r="AF361" i="24" s="1"/>
  <c r="AD361" i="24" s="1"/>
  <c r="AI233" i="24"/>
  <c r="AH233" i="24" s="1"/>
  <c r="AG233" i="24" s="1"/>
  <c r="AF233" i="24" s="1"/>
  <c r="AD233" i="24" s="1"/>
  <c r="AI105" i="24"/>
  <c r="AH105" i="24" s="1"/>
  <c r="AG105" i="24" s="1"/>
  <c r="AF105" i="24" s="1"/>
  <c r="AD105" i="24" s="1"/>
  <c r="AI15" i="24"/>
  <c r="U374" i="24"/>
  <c r="T374" i="24" s="1"/>
  <c r="S374" i="24" s="1"/>
  <c r="R374" i="24" s="1"/>
  <c r="P374" i="24" s="1"/>
  <c r="V374" i="24" s="1"/>
  <c r="U358" i="24"/>
  <c r="T358" i="24" s="1"/>
  <c r="S358" i="24" s="1"/>
  <c r="R358" i="24" s="1"/>
  <c r="P358" i="24" s="1"/>
  <c r="V358" i="24" s="1"/>
  <c r="U342" i="24"/>
  <c r="T342" i="24" s="1"/>
  <c r="S342" i="24" s="1"/>
  <c r="R342" i="24" s="1"/>
  <c r="P342" i="24" s="1"/>
  <c r="V342" i="24" s="1"/>
  <c r="U326" i="24"/>
  <c r="T326" i="24" s="1"/>
  <c r="S326" i="24" s="1"/>
  <c r="R326" i="24" s="1"/>
  <c r="P326" i="24" s="1"/>
  <c r="V326" i="24" s="1"/>
  <c r="U310" i="24"/>
  <c r="T310" i="24" s="1"/>
  <c r="S310" i="24" s="1"/>
  <c r="R310" i="24" s="1"/>
  <c r="P310" i="24" s="1"/>
  <c r="V310" i="24" s="1"/>
  <c r="U294" i="24"/>
  <c r="T294" i="24" s="1"/>
  <c r="S294" i="24" s="1"/>
  <c r="R294" i="24" s="1"/>
  <c r="P294" i="24" s="1"/>
  <c r="V294" i="24" s="1"/>
  <c r="U278" i="24"/>
  <c r="T278" i="24" s="1"/>
  <c r="S278" i="24" s="1"/>
  <c r="R278" i="24" s="1"/>
  <c r="P278" i="24" s="1"/>
  <c r="V278" i="24" s="1"/>
  <c r="U262" i="24"/>
  <c r="T262" i="24" s="1"/>
  <c r="S262" i="24" s="1"/>
  <c r="R262" i="24" s="1"/>
  <c r="P262" i="24" s="1"/>
  <c r="V262" i="24" s="1"/>
  <c r="U246" i="24"/>
  <c r="T246" i="24" s="1"/>
  <c r="S246" i="24" s="1"/>
  <c r="R246" i="24" s="1"/>
  <c r="P246" i="24" s="1"/>
  <c r="V246" i="24" s="1"/>
  <c r="U230" i="24"/>
  <c r="T230" i="24" s="1"/>
  <c r="S230" i="24" s="1"/>
  <c r="R230" i="24" s="1"/>
  <c r="P230" i="24" s="1"/>
  <c r="V230" i="24" s="1"/>
  <c r="U214" i="24"/>
  <c r="T214" i="24" s="1"/>
  <c r="S214" i="24" s="1"/>
  <c r="R214" i="24" s="1"/>
  <c r="P214" i="24" s="1"/>
  <c r="V214" i="24" s="1"/>
  <c r="U198" i="24"/>
  <c r="T198" i="24" s="1"/>
  <c r="S198" i="24" s="1"/>
  <c r="R198" i="24" s="1"/>
  <c r="P198" i="24" s="1"/>
  <c r="V198" i="24" s="1"/>
  <c r="U182" i="24"/>
  <c r="T182" i="24" s="1"/>
  <c r="S182" i="24" s="1"/>
  <c r="R182" i="24" s="1"/>
  <c r="P182" i="24" s="1"/>
  <c r="V182" i="24" s="1"/>
  <c r="U166" i="24"/>
  <c r="T166" i="24" s="1"/>
  <c r="S166" i="24" s="1"/>
  <c r="R166" i="24" s="1"/>
  <c r="P166" i="24" s="1"/>
  <c r="V166" i="24" s="1"/>
  <c r="U150" i="24"/>
  <c r="T150" i="24" s="1"/>
  <c r="S150" i="24" s="1"/>
  <c r="R150" i="24" s="1"/>
  <c r="P150" i="24" s="1"/>
  <c r="V150" i="24" s="1"/>
  <c r="U134" i="24"/>
  <c r="T134" i="24" s="1"/>
  <c r="S134" i="24" s="1"/>
  <c r="R134" i="24" s="1"/>
  <c r="P134" i="24" s="1"/>
  <c r="V134" i="24" s="1"/>
  <c r="U118" i="24"/>
  <c r="T118" i="24" s="1"/>
  <c r="S118" i="24" s="1"/>
  <c r="R118" i="24" s="1"/>
  <c r="P118" i="24" s="1"/>
  <c r="V118" i="24" s="1"/>
  <c r="U102" i="24"/>
  <c r="T102" i="24" s="1"/>
  <c r="S102" i="24" s="1"/>
  <c r="R102" i="24" s="1"/>
  <c r="P102" i="24" s="1"/>
  <c r="V102" i="24" s="1"/>
  <c r="U86" i="24"/>
  <c r="T86" i="24" s="1"/>
  <c r="S86" i="24" s="1"/>
  <c r="R86" i="24" s="1"/>
  <c r="P86" i="24" s="1"/>
  <c r="V86" i="24" s="1"/>
  <c r="U70" i="24"/>
  <c r="T70" i="24" s="1"/>
  <c r="S70" i="24" s="1"/>
  <c r="R70" i="24" s="1"/>
  <c r="P70" i="24" s="1"/>
  <c r="V70" i="24" s="1"/>
  <c r="U54" i="24"/>
  <c r="T54" i="24" s="1"/>
  <c r="S54" i="24" s="1"/>
  <c r="R54" i="24" s="1"/>
  <c r="P54" i="24" s="1"/>
  <c r="V54" i="24" s="1"/>
  <c r="U38" i="24"/>
  <c r="T38" i="24" s="1"/>
  <c r="S38" i="24" s="1"/>
  <c r="R38" i="24" s="1"/>
  <c r="P38" i="24" s="1"/>
  <c r="V38" i="24" s="1"/>
  <c r="U17" i="24"/>
  <c r="T17" i="24" s="1"/>
  <c r="S17" i="24" s="1"/>
  <c r="R17" i="24" s="1"/>
  <c r="P17" i="24" s="1"/>
  <c r="V17" i="24" s="1"/>
  <c r="U378" i="24"/>
  <c r="T378" i="24" s="1"/>
  <c r="S378" i="24" s="1"/>
  <c r="R378" i="24" s="1"/>
  <c r="P378" i="24" s="1"/>
  <c r="V378" i="24" s="1"/>
  <c r="U362" i="24"/>
  <c r="T362" i="24" s="1"/>
  <c r="S362" i="24" s="1"/>
  <c r="R362" i="24" s="1"/>
  <c r="P362" i="24" s="1"/>
  <c r="V362" i="24" s="1"/>
  <c r="U346" i="24"/>
  <c r="T346" i="24" s="1"/>
  <c r="S346" i="24" s="1"/>
  <c r="R346" i="24" s="1"/>
  <c r="P346" i="24" s="1"/>
  <c r="V346" i="24" s="1"/>
  <c r="U330" i="24"/>
  <c r="T330" i="24" s="1"/>
  <c r="S330" i="24" s="1"/>
  <c r="R330" i="24" s="1"/>
  <c r="P330" i="24" s="1"/>
  <c r="V330" i="24" s="1"/>
  <c r="U314" i="24"/>
  <c r="T314" i="24" s="1"/>
  <c r="S314" i="24" s="1"/>
  <c r="R314" i="24" s="1"/>
  <c r="P314" i="24" s="1"/>
  <c r="V314" i="24" s="1"/>
  <c r="U298" i="24"/>
  <c r="T298" i="24" s="1"/>
  <c r="S298" i="24" s="1"/>
  <c r="R298" i="24" s="1"/>
  <c r="P298" i="24" s="1"/>
  <c r="V298" i="24" s="1"/>
  <c r="U282" i="24"/>
  <c r="T282" i="24" s="1"/>
  <c r="S282" i="24" s="1"/>
  <c r="R282" i="24" s="1"/>
  <c r="P282" i="24" s="1"/>
  <c r="V282" i="24" s="1"/>
  <c r="U266" i="24"/>
  <c r="T266" i="24" s="1"/>
  <c r="S266" i="24" s="1"/>
  <c r="R266" i="24" s="1"/>
  <c r="P266" i="24" s="1"/>
  <c r="V266" i="24" s="1"/>
  <c r="U250" i="24"/>
  <c r="T250" i="24" s="1"/>
  <c r="S250" i="24" s="1"/>
  <c r="R250" i="24" s="1"/>
  <c r="P250" i="24" s="1"/>
  <c r="V250" i="24" s="1"/>
  <c r="U234" i="24"/>
  <c r="T234" i="24" s="1"/>
  <c r="S234" i="24" s="1"/>
  <c r="R234" i="24" s="1"/>
  <c r="P234" i="24" s="1"/>
  <c r="V234" i="24" s="1"/>
  <c r="U218" i="24"/>
  <c r="T218" i="24" s="1"/>
  <c r="S218" i="24" s="1"/>
  <c r="R218" i="24" s="1"/>
  <c r="P218" i="24" s="1"/>
  <c r="V218" i="24" s="1"/>
  <c r="U202" i="24"/>
  <c r="T202" i="24" s="1"/>
  <c r="S202" i="24" s="1"/>
  <c r="R202" i="24" s="1"/>
  <c r="P202" i="24" s="1"/>
  <c r="V202" i="24" s="1"/>
  <c r="U186" i="24"/>
  <c r="T186" i="24" s="1"/>
  <c r="S186" i="24" s="1"/>
  <c r="R186" i="24" s="1"/>
  <c r="P186" i="24" s="1"/>
  <c r="V186" i="24" s="1"/>
  <c r="U170" i="24"/>
  <c r="T170" i="24" s="1"/>
  <c r="S170" i="24" s="1"/>
  <c r="R170" i="24" s="1"/>
  <c r="P170" i="24" s="1"/>
  <c r="V170" i="24" s="1"/>
  <c r="U154" i="24"/>
  <c r="T154" i="24" s="1"/>
  <c r="S154" i="24" s="1"/>
  <c r="R154" i="24" s="1"/>
  <c r="P154" i="24" s="1"/>
  <c r="V154" i="24" s="1"/>
  <c r="U138" i="24"/>
  <c r="T138" i="24" s="1"/>
  <c r="S138" i="24" s="1"/>
  <c r="R138" i="24" s="1"/>
  <c r="P138" i="24" s="1"/>
  <c r="V138" i="24" s="1"/>
  <c r="U122" i="24"/>
  <c r="T122" i="24" s="1"/>
  <c r="S122" i="24" s="1"/>
  <c r="R122" i="24" s="1"/>
  <c r="P122" i="24" s="1"/>
  <c r="V122" i="24" s="1"/>
  <c r="U106" i="24"/>
  <c r="T106" i="24" s="1"/>
  <c r="S106" i="24" s="1"/>
  <c r="R106" i="24" s="1"/>
  <c r="P106" i="24" s="1"/>
  <c r="V106" i="24" s="1"/>
  <c r="U90" i="24"/>
  <c r="T90" i="24" s="1"/>
  <c r="S90" i="24" s="1"/>
  <c r="R90" i="24" s="1"/>
  <c r="P90" i="24" s="1"/>
  <c r="V90" i="24" s="1"/>
  <c r="U74" i="24"/>
  <c r="T74" i="24" s="1"/>
  <c r="S74" i="24" s="1"/>
  <c r="R74" i="24" s="1"/>
  <c r="P74" i="24" s="1"/>
  <c r="V74" i="24" s="1"/>
  <c r="U58" i="24"/>
  <c r="T58" i="24" s="1"/>
  <c r="S58" i="24" s="1"/>
  <c r="R58" i="24" s="1"/>
  <c r="P58" i="24" s="1"/>
  <c r="V58" i="24" s="1"/>
  <c r="U42" i="24"/>
  <c r="T42" i="24" s="1"/>
  <c r="S42" i="24" s="1"/>
  <c r="R42" i="24" s="1"/>
  <c r="P42" i="24" s="1"/>
  <c r="V42" i="24" s="1"/>
  <c r="U26" i="24"/>
  <c r="T26" i="24" s="1"/>
  <c r="S26" i="24" s="1"/>
  <c r="R26" i="24" s="1"/>
  <c r="P26" i="24" s="1"/>
  <c r="V26" i="24" s="1"/>
  <c r="U22" i="24"/>
  <c r="T22" i="24" s="1"/>
  <c r="S22" i="24" s="1"/>
  <c r="R22" i="24" s="1"/>
  <c r="P22" i="24" s="1"/>
  <c r="V22" i="24" s="1"/>
  <c r="AI363" i="24"/>
  <c r="AH363" i="24" s="1"/>
  <c r="AG363" i="24" s="1"/>
  <c r="AF363" i="24" s="1"/>
  <c r="AD363" i="24" s="1"/>
  <c r="AI331" i="24"/>
  <c r="AH331" i="24" s="1"/>
  <c r="AG331" i="24" s="1"/>
  <c r="AF331" i="24" s="1"/>
  <c r="AD331" i="24" s="1"/>
  <c r="AI299" i="24"/>
  <c r="AH299" i="24" s="1"/>
  <c r="AG299" i="24" s="1"/>
  <c r="AF299" i="24" s="1"/>
  <c r="AD299" i="24" s="1"/>
  <c r="AI267" i="24"/>
  <c r="AH267" i="24" s="1"/>
  <c r="AG267" i="24" s="1"/>
  <c r="AF267" i="24" s="1"/>
  <c r="AD267" i="24" s="1"/>
  <c r="AI235" i="24"/>
  <c r="AH235" i="24" s="1"/>
  <c r="AG235" i="24" s="1"/>
  <c r="AF235" i="24" s="1"/>
  <c r="AD235" i="24" s="1"/>
  <c r="AI203" i="24"/>
  <c r="AH203" i="24" s="1"/>
  <c r="AG203" i="24" s="1"/>
  <c r="AF203" i="24" s="1"/>
  <c r="AD203" i="24" s="1"/>
  <c r="AI171" i="24"/>
  <c r="AH171" i="24" s="1"/>
  <c r="AG171" i="24" s="1"/>
  <c r="AF171" i="24" s="1"/>
  <c r="AD171" i="24" s="1"/>
  <c r="AI139" i="24"/>
  <c r="AH139" i="24" s="1"/>
  <c r="AG139" i="24" s="1"/>
  <c r="AF139" i="24" s="1"/>
  <c r="AD139" i="24" s="1"/>
  <c r="AI75" i="24"/>
  <c r="AH75" i="24" s="1"/>
  <c r="AG75" i="24" s="1"/>
  <c r="AF75" i="24" s="1"/>
  <c r="AD75" i="24" s="1"/>
  <c r="AI377" i="24"/>
  <c r="AH377" i="24" s="1"/>
  <c r="AG377" i="24" s="1"/>
  <c r="AF377" i="24" s="1"/>
  <c r="AD377" i="24" s="1"/>
  <c r="AI355" i="24"/>
  <c r="AH355" i="24" s="1"/>
  <c r="AG355" i="24" s="1"/>
  <c r="AF355" i="24" s="1"/>
  <c r="AD355" i="24" s="1"/>
  <c r="AI323" i="24"/>
  <c r="AH323" i="24" s="1"/>
  <c r="AG323" i="24" s="1"/>
  <c r="AF323" i="24" s="1"/>
  <c r="AD323" i="24" s="1"/>
  <c r="AI291" i="24"/>
  <c r="AH291" i="24" s="1"/>
  <c r="AG291" i="24" s="1"/>
  <c r="AF291" i="24" s="1"/>
  <c r="AD291" i="24" s="1"/>
  <c r="AI259" i="24"/>
  <c r="AH259" i="24" s="1"/>
  <c r="AG259" i="24" s="1"/>
  <c r="AF259" i="24" s="1"/>
  <c r="AD259" i="24" s="1"/>
  <c r="AI227" i="24"/>
  <c r="AH227" i="24" s="1"/>
  <c r="AG227" i="24" s="1"/>
  <c r="AF227" i="24" s="1"/>
  <c r="AD227" i="24" s="1"/>
  <c r="AI195" i="24"/>
  <c r="AH195" i="24" s="1"/>
  <c r="AG195" i="24" s="1"/>
  <c r="AF195" i="24" s="1"/>
  <c r="AD195" i="24" s="1"/>
  <c r="AI163" i="24"/>
  <c r="AH163" i="24" s="1"/>
  <c r="AG163" i="24" s="1"/>
  <c r="AF163" i="24" s="1"/>
  <c r="AD163" i="24" s="1"/>
  <c r="AI123" i="24"/>
  <c r="AH123" i="24" s="1"/>
  <c r="AG123" i="24" s="1"/>
  <c r="AF123" i="24" s="1"/>
  <c r="AD123" i="24" s="1"/>
  <c r="AI59" i="24"/>
  <c r="AH59" i="24" s="1"/>
  <c r="AG59" i="24" s="1"/>
  <c r="AF59" i="24" s="1"/>
  <c r="AD59" i="24" s="1"/>
  <c r="V180" i="24"/>
  <c r="AI51" i="24"/>
  <c r="AH51" i="24" s="1"/>
  <c r="AG51" i="24" s="1"/>
  <c r="AF51" i="24" s="1"/>
  <c r="AD51" i="24" s="1"/>
  <c r="U352" i="24"/>
  <c r="T352" i="24" s="1"/>
  <c r="S352" i="24" s="1"/>
  <c r="R352" i="24" s="1"/>
  <c r="P352" i="24" s="1"/>
  <c r="V352" i="24" s="1"/>
  <c r="U320" i="24"/>
  <c r="T320" i="24" s="1"/>
  <c r="S320" i="24" s="1"/>
  <c r="R320" i="24" s="1"/>
  <c r="P320" i="24" s="1"/>
  <c r="V320" i="24" s="1"/>
  <c r="U288" i="24"/>
  <c r="T288" i="24" s="1"/>
  <c r="S288" i="24" s="1"/>
  <c r="R288" i="24" s="1"/>
  <c r="P288" i="24" s="1"/>
  <c r="V288" i="24" s="1"/>
  <c r="U256" i="24"/>
  <c r="T256" i="24" s="1"/>
  <c r="S256" i="24" s="1"/>
  <c r="R256" i="24" s="1"/>
  <c r="P256" i="24" s="1"/>
  <c r="V256" i="24" s="1"/>
  <c r="U224" i="24"/>
  <c r="T224" i="24" s="1"/>
  <c r="S224" i="24" s="1"/>
  <c r="R224" i="24" s="1"/>
  <c r="P224" i="24" s="1"/>
  <c r="V224" i="24" s="1"/>
  <c r="U192" i="24"/>
  <c r="T192" i="24" s="1"/>
  <c r="S192" i="24" s="1"/>
  <c r="R192" i="24" s="1"/>
  <c r="P192" i="24" s="1"/>
  <c r="V192" i="24" s="1"/>
  <c r="U160" i="24"/>
  <c r="T160" i="24" s="1"/>
  <c r="S160" i="24" s="1"/>
  <c r="R160" i="24" s="1"/>
  <c r="P160" i="24" s="1"/>
  <c r="V160" i="24" s="1"/>
  <c r="U128" i="24"/>
  <c r="T128" i="24" s="1"/>
  <c r="S128" i="24" s="1"/>
  <c r="R128" i="24" s="1"/>
  <c r="P128" i="24" s="1"/>
  <c r="V128" i="24" s="1"/>
  <c r="U96" i="24"/>
  <c r="T96" i="24" s="1"/>
  <c r="S96" i="24" s="1"/>
  <c r="R96" i="24" s="1"/>
  <c r="P96" i="24" s="1"/>
  <c r="V96" i="24" s="1"/>
  <c r="U64" i="24"/>
  <c r="T64" i="24" s="1"/>
  <c r="S64" i="24" s="1"/>
  <c r="R64" i="24" s="1"/>
  <c r="P64" i="24" s="1"/>
  <c r="V64" i="24" s="1"/>
  <c r="U32" i="24"/>
  <c r="T32" i="24" s="1"/>
  <c r="S32" i="24" s="1"/>
  <c r="R32" i="24" s="1"/>
  <c r="P32" i="24" s="1"/>
  <c r="V32" i="24" s="1"/>
  <c r="AI367" i="24"/>
  <c r="AH367" i="24" s="1"/>
  <c r="AG367" i="24" s="1"/>
  <c r="AF367" i="24" s="1"/>
  <c r="AD367" i="24" s="1"/>
  <c r="AI303" i="24"/>
  <c r="AH303" i="24" s="1"/>
  <c r="AG303" i="24" s="1"/>
  <c r="AF303" i="24" s="1"/>
  <c r="AD303" i="24" s="1"/>
  <c r="AI239" i="24"/>
  <c r="AH239" i="24" s="1"/>
  <c r="AG239" i="24" s="1"/>
  <c r="AF239" i="24" s="1"/>
  <c r="AD239" i="24" s="1"/>
  <c r="AI175" i="24"/>
  <c r="AH175" i="24" s="1"/>
  <c r="AG175" i="24" s="1"/>
  <c r="AF175" i="24" s="1"/>
  <c r="AD175" i="24" s="1"/>
  <c r="AI111" i="24"/>
  <c r="AH111" i="24" s="1"/>
  <c r="AG111" i="24" s="1"/>
  <c r="AF111" i="24" s="1"/>
  <c r="AD111" i="24" s="1"/>
  <c r="AI47" i="24"/>
  <c r="AH47" i="24" s="1"/>
  <c r="AG47" i="24" s="1"/>
  <c r="AF47" i="24" s="1"/>
  <c r="AD47" i="24" s="1"/>
  <c r="AI36" i="24"/>
  <c r="AH36" i="24" s="1"/>
  <c r="AG36" i="24" s="1"/>
  <c r="AF36" i="24" s="1"/>
  <c r="AD36" i="24" s="1"/>
  <c r="AI54" i="24"/>
  <c r="AH54" i="24" s="1"/>
  <c r="AG54" i="24" s="1"/>
  <c r="AF54" i="24" s="1"/>
  <c r="AD54" i="24" s="1"/>
  <c r="AI70" i="24"/>
  <c r="AH70" i="24" s="1"/>
  <c r="AG70" i="24" s="1"/>
  <c r="AF70" i="24" s="1"/>
  <c r="AD70" i="24" s="1"/>
  <c r="AI86" i="24"/>
  <c r="AH86" i="24" s="1"/>
  <c r="AG86" i="24" s="1"/>
  <c r="AF86" i="24" s="1"/>
  <c r="AD86" i="24" s="1"/>
  <c r="AI102" i="24"/>
  <c r="AH102" i="24" s="1"/>
  <c r="AG102" i="24" s="1"/>
  <c r="AF102" i="24" s="1"/>
  <c r="AD102" i="24" s="1"/>
  <c r="AI118" i="24"/>
  <c r="AH118" i="24" s="1"/>
  <c r="AG118" i="24" s="1"/>
  <c r="AF118" i="24" s="1"/>
  <c r="AD118" i="24" s="1"/>
  <c r="AI134" i="24"/>
  <c r="AH134" i="24" s="1"/>
  <c r="AG134" i="24" s="1"/>
  <c r="AF134" i="24" s="1"/>
  <c r="AD134" i="24" s="1"/>
  <c r="AI150" i="24"/>
  <c r="AH150" i="24" s="1"/>
  <c r="AG150" i="24" s="1"/>
  <c r="AF150" i="24" s="1"/>
  <c r="AD150" i="24" s="1"/>
  <c r="AI166" i="24"/>
  <c r="AH166" i="24" s="1"/>
  <c r="AG166" i="24" s="1"/>
  <c r="AF166" i="24" s="1"/>
  <c r="AD166" i="24" s="1"/>
  <c r="AI182" i="24"/>
  <c r="AH182" i="24" s="1"/>
  <c r="AG182" i="24" s="1"/>
  <c r="AF182" i="24" s="1"/>
  <c r="AD182" i="24" s="1"/>
  <c r="AI198" i="24"/>
  <c r="AH198" i="24" s="1"/>
  <c r="AG198" i="24" s="1"/>
  <c r="AF198" i="24" s="1"/>
  <c r="AD198" i="24" s="1"/>
  <c r="AI214" i="24"/>
  <c r="AH214" i="24" s="1"/>
  <c r="AG214" i="24" s="1"/>
  <c r="AF214" i="24" s="1"/>
  <c r="AD214" i="24" s="1"/>
  <c r="AI230" i="24"/>
  <c r="AH230" i="24" s="1"/>
  <c r="AG230" i="24" s="1"/>
  <c r="AF230" i="24" s="1"/>
  <c r="AD230" i="24" s="1"/>
  <c r="AI246" i="24"/>
  <c r="AH246" i="24" s="1"/>
  <c r="AG246" i="24" s="1"/>
  <c r="AF246" i="24" s="1"/>
  <c r="AD246" i="24" s="1"/>
  <c r="AI262" i="24"/>
  <c r="AH262" i="24" s="1"/>
  <c r="AG262" i="24" s="1"/>
  <c r="AF262" i="24" s="1"/>
  <c r="AD262" i="24" s="1"/>
  <c r="AI278" i="24"/>
  <c r="AH278" i="24" s="1"/>
  <c r="AG278" i="24" s="1"/>
  <c r="AF278" i="24" s="1"/>
  <c r="AD278" i="24" s="1"/>
  <c r="AI294" i="24"/>
  <c r="AH294" i="24" s="1"/>
  <c r="AG294" i="24" s="1"/>
  <c r="AF294" i="24" s="1"/>
  <c r="AD294" i="24" s="1"/>
  <c r="AI310" i="24"/>
  <c r="AH310" i="24" s="1"/>
  <c r="AG310" i="24" s="1"/>
  <c r="AF310" i="24" s="1"/>
  <c r="AD310" i="24" s="1"/>
  <c r="AI326" i="24"/>
  <c r="AH326" i="24" s="1"/>
  <c r="AG326" i="24" s="1"/>
  <c r="AF326" i="24" s="1"/>
  <c r="AD326" i="24" s="1"/>
  <c r="AI342" i="24"/>
  <c r="AH342" i="24" s="1"/>
  <c r="AG342" i="24" s="1"/>
  <c r="AF342" i="24" s="1"/>
  <c r="AD342" i="24" s="1"/>
  <c r="AI358" i="24"/>
  <c r="AH358" i="24" s="1"/>
  <c r="AG358" i="24" s="1"/>
  <c r="AF358" i="24" s="1"/>
  <c r="AD358" i="24" s="1"/>
  <c r="U373" i="24"/>
  <c r="T373" i="24" s="1"/>
  <c r="S373" i="24" s="1"/>
  <c r="R373" i="24" s="1"/>
  <c r="P373" i="24" s="1"/>
  <c r="V373" i="24" s="1"/>
  <c r="U357" i="24"/>
  <c r="T357" i="24" s="1"/>
  <c r="S357" i="24" s="1"/>
  <c r="R357" i="24" s="1"/>
  <c r="P357" i="24" s="1"/>
  <c r="V357" i="24" s="1"/>
  <c r="U341" i="24"/>
  <c r="T341" i="24" s="1"/>
  <c r="S341" i="24" s="1"/>
  <c r="R341" i="24" s="1"/>
  <c r="P341" i="24" s="1"/>
  <c r="V341" i="24" s="1"/>
  <c r="U325" i="24"/>
  <c r="T325" i="24" s="1"/>
  <c r="S325" i="24" s="1"/>
  <c r="R325" i="24" s="1"/>
  <c r="P325" i="24" s="1"/>
  <c r="V325" i="24" s="1"/>
  <c r="U309" i="24"/>
  <c r="T309" i="24" s="1"/>
  <c r="S309" i="24" s="1"/>
  <c r="R309" i="24" s="1"/>
  <c r="P309" i="24" s="1"/>
  <c r="V309" i="24" s="1"/>
  <c r="U293" i="24"/>
  <c r="T293" i="24" s="1"/>
  <c r="S293" i="24" s="1"/>
  <c r="R293" i="24" s="1"/>
  <c r="P293" i="24" s="1"/>
  <c r="V293" i="24" s="1"/>
  <c r="U277" i="24"/>
  <c r="T277" i="24" s="1"/>
  <c r="S277" i="24" s="1"/>
  <c r="R277" i="24" s="1"/>
  <c r="P277" i="24" s="1"/>
  <c r="V277" i="24" s="1"/>
  <c r="U261" i="24"/>
  <c r="T261" i="24" s="1"/>
  <c r="S261" i="24" s="1"/>
  <c r="R261" i="24" s="1"/>
  <c r="P261" i="24" s="1"/>
  <c r="V261" i="24" s="1"/>
  <c r="U245" i="24"/>
  <c r="T245" i="24" s="1"/>
  <c r="S245" i="24" s="1"/>
  <c r="R245" i="24" s="1"/>
  <c r="P245" i="24" s="1"/>
  <c r="V245" i="24" s="1"/>
  <c r="U229" i="24"/>
  <c r="T229" i="24" s="1"/>
  <c r="S229" i="24" s="1"/>
  <c r="R229" i="24" s="1"/>
  <c r="P229" i="24" s="1"/>
  <c r="V229" i="24" s="1"/>
  <c r="U213" i="24"/>
  <c r="T213" i="24" s="1"/>
  <c r="S213" i="24" s="1"/>
  <c r="R213" i="24" s="1"/>
  <c r="P213" i="24" s="1"/>
  <c r="V213" i="24" s="1"/>
  <c r="U197" i="24"/>
  <c r="T197" i="24" s="1"/>
  <c r="S197" i="24" s="1"/>
  <c r="R197" i="24" s="1"/>
  <c r="P197" i="24" s="1"/>
  <c r="V197" i="24" s="1"/>
  <c r="U181" i="24"/>
  <c r="T181" i="24" s="1"/>
  <c r="S181" i="24" s="1"/>
  <c r="R181" i="24" s="1"/>
  <c r="P181" i="24" s="1"/>
  <c r="V181" i="24" s="1"/>
  <c r="U165" i="24"/>
  <c r="T165" i="24" s="1"/>
  <c r="S165" i="24" s="1"/>
  <c r="R165" i="24" s="1"/>
  <c r="P165" i="24" s="1"/>
  <c r="V165" i="24" s="1"/>
  <c r="U149" i="24"/>
  <c r="T149" i="24" s="1"/>
  <c r="S149" i="24" s="1"/>
  <c r="R149" i="24" s="1"/>
  <c r="P149" i="24" s="1"/>
  <c r="U133" i="24"/>
  <c r="T133" i="24" s="1"/>
  <c r="S133" i="24" s="1"/>
  <c r="R133" i="24" s="1"/>
  <c r="P133" i="24" s="1"/>
  <c r="V133" i="24" s="1"/>
  <c r="U117" i="24"/>
  <c r="T117" i="24" s="1"/>
  <c r="S117" i="24" s="1"/>
  <c r="R117" i="24" s="1"/>
  <c r="P117" i="24" s="1"/>
  <c r="V117" i="24" s="1"/>
  <c r="U101" i="24"/>
  <c r="T101" i="24" s="1"/>
  <c r="S101" i="24" s="1"/>
  <c r="R101" i="24" s="1"/>
  <c r="P101" i="24" s="1"/>
  <c r="V101" i="24" s="1"/>
  <c r="U85" i="24"/>
  <c r="T85" i="24" s="1"/>
  <c r="S85" i="24" s="1"/>
  <c r="R85" i="24" s="1"/>
  <c r="P85" i="24" s="1"/>
  <c r="V85" i="24" s="1"/>
  <c r="U69" i="24"/>
  <c r="T69" i="24" s="1"/>
  <c r="S69" i="24" s="1"/>
  <c r="R69" i="24" s="1"/>
  <c r="P69" i="24" s="1"/>
  <c r="V69" i="24" s="1"/>
  <c r="U53" i="24"/>
  <c r="T53" i="24" s="1"/>
  <c r="S53" i="24" s="1"/>
  <c r="R53" i="24" s="1"/>
  <c r="P53" i="24" s="1"/>
  <c r="V53" i="24" s="1"/>
  <c r="U37" i="24"/>
  <c r="T37" i="24" s="1"/>
  <c r="S37" i="24" s="1"/>
  <c r="R37" i="24" s="1"/>
  <c r="P37" i="24" s="1"/>
  <c r="V37" i="24" s="1"/>
  <c r="U19" i="24"/>
  <c r="T19" i="24" s="1"/>
  <c r="S19" i="24" s="1"/>
  <c r="R19" i="24" s="1"/>
  <c r="P19" i="24" s="1"/>
  <c r="V19" i="24" s="1"/>
  <c r="AI368" i="24"/>
  <c r="AH368" i="24" s="1"/>
  <c r="AG368" i="24" s="1"/>
  <c r="AF368" i="24" s="1"/>
  <c r="AD368" i="24" s="1"/>
  <c r="AI337" i="24"/>
  <c r="AH337" i="24" s="1"/>
  <c r="AG337" i="24" s="1"/>
  <c r="AF337" i="24" s="1"/>
  <c r="AD337" i="24" s="1"/>
  <c r="AI305" i="24"/>
  <c r="AH305" i="24" s="1"/>
  <c r="AG305" i="24" s="1"/>
  <c r="AF305" i="24" s="1"/>
  <c r="AD305" i="24" s="1"/>
  <c r="AI273" i="24"/>
  <c r="AH273" i="24" s="1"/>
  <c r="AG273" i="24" s="1"/>
  <c r="AF273" i="24" s="1"/>
  <c r="AD273" i="24" s="1"/>
  <c r="AI241" i="24"/>
  <c r="AH241" i="24" s="1"/>
  <c r="AG241" i="24" s="1"/>
  <c r="AF241" i="24" s="1"/>
  <c r="AD241" i="24" s="1"/>
  <c r="AI209" i="24"/>
  <c r="AH209" i="24" s="1"/>
  <c r="AG209" i="24" s="1"/>
  <c r="AF209" i="24" s="1"/>
  <c r="AD209" i="24" s="1"/>
  <c r="AI177" i="24"/>
  <c r="AH177" i="24" s="1"/>
  <c r="AG177" i="24" s="1"/>
  <c r="AF177" i="24" s="1"/>
  <c r="AD177" i="24" s="1"/>
  <c r="AI145" i="24"/>
  <c r="AH145" i="24" s="1"/>
  <c r="AG145" i="24" s="1"/>
  <c r="AF145" i="24" s="1"/>
  <c r="AD145" i="24" s="1"/>
  <c r="AI113" i="24"/>
  <c r="AH113" i="24" s="1"/>
  <c r="AG113" i="24" s="1"/>
  <c r="AF113" i="24" s="1"/>
  <c r="AD113" i="24" s="1"/>
  <c r="AI81" i="24"/>
  <c r="AH81" i="24" s="1"/>
  <c r="AG81" i="24" s="1"/>
  <c r="AF81" i="24" s="1"/>
  <c r="AD81" i="24" s="1"/>
  <c r="AI49" i="24"/>
  <c r="AH49" i="24" s="1"/>
  <c r="AG49" i="24" s="1"/>
  <c r="AF49" i="24" s="1"/>
  <c r="AD49" i="24" s="1"/>
  <c r="AI35" i="24"/>
  <c r="AH35" i="24" s="1"/>
  <c r="AG35" i="24" s="1"/>
  <c r="AF35" i="24" s="1"/>
  <c r="AD35" i="24" s="1"/>
  <c r="AI18" i="24"/>
  <c r="AH18" i="24" s="1"/>
  <c r="AG18" i="24" s="1"/>
  <c r="AF18" i="24" s="1"/>
  <c r="AD18" i="24" s="1"/>
  <c r="AI21" i="24"/>
  <c r="AH21" i="24" s="1"/>
  <c r="AG21" i="24" s="1"/>
  <c r="AF21" i="24" s="1"/>
  <c r="AD21" i="24" s="1"/>
  <c r="AI29" i="24"/>
  <c r="AH29" i="24" s="1"/>
  <c r="AG29" i="24" s="1"/>
  <c r="AF29" i="24" s="1"/>
  <c r="AD29" i="24" s="1"/>
  <c r="AI37" i="24"/>
  <c r="AH37" i="24" s="1"/>
  <c r="AG37" i="24" s="1"/>
  <c r="AF37" i="24" s="1"/>
  <c r="AD37" i="24" s="1"/>
  <c r="AI34" i="24"/>
  <c r="AH34" i="24" s="1"/>
  <c r="AG34" i="24" s="1"/>
  <c r="AF34" i="24" s="1"/>
  <c r="AD34" i="24" s="1"/>
  <c r="AI53" i="24"/>
  <c r="AH53" i="24" s="1"/>
  <c r="AG53" i="24" s="1"/>
  <c r="AF53" i="24" s="1"/>
  <c r="AD53" i="24" s="1"/>
  <c r="AI69" i="24"/>
  <c r="AH69" i="24" s="1"/>
  <c r="AG69" i="24" s="1"/>
  <c r="AF69" i="24" s="1"/>
  <c r="AD69" i="24" s="1"/>
  <c r="AI85" i="24"/>
  <c r="AH85" i="24" s="1"/>
  <c r="AG85" i="24" s="1"/>
  <c r="AF85" i="24" s="1"/>
  <c r="AD85" i="24" s="1"/>
  <c r="AI101" i="24"/>
  <c r="AH101" i="24" s="1"/>
  <c r="AG101" i="24" s="1"/>
  <c r="AF101" i="24" s="1"/>
  <c r="AD101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81" i="24"/>
  <c r="AH181" i="24" s="1"/>
  <c r="AG181" i="24" s="1"/>
  <c r="AF181" i="24" s="1"/>
  <c r="AD181" i="24" s="1"/>
  <c r="AI197" i="24"/>
  <c r="AH197" i="24" s="1"/>
  <c r="AG197" i="24" s="1"/>
  <c r="AF197" i="24" s="1"/>
  <c r="AD197" i="24" s="1"/>
  <c r="AI213" i="24"/>
  <c r="AH213" i="24" s="1"/>
  <c r="AG213" i="24" s="1"/>
  <c r="AF213" i="24" s="1"/>
  <c r="AD213" i="24" s="1"/>
  <c r="AI229" i="24"/>
  <c r="AH229" i="24" s="1"/>
  <c r="AG229" i="24" s="1"/>
  <c r="AF229" i="24" s="1"/>
  <c r="AD229" i="24" s="1"/>
  <c r="AI245" i="24"/>
  <c r="AH245" i="24" s="1"/>
  <c r="AG245" i="24" s="1"/>
  <c r="AF245" i="24" s="1"/>
  <c r="AD245" i="24" s="1"/>
  <c r="AI277" i="24"/>
  <c r="AH277" i="24" s="1"/>
  <c r="AG277" i="24" s="1"/>
  <c r="AF277" i="24" s="1"/>
  <c r="AD277" i="24" s="1"/>
  <c r="AI309" i="24"/>
  <c r="AH309" i="24" s="1"/>
  <c r="AG309" i="24" s="1"/>
  <c r="AF309" i="24" s="1"/>
  <c r="AD309" i="24" s="1"/>
  <c r="AI341" i="24"/>
  <c r="AH341" i="24" s="1"/>
  <c r="AG341" i="24" s="1"/>
  <c r="AF341" i="24" s="1"/>
  <c r="AD341" i="24" s="1"/>
  <c r="AI370" i="24"/>
  <c r="AH370" i="24" s="1"/>
  <c r="AG370" i="24" s="1"/>
  <c r="AF370" i="24" s="1"/>
  <c r="AD370" i="24" s="1"/>
  <c r="U18" i="24"/>
  <c r="T18" i="24" s="1"/>
  <c r="S18" i="24" s="1"/>
  <c r="R18" i="24" s="1"/>
  <c r="P18" i="24" s="1"/>
  <c r="V18" i="24" s="1"/>
  <c r="U39" i="24"/>
  <c r="T39" i="24" s="1"/>
  <c r="S39" i="24" s="1"/>
  <c r="R39" i="24" s="1"/>
  <c r="P39" i="24" s="1"/>
  <c r="V39" i="24" s="1"/>
  <c r="U55" i="24"/>
  <c r="T55" i="24" s="1"/>
  <c r="S55" i="24" s="1"/>
  <c r="R55" i="24" s="1"/>
  <c r="P55" i="24" s="1"/>
  <c r="V55" i="24" s="1"/>
  <c r="U71" i="24"/>
  <c r="T71" i="24" s="1"/>
  <c r="S71" i="24" s="1"/>
  <c r="R71" i="24" s="1"/>
  <c r="P71" i="24" s="1"/>
  <c r="V71" i="24" s="1"/>
  <c r="U87" i="24"/>
  <c r="T87" i="24" s="1"/>
  <c r="S87" i="24" s="1"/>
  <c r="R87" i="24" s="1"/>
  <c r="P87" i="24" s="1"/>
  <c r="V87" i="24" s="1"/>
  <c r="U103" i="24"/>
  <c r="T103" i="24" s="1"/>
  <c r="S103" i="24" s="1"/>
  <c r="R103" i="24" s="1"/>
  <c r="P103" i="24" s="1"/>
  <c r="V103" i="24" s="1"/>
  <c r="U119" i="24"/>
  <c r="T119" i="24" s="1"/>
  <c r="S119" i="24" s="1"/>
  <c r="R119" i="24" s="1"/>
  <c r="P119" i="24" s="1"/>
  <c r="U135" i="24"/>
  <c r="T135" i="24" s="1"/>
  <c r="S135" i="24" s="1"/>
  <c r="R135" i="24" s="1"/>
  <c r="P135" i="24" s="1"/>
  <c r="V135" i="24" s="1"/>
  <c r="U151" i="24"/>
  <c r="T151" i="24" s="1"/>
  <c r="S151" i="24" s="1"/>
  <c r="R151" i="24" s="1"/>
  <c r="P151" i="24" s="1"/>
  <c r="V151" i="24" s="1"/>
  <c r="U167" i="24"/>
  <c r="T167" i="24" s="1"/>
  <c r="S167" i="24" s="1"/>
  <c r="R167" i="24" s="1"/>
  <c r="P167" i="24" s="1"/>
  <c r="V167" i="24" s="1"/>
  <c r="U183" i="24"/>
  <c r="T183" i="24" s="1"/>
  <c r="S183" i="24" s="1"/>
  <c r="R183" i="24" s="1"/>
  <c r="P183" i="24" s="1"/>
  <c r="V183" i="24" s="1"/>
  <c r="U199" i="24"/>
  <c r="T199" i="24" s="1"/>
  <c r="S199" i="24" s="1"/>
  <c r="R199" i="24" s="1"/>
  <c r="P199" i="24" s="1"/>
  <c r="V199" i="24" s="1"/>
  <c r="U215" i="24"/>
  <c r="T215" i="24" s="1"/>
  <c r="S215" i="24" s="1"/>
  <c r="R215" i="24" s="1"/>
  <c r="P215" i="24" s="1"/>
  <c r="V215" i="24" s="1"/>
  <c r="U231" i="24"/>
  <c r="T231" i="24" s="1"/>
  <c r="S231" i="24" s="1"/>
  <c r="R231" i="24" s="1"/>
  <c r="P231" i="24" s="1"/>
  <c r="V231" i="24" s="1"/>
  <c r="U247" i="24"/>
  <c r="T247" i="24" s="1"/>
  <c r="S247" i="24" s="1"/>
  <c r="R247" i="24" s="1"/>
  <c r="P247" i="24" s="1"/>
  <c r="V247" i="24" s="1"/>
  <c r="U263" i="24"/>
  <c r="T263" i="24" s="1"/>
  <c r="S263" i="24" s="1"/>
  <c r="R263" i="24" s="1"/>
  <c r="P263" i="24" s="1"/>
  <c r="V263" i="24" s="1"/>
  <c r="U279" i="24"/>
  <c r="T279" i="24" s="1"/>
  <c r="S279" i="24" s="1"/>
  <c r="R279" i="24" s="1"/>
  <c r="P279" i="24" s="1"/>
  <c r="V279" i="24" s="1"/>
  <c r="U295" i="24"/>
  <c r="T295" i="24" s="1"/>
  <c r="S295" i="24" s="1"/>
  <c r="R295" i="24" s="1"/>
  <c r="P295" i="24" s="1"/>
  <c r="V295" i="24" s="1"/>
  <c r="U311" i="24"/>
  <c r="T311" i="24" s="1"/>
  <c r="S311" i="24" s="1"/>
  <c r="R311" i="24" s="1"/>
  <c r="P311" i="24" s="1"/>
  <c r="V311" i="24" s="1"/>
  <c r="U327" i="24"/>
  <c r="T327" i="24" s="1"/>
  <c r="S327" i="24" s="1"/>
  <c r="R327" i="24" s="1"/>
  <c r="P327" i="24" s="1"/>
  <c r="V327" i="24" s="1"/>
  <c r="U343" i="24"/>
  <c r="T343" i="24" s="1"/>
  <c r="S343" i="24" s="1"/>
  <c r="R343" i="24" s="1"/>
  <c r="P343" i="24" s="1"/>
  <c r="V343" i="24" s="1"/>
  <c r="U359" i="24"/>
  <c r="T359" i="24" s="1"/>
  <c r="S359" i="24" s="1"/>
  <c r="R359" i="24" s="1"/>
  <c r="P359" i="24" s="1"/>
  <c r="V359" i="24" s="1"/>
  <c r="U375" i="24"/>
  <c r="T375" i="24" s="1"/>
  <c r="S375" i="24" s="1"/>
  <c r="R375" i="24" s="1"/>
  <c r="P375" i="24" s="1"/>
  <c r="V375" i="24" s="1"/>
  <c r="AI356" i="24"/>
  <c r="AH356" i="24" s="1"/>
  <c r="AG356" i="24" s="1"/>
  <c r="AF356" i="24" s="1"/>
  <c r="AD356" i="24" s="1"/>
  <c r="AI340" i="24"/>
  <c r="AH340" i="24" s="1"/>
  <c r="AG340" i="24" s="1"/>
  <c r="AF340" i="24" s="1"/>
  <c r="AD340" i="24" s="1"/>
  <c r="AI324" i="24"/>
  <c r="AH324" i="24" s="1"/>
  <c r="AG324" i="24" s="1"/>
  <c r="AF324" i="24" s="1"/>
  <c r="AD324" i="24" s="1"/>
  <c r="AI308" i="24"/>
  <c r="AH308" i="24" s="1"/>
  <c r="AG308" i="24" s="1"/>
  <c r="AF308" i="24" s="1"/>
  <c r="AD308" i="24" s="1"/>
  <c r="AI292" i="24"/>
  <c r="AH292" i="24" s="1"/>
  <c r="AG292" i="24" s="1"/>
  <c r="AF292" i="24" s="1"/>
  <c r="AD292" i="24" s="1"/>
  <c r="AI276" i="24"/>
  <c r="AH276" i="24" s="1"/>
  <c r="AG276" i="24" s="1"/>
  <c r="AF276" i="24" s="1"/>
  <c r="AD276" i="24" s="1"/>
  <c r="AI260" i="24"/>
  <c r="AH260" i="24" s="1"/>
  <c r="AG260" i="24" s="1"/>
  <c r="AF260" i="24" s="1"/>
  <c r="AD260" i="24" s="1"/>
  <c r="AI244" i="24"/>
  <c r="AH244" i="24" s="1"/>
  <c r="AG244" i="24" s="1"/>
  <c r="AF244" i="24" s="1"/>
  <c r="AD244" i="24" s="1"/>
  <c r="AI228" i="24"/>
  <c r="AH228" i="24" s="1"/>
  <c r="AG228" i="24" s="1"/>
  <c r="AF228" i="24" s="1"/>
  <c r="AD228" i="24" s="1"/>
  <c r="AI212" i="24"/>
  <c r="AH212" i="24" s="1"/>
  <c r="AG212" i="24" s="1"/>
  <c r="AF212" i="24" s="1"/>
  <c r="AD212" i="24" s="1"/>
  <c r="AI196" i="24"/>
  <c r="AH196" i="24" s="1"/>
  <c r="AG196" i="24" s="1"/>
  <c r="AF196" i="24" s="1"/>
  <c r="AD196" i="24" s="1"/>
  <c r="AI180" i="24"/>
  <c r="AH180" i="24" s="1"/>
  <c r="AG180" i="24" s="1"/>
  <c r="AF180" i="24" s="1"/>
  <c r="AD180" i="24" s="1"/>
  <c r="AI164" i="24"/>
  <c r="AH164" i="24" s="1"/>
  <c r="AG164" i="24" s="1"/>
  <c r="AF164" i="24" s="1"/>
  <c r="AD164" i="24" s="1"/>
  <c r="AI148" i="24"/>
  <c r="AH148" i="24" s="1"/>
  <c r="AG148" i="24" s="1"/>
  <c r="AF148" i="24" s="1"/>
  <c r="AD148" i="24" s="1"/>
  <c r="AI132" i="24"/>
  <c r="AH132" i="24" s="1"/>
  <c r="AG132" i="24" s="1"/>
  <c r="AF132" i="24" s="1"/>
  <c r="AD132" i="24" s="1"/>
  <c r="AI116" i="24"/>
  <c r="AH116" i="24" s="1"/>
  <c r="AG116" i="24" s="1"/>
  <c r="AF116" i="24" s="1"/>
  <c r="AD116" i="24" s="1"/>
  <c r="AI100" i="24"/>
  <c r="AH100" i="24" s="1"/>
  <c r="AG100" i="24" s="1"/>
  <c r="AF100" i="24" s="1"/>
  <c r="AD100" i="24" s="1"/>
  <c r="AI84" i="24"/>
  <c r="AH84" i="24" s="1"/>
  <c r="AG84" i="24" s="1"/>
  <c r="AF84" i="24" s="1"/>
  <c r="AD84" i="24" s="1"/>
  <c r="AI68" i="24"/>
  <c r="AH68" i="24" s="1"/>
  <c r="AG68" i="24" s="1"/>
  <c r="AF68" i="24" s="1"/>
  <c r="AD68" i="24" s="1"/>
  <c r="AI52" i="24"/>
  <c r="AH52" i="24" s="1"/>
  <c r="AG52" i="24" s="1"/>
  <c r="AF52" i="24" s="1"/>
  <c r="AD52" i="24" s="1"/>
  <c r="AI32" i="24"/>
  <c r="AH32" i="24" s="1"/>
  <c r="AG32" i="24" s="1"/>
  <c r="AF32" i="24" s="1"/>
  <c r="AD32" i="24" s="1"/>
  <c r="AI55" i="24"/>
  <c r="AH55" i="24" s="1"/>
  <c r="AG55" i="24" s="1"/>
  <c r="AF55" i="24" s="1"/>
  <c r="AD55" i="24" s="1"/>
  <c r="AI119" i="24"/>
  <c r="AH119" i="24" s="1"/>
  <c r="AG119" i="24" s="1"/>
  <c r="AF119" i="24" s="1"/>
  <c r="AD119" i="24" s="1"/>
  <c r="AI183" i="24"/>
  <c r="AH183" i="24" s="1"/>
  <c r="AG183" i="24" s="1"/>
  <c r="AF183" i="24" s="1"/>
  <c r="AD183" i="24" s="1"/>
  <c r="AI247" i="24"/>
  <c r="AH247" i="24" s="1"/>
  <c r="AG247" i="24" s="1"/>
  <c r="AF247" i="24" s="1"/>
  <c r="AD247" i="24" s="1"/>
  <c r="AI311" i="24"/>
  <c r="AH311" i="24" s="1"/>
  <c r="AG311" i="24" s="1"/>
  <c r="AF311" i="24" s="1"/>
  <c r="AD311" i="24" s="1"/>
  <c r="AI371" i="24"/>
  <c r="AH371" i="24" s="1"/>
  <c r="AG371" i="24" s="1"/>
  <c r="AF371" i="24" s="1"/>
  <c r="AD371" i="24" s="1"/>
  <c r="U36" i="24"/>
  <c r="T36" i="24" s="1"/>
  <c r="S36" i="24" s="1"/>
  <c r="R36" i="24" s="1"/>
  <c r="P36" i="24" s="1"/>
  <c r="V36" i="24" s="1"/>
  <c r="U68" i="24"/>
  <c r="T68" i="24" s="1"/>
  <c r="S68" i="24" s="1"/>
  <c r="R68" i="24" s="1"/>
  <c r="P68" i="24" s="1"/>
  <c r="V68" i="24" s="1"/>
  <c r="U100" i="24"/>
  <c r="T100" i="24" s="1"/>
  <c r="S100" i="24" s="1"/>
  <c r="R100" i="24" s="1"/>
  <c r="P100" i="24" s="1"/>
  <c r="V100" i="24" s="1"/>
  <c r="U132" i="24"/>
  <c r="T132" i="24" s="1"/>
  <c r="S132" i="24" s="1"/>
  <c r="R132" i="24" s="1"/>
  <c r="P132" i="24" s="1"/>
  <c r="V132" i="24" s="1"/>
  <c r="U164" i="24"/>
  <c r="T164" i="24" s="1"/>
  <c r="S164" i="24" s="1"/>
  <c r="R164" i="24" s="1"/>
  <c r="P164" i="24" s="1"/>
  <c r="V164" i="24" s="1"/>
  <c r="U196" i="24"/>
  <c r="T196" i="24" s="1"/>
  <c r="S196" i="24" s="1"/>
  <c r="R196" i="24" s="1"/>
  <c r="P196" i="24" s="1"/>
  <c r="V196" i="24" s="1"/>
  <c r="U228" i="24"/>
  <c r="T228" i="24" s="1"/>
  <c r="S228" i="24" s="1"/>
  <c r="R228" i="24" s="1"/>
  <c r="P228" i="24" s="1"/>
  <c r="V228" i="24" s="1"/>
  <c r="U260" i="24"/>
  <c r="T260" i="24" s="1"/>
  <c r="S260" i="24" s="1"/>
  <c r="R260" i="24" s="1"/>
  <c r="P260" i="24" s="1"/>
  <c r="V260" i="24" s="1"/>
  <c r="U292" i="24"/>
  <c r="T292" i="24" s="1"/>
  <c r="S292" i="24" s="1"/>
  <c r="R292" i="24" s="1"/>
  <c r="P292" i="24" s="1"/>
  <c r="V292" i="24" s="1"/>
  <c r="U324" i="24"/>
  <c r="T324" i="24" s="1"/>
  <c r="S324" i="24" s="1"/>
  <c r="R324" i="24" s="1"/>
  <c r="P324" i="24" s="1"/>
  <c r="V324" i="24" s="1"/>
  <c r="U356" i="24"/>
  <c r="T356" i="24" s="1"/>
  <c r="S356" i="24" s="1"/>
  <c r="R356" i="24" s="1"/>
  <c r="P356" i="24" s="1"/>
  <c r="V356" i="24" s="1"/>
  <c r="AI67" i="24"/>
  <c r="AH67" i="24" s="1"/>
  <c r="AG67" i="24" s="1"/>
  <c r="AF67" i="24" s="1"/>
  <c r="AD67" i="24" s="1"/>
  <c r="U312" i="24"/>
  <c r="T312" i="24" s="1"/>
  <c r="S312" i="24" s="1"/>
  <c r="R312" i="24" s="1"/>
  <c r="P312" i="24" s="1"/>
  <c r="V312" i="24" s="1"/>
  <c r="U184" i="24"/>
  <c r="T184" i="24" s="1"/>
  <c r="S184" i="24" s="1"/>
  <c r="R184" i="24" s="1"/>
  <c r="P184" i="24" s="1"/>
  <c r="V184" i="24" s="1"/>
  <c r="U56" i="24"/>
  <c r="T56" i="24" s="1"/>
  <c r="S56" i="24" s="1"/>
  <c r="R56" i="24" s="1"/>
  <c r="P56" i="24" s="1"/>
  <c r="V56" i="24" s="1"/>
  <c r="AI159" i="24"/>
  <c r="AH159" i="24" s="1"/>
  <c r="AG159" i="24" s="1"/>
  <c r="AF159" i="24" s="1"/>
  <c r="AD159" i="24" s="1"/>
  <c r="AI74" i="24"/>
  <c r="AH74" i="24" s="1"/>
  <c r="AG74" i="24" s="1"/>
  <c r="AF74" i="24" s="1"/>
  <c r="AD74" i="24" s="1"/>
  <c r="AI138" i="24"/>
  <c r="AH138" i="24" s="1"/>
  <c r="AG138" i="24" s="1"/>
  <c r="AF138" i="24" s="1"/>
  <c r="AD138" i="24" s="1"/>
  <c r="AI202" i="24"/>
  <c r="AH202" i="24" s="1"/>
  <c r="AG202" i="24" s="1"/>
  <c r="AF202" i="24" s="1"/>
  <c r="AD202" i="24" s="1"/>
  <c r="AI266" i="24"/>
  <c r="AH266" i="24" s="1"/>
  <c r="AG266" i="24" s="1"/>
  <c r="AF266" i="24" s="1"/>
  <c r="AD266" i="24" s="1"/>
  <c r="AI330" i="24"/>
  <c r="AH330" i="24" s="1"/>
  <c r="AG330" i="24" s="1"/>
  <c r="AF330" i="24" s="1"/>
  <c r="AD330" i="24" s="1"/>
  <c r="U353" i="24"/>
  <c r="T353" i="24" s="1"/>
  <c r="S353" i="24" s="1"/>
  <c r="R353" i="24" s="1"/>
  <c r="P353" i="24" s="1"/>
  <c r="V353" i="24" s="1"/>
  <c r="U289" i="24"/>
  <c r="T289" i="24" s="1"/>
  <c r="S289" i="24" s="1"/>
  <c r="R289" i="24" s="1"/>
  <c r="P289" i="24" s="1"/>
  <c r="V289" i="24" s="1"/>
  <c r="U225" i="24"/>
  <c r="T225" i="24" s="1"/>
  <c r="S225" i="24" s="1"/>
  <c r="R225" i="24" s="1"/>
  <c r="P225" i="24" s="1"/>
  <c r="V225" i="24" s="1"/>
  <c r="U161" i="24"/>
  <c r="T161" i="24" s="1"/>
  <c r="S161" i="24" s="1"/>
  <c r="R161" i="24" s="1"/>
  <c r="P161" i="24" s="1"/>
  <c r="V161" i="24" s="1"/>
  <c r="U97" i="24"/>
  <c r="T97" i="24" s="1"/>
  <c r="S97" i="24" s="1"/>
  <c r="R97" i="24" s="1"/>
  <c r="P97" i="24" s="1"/>
  <c r="V97" i="24" s="1"/>
  <c r="U33" i="24"/>
  <c r="T33" i="24" s="1"/>
  <c r="S33" i="24" s="1"/>
  <c r="R33" i="24" s="1"/>
  <c r="P33" i="24" s="1"/>
  <c r="V33" i="24" s="1"/>
  <c r="AI297" i="24"/>
  <c r="AH297" i="24" s="1"/>
  <c r="AG297" i="24" s="1"/>
  <c r="AF297" i="24" s="1"/>
  <c r="AD297" i="24" s="1"/>
  <c r="AI169" i="24"/>
  <c r="AH169" i="24" s="1"/>
  <c r="AG169" i="24" s="1"/>
  <c r="AF169" i="24" s="1"/>
  <c r="AD169" i="24" s="1"/>
  <c r="AI41" i="24"/>
  <c r="AH41" i="24" s="1"/>
  <c r="AG41" i="24" s="1"/>
  <c r="AF41" i="24" s="1"/>
  <c r="AD41" i="24" s="1"/>
  <c r="AI351" i="24"/>
  <c r="AH351" i="24" s="1"/>
  <c r="AG351" i="24" s="1"/>
  <c r="AF351" i="24" s="1"/>
  <c r="AD351" i="24" s="1"/>
  <c r="H37" i="19"/>
  <c r="V272" i="24"/>
  <c r="AH64" i="7"/>
  <c r="AH66" i="7"/>
  <c r="V333" i="24"/>
  <c r="AZ16" i="7"/>
  <c r="BF11" i="7" s="1"/>
  <c r="U11" i="25" s="1"/>
  <c r="AH62" i="7"/>
  <c r="AH107" i="24"/>
  <c r="AD382" i="22"/>
  <c r="AD381" i="22"/>
  <c r="AD383" i="22"/>
  <c r="R21" i="23"/>
  <c r="S383" i="23"/>
  <c r="S382" i="23"/>
  <c r="S381" i="23"/>
  <c r="AG382" i="23"/>
  <c r="AG381" i="23"/>
  <c r="AG383" i="23"/>
  <c r="AF15" i="23"/>
  <c r="P383" i="22"/>
  <c r="V15" i="22"/>
  <c r="P381" i="22"/>
  <c r="P382" i="22"/>
  <c r="V15" i="23"/>
  <c r="R15" i="24"/>
  <c r="D43" i="19" l="1"/>
  <c r="S383" i="24"/>
  <c r="U382" i="24"/>
  <c r="L69" i="19"/>
  <c r="S381" i="24"/>
  <c r="T381" i="24"/>
  <c r="K69" i="19"/>
  <c r="AH379" i="24"/>
  <c r="AG379" i="24" s="1"/>
  <c r="AF379" i="24" s="1"/>
  <c r="AD379" i="24" s="1"/>
  <c r="AI381" i="24"/>
  <c r="AI383" i="24"/>
  <c r="H69" i="19"/>
  <c r="J69" i="19"/>
  <c r="G69" i="19"/>
  <c r="AH59" i="7"/>
  <c r="V119" i="24"/>
  <c r="E69" i="19" s="1"/>
  <c r="U381" i="24"/>
  <c r="AH15" i="24"/>
  <c r="AG15" i="24" s="1"/>
  <c r="AF15" i="24" s="1"/>
  <c r="AI382" i="24"/>
  <c r="V363" i="24"/>
  <c r="M69" i="19" s="1"/>
  <c r="AH67" i="7"/>
  <c r="S382" i="24"/>
  <c r="T382" i="24"/>
  <c r="U12" i="25"/>
  <c r="BE16" i="7" s="1"/>
  <c r="U383" i="24"/>
  <c r="AH60" i="7"/>
  <c r="V149" i="24"/>
  <c r="F69" i="19" s="1"/>
  <c r="T383" i="24"/>
  <c r="AH57" i="7"/>
  <c r="V60" i="24"/>
  <c r="C69" i="19" s="1"/>
  <c r="V88" i="24"/>
  <c r="D69" i="19" s="1"/>
  <c r="AH58" i="7"/>
  <c r="AH63" i="7"/>
  <c r="V241" i="24"/>
  <c r="I69" i="19" s="1"/>
  <c r="U10" i="25"/>
  <c r="AG107" i="24"/>
  <c r="AH381" i="24"/>
  <c r="V381" i="22"/>
  <c r="B67" i="19"/>
  <c r="N67" i="19" s="1"/>
  <c r="V383" i="22"/>
  <c r="V382" i="22"/>
  <c r="P21" i="23"/>
  <c r="R383" i="23"/>
  <c r="R382" i="23"/>
  <c r="R381" i="23"/>
  <c r="AF382" i="23"/>
  <c r="AD15" i="23"/>
  <c r="AF383" i="23"/>
  <c r="AF381" i="23"/>
  <c r="R381" i="24"/>
  <c r="R382" i="24"/>
  <c r="R383" i="24"/>
  <c r="P15" i="24"/>
  <c r="AH382" i="24" l="1"/>
  <c r="AD15" i="24"/>
  <c r="AH383" i="24"/>
  <c r="BG16" i="7"/>
  <c r="AI89" i="25"/>
  <c r="AH89" i="25" s="1"/>
  <c r="AG89" i="25" s="1"/>
  <c r="AF89" i="25" s="1"/>
  <c r="AD89" i="25" s="1"/>
  <c r="AI121" i="25"/>
  <c r="AH121" i="25" s="1"/>
  <c r="AG121" i="25" s="1"/>
  <c r="AF121" i="25" s="1"/>
  <c r="AD121" i="25" s="1"/>
  <c r="AI153" i="25"/>
  <c r="AH153" i="25" s="1"/>
  <c r="AG153" i="25" s="1"/>
  <c r="AF153" i="25" s="1"/>
  <c r="AD153" i="25" s="1"/>
  <c r="AI185" i="25"/>
  <c r="AH185" i="25" s="1"/>
  <c r="AG185" i="25" s="1"/>
  <c r="AF185" i="25" s="1"/>
  <c r="AD185" i="25" s="1"/>
  <c r="AI201" i="25"/>
  <c r="AH201" i="25" s="1"/>
  <c r="AG201" i="25" s="1"/>
  <c r="AF201" i="25" s="1"/>
  <c r="AD201" i="25" s="1"/>
  <c r="AI217" i="25"/>
  <c r="AH217" i="25" s="1"/>
  <c r="AG217" i="25" s="1"/>
  <c r="AF217" i="25" s="1"/>
  <c r="AD217" i="25" s="1"/>
  <c r="AI233" i="25"/>
  <c r="AH233" i="25" s="1"/>
  <c r="AG233" i="25" s="1"/>
  <c r="AF233" i="25" s="1"/>
  <c r="AD233" i="25" s="1"/>
  <c r="AI249" i="25"/>
  <c r="AH249" i="25" s="1"/>
  <c r="AG249" i="25" s="1"/>
  <c r="AF249" i="25" s="1"/>
  <c r="AD249" i="25" s="1"/>
  <c r="AI265" i="25"/>
  <c r="AH265" i="25" s="1"/>
  <c r="AG265" i="25" s="1"/>
  <c r="AF265" i="25" s="1"/>
  <c r="AD265" i="25" s="1"/>
  <c r="AI281" i="25"/>
  <c r="AH281" i="25" s="1"/>
  <c r="AG281" i="25" s="1"/>
  <c r="AF281" i="25" s="1"/>
  <c r="AD281" i="25" s="1"/>
  <c r="AI297" i="25"/>
  <c r="AH297" i="25" s="1"/>
  <c r="AG297" i="25" s="1"/>
  <c r="AF297" i="25" s="1"/>
  <c r="AD297" i="25" s="1"/>
  <c r="AI313" i="25"/>
  <c r="AH313" i="25" s="1"/>
  <c r="AG313" i="25" s="1"/>
  <c r="AF313" i="25" s="1"/>
  <c r="AD313" i="25" s="1"/>
  <c r="AI329" i="25"/>
  <c r="AH329" i="25" s="1"/>
  <c r="AG329" i="25" s="1"/>
  <c r="AF329" i="25" s="1"/>
  <c r="AD329" i="25" s="1"/>
  <c r="AI345" i="25"/>
  <c r="AH345" i="25" s="1"/>
  <c r="AG345" i="25" s="1"/>
  <c r="AF345" i="25" s="1"/>
  <c r="AD345" i="25" s="1"/>
  <c r="AI361" i="25"/>
  <c r="AH361" i="25" s="1"/>
  <c r="AG361" i="25" s="1"/>
  <c r="AF361" i="25" s="1"/>
  <c r="AD361" i="25" s="1"/>
  <c r="AI377" i="25"/>
  <c r="AH377" i="25" s="1"/>
  <c r="AG377" i="25" s="1"/>
  <c r="AF377" i="25" s="1"/>
  <c r="AD377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AI81" i="25"/>
  <c r="AH81" i="25" s="1"/>
  <c r="AG81" i="25" s="1"/>
  <c r="AF81" i="25" s="1"/>
  <c r="AD81" i="25" s="1"/>
  <c r="AI41" i="25"/>
  <c r="AH41" i="25" s="1"/>
  <c r="AG41" i="25" s="1"/>
  <c r="AF41" i="25" s="1"/>
  <c r="AD41" i="25" s="1"/>
  <c r="AI173" i="25"/>
  <c r="AH173" i="25" s="1"/>
  <c r="AG173" i="25" s="1"/>
  <c r="AF173" i="25" s="1"/>
  <c r="AD173" i="25" s="1"/>
  <c r="AI157" i="25"/>
  <c r="AH157" i="25" s="1"/>
  <c r="AG157" i="25" s="1"/>
  <c r="AF157" i="25" s="1"/>
  <c r="AD157" i="25" s="1"/>
  <c r="AI141" i="25"/>
  <c r="AH141" i="25" s="1"/>
  <c r="AG141" i="25" s="1"/>
  <c r="AF141" i="25" s="1"/>
  <c r="AD141" i="25" s="1"/>
  <c r="AI125" i="25"/>
  <c r="AH125" i="25" s="1"/>
  <c r="AG125" i="25" s="1"/>
  <c r="AF125" i="25" s="1"/>
  <c r="AD125" i="25" s="1"/>
  <c r="AI109" i="25"/>
  <c r="AH109" i="25" s="1"/>
  <c r="AG109" i="25" s="1"/>
  <c r="AF109" i="25" s="1"/>
  <c r="AD109" i="25" s="1"/>
  <c r="AI93" i="25"/>
  <c r="AH93" i="25" s="1"/>
  <c r="AG93" i="25" s="1"/>
  <c r="AF93" i="25" s="1"/>
  <c r="AD93" i="25" s="1"/>
  <c r="AI77" i="25"/>
  <c r="AH77" i="25" s="1"/>
  <c r="AG77" i="25" s="1"/>
  <c r="AF77" i="25" s="1"/>
  <c r="AD77" i="25" s="1"/>
  <c r="AI61" i="25"/>
  <c r="AH61" i="25" s="1"/>
  <c r="AG61" i="25" s="1"/>
  <c r="AF61" i="25" s="1"/>
  <c r="AD61" i="25" s="1"/>
  <c r="AI29" i="25"/>
  <c r="AH29" i="25" s="1"/>
  <c r="AG29" i="25" s="1"/>
  <c r="AF29" i="25" s="1"/>
  <c r="AD29" i="25" s="1"/>
  <c r="AI45" i="25"/>
  <c r="AH45" i="25" s="1"/>
  <c r="AG45" i="25" s="1"/>
  <c r="AF45" i="25" s="1"/>
  <c r="AD45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U379" i="25"/>
  <c r="U375" i="25"/>
  <c r="T375" i="25" s="1"/>
  <c r="S375" i="25" s="1"/>
  <c r="R375" i="25" s="1"/>
  <c r="P375" i="25" s="1"/>
  <c r="V375" i="25" s="1"/>
  <c r="U371" i="25"/>
  <c r="T371" i="25" s="1"/>
  <c r="S371" i="25" s="1"/>
  <c r="R371" i="25" s="1"/>
  <c r="P371" i="25" s="1"/>
  <c r="V371" i="25" s="1"/>
  <c r="U367" i="25"/>
  <c r="T367" i="25" s="1"/>
  <c r="S367" i="25" s="1"/>
  <c r="R367" i="25" s="1"/>
  <c r="P367" i="25" s="1"/>
  <c r="V367" i="25" s="1"/>
  <c r="U363" i="25"/>
  <c r="T363" i="25" s="1"/>
  <c r="S363" i="25" s="1"/>
  <c r="R363" i="25" s="1"/>
  <c r="P363" i="25" s="1"/>
  <c r="U359" i="25"/>
  <c r="T359" i="25" s="1"/>
  <c r="S359" i="25" s="1"/>
  <c r="R359" i="25" s="1"/>
  <c r="P359" i="25" s="1"/>
  <c r="V359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5" i="25"/>
  <c r="T255" i="25" s="1"/>
  <c r="S255" i="25" s="1"/>
  <c r="R255" i="25" s="1"/>
  <c r="P255" i="25" s="1"/>
  <c r="V255" i="25" s="1"/>
  <c r="U251" i="25"/>
  <c r="T251" i="25" s="1"/>
  <c r="S251" i="25" s="1"/>
  <c r="R251" i="25" s="1"/>
  <c r="P251" i="25" s="1"/>
  <c r="V251" i="25" s="1"/>
  <c r="U247" i="25"/>
  <c r="T247" i="25" s="1"/>
  <c r="S247" i="25" s="1"/>
  <c r="R247" i="25" s="1"/>
  <c r="P247" i="25" s="1"/>
  <c r="V247" i="25" s="1"/>
  <c r="U243" i="25"/>
  <c r="T243" i="25" s="1"/>
  <c r="S243" i="25" s="1"/>
  <c r="R243" i="25" s="1"/>
  <c r="P243" i="25" s="1"/>
  <c r="V243" i="25" s="1"/>
  <c r="U239" i="25"/>
  <c r="T239" i="25" s="1"/>
  <c r="S239" i="25" s="1"/>
  <c r="R239" i="25" s="1"/>
  <c r="P239" i="25" s="1"/>
  <c r="V239" i="25" s="1"/>
  <c r="U235" i="25"/>
  <c r="T235" i="25" s="1"/>
  <c r="S235" i="25" s="1"/>
  <c r="R235" i="25" s="1"/>
  <c r="P235" i="25" s="1"/>
  <c r="V235" i="25" s="1"/>
  <c r="U231" i="25"/>
  <c r="T231" i="25" s="1"/>
  <c r="S231" i="25" s="1"/>
  <c r="R231" i="25" s="1"/>
  <c r="P231" i="25" s="1"/>
  <c r="V231" i="25" s="1"/>
  <c r="U227" i="25"/>
  <c r="T227" i="25" s="1"/>
  <c r="S227" i="25" s="1"/>
  <c r="R227" i="25" s="1"/>
  <c r="P227" i="25" s="1"/>
  <c r="V227" i="25" s="1"/>
  <c r="U223" i="25"/>
  <c r="T223" i="25" s="1"/>
  <c r="S223" i="25" s="1"/>
  <c r="R223" i="25" s="1"/>
  <c r="P223" i="25" s="1"/>
  <c r="V223" i="25" s="1"/>
  <c r="U219" i="25"/>
  <c r="T219" i="25" s="1"/>
  <c r="S219" i="25" s="1"/>
  <c r="R219" i="25" s="1"/>
  <c r="P219" i="25" s="1"/>
  <c r="V219" i="25" s="1"/>
  <c r="U215" i="25"/>
  <c r="T215" i="25" s="1"/>
  <c r="S215" i="25" s="1"/>
  <c r="R215" i="25" s="1"/>
  <c r="P215" i="25" s="1"/>
  <c r="V215" i="25" s="1"/>
  <c r="U211" i="25"/>
  <c r="T211" i="25" s="1"/>
  <c r="S211" i="25" s="1"/>
  <c r="R211" i="25" s="1"/>
  <c r="P211" i="25" s="1"/>
  <c r="V211" i="25" s="1"/>
  <c r="U207" i="25"/>
  <c r="T207" i="25" s="1"/>
  <c r="S207" i="25" s="1"/>
  <c r="R207" i="25" s="1"/>
  <c r="P207" i="25" s="1"/>
  <c r="V207" i="25" s="1"/>
  <c r="U203" i="25"/>
  <c r="T203" i="25" s="1"/>
  <c r="S203" i="25" s="1"/>
  <c r="R203" i="25" s="1"/>
  <c r="P203" i="25" s="1"/>
  <c r="V203" i="25" s="1"/>
  <c r="U199" i="25"/>
  <c r="T199" i="25" s="1"/>
  <c r="S199" i="25" s="1"/>
  <c r="R199" i="25" s="1"/>
  <c r="P199" i="25" s="1"/>
  <c r="V199" i="25" s="1"/>
  <c r="U195" i="25"/>
  <c r="T195" i="25" s="1"/>
  <c r="S195" i="25" s="1"/>
  <c r="R195" i="25" s="1"/>
  <c r="P195" i="25" s="1"/>
  <c r="V195" i="25" s="1"/>
  <c r="U191" i="25"/>
  <c r="T191" i="25" s="1"/>
  <c r="S191" i="25" s="1"/>
  <c r="R191" i="25" s="1"/>
  <c r="P191" i="25" s="1"/>
  <c r="V191" i="25" s="1"/>
  <c r="U187" i="25"/>
  <c r="T187" i="25" s="1"/>
  <c r="S187" i="25" s="1"/>
  <c r="R187" i="25" s="1"/>
  <c r="P187" i="25" s="1"/>
  <c r="V187" i="25" s="1"/>
  <c r="U183" i="25"/>
  <c r="T183" i="25" s="1"/>
  <c r="S183" i="25" s="1"/>
  <c r="R183" i="25" s="1"/>
  <c r="P183" i="25" s="1"/>
  <c r="V183" i="25" s="1"/>
  <c r="U179" i="25"/>
  <c r="T179" i="25" s="1"/>
  <c r="S179" i="25" s="1"/>
  <c r="R179" i="25" s="1"/>
  <c r="P179" i="25" s="1"/>
  <c r="V179" i="25" s="1"/>
  <c r="U175" i="25"/>
  <c r="T175" i="25" s="1"/>
  <c r="S175" i="25" s="1"/>
  <c r="R175" i="25" s="1"/>
  <c r="P175" i="25" s="1"/>
  <c r="V175" i="25" s="1"/>
  <c r="U171" i="25"/>
  <c r="T171" i="25" s="1"/>
  <c r="S171" i="25" s="1"/>
  <c r="R171" i="25" s="1"/>
  <c r="P171" i="25" s="1"/>
  <c r="V171" i="25" s="1"/>
  <c r="U167" i="25"/>
  <c r="T167" i="25" s="1"/>
  <c r="S167" i="25" s="1"/>
  <c r="R167" i="25" s="1"/>
  <c r="P167" i="25" s="1"/>
  <c r="V167" i="25" s="1"/>
  <c r="U163" i="25"/>
  <c r="T163" i="25" s="1"/>
  <c r="S163" i="25" s="1"/>
  <c r="R163" i="25" s="1"/>
  <c r="P163" i="25" s="1"/>
  <c r="V163" i="25" s="1"/>
  <c r="U159" i="25"/>
  <c r="T159" i="25" s="1"/>
  <c r="S159" i="25" s="1"/>
  <c r="R159" i="25" s="1"/>
  <c r="P159" i="25" s="1"/>
  <c r="V159" i="25" s="1"/>
  <c r="U155" i="25"/>
  <c r="T155" i="25" s="1"/>
  <c r="S155" i="25" s="1"/>
  <c r="R155" i="25" s="1"/>
  <c r="P155" i="25" s="1"/>
  <c r="V155" i="25" s="1"/>
  <c r="U151" i="25"/>
  <c r="T151" i="25" s="1"/>
  <c r="S151" i="25" s="1"/>
  <c r="R151" i="25" s="1"/>
  <c r="P151" i="25" s="1"/>
  <c r="V151" i="25" s="1"/>
  <c r="U147" i="25"/>
  <c r="T147" i="25" s="1"/>
  <c r="S147" i="25" s="1"/>
  <c r="R147" i="25" s="1"/>
  <c r="P147" i="25" s="1"/>
  <c r="V147" i="25" s="1"/>
  <c r="U143" i="25"/>
  <c r="T143" i="25" s="1"/>
  <c r="S143" i="25" s="1"/>
  <c r="R143" i="25" s="1"/>
  <c r="P143" i="25" s="1"/>
  <c r="V143" i="25" s="1"/>
  <c r="U139" i="25"/>
  <c r="T139" i="25" s="1"/>
  <c r="S139" i="25" s="1"/>
  <c r="R139" i="25" s="1"/>
  <c r="P139" i="25" s="1"/>
  <c r="V139" i="25" s="1"/>
  <c r="U135" i="25"/>
  <c r="T135" i="25" s="1"/>
  <c r="S135" i="25" s="1"/>
  <c r="R135" i="25" s="1"/>
  <c r="P135" i="25" s="1"/>
  <c r="V135" i="25" s="1"/>
  <c r="U131" i="25"/>
  <c r="T131" i="25" s="1"/>
  <c r="S131" i="25" s="1"/>
  <c r="R131" i="25" s="1"/>
  <c r="P131" i="25" s="1"/>
  <c r="V131" i="25" s="1"/>
  <c r="U127" i="25"/>
  <c r="T127" i="25" s="1"/>
  <c r="S127" i="25" s="1"/>
  <c r="R127" i="25" s="1"/>
  <c r="P127" i="25" s="1"/>
  <c r="V127" i="25" s="1"/>
  <c r="U123" i="25"/>
  <c r="T123" i="25" s="1"/>
  <c r="S123" i="25" s="1"/>
  <c r="R123" i="25" s="1"/>
  <c r="P123" i="25" s="1"/>
  <c r="V123" i="25" s="1"/>
  <c r="U119" i="25"/>
  <c r="T119" i="25" s="1"/>
  <c r="S119" i="25" s="1"/>
  <c r="R119" i="25" s="1"/>
  <c r="P119" i="25" s="1"/>
  <c r="U115" i="25"/>
  <c r="T115" i="25" s="1"/>
  <c r="S115" i="25" s="1"/>
  <c r="R115" i="25" s="1"/>
  <c r="P115" i="25" s="1"/>
  <c r="V115" i="25" s="1"/>
  <c r="U111" i="25"/>
  <c r="T111" i="25" s="1"/>
  <c r="S111" i="25" s="1"/>
  <c r="R111" i="25" s="1"/>
  <c r="P111" i="25" s="1"/>
  <c r="V111" i="25" s="1"/>
  <c r="U107" i="25"/>
  <c r="T107" i="25" s="1"/>
  <c r="S107" i="25" s="1"/>
  <c r="R107" i="25" s="1"/>
  <c r="P107" i="25" s="1"/>
  <c r="V107" i="25" s="1"/>
  <c r="U103" i="25"/>
  <c r="T103" i="25" s="1"/>
  <c r="S103" i="25" s="1"/>
  <c r="R103" i="25" s="1"/>
  <c r="P103" i="25" s="1"/>
  <c r="V103" i="25" s="1"/>
  <c r="U99" i="25"/>
  <c r="T99" i="25" s="1"/>
  <c r="S99" i="25" s="1"/>
  <c r="R99" i="25" s="1"/>
  <c r="P99" i="25" s="1"/>
  <c r="V99" i="25" s="1"/>
  <c r="U95" i="25"/>
  <c r="T95" i="25" s="1"/>
  <c r="S95" i="25" s="1"/>
  <c r="R95" i="25" s="1"/>
  <c r="P95" i="25" s="1"/>
  <c r="V95" i="25" s="1"/>
  <c r="U91" i="25"/>
  <c r="T91" i="25" s="1"/>
  <c r="S91" i="25" s="1"/>
  <c r="R91" i="25" s="1"/>
  <c r="P91" i="25" s="1"/>
  <c r="V91" i="25" s="1"/>
  <c r="U87" i="25"/>
  <c r="T87" i="25" s="1"/>
  <c r="S87" i="25" s="1"/>
  <c r="R87" i="25" s="1"/>
  <c r="P87" i="25" s="1"/>
  <c r="V87" i="25" s="1"/>
  <c r="U83" i="25"/>
  <c r="T83" i="25" s="1"/>
  <c r="S83" i="25" s="1"/>
  <c r="R83" i="25" s="1"/>
  <c r="P83" i="25" s="1"/>
  <c r="V83" i="25" s="1"/>
  <c r="U79" i="25"/>
  <c r="T79" i="25" s="1"/>
  <c r="S79" i="25" s="1"/>
  <c r="R79" i="25" s="1"/>
  <c r="P79" i="25" s="1"/>
  <c r="V79" i="25" s="1"/>
  <c r="U75" i="25"/>
  <c r="T75" i="25" s="1"/>
  <c r="S75" i="25" s="1"/>
  <c r="R75" i="25" s="1"/>
  <c r="P75" i="25" s="1"/>
  <c r="V75" i="25" s="1"/>
  <c r="U71" i="25"/>
  <c r="T71" i="25" s="1"/>
  <c r="S71" i="25" s="1"/>
  <c r="R71" i="25" s="1"/>
  <c r="P71" i="25" s="1"/>
  <c r="V71" i="25" s="1"/>
  <c r="U67" i="25"/>
  <c r="T67" i="25" s="1"/>
  <c r="S67" i="25" s="1"/>
  <c r="R67" i="25" s="1"/>
  <c r="P67" i="25" s="1"/>
  <c r="V67" i="25" s="1"/>
  <c r="U63" i="25"/>
  <c r="T63" i="25" s="1"/>
  <c r="S63" i="25" s="1"/>
  <c r="R63" i="25" s="1"/>
  <c r="P63" i="25" s="1"/>
  <c r="V63" i="25" s="1"/>
  <c r="U59" i="25"/>
  <c r="T59" i="25" s="1"/>
  <c r="S59" i="25" s="1"/>
  <c r="R59" i="25" s="1"/>
  <c r="P59" i="25" s="1"/>
  <c r="V59" i="25" s="1"/>
  <c r="U55" i="25"/>
  <c r="T55" i="25" s="1"/>
  <c r="S55" i="25" s="1"/>
  <c r="R55" i="25" s="1"/>
  <c r="P55" i="25" s="1"/>
  <c r="V55" i="25" s="1"/>
  <c r="U51" i="25"/>
  <c r="T51" i="25" s="1"/>
  <c r="S51" i="25" s="1"/>
  <c r="R51" i="25" s="1"/>
  <c r="P51" i="25" s="1"/>
  <c r="V51" i="25" s="1"/>
  <c r="U47" i="25"/>
  <c r="T47" i="25" s="1"/>
  <c r="S47" i="25" s="1"/>
  <c r="R47" i="25" s="1"/>
  <c r="P47" i="25" s="1"/>
  <c r="V47" i="25" s="1"/>
  <c r="U43" i="25"/>
  <c r="T43" i="25" s="1"/>
  <c r="S43" i="25" s="1"/>
  <c r="R43" i="25" s="1"/>
  <c r="P43" i="25" s="1"/>
  <c r="V43" i="25" s="1"/>
  <c r="U39" i="25"/>
  <c r="T39" i="25" s="1"/>
  <c r="S39" i="25" s="1"/>
  <c r="R39" i="25" s="1"/>
  <c r="P39" i="25" s="1"/>
  <c r="V39" i="25" s="1"/>
  <c r="U35" i="25"/>
  <c r="T35" i="25" s="1"/>
  <c r="S35" i="25" s="1"/>
  <c r="R35" i="25" s="1"/>
  <c r="P35" i="25" s="1"/>
  <c r="V35" i="25" s="1"/>
  <c r="U31" i="25"/>
  <c r="T31" i="25" s="1"/>
  <c r="S31" i="25" s="1"/>
  <c r="R31" i="25" s="1"/>
  <c r="P31" i="25" s="1"/>
  <c r="V31" i="25" s="1"/>
  <c r="U22" i="25"/>
  <c r="T22" i="25" s="1"/>
  <c r="S22" i="25" s="1"/>
  <c r="R22" i="25" s="1"/>
  <c r="P22" i="25" s="1"/>
  <c r="V22" i="25" s="1"/>
  <c r="U23" i="25"/>
  <c r="T23" i="25" s="1"/>
  <c r="S23" i="25" s="1"/>
  <c r="R23" i="25" s="1"/>
  <c r="P23" i="25" s="1"/>
  <c r="V23" i="25" s="1"/>
  <c r="U21" i="25"/>
  <c r="T21" i="25" s="1"/>
  <c r="S21" i="25" s="1"/>
  <c r="R21" i="25" s="1"/>
  <c r="P21" i="25" s="1"/>
  <c r="V21" i="25" s="1"/>
  <c r="AI379" i="25"/>
  <c r="AH379" i="25" s="1"/>
  <c r="AG379" i="25" s="1"/>
  <c r="AF379" i="25" s="1"/>
  <c r="AD379" i="25" s="1"/>
  <c r="AI371" i="25"/>
  <c r="AH371" i="25" s="1"/>
  <c r="AG371" i="25" s="1"/>
  <c r="AF371" i="25" s="1"/>
  <c r="AD371" i="25" s="1"/>
  <c r="AI363" i="25"/>
  <c r="AH363" i="25" s="1"/>
  <c r="AG363" i="25" s="1"/>
  <c r="AF363" i="25" s="1"/>
  <c r="AD363" i="25" s="1"/>
  <c r="AI355" i="25"/>
  <c r="AH355" i="25" s="1"/>
  <c r="AG355" i="25" s="1"/>
  <c r="AF355" i="25" s="1"/>
  <c r="AD355" i="25" s="1"/>
  <c r="AI347" i="25"/>
  <c r="AH347" i="25" s="1"/>
  <c r="AG347" i="25" s="1"/>
  <c r="AF347" i="25" s="1"/>
  <c r="AD347" i="25" s="1"/>
  <c r="AI339" i="25"/>
  <c r="AH339" i="25" s="1"/>
  <c r="AG339" i="25" s="1"/>
  <c r="AF339" i="25" s="1"/>
  <c r="AD339" i="25" s="1"/>
  <c r="AI331" i="25"/>
  <c r="AH331" i="25" s="1"/>
  <c r="AG331" i="25" s="1"/>
  <c r="AF331" i="25" s="1"/>
  <c r="AD331" i="25" s="1"/>
  <c r="AI323" i="25"/>
  <c r="AH323" i="25" s="1"/>
  <c r="AG323" i="25" s="1"/>
  <c r="AF323" i="25" s="1"/>
  <c r="AD323" i="25" s="1"/>
  <c r="AI315" i="25"/>
  <c r="AH315" i="25" s="1"/>
  <c r="AG315" i="25" s="1"/>
  <c r="AF315" i="25" s="1"/>
  <c r="AD315" i="25" s="1"/>
  <c r="AI307" i="25"/>
  <c r="AH307" i="25" s="1"/>
  <c r="AG307" i="25" s="1"/>
  <c r="AF307" i="25" s="1"/>
  <c r="AD307" i="25" s="1"/>
  <c r="AI299" i="25"/>
  <c r="AH299" i="25" s="1"/>
  <c r="AG299" i="25" s="1"/>
  <c r="AF299" i="25" s="1"/>
  <c r="AD299" i="25" s="1"/>
  <c r="AI291" i="25"/>
  <c r="AH291" i="25" s="1"/>
  <c r="AG291" i="25" s="1"/>
  <c r="AF291" i="25" s="1"/>
  <c r="AD291" i="25" s="1"/>
  <c r="AI283" i="25"/>
  <c r="AH283" i="25" s="1"/>
  <c r="AG283" i="25" s="1"/>
  <c r="AF283" i="25" s="1"/>
  <c r="AD283" i="25" s="1"/>
  <c r="AI275" i="25"/>
  <c r="AH275" i="25" s="1"/>
  <c r="AG275" i="25" s="1"/>
  <c r="AF275" i="25" s="1"/>
  <c r="AD275" i="25" s="1"/>
  <c r="AI267" i="25"/>
  <c r="AH267" i="25" s="1"/>
  <c r="AG267" i="25" s="1"/>
  <c r="AF267" i="25" s="1"/>
  <c r="AD267" i="25" s="1"/>
  <c r="AI259" i="25"/>
  <c r="AH259" i="25" s="1"/>
  <c r="AG259" i="25" s="1"/>
  <c r="AF259" i="25" s="1"/>
  <c r="AD259" i="25" s="1"/>
  <c r="AI251" i="25"/>
  <c r="AH251" i="25" s="1"/>
  <c r="AG251" i="25" s="1"/>
  <c r="AF251" i="25" s="1"/>
  <c r="AD251" i="25" s="1"/>
  <c r="AI243" i="25"/>
  <c r="AH243" i="25" s="1"/>
  <c r="AG243" i="25" s="1"/>
  <c r="AF243" i="25" s="1"/>
  <c r="AD243" i="25" s="1"/>
  <c r="AI235" i="25"/>
  <c r="AH235" i="25" s="1"/>
  <c r="AG235" i="25" s="1"/>
  <c r="AF235" i="25" s="1"/>
  <c r="AD235" i="25" s="1"/>
  <c r="AI227" i="25"/>
  <c r="AH227" i="25" s="1"/>
  <c r="AG227" i="25" s="1"/>
  <c r="AF227" i="25" s="1"/>
  <c r="AD227" i="25" s="1"/>
  <c r="AI219" i="25"/>
  <c r="AH219" i="25" s="1"/>
  <c r="AG219" i="25" s="1"/>
  <c r="AF219" i="25" s="1"/>
  <c r="AD219" i="25" s="1"/>
  <c r="AI211" i="25"/>
  <c r="AH211" i="25" s="1"/>
  <c r="AG211" i="25" s="1"/>
  <c r="AF211" i="25" s="1"/>
  <c r="AD211" i="25" s="1"/>
  <c r="AI203" i="25"/>
  <c r="AH203" i="25" s="1"/>
  <c r="AG203" i="25" s="1"/>
  <c r="AF203" i="25" s="1"/>
  <c r="AD203" i="25" s="1"/>
  <c r="AI195" i="25"/>
  <c r="AH195" i="25" s="1"/>
  <c r="AG195" i="25" s="1"/>
  <c r="AF195" i="25" s="1"/>
  <c r="AD195" i="25" s="1"/>
  <c r="AI187" i="25"/>
  <c r="AH187" i="25" s="1"/>
  <c r="AG187" i="25" s="1"/>
  <c r="AF187" i="25" s="1"/>
  <c r="AD187" i="25" s="1"/>
  <c r="AI179" i="25"/>
  <c r="AH179" i="25" s="1"/>
  <c r="AG179" i="25" s="1"/>
  <c r="AF179" i="25" s="1"/>
  <c r="AD179" i="25" s="1"/>
  <c r="AI171" i="25"/>
  <c r="AH171" i="25" s="1"/>
  <c r="AG171" i="25" s="1"/>
  <c r="AF171" i="25" s="1"/>
  <c r="AD171" i="25" s="1"/>
  <c r="AI163" i="25"/>
  <c r="AH163" i="25" s="1"/>
  <c r="AG163" i="25" s="1"/>
  <c r="AF163" i="25" s="1"/>
  <c r="AD163" i="25" s="1"/>
  <c r="AI155" i="25"/>
  <c r="AH155" i="25" s="1"/>
  <c r="AG155" i="25" s="1"/>
  <c r="AF155" i="25" s="1"/>
  <c r="AD155" i="25" s="1"/>
  <c r="AI147" i="25"/>
  <c r="AH147" i="25" s="1"/>
  <c r="AG147" i="25" s="1"/>
  <c r="AF147" i="25" s="1"/>
  <c r="AD147" i="25" s="1"/>
  <c r="AI139" i="25"/>
  <c r="AH139" i="25" s="1"/>
  <c r="AG139" i="25" s="1"/>
  <c r="AF139" i="25" s="1"/>
  <c r="AD139" i="25" s="1"/>
  <c r="AI131" i="25"/>
  <c r="AH131" i="25" s="1"/>
  <c r="AG131" i="25" s="1"/>
  <c r="AF131" i="25" s="1"/>
  <c r="AD131" i="25" s="1"/>
  <c r="AI123" i="25"/>
  <c r="AH123" i="25" s="1"/>
  <c r="AG123" i="25" s="1"/>
  <c r="AF123" i="25" s="1"/>
  <c r="AD123" i="25" s="1"/>
  <c r="AI115" i="25"/>
  <c r="AH115" i="25" s="1"/>
  <c r="AG115" i="25" s="1"/>
  <c r="AF115" i="25" s="1"/>
  <c r="AD115" i="25" s="1"/>
  <c r="AI107" i="25"/>
  <c r="AH107" i="25" s="1"/>
  <c r="AG107" i="25" s="1"/>
  <c r="AF107" i="25" s="1"/>
  <c r="AD107" i="25" s="1"/>
  <c r="AI99" i="25"/>
  <c r="AH99" i="25" s="1"/>
  <c r="AG99" i="25" s="1"/>
  <c r="AF99" i="25" s="1"/>
  <c r="AD99" i="25" s="1"/>
  <c r="AI91" i="25"/>
  <c r="AH91" i="25" s="1"/>
  <c r="AG91" i="25" s="1"/>
  <c r="AF91" i="25" s="1"/>
  <c r="AD91" i="25" s="1"/>
  <c r="AI83" i="25"/>
  <c r="AH83" i="25" s="1"/>
  <c r="AG83" i="25" s="1"/>
  <c r="AF83" i="25" s="1"/>
  <c r="AD83" i="25" s="1"/>
  <c r="AI75" i="25"/>
  <c r="AH75" i="25" s="1"/>
  <c r="AG75" i="25" s="1"/>
  <c r="AF75" i="25" s="1"/>
  <c r="AD75" i="25" s="1"/>
  <c r="AI67" i="25"/>
  <c r="AH67" i="25" s="1"/>
  <c r="AG67" i="25" s="1"/>
  <c r="AF67" i="25" s="1"/>
  <c r="AD67" i="25" s="1"/>
  <c r="AI59" i="25"/>
  <c r="AH59" i="25" s="1"/>
  <c r="AG59" i="25" s="1"/>
  <c r="AF59" i="25" s="1"/>
  <c r="AD59" i="25" s="1"/>
  <c r="AI51" i="25"/>
  <c r="AH51" i="25" s="1"/>
  <c r="AG51" i="25" s="1"/>
  <c r="AF51" i="25" s="1"/>
  <c r="AD51" i="25" s="1"/>
  <c r="AI43" i="25"/>
  <c r="AH43" i="25" s="1"/>
  <c r="AG43" i="25" s="1"/>
  <c r="AF43" i="25" s="1"/>
  <c r="AD43" i="25" s="1"/>
  <c r="AI35" i="25"/>
  <c r="AH35" i="25" s="1"/>
  <c r="AG35" i="25" s="1"/>
  <c r="AF35" i="25" s="1"/>
  <c r="AD35" i="25" s="1"/>
  <c r="AI20" i="25"/>
  <c r="AH20" i="25" s="1"/>
  <c r="AG20" i="25" s="1"/>
  <c r="AF20" i="25" s="1"/>
  <c r="AD20" i="25" s="1"/>
  <c r="AI24" i="25"/>
  <c r="AH24" i="25" s="1"/>
  <c r="AG24" i="25" s="1"/>
  <c r="AF24" i="25" s="1"/>
  <c r="AD24" i="25" s="1"/>
  <c r="AI378" i="25"/>
  <c r="AH378" i="25" s="1"/>
  <c r="AG378" i="25" s="1"/>
  <c r="AF378" i="25" s="1"/>
  <c r="AD378" i="25" s="1"/>
  <c r="AI374" i="25"/>
  <c r="AH374" i="25" s="1"/>
  <c r="AG374" i="25" s="1"/>
  <c r="AF374" i="25" s="1"/>
  <c r="AD374" i="25" s="1"/>
  <c r="AI370" i="25"/>
  <c r="AH370" i="25" s="1"/>
  <c r="AG370" i="25" s="1"/>
  <c r="AF370" i="25" s="1"/>
  <c r="AD370" i="25" s="1"/>
  <c r="AI366" i="25"/>
  <c r="AH366" i="25" s="1"/>
  <c r="AG366" i="25" s="1"/>
  <c r="AF366" i="25" s="1"/>
  <c r="AD366" i="25" s="1"/>
  <c r="AI362" i="25"/>
  <c r="AH362" i="25" s="1"/>
  <c r="AG362" i="25" s="1"/>
  <c r="AF362" i="25" s="1"/>
  <c r="AD362" i="25" s="1"/>
  <c r="AI358" i="25"/>
  <c r="AH358" i="25" s="1"/>
  <c r="AG358" i="25" s="1"/>
  <c r="AF358" i="25" s="1"/>
  <c r="AD358" i="25" s="1"/>
  <c r="AI354" i="25"/>
  <c r="AH354" i="25" s="1"/>
  <c r="AG354" i="25" s="1"/>
  <c r="AF354" i="25" s="1"/>
  <c r="AD354" i="25" s="1"/>
  <c r="AI350" i="25"/>
  <c r="AH350" i="25" s="1"/>
  <c r="AG350" i="25" s="1"/>
  <c r="AF350" i="25" s="1"/>
  <c r="AD350" i="25" s="1"/>
  <c r="AI346" i="25"/>
  <c r="AH346" i="25" s="1"/>
  <c r="AG346" i="25" s="1"/>
  <c r="AF346" i="25" s="1"/>
  <c r="AD346" i="25" s="1"/>
  <c r="AI342" i="25"/>
  <c r="AH342" i="25" s="1"/>
  <c r="AG342" i="25" s="1"/>
  <c r="AF342" i="25" s="1"/>
  <c r="AD342" i="25" s="1"/>
  <c r="AI338" i="25"/>
  <c r="AH338" i="25" s="1"/>
  <c r="AG338" i="25" s="1"/>
  <c r="AF338" i="25" s="1"/>
  <c r="AD338" i="25" s="1"/>
  <c r="AI334" i="25"/>
  <c r="AH334" i="25" s="1"/>
  <c r="AG334" i="25" s="1"/>
  <c r="AF334" i="25" s="1"/>
  <c r="AD334" i="25" s="1"/>
  <c r="AI330" i="25"/>
  <c r="AH330" i="25" s="1"/>
  <c r="AG330" i="25" s="1"/>
  <c r="AF330" i="25" s="1"/>
  <c r="AD330" i="25" s="1"/>
  <c r="AI326" i="25"/>
  <c r="AH326" i="25" s="1"/>
  <c r="AG326" i="25" s="1"/>
  <c r="AF326" i="25" s="1"/>
  <c r="AD326" i="25" s="1"/>
  <c r="AI322" i="25"/>
  <c r="AH322" i="25" s="1"/>
  <c r="AG322" i="25" s="1"/>
  <c r="AF322" i="25" s="1"/>
  <c r="AD322" i="25" s="1"/>
  <c r="AI318" i="25"/>
  <c r="AH318" i="25" s="1"/>
  <c r="AG318" i="25" s="1"/>
  <c r="AF318" i="25" s="1"/>
  <c r="AD318" i="25" s="1"/>
  <c r="AI314" i="25"/>
  <c r="AH314" i="25" s="1"/>
  <c r="AG314" i="25" s="1"/>
  <c r="AF314" i="25" s="1"/>
  <c r="AD314" i="25" s="1"/>
  <c r="AI310" i="25"/>
  <c r="AH310" i="25" s="1"/>
  <c r="AG310" i="25" s="1"/>
  <c r="AF310" i="25" s="1"/>
  <c r="AD310" i="25" s="1"/>
  <c r="AI306" i="25"/>
  <c r="AH306" i="25" s="1"/>
  <c r="AG306" i="25" s="1"/>
  <c r="AF306" i="25" s="1"/>
  <c r="AD306" i="25" s="1"/>
  <c r="AI302" i="25"/>
  <c r="AH302" i="25" s="1"/>
  <c r="AG302" i="25" s="1"/>
  <c r="AF302" i="25" s="1"/>
  <c r="AD302" i="25" s="1"/>
  <c r="AI298" i="25"/>
  <c r="AH298" i="25" s="1"/>
  <c r="AG298" i="25" s="1"/>
  <c r="AF298" i="25" s="1"/>
  <c r="AD298" i="25" s="1"/>
  <c r="AI294" i="25"/>
  <c r="AH294" i="25" s="1"/>
  <c r="AG294" i="25" s="1"/>
  <c r="AF294" i="25" s="1"/>
  <c r="AD294" i="25" s="1"/>
  <c r="AI290" i="25"/>
  <c r="AH290" i="25" s="1"/>
  <c r="AG290" i="25" s="1"/>
  <c r="AF290" i="25" s="1"/>
  <c r="AD290" i="25" s="1"/>
  <c r="AI286" i="25"/>
  <c r="AH286" i="25" s="1"/>
  <c r="AG286" i="25" s="1"/>
  <c r="AF286" i="25" s="1"/>
  <c r="AD286" i="25" s="1"/>
  <c r="AI282" i="25"/>
  <c r="AH282" i="25" s="1"/>
  <c r="AG282" i="25" s="1"/>
  <c r="AF282" i="25" s="1"/>
  <c r="AD282" i="25" s="1"/>
  <c r="AI278" i="25"/>
  <c r="AH278" i="25" s="1"/>
  <c r="AG278" i="25" s="1"/>
  <c r="AF278" i="25" s="1"/>
  <c r="AD278" i="25" s="1"/>
  <c r="AI274" i="25"/>
  <c r="AH274" i="25" s="1"/>
  <c r="AG274" i="25" s="1"/>
  <c r="AF274" i="25" s="1"/>
  <c r="AD274" i="25" s="1"/>
  <c r="AI270" i="25"/>
  <c r="AH270" i="25" s="1"/>
  <c r="AG270" i="25" s="1"/>
  <c r="AF270" i="25" s="1"/>
  <c r="AD270" i="25" s="1"/>
  <c r="AI266" i="25"/>
  <c r="AH266" i="25" s="1"/>
  <c r="AG266" i="25" s="1"/>
  <c r="AF266" i="25" s="1"/>
  <c r="AD266" i="25" s="1"/>
  <c r="AI262" i="25"/>
  <c r="AH262" i="25" s="1"/>
  <c r="AG262" i="25" s="1"/>
  <c r="AF262" i="25" s="1"/>
  <c r="AD262" i="25" s="1"/>
  <c r="AI258" i="25"/>
  <c r="AH258" i="25" s="1"/>
  <c r="AG258" i="25" s="1"/>
  <c r="AF258" i="25" s="1"/>
  <c r="AD258" i="25" s="1"/>
  <c r="AI254" i="25"/>
  <c r="AH254" i="25" s="1"/>
  <c r="AG254" i="25" s="1"/>
  <c r="AF254" i="25" s="1"/>
  <c r="AD254" i="25" s="1"/>
  <c r="AI250" i="25"/>
  <c r="AH250" i="25" s="1"/>
  <c r="AG250" i="25" s="1"/>
  <c r="AF250" i="25" s="1"/>
  <c r="AD250" i="25" s="1"/>
  <c r="AI246" i="25"/>
  <c r="AH246" i="25" s="1"/>
  <c r="AG246" i="25" s="1"/>
  <c r="AF246" i="25" s="1"/>
  <c r="AD246" i="25" s="1"/>
  <c r="AI242" i="25"/>
  <c r="AH242" i="25" s="1"/>
  <c r="AG242" i="25" s="1"/>
  <c r="AF242" i="25" s="1"/>
  <c r="AD242" i="25" s="1"/>
  <c r="AI238" i="25"/>
  <c r="AH238" i="25" s="1"/>
  <c r="AG238" i="25" s="1"/>
  <c r="AF238" i="25" s="1"/>
  <c r="AD238" i="25" s="1"/>
  <c r="AI234" i="25"/>
  <c r="AH234" i="25" s="1"/>
  <c r="AG234" i="25" s="1"/>
  <c r="AF234" i="25" s="1"/>
  <c r="AD234" i="25" s="1"/>
  <c r="AI230" i="25"/>
  <c r="AH230" i="25" s="1"/>
  <c r="AG230" i="25" s="1"/>
  <c r="AF230" i="25" s="1"/>
  <c r="AD230" i="25" s="1"/>
  <c r="AI226" i="25"/>
  <c r="AH226" i="25" s="1"/>
  <c r="AG226" i="25" s="1"/>
  <c r="AF226" i="25" s="1"/>
  <c r="AD226" i="25" s="1"/>
  <c r="AI222" i="25"/>
  <c r="AH222" i="25" s="1"/>
  <c r="AG222" i="25" s="1"/>
  <c r="AF222" i="25" s="1"/>
  <c r="AD222" i="25" s="1"/>
  <c r="AI218" i="25"/>
  <c r="AH218" i="25" s="1"/>
  <c r="AG218" i="25" s="1"/>
  <c r="AF218" i="25" s="1"/>
  <c r="AD218" i="25" s="1"/>
  <c r="AI214" i="25"/>
  <c r="AH214" i="25" s="1"/>
  <c r="AG214" i="25" s="1"/>
  <c r="AF214" i="25" s="1"/>
  <c r="AD214" i="25" s="1"/>
  <c r="AI210" i="25"/>
  <c r="AH210" i="25" s="1"/>
  <c r="AG210" i="25" s="1"/>
  <c r="AF210" i="25" s="1"/>
  <c r="AD210" i="25" s="1"/>
  <c r="AI206" i="25"/>
  <c r="AH206" i="25" s="1"/>
  <c r="AG206" i="25" s="1"/>
  <c r="AF206" i="25" s="1"/>
  <c r="AD206" i="25" s="1"/>
  <c r="AI202" i="25"/>
  <c r="AH202" i="25" s="1"/>
  <c r="AG202" i="25" s="1"/>
  <c r="AF202" i="25" s="1"/>
  <c r="AD202" i="25" s="1"/>
  <c r="AI198" i="25"/>
  <c r="AH198" i="25" s="1"/>
  <c r="AG198" i="25" s="1"/>
  <c r="AF198" i="25" s="1"/>
  <c r="AD198" i="25" s="1"/>
  <c r="AI194" i="25"/>
  <c r="AH194" i="25" s="1"/>
  <c r="AG194" i="25" s="1"/>
  <c r="AF194" i="25" s="1"/>
  <c r="AD194" i="25" s="1"/>
  <c r="AI190" i="25"/>
  <c r="AH190" i="25" s="1"/>
  <c r="AG190" i="25" s="1"/>
  <c r="AF190" i="25" s="1"/>
  <c r="AD190" i="25" s="1"/>
  <c r="AI186" i="25"/>
  <c r="AH186" i="25" s="1"/>
  <c r="AG186" i="25" s="1"/>
  <c r="AF186" i="25" s="1"/>
  <c r="AD186" i="25" s="1"/>
  <c r="AI182" i="25"/>
  <c r="AH182" i="25" s="1"/>
  <c r="AG182" i="25" s="1"/>
  <c r="AF182" i="25" s="1"/>
  <c r="AD182" i="25" s="1"/>
  <c r="AI178" i="25"/>
  <c r="AH178" i="25" s="1"/>
  <c r="AG178" i="25" s="1"/>
  <c r="AF178" i="25" s="1"/>
  <c r="AD178" i="25" s="1"/>
  <c r="AI174" i="25"/>
  <c r="AH174" i="25" s="1"/>
  <c r="AG174" i="25" s="1"/>
  <c r="AF174" i="25" s="1"/>
  <c r="AD174" i="25" s="1"/>
  <c r="AI170" i="25"/>
  <c r="AH170" i="25" s="1"/>
  <c r="AG170" i="25" s="1"/>
  <c r="AF170" i="25" s="1"/>
  <c r="AD170" i="25" s="1"/>
  <c r="AI166" i="25"/>
  <c r="AH166" i="25" s="1"/>
  <c r="AG166" i="25" s="1"/>
  <c r="AF166" i="25" s="1"/>
  <c r="AD166" i="25" s="1"/>
  <c r="AI162" i="25"/>
  <c r="AH162" i="25" s="1"/>
  <c r="AG162" i="25" s="1"/>
  <c r="AF162" i="25" s="1"/>
  <c r="AD162" i="25" s="1"/>
  <c r="AI158" i="25"/>
  <c r="AH158" i="25" s="1"/>
  <c r="AG158" i="25" s="1"/>
  <c r="AF158" i="25" s="1"/>
  <c r="AD158" i="25" s="1"/>
  <c r="AI154" i="25"/>
  <c r="AH154" i="25" s="1"/>
  <c r="AG154" i="25" s="1"/>
  <c r="AF154" i="25" s="1"/>
  <c r="AD154" i="25" s="1"/>
  <c r="AI150" i="25"/>
  <c r="AH150" i="25" s="1"/>
  <c r="AG150" i="25" s="1"/>
  <c r="AF150" i="25" s="1"/>
  <c r="AD150" i="25" s="1"/>
  <c r="AI146" i="25"/>
  <c r="AH146" i="25" s="1"/>
  <c r="AG146" i="25" s="1"/>
  <c r="AF146" i="25" s="1"/>
  <c r="AD146" i="25" s="1"/>
  <c r="AI142" i="25"/>
  <c r="AH142" i="25" s="1"/>
  <c r="AG142" i="25" s="1"/>
  <c r="AF142" i="25" s="1"/>
  <c r="AD142" i="25" s="1"/>
  <c r="AI138" i="25"/>
  <c r="AH138" i="25" s="1"/>
  <c r="AG138" i="25" s="1"/>
  <c r="AF138" i="25" s="1"/>
  <c r="AD138" i="25" s="1"/>
  <c r="AI134" i="25"/>
  <c r="AH134" i="25" s="1"/>
  <c r="AG134" i="25" s="1"/>
  <c r="AF134" i="25" s="1"/>
  <c r="AD134" i="25" s="1"/>
  <c r="AI130" i="25"/>
  <c r="AH130" i="25" s="1"/>
  <c r="AG130" i="25" s="1"/>
  <c r="AF130" i="25" s="1"/>
  <c r="AD130" i="25" s="1"/>
  <c r="AI126" i="25"/>
  <c r="AH126" i="25" s="1"/>
  <c r="AG126" i="25" s="1"/>
  <c r="AF126" i="25" s="1"/>
  <c r="AD126" i="25" s="1"/>
  <c r="AI122" i="25"/>
  <c r="AH122" i="25" s="1"/>
  <c r="AG122" i="25" s="1"/>
  <c r="AF122" i="25" s="1"/>
  <c r="AD122" i="25" s="1"/>
  <c r="AI118" i="25"/>
  <c r="AH118" i="25" s="1"/>
  <c r="AG118" i="25" s="1"/>
  <c r="AF118" i="25" s="1"/>
  <c r="AD118" i="25" s="1"/>
  <c r="AI114" i="25"/>
  <c r="AH114" i="25" s="1"/>
  <c r="AG114" i="25" s="1"/>
  <c r="AF114" i="25" s="1"/>
  <c r="AD114" i="25" s="1"/>
  <c r="AI110" i="25"/>
  <c r="AH110" i="25" s="1"/>
  <c r="AG110" i="25" s="1"/>
  <c r="AF110" i="25" s="1"/>
  <c r="AD110" i="25" s="1"/>
  <c r="AI106" i="25"/>
  <c r="AH106" i="25" s="1"/>
  <c r="AG106" i="25" s="1"/>
  <c r="AF106" i="25" s="1"/>
  <c r="AD106" i="25" s="1"/>
  <c r="AI102" i="25"/>
  <c r="AH102" i="25" s="1"/>
  <c r="AG102" i="25" s="1"/>
  <c r="AF102" i="25" s="1"/>
  <c r="AD102" i="25" s="1"/>
  <c r="AI98" i="25"/>
  <c r="AH98" i="25" s="1"/>
  <c r="AG98" i="25" s="1"/>
  <c r="AF98" i="25" s="1"/>
  <c r="AD98" i="25" s="1"/>
  <c r="AI94" i="25"/>
  <c r="AH94" i="25" s="1"/>
  <c r="AG94" i="25" s="1"/>
  <c r="AF94" i="25" s="1"/>
  <c r="AD94" i="25" s="1"/>
  <c r="AI90" i="25"/>
  <c r="AH90" i="25" s="1"/>
  <c r="AG90" i="25" s="1"/>
  <c r="AF90" i="25" s="1"/>
  <c r="AD90" i="25" s="1"/>
  <c r="AI86" i="25"/>
  <c r="AH86" i="25" s="1"/>
  <c r="AG86" i="25" s="1"/>
  <c r="AF86" i="25" s="1"/>
  <c r="AD86" i="25" s="1"/>
  <c r="AI82" i="25"/>
  <c r="AH82" i="25" s="1"/>
  <c r="AG82" i="25" s="1"/>
  <c r="AF82" i="25" s="1"/>
  <c r="AD82" i="25" s="1"/>
  <c r="AI78" i="25"/>
  <c r="AH78" i="25" s="1"/>
  <c r="AG78" i="25" s="1"/>
  <c r="AF78" i="25" s="1"/>
  <c r="AD78" i="25" s="1"/>
  <c r="AI74" i="25"/>
  <c r="AH74" i="25" s="1"/>
  <c r="AG74" i="25" s="1"/>
  <c r="AF74" i="25" s="1"/>
  <c r="AD74" i="25" s="1"/>
  <c r="AI70" i="25"/>
  <c r="AH70" i="25" s="1"/>
  <c r="AG70" i="25" s="1"/>
  <c r="AF70" i="25" s="1"/>
  <c r="AD70" i="25" s="1"/>
  <c r="AI66" i="25"/>
  <c r="AH66" i="25" s="1"/>
  <c r="AG66" i="25" s="1"/>
  <c r="AF66" i="25" s="1"/>
  <c r="AD66" i="25" s="1"/>
  <c r="AI62" i="25"/>
  <c r="AH62" i="25" s="1"/>
  <c r="AG62" i="25" s="1"/>
  <c r="AF62" i="25" s="1"/>
  <c r="AD62" i="25" s="1"/>
  <c r="AI58" i="25"/>
  <c r="AH58" i="25" s="1"/>
  <c r="AG58" i="25" s="1"/>
  <c r="AF58" i="25" s="1"/>
  <c r="AD58" i="25" s="1"/>
  <c r="AI54" i="25"/>
  <c r="AH54" i="25" s="1"/>
  <c r="AG54" i="25" s="1"/>
  <c r="AF54" i="25" s="1"/>
  <c r="AD54" i="25" s="1"/>
  <c r="AI50" i="25"/>
  <c r="AH50" i="25" s="1"/>
  <c r="AG50" i="25" s="1"/>
  <c r="AF50" i="25" s="1"/>
  <c r="AD50" i="25" s="1"/>
  <c r="AI46" i="25"/>
  <c r="AH46" i="25" s="1"/>
  <c r="AG46" i="25" s="1"/>
  <c r="AF46" i="25" s="1"/>
  <c r="AD46" i="25" s="1"/>
  <c r="AI42" i="25"/>
  <c r="AH42" i="25" s="1"/>
  <c r="AG42" i="25" s="1"/>
  <c r="AF42" i="25" s="1"/>
  <c r="AD42" i="25" s="1"/>
  <c r="AI38" i="25"/>
  <c r="AH38" i="25" s="1"/>
  <c r="AG38" i="25" s="1"/>
  <c r="AF38" i="25" s="1"/>
  <c r="AD38" i="25" s="1"/>
  <c r="AI34" i="25"/>
  <c r="AH34" i="25" s="1"/>
  <c r="AG34" i="25" s="1"/>
  <c r="AF34" i="25" s="1"/>
  <c r="AD34" i="25" s="1"/>
  <c r="AI30" i="25"/>
  <c r="AH30" i="25" s="1"/>
  <c r="AG30" i="25" s="1"/>
  <c r="AF30" i="25" s="1"/>
  <c r="AD30" i="25" s="1"/>
  <c r="AI19" i="25"/>
  <c r="AH19" i="25" s="1"/>
  <c r="AG19" i="25" s="1"/>
  <c r="AF19" i="25" s="1"/>
  <c r="AD19" i="25" s="1"/>
  <c r="AI15" i="25"/>
  <c r="AI21" i="25"/>
  <c r="AH21" i="25" s="1"/>
  <c r="AG21" i="25" s="1"/>
  <c r="AF21" i="25" s="1"/>
  <c r="AD21" i="25" s="1"/>
  <c r="AI105" i="25"/>
  <c r="AH105" i="25" s="1"/>
  <c r="AG105" i="25" s="1"/>
  <c r="AF105" i="25" s="1"/>
  <c r="AD105" i="25" s="1"/>
  <c r="AI169" i="25"/>
  <c r="AH169" i="25" s="1"/>
  <c r="AG169" i="25" s="1"/>
  <c r="AF169" i="25" s="1"/>
  <c r="AD169" i="25" s="1"/>
  <c r="AI209" i="25"/>
  <c r="AH209" i="25" s="1"/>
  <c r="AG209" i="25" s="1"/>
  <c r="AF209" i="25" s="1"/>
  <c r="AD209" i="25" s="1"/>
  <c r="AI241" i="25"/>
  <c r="AH241" i="25" s="1"/>
  <c r="AG241" i="25" s="1"/>
  <c r="AF241" i="25" s="1"/>
  <c r="AD241" i="25" s="1"/>
  <c r="AI273" i="25"/>
  <c r="AH273" i="25" s="1"/>
  <c r="AG273" i="25" s="1"/>
  <c r="AF273" i="25" s="1"/>
  <c r="AD273" i="25" s="1"/>
  <c r="AI305" i="25"/>
  <c r="AH305" i="25" s="1"/>
  <c r="AG305" i="25" s="1"/>
  <c r="AF305" i="25" s="1"/>
  <c r="AD305" i="25" s="1"/>
  <c r="AI337" i="25"/>
  <c r="AH337" i="25" s="1"/>
  <c r="AG337" i="25" s="1"/>
  <c r="AF337" i="25" s="1"/>
  <c r="AD337" i="25" s="1"/>
  <c r="AI369" i="25"/>
  <c r="AH369" i="25" s="1"/>
  <c r="AG369" i="25" s="1"/>
  <c r="AF369" i="25" s="1"/>
  <c r="AD369" i="25" s="1"/>
  <c r="U17" i="25"/>
  <c r="T17" i="25" s="1"/>
  <c r="S17" i="25" s="1"/>
  <c r="R17" i="25" s="1"/>
  <c r="P17" i="25" s="1"/>
  <c r="V17" i="25" s="1"/>
  <c r="U38" i="25"/>
  <c r="T38" i="25" s="1"/>
  <c r="S38" i="25" s="1"/>
  <c r="R38" i="25" s="1"/>
  <c r="P38" i="25" s="1"/>
  <c r="V38" i="25" s="1"/>
  <c r="U54" i="25"/>
  <c r="T54" i="25" s="1"/>
  <c r="S54" i="25" s="1"/>
  <c r="R54" i="25" s="1"/>
  <c r="P54" i="25" s="1"/>
  <c r="V54" i="25" s="1"/>
  <c r="U70" i="25"/>
  <c r="T70" i="25" s="1"/>
  <c r="S70" i="25" s="1"/>
  <c r="R70" i="25" s="1"/>
  <c r="P70" i="25" s="1"/>
  <c r="V70" i="25" s="1"/>
  <c r="U86" i="25"/>
  <c r="T86" i="25" s="1"/>
  <c r="S86" i="25" s="1"/>
  <c r="R86" i="25" s="1"/>
  <c r="P86" i="25" s="1"/>
  <c r="V86" i="25" s="1"/>
  <c r="U102" i="25"/>
  <c r="T102" i="25" s="1"/>
  <c r="S102" i="25" s="1"/>
  <c r="R102" i="25" s="1"/>
  <c r="P102" i="25" s="1"/>
  <c r="V102" i="25" s="1"/>
  <c r="U118" i="25"/>
  <c r="T118" i="25" s="1"/>
  <c r="S118" i="25" s="1"/>
  <c r="R118" i="25" s="1"/>
  <c r="P118" i="25" s="1"/>
  <c r="V118" i="25" s="1"/>
  <c r="U134" i="25"/>
  <c r="T134" i="25" s="1"/>
  <c r="S134" i="25" s="1"/>
  <c r="R134" i="25" s="1"/>
  <c r="P134" i="25" s="1"/>
  <c r="V134" i="25" s="1"/>
  <c r="U150" i="25"/>
  <c r="T150" i="25" s="1"/>
  <c r="S150" i="25" s="1"/>
  <c r="R150" i="25" s="1"/>
  <c r="P150" i="25" s="1"/>
  <c r="V150" i="25" s="1"/>
  <c r="U166" i="25"/>
  <c r="T166" i="25" s="1"/>
  <c r="S166" i="25" s="1"/>
  <c r="R166" i="25" s="1"/>
  <c r="P166" i="25" s="1"/>
  <c r="V166" i="25" s="1"/>
  <c r="U182" i="25"/>
  <c r="T182" i="25" s="1"/>
  <c r="S182" i="25" s="1"/>
  <c r="R182" i="25" s="1"/>
  <c r="P182" i="25" s="1"/>
  <c r="V182" i="25" s="1"/>
  <c r="U198" i="25"/>
  <c r="T198" i="25" s="1"/>
  <c r="S198" i="25" s="1"/>
  <c r="R198" i="25" s="1"/>
  <c r="P198" i="25" s="1"/>
  <c r="V198" i="25" s="1"/>
  <c r="AI181" i="25"/>
  <c r="AH181" i="25" s="1"/>
  <c r="AG181" i="25" s="1"/>
  <c r="AF181" i="25" s="1"/>
  <c r="AD181" i="25" s="1"/>
  <c r="AI149" i="25"/>
  <c r="AH149" i="25" s="1"/>
  <c r="AG149" i="25" s="1"/>
  <c r="AF149" i="25" s="1"/>
  <c r="AD149" i="25" s="1"/>
  <c r="AI117" i="25"/>
  <c r="AH117" i="25" s="1"/>
  <c r="AG117" i="25" s="1"/>
  <c r="AF117" i="25" s="1"/>
  <c r="AD117" i="25" s="1"/>
  <c r="AI85" i="25"/>
  <c r="AH85" i="25" s="1"/>
  <c r="AG85" i="25" s="1"/>
  <c r="AF85" i="25" s="1"/>
  <c r="AD85" i="25" s="1"/>
  <c r="AI49" i="25"/>
  <c r="AH49" i="25" s="1"/>
  <c r="AG49" i="25" s="1"/>
  <c r="AF49" i="25" s="1"/>
  <c r="AD49" i="25" s="1"/>
  <c r="AI37" i="25"/>
  <c r="AH37" i="25" s="1"/>
  <c r="AG37" i="25" s="1"/>
  <c r="AF37" i="25" s="1"/>
  <c r="AD37" i="25" s="1"/>
  <c r="AI27" i="25"/>
  <c r="AH27" i="25" s="1"/>
  <c r="AG27" i="25" s="1"/>
  <c r="AF27" i="25" s="1"/>
  <c r="AD27" i="25" s="1"/>
  <c r="U373" i="25"/>
  <c r="T373" i="25" s="1"/>
  <c r="S373" i="25" s="1"/>
  <c r="R373" i="25" s="1"/>
  <c r="P373" i="25" s="1"/>
  <c r="V373" i="25" s="1"/>
  <c r="U365" i="25"/>
  <c r="T365" i="25" s="1"/>
  <c r="S365" i="25" s="1"/>
  <c r="R365" i="25" s="1"/>
  <c r="P365" i="25" s="1"/>
  <c r="V365" i="25" s="1"/>
  <c r="U357" i="25"/>
  <c r="T357" i="25" s="1"/>
  <c r="S357" i="25" s="1"/>
  <c r="R357" i="25" s="1"/>
  <c r="P357" i="25" s="1"/>
  <c r="V357" i="25" s="1"/>
  <c r="U349" i="25"/>
  <c r="T349" i="25" s="1"/>
  <c r="S349" i="25" s="1"/>
  <c r="R349" i="25" s="1"/>
  <c r="P349" i="25" s="1"/>
  <c r="V349" i="25" s="1"/>
  <c r="U341" i="25"/>
  <c r="T341" i="25" s="1"/>
  <c r="S341" i="25" s="1"/>
  <c r="R341" i="25" s="1"/>
  <c r="P341" i="25" s="1"/>
  <c r="V341" i="25" s="1"/>
  <c r="U333" i="25"/>
  <c r="T333" i="25" s="1"/>
  <c r="S333" i="25" s="1"/>
  <c r="R333" i="25" s="1"/>
  <c r="P333" i="25" s="1"/>
  <c r="U325" i="25"/>
  <c r="T325" i="25" s="1"/>
  <c r="S325" i="25" s="1"/>
  <c r="R325" i="25" s="1"/>
  <c r="P325" i="25" s="1"/>
  <c r="V325" i="25" s="1"/>
  <c r="U317" i="25"/>
  <c r="T317" i="25" s="1"/>
  <c r="S317" i="25" s="1"/>
  <c r="R317" i="25" s="1"/>
  <c r="P317" i="25" s="1"/>
  <c r="V317" i="25" s="1"/>
  <c r="U309" i="25"/>
  <c r="T309" i="25" s="1"/>
  <c r="S309" i="25" s="1"/>
  <c r="R309" i="25" s="1"/>
  <c r="P309" i="25" s="1"/>
  <c r="V309" i="25" s="1"/>
  <c r="U301" i="25"/>
  <c r="T301" i="25" s="1"/>
  <c r="S301" i="25" s="1"/>
  <c r="R301" i="25" s="1"/>
  <c r="P301" i="25" s="1"/>
  <c r="V301" i="25" s="1"/>
  <c r="U293" i="25"/>
  <c r="T293" i="25" s="1"/>
  <c r="S293" i="25" s="1"/>
  <c r="R293" i="25" s="1"/>
  <c r="P293" i="25" s="1"/>
  <c r="V293" i="25" s="1"/>
  <c r="U285" i="25"/>
  <c r="T285" i="25" s="1"/>
  <c r="S285" i="25" s="1"/>
  <c r="R285" i="25" s="1"/>
  <c r="P285" i="25" s="1"/>
  <c r="V285" i="25" s="1"/>
  <c r="U277" i="25"/>
  <c r="T277" i="25" s="1"/>
  <c r="S277" i="25" s="1"/>
  <c r="R277" i="25" s="1"/>
  <c r="P277" i="25" s="1"/>
  <c r="V277" i="25" s="1"/>
  <c r="U269" i="25"/>
  <c r="T269" i="25" s="1"/>
  <c r="S269" i="25" s="1"/>
  <c r="R269" i="25" s="1"/>
  <c r="P269" i="25" s="1"/>
  <c r="V269" i="25" s="1"/>
  <c r="U261" i="25"/>
  <c r="T261" i="25" s="1"/>
  <c r="S261" i="25" s="1"/>
  <c r="R261" i="25" s="1"/>
  <c r="P261" i="25" s="1"/>
  <c r="V261" i="25" s="1"/>
  <c r="U253" i="25"/>
  <c r="T253" i="25" s="1"/>
  <c r="S253" i="25" s="1"/>
  <c r="R253" i="25" s="1"/>
  <c r="P253" i="25" s="1"/>
  <c r="V253" i="25" s="1"/>
  <c r="U245" i="25"/>
  <c r="T245" i="25" s="1"/>
  <c r="S245" i="25" s="1"/>
  <c r="R245" i="25" s="1"/>
  <c r="P245" i="25" s="1"/>
  <c r="V245" i="25" s="1"/>
  <c r="U237" i="25"/>
  <c r="T237" i="25" s="1"/>
  <c r="S237" i="25" s="1"/>
  <c r="R237" i="25" s="1"/>
  <c r="P237" i="25" s="1"/>
  <c r="V237" i="25" s="1"/>
  <c r="U229" i="25"/>
  <c r="T229" i="25" s="1"/>
  <c r="S229" i="25" s="1"/>
  <c r="R229" i="25" s="1"/>
  <c r="P229" i="25" s="1"/>
  <c r="V229" i="25" s="1"/>
  <c r="U221" i="25"/>
  <c r="T221" i="25" s="1"/>
  <c r="S221" i="25" s="1"/>
  <c r="R221" i="25" s="1"/>
  <c r="P221" i="25" s="1"/>
  <c r="V221" i="25" s="1"/>
  <c r="U213" i="25"/>
  <c r="T213" i="25" s="1"/>
  <c r="S213" i="25" s="1"/>
  <c r="R213" i="25" s="1"/>
  <c r="P213" i="25" s="1"/>
  <c r="V213" i="25" s="1"/>
  <c r="U205" i="25"/>
  <c r="T205" i="25" s="1"/>
  <c r="S205" i="25" s="1"/>
  <c r="R205" i="25" s="1"/>
  <c r="P205" i="25" s="1"/>
  <c r="V205" i="25" s="1"/>
  <c r="U197" i="25"/>
  <c r="T197" i="25" s="1"/>
  <c r="S197" i="25" s="1"/>
  <c r="R197" i="25" s="1"/>
  <c r="P197" i="25" s="1"/>
  <c r="V197" i="25" s="1"/>
  <c r="U189" i="25"/>
  <c r="T189" i="25" s="1"/>
  <c r="S189" i="25" s="1"/>
  <c r="R189" i="25" s="1"/>
  <c r="P189" i="25" s="1"/>
  <c r="V189" i="25" s="1"/>
  <c r="U181" i="25"/>
  <c r="T181" i="25" s="1"/>
  <c r="S181" i="25" s="1"/>
  <c r="R181" i="25" s="1"/>
  <c r="P181" i="25" s="1"/>
  <c r="V181" i="25" s="1"/>
  <c r="U173" i="25"/>
  <c r="T173" i="25" s="1"/>
  <c r="S173" i="25" s="1"/>
  <c r="R173" i="25" s="1"/>
  <c r="P173" i="25" s="1"/>
  <c r="V173" i="25" s="1"/>
  <c r="U165" i="25"/>
  <c r="T165" i="25" s="1"/>
  <c r="S165" i="25" s="1"/>
  <c r="R165" i="25" s="1"/>
  <c r="P165" i="25" s="1"/>
  <c r="V165" i="25" s="1"/>
  <c r="U157" i="25"/>
  <c r="T157" i="25" s="1"/>
  <c r="S157" i="25" s="1"/>
  <c r="R157" i="25" s="1"/>
  <c r="P157" i="25" s="1"/>
  <c r="V157" i="25" s="1"/>
  <c r="U149" i="25"/>
  <c r="T149" i="25" s="1"/>
  <c r="S149" i="25" s="1"/>
  <c r="R149" i="25" s="1"/>
  <c r="P149" i="25" s="1"/>
  <c r="U141" i="25"/>
  <c r="T141" i="25" s="1"/>
  <c r="S141" i="25" s="1"/>
  <c r="R141" i="25" s="1"/>
  <c r="P141" i="25" s="1"/>
  <c r="V141" i="25" s="1"/>
  <c r="U133" i="25"/>
  <c r="T133" i="25" s="1"/>
  <c r="S133" i="25" s="1"/>
  <c r="R133" i="25" s="1"/>
  <c r="P133" i="25" s="1"/>
  <c r="V133" i="25" s="1"/>
  <c r="U125" i="25"/>
  <c r="T125" i="25" s="1"/>
  <c r="S125" i="25" s="1"/>
  <c r="R125" i="25" s="1"/>
  <c r="P125" i="25" s="1"/>
  <c r="V125" i="25" s="1"/>
  <c r="U117" i="25"/>
  <c r="T117" i="25" s="1"/>
  <c r="S117" i="25" s="1"/>
  <c r="R117" i="25" s="1"/>
  <c r="P117" i="25" s="1"/>
  <c r="V117" i="25" s="1"/>
  <c r="U109" i="25"/>
  <c r="T109" i="25" s="1"/>
  <c r="S109" i="25" s="1"/>
  <c r="R109" i="25" s="1"/>
  <c r="P109" i="25" s="1"/>
  <c r="V109" i="25" s="1"/>
  <c r="U101" i="25"/>
  <c r="T101" i="25" s="1"/>
  <c r="S101" i="25" s="1"/>
  <c r="R101" i="25" s="1"/>
  <c r="P101" i="25" s="1"/>
  <c r="V101" i="25" s="1"/>
  <c r="U93" i="25"/>
  <c r="T93" i="25" s="1"/>
  <c r="S93" i="25" s="1"/>
  <c r="R93" i="25" s="1"/>
  <c r="P93" i="25" s="1"/>
  <c r="V93" i="25" s="1"/>
  <c r="U85" i="25"/>
  <c r="T85" i="25" s="1"/>
  <c r="S85" i="25" s="1"/>
  <c r="R85" i="25" s="1"/>
  <c r="P85" i="25" s="1"/>
  <c r="V85" i="25" s="1"/>
  <c r="U77" i="25"/>
  <c r="T77" i="25" s="1"/>
  <c r="S77" i="25" s="1"/>
  <c r="R77" i="25" s="1"/>
  <c r="P77" i="25" s="1"/>
  <c r="V77" i="25" s="1"/>
  <c r="U69" i="25"/>
  <c r="T69" i="25" s="1"/>
  <c r="S69" i="25" s="1"/>
  <c r="R69" i="25" s="1"/>
  <c r="P69" i="25" s="1"/>
  <c r="V69" i="25" s="1"/>
  <c r="U61" i="25"/>
  <c r="T61" i="25" s="1"/>
  <c r="S61" i="25" s="1"/>
  <c r="R61" i="25" s="1"/>
  <c r="P61" i="25" s="1"/>
  <c r="V61" i="25" s="1"/>
  <c r="U53" i="25"/>
  <c r="T53" i="25" s="1"/>
  <c r="S53" i="25" s="1"/>
  <c r="R53" i="25" s="1"/>
  <c r="P53" i="25" s="1"/>
  <c r="V53" i="25" s="1"/>
  <c r="U45" i="25"/>
  <c r="T45" i="25" s="1"/>
  <c r="S45" i="25" s="1"/>
  <c r="R45" i="25" s="1"/>
  <c r="P45" i="25" s="1"/>
  <c r="V45" i="25" s="1"/>
  <c r="U37" i="25"/>
  <c r="T37" i="25" s="1"/>
  <c r="S37" i="25" s="1"/>
  <c r="R37" i="25" s="1"/>
  <c r="P37" i="25" s="1"/>
  <c r="V37" i="25" s="1"/>
  <c r="U29" i="25"/>
  <c r="T29" i="25" s="1"/>
  <c r="S29" i="25" s="1"/>
  <c r="R29" i="25" s="1"/>
  <c r="P29" i="25" s="1"/>
  <c r="U26" i="25"/>
  <c r="T26" i="25" s="1"/>
  <c r="S26" i="25" s="1"/>
  <c r="R26" i="25" s="1"/>
  <c r="P26" i="25" s="1"/>
  <c r="V26" i="25" s="1"/>
  <c r="AI375" i="25"/>
  <c r="AH375" i="25" s="1"/>
  <c r="AG375" i="25" s="1"/>
  <c r="AF375" i="25" s="1"/>
  <c r="AD375" i="25" s="1"/>
  <c r="AI359" i="25"/>
  <c r="AH359" i="25" s="1"/>
  <c r="AG359" i="25" s="1"/>
  <c r="AF359" i="25" s="1"/>
  <c r="AD359" i="25" s="1"/>
  <c r="AI343" i="25"/>
  <c r="AH343" i="25" s="1"/>
  <c r="AG343" i="25" s="1"/>
  <c r="AF343" i="25" s="1"/>
  <c r="AD343" i="25" s="1"/>
  <c r="AI327" i="25"/>
  <c r="AH327" i="25" s="1"/>
  <c r="AG327" i="25" s="1"/>
  <c r="AF327" i="25" s="1"/>
  <c r="AD327" i="25" s="1"/>
  <c r="AI311" i="25"/>
  <c r="AH311" i="25" s="1"/>
  <c r="AG311" i="25" s="1"/>
  <c r="AF311" i="25" s="1"/>
  <c r="AD311" i="25" s="1"/>
  <c r="AI295" i="25"/>
  <c r="AH295" i="25" s="1"/>
  <c r="AG295" i="25" s="1"/>
  <c r="AF295" i="25" s="1"/>
  <c r="AD295" i="25" s="1"/>
  <c r="AI279" i="25"/>
  <c r="AH279" i="25" s="1"/>
  <c r="AG279" i="25" s="1"/>
  <c r="AF279" i="25" s="1"/>
  <c r="AD279" i="25" s="1"/>
  <c r="AI263" i="25"/>
  <c r="AH263" i="25" s="1"/>
  <c r="AG263" i="25" s="1"/>
  <c r="AF263" i="25" s="1"/>
  <c r="AD263" i="25" s="1"/>
  <c r="AI247" i="25"/>
  <c r="AH247" i="25" s="1"/>
  <c r="AG247" i="25" s="1"/>
  <c r="AF247" i="25" s="1"/>
  <c r="AD247" i="25" s="1"/>
  <c r="AI231" i="25"/>
  <c r="AH231" i="25" s="1"/>
  <c r="AG231" i="25" s="1"/>
  <c r="AF231" i="25" s="1"/>
  <c r="AD231" i="25" s="1"/>
  <c r="AI215" i="25"/>
  <c r="AH215" i="25" s="1"/>
  <c r="AG215" i="25" s="1"/>
  <c r="AF215" i="25" s="1"/>
  <c r="AD215" i="25" s="1"/>
  <c r="AI199" i="25"/>
  <c r="AH199" i="25" s="1"/>
  <c r="AG199" i="25" s="1"/>
  <c r="AF199" i="25" s="1"/>
  <c r="AD199" i="25" s="1"/>
  <c r="AI183" i="25"/>
  <c r="AH183" i="25" s="1"/>
  <c r="AG183" i="25" s="1"/>
  <c r="AF183" i="25" s="1"/>
  <c r="AD183" i="25" s="1"/>
  <c r="AI167" i="25"/>
  <c r="AH167" i="25" s="1"/>
  <c r="AG167" i="25" s="1"/>
  <c r="AF167" i="25" s="1"/>
  <c r="AD167" i="25" s="1"/>
  <c r="AI151" i="25"/>
  <c r="AH151" i="25" s="1"/>
  <c r="AG151" i="25" s="1"/>
  <c r="AF151" i="25" s="1"/>
  <c r="AD151" i="25" s="1"/>
  <c r="AI135" i="25"/>
  <c r="AH135" i="25" s="1"/>
  <c r="AG135" i="25" s="1"/>
  <c r="AF135" i="25" s="1"/>
  <c r="AD135" i="25" s="1"/>
  <c r="AI119" i="25"/>
  <c r="AH119" i="25" s="1"/>
  <c r="AG119" i="25" s="1"/>
  <c r="AF119" i="25" s="1"/>
  <c r="AD119" i="25" s="1"/>
  <c r="AI103" i="25"/>
  <c r="AH103" i="25" s="1"/>
  <c r="AG103" i="25" s="1"/>
  <c r="AF103" i="25" s="1"/>
  <c r="AD103" i="25" s="1"/>
  <c r="AI87" i="25"/>
  <c r="AH87" i="25" s="1"/>
  <c r="AG87" i="25" s="1"/>
  <c r="AF87" i="25" s="1"/>
  <c r="AD87" i="25" s="1"/>
  <c r="AI71" i="25"/>
  <c r="AH71" i="25" s="1"/>
  <c r="AG71" i="25" s="1"/>
  <c r="AF71" i="25" s="1"/>
  <c r="AD71" i="25" s="1"/>
  <c r="AI55" i="25"/>
  <c r="AH55" i="25" s="1"/>
  <c r="AG55" i="25" s="1"/>
  <c r="AF55" i="25" s="1"/>
  <c r="AD55" i="25" s="1"/>
  <c r="AI39" i="25"/>
  <c r="AH39" i="25" s="1"/>
  <c r="AG39" i="25" s="1"/>
  <c r="AF39" i="25" s="1"/>
  <c r="AD39" i="25" s="1"/>
  <c r="AI16" i="25"/>
  <c r="AH16" i="25" s="1"/>
  <c r="AG16" i="25" s="1"/>
  <c r="AF16" i="25" s="1"/>
  <c r="AD16" i="25" s="1"/>
  <c r="AI376" i="25"/>
  <c r="AH376" i="25" s="1"/>
  <c r="AG376" i="25" s="1"/>
  <c r="AF376" i="25" s="1"/>
  <c r="AD376" i="25" s="1"/>
  <c r="AI368" i="25"/>
  <c r="AH368" i="25" s="1"/>
  <c r="AG368" i="25" s="1"/>
  <c r="AF368" i="25" s="1"/>
  <c r="AD368" i="25" s="1"/>
  <c r="AI360" i="25"/>
  <c r="AH360" i="25" s="1"/>
  <c r="AG360" i="25" s="1"/>
  <c r="AF360" i="25" s="1"/>
  <c r="AD360" i="25" s="1"/>
  <c r="AI352" i="25"/>
  <c r="AH352" i="25" s="1"/>
  <c r="AG352" i="25" s="1"/>
  <c r="AF352" i="25" s="1"/>
  <c r="AD352" i="25" s="1"/>
  <c r="AI344" i="25"/>
  <c r="AH344" i="25" s="1"/>
  <c r="AG344" i="25" s="1"/>
  <c r="AF344" i="25" s="1"/>
  <c r="AD344" i="25" s="1"/>
  <c r="AI336" i="25"/>
  <c r="AH336" i="25" s="1"/>
  <c r="AG336" i="25" s="1"/>
  <c r="AF336" i="25" s="1"/>
  <c r="AD336" i="25" s="1"/>
  <c r="AI328" i="25"/>
  <c r="AH328" i="25" s="1"/>
  <c r="AG328" i="25" s="1"/>
  <c r="AF328" i="25" s="1"/>
  <c r="AD328" i="25" s="1"/>
  <c r="AI320" i="25"/>
  <c r="AH320" i="25" s="1"/>
  <c r="AG320" i="25" s="1"/>
  <c r="AF320" i="25" s="1"/>
  <c r="AD320" i="25" s="1"/>
  <c r="AI312" i="25"/>
  <c r="AH312" i="25" s="1"/>
  <c r="AG312" i="25" s="1"/>
  <c r="AF312" i="25" s="1"/>
  <c r="AD312" i="25" s="1"/>
  <c r="AI304" i="25"/>
  <c r="AH304" i="25" s="1"/>
  <c r="AG304" i="25" s="1"/>
  <c r="AF304" i="25" s="1"/>
  <c r="AD304" i="25" s="1"/>
  <c r="AI296" i="25"/>
  <c r="AH296" i="25" s="1"/>
  <c r="AG296" i="25" s="1"/>
  <c r="AF296" i="25" s="1"/>
  <c r="AD296" i="25" s="1"/>
  <c r="AI288" i="25"/>
  <c r="AH288" i="25" s="1"/>
  <c r="AG288" i="25" s="1"/>
  <c r="AF288" i="25" s="1"/>
  <c r="AD288" i="25" s="1"/>
  <c r="AI280" i="25"/>
  <c r="AH280" i="25" s="1"/>
  <c r="AG280" i="25" s="1"/>
  <c r="AF280" i="25" s="1"/>
  <c r="AD280" i="25" s="1"/>
  <c r="AI272" i="25"/>
  <c r="AH272" i="25" s="1"/>
  <c r="AG272" i="25" s="1"/>
  <c r="AF272" i="25" s="1"/>
  <c r="AD272" i="25" s="1"/>
  <c r="AI264" i="25"/>
  <c r="AH264" i="25" s="1"/>
  <c r="AG264" i="25" s="1"/>
  <c r="AF264" i="25" s="1"/>
  <c r="AD264" i="25" s="1"/>
  <c r="AI256" i="25"/>
  <c r="AH256" i="25" s="1"/>
  <c r="AG256" i="25" s="1"/>
  <c r="AF256" i="25" s="1"/>
  <c r="AD256" i="25" s="1"/>
  <c r="AI248" i="25"/>
  <c r="AH248" i="25" s="1"/>
  <c r="AG248" i="25" s="1"/>
  <c r="AF248" i="25" s="1"/>
  <c r="AD248" i="25" s="1"/>
  <c r="AI240" i="25"/>
  <c r="AH240" i="25" s="1"/>
  <c r="AG240" i="25" s="1"/>
  <c r="AF240" i="25" s="1"/>
  <c r="AD240" i="25" s="1"/>
  <c r="AI232" i="25"/>
  <c r="AH232" i="25" s="1"/>
  <c r="AG232" i="25" s="1"/>
  <c r="AF232" i="25" s="1"/>
  <c r="AD232" i="25" s="1"/>
  <c r="AI224" i="25"/>
  <c r="AH224" i="25" s="1"/>
  <c r="AG224" i="25" s="1"/>
  <c r="AF224" i="25" s="1"/>
  <c r="AD224" i="25" s="1"/>
  <c r="AI216" i="25"/>
  <c r="AH216" i="25" s="1"/>
  <c r="AG216" i="25" s="1"/>
  <c r="AF216" i="25" s="1"/>
  <c r="AD216" i="25" s="1"/>
  <c r="AI208" i="25"/>
  <c r="AH208" i="25" s="1"/>
  <c r="AG208" i="25" s="1"/>
  <c r="AF208" i="25" s="1"/>
  <c r="AD208" i="25" s="1"/>
  <c r="AI200" i="25"/>
  <c r="AH200" i="25" s="1"/>
  <c r="AG200" i="25" s="1"/>
  <c r="AF200" i="25" s="1"/>
  <c r="AD200" i="25" s="1"/>
  <c r="AI192" i="25"/>
  <c r="AH192" i="25" s="1"/>
  <c r="AG192" i="25" s="1"/>
  <c r="AF192" i="25" s="1"/>
  <c r="AD192" i="25" s="1"/>
  <c r="AI184" i="25"/>
  <c r="AH184" i="25" s="1"/>
  <c r="AG184" i="25" s="1"/>
  <c r="AF184" i="25" s="1"/>
  <c r="AD184" i="25" s="1"/>
  <c r="AI176" i="25"/>
  <c r="AH176" i="25" s="1"/>
  <c r="AG176" i="25" s="1"/>
  <c r="AF176" i="25" s="1"/>
  <c r="AD176" i="25" s="1"/>
  <c r="AI168" i="25"/>
  <c r="AH168" i="25" s="1"/>
  <c r="AG168" i="25" s="1"/>
  <c r="AF168" i="25" s="1"/>
  <c r="AD168" i="25" s="1"/>
  <c r="AI160" i="25"/>
  <c r="AH160" i="25" s="1"/>
  <c r="AG160" i="25" s="1"/>
  <c r="AF160" i="25" s="1"/>
  <c r="AD160" i="25" s="1"/>
  <c r="AI152" i="25"/>
  <c r="AH152" i="25" s="1"/>
  <c r="AG152" i="25" s="1"/>
  <c r="AF152" i="25" s="1"/>
  <c r="AD152" i="25" s="1"/>
  <c r="AI144" i="25"/>
  <c r="AH144" i="25" s="1"/>
  <c r="AG144" i="25" s="1"/>
  <c r="AF144" i="25" s="1"/>
  <c r="AD144" i="25" s="1"/>
  <c r="AI136" i="25"/>
  <c r="AH136" i="25" s="1"/>
  <c r="AG136" i="25" s="1"/>
  <c r="AF136" i="25" s="1"/>
  <c r="AD136" i="25" s="1"/>
  <c r="AI128" i="25"/>
  <c r="AH128" i="25" s="1"/>
  <c r="AG128" i="25" s="1"/>
  <c r="AF128" i="25" s="1"/>
  <c r="AD128" i="25" s="1"/>
  <c r="AI120" i="25"/>
  <c r="AH120" i="25" s="1"/>
  <c r="AG120" i="25" s="1"/>
  <c r="AF120" i="25" s="1"/>
  <c r="AD120" i="25" s="1"/>
  <c r="AI112" i="25"/>
  <c r="AH112" i="25" s="1"/>
  <c r="AG112" i="25" s="1"/>
  <c r="AF112" i="25" s="1"/>
  <c r="AD112" i="25" s="1"/>
  <c r="AI104" i="25"/>
  <c r="AH104" i="25" s="1"/>
  <c r="AG104" i="25" s="1"/>
  <c r="AF104" i="25" s="1"/>
  <c r="AD104" i="25" s="1"/>
  <c r="AI96" i="25"/>
  <c r="AH96" i="25" s="1"/>
  <c r="AG96" i="25" s="1"/>
  <c r="AF96" i="25" s="1"/>
  <c r="AD96" i="25" s="1"/>
  <c r="AI88" i="25"/>
  <c r="AH88" i="25" s="1"/>
  <c r="AG88" i="25" s="1"/>
  <c r="AF88" i="25" s="1"/>
  <c r="AD88" i="25" s="1"/>
  <c r="AI80" i="25"/>
  <c r="AH80" i="25" s="1"/>
  <c r="AG80" i="25" s="1"/>
  <c r="AF80" i="25" s="1"/>
  <c r="AD80" i="25" s="1"/>
  <c r="AI72" i="25"/>
  <c r="AH72" i="25" s="1"/>
  <c r="AG72" i="25" s="1"/>
  <c r="AF72" i="25" s="1"/>
  <c r="AD72" i="25" s="1"/>
  <c r="AI64" i="25"/>
  <c r="AH64" i="25" s="1"/>
  <c r="AG64" i="25" s="1"/>
  <c r="AF64" i="25" s="1"/>
  <c r="AD64" i="25" s="1"/>
  <c r="AI56" i="25"/>
  <c r="AH56" i="25" s="1"/>
  <c r="AG56" i="25" s="1"/>
  <c r="AF56" i="25" s="1"/>
  <c r="AD56" i="25" s="1"/>
  <c r="AI48" i="25"/>
  <c r="AH48" i="25" s="1"/>
  <c r="AG48" i="25" s="1"/>
  <c r="AF48" i="25" s="1"/>
  <c r="AD48" i="25" s="1"/>
  <c r="AI40" i="25"/>
  <c r="AH40" i="25" s="1"/>
  <c r="AG40" i="25" s="1"/>
  <c r="AF40" i="25" s="1"/>
  <c r="AD40" i="25" s="1"/>
  <c r="AI32" i="25"/>
  <c r="AH32" i="25" s="1"/>
  <c r="AG32" i="25" s="1"/>
  <c r="AF32" i="25" s="1"/>
  <c r="AD32" i="25" s="1"/>
  <c r="AI26" i="25"/>
  <c r="AH26" i="25" s="1"/>
  <c r="AG26" i="25" s="1"/>
  <c r="AF26" i="25" s="1"/>
  <c r="AD26" i="25" s="1"/>
  <c r="AI18" i="25"/>
  <c r="AH18" i="25" s="1"/>
  <c r="AG18" i="25" s="1"/>
  <c r="AF18" i="25" s="1"/>
  <c r="AD18" i="25" s="1"/>
  <c r="U372" i="25"/>
  <c r="T372" i="25" s="1"/>
  <c r="S372" i="25" s="1"/>
  <c r="R372" i="25" s="1"/>
  <c r="P372" i="25" s="1"/>
  <c r="V372" i="25" s="1"/>
  <c r="U364" i="25"/>
  <c r="T364" i="25" s="1"/>
  <c r="S364" i="25" s="1"/>
  <c r="R364" i="25" s="1"/>
  <c r="P364" i="25" s="1"/>
  <c r="V364" i="25" s="1"/>
  <c r="U356" i="25"/>
  <c r="T356" i="25" s="1"/>
  <c r="S356" i="25" s="1"/>
  <c r="R356" i="25" s="1"/>
  <c r="P356" i="25" s="1"/>
  <c r="V356" i="25" s="1"/>
  <c r="U348" i="25"/>
  <c r="T348" i="25" s="1"/>
  <c r="S348" i="25" s="1"/>
  <c r="R348" i="25" s="1"/>
  <c r="P348" i="25" s="1"/>
  <c r="V348" i="25" s="1"/>
  <c r="U340" i="25"/>
  <c r="T340" i="25" s="1"/>
  <c r="S340" i="25" s="1"/>
  <c r="R340" i="25" s="1"/>
  <c r="P340" i="25" s="1"/>
  <c r="V340" i="25" s="1"/>
  <c r="U332" i="25"/>
  <c r="T332" i="25" s="1"/>
  <c r="S332" i="25" s="1"/>
  <c r="R332" i="25" s="1"/>
  <c r="P332" i="25" s="1"/>
  <c r="V332" i="25" s="1"/>
  <c r="U324" i="25"/>
  <c r="T324" i="25" s="1"/>
  <c r="S324" i="25" s="1"/>
  <c r="R324" i="25" s="1"/>
  <c r="P324" i="25" s="1"/>
  <c r="V324" i="25" s="1"/>
  <c r="U316" i="25"/>
  <c r="T316" i="25" s="1"/>
  <c r="S316" i="25" s="1"/>
  <c r="R316" i="25" s="1"/>
  <c r="P316" i="25" s="1"/>
  <c r="V316" i="25" s="1"/>
  <c r="U308" i="25"/>
  <c r="T308" i="25" s="1"/>
  <c r="S308" i="25" s="1"/>
  <c r="R308" i="25" s="1"/>
  <c r="P308" i="25" s="1"/>
  <c r="V308" i="25" s="1"/>
  <c r="U300" i="25"/>
  <c r="T300" i="25" s="1"/>
  <c r="S300" i="25" s="1"/>
  <c r="R300" i="25" s="1"/>
  <c r="P300" i="25" s="1"/>
  <c r="V300" i="25" s="1"/>
  <c r="U292" i="25"/>
  <c r="T292" i="25" s="1"/>
  <c r="S292" i="25" s="1"/>
  <c r="R292" i="25" s="1"/>
  <c r="P292" i="25" s="1"/>
  <c r="V292" i="25" s="1"/>
  <c r="U284" i="25"/>
  <c r="T284" i="25" s="1"/>
  <c r="S284" i="25" s="1"/>
  <c r="R284" i="25" s="1"/>
  <c r="P284" i="25" s="1"/>
  <c r="V284" i="25" s="1"/>
  <c r="U276" i="25"/>
  <c r="T276" i="25" s="1"/>
  <c r="S276" i="25" s="1"/>
  <c r="R276" i="25" s="1"/>
  <c r="P276" i="25" s="1"/>
  <c r="V276" i="25" s="1"/>
  <c r="U268" i="25"/>
  <c r="T268" i="25" s="1"/>
  <c r="S268" i="25" s="1"/>
  <c r="R268" i="25" s="1"/>
  <c r="P268" i="25" s="1"/>
  <c r="V268" i="25" s="1"/>
  <c r="U260" i="25"/>
  <c r="T260" i="25" s="1"/>
  <c r="S260" i="25" s="1"/>
  <c r="R260" i="25" s="1"/>
  <c r="P260" i="25" s="1"/>
  <c r="V260" i="25" s="1"/>
  <c r="U252" i="25"/>
  <c r="T252" i="25" s="1"/>
  <c r="S252" i="25" s="1"/>
  <c r="R252" i="25" s="1"/>
  <c r="P252" i="25" s="1"/>
  <c r="V252" i="25" s="1"/>
  <c r="U244" i="25"/>
  <c r="T244" i="25" s="1"/>
  <c r="S244" i="25" s="1"/>
  <c r="R244" i="25" s="1"/>
  <c r="P244" i="25" s="1"/>
  <c r="V244" i="25" s="1"/>
  <c r="U236" i="25"/>
  <c r="T236" i="25" s="1"/>
  <c r="S236" i="25" s="1"/>
  <c r="R236" i="25" s="1"/>
  <c r="P236" i="25" s="1"/>
  <c r="V236" i="25" s="1"/>
  <c r="U228" i="25"/>
  <c r="T228" i="25" s="1"/>
  <c r="S228" i="25" s="1"/>
  <c r="R228" i="25" s="1"/>
  <c r="P228" i="25" s="1"/>
  <c r="V228" i="25" s="1"/>
  <c r="U220" i="25"/>
  <c r="T220" i="25" s="1"/>
  <c r="S220" i="25" s="1"/>
  <c r="R220" i="25" s="1"/>
  <c r="P220" i="25" s="1"/>
  <c r="V220" i="25" s="1"/>
  <c r="U212" i="25"/>
  <c r="T212" i="25" s="1"/>
  <c r="S212" i="25" s="1"/>
  <c r="R212" i="25" s="1"/>
  <c r="P212" i="25" s="1"/>
  <c r="V212" i="25" s="1"/>
  <c r="U204" i="25"/>
  <c r="T204" i="25" s="1"/>
  <c r="S204" i="25" s="1"/>
  <c r="R204" i="25" s="1"/>
  <c r="P204" i="25" s="1"/>
  <c r="V204" i="25" s="1"/>
  <c r="U192" i="25"/>
  <c r="T192" i="25" s="1"/>
  <c r="S192" i="25" s="1"/>
  <c r="R192" i="25" s="1"/>
  <c r="P192" i="25" s="1"/>
  <c r="V192" i="25" s="1"/>
  <c r="U176" i="25"/>
  <c r="T176" i="25" s="1"/>
  <c r="S176" i="25" s="1"/>
  <c r="R176" i="25" s="1"/>
  <c r="P176" i="25" s="1"/>
  <c r="V176" i="25" s="1"/>
  <c r="U160" i="25"/>
  <c r="T160" i="25" s="1"/>
  <c r="S160" i="25" s="1"/>
  <c r="R160" i="25" s="1"/>
  <c r="P160" i="25" s="1"/>
  <c r="V160" i="25" s="1"/>
  <c r="U144" i="25"/>
  <c r="T144" i="25" s="1"/>
  <c r="S144" i="25" s="1"/>
  <c r="R144" i="25" s="1"/>
  <c r="P144" i="25" s="1"/>
  <c r="V144" i="25" s="1"/>
  <c r="U128" i="25"/>
  <c r="T128" i="25" s="1"/>
  <c r="S128" i="25" s="1"/>
  <c r="R128" i="25" s="1"/>
  <c r="P128" i="25" s="1"/>
  <c r="V128" i="25" s="1"/>
  <c r="U112" i="25"/>
  <c r="T112" i="25" s="1"/>
  <c r="S112" i="25" s="1"/>
  <c r="R112" i="25" s="1"/>
  <c r="P112" i="25" s="1"/>
  <c r="V112" i="25" s="1"/>
  <c r="U96" i="25"/>
  <c r="T96" i="25" s="1"/>
  <c r="S96" i="25" s="1"/>
  <c r="R96" i="25" s="1"/>
  <c r="P96" i="25" s="1"/>
  <c r="V96" i="25" s="1"/>
  <c r="U80" i="25"/>
  <c r="T80" i="25" s="1"/>
  <c r="S80" i="25" s="1"/>
  <c r="R80" i="25" s="1"/>
  <c r="P80" i="25" s="1"/>
  <c r="V80" i="25" s="1"/>
  <c r="U64" i="25"/>
  <c r="T64" i="25" s="1"/>
  <c r="S64" i="25" s="1"/>
  <c r="R64" i="25" s="1"/>
  <c r="P64" i="25" s="1"/>
  <c r="V64" i="25" s="1"/>
  <c r="U48" i="25"/>
  <c r="T48" i="25" s="1"/>
  <c r="S48" i="25" s="1"/>
  <c r="R48" i="25" s="1"/>
  <c r="P48" i="25" s="1"/>
  <c r="V48" i="25" s="1"/>
  <c r="U32" i="25"/>
  <c r="T32" i="25" s="1"/>
  <c r="S32" i="25" s="1"/>
  <c r="R32" i="25" s="1"/>
  <c r="P32" i="25" s="1"/>
  <c r="V32" i="25" s="1"/>
  <c r="U374" i="25"/>
  <c r="T374" i="25" s="1"/>
  <c r="S374" i="25" s="1"/>
  <c r="R374" i="25" s="1"/>
  <c r="P374" i="25" s="1"/>
  <c r="V374" i="25" s="1"/>
  <c r="U366" i="25"/>
  <c r="T366" i="25" s="1"/>
  <c r="S366" i="25" s="1"/>
  <c r="R366" i="25" s="1"/>
  <c r="P366" i="25" s="1"/>
  <c r="V366" i="25" s="1"/>
  <c r="U358" i="25"/>
  <c r="T358" i="25" s="1"/>
  <c r="S358" i="25" s="1"/>
  <c r="R358" i="25" s="1"/>
  <c r="P358" i="25" s="1"/>
  <c r="V358" i="25" s="1"/>
  <c r="U350" i="25"/>
  <c r="T350" i="25" s="1"/>
  <c r="S350" i="25" s="1"/>
  <c r="R350" i="25" s="1"/>
  <c r="P350" i="25" s="1"/>
  <c r="V350" i="25" s="1"/>
  <c r="U342" i="25"/>
  <c r="T342" i="25" s="1"/>
  <c r="S342" i="25" s="1"/>
  <c r="R342" i="25" s="1"/>
  <c r="P342" i="25" s="1"/>
  <c r="V342" i="25" s="1"/>
  <c r="U334" i="25"/>
  <c r="T334" i="25" s="1"/>
  <c r="S334" i="25" s="1"/>
  <c r="R334" i="25" s="1"/>
  <c r="P334" i="25" s="1"/>
  <c r="V334" i="25" s="1"/>
  <c r="U326" i="25"/>
  <c r="T326" i="25" s="1"/>
  <c r="S326" i="25" s="1"/>
  <c r="R326" i="25" s="1"/>
  <c r="P326" i="25" s="1"/>
  <c r="V326" i="25" s="1"/>
  <c r="U318" i="25"/>
  <c r="T318" i="25" s="1"/>
  <c r="S318" i="25" s="1"/>
  <c r="R318" i="25" s="1"/>
  <c r="P318" i="25" s="1"/>
  <c r="V318" i="25" s="1"/>
  <c r="U310" i="25"/>
  <c r="T310" i="25" s="1"/>
  <c r="S310" i="25" s="1"/>
  <c r="R310" i="25" s="1"/>
  <c r="P310" i="25" s="1"/>
  <c r="V310" i="25" s="1"/>
  <c r="U302" i="25"/>
  <c r="T302" i="25" s="1"/>
  <c r="S302" i="25" s="1"/>
  <c r="R302" i="25" s="1"/>
  <c r="P302" i="25" s="1"/>
  <c r="U294" i="25"/>
  <c r="T294" i="25" s="1"/>
  <c r="S294" i="25" s="1"/>
  <c r="R294" i="25" s="1"/>
  <c r="P294" i="25" s="1"/>
  <c r="V294" i="25" s="1"/>
  <c r="U286" i="25"/>
  <c r="T286" i="25" s="1"/>
  <c r="S286" i="25" s="1"/>
  <c r="R286" i="25" s="1"/>
  <c r="P286" i="25" s="1"/>
  <c r="V286" i="25" s="1"/>
  <c r="U278" i="25"/>
  <c r="T278" i="25" s="1"/>
  <c r="S278" i="25" s="1"/>
  <c r="R278" i="25" s="1"/>
  <c r="P278" i="25" s="1"/>
  <c r="V278" i="25" s="1"/>
  <c r="U270" i="25"/>
  <c r="T270" i="25" s="1"/>
  <c r="S270" i="25" s="1"/>
  <c r="R270" i="25" s="1"/>
  <c r="P270" i="25" s="1"/>
  <c r="V270" i="25" s="1"/>
  <c r="U262" i="25"/>
  <c r="T262" i="25" s="1"/>
  <c r="S262" i="25" s="1"/>
  <c r="R262" i="25" s="1"/>
  <c r="P262" i="25" s="1"/>
  <c r="V262" i="25" s="1"/>
  <c r="U254" i="25"/>
  <c r="T254" i="25" s="1"/>
  <c r="S254" i="25" s="1"/>
  <c r="R254" i="25" s="1"/>
  <c r="P254" i="25" s="1"/>
  <c r="V254" i="25" s="1"/>
  <c r="U246" i="25"/>
  <c r="T246" i="25" s="1"/>
  <c r="S246" i="25" s="1"/>
  <c r="R246" i="25" s="1"/>
  <c r="P246" i="25" s="1"/>
  <c r="V246" i="25" s="1"/>
  <c r="U238" i="25"/>
  <c r="T238" i="25" s="1"/>
  <c r="S238" i="25" s="1"/>
  <c r="R238" i="25" s="1"/>
  <c r="P238" i="25" s="1"/>
  <c r="V238" i="25" s="1"/>
  <c r="U230" i="25"/>
  <c r="T230" i="25" s="1"/>
  <c r="S230" i="25" s="1"/>
  <c r="R230" i="25" s="1"/>
  <c r="P230" i="25" s="1"/>
  <c r="V230" i="25" s="1"/>
  <c r="U222" i="25"/>
  <c r="T222" i="25" s="1"/>
  <c r="S222" i="25" s="1"/>
  <c r="R222" i="25" s="1"/>
  <c r="P222" i="25" s="1"/>
  <c r="V222" i="25" s="1"/>
  <c r="U214" i="25"/>
  <c r="T214" i="25" s="1"/>
  <c r="S214" i="25" s="1"/>
  <c r="R214" i="25" s="1"/>
  <c r="P214" i="25" s="1"/>
  <c r="V214" i="25" s="1"/>
  <c r="U206" i="25"/>
  <c r="T206" i="25" s="1"/>
  <c r="S206" i="25" s="1"/>
  <c r="R206" i="25" s="1"/>
  <c r="P206" i="25" s="1"/>
  <c r="V206" i="25" s="1"/>
  <c r="U196" i="25"/>
  <c r="T196" i="25" s="1"/>
  <c r="S196" i="25" s="1"/>
  <c r="R196" i="25" s="1"/>
  <c r="P196" i="25" s="1"/>
  <c r="V196" i="25" s="1"/>
  <c r="U180" i="25"/>
  <c r="T180" i="25" s="1"/>
  <c r="S180" i="25" s="1"/>
  <c r="R180" i="25" s="1"/>
  <c r="P180" i="25" s="1"/>
  <c r="U164" i="25"/>
  <c r="T164" i="25" s="1"/>
  <c r="S164" i="25" s="1"/>
  <c r="R164" i="25" s="1"/>
  <c r="P164" i="25" s="1"/>
  <c r="V164" i="25" s="1"/>
  <c r="U148" i="25"/>
  <c r="T148" i="25" s="1"/>
  <c r="S148" i="25" s="1"/>
  <c r="R148" i="25" s="1"/>
  <c r="P148" i="25" s="1"/>
  <c r="V148" i="25" s="1"/>
  <c r="U132" i="25"/>
  <c r="T132" i="25" s="1"/>
  <c r="S132" i="25" s="1"/>
  <c r="R132" i="25" s="1"/>
  <c r="P132" i="25" s="1"/>
  <c r="V132" i="25" s="1"/>
  <c r="U116" i="25"/>
  <c r="T116" i="25" s="1"/>
  <c r="S116" i="25" s="1"/>
  <c r="R116" i="25" s="1"/>
  <c r="P116" i="25" s="1"/>
  <c r="V116" i="25" s="1"/>
  <c r="U100" i="25"/>
  <c r="T100" i="25" s="1"/>
  <c r="S100" i="25" s="1"/>
  <c r="R100" i="25" s="1"/>
  <c r="P100" i="25" s="1"/>
  <c r="V100" i="25" s="1"/>
  <c r="U84" i="25"/>
  <c r="T84" i="25" s="1"/>
  <c r="S84" i="25" s="1"/>
  <c r="R84" i="25" s="1"/>
  <c r="P84" i="25" s="1"/>
  <c r="V84" i="25" s="1"/>
  <c r="U68" i="25"/>
  <c r="T68" i="25" s="1"/>
  <c r="S68" i="25" s="1"/>
  <c r="R68" i="25" s="1"/>
  <c r="P68" i="25" s="1"/>
  <c r="V68" i="25" s="1"/>
  <c r="U52" i="25"/>
  <c r="T52" i="25" s="1"/>
  <c r="S52" i="25" s="1"/>
  <c r="R52" i="25" s="1"/>
  <c r="P52" i="25" s="1"/>
  <c r="V52" i="25" s="1"/>
  <c r="U36" i="25"/>
  <c r="T36" i="25" s="1"/>
  <c r="S36" i="25" s="1"/>
  <c r="R36" i="25" s="1"/>
  <c r="P36" i="25" s="1"/>
  <c r="V36" i="25" s="1"/>
  <c r="U18" i="25"/>
  <c r="T18" i="25" s="1"/>
  <c r="S18" i="25" s="1"/>
  <c r="R18" i="25" s="1"/>
  <c r="P18" i="25" s="1"/>
  <c r="V18" i="25" s="1"/>
  <c r="AI373" i="25"/>
  <c r="AH373" i="25" s="1"/>
  <c r="AG373" i="25" s="1"/>
  <c r="AF373" i="25" s="1"/>
  <c r="AD373" i="25" s="1"/>
  <c r="AI341" i="25"/>
  <c r="AH341" i="25" s="1"/>
  <c r="AG341" i="25" s="1"/>
  <c r="AF341" i="25" s="1"/>
  <c r="AD341" i="25" s="1"/>
  <c r="AI309" i="25"/>
  <c r="AH309" i="25" s="1"/>
  <c r="AG309" i="25" s="1"/>
  <c r="AF309" i="25" s="1"/>
  <c r="AD309" i="25" s="1"/>
  <c r="AI277" i="25"/>
  <c r="AH277" i="25" s="1"/>
  <c r="AG277" i="25" s="1"/>
  <c r="AF277" i="25" s="1"/>
  <c r="AD277" i="25" s="1"/>
  <c r="AI245" i="25"/>
  <c r="AH245" i="25" s="1"/>
  <c r="AG245" i="25" s="1"/>
  <c r="AF245" i="25" s="1"/>
  <c r="AD245" i="25" s="1"/>
  <c r="AI213" i="25"/>
  <c r="AH213" i="25" s="1"/>
  <c r="AG213" i="25" s="1"/>
  <c r="AF213" i="25" s="1"/>
  <c r="AD213" i="25" s="1"/>
  <c r="AI177" i="25"/>
  <c r="AH177" i="25" s="1"/>
  <c r="AG177" i="25" s="1"/>
  <c r="AF177" i="25" s="1"/>
  <c r="AD177" i="25" s="1"/>
  <c r="AI113" i="25"/>
  <c r="AH113" i="25" s="1"/>
  <c r="AG113" i="25" s="1"/>
  <c r="AF113" i="25" s="1"/>
  <c r="AD113" i="25" s="1"/>
  <c r="AI365" i="25"/>
  <c r="AH365" i="25" s="1"/>
  <c r="AG365" i="25" s="1"/>
  <c r="AF365" i="25" s="1"/>
  <c r="AD365" i="25" s="1"/>
  <c r="AI333" i="25"/>
  <c r="AH333" i="25" s="1"/>
  <c r="AG333" i="25" s="1"/>
  <c r="AF333" i="25" s="1"/>
  <c r="AD333" i="25" s="1"/>
  <c r="AI301" i="25"/>
  <c r="AH301" i="25" s="1"/>
  <c r="AG301" i="25" s="1"/>
  <c r="AF301" i="25" s="1"/>
  <c r="AD301" i="25" s="1"/>
  <c r="AI269" i="25"/>
  <c r="AH269" i="25" s="1"/>
  <c r="AG269" i="25" s="1"/>
  <c r="AF269" i="25" s="1"/>
  <c r="AD269" i="25" s="1"/>
  <c r="AI237" i="25"/>
  <c r="AH237" i="25" s="1"/>
  <c r="AG237" i="25" s="1"/>
  <c r="AF237" i="25" s="1"/>
  <c r="AD237" i="25" s="1"/>
  <c r="AI205" i="25"/>
  <c r="AH205" i="25" s="1"/>
  <c r="AG205" i="25" s="1"/>
  <c r="AF205" i="25" s="1"/>
  <c r="AD205" i="25" s="1"/>
  <c r="AI161" i="25"/>
  <c r="AH161" i="25" s="1"/>
  <c r="AG161" i="25" s="1"/>
  <c r="AF161" i="25" s="1"/>
  <c r="AD161" i="25" s="1"/>
  <c r="AI97" i="25"/>
  <c r="AH97" i="25" s="1"/>
  <c r="AG97" i="25" s="1"/>
  <c r="AF97" i="25" s="1"/>
  <c r="AD97" i="25" s="1"/>
  <c r="AI57" i="25"/>
  <c r="AH57" i="25" s="1"/>
  <c r="AG57" i="25" s="1"/>
  <c r="AF57" i="25" s="1"/>
  <c r="AD57" i="25" s="1"/>
  <c r="AI137" i="25"/>
  <c r="AH137" i="25" s="1"/>
  <c r="AG137" i="25" s="1"/>
  <c r="AF137" i="25" s="1"/>
  <c r="AD137" i="25" s="1"/>
  <c r="AI193" i="25"/>
  <c r="AH193" i="25" s="1"/>
  <c r="AG193" i="25" s="1"/>
  <c r="AF193" i="25" s="1"/>
  <c r="AD193" i="25" s="1"/>
  <c r="AI225" i="25"/>
  <c r="AH225" i="25" s="1"/>
  <c r="AG225" i="25" s="1"/>
  <c r="AF225" i="25" s="1"/>
  <c r="AD225" i="25" s="1"/>
  <c r="AI257" i="25"/>
  <c r="AH257" i="25" s="1"/>
  <c r="AG257" i="25" s="1"/>
  <c r="AF257" i="25" s="1"/>
  <c r="AD257" i="25" s="1"/>
  <c r="AI289" i="25"/>
  <c r="AH289" i="25" s="1"/>
  <c r="AG289" i="25" s="1"/>
  <c r="AF289" i="25" s="1"/>
  <c r="AD289" i="25" s="1"/>
  <c r="AI321" i="25"/>
  <c r="AH321" i="25" s="1"/>
  <c r="AG321" i="25" s="1"/>
  <c r="AF321" i="25" s="1"/>
  <c r="AD321" i="25" s="1"/>
  <c r="AI353" i="25"/>
  <c r="AH353" i="25" s="1"/>
  <c r="AG353" i="25" s="1"/>
  <c r="AF353" i="25" s="1"/>
  <c r="AD353" i="25" s="1"/>
  <c r="U16" i="25"/>
  <c r="T16" i="25" s="1"/>
  <c r="S16" i="25" s="1"/>
  <c r="R16" i="25" s="1"/>
  <c r="P16" i="25" s="1"/>
  <c r="V16" i="25" s="1"/>
  <c r="U30" i="25"/>
  <c r="T30" i="25" s="1"/>
  <c r="S30" i="25" s="1"/>
  <c r="R30" i="25" s="1"/>
  <c r="P30" i="25" s="1"/>
  <c r="V30" i="25" s="1"/>
  <c r="U46" i="25"/>
  <c r="T46" i="25" s="1"/>
  <c r="S46" i="25" s="1"/>
  <c r="R46" i="25" s="1"/>
  <c r="P46" i="25" s="1"/>
  <c r="V46" i="25" s="1"/>
  <c r="U62" i="25"/>
  <c r="T62" i="25" s="1"/>
  <c r="S62" i="25" s="1"/>
  <c r="R62" i="25" s="1"/>
  <c r="P62" i="25" s="1"/>
  <c r="V62" i="25" s="1"/>
  <c r="U78" i="25"/>
  <c r="T78" i="25" s="1"/>
  <c r="S78" i="25" s="1"/>
  <c r="R78" i="25" s="1"/>
  <c r="P78" i="25" s="1"/>
  <c r="V78" i="25" s="1"/>
  <c r="U94" i="25"/>
  <c r="T94" i="25" s="1"/>
  <c r="S94" i="25" s="1"/>
  <c r="R94" i="25" s="1"/>
  <c r="P94" i="25" s="1"/>
  <c r="V94" i="25" s="1"/>
  <c r="U110" i="25"/>
  <c r="T110" i="25" s="1"/>
  <c r="S110" i="25" s="1"/>
  <c r="R110" i="25" s="1"/>
  <c r="P110" i="25" s="1"/>
  <c r="V110" i="25" s="1"/>
  <c r="U126" i="25"/>
  <c r="T126" i="25" s="1"/>
  <c r="S126" i="25" s="1"/>
  <c r="R126" i="25" s="1"/>
  <c r="P126" i="25" s="1"/>
  <c r="V126" i="25" s="1"/>
  <c r="U142" i="25"/>
  <c r="T142" i="25" s="1"/>
  <c r="S142" i="25" s="1"/>
  <c r="R142" i="25" s="1"/>
  <c r="P142" i="25" s="1"/>
  <c r="V142" i="25" s="1"/>
  <c r="U158" i="25"/>
  <c r="T158" i="25" s="1"/>
  <c r="S158" i="25" s="1"/>
  <c r="R158" i="25" s="1"/>
  <c r="P158" i="25" s="1"/>
  <c r="V158" i="25" s="1"/>
  <c r="U174" i="25"/>
  <c r="T174" i="25" s="1"/>
  <c r="S174" i="25" s="1"/>
  <c r="R174" i="25" s="1"/>
  <c r="P174" i="25" s="1"/>
  <c r="V174" i="25" s="1"/>
  <c r="U190" i="25"/>
  <c r="T190" i="25" s="1"/>
  <c r="S190" i="25" s="1"/>
  <c r="R190" i="25" s="1"/>
  <c r="P190" i="25" s="1"/>
  <c r="V190" i="25" s="1"/>
  <c r="AI65" i="25"/>
  <c r="AH65" i="25" s="1"/>
  <c r="AG65" i="25" s="1"/>
  <c r="AF65" i="25" s="1"/>
  <c r="AD65" i="25" s="1"/>
  <c r="AI165" i="25"/>
  <c r="AH165" i="25" s="1"/>
  <c r="AG165" i="25" s="1"/>
  <c r="AF165" i="25" s="1"/>
  <c r="AD165" i="25" s="1"/>
  <c r="AI133" i="25"/>
  <c r="AH133" i="25" s="1"/>
  <c r="AG133" i="25" s="1"/>
  <c r="AF133" i="25" s="1"/>
  <c r="AD133" i="25" s="1"/>
  <c r="AI101" i="25"/>
  <c r="AH101" i="25" s="1"/>
  <c r="AG101" i="25" s="1"/>
  <c r="AF101" i="25" s="1"/>
  <c r="AD101" i="25" s="1"/>
  <c r="AI69" i="25"/>
  <c r="AH69" i="25" s="1"/>
  <c r="AG69" i="25" s="1"/>
  <c r="AF69" i="25" s="1"/>
  <c r="AD69" i="25" s="1"/>
  <c r="AI53" i="25"/>
  <c r="AH53" i="25" s="1"/>
  <c r="AG53" i="25" s="1"/>
  <c r="AF53" i="25" s="1"/>
  <c r="AD53" i="25" s="1"/>
  <c r="AI33" i="25"/>
  <c r="AH33" i="25" s="1"/>
  <c r="AG33" i="25" s="1"/>
  <c r="AF33" i="25" s="1"/>
  <c r="AD33" i="25" s="1"/>
  <c r="U377" i="25"/>
  <c r="T377" i="25" s="1"/>
  <c r="S377" i="25" s="1"/>
  <c r="R377" i="25" s="1"/>
  <c r="P377" i="25" s="1"/>
  <c r="V377" i="25" s="1"/>
  <c r="U369" i="25"/>
  <c r="T369" i="25" s="1"/>
  <c r="S369" i="25" s="1"/>
  <c r="R369" i="25" s="1"/>
  <c r="P369" i="25" s="1"/>
  <c r="V369" i="25" s="1"/>
  <c r="U361" i="25"/>
  <c r="T361" i="25" s="1"/>
  <c r="S361" i="25" s="1"/>
  <c r="R361" i="25" s="1"/>
  <c r="P361" i="25" s="1"/>
  <c r="V361" i="25" s="1"/>
  <c r="U353" i="25"/>
  <c r="T353" i="25" s="1"/>
  <c r="S353" i="25" s="1"/>
  <c r="R353" i="25" s="1"/>
  <c r="P353" i="25" s="1"/>
  <c r="V353" i="25" s="1"/>
  <c r="U345" i="25"/>
  <c r="T345" i="25" s="1"/>
  <c r="S345" i="25" s="1"/>
  <c r="R345" i="25" s="1"/>
  <c r="P345" i="25" s="1"/>
  <c r="V345" i="25" s="1"/>
  <c r="U337" i="25"/>
  <c r="T337" i="25" s="1"/>
  <c r="S337" i="25" s="1"/>
  <c r="R337" i="25" s="1"/>
  <c r="P337" i="25" s="1"/>
  <c r="V337" i="25" s="1"/>
  <c r="U329" i="25"/>
  <c r="T329" i="25" s="1"/>
  <c r="S329" i="25" s="1"/>
  <c r="R329" i="25" s="1"/>
  <c r="P329" i="25" s="1"/>
  <c r="V329" i="25" s="1"/>
  <c r="U321" i="25"/>
  <c r="T321" i="25" s="1"/>
  <c r="S321" i="25" s="1"/>
  <c r="R321" i="25" s="1"/>
  <c r="P321" i="25" s="1"/>
  <c r="V321" i="25" s="1"/>
  <c r="U313" i="25"/>
  <c r="T313" i="25" s="1"/>
  <c r="S313" i="25" s="1"/>
  <c r="R313" i="25" s="1"/>
  <c r="P313" i="25" s="1"/>
  <c r="V313" i="25" s="1"/>
  <c r="U305" i="25"/>
  <c r="T305" i="25" s="1"/>
  <c r="S305" i="25" s="1"/>
  <c r="R305" i="25" s="1"/>
  <c r="P305" i="25" s="1"/>
  <c r="V305" i="25" s="1"/>
  <c r="U297" i="25"/>
  <c r="T297" i="25" s="1"/>
  <c r="S297" i="25" s="1"/>
  <c r="R297" i="25" s="1"/>
  <c r="P297" i="25" s="1"/>
  <c r="V297" i="25" s="1"/>
  <c r="U289" i="25"/>
  <c r="T289" i="25" s="1"/>
  <c r="S289" i="25" s="1"/>
  <c r="R289" i="25" s="1"/>
  <c r="P289" i="25" s="1"/>
  <c r="V289" i="25" s="1"/>
  <c r="U281" i="25"/>
  <c r="T281" i="25" s="1"/>
  <c r="S281" i="25" s="1"/>
  <c r="R281" i="25" s="1"/>
  <c r="P281" i="25" s="1"/>
  <c r="V281" i="25" s="1"/>
  <c r="U273" i="25"/>
  <c r="T273" i="25" s="1"/>
  <c r="S273" i="25" s="1"/>
  <c r="R273" i="25" s="1"/>
  <c r="P273" i="25" s="1"/>
  <c r="V273" i="25" s="1"/>
  <c r="U265" i="25"/>
  <c r="T265" i="25" s="1"/>
  <c r="S265" i="25" s="1"/>
  <c r="R265" i="25" s="1"/>
  <c r="P265" i="25" s="1"/>
  <c r="V265" i="25" s="1"/>
  <c r="U257" i="25"/>
  <c r="T257" i="25" s="1"/>
  <c r="S257" i="25" s="1"/>
  <c r="R257" i="25" s="1"/>
  <c r="P257" i="25" s="1"/>
  <c r="V257" i="25" s="1"/>
  <c r="U249" i="25"/>
  <c r="T249" i="25" s="1"/>
  <c r="S249" i="25" s="1"/>
  <c r="R249" i="25" s="1"/>
  <c r="P249" i="25" s="1"/>
  <c r="V249" i="25" s="1"/>
  <c r="U241" i="25"/>
  <c r="T241" i="25" s="1"/>
  <c r="S241" i="25" s="1"/>
  <c r="R241" i="25" s="1"/>
  <c r="P241" i="25" s="1"/>
  <c r="U233" i="25"/>
  <c r="T233" i="25" s="1"/>
  <c r="S233" i="25" s="1"/>
  <c r="R233" i="25" s="1"/>
  <c r="P233" i="25" s="1"/>
  <c r="V233" i="25" s="1"/>
  <c r="U225" i="25"/>
  <c r="T225" i="25" s="1"/>
  <c r="S225" i="25" s="1"/>
  <c r="R225" i="25" s="1"/>
  <c r="P225" i="25" s="1"/>
  <c r="V225" i="25" s="1"/>
  <c r="U217" i="25"/>
  <c r="T217" i="25" s="1"/>
  <c r="S217" i="25" s="1"/>
  <c r="R217" i="25" s="1"/>
  <c r="P217" i="25" s="1"/>
  <c r="V217" i="25" s="1"/>
  <c r="U209" i="25"/>
  <c r="T209" i="25" s="1"/>
  <c r="S209" i="25" s="1"/>
  <c r="R209" i="25" s="1"/>
  <c r="P209" i="25" s="1"/>
  <c r="V209" i="25" s="1"/>
  <c r="U201" i="25"/>
  <c r="T201" i="25" s="1"/>
  <c r="S201" i="25" s="1"/>
  <c r="R201" i="25" s="1"/>
  <c r="P201" i="25" s="1"/>
  <c r="V201" i="25" s="1"/>
  <c r="U193" i="25"/>
  <c r="T193" i="25" s="1"/>
  <c r="S193" i="25" s="1"/>
  <c r="R193" i="25" s="1"/>
  <c r="P193" i="25" s="1"/>
  <c r="V193" i="25" s="1"/>
  <c r="U185" i="25"/>
  <c r="T185" i="25" s="1"/>
  <c r="S185" i="25" s="1"/>
  <c r="R185" i="25" s="1"/>
  <c r="P185" i="25" s="1"/>
  <c r="V185" i="25" s="1"/>
  <c r="U177" i="25"/>
  <c r="T177" i="25" s="1"/>
  <c r="S177" i="25" s="1"/>
  <c r="R177" i="25" s="1"/>
  <c r="P177" i="25" s="1"/>
  <c r="V177" i="25" s="1"/>
  <c r="U169" i="25"/>
  <c r="T169" i="25" s="1"/>
  <c r="S169" i="25" s="1"/>
  <c r="R169" i="25" s="1"/>
  <c r="P169" i="25" s="1"/>
  <c r="V169" i="25" s="1"/>
  <c r="U161" i="25"/>
  <c r="T161" i="25" s="1"/>
  <c r="S161" i="25" s="1"/>
  <c r="R161" i="25" s="1"/>
  <c r="P161" i="25" s="1"/>
  <c r="V161" i="25" s="1"/>
  <c r="U153" i="25"/>
  <c r="T153" i="25" s="1"/>
  <c r="S153" i="25" s="1"/>
  <c r="R153" i="25" s="1"/>
  <c r="P153" i="25" s="1"/>
  <c r="V153" i="25" s="1"/>
  <c r="U145" i="25"/>
  <c r="T145" i="25" s="1"/>
  <c r="S145" i="25" s="1"/>
  <c r="R145" i="25" s="1"/>
  <c r="P145" i="25" s="1"/>
  <c r="V145" i="25" s="1"/>
  <c r="U137" i="25"/>
  <c r="T137" i="25" s="1"/>
  <c r="S137" i="25" s="1"/>
  <c r="R137" i="25" s="1"/>
  <c r="P137" i="25" s="1"/>
  <c r="V137" i="25" s="1"/>
  <c r="U129" i="25"/>
  <c r="T129" i="25" s="1"/>
  <c r="S129" i="25" s="1"/>
  <c r="R129" i="25" s="1"/>
  <c r="P129" i="25" s="1"/>
  <c r="V129" i="25" s="1"/>
  <c r="U121" i="25"/>
  <c r="T121" i="25" s="1"/>
  <c r="S121" i="25" s="1"/>
  <c r="R121" i="25" s="1"/>
  <c r="P121" i="25" s="1"/>
  <c r="V121" i="25" s="1"/>
  <c r="U113" i="25"/>
  <c r="T113" i="25" s="1"/>
  <c r="S113" i="25" s="1"/>
  <c r="R113" i="25" s="1"/>
  <c r="P113" i="25" s="1"/>
  <c r="V113" i="25" s="1"/>
  <c r="U105" i="25"/>
  <c r="T105" i="25" s="1"/>
  <c r="S105" i="25" s="1"/>
  <c r="R105" i="25" s="1"/>
  <c r="P105" i="25" s="1"/>
  <c r="V105" i="25" s="1"/>
  <c r="U97" i="25"/>
  <c r="T97" i="25" s="1"/>
  <c r="S97" i="25" s="1"/>
  <c r="R97" i="25" s="1"/>
  <c r="P97" i="25" s="1"/>
  <c r="V97" i="25" s="1"/>
  <c r="U89" i="25"/>
  <c r="T89" i="25" s="1"/>
  <c r="S89" i="25" s="1"/>
  <c r="R89" i="25" s="1"/>
  <c r="P89" i="25" s="1"/>
  <c r="V89" i="25" s="1"/>
  <c r="U81" i="25"/>
  <c r="T81" i="25" s="1"/>
  <c r="S81" i="25" s="1"/>
  <c r="R81" i="25" s="1"/>
  <c r="P81" i="25" s="1"/>
  <c r="V81" i="25" s="1"/>
  <c r="U73" i="25"/>
  <c r="T73" i="25" s="1"/>
  <c r="S73" i="25" s="1"/>
  <c r="R73" i="25" s="1"/>
  <c r="P73" i="25" s="1"/>
  <c r="V73" i="25" s="1"/>
  <c r="U65" i="25"/>
  <c r="T65" i="25" s="1"/>
  <c r="S65" i="25" s="1"/>
  <c r="R65" i="25" s="1"/>
  <c r="P65" i="25" s="1"/>
  <c r="V65" i="25" s="1"/>
  <c r="U57" i="25"/>
  <c r="T57" i="25" s="1"/>
  <c r="S57" i="25" s="1"/>
  <c r="R57" i="25" s="1"/>
  <c r="P57" i="25" s="1"/>
  <c r="V57" i="25" s="1"/>
  <c r="U49" i="25"/>
  <c r="T49" i="25" s="1"/>
  <c r="S49" i="25" s="1"/>
  <c r="R49" i="25" s="1"/>
  <c r="P49" i="25" s="1"/>
  <c r="V49" i="25" s="1"/>
  <c r="U41" i="25"/>
  <c r="T41" i="25" s="1"/>
  <c r="S41" i="25" s="1"/>
  <c r="R41" i="25" s="1"/>
  <c r="P41" i="25" s="1"/>
  <c r="V41" i="25" s="1"/>
  <c r="U33" i="25"/>
  <c r="T33" i="25" s="1"/>
  <c r="S33" i="25" s="1"/>
  <c r="R33" i="25" s="1"/>
  <c r="P33" i="25" s="1"/>
  <c r="V33" i="25" s="1"/>
  <c r="U25" i="25"/>
  <c r="T25" i="25" s="1"/>
  <c r="S25" i="25" s="1"/>
  <c r="R25" i="25" s="1"/>
  <c r="P25" i="25" s="1"/>
  <c r="V25" i="25" s="1"/>
  <c r="U19" i="25"/>
  <c r="T19" i="25" s="1"/>
  <c r="S19" i="25" s="1"/>
  <c r="R19" i="25" s="1"/>
  <c r="P19" i="25" s="1"/>
  <c r="V19" i="25" s="1"/>
  <c r="AI367" i="25"/>
  <c r="AH367" i="25" s="1"/>
  <c r="AG367" i="25" s="1"/>
  <c r="AF367" i="25" s="1"/>
  <c r="AD367" i="25" s="1"/>
  <c r="AI351" i="25"/>
  <c r="AH351" i="25" s="1"/>
  <c r="AG351" i="25" s="1"/>
  <c r="AF351" i="25" s="1"/>
  <c r="AD351" i="25" s="1"/>
  <c r="AI335" i="25"/>
  <c r="AH335" i="25" s="1"/>
  <c r="AG335" i="25" s="1"/>
  <c r="AF335" i="25" s="1"/>
  <c r="AD335" i="25" s="1"/>
  <c r="AI319" i="25"/>
  <c r="AH319" i="25" s="1"/>
  <c r="AG319" i="25" s="1"/>
  <c r="AF319" i="25" s="1"/>
  <c r="AD319" i="25" s="1"/>
  <c r="AI303" i="25"/>
  <c r="AH303" i="25" s="1"/>
  <c r="AG303" i="25" s="1"/>
  <c r="AF303" i="25" s="1"/>
  <c r="AD303" i="25" s="1"/>
  <c r="AI287" i="25"/>
  <c r="AH287" i="25" s="1"/>
  <c r="AG287" i="25" s="1"/>
  <c r="AF287" i="25" s="1"/>
  <c r="AD287" i="25" s="1"/>
  <c r="AI271" i="25"/>
  <c r="AH271" i="25" s="1"/>
  <c r="AG271" i="25" s="1"/>
  <c r="AF271" i="25" s="1"/>
  <c r="AD271" i="25" s="1"/>
  <c r="AI255" i="25"/>
  <c r="AH255" i="25" s="1"/>
  <c r="AG255" i="25" s="1"/>
  <c r="AF255" i="25" s="1"/>
  <c r="AD255" i="25" s="1"/>
  <c r="AI239" i="25"/>
  <c r="AH239" i="25" s="1"/>
  <c r="AG239" i="25" s="1"/>
  <c r="AF239" i="25" s="1"/>
  <c r="AD239" i="25" s="1"/>
  <c r="AI223" i="25"/>
  <c r="AH223" i="25" s="1"/>
  <c r="AG223" i="25" s="1"/>
  <c r="AF223" i="25" s="1"/>
  <c r="AD223" i="25" s="1"/>
  <c r="AI207" i="25"/>
  <c r="AH207" i="25" s="1"/>
  <c r="AG207" i="25" s="1"/>
  <c r="AF207" i="25" s="1"/>
  <c r="AD207" i="25" s="1"/>
  <c r="AI191" i="25"/>
  <c r="AH191" i="25" s="1"/>
  <c r="AG191" i="25" s="1"/>
  <c r="AF191" i="25" s="1"/>
  <c r="AD191" i="25" s="1"/>
  <c r="AI175" i="25"/>
  <c r="AH175" i="25" s="1"/>
  <c r="AG175" i="25" s="1"/>
  <c r="AF175" i="25" s="1"/>
  <c r="AD175" i="25" s="1"/>
  <c r="AI159" i="25"/>
  <c r="AH159" i="25" s="1"/>
  <c r="AG159" i="25" s="1"/>
  <c r="AF159" i="25" s="1"/>
  <c r="AD159" i="25" s="1"/>
  <c r="AI143" i="25"/>
  <c r="AH143" i="25" s="1"/>
  <c r="AG143" i="25" s="1"/>
  <c r="AF143" i="25" s="1"/>
  <c r="AD143" i="25" s="1"/>
  <c r="AI127" i="25"/>
  <c r="AH127" i="25" s="1"/>
  <c r="AG127" i="25" s="1"/>
  <c r="AF127" i="25" s="1"/>
  <c r="AD127" i="25" s="1"/>
  <c r="AI111" i="25"/>
  <c r="AH111" i="25" s="1"/>
  <c r="AG111" i="25" s="1"/>
  <c r="AF111" i="25" s="1"/>
  <c r="AD111" i="25" s="1"/>
  <c r="AI95" i="25"/>
  <c r="AH95" i="25" s="1"/>
  <c r="AG95" i="25" s="1"/>
  <c r="AF95" i="25" s="1"/>
  <c r="AD95" i="25" s="1"/>
  <c r="AI79" i="25"/>
  <c r="AH79" i="25" s="1"/>
  <c r="AG79" i="25" s="1"/>
  <c r="AF79" i="25" s="1"/>
  <c r="AD79" i="25" s="1"/>
  <c r="AI63" i="25"/>
  <c r="AH63" i="25" s="1"/>
  <c r="AG63" i="25" s="1"/>
  <c r="AF63" i="25" s="1"/>
  <c r="AD63" i="25" s="1"/>
  <c r="AI47" i="25"/>
  <c r="AH47" i="25" s="1"/>
  <c r="AG47" i="25" s="1"/>
  <c r="AF47" i="25" s="1"/>
  <c r="AD47" i="25" s="1"/>
  <c r="AI31" i="25"/>
  <c r="AH31" i="25" s="1"/>
  <c r="AG31" i="25" s="1"/>
  <c r="AF31" i="25" s="1"/>
  <c r="AD31" i="25" s="1"/>
  <c r="AI17" i="25"/>
  <c r="AH17" i="25" s="1"/>
  <c r="AG17" i="25" s="1"/>
  <c r="AF17" i="25" s="1"/>
  <c r="AD17" i="25" s="1"/>
  <c r="AI372" i="25"/>
  <c r="AH372" i="25" s="1"/>
  <c r="AG372" i="25" s="1"/>
  <c r="AF372" i="25" s="1"/>
  <c r="AD372" i="25" s="1"/>
  <c r="AI364" i="25"/>
  <c r="AH364" i="25" s="1"/>
  <c r="AG364" i="25" s="1"/>
  <c r="AF364" i="25" s="1"/>
  <c r="AD364" i="25" s="1"/>
  <c r="AI356" i="25"/>
  <c r="AH356" i="25" s="1"/>
  <c r="AG356" i="25" s="1"/>
  <c r="AF356" i="25" s="1"/>
  <c r="AD356" i="25" s="1"/>
  <c r="AI348" i="25"/>
  <c r="AH348" i="25" s="1"/>
  <c r="AG348" i="25" s="1"/>
  <c r="AF348" i="25" s="1"/>
  <c r="AD348" i="25" s="1"/>
  <c r="AI340" i="25"/>
  <c r="AH340" i="25" s="1"/>
  <c r="AG340" i="25" s="1"/>
  <c r="AF340" i="25" s="1"/>
  <c r="AD340" i="25" s="1"/>
  <c r="AI332" i="25"/>
  <c r="AH332" i="25" s="1"/>
  <c r="AG332" i="25" s="1"/>
  <c r="AF332" i="25" s="1"/>
  <c r="AD332" i="25" s="1"/>
  <c r="AI324" i="25"/>
  <c r="AH324" i="25" s="1"/>
  <c r="AG324" i="25" s="1"/>
  <c r="AF324" i="25" s="1"/>
  <c r="AD324" i="25" s="1"/>
  <c r="AI316" i="25"/>
  <c r="AH316" i="25" s="1"/>
  <c r="AG316" i="25" s="1"/>
  <c r="AF316" i="25" s="1"/>
  <c r="AD316" i="25" s="1"/>
  <c r="AI308" i="25"/>
  <c r="AH308" i="25" s="1"/>
  <c r="AG308" i="25" s="1"/>
  <c r="AF308" i="25" s="1"/>
  <c r="AD308" i="25" s="1"/>
  <c r="AI300" i="25"/>
  <c r="AH300" i="25" s="1"/>
  <c r="AG300" i="25" s="1"/>
  <c r="AF300" i="25" s="1"/>
  <c r="AD300" i="25" s="1"/>
  <c r="AI292" i="25"/>
  <c r="AH292" i="25" s="1"/>
  <c r="AG292" i="25" s="1"/>
  <c r="AF292" i="25" s="1"/>
  <c r="AD292" i="25" s="1"/>
  <c r="AI284" i="25"/>
  <c r="AH284" i="25" s="1"/>
  <c r="AG284" i="25" s="1"/>
  <c r="AF284" i="25" s="1"/>
  <c r="AD284" i="25" s="1"/>
  <c r="AI276" i="25"/>
  <c r="AH276" i="25" s="1"/>
  <c r="AG276" i="25" s="1"/>
  <c r="AF276" i="25" s="1"/>
  <c r="AD276" i="25" s="1"/>
  <c r="AI268" i="25"/>
  <c r="AH268" i="25" s="1"/>
  <c r="AG268" i="25" s="1"/>
  <c r="AF268" i="25" s="1"/>
  <c r="AD268" i="25" s="1"/>
  <c r="AI260" i="25"/>
  <c r="AH260" i="25" s="1"/>
  <c r="AG260" i="25" s="1"/>
  <c r="AF260" i="25" s="1"/>
  <c r="AD260" i="25" s="1"/>
  <c r="AI252" i="25"/>
  <c r="AH252" i="25" s="1"/>
  <c r="AG252" i="25" s="1"/>
  <c r="AF252" i="25" s="1"/>
  <c r="AD252" i="25" s="1"/>
  <c r="AI244" i="25"/>
  <c r="AH244" i="25" s="1"/>
  <c r="AG244" i="25" s="1"/>
  <c r="AF244" i="25" s="1"/>
  <c r="AD244" i="25" s="1"/>
  <c r="AI236" i="25"/>
  <c r="AH236" i="25" s="1"/>
  <c r="AG236" i="25" s="1"/>
  <c r="AF236" i="25" s="1"/>
  <c r="AD236" i="25" s="1"/>
  <c r="AI228" i="25"/>
  <c r="AH228" i="25" s="1"/>
  <c r="AG228" i="25" s="1"/>
  <c r="AF228" i="25" s="1"/>
  <c r="AD228" i="25" s="1"/>
  <c r="AI220" i="25"/>
  <c r="AH220" i="25" s="1"/>
  <c r="AG220" i="25" s="1"/>
  <c r="AF220" i="25" s="1"/>
  <c r="AD220" i="25" s="1"/>
  <c r="AI212" i="25"/>
  <c r="AH212" i="25" s="1"/>
  <c r="AG212" i="25" s="1"/>
  <c r="AF212" i="25" s="1"/>
  <c r="AD212" i="25" s="1"/>
  <c r="AI204" i="25"/>
  <c r="AH204" i="25" s="1"/>
  <c r="AG204" i="25" s="1"/>
  <c r="AF204" i="25" s="1"/>
  <c r="AD204" i="25" s="1"/>
  <c r="AI196" i="25"/>
  <c r="AH196" i="25" s="1"/>
  <c r="AG196" i="25" s="1"/>
  <c r="AF196" i="25" s="1"/>
  <c r="AD196" i="25" s="1"/>
  <c r="AI188" i="25"/>
  <c r="AH188" i="25" s="1"/>
  <c r="AG188" i="25" s="1"/>
  <c r="AF188" i="25" s="1"/>
  <c r="AD188" i="25" s="1"/>
  <c r="AI180" i="25"/>
  <c r="AH180" i="25" s="1"/>
  <c r="AG180" i="25" s="1"/>
  <c r="AF180" i="25" s="1"/>
  <c r="AD180" i="25" s="1"/>
  <c r="AI172" i="25"/>
  <c r="AH172" i="25" s="1"/>
  <c r="AG172" i="25" s="1"/>
  <c r="AF172" i="25" s="1"/>
  <c r="AD172" i="25" s="1"/>
  <c r="AI164" i="25"/>
  <c r="AH164" i="25" s="1"/>
  <c r="AG164" i="25" s="1"/>
  <c r="AF164" i="25" s="1"/>
  <c r="AD164" i="25" s="1"/>
  <c r="AI156" i="25"/>
  <c r="AH156" i="25" s="1"/>
  <c r="AG156" i="25" s="1"/>
  <c r="AF156" i="25" s="1"/>
  <c r="AD156" i="25" s="1"/>
  <c r="AI148" i="25"/>
  <c r="AH148" i="25" s="1"/>
  <c r="AG148" i="25" s="1"/>
  <c r="AF148" i="25" s="1"/>
  <c r="AD148" i="25" s="1"/>
  <c r="AI140" i="25"/>
  <c r="AH140" i="25" s="1"/>
  <c r="AG140" i="25" s="1"/>
  <c r="AF140" i="25" s="1"/>
  <c r="AD140" i="25" s="1"/>
  <c r="AI132" i="25"/>
  <c r="AH132" i="25" s="1"/>
  <c r="AG132" i="25" s="1"/>
  <c r="AF132" i="25" s="1"/>
  <c r="AD132" i="25" s="1"/>
  <c r="AI124" i="25"/>
  <c r="AH124" i="25" s="1"/>
  <c r="AG124" i="25" s="1"/>
  <c r="AF124" i="25" s="1"/>
  <c r="AD124" i="25" s="1"/>
  <c r="AI116" i="25"/>
  <c r="AH116" i="25" s="1"/>
  <c r="AG116" i="25" s="1"/>
  <c r="AF116" i="25" s="1"/>
  <c r="AD116" i="25" s="1"/>
  <c r="AI108" i="25"/>
  <c r="AH108" i="25" s="1"/>
  <c r="AG108" i="25" s="1"/>
  <c r="AF108" i="25" s="1"/>
  <c r="AD108" i="25" s="1"/>
  <c r="AI100" i="25"/>
  <c r="AH100" i="25" s="1"/>
  <c r="AG100" i="25" s="1"/>
  <c r="AF100" i="25" s="1"/>
  <c r="AD100" i="25" s="1"/>
  <c r="AI92" i="25"/>
  <c r="AH92" i="25" s="1"/>
  <c r="AG92" i="25" s="1"/>
  <c r="AF92" i="25" s="1"/>
  <c r="AD92" i="25" s="1"/>
  <c r="AI84" i="25"/>
  <c r="AH84" i="25" s="1"/>
  <c r="AG84" i="25" s="1"/>
  <c r="AF84" i="25" s="1"/>
  <c r="AD84" i="25" s="1"/>
  <c r="AI76" i="25"/>
  <c r="AH76" i="25" s="1"/>
  <c r="AG76" i="25" s="1"/>
  <c r="AF76" i="25" s="1"/>
  <c r="AD76" i="25" s="1"/>
  <c r="AI68" i="25"/>
  <c r="AH68" i="25" s="1"/>
  <c r="AG68" i="25" s="1"/>
  <c r="AF68" i="25" s="1"/>
  <c r="AD68" i="25" s="1"/>
  <c r="AI60" i="25"/>
  <c r="AH60" i="25" s="1"/>
  <c r="AG60" i="25" s="1"/>
  <c r="AF60" i="25" s="1"/>
  <c r="AD60" i="25" s="1"/>
  <c r="AI52" i="25"/>
  <c r="AH52" i="25" s="1"/>
  <c r="AG52" i="25" s="1"/>
  <c r="AF52" i="25" s="1"/>
  <c r="AD52" i="25" s="1"/>
  <c r="AI44" i="25"/>
  <c r="AH44" i="25" s="1"/>
  <c r="AG44" i="25" s="1"/>
  <c r="AF44" i="25" s="1"/>
  <c r="AD44" i="25" s="1"/>
  <c r="AI36" i="25"/>
  <c r="AH36" i="25" s="1"/>
  <c r="AG36" i="25" s="1"/>
  <c r="AF36" i="25" s="1"/>
  <c r="AD36" i="25" s="1"/>
  <c r="AI28" i="25"/>
  <c r="AH28" i="25" s="1"/>
  <c r="AG28" i="25" s="1"/>
  <c r="AF28" i="25" s="1"/>
  <c r="AD28" i="25" s="1"/>
  <c r="AI25" i="25"/>
  <c r="AH25" i="25" s="1"/>
  <c r="AG25" i="25" s="1"/>
  <c r="AF25" i="25" s="1"/>
  <c r="AD25" i="25" s="1"/>
  <c r="U376" i="25"/>
  <c r="T376" i="25" s="1"/>
  <c r="S376" i="25" s="1"/>
  <c r="R376" i="25" s="1"/>
  <c r="P376" i="25" s="1"/>
  <c r="V376" i="25" s="1"/>
  <c r="U368" i="25"/>
  <c r="T368" i="25" s="1"/>
  <c r="S368" i="25" s="1"/>
  <c r="R368" i="25" s="1"/>
  <c r="P368" i="25" s="1"/>
  <c r="V368" i="25" s="1"/>
  <c r="U360" i="25"/>
  <c r="T360" i="25" s="1"/>
  <c r="S360" i="25" s="1"/>
  <c r="R360" i="25" s="1"/>
  <c r="P360" i="25" s="1"/>
  <c r="V360" i="25" s="1"/>
  <c r="U352" i="25"/>
  <c r="T352" i="25" s="1"/>
  <c r="S352" i="25" s="1"/>
  <c r="R352" i="25" s="1"/>
  <c r="P352" i="25" s="1"/>
  <c r="V352" i="25" s="1"/>
  <c r="U344" i="25"/>
  <c r="T344" i="25" s="1"/>
  <c r="S344" i="25" s="1"/>
  <c r="R344" i="25" s="1"/>
  <c r="P344" i="25" s="1"/>
  <c r="V344" i="25" s="1"/>
  <c r="U336" i="25"/>
  <c r="T336" i="25" s="1"/>
  <c r="S336" i="25" s="1"/>
  <c r="R336" i="25" s="1"/>
  <c r="P336" i="25" s="1"/>
  <c r="V336" i="25" s="1"/>
  <c r="U328" i="25"/>
  <c r="T328" i="25" s="1"/>
  <c r="S328" i="25" s="1"/>
  <c r="R328" i="25" s="1"/>
  <c r="P328" i="25" s="1"/>
  <c r="V328" i="25" s="1"/>
  <c r="U320" i="25"/>
  <c r="T320" i="25" s="1"/>
  <c r="S320" i="25" s="1"/>
  <c r="R320" i="25" s="1"/>
  <c r="P320" i="25" s="1"/>
  <c r="V320" i="25" s="1"/>
  <c r="U312" i="25"/>
  <c r="T312" i="25" s="1"/>
  <c r="S312" i="25" s="1"/>
  <c r="R312" i="25" s="1"/>
  <c r="P312" i="25" s="1"/>
  <c r="V312" i="25" s="1"/>
  <c r="U304" i="25"/>
  <c r="T304" i="25" s="1"/>
  <c r="S304" i="25" s="1"/>
  <c r="R304" i="25" s="1"/>
  <c r="P304" i="25" s="1"/>
  <c r="V304" i="25" s="1"/>
  <c r="U296" i="25"/>
  <c r="T296" i="25" s="1"/>
  <c r="S296" i="25" s="1"/>
  <c r="R296" i="25" s="1"/>
  <c r="P296" i="25" s="1"/>
  <c r="V296" i="25" s="1"/>
  <c r="U288" i="25"/>
  <c r="T288" i="25" s="1"/>
  <c r="S288" i="25" s="1"/>
  <c r="R288" i="25" s="1"/>
  <c r="P288" i="25" s="1"/>
  <c r="V288" i="25" s="1"/>
  <c r="U280" i="25"/>
  <c r="T280" i="25" s="1"/>
  <c r="S280" i="25" s="1"/>
  <c r="R280" i="25" s="1"/>
  <c r="P280" i="25" s="1"/>
  <c r="V280" i="25" s="1"/>
  <c r="U272" i="25"/>
  <c r="T272" i="25" s="1"/>
  <c r="S272" i="25" s="1"/>
  <c r="R272" i="25" s="1"/>
  <c r="P272" i="25" s="1"/>
  <c r="U264" i="25"/>
  <c r="T264" i="25" s="1"/>
  <c r="S264" i="25" s="1"/>
  <c r="R264" i="25" s="1"/>
  <c r="P264" i="25" s="1"/>
  <c r="V264" i="25" s="1"/>
  <c r="U256" i="25"/>
  <c r="T256" i="25" s="1"/>
  <c r="S256" i="25" s="1"/>
  <c r="R256" i="25" s="1"/>
  <c r="P256" i="25" s="1"/>
  <c r="V256" i="25" s="1"/>
  <c r="U248" i="25"/>
  <c r="T248" i="25" s="1"/>
  <c r="S248" i="25" s="1"/>
  <c r="R248" i="25" s="1"/>
  <c r="P248" i="25" s="1"/>
  <c r="V248" i="25" s="1"/>
  <c r="U240" i="25"/>
  <c r="T240" i="25" s="1"/>
  <c r="S240" i="25" s="1"/>
  <c r="R240" i="25" s="1"/>
  <c r="P240" i="25" s="1"/>
  <c r="V240" i="25" s="1"/>
  <c r="U232" i="25"/>
  <c r="T232" i="25" s="1"/>
  <c r="S232" i="25" s="1"/>
  <c r="R232" i="25" s="1"/>
  <c r="P232" i="25" s="1"/>
  <c r="V232" i="25" s="1"/>
  <c r="U224" i="25"/>
  <c r="T224" i="25" s="1"/>
  <c r="S224" i="25" s="1"/>
  <c r="R224" i="25" s="1"/>
  <c r="P224" i="25" s="1"/>
  <c r="V224" i="25" s="1"/>
  <c r="U216" i="25"/>
  <c r="T216" i="25" s="1"/>
  <c r="S216" i="25" s="1"/>
  <c r="R216" i="25" s="1"/>
  <c r="P216" i="25" s="1"/>
  <c r="V216" i="25" s="1"/>
  <c r="U208" i="25"/>
  <c r="T208" i="25" s="1"/>
  <c r="S208" i="25" s="1"/>
  <c r="R208" i="25" s="1"/>
  <c r="P208" i="25" s="1"/>
  <c r="V208" i="25" s="1"/>
  <c r="U200" i="25"/>
  <c r="T200" i="25" s="1"/>
  <c r="S200" i="25" s="1"/>
  <c r="R200" i="25" s="1"/>
  <c r="P200" i="25" s="1"/>
  <c r="V200" i="25" s="1"/>
  <c r="U184" i="25"/>
  <c r="T184" i="25" s="1"/>
  <c r="S184" i="25" s="1"/>
  <c r="R184" i="25" s="1"/>
  <c r="P184" i="25" s="1"/>
  <c r="V184" i="25" s="1"/>
  <c r="U168" i="25"/>
  <c r="T168" i="25" s="1"/>
  <c r="S168" i="25" s="1"/>
  <c r="R168" i="25" s="1"/>
  <c r="P168" i="25" s="1"/>
  <c r="V168" i="25" s="1"/>
  <c r="U152" i="25"/>
  <c r="T152" i="25" s="1"/>
  <c r="S152" i="25" s="1"/>
  <c r="R152" i="25" s="1"/>
  <c r="P152" i="25" s="1"/>
  <c r="V152" i="25" s="1"/>
  <c r="U136" i="25"/>
  <c r="T136" i="25" s="1"/>
  <c r="S136" i="25" s="1"/>
  <c r="R136" i="25" s="1"/>
  <c r="P136" i="25" s="1"/>
  <c r="V136" i="25" s="1"/>
  <c r="U120" i="25"/>
  <c r="T120" i="25" s="1"/>
  <c r="S120" i="25" s="1"/>
  <c r="R120" i="25" s="1"/>
  <c r="P120" i="25" s="1"/>
  <c r="V120" i="25" s="1"/>
  <c r="U104" i="25"/>
  <c r="T104" i="25" s="1"/>
  <c r="S104" i="25" s="1"/>
  <c r="R104" i="25" s="1"/>
  <c r="P104" i="25" s="1"/>
  <c r="V104" i="25" s="1"/>
  <c r="U88" i="25"/>
  <c r="T88" i="25" s="1"/>
  <c r="S88" i="25" s="1"/>
  <c r="R88" i="25" s="1"/>
  <c r="P88" i="25" s="1"/>
  <c r="U72" i="25"/>
  <c r="T72" i="25" s="1"/>
  <c r="S72" i="25" s="1"/>
  <c r="R72" i="25" s="1"/>
  <c r="P72" i="25" s="1"/>
  <c r="V72" i="25" s="1"/>
  <c r="U56" i="25"/>
  <c r="T56" i="25" s="1"/>
  <c r="S56" i="25" s="1"/>
  <c r="R56" i="25" s="1"/>
  <c r="P56" i="25" s="1"/>
  <c r="V56" i="25" s="1"/>
  <c r="U40" i="25"/>
  <c r="T40" i="25" s="1"/>
  <c r="S40" i="25" s="1"/>
  <c r="R40" i="25" s="1"/>
  <c r="P40" i="25" s="1"/>
  <c r="V40" i="25" s="1"/>
  <c r="U24" i="25"/>
  <c r="T24" i="25" s="1"/>
  <c r="S24" i="25" s="1"/>
  <c r="R24" i="25" s="1"/>
  <c r="P24" i="25" s="1"/>
  <c r="V24" i="25" s="1"/>
  <c r="U378" i="25"/>
  <c r="T378" i="25" s="1"/>
  <c r="S378" i="25" s="1"/>
  <c r="R378" i="25" s="1"/>
  <c r="P378" i="25" s="1"/>
  <c r="V378" i="25" s="1"/>
  <c r="U370" i="25"/>
  <c r="T370" i="25" s="1"/>
  <c r="S370" i="25" s="1"/>
  <c r="R370" i="25" s="1"/>
  <c r="P370" i="25" s="1"/>
  <c r="V370" i="25" s="1"/>
  <c r="U362" i="25"/>
  <c r="T362" i="25" s="1"/>
  <c r="S362" i="25" s="1"/>
  <c r="R362" i="25" s="1"/>
  <c r="P362" i="25" s="1"/>
  <c r="V362" i="25" s="1"/>
  <c r="U354" i="25"/>
  <c r="T354" i="25" s="1"/>
  <c r="S354" i="25" s="1"/>
  <c r="R354" i="25" s="1"/>
  <c r="P354" i="25" s="1"/>
  <c r="V354" i="25" s="1"/>
  <c r="U346" i="25"/>
  <c r="T346" i="25" s="1"/>
  <c r="S346" i="25" s="1"/>
  <c r="R346" i="25" s="1"/>
  <c r="P346" i="25" s="1"/>
  <c r="V346" i="25" s="1"/>
  <c r="U338" i="25"/>
  <c r="T338" i="25" s="1"/>
  <c r="S338" i="25" s="1"/>
  <c r="R338" i="25" s="1"/>
  <c r="P338" i="25" s="1"/>
  <c r="V338" i="25" s="1"/>
  <c r="U330" i="25"/>
  <c r="T330" i="25" s="1"/>
  <c r="S330" i="25" s="1"/>
  <c r="R330" i="25" s="1"/>
  <c r="P330" i="25" s="1"/>
  <c r="V330" i="25" s="1"/>
  <c r="U322" i="25"/>
  <c r="T322" i="25" s="1"/>
  <c r="S322" i="25" s="1"/>
  <c r="R322" i="25" s="1"/>
  <c r="P322" i="25" s="1"/>
  <c r="V322" i="25" s="1"/>
  <c r="U314" i="25"/>
  <c r="T314" i="25" s="1"/>
  <c r="S314" i="25" s="1"/>
  <c r="R314" i="25" s="1"/>
  <c r="P314" i="25" s="1"/>
  <c r="V314" i="25" s="1"/>
  <c r="U306" i="25"/>
  <c r="T306" i="25" s="1"/>
  <c r="S306" i="25" s="1"/>
  <c r="R306" i="25" s="1"/>
  <c r="P306" i="25" s="1"/>
  <c r="V306" i="25" s="1"/>
  <c r="U298" i="25"/>
  <c r="T298" i="25" s="1"/>
  <c r="S298" i="25" s="1"/>
  <c r="R298" i="25" s="1"/>
  <c r="P298" i="25" s="1"/>
  <c r="V298" i="25" s="1"/>
  <c r="U290" i="25"/>
  <c r="T290" i="25" s="1"/>
  <c r="S290" i="25" s="1"/>
  <c r="R290" i="25" s="1"/>
  <c r="P290" i="25" s="1"/>
  <c r="V290" i="25" s="1"/>
  <c r="U282" i="25"/>
  <c r="T282" i="25" s="1"/>
  <c r="S282" i="25" s="1"/>
  <c r="R282" i="25" s="1"/>
  <c r="P282" i="25" s="1"/>
  <c r="V282" i="25" s="1"/>
  <c r="U274" i="25"/>
  <c r="T274" i="25" s="1"/>
  <c r="S274" i="25" s="1"/>
  <c r="R274" i="25" s="1"/>
  <c r="P274" i="25" s="1"/>
  <c r="V274" i="25" s="1"/>
  <c r="U266" i="25"/>
  <c r="T266" i="25" s="1"/>
  <c r="S266" i="25" s="1"/>
  <c r="R266" i="25" s="1"/>
  <c r="P266" i="25" s="1"/>
  <c r="V266" i="25" s="1"/>
  <c r="U258" i="25"/>
  <c r="T258" i="25" s="1"/>
  <c r="S258" i="25" s="1"/>
  <c r="R258" i="25" s="1"/>
  <c r="P258" i="25" s="1"/>
  <c r="V258" i="25" s="1"/>
  <c r="U250" i="25"/>
  <c r="T250" i="25" s="1"/>
  <c r="S250" i="25" s="1"/>
  <c r="R250" i="25" s="1"/>
  <c r="P250" i="25" s="1"/>
  <c r="V250" i="25" s="1"/>
  <c r="U242" i="25"/>
  <c r="T242" i="25" s="1"/>
  <c r="S242" i="25" s="1"/>
  <c r="R242" i="25" s="1"/>
  <c r="P242" i="25" s="1"/>
  <c r="V242" i="25" s="1"/>
  <c r="U234" i="25"/>
  <c r="T234" i="25" s="1"/>
  <c r="S234" i="25" s="1"/>
  <c r="R234" i="25" s="1"/>
  <c r="P234" i="25" s="1"/>
  <c r="V234" i="25" s="1"/>
  <c r="U226" i="25"/>
  <c r="T226" i="25" s="1"/>
  <c r="S226" i="25" s="1"/>
  <c r="R226" i="25" s="1"/>
  <c r="P226" i="25" s="1"/>
  <c r="V226" i="25" s="1"/>
  <c r="U218" i="25"/>
  <c r="T218" i="25" s="1"/>
  <c r="S218" i="25" s="1"/>
  <c r="R218" i="25" s="1"/>
  <c r="P218" i="25" s="1"/>
  <c r="V218" i="25" s="1"/>
  <c r="U210" i="25"/>
  <c r="T210" i="25" s="1"/>
  <c r="S210" i="25" s="1"/>
  <c r="R210" i="25" s="1"/>
  <c r="P210" i="25" s="1"/>
  <c r="U202" i="25"/>
  <c r="T202" i="25" s="1"/>
  <c r="S202" i="25" s="1"/>
  <c r="R202" i="25" s="1"/>
  <c r="P202" i="25" s="1"/>
  <c r="V202" i="25" s="1"/>
  <c r="U188" i="25"/>
  <c r="T188" i="25" s="1"/>
  <c r="S188" i="25" s="1"/>
  <c r="R188" i="25" s="1"/>
  <c r="P188" i="25" s="1"/>
  <c r="V188" i="25" s="1"/>
  <c r="U172" i="25"/>
  <c r="T172" i="25" s="1"/>
  <c r="S172" i="25" s="1"/>
  <c r="R172" i="25" s="1"/>
  <c r="P172" i="25" s="1"/>
  <c r="V172" i="25" s="1"/>
  <c r="U156" i="25"/>
  <c r="T156" i="25" s="1"/>
  <c r="S156" i="25" s="1"/>
  <c r="R156" i="25" s="1"/>
  <c r="P156" i="25" s="1"/>
  <c r="V156" i="25" s="1"/>
  <c r="U140" i="25"/>
  <c r="T140" i="25" s="1"/>
  <c r="S140" i="25" s="1"/>
  <c r="R140" i="25" s="1"/>
  <c r="P140" i="25" s="1"/>
  <c r="V140" i="25" s="1"/>
  <c r="U124" i="25"/>
  <c r="T124" i="25" s="1"/>
  <c r="S124" i="25" s="1"/>
  <c r="R124" i="25" s="1"/>
  <c r="P124" i="25" s="1"/>
  <c r="V124" i="25" s="1"/>
  <c r="U108" i="25"/>
  <c r="T108" i="25" s="1"/>
  <c r="S108" i="25" s="1"/>
  <c r="R108" i="25" s="1"/>
  <c r="P108" i="25" s="1"/>
  <c r="V108" i="25" s="1"/>
  <c r="U92" i="25"/>
  <c r="T92" i="25" s="1"/>
  <c r="S92" i="25" s="1"/>
  <c r="R92" i="25" s="1"/>
  <c r="P92" i="25" s="1"/>
  <c r="V92" i="25" s="1"/>
  <c r="U76" i="25"/>
  <c r="T76" i="25" s="1"/>
  <c r="S76" i="25" s="1"/>
  <c r="R76" i="25" s="1"/>
  <c r="P76" i="25" s="1"/>
  <c r="V76" i="25" s="1"/>
  <c r="U60" i="25"/>
  <c r="T60" i="25" s="1"/>
  <c r="S60" i="25" s="1"/>
  <c r="R60" i="25" s="1"/>
  <c r="P60" i="25" s="1"/>
  <c r="U44" i="25"/>
  <c r="T44" i="25" s="1"/>
  <c r="S44" i="25" s="1"/>
  <c r="R44" i="25" s="1"/>
  <c r="P44" i="25" s="1"/>
  <c r="V44" i="25" s="1"/>
  <c r="U28" i="25"/>
  <c r="T28" i="25" s="1"/>
  <c r="S28" i="25" s="1"/>
  <c r="R28" i="25" s="1"/>
  <c r="P28" i="25" s="1"/>
  <c r="V28" i="25" s="1"/>
  <c r="U15" i="25"/>
  <c r="AI357" i="25"/>
  <c r="AH357" i="25" s="1"/>
  <c r="AG357" i="25" s="1"/>
  <c r="AF357" i="25" s="1"/>
  <c r="AD357" i="25" s="1"/>
  <c r="AI325" i="25"/>
  <c r="AH325" i="25" s="1"/>
  <c r="AG325" i="25" s="1"/>
  <c r="AF325" i="25" s="1"/>
  <c r="AD325" i="25" s="1"/>
  <c r="AI293" i="25"/>
  <c r="AH293" i="25" s="1"/>
  <c r="AG293" i="25" s="1"/>
  <c r="AF293" i="25" s="1"/>
  <c r="AD293" i="25" s="1"/>
  <c r="AI261" i="25"/>
  <c r="AH261" i="25" s="1"/>
  <c r="AG261" i="25" s="1"/>
  <c r="AF261" i="25" s="1"/>
  <c r="AD261" i="25" s="1"/>
  <c r="AI229" i="25"/>
  <c r="AH229" i="25" s="1"/>
  <c r="AG229" i="25" s="1"/>
  <c r="AF229" i="25" s="1"/>
  <c r="AD229" i="25" s="1"/>
  <c r="AI197" i="25"/>
  <c r="AH197" i="25" s="1"/>
  <c r="AG197" i="25" s="1"/>
  <c r="AF197" i="25" s="1"/>
  <c r="AD197" i="25" s="1"/>
  <c r="AI145" i="25"/>
  <c r="AH145" i="25" s="1"/>
  <c r="AG145" i="25" s="1"/>
  <c r="AF145" i="25" s="1"/>
  <c r="AD145" i="25" s="1"/>
  <c r="AI73" i="25"/>
  <c r="AH73" i="25" s="1"/>
  <c r="AG73" i="25" s="1"/>
  <c r="AF73" i="25" s="1"/>
  <c r="AD73" i="25" s="1"/>
  <c r="AI349" i="25"/>
  <c r="AH349" i="25" s="1"/>
  <c r="AG349" i="25" s="1"/>
  <c r="AF349" i="25" s="1"/>
  <c r="AD349" i="25" s="1"/>
  <c r="AI317" i="25"/>
  <c r="AH317" i="25" s="1"/>
  <c r="AG317" i="25" s="1"/>
  <c r="AF317" i="25" s="1"/>
  <c r="AD317" i="25" s="1"/>
  <c r="AI285" i="25"/>
  <c r="AH285" i="25" s="1"/>
  <c r="AG285" i="25" s="1"/>
  <c r="AF285" i="25" s="1"/>
  <c r="AD285" i="25" s="1"/>
  <c r="AI253" i="25"/>
  <c r="AH253" i="25" s="1"/>
  <c r="AG253" i="25" s="1"/>
  <c r="AF253" i="25" s="1"/>
  <c r="AD253" i="25" s="1"/>
  <c r="AI221" i="25"/>
  <c r="AH221" i="25" s="1"/>
  <c r="AG221" i="25" s="1"/>
  <c r="AF221" i="25" s="1"/>
  <c r="AD221" i="25" s="1"/>
  <c r="AI189" i="25"/>
  <c r="AH189" i="25" s="1"/>
  <c r="AG189" i="25" s="1"/>
  <c r="AF189" i="25" s="1"/>
  <c r="AD189" i="25" s="1"/>
  <c r="AI129" i="25"/>
  <c r="AH129" i="25" s="1"/>
  <c r="AG129" i="25" s="1"/>
  <c r="AF129" i="25" s="1"/>
  <c r="AD129" i="25" s="1"/>
  <c r="AF107" i="24"/>
  <c r="AG383" i="24"/>
  <c r="AG382" i="24"/>
  <c r="AG381" i="24"/>
  <c r="AD382" i="23"/>
  <c r="AD383" i="23"/>
  <c r="AD381" i="23"/>
  <c r="V21" i="23"/>
  <c r="P383" i="23"/>
  <c r="P382" i="23"/>
  <c r="P381" i="23"/>
  <c r="V15" i="24"/>
  <c r="P382" i="24"/>
  <c r="P381" i="24"/>
  <c r="P383" i="24"/>
  <c r="AH69" i="7" l="1"/>
  <c r="V60" i="25"/>
  <c r="C70" i="19" s="1"/>
  <c r="C59" i="19" s="1"/>
  <c r="V210" i="25"/>
  <c r="AH74" i="7"/>
  <c r="AH70" i="7"/>
  <c r="V88" i="25"/>
  <c r="D70" i="19" s="1"/>
  <c r="V272" i="25"/>
  <c r="J70" i="19" s="1"/>
  <c r="AH76" i="7"/>
  <c r="AH75" i="7"/>
  <c r="V241" i="25"/>
  <c r="H70" i="19"/>
  <c r="V29" i="25"/>
  <c r="AH68" i="7"/>
  <c r="V333" i="25"/>
  <c r="L70" i="19" s="1"/>
  <c r="AH78" i="7"/>
  <c r="AH15" i="25"/>
  <c r="AI382" i="25"/>
  <c r="AI381" i="25"/>
  <c r="AI383" i="25"/>
  <c r="I70" i="19"/>
  <c r="AH79" i="7"/>
  <c r="V363" i="25"/>
  <c r="T379" i="25"/>
  <c r="S379" i="25" s="1"/>
  <c r="R379" i="25" s="1"/>
  <c r="P379" i="25" s="1"/>
  <c r="BF16" i="7"/>
  <c r="T15" i="25"/>
  <c r="U381" i="25"/>
  <c r="U382" i="25"/>
  <c r="U383" i="25"/>
  <c r="V180" i="25"/>
  <c r="AH73" i="7"/>
  <c r="AH77" i="7"/>
  <c r="V302" i="25"/>
  <c r="K70" i="19" s="1"/>
  <c r="AH72" i="7"/>
  <c r="V149" i="25"/>
  <c r="G70" i="19"/>
  <c r="AH71" i="7"/>
  <c r="V119" i="25"/>
  <c r="E70" i="19" s="1"/>
  <c r="E58" i="19" s="1"/>
  <c r="F70" i="19"/>
  <c r="AD107" i="24"/>
  <c r="AF383" i="24"/>
  <c r="AF382" i="24"/>
  <c r="AF381" i="24"/>
  <c r="V381" i="23"/>
  <c r="B68" i="19"/>
  <c r="N68" i="19" s="1"/>
  <c r="V383" i="23"/>
  <c r="V382" i="23"/>
  <c r="V382" i="24"/>
  <c r="V381" i="24"/>
  <c r="B69" i="19"/>
  <c r="N69" i="19" s="1"/>
  <c r="V383" i="24"/>
  <c r="C57" i="19" l="1"/>
  <c r="C58" i="19"/>
  <c r="E57" i="19"/>
  <c r="K59" i="19"/>
  <c r="K57" i="19"/>
  <c r="K58" i="19"/>
  <c r="L58" i="19"/>
  <c r="L57" i="19"/>
  <c r="L59" i="19"/>
  <c r="G58" i="19"/>
  <c r="G57" i="19"/>
  <c r="G59" i="19"/>
  <c r="T381" i="25"/>
  <c r="T383" i="25"/>
  <c r="S15" i="25"/>
  <c r="T382" i="25"/>
  <c r="D57" i="19"/>
  <c r="D58" i="19"/>
  <c r="D59" i="19"/>
  <c r="V379" i="25"/>
  <c r="M70" i="19" s="1"/>
  <c r="D44" i="19"/>
  <c r="D33" i="19" s="1"/>
  <c r="H57" i="19"/>
  <c r="H58" i="19"/>
  <c r="H59" i="19"/>
  <c r="J57" i="19"/>
  <c r="J59" i="19"/>
  <c r="J58" i="19"/>
  <c r="E59" i="19"/>
  <c r="F59" i="19"/>
  <c r="F58" i="19"/>
  <c r="F57" i="19"/>
  <c r="I58" i="19"/>
  <c r="I57" i="19"/>
  <c r="I59" i="19"/>
  <c r="AH381" i="25"/>
  <c r="AH383" i="25"/>
  <c r="AG15" i="25"/>
  <c r="AH382" i="25"/>
  <c r="AD382" i="24"/>
  <c r="AD381" i="24"/>
  <c r="AD383" i="24"/>
  <c r="AG381" i="25" l="1"/>
  <c r="AG383" i="25"/>
  <c r="AG382" i="25"/>
  <c r="AF15" i="25"/>
  <c r="M58" i="19"/>
  <c r="M59" i="19"/>
  <c r="M57" i="19"/>
  <c r="S383" i="25"/>
  <c r="R15" i="25"/>
  <c r="S382" i="25"/>
  <c r="S381" i="25"/>
  <c r="R382" i="25" l="1"/>
  <c r="R381" i="25"/>
  <c r="R383" i="25"/>
  <c r="P15" i="25"/>
  <c r="AF382" i="25"/>
  <c r="AD15" i="25"/>
  <c r="AF381" i="25"/>
  <c r="AF383" i="25"/>
  <c r="AD383" i="25" l="1"/>
  <c r="AD381" i="25"/>
  <c r="AD382" i="25"/>
  <c r="P383" i="25"/>
  <c r="P381" i="25"/>
  <c r="P382" i="25"/>
  <c r="V15" i="25"/>
  <c r="B70" i="19" l="1"/>
  <c r="V380" i="25"/>
  <c r="V381" i="25" s="1"/>
  <c r="W378" i="17"/>
  <c r="W374" i="17"/>
  <c r="W370" i="17"/>
  <c r="W366" i="17"/>
  <c r="W362" i="17"/>
  <c r="W358" i="17"/>
  <c r="W354" i="17"/>
  <c r="W350" i="17"/>
  <c r="W346" i="17"/>
  <c r="W342" i="17"/>
  <c r="W338" i="17"/>
  <c r="W334" i="17"/>
  <c r="W330" i="17"/>
  <c r="W326" i="17"/>
  <c r="W322" i="17"/>
  <c r="W318" i="17"/>
  <c r="W314" i="17"/>
  <c r="W310" i="17"/>
  <c r="W306" i="17"/>
  <c r="W302" i="17"/>
  <c r="W298" i="17"/>
  <c r="W294" i="17"/>
  <c r="W290" i="17"/>
  <c r="W286" i="17"/>
  <c r="W282" i="17"/>
  <c r="W278" i="17"/>
  <c r="W274" i="17"/>
  <c r="W270" i="17"/>
  <c r="W266" i="17"/>
  <c r="W262" i="17"/>
  <c r="W258" i="17"/>
  <c r="W254" i="17"/>
  <c r="W250" i="17"/>
  <c r="W246" i="17"/>
  <c r="W242" i="17"/>
  <c r="W238" i="17"/>
  <c r="W234" i="17"/>
  <c r="W230" i="17"/>
  <c r="W226" i="17"/>
  <c r="W222" i="17"/>
  <c r="W218" i="17"/>
  <c r="W214" i="17"/>
  <c r="W210" i="17"/>
  <c r="W375" i="17"/>
  <c r="W367" i="17"/>
  <c r="W359" i="17"/>
  <c r="W351" i="17"/>
  <c r="W343" i="17"/>
  <c r="W335" i="17"/>
  <c r="W327" i="17"/>
  <c r="W319" i="17"/>
  <c r="W311" i="17"/>
  <c r="W303" i="17"/>
  <c r="W295" i="17"/>
  <c r="W287" i="17"/>
  <c r="W279" i="17"/>
  <c r="W271" i="17"/>
  <c r="W263" i="17"/>
  <c r="W255" i="17"/>
  <c r="W247" i="17"/>
  <c r="W239" i="17"/>
  <c r="W231" i="17"/>
  <c r="W223" i="17"/>
  <c r="W215" i="17"/>
  <c r="W208" i="17"/>
  <c r="W204" i="17"/>
  <c r="W200" i="17"/>
  <c r="W196" i="17"/>
  <c r="W192" i="17"/>
  <c r="W188" i="17"/>
  <c r="W184" i="17"/>
  <c r="W180" i="17"/>
  <c r="W176" i="17"/>
  <c r="W172" i="17"/>
  <c r="W168" i="17"/>
  <c r="W164" i="17"/>
  <c r="W160" i="17"/>
  <c r="W156" i="17"/>
  <c r="W152" i="17"/>
  <c r="W148" i="17"/>
  <c r="W144" i="17"/>
  <c r="W140" i="17"/>
  <c r="W136" i="17"/>
  <c r="W132" i="17"/>
  <c r="W128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371" i="17"/>
  <c r="W355" i="17"/>
  <c r="W339" i="17"/>
  <c r="W323" i="17"/>
  <c r="W307" i="17"/>
  <c r="W291" i="17"/>
  <c r="W275" i="17"/>
  <c r="W259" i="17"/>
  <c r="W243" i="17"/>
  <c r="W227" i="17"/>
  <c r="W211" i="17"/>
  <c r="W202" i="17"/>
  <c r="W194" i="17"/>
  <c r="W186" i="17"/>
  <c r="W178" i="17"/>
  <c r="W170" i="17"/>
  <c r="W162" i="17"/>
  <c r="W154" i="17"/>
  <c r="W146" i="17"/>
  <c r="W138" i="17"/>
  <c r="W130" i="17"/>
  <c r="W373" i="17"/>
  <c r="W357" i="17"/>
  <c r="W341" i="17"/>
  <c r="W325" i="17"/>
  <c r="W309" i="17"/>
  <c r="W293" i="17"/>
  <c r="W277" i="17"/>
  <c r="W261" i="17"/>
  <c r="W245" i="17"/>
  <c r="W229" i="17"/>
  <c r="W213" i="17"/>
  <c r="W203" i="17"/>
  <c r="W195" i="17"/>
  <c r="W187" i="17"/>
  <c r="W179" i="17"/>
  <c r="W171" i="17"/>
  <c r="W163" i="17"/>
  <c r="W155" i="17"/>
  <c r="W147" i="17"/>
  <c r="W139" i="17"/>
  <c r="W131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8" i="17"/>
  <c r="W352" i="17"/>
  <c r="W336" i="17"/>
  <c r="W320" i="17"/>
  <c r="W304" i="17"/>
  <c r="W288" i="17"/>
  <c r="W272" i="17"/>
  <c r="W256" i="17"/>
  <c r="W240" i="17"/>
  <c r="W224" i="17"/>
  <c r="W379" i="17"/>
  <c r="W347" i="17"/>
  <c r="W315" i="17"/>
  <c r="W283" i="17"/>
  <c r="W251" i="17"/>
  <c r="W219" i="17"/>
  <c r="W198" i="17"/>
  <c r="W182" i="17"/>
  <c r="W166" i="17"/>
  <c r="W150" i="17"/>
  <c r="W134" i="17"/>
  <c r="W365" i="17"/>
  <c r="W333" i="17"/>
  <c r="W301" i="17"/>
  <c r="W269" i="17"/>
  <c r="W237" i="17"/>
  <c r="W207" i="17"/>
  <c r="W191" i="17"/>
  <c r="W175" i="17"/>
  <c r="W159" i="17"/>
  <c r="W143" i="17"/>
  <c r="W127" i="17"/>
  <c r="W118" i="17"/>
  <c r="W110" i="17"/>
  <c r="W102" i="17"/>
  <c r="W94" i="17"/>
  <c r="W86" i="17"/>
  <c r="W78" i="17"/>
  <c r="W70" i="17"/>
  <c r="W62" i="17"/>
  <c r="W54" i="17"/>
  <c r="W46" i="17"/>
  <c r="W38" i="17"/>
  <c r="W34" i="17"/>
  <c r="W30" i="17"/>
  <c r="W26" i="17"/>
  <c r="W22" i="17"/>
  <c r="W18" i="17"/>
  <c r="W377" i="17"/>
  <c r="W361" i="17"/>
  <c r="W345" i="17"/>
  <c r="W329" i="17"/>
  <c r="W313" i="17"/>
  <c r="W297" i="17"/>
  <c r="W281" i="17"/>
  <c r="W265" i="17"/>
  <c r="W249" i="17"/>
  <c r="W233" i="17"/>
  <c r="W205" i="17"/>
  <c r="W189" i="17"/>
  <c r="W173" i="17"/>
  <c r="W157" i="17"/>
  <c r="W141" i="17"/>
  <c r="W125" i="17"/>
  <c r="W117" i="17"/>
  <c r="W109" i="17"/>
  <c r="W101" i="17"/>
  <c r="W93" i="17"/>
  <c r="W85" i="17"/>
  <c r="W77" i="17"/>
  <c r="W69" i="17"/>
  <c r="W61" i="17"/>
  <c r="W53" i="17"/>
  <c r="W45" i="17"/>
  <c r="W37" i="17"/>
  <c r="W29" i="17"/>
  <c r="W21" i="17"/>
  <c r="W209" i="17"/>
  <c r="W177" i="17"/>
  <c r="W145" i="17"/>
  <c r="W119" i="17"/>
  <c r="W103" i="17"/>
  <c r="W87" i="17"/>
  <c r="W71" i="17"/>
  <c r="W55" i="17"/>
  <c r="W39" i="17"/>
  <c r="W23" i="17"/>
  <c r="B383" i="17"/>
  <c r="B381" i="17"/>
  <c r="AJ6" i="17"/>
  <c r="W15" i="17"/>
  <c r="AK6" i="17"/>
  <c r="B382" i="17"/>
  <c r="W115" i="17"/>
  <c r="W99" i="17"/>
  <c r="W83" i="17"/>
  <c r="W67" i="17"/>
  <c r="W137" i="17"/>
  <c r="W51" i="17"/>
  <c r="W35" i="17"/>
  <c r="W19" i="17"/>
  <c r="W201" i="17"/>
  <c r="W169" i="17"/>
  <c r="W360" i="17"/>
  <c r="W328" i="17"/>
  <c r="W296" i="17"/>
  <c r="W264" i="17"/>
  <c r="W232" i="17"/>
  <c r="W363" i="17"/>
  <c r="W299" i="17"/>
  <c r="W235" i="17"/>
  <c r="W190" i="17"/>
  <c r="W158" i="17"/>
  <c r="W126" i="17"/>
  <c r="W317" i="17"/>
  <c r="W253" i="17"/>
  <c r="W199" i="17"/>
  <c r="W167" i="17"/>
  <c r="W135" i="17"/>
  <c r="W114" i="17"/>
  <c r="W98" i="17"/>
  <c r="W82" i="17"/>
  <c r="W66" i="17"/>
  <c r="W50" i="17"/>
  <c r="W36" i="17"/>
  <c r="W28" i="17"/>
  <c r="W20" i="17"/>
  <c r="W369" i="17"/>
  <c r="W337" i="17"/>
  <c r="W305" i="17"/>
  <c r="W273" i="17"/>
  <c r="W241" i="17"/>
  <c r="W197" i="17"/>
  <c r="W165" i="17"/>
  <c r="W133" i="17"/>
  <c r="W113" i="17"/>
  <c r="W97" i="17"/>
  <c r="W81" i="17"/>
  <c r="W65" i="17"/>
  <c r="W49" i="17"/>
  <c r="W33" i="17"/>
  <c r="W17" i="17"/>
  <c r="W161" i="17"/>
  <c r="W111" i="17"/>
  <c r="W79" i="17"/>
  <c r="W47" i="17"/>
  <c r="W107" i="17"/>
  <c r="W75" i="17"/>
  <c r="W59" i="17"/>
  <c r="W27" i="17"/>
  <c r="W185" i="17"/>
  <c r="D316" i="17"/>
  <c r="E316" i="17" s="1"/>
  <c r="F316" i="17" s="1"/>
  <c r="W32" i="17"/>
  <c r="W376" i="17"/>
  <c r="W280" i="17"/>
  <c r="W344" i="17"/>
  <c r="W216" i="17"/>
  <c r="W267" i="17"/>
  <c r="W174" i="17"/>
  <c r="W349" i="17"/>
  <c r="W221" i="17"/>
  <c r="W151" i="17"/>
  <c r="W106" i="17"/>
  <c r="W74" i="17"/>
  <c r="W42" i="17"/>
  <c r="W24" i="17"/>
  <c r="W353" i="17"/>
  <c r="W289" i="17"/>
  <c r="W217" i="17"/>
  <c r="W149" i="17"/>
  <c r="W105" i="17"/>
  <c r="W73" i="17"/>
  <c r="W41" i="17"/>
  <c r="W193" i="17"/>
  <c r="W95" i="17"/>
  <c r="W31" i="17"/>
  <c r="W123" i="17"/>
  <c r="W153" i="17"/>
  <c r="W225" i="17"/>
  <c r="D300" i="17"/>
  <c r="E300" i="17" s="1"/>
  <c r="F300" i="17" s="1"/>
  <c r="D169" i="17"/>
  <c r="E169" i="17" s="1"/>
  <c r="F169" i="17" s="1"/>
  <c r="D201" i="17"/>
  <c r="E201" i="17" s="1"/>
  <c r="F201" i="17" s="1"/>
  <c r="W43" i="17"/>
  <c r="D307" i="17"/>
  <c r="E307" i="17" s="1"/>
  <c r="F307" i="17" s="1"/>
  <c r="D102" i="17"/>
  <c r="E102" i="17" s="1"/>
  <c r="F102" i="17" s="1"/>
  <c r="H102" i="17" s="1"/>
  <c r="D176" i="17"/>
  <c r="E176" i="17" s="1"/>
  <c r="F176" i="17" s="1"/>
  <c r="W91" i="17"/>
  <c r="W312" i="17"/>
  <c r="W57" i="17"/>
  <c r="W285" i="17"/>
  <c r="W331" i="17"/>
  <c r="W142" i="17"/>
  <c r="W183" i="17"/>
  <c r="W90" i="17"/>
  <c r="W321" i="17"/>
  <c r="W181" i="17"/>
  <c r="W89" i="17"/>
  <c r="W25" i="17"/>
  <c r="W63" i="17"/>
  <c r="D77" i="17"/>
  <c r="E77" i="17" s="1"/>
  <c r="F77" i="17" s="1"/>
  <c r="D27" i="17"/>
  <c r="E27" i="17" s="1"/>
  <c r="F27" i="17" s="1"/>
  <c r="D32" i="17"/>
  <c r="E32" i="17" s="1"/>
  <c r="F32" i="17" s="1"/>
  <c r="D79" i="17"/>
  <c r="E79" i="17" s="1"/>
  <c r="F79" i="17" s="1"/>
  <c r="D372" i="17"/>
  <c r="E372" i="17" s="1"/>
  <c r="F372" i="17" s="1"/>
  <c r="D356" i="17"/>
  <c r="E356" i="17" s="1"/>
  <c r="F356" i="17" s="1"/>
  <c r="D275" i="17"/>
  <c r="E275" i="17" s="1"/>
  <c r="F275" i="17" s="1"/>
  <c r="D135" i="17"/>
  <c r="E135" i="17" s="1"/>
  <c r="F135" i="17" s="1"/>
  <c r="D152" i="17"/>
  <c r="E152" i="17" s="1"/>
  <c r="F152" i="17" s="1"/>
  <c r="D56" i="17"/>
  <c r="E56" i="17" s="1"/>
  <c r="F56" i="17" s="1"/>
  <c r="D318" i="17"/>
  <c r="E318" i="17" s="1"/>
  <c r="F318" i="17" s="1"/>
  <c r="D59" i="17"/>
  <c r="E59" i="17" s="1"/>
  <c r="F59" i="17" s="1"/>
  <c r="D131" i="17"/>
  <c r="E131" i="17" s="1"/>
  <c r="F131" i="17" s="1"/>
  <c r="D91" i="17"/>
  <c r="E91" i="17" s="1"/>
  <c r="F91" i="17" s="1"/>
  <c r="W16" i="17"/>
  <c r="D292" i="17"/>
  <c r="E292" i="17" s="1"/>
  <c r="F292" i="17" s="1"/>
  <c r="D51" i="17"/>
  <c r="E51" i="17" s="1"/>
  <c r="F51" i="17" s="1"/>
  <c r="D362" i="17"/>
  <c r="E362" i="17" s="1"/>
  <c r="F362" i="17" s="1"/>
  <c r="D350" i="17"/>
  <c r="E350" i="17" s="1"/>
  <c r="F350" i="17" s="1"/>
  <c r="D326" i="17"/>
  <c r="E326" i="17" s="1"/>
  <c r="F326" i="17" s="1"/>
  <c r="D306" i="17"/>
  <c r="E306" i="17" s="1"/>
  <c r="F306" i="17" s="1"/>
  <c r="D218" i="17"/>
  <c r="E218" i="17" s="1"/>
  <c r="F218" i="17" s="1"/>
  <c r="D154" i="17"/>
  <c r="E154" i="17" s="1"/>
  <c r="F154" i="17" s="1"/>
  <c r="D68" i="17"/>
  <c r="E68" i="17" s="1"/>
  <c r="F68" i="17" s="1"/>
  <c r="D364" i="17"/>
  <c r="E364" i="17" s="1"/>
  <c r="F364" i="17" s="1"/>
  <c r="D219" i="17"/>
  <c r="E219" i="17" s="1"/>
  <c r="F219" i="17" s="1"/>
  <c r="D191" i="17"/>
  <c r="E191" i="17" s="1"/>
  <c r="F191" i="17" s="1"/>
  <c r="D143" i="17"/>
  <c r="E143" i="17" s="1"/>
  <c r="F143" i="17" s="1"/>
  <c r="D95" i="17"/>
  <c r="E95" i="17" s="1"/>
  <c r="F95" i="17" s="1"/>
  <c r="D71" i="17"/>
  <c r="E71" i="17" s="1"/>
  <c r="F71" i="17" s="1"/>
  <c r="D158" i="17"/>
  <c r="E158" i="17" s="1"/>
  <c r="F158" i="17" s="1"/>
  <c r="D360" i="17"/>
  <c r="E360" i="17" s="1"/>
  <c r="F360" i="17" s="1"/>
  <c r="D97" i="17"/>
  <c r="E97" i="17" s="1"/>
  <c r="F97" i="17" s="1"/>
  <c r="D140" i="17"/>
  <c r="E140" i="17" s="1"/>
  <c r="F140" i="17" s="1"/>
  <c r="D64" i="17"/>
  <c r="E64" i="17" s="1"/>
  <c r="F64" i="17" s="1"/>
  <c r="D232" i="17"/>
  <c r="E232" i="17" s="1"/>
  <c r="F232" i="17" s="1"/>
  <c r="D296" i="17"/>
  <c r="E296" i="17" s="1"/>
  <c r="F296" i="17" s="1"/>
  <c r="D332" i="17"/>
  <c r="E332" i="17" s="1"/>
  <c r="F332" i="17" s="1"/>
  <c r="D57" i="17"/>
  <c r="E57" i="17" s="1"/>
  <c r="F57" i="17" s="1"/>
  <c r="D179" i="17"/>
  <c r="E179" i="17" s="1"/>
  <c r="F179" i="17" s="1"/>
  <c r="D235" i="17"/>
  <c r="E235" i="17" s="1"/>
  <c r="F235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W206" i="17"/>
  <c r="W122" i="17"/>
  <c r="W58" i="17"/>
  <c r="W248" i="17"/>
  <c r="W257" i="17"/>
  <c r="D268" i="17"/>
  <c r="E268" i="17" s="1"/>
  <c r="F268" i="17" s="1"/>
  <c r="D282" i="17"/>
  <c r="E282" i="17" s="1"/>
  <c r="F282" i="17" s="1"/>
  <c r="D145" i="17"/>
  <c r="E145" i="17" s="1"/>
  <c r="F145" i="17" s="1"/>
  <c r="D125" i="17"/>
  <c r="E125" i="17" s="1"/>
  <c r="F125" i="17" s="1"/>
  <c r="D367" i="17"/>
  <c r="E367" i="17" s="1"/>
  <c r="F367" i="17" s="1"/>
  <c r="D280" i="17"/>
  <c r="E280" i="17" s="1"/>
  <c r="F280" i="17" s="1"/>
  <c r="D36" i="17"/>
  <c r="E36" i="17" s="1"/>
  <c r="F36" i="17" s="1"/>
  <c r="D208" i="17"/>
  <c r="E208" i="17" s="1"/>
  <c r="F208" i="17" s="1"/>
  <c r="D321" i="17"/>
  <c r="E321" i="17" s="1"/>
  <c r="F321" i="17" s="1"/>
  <c r="D265" i="17"/>
  <c r="E265" i="17" s="1"/>
  <c r="F265" i="17" s="1"/>
  <c r="D118" i="17"/>
  <c r="E118" i="17" s="1"/>
  <c r="F118" i="17" s="1"/>
  <c r="D81" i="17"/>
  <c r="E81" i="17" s="1"/>
  <c r="F81" i="17" s="1"/>
  <c r="D227" i="17"/>
  <c r="E227" i="17" s="1"/>
  <c r="F227" i="17" s="1"/>
  <c r="D42" i="17"/>
  <c r="E42" i="17" s="1"/>
  <c r="F42" i="17" s="1"/>
  <c r="D240" i="17"/>
  <c r="E240" i="17" s="1"/>
  <c r="F240" i="17" s="1"/>
  <c r="D312" i="17"/>
  <c r="E312" i="17" s="1"/>
  <c r="F312" i="17" s="1"/>
  <c r="D87" i="17"/>
  <c r="E87" i="17" s="1"/>
  <c r="F87" i="17" s="1"/>
  <c r="D203" i="17"/>
  <c r="E203" i="17" s="1"/>
  <c r="F203" i="17" s="1"/>
  <c r="D146" i="17"/>
  <c r="E146" i="17" s="1"/>
  <c r="F146" i="17" s="1"/>
  <c r="D334" i="17"/>
  <c r="E334" i="17" s="1"/>
  <c r="F334" i="17" s="1"/>
  <c r="D109" i="17"/>
  <c r="E109" i="17" s="1"/>
  <c r="F109" i="17" s="1"/>
  <c r="D267" i="17"/>
  <c r="E267" i="17" s="1"/>
  <c r="F267" i="17" s="1"/>
  <c r="D202" i="17"/>
  <c r="E202" i="17" s="1"/>
  <c r="F202" i="17" s="1"/>
  <c r="D41" i="17"/>
  <c r="E41" i="17" s="1"/>
  <c r="F41" i="17" s="1"/>
  <c r="D260" i="17"/>
  <c r="E260" i="17" s="1"/>
  <c r="F260" i="17" s="1"/>
  <c r="D115" i="17"/>
  <c r="E115" i="17" s="1"/>
  <c r="F115" i="17" s="1"/>
  <c r="D299" i="17"/>
  <c r="E299" i="17" s="1"/>
  <c r="F299" i="17" s="1"/>
  <c r="D94" i="17"/>
  <c r="E94" i="17" s="1"/>
  <c r="F94" i="17" s="1"/>
  <c r="D189" i="17"/>
  <c r="E189" i="17" s="1"/>
  <c r="F189" i="17" s="1"/>
  <c r="D273" i="17"/>
  <c r="E273" i="17" s="1"/>
  <c r="F273" i="17" s="1"/>
  <c r="D28" i="17"/>
  <c r="E28" i="17" s="1"/>
  <c r="F28" i="17" s="1"/>
  <c r="D55" i="17"/>
  <c r="E55" i="17" s="1"/>
  <c r="F55" i="17" s="1"/>
  <c r="D111" i="17"/>
  <c r="E111" i="17" s="1"/>
  <c r="F111" i="17" s="1"/>
  <c r="D30" i="17"/>
  <c r="E30" i="17" s="1"/>
  <c r="F30" i="17" s="1"/>
  <c r="D322" i="17"/>
  <c r="E322" i="17" s="1"/>
  <c r="F322" i="17" s="1"/>
  <c r="D349" i="17"/>
  <c r="E349" i="17" s="1"/>
  <c r="F349" i="17" s="1"/>
  <c r="D116" i="17"/>
  <c r="E116" i="17" s="1"/>
  <c r="F116" i="17" s="1"/>
  <c r="D184" i="17"/>
  <c r="E184" i="17" s="1"/>
  <c r="F184" i="17" s="1"/>
  <c r="D216" i="17"/>
  <c r="E216" i="17" s="1"/>
  <c r="F216" i="17" s="1"/>
  <c r="D209" i="17"/>
  <c r="E209" i="17" s="1"/>
  <c r="F209" i="17" s="1"/>
  <c r="D155" i="17"/>
  <c r="E155" i="17" s="1"/>
  <c r="F155" i="17" s="1"/>
  <c r="D215" i="17"/>
  <c r="E215" i="17" s="1"/>
  <c r="F215" i="17" s="1"/>
  <c r="D251" i="17"/>
  <c r="E251" i="17" s="1"/>
  <c r="F251" i="17" s="1"/>
  <c r="D351" i="17"/>
  <c r="E351" i="17" s="1"/>
  <c r="F351" i="17" s="1"/>
  <c r="D60" i="17"/>
  <c r="E60" i="17" s="1"/>
  <c r="F60" i="17" s="1"/>
  <c r="D214" i="17"/>
  <c r="E214" i="17" s="1"/>
  <c r="F214" i="17" s="1"/>
  <c r="D289" i="17"/>
  <c r="E289" i="17" s="1"/>
  <c r="F289" i="17" s="1"/>
  <c r="D157" i="17"/>
  <c r="E157" i="17" s="1"/>
  <c r="F157" i="17" s="1"/>
  <c r="D361" i="17"/>
  <c r="E361" i="17" s="1"/>
  <c r="F361" i="17" s="1"/>
  <c r="D303" i="17"/>
  <c r="E303" i="17" s="1"/>
  <c r="F303" i="17" s="1"/>
  <c r="D88" i="17"/>
  <c r="E88" i="17" s="1"/>
  <c r="F88" i="17" s="1"/>
  <c r="D228" i="17"/>
  <c r="E228" i="17" s="1"/>
  <c r="F228" i="17" s="1"/>
  <c r="W121" i="17"/>
  <c r="D363" i="17"/>
  <c r="E363" i="17" s="1"/>
  <c r="F363" i="17" s="1"/>
  <c r="D248" i="17"/>
  <c r="E248" i="17" s="1"/>
  <c r="F248" i="17" s="1"/>
  <c r="D207" i="17"/>
  <c r="E207" i="17" s="1"/>
  <c r="F207" i="17" s="1"/>
  <c r="D38" i="17"/>
  <c r="E38" i="17" s="1"/>
  <c r="F38" i="17" s="1"/>
  <c r="D165" i="17"/>
  <c r="E165" i="17" s="1"/>
  <c r="F165" i="17" s="1"/>
  <c r="D345" i="17"/>
  <c r="E345" i="17" s="1"/>
  <c r="F345" i="17" s="1"/>
  <c r="D136" i="17"/>
  <c r="E136" i="17" s="1"/>
  <c r="F136" i="17" s="1"/>
  <c r="D236" i="17"/>
  <c r="E236" i="17" s="1"/>
  <c r="F236" i="17" s="1"/>
  <c r="D328" i="17"/>
  <c r="E328" i="17" s="1"/>
  <c r="F328" i="17" s="1"/>
  <c r="D171" i="17"/>
  <c r="E171" i="17" s="1"/>
  <c r="F171" i="17" s="1"/>
  <c r="D221" i="17"/>
  <c r="E221" i="17" s="1"/>
  <c r="F221" i="17" s="1"/>
  <c r="D255" i="17"/>
  <c r="E255" i="17" s="1"/>
  <c r="F255" i="17" s="1"/>
  <c r="D370" i="17"/>
  <c r="E370" i="17" s="1"/>
  <c r="F370" i="17" s="1"/>
  <c r="D338" i="17"/>
  <c r="E338" i="17" s="1"/>
  <c r="F338" i="17" s="1"/>
  <c r="D162" i="17"/>
  <c r="E162" i="17" s="1"/>
  <c r="F162" i="17" s="1"/>
  <c r="D139" i="17"/>
  <c r="E139" i="17" s="1"/>
  <c r="F139" i="17" s="1"/>
  <c r="D35" i="17"/>
  <c r="E35" i="17" s="1"/>
  <c r="F35" i="17" s="1"/>
  <c r="D212" i="17"/>
  <c r="E212" i="17" s="1"/>
  <c r="F212" i="17" s="1"/>
  <c r="D80" i="17"/>
  <c r="E80" i="17" s="1"/>
  <c r="F80" i="17" s="1"/>
  <c r="W129" i="17"/>
  <c r="D331" i="17"/>
  <c r="E331" i="17" s="1"/>
  <c r="F331" i="17" s="1"/>
  <c r="D271" i="17"/>
  <c r="E271" i="17" s="1"/>
  <c r="F271" i="17" s="1"/>
  <c r="D134" i="17"/>
  <c r="E134" i="17" s="1"/>
  <c r="F134" i="17" s="1"/>
  <c r="D33" i="17"/>
  <c r="E33" i="17" s="1"/>
  <c r="F33" i="17" s="1"/>
  <c r="D86" i="17"/>
  <c r="E86" i="17" s="1"/>
  <c r="F86" i="17" s="1"/>
  <c r="D160" i="17"/>
  <c r="E160" i="17" s="1"/>
  <c r="F160" i="17" s="1"/>
  <c r="D293" i="17"/>
  <c r="E293" i="17" s="1"/>
  <c r="F293" i="17" s="1"/>
  <c r="D298" i="17"/>
  <c r="E298" i="17" s="1"/>
  <c r="F298" i="17" s="1"/>
  <c r="D106" i="17"/>
  <c r="E106" i="17" s="1"/>
  <c r="F106" i="17" s="1"/>
  <c r="D311" i="17"/>
  <c r="E311" i="17" s="1"/>
  <c r="F311" i="17" s="1"/>
  <c r="D178" i="17"/>
  <c r="E178" i="17" s="1"/>
  <c r="F178" i="17" s="1"/>
  <c r="D269" i="17"/>
  <c r="E269" i="17" s="1"/>
  <c r="F269" i="17" s="1"/>
  <c r="D262" i="17"/>
  <c r="E262" i="17" s="1"/>
  <c r="F262" i="17" s="1"/>
  <c r="D320" i="17"/>
  <c r="E320" i="17" s="1"/>
  <c r="F320" i="17" s="1"/>
  <c r="D128" i="17"/>
  <c r="E128" i="17" s="1"/>
  <c r="F128" i="17" s="1"/>
  <c r="D376" i="17"/>
  <c r="E376" i="17" s="1"/>
  <c r="F376" i="17" s="1"/>
  <c r="D114" i="17"/>
  <c r="E114" i="17" s="1"/>
  <c r="F114" i="17" s="1"/>
  <c r="D182" i="17"/>
  <c r="E182" i="17" s="1"/>
  <c r="F182" i="17" s="1"/>
  <c r="D336" i="17"/>
  <c r="E336" i="17" s="1"/>
  <c r="F336" i="17" s="1"/>
  <c r="D337" i="17"/>
  <c r="E337" i="17" s="1"/>
  <c r="F337" i="17" s="1"/>
  <c r="D297" i="17"/>
  <c r="E297" i="17" s="1"/>
  <c r="F297" i="17" s="1"/>
  <c r="D261" i="17"/>
  <c r="E261" i="17" s="1"/>
  <c r="F261" i="17" s="1"/>
  <c r="D347" i="17"/>
  <c r="E347" i="17" s="1"/>
  <c r="F347" i="17" s="1"/>
  <c r="D185" i="17"/>
  <c r="E185" i="17" s="1"/>
  <c r="F185" i="17" s="1"/>
  <c r="D16" i="17"/>
  <c r="E16" i="17" s="1"/>
  <c r="F16" i="17" s="1"/>
  <c r="D266" i="17"/>
  <c r="E266" i="17" s="1"/>
  <c r="F266" i="17" s="1"/>
  <c r="D150" i="17"/>
  <c r="E150" i="17" s="1"/>
  <c r="F150" i="17" s="1"/>
  <c r="D82" i="17"/>
  <c r="E82" i="17" s="1"/>
  <c r="F82" i="17" s="1"/>
  <c r="D276" i="17"/>
  <c r="E276" i="17" s="1"/>
  <c r="F276" i="17" s="1"/>
  <c r="D147" i="17"/>
  <c r="E147" i="17" s="1"/>
  <c r="F147" i="17" s="1"/>
  <c r="D224" i="17"/>
  <c r="E224" i="17" s="1"/>
  <c r="F224" i="17" s="1"/>
  <c r="D48" i="17"/>
  <c r="E48" i="17" s="1"/>
  <c r="F48" i="17" s="1"/>
  <c r="D84" i="17"/>
  <c r="E84" i="17" s="1"/>
  <c r="F84" i="17" s="1"/>
  <c r="D73" i="17"/>
  <c r="E73" i="17" s="1"/>
  <c r="F73" i="17" s="1"/>
  <c r="D274" i="17"/>
  <c r="E274" i="17" s="1"/>
  <c r="F274" i="17" s="1"/>
  <c r="D164" i="17"/>
  <c r="E164" i="17" s="1"/>
  <c r="F164" i="17" s="1"/>
  <c r="D295" i="17"/>
  <c r="E295" i="17" s="1"/>
  <c r="F295" i="17" s="1"/>
  <c r="D198" i="17"/>
  <c r="E198" i="17" s="1"/>
  <c r="F198" i="17" s="1"/>
  <c r="D137" i="17"/>
  <c r="E137" i="17" s="1"/>
  <c r="F137" i="17" s="1"/>
  <c r="D200" i="17"/>
  <c r="E200" i="17" s="1"/>
  <c r="F200" i="17" s="1"/>
  <c r="D54" i="17"/>
  <c r="E54" i="17" s="1"/>
  <c r="F54" i="17" s="1"/>
  <c r="D141" i="17"/>
  <c r="E141" i="17" s="1"/>
  <c r="F141" i="17" s="1"/>
  <c r="D368" i="17"/>
  <c r="E368" i="17" s="1"/>
  <c r="F368" i="17" s="1"/>
  <c r="D343" i="17"/>
  <c r="E343" i="17" s="1"/>
  <c r="F343" i="17" s="1"/>
  <c r="D138" i="17"/>
  <c r="E138" i="17" s="1"/>
  <c r="F138" i="17" s="1"/>
  <c r="D305" i="17"/>
  <c r="E305" i="17" s="1"/>
  <c r="F305" i="17" s="1"/>
  <c r="D112" i="17"/>
  <c r="E112" i="17" s="1"/>
  <c r="F112" i="17" s="1"/>
  <c r="D308" i="17"/>
  <c r="E308" i="17" s="1"/>
  <c r="F308" i="17" s="1"/>
  <c r="D67" i="17"/>
  <c r="E67" i="17" s="1"/>
  <c r="F67" i="17" s="1"/>
  <c r="D183" i="17"/>
  <c r="E183" i="17" s="1"/>
  <c r="F183" i="17" s="1"/>
  <c r="D323" i="17"/>
  <c r="E323" i="17" s="1"/>
  <c r="F323" i="17" s="1"/>
  <c r="D375" i="17"/>
  <c r="E375" i="17" s="1"/>
  <c r="F375" i="17" s="1"/>
  <c r="D333" i="17"/>
  <c r="E333" i="17" s="1"/>
  <c r="F333" i="17" s="1"/>
  <c r="D78" i="17"/>
  <c r="E78" i="17" s="1"/>
  <c r="F78" i="17" s="1"/>
  <c r="D250" i="17"/>
  <c r="E250" i="17" s="1"/>
  <c r="F250" i="17" s="1"/>
  <c r="D258" i="17"/>
  <c r="E258" i="17" s="1"/>
  <c r="F258" i="17" s="1"/>
  <c r="D133" i="17"/>
  <c r="E133" i="17" s="1"/>
  <c r="F133" i="17" s="1"/>
  <c r="D245" i="17"/>
  <c r="E245" i="17" s="1"/>
  <c r="F245" i="17" s="1"/>
  <c r="D281" i="17"/>
  <c r="E281" i="17" s="1"/>
  <c r="F281" i="17" s="1"/>
  <c r="D317" i="17"/>
  <c r="E317" i="17" s="1"/>
  <c r="F317" i="17" s="1"/>
  <c r="D329" i="17"/>
  <c r="E329" i="17" s="1"/>
  <c r="F329" i="17" s="1"/>
  <c r="D373" i="17"/>
  <c r="E373" i="17" s="1"/>
  <c r="F373" i="17" s="1"/>
  <c r="D53" i="17"/>
  <c r="E53" i="17" s="1"/>
  <c r="F53" i="17" s="1"/>
  <c r="D121" i="17"/>
  <c r="E121" i="17" s="1"/>
  <c r="F121" i="17" s="1"/>
  <c r="D163" i="17"/>
  <c r="E163" i="17" s="1"/>
  <c r="F163" i="17" s="1"/>
  <c r="D130" i="17"/>
  <c r="E130" i="17" s="1"/>
  <c r="F130" i="17" s="1"/>
  <c r="D233" i="17"/>
  <c r="E233" i="17" s="1"/>
  <c r="F233" i="17" s="1"/>
  <c r="D196" i="17"/>
  <c r="E196" i="17" s="1"/>
  <c r="F196" i="17" s="1"/>
  <c r="D335" i="17"/>
  <c r="E335" i="17" s="1"/>
  <c r="F335" i="17" s="1"/>
  <c r="D186" i="17"/>
  <c r="E186" i="17" s="1"/>
  <c r="F186" i="17" s="1"/>
  <c r="D277" i="17"/>
  <c r="E277" i="17" s="1"/>
  <c r="F277" i="17" s="1"/>
  <c r="D313" i="17"/>
  <c r="E313" i="17" s="1"/>
  <c r="F313" i="17" s="1"/>
  <c r="D342" i="17"/>
  <c r="E342" i="17" s="1"/>
  <c r="F342" i="17" s="1"/>
  <c r="D47" i="17"/>
  <c r="E47" i="17" s="1"/>
  <c r="F47" i="17" s="1"/>
  <c r="D100" i="17"/>
  <c r="E100" i="17" s="1"/>
  <c r="F100" i="17" s="1"/>
  <c r="D127" i="17"/>
  <c r="E127" i="17" s="1"/>
  <c r="F127" i="17" s="1"/>
  <c r="D319" i="17"/>
  <c r="E319" i="17" s="1"/>
  <c r="F319" i="17" s="1"/>
  <c r="D167" i="17"/>
  <c r="E167" i="17" s="1"/>
  <c r="F167" i="17" s="1"/>
  <c r="D358" i="17"/>
  <c r="E358" i="17" s="1"/>
  <c r="F358" i="17" s="1"/>
  <c r="D50" i="17"/>
  <c r="E50" i="17" s="1"/>
  <c r="F50" i="17" s="1"/>
  <c r="D341" i="17"/>
  <c r="E341" i="17" s="1"/>
  <c r="F341" i="17" s="1"/>
  <c r="D222" i="17"/>
  <c r="E222" i="17" s="1"/>
  <c r="F222" i="17" s="1"/>
  <c r="D263" i="17"/>
  <c r="E263" i="17" s="1"/>
  <c r="F263" i="17" s="1"/>
  <c r="D229" i="17"/>
  <c r="E229" i="17" s="1"/>
  <c r="F229" i="17" s="1"/>
  <c r="D66" i="17"/>
  <c r="E66" i="17" s="1"/>
  <c r="F66" i="17" s="1"/>
  <c r="D34" i="17"/>
  <c r="E34" i="17" s="1"/>
  <c r="F34" i="17" s="1"/>
  <c r="D211" i="17"/>
  <c r="E211" i="17" s="1"/>
  <c r="F211" i="17" s="1"/>
  <c r="D107" i="17"/>
  <c r="E107" i="17" s="1"/>
  <c r="F107" i="17" s="1"/>
  <c r="D252" i="17"/>
  <c r="E252" i="17" s="1"/>
  <c r="F252" i="17" s="1"/>
  <c r="D168" i="17"/>
  <c r="E168" i="17" s="1"/>
  <c r="F168" i="17" s="1"/>
  <c r="D144" i="17"/>
  <c r="E144" i="17" s="1"/>
  <c r="F144" i="17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369" i="17"/>
  <c r="E369" i="17" s="1"/>
  <c r="F369" i="17" s="1"/>
  <c r="D225" i="17"/>
  <c r="E225" i="17" s="1"/>
  <c r="F225" i="17" s="1"/>
  <c r="D244" i="17"/>
  <c r="E244" i="17" s="1"/>
  <c r="F244" i="17" s="1"/>
  <c r="D89" i="17"/>
  <c r="E89" i="17" s="1"/>
  <c r="F89" i="17" s="1"/>
  <c r="D315" i="17"/>
  <c r="E315" i="17" s="1"/>
  <c r="F315" i="17" s="1"/>
  <c r="D76" i="17"/>
  <c r="E76" i="17" s="1"/>
  <c r="F76" i="17" s="1"/>
  <c r="D25" i="17"/>
  <c r="E25" i="17" s="1"/>
  <c r="F25" i="17" s="1"/>
  <c r="D226" i="17"/>
  <c r="E226" i="17" s="1"/>
  <c r="F226" i="17" s="1"/>
  <c r="D132" i="17"/>
  <c r="E132" i="17" s="1"/>
  <c r="F132" i="17" s="1"/>
  <c r="D49" i="17"/>
  <c r="E49" i="17" s="1"/>
  <c r="F49" i="17" s="1"/>
  <c r="D241" i="17"/>
  <c r="E241" i="17" s="1"/>
  <c r="F241" i="17" s="1"/>
  <c r="D290" i="17"/>
  <c r="E290" i="17" s="1"/>
  <c r="F290" i="17" s="1"/>
  <c r="D270" i="17"/>
  <c r="E270" i="17" s="1"/>
  <c r="F270" i="17" s="1"/>
  <c r="D90" i="17"/>
  <c r="E90" i="17" s="1"/>
  <c r="F90" i="17" s="1"/>
  <c r="D187" i="17"/>
  <c r="E187" i="17" s="1"/>
  <c r="F187" i="17" s="1"/>
  <c r="H9" i="17"/>
  <c r="D330" i="17"/>
  <c r="E330" i="17" s="1"/>
  <c r="F330" i="17" s="1"/>
  <c r="D46" i="17"/>
  <c r="E46" i="17" s="1"/>
  <c r="F46" i="17" s="1"/>
  <c r="D31" i="17"/>
  <c r="E31" i="17" s="1"/>
  <c r="F31" i="17" s="1"/>
  <c r="D357" i="17"/>
  <c r="E357" i="17" s="1"/>
  <c r="F357" i="17" s="1"/>
  <c r="D285" i="17"/>
  <c r="E285" i="17" s="1"/>
  <c r="F285" i="17" s="1"/>
  <c r="D243" i="17"/>
  <c r="E243" i="17" s="1"/>
  <c r="F243" i="17" s="1"/>
  <c r="D205" i="17"/>
  <c r="E205" i="17" s="1"/>
  <c r="F205" i="17" s="1"/>
  <c r="D101" i="17"/>
  <c r="E101" i="17" s="1"/>
  <c r="F101" i="17" s="1"/>
  <c r="D234" i="17"/>
  <c r="E234" i="17" s="1"/>
  <c r="F234" i="17" s="1"/>
  <c r="D284" i="17"/>
  <c r="E284" i="17" s="1"/>
  <c r="F284" i="17" s="1"/>
  <c r="D175" i="17"/>
  <c r="E175" i="17" s="1"/>
  <c r="F175" i="17" s="1"/>
  <c r="D210" i="17"/>
  <c r="E210" i="17" s="1"/>
  <c r="F210" i="17" s="1"/>
  <c r="D93" i="17"/>
  <c r="E93" i="17" s="1"/>
  <c r="F93" i="17" s="1"/>
  <c r="D223" i="17"/>
  <c r="E223" i="17" s="1"/>
  <c r="F223" i="17" s="1"/>
  <c r="D366" i="17"/>
  <c r="E366" i="17" s="1"/>
  <c r="F366" i="17" s="1"/>
  <c r="D172" i="17"/>
  <c r="E172" i="17" s="1"/>
  <c r="F172" i="17" s="1"/>
  <c r="D272" i="17"/>
  <c r="E272" i="17" s="1"/>
  <c r="F272" i="17" s="1"/>
  <c r="D119" i="17"/>
  <c r="E119" i="17" s="1"/>
  <c r="F119" i="17" s="1"/>
  <c r="D354" i="17"/>
  <c r="E354" i="17" s="1"/>
  <c r="F354" i="17" s="1"/>
  <c r="D206" i="17"/>
  <c r="E206" i="17" s="1"/>
  <c r="F206" i="17" s="1"/>
  <c r="D242" i="17"/>
  <c r="E242" i="17" s="1"/>
  <c r="F242" i="17" s="1"/>
  <c r="D374" i="17"/>
  <c r="E374" i="17" s="1"/>
  <c r="F374" i="17" s="1"/>
  <c r="D325" i="17"/>
  <c r="E325" i="17" s="1"/>
  <c r="F325" i="17" s="1"/>
  <c r="D149" i="17"/>
  <c r="E149" i="17" s="1"/>
  <c r="F149" i="17" s="1"/>
  <c r="D26" i="17"/>
  <c r="E26" i="17" s="1"/>
  <c r="F26" i="17" s="1"/>
  <c r="D92" i="17"/>
  <c r="E92" i="17" s="1"/>
  <c r="F92" i="17" s="1"/>
  <c r="D286" i="17"/>
  <c r="E286" i="17" s="1"/>
  <c r="F286" i="17" s="1"/>
  <c r="D61" i="17"/>
  <c r="E61" i="17" s="1"/>
  <c r="F61" i="17" s="1"/>
  <c r="D181" i="17"/>
  <c r="E181" i="17" s="1"/>
  <c r="F181" i="17" s="1"/>
  <c r="D327" i="17"/>
  <c r="E327" i="17" s="1"/>
  <c r="F327" i="17" s="1"/>
  <c r="D340" i="17"/>
  <c r="E340" i="17" s="1"/>
  <c r="F340" i="17" s="1"/>
  <c r="D197" i="17"/>
  <c r="E197" i="17" s="1"/>
  <c r="F197" i="17" s="1"/>
  <c r="D43" i="17"/>
  <c r="E43" i="17" s="1"/>
  <c r="F43" i="17" s="1"/>
  <c r="D75" i="17"/>
  <c r="E75" i="17" s="1"/>
  <c r="F75" i="17" s="1"/>
  <c r="D213" i="17"/>
  <c r="E213" i="17" s="1"/>
  <c r="F213" i="17" s="1"/>
  <c r="D344" i="17"/>
  <c r="E344" i="17" s="1"/>
  <c r="F344" i="17" s="1"/>
  <c r="D220" i="17"/>
  <c r="E220" i="17" s="1"/>
  <c r="F220" i="17" s="1"/>
  <c r="D217" i="17"/>
  <c r="E217" i="17" s="1"/>
  <c r="F217" i="17" s="1"/>
  <c r="D153" i="17"/>
  <c r="E153" i="17" s="1"/>
  <c r="F153" i="17" s="1"/>
  <c r="D291" i="17"/>
  <c r="E291" i="17" s="1"/>
  <c r="F291" i="17" s="1"/>
  <c r="D126" i="17"/>
  <c r="E126" i="17" s="1"/>
  <c r="F126" i="17" s="1"/>
  <c r="D72" i="17"/>
  <c r="E72" i="17" s="1"/>
  <c r="F72" i="17" s="1"/>
  <c r="D264" i="17"/>
  <c r="E264" i="17" s="1"/>
  <c r="F264" i="17" s="1"/>
  <c r="D120" i="17"/>
  <c r="E120" i="17" s="1"/>
  <c r="F120" i="17" s="1"/>
  <c r="D98" i="17"/>
  <c r="E98" i="17" s="1"/>
  <c r="F98" i="17" s="1"/>
  <c r="D348" i="17"/>
  <c r="E348" i="17" s="1"/>
  <c r="F348" i="17" s="1"/>
  <c r="D231" i="17"/>
  <c r="E231" i="17" s="1"/>
  <c r="F231" i="17" s="1"/>
  <c r="D174" i="17"/>
  <c r="E174" i="17" s="1"/>
  <c r="F174" i="17" s="1"/>
  <c r="D301" i="17"/>
  <c r="E301" i="17" s="1"/>
  <c r="F301" i="17" s="1"/>
  <c r="D365" i="17"/>
  <c r="E365" i="17" s="1"/>
  <c r="F365" i="17" s="1"/>
  <c r="D37" i="17"/>
  <c r="E37" i="17" s="1"/>
  <c r="F37" i="17" s="1"/>
  <c r="D52" i="17"/>
  <c r="E52" i="17" s="1"/>
  <c r="F52" i="17" s="1"/>
  <c r="D246" i="17"/>
  <c r="E246" i="17" s="1"/>
  <c r="F246" i="17" s="1"/>
  <c r="D85" i="17"/>
  <c r="E85" i="17" s="1"/>
  <c r="F85" i="17" s="1"/>
  <c r="D129" i="17"/>
  <c r="E129" i="17" s="1"/>
  <c r="F129" i="17" s="1"/>
  <c r="D257" i="17"/>
  <c r="E257" i="17" s="1"/>
  <c r="F257" i="17" s="1"/>
  <c r="D204" i="17"/>
  <c r="E204" i="17" s="1"/>
  <c r="F204" i="17" s="1"/>
  <c r="D359" i="17"/>
  <c r="E359" i="17" s="1"/>
  <c r="F359" i="17" s="1"/>
  <c r="D44" i="17"/>
  <c r="E44" i="17" s="1"/>
  <c r="F44" i="17" s="1"/>
  <c r="D96" i="17"/>
  <c r="E96" i="17" s="1"/>
  <c r="F96" i="17" s="1"/>
  <c r="D156" i="17"/>
  <c r="E156" i="17" s="1"/>
  <c r="F156" i="17" s="1"/>
  <c r="D23" i="17"/>
  <c r="E23" i="17" s="1"/>
  <c r="F23" i="17" s="1"/>
  <c r="D63" i="17"/>
  <c r="E63" i="17" s="1"/>
  <c r="F63" i="17" s="1"/>
  <c r="D151" i="17"/>
  <c r="E151" i="17" s="1"/>
  <c r="F151" i="17" s="1"/>
  <c r="D239" i="17"/>
  <c r="E239" i="17" s="1"/>
  <c r="F239" i="17" s="1"/>
  <c r="D166" i="17"/>
  <c r="E166" i="17" s="1"/>
  <c r="F166" i="17" s="1"/>
  <c r="D58" i="17"/>
  <c r="E58" i="17" s="1"/>
  <c r="F58" i="17" s="1"/>
  <c r="D74" i="17"/>
  <c r="E74" i="17" s="1"/>
  <c r="F74" i="17" s="1"/>
  <c r="D122" i="17"/>
  <c r="E122" i="17" s="1"/>
  <c r="F122" i="17" s="1"/>
  <c r="D254" i="17"/>
  <c r="E254" i="17" s="1"/>
  <c r="F254" i="17" s="1"/>
  <c r="D310" i="17"/>
  <c r="E310" i="17" s="1"/>
  <c r="F310" i="17" s="1"/>
  <c r="D346" i="17"/>
  <c r="E346" i="17" s="1"/>
  <c r="F346" i="17" s="1"/>
  <c r="D353" i="17"/>
  <c r="E353" i="17" s="1"/>
  <c r="F353" i="17" s="1"/>
  <c r="D108" i="17"/>
  <c r="E108" i="17" s="1"/>
  <c r="F108" i="17" s="1"/>
  <c r="D177" i="17"/>
  <c r="E177" i="17" s="1"/>
  <c r="F177" i="17" s="1"/>
  <c r="D256" i="17"/>
  <c r="E256" i="17" s="1"/>
  <c r="F256" i="17" s="1"/>
  <c r="D159" i="17"/>
  <c r="E159" i="17" s="1"/>
  <c r="F159" i="17" s="1"/>
  <c r="D170" i="17"/>
  <c r="E170" i="17" s="1"/>
  <c r="F170" i="17" s="1"/>
  <c r="D173" i="17"/>
  <c r="E173" i="17" s="1"/>
  <c r="F173" i="17" s="1"/>
  <c r="D279" i="17"/>
  <c r="E279" i="17" s="1"/>
  <c r="F279" i="17" s="1"/>
  <c r="D237" i="17"/>
  <c r="E237" i="17" s="1"/>
  <c r="F237" i="17" s="1"/>
  <c r="D238" i="17"/>
  <c r="E238" i="17" s="1"/>
  <c r="F238" i="17" s="1"/>
  <c r="D99" i="17"/>
  <c r="E99" i="17" s="1"/>
  <c r="F99" i="17" s="1"/>
  <c r="D20" i="17"/>
  <c r="E20" i="17" s="1"/>
  <c r="F20" i="17" s="1"/>
  <c r="D24" i="17"/>
  <c r="E24" i="17" s="1"/>
  <c r="F24" i="17" s="1"/>
  <c r="D259" i="17"/>
  <c r="E259" i="17" s="1"/>
  <c r="F259" i="17" s="1"/>
  <c r="D188" i="17"/>
  <c r="E188" i="17" s="1"/>
  <c r="F188" i="17" s="1"/>
  <c r="D161" i="17"/>
  <c r="E161" i="17" s="1"/>
  <c r="F161" i="17" s="1"/>
  <c r="D194" i="17"/>
  <c r="E194" i="17" s="1"/>
  <c r="F194" i="17" s="1"/>
  <c r="D253" i="17"/>
  <c r="E253" i="17" s="1"/>
  <c r="F253" i="17" s="1"/>
  <c r="D314" i="17"/>
  <c r="E314" i="17" s="1"/>
  <c r="F314" i="17" s="1"/>
  <c r="D142" i="17"/>
  <c r="E142" i="17" s="1"/>
  <c r="F142" i="17" s="1"/>
  <c r="D62" i="17"/>
  <c r="E62" i="17" s="1"/>
  <c r="F62" i="17" s="1"/>
  <c r="D195" i="17"/>
  <c r="E195" i="17" s="1"/>
  <c r="F195" i="17" s="1"/>
  <c r="D39" i="17"/>
  <c r="E39" i="17" s="1"/>
  <c r="F39" i="17" s="1"/>
  <c r="D148" i="17"/>
  <c r="E148" i="17" s="1"/>
  <c r="F148" i="17" s="1"/>
  <c r="D104" i="17"/>
  <c r="E104" i="17" s="1"/>
  <c r="F104" i="17" s="1"/>
  <c r="D45" i="17"/>
  <c r="E45" i="17" s="1"/>
  <c r="F45" i="17" s="1"/>
  <c r="D123" i="17"/>
  <c r="E123" i="17" s="1"/>
  <c r="F123" i="17" s="1"/>
  <c r="D18" i="17"/>
  <c r="E18" i="17" s="1"/>
  <c r="F18" i="17" s="1"/>
  <c r="D309" i="17"/>
  <c r="E309" i="17" s="1"/>
  <c r="F309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199" i="17"/>
  <c r="E199" i="17" s="1"/>
  <c r="F199" i="17" s="1"/>
  <c r="D193" i="17"/>
  <c r="E193" i="17" s="1"/>
  <c r="F193" i="17" s="1"/>
  <c r="D70" i="17"/>
  <c r="E70" i="17" s="1"/>
  <c r="F70" i="17" s="1"/>
  <c r="D83" i="17"/>
  <c r="E83" i="17" s="1"/>
  <c r="F83" i="17" s="1"/>
  <c r="D117" i="17"/>
  <c r="E117" i="17" s="1"/>
  <c r="F117" i="17" s="1"/>
  <c r="D304" i="17"/>
  <c r="E304" i="17" s="1"/>
  <c r="F304" i="17" s="1"/>
  <c r="D113" i="17"/>
  <c r="E113" i="17" s="1"/>
  <c r="F113" i="17" s="1"/>
  <c r="D302" i="17"/>
  <c r="E302" i="17" s="1"/>
  <c r="F302" i="17" s="1"/>
  <c r="D21" i="17"/>
  <c r="E21" i="17" s="1"/>
  <c r="F21" i="17" s="1"/>
  <c r="D192" i="17"/>
  <c r="E192" i="17" s="1"/>
  <c r="F192" i="17" s="1"/>
  <c r="D103" i="17"/>
  <c r="E103" i="17" s="1"/>
  <c r="F103" i="17" s="1"/>
  <c r="D377" i="17"/>
  <c r="E377" i="17" s="1"/>
  <c r="F377" i="17" s="1"/>
  <c r="D294" i="17"/>
  <c r="E294" i="17" s="1"/>
  <c r="F294" i="17" s="1"/>
  <c r="D371" i="17"/>
  <c r="E371" i="17" s="1"/>
  <c r="F371" i="17" s="1"/>
  <c r="D180" i="17"/>
  <c r="E180" i="17" s="1"/>
  <c r="F180" i="17" s="1"/>
  <c r="D339" i="17"/>
  <c r="E339" i="17" s="1"/>
  <c r="F339" i="17" s="1"/>
  <c r="D19" i="17"/>
  <c r="E19" i="17" s="1"/>
  <c r="F19" i="17" s="1"/>
  <c r="D105" i="17"/>
  <c r="E105" i="17" s="1"/>
  <c r="F105" i="17" s="1"/>
  <c r="D230" i="17"/>
  <c r="E230" i="17" s="1"/>
  <c r="F230" i="17" s="1"/>
  <c r="D124" i="17"/>
  <c r="E124" i="17" s="1"/>
  <c r="F124" i="17" s="1"/>
  <c r="D352" i="17"/>
  <c r="E352" i="17" s="1"/>
  <c r="F352" i="17" s="1"/>
  <c r="D247" i="17"/>
  <c r="E247" i="17" s="1"/>
  <c r="F247" i="17" s="1"/>
  <c r="D379" i="17"/>
  <c r="E379" i="17" s="1"/>
  <c r="F379" i="17" s="1"/>
  <c r="B174" i="18"/>
  <c r="B232" i="18"/>
  <c r="B232" i="20" s="1"/>
  <c r="B132" i="18"/>
  <c r="B76" i="18"/>
  <c r="B76" i="20" s="1"/>
  <c r="B38" i="18"/>
  <c r="B295" i="18"/>
  <c r="B295" i="20" s="1"/>
  <c r="B153" i="18"/>
  <c r="B81" i="18"/>
  <c r="B81" i="20" s="1"/>
  <c r="B100" i="18"/>
  <c r="B62" i="18"/>
  <c r="B62" i="20" s="1"/>
  <c r="B251" i="18"/>
  <c r="B73" i="18"/>
  <c r="B73" i="20" s="1"/>
  <c r="B331" i="18"/>
  <c r="B309" i="18"/>
  <c r="B309" i="20" s="1"/>
  <c r="B235" i="18"/>
  <c r="B332" i="18"/>
  <c r="B332" i="20" s="1"/>
  <c r="B32" i="18"/>
  <c r="B125" i="18"/>
  <c r="B125" i="20" s="1"/>
  <c r="B103" i="18"/>
  <c r="B321" i="18"/>
  <c r="B321" i="20" s="1"/>
  <c r="B229" i="18"/>
  <c r="B157" i="18"/>
  <c r="B157" i="20" s="1"/>
  <c r="B52" i="18"/>
  <c r="B163" i="18"/>
  <c r="B163" i="20" s="1"/>
  <c r="B353" i="18"/>
  <c r="B374" i="18"/>
  <c r="B374" i="20" s="1"/>
  <c r="B152" i="18"/>
  <c r="B98" i="18"/>
  <c r="B98" i="20" s="1"/>
  <c r="B306" i="18"/>
  <c r="B311" i="18"/>
  <c r="B311" i="20" s="1"/>
  <c r="B305" i="18"/>
  <c r="B236" i="18"/>
  <c r="B236" i="20" s="1"/>
  <c r="B299" i="18"/>
  <c r="B310" i="18"/>
  <c r="B310" i="20" s="1"/>
  <c r="B252" i="18"/>
  <c r="B182" i="18"/>
  <c r="B182" i="20" s="1"/>
  <c r="B207" i="18"/>
  <c r="B378" i="18"/>
  <c r="B378" i="20" s="1"/>
  <c r="B204" i="18"/>
  <c r="B289" i="18"/>
  <c r="B289" i="20" s="1"/>
  <c r="B205" i="18"/>
  <c r="B90" i="18"/>
  <c r="B90" i="20" s="1"/>
  <c r="B222" i="18"/>
  <c r="B78" i="18"/>
  <c r="B78" i="20" s="1"/>
  <c r="B64" i="18"/>
  <c r="B137" i="18"/>
  <c r="B137" i="20" s="1"/>
  <c r="B366" i="18"/>
  <c r="B362" i="18"/>
  <c r="B362" i="20" s="1"/>
  <c r="B358" i="18"/>
  <c r="B356" i="18"/>
  <c r="B356" i="20" s="1"/>
  <c r="B342" i="18"/>
  <c r="B340" i="18"/>
  <c r="B340" i="20" s="1"/>
  <c r="B338" i="18"/>
  <c r="B314" i="18"/>
  <c r="B314" i="20" s="1"/>
  <c r="B312" i="18"/>
  <c r="B290" i="18"/>
  <c r="B290" i="20" s="1"/>
  <c r="B286" i="18"/>
  <c r="B264" i="18"/>
  <c r="B264" i="20" s="1"/>
  <c r="B242" i="18"/>
  <c r="B240" i="18"/>
  <c r="B240" i="20" s="1"/>
  <c r="B224" i="18"/>
  <c r="B214" i="18"/>
  <c r="B214" i="20" s="1"/>
  <c r="B212" i="18"/>
  <c r="B206" i="18"/>
  <c r="B206" i="20" s="1"/>
  <c r="B200" i="18"/>
  <c r="B198" i="18"/>
  <c r="B198" i="20" s="1"/>
  <c r="B190" i="18"/>
  <c r="B190" i="20" s="1"/>
  <c r="B186" i="18"/>
  <c r="B168" i="18"/>
  <c r="B162" i="18"/>
  <c r="B162" i="20" s="1"/>
  <c r="B158" i="18"/>
  <c r="B156" i="18"/>
  <c r="B156" i="20" s="1"/>
  <c r="B134" i="18"/>
  <c r="B102" i="18"/>
  <c r="B102" i="20" s="1"/>
  <c r="B82" i="18"/>
  <c r="B72" i="18"/>
  <c r="B72" i="20" s="1"/>
  <c r="B68" i="18"/>
  <c r="B58" i="18"/>
  <c r="B58" i="20" s="1"/>
  <c r="B54" i="18"/>
  <c r="B44" i="18"/>
  <c r="B44" i="20" s="1"/>
  <c r="B40" i="18"/>
  <c r="B36" i="18"/>
  <c r="B36" i="20" s="1"/>
  <c r="B30" i="18"/>
  <c r="B24" i="18"/>
  <c r="B24" i="20" s="1"/>
  <c r="B377" i="18"/>
  <c r="B355" i="18"/>
  <c r="B355" i="20" s="1"/>
  <c r="B351" i="18"/>
  <c r="B345" i="18"/>
  <c r="B345" i="20" s="1"/>
  <c r="B343" i="18"/>
  <c r="B329" i="18"/>
  <c r="B329" i="20" s="1"/>
  <c r="B315" i="18"/>
  <c r="B297" i="18"/>
  <c r="B297" i="20" s="1"/>
  <c r="B279" i="18"/>
  <c r="B243" i="18"/>
  <c r="B243" i="20" s="1"/>
  <c r="B239" i="18"/>
  <c r="B237" i="18"/>
  <c r="B237" i="20" s="1"/>
  <c r="B225" i="18"/>
  <c r="B217" i="18"/>
  <c r="B217" i="20" s="1"/>
  <c r="B213" i="18"/>
  <c r="B199" i="18"/>
  <c r="B199" i="20" s="1"/>
  <c r="B165" i="18"/>
  <c r="B133" i="18"/>
  <c r="B133" i="20" s="1"/>
  <c r="B129" i="18"/>
  <c r="B121" i="18"/>
  <c r="B121" i="20" s="1"/>
  <c r="B117" i="18"/>
  <c r="B115" i="18"/>
  <c r="B115" i="20" s="1"/>
  <c r="B113" i="18"/>
  <c r="B109" i="18"/>
  <c r="B109" i="20" s="1"/>
  <c r="B91" i="18"/>
  <c r="B85" i="18"/>
  <c r="B85" i="20" s="1"/>
  <c r="B57" i="18"/>
  <c r="B51" i="18"/>
  <c r="B51" i="20" s="1"/>
  <c r="B41" i="18"/>
  <c r="B25" i="18"/>
  <c r="B25" i="20" s="1"/>
  <c r="B26" i="18"/>
  <c r="B370" i="18"/>
  <c r="B370" i="20" s="1"/>
  <c r="B364" i="18"/>
  <c r="B360" i="18"/>
  <c r="B360" i="20" s="1"/>
  <c r="B350" i="18"/>
  <c r="B344" i="18"/>
  <c r="B344" i="20" s="1"/>
  <c r="B330" i="18"/>
  <c r="B324" i="18"/>
  <c r="B324" i="20" s="1"/>
  <c r="B322" i="18"/>
  <c r="B304" i="18"/>
  <c r="B304" i="20" s="1"/>
  <c r="B292" i="18"/>
  <c r="B280" i="18"/>
  <c r="B280" i="20" s="1"/>
  <c r="B266" i="18"/>
  <c r="B262" i="18"/>
  <c r="B262" i="20" s="1"/>
  <c r="B256" i="18"/>
  <c r="B238" i="18"/>
  <c r="B238" i="20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B28" i="20" s="1"/>
  <c r="B27" i="18"/>
  <c r="B18" i="18"/>
  <c r="B18" i="20" s="1"/>
  <c r="B20" i="18"/>
  <c r="B288" i="18"/>
  <c r="B288" i="20" s="1"/>
  <c r="B375" i="18"/>
  <c r="B373" i="18"/>
  <c r="B373" i="20" s="1"/>
  <c r="B359" i="18"/>
  <c r="B357" i="18"/>
  <c r="B357" i="20" s="1"/>
  <c r="B337" i="18"/>
  <c r="B325" i="18"/>
  <c r="B325" i="20" s="1"/>
  <c r="B313" i="18"/>
  <c r="B307" i="18"/>
  <c r="B307" i="20" s="1"/>
  <c r="B301" i="18"/>
  <c r="B277" i="18"/>
  <c r="B277" i="20" s="1"/>
  <c r="B269" i="18"/>
  <c r="B267" i="18"/>
  <c r="B267" i="20" s="1"/>
  <c r="B257" i="18"/>
  <c r="B245" i="18"/>
  <c r="B245" i="20" s="1"/>
  <c r="B231" i="18"/>
  <c r="B223" i="18"/>
  <c r="B223" i="20" s="1"/>
  <c r="B211" i="18"/>
  <c r="B203" i="18"/>
  <c r="B203" i="20" s="1"/>
  <c r="B193" i="18"/>
  <c r="B191" i="18"/>
  <c r="B191" i="20" s="1"/>
  <c r="B179" i="18"/>
  <c r="B169" i="18"/>
  <c r="B169" i="20" s="1"/>
  <c r="B151" i="18"/>
  <c r="B143" i="18"/>
  <c r="B143" i="20" s="1"/>
  <c r="B141" i="18"/>
  <c r="B139" i="18"/>
  <c r="B139" i="20" s="1"/>
  <c r="B107" i="18"/>
  <c r="B65" i="18"/>
  <c r="B65" i="20" s="1"/>
  <c r="B59" i="18"/>
  <c r="B53" i="18"/>
  <c r="B53" i="20" s="1"/>
  <c r="B39" i="18"/>
  <c r="B372" i="18"/>
  <c r="B372" i="20" s="1"/>
  <c r="B348" i="18"/>
  <c r="B334" i="18"/>
  <c r="B334" i="20" s="1"/>
  <c r="B326" i="18"/>
  <c r="B300" i="18"/>
  <c r="B300" i="20" s="1"/>
  <c r="B296" i="18"/>
  <c r="B294" i="18"/>
  <c r="B294" i="20" s="1"/>
  <c r="B250" i="18"/>
  <c r="B228" i="18"/>
  <c r="B228" i="20" s="1"/>
  <c r="B218" i="18"/>
  <c r="B192" i="18"/>
  <c r="B192" i="20" s="1"/>
  <c r="B188" i="18"/>
  <c r="B164" i="18"/>
  <c r="B164" i="20" s="1"/>
  <c r="B148" i="18"/>
  <c r="B148" i="20" s="1"/>
  <c r="B148" i="22" s="1"/>
  <c r="B146" i="18"/>
  <c r="B146" i="20" s="1"/>
  <c r="B144" i="18"/>
  <c r="B142" i="18"/>
  <c r="B142" i="20" s="1"/>
  <c r="B126" i="18"/>
  <c r="B120" i="18"/>
  <c r="B120" i="20" s="1"/>
  <c r="B112" i="18"/>
  <c r="B108" i="18"/>
  <c r="B108" i="20" s="1"/>
  <c r="B96" i="18"/>
  <c r="B94" i="18"/>
  <c r="B94" i="20" s="1"/>
  <c r="B86" i="18"/>
  <c r="B80" i="18"/>
  <c r="B80" i="20" s="1"/>
  <c r="B34" i="18"/>
  <c r="B371" i="18"/>
  <c r="B341" i="18"/>
  <c r="B339" i="18"/>
  <c r="B339" i="20" s="1"/>
  <c r="B327" i="18"/>
  <c r="B303" i="18"/>
  <c r="B303" i="20" s="1"/>
  <c r="B293" i="18"/>
  <c r="B291" i="18"/>
  <c r="B291" i="20" s="1"/>
  <c r="B285" i="18"/>
  <c r="B275" i="18"/>
  <c r="B275" i="20" s="1"/>
  <c r="B259" i="18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B131" i="20" s="1"/>
  <c r="B123" i="18"/>
  <c r="B93" i="18"/>
  <c r="B93" i="20" s="1"/>
  <c r="B87" i="18"/>
  <c r="B79" i="18"/>
  <c r="B79" i="20" s="1"/>
  <c r="B71" i="18"/>
  <c r="B69" i="18"/>
  <c r="B69" i="20" s="1"/>
  <c r="B49" i="18"/>
  <c r="B47" i="18"/>
  <c r="B47" i="20" s="1"/>
  <c r="B45" i="18"/>
  <c r="B33" i="18"/>
  <c r="B33" i="20" s="1"/>
  <c r="B31" i="18"/>
  <c r="B23" i="18"/>
  <c r="B21" i="18"/>
  <c r="B258" i="18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B270" i="20" s="1"/>
  <c r="B268" i="18"/>
  <c r="B260" i="18"/>
  <c r="B260" i="20" s="1"/>
  <c r="B254" i="18"/>
  <c r="B246" i="18"/>
  <c r="B246" i="20" s="1"/>
  <c r="B230" i="18"/>
  <c r="B220" i="18"/>
  <c r="B220" i="20" s="1"/>
  <c r="B178" i="18"/>
  <c r="B176" i="18"/>
  <c r="B176" i="20" s="1"/>
  <c r="B170" i="18"/>
  <c r="B140" i="18"/>
  <c r="B140" i="20" s="1"/>
  <c r="B136" i="18"/>
  <c r="B128" i="18"/>
  <c r="B128" i="20" s="1"/>
  <c r="B118" i="18"/>
  <c r="B110" i="18"/>
  <c r="B110" i="20" s="1"/>
  <c r="B106" i="18"/>
  <c r="B104" i="18"/>
  <c r="B104" i="20" s="1"/>
  <c r="B92" i="18"/>
  <c r="B84" i="18"/>
  <c r="B84" i="20" s="1"/>
  <c r="B70" i="18"/>
  <c r="B56" i="18"/>
  <c r="B56" i="20" s="1"/>
  <c r="B50" i="18"/>
  <c r="B42" i="18"/>
  <c r="B42" i="20" s="1"/>
  <c r="B361" i="18"/>
  <c r="B361" i="20" s="1"/>
  <c r="B361" i="22" s="1"/>
  <c r="B323" i="18"/>
  <c r="B323" i="20" s="1"/>
  <c r="B317" i="18"/>
  <c r="B317" i="20" s="1"/>
  <c r="B317" i="22" s="1"/>
  <c r="B281" i="18"/>
  <c r="B281" i="20" s="1"/>
  <c r="B273" i="18"/>
  <c r="B273" i="20" s="1"/>
  <c r="B273" i="22" s="1"/>
  <c r="B271" i="18"/>
  <c r="B271" i="20" s="1"/>
  <c r="B263" i="18"/>
  <c r="B263" i="20" s="1"/>
  <c r="B263" i="22" s="1"/>
  <c r="B255" i="18"/>
  <c r="B255" i="20" s="1"/>
  <c r="B255" i="22" s="1"/>
  <c r="B249" i="18"/>
  <c r="B249" i="20" s="1"/>
  <c r="B247" i="18"/>
  <c r="B247" i="20" s="1"/>
  <c r="B247" i="22" s="1"/>
  <c r="B219" i="18"/>
  <c r="B219" i="20" s="1"/>
  <c r="B197" i="18"/>
  <c r="B197" i="20" s="1"/>
  <c r="B197" i="22" s="1"/>
  <c r="B185" i="18"/>
  <c r="B185" i="20" s="1"/>
  <c r="B183" i="18"/>
  <c r="B183" i="20" s="1"/>
  <c r="B183" i="22" s="1"/>
  <c r="B173" i="18"/>
  <c r="B173" i="20" s="1"/>
  <c r="B167" i="18"/>
  <c r="B167" i="20" s="1"/>
  <c r="B167" i="22" s="1"/>
  <c r="B159" i="18"/>
  <c r="B159" i="20" s="1"/>
  <c r="B155" i="18"/>
  <c r="B155" i="20" s="1"/>
  <c r="B155" i="22" s="1"/>
  <c r="B127" i="18"/>
  <c r="B127" i="20" s="1"/>
  <c r="B101" i="18"/>
  <c r="B101" i="20" s="1"/>
  <c r="B101" i="22" s="1"/>
  <c r="B99" i="18"/>
  <c r="B99" i="20" s="1"/>
  <c r="B97" i="18"/>
  <c r="B97" i="20" s="1"/>
  <c r="B97" i="22" s="1"/>
  <c r="B89" i="18"/>
  <c r="B89" i="20" s="1"/>
  <c r="B83" i="18"/>
  <c r="B83" i="20" s="1"/>
  <c r="B83" i="22" s="1"/>
  <c r="B77" i="18"/>
  <c r="B77" i="20" s="1"/>
  <c r="B63" i="18"/>
  <c r="B63" i="20" s="1"/>
  <c r="B63" i="22" s="1"/>
  <c r="B61" i="18"/>
  <c r="B61" i="20" s="1"/>
  <c r="B55" i="18"/>
  <c r="B55" i="20" s="1"/>
  <c r="B55" i="22" s="1"/>
  <c r="B37" i="18"/>
  <c r="B37" i="20" s="1"/>
  <c r="B88" i="18"/>
  <c r="B88" i="20" s="1"/>
  <c r="B88" i="22" s="1"/>
  <c r="B265" i="18"/>
  <c r="B265" i="20" s="1"/>
  <c r="B287" i="18"/>
  <c r="B287" i="20" s="1"/>
  <c r="B287" i="22" s="1"/>
  <c r="B130" i="18"/>
  <c r="B130" i="20" s="1"/>
  <c r="B19" i="18"/>
  <c r="B19" i="20" s="1"/>
  <c r="B19" i="22" s="1"/>
  <c r="B161" i="18"/>
  <c r="B161" i="20" s="1"/>
  <c r="B175" i="18"/>
  <c r="B253" i="18"/>
  <c r="B253" i="20" s="1"/>
  <c r="B116" i="18"/>
  <c r="B116" i="20" s="1"/>
  <c r="B116" i="22" s="1"/>
  <c r="B244" i="18"/>
  <c r="B244" i="20" s="1"/>
  <c r="B284" i="18"/>
  <c r="B284" i="20" s="1"/>
  <c r="B284" i="22" s="1"/>
  <c r="B369" i="18"/>
  <c r="B369" i="20" s="1"/>
  <c r="B241" i="18"/>
  <c r="B241" i="20" s="1"/>
  <c r="B241" i="22" s="1"/>
  <c r="B210" i="18"/>
  <c r="B210" i="20" s="1"/>
  <c r="B302" i="18"/>
  <c r="B302" i="20" s="1"/>
  <c r="B302" i="22" s="1"/>
  <c r="B189" i="18"/>
  <c r="B189" i="20" s="1"/>
  <c r="B189" i="22" s="1"/>
  <c r="B347" i="18"/>
  <c r="B347" i="20" s="1"/>
  <c r="B367" i="18"/>
  <c r="B367" i="20" s="1"/>
  <c r="B367" i="22" s="1"/>
  <c r="B114" i="18"/>
  <c r="B114" i="20" s="1"/>
  <c r="B154" i="18"/>
  <c r="B154" i="20" s="1"/>
  <c r="B154" i="22" s="1"/>
  <c r="B376" i="18"/>
  <c r="B376" i="20" s="1"/>
  <c r="B335" i="18"/>
  <c r="B335" i="20" s="1"/>
  <c r="B335" i="22" s="1"/>
  <c r="B66" i="18"/>
  <c r="B66" i="20" s="1"/>
  <c r="B194" i="18"/>
  <c r="B194" i="20" s="1"/>
  <c r="B194" i="22" s="1"/>
  <c r="B368" i="18"/>
  <c r="B368" i="20" s="1"/>
  <c r="B135" i="18"/>
  <c r="B135" i="20" s="1"/>
  <c r="B135" i="22" s="1"/>
  <c r="B272" i="18"/>
  <c r="B272" i="20" s="1"/>
  <c r="B272" i="22" s="1"/>
  <c r="B95" i="18"/>
  <c r="B95" i="20" s="1"/>
  <c r="B171" i="18"/>
  <c r="B171" i="20" s="1"/>
  <c r="B171" i="22" s="1"/>
  <c r="B278" i="18"/>
  <c r="B278" i="20" s="1"/>
  <c r="B346" i="18"/>
  <c r="B346" i="20" s="1"/>
  <c r="B346" i="22" s="1"/>
  <c r="B43" i="18"/>
  <c r="B43" i="20" s="1"/>
  <c r="B75" i="18"/>
  <c r="B75" i="20" s="1"/>
  <c r="B75" i="22" s="1"/>
  <c r="B111" i="18"/>
  <c r="B111" i="20" s="1"/>
  <c r="B283" i="18"/>
  <c r="B283" i="20" s="1"/>
  <c r="B283" i="22" s="1"/>
  <c r="B216" i="18"/>
  <c r="B216" i="20" s="1"/>
  <c r="B261" i="18"/>
  <c r="B261" i="20" s="1"/>
  <c r="B261" i="22" s="1"/>
  <c r="B17" i="18"/>
  <c r="B17" i="20" s="1"/>
  <c r="B248" i="18"/>
  <c r="B248" i="20" s="1"/>
  <c r="B248" i="22" s="1"/>
  <c r="B354" i="18"/>
  <c r="B354" i="20" s="1"/>
  <c r="B74" i="18"/>
  <c r="B74" i="20" s="1"/>
  <c r="B74" i="22" s="1"/>
  <c r="B319" i="18"/>
  <c r="B319" i="20" s="1"/>
  <c r="B22" i="20"/>
  <c r="B22" i="22" s="1"/>
  <c r="B227" i="18"/>
  <c r="B227" i="20" s="1"/>
  <c r="B349" i="18"/>
  <c r="B349" i="20" s="1"/>
  <c r="B349" i="22" s="1"/>
  <c r="B166" i="18"/>
  <c r="B166" i="20" s="1"/>
  <c r="B46" i="18"/>
  <c r="B46" i="20" s="1"/>
  <c r="B46" i="22" s="1"/>
  <c r="B35" i="18"/>
  <c r="B35" i="20" s="1"/>
  <c r="B67" i="18"/>
  <c r="B67" i="20" s="1"/>
  <c r="B67" i="22" s="1"/>
  <c r="B177" i="18"/>
  <c r="B177" i="20" s="1"/>
  <c r="B208" i="18"/>
  <c r="B208" i="20" s="1"/>
  <c r="B226" i="18"/>
  <c r="B226" i="20" s="1"/>
  <c r="B226" i="22" s="1"/>
  <c r="B298" i="18"/>
  <c r="B298" i="20" s="1"/>
  <c r="B187" i="18"/>
  <c r="B187" i="20" s="1"/>
  <c r="B187" i="22" s="1"/>
  <c r="B16" i="18"/>
  <c r="B16" i="20" s="1"/>
  <c r="B150" i="18"/>
  <c r="B150" i="20" s="1"/>
  <c r="B150" i="22" s="1"/>
  <c r="B316" i="18"/>
  <c r="B316" i="20" s="1"/>
  <c r="B365" i="18"/>
  <c r="B365" i="20" s="1"/>
  <c r="B365" i="22" s="1"/>
  <c r="B105" i="18"/>
  <c r="B105" i="20" s="1"/>
  <c r="B29" i="18"/>
  <c r="B29" i="20" s="1"/>
  <c r="B29" i="22" s="1"/>
  <c r="B149" i="18"/>
  <c r="B149" i="20" s="1"/>
  <c r="B60" i="18"/>
  <c r="B60" i="20" s="1"/>
  <c r="B60" i="22" s="1"/>
  <c r="B119" i="18"/>
  <c r="B119" i="20" s="1"/>
  <c r="B333" i="18"/>
  <c r="B333" i="20" s="1"/>
  <c r="B180" i="18"/>
  <c r="B180" i="20" s="1"/>
  <c r="B180" i="22" s="1"/>
  <c r="B196" i="18"/>
  <c r="B363" i="18"/>
  <c r="B363" i="20" s="1"/>
  <c r="B379" i="18"/>
  <c r="B15" i="18"/>
  <c r="D15" i="17"/>
  <c r="AJ7" i="17" s="1"/>
  <c r="V382" i="25" l="1"/>
  <c r="V383" i="25"/>
  <c r="B58" i="19"/>
  <c r="B57" i="19"/>
  <c r="N70" i="19"/>
  <c r="B59" i="19"/>
  <c r="D15" i="18"/>
  <c r="AJ5" i="18"/>
  <c r="B14" i="19"/>
  <c r="B15" i="20"/>
  <c r="E15" i="18"/>
  <c r="D119" i="20"/>
  <c r="E119" i="20" s="1"/>
  <c r="F119" i="20" s="1"/>
  <c r="W119" i="20"/>
  <c r="B119" i="22"/>
  <c r="W29" i="22"/>
  <c r="D29" i="22"/>
  <c r="E29" i="22" s="1"/>
  <c r="F29" i="22" s="1"/>
  <c r="B29" i="23"/>
  <c r="W105" i="20"/>
  <c r="D105" i="20"/>
  <c r="E105" i="20" s="1"/>
  <c r="F105" i="20" s="1"/>
  <c r="B105" i="22"/>
  <c r="W150" i="22"/>
  <c r="D150" i="22"/>
  <c r="E150" i="22" s="1"/>
  <c r="F150" i="22" s="1"/>
  <c r="B150" i="23"/>
  <c r="W16" i="20"/>
  <c r="D16" i="20"/>
  <c r="E16" i="20" s="1"/>
  <c r="F16" i="20" s="1"/>
  <c r="B16" i="22"/>
  <c r="W226" i="22"/>
  <c r="D226" i="22"/>
  <c r="E226" i="22" s="1"/>
  <c r="F226" i="22" s="1"/>
  <c r="B226" i="23"/>
  <c r="W208" i="20"/>
  <c r="D208" i="20"/>
  <c r="E208" i="20" s="1"/>
  <c r="F208" i="20" s="1"/>
  <c r="B208" i="22"/>
  <c r="W67" i="22"/>
  <c r="D67" i="22"/>
  <c r="E67" i="22" s="1"/>
  <c r="F67" i="22" s="1"/>
  <c r="B67" i="23"/>
  <c r="W35" i="20"/>
  <c r="D35" i="20"/>
  <c r="E35" i="20" s="1"/>
  <c r="F35" i="20" s="1"/>
  <c r="B35" i="22"/>
  <c r="W349" i="22"/>
  <c r="D349" i="22"/>
  <c r="E349" i="22" s="1"/>
  <c r="F349" i="22" s="1"/>
  <c r="B349" i="23"/>
  <c r="W227" i="20"/>
  <c r="D227" i="20"/>
  <c r="E227" i="20" s="1"/>
  <c r="F227" i="20" s="1"/>
  <c r="B227" i="22"/>
  <c r="W74" i="22"/>
  <c r="D74" i="22"/>
  <c r="E74" i="22" s="1"/>
  <c r="F74" i="22" s="1"/>
  <c r="B74" i="23"/>
  <c r="W354" i="20"/>
  <c r="D354" i="20"/>
  <c r="E354" i="20" s="1"/>
  <c r="F354" i="20" s="1"/>
  <c r="B354" i="22"/>
  <c r="W261" i="22"/>
  <c r="D261" i="22"/>
  <c r="E261" i="22" s="1"/>
  <c r="F261" i="22" s="1"/>
  <c r="B261" i="23"/>
  <c r="W216" i="20"/>
  <c r="D216" i="20"/>
  <c r="E216" i="20" s="1"/>
  <c r="F216" i="20" s="1"/>
  <c r="B216" i="22"/>
  <c r="W75" i="22"/>
  <c r="D75" i="22"/>
  <c r="E75" i="22" s="1"/>
  <c r="F75" i="22" s="1"/>
  <c r="B75" i="23"/>
  <c r="W43" i="20"/>
  <c r="D43" i="20"/>
  <c r="E43" i="20" s="1"/>
  <c r="F43" i="20" s="1"/>
  <c r="B43" i="22"/>
  <c r="W171" i="22"/>
  <c r="D171" i="22"/>
  <c r="E171" i="22" s="1"/>
  <c r="F171" i="22" s="1"/>
  <c r="B171" i="23"/>
  <c r="W95" i="20"/>
  <c r="D95" i="20"/>
  <c r="E95" i="20" s="1"/>
  <c r="F95" i="20" s="1"/>
  <c r="B95" i="22"/>
  <c r="W194" i="22"/>
  <c r="D194" i="22"/>
  <c r="E194" i="22" s="1"/>
  <c r="F194" i="22" s="1"/>
  <c r="B194" i="23"/>
  <c r="W66" i="20"/>
  <c r="D66" i="20"/>
  <c r="E66" i="20" s="1"/>
  <c r="F66" i="20" s="1"/>
  <c r="B66" i="22"/>
  <c r="W154" i="22"/>
  <c r="D154" i="22"/>
  <c r="E154" i="22" s="1"/>
  <c r="F154" i="22" s="1"/>
  <c r="B154" i="23"/>
  <c r="W114" i="20"/>
  <c r="D114" i="20"/>
  <c r="E114" i="20" s="1"/>
  <c r="F114" i="20" s="1"/>
  <c r="B114" i="22"/>
  <c r="W189" i="22"/>
  <c r="D189" i="22"/>
  <c r="E189" i="22" s="1"/>
  <c r="F189" i="22" s="1"/>
  <c r="B189" i="23"/>
  <c r="W302" i="22"/>
  <c r="D302" i="22"/>
  <c r="E302" i="22" s="1"/>
  <c r="F302" i="22" s="1"/>
  <c r="B302" i="23"/>
  <c r="W210" i="20"/>
  <c r="D210" i="20"/>
  <c r="E210" i="20" s="1"/>
  <c r="F210" i="20" s="1"/>
  <c r="B210" i="22"/>
  <c r="W284" i="22"/>
  <c r="D284" i="22"/>
  <c r="E284" i="22" s="1"/>
  <c r="F284" i="22" s="1"/>
  <c r="B284" i="23"/>
  <c r="W244" i="20"/>
  <c r="D244" i="20"/>
  <c r="E244" i="20" s="1"/>
  <c r="F244" i="20" s="1"/>
  <c r="B244" i="22"/>
  <c r="W19" i="22"/>
  <c r="D19" i="22"/>
  <c r="E19" i="22" s="1"/>
  <c r="F19" i="22" s="1"/>
  <c r="B19" i="23"/>
  <c r="W130" i="20"/>
  <c r="D130" i="20"/>
  <c r="E130" i="20" s="1"/>
  <c r="F130" i="20" s="1"/>
  <c r="B130" i="22"/>
  <c r="W88" i="22"/>
  <c r="D88" i="22"/>
  <c r="E88" i="22" s="1"/>
  <c r="F88" i="22" s="1"/>
  <c r="B88" i="23"/>
  <c r="W37" i="20"/>
  <c r="D37" i="20"/>
  <c r="E37" i="20" s="1"/>
  <c r="F37" i="20" s="1"/>
  <c r="B37" i="22"/>
  <c r="W63" i="22"/>
  <c r="D63" i="22"/>
  <c r="E63" i="22" s="1"/>
  <c r="F63" i="22" s="1"/>
  <c r="B63" i="23"/>
  <c r="W77" i="20"/>
  <c r="D77" i="20"/>
  <c r="E77" i="20" s="1"/>
  <c r="F77" i="20" s="1"/>
  <c r="B77" i="22"/>
  <c r="W97" i="22"/>
  <c r="D97" i="22"/>
  <c r="E97" i="22" s="1"/>
  <c r="F97" i="22" s="1"/>
  <c r="B97" i="23"/>
  <c r="W99" i="20"/>
  <c r="D99" i="20"/>
  <c r="E99" i="20" s="1"/>
  <c r="F99" i="20" s="1"/>
  <c r="B99" i="22"/>
  <c r="W155" i="22"/>
  <c r="D155" i="22"/>
  <c r="E155" i="22" s="1"/>
  <c r="F155" i="22" s="1"/>
  <c r="B155" i="23"/>
  <c r="W159" i="20"/>
  <c r="D159" i="20"/>
  <c r="E159" i="20" s="1"/>
  <c r="F159" i="20" s="1"/>
  <c r="B159" i="22"/>
  <c r="W183" i="22"/>
  <c r="D183" i="22"/>
  <c r="E183" i="22" s="1"/>
  <c r="F183" i="22" s="1"/>
  <c r="B183" i="23"/>
  <c r="W185" i="20"/>
  <c r="D185" i="20"/>
  <c r="E185" i="20" s="1"/>
  <c r="F185" i="20" s="1"/>
  <c r="B185" i="22"/>
  <c r="W247" i="22"/>
  <c r="D247" i="22"/>
  <c r="E247" i="22" s="1"/>
  <c r="F247" i="22" s="1"/>
  <c r="B247" i="23"/>
  <c r="W249" i="20"/>
  <c r="D249" i="20"/>
  <c r="E249" i="20" s="1"/>
  <c r="F249" i="20" s="1"/>
  <c r="B249" i="22"/>
  <c r="W273" i="22"/>
  <c r="D273" i="22"/>
  <c r="E273" i="22" s="1"/>
  <c r="F273" i="22" s="1"/>
  <c r="B273" i="23"/>
  <c r="W281" i="20"/>
  <c r="D281" i="20"/>
  <c r="E281" i="20" s="1"/>
  <c r="F281" i="20" s="1"/>
  <c r="B281" i="22"/>
  <c r="W361" i="22"/>
  <c r="D361" i="22"/>
  <c r="E361" i="22" s="1"/>
  <c r="F361" i="22" s="1"/>
  <c r="B361" i="23"/>
  <c r="W148" i="22"/>
  <c r="D148" i="22"/>
  <c r="E148" i="22" s="1"/>
  <c r="F148" i="22" s="1"/>
  <c r="B148" i="23"/>
  <c r="W164" i="20"/>
  <c r="D164" i="20"/>
  <c r="E164" i="20" s="1"/>
  <c r="F164" i="20" s="1"/>
  <c r="B164" i="22"/>
  <c r="W192" i="20"/>
  <c r="D192" i="20"/>
  <c r="E192" i="20" s="1"/>
  <c r="F192" i="20" s="1"/>
  <c r="B192" i="22"/>
  <c r="W228" i="20"/>
  <c r="D228" i="20"/>
  <c r="E228" i="20" s="1"/>
  <c r="F228" i="20" s="1"/>
  <c r="B228" i="22"/>
  <c r="W294" i="20"/>
  <c r="D294" i="20"/>
  <c r="E294" i="20" s="1"/>
  <c r="F294" i="20" s="1"/>
  <c r="B294" i="22"/>
  <c r="W300" i="20"/>
  <c r="D300" i="20"/>
  <c r="E300" i="20" s="1"/>
  <c r="F300" i="20" s="1"/>
  <c r="B300" i="22"/>
  <c r="W334" i="20"/>
  <c r="D334" i="20"/>
  <c r="E334" i="20" s="1"/>
  <c r="F334" i="20" s="1"/>
  <c r="B334" i="22"/>
  <c r="W363" i="20"/>
  <c r="D363" i="20"/>
  <c r="E363" i="20" s="1"/>
  <c r="F363" i="20" s="1"/>
  <c r="B363" i="22"/>
  <c r="D180" i="22"/>
  <c r="E180" i="22" s="1"/>
  <c r="F180" i="22" s="1"/>
  <c r="W180" i="22"/>
  <c r="B180" i="23"/>
  <c r="W333" i="20"/>
  <c r="D333" i="20"/>
  <c r="E333" i="20" s="1"/>
  <c r="F333" i="20" s="1"/>
  <c r="B333" i="22"/>
  <c r="W60" i="22"/>
  <c r="D60" i="22"/>
  <c r="E60" i="22" s="1"/>
  <c r="F60" i="22" s="1"/>
  <c r="B60" i="23"/>
  <c r="W149" i="20"/>
  <c r="D149" i="20"/>
  <c r="E149" i="20" s="1"/>
  <c r="F149" i="20" s="1"/>
  <c r="B149" i="22"/>
  <c r="W365" i="22"/>
  <c r="D365" i="22"/>
  <c r="E365" i="22" s="1"/>
  <c r="F365" i="22" s="1"/>
  <c r="B365" i="23"/>
  <c r="W316" i="20"/>
  <c r="D316" i="20"/>
  <c r="E316" i="20" s="1"/>
  <c r="F316" i="20" s="1"/>
  <c r="B316" i="22"/>
  <c r="W187" i="22"/>
  <c r="D187" i="22"/>
  <c r="E187" i="22" s="1"/>
  <c r="F187" i="22" s="1"/>
  <c r="B187" i="23"/>
  <c r="W298" i="20"/>
  <c r="D298" i="20"/>
  <c r="E298" i="20" s="1"/>
  <c r="F298" i="20" s="1"/>
  <c r="B298" i="22"/>
  <c r="W177" i="20"/>
  <c r="D177" i="20"/>
  <c r="E177" i="20" s="1"/>
  <c r="F177" i="20" s="1"/>
  <c r="B177" i="22"/>
  <c r="W46" i="22"/>
  <c r="D46" i="22"/>
  <c r="E46" i="22" s="1"/>
  <c r="F46" i="22" s="1"/>
  <c r="B46" i="23"/>
  <c r="W166" i="20"/>
  <c r="D166" i="20"/>
  <c r="E166" i="20" s="1"/>
  <c r="F166" i="20" s="1"/>
  <c r="B166" i="22"/>
  <c r="W22" i="22"/>
  <c r="D22" i="22"/>
  <c r="E22" i="22" s="1"/>
  <c r="F22" i="22" s="1"/>
  <c r="B22" i="23"/>
  <c r="W319" i="20"/>
  <c r="D319" i="20"/>
  <c r="E319" i="20" s="1"/>
  <c r="F319" i="20" s="1"/>
  <c r="B319" i="22"/>
  <c r="W248" i="22"/>
  <c r="D248" i="22"/>
  <c r="E248" i="22" s="1"/>
  <c r="F248" i="22" s="1"/>
  <c r="B248" i="23"/>
  <c r="W17" i="20"/>
  <c r="D17" i="20"/>
  <c r="E17" i="20" s="1"/>
  <c r="F17" i="20" s="1"/>
  <c r="B17" i="22"/>
  <c r="W283" i="22"/>
  <c r="D283" i="22"/>
  <c r="E283" i="22" s="1"/>
  <c r="F283" i="22" s="1"/>
  <c r="B283" i="23"/>
  <c r="W111" i="20"/>
  <c r="D111" i="20"/>
  <c r="E111" i="20" s="1"/>
  <c r="F111" i="20" s="1"/>
  <c r="B111" i="22"/>
  <c r="W346" i="22"/>
  <c r="D346" i="22"/>
  <c r="E346" i="22" s="1"/>
  <c r="F346" i="22" s="1"/>
  <c r="B346" i="23"/>
  <c r="W278" i="20"/>
  <c r="D278" i="20"/>
  <c r="E278" i="20" s="1"/>
  <c r="F278" i="20" s="1"/>
  <c r="B278" i="22"/>
  <c r="W272" i="22"/>
  <c r="D272" i="22"/>
  <c r="E272" i="22" s="1"/>
  <c r="F272" i="22" s="1"/>
  <c r="B272" i="23"/>
  <c r="W135" i="22"/>
  <c r="D135" i="22"/>
  <c r="E135" i="22" s="1"/>
  <c r="F135" i="22" s="1"/>
  <c r="B135" i="23"/>
  <c r="W368" i="20"/>
  <c r="D368" i="20"/>
  <c r="E368" i="20" s="1"/>
  <c r="F368" i="20" s="1"/>
  <c r="B368" i="22"/>
  <c r="W335" i="22"/>
  <c r="D335" i="22"/>
  <c r="E335" i="22" s="1"/>
  <c r="F335" i="22" s="1"/>
  <c r="B335" i="23"/>
  <c r="W376" i="20"/>
  <c r="D376" i="20"/>
  <c r="E376" i="20" s="1"/>
  <c r="F376" i="20" s="1"/>
  <c r="B376" i="22"/>
  <c r="W367" i="22"/>
  <c r="D367" i="22"/>
  <c r="E367" i="22" s="1"/>
  <c r="F367" i="22" s="1"/>
  <c r="B367" i="23"/>
  <c r="W347" i="20"/>
  <c r="D347" i="20"/>
  <c r="E347" i="20" s="1"/>
  <c r="F347" i="20" s="1"/>
  <c r="B347" i="22"/>
  <c r="W241" i="22"/>
  <c r="D241" i="22"/>
  <c r="E241" i="22" s="1"/>
  <c r="F241" i="22" s="1"/>
  <c r="B241" i="23"/>
  <c r="W369" i="20"/>
  <c r="D369" i="20"/>
  <c r="E369" i="20" s="1"/>
  <c r="F369" i="20" s="1"/>
  <c r="B369" i="22"/>
  <c r="D116" i="22"/>
  <c r="E116" i="22" s="1"/>
  <c r="F116" i="22" s="1"/>
  <c r="W116" i="22"/>
  <c r="B116" i="23"/>
  <c r="W253" i="20"/>
  <c r="D253" i="20"/>
  <c r="E253" i="20" s="1"/>
  <c r="F253" i="20" s="1"/>
  <c r="B253" i="22"/>
  <c r="W161" i="20"/>
  <c r="D161" i="20"/>
  <c r="E161" i="20" s="1"/>
  <c r="F161" i="20" s="1"/>
  <c r="B161" i="22"/>
  <c r="W287" i="22"/>
  <c r="D287" i="22"/>
  <c r="E287" i="22" s="1"/>
  <c r="F287" i="22" s="1"/>
  <c r="B287" i="23"/>
  <c r="W265" i="20"/>
  <c r="D265" i="20"/>
  <c r="E265" i="20" s="1"/>
  <c r="F265" i="20" s="1"/>
  <c r="B265" i="22"/>
  <c r="W55" i="22"/>
  <c r="D55" i="22"/>
  <c r="E55" i="22" s="1"/>
  <c r="F55" i="22" s="1"/>
  <c r="B55" i="23"/>
  <c r="W61" i="20"/>
  <c r="D61" i="20"/>
  <c r="E61" i="20" s="1"/>
  <c r="F61" i="20" s="1"/>
  <c r="B61" i="22"/>
  <c r="W83" i="22"/>
  <c r="D83" i="22"/>
  <c r="E83" i="22" s="1"/>
  <c r="F83" i="22" s="1"/>
  <c r="B83" i="23"/>
  <c r="W89" i="20"/>
  <c r="D89" i="20"/>
  <c r="E89" i="20" s="1"/>
  <c r="F89" i="20" s="1"/>
  <c r="B89" i="22"/>
  <c r="W101" i="22"/>
  <c r="D101" i="22"/>
  <c r="E101" i="22" s="1"/>
  <c r="F101" i="22" s="1"/>
  <c r="B101" i="23"/>
  <c r="W127" i="20"/>
  <c r="D127" i="20"/>
  <c r="E127" i="20" s="1"/>
  <c r="F127" i="20" s="1"/>
  <c r="B127" i="22"/>
  <c r="W167" i="22"/>
  <c r="D167" i="22"/>
  <c r="E167" i="22" s="1"/>
  <c r="F167" i="22" s="1"/>
  <c r="B167" i="23"/>
  <c r="W173" i="20"/>
  <c r="D173" i="20"/>
  <c r="E173" i="20" s="1"/>
  <c r="F173" i="20" s="1"/>
  <c r="B173" i="22"/>
  <c r="W197" i="22"/>
  <c r="D197" i="22"/>
  <c r="E197" i="22" s="1"/>
  <c r="F197" i="22" s="1"/>
  <c r="B197" i="23"/>
  <c r="W219" i="20"/>
  <c r="D219" i="20"/>
  <c r="E219" i="20" s="1"/>
  <c r="F219" i="20" s="1"/>
  <c r="B219" i="22"/>
  <c r="W255" i="22"/>
  <c r="D255" i="22"/>
  <c r="E255" i="22" s="1"/>
  <c r="F255" i="22" s="1"/>
  <c r="B255" i="23"/>
  <c r="W263" i="22"/>
  <c r="D263" i="22"/>
  <c r="E263" i="22" s="1"/>
  <c r="F263" i="22" s="1"/>
  <c r="B263" i="23"/>
  <c r="W271" i="20"/>
  <c r="D271" i="20"/>
  <c r="E271" i="20" s="1"/>
  <c r="F271" i="20" s="1"/>
  <c r="B271" i="22"/>
  <c r="W317" i="22"/>
  <c r="D317" i="22"/>
  <c r="E317" i="22" s="1"/>
  <c r="F317" i="22" s="1"/>
  <c r="B317" i="23"/>
  <c r="W323" i="20"/>
  <c r="D323" i="20"/>
  <c r="E323" i="20" s="1"/>
  <c r="F323" i="20" s="1"/>
  <c r="B323" i="22"/>
  <c r="W108" i="20"/>
  <c r="D108" i="20"/>
  <c r="E108" i="20" s="1"/>
  <c r="F108" i="20" s="1"/>
  <c r="B108" i="22"/>
  <c r="W120" i="20"/>
  <c r="D120" i="20"/>
  <c r="E120" i="20" s="1"/>
  <c r="F120" i="20" s="1"/>
  <c r="B120" i="22"/>
  <c r="W142" i="20"/>
  <c r="D142" i="20"/>
  <c r="E142" i="20" s="1"/>
  <c r="F142" i="20" s="1"/>
  <c r="B142" i="22"/>
  <c r="W146" i="20"/>
  <c r="D146" i="20"/>
  <c r="E146" i="20" s="1"/>
  <c r="F146" i="20" s="1"/>
  <c r="B146" i="22"/>
  <c r="D381" i="17"/>
  <c r="D382" i="17"/>
  <c r="D383" i="17"/>
  <c r="D9" i="17"/>
  <c r="D11" i="17" s="1"/>
  <c r="E38" i="19" s="1"/>
  <c r="AJ8" i="17"/>
  <c r="W15" i="20"/>
  <c r="W379" i="18"/>
  <c r="D379" i="18"/>
  <c r="E379" i="18" s="1"/>
  <c r="F379" i="18" s="1"/>
  <c r="W196" i="18"/>
  <c r="D196" i="18"/>
  <c r="E196" i="18" s="1"/>
  <c r="F196" i="18" s="1"/>
  <c r="W180" i="18"/>
  <c r="D180" i="18"/>
  <c r="E180" i="18" s="1"/>
  <c r="F180" i="18" s="1"/>
  <c r="W60" i="18"/>
  <c r="D60" i="18"/>
  <c r="E60" i="18" s="1"/>
  <c r="F60" i="18" s="1"/>
  <c r="W29" i="18"/>
  <c r="D29" i="18"/>
  <c r="E29" i="18" s="1"/>
  <c r="F29" i="18" s="1"/>
  <c r="W365" i="18"/>
  <c r="D365" i="18"/>
  <c r="E365" i="18" s="1"/>
  <c r="F365" i="18" s="1"/>
  <c r="W150" i="18"/>
  <c r="D150" i="18"/>
  <c r="E150" i="18" s="1"/>
  <c r="F150" i="18" s="1"/>
  <c r="W187" i="18"/>
  <c r="D187" i="18"/>
  <c r="E187" i="18" s="1"/>
  <c r="F187" i="18" s="1"/>
  <c r="W226" i="18"/>
  <c r="D226" i="18"/>
  <c r="E226" i="18" s="1"/>
  <c r="F226" i="18" s="1"/>
  <c r="W67" i="18"/>
  <c r="D67" i="18"/>
  <c r="E67" i="18" s="1"/>
  <c r="F67" i="18" s="1"/>
  <c r="W46" i="18"/>
  <c r="D46" i="18"/>
  <c r="E46" i="18" s="1"/>
  <c r="F46" i="18" s="1"/>
  <c r="W349" i="18"/>
  <c r="D349" i="18"/>
  <c r="E349" i="18" s="1"/>
  <c r="F349" i="18" s="1"/>
  <c r="W22" i="18"/>
  <c r="D22" i="18"/>
  <c r="E22" i="18" s="1"/>
  <c r="F22" i="18" s="1"/>
  <c r="W74" i="18"/>
  <c r="D74" i="18"/>
  <c r="E74" i="18" s="1"/>
  <c r="F74" i="18" s="1"/>
  <c r="W248" i="18"/>
  <c r="D248" i="18"/>
  <c r="E248" i="18" s="1"/>
  <c r="F248" i="18" s="1"/>
  <c r="W261" i="18"/>
  <c r="D261" i="18"/>
  <c r="E261" i="18" s="1"/>
  <c r="F261" i="18" s="1"/>
  <c r="W283" i="18"/>
  <c r="D283" i="18"/>
  <c r="E283" i="18" s="1"/>
  <c r="F283" i="18" s="1"/>
  <c r="W75" i="18"/>
  <c r="D75" i="18"/>
  <c r="E75" i="18" s="1"/>
  <c r="F75" i="18" s="1"/>
  <c r="W346" i="18"/>
  <c r="D346" i="18"/>
  <c r="E346" i="18" s="1"/>
  <c r="F346" i="18" s="1"/>
  <c r="W171" i="18"/>
  <c r="D171" i="18"/>
  <c r="E171" i="18" s="1"/>
  <c r="F171" i="18" s="1"/>
  <c r="W272" i="18"/>
  <c r="D272" i="18"/>
  <c r="E272" i="18" s="1"/>
  <c r="F272" i="18" s="1"/>
  <c r="W135" i="18"/>
  <c r="D135" i="18"/>
  <c r="E135" i="18" s="1"/>
  <c r="F135" i="18" s="1"/>
  <c r="W194" i="18"/>
  <c r="D194" i="18"/>
  <c r="E194" i="18" s="1"/>
  <c r="F194" i="18" s="1"/>
  <c r="W335" i="18"/>
  <c r="D335" i="18"/>
  <c r="E335" i="18" s="1"/>
  <c r="F335" i="18" s="1"/>
  <c r="W154" i="18"/>
  <c r="D154" i="18"/>
  <c r="E154" i="18" s="1"/>
  <c r="F154" i="18" s="1"/>
  <c r="W367" i="18"/>
  <c r="D367" i="18"/>
  <c r="E367" i="18" s="1"/>
  <c r="F367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284" i="18"/>
  <c r="D284" i="18"/>
  <c r="E284" i="18" s="1"/>
  <c r="F284" i="18" s="1"/>
  <c r="W116" i="18"/>
  <c r="D116" i="18"/>
  <c r="E116" i="18" s="1"/>
  <c r="F116" i="18" s="1"/>
  <c r="W175" i="18"/>
  <c r="D175" i="18"/>
  <c r="E175" i="18" s="1"/>
  <c r="F175" i="18" s="1"/>
  <c r="W19" i="18"/>
  <c r="D19" i="18"/>
  <c r="E19" i="18" s="1"/>
  <c r="F19" i="18" s="1"/>
  <c r="W287" i="18"/>
  <c r="D287" i="18"/>
  <c r="E287" i="18" s="1"/>
  <c r="F287" i="18" s="1"/>
  <c r="W88" i="18"/>
  <c r="D88" i="18"/>
  <c r="E88" i="18" s="1"/>
  <c r="F88" i="18" s="1"/>
  <c r="W55" i="18"/>
  <c r="D55" i="18"/>
  <c r="E55" i="18" s="1"/>
  <c r="F55" i="18" s="1"/>
  <c r="W63" i="18"/>
  <c r="D63" i="18"/>
  <c r="E63" i="18" s="1"/>
  <c r="F63" i="18" s="1"/>
  <c r="W83" i="18"/>
  <c r="D83" i="18"/>
  <c r="E83" i="18" s="1"/>
  <c r="F83" i="18" s="1"/>
  <c r="W97" i="18"/>
  <c r="D97" i="18"/>
  <c r="E97" i="18" s="1"/>
  <c r="F97" i="18" s="1"/>
  <c r="W101" i="18"/>
  <c r="D101" i="18"/>
  <c r="E101" i="18" s="1"/>
  <c r="F101" i="18" s="1"/>
  <c r="W155" i="18"/>
  <c r="D155" i="18"/>
  <c r="E155" i="18" s="1"/>
  <c r="F155" i="18" s="1"/>
  <c r="W167" i="18"/>
  <c r="D167" i="18"/>
  <c r="E167" i="18" s="1"/>
  <c r="F167" i="18" s="1"/>
  <c r="W183" i="18"/>
  <c r="D183" i="18"/>
  <c r="E183" i="18" s="1"/>
  <c r="F183" i="18" s="1"/>
  <c r="W197" i="18"/>
  <c r="D197" i="18"/>
  <c r="E197" i="18" s="1"/>
  <c r="F197" i="18" s="1"/>
  <c r="W247" i="18"/>
  <c r="D247" i="18"/>
  <c r="E247" i="18" s="1"/>
  <c r="F247" i="18" s="1"/>
  <c r="W255" i="18"/>
  <c r="D255" i="18"/>
  <c r="E255" i="18" s="1"/>
  <c r="F255" i="18" s="1"/>
  <c r="W263" i="18"/>
  <c r="D263" i="18"/>
  <c r="E263" i="18" s="1"/>
  <c r="F263" i="18" s="1"/>
  <c r="W273" i="18"/>
  <c r="D273" i="18"/>
  <c r="E273" i="18" s="1"/>
  <c r="F273" i="18" s="1"/>
  <c r="W317" i="18"/>
  <c r="D317" i="18"/>
  <c r="E317" i="18" s="1"/>
  <c r="F317" i="18" s="1"/>
  <c r="W361" i="18"/>
  <c r="D361" i="18"/>
  <c r="E361" i="18" s="1"/>
  <c r="F361" i="18" s="1"/>
  <c r="W42" i="20"/>
  <c r="D42" i="20"/>
  <c r="E42" i="20" s="1"/>
  <c r="F42" i="20" s="1"/>
  <c r="W50" i="18"/>
  <c r="D50" i="18"/>
  <c r="E50" i="18" s="1"/>
  <c r="F50" i="18" s="1"/>
  <c r="W56" i="20"/>
  <c r="D56" i="20"/>
  <c r="E56" i="20" s="1"/>
  <c r="F56" i="20" s="1"/>
  <c r="W70" i="18"/>
  <c r="D70" i="18"/>
  <c r="E70" i="18" s="1"/>
  <c r="F70" i="18" s="1"/>
  <c r="W84" i="20"/>
  <c r="D84" i="20"/>
  <c r="E84" i="20" s="1"/>
  <c r="F84" i="20" s="1"/>
  <c r="W92" i="18"/>
  <c r="D92" i="18"/>
  <c r="E92" i="18" s="1"/>
  <c r="F92" i="18" s="1"/>
  <c r="W104" i="20"/>
  <c r="D104" i="20"/>
  <c r="E104" i="20" s="1"/>
  <c r="F104" i="20" s="1"/>
  <c r="W106" i="18"/>
  <c r="D106" i="18"/>
  <c r="E106" i="18" s="1"/>
  <c r="F106" i="18" s="1"/>
  <c r="W110" i="20"/>
  <c r="D110" i="20"/>
  <c r="E110" i="20" s="1"/>
  <c r="F110" i="20" s="1"/>
  <c r="W118" i="18"/>
  <c r="D118" i="18"/>
  <c r="E118" i="18" s="1"/>
  <c r="F118" i="18" s="1"/>
  <c r="W128" i="20"/>
  <c r="D128" i="20"/>
  <c r="E128" i="20" s="1"/>
  <c r="F128" i="20" s="1"/>
  <c r="W136" i="18"/>
  <c r="D136" i="18"/>
  <c r="E136" i="18" s="1"/>
  <c r="F136" i="18" s="1"/>
  <c r="W140" i="20"/>
  <c r="D140" i="20"/>
  <c r="E140" i="20" s="1"/>
  <c r="F140" i="20" s="1"/>
  <c r="W170" i="18"/>
  <c r="D170" i="18"/>
  <c r="E170" i="18" s="1"/>
  <c r="F170" i="18" s="1"/>
  <c r="W176" i="20"/>
  <c r="D176" i="20"/>
  <c r="E176" i="20" s="1"/>
  <c r="F176" i="20" s="1"/>
  <c r="W178" i="18"/>
  <c r="D178" i="18"/>
  <c r="E178" i="18" s="1"/>
  <c r="F178" i="18" s="1"/>
  <c r="W220" i="20"/>
  <c r="D220" i="20"/>
  <c r="E220" i="20" s="1"/>
  <c r="F220" i="20" s="1"/>
  <c r="W230" i="18"/>
  <c r="D230" i="18"/>
  <c r="E230" i="18" s="1"/>
  <c r="F230" i="18" s="1"/>
  <c r="W246" i="20"/>
  <c r="D246" i="20"/>
  <c r="E246" i="20" s="1"/>
  <c r="F246" i="20" s="1"/>
  <c r="W254" i="18"/>
  <c r="D254" i="18"/>
  <c r="E254" i="18" s="1"/>
  <c r="F254" i="18" s="1"/>
  <c r="W260" i="20"/>
  <c r="D260" i="20"/>
  <c r="E260" i="20" s="1"/>
  <c r="F260" i="20" s="1"/>
  <c r="W268" i="18"/>
  <c r="D268" i="18"/>
  <c r="E268" i="18" s="1"/>
  <c r="F268" i="18" s="1"/>
  <c r="W270" i="20"/>
  <c r="D270" i="20"/>
  <c r="E270" i="20" s="1"/>
  <c r="F270" i="20" s="1"/>
  <c r="W274" i="18"/>
  <c r="D274" i="18"/>
  <c r="E274" i="18" s="1"/>
  <c r="F274" i="18" s="1"/>
  <c r="W276" i="20"/>
  <c r="D276" i="20"/>
  <c r="E276" i="20" s="1"/>
  <c r="F276" i="20" s="1"/>
  <c r="W282" i="18"/>
  <c r="D282" i="18"/>
  <c r="E282" i="18" s="1"/>
  <c r="F282" i="18" s="1"/>
  <c r="W308" i="20"/>
  <c r="D308" i="20"/>
  <c r="E308" i="20" s="1"/>
  <c r="F308" i="20" s="1"/>
  <c r="W318" i="18"/>
  <c r="D318" i="18"/>
  <c r="E318" i="18" s="1"/>
  <c r="F318" i="18" s="1"/>
  <c r="W320" i="20"/>
  <c r="D320" i="20"/>
  <c r="E320" i="20" s="1"/>
  <c r="F320" i="20" s="1"/>
  <c r="W328" i="18"/>
  <c r="D328" i="18"/>
  <c r="E328" i="18" s="1"/>
  <c r="F328" i="18" s="1"/>
  <c r="W336" i="20"/>
  <c r="D336" i="20"/>
  <c r="E336" i="20" s="1"/>
  <c r="F336" i="20" s="1"/>
  <c r="W352" i="18"/>
  <c r="D352" i="18"/>
  <c r="E352" i="18" s="1"/>
  <c r="F352" i="18" s="1"/>
  <c r="W258" i="18"/>
  <c r="D258" i="18"/>
  <c r="E258" i="18" s="1"/>
  <c r="F258" i="18" s="1"/>
  <c r="W21" i="18"/>
  <c r="D21" i="18"/>
  <c r="E21" i="18" s="1"/>
  <c r="F21" i="18" s="1"/>
  <c r="W23" i="18"/>
  <c r="D23" i="18"/>
  <c r="E23" i="18" s="1"/>
  <c r="F23" i="18" s="1"/>
  <c r="W31" i="18"/>
  <c r="D31" i="18"/>
  <c r="E31" i="18" s="1"/>
  <c r="F31" i="18" s="1"/>
  <c r="W33" i="20"/>
  <c r="D33" i="20"/>
  <c r="E33" i="20" s="1"/>
  <c r="F33" i="20" s="1"/>
  <c r="W45" i="18"/>
  <c r="D45" i="18"/>
  <c r="E45" i="18" s="1"/>
  <c r="F45" i="18" s="1"/>
  <c r="W47" i="20"/>
  <c r="D47" i="20"/>
  <c r="E47" i="20" s="1"/>
  <c r="F47" i="20" s="1"/>
  <c r="W49" i="18"/>
  <c r="D49" i="18"/>
  <c r="E49" i="18" s="1"/>
  <c r="F49" i="18" s="1"/>
  <c r="W69" i="20"/>
  <c r="D69" i="20"/>
  <c r="E69" i="20" s="1"/>
  <c r="F69" i="20" s="1"/>
  <c r="W71" i="18"/>
  <c r="D71" i="18"/>
  <c r="E71" i="18" s="1"/>
  <c r="F71" i="18" s="1"/>
  <c r="W79" i="20"/>
  <c r="D79" i="20"/>
  <c r="E79" i="20" s="1"/>
  <c r="F79" i="20" s="1"/>
  <c r="W87" i="18"/>
  <c r="D87" i="18"/>
  <c r="E87" i="18" s="1"/>
  <c r="F87" i="18" s="1"/>
  <c r="W93" i="20"/>
  <c r="D93" i="20"/>
  <c r="E93" i="20" s="1"/>
  <c r="F93" i="20" s="1"/>
  <c r="W123" i="18"/>
  <c r="D123" i="18"/>
  <c r="E123" i="18" s="1"/>
  <c r="F123" i="18" s="1"/>
  <c r="W131" i="20"/>
  <c r="D131" i="20"/>
  <c r="E131" i="20" s="1"/>
  <c r="F131" i="20" s="1"/>
  <c r="W145" i="18"/>
  <c r="D145" i="18"/>
  <c r="E145" i="18" s="1"/>
  <c r="F145" i="18" s="1"/>
  <c r="W147" i="20"/>
  <c r="D147" i="20"/>
  <c r="E147" i="20" s="1"/>
  <c r="F147" i="20" s="1"/>
  <c r="W181" i="18"/>
  <c r="D181" i="18"/>
  <c r="E181" i="18" s="1"/>
  <c r="F181" i="18" s="1"/>
  <c r="W195" i="20"/>
  <c r="D195" i="20"/>
  <c r="E195" i="20" s="1"/>
  <c r="F195" i="20" s="1"/>
  <c r="W201" i="18"/>
  <c r="D201" i="18"/>
  <c r="E201" i="18" s="1"/>
  <c r="F201" i="18" s="1"/>
  <c r="W209" i="20"/>
  <c r="D209" i="20"/>
  <c r="E209" i="20" s="1"/>
  <c r="F209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59" i="18"/>
  <c r="D259" i="18"/>
  <c r="E259" i="18" s="1"/>
  <c r="F259" i="18" s="1"/>
  <c r="W275" i="20"/>
  <c r="D275" i="20"/>
  <c r="E275" i="20" s="1"/>
  <c r="F275" i="20" s="1"/>
  <c r="W285" i="18"/>
  <c r="D285" i="18"/>
  <c r="E285" i="18" s="1"/>
  <c r="F285" i="18" s="1"/>
  <c r="W291" i="20"/>
  <c r="D291" i="20"/>
  <c r="E291" i="20" s="1"/>
  <c r="F291" i="20" s="1"/>
  <c r="W293" i="18"/>
  <c r="D293" i="18"/>
  <c r="E293" i="18" s="1"/>
  <c r="F293" i="18" s="1"/>
  <c r="W303" i="20"/>
  <c r="D303" i="20"/>
  <c r="E303" i="20" s="1"/>
  <c r="F303" i="20" s="1"/>
  <c r="W327" i="18"/>
  <c r="D327" i="18"/>
  <c r="E327" i="18" s="1"/>
  <c r="F327" i="18" s="1"/>
  <c r="W339" i="20"/>
  <c r="D339" i="20"/>
  <c r="E339" i="20" s="1"/>
  <c r="F339" i="20" s="1"/>
  <c r="W341" i="18"/>
  <c r="D341" i="18"/>
  <c r="E341" i="18" s="1"/>
  <c r="F341" i="18" s="1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86" i="18"/>
  <c r="D86" i="18"/>
  <c r="E86" i="18" s="1"/>
  <c r="F86" i="18" s="1"/>
  <c r="W94" i="20"/>
  <c r="D94" i="20"/>
  <c r="E94" i="20" s="1"/>
  <c r="F94" i="20" s="1"/>
  <c r="W96" i="18"/>
  <c r="D96" i="18"/>
  <c r="E96" i="18" s="1"/>
  <c r="F96" i="18" s="1"/>
  <c r="W112" i="18"/>
  <c r="D112" i="18"/>
  <c r="E112" i="18" s="1"/>
  <c r="F112" i="18" s="1"/>
  <c r="W126" i="18"/>
  <c r="D126" i="18"/>
  <c r="E126" i="18" s="1"/>
  <c r="F126" i="18" s="1"/>
  <c r="W144" i="18"/>
  <c r="D144" i="18"/>
  <c r="E144" i="18" s="1"/>
  <c r="F144" i="18" s="1"/>
  <c r="W148" i="18"/>
  <c r="D148" i="18"/>
  <c r="E148" i="18" s="1"/>
  <c r="F148" i="18" s="1"/>
  <c r="W188" i="18"/>
  <c r="D188" i="18"/>
  <c r="E188" i="18" s="1"/>
  <c r="F188" i="18" s="1"/>
  <c r="W218" i="18"/>
  <c r="D218" i="18"/>
  <c r="E218" i="18" s="1"/>
  <c r="F218" i="18" s="1"/>
  <c r="W250" i="18"/>
  <c r="D250" i="18"/>
  <c r="E250" i="18" s="1"/>
  <c r="F250" i="18" s="1"/>
  <c r="W296" i="18"/>
  <c r="D296" i="18"/>
  <c r="E296" i="18" s="1"/>
  <c r="F296" i="18" s="1"/>
  <c r="W326" i="18"/>
  <c r="D326" i="18"/>
  <c r="E326" i="18" s="1"/>
  <c r="F326" i="18" s="1"/>
  <c r="W348" i="18"/>
  <c r="D348" i="18"/>
  <c r="E348" i="18" s="1"/>
  <c r="F348" i="18" s="1"/>
  <c r="W53" i="20"/>
  <c r="D53" i="20"/>
  <c r="E53" i="20" s="1"/>
  <c r="F53" i="20" s="1"/>
  <c r="B53" i="22"/>
  <c r="W59" i="18"/>
  <c r="D59" i="18"/>
  <c r="E59" i="18" s="1"/>
  <c r="F59" i="18" s="1"/>
  <c r="B59" i="20"/>
  <c r="W139" i="20"/>
  <c r="D139" i="20"/>
  <c r="E139" i="20" s="1"/>
  <c r="F139" i="20" s="1"/>
  <c r="B139" i="22"/>
  <c r="W141" i="18"/>
  <c r="D141" i="18"/>
  <c r="E141" i="18" s="1"/>
  <c r="F141" i="18" s="1"/>
  <c r="B141" i="20"/>
  <c r="W169" i="20"/>
  <c r="D169" i="20"/>
  <c r="E169" i="20" s="1"/>
  <c r="F169" i="20" s="1"/>
  <c r="B169" i="22"/>
  <c r="W179" i="18"/>
  <c r="D179" i="18"/>
  <c r="E179" i="18" s="1"/>
  <c r="F179" i="18" s="1"/>
  <c r="B179" i="20"/>
  <c r="W203" i="20"/>
  <c r="D203" i="20"/>
  <c r="E203" i="20" s="1"/>
  <c r="F203" i="20" s="1"/>
  <c r="B203" i="22"/>
  <c r="W211" i="18"/>
  <c r="D211" i="18"/>
  <c r="E211" i="18" s="1"/>
  <c r="F211" i="18" s="1"/>
  <c r="B211" i="20"/>
  <c r="W245" i="20"/>
  <c r="D245" i="20"/>
  <c r="E245" i="20" s="1"/>
  <c r="F245" i="20" s="1"/>
  <c r="B245" i="22"/>
  <c r="W257" i="18"/>
  <c r="D257" i="18"/>
  <c r="E257" i="18" s="1"/>
  <c r="F257" i="18" s="1"/>
  <c r="B257" i="20"/>
  <c r="W277" i="20"/>
  <c r="D277" i="20"/>
  <c r="E277" i="20" s="1"/>
  <c r="F277" i="20" s="1"/>
  <c r="B277" i="22"/>
  <c r="W301" i="18"/>
  <c r="D301" i="18"/>
  <c r="E301" i="18" s="1"/>
  <c r="F301" i="18" s="1"/>
  <c r="B301" i="20"/>
  <c r="W325" i="20"/>
  <c r="D325" i="20"/>
  <c r="E325" i="20" s="1"/>
  <c r="F325" i="20" s="1"/>
  <c r="B325" i="22"/>
  <c r="W337" i="18"/>
  <c r="D337" i="18"/>
  <c r="E337" i="18" s="1"/>
  <c r="F337" i="18" s="1"/>
  <c r="B337" i="20"/>
  <c r="W373" i="20"/>
  <c r="D373" i="20"/>
  <c r="E373" i="20" s="1"/>
  <c r="F373" i="20" s="1"/>
  <c r="B373" i="22"/>
  <c r="W375" i="18"/>
  <c r="D375" i="18"/>
  <c r="E375" i="18" s="1"/>
  <c r="F375" i="18" s="1"/>
  <c r="B375" i="20"/>
  <c r="E15" i="17"/>
  <c r="AJ9" i="17" s="1"/>
  <c r="AJ11" i="17" s="1"/>
  <c r="AJ6" i="18"/>
  <c r="B382" i="18"/>
  <c r="B383" i="18"/>
  <c r="W15" i="18"/>
  <c r="AK6" i="18"/>
  <c r="B381" i="18"/>
  <c r="H9" i="18"/>
  <c r="B379" i="20"/>
  <c r="W363" i="18"/>
  <c r="D363" i="18"/>
  <c r="E363" i="18" s="1"/>
  <c r="F363" i="18" s="1"/>
  <c r="B196" i="20"/>
  <c r="W180" i="20"/>
  <c r="D180" i="20"/>
  <c r="E180" i="20" s="1"/>
  <c r="F180" i="20" s="1"/>
  <c r="W333" i="18"/>
  <c r="D333" i="18"/>
  <c r="E333" i="18" s="1"/>
  <c r="F333" i="18" s="1"/>
  <c r="W119" i="18"/>
  <c r="D119" i="18"/>
  <c r="E119" i="18" s="1"/>
  <c r="F119" i="18" s="1"/>
  <c r="W60" i="20"/>
  <c r="D60" i="20"/>
  <c r="E60" i="20" s="1"/>
  <c r="F60" i="20" s="1"/>
  <c r="W149" i="18"/>
  <c r="D149" i="18"/>
  <c r="E149" i="18" s="1"/>
  <c r="F149" i="18" s="1"/>
  <c r="W29" i="20"/>
  <c r="D29" i="20"/>
  <c r="E29" i="20" s="1"/>
  <c r="F29" i="20" s="1"/>
  <c r="W105" i="18"/>
  <c r="D105" i="18"/>
  <c r="E105" i="18" s="1"/>
  <c r="F105" i="18" s="1"/>
  <c r="W365" i="20"/>
  <c r="D365" i="20"/>
  <c r="E365" i="20" s="1"/>
  <c r="F365" i="20" s="1"/>
  <c r="W316" i="18"/>
  <c r="D316" i="18"/>
  <c r="E316" i="18" s="1"/>
  <c r="F316" i="18" s="1"/>
  <c r="W150" i="20"/>
  <c r="D150" i="20"/>
  <c r="E150" i="20" s="1"/>
  <c r="F150" i="20" s="1"/>
  <c r="W16" i="18"/>
  <c r="D16" i="18"/>
  <c r="E16" i="18" s="1"/>
  <c r="F16" i="18" s="1"/>
  <c r="W187" i="20"/>
  <c r="D187" i="20"/>
  <c r="E187" i="20" s="1"/>
  <c r="F187" i="20" s="1"/>
  <c r="W298" i="18"/>
  <c r="D298" i="18"/>
  <c r="E298" i="18" s="1"/>
  <c r="F298" i="18" s="1"/>
  <c r="W226" i="20"/>
  <c r="D226" i="20"/>
  <c r="E226" i="20" s="1"/>
  <c r="F226" i="20" s="1"/>
  <c r="W208" i="18"/>
  <c r="D208" i="18"/>
  <c r="E208" i="18" s="1"/>
  <c r="F208" i="18" s="1"/>
  <c r="W177" i="18"/>
  <c r="D177" i="18"/>
  <c r="E177" i="18" s="1"/>
  <c r="F177" i="18" s="1"/>
  <c r="W67" i="20"/>
  <c r="D67" i="20"/>
  <c r="E67" i="20" s="1"/>
  <c r="F67" i="20" s="1"/>
  <c r="W35" i="18"/>
  <c r="D35" i="18"/>
  <c r="E35" i="18" s="1"/>
  <c r="F35" i="18" s="1"/>
  <c r="W46" i="20"/>
  <c r="D46" i="20"/>
  <c r="E46" i="20" s="1"/>
  <c r="F46" i="20" s="1"/>
  <c r="W166" i="18"/>
  <c r="D166" i="18"/>
  <c r="E166" i="18" s="1"/>
  <c r="F166" i="18" s="1"/>
  <c r="W349" i="20"/>
  <c r="D349" i="20"/>
  <c r="E349" i="20" s="1"/>
  <c r="F349" i="20" s="1"/>
  <c r="W227" i="18"/>
  <c r="D227" i="18"/>
  <c r="E227" i="18" s="1"/>
  <c r="F227" i="18" s="1"/>
  <c r="W22" i="20"/>
  <c r="D22" i="20"/>
  <c r="E22" i="20" s="1"/>
  <c r="F22" i="20" s="1"/>
  <c r="W319" i="18"/>
  <c r="D319" i="18"/>
  <c r="E319" i="18" s="1"/>
  <c r="F319" i="18" s="1"/>
  <c r="W74" i="20"/>
  <c r="D74" i="20"/>
  <c r="E74" i="20" s="1"/>
  <c r="F74" i="20" s="1"/>
  <c r="W354" i="18"/>
  <c r="D354" i="18"/>
  <c r="E354" i="18" s="1"/>
  <c r="F354" i="18" s="1"/>
  <c r="W248" i="20"/>
  <c r="D248" i="20"/>
  <c r="E248" i="20" s="1"/>
  <c r="F248" i="20" s="1"/>
  <c r="W17" i="18"/>
  <c r="D17" i="18"/>
  <c r="E17" i="18" s="1"/>
  <c r="F17" i="18" s="1"/>
  <c r="W261" i="20"/>
  <c r="D261" i="20"/>
  <c r="E261" i="20" s="1"/>
  <c r="F261" i="20" s="1"/>
  <c r="W216" i="18"/>
  <c r="D216" i="18"/>
  <c r="E216" i="18" s="1"/>
  <c r="F216" i="18" s="1"/>
  <c r="W283" i="20"/>
  <c r="D283" i="20"/>
  <c r="E283" i="20" s="1"/>
  <c r="F283" i="20" s="1"/>
  <c r="W111" i="18"/>
  <c r="D111" i="18"/>
  <c r="E111" i="18" s="1"/>
  <c r="F111" i="18" s="1"/>
  <c r="W75" i="20"/>
  <c r="D75" i="20"/>
  <c r="E75" i="20" s="1"/>
  <c r="F75" i="20" s="1"/>
  <c r="W43" i="18"/>
  <c r="D43" i="18"/>
  <c r="E43" i="18" s="1"/>
  <c r="F43" i="18" s="1"/>
  <c r="W346" i="20"/>
  <c r="D346" i="20"/>
  <c r="E346" i="20" s="1"/>
  <c r="F346" i="20" s="1"/>
  <c r="W278" i="18"/>
  <c r="D278" i="18"/>
  <c r="E278" i="18" s="1"/>
  <c r="F278" i="18" s="1"/>
  <c r="W171" i="20"/>
  <c r="D171" i="20"/>
  <c r="E171" i="20" s="1"/>
  <c r="F171" i="20" s="1"/>
  <c r="W95" i="18"/>
  <c r="D95" i="18"/>
  <c r="E95" i="18" s="1"/>
  <c r="F95" i="18" s="1"/>
  <c r="W272" i="20"/>
  <c r="D272" i="20"/>
  <c r="E272" i="20" s="1"/>
  <c r="F272" i="20" s="1"/>
  <c r="W135" i="20"/>
  <c r="D135" i="20"/>
  <c r="E135" i="20" s="1"/>
  <c r="F135" i="20" s="1"/>
  <c r="W368" i="18"/>
  <c r="D368" i="18"/>
  <c r="E368" i="18" s="1"/>
  <c r="F368" i="18" s="1"/>
  <c r="W194" i="20"/>
  <c r="D194" i="20"/>
  <c r="E194" i="20" s="1"/>
  <c r="F194" i="20" s="1"/>
  <c r="W66" i="18"/>
  <c r="D66" i="18"/>
  <c r="E66" i="18" s="1"/>
  <c r="F66" i="18" s="1"/>
  <c r="W335" i="20"/>
  <c r="D335" i="20"/>
  <c r="E335" i="20" s="1"/>
  <c r="F335" i="20" s="1"/>
  <c r="W376" i="18"/>
  <c r="D376" i="18"/>
  <c r="E376" i="18" s="1"/>
  <c r="F376" i="18" s="1"/>
  <c r="W154" i="20"/>
  <c r="D154" i="20"/>
  <c r="E154" i="20" s="1"/>
  <c r="F154" i="20" s="1"/>
  <c r="W114" i="18"/>
  <c r="D114" i="18"/>
  <c r="E114" i="18" s="1"/>
  <c r="F114" i="18" s="1"/>
  <c r="W367" i="20"/>
  <c r="D367" i="20"/>
  <c r="E367" i="20" s="1"/>
  <c r="F367" i="20" s="1"/>
  <c r="W347" i="18"/>
  <c r="D347" i="18"/>
  <c r="E347" i="18" s="1"/>
  <c r="F347" i="18" s="1"/>
  <c r="W189" i="20"/>
  <c r="D189" i="20"/>
  <c r="E189" i="20" s="1"/>
  <c r="F189" i="20" s="1"/>
  <c r="W302" i="20"/>
  <c r="D302" i="20"/>
  <c r="E302" i="20" s="1"/>
  <c r="F302" i="20" s="1"/>
  <c r="W210" i="18"/>
  <c r="D210" i="18"/>
  <c r="E210" i="18" s="1"/>
  <c r="F210" i="18" s="1"/>
  <c r="W241" i="20"/>
  <c r="D241" i="20"/>
  <c r="E241" i="20" s="1"/>
  <c r="F241" i="20" s="1"/>
  <c r="W369" i="18"/>
  <c r="D369" i="18"/>
  <c r="E369" i="18" s="1"/>
  <c r="F369" i="18" s="1"/>
  <c r="W284" i="20"/>
  <c r="D284" i="20"/>
  <c r="E284" i="20" s="1"/>
  <c r="F284" i="20" s="1"/>
  <c r="W244" i="18"/>
  <c r="D244" i="18"/>
  <c r="E244" i="18" s="1"/>
  <c r="F244" i="18" s="1"/>
  <c r="W116" i="20"/>
  <c r="D116" i="20"/>
  <c r="E116" i="20" s="1"/>
  <c r="F116" i="20" s="1"/>
  <c r="W253" i="18"/>
  <c r="D253" i="18"/>
  <c r="E253" i="18" s="1"/>
  <c r="F253" i="18" s="1"/>
  <c r="B175" i="20"/>
  <c r="W161" i="18"/>
  <c r="D161" i="18"/>
  <c r="E161" i="18" s="1"/>
  <c r="F161" i="18" s="1"/>
  <c r="W19" i="20"/>
  <c r="D19" i="20"/>
  <c r="E19" i="20" s="1"/>
  <c r="F19" i="20" s="1"/>
  <c r="W130" i="18"/>
  <c r="D130" i="18"/>
  <c r="E130" i="18" s="1"/>
  <c r="F130" i="18" s="1"/>
  <c r="W287" i="20"/>
  <c r="D287" i="20"/>
  <c r="E287" i="20" s="1"/>
  <c r="F287" i="20" s="1"/>
  <c r="W265" i="18"/>
  <c r="D265" i="18"/>
  <c r="E265" i="18" s="1"/>
  <c r="F265" i="18" s="1"/>
  <c r="W88" i="20"/>
  <c r="D88" i="20"/>
  <c r="E88" i="20" s="1"/>
  <c r="F88" i="20" s="1"/>
  <c r="W37" i="18"/>
  <c r="D37" i="18"/>
  <c r="E37" i="18" s="1"/>
  <c r="F37" i="18" s="1"/>
  <c r="W55" i="20"/>
  <c r="D55" i="20"/>
  <c r="E55" i="20" s="1"/>
  <c r="F55" i="20" s="1"/>
  <c r="W61" i="18"/>
  <c r="D61" i="18"/>
  <c r="E61" i="18" s="1"/>
  <c r="F61" i="18" s="1"/>
  <c r="W63" i="20"/>
  <c r="D63" i="20"/>
  <c r="E63" i="20" s="1"/>
  <c r="F63" i="20" s="1"/>
  <c r="W77" i="18"/>
  <c r="D77" i="18"/>
  <c r="E77" i="18" s="1"/>
  <c r="F77" i="18" s="1"/>
  <c r="W83" i="20"/>
  <c r="D83" i="20"/>
  <c r="E83" i="20" s="1"/>
  <c r="F83" i="20" s="1"/>
  <c r="W89" i="18"/>
  <c r="D89" i="18"/>
  <c r="E89" i="18" s="1"/>
  <c r="F89" i="18" s="1"/>
  <c r="W97" i="20"/>
  <c r="D97" i="20"/>
  <c r="E97" i="20" s="1"/>
  <c r="F97" i="20" s="1"/>
  <c r="W99" i="18"/>
  <c r="D99" i="18"/>
  <c r="E99" i="18" s="1"/>
  <c r="F99" i="18" s="1"/>
  <c r="W101" i="20"/>
  <c r="D101" i="20"/>
  <c r="E101" i="20" s="1"/>
  <c r="F101" i="20" s="1"/>
  <c r="W127" i="18"/>
  <c r="D127" i="18"/>
  <c r="E127" i="18" s="1"/>
  <c r="F127" i="18" s="1"/>
  <c r="W155" i="20"/>
  <c r="D155" i="20"/>
  <c r="E155" i="20" s="1"/>
  <c r="F155" i="20" s="1"/>
  <c r="W159" i="18"/>
  <c r="D159" i="18"/>
  <c r="E159" i="18" s="1"/>
  <c r="F159" i="18" s="1"/>
  <c r="W167" i="20"/>
  <c r="D167" i="20"/>
  <c r="E167" i="20" s="1"/>
  <c r="F167" i="20" s="1"/>
  <c r="W173" i="18"/>
  <c r="D173" i="18"/>
  <c r="E173" i="18" s="1"/>
  <c r="F173" i="18" s="1"/>
  <c r="W183" i="20"/>
  <c r="D183" i="20"/>
  <c r="E183" i="20" s="1"/>
  <c r="F183" i="20" s="1"/>
  <c r="W185" i="18"/>
  <c r="D185" i="18"/>
  <c r="E185" i="18" s="1"/>
  <c r="F185" i="18" s="1"/>
  <c r="W197" i="20"/>
  <c r="D197" i="20"/>
  <c r="E197" i="20" s="1"/>
  <c r="F197" i="20" s="1"/>
  <c r="W219" i="18"/>
  <c r="D219" i="18"/>
  <c r="E219" i="18" s="1"/>
  <c r="F219" i="18" s="1"/>
  <c r="W247" i="20"/>
  <c r="D247" i="20"/>
  <c r="E247" i="20" s="1"/>
  <c r="F247" i="20" s="1"/>
  <c r="W249" i="18"/>
  <c r="D249" i="18"/>
  <c r="E249" i="18" s="1"/>
  <c r="F249" i="18" s="1"/>
  <c r="W255" i="20"/>
  <c r="D255" i="20"/>
  <c r="E255" i="20" s="1"/>
  <c r="F255" i="20" s="1"/>
  <c r="W263" i="20"/>
  <c r="D263" i="20"/>
  <c r="E263" i="20" s="1"/>
  <c r="F263" i="20" s="1"/>
  <c r="W271" i="18"/>
  <c r="D271" i="18"/>
  <c r="E271" i="18" s="1"/>
  <c r="F271" i="18" s="1"/>
  <c r="W273" i="20"/>
  <c r="D273" i="20"/>
  <c r="E273" i="20" s="1"/>
  <c r="F273" i="20" s="1"/>
  <c r="W281" i="18"/>
  <c r="D281" i="18"/>
  <c r="E281" i="18" s="1"/>
  <c r="F281" i="18" s="1"/>
  <c r="W317" i="20"/>
  <c r="D317" i="20"/>
  <c r="E317" i="20" s="1"/>
  <c r="F317" i="20" s="1"/>
  <c r="W323" i="18"/>
  <c r="D323" i="18"/>
  <c r="E323" i="18" s="1"/>
  <c r="F323" i="18" s="1"/>
  <c r="W361" i="20"/>
  <c r="D361" i="20"/>
  <c r="E361" i="20" s="1"/>
  <c r="F361" i="20" s="1"/>
  <c r="B42" i="22"/>
  <c r="W42" i="18"/>
  <c r="D42" i="18"/>
  <c r="E42" i="18" s="1"/>
  <c r="F42" i="18" s="1"/>
  <c r="B50" i="20"/>
  <c r="B56" i="22"/>
  <c r="W56" i="18"/>
  <c r="D56" i="18"/>
  <c r="E56" i="18" s="1"/>
  <c r="F56" i="18" s="1"/>
  <c r="B70" i="20"/>
  <c r="B84" i="22"/>
  <c r="W84" i="18"/>
  <c r="D84" i="18"/>
  <c r="E84" i="18" s="1"/>
  <c r="F84" i="18" s="1"/>
  <c r="B92" i="20"/>
  <c r="B104" i="22"/>
  <c r="W104" i="18"/>
  <c r="D104" i="18"/>
  <c r="E104" i="18" s="1"/>
  <c r="F104" i="18" s="1"/>
  <c r="B106" i="20"/>
  <c r="B110" i="22"/>
  <c r="W110" i="18"/>
  <c r="D110" i="18"/>
  <c r="E110" i="18" s="1"/>
  <c r="F110" i="18" s="1"/>
  <c r="B118" i="20"/>
  <c r="B128" i="22"/>
  <c r="W128" i="18"/>
  <c r="D128" i="18"/>
  <c r="E128" i="18" s="1"/>
  <c r="F128" i="18" s="1"/>
  <c r="B136" i="20"/>
  <c r="B140" i="22"/>
  <c r="W140" i="18"/>
  <c r="D140" i="18"/>
  <c r="E140" i="18" s="1"/>
  <c r="F140" i="18" s="1"/>
  <c r="B170" i="20"/>
  <c r="B176" i="22"/>
  <c r="W176" i="18"/>
  <c r="D176" i="18"/>
  <c r="E176" i="18" s="1"/>
  <c r="F176" i="18" s="1"/>
  <c r="B178" i="20"/>
  <c r="B220" i="22"/>
  <c r="W220" i="18"/>
  <c r="D220" i="18"/>
  <c r="E220" i="18" s="1"/>
  <c r="F220" i="18" s="1"/>
  <c r="B230" i="20"/>
  <c r="B246" i="22"/>
  <c r="W246" i="18"/>
  <c r="D246" i="18"/>
  <c r="E246" i="18" s="1"/>
  <c r="F246" i="18" s="1"/>
  <c r="B254" i="20"/>
  <c r="B260" i="22"/>
  <c r="W260" i="18"/>
  <c r="D260" i="18"/>
  <c r="E260" i="18" s="1"/>
  <c r="F260" i="18" s="1"/>
  <c r="B268" i="20"/>
  <c r="B270" i="22"/>
  <c r="W270" i="18"/>
  <c r="D270" i="18"/>
  <c r="E270" i="18" s="1"/>
  <c r="F270" i="18" s="1"/>
  <c r="B274" i="20"/>
  <c r="B276" i="22"/>
  <c r="W276" i="18"/>
  <c r="D276" i="18"/>
  <c r="E276" i="18" s="1"/>
  <c r="F276" i="18" s="1"/>
  <c r="B282" i="20"/>
  <c r="B308" i="22"/>
  <c r="W308" i="18"/>
  <c r="D308" i="18"/>
  <c r="E308" i="18" s="1"/>
  <c r="F308" i="18" s="1"/>
  <c r="B318" i="20"/>
  <c r="B320" i="22"/>
  <c r="W320" i="18"/>
  <c r="D320" i="18"/>
  <c r="E320" i="18" s="1"/>
  <c r="F320" i="18" s="1"/>
  <c r="B328" i="20"/>
  <c r="B336" i="22"/>
  <c r="W336" i="18"/>
  <c r="D336" i="18"/>
  <c r="E336" i="18" s="1"/>
  <c r="F336" i="18" s="1"/>
  <c r="B352" i="20"/>
  <c r="B258" i="20"/>
  <c r="B21" i="20"/>
  <c r="B23" i="20"/>
  <c r="B31" i="20"/>
  <c r="B33" i="22"/>
  <c r="W33" i="18"/>
  <c r="D33" i="18"/>
  <c r="E33" i="18" s="1"/>
  <c r="F33" i="18" s="1"/>
  <c r="B45" i="20"/>
  <c r="B47" i="22"/>
  <c r="W47" i="18"/>
  <c r="D47" i="18"/>
  <c r="E47" i="18" s="1"/>
  <c r="F47" i="18" s="1"/>
  <c r="B49" i="20"/>
  <c r="B69" i="22"/>
  <c r="W69" i="18"/>
  <c r="D69" i="18"/>
  <c r="E69" i="18" s="1"/>
  <c r="F69" i="18" s="1"/>
  <c r="B71" i="20"/>
  <c r="B79" i="22"/>
  <c r="W79" i="18"/>
  <c r="D79" i="18"/>
  <c r="E79" i="18" s="1"/>
  <c r="F79" i="18" s="1"/>
  <c r="B87" i="20"/>
  <c r="B93" i="22"/>
  <c r="W93" i="18"/>
  <c r="D93" i="18"/>
  <c r="E93" i="18" s="1"/>
  <c r="F93" i="18" s="1"/>
  <c r="B123" i="20"/>
  <c r="B131" i="22"/>
  <c r="W131" i="18"/>
  <c r="D131" i="18"/>
  <c r="E131" i="18" s="1"/>
  <c r="F131" i="18" s="1"/>
  <c r="B145" i="20"/>
  <c r="B147" i="22"/>
  <c r="W147" i="18"/>
  <c r="D147" i="18"/>
  <c r="E147" i="18" s="1"/>
  <c r="F147" i="18" s="1"/>
  <c r="B181" i="20"/>
  <c r="B195" i="22"/>
  <c r="W195" i="18"/>
  <c r="D195" i="18"/>
  <c r="E195" i="18" s="1"/>
  <c r="F195" i="18" s="1"/>
  <c r="B201" i="20"/>
  <c r="B209" i="22"/>
  <c r="W209" i="18"/>
  <c r="D209" i="18"/>
  <c r="E209" i="18" s="1"/>
  <c r="F209" i="18" s="1"/>
  <c r="B215" i="20"/>
  <c r="B221" i="22"/>
  <c r="W221" i="18"/>
  <c r="D221" i="18"/>
  <c r="E221" i="18" s="1"/>
  <c r="F221" i="18" s="1"/>
  <c r="B233" i="20"/>
  <c r="B259" i="20"/>
  <c r="B275" i="22"/>
  <c r="W275" i="18"/>
  <c r="D275" i="18"/>
  <c r="E275" i="18" s="1"/>
  <c r="F275" i="18" s="1"/>
  <c r="B285" i="20"/>
  <c r="B291" i="22"/>
  <c r="W291" i="18"/>
  <c r="D291" i="18"/>
  <c r="E291" i="18" s="1"/>
  <c r="F291" i="18" s="1"/>
  <c r="B293" i="20"/>
  <c r="B303" i="22"/>
  <c r="W303" i="18"/>
  <c r="D303" i="18"/>
  <c r="E303" i="18" s="1"/>
  <c r="F303" i="18" s="1"/>
  <c r="B327" i="20"/>
  <c r="B339" i="22"/>
  <c r="W339" i="18"/>
  <c r="D339" i="18"/>
  <c r="E339" i="18" s="1"/>
  <c r="F339" i="18" s="1"/>
  <c r="B341" i="20"/>
  <c r="B371" i="20"/>
  <c r="B34" i="20"/>
  <c r="B80" i="22"/>
  <c r="W80" i="18"/>
  <c r="D80" i="18"/>
  <c r="E80" i="18" s="1"/>
  <c r="F80" i="18" s="1"/>
  <c r="B86" i="20"/>
  <c r="B94" i="22"/>
  <c r="W94" i="18"/>
  <c r="D94" i="18"/>
  <c r="E94" i="18" s="1"/>
  <c r="F94" i="18" s="1"/>
  <c r="B96" i="20"/>
  <c r="W108" i="18"/>
  <c r="D108" i="18"/>
  <c r="E108" i="18" s="1"/>
  <c r="F108" i="18" s="1"/>
  <c r="B112" i="20"/>
  <c r="W120" i="18"/>
  <c r="D120" i="18"/>
  <c r="E120" i="18" s="1"/>
  <c r="F120" i="18" s="1"/>
  <c r="B126" i="20"/>
  <c r="W142" i="18"/>
  <c r="D142" i="18"/>
  <c r="E142" i="18" s="1"/>
  <c r="F142" i="18" s="1"/>
  <c r="B144" i="20"/>
  <c r="W146" i="18"/>
  <c r="D146" i="18"/>
  <c r="E146" i="18" s="1"/>
  <c r="F146" i="18" s="1"/>
  <c r="W148" i="20"/>
  <c r="D148" i="20"/>
  <c r="E148" i="20" s="1"/>
  <c r="F148" i="20" s="1"/>
  <c r="W164" i="18"/>
  <c r="D164" i="18"/>
  <c r="E164" i="18" s="1"/>
  <c r="F164" i="18" s="1"/>
  <c r="B188" i="20"/>
  <c r="W192" i="18"/>
  <c r="D192" i="18"/>
  <c r="E192" i="18" s="1"/>
  <c r="F192" i="18" s="1"/>
  <c r="B218" i="20"/>
  <c r="W228" i="18"/>
  <c r="D228" i="18"/>
  <c r="E228" i="18" s="1"/>
  <c r="F228" i="18" s="1"/>
  <c r="B250" i="20"/>
  <c r="W294" i="18"/>
  <c r="D294" i="18"/>
  <c r="E294" i="18" s="1"/>
  <c r="F294" i="18" s="1"/>
  <c r="B296" i="20"/>
  <c r="W300" i="18"/>
  <c r="D300" i="18"/>
  <c r="E300" i="18" s="1"/>
  <c r="F300" i="18" s="1"/>
  <c r="B326" i="20"/>
  <c r="W334" i="18"/>
  <c r="D334" i="18"/>
  <c r="E334" i="18" s="1"/>
  <c r="F334" i="18" s="1"/>
  <c r="B348" i="20"/>
  <c r="W372" i="20"/>
  <c r="D372" i="20"/>
  <c r="E372" i="20" s="1"/>
  <c r="F372" i="20" s="1"/>
  <c r="B372" i="22"/>
  <c r="W39" i="18"/>
  <c r="D39" i="18"/>
  <c r="E39" i="18" s="1"/>
  <c r="F39" i="18" s="1"/>
  <c r="B39" i="20"/>
  <c r="W65" i="20"/>
  <c r="D65" i="20"/>
  <c r="E65" i="20" s="1"/>
  <c r="F65" i="20" s="1"/>
  <c r="B65" i="22"/>
  <c r="W107" i="18"/>
  <c r="D107" i="18"/>
  <c r="E107" i="18" s="1"/>
  <c r="F107" i="18" s="1"/>
  <c r="B107" i="20"/>
  <c r="W143" i="20"/>
  <c r="D143" i="20"/>
  <c r="E143" i="20" s="1"/>
  <c r="F143" i="20" s="1"/>
  <c r="B143" i="22"/>
  <c r="W151" i="18"/>
  <c r="D151" i="18"/>
  <c r="E151" i="18" s="1"/>
  <c r="F151" i="18" s="1"/>
  <c r="B151" i="20"/>
  <c r="W191" i="20"/>
  <c r="D191" i="20"/>
  <c r="E191" i="20" s="1"/>
  <c r="F191" i="20" s="1"/>
  <c r="B191" i="22"/>
  <c r="W193" i="18"/>
  <c r="D193" i="18"/>
  <c r="E193" i="18" s="1"/>
  <c r="F193" i="18" s="1"/>
  <c r="B193" i="20"/>
  <c r="D223" i="20"/>
  <c r="E223" i="20" s="1"/>
  <c r="F223" i="20" s="1"/>
  <c r="W223" i="20"/>
  <c r="B223" i="22"/>
  <c r="W231" i="18"/>
  <c r="D231" i="18"/>
  <c r="E231" i="18" s="1"/>
  <c r="F231" i="18" s="1"/>
  <c r="B231" i="20"/>
  <c r="W267" i="20"/>
  <c r="D267" i="20"/>
  <c r="E267" i="20" s="1"/>
  <c r="F267" i="20" s="1"/>
  <c r="B267" i="22"/>
  <c r="W269" i="18"/>
  <c r="D269" i="18"/>
  <c r="E269" i="18" s="1"/>
  <c r="F269" i="18" s="1"/>
  <c r="B269" i="20"/>
  <c r="W307" i="20"/>
  <c r="D307" i="20"/>
  <c r="E307" i="20" s="1"/>
  <c r="F307" i="20" s="1"/>
  <c r="B307" i="22"/>
  <c r="W313" i="18"/>
  <c r="D313" i="18"/>
  <c r="E313" i="18" s="1"/>
  <c r="F313" i="18" s="1"/>
  <c r="B313" i="20"/>
  <c r="W357" i="20"/>
  <c r="D357" i="20"/>
  <c r="E357" i="20" s="1"/>
  <c r="F357" i="20" s="1"/>
  <c r="B357" i="22"/>
  <c r="W359" i="18"/>
  <c r="D359" i="18"/>
  <c r="E359" i="18" s="1"/>
  <c r="F359" i="18" s="1"/>
  <c r="B359" i="20"/>
  <c r="W288" i="20"/>
  <c r="D288" i="20"/>
  <c r="E288" i="20" s="1"/>
  <c r="F288" i="20" s="1"/>
  <c r="W20" i="18"/>
  <c r="D20" i="18"/>
  <c r="E20" i="18" s="1"/>
  <c r="F20" i="18" s="1"/>
  <c r="W18" i="20"/>
  <c r="D18" i="20"/>
  <c r="E18" i="20" s="1"/>
  <c r="F18" i="20" s="1"/>
  <c r="W27" i="18"/>
  <c r="D27" i="18"/>
  <c r="E27" i="18" s="1"/>
  <c r="F27" i="18" s="1"/>
  <c r="W28" i="20"/>
  <c r="D28" i="20"/>
  <c r="E28" i="20" s="1"/>
  <c r="F28" i="20" s="1"/>
  <c r="W48" i="18"/>
  <c r="D48" i="18"/>
  <c r="E48" i="18" s="1"/>
  <c r="F48" i="18" s="1"/>
  <c r="W122" i="20"/>
  <c r="D122" i="20"/>
  <c r="E122" i="20" s="1"/>
  <c r="F122" i="20" s="1"/>
  <c r="W124" i="18"/>
  <c r="D124" i="18"/>
  <c r="E124" i="18" s="1"/>
  <c r="F124" i="18" s="1"/>
  <c r="W138" i="20"/>
  <c r="D138" i="20"/>
  <c r="E138" i="20" s="1"/>
  <c r="F138" i="20" s="1"/>
  <c r="W160" i="18"/>
  <c r="D160" i="18"/>
  <c r="E160" i="18" s="1"/>
  <c r="F160" i="18" s="1"/>
  <c r="W172" i="20"/>
  <c r="D172" i="20"/>
  <c r="E172" i="20" s="1"/>
  <c r="F172" i="20" s="1"/>
  <c r="W184" i="18"/>
  <c r="D184" i="18"/>
  <c r="E184" i="18" s="1"/>
  <c r="F184" i="18" s="1"/>
  <c r="W202" i="20"/>
  <c r="D202" i="20"/>
  <c r="E202" i="20" s="1"/>
  <c r="F202" i="20" s="1"/>
  <c r="W234" i="18"/>
  <c r="D234" i="18"/>
  <c r="E234" i="18" s="1"/>
  <c r="F234" i="18" s="1"/>
  <c r="W238" i="20"/>
  <c r="D238" i="20"/>
  <c r="E238" i="20" s="1"/>
  <c r="F238" i="20" s="1"/>
  <c r="W256" i="18"/>
  <c r="D256" i="18"/>
  <c r="E256" i="18" s="1"/>
  <c r="F256" i="18" s="1"/>
  <c r="D262" i="20"/>
  <c r="E262" i="20" s="1"/>
  <c r="F262" i="20" s="1"/>
  <c r="W262" i="20"/>
  <c r="W266" i="18"/>
  <c r="D266" i="18"/>
  <c r="E266" i="18" s="1"/>
  <c r="F266" i="18" s="1"/>
  <c r="W280" i="20"/>
  <c r="D280" i="20"/>
  <c r="E280" i="20" s="1"/>
  <c r="F280" i="20" s="1"/>
  <c r="W292" i="18"/>
  <c r="D292" i="18"/>
  <c r="E292" i="18" s="1"/>
  <c r="F292" i="18" s="1"/>
  <c r="W304" i="20"/>
  <c r="D304" i="20"/>
  <c r="E304" i="20" s="1"/>
  <c r="F304" i="20" s="1"/>
  <c r="W322" i="18"/>
  <c r="D322" i="18"/>
  <c r="E322" i="18" s="1"/>
  <c r="F322" i="18" s="1"/>
  <c r="W324" i="20"/>
  <c r="D324" i="20"/>
  <c r="E324" i="20" s="1"/>
  <c r="F324" i="20" s="1"/>
  <c r="W330" i="18"/>
  <c r="D330" i="18"/>
  <c r="E330" i="18" s="1"/>
  <c r="F330" i="18" s="1"/>
  <c r="W344" i="20"/>
  <c r="D344" i="20"/>
  <c r="E344" i="20" s="1"/>
  <c r="F344" i="20" s="1"/>
  <c r="W350" i="18"/>
  <c r="D350" i="18"/>
  <c r="E350" i="18" s="1"/>
  <c r="F350" i="18" s="1"/>
  <c r="W360" i="20"/>
  <c r="D360" i="20"/>
  <c r="E360" i="20" s="1"/>
  <c r="F360" i="20" s="1"/>
  <c r="W364" i="18"/>
  <c r="D364" i="18"/>
  <c r="E364" i="18" s="1"/>
  <c r="F364" i="18" s="1"/>
  <c r="W370" i="20"/>
  <c r="D370" i="20"/>
  <c r="E370" i="20" s="1"/>
  <c r="F370" i="20" s="1"/>
  <c r="W26" i="18"/>
  <c r="D26" i="18"/>
  <c r="E26" i="18" s="1"/>
  <c r="F26" i="18" s="1"/>
  <c r="W25" i="20"/>
  <c r="D25" i="20"/>
  <c r="E25" i="20" s="1"/>
  <c r="F25" i="20" s="1"/>
  <c r="W41" i="18"/>
  <c r="D41" i="18"/>
  <c r="E41" i="18" s="1"/>
  <c r="F41" i="18" s="1"/>
  <c r="W51" i="20"/>
  <c r="D51" i="20"/>
  <c r="E51" i="20" s="1"/>
  <c r="F51" i="20" s="1"/>
  <c r="W57" i="18"/>
  <c r="D57" i="18"/>
  <c r="E57" i="18" s="1"/>
  <c r="F57" i="18" s="1"/>
  <c r="W85" i="20"/>
  <c r="D85" i="20"/>
  <c r="E85" i="20" s="1"/>
  <c r="F85" i="20" s="1"/>
  <c r="W91" i="18"/>
  <c r="D91" i="18"/>
  <c r="E91" i="18" s="1"/>
  <c r="F91" i="18" s="1"/>
  <c r="W109" i="20"/>
  <c r="D109" i="20"/>
  <c r="E109" i="20" s="1"/>
  <c r="F109" i="20" s="1"/>
  <c r="W113" i="18"/>
  <c r="D113" i="18"/>
  <c r="E113" i="18" s="1"/>
  <c r="F113" i="18" s="1"/>
  <c r="W115" i="20"/>
  <c r="D115" i="20"/>
  <c r="E115" i="20" s="1"/>
  <c r="F115" i="20" s="1"/>
  <c r="W117" i="18"/>
  <c r="D117" i="18"/>
  <c r="E117" i="18" s="1"/>
  <c r="F117" i="18" s="1"/>
  <c r="W121" i="20"/>
  <c r="D121" i="20"/>
  <c r="E121" i="20" s="1"/>
  <c r="F121" i="20" s="1"/>
  <c r="W129" i="18"/>
  <c r="D129" i="18"/>
  <c r="E129" i="18" s="1"/>
  <c r="F129" i="18" s="1"/>
  <c r="W133" i="20"/>
  <c r="D133" i="20"/>
  <c r="E133" i="20" s="1"/>
  <c r="F133" i="20" s="1"/>
  <c r="W165" i="18"/>
  <c r="D165" i="18"/>
  <c r="E165" i="18" s="1"/>
  <c r="F165" i="18" s="1"/>
  <c r="W199" i="20"/>
  <c r="D199" i="20"/>
  <c r="E199" i="20" s="1"/>
  <c r="F199" i="20" s="1"/>
  <c r="W213" i="18"/>
  <c r="D213" i="18"/>
  <c r="E213" i="18" s="1"/>
  <c r="F213" i="18" s="1"/>
  <c r="W217" i="20"/>
  <c r="D217" i="20"/>
  <c r="E217" i="20" s="1"/>
  <c r="F217" i="20" s="1"/>
  <c r="W225" i="18"/>
  <c r="D225" i="18"/>
  <c r="E225" i="18" s="1"/>
  <c r="F225" i="18" s="1"/>
  <c r="W237" i="20"/>
  <c r="D237" i="20"/>
  <c r="E237" i="20" s="1"/>
  <c r="F237" i="20" s="1"/>
  <c r="W239" i="18"/>
  <c r="D239" i="18"/>
  <c r="E239" i="18" s="1"/>
  <c r="F239" i="18" s="1"/>
  <c r="W243" i="20"/>
  <c r="D243" i="20"/>
  <c r="E243" i="20" s="1"/>
  <c r="F243" i="20" s="1"/>
  <c r="W279" i="18"/>
  <c r="D279" i="18"/>
  <c r="E279" i="18" s="1"/>
  <c r="F279" i="18" s="1"/>
  <c r="W297" i="20"/>
  <c r="D297" i="20"/>
  <c r="E297" i="20" s="1"/>
  <c r="F297" i="20" s="1"/>
  <c r="W315" i="18"/>
  <c r="D315" i="18"/>
  <c r="E315" i="18" s="1"/>
  <c r="F315" i="18" s="1"/>
  <c r="W329" i="20"/>
  <c r="D329" i="20"/>
  <c r="E329" i="20" s="1"/>
  <c r="F329" i="20" s="1"/>
  <c r="W343" i="18"/>
  <c r="D343" i="18"/>
  <c r="E343" i="18" s="1"/>
  <c r="F343" i="18" s="1"/>
  <c r="W345" i="20"/>
  <c r="D345" i="20"/>
  <c r="E345" i="20" s="1"/>
  <c r="F345" i="20" s="1"/>
  <c r="W351" i="18"/>
  <c r="D351" i="18"/>
  <c r="E351" i="18" s="1"/>
  <c r="F351" i="18" s="1"/>
  <c r="W355" i="20"/>
  <c r="D355" i="20"/>
  <c r="E355" i="20" s="1"/>
  <c r="F355" i="20" s="1"/>
  <c r="W377" i="18"/>
  <c r="D377" i="18"/>
  <c r="E377" i="18" s="1"/>
  <c r="F377" i="18" s="1"/>
  <c r="W24" i="20"/>
  <c r="D24" i="20"/>
  <c r="E24" i="20" s="1"/>
  <c r="F24" i="20" s="1"/>
  <c r="W30" i="18"/>
  <c r="D30" i="18"/>
  <c r="E30" i="18" s="1"/>
  <c r="F30" i="18" s="1"/>
  <c r="W36" i="20"/>
  <c r="D36" i="20"/>
  <c r="E36" i="20" s="1"/>
  <c r="F36" i="20" s="1"/>
  <c r="W40" i="18"/>
  <c r="D40" i="18"/>
  <c r="E40" i="18" s="1"/>
  <c r="F40" i="18" s="1"/>
  <c r="W44" i="20"/>
  <c r="D44" i="20"/>
  <c r="E44" i="20" s="1"/>
  <c r="F44" i="20" s="1"/>
  <c r="W54" i="18"/>
  <c r="D54" i="18"/>
  <c r="E54" i="18" s="1"/>
  <c r="F54" i="18" s="1"/>
  <c r="W58" i="20"/>
  <c r="D58" i="20"/>
  <c r="E58" i="20" s="1"/>
  <c r="F58" i="20" s="1"/>
  <c r="W68" i="18"/>
  <c r="D68" i="18"/>
  <c r="E68" i="18" s="1"/>
  <c r="F68" i="18" s="1"/>
  <c r="W72" i="20"/>
  <c r="D72" i="20"/>
  <c r="E72" i="20" s="1"/>
  <c r="F72" i="20" s="1"/>
  <c r="W82" i="18"/>
  <c r="D82" i="18"/>
  <c r="E82" i="18" s="1"/>
  <c r="F82" i="18" s="1"/>
  <c r="W102" i="20"/>
  <c r="D102" i="20"/>
  <c r="E102" i="20" s="1"/>
  <c r="F102" i="20" s="1"/>
  <c r="W134" i="18"/>
  <c r="D134" i="18"/>
  <c r="E134" i="18" s="1"/>
  <c r="F134" i="18" s="1"/>
  <c r="W156" i="20"/>
  <c r="D156" i="20"/>
  <c r="E156" i="20" s="1"/>
  <c r="F156" i="20" s="1"/>
  <c r="W158" i="18"/>
  <c r="D158" i="18"/>
  <c r="E158" i="18" s="1"/>
  <c r="F158" i="18" s="1"/>
  <c r="W162" i="20"/>
  <c r="D162" i="20"/>
  <c r="E162" i="20" s="1"/>
  <c r="F162" i="20" s="1"/>
  <c r="W168" i="18"/>
  <c r="D168" i="18"/>
  <c r="E168" i="18" s="1"/>
  <c r="F168" i="18" s="1"/>
  <c r="W186" i="18"/>
  <c r="D186" i="18"/>
  <c r="E186" i="18" s="1"/>
  <c r="F186" i="18" s="1"/>
  <c r="W190" i="20"/>
  <c r="D190" i="20"/>
  <c r="E190" i="20" s="1"/>
  <c r="F190" i="20" s="1"/>
  <c r="W198" i="20"/>
  <c r="D198" i="20"/>
  <c r="E198" i="20" s="1"/>
  <c r="F198" i="20" s="1"/>
  <c r="W200" i="18"/>
  <c r="D200" i="18"/>
  <c r="E200" i="18" s="1"/>
  <c r="F200" i="18" s="1"/>
  <c r="W206" i="20"/>
  <c r="D206" i="20"/>
  <c r="E206" i="20" s="1"/>
  <c r="F206" i="20" s="1"/>
  <c r="W212" i="18"/>
  <c r="D212" i="18"/>
  <c r="E212" i="18" s="1"/>
  <c r="F212" i="18" s="1"/>
  <c r="W214" i="20"/>
  <c r="D214" i="20"/>
  <c r="E214" i="20" s="1"/>
  <c r="F214" i="20" s="1"/>
  <c r="W224" i="18"/>
  <c r="D224" i="18"/>
  <c r="E224" i="18" s="1"/>
  <c r="F224" i="18" s="1"/>
  <c r="W240" i="20"/>
  <c r="D240" i="20"/>
  <c r="E240" i="20" s="1"/>
  <c r="F240" i="20" s="1"/>
  <c r="W242" i="18"/>
  <c r="D242" i="18"/>
  <c r="E242" i="18" s="1"/>
  <c r="F242" i="18" s="1"/>
  <c r="W264" i="20"/>
  <c r="D264" i="20"/>
  <c r="E264" i="20" s="1"/>
  <c r="F264" i="20" s="1"/>
  <c r="W286" i="18"/>
  <c r="D286" i="18"/>
  <c r="E286" i="18" s="1"/>
  <c r="F286" i="18" s="1"/>
  <c r="W290" i="20"/>
  <c r="D290" i="20"/>
  <c r="E290" i="20" s="1"/>
  <c r="F290" i="20" s="1"/>
  <c r="W312" i="18"/>
  <c r="D312" i="18"/>
  <c r="E312" i="18" s="1"/>
  <c r="F312" i="18" s="1"/>
  <c r="W314" i="20"/>
  <c r="D314" i="20"/>
  <c r="E314" i="20" s="1"/>
  <c r="F314" i="20" s="1"/>
  <c r="W338" i="18"/>
  <c r="D338" i="18"/>
  <c r="E338" i="18" s="1"/>
  <c r="F338" i="18" s="1"/>
  <c r="W340" i="20"/>
  <c r="D340" i="20"/>
  <c r="E340" i="20" s="1"/>
  <c r="F340" i="20" s="1"/>
  <c r="W342" i="18"/>
  <c r="D342" i="18"/>
  <c r="E342" i="18" s="1"/>
  <c r="F342" i="18" s="1"/>
  <c r="W356" i="20"/>
  <c r="D356" i="20"/>
  <c r="E356" i="20" s="1"/>
  <c r="F356" i="20" s="1"/>
  <c r="W358" i="18"/>
  <c r="D358" i="18"/>
  <c r="E358" i="18" s="1"/>
  <c r="F358" i="18" s="1"/>
  <c r="W362" i="20"/>
  <c r="D362" i="20"/>
  <c r="E362" i="20" s="1"/>
  <c r="F362" i="20" s="1"/>
  <c r="W366" i="18"/>
  <c r="D366" i="18"/>
  <c r="E366" i="18" s="1"/>
  <c r="F366" i="18" s="1"/>
  <c r="W137" i="20"/>
  <c r="D137" i="20"/>
  <c r="E137" i="20" s="1"/>
  <c r="F137" i="20" s="1"/>
  <c r="W64" i="18"/>
  <c r="D64" i="18"/>
  <c r="E64" i="18" s="1"/>
  <c r="F64" i="18" s="1"/>
  <c r="W78" i="20"/>
  <c r="D78" i="20"/>
  <c r="E78" i="20" s="1"/>
  <c r="F78" i="20" s="1"/>
  <c r="W222" i="18"/>
  <c r="D222" i="18"/>
  <c r="E222" i="18" s="1"/>
  <c r="F222" i="18" s="1"/>
  <c r="W90" i="20"/>
  <c r="D90" i="20"/>
  <c r="E90" i="20" s="1"/>
  <c r="F90" i="20" s="1"/>
  <c r="W205" i="18"/>
  <c r="D205" i="18"/>
  <c r="E205" i="18" s="1"/>
  <c r="F205" i="18" s="1"/>
  <c r="W289" i="20"/>
  <c r="D289" i="20"/>
  <c r="E289" i="20" s="1"/>
  <c r="F289" i="20" s="1"/>
  <c r="W204" i="18"/>
  <c r="D204" i="18"/>
  <c r="E204" i="18" s="1"/>
  <c r="F204" i="18" s="1"/>
  <c r="W378" i="20"/>
  <c r="D378" i="20"/>
  <c r="E378" i="20" s="1"/>
  <c r="F378" i="20" s="1"/>
  <c r="W207" i="18"/>
  <c r="D207" i="18"/>
  <c r="E207" i="18" s="1"/>
  <c r="F207" i="18" s="1"/>
  <c r="W182" i="20"/>
  <c r="D182" i="20"/>
  <c r="E182" i="20" s="1"/>
  <c r="F182" i="20" s="1"/>
  <c r="W252" i="18"/>
  <c r="D252" i="18"/>
  <c r="E252" i="18" s="1"/>
  <c r="F252" i="18" s="1"/>
  <c r="W310" i="20"/>
  <c r="D310" i="20"/>
  <c r="E310" i="20" s="1"/>
  <c r="F310" i="20" s="1"/>
  <c r="W299" i="18"/>
  <c r="D299" i="18"/>
  <c r="E299" i="18" s="1"/>
  <c r="F299" i="18" s="1"/>
  <c r="W236" i="20"/>
  <c r="D236" i="20"/>
  <c r="E236" i="20" s="1"/>
  <c r="F236" i="20" s="1"/>
  <c r="W305" i="18"/>
  <c r="D305" i="18"/>
  <c r="E305" i="18" s="1"/>
  <c r="F305" i="18" s="1"/>
  <c r="W311" i="20"/>
  <c r="D311" i="20"/>
  <c r="E311" i="20" s="1"/>
  <c r="F311" i="20" s="1"/>
  <c r="W306" i="18"/>
  <c r="D306" i="18"/>
  <c r="E306" i="18" s="1"/>
  <c r="F306" i="18" s="1"/>
  <c r="W98" i="20"/>
  <c r="D98" i="20"/>
  <c r="E98" i="20" s="1"/>
  <c r="F98" i="20" s="1"/>
  <c r="W152" i="18"/>
  <c r="D152" i="18"/>
  <c r="E152" i="18" s="1"/>
  <c r="F152" i="18" s="1"/>
  <c r="W374" i="20"/>
  <c r="D374" i="20"/>
  <c r="E374" i="20" s="1"/>
  <c r="F374" i="20" s="1"/>
  <c r="W353" i="18"/>
  <c r="D353" i="18"/>
  <c r="E353" i="18" s="1"/>
  <c r="F353" i="18" s="1"/>
  <c r="W163" i="20"/>
  <c r="D163" i="20"/>
  <c r="E163" i="20" s="1"/>
  <c r="F163" i="20" s="1"/>
  <c r="W52" i="18"/>
  <c r="D52" i="18"/>
  <c r="E52" i="18" s="1"/>
  <c r="F52" i="18" s="1"/>
  <c r="W157" i="20"/>
  <c r="D157" i="20"/>
  <c r="E157" i="20" s="1"/>
  <c r="F157" i="20" s="1"/>
  <c r="W229" i="18"/>
  <c r="D229" i="18"/>
  <c r="E229" i="18" s="1"/>
  <c r="F229" i="18" s="1"/>
  <c r="W321" i="20"/>
  <c r="D321" i="20"/>
  <c r="E321" i="20" s="1"/>
  <c r="F321" i="20" s="1"/>
  <c r="W103" i="18"/>
  <c r="D103" i="18"/>
  <c r="E103" i="18" s="1"/>
  <c r="F103" i="18" s="1"/>
  <c r="W125" i="20"/>
  <c r="D125" i="20"/>
  <c r="E125" i="20" s="1"/>
  <c r="F125" i="20" s="1"/>
  <c r="W32" i="18"/>
  <c r="D32" i="18"/>
  <c r="E32" i="18" s="1"/>
  <c r="F32" i="18" s="1"/>
  <c r="W332" i="20"/>
  <c r="D332" i="20"/>
  <c r="E332" i="20" s="1"/>
  <c r="F332" i="20" s="1"/>
  <c r="W235" i="18"/>
  <c r="D235" i="18"/>
  <c r="E235" i="18" s="1"/>
  <c r="F235" i="18" s="1"/>
  <c r="W309" i="20"/>
  <c r="D309" i="20"/>
  <c r="E309" i="20" s="1"/>
  <c r="F309" i="20" s="1"/>
  <c r="W331" i="18"/>
  <c r="D331" i="18"/>
  <c r="E331" i="18" s="1"/>
  <c r="F331" i="18" s="1"/>
  <c r="W73" i="20"/>
  <c r="D73" i="20"/>
  <c r="E73" i="20" s="1"/>
  <c r="F73" i="20" s="1"/>
  <c r="W251" i="18"/>
  <c r="D251" i="18"/>
  <c r="E251" i="18" s="1"/>
  <c r="F251" i="18" s="1"/>
  <c r="W62" i="20"/>
  <c r="D62" i="20"/>
  <c r="E62" i="20" s="1"/>
  <c r="F62" i="20" s="1"/>
  <c r="W100" i="18"/>
  <c r="D100" i="18"/>
  <c r="E100" i="18" s="1"/>
  <c r="F100" i="18" s="1"/>
  <c r="W81" i="20"/>
  <c r="D81" i="20"/>
  <c r="E81" i="20" s="1"/>
  <c r="F81" i="20" s="1"/>
  <c r="W153" i="18"/>
  <c r="D153" i="18"/>
  <c r="E153" i="18" s="1"/>
  <c r="F153" i="18" s="1"/>
  <c r="W295" i="20"/>
  <c r="D295" i="20"/>
  <c r="E295" i="20" s="1"/>
  <c r="F295" i="20" s="1"/>
  <c r="W38" i="18"/>
  <c r="D38" i="18"/>
  <c r="E38" i="18" s="1"/>
  <c r="F38" i="18" s="1"/>
  <c r="W76" i="20"/>
  <c r="D76" i="20"/>
  <c r="E76" i="20" s="1"/>
  <c r="F76" i="20" s="1"/>
  <c r="W132" i="18"/>
  <c r="D132" i="18"/>
  <c r="E132" i="18" s="1"/>
  <c r="F132" i="18" s="1"/>
  <c r="W232" i="20"/>
  <c r="D232" i="20"/>
  <c r="E232" i="20" s="1"/>
  <c r="F232" i="20" s="1"/>
  <c r="W174" i="18"/>
  <c r="D174" i="18"/>
  <c r="E174" i="18" s="1"/>
  <c r="F174" i="18" s="1"/>
  <c r="W372" i="18"/>
  <c r="D372" i="18"/>
  <c r="E372" i="18" s="1"/>
  <c r="F372" i="18" s="1"/>
  <c r="W53" i="18"/>
  <c r="D53" i="18"/>
  <c r="E53" i="18" s="1"/>
  <c r="F53" i="18" s="1"/>
  <c r="W65" i="18"/>
  <c r="D65" i="18"/>
  <c r="E65" i="18" s="1"/>
  <c r="F65" i="18" s="1"/>
  <c r="W139" i="18"/>
  <c r="D139" i="18"/>
  <c r="E139" i="18" s="1"/>
  <c r="F139" i="18" s="1"/>
  <c r="W143" i="18"/>
  <c r="D143" i="18"/>
  <c r="E143" i="18" s="1"/>
  <c r="F143" i="18" s="1"/>
  <c r="W169" i="18"/>
  <c r="D169" i="18"/>
  <c r="E169" i="18" s="1"/>
  <c r="F169" i="18" s="1"/>
  <c r="W191" i="18"/>
  <c r="D191" i="18"/>
  <c r="E191" i="18" s="1"/>
  <c r="F191" i="18" s="1"/>
  <c r="W203" i="18"/>
  <c r="D203" i="18"/>
  <c r="E203" i="18" s="1"/>
  <c r="F203" i="18" s="1"/>
  <c r="W223" i="18"/>
  <c r="D223" i="18"/>
  <c r="E223" i="18" s="1"/>
  <c r="F223" i="18" s="1"/>
  <c r="W245" i="18"/>
  <c r="D245" i="18"/>
  <c r="E245" i="18" s="1"/>
  <c r="F245" i="18" s="1"/>
  <c r="W267" i="18"/>
  <c r="D267" i="18"/>
  <c r="E267" i="18" s="1"/>
  <c r="F267" i="18" s="1"/>
  <c r="W277" i="18"/>
  <c r="D277" i="18"/>
  <c r="E277" i="18" s="1"/>
  <c r="F277" i="18" s="1"/>
  <c r="W307" i="18"/>
  <c r="D307" i="18"/>
  <c r="E307" i="18" s="1"/>
  <c r="F307" i="18" s="1"/>
  <c r="W325" i="18"/>
  <c r="D325" i="18"/>
  <c r="E325" i="18" s="1"/>
  <c r="F325" i="18" s="1"/>
  <c r="W357" i="18"/>
  <c r="D357" i="18"/>
  <c r="E357" i="18" s="1"/>
  <c r="F357" i="18" s="1"/>
  <c r="W373" i="18"/>
  <c r="D373" i="18"/>
  <c r="E373" i="18" s="1"/>
  <c r="F373" i="18" s="1"/>
  <c r="B288" i="22"/>
  <c r="W288" i="18"/>
  <c r="D288" i="18"/>
  <c r="E288" i="18" s="1"/>
  <c r="F288" i="18" s="1"/>
  <c r="B20" i="20"/>
  <c r="B18" i="22"/>
  <c r="W18" i="18"/>
  <c r="D18" i="18"/>
  <c r="E18" i="18" s="1"/>
  <c r="F18" i="18" s="1"/>
  <c r="B27" i="20"/>
  <c r="B28" i="22"/>
  <c r="W28" i="18"/>
  <c r="D28" i="18"/>
  <c r="E28" i="18" s="1"/>
  <c r="F28" i="18" s="1"/>
  <c r="B48" i="20"/>
  <c r="B122" i="22"/>
  <c r="W122" i="18"/>
  <c r="D122" i="18"/>
  <c r="E122" i="18" s="1"/>
  <c r="F122" i="18" s="1"/>
  <c r="B124" i="20"/>
  <c r="B138" i="22"/>
  <c r="W138" i="18"/>
  <c r="D138" i="18"/>
  <c r="E138" i="18" s="1"/>
  <c r="F138" i="18" s="1"/>
  <c r="B160" i="20"/>
  <c r="B172" i="22"/>
  <c r="W172" i="18"/>
  <c r="D172" i="18"/>
  <c r="E172" i="18" s="1"/>
  <c r="F172" i="18" s="1"/>
  <c r="B184" i="20"/>
  <c r="B202" i="22"/>
  <c r="W202" i="18"/>
  <c r="D202" i="18"/>
  <c r="E202" i="18" s="1"/>
  <c r="F202" i="18" s="1"/>
  <c r="B234" i="20"/>
  <c r="B238" i="22"/>
  <c r="W238" i="18"/>
  <c r="D238" i="18"/>
  <c r="E238" i="18" s="1"/>
  <c r="F238" i="18" s="1"/>
  <c r="B256" i="20"/>
  <c r="B262" i="22"/>
  <c r="W262" i="18"/>
  <c r="D262" i="18"/>
  <c r="E262" i="18" s="1"/>
  <c r="F262" i="18" s="1"/>
  <c r="B266" i="20"/>
  <c r="B280" i="22"/>
  <c r="W280" i="18"/>
  <c r="D280" i="18"/>
  <c r="E280" i="18" s="1"/>
  <c r="F280" i="18" s="1"/>
  <c r="B292" i="20"/>
  <c r="B304" i="22"/>
  <c r="W304" i="18"/>
  <c r="D304" i="18"/>
  <c r="E304" i="18" s="1"/>
  <c r="F304" i="18" s="1"/>
  <c r="B322" i="20"/>
  <c r="B324" i="22"/>
  <c r="W324" i="18"/>
  <c r="D324" i="18"/>
  <c r="E324" i="18" s="1"/>
  <c r="F324" i="18" s="1"/>
  <c r="B330" i="20"/>
  <c r="B344" i="22"/>
  <c r="W344" i="18"/>
  <c r="D344" i="18"/>
  <c r="E344" i="18" s="1"/>
  <c r="F344" i="18" s="1"/>
  <c r="B350" i="20"/>
  <c r="B360" i="22"/>
  <c r="W360" i="18"/>
  <c r="D360" i="18"/>
  <c r="E360" i="18" s="1"/>
  <c r="F360" i="18" s="1"/>
  <c r="B364" i="20"/>
  <c r="B370" i="22"/>
  <c r="W370" i="18"/>
  <c r="D370" i="18"/>
  <c r="E370" i="18" s="1"/>
  <c r="F370" i="18" s="1"/>
  <c r="B26" i="20"/>
  <c r="B25" i="22"/>
  <c r="W25" i="18"/>
  <c r="D25" i="18"/>
  <c r="E25" i="18" s="1"/>
  <c r="F25" i="18" s="1"/>
  <c r="B41" i="20"/>
  <c r="B51" i="22"/>
  <c r="W51" i="18"/>
  <c r="D51" i="18"/>
  <c r="E51" i="18" s="1"/>
  <c r="F51" i="18" s="1"/>
  <c r="B57" i="20"/>
  <c r="B85" i="22"/>
  <c r="W85" i="18"/>
  <c r="D85" i="18"/>
  <c r="E85" i="18" s="1"/>
  <c r="F85" i="18" s="1"/>
  <c r="B91" i="20"/>
  <c r="B109" i="22"/>
  <c r="W109" i="18"/>
  <c r="D109" i="18"/>
  <c r="E109" i="18" s="1"/>
  <c r="F109" i="18" s="1"/>
  <c r="B113" i="20"/>
  <c r="B115" i="22"/>
  <c r="W115" i="18"/>
  <c r="D115" i="18"/>
  <c r="E115" i="18" s="1"/>
  <c r="F115" i="18" s="1"/>
  <c r="B117" i="20"/>
  <c r="B121" i="22"/>
  <c r="W121" i="18"/>
  <c r="D121" i="18"/>
  <c r="E121" i="18" s="1"/>
  <c r="F121" i="18" s="1"/>
  <c r="B129" i="20"/>
  <c r="B133" i="22"/>
  <c r="W133" i="18"/>
  <c r="D133" i="18"/>
  <c r="E133" i="18" s="1"/>
  <c r="F133" i="18" s="1"/>
  <c r="B165" i="20"/>
  <c r="B199" i="22"/>
  <c r="W199" i="18"/>
  <c r="D199" i="18"/>
  <c r="E199" i="18" s="1"/>
  <c r="F199" i="18" s="1"/>
  <c r="B213" i="20"/>
  <c r="B217" i="22"/>
  <c r="W217" i="18"/>
  <c r="D217" i="18"/>
  <c r="E217" i="18" s="1"/>
  <c r="F217" i="18" s="1"/>
  <c r="B225" i="20"/>
  <c r="B237" i="22"/>
  <c r="W237" i="18"/>
  <c r="D237" i="18"/>
  <c r="E237" i="18" s="1"/>
  <c r="F237" i="18" s="1"/>
  <c r="B239" i="20"/>
  <c r="B243" i="22"/>
  <c r="W243" i="18"/>
  <c r="D243" i="18"/>
  <c r="E243" i="18" s="1"/>
  <c r="F243" i="18" s="1"/>
  <c r="B279" i="20"/>
  <c r="B297" i="22"/>
  <c r="W297" i="18"/>
  <c r="D297" i="18"/>
  <c r="E297" i="18" s="1"/>
  <c r="F297" i="18" s="1"/>
  <c r="B315" i="20"/>
  <c r="B329" i="22"/>
  <c r="W329" i="18"/>
  <c r="D329" i="18"/>
  <c r="E329" i="18" s="1"/>
  <c r="F329" i="18" s="1"/>
  <c r="B343" i="20"/>
  <c r="B345" i="22"/>
  <c r="W345" i="18"/>
  <c r="D345" i="18"/>
  <c r="E345" i="18" s="1"/>
  <c r="F345" i="18" s="1"/>
  <c r="B351" i="20"/>
  <c r="B355" i="22"/>
  <c r="W355" i="18"/>
  <c r="D355" i="18"/>
  <c r="E355" i="18" s="1"/>
  <c r="F355" i="18" s="1"/>
  <c r="B377" i="20"/>
  <c r="B24" i="22"/>
  <c r="W24" i="18"/>
  <c r="D24" i="18"/>
  <c r="E24" i="18" s="1"/>
  <c r="F24" i="18" s="1"/>
  <c r="B30" i="20"/>
  <c r="B36" i="22"/>
  <c r="W36" i="18"/>
  <c r="D36" i="18"/>
  <c r="E36" i="18" s="1"/>
  <c r="F36" i="18" s="1"/>
  <c r="B40" i="20"/>
  <c r="B44" i="22"/>
  <c r="W44" i="18"/>
  <c r="D44" i="18"/>
  <c r="E44" i="18" s="1"/>
  <c r="F44" i="18" s="1"/>
  <c r="B54" i="20"/>
  <c r="B58" i="22"/>
  <c r="W58" i="18"/>
  <c r="D58" i="18"/>
  <c r="E58" i="18" s="1"/>
  <c r="F58" i="18" s="1"/>
  <c r="B68" i="20"/>
  <c r="B72" i="22"/>
  <c r="W72" i="18"/>
  <c r="D72" i="18"/>
  <c r="E72" i="18" s="1"/>
  <c r="F72" i="18" s="1"/>
  <c r="B82" i="20"/>
  <c r="B102" i="22"/>
  <c r="W102" i="18"/>
  <c r="D102" i="18"/>
  <c r="E102" i="18" s="1"/>
  <c r="F102" i="18" s="1"/>
  <c r="B134" i="20"/>
  <c r="B156" i="22"/>
  <c r="W156" i="18"/>
  <c r="D156" i="18"/>
  <c r="E156" i="18" s="1"/>
  <c r="F156" i="18" s="1"/>
  <c r="B158" i="20"/>
  <c r="B162" i="22"/>
  <c r="W162" i="18"/>
  <c r="D162" i="18"/>
  <c r="E162" i="18" s="1"/>
  <c r="F162" i="18" s="1"/>
  <c r="B168" i="20"/>
  <c r="B186" i="20"/>
  <c r="B190" i="22"/>
  <c r="W190" i="18"/>
  <c r="D190" i="18"/>
  <c r="E190" i="18" s="1"/>
  <c r="F190" i="18" s="1"/>
  <c r="B198" i="22"/>
  <c r="W198" i="18"/>
  <c r="D198" i="18"/>
  <c r="E198" i="18" s="1"/>
  <c r="F198" i="18" s="1"/>
  <c r="B200" i="20"/>
  <c r="B206" i="22"/>
  <c r="W206" i="18"/>
  <c r="D206" i="18"/>
  <c r="E206" i="18" s="1"/>
  <c r="F206" i="18" s="1"/>
  <c r="B212" i="20"/>
  <c r="B214" i="22"/>
  <c r="W214" i="18"/>
  <c r="D214" i="18"/>
  <c r="E214" i="18" s="1"/>
  <c r="F214" i="18" s="1"/>
  <c r="B224" i="20"/>
  <c r="B240" i="22"/>
  <c r="W240" i="18"/>
  <c r="D240" i="18"/>
  <c r="E240" i="18" s="1"/>
  <c r="F240" i="18" s="1"/>
  <c r="B242" i="20"/>
  <c r="B264" i="22"/>
  <c r="W264" i="18"/>
  <c r="D264" i="18"/>
  <c r="E264" i="18" s="1"/>
  <c r="F264" i="18" s="1"/>
  <c r="B286" i="20"/>
  <c r="B290" i="22"/>
  <c r="W290" i="18"/>
  <c r="D290" i="18"/>
  <c r="E290" i="18" s="1"/>
  <c r="F290" i="18" s="1"/>
  <c r="B312" i="20"/>
  <c r="B314" i="22"/>
  <c r="W314" i="18"/>
  <c r="D314" i="18"/>
  <c r="E314" i="18" s="1"/>
  <c r="F314" i="18" s="1"/>
  <c r="B338" i="20"/>
  <c r="B340" i="22"/>
  <c r="W340" i="18"/>
  <c r="D340" i="18"/>
  <c r="E340" i="18" s="1"/>
  <c r="F340" i="18" s="1"/>
  <c r="B342" i="20"/>
  <c r="B356" i="22"/>
  <c r="W356" i="18"/>
  <c r="D356" i="18"/>
  <c r="E356" i="18" s="1"/>
  <c r="F356" i="18" s="1"/>
  <c r="B358" i="20"/>
  <c r="B362" i="22"/>
  <c r="W362" i="18"/>
  <c r="D362" i="18"/>
  <c r="E362" i="18" s="1"/>
  <c r="F362" i="18" s="1"/>
  <c r="B366" i="20"/>
  <c r="B137" i="22"/>
  <c r="W137" i="18"/>
  <c r="D137" i="18"/>
  <c r="E137" i="18" s="1"/>
  <c r="F137" i="18" s="1"/>
  <c r="B64" i="20"/>
  <c r="B78" i="22"/>
  <c r="W78" i="18"/>
  <c r="D78" i="18"/>
  <c r="E78" i="18" s="1"/>
  <c r="F78" i="18" s="1"/>
  <c r="B222" i="20"/>
  <c r="B90" i="22"/>
  <c r="W90" i="18"/>
  <c r="D90" i="18"/>
  <c r="E90" i="18" s="1"/>
  <c r="F90" i="18" s="1"/>
  <c r="B205" i="20"/>
  <c r="B289" i="22"/>
  <c r="W289" i="18"/>
  <c r="D289" i="18"/>
  <c r="E289" i="18" s="1"/>
  <c r="F289" i="18" s="1"/>
  <c r="B204" i="20"/>
  <c r="B378" i="22"/>
  <c r="W378" i="18"/>
  <c r="D378" i="18"/>
  <c r="E378" i="18" s="1"/>
  <c r="F378" i="18" s="1"/>
  <c r="B207" i="20"/>
  <c r="B182" i="22"/>
  <c r="W182" i="18"/>
  <c r="D182" i="18"/>
  <c r="E182" i="18" s="1"/>
  <c r="F182" i="18" s="1"/>
  <c r="B252" i="20"/>
  <c r="B310" i="22"/>
  <c r="W310" i="18"/>
  <c r="D310" i="18"/>
  <c r="E310" i="18" s="1"/>
  <c r="F310" i="18" s="1"/>
  <c r="B299" i="20"/>
  <c r="B236" i="22"/>
  <c r="W236" i="18"/>
  <c r="D236" i="18"/>
  <c r="E236" i="18" s="1"/>
  <c r="F236" i="18" s="1"/>
  <c r="B305" i="20"/>
  <c r="B311" i="22"/>
  <c r="W311" i="18"/>
  <c r="D311" i="18"/>
  <c r="E311" i="18" s="1"/>
  <c r="F311" i="18" s="1"/>
  <c r="B306" i="20"/>
  <c r="B98" i="22"/>
  <c r="W98" i="18"/>
  <c r="D98" i="18"/>
  <c r="E98" i="18" s="1"/>
  <c r="F98" i="18" s="1"/>
  <c r="B152" i="20"/>
  <c r="B374" i="22"/>
  <c r="W374" i="18"/>
  <c r="D374" i="18"/>
  <c r="E374" i="18" s="1"/>
  <c r="F374" i="18" s="1"/>
  <c r="B353" i="20"/>
  <c r="B163" i="22"/>
  <c r="W163" i="18"/>
  <c r="D163" i="18"/>
  <c r="E163" i="18" s="1"/>
  <c r="F163" i="18" s="1"/>
  <c r="B52" i="20"/>
  <c r="B157" i="22"/>
  <c r="W157" i="18"/>
  <c r="D157" i="18"/>
  <c r="E157" i="18" s="1"/>
  <c r="F157" i="18" s="1"/>
  <c r="B229" i="20"/>
  <c r="B321" i="22"/>
  <c r="W321" i="18"/>
  <c r="D321" i="18"/>
  <c r="E321" i="18" s="1"/>
  <c r="F321" i="18" s="1"/>
  <c r="B103" i="20"/>
  <c r="B125" i="22"/>
  <c r="W125" i="18"/>
  <c r="D125" i="18"/>
  <c r="E125" i="18" s="1"/>
  <c r="F125" i="18" s="1"/>
  <c r="B32" i="20"/>
  <c r="B332" i="22"/>
  <c r="W332" i="18"/>
  <c r="D332" i="18"/>
  <c r="E332" i="18" s="1"/>
  <c r="F332" i="18" s="1"/>
  <c r="B235" i="20"/>
  <c r="B309" i="22"/>
  <c r="W309" i="18"/>
  <c r="D309" i="18"/>
  <c r="E309" i="18" s="1"/>
  <c r="F309" i="18" s="1"/>
  <c r="B331" i="20"/>
  <c r="B73" i="22"/>
  <c r="W73" i="18"/>
  <c r="D73" i="18"/>
  <c r="E73" i="18" s="1"/>
  <c r="F73" i="18" s="1"/>
  <c r="B251" i="20"/>
  <c r="B62" i="22"/>
  <c r="W62" i="18"/>
  <c r="D62" i="18"/>
  <c r="E62" i="18" s="1"/>
  <c r="F62" i="18" s="1"/>
  <c r="B100" i="20"/>
  <c r="B81" i="22"/>
  <c r="W81" i="18"/>
  <c r="D81" i="18"/>
  <c r="E81" i="18" s="1"/>
  <c r="F81" i="18" s="1"/>
  <c r="B153" i="20"/>
  <c r="B295" i="22"/>
  <c r="W295" i="18"/>
  <c r="D295" i="18"/>
  <c r="E295" i="18" s="1"/>
  <c r="F295" i="18" s="1"/>
  <c r="B38" i="20"/>
  <c r="B76" i="22"/>
  <c r="W76" i="18"/>
  <c r="D76" i="18"/>
  <c r="E76" i="18" s="1"/>
  <c r="F76" i="18" s="1"/>
  <c r="B132" i="20"/>
  <c r="B232" i="22"/>
  <c r="W232" i="18"/>
  <c r="D232" i="18"/>
  <c r="E232" i="18" s="1"/>
  <c r="F232" i="18" s="1"/>
  <c r="B174" i="20"/>
  <c r="G352" i="17"/>
  <c r="BZ352" i="6" s="1"/>
  <c r="H352" i="17"/>
  <c r="AA352" i="17"/>
  <c r="Z352" i="17" s="1"/>
  <c r="Y352" i="17" s="1"/>
  <c r="G377" i="17"/>
  <c r="BZ377" i="6" s="1"/>
  <c r="AA377" i="17"/>
  <c r="Z377" i="17" s="1"/>
  <c r="Y377" i="17" s="1"/>
  <c r="H377" i="17"/>
  <c r="G192" i="17"/>
  <c r="BZ192" i="6" s="1"/>
  <c r="AA192" i="17"/>
  <c r="Z192" i="17" s="1"/>
  <c r="Y192" i="17" s="1"/>
  <c r="H192" i="17"/>
  <c r="G21" i="17"/>
  <c r="BZ21" i="6" s="1"/>
  <c r="AA21" i="17"/>
  <c r="Z21" i="17" s="1"/>
  <c r="Y21" i="17" s="1"/>
  <c r="H21" i="17"/>
  <c r="G302" i="17"/>
  <c r="BZ302" i="6" s="1"/>
  <c r="AA302" i="17"/>
  <c r="Z302" i="17" s="1"/>
  <c r="Y302" i="17" s="1"/>
  <c r="H302" i="17"/>
  <c r="G113" i="17"/>
  <c r="BZ113" i="6" s="1"/>
  <c r="AA113" i="17"/>
  <c r="Z113" i="17" s="1"/>
  <c r="Y113" i="17" s="1"/>
  <c r="H113" i="17"/>
  <c r="G83" i="17"/>
  <c r="BZ83" i="6" s="1"/>
  <c r="AA83" i="17"/>
  <c r="Z83" i="17" s="1"/>
  <c r="Y83" i="17" s="1"/>
  <c r="H83" i="17"/>
  <c r="G379" i="17"/>
  <c r="BZ379" i="6" s="1"/>
  <c r="H379" i="17"/>
  <c r="AA379" i="17"/>
  <c r="Z379" i="17" s="1"/>
  <c r="Y379" i="17" s="1"/>
  <c r="G247" i="17"/>
  <c r="BZ247" i="6" s="1"/>
  <c r="H247" i="17"/>
  <c r="AA247" i="17"/>
  <c r="Z247" i="17" s="1"/>
  <c r="Y247" i="17" s="1"/>
  <c r="G124" i="17"/>
  <c r="BZ124" i="6" s="1"/>
  <c r="H124" i="17"/>
  <c r="AA124" i="17"/>
  <c r="Z124" i="17" s="1"/>
  <c r="Y124" i="17" s="1"/>
  <c r="G230" i="17"/>
  <c r="BZ230" i="6" s="1"/>
  <c r="H230" i="17"/>
  <c r="AA230" i="17"/>
  <c r="Z230" i="17" s="1"/>
  <c r="Y230" i="17" s="1"/>
  <c r="G105" i="17"/>
  <c r="BZ105" i="6" s="1"/>
  <c r="AA105" i="17"/>
  <c r="Z105" i="17" s="1"/>
  <c r="Y105" i="17" s="1"/>
  <c r="H105" i="17"/>
  <c r="G19" i="17"/>
  <c r="BZ19" i="6" s="1"/>
  <c r="AA19" i="17"/>
  <c r="Z19" i="17" s="1"/>
  <c r="Y19" i="17" s="1"/>
  <c r="H19" i="17"/>
  <c r="G371" i="17"/>
  <c r="BZ371" i="6" s="1"/>
  <c r="AA371" i="17"/>
  <c r="Z371" i="17" s="1"/>
  <c r="Y371" i="17" s="1"/>
  <c r="H371" i="17"/>
  <c r="G304" i="17"/>
  <c r="BZ304" i="6" s="1"/>
  <c r="AA304" i="17"/>
  <c r="Z304" i="17" s="1"/>
  <c r="Y304" i="17" s="1"/>
  <c r="H304" i="17"/>
  <c r="G193" i="17"/>
  <c r="BZ193" i="6" s="1"/>
  <c r="H193" i="17"/>
  <c r="AA193" i="17"/>
  <c r="Z193" i="17" s="1"/>
  <c r="Y193" i="17" s="1"/>
  <c r="G278" i="17"/>
  <c r="BZ278" i="6" s="1"/>
  <c r="AA278" i="17"/>
  <c r="Z278" i="17" s="1"/>
  <c r="Y278" i="17" s="1"/>
  <c r="H278" i="17"/>
  <c r="G283" i="17"/>
  <c r="BZ283" i="6" s="1"/>
  <c r="AA283" i="17"/>
  <c r="Z283" i="17" s="1"/>
  <c r="Y283" i="17" s="1"/>
  <c r="H283" i="17"/>
  <c r="G65" i="17"/>
  <c r="BZ65" i="6" s="1"/>
  <c r="AA65" i="17"/>
  <c r="Z65" i="17" s="1"/>
  <c r="Y65" i="17" s="1"/>
  <c r="H65" i="17"/>
  <c r="G18" i="17"/>
  <c r="BZ18" i="6" s="1"/>
  <c r="H18" i="17"/>
  <c r="AA18" i="17"/>
  <c r="Z18" i="17" s="1"/>
  <c r="Y18" i="17" s="1"/>
  <c r="G123" i="17"/>
  <c r="BZ123" i="6" s="1"/>
  <c r="AA123" i="17"/>
  <c r="Z123" i="17" s="1"/>
  <c r="Y123" i="17" s="1"/>
  <c r="H123" i="17"/>
  <c r="G148" i="17"/>
  <c r="BZ148" i="6" s="1"/>
  <c r="AA148" i="17"/>
  <c r="Z148" i="17" s="1"/>
  <c r="Y148" i="17" s="1"/>
  <c r="H148" i="17"/>
  <c r="G62" i="17"/>
  <c r="BZ62" i="6" s="1"/>
  <c r="AA62" i="17"/>
  <c r="Z62" i="17" s="1"/>
  <c r="Y62" i="17" s="1"/>
  <c r="H62" i="17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0" i="17"/>
  <c r="BZ20" i="6" s="1"/>
  <c r="H20" i="17"/>
  <c r="AA20" i="17"/>
  <c r="Z20" i="17" s="1"/>
  <c r="Y20" i="17" s="1"/>
  <c r="G173" i="17"/>
  <c r="BZ173" i="6" s="1"/>
  <c r="AA173" i="17"/>
  <c r="Z173" i="17" s="1"/>
  <c r="Y173" i="17" s="1"/>
  <c r="H173" i="17"/>
  <c r="G159" i="17"/>
  <c r="BZ159" i="6" s="1"/>
  <c r="H159" i="17"/>
  <c r="AA159" i="17"/>
  <c r="Z159" i="17" s="1"/>
  <c r="Y159" i="17" s="1"/>
  <c r="G256" i="17"/>
  <c r="BZ256" i="6" s="1"/>
  <c r="AA256" i="17"/>
  <c r="Z256" i="17" s="1"/>
  <c r="Y256" i="17" s="1"/>
  <c r="H256" i="17"/>
  <c r="G353" i="17"/>
  <c r="BZ353" i="6" s="1"/>
  <c r="H353" i="17"/>
  <c r="AA353" i="17"/>
  <c r="Z353" i="17" s="1"/>
  <c r="Y353" i="17" s="1"/>
  <c r="G310" i="17"/>
  <c r="BZ310" i="6" s="1"/>
  <c r="H310" i="17"/>
  <c r="AA310" i="17"/>
  <c r="Z310" i="17" s="1"/>
  <c r="Y310" i="17" s="1"/>
  <c r="G254" i="17"/>
  <c r="BZ254" i="6" s="1"/>
  <c r="H254" i="17"/>
  <c r="AA254" i="17"/>
  <c r="Z254" i="17" s="1"/>
  <c r="Y254" i="17" s="1"/>
  <c r="G156" i="17"/>
  <c r="BZ156" i="6" s="1"/>
  <c r="AA156" i="17"/>
  <c r="Z156" i="17" s="1"/>
  <c r="Y156" i="17" s="1"/>
  <c r="H156" i="17"/>
  <c r="G44" i="17"/>
  <c r="BZ44" i="6" s="1"/>
  <c r="AA44" i="17"/>
  <c r="Z44" i="17" s="1"/>
  <c r="Y44" i="17" s="1"/>
  <c r="H44" i="17"/>
  <c r="G359" i="17"/>
  <c r="BZ359" i="6" s="1"/>
  <c r="H359" i="17"/>
  <c r="AA359" i="17"/>
  <c r="Z359" i="17" s="1"/>
  <c r="Y359" i="17" s="1"/>
  <c r="G129" i="17"/>
  <c r="BZ129" i="6" s="1"/>
  <c r="H129" i="17"/>
  <c r="AA129" i="17"/>
  <c r="Z129" i="17" s="1"/>
  <c r="Y129" i="17" s="1"/>
  <c r="G52" i="17"/>
  <c r="BZ52" i="6" s="1"/>
  <c r="H52" i="17"/>
  <c r="AA52" i="17"/>
  <c r="Z52" i="17" s="1"/>
  <c r="Y52" i="17" s="1"/>
  <c r="G365" i="17"/>
  <c r="BZ365" i="6" s="1"/>
  <c r="H365" i="17"/>
  <c r="AA365" i="17"/>
  <c r="Z365" i="17" s="1"/>
  <c r="Y365" i="17" s="1"/>
  <c r="G301" i="17"/>
  <c r="BZ301" i="6" s="1"/>
  <c r="H301" i="17"/>
  <c r="AA301" i="17"/>
  <c r="Z301" i="17" s="1"/>
  <c r="Y301" i="17" s="1"/>
  <c r="G348" i="17"/>
  <c r="BZ348" i="6" s="1"/>
  <c r="H348" i="17"/>
  <c r="AA348" i="17"/>
  <c r="Z348" i="17" s="1"/>
  <c r="Y348" i="17" s="1"/>
  <c r="G264" i="17"/>
  <c r="BZ264" i="6" s="1"/>
  <c r="H264" i="17"/>
  <c r="AA264" i="17"/>
  <c r="Z264" i="17" s="1"/>
  <c r="Y264" i="17" s="1"/>
  <c r="G220" i="17"/>
  <c r="BZ220" i="6" s="1"/>
  <c r="AA220" i="17"/>
  <c r="Z220" i="17" s="1"/>
  <c r="Y220" i="17" s="1"/>
  <c r="H220" i="17"/>
  <c r="G213" i="17"/>
  <c r="BZ213" i="6" s="1"/>
  <c r="H213" i="17"/>
  <c r="AA213" i="17"/>
  <c r="Z213" i="17" s="1"/>
  <c r="Y213" i="17" s="1"/>
  <c r="G75" i="17"/>
  <c r="BZ75" i="6" s="1"/>
  <c r="H75" i="17"/>
  <c r="AA75" i="17"/>
  <c r="Z75" i="17" s="1"/>
  <c r="Y75" i="17" s="1"/>
  <c r="H43" i="17"/>
  <c r="AA43" i="17"/>
  <c r="Z43" i="17" s="1"/>
  <c r="Y43" i="17" s="1"/>
  <c r="G43" i="17"/>
  <c r="BZ43" i="6" s="1"/>
  <c r="G340" i="17"/>
  <c r="BZ340" i="6" s="1"/>
  <c r="H340" i="17"/>
  <c r="AA340" i="17"/>
  <c r="Z340" i="17" s="1"/>
  <c r="Y340" i="17" s="1"/>
  <c r="G181" i="17"/>
  <c r="BZ181" i="6" s="1"/>
  <c r="AA181" i="17"/>
  <c r="Z181" i="17" s="1"/>
  <c r="Y181" i="17" s="1"/>
  <c r="H181" i="17"/>
  <c r="G286" i="17"/>
  <c r="BZ286" i="6" s="1"/>
  <c r="H286" i="17"/>
  <c r="AA286" i="17"/>
  <c r="Z286" i="17" s="1"/>
  <c r="Y286" i="17" s="1"/>
  <c r="G149" i="17"/>
  <c r="BZ149" i="6" s="1"/>
  <c r="AA149" i="17"/>
  <c r="Z149" i="17" s="1"/>
  <c r="Y149" i="17" s="1"/>
  <c r="H149" i="17"/>
  <c r="G325" i="17"/>
  <c r="BZ325" i="6" s="1"/>
  <c r="H325" i="17"/>
  <c r="AA325" i="17"/>
  <c r="Z325" i="17" s="1"/>
  <c r="Y325" i="17" s="1"/>
  <c r="G242" i="17"/>
  <c r="BZ242" i="6" s="1"/>
  <c r="H242" i="17"/>
  <c r="AA242" i="17"/>
  <c r="Z242" i="17" s="1"/>
  <c r="Y242" i="17" s="1"/>
  <c r="G172" i="17"/>
  <c r="BZ172" i="6" s="1"/>
  <c r="H172" i="17"/>
  <c r="AA172" i="17"/>
  <c r="Z172" i="17" s="1"/>
  <c r="Y172" i="17" s="1"/>
  <c r="G366" i="17"/>
  <c r="BZ366" i="6" s="1"/>
  <c r="AA366" i="17"/>
  <c r="Z366" i="17" s="1"/>
  <c r="Y366" i="17" s="1"/>
  <c r="H366" i="17"/>
  <c r="G234" i="17"/>
  <c r="BZ234" i="6" s="1"/>
  <c r="H234" i="17"/>
  <c r="AA234" i="17"/>
  <c r="Z234" i="17" s="1"/>
  <c r="Y234" i="17" s="1"/>
  <c r="G243" i="17"/>
  <c r="BZ243" i="6" s="1"/>
  <c r="AA243" i="17"/>
  <c r="Z243" i="17" s="1"/>
  <c r="Y243" i="17" s="1"/>
  <c r="H243" i="17"/>
  <c r="G285" i="17"/>
  <c r="BZ285" i="6" s="1"/>
  <c r="H285" i="17"/>
  <c r="AA285" i="17"/>
  <c r="Z285" i="17" s="1"/>
  <c r="Y285" i="17" s="1"/>
  <c r="G357" i="17"/>
  <c r="BZ357" i="6" s="1"/>
  <c r="H357" i="17"/>
  <c r="AA357" i="17"/>
  <c r="Z357" i="17" s="1"/>
  <c r="Y357" i="17" s="1"/>
  <c r="G330" i="17"/>
  <c r="BZ330" i="6" s="1"/>
  <c r="H330" i="17"/>
  <c r="AA330" i="17"/>
  <c r="Z330" i="17" s="1"/>
  <c r="Y330" i="17" s="1"/>
  <c r="G339" i="17"/>
  <c r="BZ339" i="6" s="1"/>
  <c r="AA339" i="17"/>
  <c r="Z339" i="17" s="1"/>
  <c r="Y339" i="17" s="1"/>
  <c r="H339" i="17"/>
  <c r="G180" i="17"/>
  <c r="BZ180" i="6" s="1"/>
  <c r="H180" i="17"/>
  <c r="AA180" i="17"/>
  <c r="Z180" i="17" s="1"/>
  <c r="Y180" i="17" s="1"/>
  <c r="G294" i="17"/>
  <c r="BZ294" i="6" s="1"/>
  <c r="AA294" i="17"/>
  <c r="Z294" i="17" s="1"/>
  <c r="Y294" i="17" s="1"/>
  <c r="H294" i="17"/>
  <c r="G103" i="17"/>
  <c r="BZ103" i="6" s="1"/>
  <c r="H103" i="17"/>
  <c r="AA103" i="17"/>
  <c r="Z103" i="17" s="1"/>
  <c r="Y103" i="17" s="1"/>
  <c r="G117" i="17"/>
  <c r="BZ117" i="6" s="1"/>
  <c r="H117" i="17"/>
  <c r="AA117" i="17"/>
  <c r="Z117" i="17" s="1"/>
  <c r="Y117" i="17" s="1"/>
  <c r="G70" i="17"/>
  <c r="BZ70" i="6" s="1"/>
  <c r="H70" i="17"/>
  <c r="AA70" i="17"/>
  <c r="Z70" i="17" s="1"/>
  <c r="Y70" i="17" s="1"/>
  <c r="G199" i="17"/>
  <c r="BZ199" i="6" s="1"/>
  <c r="AA199" i="17"/>
  <c r="Z199" i="17" s="1"/>
  <c r="Y199" i="17" s="1"/>
  <c r="H199" i="17"/>
  <c r="G17" i="17"/>
  <c r="BZ17" i="6" s="1"/>
  <c r="AA17" i="17"/>
  <c r="Z17" i="17" s="1"/>
  <c r="Y17" i="17" s="1"/>
  <c r="H17" i="17"/>
  <c r="G249" i="17"/>
  <c r="BZ249" i="6" s="1"/>
  <c r="AA249" i="17"/>
  <c r="Z249" i="17" s="1"/>
  <c r="Y249" i="17" s="1"/>
  <c r="H249" i="17"/>
  <c r="G45" i="17"/>
  <c r="BZ45" i="6" s="1"/>
  <c r="H45" i="17"/>
  <c r="AA45" i="17"/>
  <c r="Z45" i="17" s="1"/>
  <c r="Y45" i="17" s="1"/>
  <c r="G104" i="17"/>
  <c r="BZ104" i="6" s="1"/>
  <c r="H104" i="17"/>
  <c r="AA104" i="17"/>
  <c r="Z104" i="17" s="1"/>
  <c r="Y104" i="17" s="1"/>
  <c r="G39" i="17"/>
  <c r="BZ39" i="6" s="1"/>
  <c r="AA39" i="17"/>
  <c r="Z39" i="17" s="1"/>
  <c r="Y39" i="17" s="1"/>
  <c r="H39" i="17"/>
  <c r="G195" i="17"/>
  <c r="BZ195" i="6" s="1"/>
  <c r="AA195" i="17"/>
  <c r="Z195" i="17" s="1"/>
  <c r="Y195" i="17" s="1"/>
  <c r="H195" i="17"/>
  <c r="G314" i="17"/>
  <c r="BZ314" i="6" s="1"/>
  <c r="AA314" i="17"/>
  <c r="Z314" i="17" s="1"/>
  <c r="Y314" i="17" s="1"/>
  <c r="H314" i="17"/>
  <c r="G253" i="17"/>
  <c r="BZ253" i="6" s="1"/>
  <c r="AA253" i="17"/>
  <c r="Z253" i="17" s="1"/>
  <c r="Y253" i="17" s="1"/>
  <c r="H253" i="17"/>
  <c r="G24" i="17"/>
  <c r="BZ24" i="6" s="1"/>
  <c r="H24" i="17"/>
  <c r="AA24" i="17"/>
  <c r="Z24" i="17" s="1"/>
  <c r="Y24" i="17" s="1"/>
  <c r="G170" i="17"/>
  <c r="BZ170" i="6" s="1"/>
  <c r="H170" i="17"/>
  <c r="AA170" i="17"/>
  <c r="Z170" i="17" s="1"/>
  <c r="Y170" i="17" s="1"/>
  <c r="G177" i="17"/>
  <c r="BZ177" i="6" s="1"/>
  <c r="H177" i="17"/>
  <c r="AA177" i="17"/>
  <c r="Z177" i="17" s="1"/>
  <c r="Y177" i="17" s="1"/>
  <c r="G108" i="17"/>
  <c r="BZ108" i="6" s="1"/>
  <c r="AA108" i="17"/>
  <c r="Z108" i="17" s="1"/>
  <c r="Y108" i="17" s="1"/>
  <c r="H108" i="17"/>
  <c r="G346" i="17"/>
  <c r="BZ346" i="6" s="1"/>
  <c r="H346" i="17"/>
  <c r="AA346" i="17"/>
  <c r="Z346" i="17" s="1"/>
  <c r="Y346" i="17" s="1"/>
  <c r="G122" i="17"/>
  <c r="BZ122" i="6" s="1"/>
  <c r="H122" i="17"/>
  <c r="AA122" i="17"/>
  <c r="Z122" i="17" s="1"/>
  <c r="Y122" i="17" s="1"/>
  <c r="G74" i="17"/>
  <c r="BZ74" i="6" s="1"/>
  <c r="H74" i="17"/>
  <c r="AA74" i="17"/>
  <c r="Z74" i="17" s="1"/>
  <c r="Y74" i="17" s="1"/>
  <c r="G58" i="17"/>
  <c r="BZ58" i="6" s="1"/>
  <c r="H58" i="17"/>
  <c r="AA58" i="17"/>
  <c r="Z58" i="17" s="1"/>
  <c r="Y58" i="17" s="1"/>
  <c r="G151" i="17"/>
  <c r="BZ151" i="6" s="1"/>
  <c r="H151" i="17"/>
  <c r="AA151" i="17"/>
  <c r="Z151" i="17" s="1"/>
  <c r="Y151" i="17" s="1"/>
  <c r="G63" i="17"/>
  <c r="BZ63" i="6" s="1"/>
  <c r="H63" i="17"/>
  <c r="AA63" i="17"/>
  <c r="Z63" i="17" s="1"/>
  <c r="Y63" i="17" s="1"/>
  <c r="G23" i="17"/>
  <c r="BZ23" i="6" s="1"/>
  <c r="H23" i="17"/>
  <c r="AA23" i="17"/>
  <c r="Z23" i="17" s="1"/>
  <c r="Y23" i="17" s="1"/>
  <c r="G96" i="17"/>
  <c r="BZ96" i="6" s="1"/>
  <c r="H96" i="17"/>
  <c r="AA96" i="17"/>
  <c r="Z96" i="17" s="1"/>
  <c r="Y96" i="17" s="1"/>
  <c r="G204" i="17"/>
  <c r="BZ204" i="6" s="1"/>
  <c r="AA204" i="17"/>
  <c r="Z204" i="17" s="1"/>
  <c r="Y204" i="17" s="1"/>
  <c r="H204" i="17"/>
  <c r="G257" i="17"/>
  <c r="BZ257" i="6" s="1"/>
  <c r="H257" i="17"/>
  <c r="AA257" i="17"/>
  <c r="Z257" i="17" s="1"/>
  <c r="Y257" i="17" s="1"/>
  <c r="G85" i="17"/>
  <c r="BZ85" i="6" s="1"/>
  <c r="H85" i="17"/>
  <c r="AA85" i="17"/>
  <c r="Z85" i="17" s="1"/>
  <c r="Y85" i="17" s="1"/>
  <c r="G246" i="17"/>
  <c r="BZ246" i="6" s="1"/>
  <c r="AA246" i="17"/>
  <c r="Z246" i="17" s="1"/>
  <c r="Y246" i="17" s="1"/>
  <c r="H246" i="17"/>
  <c r="G37" i="17"/>
  <c r="BZ37" i="6" s="1"/>
  <c r="AA37" i="17"/>
  <c r="Z37" i="17" s="1"/>
  <c r="Y37" i="17" s="1"/>
  <c r="H37" i="17"/>
  <c r="G98" i="17"/>
  <c r="BZ98" i="6" s="1"/>
  <c r="H98" i="17"/>
  <c r="AA98" i="17"/>
  <c r="Z98" i="17" s="1"/>
  <c r="Y98" i="17" s="1"/>
  <c r="G120" i="17"/>
  <c r="BZ120" i="6" s="1"/>
  <c r="H120" i="17"/>
  <c r="AA120" i="17"/>
  <c r="Z120" i="17" s="1"/>
  <c r="Y120" i="17" s="1"/>
  <c r="G72" i="17"/>
  <c r="BZ72" i="6" s="1"/>
  <c r="H72" i="17"/>
  <c r="AA72" i="17"/>
  <c r="Z72" i="17" s="1"/>
  <c r="Y72" i="17" s="1"/>
  <c r="G126" i="17"/>
  <c r="BZ126" i="6" s="1"/>
  <c r="H126" i="17"/>
  <c r="AA126" i="17"/>
  <c r="Z126" i="17" s="1"/>
  <c r="Y126" i="17" s="1"/>
  <c r="H153" i="17"/>
  <c r="G153" i="17"/>
  <c r="BZ153" i="6" s="1"/>
  <c r="AA153" i="17"/>
  <c r="Z153" i="17" s="1"/>
  <c r="Y153" i="17" s="1"/>
  <c r="G217" i="17"/>
  <c r="BZ217" i="6" s="1"/>
  <c r="H217" i="17"/>
  <c r="AA217" i="17"/>
  <c r="Z217" i="17" s="1"/>
  <c r="Y217" i="17" s="1"/>
  <c r="G344" i="17"/>
  <c r="BZ344" i="6" s="1"/>
  <c r="H344" i="17"/>
  <c r="AA344" i="17"/>
  <c r="Z344" i="17" s="1"/>
  <c r="Y344" i="17" s="1"/>
  <c r="G197" i="17"/>
  <c r="BZ197" i="6" s="1"/>
  <c r="H197" i="17"/>
  <c r="AA197" i="17"/>
  <c r="Z197" i="17" s="1"/>
  <c r="Y197" i="17" s="1"/>
  <c r="G327" i="17"/>
  <c r="BZ327" i="6" s="1"/>
  <c r="AA327" i="17"/>
  <c r="Z327" i="17" s="1"/>
  <c r="Y327" i="17" s="1"/>
  <c r="H327" i="17"/>
  <c r="G61" i="17"/>
  <c r="BZ61" i="6" s="1"/>
  <c r="H61" i="17"/>
  <c r="AA61" i="17"/>
  <c r="Z61" i="17" s="1"/>
  <c r="Y61" i="17" s="1"/>
  <c r="G92" i="17"/>
  <c r="BZ92" i="6" s="1"/>
  <c r="AA92" i="17"/>
  <c r="Z92" i="17" s="1"/>
  <c r="Y92" i="17" s="1"/>
  <c r="H92" i="17"/>
  <c r="G26" i="17"/>
  <c r="BZ26" i="6" s="1"/>
  <c r="AA26" i="17"/>
  <c r="Z26" i="17" s="1"/>
  <c r="Y26" i="17" s="1"/>
  <c r="H26" i="17"/>
  <c r="G374" i="17"/>
  <c r="BZ374" i="6" s="1"/>
  <c r="H374" i="17"/>
  <c r="AA374" i="17"/>
  <c r="Z374" i="17" s="1"/>
  <c r="Y374" i="17" s="1"/>
  <c r="G223" i="17"/>
  <c r="BZ223" i="6" s="1"/>
  <c r="H223" i="17"/>
  <c r="AA223" i="17"/>
  <c r="Z223" i="17" s="1"/>
  <c r="Y223" i="17" s="1"/>
  <c r="G210" i="17"/>
  <c r="BZ210" i="6" s="1"/>
  <c r="AA210" i="17"/>
  <c r="Z210" i="17" s="1"/>
  <c r="Y210" i="17" s="1"/>
  <c r="H210" i="17"/>
  <c r="G175" i="17"/>
  <c r="BZ175" i="6" s="1"/>
  <c r="H175" i="17"/>
  <c r="AA175" i="17"/>
  <c r="Z175" i="17" s="1"/>
  <c r="Y175" i="17" s="1"/>
  <c r="G284" i="17"/>
  <c r="BZ284" i="6" s="1"/>
  <c r="H284" i="17"/>
  <c r="AA284" i="17"/>
  <c r="Z284" i="17" s="1"/>
  <c r="Y284" i="17" s="1"/>
  <c r="G101" i="17"/>
  <c r="BZ101" i="6" s="1"/>
  <c r="H101" i="17"/>
  <c r="AA101" i="17"/>
  <c r="Z101" i="17" s="1"/>
  <c r="Y101" i="17" s="1"/>
  <c r="G205" i="17"/>
  <c r="BZ205" i="6" s="1"/>
  <c r="H205" i="17"/>
  <c r="AA205" i="17"/>
  <c r="Z205" i="17" s="1"/>
  <c r="Y205" i="17" s="1"/>
  <c r="G31" i="17"/>
  <c r="BZ31" i="6" s="1"/>
  <c r="H31" i="17"/>
  <c r="AA31" i="17"/>
  <c r="Z31" i="17" s="1"/>
  <c r="Y31" i="17" s="1"/>
  <c r="G46" i="17"/>
  <c r="BZ46" i="6" s="1"/>
  <c r="H46" i="17"/>
  <c r="AA46" i="17"/>
  <c r="Z46" i="17" s="1"/>
  <c r="Y46" i="17" s="1"/>
  <c r="G309" i="17"/>
  <c r="BZ309" i="6" s="1"/>
  <c r="AA309" i="17"/>
  <c r="Z309" i="17" s="1"/>
  <c r="Y309" i="17" s="1"/>
  <c r="H309" i="17"/>
  <c r="G161" i="17"/>
  <c r="BZ161" i="6" s="1"/>
  <c r="H161" i="17"/>
  <c r="AA161" i="17"/>
  <c r="Z161" i="17" s="1"/>
  <c r="Y161" i="17" s="1"/>
  <c r="G188" i="17"/>
  <c r="BZ188" i="6" s="1"/>
  <c r="AA188" i="17"/>
  <c r="Z188" i="17" s="1"/>
  <c r="Y188" i="17" s="1"/>
  <c r="H188" i="17"/>
  <c r="G259" i="17"/>
  <c r="BZ259" i="6" s="1"/>
  <c r="H259" i="17"/>
  <c r="AA259" i="17"/>
  <c r="Z259" i="17" s="1"/>
  <c r="Y259" i="17" s="1"/>
  <c r="G99" i="17"/>
  <c r="BZ99" i="6" s="1"/>
  <c r="H99" i="17"/>
  <c r="AA99" i="17"/>
  <c r="Z99" i="17" s="1"/>
  <c r="Y99" i="17" s="1"/>
  <c r="G238" i="17"/>
  <c r="BZ238" i="6" s="1"/>
  <c r="H238" i="17"/>
  <c r="AA238" i="17"/>
  <c r="Z238" i="17" s="1"/>
  <c r="Y238" i="17" s="1"/>
  <c r="G237" i="17"/>
  <c r="BZ237" i="6" s="1"/>
  <c r="H237" i="17"/>
  <c r="AA237" i="17"/>
  <c r="Z237" i="17" s="1"/>
  <c r="Y237" i="17" s="1"/>
  <c r="H279" i="17"/>
  <c r="G279" i="17"/>
  <c r="BZ279" i="6" s="1"/>
  <c r="AA279" i="17"/>
  <c r="Z279" i="17" s="1"/>
  <c r="Y279" i="17" s="1"/>
  <c r="G166" i="17"/>
  <c r="BZ166" i="6" s="1"/>
  <c r="H166" i="17"/>
  <c r="AA166" i="17"/>
  <c r="Z166" i="17" s="1"/>
  <c r="Y166" i="17" s="1"/>
  <c r="G239" i="17"/>
  <c r="BZ239" i="6" s="1"/>
  <c r="AA239" i="17"/>
  <c r="Z239" i="17" s="1"/>
  <c r="Y239" i="17" s="1"/>
  <c r="H239" i="17"/>
  <c r="G174" i="17"/>
  <c r="BZ174" i="6" s="1"/>
  <c r="H174" i="17"/>
  <c r="AA174" i="17"/>
  <c r="Z174" i="17" s="1"/>
  <c r="Y174" i="17" s="1"/>
  <c r="G231" i="17"/>
  <c r="BZ231" i="6" s="1"/>
  <c r="H231" i="17"/>
  <c r="AA231" i="17"/>
  <c r="Z231" i="17" s="1"/>
  <c r="Y231" i="17" s="1"/>
  <c r="G291" i="17"/>
  <c r="BZ291" i="6" s="1"/>
  <c r="H291" i="17"/>
  <c r="AA291" i="17"/>
  <c r="Z291" i="17" s="1"/>
  <c r="Y291" i="17" s="1"/>
  <c r="G206" i="17"/>
  <c r="BZ206" i="6" s="1"/>
  <c r="AA206" i="17"/>
  <c r="Z206" i="17" s="1"/>
  <c r="Y206" i="17" s="1"/>
  <c r="H206" i="17"/>
  <c r="G354" i="17"/>
  <c r="BZ354" i="6" s="1"/>
  <c r="H354" i="17"/>
  <c r="AA354" i="17"/>
  <c r="Z354" i="17" s="1"/>
  <c r="Y354" i="17" s="1"/>
  <c r="G119" i="17"/>
  <c r="BZ119" i="6" s="1"/>
  <c r="H119" i="17"/>
  <c r="AA119" i="17"/>
  <c r="Z119" i="17" s="1"/>
  <c r="Y119" i="17" s="1"/>
  <c r="G272" i="17"/>
  <c r="BZ272" i="6" s="1"/>
  <c r="H272" i="17"/>
  <c r="AA272" i="17"/>
  <c r="Z272" i="17" s="1"/>
  <c r="Y272" i="17" s="1"/>
  <c r="G93" i="17"/>
  <c r="BZ93" i="6" s="1"/>
  <c r="H93" i="17"/>
  <c r="AA93" i="17"/>
  <c r="Z93" i="17" s="1"/>
  <c r="Y93" i="17" s="1"/>
  <c r="G187" i="17"/>
  <c r="BZ187" i="6" s="1"/>
  <c r="AA187" i="17"/>
  <c r="Z187" i="17" s="1"/>
  <c r="Y187" i="17" s="1"/>
  <c r="H187" i="17"/>
  <c r="G290" i="17"/>
  <c r="BZ290" i="6" s="1"/>
  <c r="AA290" i="17"/>
  <c r="Z290" i="17" s="1"/>
  <c r="Y290" i="17" s="1"/>
  <c r="H290" i="17"/>
  <c r="G241" i="17"/>
  <c r="BZ241" i="6" s="1"/>
  <c r="AA241" i="17"/>
  <c r="Z241" i="17" s="1"/>
  <c r="Y241" i="17" s="1"/>
  <c r="H241" i="17"/>
  <c r="G226" i="17"/>
  <c r="BZ226" i="6" s="1"/>
  <c r="AA226" i="17"/>
  <c r="Z226" i="17" s="1"/>
  <c r="Y226" i="17" s="1"/>
  <c r="H226" i="17"/>
  <c r="G25" i="17"/>
  <c r="BZ25" i="6" s="1"/>
  <c r="AA25" i="17"/>
  <c r="Z25" i="17" s="1"/>
  <c r="Y25" i="17" s="1"/>
  <c r="H25" i="17"/>
  <c r="G89" i="17"/>
  <c r="BZ89" i="6" s="1"/>
  <c r="AA89" i="17"/>
  <c r="Z89" i="17" s="1"/>
  <c r="Y89" i="17" s="1"/>
  <c r="H89" i="17"/>
  <c r="G244" i="17"/>
  <c r="BZ244" i="6" s="1"/>
  <c r="AA244" i="17"/>
  <c r="Z244" i="17" s="1"/>
  <c r="Y244" i="17" s="1"/>
  <c r="H244" i="17"/>
  <c r="G287" i="17"/>
  <c r="BZ287" i="6" s="1"/>
  <c r="AA287" i="17"/>
  <c r="Z287" i="17" s="1"/>
  <c r="Y287" i="17" s="1"/>
  <c r="H287" i="17"/>
  <c r="G355" i="17"/>
  <c r="BZ355" i="6" s="1"/>
  <c r="AA355" i="17"/>
  <c r="Z355" i="17" s="1"/>
  <c r="Y355" i="17" s="1"/>
  <c r="H355" i="17"/>
  <c r="G107" i="17"/>
  <c r="BZ107" i="6" s="1"/>
  <c r="H107" i="17"/>
  <c r="AA107" i="17"/>
  <c r="Z107" i="17" s="1"/>
  <c r="Y107" i="17" s="1"/>
  <c r="G66" i="17"/>
  <c r="BZ66" i="6" s="1"/>
  <c r="AA66" i="17"/>
  <c r="Z66" i="17" s="1"/>
  <c r="Y66" i="17" s="1"/>
  <c r="H66" i="17"/>
  <c r="G229" i="17"/>
  <c r="BZ229" i="6" s="1"/>
  <c r="H229" i="17"/>
  <c r="AA229" i="17"/>
  <c r="Z229" i="17" s="1"/>
  <c r="Y229" i="17" s="1"/>
  <c r="G341" i="17"/>
  <c r="BZ341" i="6" s="1"/>
  <c r="AA341" i="17"/>
  <c r="Z341" i="17" s="1"/>
  <c r="Y341" i="17" s="1"/>
  <c r="H341" i="17"/>
  <c r="G358" i="17"/>
  <c r="BZ358" i="6" s="1"/>
  <c r="AA358" i="17"/>
  <c r="Z358" i="17" s="1"/>
  <c r="Y358" i="17" s="1"/>
  <c r="H358" i="17"/>
  <c r="G319" i="17"/>
  <c r="BZ319" i="6" s="1"/>
  <c r="H319" i="17"/>
  <c r="AA319" i="17"/>
  <c r="Z319" i="17" s="1"/>
  <c r="Y319" i="17" s="1"/>
  <c r="G47" i="17"/>
  <c r="BZ47" i="6" s="1"/>
  <c r="H47" i="17"/>
  <c r="AA47" i="17"/>
  <c r="Z47" i="17" s="1"/>
  <c r="Y47" i="17" s="1"/>
  <c r="G313" i="17"/>
  <c r="BZ313" i="6" s="1"/>
  <c r="H313" i="17"/>
  <c r="AA313" i="17"/>
  <c r="Z313" i="17" s="1"/>
  <c r="Y313" i="17" s="1"/>
  <c r="G186" i="17"/>
  <c r="BZ186" i="6" s="1"/>
  <c r="H186" i="17"/>
  <c r="AA186" i="17"/>
  <c r="Z186" i="17" s="1"/>
  <c r="Y186" i="17" s="1"/>
  <c r="G335" i="17"/>
  <c r="BZ335" i="6" s="1"/>
  <c r="AA335" i="17"/>
  <c r="Z335" i="17" s="1"/>
  <c r="Y335" i="17" s="1"/>
  <c r="H335" i="17"/>
  <c r="G130" i="17"/>
  <c r="BZ130" i="6" s="1"/>
  <c r="AA130" i="17"/>
  <c r="Z130" i="17" s="1"/>
  <c r="Y130" i="17" s="1"/>
  <c r="H130" i="17"/>
  <c r="G163" i="17"/>
  <c r="BZ163" i="6" s="1"/>
  <c r="AA163" i="17"/>
  <c r="Z163" i="17" s="1"/>
  <c r="Y163" i="17" s="1"/>
  <c r="H163" i="17"/>
  <c r="G373" i="17"/>
  <c r="BZ373" i="6" s="1"/>
  <c r="AA373" i="17"/>
  <c r="Z373" i="17" s="1"/>
  <c r="Y373" i="17" s="1"/>
  <c r="H373" i="17"/>
  <c r="G317" i="17"/>
  <c r="BZ317" i="6" s="1"/>
  <c r="H317" i="17"/>
  <c r="AA317" i="17"/>
  <c r="Z317" i="17" s="1"/>
  <c r="Y317" i="17" s="1"/>
  <c r="H281" i="17"/>
  <c r="G281" i="17"/>
  <c r="BZ281" i="6" s="1"/>
  <c r="AA281" i="17"/>
  <c r="Z281" i="17" s="1"/>
  <c r="Y281" i="17" s="1"/>
  <c r="G133" i="17"/>
  <c r="BZ133" i="6" s="1"/>
  <c r="H133" i="17"/>
  <c r="AA133" i="17"/>
  <c r="Z133" i="17" s="1"/>
  <c r="Y133" i="17" s="1"/>
  <c r="G250" i="17"/>
  <c r="BZ250" i="6" s="1"/>
  <c r="H250" i="17"/>
  <c r="AA250" i="17"/>
  <c r="Z250" i="17" s="1"/>
  <c r="Y250" i="17" s="1"/>
  <c r="G78" i="17"/>
  <c r="BZ78" i="6" s="1"/>
  <c r="H78" i="17"/>
  <c r="AA78" i="17"/>
  <c r="Z78" i="17" s="1"/>
  <c r="Y78" i="17" s="1"/>
  <c r="G375" i="17"/>
  <c r="BZ375" i="6" s="1"/>
  <c r="H375" i="17"/>
  <c r="AA375" i="17"/>
  <c r="Z375" i="17" s="1"/>
  <c r="Y375" i="17" s="1"/>
  <c r="G67" i="17"/>
  <c r="BZ67" i="6" s="1"/>
  <c r="H67" i="17"/>
  <c r="AA67" i="17"/>
  <c r="Z67" i="17" s="1"/>
  <c r="Y67" i="17" s="1"/>
  <c r="G112" i="17"/>
  <c r="BZ112" i="6" s="1"/>
  <c r="H112" i="17"/>
  <c r="AA112" i="17"/>
  <c r="Z112" i="17" s="1"/>
  <c r="Y112" i="17" s="1"/>
  <c r="G305" i="17"/>
  <c r="BZ305" i="6" s="1"/>
  <c r="H305" i="17"/>
  <c r="AA305" i="17"/>
  <c r="Z305" i="17" s="1"/>
  <c r="Y305" i="17" s="1"/>
  <c r="G368" i="17"/>
  <c r="BZ368" i="6" s="1"/>
  <c r="AA368" i="17"/>
  <c r="Z368" i="17" s="1"/>
  <c r="Y368" i="17" s="1"/>
  <c r="H368" i="17"/>
  <c r="G141" i="17"/>
  <c r="BZ141" i="6" s="1"/>
  <c r="H141" i="17"/>
  <c r="AA141" i="17"/>
  <c r="Z141" i="17" s="1"/>
  <c r="Y141" i="17" s="1"/>
  <c r="G54" i="17"/>
  <c r="BZ54" i="6" s="1"/>
  <c r="AA54" i="17"/>
  <c r="Z54" i="17" s="1"/>
  <c r="Y54" i="17" s="1"/>
  <c r="H54" i="17"/>
  <c r="G274" i="17"/>
  <c r="BZ274" i="6" s="1"/>
  <c r="H274" i="17"/>
  <c r="AA274" i="17"/>
  <c r="Z274" i="17" s="1"/>
  <c r="Y274" i="17" s="1"/>
  <c r="G73" i="17"/>
  <c r="BZ73" i="6" s="1"/>
  <c r="H73" i="17"/>
  <c r="AA73" i="17"/>
  <c r="Z73" i="17" s="1"/>
  <c r="Y73" i="17" s="1"/>
  <c r="G84" i="17"/>
  <c r="BZ84" i="6" s="1"/>
  <c r="H84" i="17"/>
  <c r="AA84" i="17"/>
  <c r="Z84" i="17" s="1"/>
  <c r="Y84" i="17" s="1"/>
  <c r="G224" i="17"/>
  <c r="BZ224" i="6" s="1"/>
  <c r="H224" i="17"/>
  <c r="AA224" i="17"/>
  <c r="Z224" i="17" s="1"/>
  <c r="Y224" i="17" s="1"/>
  <c r="G147" i="17"/>
  <c r="BZ147" i="6" s="1"/>
  <c r="H147" i="17"/>
  <c r="AA147" i="17"/>
  <c r="Z147" i="17" s="1"/>
  <c r="Y147" i="17" s="1"/>
  <c r="G82" i="17"/>
  <c r="BZ82" i="6" s="1"/>
  <c r="H82" i="17"/>
  <c r="AA82" i="17"/>
  <c r="Z82" i="17" s="1"/>
  <c r="Y82" i="17" s="1"/>
  <c r="G150" i="17"/>
  <c r="BZ150" i="6" s="1"/>
  <c r="H150" i="17"/>
  <c r="AA150" i="17"/>
  <c r="Z150" i="17" s="1"/>
  <c r="Y150" i="17" s="1"/>
  <c r="G16" i="17"/>
  <c r="BZ16" i="6" s="1"/>
  <c r="H16" i="17"/>
  <c r="AA16" i="17"/>
  <c r="Z16" i="17" s="1"/>
  <c r="Y16" i="17" s="1"/>
  <c r="G347" i="17"/>
  <c r="BZ347" i="6" s="1"/>
  <c r="H347" i="17"/>
  <c r="AA347" i="17"/>
  <c r="Z347" i="17" s="1"/>
  <c r="Y347" i="17" s="1"/>
  <c r="G114" i="17"/>
  <c r="BZ114" i="6" s="1"/>
  <c r="H114" i="17"/>
  <c r="AA114" i="17"/>
  <c r="Z114" i="17" s="1"/>
  <c r="Y114" i="17" s="1"/>
  <c r="G128" i="17"/>
  <c r="BZ128" i="6" s="1"/>
  <c r="H128" i="17"/>
  <c r="AA128" i="17"/>
  <c r="Z128" i="17" s="1"/>
  <c r="Y128" i="17" s="1"/>
  <c r="G262" i="17"/>
  <c r="BZ262" i="6" s="1"/>
  <c r="H262" i="17"/>
  <c r="AA262" i="17"/>
  <c r="Z262" i="17" s="1"/>
  <c r="Y262" i="17" s="1"/>
  <c r="G269" i="17"/>
  <c r="BZ269" i="6" s="1"/>
  <c r="H269" i="17"/>
  <c r="AA269" i="17"/>
  <c r="Z269" i="17" s="1"/>
  <c r="Y269" i="17" s="1"/>
  <c r="G178" i="17"/>
  <c r="BZ178" i="6" s="1"/>
  <c r="H178" i="17"/>
  <c r="AA178" i="17"/>
  <c r="Z178" i="17" s="1"/>
  <c r="Y178" i="17" s="1"/>
  <c r="G90" i="17"/>
  <c r="BZ90" i="6" s="1"/>
  <c r="AA90" i="17"/>
  <c r="Z90" i="17" s="1"/>
  <c r="Y90" i="17" s="1"/>
  <c r="H90" i="17"/>
  <c r="G270" i="17"/>
  <c r="BZ270" i="6" s="1"/>
  <c r="AA270" i="17"/>
  <c r="Z270" i="17" s="1"/>
  <c r="Y270" i="17" s="1"/>
  <c r="H270" i="17"/>
  <c r="G49" i="17"/>
  <c r="BZ49" i="6" s="1"/>
  <c r="AA49" i="17"/>
  <c r="Z49" i="17" s="1"/>
  <c r="Y49" i="17" s="1"/>
  <c r="H49" i="17"/>
  <c r="G132" i="17"/>
  <c r="BZ132" i="6" s="1"/>
  <c r="AA132" i="17"/>
  <c r="Z132" i="17" s="1"/>
  <c r="Y132" i="17" s="1"/>
  <c r="H132" i="17"/>
  <c r="G76" i="17"/>
  <c r="BZ76" i="6" s="1"/>
  <c r="AA76" i="17"/>
  <c r="Z76" i="17" s="1"/>
  <c r="Y76" i="17" s="1"/>
  <c r="H76" i="17"/>
  <c r="G315" i="17"/>
  <c r="BZ315" i="6" s="1"/>
  <c r="AA315" i="17"/>
  <c r="Z315" i="17" s="1"/>
  <c r="Y315" i="17" s="1"/>
  <c r="H315" i="17"/>
  <c r="G369" i="17"/>
  <c r="BZ369" i="6" s="1"/>
  <c r="H369" i="17"/>
  <c r="AA369" i="17"/>
  <c r="Z369" i="17" s="1"/>
  <c r="Y369" i="17" s="1"/>
  <c r="G288" i="17"/>
  <c r="BZ288" i="6" s="1"/>
  <c r="H288" i="17"/>
  <c r="AA288" i="17"/>
  <c r="Z288" i="17" s="1"/>
  <c r="Y288" i="17" s="1"/>
  <c r="G324" i="17"/>
  <c r="BZ324" i="6" s="1"/>
  <c r="AA324" i="17"/>
  <c r="Z324" i="17" s="1"/>
  <c r="Y324" i="17" s="1"/>
  <c r="H324" i="17"/>
  <c r="G69" i="17"/>
  <c r="BZ69" i="6" s="1"/>
  <c r="H69" i="17"/>
  <c r="AA69" i="17"/>
  <c r="Z69" i="17" s="1"/>
  <c r="Y69" i="17" s="1"/>
  <c r="G40" i="17"/>
  <c r="BZ40" i="6" s="1"/>
  <c r="H40" i="17"/>
  <c r="AA40" i="17"/>
  <c r="Z40" i="17" s="1"/>
  <c r="Y40" i="17" s="1"/>
  <c r="G211" i="17"/>
  <c r="BZ211" i="6" s="1"/>
  <c r="H211" i="17"/>
  <c r="AA211" i="17"/>
  <c r="Z211" i="17" s="1"/>
  <c r="Y211" i="17" s="1"/>
  <c r="G34" i="17"/>
  <c r="BZ34" i="6" s="1"/>
  <c r="H34" i="17"/>
  <c r="AA34" i="17"/>
  <c r="Z34" i="17" s="1"/>
  <c r="Y34" i="17" s="1"/>
  <c r="G263" i="17"/>
  <c r="BZ263" i="6" s="1"/>
  <c r="H263" i="17"/>
  <c r="AA263" i="17"/>
  <c r="Z263" i="17" s="1"/>
  <c r="Y263" i="17" s="1"/>
  <c r="G222" i="17"/>
  <c r="BZ222" i="6" s="1"/>
  <c r="AA222" i="17"/>
  <c r="Z222" i="17" s="1"/>
  <c r="Y222" i="17" s="1"/>
  <c r="H222" i="17"/>
  <c r="G50" i="17"/>
  <c r="BZ50" i="6" s="1"/>
  <c r="H50" i="17"/>
  <c r="AA50" i="17"/>
  <c r="Z50" i="17" s="1"/>
  <c r="Y50" i="17" s="1"/>
  <c r="G167" i="17"/>
  <c r="BZ167" i="6" s="1"/>
  <c r="AA167" i="17"/>
  <c r="Z167" i="17" s="1"/>
  <c r="Y167" i="17" s="1"/>
  <c r="H167" i="17"/>
  <c r="G127" i="17"/>
  <c r="BZ127" i="6" s="1"/>
  <c r="H127" i="17"/>
  <c r="AA127" i="17"/>
  <c r="Z127" i="17" s="1"/>
  <c r="Y127" i="17" s="1"/>
  <c r="G100" i="17"/>
  <c r="BZ100" i="6" s="1"/>
  <c r="H100" i="17"/>
  <c r="AA100" i="17"/>
  <c r="Z100" i="17" s="1"/>
  <c r="Y100" i="17" s="1"/>
  <c r="G342" i="17"/>
  <c r="BZ342" i="6" s="1"/>
  <c r="H342" i="17"/>
  <c r="AA342" i="17"/>
  <c r="Z342" i="17" s="1"/>
  <c r="Y342" i="17" s="1"/>
  <c r="G277" i="17"/>
  <c r="BZ277" i="6" s="1"/>
  <c r="AA277" i="17"/>
  <c r="Z277" i="17" s="1"/>
  <c r="Y277" i="17" s="1"/>
  <c r="H277" i="17"/>
  <c r="G196" i="17"/>
  <c r="BZ196" i="6" s="1"/>
  <c r="AA196" i="17"/>
  <c r="Z196" i="17" s="1"/>
  <c r="Y196" i="17" s="1"/>
  <c r="H196" i="17"/>
  <c r="G233" i="17"/>
  <c r="BZ233" i="6" s="1"/>
  <c r="AA233" i="17"/>
  <c r="Z233" i="17" s="1"/>
  <c r="Y233" i="17" s="1"/>
  <c r="H233" i="17"/>
  <c r="G121" i="17"/>
  <c r="BZ121" i="6" s="1"/>
  <c r="AA121" i="17"/>
  <c r="Z121" i="17" s="1"/>
  <c r="Y121" i="17" s="1"/>
  <c r="H121" i="17"/>
  <c r="G53" i="17"/>
  <c r="BZ53" i="6" s="1"/>
  <c r="AA53" i="17"/>
  <c r="Z53" i="17" s="1"/>
  <c r="Y53" i="17" s="1"/>
  <c r="H53" i="17"/>
  <c r="G329" i="17"/>
  <c r="BZ329" i="6" s="1"/>
  <c r="H329" i="17"/>
  <c r="AA329" i="17"/>
  <c r="Z329" i="17" s="1"/>
  <c r="Y329" i="17" s="1"/>
  <c r="G245" i="17"/>
  <c r="BZ245" i="6" s="1"/>
  <c r="H245" i="17"/>
  <c r="AA245" i="17"/>
  <c r="Z245" i="17" s="1"/>
  <c r="Y245" i="17" s="1"/>
  <c r="G258" i="17"/>
  <c r="BZ258" i="6" s="1"/>
  <c r="H258" i="17"/>
  <c r="AA258" i="17"/>
  <c r="Z258" i="17" s="1"/>
  <c r="Y258" i="17" s="1"/>
  <c r="G323" i="17"/>
  <c r="BZ323" i="6" s="1"/>
  <c r="AA323" i="17"/>
  <c r="Z323" i="17" s="1"/>
  <c r="Y323" i="17" s="1"/>
  <c r="H323" i="17"/>
  <c r="G138" i="17"/>
  <c r="BZ138" i="6" s="1"/>
  <c r="AA138" i="17"/>
  <c r="Z138" i="17" s="1"/>
  <c r="Y138" i="17" s="1"/>
  <c r="H138" i="17"/>
  <c r="G343" i="17"/>
  <c r="BZ343" i="6" s="1"/>
  <c r="H343" i="17"/>
  <c r="AA343" i="17"/>
  <c r="Z343" i="17" s="1"/>
  <c r="Y343" i="17" s="1"/>
  <c r="G200" i="17"/>
  <c r="BZ200" i="6" s="1"/>
  <c r="AA200" i="17"/>
  <c r="Z200" i="17" s="1"/>
  <c r="Y200" i="17" s="1"/>
  <c r="H200" i="17"/>
  <c r="G137" i="17"/>
  <c r="BZ137" i="6" s="1"/>
  <c r="AA137" i="17"/>
  <c r="Z137" i="17" s="1"/>
  <c r="Y137" i="17" s="1"/>
  <c r="H137" i="17"/>
  <c r="G48" i="17"/>
  <c r="BZ48" i="6" s="1"/>
  <c r="H48" i="17"/>
  <c r="AA48" i="17"/>
  <c r="Z48" i="17" s="1"/>
  <c r="Y48" i="17" s="1"/>
  <c r="G185" i="17"/>
  <c r="BZ185" i="6" s="1"/>
  <c r="H185" i="17"/>
  <c r="AA185" i="17"/>
  <c r="Z185" i="17" s="1"/>
  <c r="Y185" i="17" s="1"/>
  <c r="G261" i="17"/>
  <c r="BZ261" i="6" s="1"/>
  <c r="H261" i="17"/>
  <c r="AA261" i="17"/>
  <c r="Z261" i="17" s="1"/>
  <c r="Y261" i="17" s="1"/>
  <c r="G336" i="17"/>
  <c r="BZ336" i="6" s="1"/>
  <c r="H336" i="17"/>
  <c r="AA336" i="17"/>
  <c r="Z336" i="17" s="1"/>
  <c r="Y336" i="17" s="1"/>
  <c r="G182" i="17"/>
  <c r="BZ182" i="6" s="1"/>
  <c r="H182" i="17"/>
  <c r="AA182" i="17"/>
  <c r="Z182" i="17" s="1"/>
  <c r="Y182" i="17" s="1"/>
  <c r="G376" i="17"/>
  <c r="BZ376" i="6" s="1"/>
  <c r="H376" i="17"/>
  <c r="AA376" i="17"/>
  <c r="Z376" i="17" s="1"/>
  <c r="Y376" i="17" s="1"/>
  <c r="G320" i="17"/>
  <c r="BZ320" i="6" s="1"/>
  <c r="H320" i="17"/>
  <c r="AA320" i="17"/>
  <c r="Z320" i="17" s="1"/>
  <c r="Y320" i="17" s="1"/>
  <c r="G80" i="17"/>
  <c r="BZ80" i="6" s="1"/>
  <c r="H80" i="17"/>
  <c r="AA80" i="17"/>
  <c r="Z80" i="17" s="1"/>
  <c r="Y80" i="17" s="1"/>
  <c r="G212" i="17"/>
  <c r="BZ212" i="6" s="1"/>
  <c r="H212" i="17"/>
  <c r="AA212" i="17"/>
  <c r="Z212" i="17" s="1"/>
  <c r="Y212" i="17" s="1"/>
  <c r="G139" i="17"/>
  <c r="BZ139" i="6" s="1"/>
  <c r="H139" i="17"/>
  <c r="AA139" i="17"/>
  <c r="Z139" i="17" s="1"/>
  <c r="Y139" i="17" s="1"/>
  <c r="G338" i="17"/>
  <c r="BZ338" i="6" s="1"/>
  <c r="H338" i="17"/>
  <c r="AA338" i="17"/>
  <c r="Z338" i="17" s="1"/>
  <c r="Y338" i="17" s="1"/>
  <c r="G255" i="17"/>
  <c r="BZ255" i="6" s="1"/>
  <c r="H255" i="17"/>
  <c r="AA255" i="17"/>
  <c r="Z255" i="17" s="1"/>
  <c r="Y255" i="17" s="1"/>
  <c r="G221" i="17"/>
  <c r="BZ221" i="6" s="1"/>
  <c r="AA221" i="17"/>
  <c r="Z221" i="17" s="1"/>
  <c r="Y221" i="17" s="1"/>
  <c r="H221" i="17"/>
  <c r="G236" i="17"/>
  <c r="BZ236" i="6" s="1"/>
  <c r="AA236" i="17"/>
  <c r="Z236" i="17" s="1"/>
  <c r="Y236" i="17" s="1"/>
  <c r="H236" i="17"/>
  <c r="G136" i="17"/>
  <c r="BZ136" i="6" s="1"/>
  <c r="AA136" i="17"/>
  <c r="Z136" i="17" s="1"/>
  <c r="Y136" i="17" s="1"/>
  <c r="H136" i="17"/>
  <c r="G38" i="17"/>
  <c r="BZ38" i="6" s="1"/>
  <c r="AA38" i="17"/>
  <c r="Z38" i="17" s="1"/>
  <c r="Y38" i="17" s="1"/>
  <c r="H38" i="17"/>
  <c r="AA207" i="17"/>
  <c r="Z207" i="17" s="1"/>
  <c r="Y207" i="17" s="1"/>
  <c r="G207" i="17"/>
  <c r="BZ207" i="6" s="1"/>
  <c r="H207" i="17"/>
  <c r="G248" i="17"/>
  <c r="BZ248" i="6" s="1"/>
  <c r="H248" i="17"/>
  <c r="AA248" i="17"/>
  <c r="Z248" i="17" s="1"/>
  <c r="Y248" i="17" s="1"/>
  <c r="G228" i="17"/>
  <c r="BZ228" i="6" s="1"/>
  <c r="AA228" i="17"/>
  <c r="Z228" i="17" s="1"/>
  <c r="Y228" i="17" s="1"/>
  <c r="H228" i="17"/>
  <c r="G88" i="17"/>
  <c r="BZ88" i="6" s="1"/>
  <c r="AA88" i="17"/>
  <c r="Z88" i="17" s="1"/>
  <c r="Y88" i="17" s="1"/>
  <c r="H88" i="17"/>
  <c r="G60" i="17"/>
  <c r="BZ60" i="6" s="1"/>
  <c r="AA60" i="17"/>
  <c r="Z60" i="17" s="1"/>
  <c r="Y60" i="17" s="1"/>
  <c r="H60" i="17"/>
  <c r="H184" i="17"/>
  <c r="G184" i="17"/>
  <c r="BZ184" i="6" s="1"/>
  <c r="AA184" i="17"/>
  <c r="Z184" i="17" s="1"/>
  <c r="Y184" i="17" s="1"/>
  <c r="G349" i="17"/>
  <c r="BZ349" i="6" s="1"/>
  <c r="AA349" i="17"/>
  <c r="Z349" i="17" s="1"/>
  <c r="Y349" i="17" s="1"/>
  <c r="H349" i="17"/>
  <c r="G322" i="17"/>
  <c r="BZ322" i="6" s="1"/>
  <c r="AA322" i="17"/>
  <c r="Z322" i="17" s="1"/>
  <c r="Y322" i="17" s="1"/>
  <c r="H322" i="17"/>
  <c r="G55" i="17"/>
  <c r="BZ55" i="6" s="1"/>
  <c r="AA55" i="17"/>
  <c r="Z55" i="17" s="1"/>
  <c r="Y55" i="17" s="1"/>
  <c r="H55" i="17"/>
  <c r="G28" i="17"/>
  <c r="BZ28" i="6" s="1"/>
  <c r="H28" i="17"/>
  <c r="AA28" i="17"/>
  <c r="Z28" i="17" s="1"/>
  <c r="Y28" i="17" s="1"/>
  <c r="G273" i="17"/>
  <c r="BZ273" i="6" s="1"/>
  <c r="AA273" i="17"/>
  <c r="Z273" i="17" s="1"/>
  <c r="Y273" i="17" s="1"/>
  <c r="H273" i="17"/>
  <c r="G115" i="17"/>
  <c r="BZ115" i="6" s="1"/>
  <c r="AA115" i="17"/>
  <c r="Z115" i="17" s="1"/>
  <c r="Y115" i="17" s="1"/>
  <c r="H115" i="17"/>
  <c r="G260" i="17"/>
  <c r="BZ260" i="6" s="1"/>
  <c r="AA260" i="17"/>
  <c r="Z260" i="17" s="1"/>
  <c r="Y260" i="17" s="1"/>
  <c r="H260" i="17"/>
  <c r="G267" i="17"/>
  <c r="BZ267" i="6" s="1"/>
  <c r="AA267" i="17"/>
  <c r="Z267" i="17" s="1"/>
  <c r="Y267" i="17" s="1"/>
  <c r="H267" i="17"/>
  <c r="G146" i="17"/>
  <c r="BZ146" i="6" s="1"/>
  <c r="H146" i="17"/>
  <c r="AA146" i="17"/>
  <c r="Z146" i="17" s="1"/>
  <c r="Y146" i="17" s="1"/>
  <c r="H87" i="17"/>
  <c r="G87" i="17"/>
  <c r="BZ87" i="6" s="1"/>
  <c r="AA87" i="17"/>
  <c r="Z87" i="17" s="1"/>
  <c r="Y87" i="17" s="1"/>
  <c r="G240" i="17"/>
  <c r="BZ240" i="6" s="1"/>
  <c r="H240" i="17"/>
  <c r="AA240" i="17"/>
  <c r="Z240" i="17" s="1"/>
  <c r="Y240" i="17" s="1"/>
  <c r="G227" i="17"/>
  <c r="BZ227" i="6" s="1"/>
  <c r="AA227" i="17"/>
  <c r="Z227" i="17" s="1"/>
  <c r="Y227" i="17" s="1"/>
  <c r="H227" i="17"/>
  <c r="G225" i="17"/>
  <c r="BZ225" i="6" s="1"/>
  <c r="AA225" i="17"/>
  <c r="Z225" i="17" s="1"/>
  <c r="Y225" i="17" s="1"/>
  <c r="H225" i="17"/>
  <c r="G144" i="17"/>
  <c r="BZ144" i="6" s="1"/>
  <c r="H144" i="17"/>
  <c r="AA144" i="17"/>
  <c r="Z144" i="17" s="1"/>
  <c r="Y144" i="17" s="1"/>
  <c r="G168" i="17"/>
  <c r="BZ168" i="6" s="1"/>
  <c r="H168" i="17"/>
  <c r="AA168" i="17"/>
  <c r="Z168" i="17" s="1"/>
  <c r="Y168" i="17" s="1"/>
  <c r="G252" i="17"/>
  <c r="BZ252" i="6" s="1"/>
  <c r="AA252" i="17"/>
  <c r="Z252" i="17" s="1"/>
  <c r="Y252" i="17" s="1"/>
  <c r="H252" i="17"/>
  <c r="G333" i="17"/>
  <c r="BZ333" i="6" s="1"/>
  <c r="AA333" i="17"/>
  <c r="Z333" i="17" s="1"/>
  <c r="Y333" i="17" s="1"/>
  <c r="H333" i="17"/>
  <c r="G183" i="17"/>
  <c r="BZ183" i="6" s="1"/>
  <c r="AA183" i="17"/>
  <c r="Z183" i="17" s="1"/>
  <c r="Y183" i="17" s="1"/>
  <c r="H183" i="17"/>
  <c r="G308" i="17"/>
  <c r="BZ308" i="6" s="1"/>
  <c r="AA308" i="17"/>
  <c r="Z308" i="17" s="1"/>
  <c r="Y308" i="17" s="1"/>
  <c r="H308" i="17"/>
  <c r="G198" i="17"/>
  <c r="BZ198" i="6" s="1"/>
  <c r="H198" i="17"/>
  <c r="AA198" i="17"/>
  <c r="Z198" i="17" s="1"/>
  <c r="Y198" i="17" s="1"/>
  <c r="G295" i="17"/>
  <c r="BZ295" i="6" s="1"/>
  <c r="H295" i="17"/>
  <c r="AA295" i="17"/>
  <c r="Z295" i="17" s="1"/>
  <c r="Y295" i="17" s="1"/>
  <c r="G164" i="17"/>
  <c r="BZ164" i="6" s="1"/>
  <c r="H164" i="17"/>
  <c r="AA164" i="17"/>
  <c r="Z164" i="17" s="1"/>
  <c r="Y164" i="17" s="1"/>
  <c r="G276" i="17"/>
  <c r="BZ276" i="6" s="1"/>
  <c r="AA276" i="17"/>
  <c r="Z276" i="17" s="1"/>
  <c r="Y276" i="17" s="1"/>
  <c r="H276" i="17"/>
  <c r="G266" i="17"/>
  <c r="BZ266" i="6" s="1"/>
  <c r="H266" i="17"/>
  <c r="AA266" i="17"/>
  <c r="Z266" i="17" s="1"/>
  <c r="Y266" i="17" s="1"/>
  <c r="H297" i="17"/>
  <c r="G297" i="17"/>
  <c r="BZ297" i="6" s="1"/>
  <c r="AA297" i="17"/>
  <c r="Z297" i="17" s="1"/>
  <c r="Y297" i="17" s="1"/>
  <c r="H337" i="17"/>
  <c r="G337" i="17"/>
  <c r="BZ337" i="6" s="1"/>
  <c r="AA337" i="17"/>
  <c r="Z337" i="17" s="1"/>
  <c r="Y337" i="17" s="1"/>
  <c r="H311" i="17"/>
  <c r="G311" i="17"/>
  <c r="BZ311" i="6" s="1"/>
  <c r="AA311" i="17"/>
  <c r="Z311" i="17" s="1"/>
  <c r="Y311" i="17" s="1"/>
  <c r="G271" i="17"/>
  <c r="BZ271" i="6" s="1"/>
  <c r="H271" i="17"/>
  <c r="AA271" i="17"/>
  <c r="Z271" i="17" s="1"/>
  <c r="Y271" i="17" s="1"/>
  <c r="G331" i="17"/>
  <c r="BZ331" i="6" s="1"/>
  <c r="H331" i="17"/>
  <c r="AA331" i="17"/>
  <c r="Z331" i="17" s="1"/>
  <c r="Y331" i="17" s="1"/>
  <c r="G35" i="17"/>
  <c r="BZ35" i="6" s="1"/>
  <c r="H35" i="17"/>
  <c r="AA35" i="17"/>
  <c r="Z35" i="17" s="1"/>
  <c r="Y35" i="17" s="1"/>
  <c r="G162" i="17"/>
  <c r="BZ162" i="6" s="1"/>
  <c r="H162" i="17"/>
  <c r="AA162" i="17"/>
  <c r="Z162" i="17" s="1"/>
  <c r="Y162" i="17" s="1"/>
  <c r="G370" i="17"/>
  <c r="BZ370" i="6" s="1"/>
  <c r="H370" i="17"/>
  <c r="AA370" i="17"/>
  <c r="Z370" i="17" s="1"/>
  <c r="Y370" i="17" s="1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345" i="17"/>
  <c r="BZ345" i="6" s="1"/>
  <c r="AA345" i="17"/>
  <c r="Z345" i="17" s="1"/>
  <c r="Y345" i="17" s="1"/>
  <c r="H345" i="17"/>
  <c r="G165" i="17"/>
  <c r="BZ165" i="6" s="1"/>
  <c r="AA165" i="17"/>
  <c r="Z165" i="17" s="1"/>
  <c r="Y165" i="17" s="1"/>
  <c r="H165" i="17"/>
  <c r="G363" i="17"/>
  <c r="BZ363" i="6" s="1"/>
  <c r="AA363" i="17"/>
  <c r="Z363" i="17" s="1"/>
  <c r="Y363" i="17" s="1"/>
  <c r="H363" i="17"/>
  <c r="G361" i="17"/>
  <c r="BZ361" i="6" s="1"/>
  <c r="H361" i="17"/>
  <c r="AA361" i="17"/>
  <c r="Z361" i="17" s="1"/>
  <c r="Y361" i="17" s="1"/>
  <c r="G289" i="17"/>
  <c r="BZ289" i="6" s="1"/>
  <c r="H289" i="17"/>
  <c r="AA289" i="17"/>
  <c r="Z289" i="17" s="1"/>
  <c r="Y289" i="17" s="1"/>
  <c r="G214" i="17"/>
  <c r="BZ214" i="6" s="1"/>
  <c r="H214" i="17"/>
  <c r="AA214" i="17"/>
  <c r="Z214" i="17" s="1"/>
  <c r="Y214" i="17" s="1"/>
  <c r="G215" i="17"/>
  <c r="BZ215" i="6" s="1"/>
  <c r="H215" i="17"/>
  <c r="AA215" i="17"/>
  <c r="Z215" i="17" s="1"/>
  <c r="Y215" i="17" s="1"/>
  <c r="G155" i="17"/>
  <c r="BZ155" i="6" s="1"/>
  <c r="H155" i="17"/>
  <c r="AA155" i="17"/>
  <c r="Z155" i="17" s="1"/>
  <c r="Y155" i="17" s="1"/>
  <c r="G216" i="17"/>
  <c r="BZ216" i="6" s="1"/>
  <c r="AA216" i="17"/>
  <c r="Z216" i="17" s="1"/>
  <c r="Y216" i="17" s="1"/>
  <c r="H216" i="17"/>
  <c r="G116" i="17"/>
  <c r="BZ116" i="6" s="1"/>
  <c r="AA116" i="17"/>
  <c r="Z116" i="17" s="1"/>
  <c r="Y116" i="17" s="1"/>
  <c r="H116" i="17"/>
  <c r="G30" i="17"/>
  <c r="BZ30" i="6" s="1"/>
  <c r="AA30" i="17"/>
  <c r="Z30" i="17" s="1"/>
  <c r="Y30" i="17" s="1"/>
  <c r="H30" i="17"/>
  <c r="G111" i="17"/>
  <c r="BZ111" i="6" s="1"/>
  <c r="AA111" i="17"/>
  <c r="Z111" i="17" s="1"/>
  <c r="Y111" i="17" s="1"/>
  <c r="H111" i="17"/>
  <c r="G189" i="17"/>
  <c r="BZ189" i="6" s="1"/>
  <c r="AA189" i="17"/>
  <c r="Z189" i="17" s="1"/>
  <c r="Y189" i="17" s="1"/>
  <c r="H189" i="17"/>
  <c r="G94" i="17"/>
  <c r="BZ94" i="6" s="1"/>
  <c r="AA94" i="17"/>
  <c r="Z94" i="17" s="1"/>
  <c r="Y94" i="17" s="1"/>
  <c r="H94" i="17"/>
  <c r="G299" i="17"/>
  <c r="BZ299" i="6" s="1"/>
  <c r="H299" i="17"/>
  <c r="AA299" i="17"/>
  <c r="Z299" i="17" s="1"/>
  <c r="Y299" i="17" s="1"/>
  <c r="G41" i="17"/>
  <c r="BZ41" i="6" s="1"/>
  <c r="H41" i="17"/>
  <c r="AA41" i="17"/>
  <c r="Z41" i="17" s="1"/>
  <c r="Y41" i="17" s="1"/>
  <c r="G202" i="17"/>
  <c r="BZ202" i="6" s="1"/>
  <c r="AA202" i="17"/>
  <c r="Z202" i="17" s="1"/>
  <c r="Y202" i="17" s="1"/>
  <c r="H202" i="17"/>
  <c r="G109" i="17"/>
  <c r="BZ109" i="6" s="1"/>
  <c r="AA109" i="17"/>
  <c r="Z109" i="17" s="1"/>
  <c r="Y109" i="17" s="1"/>
  <c r="H109" i="17"/>
  <c r="G334" i="17"/>
  <c r="BZ334" i="6" s="1"/>
  <c r="H334" i="17"/>
  <c r="AA334" i="17"/>
  <c r="Z334" i="17" s="1"/>
  <c r="Y334" i="17" s="1"/>
  <c r="H203" i="17"/>
  <c r="G203" i="17"/>
  <c r="BZ203" i="6" s="1"/>
  <c r="AA203" i="17"/>
  <c r="Z203" i="17" s="1"/>
  <c r="Y203" i="17" s="1"/>
  <c r="G312" i="17"/>
  <c r="BZ312" i="6" s="1"/>
  <c r="H312" i="17"/>
  <c r="AA312" i="17"/>
  <c r="Z312" i="17" s="1"/>
  <c r="Y312" i="17" s="1"/>
  <c r="G42" i="17"/>
  <c r="BZ42" i="6" s="1"/>
  <c r="AA42" i="17"/>
  <c r="Z42" i="17" s="1"/>
  <c r="Y42" i="17" s="1"/>
  <c r="H42" i="17"/>
  <c r="G118" i="17"/>
  <c r="BZ118" i="6" s="1"/>
  <c r="H118" i="17"/>
  <c r="AA118" i="17"/>
  <c r="Z118" i="17" s="1"/>
  <c r="Y118" i="17" s="1"/>
  <c r="G265" i="17"/>
  <c r="BZ265" i="6" s="1"/>
  <c r="H265" i="17"/>
  <c r="AA265" i="17"/>
  <c r="Z265" i="17" s="1"/>
  <c r="Y265" i="17" s="1"/>
  <c r="AA36" i="17"/>
  <c r="Z36" i="17" s="1"/>
  <c r="Y36" i="17" s="1"/>
  <c r="G36" i="17"/>
  <c r="BZ36" i="6" s="1"/>
  <c r="H36" i="17"/>
  <c r="G367" i="17"/>
  <c r="BZ367" i="6" s="1"/>
  <c r="AA367" i="17"/>
  <c r="Z367" i="17" s="1"/>
  <c r="Y367" i="17" s="1"/>
  <c r="H367" i="17"/>
  <c r="G125" i="17"/>
  <c r="BZ125" i="6" s="1"/>
  <c r="H125" i="17"/>
  <c r="AA125" i="17"/>
  <c r="Z125" i="17" s="1"/>
  <c r="Y125" i="17" s="1"/>
  <c r="G282" i="17"/>
  <c r="BZ282" i="6" s="1"/>
  <c r="H282" i="17"/>
  <c r="AA282" i="17"/>
  <c r="Z282" i="17" s="1"/>
  <c r="Y282" i="17" s="1"/>
  <c r="G106" i="17"/>
  <c r="BZ106" i="6" s="1"/>
  <c r="AA106" i="17"/>
  <c r="Z106" i="17" s="1"/>
  <c r="Y106" i="17" s="1"/>
  <c r="H106" i="17"/>
  <c r="G298" i="17"/>
  <c r="BZ298" i="6" s="1"/>
  <c r="AA298" i="17"/>
  <c r="Z298" i="17" s="1"/>
  <c r="Y298" i="17" s="1"/>
  <c r="H298" i="17"/>
  <c r="G293" i="17"/>
  <c r="BZ293" i="6" s="1"/>
  <c r="AA293" i="17"/>
  <c r="Z293" i="17" s="1"/>
  <c r="Y293" i="17" s="1"/>
  <c r="H293" i="17"/>
  <c r="G160" i="17"/>
  <c r="BZ160" i="6" s="1"/>
  <c r="AA160" i="17"/>
  <c r="Z160" i="17" s="1"/>
  <c r="Y160" i="17" s="1"/>
  <c r="H160" i="17"/>
  <c r="G86" i="17"/>
  <c r="BZ86" i="6" s="1"/>
  <c r="AA86" i="17"/>
  <c r="Z86" i="17" s="1"/>
  <c r="Y86" i="17" s="1"/>
  <c r="H86" i="17"/>
  <c r="G33" i="17"/>
  <c r="BZ33" i="6" s="1"/>
  <c r="AA33" i="17"/>
  <c r="Z33" i="17" s="1"/>
  <c r="Y33" i="17" s="1"/>
  <c r="H33" i="17"/>
  <c r="G134" i="17"/>
  <c r="BZ134" i="6" s="1"/>
  <c r="AA134" i="17"/>
  <c r="Z134" i="17" s="1"/>
  <c r="Y134" i="17" s="1"/>
  <c r="H134" i="17"/>
  <c r="G303" i="17"/>
  <c r="BZ303" i="6" s="1"/>
  <c r="AA303" i="17"/>
  <c r="Z303" i="17" s="1"/>
  <c r="Y303" i="17" s="1"/>
  <c r="H303" i="17"/>
  <c r="G157" i="17"/>
  <c r="BZ157" i="6" s="1"/>
  <c r="AA157" i="17"/>
  <c r="Z157" i="17" s="1"/>
  <c r="Y157" i="17" s="1"/>
  <c r="H157" i="17"/>
  <c r="G351" i="17"/>
  <c r="BZ351" i="6" s="1"/>
  <c r="AA351" i="17"/>
  <c r="Z351" i="17" s="1"/>
  <c r="Y351" i="17" s="1"/>
  <c r="H351" i="17"/>
  <c r="G251" i="17"/>
  <c r="BZ251" i="6" s="1"/>
  <c r="AA251" i="17"/>
  <c r="Z251" i="17" s="1"/>
  <c r="Y251" i="17" s="1"/>
  <c r="H251" i="17"/>
  <c r="G209" i="17"/>
  <c r="BZ209" i="6" s="1"/>
  <c r="AA209" i="17"/>
  <c r="Z209" i="17" s="1"/>
  <c r="Y209" i="17" s="1"/>
  <c r="H209" i="17"/>
  <c r="AA81" i="17"/>
  <c r="Z81" i="17" s="1"/>
  <c r="Y81" i="17" s="1"/>
  <c r="G81" i="17"/>
  <c r="BZ81" i="6" s="1"/>
  <c r="H81" i="17"/>
  <c r="G321" i="17"/>
  <c r="BZ321" i="6" s="1"/>
  <c r="H321" i="17"/>
  <c r="AA321" i="17"/>
  <c r="Z321" i="17" s="1"/>
  <c r="Y321" i="17" s="1"/>
  <c r="G208" i="17"/>
  <c r="BZ208" i="6" s="1"/>
  <c r="AA208" i="17"/>
  <c r="Z208" i="17" s="1"/>
  <c r="Y208" i="17" s="1"/>
  <c r="H208" i="17"/>
  <c r="G280" i="17"/>
  <c r="BZ280" i="6" s="1"/>
  <c r="H280" i="17"/>
  <c r="AA280" i="17"/>
  <c r="Z280" i="17" s="1"/>
  <c r="Y280" i="17" s="1"/>
  <c r="G145" i="17"/>
  <c r="BZ145" i="6" s="1"/>
  <c r="H145" i="17"/>
  <c r="AA145" i="17"/>
  <c r="Z145" i="17" s="1"/>
  <c r="Y145" i="17" s="1"/>
  <c r="G268" i="17"/>
  <c r="BZ268" i="6" s="1"/>
  <c r="H268" i="17"/>
  <c r="AA268" i="17"/>
  <c r="Z268" i="17" s="1"/>
  <c r="Y268" i="17" s="1"/>
  <c r="H378" i="17"/>
  <c r="G378" i="17"/>
  <c r="BZ378" i="6" s="1"/>
  <c r="AA378" i="17"/>
  <c r="Z378" i="17" s="1"/>
  <c r="Y378" i="17" s="1"/>
  <c r="G190" i="17"/>
  <c r="BZ190" i="6" s="1"/>
  <c r="H190" i="17"/>
  <c r="AA190" i="17"/>
  <c r="Z190" i="17" s="1"/>
  <c r="Y190" i="17" s="1"/>
  <c r="AA158" i="17"/>
  <c r="Z158" i="17" s="1"/>
  <c r="Y158" i="17" s="1"/>
  <c r="G158" i="17"/>
  <c r="BZ158" i="6" s="1"/>
  <c r="H158" i="17"/>
  <c r="G191" i="17"/>
  <c r="BZ191" i="6" s="1"/>
  <c r="H191" i="17"/>
  <c r="AA191" i="17"/>
  <c r="Z191" i="17" s="1"/>
  <c r="Y191" i="17" s="1"/>
  <c r="H219" i="17"/>
  <c r="G219" i="17"/>
  <c r="BZ219" i="6" s="1"/>
  <c r="AA219" i="17"/>
  <c r="Z219" i="17" s="1"/>
  <c r="Y219" i="17" s="1"/>
  <c r="G68" i="17"/>
  <c r="BZ68" i="6" s="1"/>
  <c r="H68" i="17"/>
  <c r="AA68" i="17"/>
  <c r="Z68" i="17" s="1"/>
  <c r="Y68" i="17" s="1"/>
  <c r="G350" i="17"/>
  <c r="BZ350" i="6" s="1"/>
  <c r="H350" i="17"/>
  <c r="AA350" i="17"/>
  <c r="Z350" i="17" s="1"/>
  <c r="Y350" i="17" s="1"/>
  <c r="G362" i="17"/>
  <c r="BZ362" i="6" s="1"/>
  <c r="H362" i="17"/>
  <c r="AA362" i="17"/>
  <c r="Z362" i="17" s="1"/>
  <c r="Y362" i="17" s="1"/>
  <c r="H51" i="17"/>
  <c r="G51" i="17"/>
  <c r="BZ51" i="6" s="1"/>
  <c r="AA51" i="17"/>
  <c r="Z51" i="17" s="1"/>
  <c r="Y51" i="17" s="1"/>
  <c r="G131" i="17"/>
  <c r="BZ131" i="6" s="1"/>
  <c r="AA131" i="17"/>
  <c r="Z131" i="17" s="1"/>
  <c r="Y131" i="17" s="1"/>
  <c r="H131" i="17"/>
  <c r="G318" i="17"/>
  <c r="BZ318" i="6" s="1"/>
  <c r="H318" i="17"/>
  <c r="AA318" i="17"/>
  <c r="Z318" i="17" s="1"/>
  <c r="Y318" i="17" s="1"/>
  <c r="G135" i="17"/>
  <c r="BZ135" i="6" s="1"/>
  <c r="H135" i="17"/>
  <c r="AA135" i="17"/>
  <c r="Z135" i="17" s="1"/>
  <c r="Y135" i="17" s="1"/>
  <c r="AA356" i="17"/>
  <c r="Z356" i="17" s="1"/>
  <c r="Y356" i="17" s="1"/>
  <c r="G356" i="17"/>
  <c r="BZ356" i="6" s="1"/>
  <c r="H356" i="17"/>
  <c r="G372" i="17"/>
  <c r="BZ372" i="6" s="1"/>
  <c r="AA372" i="17"/>
  <c r="Z372" i="17" s="1"/>
  <c r="Y372" i="17" s="1"/>
  <c r="H372" i="17"/>
  <c r="G110" i="17"/>
  <c r="BZ110" i="6" s="1"/>
  <c r="H110" i="17"/>
  <c r="AA110" i="17"/>
  <c r="Z110" i="17" s="1"/>
  <c r="Y110" i="17" s="1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235" i="17"/>
  <c r="BZ235" i="6" s="1"/>
  <c r="H235" i="17"/>
  <c r="AA235" i="17"/>
  <c r="Z235" i="17" s="1"/>
  <c r="Y235" i="17" s="1"/>
  <c r="G179" i="17"/>
  <c r="BZ179" i="6" s="1"/>
  <c r="H179" i="17"/>
  <c r="AA179" i="17"/>
  <c r="Z179" i="17" s="1"/>
  <c r="Y179" i="17" s="1"/>
  <c r="G332" i="17"/>
  <c r="BZ332" i="6" s="1"/>
  <c r="H332" i="17"/>
  <c r="AA332" i="17"/>
  <c r="Z332" i="17" s="1"/>
  <c r="Y332" i="17" s="1"/>
  <c r="G296" i="17"/>
  <c r="BZ296" i="6" s="1"/>
  <c r="H296" i="17"/>
  <c r="AA296" i="17"/>
  <c r="Z296" i="17" s="1"/>
  <c r="Y296" i="17" s="1"/>
  <c r="H232" i="17"/>
  <c r="G232" i="17"/>
  <c r="BZ232" i="6" s="1"/>
  <c r="AA232" i="17"/>
  <c r="Z232" i="17" s="1"/>
  <c r="Y232" i="17" s="1"/>
  <c r="H64" i="17"/>
  <c r="G64" i="17"/>
  <c r="BZ64" i="6" s="1"/>
  <c r="AA64" i="17"/>
  <c r="Z64" i="17" s="1"/>
  <c r="Y64" i="17" s="1"/>
  <c r="H140" i="17"/>
  <c r="G140" i="17"/>
  <c r="BZ140" i="6" s="1"/>
  <c r="AA140" i="17"/>
  <c r="Z140" i="17" s="1"/>
  <c r="Y140" i="17" s="1"/>
  <c r="G360" i="17"/>
  <c r="BZ360" i="6" s="1"/>
  <c r="AA360" i="17"/>
  <c r="Z360" i="17" s="1"/>
  <c r="Y360" i="17" s="1"/>
  <c r="H360" i="17"/>
  <c r="H71" i="17"/>
  <c r="G71" i="17"/>
  <c r="BZ71" i="6" s="1"/>
  <c r="AA71" i="17"/>
  <c r="Z71" i="17" s="1"/>
  <c r="Y71" i="17" s="1"/>
  <c r="G95" i="17"/>
  <c r="BZ95" i="6" s="1"/>
  <c r="H95" i="17"/>
  <c r="AA95" i="17"/>
  <c r="Z95" i="17" s="1"/>
  <c r="Y95" i="17" s="1"/>
  <c r="G143" i="17"/>
  <c r="BZ143" i="6" s="1"/>
  <c r="H143" i="17"/>
  <c r="AA143" i="17"/>
  <c r="Z143" i="17" s="1"/>
  <c r="Y143" i="17" s="1"/>
  <c r="G364" i="17"/>
  <c r="BZ364" i="6" s="1"/>
  <c r="AA364" i="17"/>
  <c r="Z364" i="17" s="1"/>
  <c r="Y364" i="17" s="1"/>
  <c r="H364" i="17"/>
  <c r="H154" i="17"/>
  <c r="G154" i="17"/>
  <c r="BZ154" i="6" s="1"/>
  <c r="AA154" i="17"/>
  <c r="Z154" i="17" s="1"/>
  <c r="Y154" i="17" s="1"/>
  <c r="H218" i="17"/>
  <c r="G218" i="17"/>
  <c r="BZ218" i="6" s="1"/>
  <c r="AA218" i="17"/>
  <c r="Z218" i="17" s="1"/>
  <c r="Y218" i="17" s="1"/>
  <c r="G306" i="17"/>
  <c r="BZ306" i="6" s="1"/>
  <c r="H306" i="17"/>
  <c r="AA306" i="17"/>
  <c r="Z306" i="17" s="1"/>
  <c r="Y306" i="17" s="1"/>
  <c r="H326" i="17"/>
  <c r="G326" i="17"/>
  <c r="BZ326" i="6" s="1"/>
  <c r="AA326" i="17"/>
  <c r="Z326" i="17" s="1"/>
  <c r="Y326" i="17" s="1"/>
  <c r="G91" i="17"/>
  <c r="BZ91" i="6" s="1"/>
  <c r="AA91" i="17"/>
  <c r="Z91" i="17" s="1"/>
  <c r="Y91" i="17" s="1"/>
  <c r="H91" i="17"/>
  <c r="G59" i="17"/>
  <c r="BZ59" i="6" s="1"/>
  <c r="H59" i="17"/>
  <c r="AA59" i="17"/>
  <c r="Z59" i="17" s="1"/>
  <c r="Y59" i="17" s="1"/>
  <c r="G56" i="17"/>
  <c r="BZ56" i="6" s="1"/>
  <c r="AA56" i="17"/>
  <c r="Z56" i="17" s="1"/>
  <c r="Y56" i="17" s="1"/>
  <c r="H56" i="17"/>
  <c r="G152" i="17"/>
  <c r="BZ152" i="6" s="1"/>
  <c r="AA152" i="17"/>
  <c r="Z152" i="17" s="1"/>
  <c r="Y152" i="17" s="1"/>
  <c r="H152" i="17"/>
  <c r="G275" i="17"/>
  <c r="BZ275" i="6" s="1"/>
  <c r="H275" i="17"/>
  <c r="AA275" i="17"/>
  <c r="Z275" i="17" s="1"/>
  <c r="Y275" i="17" s="1"/>
  <c r="G79" i="17"/>
  <c r="BZ79" i="6" s="1"/>
  <c r="H79" i="17"/>
  <c r="AA79" i="17"/>
  <c r="Z79" i="17" s="1"/>
  <c r="Y79" i="17" s="1"/>
  <c r="G32" i="17"/>
  <c r="BZ32" i="6" s="1"/>
  <c r="AA32" i="17"/>
  <c r="Z32" i="17" s="1"/>
  <c r="Y32" i="17" s="1"/>
  <c r="H32" i="17"/>
  <c r="G57" i="17"/>
  <c r="BZ57" i="6" s="1"/>
  <c r="AA57" i="17"/>
  <c r="Z57" i="17" s="1"/>
  <c r="Y57" i="17" s="1"/>
  <c r="H57" i="17"/>
  <c r="G97" i="17"/>
  <c r="BZ97" i="6" s="1"/>
  <c r="AA97" i="17"/>
  <c r="Z97" i="17" s="1"/>
  <c r="Y97" i="17" s="1"/>
  <c r="H97" i="17"/>
  <c r="G292" i="17"/>
  <c r="BZ292" i="6" s="1"/>
  <c r="AA292" i="17"/>
  <c r="Z292" i="17" s="1"/>
  <c r="Y292" i="17" s="1"/>
  <c r="H292" i="17"/>
  <c r="G77" i="17"/>
  <c r="BZ77" i="6" s="1"/>
  <c r="H77" i="17"/>
  <c r="AA77" i="17"/>
  <c r="Z77" i="17" s="1"/>
  <c r="Y77" i="17" s="1"/>
  <c r="AA27" i="17"/>
  <c r="Z27" i="17" s="1"/>
  <c r="Y27" i="17" s="1"/>
  <c r="G27" i="17"/>
  <c r="BZ27" i="6" s="1"/>
  <c r="H27" i="17"/>
  <c r="H201" i="17"/>
  <c r="G201" i="17"/>
  <c r="BZ201" i="6" s="1"/>
  <c r="AA201" i="17"/>
  <c r="Z201" i="17" s="1"/>
  <c r="Y201" i="17" s="1"/>
  <c r="G300" i="17"/>
  <c r="BZ300" i="6" s="1"/>
  <c r="AA300" i="17"/>
  <c r="Z300" i="17" s="1"/>
  <c r="Y300" i="17" s="1"/>
  <c r="H300" i="17"/>
  <c r="G176" i="17"/>
  <c r="BZ176" i="6" s="1"/>
  <c r="H176" i="17"/>
  <c r="AA176" i="17"/>
  <c r="Z176" i="17" s="1"/>
  <c r="Y176" i="17" s="1"/>
  <c r="J102" i="17"/>
  <c r="I102" i="17"/>
  <c r="G169" i="17"/>
  <c r="BZ169" i="6" s="1"/>
  <c r="H169" i="17"/>
  <c r="AA169" i="17"/>
  <c r="Z169" i="17" s="1"/>
  <c r="Y169" i="17" s="1"/>
  <c r="G102" i="17"/>
  <c r="BZ102" i="6" s="1"/>
  <c r="AA102" i="17"/>
  <c r="Z102" i="17" s="1"/>
  <c r="Y102" i="17" s="1"/>
  <c r="G307" i="17"/>
  <c r="BZ307" i="6" s="1"/>
  <c r="AA307" i="17"/>
  <c r="Z307" i="17" s="1"/>
  <c r="Y307" i="17" s="1"/>
  <c r="H307" i="17"/>
  <c r="H316" i="17"/>
  <c r="AA316" i="17"/>
  <c r="Z316" i="17" s="1"/>
  <c r="Y316" i="17" s="1"/>
  <c r="G316" i="17"/>
  <c r="BZ316" i="6" s="1"/>
  <c r="N57" i="19" l="1"/>
  <c r="N59" i="19"/>
  <c r="N58" i="19"/>
  <c r="AJ5" i="20"/>
  <c r="D15" i="20"/>
  <c r="AK5" i="20"/>
  <c r="AJ9" i="18"/>
  <c r="AJ7" i="18"/>
  <c r="B15" i="19"/>
  <c r="B15" i="22"/>
  <c r="J176" i="17"/>
  <c r="I176" i="17"/>
  <c r="H176" i="18" s="1"/>
  <c r="I27" i="17"/>
  <c r="H27" i="18" s="1"/>
  <c r="J27" i="17"/>
  <c r="I77" i="17"/>
  <c r="H77" i="18" s="1"/>
  <c r="J77" i="17"/>
  <c r="I292" i="17"/>
  <c r="H292" i="18" s="1"/>
  <c r="J292" i="17"/>
  <c r="I152" i="17"/>
  <c r="H152" i="18" s="1"/>
  <c r="J152" i="17"/>
  <c r="I326" i="17"/>
  <c r="H326" i="18" s="1"/>
  <c r="J326" i="17"/>
  <c r="J306" i="17"/>
  <c r="I306" i="17"/>
  <c r="I218" i="17"/>
  <c r="H218" i="18" s="1"/>
  <c r="J218" i="17"/>
  <c r="I364" i="17"/>
  <c r="H364" i="18" s="1"/>
  <c r="J364" i="17"/>
  <c r="J143" i="17"/>
  <c r="I143" i="17"/>
  <c r="H143" i="18" s="1"/>
  <c r="J360" i="17"/>
  <c r="I360" i="17"/>
  <c r="H360" i="18" s="1"/>
  <c r="J332" i="17"/>
  <c r="I332" i="17"/>
  <c r="H332" i="18" s="1"/>
  <c r="J22" i="17"/>
  <c r="I22" i="17"/>
  <c r="H22" i="18" s="1"/>
  <c r="J356" i="17"/>
  <c r="I356" i="17"/>
  <c r="H356" i="18" s="1"/>
  <c r="I51" i="17"/>
  <c r="H51" i="18" s="1"/>
  <c r="J51" i="17"/>
  <c r="I362" i="17"/>
  <c r="H362" i="18" s="1"/>
  <c r="J362" i="17"/>
  <c r="I190" i="17"/>
  <c r="H190" i="18" s="1"/>
  <c r="J190" i="17"/>
  <c r="J280" i="17"/>
  <c r="I280" i="17"/>
  <c r="H280" i="18" s="1"/>
  <c r="J81" i="17"/>
  <c r="I81" i="17"/>
  <c r="H81" i="18" s="1"/>
  <c r="I251" i="17"/>
  <c r="H251" i="18" s="1"/>
  <c r="J251" i="17"/>
  <c r="J134" i="17"/>
  <c r="I134" i="17"/>
  <c r="H134" i="18" s="1"/>
  <c r="J293" i="17"/>
  <c r="I293" i="17"/>
  <c r="H293" i="18" s="1"/>
  <c r="I106" i="17"/>
  <c r="H106" i="18" s="1"/>
  <c r="J106" i="17"/>
  <c r="J265" i="17"/>
  <c r="I265" i="17"/>
  <c r="H265" i="18" s="1"/>
  <c r="J202" i="17"/>
  <c r="I202" i="17"/>
  <c r="H202" i="18" s="1"/>
  <c r="I216" i="17"/>
  <c r="H216" i="18" s="1"/>
  <c r="J216" i="17"/>
  <c r="J155" i="17"/>
  <c r="I155" i="17"/>
  <c r="H155" i="18" s="1"/>
  <c r="I214" i="17"/>
  <c r="H214" i="18" s="1"/>
  <c r="J214" i="17"/>
  <c r="J361" i="17"/>
  <c r="I361" i="17"/>
  <c r="H361" i="18" s="1"/>
  <c r="I363" i="17"/>
  <c r="H363" i="18" s="1"/>
  <c r="J363" i="17"/>
  <c r="J345" i="17"/>
  <c r="I345" i="17"/>
  <c r="H345" i="18" s="1"/>
  <c r="J171" i="17"/>
  <c r="I171" i="17"/>
  <c r="H171" i="18" s="1"/>
  <c r="J370" i="17"/>
  <c r="I370" i="17"/>
  <c r="H370" i="18" s="1"/>
  <c r="J35" i="17"/>
  <c r="I35" i="17"/>
  <c r="H35" i="18" s="1"/>
  <c r="I271" i="17"/>
  <c r="H271" i="18" s="1"/>
  <c r="J271" i="17"/>
  <c r="I311" i="17"/>
  <c r="H311" i="18" s="1"/>
  <c r="J311" i="17"/>
  <c r="J297" i="17"/>
  <c r="I297" i="17"/>
  <c r="H297" i="18" s="1"/>
  <c r="I266" i="17"/>
  <c r="H266" i="18" s="1"/>
  <c r="J266" i="17"/>
  <c r="J276" i="17"/>
  <c r="I276" i="17"/>
  <c r="H276" i="18" s="1"/>
  <c r="I164" i="17"/>
  <c r="H164" i="18" s="1"/>
  <c r="J164" i="17"/>
  <c r="I198" i="17"/>
  <c r="H198" i="18" s="1"/>
  <c r="J198" i="17"/>
  <c r="J308" i="17"/>
  <c r="I308" i="17"/>
  <c r="H308" i="18" s="1"/>
  <c r="J333" i="17"/>
  <c r="I333" i="17"/>
  <c r="H333" i="18" s="1"/>
  <c r="I144" i="17"/>
  <c r="H144" i="18" s="1"/>
  <c r="J144" i="17"/>
  <c r="J225" i="17"/>
  <c r="I225" i="17"/>
  <c r="H225" i="18" s="1"/>
  <c r="I260" i="17"/>
  <c r="H260" i="18" s="1"/>
  <c r="J260" i="17"/>
  <c r="J273" i="17"/>
  <c r="I273" i="17"/>
  <c r="H273" i="18" s="1"/>
  <c r="J28" i="17"/>
  <c r="I28" i="17"/>
  <c r="H28" i="18" s="1"/>
  <c r="J55" i="17"/>
  <c r="I55" i="17"/>
  <c r="H55" i="18" s="1"/>
  <c r="J349" i="17"/>
  <c r="I349" i="17"/>
  <c r="H349" i="18" s="1"/>
  <c r="J60" i="17"/>
  <c r="I60" i="17"/>
  <c r="H60" i="18" s="1"/>
  <c r="I228" i="17"/>
  <c r="H228" i="18" s="1"/>
  <c r="J228" i="17"/>
  <c r="I248" i="17"/>
  <c r="H248" i="18" s="1"/>
  <c r="J248" i="17"/>
  <c r="J207" i="17"/>
  <c r="I207" i="17"/>
  <c r="H207" i="18" s="1"/>
  <c r="J136" i="17"/>
  <c r="I136" i="17"/>
  <c r="H136" i="18" s="1"/>
  <c r="I221" i="17"/>
  <c r="H221" i="18" s="1"/>
  <c r="J221" i="17"/>
  <c r="I255" i="17"/>
  <c r="H255" i="18" s="1"/>
  <c r="J255" i="17"/>
  <c r="I139" i="17"/>
  <c r="H139" i="18" s="1"/>
  <c r="J139" i="17"/>
  <c r="J80" i="17"/>
  <c r="I80" i="17"/>
  <c r="H80" i="18" s="1"/>
  <c r="J376" i="17"/>
  <c r="I376" i="17"/>
  <c r="H376" i="18" s="1"/>
  <c r="I336" i="17"/>
  <c r="H336" i="18" s="1"/>
  <c r="J336" i="17"/>
  <c r="I185" i="17"/>
  <c r="H185" i="18" s="1"/>
  <c r="J185" i="17"/>
  <c r="I200" i="17"/>
  <c r="H200" i="18" s="1"/>
  <c r="J200" i="17"/>
  <c r="J343" i="17"/>
  <c r="I343" i="17"/>
  <c r="H343" i="18" s="1"/>
  <c r="I138" i="17"/>
  <c r="H138" i="18" s="1"/>
  <c r="J138" i="17"/>
  <c r="I245" i="17"/>
  <c r="H245" i="18" s="1"/>
  <c r="J245" i="17"/>
  <c r="J121" i="17"/>
  <c r="I121" i="17"/>
  <c r="H121" i="18" s="1"/>
  <c r="I196" i="17"/>
  <c r="H196" i="18" s="1"/>
  <c r="J196" i="17"/>
  <c r="I100" i="17"/>
  <c r="H100" i="18" s="1"/>
  <c r="J100" i="17"/>
  <c r="J34" i="17"/>
  <c r="I34" i="17"/>
  <c r="H34" i="18" s="1"/>
  <c r="J40" i="17"/>
  <c r="I40" i="17"/>
  <c r="H40" i="18" s="1"/>
  <c r="J369" i="17"/>
  <c r="I369" i="17"/>
  <c r="H369" i="18" s="1"/>
  <c r="I315" i="17"/>
  <c r="H315" i="18" s="1"/>
  <c r="J315" i="17"/>
  <c r="I132" i="17"/>
  <c r="H132" i="18" s="1"/>
  <c r="J132" i="17"/>
  <c r="I270" i="17"/>
  <c r="H270" i="18" s="1"/>
  <c r="J270" i="17"/>
  <c r="I269" i="17"/>
  <c r="H269" i="18" s="1"/>
  <c r="J269" i="17"/>
  <c r="I128" i="17"/>
  <c r="H128" i="18" s="1"/>
  <c r="J128" i="17"/>
  <c r="J347" i="17"/>
  <c r="I347" i="17"/>
  <c r="H347" i="18" s="1"/>
  <c r="J150" i="17"/>
  <c r="I150" i="17"/>
  <c r="H150" i="18" s="1"/>
  <c r="J147" i="17"/>
  <c r="I147" i="17"/>
  <c r="H147" i="18" s="1"/>
  <c r="I84" i="17"/>
  <c r="H84" i="18" s="1"/>
  <c r="J84" i="17"/>
  <c r="J274" i="17"/>
  <c r="I274" i="17"/>
  <c r="H274" i="18" s="1"/>
  <c r="J54" i="17"/>
  <c r="I54" i="17"/>
  <c r="H54" i="18" s="1"/>
  <c r="J141" i="17"/>
  <c r="I141" i="17"/>
  <c r="H141" i="18" s="1"/>
  <c r="J368" i="17"/>
  <c r="I368" i="17"/>
  <c r="H368" i="18" s="1"/>
  <c r="I305" i="17"/>
  <c r="H305" i="18" s="1"/>
  <c r="J305" i="17"/>
  <c r="I67" i="17"/>
  <c r="H67" i="18" s="1"/>
  <c r="J67" i="17"/>
  <c r="J78" i="17"/>
  <c r="I78" i="17"/>
  <c r="H78" i="18" s="1"/>
  <c r="I133" i="17"/>
  <c r="H133" i="18" s="1"/>
  <c r="J133" i="17"/>
  <c r="J281" i="17"/>
  <c r="I281" i="17"/>
  <c r="H281" i="18" s="1"/>
  <c r="J317" i="17"/>
  <c r="I317" i="17"/>
  <c r="H317" i="18" s="1"/>
  <c r="I373" i="17"/>
  <c r="H373" i="18" s="1"/>
  <c r="J373" i="17"/>
  <c r="J130" i="17"/>
  <c r="I130" i="17"/>
  <c r="H130" i="18" s="1"/>
  <c r="J313" i="17"/>
  <c r="I313" i="17"/>
  <c r="H313" i="18" s="1"/>
  <c r="J319" i="17"/>
  <c r="I319" i="17"/>
  <c r="H319" i="18" s="1"/>
  <c r="J358" i="17"/>
  <c r="I358" i="17"/>
  <c r="H358" i="18" s="1"/>
  <c r="I287" i="17"/>
  <c r="H287" i="18" s="1"/>
  <c r="J287" i="17"/>
  <c r="I89" i="17"/>
  <c r="H89" i="18" s="1"/>
  <c r="J89" i="17"/>
  <c r="J226" i="17"/>
  <c r="I226" i="17"/>
  <c r="H226" i="18" s="1"/>
  <c r="J290" i="17"/>
  <c r="I290" i="17"/>
  <c r="H290" i="18" s="1"/>
  <c r="I93" i="17"/>
  <c r="H93" i="18" s="1"/>
  <c r="J93" i="17"/>
  <c r="I119" i="17"/>
  <c r="H119" i="18" s="1"/>
  <c r="J119" i="17"/>
  <c r="J231" i="17"/>
  <c r="I231" i="17"/>
  <c r="H231" i="18" s="1"/>
  <c r="J238" i="17"/>
  <c r="I238" i="17"/>
  <c r="H238" i="18" s="1"/>
  <c r="I259" i="17"/>
  <c r="H259" i="18" s="1"/>
  <c r="J259" i="17"/>
  <c r="J188" i="17"/>
  <c r="I188" i="17"/>
  <c r="H188" i="18" s="1"/>
  <c r="I161" i="17"/>
  <c r="H161" i="18" s="1"/>
  <c r="J161" i="17"/>
  <c r="I309" i="17"/>
  <c r="H309" i="18" s="1"/>
  <c r="J309" i="17"/>
  <c r="I46" i="17"/>
  <c r="H46" i="18" s="1"/>
  <c r="J46" i="17"/>
  <c r="I205" i="17"/>
  <c r="H205" i="18" s="1"/>
  <c r="J205" i="17"/>
  <c r="J284" i="17"/>
  <c r="I284" i="17"/>
  <c r="H284" i="18" s="1"/>
  <c r="J374" i="17"/>
  <c r="I374" i="17"/>
  <c r="H374" i="18" s="1"/>
  <c r="I26" i="17"/>
  <c r="H26" i="18" s="1"/>
  <c r="J26" i="17"/>
  <c r="J344" i="17"/>
  <c r="I344" i="17"/>
  <c r="H344" i="18" s="1"/>
  <c r="J72" i="17"/>
  <c r="I72" i="17"/>
  <c r="H72" i="18" s="1"/>
  <c r="I98" i="17"/>
  <c r="H98" i="18" s="1"/>
  <c r="J98" i="17"/>
  <c r="I37" i="17"/>
  <c r="H37" i="18" s="1"/>
  <c r="J37" i="17"/>
  <c r="J257" i="17"/>
  <c r="I257" i="17"/>
  <c r="H257" i="18" s="1"/>
  <c r="J204" i="17"/>
  <c r="I204" i="17"/>
  <c r="H204" i="18" s="1"/>
  <c r="I96" i="17"/>
  <c r="H96" i="18" s="1"/>
  <c r="J96" i="17"/>
  <c r="I63" i="17"/>
  <c r="H63" i="18" s="1"/>
  <c r="J63" i="17"/>
  <c r="J58" i="17"/>
  <c r="I58" i="17"/>
  <c r="H58" i="18" s="1"/>
  <c r="J122" i="17"/>
  <c r="I122" i="17"/>
  <c r="H122" i="18" s="1"/>
  <c r="J170" i="17"/>
  <c r="I170" i="17"/>
  <c r="H170" i="18" s="1"/>
  <c r="J314" i="17"/>
  <c r="I314" i="17"/>
  <c r="H314" i="18" s="1"/>
  <c r="J39" i="17"/>
  <c r="I39" i="17"/>
  <c r="H39" i="18" s="1"/>
  <c r="I104" i="17"/>
  <c r="H104" i="18" s="1"/>
  <c r="J104" i="17"/>
  <c r="I17" i="17"/>
  <c r="H17" i="18" s="1"/>
  <c r="J17" i="17"/>
  <c r="J117" i="17"/>
  <c r="I117" i="17"/>
  <c r="H117" i="18" s="1"/>
  <c r="I357" i="17"/>
  <c r="J357" i="17"/>
  <c r="J242" i="17"/>
  <c r="I242" i="17"/>
  <c r="H242" i="18" s="1"/>
  <c r="I213" i="17"/>
  <c r="H213" i="18" s="1"/>
  <c r="J213" i="17"/>
  <c r="J220" i="17"/>
  <c r="I220" i="17"/>
  <c r="H220" i="18" s="1"/>
  <c r="J264" i="17"/>
  <c r="I264" i="17"/>
  <c r="H264" i="18" s="1"/>
  <c r="J301" i="17"/>
  <c r="I301" i="17"/>
  <c r="H301" i="18" s="1"/>
  <c r="I52" i="17"/>
  <c r="H52" i="18" s="1"/>
  <c r="J52" i="17"/>
  <c r="I359" i="17"/>
  <c r="H359" i="18" s="1"/>
  <c r="J359" i="17"/>
  <c r="I44" i="17"/>
  <c r="H44" i="18" s="1"/>
  <c r="J44" i="17"/>
  <c r="J310" i="17"/>
  <c r="I310" i="17"/>
  <c r="H310" i="18" s="1"/>
  <c r="J194" i="17"/>
  <c r="I194" i="17"/>
  <c r="H194" i="18" s="1"/>
  <c r="J142" i="17"/>
  <c r="I142" i="17"/>
  <c r="H142" i="18" s="1"/>
  <c r="I148" i="17"/>
  <c r="H148" i="18" s="1"/>
  <c r="J148" i="17"/>
  <c r="I283" i="17"/>
  <c r="H283" i="18" s="1"/>
  <c r="J283" i="17"/>
  <c r="J371" i="17"/>
  <c r="I371" i="17"/>
  <c r="H371" i="18" s="1"/>
  <c r="I105" i="17"/>
  <c r="H105" i="18" s="1"/>
  <c r="J105" i="17"/>
  <c r="I230" i="17"/>
  <c r="H230" i="18" s="1"/>
  <c r="J230" i="17"/>
  <c r="I247" i="17"/>
  <c r="H247" i="18" s="1"/>
  <c r="J247" i="17"/>
  <c r="I113" i="17"/>
  <c r="H113" i="18" s="1"/>
  <c r="J113" i="17"/>
  <c r="I21" i="17"/>
  <c r="H21" i="18" s="1"/>
  <c r="J21" i="17"/>
  <c r="J377" i="17"/>
  <c r="I377" i="17"/>
  <c r="H377" i="18" s="1"/>
  <c r="I352" i="17"/>
  <c r="H352" i="18" s="1"/>
  <c r="J352" i="17"/>
  <c r="W174" i="20"/>
  <c r="D174" i="20"/>
  <c r="E174" i="20" s="1"/>
  <c r="F174" i="20" s="1"/>
  <c r="B174" i="22"/>
  <c r="W132" i="20"/>
  <c r="D132" i="20"/>
  <c r="E132" i="20" s="1"/>
  <c r="F132" i="20" s="1"/>
  <c r="B132" i="22"/>
  <c r="W38" i="20"/>
  <c r="D38" i="20"/>
  <c r="E38" i="20" s="1"/>
  <c r="F38" i="20" s="1"/>
  <c r="B38" i="22"/>
  <c r="W153" i="20"/>
  <c r="D153" i="20"/>
  <c r="E153" i="20" s="1"/>
  <c r="F153" i="20" s="1"/>
  <c r="B153" i="22"/>
  <c r="W100" i="20"/>
  <c r="D100" i="20"/>
  <c r="E100" i="20" s="1"/>
  <c r="F100" i="20" s="1"/>
  <c r="B100" i="22"/>
  <c r="W251" i="20"/>
  <c r="D251" i="20"/>
  <c r="E251" i="20" s="1"/>
  <c r="F251" i="20" s="1"/>
  <c r="B251" i="22"/>
  <c r="W331" i="20"/>
  <c r="D331" i="20"/>
  <c r="E331" i="20" s="1"/>
  <c r="F331" i="20" s="1"/>
  <c r="B331" i="22"/>
  <c r="W235" i="20"/>
  <c r="D235" i="20"/>
  <c r="E235" i="20" s="1"/>
  <c r="F235" i="20" s="1"/>
  <c r="B235" i="22"/>
  <c r="W32" i="20"/>
  <c r="D32" i="20"/>
  <c r="E32" i="20" s="1"/>
  <c r="F32" i="20" s="1"/>
  <c r="B32" i="22"/>
  <c r="W103" i="20"/>
  <c r="D103" i="20"/>
  <c r="E103" i="20" s="1"/>
  <c r="F103" i="20" s="1"/>
  <c r="B103" i="22"/>
  <c r="W229" i="20"/>
  <c r="D229" i="20"/>
  <c r="E229" i="20" s="1"/>
  <c r="F229" i="20" s="1"/>
  <c r="B229" i="22"/>
  <c r="W52" i="20"/>
  <c r="D52" i="20"/>
  <c r="E52" i="20" s="1"/>
  <c r="F52" i="20" s="1"/>
  <c r="B52" i="22"/>
  <c r="W353" i="20"/>
  <c r="D353" i="20"/>
  <c r="E353" i="20" s="1"/>
  <c r="F353" i="20" s="1"/>
  <c r="B353" i="22"/>
  <c r="W152" i="20"/>
  <c r="D152" i="20"/>
  <c r="E152" i="20" s="1"/>
  <c r="F152" i="20" s="1"/>
  <c r="B152" i="22"/>
  <c r="W306" i="20"/>
  <c r="D306" i="20"/>
  <c r="E306" i="20" s="1"/>
  <c r="F306" i="20" s="1"/>
  <c r="B306" i="22"/>
  <c r="W305" i="20"/>
  <c r="D305" i="20"/>
  <c r="E305" i="20" s="1"/>
  <c r="F305" i="20" s="1"/>
  <c r="B305" i="22"/>
  <c r="W299" i="20"/>
  <c r="D299" i="20"/>
  <c r="E299" i="20" s="1"/>
  <c r="F299" i="20" s="1"/>
  <c r="B299" i="22"/>
  <c r="W252" i="20"/>
  <c r="D252" i="20"/>
  <c r="E252" i="20" s="1"/>
  <c r="F252" i="20" s="1"/>
  <c r="B252" i="22"/>
  <c r="W207" i="20"/>
  <c r="D207" i="20"/>
  <c r="E207" i="20" s="1"/>
  <c r="F207" i="20" s="1"/>
  <c r="B207" i="22"/>
  <c r="W204" i="20"/>
  <c r="D204" i="20"/>
  <c r="E204" i="20" s="1"/>
  <c r="F204" i="20" s="1"/>
  <c r="B204" i="22"/>
  <c r="W205" i="20"/>
  <c r="D205" i="20"/>
  <c r="E205" i="20" s="1"/>
  <c r="F205" i="20" s="1"/>
  <c r="B205" i="22"/>
  <c r="W222" i="20"/>
  <c r="D222" i="20"/>
  <c r="E222" i="20" s="1"/>
  <c r="F222" i="20" s="1"/>
  <c r="B222" i="22"/>
  <c r="W64" i="20"/>
  <c r="D64" i="20"/>
  <c r="E64" i="20" s="1"/>
  <c r="F64" i="20" s="1"/>
  <c r="B64" i="22"/>
  <c r="W366" i="20"/>
  <c r="D366" i="20"/>
  <c r="E366" i="20" s="1"/>
  <c r="F366" i="20" s="1"/>
  <c r="B366" i="22"/>
  <c r="W358" i="20"/>
  <c r="D358" i="20"/>
  <c r="E358" i="20" s="1"/>
  <c r="F358" i="20" s="1"/>
  <c r="B358" i="22"/>
  <c r="W342" i="20"/>
  <c r="D342" i="20"/>
  <c r="E342" i="20" s="1"/>
  <c r="F342" i="20" s="1"/>
  <c r="B342" i="22"/>
  <c r="W338" i="20"/>
  <c r="D338" i="20"/>
  <c r="E338" i="20" s="1"/>
  <c r="F338" i="20" s="1"/>
  <c r="B338" i="22"/>
  <c r="W312" i="20"/>
  <c r="D312" i="20"/>
  <c r="E312" i="20" s="1"/>
  <c r="F312" i="20" s="1"/>
  <c r="B312" i="22"/>
  <c r="W286" i="20"/>
  <c r="D286" i="20"/>
  <c r="E286" i="20" s="1"/>
  <c r="F286" i="20" s="1"/>
  <c r="B286" i="22"/>
  <c r="W242" i="20"/>
  <c r="D242" i="20"/>
  <c r="E242" i="20" s="1"/>
  <c r="F242" i="20" s="1"/>
  <c r="B242" i="22"/>
  <c r="W224" i="20"/>
  <c r="D224" i="20"/>
  <c r="E224" i="20" s="1"/>
  <c r="F224" i="20" s="1"/>
  <c r="B224" i="22"/>
  <c r="W212" i="20"/>
  <c r="D212" i="20"/>
  <c r="E212" i="20" s="1"/>
  <c r="F212" i="20" s="1"/>
  <c r="B212" i="22"/>
  <c r="W200" i="20"/>
  <c r="D200" i="20"/>
  <c r="E200" i="20" s="1"/>
  <c r="F200" i="20" s="1"/>
  <c r="B200" i="22"/>
  <c r="G190" i="18"/>
  <c r="CA190" i="6" s="1"/>
  <c r="AA190" i="18"/>
  <c r="Z190" i="18" s="1"/>
  <c r="Y190" i="18" s="1"/>
  <c r="D190" i="22"/>
  <c r="E190" i="22" s="1"/>
  <c r="F190" i="22" s="1"/>
  <c r="W190" i="22"/>
  <c r="B190" i="23"/>
  <c r="W168" i="20"/>
  <c r="D168" i="20"/>
  <c r="E168" i="20" s="1"/>
  <c r="F168" i="20" s="1"/>
  <c r="B168" i="22"/>
  <c r="W158" i="20"/>
  <c r="D158" i="20"/>
  <c r="E158" i="20" s="1"/>
  <c r="F158" i="20" s="1"/>
  <c r="B158" i="22"/>
  <c r="W134" i="20"/>
  <c r="D134" i="20"/>
  <c r="E134" i="20" s="1"/>
  <c r="F134" i="20" s="1"/>
  <c r="B134" i="22"/>
  <c r="D82" i="20"/>
  <c r="E82" i="20" s="1"/>
  <c r="F82" i="20" s="1"/>
  <c r="W82" i="20"/>
  <c r="B82" i="22"/>
  <c r="W68" i="20"/>
  <c r="D68" i="20"/>
  <c r="E68" i="20" s="1"/>
  <c r="F68" i="20" s="1"/>
  <c r="B68" i="22"/>
  <c r="W54" i="20"/>
  <c r="D54" i="20"/>
  <c r="E54" i="20" s="1"/>
  <c r="F54" i="20" s="1"/>
  <c r="B54" i="22"/>
  <c r="W40" i="20"/>
  <c r="D40" i="20"/>
  <c r="E40" i="20" s="1"/>
  <c r="F40" i="20" s="1"/>
  <c r="B40" i="22"/>
  <c r="W30" i="20"/>
  <c r="D30" i="20"/>
  <c r="E30" i="20" s="1"/>
  <c r="F30" i="20" s="1"/>
  <c r="B30" i="22"/>
  <c r="W377" i="20"/>
  <c r="D377" i="20"/>
  <c r="E377" i="20" s="1"/>
  <c r="F377" i="20" s="1"/>
  <c r="B377" i="22"/>
  <c r="W351" i="20"/>
  <c r="D351" i="20"/>
  <c r="E351" i="20" s="1"/>
  <c r="F351" i="20" s="1"/>
  <c r="B351" i="22"/>
  <c r="W343" i="20"/>
  <c r="D343" i="20"/>
  <c r="E343" i="20" s="1"/>
  <c r="F343" i="20" s="1"/>
  <c r="B343" i="22"/>
  <c r="W315" i="20"/>
  <c r="D315" i="20"/>
  <c r="E315" i="20" s="1"/>
  <c r="F315" i="20" s="1"/>
  <c r="B315" i="22"/>
  <c r="W279" i="20"/>
  <c r="D279" i="20"/>
  <c r="E279" i="20" s="1"/>
  <c r="F279" i="20" s="1"/>
  <c r="B279" i="22"/>
  <c r="W239" i="20"/>
  <c r="D239" i="20"/>
  <c r="E239" i="20" s="1"/>
  <c r="F239" i="20" s="1"/>
  <c r="B239" i="22"/>
  <c r="W225" i="20"/>
  <c r="D225" i="20"/>
  <c r="E225" i="20" s="1"/>
  <c r="F225" i="20" s="1"/>
  <c r="B225" i="22"/>
  <c r="W213" i="20"/>
  <c r="D213" i="20"/>
  <c r="E213" i="20" s="1"/>
  <c r="F213" i="20" s="1"/>
  <c r="B213" i="22"/>
  <c r="W165" i="20"/>
  <c r="D165" i="20"/>
  <c r="E165" i="20" s="1"/>
  <c r="F165" i="20" s="1"/>
  <c r="B165" i="22"/>
  <c r="W129" i="20"/>
  <c r="D129" i="20"/>
  <c r="E129" i="20" s="1"/>
  <c r="F129" i="20" s="1"/>
  <c r="B129" i="22"/>
  <c r="W117" i="20"/>
  <c r="D117" i="20"/>
  <c r="E117" i="20" s="1"/>
  <c r="F117" i="20" s="1"/>
  <c r="B117" i="22"/>
  <c r="W113" i="20"/>
  <c r="D113" i="20"/>
  <c r="E113" i="20" s="1"/>
  <c r="F113" i="20" s="1"/>
  <c r="B113" i="22"/>
  <c r="W91" i="20"/>
  <c r="D91" i="20"/>
  <c r="E91" i="20" s="1"/>
  <c r="F91" i="20" s="1"/>
  <c r="B91" i="22"/>
  <c r="W57" i="20"/>
  <c r="D57" i="20"/>
  <c r="E57" i="20" s="1"/>
  <c r="F57" i="20" s="1"/>
  <c r="B57" i="22"/>
  <c r="W41" i="20"/>
  <c r="D41" i="20"/>
  <c r="E41" i="20" s="1"/>
  <c r="F41" i="20" s="1"/>
  <c r="B41" i="22"/>
  <c r="W26" i="20"/>
  <c r="D26" i="20"/>
  <c r="E26" i="20" s="1"/>
  <c r="F26" i="20" s="1"/>
  <c r="B26" i="22"/>
  <c r="W364" i="20"/>
  <c r="D364" i="20"/>
  <c r="E364" i="20" s="1"/>
  <c r="F364" i="20" s="1"/>
  <c r="B364" i="22"/>
  <c r="W350" i="20"/>
  <c r="D350" i="20"/>
  <c r="E350" i="20" s="1"/>
  <c r="F350" i="20" s="1"/>
  <c r="B350" i="22"/>
  <c r="W330" i="20"/>
  <c r="D330" i="20"/>
  <c r="E330" i="20" s="1"/>
  <c r="F330" i="20" s="1"/>
  <c r="B330" i="22"/>
  <c r="W322" i="20"/>
  <c r="D322" i="20"/>
  <c r="E322" i="20" s="1"/>
  <c r="F322" i="20" s="1"/>
  <c r="B322" i="22"/>
  <c r="W292" i="20"/>
  <c r="D292" i="20"/>
  <c r="E292" i="20" s="1"/>
  <c r="F292" i="20" s="1"/>
  <c r="B292" i="22"/>
  <c r="W266" i="20"/>
  <c r="D266" i="20"/>
  <c r="E266" i="20" s="1"/>
  <c r="F266" i="20" s="1"/>
  <c r="B266" i="22"/>
  <c r="W256" i="20"/>
  <c r="D256" i="20"/>
  <c r="E256" i="20" s="1"/>
  <c r="F256" i="20" s="1"/>
  <c r="B256" i="22"/>
  <c r="W234" i="20"/>
  <c r="D234" i="20"/>
  <c r="E234" i="20" s="1"/>
  <c r="F234" i="20" s="1"/>
  <c r="B234" i="22"/>
  <c r="W184" i="20"/>
  <c r="D184" i="20"/>
  <c r="E184" i="20" s="1"/>
  <c r="F184" i="20" s="1"/>
  <c r="B184" i="22"/>
  <c r="W160" i="20"/>
  <c r="D160" i="20"/>
  <c r="E160" i="20" s="1"/>
  <c r="F160" i="20" s="1"/>
  <c r="B160" i="22"/>
  <c r="W124" i="20"/>
  <c r="D124" i="20"/>
  <c r="E124" i="20" s="1"/>
  <c r="F124" i="20" s="1"/>
  <c r="B124" i="22"/>
  <c r="W48" i="20"/>
  <c r="D48" i="20"/>
  <c r="E48" i="20" s="1"/>
  <c r="F48" i="20" s="1"/>
  <c r="B48" i="22"/>
  <c r="D27" i="20"/>
  <c r="E27" i="20" s="1"/>
  <c r="F27" i="20" s="1"/>
  <c r="W27" i="20"/>
  <c r="B27" i="22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H357" i="18"/>
  <c r="G325" i="18"/>
  <c r="CA325" i="6" s="1"/>
  <c r="AA325" i="18"/>
  <c r="Z325" i="18" s="1"/>
  <c r="Y325" i="18" s="1"/>
  <c r="G307" i="18"/>
  <c r="CA307" i="6" s="1"/>
  <c r="AA307" i="18"/>
  <c r="Z307" i="18" s="1"/>
  <c r="Y307" i="18" s="1"/>
  <c r="G277" i="18"/>
  <c r="CA277" i="6" s="1"/>
  <c r="AA277" i="18"/>
  <c r="Z277" i="18" s="1"/>
  <c r="Y277" i="18" s="1"/>
  <c r="G267" i="18"/>
  <c r="CA267" i="6" s="1"/>
  <c r="AA267" i="18"/>
  <c r="Z267" i="18" s="1"/>
  <c r="Y267" i="18" s="1"/>
  <c r="G245" i="18"/>
  <c r="CA245" i="6" s="1"/>
  <c r="AA245" i="18"/>
  <c r="Z245" i="18" s="1"/>
  <c r="Y245" i="18" s="1"/>
  <c r="G223" i="18"/>
  <c r="CA223" i="6" s="1"/>
  <c r="AA223" i="18"/>
  <c r="Z223" i="18" s="1"/>
  <c r="Y223" i="18" s="1"/>
  <c r="G203" i="18"/>
  <c r="CA203" i="6" s="1"/>
  <c r="AA203" i="18"/>
  <c r="Z203" i="18" s="1"/>
  <c r="Y203" i="18" s="1"/>
  <c r="G191" i="18"/>
  <c r="CA191" i="6" s="1"/>
  <c r="AA191" i="18"/>
  <c r="Z191" i="18" s="1"/>
  <c r="Y191" i="18" s="1"/>
  <c r="G169" i="18"/>
  <c r="CA169" i="6" s="1"/>
  <c r="AA169" i="18"/>
  <c r="Z169" i="18" s="1"/>
  <c r="Y169" i="18" s="1"/>
  <c r="G143" i="18"/>
  <c r="CA143" i="6" s="1"/>
  <c r="AA143" i="18"/>
  <c r="Z143" i="18" s="1"/>
  <c r="Y143" i="18" s="1"/>
  <c r="G139" i="18"/>
  <c r="CA139" i="6" s="1"/>
  <c r="AA139" i="18"/>
  <c r="Z139" i="18" s="1"/>
  <c r="Y139" i="18" s="1"/>
  <c r="G65" i="18"/>
  <c r="CA65" i="6" s="1"/>
  <c r="AA65" i="18"/>
  <c r="Z65" i="18" s="1"/>
  <c r="Y65" i="18" s="1"/>
  <c r="G53" i="18"/>
  <c r="CA53" i="6" s="1"/>
  <c r="AA53" i="18"/>
  <c r="Z53" i="18" s="1"/>
  <c r="Y53" i="18" s="1"/>
  <c r="G372" i="18"/>
  <c r="CA372" i="6" s="1"/>
  <c r="AA372" i="18"/>
  <c r="Z372" i="18" s="1"/>
  <c r="Y372" i="18" s="1"/>
  <c r="G174" i="18"/>
  <c r="CA174" i="6" s="1"/>
  <c r="AA174" i="18"/>
  <c r="Z174" i="18" s="1"/>
  <c r="Y174" i="18" s="1"/>
  <c r="G232" i="20"/>
  <c r="CB232" i="6" s="1"/>
  <c r="AA232" i="20"/>
  <c r="Z232" i="20" s="1"/>
  <c r="Y232" i="20" s="1"/>
  <c r="G132" i="18"/>
  <c r="CA132" i="6" s="1"/>
  <c r="AA132" i="18"/>
  <c r="Z132" i="18" s="1"/>
  <c r="Y132" i="18" s="1"/>
  <c r="G76" i="20"/>
  <c r="CB76" i="6" s="1"/>
  <c r="AA76" i="20"/>
  <c r="Z76" i="20" s="1"/>
  <c r="Y76" i="20" s="1"/>
  <c r="G38" i="18"/>
  <c r="CA38" i="6" s="1"/>
  <c r="AA38" i="18"/>
  <c r="Z38" i="18" s="1"/>
  <c r="Y38" i="18" s="1"/>
  <c r="G295" i="20"/>
  <c r="CB295" i="6" s="1"/>
  <c r="AA295" i="20"/>
  <c r="Z295" i="20" s="1"/>
  <c r="Y295" i="20" s="1"/>
  <c r="G153" i="18"/>
  <c r="CA153" i="6" s="1"/>
  <c r="AA153" i="18"/>
  <c r="Z153" i="18" s="1"/>
  <c r="Y153" i="18" s="1"/>
  <c r="G81" i="20"/>
  <c r="CB81" i="6" s="1"/>
  <c r="AA81" i="20"/>
  <c r="Z81" i="20" s="1"/>
  <c r="Y81" i="20" s="1"/>
  <c r="G100" i="18"/>
  <c r="CA100" i="6" s="1"/>
  <c r="AA100" i="18"/>
  <c r="Z100" i="18" s="1"/>
  <c r="Y100" i="18" s="1"/>
  <c r="AA62" i="20"/>
  <c r="Z62" i="20" s="1"/>
  <c r="Y62" i="20" s="1"/>
  <c r="G62" i="20"/>
  <c r="CB62" i="6" s="1"/>
  <c r="G251" i="18"/>
  <c r="CA251" i="6" s="1"/>
  <c r="AA251" i="18"/>
  <c r="Z251" i="18" s="1"/>
  <c r="Y251" i="18" s="1"/>
  <c r="G73" i="20"/>
  <c r="CB73" i="6" s="1"/>
  <c r="AA73" i="20"/>
  <c r="Z73" i="20" s="1"/>
  <c r="Y73" i="20" s="1"/>
  <c r="G331" i="18"/>
  <c r="CA331" i="6" s="1"/>
  <c r="AA331" i="18"/>
  <c r="Z331" i="18" s="1"/>
  <c r="Y331" i="18" s="1"/>
  <c r="G309" i="20"/>
  <c r="CB309" i="6" s="1"/>
  <c r="AA309" i="20"/>
  <c r="Z309" i="20" s="1"/>
  <c r="Y309" i="20" s="1"/>
  <c r="G235" i="18"/>
  <c r="CA235" i="6" s="1"/>
  <c r="AA235" i="18"/>
  <c r="Z235" i="18" s="1"/>
  <c r="Y235" i="18" s="1"/>
  <c r="G332" i="20"/>
  <c r="CB332" i="6" s="1"/>
  <c r="AA332" i="20"/>
  <c r="Z332" i="20" s="1"/>
  <c r="Y332" i="20" s="1"/>
  <c r="G32" i="18"/>
  <c r="CA32" i="6" s="1"/>
  <c r="AA32" i="18"/>
  <c r="Z32" i="18" s="1"/>
  <c r="Y32" i="18" s="1"/>
  <c r="G125" i="20"/>
  <c r="CB125" i="6" s="1"/>
  <c r="AA125" i="20"/>
  <c r="Z125" i="20" s="1"/>
  <c r="Y125" i="20" s="1"/>
  <c r="G103" i="18"/>
  <c r="CA103" i="6" s="1"/>
  <c r="AA103" i="18"/>
  <c r="Z103" i="18" s="1"/>
  <c r="Y103" i="18" s="1"/>
  <c r="G321" i="20"/>
  <c r="CB321" i="6" s="1"/>
  <c r="AA321" i="20"/>
  <c r="Z321" i="20" s="1"/>
  <c r="Y321" i="20" s="1"/>
  <c r="G229" i="18"/>
  <c r="CA229" i="6" s="1"/>
  <c r="AA229" i="18"/>
  <c r="Z229" i="18" s="1"/>
  <c r="Y229" i="18" s="1"/>
  <c r="G157" i="20"/>
  <c r="CB157" i="6" s="1"/>
  <c r="AA157" i="20"/>
  <c r="Z157" i="20" s="1"/>
  <c r="Y157" i="20" s="1"/>
  <c r="G52" i="18"/>
  <c r="CA52" i="6" s="1"/>
  <c r="AA52" i="18"/>
  <c r="Z52" i="18" s="1"/>
  <c r="Y52" i="18" s="1"/>
  <c r="G163" i="20"/>
  <c r="CB163" i="6" s="1"/>
  <c r="AA163" i="20"/>
  <c r="Z163" i="20" s="1"/>
  <c r="Y163" i="20" s="1"/>
  <c r="G353" i="18"/>
  <c r="CA353" i="6" s="1"/>
  <c r="AA353" i="18"/>
  <c r="Z353" i="18" s="1"/>
  <c r="Y353" i="18" s="1"/>
  <c r="G374" i="20"/>
  <c r="CB374" i="6" s="1"/>
  <c r="AA374" i="20"/>
  <c r="Z374" i="20" s="1"/>
  <c r="Y374" i="20" s="1"/>
  <c r="G152" i="18"/>
  <c r="CA152" i="6" s="1"/>
  <c r="AA152" i="18"/>
  <c r="Z152" i="18" s="1"/>
  <c r="Y152" i="18" s="1"/>
  <c r="G98" i="20"/>
  <c r="CB98" i="6" s="1"/>
  <c r="AA98" i="20"/>
  <c r="Z98" i="20" s="1"/>
  <c r="Y98" i="20" s="1"/>
  <c r="G306" i="18"/>
  <c r="CA306" i="6" s="1"/>
  <c r="AA306" i="18"/>
  <c r="Z306" i="18" s="1"/>
  <c r="Y306" i="18" s="1"/>
  <c r="H306" i="18"/>
  <c r="G311" i="20"/>
  <c r="CB311" i="6" s="1"/>
  <c r="AA311" i="20"/>
  <c r="Z311" i="20" s="1"/>
  <c r="Y311" i="20" s="1"/>
  <c r="G305" i="18"/>
  <c r="CA305" i="6" s="1"/>
  <c r="AA305" i="18"/>
  <c r="Z305" i="18" s="1"/>
  <c r="Y305" i="18" s="1"/>
  <c r="G236" i="20"/>
  <c r="CB236" i="6" s="1"/>
  <c r="AA236" i="20"/>
  <c r="Z236" i="20" s="1"/>
  <c r="Y236" i="20" s="1"/>
  <c r="G299" i="18"/>
  <c r="CA299" i="6" s="1"/>
  <c r="AA299" i="18"/>
  <c r="Z299" i="18" s="1"/>
  <c r="Y299" i="18" s="1"/>
  <c r="G310" i="20"/>
  <c r="CB310" i="6" s="1"/>
  <c r="AA310" i="20"/>
  <c r="Z310" i="20" s="1"/>
  <c r="Y310" i="20" s="1"/>
  <c r="G252" i="18"/>
  <c r="CA252" i="6" s="1"/>
  <c r="AA252" i="18"/>
  <c r="Z252" i="18" s="1"/>
  <c r="Y252" i="18" s="1"/>
  <c r="G182" i="20"/>
  <c r="CB182" i="6" s="1"/>
  <c r="AA182" i="20"/>
  <c r="Z182" i="20" s="1"/>
  <c r="Y182" i="20" s="1"/>
  <c r="G207" i="18"/>
  <c r="CA207" i="6" s="1"/>
  <c r="AA207" i="18"/>
  <c r="Z207" i="18" s="1"/>
  <c r="Y207" i="18" s="1"/>
  <c r="G378" i="20"/>
  <c r="CB378" i="6" s="1"/>
  <c r="AA378" i="20"/>
  <c r="Z378" i="20" s="1"/>
  <c r="Y378" i="20" s="1"/>
  <c r="G204" i="18"/>
  <c r="CA204" i="6" s="1"/>
  <c r="AA204" i="18"/>
  <c r="Z204" i="18" s="1"/>
  <c r="Y204" i="18" s="1"/>
  <c r="G289" i="20"/>
  <c r="CB289" i="6" s="1"/>
  <c r="AA289" i="20"/>
  <c r="Z289" i="20" s="1"/>
  <c r="Y289" i="20" s="1"/>
  <c r="G205" i="18"/>
  <c r="CA205" i="6" s="1"/>
  <c r="AA205" i="18"/>
  <c r="Z205" i="18" s="1"/>
  <c r="Y205" i="18" s="1"/>
  <c r="G90" i="20"/>
  <c r="CB90" i="6" s="1"/>
  <c r="AA90" i="20"/>
  <c r="Z90" i="20" s="1"/>
  <c r="Y90" i="20" s="1"/>
  <c r="G222" i="18"/>
  <c r="CA222" i="6" s="1"/>
  <c r="AA222" i="18"/>
  <c r="Z222" i="18" s="1"/>
  <c r="Y222" i="18" s="1"/>
  <c r="G78" i="20"/>
  <c r="CB78" i="6" s="1"/>
  <c r="AA78" i="20"/>
  <c r="Z78" i="20" s="1"/>
  <c r="Y78" i="20" s="1"/>
  <c r="G64" i="18"/>
  <c r="CA64" i="6" s="1"/>
  <c r="AA64" i="18"/>
  <c r="Z64" i="18" s="1"/>
  <c r="Y64" i="18" s="1"/>
  <c r="G137" i="20"/>
  <c r="CB137" i="6" s="1"/>
  <c r="AA137" i="20"/>
  <c r="Z137" i="20" s="1"/>
  <c r="Y137" i="20" s="1"/>
  <c r="G366" i="18"/>
  <c r="CA366" i="6" s="1"/>
  <c r="AA366" i="18"/>
  <c r="Z366" i="18" s="1"/>
  <c r="Y366" i="18" s="1"/>
  <c r="G362" i="20"/>
  <c r="CB362" i="6" s="1"/>
  <c r="AA362" i="20"/>
  <c r="Z362" i="20" s="1"/>
  <c r="Y362" i="20" s="1"/>
  <c r="G358" i="18"/>
  <c r="CA358" i="6" s="1"/>
  <c r="AA358" i="18"/>
  <c r="Z358" i="18" s="1"/>
  <c r="Y358" i="18" s="1"/>
  <c r="G356" i="20"/>
  <c r="CB356" i="6" s="1"/>
  <c r="AA356" i="20"/>
  <c r="Z356" i="20" s="1"/>
  <c r="Y356" i="20" s="1"/>
  <c r="G342" i="18"/>
  <c r="CA342" i="6" s="1"/>
  <c r="AA342" i="18"/>
  <c r="Z342" i="18" s="1"/>
  <c r="Y342" i="18" s="1"/>
  <c r="G340" i="20"/>
  <c r="CB340" i="6" s="1"/>
  <c r="AA340" i="20"/>
  <c r="Z340" i="20" s="1"/>
  <c r="Y340" i="20" s="1"/>
  <c r="G338" i="18"/>
  <c r="CA338" i="6" s="1"/>
  <c r="AA338" i="18"/>
  <c r="Z338" i="18" s="1"/>
  <c r="Y338" i="18" s="1"/>
  <c r="G314" i="20"/>
  <c r="CB314" i="6" s="1"/>
  <c r="AA314" i="20"/>
  <c r="Z314" i="20" s="1"/>
  <c r="Y314" i="20" s="1"/>
  <c r="G312" i="18"/>
  <c r="CA312" i="6" s="1"/>
  <c r="AA312" i="18"/>
  <c r="Z312" i="18" s="1"/>
  <c r="Y312" i="18" s="1"/>
  <c r="G290" i="20"/>
  <c r="CB290" i="6" s="1"/>
  <c r="AA290" i="20"/>
  <c r="Z290" i="20" s="1"/>
  <c r="Y290" i="20" s="1"/>
  <c r="G286" i="18"/>
  <c r="CA286" i="6" s="1"/>
  <c r="AA286" i="18"/>
  <c r="Z286" i="18" s="1"/>
  <c r="Y286" i="18" s="1"/>
  <c r="G264" i="20"/>
  <c r="CB264" i="6" s="1"/>
  <c r="AA264" i="20"/>
  <c r="Z264" i="20" s="1"/>
  <c r="Y264" i="20" s="1"/>
  <c r="G242" i="18"/>
  <c r="CA242" i="6" s="1"/>
  <c r="AA242" i="18"/>
  <c r="Z242" i="18" s="1"/>
  <c r="Y242" i="18" s="1"/>
  <c r="G240" i="20"/>
  <c r="CB240" i="6" s="1"/>
  <c r="AA240" i="20"/>
  <c r="Z240" i="20" s="1"/>
  <c r="Y240" i="20" s="1"/>
  <c r="G224" i="18"/>
  <c r="CA224" i="6" s="1"/>
  <c r="AA224" i="18"/>
  <c r="Z224" i="18" s="1"/>
  <c r="Y224" i="18" s="1"/>
  <c r="G214" i="20"/>
  <c r="CB214" i="6" s="1"/>
  <c r="AA214" i="20"/>
  <c r="Z214" i="20" s="1"/>
  <c r="Y214" i="20" s="1"/>
  <c r="G212" i="18"/>
  <c r="CA212" i="6" s="1"/>
  <c r="AA212" i="18"/>
  <c r="Z212" i="18" s="1"/>
  <c r="Y212" i="18" s="1"/>
  <c r="G206" i="20"/>
  <c r="CB206" i="6" s="1"/>
  <c r="AA206" i="20"/>
  <c r="Z206" i="20" s="1"/>
  <c r="Y206" i="20" s="1"/>
  <c r="G200" i="18"/>
  <c r="CA200" i="6" s="1"/>
  <c r="AA200" i="18"/>
  <c r="Z200" i="18" s="1"/>
  <c r="Y200" i="18" s="1"/>
  <c r="G198" i="20"/>
  <c r="CB198" i="6" s="1"/>
  <c r="AA198" i="20"/>
  <c r="Z198" i="20" s="1"/>
  <c r="Y198" i="20" s="1"/>
  <c r="G190" i="20"/>
  <c r="CB190" i="6" s="1"/>
  <c r="AA190" i="20"/>
  <c r="Z190" i="20" s="1"/>
  <c r="Y190" i="20" s="1"/>
  <c r="G186" i="18"/>
  <c r="CA186" i="6" s="1"/>
  <c r="AA186" i="18"/>
  <c r="Z186" i="18" s="1"/>
  <c r="Y186" i="18" s="1"/>
  <c r="G168" i="18"/>
  <c r="CA168" i="6" s="1"/>
  <c r="AA168" i="18"/>
  <c r="Z168" i="18" s="1"/>
  <c r="Y168" i="18" s="1"/>
  <c r="G162" i="20"/>
  <c r="CB162" i="6" s="1"/>
  <c r="AA162" i="20"/>
  <c r="Z162" i="20" s="1"/>
  <c r="Y162" i="20" s="1"/>
  <c r="G158" i="18"/>
  <c r="CA158" i="6" s="1"/>
  <c r="AA158" i="18"/>
  <c r="Z158" i="18" s="1"/>
  <c r="Y158" i="18" s="1"/>
  <c r="G156" i="20"/>
  <c r="CB156" i="6" s="1"/>
  <c r="AA156" i="20"/>
  <c r="Z156" i="20" s="1"/>
  <c r="Y156" i="20" s="1"/>
  <c r="G134" i="18"/>
  <c r="CA134" i="6" s="1"/>
  <c r="AA134" i="18"/>
  <c r="Z134" i="18" s="1"/>
  <c r="Y134" i="18" s="1"/>
  <c r="G102" i="20"/>
  <c r="CB102" i="6" s="1"/>
  <c r="AA102" i="20"/>
  <c r="Z102" i="20" s="1"/>
  <c r="Y102" i="20" s="1"/>
  <c r="G82" i="18"/>
  <c r="CA82" i="6" s="1"/>
  <c r="AA82" i="18"/>
  <c r="Z82" i="18" s="1"/>
  <c r="Y82" i="18" s="1"/>
  <c r="G72" i="20"/>
  <c r="CB72" i="6" s="1"/>
  <c r="AA72" i="20"/>
  <c r="Z72" i="20" s="1"/>
  <c r="Y72" i="20" s="1"/>
  <c r="G68" i="18"/>
  <c r="CA68" i="6" s="1"/>
  <c r="AA68" i="18"/>
  <c r="Z68" i="18" s="1"/>
  <c r="Y68" i="18" s="1"/>
  <c r="G58" i="20"/>
  <c r="CB58" i="6" s="1"/>
  <c r="AA58" i="20"/>
  <c r="Z58" i="20" s="1"/>
  <c r="Y58" i="20" s="1"/>
  <c r="G54" i="18"/>
  <c r="CA54" i="6" s="1"/>
  <c r="AA54" i="18"/>
  <c r="Z54" i="18" s="1"/>
  <c r="Y54" i="18" s="1"/>
  <c r="G44" i="20"/>
  <c r="CB44" i="6" s="1"/>
  <c r="AA44" i="20"/>
  <c r="Z44" i="20" s="1"/>
  <c r="Y44" i="20" s="1"/>
  <c r="G40" i="18"/>
  <c r="CA40" i="6" s="1"/>
  <c r="AA40" i="18"/>
  <c r="Z40" i="18" s="1"/>
  <c r="Y40" i="18" s="1"/>
  <c r="G36" i="20"/>
  <c r="CB36" i="6" s="1"/>
  <c r="AA36" i="20"/>
  <c r="Z36" i="20" s="1"/>
  <c r="Y36" i="20" s="1"/>
  <c r="G30" i="18"/>
  <c r="CA30" i="6" s="1"/>
  <c r="AA30" i="18"/>
  <c r="Z30" i="18" s="1"/>
  <c r="Y30" i="18" s="1"/>
  <c r="G24" i="20"/>
  <c r="CB24" i="6" s="1"/>
  <c r="AA24" i="20"/>
  <c r="Z24" i="20" s="1"/>
  <c r="Y24" i="20" s="1"/>
  <c r="G377" i="18"/>
  <c r="CA377" i="6" s="1"/>
  <c r="AA377" i="18"/>
  <c r="Z377" i="18" s="1"/>
  <c r="Y377" i="18" s="1"/>
  <c r="G355" i="20"/>
  <c r="CB355" i="6" s="1"/>
  <c r="AA355" i="20"/>
  <c r="Z355" i="20" s="1"/>
  <c r="Y355" i="20" s="1"/>
  <c r="G351" i="18"/>
  <c r="CA351" i="6" s="1"/>
  <c r="AA351" i="18"/>
  <c r="Z351" i="18" s="1"/>
  <c r="Y351" i="18" s="1"/>
  <c r="G345" i="20"/>
  <c r="CB345" i="6" s="1"/>
  <c r="AA345" i="20"/>
  <c r="Z345" i="20" s="1"/>
  <c r="Y345" i="20" s="1"/>
  <c r="G343" i="18"/>
  <c r="CA343" i="6" s="1"/>
  <c r="AA343" i="18"/>
  <c r="Z343" i="18" s="1"/>
  <c r="Y343" i="18" s="1"/>
  <c r="G329" i="20"/>
  <c r="CB329" i="6" s="1"/>
  <c r="AA329" i="20"/>
  <c r="Z329" i="20" s="1"/>
  <c r="Y329" i="20" s="1"/>
  <c r="G315" i="18"/>
  <c r="CA315" i="6" s="1"/>
  <c r="AA315" i="18"/>
  <c r="Z315" i="18" s="1"/>
  <c r="Y315" i="18" s="1"/>
  <c r="G297" i="20"/>
  <c r="CB297" i="6" s="1"/>
  <c r="AA297" i="20"/>
  <c r="Z297" i="20" s="1"/>
  <c r="Y297" i="20" s="1"/>
  <c r="G279" i="18"/>
  <c r="CA279" i="6" s="1"/>
  <c r="AA279" i="18"/>
  <c r="Z279" i="18" s="1"/>
  <c r="Y279" i="18" s="1"/>
  <c r="G243" i="20"/>
  <c r="CB243" i="6" s="1"/>
  <c r="AA243" i="20"/>
  <c r="Z243" i="20" s="1"/>
  <c r="Y243" i="20" s="1"/>
  <c r="G239" i="18"/>
  <c r="CA239" i="6" s="1"/>
  <c r="AA239" i="18"/>
  <c r="Z239" i="18" s="1"/>
  <c r="Y239" i="18" s="1"/>
  <c r="G237" i="20"/>
  <c r="CB237" i="6" s="1"/>
  <c r="AA237" i="20"/>
  <c r="Z237" i="20" s="1"/>
  <c r="Y237" i="20" s="1"/>
  <c r="G225" i="18"/>
  <c r="CA225" i="6" s="1"/>
  <c r="AA225" i="18"/>
  <c r="Z225" i="18" s="1"/>
  <c r="Y225" i="18" s="1"/>
  <c r="G217" i="20"/>
  <c r="CB217" i="6" s="1"/>
  <c r="AA217" i="20"/>
  <c r="Z217" i="20" s="1"/>
  <c r="Y217" i="20" s="1"/>
  <c r="G213" i="18"/>
  <c r="CA213" i="6" s="1"/>
  <c r="AA213" i="18"/>
  <c r="Z213" i="18" s="1"/>
  <c r="Y213" i="18" s="1"/>
  <c r="G199" i="20"/>
  <c r="CB199" i="6" s="1"/>
  <c r="AA199" i="20"/>
  <c r="Z199" i="20" s="1"/>
  <c r="Y199" i="20" s="1"/>
  <c r="G165" i="18"/>
  <c r="CA165" i="6" s="1"/>
  <c r="AA165" i="18"/>
  <c r="Z165" i="18" s="1"/>
  <c r="Y165" i="18" s="1"/>
  <c r="G133" i="20"/>
  <c r="CB133" i="6" s="1"/>
  <c r="AA133" i="20"/>
  <c r="Z133" i="20" s="1"/>
  <c r="Y133" i="20" s="1"/>
  <c r="G129" i="18"/>
  <c r="CA129" i="6" s="1"/>
  <c r="AA129" i="18"/>
  <c r="Z129" i="18" s="1"/>
  <c r="Y129" i="18" s="1"/>
  <c r="G121" i="20"/>
  <c r="CB121" i="6" s="1"/>
  <c r="AA121" i="20"/>
  <c r="Z121" i="20" s="1"/>
  <c r="Y121" i="20" s="1"/>
  <c r="G117" i="18"/>
  <c r="CA117" i="6" s="1"/>
  <c r="AA117" i="18"/>
  <c r="Z117" i="18" s="1"/>
  <c r="Y117" i="18" s="1"/>
  <c r="G115" i="20"/>
  <c r="CB115" i="6" s="1"/>
  <c r="AA115" i="20"/>
  <c r="Z115" i="20" s="1"/>
  <c r="Y115" i="20" s="1"/>
  <c r="G113" i="18"/>
  <c r="CA113" i="6" s="1"/>
  <c r="AA113" i="18"/>
  <c r="Z113" i="18" s="1"/>
  <c r="Y113" i="18" s="1"/>
  <c r="G109" i="20"/>
  <c r="CB109" i="6" s="1"/>
  <c r="AA109" i="20"/>
  <c r="Z109" i="20" s="1"/>
  <c r="Y109" i="20" s="1"/>
  <c r="G91" i="18"/>
  <c r="CA91" i="6" s="1"/>
  <c r="AA91" i="18"/>
  <c r="Z91" i="18" s="1"/>
  <c r="Y91" i="18" s="1"/>
  <c r="G85" i="20"/>
  <c r="CB85" i="6" s="1"/>
  <c r="AA85" i="20"/>
  <c r="Z85" i="20" s="1"/>
  <c r="Y85" i="20" s="1"/>
  <c r="G57" i="18"/>
  <c r="CA57" i="6" s="1"/>
  <c r="AA57" i="18"/>
  <c r="Z57" i="18" s="1"/>
  <c r="Y57" i="18" s="1"/>
  <c r="G51" i="20"/>
  <c r="CB51" i="6" s="1"/>
  <c r="AA51" i="20"/>
  <c r="Z51" i="20" s="1"/>
  <c r="Y51" i="20" s="1"/>
  <c r="G41" i="18"/>
  <c r="CA41" i="6" s="1"/>
  <c r="AA41" i="18"/>
  <c r="Z41" i="18" s="1"/>
  <c r="Y41" i="18" s="1"/>
  <c r="G25" i="20"/>
  <c r="CB25" i="6" s="1"/>
  <c r="AA25" i="20"/>
  <c r="Z25" i="20" s="1"/>
  <c r="Y25" i="20" s="1"/>
  <c r="G26" i="18"/>
  <c r="CA26" i="6" s="1"/>
  <c r="AA26" i="18"/>
  <c r="Z26" i="18" s="1"/>
  <c r="Y26" i="18" s="1"/>
  <c r="G370" i="20"/>
  <c r="CB370" i="6" s="1"/>
  <c r="AA370" i="20"/>
  <c r="Z370" i="20" s="1"/>
  <c r="Y370" i="20" s="1"/>
  <c r="G364" i="18"/>
  <c r="CA364" i="6" s="1"/>
  <c r="AA364" i="18"/>
  <c r="Z364" i="18" s="1"/>
  <c r="Y364" i="18" s="1"/>
  <c r="G360" i="20"/>
  <c r="CB360" i="6" s="1"/>
  <c r="AA360" i="20"/>
  <c r="Z360" i="20" s="1"/>
  <c r="Y360" i="20" s="1"/>
  <c r="G350" i="18"/>
  <c r="CA350" i="6" s="1"/>
  <c r="AA350" i="18"/>
  <c r="Z350" i="18" s="1"/>
  <c r="Y350" i="18" s="1"/>
  <c r="G344" i="20"/>
  <c r="CB344" i="6" s="1"/>
  <c r="AA344" i="20"/>
  <c r="Z344" i="20" s="1"/>
  <c r="Y344" i="20" s="1"/>
  <c r="G330" i="18"/>
  <c r="CA330" i="6" s="1"/>
  <c r="AA330" i="18"/>
  <c r="Z330" i="18" s="1"/>
  <c r="Y330" i="18" s="1"/>
  <c r="G324" i="20"/>
  <c r="CB324" i="6" s="1"/>
  <c r="AA324" i="20"/>
  <c r="Z324" i="20" s="1"/>
  <c r="Y324" i="20" s="1"/>
  <c r="G322" i="18"/>
  <c r="CA322" i="6" s="1"/>
  <c r="AA322" i="18"/>
  <c r="Z322" i="18" s="1"/>
  <c r="Y322" i="18" s="1"/>
  <c r="G304" i="20"/>
  <c r="CB304" i="6" s="1"/>
  <c r="AA304" i="20"/>
  <c r="Z304" i="20" s="1"/>
  <c r="Y304" i="20" s="1"/>
  <c r="G292" i="18"/>
  <c r="CA292" i="6" s="1"/>
  <c r="AA292" i="18"/>
  <c r="Z292" i="18" s="1"/>
  <c r="Y292" i="18" s="1"/>
  <c r="G280" i="20"/>
  <c r="CB280" i="6" s="1"/>
  <c r="AA280" i="20"/>
  <c r="Z280" i="20" s="1"/>
  <c r="Y280" i="20" s="1"/>
  <c r="G266" i="18"/>
  <c r="CA266" i="6" s="1"/>
  <c r="AA266" i="18"/>
  <c r="Z266" i="18" s="1"/>
  <c r="Y266" i="18" s="1"/>
  <c r="G256" i="18"/>
  <c r="CA256" i="6" s="1"/>
  <c r="AA256" i="18"/>
  <c r="Z256" i="18" s="1"/>
  <c r="Y256" i="18" s="1"/>
  <c r="G238" i="20"/>
  <c r="CB238" i="6" s="1"/>
  <c r="AA238" i="20"/>
  <c r="Z238" i="20" s="1"/>
  <c r="Y238" i="20" s="1"/>
  <c r="G234" i="18"/>
  <c r="CA234" i="6" s="1"/>
  <c r="AA234" i="18"/>
  <c r="Z234" i="18" s="1"/>
  <c r="Y234" i="18" s="1"/>
  <c r="G202" i="20"/>
  <c r="CB202" i="6" s="1"/>
  <c r="AA202" i="20"/>
  <c r="Z202" i="20" s="1"/>
  <c r="Y202" i="20" s="1"/>
  <c r="G184" i="18"/>
  <c r="CA184" i="6" s="1"/>
  <c r="AA184" i="18"/>
  <c r="Z184" i="18" s="1"/>
  <c r="Y184" i="18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38" i="20"/>
  <c r="CB138" i="6" s="1"/>
  <c r="AA138" i="20"/>
  <c r="Z138" i="20" s="1"/>
  <c r="Y138" i="20" s="1"/>
  <c r="G124" i="18"/>
  <c r="CA124" i="6" s="1"/>
  <c r="AA124" i="18"/>
  <c r="Z124" i="18" s="1"/>
  <c r="Y124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28" i="20"/>
  <c r="CB28" i="6" s="1"/>
  <c r="AA28" i="20"/>
  <c r="Z28" i="20" s="1"/>
  <c r="Y28" i="20" s="1"/>
  <c r="G27" i="18"/>
  <c r="CA27" i="6" s="1"/>
  <c r="AA27" i="18"/>
  <c r="Z27" i="18" s="1"/>
  <c r="Y27" i="18" s="1"/>
  <c r="G18" i="20"/>
  <c r="CB18" i="6" s="1"/>
  <c r="AA18" i="20"/>
  <c r="Z18" i="20" s="1"/>
  <c r="Y18" i="20" s="1"/>
  <c r="G20" i="18"/>
  <c r="CA20" i="6" s="1"/>
  <c r="AA20" i="18"/>
  <c r="Z20" i="18" s="1"/>
  <c r="Y20" i="18" s="1"/>
  <c r="G288" i="20"/>
  <c r="CB288" i="6" s="1"/>
  <c r="AA288" i="20"/>
  <c r="Z288" i="20" s="1"/>
  <c r="Y288" i="20" s="1"/>
  <c r="W359" i="20"/>
  <c r="D359" i="20"/>
  <c r="E359" i="20" s="1"/>
  <c r="F359" i="20" s="1"/>
  <c r="B359" i="22"/>
  <c r="G357" i="20"/>
  <c r="CB357" i="6" s="1"/>
  <c r="AA357" i="20"/>
  <c r="Z357" i="20" s="1"/>
  <c r="Y357" i="20" s="1"/>
  <c r="W313" i="20"/>
  <c r="D313" i="20"/>
  <c r="E313" i="20" s="1"/>
  <c r="F313" i="20" s="1"/>
  <c r="B313" i="22"/>
  <c r="G307" i="20"/>
  <c r="CB307" i="6" s="1"/>
  <c r="AA307" i="20"/>
  <c r="Z307" i="20" s="1"/>
  <c r="Y307" i="20" s="1"/>
  <c r="W269" i="20"/>
  <c r="D269" i="20"/>
  <c r="E269" i="20" s="1"/>
  <c r="F269" i="20" s="1"/>
  <c r="B269" i="22"/>
  <c r="G267" i="20"/>
  <c r="CB267" i="6" s="1"/>
  <c r="AA267" i="20"/>
  <c r="Z267" i="20" s="1"/>
  <c r="Y267" i="20" s="1"/>
  <c r="W231" i="20"/>
  <c r="D231" i="20"/>
  <c r="E231" i="20" s="1"/>
  <c r="F231" i="20" s="1"/>
  <c r="B231" i="22"/>
  <c r="W193" i="20"/>
  <c r="D193" i="20"/>
  <c r="E193" i="20" s="1"/>
  <c r="F193" i="20" s="1"/>
  <c r="B193" i="22"/>
  <c r="G191" i="20"/>
  <c r="CB191" i="6" s="1"/>
  <c r="AA191" i="20"/>
  <c r="Z191" i="20" s="1"/>
  <c r="Y191" i="20" s="1"/>
  <c r="W151" i="20"/>
  <c r="D151" i="20"/>
  <c r="E151" i="20" s="1"/>
  <c r="F151" i="20" s="1"/>
  <c r="B151" i="22"/>
  <c r="G143" i="20"/>
  <c r="CB143" i="6" s="1"/>
  <c r="AA143" i="20"/>
  <c r="Z143" i="20" s="1"/>
  <c r="Y143" i="20" s="1"/>
  <c r="W107" i="20"/>
  <c r="D107" i="20"/>
  <c r="E107" i="20" s="1"/>
  <c r="F107" i="20" s="1"/>
  <c r="B107" i="22"/>
  <c r="G65" i="20"/>
  <c r="CB65" i="6" s="1"/>
  <c r="AA65" i="20"/>
  <c r="Z65" i="20" s="1"/>
  <c r="Y65" i="20" s="1"/>
  <c r="W39" i="20"/>
  <c r="D39" i="20"/>
  <c r="E39" i="20" s="1"/>
  <c r="F39" i="20" s="1"/>
  <c r="B39" i="22"/>
  <c r="G372" i="20"/>
  <c r="CB372" i="6" s="1"/>
  <c r="AA372" i="20"/>
  <c r="Z372" i="20" s="1"/>
  <c r="Y372" i="20" s="1"/>
  <c r="W348" i="20"/>
  <c r="D348" i="20"/>
  <c r="E348" i="20" s="1"/>
  <c r="F348" i="20" s="1"/>
  <c r="B348" i="22"/>
  <c r="G300" i="18"/>
  <c r="CA300" i="6" s="1"/>
  <c r="AA300" i="18"/>
  <c r="Z300" i="18" s="1"/>
  <c r="Y300" i="18" s="1"/>
  <c r="W296" i="20"/>
  <c r="D296" i="20"/>
  <c r="E296" i="20" s="1"/>
  <c r="F296" i="20" s="1"/>
  <c r="B296" i="22"/>
  <c r="G228" i="18"/>
  <c r="CA228" i="6" s="1"/>
  <c r="AA228" i="18"/>
  <c r="Z228" i="18" s="1"/>
  <c r="Y228" i="18" s="1"/>
  <c r="W218" i="20"/>
  <c r="D218" i="20"/>
  <c r="E218" i="20" s="1"/>
  <c r="F218" i="20" s="1"/>
  <c r="B218" i="22"/>
  <c r="G164" i="18"/>
  <c r="CA164" i="6" s="1"/>
  <c r="AA164" i="18"/>
  <c r="Z164" i="18" s="1"/>
  <c r="Y164" i="18" s="1"/>
  <c r="G148" i="20"/>
  <c r="CB148" i="6" s="1"/>
  <c r="AA148" i="20"/>
  <c r="Z148" i="20" s="1"/>
  <c r="Y148" i="20" s="1"/>
  <c r="G146" i="18"/>
  <c r="CA146" i="6" s="1"/>
  <c r="AA146" i="18"/>
  <c r="Z146" i="18" s="1"/>
  <c r="Y146" i="18" s="1"/>
  <c r="W144" i="20"/>
  <c r="D144" i="20"/>
  <c r="E144" i="20" s="1"/>
  <c r="F144" i="20" s="1"/>
  <c r="B144" i="22"/>
  <c r="G120" i="18"/>
  <c r="CA120" i="6" s="1"/>
  <c r="AA120" i="18"/>
  <c r="Z120" i="18" s="1"/>
  <c r="Y120" i="18" s="1"/>
  <c r="W112" i="20"/>
  <c r="D112" i="20"/>
  <c r="E112" i="20" s="1"/>
  <c r="F112" i="20" s="1"/>
  <c r="B112" i="22"/>
  <c r="G94" i="18"/>
  <c r="CA94" i="6" s="1"/>
  <c r="AA94" i="18"/>
  <c r="Z94" i="18" s="1"/>
  <c r="Y94" i="18" s="1"/>
  <c r="W94" i="22"/>
  <c r="D94" i="22"/>
  <c r="E94" i="22" s="1"/>
  <c r="F94" i="22" s="1"/>
  <c r="B94" i="23"/>
  <c r="G80" i="18"/>
  <c r="CA80" i="6" s="1"/>
  <c r="AA80" i="18"/>
  <c r="Z80" i="18" s="1"/>
  <c r="Y80" i="18" s="1"/>
  <c r="W80" i="22"/>
  <c r="D80" i="22"/>
  <c r="E80" i="22" s="1"/>
  <c r="F80" i="22" s="1"/>
  <c r="B80" i="23"/>
  <c r="W371" i="20"/>
  <c r="D371" i="20"/>
  <c r="E371" i="20" s="1"/>
  <c r="F371" i="20" s="1"/>
  <c r="B371" i="22"/>
  <c r="G339" i="18"/>
  <c r="CA339" i="6" s="1"/>
  <c r="AA339" i="18"/>
  <c r="Z339" i="18" s="1"/>
  <c r="Y339" i="18" s="1"/>
  <c r="W339" i="22"/>
  <c r="D339" i="22"/>
  <c r="E339" i="22" s="1"/>
  <c r="F339" i="22" s="1"/>
  <c r="B339" i="23"/>
  <c r="G303" i="18"/>
  <c r="CA303" i="6" s="1"/>
  <c r="AA303" i="18"/>
  <c r="Z303" i="18" s="1"/>
  <c r="Y303" i="18" s="1"/>
  <c r="W303" i="22"/>
  <c r="D303" i="22"/>
  <c r="E303" i="22" s="1"/>
  <c r="F303" i="22" s="1"/>
  <c r="B303" i="23"/>
  <c r="G291" i="18"/>
  <c r="CA291" i="6" s="1"/>
  <c r="AA291" i="18"/>
  <c r="Z291" i="18" s="1"/>
  <c r="Y291" i="18" s="1"/>
  <c r="W291" i="22"/>
  <c r="D291" i="22"/>
  <c r="E291" i="22" s="1"/>
  <c r="F291" i="22" s="1"/>
  <c r="B291" i="23"/>
  <c r="G275" i="18"/>
  <c r="CA275" i="6" s="1"/>
  <c r="AA275" i="18"/>
  <c r="Z275" i="18" s="1"/>
  <c r="Y275" i="18" s="1"/>
  <c r="W275" i="22"/>
  <c r="D275" i="22"/>
  <c r="E275" i="22" s="1"/>
  <c r="F275" i="22" s="1"/>
  <c r="B275" i="23"/>
  <c r="W233" i="20"/>
  <c r="D233" i="20"/>
  <c r="E233" i="20" s="1"/>
  <c r="F233" i="20" s="1"/>
  <c r="B233" i="22"/>
  <c r="W215" i="20"/>
  <c r="D215" i="20"/>
  <c r="E215" i="20" s="1"/>
  <c r="F215" i="20" s="1"/>
  <c r="B215" i="22"/>
  <c r="W201" i="20"/>
  <c r="D201" i="20"/>
  <c r="E201" i="20" s="1"/>
  <c r="F201" i="20" s="1"/>
  <c r="B201" i="22"/>
  <c r="W181" i="20"/>
  <c r="D181" i="20"/>
  <c r="E181" i="20" s="1"/>
  <c r="F181" i="20" s="1"/>
  <c r="B181" i="22"/>
  <c r="W145" i="20"/>
  <c r="D145" i="20"/>
  <c r="E145" i="20" s="1"/>
  <c r="F145" i="20" s="1"/>
  <c r="B145" i="22"/>
  <c r="W123" i="20"/>
  <c r="D123" i="20"/>
  <c r="E123" i="20" s="1"/>
  <c r="F123" i="20" s="1"/>
  <c r="B123" i="22"/>
  <c r="W87" i="20"/>
  <c r="D87" i="20"/>
  <c r="E87" i="20" s="1"/>
  <c r="F87" i="20" s="1"/>
  <c r="B87" i="22"/>
  <c r="D71" i="20"/>
  <c r="E71" i="20" s="1"/>
  <c r="F71" i="20" s="1"/>
  <c r="W71" i="20"/>
  <c r="B71" i="22"/>
  <c r="W49" i="20"/>
  <c r="D49" i="20"/>
  <c r="E49" i="20" s="1"/>
  <c r="F49" i="20" s="1"/>
  <c r="B49" i="22"/>
  <c r="W45" i="20"/>
  <c r="D45" i="20"/>
  <c r="E45" i="20" s="1"/>
  <c r="F45" i="20" s="1"/>
  <c r="B45" i="22"/>
  <c r="W31" i="20"/>
  <c r="D31" i="20"/>
  <c r="E31" i="20" s="1"/>
  <c r="F31" i="20" s="1"/>
  <c r="B31" i="22"/>
  <c r="W21" i="20"/>
  <c r="D21" i="20"/>
  <c r="E21" i="20" s="1"/>
  <c r="F21" i="20" s="1"/>
  <c r="B21" i="22"/>
  <c r="W352" i="20"/>
  <c r="D352" i="20"/>
  <c r="E352" i="20" s="1"/>
  <c r="F352" i="20" s="1"/>
  <c r="B352" i="22"/>
  <c r="W328" i="20"/>
  <c r="D328" i="20"/>
  <c r="E328" i="20" s="1"/>
  <c r="F328" i="20" s="1"/>
  <c r="B328" i="22"/>
  <c r="W318" i="20"/>
  <c r="D318" i="20"/>
  <c r="E318" i="20" s="1"/>
  <c r="F318" i="20" s="1"/>
  <c r="B318" i="22"/>
  <c r="W282" i="20"/>
  <c r="D282" i="20"/>
  <c r="E282" i="20" s="1"/>
  <c r="F282" i="20" s="1"/>
  <c r="B282" i="22"/>
  <c r="W274" i="20"/>
  <c r="D274" i="20"/>
  <c r="E274" i="20" s="1"/>
  <c r="F274" i="20" s="1"/>
  <c r="B274" i="22"/>
  <c r="W268" i="20"/>
  <c r="D268" i="20"/>
  <c r="E268" i="20" s="1"/>
  <c r="F268" i="20" s="1"/>
  <c r="B268" i="22"/>
  <c r="W254" i="20"/>
  <c r="D254" i="20"/>
  <c r="E254" i="20" s="1"/>
  <c r="F254" i="20" s="1"/>
  <c r="B254" i="22"/>
  <c r="W230" i="20"/>
  <c r="D230" i="20"/>
  <c r="E230" i="20" s="1"/>
  <c r="F230" i="20" s="1"/>
  <c r="B230" i="22"/>
  <c r="W178" i="20"/>
  <c r="D178" i="20"/>
  <c r="E178" i="20" s="1"/>
  <c r="F178" i="20" s="1"/>
  <c r="B178" i="22"/>
  <c r="W170" i="20"/>
  <c r="D170" i="20"/>
  <c r="E170" i="20" s="1"/>
  <c r="F170" i="20" s="1"/>
  <c r="B170" i="22"/>
  <c r="W136" i="20"/>
  <c r="D136" i="20"/>
  <c r="E136" i="20" s="1"/>
  <c r="F136" i="20" s="1"/>
  <c r="B136" i="22"/>
  <c r="W118" i="20"/>
  <c r="D118" i="20"/>
  <c r="E118" i="20" s="1"/>
  <c r="F118" i="20" s="1"/>
  <c r="B118" i="22"/>
  <c r="W106" i="20"/>
  <c r="D106" i="20"/>
  <c r="E106" i="20" s="1"/>
  <c r="F106" i="20" s="1"/>
  <c r="B106" i="22"/>
  <c r="W92" i="20"/>
  <c r="D92" i="20"/>
  <c r="E92" i="20" s="1"/>
  <c r="F92" i="20" s="1"/>
  <c r="B92" i="22"/>
  <c r="W70" i="20"/>
  <c r="D70" i="20"/>
  <c r="E70" i="20" s="1"/>
  <c r="F70" i="20" s="1"/>
  <c r="B70" i="22"/>
  <c r="W50" i="20"/>
  <c r="D50" i="20"/>
  <c r="E50" i="20" s="1"/>
  <c r="F50" i="20" s="1"/>
  <c r="B50" i="22"/>
  <c r="G361" i="20"/>
  <c r="CB361" i="6" s="1"/>
  <c r="AA361" i="20"/>
  <c r="Z361" i="20" s="1"/>
  <c r="Y361" i="20" s="1"/>
  <c r="G323" i="18"/>
  <c r="CA323" i="6" s="1"/>
  <c r="AA323" i="18"/>
  <c r="Z323" i="18" s="1"/>
  <c r="Y323" i="18" s="1"/>
  <c r="G317" i="20"/>
  <c r="CB317" i="6" s="1"/>
  <c r="AA317" i="20"/>
  <c r="Z317" i="20" s="1"/>
  <c r="Y317" i="20" s="1"/>
  <c r="G281" i="18"/>
  <c r="CA281" i="6" s="1"/>
  <c r="AA281" i="18"/>
  <c r="Z281" i="18" s="1"/>
  <c r="Y281" i="18" s="1"/>
  <c r="G273" i="20"/>
  <c r="CB273" i="6" s="1"/>
  <c r="AA273" i="20"/>
  <c r="Z273" i="20" s="1"/>
  <c r="Y273" i="20" s="1"/>
  <c r="G271" i="18"/>
  <c r="CA271" i="6" s="1"/>
  <c r="AA271" i="18"/>
  <c r="Z271" i="18" s="1"/>
  <c r="Y271" i="18" s="1"/>
  <c r="G263" i="20"/>
  <c r="CB263" i="6" s="1"/>
  <c r="AA263" i="20"/>
  <c r="Z263" i="20" s="1"/>
  <c r="Y263" i="20" s="1"/>
  <c r="G255" i="20"/>
  <c r="CB255" i="6" s="1"/>
  <c r="AA255" i="20"/>
  <c r="Z255" i="20" s="1"/>
  <c r="Y255" i="20" s="1"/>
  <c r="G249" i="18"/>
  <c r="CA249" i="6" s="1"/>
  <c r="AA249" i="18"/>
  <c r="Z249" i="18" s="1"/>
  <c r="Y249" i="18" s="1"/>
  <c r="G247" i="20"/>
  <c r="CB247" i="6" s="1"/>
  <c r="AA247" i="20"/>
  <c r="Z247" i="20" s="1"/>
  <c r="Y247" i="20" s="1"/>
  <c r="G219" i="18"/>
  <c r="CA219" i="6" s="1"/>
  <c r="AA219" i="18"/>
  <c r="Z219" i="18" s="1"/>
  <c r="Y219" i="18" s="1"/>
  <c r="G197" i="20"/>
  <c r="CB197" i="6" s="1"/>
  <c r="AA197" i="20"/>
  <c r="Z197" i="20" s="1"/>
  <c r="Y197" i="20" s="1"/>
  <c r="G185" i="18"/>
  <c r="CA185" i="6" s="1"/>
  <c r="AA185" i="18"/>
  <c r="Z185" i="18" s="1"/>
  <c r="Y185" i="18" s="1"/>
  <c r="G183" i="20"/>
  <c r="CB183" i="6" s="1"/>
  <c r="AA183" i="20"/>
  <c r="Z183" i="20" s="1"/>
  <c r="Y183" i="20" s="1"/>
  <c r="G173" i="18"/>
  <c r="CA173" i="6" s="1"/>
  <c r="AA173" i="18"/>
  <c r="Z173" i="18" s="1"/>
  <c r="Y173" i="18" s="1"/>
  <c r="G167" i="20"/>
  <c r="CB167" i="6" s="1"/>
  <c r="AA167" i="20"/>
  <c r="Z167" i="20" s="1"/>
  <c r="Y167" i="20" s="1"/>
  <c r="G159" i="18"/>
  <c r="CA159" i="6" s="1"/>
  <c r="AA159" i="18"/>
  <c r="Z159" i="18" s="1"/>
  <c r="Y159" i="18" s="1"/>
  <c r="G155" i="20"/>
  <c r="CB155" i="6" s="1"/>
  <c r="AA155" i="20"/>
  <c r="Z155" i="20" s="1"/>
  <c r="Y155" i="20" s="1"/>
  <c r="G127" i="18"/>
  <c r="CA127" i="6" s="1"/>
  <c r="AA127" i="18"/>
  <c r="Z127" i="18" s="1"/>
  <c r="Y127" i="18" s="1"/>
  <c r="G101" i="20"/>
  <c r="CB101" i="6" s="1"/>
  <c r="AA101" i="20"/>
  <c r="Z101" i="20" s="1"/>
  <c r="Y101" i="20" s="1"/>
  <c r="G99" i="18"/>
  <c r="CA99" i="6" s="1"/>
  <c r="AA99" i="18"/>
  <c r="Z99" i="18" s="1"/>
  <c r="Y99" i="18" s="1"/>
  <c r="G97" i="20"/>
  <c r="CB97" i="6" s="1"/>
  <c r="AA97" i="20"/>
  <c r="Z97" i="20" s="1"/>
  <c r="Y97" i="20" s="1"/>
  <c r="G89" i="18"/>
  <c r="CA89" i="6" s="1"/>
  <c r="AA89" i="18"/>
  <c r="Z89" i="18" s="1"/>
  <c r="Y89" i="18" s="1"/>
  <c r="G83" i="20"/>
  <c r="CB83" i="6" s="1"/>
  <c r="AA83" i="20"/>
  <c r="Z83" i="20" s="1"/>
  <c r="Y83" i="20" s="1"/>
  <c r="G77" i="18"/>
  <c r="CA77" i="6" s="1"/>
  <c r="AA77" i="18"/>
  <c r="Z77" i="18" s="1"/>
  <c r="Y77" i="18" s="1"/>
  <c r="G63" i="20"/>
  <c r="CB63" i="6" s="1"/>
  <c r="AA63" i="20"/>
  <c r="Z63" i="20" s="1"/>
  <c r="Y63" i="20" s="1"/>
  <c r="G61" i="18"/>
  <c r="CA61" i="6" s="1"/>
  <c r="AA61" i="18"/>
  <c r="Z61" i="18" s="1"/>
  <c r="Y61" i="18" s="1"/>
  <c r="G55" i="20"/>
  <c r="CB55" i="6" s="1"/>
  <c r="AA55" i="20"/>
  <c r="Z55" i="20" s="1"/>
  <c r="Y55" i="20" s="1"/>
  <c r="G37" i="18"/>
  <c r="CA37" i="6" s="1"/>
  <c r="AA37" i="18"/>
  <c r="Z37" i="18" s="1"/>
  <c r="Y37" i="18" s="1"/>
  <c r="G88" i="20"/>
  <c r="CB88" i="6" s="1"/>
  <c r="AA88" i="20"/>
  <c r="Z88" i="20" s="1"/>
  <c r="Y88" i="20" s="1"/>
  <c r="G265" i="18"/>
  <c r="CA265" i="6" s="1"/>
  <c r="AA265" i="18"/>
  <c r="Z265" i="18" s="1"/>
  <c r="Y265" i="18" s="1"/>
  <c r="G287" i="20"/>
  <c r="CB287" i="6" s="1"/>
  <c r="AA287" i="20"/>
  <c r="Z287" i="20" s="1"/>
  <c r="Y287" i="20" s="1"/>
  <c r="G130" i="18"/>
  <c r="CA130" i="6" s="1"/>
  <c r="AA130" i="18"/>
  <c r="Z130" i="18" s="1"/>
  <c r="Y130" i="18" s="1"/>
  <c r="G19" i="20"/>
  <c r="CB19" i="6" s="1"/>
  <c r="AA19" i="20"/>
  <c r="Z19" i="20" s="1"/>
  <c r="Y19" i="20" s="1"/>
  <c r="G161" i="18"/>
  <c r="CA161" i="6" s="1"/>
  <c r="AA161" i="18"/>
  <c r="Z161" i="18" s="1"/>
  <c r="Y161" i="18" s="1"/>
  <c r="W175" i="20"/>
  <c r="D175" i="20"/>
  <c r="E175" i="20" s="1"/>
  <c r="F175" i="20" s="1"/>
  <c r="B175" i="22"/>
  <c r="G363" i="18"/>
  <c r="CA363" i="6" s="1"/>
  <c r="AA363" i="18"/>
  <c r="Z363" i="18" s="1"/>
  <c r="Y363" i="18" s="1"/>
  <c r="W379" i="20"/>
  <c r="D379" i="20"/>
  <c r="E379" i="20" s="1"/>
  <c r="F379" i="20" s="1"/>
  <c r="B379" i="22"/>
  <c r="W375" i="20"/>
  <c r="D375" i="20"/>
  <c r="E375" i="20" s="1"/>
  <c r="F375" i="20" s="1"/>
  <c r="B375" i="22"/>
  <c r="AA373" i="20"/>
  <c r="Z373" i="20" s="1"/>
  <c r="Y373" i="20" s="1"/>
  <c r="G373" i="20"/>
  <c r="CB373" i="6" s="1"/>
  <c r="W337" i="20"/>
  <c r="D337" i="20"/>
  <c r="E337" i="20" s="1"/>
  <c r="F337" i="20" s="1"/>
  <c r="B337" i="22"/>
  <c r="G325" i="20"/>
  <c r="CB325" i="6" s="1"/>
  <c r="AA325" i="20"/>
  <c r="Z325" i="20" s="1"/>
  <c r="Y325" i="20" s="1"/>
  <c r="W301" i="20"/>
  <c r="D301" i="20"/>
  <c r="E301" i="20" s="1"/>
  <c r="F301" i="20" s="1"/>
  <c r="B301" i="22"/>
  <c r="G277" i="20"/>
  <c r="CB277" i="6" s="1"/>
  <c r="AA277" i="20"/>
  <c r="Z277" i="20" s="1"/>
  <c r="Y277" i="20" s="1"/>
  <c r="W257" i="20"/>
  <c r="D257" i="20"/>
  <c r="E257" i="20" s="1"/>
  <c r="F257" i="20" s="1"/>
  <c r="B257" i="22"/>
  <c r="G245" i="20"/>
  <c r="CB245" i="6" s="1"/>
  <c r="AA245" i="20"/>
  <c r="Z245" i="20" s="1"/>
  <c r="Y245" i="20" s="1"/>
  <c r="W211" i="20"/>
  <c r="D211" i="20"/>
  <c r="E211" i="20" s="1"/>
  <c r="F211" i="20" s="1"/>
  <c r="B211" i="22"/>
  <c r="G203" i="20"/>
  <c r="CB203" i="6" s="1"/>
  <c r="AA203" i="20"/>
  <c r="Z203" i="20" s="1"/>
  <c r="Y203" i="20" s="1"/>
  <c r="W179" i="20"/>
  <c r="D179" i="20"/>
  <c r="E179" i="20" s="1"/>
  <c r="F179" i="20" s="1"/>
  <c r="B179" i="22"/>
  <c r="G169" i="20"/>
  <c r="CB169" i="6" s="1"/>
  <c r="AA169" i="20"/>
  <c r="Z169" i="20" s="1"/>
  <c r="Y169" i="20" s="1"/>
  <c r="W141" i="20"/>
  <c r="D141" i="20"/>
  <c r="E141" i="20" s="1"/>
  <c r="F141" i="20" s="1"/>
  <c r="B141" i="22"/>
  <c r="G139" i="20"/>
  <c r="CB139" i="6" s="1"/>
  <c r="AA139" i="20"/>
  <c r="Z139" i="20" s="1"/>
  <c r="Y139" i="20" s="1"/>
  <c r="W59" i="20"/>
  <c r="D59" i="20"/>
  <c r="E59" i="20" s="1"/>
  <c r="F59" i="20" s="1"/>
  <c r="B59" i="22"/>
  <c r="G53" i="20"/>
  <c r="CB53" i="6" s="1"/>
  <c r="AA53" i="20"/>
  <c r="Z53" i="20" s="1"/>
  <c r="Y53" i="20" s="1"/>
  <c r="G348" i="18"/>
  <c r="CA348" i="6" s="1"/>
  <c r="AA348" i="18"/>
  <c r="Z348" i="18" s="1"/>
  <c r="Y348" i="18" s="1"/>
  <c r="G326" i="18"/>
  <c r="CA326" i="6" s="1"/>
  <c r="AA326" i="18"/>
  <c r="Z326" i="18" s="1"/>
  <c r="Y326" i="18" s="1"/>
  <c r="G296" i="18"/>
  <c r="CA296" i="6" s="1"/>
  <c r="AA296" i="18"/>
  <c r="Z296" i="18" s="1"/>
  <c r="Y296" i="18" s="1"/>
  <c r="G250" i="18"/>
  <c r="CA250" i="6" s="1"/>
  <c r="AA250" i="18"/>
  <c r="Z250" i="18" s="1"/>
  <c r="Y250" i="18" s="1"/>
  <c r="G218" i="18"/>
  <c r="CA218" i="6" s="1"/>
  <c r="AA218" i="18"/>
  <c r="Z218" i="18" s="1"/>
  <c r="Y218" i="18" s="1"/>
  <c r="G188" i="18"/>
  <c r="CA188" i="6" s="1"/>
  <c r="AA188" i="18"/>
  <c r="Z188" i="18" s="1"/>
  <c r="Y188" i="18" s="1"/>
  <c r="G148" i="18"/>
  <c r="CA148" i="6" s="1"/>
  <c r="AA148" i="18"/>
  <c r="Z148" i="18" s="1"/>
  <c r="Y148" i="18" s="1"/>
  <c r="G144" i="18"/>
  <c r="CA144" i="6" s="1"/>
  <c r="AA144" i="18"/>
  <c r="Z144" i="18" s="1"/>
  <c r="Y144" i="18" s="1"/>
  <c r="G126" i="18"/>
  <c r="CA126" i="6" s="1"/>
  <c r="AA126" i="18"/>
  <c r="Z126" i="18" s="1"/>
  <c r="Y126" i="18" s="1"/>
  <c r="G112" i="18"/>
  <c r="CA112" i="6" s="1"/>
  <c r="AA112" i="18"/>
  <c r="Z112" i="18" s="1"/>
  <c r="Y112" i="18" s="1"/>
  <c r="G96" i="18"/>
  <c r="CA96" i="6" s="1"/>
  <c r="AA96" i="18"/>
  <c r="Z96" i="18" s="1"/>
  <c r="Y96" i="18" s="1"/>
  <c r="G94" i="20"/>
  <c r="CB94" i="6" s="1"/>
  <c r="AA94" i="20"/>
  <c r="Z94" i="20" s="1"/>
  <c r="Y94" i="20" s="1"/>
  <c r="G86" i="18"/>
  <c r="CA86" i="6" s="1"/>
  <c r="AA86" i="18"/>
  <c r="Z86" i="18" s="1"/>
  <c r="Y86" i="18" s="1"/>
  <c r="G80" i="20"/>
  <c r="CB80" i="6" s="1"/>
  <c r="AA80" i="20"/>
  <c r="Z80" i="20" s="1"/>
  <c r="Y80" i="20" s="1"/>
  <c r="G34" i="18"/>
  <c r="CA34" i="6" s="1"/>
  <c r="AA34" i="18"/>
  <c r="Z34" i="18" s="1"/>
  <c r="Y34" i="18" s="1"/>
  <c r="G371" i="18"/>
  <c r="CA371" i="6" s="1"/>
  <c r="AA371" i="18"/>
  <c r="Z371" i="18" s="1"/>
  <c r="Y371" i="18" s="1"/>
  <c r="G341" i="18"/>
  <c r="CA341" i="6" s="1"/>
  <c r="AA341" i="18"/>
  <c r="Z341" i="18" s="1"/>
  <c r="Y341" i="18" s="1"/>
  <c r="G339" i="20"/>
  <c r="CB339" i="6" s="1"/>
  <c r="AA339" i="20"/>
  <c r="Z339" i="20" s="1"/>
  <c r="Y339" i="20" s="1"/>
  <c r="G327" i="18"/>
  <c r="CA327" i="6" s="1"/>
  <c r="AA327" i="18"/>
  <c r="Z327" i="18" s="1"/>
  <c r="Y327" i="18" s="1"/>
  <c r="G303" i="20"/>
  <c r="CB303" i="6" s="1"/>
  <c r="AA303" i="20"/>
  <c r="Z303" i="20" s="1"/>
  <c r="Y303" i="20" s="1"/>
  <c r="G293" i="18"/>
  <c r="CA293" i="6" s="1"/>
  <c r="AA293" i="18"/>
  <c r="Z293" i="18" s="1"/>
  <c r="Y293" i="18" s="1"/>
  <c r="G291" i="20"/>
  <c r="CB291" i="6" s="1"/>
  <c r="AA291" i="20"/>
  <c r="Z291" i="20" s="1"/>
  <c r="Y291" i="20" s="1"/>
  <c r="G285" i="18"/>
  <c r="CA285" i="6" s="1"/>
  <c r="AA285" i="18"/>
  <c r="Z285" i="18" s="1"/>
  <c r="Y285" i="18" s="1"/>
  <c r="G275" i="20"/>
  <c r="CB275" i="6" s="1"/>
  <c r="AA275" i="20"/>
  <c r="Z275" i="20" s="1"/>
  <c r="Y275" i="20" s="1"/>
  <c r="G259" i="18"/>
  <c r="CA259" i="6" s="1"/>
  <c r="AA259" i="18"/>
  <c r="Z259" i="18" s="1"/>
  <c r="Y259" i="18" s="1"/>
  <c r="G233" i="18"/>
  <c r="CA233" i="6" s="1"/>
  <c r="AA233" i="18"/>
  <c r="Z233" i="18" s="1"/>
  <c r="Y233" i="18" s="1"/>
  <c r="G221" i="20"/>
  <c r="CB221" i="6" s="1"/>
  <c r="AA221" i="20"/>
  <c r="Z221" i="20" s="1"/>
  <c r="Y221" i="20" s="1"/>
  <c r="G215" i="18"/>
  <c r="CA215" i="6" s="1"/>
  <c r="AA215" i="18"/>
  <c r="Z215" i="18" s="1"/>
  <c r="Y215" i="18" s="1"/>
  <c r="G209" i="20"/>
  <c r="CB209" i="6" s="1"/>
  <c r="AA209" i="20"/>
  <c r="Z209" i="20" s="1"/>
  <c r="Y209" i="20" s="1"/>
  <c r="G201" i="18"/>
  <c r="CA201" i="6" s="1"/>
  <c r="AA201" i="18"/>
  <c r="Z201" i="18" s="1"/>
  <c r="Y201" i="18" s="1"/>
  <c r="G195" i="20"/>
  <c r="CB195" i="6" s="1"/>
  <c r="AA195" i="20"/>
  <c r="Z195" i="20" s="1"/>
  <c r="Y195" i="20" s="1"/>
  <c r="G181" i="18"/>
  <c r="CA181" i="6" s="1"/>
  <c r="AA181" i="18"/>
  <c r="Z181" i="18" s="1"/>
  <c r="Y181" i="18" s="1"/>
  <c r="G147" i="20"/>
  <c r="CB147" i="6" s="1"/>
  <c r="AA147" i="20"/>
  <c r="Z147" i="20" s="1"/>
  <c r="Y147" i="20" s="1"/>
  <c r="G145" i="18"/>
  <c r="CA145" i="6" s="1"/>
  <c r="AA145" i="18"/>
  <c r="Z145" i="18" s="1"/>
  <c r="Y145" i="18" s="1"/>
  <c r="G131" i="20"/>
  <c r="CB131" i="6" s="1"/>
  <c r="AA131" i="20"/>
  <c r="Z131" i="20" s="1"/>
  <c r="Y131" i="20" s="1"/>
  <c r="G123" i="18"/>
  <c r="CA123" i="6" s="1"/>
  <c r="AA123" i="18"/>
  <c r="Z123" i="18" s="1"/>
  <c r="Y123" i="18" s="1"/>
  <c r="G93" i="20"/>
  <c r="CB93" i="6" s="1"/>
  <c r="AA93" i="20"/>
  <c r="Z93" i="20" s="1"/>
  <c r="Y93" i="20" s="1"/>
  <c r="G87" i="18"/>
  <c r="CA87" i="6" s="1"/>
  <c r="AA87" i="18"/>
  <c r="Z87" i="18" s="1"/>
  <c r="Y87" i="18" s="1"/>
  <c r="G79" i="20"/>
  <c r="CB79" i="6" s="1"/>
  <c r="AA79" i="20"/>
  <c r="Z79" i="20" s="1"/>
  <c r="Y79" i="20" s="1"/>
  <c r="G71" i="18"/>
  <c r="CA71" i="6" s="1"/>
  <c r="AA71" i="18"/>
  <c r="Z71" i="18" s="1"/>
  <c r="Y71" i="18" s="1"/>
  <c r="G69" i="20"/>
  <c r="CB69" i="6" s="1"/>
  <c r="AA69" i="20"/>
  <c r="Z69" i="20" s="1"/>
  <c r="Y69" i="20" s="1"/>
  <c r="G49" i="18"/>
  <c r="CA49" i="6" s="1"/>
  <c r="AA49" i="18"/>
  <c r="Z49" i="18" s="1"/>
  <c r="Y49" i="18" s="1"/>
  <c r="G47" i="20"/>
  <c r="CB47" i="6" s="1"/>
  <c r="AA47" i="20"/>
  <c r="Z47" i="20" s="1"/>
  <c r="Y47" i="20" s="1"/>
  <c r="G45" i="18"/>
  <c r="CA45" i="6" s="1"/>
  <c r="AA45" i="18"/>
  <c r="Z45" i="18" s="1"/>
  <c r="Y45" i="18" s="1"/>
  <c r="G33" i="20"/>
  <c r="CB33" i="6" s="1"/>
  <c r="AA33" i="20"/>
  <c r="Z33" i="20" s="1"/>
  <c r="Y33" i="20" s="1"/>
  <c r="G31" i="18"/>
  <c r="CA31" i="6" s="1"/>
  <c r="AA31" i="18"/>
  <c r="Z31" i="18" s="1"/>
  <c r="Y31" i="18" s="1"/>
  <c r="G23" i="18"/>
  <c r="CA23" i="6" s="1"/>
  <c r="AA23" i="18"/>
  <c r="Z23" i="18" s="1"/>
  <c r="Y23" i="18" s="1"/>
  <c r="G21" i="18"/>
  <c r="CA21" i="6" s="1"/>
  <c r="AA21" i="18"/>
  <c r="Z21" i="18" s="1"/>
  <c r="Y21" i="18" s="1"/>
  <c r="G258" i="18"/>
  <c r="CA258" i="6" s="1"/>
  <c r="AA258" i="18"/>
  <c r="Z258" i="18" s="1"/>
  <c r="Y258" i="18" s="1"/>
  <c r="G352" i="18"/>
  <c r="CA352" i="6" s="1"/>
  <c r="AA352" i="18"/>
  <c r="Z352" i="18" s="1"/>
  <c r="Y352" i="18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G320" i="20"/>
  <c r="CB320" i="6" s="1"/>
  <c r="AA320" i="20"/>
  <c r="Z320" i="20" s="1"/>
  <c r="Y320" i="20" s="1"/>
  <c r="G318" i="18"/>
  <c r="CA318" i="6" s="1"/>
  <c r="AA318" i="18"/>
  <c r="Z318" i="18" s="1"/>
  <c r="Y318" i="18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6" i="20"/>
  <c r="CB276" i="6" s="1"/>
  <c r="AA276" i="20"/>
  <c r="Z276" i="20" s="1"/>
  <c r="Y276" i="20" s="1"/>
  <c r="G274" i="18"/>
  <c r="CA274" i="6" s="1"/>
  <c r="AA274" i="18"/>
  <c r="Z274" i="18" s="1"/>
  <c r="Y274" i="18" s="1"/>
  <c r="G270" i="20"/>
  <c r="CB270" i="6" s="1"/>
  <c r="AA270" i="20"/>
  <c r="Z270" i="20" s="1"/>
  <c r="Y270" i="20" s="1"/>
  <c r="G268" i="18"/>
  <c r="CA268" i="6" s="1"/>
  <c r="AA268" i="18"/>
  <c r="Z268" i="18" s="1"/>
  <c r="Y268" i="18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G246" i="20"/>
  <c r="CB246" i="6" s="1"/>
  <c r="AA246" i="20"/>
  <c r="Z246" i="20" s="1"/>
  <c r="Y246" i="20" s="1"/>
  <c r="G230" i="18"/>
  <c r="CA230" i="6" s="1"/>
  <c r="AA230" i="18"/>
  <c r="Z230" i="18" s="1"/>
  <c r="Y230" i="18" s="1"/>
  <c r="G220" i="20"/>
  <c r="CB220" i="6" s="1"/>
  <c r="AA220" i="20"/>
  <c r="Z220" i="20" s="1"/>
  <c r="Y220" i="20" s="1"/>
  <c r="G178" i="18"/>
  <c r="CA178" i="6" s="1"/>
  <c r="AA178" i="18"/>
  <c r="Z178" i="18" s="1"/>
  <c r="Y178" i="18" s="1"/>
  <c r="G176" i="20"/>
  <c r="CB176" i="6" s="1"/>
  <c r="AA176" i="20"/>
  <c r="Z176" i="20" s="1"/>
  <c r="Y176" i="20" s="1"/>
  <c r="G170" i="18"/>
  <c r="CA170" i="6" s="1"/>
  <c r="AA170" i="18"/>
  <c r="Z170" i="18" s="1"/>
  <c r="Y170" i="18" s="1"/>
  <c r="G140" i="20"/>
  <c r="CB140" i="6" s="1"/>
  <c r="AA140" i="20"/>
  <c r="Z140" i="20" s="1"/>
  <c r="Y140" i="20" s="1"/>
  <c r="G136" i="18"/>
  <c r="CA136" i="6" s="1"/>
  <c r="AA136" i="18"/>
  <c r="Z136" i="18" s="1"/>
  <c r="Y136" i="18" s="1"/>
  <c r="G128" i="20"/>
  <c r="CB128" i="6" s="1"/>
  <c r="AA128" i="20"/>
  <c r="Z128" i="20" s="1"/>
  <c r="Y128" i="20" s="1"/>
  <c r="G118" i="18"/>
  <c r="CA118" i="6" s="1"/>
  <c r="AA118" i="18"/>
  <c r="Z118" i="18" s="1"/>
  <c r="Y118" i="18" s="1"/>
  <c r="G110" i="20"/>
  <c r="CB110" i="6" s="1"/>
  <c r="AA110" i="20"/>
  <c r="Z110" i="20" s="1"/>
  <c r="Y110" i="20" s="1"/>
  <c r="G106" i="18"/>
  <c r="CA106" i="6" s="1"/>
  <c r="AA106" i="18"/>
  <c r="Z106" i="18" s="1"/>
  <c r="Y106" i="18" s="1"/>
  <c r="G104" i="20"/>
  <c r="CB104" i="6" s="1"/>
  <c r="AA104" i="20"/>
  <c r="Z104" i="20" s="1"/>
  <c r="Y104" i="20" s="1"/>
  <c r="G92" i="18"/>
  <c r="CA92" i="6" s="1"/>
  <c r="AA92" i="18"/>
  <c r="Z92" i="18" s="1"/>
  <c r="Y92" i="18" s="1"/>
  <c r="G84" i="20"/>
  <c r="CB84" i="6" s="1"/>
  <c r="AA84" i="20"/>
  <c r="Z84" i="20" s="1"/>
  <c r="Y84" i="20" s="1"/>
  <c r="G70" i="18"/>
  <c r="CA70" i="6" s="1"/>
  <c r="AA70" i="18"/>
  <c r="Z70" i="18" s="1"/>
  <c r="Y70" i="18" s="1"/>
  <c r="G56" i="20"/>
  <c r="CB56" i="6" s="1"/>
  <c r="AA56" i="20"/>
  <c r="Z56" i="20" s="1"/>
  <c r="Y56" i="20" s="1"/>
  <c r="G50" i="18"/>
  <c r="CA50" i="6" s="1"/>
  <c r="AA50" i="18"/>
  <c r="Z50" i="18" s="1"/>
  <c r="Y50" i="18" s="1"/>
  <c r="G42" i="20"/>
  <c r="CB42" i="6" s="1"/>
  <c r="AA42" i="20"/>
  <c r="Z42" i="20" s="1"/>
  <c r="Y42" i="20" s="1"/>
  <c r="G361" i="18"/>
  <c r="CA361" i="6" s="1"/>
  <c r="AA361" i="18"/>
  <c r="Z361" i="18" s="1"/>
  <c r="Y361" i="18" s="1"/>
  <c r="G317" i="18"/>
  <c r="CA317" i="6" s="1"/>
  <c r="AA317" i="18"/>
  <c r="Z317" i="18" s="1"/>
  <c r="Y317" i="18" s="1"/>
  <c r="G273" i="18"/>
  <c r="CA273" i="6" s="1"/>
  <c r="AA273" i="18"/>
  <c r="Z273" i="18" s="1"/>
  <c r="Y273" i="18" s="1"/>
  <c r="G263" i="18"/>
  <c r="CA263" i="6" s="1"/>
  <c r="AA263" i="18"/>
  <c r="Z263" i="18" s="1"/>
  <c r="Y263" i="18" s="1"/>
  <c r="G255" i="18"/>
  <c r="CA255" i="6" s="1"/>
  <c r="AA255" i="18"/>
  <c r="Z255" i="18" s="1"/>
  <c r="Y255" i="18" s="1"/>
  <c r="G247" i="18"/>
  <c r="CA247" i="6" s="1"/>
  <c r="AA247" i="18"/>
  <c r="Z247" i="18" s="1"/>
  <c r="Y247" i="18" s="1"/>
  <c r="G197" i="18"/>
  <c r="CA197" i="6" s="1"/>
  <c r="AA197" i="18"/>
  <c r="Z197" i="18" s="1"/>
  <c r="Y197" i="18" s="1"/>
  <c r="G183" i="18"/>
  <c r="CA183" i="6" s="1"/>
  <c r="AA183" i="18"/>
  <c r="Z183" i="18" s="1"/>
  <c r="Y183" i="18" s="1"/>
  <c r="G167" i="18"/>
  <c r="CA167" i="6" s="1"/>
  <c r="AA167" i="18"/>
  <c r="Z167" i="18" s="1"/>
  <c r="Y167" i="18" s="1"/>
  <c r="G155" i="18"/>
  <c r="CA155" i="6" s="1"/>
  <c r="AA155" i="18"/>
  <c r="Z155" i="18" s="1"/>
  <c r="Y155" i="18" s="1"/>
  <c r="G101" i="18"/>
  <c r="CA101" i="6" s="1"/>
  <c r="AA101" i="18"/>
  <c r="Z101" i="18" s="1"/>
  <c r="Y101" i="18" s="1"/>
  <c r="G97" i="18"/>
  <c r="CA97" i="6" s="1"/>
  <c r="AA97" i="18"/>
  <c r="Z97" i="18" s="1"/>
  <c r="Y9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55" i="18"/>
  <c r="CA55" i="6" s="1"/>
  <c r="AA55" i="18"/>
  <c r="Z55" i="18" s="1"/>
  <c r="Y55" i="18" s="1"/>
  <c r="G88" i="18"/>
  <c r="CA88" i="6" s="1"/>
  <c r="AA88" i="18"/>
  <c r="Z88" i="18" s="1"/>
  <c r="Y88" i="18" s="1"/>
  <c r="G287" i="18"/>
  <c r="CA287" i="6" s="1"/>
  <c r="AA287" i="18"/>
  <c r="Z287" i="18" s="1"/>
  <c r="Y287" i="18" s="1"/>
  <c r="G19" i="18"/>
  <c r="CA19" i="6" s="1"/>
  <c r="AA19" i="18"/>
  <c r="Z19" i="18" s="1"/>
  <c r="Y19" i="18" s="1"/>
  <c r="G175" i="18"/>
  <c r="CA175" i="6" s="1"/>
  <c r="AA175" i="18"/>
  <c r="Z175" i="18" s="1"/>
  <c r="Y175" i="18" s="1"/>
  <c r="G116" i="18"/>
  <c r="CA116" i="6" s="1"/>
  <c r="AA116" i="18"/>
  <c r="Z116" i="18" s="1"/>
  <c r="Y116" i="18" s="1"/>
  <c r="G284" i="18"/>
  <c r="CA284" i="6" s="1"/>
  <c r="AA284" i="18"/>
  <c r="Z284" i="18" s="1"/>
  <c r="Y284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G367" i="18"/>
  <c r="CA367" i="6" s="1"/>
  <c r="AA367" i="18"/>
  <c r="Z367" i="18" s="1"/>
  <c r="Y367" i="18" s="1"/>
  <c r="G154" i="18"/>
  <c r="CA154" i="6" s="1"/>
  <c r="AA154" i="18"/>
  <c r="Z154" i="18" s="1"/>
  <c r="Y154" i="18" s="1"/>
  <c r="G335" i="18"/>
  <c r="CA335" i="6" s="1"/>
  <c r="AA335" i="18"/>
  <c r="Z335" i="18" s="1"/>
  <c r="Y335" i="18" s="1"/>
  <c r="G194" i="18"/>
  <c r="CA194" i="6" s="1"/>
  <c r="AA194" i="18"/>
  <c r="Z194" i="18" s="1"/>
  <c r="Y194" i="18" s="1"/>
  <c r="G135" i="18"/>
  <c r="CA135" i="6" s="1"/>
  <c r="AA135" i="18"/>
  <c r="Z135" i="18" s="1"/>
  <c r="Y135" i="18" s="1"/>
  <c r="G272" i="18"/>
  <c r="CA272" i="6" s="1"/>
  <c r="AA272" i="18"/>
  <c r="Z272" i="18" s="1"/>
  <c r="Y272" i="18" s="1"/>
  <c r="G171" i="18"/>
  <c r="CA171" i="6" s="1"/>
  <c r="AA171" i="18"/>
  <c r="Z171" i="18" s="1"/>
  <c r="Y171" i="18" s="1"/>
  <c r="G346" i="18"/>
  <c r="CA346" i="6" s="1"/>
  <c r="AA346" i="18"/>
  <c r="Z346" i="18" s="1"/>
  <c r="Y346" i="18" s="1"/>
  <c r="G75" i="18"/>
  <c r="CA75" i="6" s="1"/>
  <c r="AA75" i="18"/>
  <c r="Z75" i="18" s="1"/>
  <c r="Y75" i="18" s="1"/>
  <c r="G283" i="18"/>
  <c r="CA283" i="6" s="1"/>
  <c r="AA283" i="18"/>
  <c r="Z283" i="18" s="1"/>
  <c r="Y283" i="18" s="1"/>
  <c r="G261" i="18"/>
  <c r="CA261" i="6" s="1"/>
  <c r="AA261" i="18"/>
  <c r="Z261" i="18" s="1"/>
  <c r="Y261" i="18" s="1"/>
  <c r="G248" i="18"/>
  <c r="CA248" i="6" s="1"/>
  <c r="AA248" i="18"/>
  <c r="Z248" i="18" s="1"/>
  <c r="Y248" i="18" s="1"/>
  <c r="G74" i="18"/>
  <c r="CA74" i="6" s="1"/>
  <c r="AA74" i="18"/>
  <c r="Z74" i="18" s="1"/>
  <c r="Y74" i="18" s="1"/>
  <c r="G22" i="18"/>
  <c r="CA22" i="6" s="1"/>
  <c r="AA22" i="18"/>
  <c r="Z22" i="18" s="1"/>
  <c r="Y22" i="18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G67" i="18"/>
  <c r="CA67" i="6" s="1"/>
  <c r="AA67" i="18"/>
  <c r="Z67" i="18" s="1"/>
  <c r="Y67" i="18" s="1"/>
  <c r="G226" i="18"/>
  <c r="CA226" i="6" s="1"/>
  <c r="AA226" i="18"/>
  <c r="Z226" i="18" s="1"/>
  <c r="Y226" i="18" s="1"/>
  <c r="G187" i="18"/>
  <c r="CA187" i="6" s="1"/>
  <c r="AA187" i="18"/>
  <c r="Z187" i="18" s="1"/>
  <c r="Y187" i="18" s="1"/>
  <c r="G150" i="18"/>
  <c r="CA150" i="6" s="1"/>
  <c r="AA150" i="18"/>
  <c r="Z150" i="18" s="1"/>
  <c r="Y150" i="18" s="1"/>
  <c r="G365" i="18"/>
  <c r="CA365" i="6" s="1"/>
  <c r="AA365" i="18"/>
  <c r="Z365" i="18" s="1"/>
  <c r="Y365" i="18" s="1"/>
  <c r="G29" i="18"/>
  <c r="CA29" i="6" s="1"/>
  <c r="AA29" i="18"/>
  <c r="Z29" i="18" s="1"/>
  <c r="Y29" i="18" s="1"/>
  <c r="G60" i="18"/>
  <c r="CA60" i="6" s="1"/>
  <c r="AA60" i="18"/>
  <c r="Z60" i="18" s="1"/>
  <c r="Y60" i="18" s="1"/>
  <c r="G180" i="18"/>
  <c r="CA180" i="6" s="1"/>
  <c r="AA180" i="18"/>
  <c r="Z180" i="18" s="1"/>
  <c r="Y180" i="18" s="1"/>
  <c r="G196" i="18"/>
  <c r="CA196" i="6" s="1"/>
  <c r="AA196" i="18"/>
  <c r="Z196" i="18" s="1"/>
  <c r="Y196" i="18" s="1"/>
  <c r="E15" i="20"/>
  <c r="AJ6" i="20"/>
  <c r="B382" i="20"/>
  <c r="AK6" i="20"/>
  <c r="G146" i="20"/>
  <c r="CB146" i="6" s="1"/>
  <c r="AA146" i="20"/>
  <c r="Z146" i="20" s="1"/>
  <c r="Y146" i="20" s="1"/>
  <c r="W142" i="22"/>
  <c r="D142" i="22"/>
  <c r="E142" i="22" s="1"/>
  <c r="F142" i="22" s="1"/>
  <c r="B142" i="23"/>
  <c r="AA120" i="20"/>
  <c r="Z120" i="20" s="1"/>
  <c r="Y120" i="20" s="1"/>
  <c r="G120" i="20"/>
  <c r="CB120" i="6" s="1"/>
  <c r="W108" i="22"/>
  <c r="D108" i="22"/>
  <c r="E108" i="22" s="1"/>
  <c r="F108" i="22" s="1"/>
  <c r="B108" i="23"/>
  <c r="G323" i="20"/>
  <c r="CB323" i="6" s="1"/>
  <c r="AA323" i="20"/>
  <c r="Z323" i="20" s="1"/>
  <c r="Y323" i="20" s="1"/>
  <c r="W317" i="23"/>
  <c r="D317" i="23"/>
  <c r="E317" i="23" s="1"/>
  <c r="F317" i="23" s="1"/>
  <c r="B317" i="24"/>
  <c r="G271" i="20"/>
  <c r="CB271" i="6" s="1"/>
  <c r="AA271" i="20"/>
  <c r="Z271" i="20" s="1"/>
  <c r="Y271" i="20" s="1"/>
  <c r="W263" i="23"/>
  <c r="D263" i="23"/>
  <c r="E263" i="23" s="1"/>
  <c r="F263" i="23" s="1"/>
  <c r="B263" i="24"/>
  <c r="G255" i="22"/>
  <c r="CC255" i="6" s="1"/>
  <c r="AA255" i="22"/>
  <c r="Z255" i="22" s="1"/>
  <c r="Y255" i="22" s="1"/>
  <c r="W219" i="22"/>
  <c r="D219" i="22"/>
  <c r="E219" i="22" s="1"/>
  <c r="F219" i="22" s="1"/>
  <c r="B219" i="23"/>
  <c r="G197" i="22"/>
  <c r="CC197" i="6" s="1"/>
  <c r="AA197" i="22"/>
  <c r="Z197" i="22" s="1"/>
  <c r="Y197" i="22" s="1"/>
  <c r="W173" i="22"/>
  <c r="D173" i="22"/>
  <c r="E173" i="22" s="1"/>
  <c r="F173" i="22" s="1"/>
  <c r="B173" i="23"/>
  <c r="G167" i="22"/>
  <c r="CC167" i="6" s="1"/>
  <c r="AA167" i="22"/>
  <c r="Z167" i="22" s="1"/>
  <c r="Y167" i="22" s="1"/>
  <c r="W127" i="22"/>
  <c r="D127" i="22"/>
  <c r="E127" i="22" s="1"/>
  <c r="F127" i="22" s="1"/>
  <c r="B127" i="23"/>
  <c r="G101" i="22"/>
  <c r="CC101" i="6" s="1"/>
  <c r="AA101" i="22"/>
  <c r="Z101" i="22" s="1"/>
  <c r="Y101" i="22" s="1"/>
  <c r="W89" i="22"/>
  <c r="D89" i="22"/>
  <c r="E89" i="22" s="1"/>
  <c r="F89" i="22" s="1"/>
  <c r="B89" i="23"/>
  <c r="G83" i="22"/>
  <c r="CC83" i="6" s="1"/>
  <c r="AA83" i="22"/>
  <c r="Z83" i="22" s="1"/>
  <c r="Y83" i="22" s="1"/>
  <c r="W61" i="22"/>
  <c r="D61" i="22"/>
  <c r="E61" i="22" s="1"/>
  <c r="F61" i="22" s="1"/>
  <c r="B61" i="23"/>
  <c r="G55" i="22"/>
  <c r="CC55" i="6" s="1"/>
  <c r="AA55" i="22"/>
  <c r="Z55" i="22" s="1"/>
  <c r="Y55" i="22" s="1"/>
  <c r="W265" i="22"/>
  <c r="D265" i="22"/>
  <c r="E265" i="22" s="1"/>
  <c r="F265" i="22" s="1"/>
  <c r="B265" i="23"/>
  <c r="G287" i="22"/>
  <c r="CC287" i="6" s="1"/>
  <c r="AA287" i="22"/>
  <c r="Z287" i="22" s="1"/>
  <c r="Y287" i="22" s="1"/>
  <c r="W161" i="22"/>
  <c r="D161" i="22"/>
  <c r="E161" i="22" s="1"/>
  <c r="F161" i="22" s="1"/>
  <c r="B161" i="23"/>
  <c r="G253" i="20"/>
  <c r="CB253" i="6" s="1"/>
  <c r="AA253" i="20"/>
  <c r="Z253" i="20" s="1"/>
  <c r="Y253" i="20" s="1"/>
  <c r="W116" i="23"/>
  <c r="D116" i="23"/>
  <c r="E116" i="23" s="1"/>
  <c r="F116" i="23" s="1"/>
  <c r="B116" i="24"/>
  <c r="G116" i="22"/>
  <c r="CC116" i="6" s="1"/>
  <c r="AA116" i="22"/>
  <c r="Z116" i="22" s="1"/>
  <c r="Y116" i="22" s="1"/>
  <c r="G369" i="20"/>
  <c r="CB369" i="6" s="1"/>
  <c r="AA369" i="20"/>
  <c r="Z369" i="20" s="1"/>
  <c r="Y369" i="20" s="1"/>
  <c r="W241" i="23"/>
  <c r="D241" i="23"/>
  <c r="E241" i="23" s="1"/>
  <c r="F241" i="23" s="1"/>
  <c r="B241" i="24"/>
  <c r="G347" i="20"/>
  <c r="CB347" i="6" s="1"/>
  <c r="AA347" i="20"/>
  <c r="Z347" i="20" s="1"/>
  <c r="Y347" i="20" s="1"/>
  <c r="W367" i="23"/>
  <c r="D367" i="23"/>
  <c r="E367" i="23" s="1"/>
  <c r="F367" i="23" s="1"/>
  <c r="B367" i="24"/>
  <c r="G376" i="20"/>
  <c r="CB376" i="6" s="1"/>
  <c r="AA376" i="20"/>
  <c r="Z376" i="20" s="1"/>
  <c r="Y376" i="20" s="1"/>
  <c r="W335" i="23"/>
  <c r="D335" i="23"/>
  <c r="E335" i="23" s="1"/>
  <c r="F335" i="23" s="1"/>
  <c r="B335" i="24"/>
  <c r="G368" i="20"/>
  <c r="CB368" i="6" s="1"/>
  <c r="AA368" i="20"/>
  <c r="Z368" i="20" s="1"/>
  <c r="Y368" i="20" s="1"/>
  <c r="W135" i="23"/>
  <c r="D135" i="23"/>
  <c r="E135" i="23" s="1"/>
  <c r="F135" i="23" s="1"/>
  <c r="B135" i="24"/>
  <c r="G272" i="22"/>
  <c r="CC272" i="6" s="1"/>
  <c r="AA272" i="22"/>
  <c r="Z272" i="22" s="1"/>
  <c r="Y272" i="22" s="1"/>
  <c r="W278" i="22"/>
  <c r="D278" i="22"/>
  <c r="E278" i="22" s="1"/>
  <c r="F278" i="22" s="1"/>
  <c r="B278" i="23"/>
  <c r="G346" i="22"/>
  <c r="CC346" i="6" s="1"/>
  <c r="AA346" i="22"/>
  <c r="Z346" i="22" s="1"/>
  <c r="Y346" i="22" s="1"/>
  <c r="W111" i="22"/>
  <c r="D111" i="22"/>
  <c r="E111" i="22" s="1"/>
  <c r="F111" i="22" s="1"/>
  <c r="B111" i="23"/>
  <c r="G283" i="22"/>
  <c r="CC283" i="6" s="1"/>
  <c r="AA283" i="22"/>
  <c r="Z283" i="22" s="1"/>
  <c r="Y283" i="22" s="1"/>
  <c r="W17" i="22"/>
  <c r="D17" i="22"/>
  <c r="E17" i="22" s="1"/>
  <c r="F17" i="22" s="1"/>
  <c r="B17" i="23"/>
  <c r="G248" i="22"/>
  <c r="CC248" i="6" s="1"/>
  <c r="AA248" i="22"/>
  <c r="Z248" i="22" s="1"/>
  <c r="Y248" i="22" s="1"/>
  <c r="W319" i="22"/>
  <c r="D319" i="22"/>
  <c r="E319" i="22" s="1"/>
  <c r="F319" i="22" s="1"/>
  <c r="B319" i="23"/>
  <c r="G22" i="22"/>
  <c r="CC22" i="6" s="1"/>
  <c r="AA22" i="22"/>
  <c r="Z22" i="22" s="1"/>
  <c r="Y22" i="22" s="1"/>
  <c r="W166" i="22"/>
  <c r="D166" i="22"/>
  <c r="E166" i="22" s="1"/>
  <c r="F166" i="22" s="1"/>
  <c r="B166" i="23"/>
  <c r="G46" i="22"/>
  <c r="CC46" i="6" s="1"/>
  <c r="AA46" i="22"/>
  <c r="Z46" i="22" s="1"/>
  <c r="Y46" i="22" s="1"/>
  <c r="W177" i="22"/>
  <c r="D177" i="22"/>
  <c r="E177" i="22" s="1"/>
  <c r="F177" i="22" s="1"/>
  <c r="B177" i="23"/>
  <c r="G298" i="20"/>
  <c r="CB298" i="6" s="1"/>
  <c r="AA298" i="20"/>
  <c r="Z298" i="20" s="1"/>
  <c r="Y298" i="20" s="1"/>
  <c r="W187" i="23"/>
  <c r="D187" i="23"/>
  <c r="E187" i="23" s="1"/>
  <c r="F187" i="23" s="1"/>
  <c r="B187" i="24"/>
  <c r="G316" i="20"/>
  <c r="CB316" i="6" s="1"/>
  <c r="AA316" i="20"/>
  <c r="Z316" i="20" s="1"/>
  <c r="Y316" i="20" s="1"/>
  <c r="W365" i="23"/>
  <c r="D365" i="23"/>
  <c r="E365" i="23" s="1"/>
  <c r="F365" i="23" s="1"/>
  <c r="B365" i="24"/>
  <c r="G149" i="20"/>
  <c r="CB149" i="6" s="1"/>
  <c r="AA149" i="20"/>
  <c r="Z149" i="20" s="1"/>
  <c r="Y149" i="20" s="1"/>
  <c r="W60" i="23"/>
  <c r="D60" i="23"/>
  <c r="E60" i="23" s="1"/>
  <c r="F60" i="23" s="1"/>
  <c r="B60" i="24"/>
  <c r="G333" i="20"/>
  <c r="CB333" i="6" s="1"/>
  <c r="AA333" i="20"/>
  <c r="Z333" i="20" s="1"/>
  <c r="Y333" i="20" s="1"/>
  <c r="W180" i="23"/>
  <c r="D180" i="23"/>
  <c r="E180" i="23" s="1"/>
  <c r="F180" i="23" s="1"/>
  <c r="B180" i="24"/>
  <c r="G180" i="22"/>
  <c r="CC180" i="6" s="1"/>
  <c r="AA180" i="22"/>
  <c r="Z180" i="22" s="1"/>
  <c r="Y180" i="22" s="1"/>
  <c r="G363" i="20"/>
  <c r="CB363" i="6" s="1"/>
  <c r="AA363" i="20"/>
  <c r="Z363" i="20" s="1"/>
  <c r="Y363" i="20" s="1"/>
  <c r="W334" i="22"/>
  <c r="D334" i="22"/>
  <c r="E334" i="22" s="1"/>
  <c r="F334" i="22" s="1"/>
  <c r="B334" i="23"/>
  <c r="G300" i="20"/>
  <c r="CB300" i="6" s="1"/>
  <c r="AA300" i="20"/>
  <c r="Z300" i="20" s="1"/>
  <c r="Y300" i="20" s="1"/>
  <c r="W294" i="22"/>
  <c r="D294" i="22"/>
  <c r="E294" i="22" s="1"/>
  <c r="F294" i="22" s="1"/>
  <c r="B294" i="23"/>
  <c r="G228" i="20"/>
  <c r="CB228" i="6" s="1"/>
  <c r="AA228" i="20"/>
  <c r="Z228" i="20" s="1"/>
  <c r="Y228" i="20" s="1"/>
  <c r="W192" i="22"/>
  <c r="D192" i="22"/>
  <c r="E192" i="22" s="1"/>
  <c r="F192" i="22" s="1"/>
  <c r="B192" i="23"/>
  <c r="G164" i="20"/>
  <c r="CB164" i="6" s="1"/>
  <c r="AA164" i="20"/>
  <c r="Z164" i="20" s="1"/>
  <c r="Y164" i="20" s="1"/>
  <c r="W148" i="23"/>
  <c r="D148" i="23"/>
  <c r="E148" i="23" s="1"/>
  <c r="F148" i="23" s="1"/>
  <c r="B148" i="24"/>
  <c r="G361" i="22"/>
  <c r="CC361" i="6" s="1"/>
  <c r="AA361" i="22"/>
  <c r="Z361" i="22" s="1"/>
  <c r="Y361" i="22" s="1"/>
  <c r="W281" i="22"/>
  <c r="D281" i="22"/>
  <c r="E281" i="22" s="1"/>
  <c r="F281" i="22" s="1"/>
  <c r="B281" i="23"/>
  <c r="G273" i="22"/>
  <c r="CC273" i="6" s="1"/>
  <c r="AA273" i="22"/>
  <c r="Z273" i="22" s="1"/>
  <c r="Y273" i="22" s="1"/>
  <c r="W249" i="22"/>
  <c r="D249" i="22"/>
  <c r="E249" i="22" s="1"/>
  <c r="F249" i="22" s="1"/>
  <c r="B249" i="23"/>
  <c r="G247" i="22"/>
  <c r="CC247" i="6" s="1"/>
  <c r="AA247" i="22"/>
  <c r="Z247" i="22" s="1"/>
  <c r="Y247" i="22" s="1"/>
  <c r="W185" i="22"/>
  <c r="D185" i="22"/>
  <c r="E185" i="22" s="1"/>
  <c r="F185" i="22" s="1"/>
  <c r="B185" i="23"/>
  <c r="G183" i="22"/>
  <c r="CC183" i="6" s="1"/>
  <c r="AA183" i="22"/>
  <c r="Z183" i="22" s="1"/>
  <c r="Y183" i="22" s="1"/>
  <c r="W159" i="22"/>
  <c r="D159" i="22"/>
  <c r="E159" i="22" s="1"/>
  <c r="F159" i="22" s="1"/>
  <c r="B159" i="23"/>
  <c r="G155" i="22"/>
  <c r="CC155" i="6" s="1"/>
  <c r="AA155" i="22"/>
  <c r="Z155" i="22" s="1"/>
  <c r="Y155" i="22" s="1"/>
  <c r="W99" i="22"/>
  <c r="D99" i="22"/>
  <c r="E99" i="22" s="1"/>
  <c r="F99" i="22" s="1"/>
  <c r="B99" i="23"/>
  <c r="G97" i="22"/>
  <c r="CC97" i="6" s="1"/>
  <c r="AA97" i="22"/>
  <c r="Z97" i="22" s="1"/>
  <c r="Y97" i="22" s="1"/>
  <c r="W77" i="22"/>
  <c r="D77" i="22"/>
  <c r="E77" i="22" s="1"/>
  <c r="F77" i="22" s="1"/>
  <c r="B77" i="23"/>
  <c r="G63" i="22"/>
  <c r="CC63" i="6" s="1"/>
  <c r="AA63" i="22"/>
  <c r="Z63" i="22" s="1"/>
  <c r="Y63" i="22" s="1"/>
  <c r="W37" i="22"/>
  <c r="D37" i="22"/>
  <c r="E37" i="22" s="1"/>
  <c r="F37" i="22" s="1"/>
  <c r="B37" i="23"/>
  <c r="G88" i="22"/>
  <c r="CC88" i="6" s="1"/>
  <c r="AA88" i="22"/>
  <c r="Z88" i="22" s="1"/>
  <c r="Y88" i="22" s="1"/>
  <c r="W130" i="22"/>
  <c r="D130" i="22"/>
  <c r="E130" i="22" s="1"/>
  <c r="F130" i="22" s="1"/>
  <c r="B130" i="23"/>
  <c r="G19" i="22"/>
  <c r="CC19" i="6" s="1"/>
  <c r="AA19" i="22"/>
  <c r="Z19" i="22" s="1"/>
  <c r="Y19" i="22" s="1"/>
  <c r="W244" i="22"/>
  <c r="D244" i="22"/>
  <c r="E244" i="22" s="1"/>
  <c r="F244" i="22" s="1"/>
  <c r="B244" i="23"/>
  <c r="G284" i="22"/>
  <c r="CC284" i="6" s="1"/>
  <c r="AA284" i="22"/>
  <c r="Z284" i="22" s="1"/>
  <c r="Y284" i="22" s="1"/>
  <c r="W210" i="22"/>
  <c r="D210" i="22"/>
  <c r="E210" i="22" s="1"/>
  <c r="F210" i="22" s="1"/>
  <c r="B210" i="23"/>
  <c r="G302" i="22"/>
  <c r="CC302" i="6" s="1"/>
  <c r="AA302" i="22"/>
  <c r="Z302" i="22" s="1"/>
  <c r="Y302" i="22" s="1"/>
  <c r="W189" i="23"/>
  <c r="D189" i="23"/>
  <c r="E189" i="23" s="1"/>
  <c r="F189" i="23" s="1"/>
  <c r="B189" i="24"/>
  <c r="G114" i="20"/>
  <c r="CB114" i="6" s="1"/>
  <c r="AA114" i="20"/>
  <c r="Z114" i="20" s="1"/>
  <c r="Y114" i="20" s="1"/>
  <c r="W154" i="23"/>
  <c r="D154" i="23"/>
  <c r="E154" i="23" s="1"/>
  <c r="F154" i="23" s="1"/>
  <c r="B154" i="24"/>
  <c r="G66" i="20"/>
  <c r="CB66" i="6" s="1"/>
  <c r="AA66" i="20"/>
  <c r="Z66" i="20" s="1"/>
  <c r="Y66" i="20" s="1"/>
  <c r="W194" i="23"/>
  <c r="D194" i="23"/>
  <c r="E194" i="23" s="1"/>
  <c r="F194" i="23" s="1"/>
  <c r="B194" i="24"/>
  <c r="G95" i="20"/>
  <c r="CB95" i="6" s="1"/>
  <c r="AA95" i="20"/>
  <c r="Z95" i="20" s="1"/>
  <c r="Y95" i="20" s="1"/>
  <c r="W171" i="23"/>
  <c r="D171" i="23"/>
  <c r="E171" i="23" s="1"/>
  <c r="F171" i="23" s="1"/>
  <c r="B171" i="24"/>
  <c r="G43" i="20"/>
  <c r="CB43" i="6" s="1"/>
  <c r="AA43" i="20"/>
  <c r="Z43" i="20" s="1"/>
  <c r="Y43" i="20" s="1"/>
  <c r="W75" i="23"/>
  <c r="D75" i="23"/>
  <c r="E75" i="23" s="1"/>
  <c r="F75" i="23" s="1"/>
  <c r="B75" i="24"/>
  <c r="G216" i="20"/>
  <c r="CB216" i="6" s="1"/>
  <c r="AA216" i="20"/>
  <c r="Z216" i="20" s="1"/>
  <c r="Y216" i="20" s="1"/>
  <c r="W261" i="23"/>
  <c r="D261" i="23"/>
  <c r="E261" i="23" s="1"/>
  <c r="F261" i="23" s="1"/>
  <c r="B261" i="24"/>
  <c r="G354" i="20"/>
  <c r="CB354" i="6" s="1"/>
  <c r="AA354" i="20"/>
  <c r="Z354" i="20" s="1"/>
  <c r="Y354" i="20" s="1"/>
  <c r="W74" i="23"/>
  <c r="D74" i="23"/>
  <c r="E74" i="23" s="1"/>
  <c r="F74" i="23" s="1"/>
  <c r="B74" i="24"/>
  <c r="G227" i="20"/>
  <c r="CB227" i="6" s="1"/>
  <c r="AA227" i="20"/>
  <c r="Z227" i="20" s="1"/>
  <c r="Y227" i="20" s="1"/>
  <c r="W349" i="23"/>
  <c r="D349" i="23"/>
  <c r="E349" i="23" s="1"/>
  <c r="F349" i="23" s="1"/>
  <c r="B349" i="24"/>
  <c r="G35" i="20"/>
  <c r="CB35" i="6" s="1"/>
  <c r="AA35" i="20"/>
  <c r="Z35" i="20" s="1"/>
  <c r="Y35" i="20" s="1"/>
  <c r="W67" i="23"/>
  <c r="D67" i="23"/>
  <c r="E67" i="23" s="1"/>
  <c r="F67" i="23" s="1"/>
  <c r="B67" i="24"/>
  <c r="G208" i="20"/>
  <c r="CB208" i="6" s="1"/>
  <c r="AA208" i="20"/>
  <c r="Z208" i="20" s="1"/>
  <c r="Y208" i="20" s="1"/>
  <c r="W226" i="23"/>
  <c r="D226" i="23"/>
  <c r="E226" i="23" s="1"/>
  <c r="F226" i="23" s="1"/>
  <c r="B226" i="24"/>
  <c r="G16" i="20"/>
  <c r="CB16" i="6" s="1"/>
  <c r="AA16" i="20"/>
  <c r="Z16" i="20" s="1"/>
  <c r="Y16" i="20" s="1"/>
  <c r="W150" i="23"/>
  <c r="D150" i="23"/>
  <c r="E150" i="23" s="1"/>
  <c r="F150" i="23" s="1"/>
  <c r="B150" i="24"/>
  <c r="G105" i="20"/>
  <c r="CB105" i="6" s="1"/>
  <c r="AA105" i="20"/>
  <c r="Z105" i="20" s="1"/>
  <c r="Y105" i="20" s="1"/>
  <c r="W29" i="23"/>
  <c r="D29" i="23"/>
  <c r="E29" i="23" s="1"/>
  <c r="F29" i="23" s="1"/>
  <c r="B29" i="24"/>
  <c r="E381" i="18"/>
  <c r="E383" i="18"/>
  <c r="E382" i="18"/>
  <c r="AJ10" i="18"/>
  <c r="AK8" i="18"/>
  <c r="E9" i="18"/>
  <c r="F15" i="18"/>
  <c r="D9" i="18"/>
  <c r="D11" i="18" s="1"/>
  <c r="E39" i="19" s="1"/>
  <c r="D383" i="18"/>
  <c r="I316" i="17"/>
  <c r="H316" i="18" s="1"/>
  <c r="J316" i="17"/>
  <c r="J300" i="17"/>
  <c r="I300" i="17"/>
  <c r="H300" i="18" s="1"/>
  <c r="I57" i="17"/>
  <c r="H57" i="18" s="1"/>
  <c r="J57" i="17"/>
  <c r="I275" i="17"/>
  <c r="H275" i="18" s="1"/>
  <c r="J275" i="17"/>
  <c r="J64" i="17"/>
  <c r="I64" i="17"/>
  <c r="H64" i="18" s="1"/>
  <c r="J235" i="17"/>
  <c r="I235" i="17"/>
  <c r="H235" i="18" s="1"/>
  <c r="I135" i="17"/>
  <c r="H135" i="18" s="1"/>
  <c r="J135" i="17"/>
  <c r="I68" i="17"/>
  <c r="H68" i="18" s="1"/>
  <c r="J68" i="17"/>
  <c r="I219" i="17"/>
  <c r="H219" i="18" s="1"/>
  <c r="J219" i="17"/>
  <c r="I191" i="17"/>
  <c r="H191" i="18" s="1"/>
  <c r="J191" i="17"/>
  <c r="I158" i="17"/>
  <c r="H158" i="18" s="1"/>
  <c r="J158" i="17"/>
  <c r="J378" i="17"/>
  <c r="I378" i="17"/>
  <c r="H378" i="18" s="1"/>
  <c r="J268" i="17"/>
  <c r="I268" i="17"/>
  <c r="H268" i="18" s="1"/>
  <c r="J208" i="17"/>
  <c r="I208" i="17"/>
  <c r="H208" i="18" s="1"/>
  <c r="I321" i="17"/>
  <c r="H321" i="18" s="1"/>
  <c r="J321" i="17"/>
  <c r="I157" i="17"/>
  <c r="H157" i="18" s="1"/>
  <c r="J157" i="17"/>
  <c r="J86" i="17"/>
  <c r="I86" i="17"/>
  <c r="H86" i="18" s="1"/>
  <c r="J282" i="17"/>
  <c r="I282" i="17"/>
  <c r="H282" i="18" s="1"/>
  <c r="I36" i="17"/>
  <c r="H36" i="18" s="1"/>
  <c r="J36" i="17"/>
  <c r="I41" i="17"/>
  <c r="H41" i="18" s="1"/>
  <c r="J41" i="17"/>
  <c r="J189" i="17"/>
  <c r="I189" i="17"/>
  <c r="H189" i="18" s="1"/>
  <c r="I30" i="17"/>
  <c r="H30" i="18" s="1"/>
  <c r="J30" i="17"/>
  <c r="I307" i="17"/>
  <c r="H307" i="18" s="1"/>
  <c r="J307" i="17"/>
  <c r="J169" i="17"/>
  <c r="I169" i="17"/>
  <c r="H169" i="18" s="1"/>
  <c r="I201" i="17"/>
  <c r="H201" i="18" s="1"/>
  <c r="J201" i="17"/>
  <c r="I97" i="17"/>
  <c r="H97" i="18" s="1"/>
  <c r="J97" i="17"/>
  <c r="J32" i="17"/>
  <c r="I32" i="17"/>
  <c r="H32" i="18" s="1"/>
  <c r="I79" i="17"/>
  <c r="H79" i="18" s="1"/>
  <c r="J79" i="17"/>
  <c r="J56" i="17"/>
  <c r="I56" i="17"/>
  <c r="H56" i="18" s="1"/>
  <c r="J59" i="17"/>
  <c r="I59" i="17"/>
  <c r="H59" i="18" s="1"/>
  <c r="I91" i="17"/>
  <c r="H91" i="18" s="1"/>
  <c r="J91" i="17"/>
  <c r="J154" i="17"/>
  <c r="I154" i="17"/>
  <c r="H154" i="18" s="1"/>
  <c r="I95" i="17"/>
  <c r="H95" i="18" s="1"/>
  <c r="J95" i="17"/>
  <c r="I71" i="17"/>
  <c r="H71" i="18" s="1"/>
  <c r="J71" i="17"/>
  <c r="J140" i="17"/>
  <c r="I140" i="17"/>
  <c r="H140" i="18" s="1"/>
  <c r="J232" i="17"/>
  <c r="I232" i="17"/>
  <c r="H232" i="18" s="1"/>
  <c r="J296" i="17"/>
  <c r="I296" i="17"/>
  <c r="H296" i="18" s="1"/>
  <c r="I179" i="17"/>
  <c r="H179" i="18" s="1"/>
  <c r="J179" i="17"/>
  <c r="J29" i="17"/>
  <c r="I29" i="17"/>
  <c r="H29" i="18" s="1"/>
  <c r="I110" i="17"/>
  <c r="H110" i="18" s="1"/>
  <c r="J110" i="17"/>
  <c r="J372" i="17"/>
  <c r="I372" i="17"/>
  <c r="H372" i="18" s="1"/>
  <c r="I318" i="17"/>
  <c r="H318" i="18" s="1"/>
  <c r="J318" i="17"/>
  <c r="I131" i="17"/>
  <c r="H131" i="18" s="1"/>
  <c r="J131" i="17"/>
  <c r="I350" i="17"/>
  <c r="H350" i="18" s="1"/>
  <c r="J350" i="17"/>
  <c r="J145" i="17"/>
  <c r="I145" i="17"/>
  <c r="H145" i="18" s="1"/>
  <c r="J209" i="17"/>
  <c r="I209" i="17"/>
  <c r="H209" i="18" s="1"/>
  <c r="I351" i="17"/>
  <c r="H351" i="18" s="1"/>
  <c r="J351" i="17"/>
  <c r="I303" i="17"/>
  <c r="H303" i="18" s="1"/>
  <c r="J303" i="17"/>
  <c r="I33" i="17"/>
  <c r="H33" i="18" s="1"/>
  <c r="J33" i="17"/>
  <c r="J160" i="17"/>
  <c r="I160" i="17"/>
  <c r="H160" i="18" s="1"/>
  <c r="I298" i="17"/>
  <c r="H298" i="18" s="1"/>
  <c r="J298" i="17"/>
  <c r="J125" i="17"/>
  <c r="I125" i="17"/>
  <c r="H125" i="18" s="1"/>
  <c r="J367" i="17"/>
  <c r="I367" i="17"/>
  <c r="H367" i="18" s="1"/>
  <c r="I118" i="17"/>
  <c r="H118" i="18" s="1"/>
  <c r="J118" i="17"/>
  <c r="I42" i="17"/>
  <c r="H42" i="18" s="1"/>
  <c r="J42" i="17"/>
  <c r="I312" i="17"/>
  <c r="H312" i="18" s="1"/>
  <c r="J312" i="17"/>
  <c r="J203" i="17"/>
  <c r="I203" i="17"/>
  <c r="H203" i="18" s="1"/>
  <c r="I334" i="17"/>
  <c r="H334" i="18" s="1"/>
  <c r="J334" i="17"/>
  <c r="I109" i="17"/>
  <c r="H109" i="18" s="1"/>
  <c r="J109" i="17"/>
  <c r="I299" i="17"/>
  <c r="H299" i="18" s="1"/>
  <c r="J299" i="17"/>
  <c r="I94" i="17"/>
  <c r="H94" i="18" s="1"/>
  <c r="J94" i="17"/>
  <c r="J111" i="17"/>
  <c r="I111" i="17"/>
  <c r="H111" i="18" s="1"/>
  <c r="I116" i="17"/>
  <c r="H116" i="18" s="1"/>
  <c r="J116" i="17"/>
  <c r="I215" i="17"/>
  <c r="H215" i="18" s="1"/>
  <c r="J215" i="17"/>
  <c r="J289" i="17"/>
  <c r="I289" i="17"/>
  <c r="H289" i="18" s="1"/>
  <c r="I165" i="17"/>
  <c r="H165" i="18" s="1"/>
  <c r="J165" i="17"/>
  <c r="I328" i="17"/>
  <c r="H328" i="18" s="1"/>
  <c r="J328" i="17"/>
  <c r="J162" i="17"/>
  <c r="I162" i="17"/>
  <c r="H162" i="18" s="1"/>
  <c r="J331" i="17"/>
  <c r="I331" i="17"/>
  <c r="H331" i="18" s="1"/>
  <c r="J337" i="17"/>
  <c r="I337" i="17"/>
  <c r="H337" i="18" s="1"/>
  <c r="J295" i="17"/>
  <c r="I295" i="17"/>
  <c r="H295" i="18" s="1"/>
  <c r="J183" i="17"/>
  <c r="I183" i="17"/>
  <c r="H183" i="18" s="1"/>
  <c r="J252" i="17"/>
  <c r="I252" i="17"/>
  <c r="H252" i="18" s="1"/>
  <c r="I168" i="17"/>
  <c r="H168" i="18" s="1"/>
  <c r="J168" i="17"/>
  <c r="J227" i="17"/>
  <c r="I227" i="17"/>
  <c r="H227" i="18" s="1"/>
  <c r="J240" i="17"/>
  <c r="I240" i="17"/>
  <c r="H240" i="18" s="1"/>
  <c r="J87" i="17"/>
  <c r="I87" i="17"/>
  <c r="H87" i="18" s="1"/>
  <c r="I146" i="17"/>
  <c r="H146" i="18" s="1"/>
  <c r="J146" i="17"/>
  <c r="J267" i="17"/>
  <c r="I267" i="17"/>
  <c r="H267" i="18" s="1"/>
  <c r="J115" i="17"/>
  <c r="I115" i="17"/>
  <c r="H115" i="18" s="1"/>
  <c r="I322" i="17"/>
  <c r="H322" i="18" s="1"/>
  <c r="J322" i="17"/>
  <c r="I184" i="17"/>
  <c r="H184" i="18" s="1"/>
  <c r="J184" i="17"/>
  <c r="I88" i="17"/>
  <c r="H88" i="18" s="1"/>
  <c r="J88" i="17"/>
  <c r="J38" i="17"/>
  <c r="I38" i="17"/>
  <c r="H38" i="18" s="1"/>
  <c r="J236" i="17"/>
  <c r="I236" i="17"/>
  <c r="H236" i="18" s="1"/>
  <c r="J338" i="17"/>
  <c r="I338" i="17"/>
  <c r="H338" i="18" s="1"/>
  <c r="J212" i="17"/>
  <c r="I212" i="17"/>
  <c r="H212" i="18" s="1"/>
  <c r="I320" i="17"/>
  <c r="H320" i="18" s="1"/>
  <c r="J320" i="17"/>
  <c r="J182" i="17"/>
  <c r="I182" i="17"/>
  <c r="H182" i="18" s="1"/>
  <c r="I261" i="17"/>
  <c r="H261" i="18" s="1"/>
  <c r="J261" i="17"/>
  <c r="J48" i="17"/>
  <c r="I48" i="17"/>
  <c r="H48" i="18" s="1"/>
  <c r="I137" i="17"/>
  <c r="H137" i="18" s="1"/>
  <c r="J137" i="17"/>
  <c r="I323" i="17"/>
  <c r="H323" i="18" s="1"/>
  <c r="J323" i="17"/>
  <c r="I258" i="17"/>
  <c r="H258" i="18" s="1"/>
  <c r="J258" i="17"/>
  <c r="I329" i="17"/>
  <c r="H329" i="18" s="1"/>
  <c r="J329" i="17"/>
  <c r="J53" i="17"/>
  <c r="I53" i="17"/>
  <c r="H53" i="18" s="1"/>
  <c r="I233" i="17"/>
  <c r="H233" i="18" s="1"/>
  <c r="J233" i="17"/>
  <c r="I277" i="17"/>
  <c r="H277" i="18" s="1"/>
  <c r="J277" i="17"/>
  <c r="I342" i="17"/>
  <c r="H342" i="18" s="1"/>
  <c r="J342" i="17"/>
  <c r="J127" i="17"/>
  <c r="I127" i="17"/>
  <c r="H127" i="18" s="1"/>
  <c r="I167" i="17"/>
  <c r="H167" i="18" s="1"/>
  <c r="J167" i="17"/>
  <c r="J50" i="17"/>
  <c r="I50" i="17"/>
  <c r="H50" i="18" s="1"/>
  <c r="I222" i="17"/>
  <c r="H222" i="18" s="1"/>
  <c r="J222" i="17"/>
  <c r="J263" i="17"/>
  <c r="I263" i="17"/>
  <c r="H263" i="18" s="1"/>
  <c r="I211" i="17"/>
  <c r="H211" i="18" s="1"/>
  <c r="J211" i="17"/>
  <c r="I69" i="17"/>
  <c r="H69" i="18" s="1"/>
  <c r="J69" i="17"/>
  <c r="J324" i="17"/>
  <c r="I324" i="17"/>
  <c r="H324" i="18" s="1"/>
  <c r="I288" i="17"/>
  <c r="H288" i="18" s="1"/>
  <c r="J288" i="17"/>
  <c r="I76" i="17"/>
  <c r="H76" i="18" s="1"/>
  <c r="J76" i="17"/>
  <c r="J49" i="17"/>
  <c r="I49" i="17"/>
  <c r="H49" i="18" s="1"/>
  <c r="I90" i="17"/>
  <c r="H90" i="18" s="1"/>
  <c r="J90" i="17"/>
  <c r="J178" i="17"/>
  <c r="I178" i="17"/>
  <c r="H178" i="18" s="1"/>
  <c r="J262" i="17"/>
  <c r="I262" i="17"/>
  <c r="H262" i="18" s="1"/>
  <c r="I114" i="17"/>
  <c r="H114" i="18" s="1"/>
  <c r="J114" i="17"/>
  <c r="I16" i="17"/>
  <c r="H16" i="18" s="1"/>
  <c r="J16" i="17"/>
  <c r="I82" i="17"/>
  <c r="H82" i="18" s="1"/>
  <c r="J82" i="17"/>
  <c r="I224" i="17"/>
  <c r="H224" i="18" s="1"/>
  <c r="J224" i="17"/>
  <c r="J73" i="17"/>
  <c r="I73" i="17"/>
  <c r="H73" i="18" s="1"/>
  <c r="J112" i="17"/>
  <c r="I112" i="17"/>
  <c r="H112" i="18" s="1"/>
  <c r="I375" i="17"/>
  <c r="H375" i="18" s="1"/>
  <c r="J375" i="17"/>
  <c r="I250" i="17"/>
  <c r="H250" i="18" s="1"/>
  <c r="J250" i="17"/>
  <c r="J163" i="17"/>
  <c r="I163" i="17"/>
  <c r="H163" i="18" s="1"/>
  <c r="I335" i="17"/>
  <c r="H335" i="18" s="1"/>
  <c r="J335" i="17"/>
  <c r="I186" i="17"/>
  <c r="H186" i="18" s="1"/>
  <c r="J186" i="17"/>
  <c r="J47" i="17"/>
  <c r="I47" i="17"/>
  <c r="H47" i="18" s="1"/>
  <c r="I341" i="17"/>
  <c r="H341" i="18" s="1"/>
  <c r="J341" i="17"/>
  <c r="J229" i="17"/>
  <c r="I229" i="17"/>
  <c r="H229" i="18" s="1"/>
  <c r="J66" i="17"/>
  <c r="I66" i="17"/>
  <c r="H66" i="18" s="1"/>
  <c r="J107" i="17"/>
  <c r="I107" i="17"/>
  <c r="H107" i="18" s="1"/>
  <c r="I355" i="17"/>
  <c r="H355" i="18" s="1"/>
  <c r="J355" i="17"/>
  <c r="I244" i="17"/>
  <c r="H244" i="18" s="1"/>
  <c r="J244" i="17"/>
  <c r="I25" i="17"/>
  <c r="H25" i="18" s="1"/>
  <c r="J25" i="17"/>
  <c r="I241" i="17"/>
  <c r="H241" i="18" s="1"/>
  <c r="J241" i="17"/>
  <c r="J187" i="17"/>
  <c r="I187" i="17"/>
  <c r="H187" i="18" s="1"/>
  <c r="I272" i="17"/>
  <c r="H272" i="18" s="1"/>
  <c r="J272" i="17"/>
  <c r="J354" i="17"/>
  <c r="I354" i="17"/>
  <c r="H354" i="18" s="1"/>
  <c r="I206" i="17"/>
  <c r="H206" i="18" s="1"/>
  <c r="J206" i="17"/>
  <c r="I291" i="17"/>
  <c r="H291" i="18" s="1"/>
  <c r="J291" i="17"/>
  <c r="J174" i="17"/>
  <c r="I174" i="17"/>
  <c r="H174" i="18" s="1"/>
  <c r="I239" i="17"/>
  <c r="H239" i="18" s="1"/>
  <c r="J239" i="17"/>
  <c r="I166" i="17"/>
  <c r="H166" i="18" s="1"/>
  <c r="J166" i="17"/>
  <c r="J279" i="17"/>
  <c r="I279" i="17"/>
  <c r="H279" i="18" s="1"/>
  <c r="J237" i="17"/>
  <c r="I237" i="17"/>
  <c r="H237" i="18" s="1"/>
  <c r="J99" i="17"/>
  <c r="I99" i="17"/>
  <c r="H99" i="18" s="1"/>
  <c r="I31" i="17"/>
  <c r="H31" i="18" s="1"/>
  <c r="J31" i="17"/>
  <c r="J101" i="17"/>
  <c r="I101" i="17"/>
  <c r="H101" i="18" s="1"/>
  <c r="I175" i="17"/>
  <c r="H175" i="18" s="1"/>
  <c r="J175" i="17"/>
  <c r="J210" i="17"/>
  <c r="I210" i="17"/>
  <c r="H210" i="18" s="1"/>
  <c r="I223" i="17"/>
  <c r="H223" i="18" s="1"/>
  <c r="J223" i="17"/>
  <c r="J92" i="17"/>
  <c r="I92" i="17"/>
  <c r="H92" i="18" s="1"/>
  <c r="J61" i="17"/>
  <c r="I61" i="17"/>
  <c r="H61" i="18" s="1"/>
  <c r="I327" i="17"/>
  <c r="H327" i="18" s="1"/>
  <c r="J327" i="17"/>
  <c r="J197" i="17"/>
  <c r="I197" i="17"/>
  <c r="H197" i="18" s="1"/>
  <c r="J217" i="17"/>
  <c r="I217" i="17"/>
  <c r="H217" i="18" s="1"/>
  <c r="I153" i="17"/>
  <c r="H153" i="18" s="1"/>
  <c r="J153" i="17"/>
  <c r="J126" i="17"/>
  <c r="I126" i="17"/>
  <c r="H126" i="18" s="1"/>
  <c r="I120" i="17"/>
  <c r="H120" i="18" s="1"/>
  <c r="J120" i="17"/>
  <c r="J246" i="17"/>
  <c r="I246" i="17"/>
  <c r="H246" i="18" s="1"/>
  <c r="J85" i="17"/>
  <c r="I85" i="17"/>
  <c r="H85" i="18" s="1"/>
  <c r="J23" i="17"/>
  <c r="I23" i="17"/>
  <c r="H23" i="18" s="1"/>
  <c r="I151" i="17"/>
  <c r="H151" i="18" s="1"/>
  <c r="J151" i="17"/>
  <c r="I74" i="17"/>
  <c r="H74" i="18" s="1"/>
  <c r="J74" i="17"/>
  <c r="I346" i="17"/>
  <c r="H346" i="18" s="1"/>
  <c r="J346" i="17"/>
  <c r="J108" i="17"/>
  <c r="I108" i="17"/>
  <c r="H108" i="18" s="1"/>
  <c r="I177" i="17"/>
  <c r="H177" i="18" s="1"/>
  <c r="J177" i="17"/>
  <c r="J24" i="17"/>
  <c r="I24" i="17"/>
  <c r="H24" i="18" s="1"/>
  <c r="I253" i="17"/>
  <c r="H253" i="18" s="1"/>
  <c r="J253" i="17"/>
  <c r="J195" i="17"/>
  <c r="I195" i="17"/>
  <c r="H195" i="18" s="1"/>
  <c r="J45" i="17"/>
  <c r="I45" i="17"/>
  <c r="H45" i="18" s="1"/>
  <c r="I249" i="17"/>
  <c r="H249" i="18" s="1"/>
  <c r="J249" i="17"/>
  <c r="J199" i="17"/>
  <c r="I199" i="17"/>
  <c r="H199" i="18" s="1"/>
  <c r="I70" i="17"/>
  <c r="H70" i="18" s="1"/>
  <c r="J70" i="17"/>
  <c r="J103" i="17"/>
  <c r="I103" i="17"/>
  <c r="H103" i="18" s="1"/>
  <c r="I294" i="17"/>
  <c r="H294" i="18" s="1"/>
  <c r="J294" i="17"/>
  <c r="I180" i="17"/>
  <c r="H180" i="18" s="1"/>
  <c r="J180" i="17"/>
  <c r="I339" i="17"/>
  <c r="H339" i="18" s="1"/>
  <c r="J339" i="17"/>
  <c r="J330" i="17"/>
  <c r="I330" i="17"/>
  <c r="H330" i="18" s="1"/>
  <c r="I285" i="17"/>
  <c r="H285" i="18" s="1"/>
  <c r="J285" i="17"/>
  <c r="J243" i="17"/>
  <c r="I243" i="17"/>
  <c r="H243" i="18" s="1"/>
  <c r="J234" i="17"/>
  <c r="I234" i="17"/>
  <c r="H234" i="18" s="1"/>
  <c r="J366" i="17"/>
  <c r="I366" i="17"/>
  <c r="H366" i="18" s="1"/>
  <c r="J172" i="17"/>
  <c r="I172" i="17"/>
  <c r="H172" i="18" s="1"/>
  <c r="J325" i="17"/>
  <c r="I325" i="17"/>
  <c r="H325" i="18" s="1"/>
  <c r="I149" i="17"/>
  <c r="H149" i="18" s="1"/>
  <c r="J149" i="17"/>
  <c r="I286" i="17"/>
  <c r="H286" i="18" s="1"/>
  <c r="J286" i="17"/>
  <c r="I181" i="17"/>
  <c r="H181" i="18" s="1"/>
  <c r="J181" i="17"/>
  <c r="J340" i="17"/>
  <c r="I340" i="17"/>
  <c r="H340" i="18" s="1"/>
  <c r="J43" i="17"/>
  <c r="I43" i="17"/>
  <c r="H43" i="18" s="1"/>
  <c r="J75" i="17"/>
  <c r="I75" i="17"/>
  <c r="H75" i="18" s="1"/>
  <c r="I348" i="17"/>
  <c r="H348" i="18" s="1"/>
  <c r="J348" i="17"/>
  <c r="I365" i="17"/>
  <c r="H365" i="18" s="1"/>
  <c r="J365" i="17"/>
  <c r="I129" i="17"/>
  <c r="H129" i="18" s="1"/>
  <c r="J129" i="17"/>
  <c r="I156" i="17"/>
  <c r="H156" i="18" s="1"/>
  <c r="J156" i="17"/>
  <c r="I254" i="17"/>
  <c r="H254" i="18" s="1"/>
  <c r="J254" i="17"/>
  <c r="J353" i="17"/>
  <c r="I353" i="17"/>
  <c r="H353" i="18" s="1"/>
  <c r="I256" i="17"/>
  <c r="H256" i="18" s="1"/>
  <c r="J256" i="17"/>
  <c r="J159" i="17"/>
  <c r="I159" i="17"/>
  <c r="H159" i="18" s="1"/>
  <c r="I173" i="17"/>
  <c r="H173" i="18" s="1"/>
  <c r="J173" i="17"/>
  <c r="I20" i="17"/>
  <c r="H20" i="18" s="1"/>
  <c r="J20" i="17"/>
  <c r="J62" i="17"/>
  <c r="I62" i="17"/>
  <c r="H62" i="18" s="1"/>
  <c r="I123" i="17"/>
  <c r="H123" i="18" s="1"/>
  <c r="J123" i="17"/>
  <c r="J18" i="17"/>
  <c r="I18" i="17"/>
  <c r="H18" i="18" s="1"/>
  <c r="J65" i="17"/>
  <c r="I65" i="17"/>
  <c r="H65" i="18" s="1"/>
  <c r="J278" i="17"/>
  <c r="I278" i="17"/>
  <c r="H278" i="18" s="1"/>
  <c r="I193" i="17"/>
  <c r="H193" i="18" s="1"/>
  <c r="J193" i="17"/>
  <c r="J304" i="17"/>
  <c r="I304" i="17"/>
  <c r="H304" i="18" s="1"/>
  <c r="I19" i="17"/>
  <c r="H19" i="18" s="1"/>
  <c r="J19" i="17"/>
  <c r="I124" i="17"/>
  <c r="H124" i="18" s="1"/>
  <c r="J124" i="17"/>
  <c r="I379" i="17"/>
  <c r="H379" i="18" s="1"/>
  <c r="J379" i="17"/>
  <c r="J83" i="17"/>
  <c r="I83" i="17"/>
  <c r="H83" i="18" s="1"/>
  <c r="J302" i="17"/>
  <c r="I302" i="17"/>
  <c r="H302" i="18" s="1"/>
  <c r="J192" i="17"/>
  <c r="I192" i="17"/>
  <c r="H192" i="18" s="1"/>
  <c r="G232" i="18"/>
  <c r="CA232" i="6" s="1"/>
  <c r="AA232" i="18"/>
  <c r="Z232" i="18" s="1"/>
  <c r="Y232" i="18" s="1"/>
  <c r="W232" i="22"/>
  <c r="D232" i="22"/>
  <c r="E232" i="22" s="1"/>
  <c r="F232" i="22" s="1"/>
  <c r="B232" i="23"/>
  <c r="G76" i="18"/>
  <c r="CA76" i="6" s="1"/>
  <c r="AA76" i="18"/>
  <c r="Z76" i="18" s="1"/>
  <c r="Y76" i="18" s="1"/>
  <c r="W76" i="22"/>
  <c r="D76" i="22"/>
  <c r="E76" i="22" s="1"/>
  <c r="F76" i="22" s="1"/>
  <c r="B76" i="23"/>
  <c r="G295" i="18"/>
  <c r="CA295" i="6" s="1"/>
  <c r="AA295" i="18"/>
  <c r="Z295" i="18" s="1"/>
  <c r="Y295" i="18" s="1"/>
  <c r="W295" i="22"/>
  <c r="D295" i="22"/>
  <c r="E295" i="22" s="1"/>
  <c r="F295" i="22" s="1"/>
  <c r="B295" i="23"/>
  <c r="G81" i="18"/>
  <c r="CA81" i="6" s="1"/>
  <c r="AA81" i="18"/>
  <c r="Z81" i="18" s="1"/>
  <c r="Y81" i="18" s="1"/>
  <c r="W81" i="22"/>
  <c r="D81" i="22"/>
  <c r="E81" i="22" s="1"/>
  <c r="F81" i="22" s="1"/>
  <c r="B81" i="23"/>
  <c r="G62" i="18"/>
  <c r="CA62" i="6" s="1"/>
  <c r="AA62" i="18"/>
  <c r="Z62" i="18" s="1"/>
  <c r="Y62" i="18" s="1"/>
  <c r="W62" i="22"/>
  <c r="D62" i="22"/>
  <c r="E62" i="22" s="1"/>
  <c r="F62" i="22" s="1"/>
  <c r="B62" i="23"/>
  <c r="G73" i="18"/>
  <c r="CA73" i="6" s="1"/>
  <c r="AA73" i="18"/>
  <c r="Z73" i="18" s="1"/>
  <c r="Y73" i="18" s="1"/>
  <c r="W73" i="22"/>
  <c r="D73" i="22"/>
  <c r="E73" i="22" s="1"/>
  <c r="F73" i="22" s="1"/>
  <c r="B73" i="23"/>
  <c r="G309" i="18"/>
  <c r="CA309" i="6" s="1"/>
  <c r="AA309" i="18"/>
  <c r="Z309" i="18" s="1"/>
  <c r="Y309" i="18" s="1"/>
  <c r="W309" i="22"/>
  <c r="D309" i="22"/>
  <c r="E309" i="22" s="1"/>
  <c r="F309" i="22" s="1"/>
  <c r="B309" i="23"/>
  <c r="G332" i="18"/>
  <c r="CA332" i="6" s="1"/>
  <c r="AA332" i="18"/>
  <c r="Z332" i="18" s="1"/>
  <c r="Y332" i="18" s="1"/>
  <c r="W332" i="22"/>
  <c r="D332" i="22"/>
  <c r="E332" i="22" s="1"/>
  <c r="F332" i="22" s="1"/>
  <c r="B332" i="23"/>
  <c r="G125" i="18"/>
  <c r="CA125" i="6" s="1"/>
  <c r="AA125" i="18"/>
  <c r="Z125" i="18" s="1"/>
  <c r="Y125" i="18" s="1"/>
  <c r="W125" i="22"/>
  <c r="D125" i="22"/>
  <c r="E125" i="22" s="1"/>
  <c r="F125" i="22" s="1"/>
  <c r="B125" i="23"/>
  <c r="G321" i="18"/>
  <c r="CA321" i="6" s="1"/>
  <c r="AA321" i="18"/>
  <c r="Z321" i="18" s="1"/>
  <c r="Y321" i="18" s="1"/>
  <c r="W321" i="22"/>
  <c r="D321" i="22"/>
  <c r="E321" i="22" s="1"/>
  <c r="F321" i="22" s="1"/>
  <c r="B321" i="23"/>
  <c r="G157" i="18"/>
  <c r="CA157" i="6" s="1"/>
  <c r="AA157" i="18"/>
  <c r="Z157" i="18" s="1"/>
  <c r="Y157" i="18" s="1"/>
  <c r="W157" i="22"/>
  <c r="D157" i="22"/>
  <c r="E157" i="22" s="1"/>
  <c r="F157" i="22" s="1"/>
  <c r="B157" i="23"/>
  <c r="G163" i="18"/>
  <c r="CA163" i="6" s="1"/>
  <c r="AA163" i="18"/>
  <c r="Z163" i="18" s="1"/>
  <c r="Y163" i="18" s="1"/>
  <c r="W163" i="22"/>
  <c r="D163" i="22"/>
  <c r="E163" i="22" s="1"/>
  <c r="F163" i="22" s="1"/>
  <c r="B163" i="23"/>
  <c r="G374" i="18"/>
  <c r="CA374" i="6" s="1"/>
  <c r="AA374" i="18"/>
  <c r="Z374" i="18" s="1"/>
  <c r="Y374" i="18" s="1"/>
  <c r="D374" i="22"/>
  <c r="E374" i="22" s="1"/>
  <c r="F374" i="22" s="1"/>
  <c r="W374" i="22"/>
  <c r="B374" i="23"/>
  <c r="G98" i="18"/>
  <c r="CA98" i="6" s="1"/>
  <c r="AA98" i="18"/>
  <c r="Z98" i="18" s="1"/>
  <c r="Y98" i="18" s="1"/>
  <c r="W98" i="22"/>
  <c r="D98" i="22"/>
  <c r="E98" i="22" s="1"/>
  <c r="F98" i="22" s="1"/>
  <c r="B98" i="23"/>
  <c r="G311" i="18"/>
  <c r="CA311" i="6" s="1"/>
  <c r="AA311" i="18"/>
  <c r="Z311" i="18" s="1"/>
  <c r="Y311" i="18" s="1"/>
  <c r="W311" i="22"/>
  <c r="D311" i="22"/>
  <c r="E311" i="22" s="1"/>
  <c r="F311" i="22" s="1"/>
  <c r="B311" i="23"/>
  <c r="G236" i="18"/>
  <c r="CA236" i="6" s="1"/>
  <c r="AA236" i="18"/>
  <c r="Z236" i="18" s="1"/>
  <c r="Y236" i="18" s="1"/>
  <c r="W236" i="22"/>
  <c r="D236" i="22"/>
  <c r="E236" i="22" s="1"/>
  <c r="F236" i="22" s="1"/>
  <c r="B236" i="23"/>
  <c r="G310" i="18"/>
  <c r="CA310" i="6" s="1"/>
  <c r="AA310" i="18"/>
  <c r="Z310" i="18" s="1"/>
  <c r="Y310" i="18" s="1"/>
  <c r="W310" i="22"/>
  <c r="D310" i="22"/>
  <c r="E310" i="22" s="1"/>
  <c r="F310" i="22" s="1"/>
  <c r="B310" i="23"/>
  <c r="G182" i="18"/>
  <c r="CA182" i="6" s="1"/>
  <c r="AA182" i="18"/>
  <c r="Z182" i="18" s="1"/>
  <c r="Y182" i="18" s="1"/>
  <c r="W182" i="22"/>
  <c r="D182" i="22"/>
  <c r="E182" i="22" s="1"/>
  <c r="F182" i="22" s="1"/>
  <c r="B182" i="23"/>
  <c r="G378" i="18"/>
  <c r="CA378" i="6" s="1"/>
  <c r="AA378" i="18"/>
  <c r="Z378" i="18" s="1"/>
  <c r="Y378" i="18" s="1"/>
  <c r="W378" i="22"/>
  <c r="D378" i="22"/>
  <c r="E378" i="22" s="1"/>
  <c r="F378" i="22" s="1"/>
  <c r="B378" i="23"/>
  <c r="G289" i="18"/>
  <c r="CA289" i="6" s="1"/>
  <c r="AA289" i="18"/>
  <c r="Z289" i="18" s="1"/>
  <c r="Y289" i="18" s="1"/>
  <c r="W289" i="22"/>
  <c r="D289" i="22"/>
  <c r="E289" i="22" s="1"/>
  <c r="F289" i="22" s="1"/>
  <c r="B289" i="23"/>
  <c r="G90" i="18"/>
  <c r="CA90" i="6" s="1"/>
  <c r="AA90" i="18"/>
  <c r="Z90" i="18" s="1"/>
  <c r="Y90" i="18" s="1"/>
  <c r="W90" i="22"/>
  <c r="D90" i="22"/>
  <c r="E90" i="22" s="1"/>
  <c r="F90" i="22" s="1"/>
  <c r="B90" i="23"/>
  <c r="G78" i="18"/>
  <c r="CA78" i="6" s="1"/>
  <c r="AA78" i="18"/>
  <c r="Z78" i="18" s="1"/>
  <c r="Y78" i="18" s="1"/>
  <c r="W78" i="22"/>
  <c r="D78" i="22"/>
  <c r="E78" i="22" s="1"/>
  <c r="F78" i="22" s="1"/>
  <c r="B78" i="23"/>
  <c r="G137" i="18"/>
  <c r="CA137" i="6" s="1"/>
  <c r="AA137" i="18"/>
  <c r="Z137" i="18" s="1"/>
  <c r="Y137" i="18" s="1"/>
  <c r="W137" i="22"/>
  <c r="D137" i="22"/>
  <c r="E137" i="22" s="1"/>
  <c r="F137" i="22" s="1"/>
  <c r="B137" i="23"/>
  <c r="G362" i="18"/>
  <c r="CA362" i="6" s="1"/>
  <c r="AA362" i="18"/>
  <c r="Z362" i="18" s="1"/>
  <c r="Y362" i="18" s="1"/>
  <c r="D362" i="22"/>
  <c r="E362" i="22" s="1"/>
  <c r="F362" i="22" s="1"/>
  <c r="W362" i="22"/>
  <c r="B362" i="23"/>
  <c r="G356" i="18"/>
  <c r="CA356" i="6" s="1"/>
  <c r="AA356" i="18"/>
  <c r="Z356" i="18" s="1"/>
  <c r="Y356" i="18" s="1"/>
  <c r="W356" i="22"/>
  <c r="D356" i="22"/>
  <c r="E356" i="22" s="1"/>
  <c r="F356" i="22" s="1"/>
  <c r="B356" i="23"/>
  <c r="G340" i="18"/>
  <c r="CA340" i="6" s="1"/>
  <c r="AA340" i="18"/>
  <c r="Z340" i="18" s="1"/>
  <c r="Y340" i="18" s="1"/>
  <c r="W340" i="22"/>
  <c r="D340" i="22"/>
  <c r="E340" i="22" s="1"/>
  <c r="F340" i="22" s="1"/>
  <c r="B340" i="23"/>
  <c r="G314" i="18"/>
  <c r="CA314" i="6" s="1"/>
  <c r="AA314" i="18"/>
  <c r="Z314" i="18" s="1"/>
  <c r="Y314" i="18" s="1"/>
  <c r="W314" i="22"/>
  <c r="D314" i="22"/>
  <c r="E314" i="22" s="1"/>
  <c r="F314" i="22" s="1"/>
  <c r="B314" i="23"/>
  <c r="G290" i="18"/>
  <c r="CA290" i="6" s="1"/>
  <c r="AA290" i="18"/>
  <c r="Z290" i="18" s="1"/>
  <c r="Y290" i="18" s="1"/>
  <c r="W290" i="22"/>
  <c r="D290" i="22"/>
  <c r="E290" i="22" s="1"/>
  <c r="F290" i="22" s="1"/>
  <c r="B290" i="23"/>
  <c r="G264" i="18"/>
  <c r="CA264" i="6" s="1"/>
  <c r="AA264" i="18"/>
  <c r="Z264" i="18" s="1"/>
  <c r="Y264" i="18" s="1"/>
  <c r="W264" i="22"/>
  <c r="D264" i="22"/>
  <c r="E264" i="22" s="1"/>
  <c r="F264" i="22" s="1"/>
  <c r="B264" i="23"/>
  <c r="G240" i="18"/>
  <c r="CA240" i="6" s="1"/>
  <c r="AA240" i="18"/>
  <c r="Z240" i="18" s="1"/>
  <c r="Y240" i="18" s="1"/>
  <c r="W240" i="22"/>
  <c r="D240" i="22"/>
  <c r="E240" i="22" s="1"/>
  <c r="F240" i="22" s="1"/>
  <c r="B240" i="23"/>
  <c r="G214" i="18"/>
  <c r="CA214" i="6" s="1"/>
  <c r="AA214" i="18"/>
  <c r="Z214" i="18" s="1"/>
  <c r="Y214" i="18" s="1"/>
  <c r="W214" i="22"/>
  <c r="D214" i="22"/>
  <c r="E214" i="22" s="1"/>
  <c r="F214" i="22" s="1"/>
  <c r="B214" i="23"/>
  <c r="G206" i="18"/>
  <c r="CA206" i="6" s="1"/>
  <c r="AA206" i="18"/>
  <c r="Z206" i="18" s="1"/>
  <c r="Y206" i="18" s="1"/>
  <c r="W206" i="22"/>
  <c r="D206" i="22"/>
  <c r="E206" i="22" s="1"/>
  <c r="F206" i="22" s="1"/>
  <c r="B206" i="23"/>
  <c r="G198" i="18"/>
  <c r="CA198" i="6" s="1"/>
  <c r="AA198" i="18"/>
  <c r="Z198" i="18" s="1"/>
  <c r="Y198" i="18" s="1"/>
  <c r="W198" i="22"/>
  <c r="D198" i="22"/>
  <c r="E198" i="22" s="1"/>
  <c r="F198" i="22" s="1"/>
  <c r="B198" i="23"/>
  <c r="W186" i="20"/>
  <c r="D186" i="20"/>
  <c r="E186" i="20" s="1"/>
  <c r="F186" i="20" s="1"/>
  <c r="B186" i="22"/>
  <c r="G162" i="18"/>
  <c r="CA162" i="6" s="1"/>
  <c r="AA162" i="18"/>
  <c r="Z162" i="18" s="1"/>
  <c r="Y162" i="18" s="1"/>
  <c r="W162" i="22"/>
  <c r="D162" i="22"/>
  <c r="E162" i="22" s="1"/>
  <c r="F162" i="22" s="1"/>
  <c r="B162" i="23"/>
  <c r="G156" i="18"/>
  <c r="CA156" i="6" s="1"/>
  <c r="AA156" i="18"/>
  <c r="Z156" i="18" s="1"/>
  <c r="Y156" i="18" s="1"/>
  <c r="W156" i="22"/>
  <c r="D156" i="22"/>
  <c r="E156" i="22" s="1"/>
  <c r="F156" i="22" s="1"/>
  <c r="B156" i="23"/>
  <c r="G102" i="18"/>
  <c r="CA102" i="6" s="1"/>
  <c r="AA102" i="18"/>
  <c r="Z102" i="18" s="1"/>
  <c r="Y102" i="18" s="1"/>
  <c r="H102" i="18"/>
  <c r="W102" i="22"/>
  <c r="D102" i="22"/>
  <c r="E102" i="22" s="1"/>
  <c r="F102" i="22" s="1"/>
  <c r="B102" i="23"/>
  <c r="G72" i="18"/>
  <c r="CA72" i="6" s="1"/>
  <c r="AA72" i="18"/>
  <c r="Z72" i="18" s="1"/>
  <c r="Y72" i="18" s="1"/>
  <c r="W72" i="22"/>
  <c r="D72" i="22"/>
  <c r="E72" i="22" s="1"/>
  <c r="F72" i="22" s="1"/>
  <c r="B72" i="23"/>
  <c r="G58" i="18"/>
  <c r="CA58" i="6" s="1"/>
  <c r="AA58" i="18"/>
  <c r="Z58" i="18" s="1"/>
  <c r="Y58" i="18" s="1"/>
  <c r="W58" i="22"/>
  <c r="D58" i="22"/>
  <c r="E58" i="22" s="1"/>
  <c r="F58" i="22" s="1"/>
  <c r="B58" i="23"/>
  <c r="G44" i="18"/>
  <c r="CA44" i="6" s="1"/>
  <c r="AA44" i="18"/>
  <c r="Z44" i="18" s="1"/>
  <c r="Y44" i="18" s="1"/>
  <c r="W44" i="22"/>
  <c r="D44" i="22"/>
  <c r="E44" i="22" s="1"/>
  <c r="F44" i="22" s="1"/>
  <c r="B44" i="23"/>
  <c r="G36" i="18"/>
  <c r="CA36" i="6" s="1"/>
  <c r="AA36" i="18"/>
  <c r="Z36" i="18" s="1"/>
  <c r="Y36" i="18" s="1"/>
  <c r="W36" i="22"/>
  <c r="D36" i="22"/>
  <c r="E36" i="22" s="1"/>
  <c r="F36" i="22" s="1"/>
  <c r="B36" i="23"/>
  <c r="G24" i="18"/>
  <c r="CA24" i="6" s="1"/>
  <c r="AA24" i="18"/>
  <c r="Z24" i="18" s="1"/>
  <c r="Y24" i="18" s="1"/>
  <c r="W24" i="22"/>
  <c r="D24" i="22"/>
  <c r="E24" i="22" s="1"/>
  <c r="F24" i="22" s="1"/>
  <c r="B24" i="23"/>
  <c r="G355" i="18"/>
  <c r="CA355" i="6" s="1"/>
  <c r="AA355" i="18"/>
  <c r="Z355" i="18" s="1"/>
  <c r="Y355" i="18" s="1"/>
  <c r="W355" i="22"/>
  <c r="D355" i="22"/>
  <c r="E355" i="22" s="1"/>
  <c r="F355" i="22" s="1"/>
  <c r="B355" i="23"/>
  <c r="G345" i="18"/>
  <c r="CA345" i="6" s="1"/>
  <c r="AA345" i="18"/>
  <c r="Z345" i="18" s="1"/>
  <c r="Y345" i="18" s="1"/>
  <c r="W345" i="22"/>
  <c r="D345" i="22"/>
  <c r="E345" i="22" s="1"/>
  <c r="F345" i="22" s="1"/>
  <c r="B345" i="23"/>
  <c r="G329" i="18"/>
  <c r="CA329" i="6" s="1"/>
  <c r="AA329" i="18"/>
  <c r="Z329" i="18" s="1"/>
  <c r="Y329" i="18" s="1"/>
  <c r="W329" i="22"/>
  <c r="D329" i="22"/>
  <c r="E329" i="22" s="1"/>
  <c r="F329" i="22" s="1"/>
  <c r="B329" i="23"/>
  <c r="G297" i="18"/>
  <c r="CA297" i="6" s="1"/>
  <c r="AA297" i="18"/>
  <c r="Z297" i="18" s="1"/>
  <c r="Y297" i="18" s="1"/>
  <c r="W297" i="22"/>
  <c r="D297" i="22"/>
  <c r="E297" i="22" s="1"/>
  <c r="F297" i="22" s="1"/>
  <c r="B297" i="23"/>
  <c r="G243" i="18"/>
  <c r="CA243" i="6" s="1"/>
  <c r="AA243" i="18"/>
  <c r="Z243" i="18" s="1"/>
  <c r="Y243" i="18" s="1"/>
  <c r="W243" i="22"/>
  <c r="D243" i="22"/>
  <c r="E243" i="22" s="1"/>
  <c r="F243" i="22" s="1"/>
  <c r="B243" i="23"/>
  <c r="G237" i="18"/>
  <c r="CA237" i="6" s="1"/>
  <c r="AA237" i="18"/>
  <c r="Z237" i="18" s="1"/>
  <c r="Y237" i="18" s="1"/>
  <c r="W237" i="22"/>
  <c r="D237" i="22"/>
  <c r="E237" i="22" s="1"/>
  <c r="F237" i="22" s="1"/>
  <c r="B237" i="23"/>
  <c r="G217" i="18"/>
  <c r="CA217" i="6" s="1"/>
  <c r="AA217" i="18"/>
  <c r="Z217" i="18" s="1"/>
  <c r="Y217" i="18" s="1"/>
  <c r="W217" i="22"/>
  <c r="D217" i="22"/>
  <c r="E217" i="22" s="1"/>
  <c r="F217" i="22" s="1"/>
  <c r="B217" i="23"/>
  <c r="G199" i="18"/>
  <c r="CA199" i="6" s="1"/>
  <c r="AA199" i="18"/>
  <c r="Z199" i="18" s="1"/>
  <c r="Y199" i="18" s="1"/>
  <c r="W199" i="22"/>
  <c r="D199" i="22"/>
  <c r="E199" i="22" s="1"/>
  <c r="F199" i="22" s="1"/>
  <c r="B199" i="23"/>
  <c r="G133" i="18"/>
  <c r="CA133" i="6" s="1"/>
  <c r="AA133" i="18"/>
  <c r="Z133" i="18" s="1"/>
  <c r="Y133" i="18" s="1"/>
  <c r="W133" i="22"/>
  <c r="D133" i="22"/>
  <c r="E133" i="22" s="1"/>
  <c r="F133" i="22" s="1"/>
  <c r="B133" i="23"/>
  <c r="G121" i="18"/>
  <c r="CA121" i="6" s="1"/>
  <c r="AA121" i="18"/>
  <c r="Z121" i="18" s="1"/>
  <c r="Y121" i="18" s="1"/>
  <c r="W121" i="22"/>
  <c r="D121" i="22"/>
  <c r="E121" i="22" s="1"/>
  <c r="F121" i="22" s="1"/>
  <c r="B121" i="23"/>
  <c r="G115" i="18"/>
  <c r="CA115" i="6" s="1"/>
  <c r="AA115" i="18"/>
  <c r="Z115" i="18" s="1"/>
  <c r="Y115" i="18" s="1"/>
  <c r="W115" i="22"/>
  <c r="D115" i="22"/>
  <c r="E115" i="22" s="1"/>
  <c r="F115" i="22" s="1"/>
  <c r="B115" i="23"/>
  <c r="G109" i="18"/>
  <c r="CA109" i="6" s="1"/>
  <c r="AA109" i="18"/>
  <c r="Z109" i="18" s="1"/>
  <c r="Y109" i="18" s="1"/>
  <c r="W109" i="22"/>
  <c r="D109" i="22"/>
  <c r="E109" i="22" s="1"/>
  <c r="F109" i="22" s="1"/>
  <c r="B109" i="23"/>
  <c r="G85" i="18"/>
  <c r="CA85" i="6" s="1"/>
  <c r="AA85" i="18"/>
  <c r="Z85" i="18" s="1"/>
  <c r="Y85" i="18" s="1"/>
  <c r="W85" i="22"/>
  <c r="D85" i="22"/>
  <c r="E85" i="22" s="1"/>
  <c r="F85" i="22" s="1"/>
  <c r="B85" i="23"/>
  <c r="G51" i="18"/>
  <c r="CA51" i="6" s="1"/>
  <c r="AA51" i="18"/>
  <c r="Z51" i="18" s="1"/>
  <c r="Y51" i="18" s="1"/>
  <c r="W51" i="22"/>
  <c r="D51" i="22"/>
  <c r="E51" i="22" s="1"/>
  <c r="F51" i="22" s="1"/>
  <c r="B51" i="23"/>
  <c r="G25" i="18"/>
  <c r="CA25" i="6" s="1"/>
  <c r="AA25" i="18"/>
  <c r="Z25" i="18" s="1"/>
  <c r="Y25" i="18" s="1"/>
  <c r="W25" i="22"/>
  <c r="D25" i="22"/>
  <c r="E25" i="22" s="1"/>
  <c r="F25" i="22" s="1"/>
  <c r="B25" i="23"/>
  <c r="G370" i="18"/>
  <c r="CA370" i="6" s="1"/>
  <c r="AA370" i="18"/>
  <c r="Z370" i="18" s="1"/>
  <c r="Y370" i="18" s="1"/>
  <c r="W370" i="22"/>
  <c r="D370" i="22"/>
  <c r="E370" i="22" s="1"/>
  <c r="F370" i="22" s="1"/>
  <c r="B370" i="23"/>
  <c r="G360" i="18"/>
  <c r="CA360" i="6" s="1"/>
  <c r="AA360" i="18"/>
  <c r="Z360" i="18" s="1"/>
  <c r="Y360" i="18" s="1"/>
  <c r="W360" i="22"/>
  <c r="D360" i="22"/>
  <c r="E360" i="22" s="1"/>
  <c r="F360" i="22" s="1"/>
  <c r="B360" i="23"/>
  <c r="G344" i="18"/>
  <c r="CA344" i="6" s="1"/>
  <c r="AA344" i="18"/>
  <c r="Z344" i="18" s="1"/>
  <c r="Y344" i="18" s="1"/>
  <c r="W344" i="22"/>
  <c r="D344" i="22"/>
  <c r="E344" i="22" s="1"/>
  <c r="F344" i="22" s="1"/>
  <c r="B344" i="23"/>
  <c r="G324" i="18"/>
  <c r="CA324" i="6" s="1"/>
  <c r="AA324" i="18"/>
  <c r="Z324" i="18" s="1"/>
  <c r="Y324" i="18" s="1"/>
  <c r="W324" i="22"/>
  <c r="D324" i="22"/>
  <c r="E324" i="22" s="1"/>
  <c r="F324" i="22" s="1"/>
  <c r="B324" i="23"/>
  <c r="G304" i="18"/>
  <c r="CA304" i="6" s="1"/>
  <c r="AA304" i="18"/>
  <c r="Z304" i="18" s="1"/>
  <c r="Y304" i="18" s="1"/>
  <c r="W304" i="22"/>
  <c r="D304" i="22"/>
  <c r="E304" i="22" s="1"/>
  <c r="F304" i="22" s="1"/>
  <c r="B304" i="23"/>
  <c r="G280" i="18"/>
  <c r="CA280" i="6" s="1"/>
  <c r="AA280" i="18"/>
  <c r="Z280" i="18" s="1"/>
  <c r="Y280" i="18" s="1"/>
  <c r="W280" i="22"/>
  <c r="D280" i="22"/>
  <c r="E280" i="22" s="1"/>
  <c r="F280" i="22" s="1"/>
  <c r="B280" i="23"/>
  <c r="G262" i="18"/>
  <c r="CA262" i="6" s="1"/>
  <c r="AA262" i="18"/>
  <c r="Z262" i="18" s="1"/>
  <c r="Y262" i="18" s="1"/>
  <c r="D262" i="22"/>
  <c r="E262" i="22" s="1"/>
  <c r="F262" i="22" s="1"/>
  <c r="W262" i="22"/>
  <c r="B262" i="23"/>
  <c r="G238" i="18"/>
  <c r="CA238" i="6" s="1"/>
  <c r="AA238" i="18"/>
  <c r="Z238" i="18" s="1"/>
  <c r="Y238" i="18" s="1"/>
  <c r="W238" i="22"/>
  <c r="D238" i="22"/>
  <c r="E238" i="22" s="1"/>
  <c r="F238" i="22" s="1"/>
  <c r="B238" i="23"/>
  <c r="G202" i="18"/>
  <c r="CA202" i="6" s="1"/>
  <c r="AA202" i="18"/>
  <c r="Z202" i="18" s="1"/>
  <c r="Y202" i="18" s="1"/>
  <c r="W202" i="22"/>
  <c r="D202" i="22"/>
  <c r="E202" i="22" s="1"/>
  <c r="F202" i="22" s="1"/>
  <c r="B202" i="23"/>
  <c r="G172" i="18"/>
  <c r="CA172" i="6" s="1"/>
  <c r="AA172" i="18"/>
  <c r="Z172" i="18" s="1"/>
  <c r="Y172" i="18" s="1"/>
  <c r="W172" i="22"/>
  <c r="D172" i="22"/>
  <c r="E172" i="22" s="1"/>
  <c r="F172" i="22" s="1"/>
  <c r="B172" i="23"/>
  <c r="G138" i="18"/>
  <c r="CA138" i="6" s="1"/>
  <c r="AA138" i="18"/>
  <c r="Z138" i="18" s="1"/>
  <c r="Y138" i="18" s="1"/>
  <c r="W138" i="22"/>
  <c r="D138" i="22"/>
  <c r="E138" i="22" s="1"/>
  <c r="F138" i="22" s="1"/>
  <c r="B138" i="23"/>
  <c r="G122" i="18"/>
  <c r="CA122" i="6" s="1"/>
  <c r="AA122" i="18"/>
  <c r="Z122" i="18" s="1"/>
  <c r="Y122" i="18" s="1"/>
  <c r="W122" i="22"/>
  <c r="D122" i="22"/>
  <c r="E122" i="22" s="1"/>
  <c r="F122" i="22" s="1"/>
  <c r="B122" i="23"/>
  <c r="G28" i="18"/>
  <c r="CA28" i="6" s="1"/>
  <c r="AA28" i="18"/>
  <c r="Z28" i="18" s="1"/>
  <c r="Y28" i="18" s="1"/>
  <c r="W28" i="22"/>
  <c r="D28" i="22"/>
  <c r="E28" i="22" s="1"/>
  <c r="F28" i="22" s="1"/>
  <c r="B28" i="23"/>
  <c r="G18" i="18"/>
  <c r="CA18" i="6" s="1"/>
  <c r="AA18" i="18"/>
  <c r="Z18" i="18" s="1"/>
  <c r="Y18" i="18" s="1"/>
  <c r="W18" i="22"/>
  <c r="D18" i="22"/>
  <c r="E18" i="22" s="1"/>
  <c r="F18" i="22" s="1"/>
  <c r="B18" i="23"/>
  <c r="G288" i="18"/>
  <c r="CA288" i="6" s="1"/>
  <c r="AA288" i="18"/>
  <c r="Z288" i="18" s="1"/>
  <c r="Y288" i="18" s="1"/>
  <c r="W288" i="22"/>
  <c r="D288" i="22"/>
  <c r="E288" i="22" s="1"/>
  <c r="F288" i="22" s="1"/>
  <c r="B288" i="23"/>
  <c r="G262" i="20"/>
  <c r="CB262" i="6" s="1"/>
  <c r="AA262" i="20"/>
  <c r="Z262" i="20" s="1"/>
  <c r="Y262" i="20" s="1"/>
  <c r="G359" i="18"/>
  <c r="CA359" i="6" s="1"/>
  <c r="AA359" i="18"/>
  <c r="Z359" i="18" s="1"/>
  <c r="Y359" i="18" s="1"/>
  <c r="W357" i="22"/>
  <c r="D357" i="22"/>
  <c r="E357" i="22" s="1"/>
  <c r="F357" i="22" s="1"/>
  <c r="B357" i="23"/>
  <c r="G313" i="18"/>
  <c r="CA313" i="6" s="1"/>
  <c r="AA313" i="18"/>
  <c r="Z313" i="18" s="1"/>
  <c r="Y313" i="18" s="1"/>
  <c r="W307" i="22"/>
  <c r="D307" i="22"/>
  <c r="E307" i="22" s="1"/>
  <c r="F307" i="22" s="1"/>
  <c r="B307" i="23"/>
  <c r="G269" i="18"/>
  <c r="CA269" i="6" s="1"/>
  <c r="AA269" i="18"/>
  <c r="Z269" i="18" s="1"/>
  <c r="Y269" i="18" s="1"/>
  <c r="W267" i="22"/>
  <c r="D267" i="22"/>
  <c r="E267" i="22" s="1"/>
  <c r="F267" i="22" s="1"/>
  <c r="B267" i="23"/>
  <c r="G231" i="18"/>
  <c r="CA231" i="6" s="1"/>
  <c r="AA231" i="18"/>
  <c r="Z231" i="18" s="1"/>
  <c r="Y231" i="18" s="1"/>
  <c r="W223" i="22"/>
  <c r="D223" i="22"/>
  <c r="E223" i="22" s="1"/>
  <c r="F223" i="22" s="1"/>
  <c r="B223" i="23"/>
  <c r="G223" i="20"/>
  <c r="CB223" i="6" s="1"/>
  <c r="AA223" i="20"/>
  <c r="Z223" i="20" s="1"/>
  <c r="Y223" i="20" s="1"/>
  <c r="G193" i="18"/>
  <c r="CA193" i="6" s="1"/>
  <c r="AA193" i="18"/>
  <c r="Z193" i="18" s="1"/>
  <c r="Y193" i="18" s="1"/>
  <c r="D191" i="22"/>
  <c r="E191" i="22" s="1"/>
  <c r="F191" i="22" s="1"/>
  <c r="W191" i="22"/>
  <c r="B191" i="23"/>
  <c r="G151" i="18"/>
  <c r="CA151" i="6" s="1"/>
  <c r="AA151" i="18"/>
  <c r="Z151" i="18" s="1"/>
  <c r="Y151" i="18" s="1"/>
  <c r="W143" i="22"/>
  <c r="D143" i="22"/>
  <c r="E143" i="22" s="1"/>
  <c r="F143" i="22" s="1"/>
  <c r="B143" i="23"/>
  <c r="G107" i="18"/>
  <c r="CA107" i="6" s="1"/>
  <c r="AA107" i="18"/>
  <c r="Z107" i="18" s="1"/>
  <c r="Y107" i="18" s="1"/>
  <c r="W65" i="22"/>
  <c r="D65" i="22"/>
  <c r="E65" i="22" s="1"/>
  <c r="F65" i="22" s="1"/>
  <c r="B65" i="23"/>
  <c r="G39" i="18"/>
  <c r="CA39" i="6" s="1"/>
  <c r="AA39" i="18"/>
  <c r="Z39" i="18" s="1"/>
  <c r="Y39" i="18" s="1"/>
  <c r="W372" i="22"/>
  <c r="D372" i="22"/>
  <c r="E372" i="22" s="1"/>
  <c r="F372" i="22" s="1"/>
  <c r="B372" i="23"/>
  <c r="G334" i="18"/>
  <c r="CA334" i="6" s="1"/>
  <c r="AA334" i="18"/>
  <c r="Z334" i="18" s="1"/>
  <c r="Y334" i="18" s="1"/>
  <c r="W326" i="20"/>
  <c r="D326" i="20"/>
  <c r="E326" i="20" s="1"/>
  <c r="F326" i="20" s="1"/>
  <c r="B326" i="22"/>
  <c r="G294" i="18"/>
  <c r="CA294" i="6" s="1"/>
  <c r="AA294" i="18"/>
  <c r="Z294" i="18" s="1"/>
  <c r="Y294" i="18" s="1"/>
  <c r="W250" i="20"/>
  <c r="D250" i="20"/>
  <c r="E250" i="20" s="1"/>
  <c r="F250" i="20" s="1"/>
  <c r="B250" i="22"/>
  <c r="G192" i="18"/>
  <c r="CA192" i="6" s="1"/>
  <c r="AA192" i="18"/>
  <c r="Z192" i="18" s="1"/>
  <c r="Y192" i="18" s="1"/>
  <c r="W188" i="20"/>
  <c r="D188" i="20"/>
  <c r="E188" i="20" s="1"/>
  <c r="F188" i="20" s="1"/>
  <c r="B188" i="22"/>
  <c r="G142" i="18"/>
  <c r="CA142" i="6" s="1"/>
  <c r="AA142" i="18"/>
  <c r="Z142" i="18" s="1"/>
  <c r="Y142" i="18" s="1"/>
  <c r="W126" i="20"/>
  <c r="D126" i="20"/>
  <c r="E126" i="20" s="1"/>
  <c r="F126" i="20" s="1"/>
  <c r="B126" i="22"/>
  <c r="G108" i="18"/>
  <c r="CA108" i="6" s="1"/>
  <c r="AA108" i="18"/>
  <c r="Z108" i="18" s="1"/>
  <c r="Y108" i="18" s="1"/>
  <c r="W96" i="20"/>
  <c r="D96" i="20"/>
  <c r="E96" i="20" s="1"/>
  <c r="F96" i="20" s="1"/>
  <c r="B96" i="22"/>
  <c r="W86" i="20"/>
  <c r="D86" i="20"/>
  <c r="E86" i="20" s="1"/>
  <c r="F86" i="20" s="1"/>
  <c r="B86" i="22"/>
  <c r="W34" i="20"/>
  <c r="D34" i="20"/>
  <c r="E34" i="20" s="1"/>
  <c r="F34" i="20" s="1"/>
  <c r="B34" i="22"/>
  <c r="W341" i="20"/>
  <c r="D341" i="20"/>
  <c r="E341" i="20" s="1"/>
  <c r="F341" i="20" s="1"/>
  <c r="B341" i="22"/>
  <c r="W327" i="20"/>
  <c r="D327" i="20"/>
  <c r="E327" i="20" s="1"/>
  <c r="F327" i="20" s="1"/>
  <c r="B327" i="22"/>
  <c r="W293" i="20"/>
  <c r="D293" i="20"/>
  <c r="E293" i="20" s="1"/>
  <c r="F293" i="20" s="1"/>
  <c r="B293" i="22"/>
  <c r="W285" i="20"/>
  <c r="D285" i="20"/>
  <c r="E285" i="20" s="1"/>
  <c r="F285" i="20" s="1"/>
  <c r="B285" i="22"/>
  <c r="W259" i="20"/>
  <c r="D259" i="20"/>
  <c r="E259" i="20" s="1"/>
  <c r="F259" i="20" s="1"/>
  <c r="B259" i="22"/>
  <c r="G221" i="18"/>
  <c r="CA221" i="6" s="1"/>
  <c r="AA221" i="18"/>
  <c r="Z221" i="18" s="1"/>
  <c r="Y221" i="18" s="1"/>
  <c r="W221" i="22"/>
  <c r="D221" i="22"/>
  <c r="E221" i="22" s="1"/>
  <c r="F221" i="22" s="1"/>
  <c r="B221" i="23"/>
  <c r="G209" i="18"/>
  <c r="CA209" i="6" s="1"/>
  <c r="AA209" i="18"/>
  <c r="Z209" i="18" s="1"/>
  <c r="Y209" i="18" s="1"/>
  <c r="W209" i="22"/>
  <c r="D209" i="22"/>
  <c r="E209" i="22" s="1"/>
  <c r="F209" i="22" s="1"/>
  <c r="B209" i="23"/>
  <c r="G195" i="18"/>
  <c r="CA195" i="6" s="1"/>
  <c r="AA195" i="18"/>
  <c r="Z195" i="18" s="1"/>
  <c r="Y195" i="18" s="1"/>
  <c r="W195" i="22"/>
  <c r="D195" i="22"/>
  <c r="E195" i="22" s="1"/>
  <c r="F195" i="22" s="1"/>
  <c r="B195" i="23"/>
  <c r="G147" i="18"/>
  <c r="CA147" i="6" s="1"/>
  <c r="AA147" i="18"/>
  <c r="Z147" i="18" s="1"/>
  <c r="Y147" i="18" s="1"/>
  <c r="W147" i="22"/>
  <c r="D147" i="22"/>
  <c r="E147" i="22" s="1"/>
  <c r="F147" i="22" s="1"/>
  <c r="B147" i="23"/>
  <c r="G131" i="18"/>
  <c r="CA131" i="6" s="1"/>
  <c r="AA131" i="18"/>
  <c r="Z131" i="18" s="1"/>
  <c r="Y131" i="18" s="1"/>
  <c r="W131" i="22"/>
  <c r="D131" i="22"/>
  <c r="E131" i="22" s="1"/>
  <c r="F131" i="22" s="1"/>
  <c r="B131" i="23"/>
  <c r="G93" i="18"/>
  <c r="CA93" i="6" s="1"/>
  <c r="AA93" i="18"/>
  <c r="Z93" i="18" s="1"/>
  <c r="Y93" i="18" s="1"/>
  <c r="W93" i="22"/>
  <c r="D93" i="22"/>
  <c r="E93" i="22" s="1"/>
  <c r="F93" i="22" s="1"/>
  <c r="B93" i="23"/>
  <c r="G79" i="18"/>
  <c r="CA79" i="6" s="1"/>
  <c r="AA79" i="18"/>
  <c r="Z79" i="18" s="1"/>
  <c r="Y79" i="18" s="1"/>
  <c r="D79" i="22"/>
  <c r="E79" i="22" s="1"/>
  <c r="F79" i="22" s="1"/>
  <c r="W79" i="22"/>
  <c r="B79" i="23"/>
  <c r="G69" i="18"/>
  <c r="CA69" i="6" s="1"/>
  <c r="AA69" i="18"/>
  <c r="Z69" i="18" s="1"/>
  <c r="Y69" i="18" s="1"/>
  <c r="W69" i="22"/>
  <c r="D69" i="22"/>
  <c r="E69" i="22" s="1"/>
  <c r="F69" i="22" s="1"/>
  <c r="B69" i="23"/>
  <c r="G47" i="18"/>
  <c r="CA47" i="6" s="1"/>
  <c r="AA47" i="18"/>
  <c r="Z47" i="18" s="1"/>
  <c r="Y47" i="18" s="1"/>
  <c r="W47" i="22"/>
  <c r="D47" i="22"/>
  <c r="E47" i="22" s="1"/>
  <c r="F47" i="22" s="1"/>
  <c r="B47" i="23"/>
  <c r="G33" i="18"/>
  <c r="CA33" i="6" s="1"/>
  <c r="AA33" i="18"/>
  <c r="Z33" i="18" s="1"/>
  <c r="Y33" i="18" s="1"/>
  <c r="W33" i="22"/>
  <c r="D33" i="22"/>
  <c r="E33" i="22" s="1"/>
  <c r="F33" i="22" s="1"/>
  <c r="B33" i="23"/>
  <c r="W23" i="20"/>
  <c r="D23" i="20"/>
  <c r="E23" i="20" s="1"/>
  <c r="F23" i="20" s="1"/>
  <c r="B23" i="22"/>
  <c r="W258" i="20"/>
  <c r="D258" i="20"/>
  <c r="E258" i="20" s="1"/>
  <c r="F258" i="20" s="1"/>
  <c r="B258" i="22"/>
  <c r="G336" i="18"/>
  <c r="CA336" i="6" s="1"/>
  <c r="AA336" i="18"/>
  <c r="Z336" i="18" s="1"/>
  <c r="Y336" i="18" s="1"/>
  <c r="W336" i="22"/>
  <c r="D336" i="22"/>
  <c r="E336" i="22" s="1"/>
  <c r="F336" i="22" s="1"/>
  <c r="B336" i="23"/>
  <c r="G320" i="18"/>
  <c r="CA320" i="6" s="1"/>
  <c r="AA320" i="18"/>
  <c r="Z320" i="18" s="1"/>
  <c r="Y320" i="18" s="1"/>
  <c r="W320" i="22"/>
  <c r="D320" i="22"/>
  <c r="E320" i="22" s="1"/>
  <c r="F320" i="22" s="1"/>
  <c r="B320" i="23"/>
  <c r="G308" i="18"/>
  <c r="CA308" i="6" s="1"/>
  <c r="AA308" i="18"/>
  <c r="Z308" i="18" s="1"/>
  <c r="Y308" i="18" s="1"/>
  <c r="W308" i="22"/>
  <c r="D308" i="22"/>
  <c r="E308" i="22" s="1"/>
  <c r="F308" i="22" s="1"/>
  <c r="B308" i="23"/>
  <c r="G276" i="18"/>
  <c r="CA276" i="6" s="1"/>
  <c r="AA276" i="18"/>
  <c r="Z276" i="18" s="1"/>
  <c r="Y276" i="18" s="1"/>
  <c r="W276" i="22"/>
  <c r="D276" i="22"/>
  <c r="E276" i="22" s="1"/>
  <c r="F276" i="22" s="1"/>
  <c r="B276" i="23"/>
  <c r="G270" i="18"/>
  <c r="CA270" i="6" s="1"/>
  <c r="AA270" i="18"/>
  <c r="Z270" i="18" s="1"/>
  <c r="Y270" i="18" s="1"/>
  <c r="W270" i="22"/>
  <c r="D270" i="22"/>
  <c r="E270" i="22" s="1"/>
  <c r="F270" i="22" s="1"/>
  <c r="B270" i="23"/>
  <c r="G260" i="18"/>
  <c r="CA260" i="6" s="1"/>
  <c r="AA260" i="18"/>
  <c r="Z260" i="18" s="1"/>
  <c r="Y260" i="18" s="1"/>
  <c r="W260" i="22"/>
  <c r="D260" i="22"/>
  <c r="E260" i="22" s="1"/>
  <c r="F260" i="22" s="1"/>
  <c r="B260" i="23"/>
  <c r="G246" i="18"/>
  <c r="CA246" i="6" s="1"/>
  <c r="AA246" i="18"/>
  <c r="Z246" i="18" s="1"/>
  <c r="Y246" i="18" s="1"/>
  <c r="W246" i="22"/>
  <c r="D246" i="22"/>
  <c r="E246" i="22" s="1"/>
  <c r="F246" i="22" s="1"/>
  <c r="B246" i="23"/>
  <c r="G220" i="18"/>
  <c r="CA220" i="6" s="1"/>
  <c r="AA220" i="18"/>
  <c r="Z220" i="18" s="1"/>
  <c r="Y220" i="18" s="1"/>
  <c r="W220" i="22"/>
  <c r="D220" i="22"/>
  <c r="E220" i="22" s="1"/>
  <c r="F220" i="22" s="1"/>
  <c r="B220" i="23"/>
  <c r="G176" i="18"/>
  <c r="CA176" i="6" s="1"/>
  <c r="AA176" i="18"/>
  <c r="Z176" i="18" s="1"/>
  <c r="Y176" i="18" s="1"/>
  <c r="W176" i="22"/>
  <c r="D176" i="22"/>
  <c r="E176" i="22" s="1"/>
  <c r="F176" i="22" s="1"/>
  <c r="B176" i="23"/>
  <c r="G140" i="18"/>
  <c r="CA140" i="6" s="1"/>
  <c r="AA140" i="18"/>
  <c r="Z140" i="18" s="1"/>
  <c r="Y140" i="18" s="1"/>
  <c r="W140" i="22"/>
  <c r="D140" i="22"/>
  <c r="E140" i="22" s="1"/>
  <c r="F140" i="22" s="1"/>
  <c r="B140" i="23"/>
  <c r="G128" i="18"/>
  <c r="CA128" i="6" s="1"/>
  <c r="AA128" i="18"/>
  <c r="Z128" i="18" s="1"/>
  <c r="Y128" i="18" s="1"/>
  <c r="W128" i="22"/>
  <c r="D128" i="22"/>
  <c r="E128" i="22" s="1"/>
  <c r="F128" i="22" s="1"/>
  <c r="B128" i="23"/>
  <c r="G110" i="18"/>
  <c r="CA110" i="6" s="1"/>
  <c r="AA110" i="18"/>
  <c r="Z110" i="18" s="1"/>
  <c r="Y110" i="18" s="1"/>
  <c r="W110" i="22"/>
  <c r="D110" i="22"/>
  <c r="E110" i="22" s="1"/>
  <c r="F110" i="22" s="1"/>
  <c r="B110" i="23"/>
  <c r="G104" i="18"/>
  <c r="CA104" i="6" s="1"/>
  <c r="AA104" i="18"/>
  <c r="Z104" i="18" s="1"/>
  <c r="Y104" i="18" s="1"/>
  <c r="W104" i="22"/>
  <c r="D104" i="22"/>
  <c r="E104" i="22" s="1"/>
  <c r="F104" i="22" s="1"/>
  <c r="B104" i="23"/>
  <c r="G84" i="18"/>
  <c r="CA84" i="6" s="1"/>
  <c r="AA84" i="18"/>
  <c r="Z84" i="18" s="1"/>
  <c r="Y84" i="18" s="1"/>
  <c r="W84" i="22"/>
  <c r="D84" i="22"/>
  <c r="E84" i="22" s="1"/>
  <c r="F84" i="22" s="1"/>
  <c r="B84" i="23"/>
  <c r="G56" i="18"/>
  <c r="CA56" i="6" s="1"/>
  <c r="AA56" i="18"/>
  <c r="Z56" i="18" s="1"/>
  <c r="Y56" i="18" s="1"/>
  <c r="W56" i="22"/>
  <c r="D56" i="22"/>
  <c r="E56" i="22" s="1"/>
  <c r="F56" i="22" s="1"/>
  <c r="B56" i="23"/>
  <c r="G42" i="18"/>
  <c r="CA42" i="6" s="1"/>
  <c r="AA42" i="18"/>
  <c r="Z42" i="18" s="1"/>
  <c r="Y42" i="18" s="1"/>
  <c r="W42" i="22"/>
  <c r="D42" i="22"/>
  <c r="E42" i="22" s="1"/>
  <c r="F42" i="22" s="1"/>
  <c r="B42" i="23"/>
  <c r="G253" i="18"/>
  <c r="CA253" i="6" s="1"/>
  <c r="AA253" i="18"/>
  <c r="Z253" i="18" s="1"/>
  <c r="Y253" i="18" s="1"/>
  <c r="G116" i="20"/>
  <c r="CB116" i="6" s="1"/>
  <c r="AA116" i="20"/>
  <c r="Z116" i="20" s="1"/>
  <c r="Y116" i="20" s="1"/>
  <c r="G244" i="18"/>
  <c r="CA244" i="6" s="1"/>
  <c r="AA244" i="18"/>
  <c r="Z244" i="18" s="1"/>
  <c r="Y244" i="18" s="1"/>
  <c r="G284" i="20"/>
  <c r="CB284" i="6" s="1"/>
  <c r="AA284" i="20"/>
  <c r="Z284" i="20" s="1"/>
  <c r="Y284" i="20" s="1"/>
  <c r="G369" i="18"/>
  <c r="CA369" i="6" s="1"/>
  <c r="AA369" i="18"/>
  <c r="Z369" i="18" s="1"/>
  <c r="Y369" i="18" s="1"/>
  <c r="G241" i="20"/>
  <c r="CB241" i="6" s="1"/>
  <c r="AA241" i="20"/>
  <c r="Z241" i="20" s="1"/>
  <c r="Y241" i="20" s="1"/>
  <c r="G210" i="18"/>
  <c r="CA210" i="6" s="1"/>
  <c r="AA210" i="18"/>
  <c r="Z210" i="18" s="1"/>
  <c r="Y210" i="18" s="1"/>
  <c r="G302" i="20"/>
  <c r="CB302" i="6" s="1"/>
  <c r="AA302" i="20"/>
  <c r="Z302" i="20" s="1"/>
  <c r="Y302" i="20" s="1"/>
  <c r="G189" i="20"/>
  <c r="CB189" i="6" s="1"/>
  <c r="AA189" i="20"/>
  <c r="Z189" i="20" s="1"/>
  <c r="Y189" i="20" s="1"/>
  <c r="G347" i="18"/>
  <c r="CA347" i="6" s="1"/>
  <c r="AA347" i="18"/>
  <c r="Z347" i="18" s="1"/>
  <c r="Y347" i="18" s="1"/>
  <c r="G367" i="20"/>
  <c r="CB367" i="6" s="1"/>
  <c r="AA367" i="20"/>
  <c r="Z367" i="20" s="1"/>
  <c r="Y367" i="20" s="1"/>
  <c r="G114" i="18"/>
  <c r="CA114" i="6" s="1"/>
  <c r="AA114" i="18"/>
  <c r="Z114" i="18" s="1"/>
  <c r="Y114" i="18" s="1"/>
  <c r="G154" i="20"/>
  <c r="CB154" i="6" s="1"/>
  <c r="AA154" i="20"/>
  <c r="Z154" i="20" s="1"/>
  <c r="Y154" i="20" s="1"/>
  <c r="G376" i="18"/>
  <c r="CA376" i="6" s="1"/>
  <c r="AA376" i="18"/>
  <c r="Z376" i="18" s="1"/>
  <c r="Y376" i="18" s="1"/>
  <c r="G335" i="20"/>
  <c r="CB335" i="6" s="1"/>
  <c r="AA335" i="20"/>
  <c r="Z335" i="20" s="1"/>
  <c r="Y335" i="20" s="1"/>
  <c r="G66" i="18"/>
  <c r="CA66" i="6" s="1"/>
  <c r="AA66" i="18"/>
  <c r="Z66" i="18" s="1"/>
  <c r="Y66" i="18" s="1"/>
  <c r="G194" i="20"/>
  <c r="CB194" i="6" s="1"/>
  <c r="AA194" i="20"/>
  <c r="Z194" i="20" s="1"/>
  <c r="Y194" i="20" s="1"/>
  <c r="G368" i="18"/>
  <c r="CA368" i="6" s="1"/>
  <c r="AA368" i="18"/>
  <c r="Z368" i="18" s="1"/>
  <c r="Y368" i="18" s="1"/>
  <c r="G135" i="20"/>
  <c r="CB135" i="6" s="1"/>
  <c r="AA135" i="20"/>
  <c r="Z135" i="20" s="1"/>
  <c r="Y135" i="20" s="1"/>
  <c r="G272" i="20"/>
  <c r="CB272" i="6" s="1"/>
  <c r="AA272" i="20"/>
  <c r="Z272" i="20" s="1"/>
  <c r="Y272" i="20" s="1"/>
  <c r="G95" i="18"/>
  <c r="CA95" i="6" s="1"/>
  <c r="AA95" i="18"/>
  <c r="Z95" i="18" s="1"/>
  <c r="Y95" i="18" s="1"/>
  <c r="G171" i="20"/>
  <c r="CB171" i="6" s="1"/>
  <c r="AA171" i="20"/>
  <c r="Z171" i="20" s="1"/>
  <c r="Y171" i="20" s="1"/>
  <c r="G278" i="18"/>
  <c r="CA278" i="6" s="1"/>
  <c r="AA278" i="18"/>
  <c r="Z278" i="18" s="1"/>
  <c r="Y278" i="18" s="1"/>
  <c r="G346" i="20"/>
  <c r="CB346" i="6" s="1"/>
  <c r="AA346" i="20"/>
  <c r="Z346" i="20" s="1"/>
  <c r="Y346" i="20" s="1"/>
  <c r="G43" i="18"/>
  <c r="CA43" i="6" s="1"/>
  <c r="AA43" i="18"/>
  <c r="Z43" i="18" s="1"/>
  <c r="Y43" i="18" s="1"/>
  <c r="G75" i="20"/>
  <c r="CB75" i="6" s="1"/>
  <c r="AA75" i="20"/>
  <c r="Z75" i="20" s="1"/>
  <c r="Y75" i="20" s="1"/>
  <c r="G111" i="18"/>
  <c r="CA111" i="6" s="1"/>
  <c r="AA111" i="18"/>
  <c r="Z111" i="18" s="1"/>
  <c r="Y111" i="18" s="1"/>
  <c r="G283" i="20"/>
  <c r="CB283" i="6" s="1"/>
  <c r="AA283" i="20"/>
  <c r="Z283" i="20" s="1"/>
  <c r="Y283" i="20" s="1"/>
  <c r="G216" i="18"/>
  <c r="CA216" i="6" s="1"/>
  <c r="AA216" i="18"/>
  <c r="Z216" i="18" s="1"/>
  <c r="Y216" i="18" s="1"/>
  <c r="G261" i="20"/>
  <c r="CB261" i="6" s="1"/>
  <c r="AA261" i="20"/>
  <c r="Z261" i="20" s="1"/>
  <c r="Y261" i="20" s="1"/>
  <c r="G17" i="18"/>
  <c r="CA17" i="6" s="1"/>
  <c r="AA17" i="18"/>
  <c r="Z17" i="18" s="1"/>
  <c r="Y17" i="18" s="1"/>
  <c r="G248" i="20"/>
  <c r="CB248" i="6" s="1"/>
  <c r="AA248" i="20"/>
  <c r="Z248" i="20" s="1"/>
  <c r="Y248" i="20" s="1"/>
  <c r="G354" i="18"/>
  <c r="CA354" i="6" s="1"/>
  <c r="AA354" i="18"/>
  <c r="Z354" i="18" s="1"/>
  <c r="Y354" i="18" s="1"/>
  <c r="G74" i="20"/>
  <c r="CB74" i="6" s="1"/>
  <c r="AA74" i="20"/>
  <c r="Z74" i="20" s="1"/>
  <c r="Y74" i="20" s="1"/>
  <c r="G319" i="18"/>
  <c r="CA319" i="6" s="1"/>
  <c r="AA319" i="18"/>
  <c r="Z319" i="18" s="1"/>
  <c r="Y319" i="18" s="1"/>
  <c r="G22" i="20"/>
  <c r="CB22" i="6" s="1"/>
  <c r="AA22" i="20"/>
  <c r="Z22" i="20" s="1"/>
  <c r="Y22" i="20" s="1"/>
  <c r="G227" i="18"/>
  <c r="CA227" i="6" s="1"/>
  <c r="AA227" i="18"/>
  <c r="Z227" i="18" s="1"/>
  <c r="Y227" i="18" s="1"/>
  <c r="G349" i="20"/>
  <c r="CB349" i="6" s="1"/>
  <c r="AA349" i="20"/>
  <c r="Z349" i="20" s="1"/>
  <c r="Y349" i="20" s="1"/>
  <c r="G166" i="18"/>
  <c r="CA166" i="6" s="1"/>
  <c r="AA166" i="18"/>
  <c r="Z166" i="18" s="1"/>
  <c r="Y166" i="18" s="1"/>
  <c r="G46" i="20"/>
  <c r="CB46" i="6" s="1"/>
  <c r="AA46" i="20"/>
  <c r="Z46" i="20" s="1"/>
  <c r="Y46" i="20" s="1"/>
  <c r="G35" i="18"/>
  <c r="CA35" i="6" s="1"/>
  <c r="AA35" i="18"/>
  <c r="Z35" i="18" s="1"/>
  <c r="Y35" i="18" s="1"/>
  <c r="G67" i="20"/>
  <c r="CB67" i="6" s="1"/>
  <c r="AA67" i="20"/>
  <c r="Z67" i="20" s="1"/>
  <c r="Y67" i="20" s="1"/>
  <c r="G177" i="18"/>
  <c r="CA177" i="6" s="1"/>
  <c r="AA177" i="18"/>
  <c r="Z177" i="18" s="1"/>
  <c r="Y177" i="18" s="1"/>
  <c r="G208" i="18"/>
  <c r="CA208" i="6" s="1"/>
  <c r="AA208" i="18"/>
  <c r="Z208" i="18" s="1"/>
  <c r="Y208" i="18" s="1"/>
  <c r="G226" i="20"/>
  <c r="CB226" i="6" s="1"/>
  <c r="AA226" i="20"/>
  <c r="Z226" i="20" s="1"/>
  <c r="Y226" i="20" s="1"/>
  <c r="G298" i="18"/>
  <c r="CA298" i="6" s="1"/>
  <c r="AA298" i="18"/>
  <c r="Z298" i="18" s="1"/>
  <c r="Y298" i="18" s="1"/>
  <c r="G187" i="20"/>
  <c r="CB187" i="6" s="1"/>
  <c r="AA187" i="20"/>
  <c r="Z187" i="20" s="1"/>
  <c r="Y187" i="20" s="1"/>
  <c r="G16" i="18"/>
  <c r="CA16" i="6" s="1"/>
  <c r="AA16" i="18"/>
  <c r="Z16" i="18" s="1"/>
  <c r="Y16" i="18" s="1"/>
  <c r="G150" i="20"/>
  <c r="CB150" i="6" s="1"/>
  <c r="AA150" i="20"/>
  <c r="Z150" i="20" s="1"/>
  <c r="Y150" i="20" s="1"/>
  <c r="G316" i="18"/>
  <c r="CA316" i="6" s="1"/>
  <c r="AA316" i="18"/>
  <c r="Z316" i="18" s="1"/>
  <c r="Y316" i="18" s="1"/>
  <c r="G365" i="20"/>
  <c r="CB365" i="6" s="1"/>
  <c r="AA365" i="20"/>
  <c r="Z365" i="20" s="1"/>
  <c r="Y365" i="20" s="1"/>
  <c r="G105" i="18"/>
  <c r="CA105" i="6" s="1"/>
  <c r="AA105" i="18"/>
  <c r="Z105" i="18" s="1"/>
  <c r="Y105" i="18" s="1"/>
  <c r="G29" i="20"/>
  <c r="CB29" i="6" s="1"/>
  <c r="AA29" i="20"/>
  <c r="Z29" i="20" s="1"/>
  <c r="Y29" i="20" s="1"/>
  <c r="G149" i="18"/>
  <c r="CA149" i="6" s="1"/>
  <c r="AA149" i="18"/>
  <c r="Z149" i="18" s="1"/>
  <c r="Y149" i="18" s="1"/>
  <c r="G60" i="20"/>
  <c r="CB60" i="6" s="1"/>
  <c r="AA60" i="20"/>
  <c r="Z60" i="20" s="1"/>
  <c r="Y60" i="20" s="1"/>
  <c r="G119" i="18"/>
  <c r="CA119" i="6" s="1"/>
  <c r="AA119" i="18"/>
  <c r="Z119" i="18" s="1"/>
  <c r="Y119" i="18" s="1"/>
  <c r="G333" i="18"/>
  <c r="CA333" i="6" s="1"/>
  <c r="AA333" i="18"/>
  <c r="Z333" i="18" s="1"/>
  <c r="Y333" i="18" s="1"/>
  <c r="G180" i="20"/>
  <c r="CB180" i="6" s="1"/>
  <c r="AA180" i="20"/>
  <c r="Z180" i="20" s="1"/>
  <c r="Y180" i="20" s="1"/>
  <c r="W196" i="20"/>
  <c r="D196" i="20"/>
  <c r="E196" i="20" s="1"/>
  <c r="F196" i="20" s="1"/>
  <c r="B196" i="22"/>
  <c r="E382" i="17"/>
  <c r="AJ10" i="17"/>
  <c r="AJ12" i="17" s="1"/>
  <c r="AJ13" i="17" s="1"/>
  <c r="E383" i="17"/>
  <c r="E381" i="17"/>
  <c r="AK8" i="17"/>
  <c r="E9" i="17"/>
  <c r="E11" i="17" s="1"/>
  <c r="F38" i="19" s="1"/>
  <c r="F15" i="17"/>
  <c r="G375" i="18"/>
  <c r="CA375" i="6" s="1"/>
  <c r="AA375" i="18"/>
  <c r="Z375" i="18" s="1"/>
  <c r="Y375" i="18" s="1"/>
  <c r="W373" i="22"/>
  <c r="D373" i="22"/>
  <c r="E373" i="22" s="1"/>
  <c r="F373" i="22" s="1"/>
  <c r="B373" i="23"/>
  <c r="G337" i="18"/>
  <c r="CA337" i="6" s="1"/>
  <c r="AA337" i="18"/>
  <c r="Z337" i="18" s="1"/>
  <c r="Y337" i="18" s="1"/>
  <c r="W325" i="22"/>
  <c r="D325" i="22"/>
  <c r="E325" i="22" s="1"/>
  <c r="F325" i="22" s="1"/>
  <c r="B325" i="23"/>
  <c r="G301" i="18"/>
  <c r="CA301" i="6" s="1"/>
  <c r="AA301" i="18"/>
  <c r="Z301" i="18" s="1"/>
  <c r="Y301" i="18" s="1"/>
  <c r="W277" i="22"/>
  <c r="D277" i="22"/>
  <c r="E277" i="22" s="1"/>
  <c r="F277" i="22" s="1"/>
  <c r="B277" i="23"/>
  <c r="G257" i="18"/>
  <c r="CA257" i="6" s="1"/>
  <c r="AA257" i="18"/>
  <c r="Z257" i="18" s="1"/>
  <c r="Y257" i="18" s="1"/>
  <c r="W245" i="22"/>
  <c r="D245" i="22"/>
  <c r="E245" i="22" s="1"/>
  <c r="F245" i="22" s="1"/>
  <c r="B245" i="23"/>
  <c r="G211" i="18"/>
  <c r="CA211" i="6" s="1"/>
  <c r="AA211" i="18"/>
  <c r="Z211" i="18" s="1"/>
  <c r="Y211" i="18" s="1"/>
  <c r="W203" i="22"/>
  <c r="D203" i="22"/>
  <c r="E203" i="22" s="1"/>
  <c r="F203" i="22" s="1"/>
  <c r="B203" i="23"/>
  <c r="G179" i="18"/>
  <c r="CA179" i="6" s="1"/>
  <c r="AA179" i="18"/>
  <c r="Z179" i="18" s="1"/>
  <c r="Y179" i="18" s="1"/>
  <c r="W169" i="22"/>
  <c r="D169" i="22"/>
  <c r="E169" i="22" s="1"/>
  <c r="F169" i="22" s="1"/>
  <c r="B169" i="23"/>
  <c r="G141" i="18"/>
  <c r="CA141" i="6" s="1"/>
  <c r="AA141" i="18"/>
  <c r="Z141" i="18" s="1"/>
  <c r="Y141" i="18" s="1"/>
  <c r="W139" i="22"/>
  <c r="D139" i="22"/>
  <c r="E139" i="22" s="1"/>
  <c r="F139" i="22" s="1"/>
  <c r="B139" i="23"/>
  <c r="G59" i="18"/>
  <c r="CA59" i="6" s="1"/>
  <c r="AA59" i="18"/>
  <c r="Z59" i="18" s="1"/>
  <c r="Y59" i="18" s="1"/>
  <c r="W53" i="22"/>
  <c r="D53" i="22"/>
  <c r="E53" i="22" s="1"/>
  <c r="F53" i="22" s="1"/>
  <c r="B53" i="23"/>
  <c r="G379" i="18"/>
  <c r="CA379" i="6" s="1"/>
  <c r="AA379" i="18"/>
  <c r="Z379" i="18" s="1"/>
  <c r="Y379" i="18" s="1"/>
  <c r="H9" i="20"/>
  <c r="B381" i="20"/>
  <c r="B383" i="20"/>
  <c r="W146" i="22"/>
  <c r="D146" i="22"/>
  <c r="E146" i="22" s="1"/>
  <c r="F146" i="22" s="1"/>
  <c r="B146" i="23"/>
  <c r="G142" i="20"/>
  <c r="CB142" i="6" s="1"/>
  <c r="AA142" i="20"/>
  <c r="Z142" i="20" s="1"/>
  <c r="Y142" i="20" s="1"/>
  <c r="W120" i="22"/>
  <c r="D120" i="22"/>
  <c r="E120" i="22" s="1"/>
  <c r="F120" i="22" s="1"/>
  <c r="B120" i="23"/>
  <c r="G108" i="20"/>
  <c r="CB108" i="6" s="1"/>
  <c r="AA108" i="20"/>
  <c r="Z108" i="20" s="1"/>
  <c r="Y108" i="20" s="1"/>
  <c r="W323" i="22"/>
  <c r="D323" i="22"/>
  <c r="E323" i="22" s="1"/>
  <c r="F323" i="22" s="1"/>
  <c r="B323" i="23"/>
  <c r="G317" i="22"/>
  <c r="CC317" i="6" s="1"/>
  <c r="AA317" i="22"/>
  <c r="Z317" i="22" s="1"/>
  <c r="Y317" i="22" s="1"/>
  <c r="W271" i="22"/>
  <c r="D271" i="22"/>
  <c r="E271" i="22" s="1"/>
  <c r="F271" i="22" s="1"/>
  <c r="B271" i="23"/>
  <c r="G263" i="22"/>
  <c r="CC263" i="6" s="1"/>
  <c r="AA263" i="22"/>
  <c r="Z263" i="22" s="1"/>
  <c r="Y263" i="22" s="1"/>
  <c r="W255" i="23"/>
  <c r="D255" i="23"/>
  <c r="E255" i="23" s="1"/>
  <c r="F255" i="23" s="1"/>
  <c r="B255" i="24"/>
  <c r="G219" i="20"/>
  <c r="CB219" i="6" s="1"/>
  <c r="AA219" i="20"/>
  <c r="Z219" i="20" s="1"/>
  <c r="Y219" i="20" s="1"/>
  <c r="W197" i="23"/>
  <c r="D197" i="23"/>
  <c r="E197" i="23" s="1"/>
  <c r="F197" i="23" s="1"/>
  <c r="B197" i="24"/>
  <c r="G173" i="20"/>
  <c r="CB173" i="6" s="1"/>
  <c r="AA173" i="20"/>
  <c r="Z173" i="20" s="1"/>
  <c r="Y173" i="20" s="1"/>
  <c r="W167" i="23"/>
  <c r="D167" i="23"/>
  <c r="E167" i="23" s="1"/>
  <c r="F167" i="23" s="1"/>
  <c r="B167" i="24"/>
  <c r="G127" i="20"/>
  <c r="CB127" i="6" s="1"/>
  <c r="AA127" i="20"/>
  <c r="Z127" i="20" s="1"/>
  <c r="Y127" i="20" s="1"/>
  <c r="W101" i="23"/>
  <c r="D101" i="23"/>
  <c r="E101" i="23" s="1"/>
  <c r="F101" i="23" s="1"/>
  <c r="B101" i="24"/>
  <c r="G89" i="20"/>
  <c r="CB89" i="6" s="1"/>
  <c r="AA89" i="20"/>
  <c r="Z89" i="20" s="1"/>
  <c r="Y89" i="20" s="1"/>
  <c r="W83" i="23"/>
  <c r="D83" i="23"/>
  <c r="E83" i="23" s="1"/>
  <c r="F83" i="23" s="1"/>
  <c r="B83" i="24"/>
  <c r="G61" i="20"/>
  <c r="CB61" i="6" s="1"/>
  <c r="AA61" i="20"/>
  <c r="Z61" i="20" s="1"/>
  <c r="Y61" i="20" s="1"/>
  <c r="W55" i="23"/>
  <c r="D55" i="23"/>
  <c r="E55" i="23" s="1"/>
  <c r="F55" i="23" s="1"/>
  <c r="B55" i="24"/>
  <c r="G265" i="20"/>
  <c r="CB265" i="6" s="1"/>
  <c r="AA265" i="20"/>
  <c r="Z265" i="20" s="1"/>
  <c r="Y265" i="20" s="1"/>
  <c r="W287" i="23"/>
  <c r="D287" i="23"/>
  <c r="E287" i="23" s="1"/>
  <c r="F287" i="23" s="1"/>
  <c r="B287" i="24"/>
  <c r="G161" i="20"/>
  <c r="CB161" i="6" s="1"/>
  <c r="AA161" i="20"/>
  <c r="Z161" i="20" s="1"/>
  <c r="Y161" i="20" s="1"/>
  <c r="W253" i="22"/>
  <c r="D253" i="22"/>
  <c r="E253" i="22" s="1"/>
  <c r="F253" i="22" s="1"/>
  <c r="B253" i="23"/>
  <c r="W369" i="22"/>
  <c r="D369" i="22"/>
  <c r="E369" i="22" s="1"/>
  <c r="F369" i="22" s="1"/>
  <c r="B369" i="23"/>
  <c r="G241" i="22"/>
  <c r="CC241" i="6" s="1"/>
  <c r="AA241" i="22"/>
  <c r="Z241" i="22" s="1"/>
  <c r="Y241" i="22" s="1"/>
  <c r="W347" i="22"/>
  <c r="D347" i="22"/>
  <c r="E347" i="22" s="1"/>
  <c r="F347" i="22" s="1"/>
  <c r="B347" i="23"/>
  <c r="G367" i="22"/>
  <c r="CC367" i="6" s="1"/>
  <c r="AA367" i="22"/>
  <c r="Z367" i="22" s="1"/>
  <c r="Y367" i="22" s="1"/>
  <c r="W376" i="22"/>
  <c r="D376" i="22"/>
  <c r="E376" i="22" s="1"/>
  <c r="F376" i="22" s="1"/>
  <c r="B376" i="23"/>
  <c r="G335" i="22"/>
  <c r="CC335" i="6" s="1"/>
  <c r="AA335" i="22"/>
  <c r="Z335" i="22" s="1"/>
  <c r="Y335" i="22" s="1"/>
  <c r="W368" i="22"/>
  <c r="D368" i="22"/>
  <c r="E368" i="22" s="1"/>
  <c r="F368" i="22" s="1"/>
  <c r="B368" i="23"/>
  <c r="G135" i="22"/>
  <c r="CC135" i="6" s="1"/>
  <c r="AA135" i="22"/>
  <c r="Z135" i="22" s="1"/>
  <c r="Y135" i="22" s="1"/>
  <c r="W272" i="23"/>
  <c r="D272" i="23"/>
  <c r="E272" i="23" s="1"/>
  <c r="F272" i="23" s="1"/>
  <c r="B272" i="24"/>
  <c r="G278" i="20"/>
  <c r="CB278" i="6" s="1"/>
  <c r="AA278" i="20"/>
  <c r="Z278" i="20" s="1"/>
  <c r="Y278" i="20" s="1"/>
  <c r="W346" i="23"/>
  <c r="D346" i="23"/>
  <c r="E346" i="23" s="1"/>
  <c r="F346" i="23" s="1"/>
  <c r="B346" i="24"/>
  <c r="G111" i="20"/>
  <c r="CB111" i="6" s="1"/>
  <c r="AA111" i="20"/>
  <c r="Z111" i="20" s="1"/>
  <c r="Y111" i="20" s="1"/>
  <c r="W283" i="23"/>
  <c r="D283" i="23"/>
  <c r="E283" i="23" s="1"/>
  <c r="F283" i="23" s="1"/>
  <c r="B283" i="24"/>
  <c r="G17" i="20"/>
  <c r="CB17" i="6" s="1"/>
  <c r="AA17" i="20"/>
  <c r="Z17" i="20" s="1"/>
  <c r="Y17" i="20" s="1"/>
  <c r="W248" i="23"/>
  <c r="D248" i="23"/>
  <c r="E248" i="23" s="1"/>
  <c r="F248" i="23" s="1"/>
  <c r="B248" i="24"/>
  <c r="G319" i="20"/>
  <c r="CB319" i="6" s="1"/>
  <c r="AA319" i="20"/>
  <c r="Z319" i="20" s="1"/>
  <c r="Y319" i="20" s="1"/>
  <c r="W22" i="23"/>
  <c r="D22" i="23"/>
  <c r="E22" i="23" s="1"/>
  <c r="F22" i="23" s="1"/>
  <c r="B22" i="24"/>
  <c r="G166" i="20"/>
  <c r="CB166" i="6" s="1"/>
  <c r="AA166" i="20"/>
  <c r="Z166" i="20" s="1"/>
  <c r="Y166" i="20" s="1"/>
  <c r="W46" i="23"/>
  <c r="D46" i="23"/>
  <c r="E46" i="23" s="1"/>
  <c r="F46" i="23" s="1"/>
  <c r="B46" i="24"/>
  <c r="G177" i="20"/>
  <c r="CB177" i="6" s="1"/>
  <c r="AA177" i="20"/>
  <c r="Z177" i="20" s="1"/>
  <c r="Y177" i="20" s="1"/>
  <c r="W298" i="22"/>
  <c r="D298" i="22"/>
  <c r="E298" i="22" s="1"/>
  <c r="F298" i="22" s="1"/>
  <c r="B298" i="23"/>
  <c r="G187" i="22"/>
  <c r="CC187" i="6" s="1"/>
  <c r="AA187" i="22"/>
  <c r="Z187" i="22" s="1"/>
  <c r="Y187" i="22" s="1"/>
  <c r="W316" i="22"/>
  <c r="D316" i="22"/>
  <c r="E316" i="22" s="1"/>
  <c r="F316" i="22" s="1"/>
  <c r="B316" i="23"/>
  <c r="G365" i="22"/>
  <c r="CC365" i="6" s="1"/>
  <c r="AA365" i="22"/>
  <c r="Z365" i="22" s="1"/>
  <c r="Y365" i="22" s="1"/>
  <c r="W149" i="22"/>
  <c r="D149" i="22"/>
  <c r="E149" i="22" s="1"/>
  <c r="F149" i="22" s="1"/>
  <c r="B149" i="23"/>
  <c r="G60" i="22"/>
  <c r="CC60" i="6" s="1"/>
  <c r="AA60" i="22"/>
  <c r="Z60" i="22" s="1"/>
  <c r="Y60" i="22" s="1"/>
  <c r="W333" i="22"/>
  <c r="D333" i="22"/>
  <c r="E333" i="22" s="1"/>
  <c r="F333" i="22" s="1"/>
  <c r="B333" i="23"/>
  <c r="W363" i="22"/>
  <c r="D363" i="22"/>
  <c r="E363" i="22" s="1"/>
  <c r="F363" i="22" s="1"/>
  <c r="B363" i="23"/>
  <c r="G334" i="20"/>
  <c r="CB334" i="6" s="1"/>
  <c r="AA334" i="20"/>
  <c r="Z334" i="20" s="1"/>
  <c r="Y334" i="20" s="1"/>
  <c r="W300" i="22"/>
  <c r="D300" i="22"/>
  <c r="E300" i="22" s="1"/>
  <c r="F300" i="22" s="1"/>
  <c r="B300" i="23"/>
  <c r="G294" i="20"/>
  <c r="CB294" i="6" s="1"/>
  <c r="AA294" i="20"/>
  <c r="Z294" i="20" s="1"/>
  <c r="Y294" i="20" s="1"/>
  <c r="D228" i="22"/>
  <c r="E228" i="22" s="1"/>
  <c r="F228" i="22" s="1"/>
  <c r="W228" i="22"/>
  <c r="B228" i="23"/>
  <c r="G192" i="20"/>
  <c r="CB192" i="6" s="1"/>
  <c r="AA192" i="20"/>
  <c r="Z192" i="20" s="1"/>
  <c r="Y192" i="20" s="1"/>
  <c r="W164" i="22"/>
  <c r="D164" i="22"/>
  <c r="E164" i="22" s="1"/>
  <c r="F164" i="22" s="1"/>
  <c r="B164" i="23"/>
  <c r="G148" i="22"/>
  <c r="CC148" i="6" s="1"/>
  <c r="AA148" i="22"/>
  <c r="Z148" i="22" s="1"/>
  <c r="Y148" i="22" s="1"/>
  <c r="W361" i="23"/>
  <c r="D361" i="23"/>
  <c r="E361" i="23" s="1"/>
  <c r="F361" i="23" s="1"/>
  <c r="B361" i="24"/>
  <c r="G281" i="20"/>
  <c r="CB281" i="6" s="1"/>
  <c r="AA281" i="20"/>
  <c r="Z281" i="20" s="1"/>
  <c r="Y281" i="20" s="1"/>
  <c r="W273" i="23"/>
  <c r="D273" i="23"/>
  <c r="E273" i="23" s="1"/>
  <c r="F273" i="23" s="1"/>
  <c r="B273" i="24"/>
  <c r="G249" i="20"/>
  <c r="CB249" i="6" s="1"/>
  <c r="AA249" i="20"/>
  <c r="Z249" i="20" s="1"/>
  <c r="Y249" i="20" s="1"/>
  <c r="W247" i="23"/>
  <c r="D247" i="23"/>
  <c r="E247" i="23" s="1"/>
  <c r="F247" i="23" s="1"/>
  <c r="B247" i="24"/>
  <c r="G185" i="20"/>
  <c r="CB185" i="6" s="1"/>
  <c r="AA185" i="20"/>
  <c r="Z185" i="20" s="1"/>
  <c r="Y185" i="20" s="1"/>
  <c r="W183" i="23"/>
  <c r="D183" i="23"/>
  <c r="E183" i="23" s="1"/>
  <c r="F183" i="23" s="1"/>
  <c r="B183" i="24"/>
  <c r="G159" i="20"/>
  <c r="CB159" i="6" s="1"/>
  <c r="AA159" i="20"/>
  <c r="Z159" i="20" s="1"/>
  <c r="Y159" i="20" s="1"/>
  <c r="W155" i="23"/>
  <c r="D155" i="23"/>
  <c r="E155" i="23" s="1"/>
  <c r="F155" i="23" s="1"/>
  <c r="B155" i="24"/>
  <c r="G99" i="20"/>
  <c r="CB99" i="6" s="1"/>
  <c r="AA99" i="20"/>
  <c r="Z99" i="20" s="1"/>
  <c r="Y99" i="20" s="1"/>
  <c r="W97" i="23"/>
  <c r="D97" i="23"/>
  <c r="E97" i="23" s="1"/>
  <c r="F97" i="23" s="1"/>
  <c r="B97" i="24"/>
  <c r="G77" i="20"/>
  <c r="CB77" i="6" s="1"/>
  <c r="AA77" i="20"/>
  <c r="Z77" i="20" s="1"/>
  <c r="Y77" i="20" s="1"/>
  <c r="W63" i="23"/>
  <c r="D63" i="23"/>
  <c r="E63" i="23" s="1"/>
  <c r="F63" i="23" s="1"/>
  <c r="B63" i="24"/>
  <c r="G37" i="20"/>
  <c r="CB37" i="6" s="1"/>
  <c r="AA37" i="20"/>
  <c r="Z37" i="20" s="1"/>
  <c r="Y37" i="20" s="1"/>
  <c r="W88" i="23"/>
  <c r="D88" i="23"/>
  <c r="E88" i="23" s="1"/>
  <c r="F88" i="23" s="1"/>
  <c r="B88" i="24"/>
  <c r="G130" i="20"/>
  <c r="CB130" i="6" s="1"/>
  <c r="AA130" i="20"/>
  <c r="Z130" i="20" s="1"/>
  <c r="Y130" i="20" s="1"/>
  <c r="W19" i="23"/>
  <c r="D19" i="23"/>
  <c r="E19" i="23" s="1"/>
  <c r="F19" i="23" s="1"/>
  <c r="B19" i="24"/>
  <c r="G244" i="20"/>
  <c r="CB244" i="6" s="1"/>
  <c r="AA244" i="20"/>
  <c r="Z244" i="20" s="1"/>
  <c r="Y244" i="20" s="1"/>
  <c r="W284" i="23"/>
  <c r="D284" i="23"/>
  <c r="E284" i="23" s="1"/>
  <c r="F284" i="23" s="1"/>
  <c r="B284" i="24"/>
  <c r="G210" i="20"/>
  <c r="CB210" i="6" s="1"/>
  <c r="AA210" i="20"/>
  <c r="Z210" i="20" s="1"/>
  <c r="Y210" i="20" s="1"/>
  <c r="W302" i="23"/>
  <c r="D302" i="23"/>
  <c r="E302" i="23" s="1"/>
  <c r="F302" i="23" s="1"/>
  <c r="B302" i="24"/>
  <c r="G189" i="22"/>
  <c r="CC189" i="6" s="1"/>
  <c r="AA189" i="22"/>
  <c r="Z189" i="22" s="1"/>
  <c r="Y189" i="22" s="1"/>
  <c r="W114" i="22"/>
  <c r="D114" i="22"/>
  <c r="E114" i="22" s="1"/>
  <c r="F114" i="22" s="1"/>
  <c r="B114" i="23"/>
  <c r="G154" i="22"/>
  <c r="CC154" i="6" s="1"/>
  <c r="AA154" i="22"/>
  <c r="Z154" i="22" s="1"/>
  <c r="Y154" i="22" s="1"/>
  <c r="D66" i="22"/>
  <c r="E66" i="22" s="1"/>
  <c r="F66" i="22" s="1"/>
  <c r="W66" i="22"/>
  <c r="B66" i="23"/>
  <c r="G194" i="22"/>
  <c r="CC194" i="6" s="1"/>
  <c r="AA194" i="22"/>
  <c r="Z194" i="22" s="1"/>
  <c r="Y194" i="22" s="1"/>
  <c r="W95" i="22"/>
  <c r="D95" i="22"/>
  <c r="E95" i="22" s="1"/>
  <c r="F95" i="22" s="1"/>
  <c r="B95" i="23"/>
  <c r="G171" i="22"/>
  <c r="CC171" i="6" s="1"/>
  <c r="AA171" i="22"/>
  <c r="Z171" i="22" s="1"/>
  <c r="Y171" i="22" s="1"/>
  <c r="W43" i="22"/>
  <c r="D43" i="22"/>
  <c r="E43" i="22" s="1"/>
  <c r="F43" i="22" s="1"/>
  <c r="B43" i="23"/>
  <c r="G75" i="22"/>
  <c r="CC75" i="6" s="1"/>
  <c r="AA75" i="22"/>
  <c r="Z75" i="22" s="1"/>
  <c r="Y75" i="22" s="1"/>
  <c r="W216" i="22"/>
  <c r="D216" i="22"/>
  <c r="E216" i="22" s="1"/>
  <c r="F216" i="22" s="1"/>
  <c r="B216" i="23"/>
  <c r="G261" i="22"/>
  <c r="CC261" i="6" s="1"/>
  <c r="AA261" i="22"/>
  <c r="Z261" i="22" s="1"/>
  <c r="Y261" i="22" s="1"/>
  <c r="W354" i="22"/>
  <c r="D354" i="22"/>
  <c r="E354" i="22" s="1"/>
  <c r="F354" i="22" s="1"/>
  <c r="B354" i="23"/>
  <c r="G74" i="22"/>
  <c r="CC74" i="6" s="1"/>
  <c r="AA74" i="22"/>
  <c r="Z74" i="22" s="1"/>
  <c r="Y74" i="22" s="1"/>
  <c r="W227" i="22"/>
  <c r="D227" i="22"/>
  <c r="E227" i="22" s="1"/>
  <c r="F227" i="22" s="1"/>
  <c r="B227" i="23"/>
  <c r="G349" i="22"/>
  <c r="CC349" i="6" s="1"/>
  <c r="AA349" i="22"/>
  <c r="Z349" i="22" s="1"/>
  <c r="Y349" i="22" s="1"/>
  <c r="W35" i="22"/>
  <c r="D35" i="22"/>
  <c r="E35" i="22" s="1"/>
  <c r="F35" i="22" s="1"/>
  <c r="B35" i="23"/>
  <c r="G67" i="22"/>
  <c r="CC67" i="6" s="1"/>
  <c r="AA67" i="22"/>
  <c r="Z67" i="22" s="1"/>
  <c r="Y67" i="22" s="1"/>
  <c r="W208" i="22"/>
  <c r="D208" i="22"/>
  <c r="E208" i="22" s="1"/>
  <c r="F208" i="22" s="1"/>
  <c r="B208" i="23"/>
  <c r="G226" i="22"/>
  <c r="CC226" i="6" s="1"/>
  <c r="AA226" i="22"/>
  <c r="Z226" i="22" s="1"/>
  <c r="Y226" i="22" s="1"/>
  <c r="D16" i="22"/>
  <c r="E16" i="22" s="1"/>
  <c r="F16" i="22" s="1"/>
  <c r="W16" i="22"/>
  <c r="B16" i="23"/>
  <c r="G150" i="22"/>
  <c r="CC150" i="6" s="1"/>
  <c r="AA150" i="22"/>
  <c r="Z150" i="22" s="1"/>
  <c r="Y150" i="22" s="1"/>
  <c r="W105" i="22"/>
  <c r="D105" i="22"/>
  <c r="E105" i="22" s="1"/>
  <c r="F105" i="22" s="1"/>
  <c r="B105" i="23"/>
  <c r="G29" i="22"/>
  <c r="CC29" i="6" s="1"/>
  <c r="AA29" i="22"/>
  <c r="Z29" i="22" s="1"/>
  <c r="Y29" i="22" s="1"/>
  <c r="W119" i="22"/>
  <c r="D119" i="22"/>
  <c r="E119" i="22" s="1"/>
  <c r="F119" i="22" s="1"/>
  <c r="B119" i="23"/>
  <c r="G119" i="20"/>
  <c r="CB119" i="6" s="1"/>
  <c r="AA119" i="20"/>
  <c r="Z119" i="20" s="1"/>
  <c r="Y119" i="20" s="1"/>
  <c r="AJ8" i="18"/>
  <c r="D381" i="18"/>
  <c r="D382" i="18"/>
  <c r="AJ11" i="18" l="1"/>
  <c r="AJ9" i="20"/>
  <c r="AJ7" i="20"/>
  <c r="W15" i="22"/>
  <c r="AJ5" i="22"/>
  <c r="AK7" i="20"/>
  <c r="C14" i="19"/>
  <c r="B16" i="19"/>
  <c r="D15" i="22"/>
  <c r="B15" i="23"/>
  <c r="AJ12" i="18"/>
  <c r="AJ13" i="18" s="1"/>
  <c r="J302" i="18"/>
  <c r="I302" i="18"/>
  <c r="J83" i="18"/>
  <c r="I83" i="18"/>
  <c r="J65" i="18"/>
  <c r="I65" i="18"/>
  <c r="J159" i="18"/>
  <c r="I159" i="18"/>
  <c r="I353" i="18"/>
  <c r="BA353" i="6" s="1"/>
  <c r="D353" i="6" s="1"/>
  <c r="J353" i="18"/>
  <c r="J75" i="18"/>
  <c r="I75" i="18"/>
  <c r="J325" i="18"/>
  <c r="I325" i="18"/>
  <c r="I366" i="18"/>
  <c r="BA366" i="6" s="1"/>
  <c r="D366" i="6" s="1"/>
  <c r="J366" i="18"/>
  <c r="J234" i="18"/>
  <c r="I234" i="18"/>
  <c r="BA234" i="6" s="1"/>
  <c r="D234" i="6" s="1"/>
  <c r="J330" i="18"/>
  <c r="I330" i="18"/>
  <c r="BA330" i="6" s="1"/>
  <c r="D330" i="6" s="1"/>
  <c r="J103" i="18"/>
  <c r="I103" i="18"/>
  <c r="BA103" i="6" s="1"/>
  <c r="D103" i="6" s="1"/>
  <c r="I45" i="18"/>
  <c r="BA45" i="6" s="1"/>
  <c r="D45" i="6" s="1"/>
  <c r="J45" i="18"/>
  <c r="J23" i="18"/>
  <c r="I23" i="18"/>
  <c r="BA23" i="6" s="1"/>
  <c r="D23" i="6" s="1"/>
  <c r="J126" i="18"/>
  <c r="I126" i="18"/>
  <c r="BA126" i="6" s="1"/>
  <c r="D126" i="6" s="1"/>
  <c r="J197" i="18"/>
  <c r="I197" i="18"/>
  <c r="I61" i="18"/>
  <c r="J61" i="18"/>
  <c r="J92" i="18"/>
  <c r="I92" i="18"/>
  <c r="BA92" i="6" s="1"/>
  <c r="D92" i="6" s="1"/>
  <c r="J101" i="18"/>
  <c r="I101" i="18"/>
  <c r="J99" i="18"/>
  <c r="I99" i="18"/>
  <c r="I279" i="18"/>
  <c r="BA279" i="6" s="1"/>
  <c r="D279" i="6" s="1"/>
  <c r="J279" i="18"/>
  <c r="J174" i="18"/>
  <c r="I174" i="18"/>
  <c r="BA174" i="6" s="1"/>
  <c r="D174" i="6" s="1"/>
  <c r="J187" i="18"/>
  <c r="I187" i="18"/>
  <c r="J229" i="18"/>
  <c r="I229" i="18"/>
  <c r="BA229" i="6" s="1"/>
  <c r="D229" i="6" s="1"/>
  <c r="J112" i="18"/>
  <c r="I112" i="18"/>
  <c r="BA112" i="6" s="1"/>
  <c r="D112" i="6" s="1"/>
  <c r="J178" i="18"/>
  <c r="I178" i="18"/>
  <c r="BA178" i="6" s="1"/>
  <c r="D178" i="6" s="1"/>
  <c r="J49" i="18"/>
  <c r="I49" i="18"/>
  <c r="BA49" i="6" s="1"/>
  <c r="D49" i="6" s="1"/>
  <c r="J263" i="18"/>
  <c r="I263" i="18"/>
  <c r="J50" i="18"/>
  <c r="I50" i="18"/>
  <c r="BA50" i="6" s="1"/>
  <c r="D50" i="6" s="1"/>
  <c r="J127" i="18"/>
  <c r="I127" i="18"/>
  <c r="I53" i="18"/>
  <c r="J53" i="18"/>
  <c r="J48" i="18"/>
  <c r="I48" i="18"/>
  <c r="BA48" i="6" s="1"/>
  <c r="D48" i="6" s="1"/>
  <c r="J212" i="18"/>
  <c r="I212" i="18"/>
  <c r="BA212" i="6" s="1"/>
  <c r="D212" i="6" s="1"/>
  <c r="I338" i="18"/>
  <c r="BA338" i="6" s="1"/>
  <c r="D338" i="6" s="1"/>
  <c r="J338" i="18"/>
  <c r="J38" i="18"/>
  <c r="I38" i="18"/>
  <c r="BA38" i="6" s="1"/>
  <c r="D38" i="6" s="1"/>
  <c r="J267" i="18"/>
  <c r="I267" i="18"/>
  <c r="J87" i="18"/>
  <c r="I87" i="18"/>
  <c r="BA87" i="6" s="1"/>
  <c r="D87" i="6" s="1"/>
  <c r="J252" i="18"/>
  <c r="I252" i="18"/>
  <c r="BA252" i="6" s="1"/>
  <c r="D252" i="6" s="1"/>
  <c r="J183" i="18"/>
  <c r="I183" i="18"/>
  <c r="I331" i="18"/>
  <c r="BA331" i="6" s="1"/>
  <c r="D331" i="6" s="1"/>
  <c r="J331" i="18"/>
  <c r="I203" i="18"/>
  <c r="J203" i="18"/>
  <c r="J367" i="18"/>
  <c r="I367" i="18"/>
  <c r="J160" i="18"/>
  <c r="I160" i="18"/>
  <c r="BA160" i="6" s="1"/>
  <c r="D160" i="6" s="1"/>
  <c r="J145" i="18"/>
  <c r="I145" i="18"/>
  <c r="BA145" i="6" s="1"/>
  <c r="D145" i="6" s="1"/>
  <c r="J372" i="18"/>
  <c r="I372" i="18"/>
  <c r="I29" i="18"/>
  <c r="J29" i="18"/>
  <c r="J296" i="18"/>
  <c r="I296" i="18"/>
  <c r="BA296" i="6" s="1"/>
  <c r="D296" i="6" s="1"/>
  <c r="J154" i="18"/>
  <c r="I154" i="18"/>
  <c r="I32" i="18"/>
  <c r="BA32" i="6" s="1"/>
  <c r="D32" i="6" s="1"/>
  <c r="J32" i="18"/>
  <c r="J169" i="18"/>
  <c r="I169" i="18"/>
  <c r="J189" i="18"/>
  <c r="I189" i="18"/>
  <c r="J282" i="18"/>
  <c r="I282" i="18"/>
  <c r="BA282" i="6" s="1"/>
  <c r="D282" i="6" s="1"/>
  <c r="I86" i="18"/>
  <c r="BA86" i="6" s="1"/>
  <c r="D86" i="6" s="1"/>
  <c r="J86" i="18"/>
  <c r="J268" i="18"/>
  <c r="I268" i="18"/>
  <c r="BA268" i="6" s="1"/>
  <c r="D268" i="6" s="1"/>
  <c r="J235" i="18"/>
  <c r="I235" i="18"/>
  <c r="BA235" i="6" s="1"/>
  <c r="D235" i="6" s="1"/>
  <c r="J64" i="18"/>
  <c r="I64" i="18"/>
  <c r="BA64" i="6" s="1"/>
  <c r="D64" i="6" s="1"/>
  <c r="I300" i="18"/>
  <c r="J300" i="18"/>
  <c r="I124" i="18"/>
  <c r="BA124" i="6" s="1"/>
  <c r="D124" i="6" s="1"/>
  <c r="J124" i="18"/>
  <c r="J19" i="18"/>
  <c r="I19" i="18"/>
  <c r="J123" i="18"/>
  <c r="I123" i="18"/>
  <c r="BA123" i="6" s="1"/>
  <c r="D123" i="6" s="1"/>
  <c r="J20" i="18"/>
  <c r="I20" i="18"/>
  <c r="BA20" i="6" s="1"/>
  <c r="D20" i="6" s="1"/>
  <c r="J173" i="18"/>
  <c r="I173" i="18"/>
  <c r="J256" i="18"/>
  <c r="I256" i="18"/>
  <c r="BA256" i="6" s="1"/>
  <c r="D256" i="6" s="1"/>
  <c r="J254" i="18"/>
  <c r="I254" i="18"/>
  <c r="BA254" i="6" s="1"/>
  <c r="D254" i="6" s="1"/>
  <c r="I129" i="18"/>
  <c r="BA129" i="6" s="1"/>
  <c r="D129" i="6" s="1"/>
  <c r="J129" i="18"/>
  <c r="J365" i="18"/>
  <c r="I365" i="18"/>
  <c r="I348" i="18"/>
  <c r="BA348" i="6" s="1"/>
  <c r="D348" i="6" s="1"/>
  <c r="J348" i="18"/>
  <c r="J181" i="18"/>
  <c r="I181" i="18"/>
  <c r="BA181" i="6" s="1"/>
  <c r="D181" i="6" s="1"/>
  <c r="J286" i="18"/>
  <c r="I286" i="18"/>
  <c r="BA286" i="6" s="1"/>
  <c r="D286" i="6" s="1"/>
  <c r="J285" i="18"/>
  <c r="I285" i="18"/>
  <c r="BA285" i="6" s="1"/>
  <c r="D285" i="6" s="1"/>
  <c r="J339" i="18"/>
  <c r="I339" i="18"/>
  <c r="J180" i="18"/>
  <c r="I180" i="18"/>
  <c r="J70" i="18"/>
  <c r="I70" i="18"/>
  <c r="BA70" i="6" s="1"/>
  <c r="D70" i="6" s="1"/>
  <c r="J249" i="18"/>
  <c r="I249" i="18"/>
  <c r="J346" i="18"/>
  <c r="I346" i="18"/>
  <c r="J74" i="18"/>
  <c r="I74" i="18"/>
  <c r="J120" i="18"/>
  <c r="I120" i="18"/>
  <c r="J153" i="18"/>
  <c r="I153" i="18"/>
  <c r="BA153" i="6" s="1"/>
  <c r="D153" i="6" s="1"/>
  <c r="I327" i="18"/>
  <c r="BA327" i="6" s="1"/>
  <c r="D327" i="6" s="1"/>
  <c r="J327" i="18"/>
  <c r="J223" i="18"/>
  <c r="I223" i="18"/>
  <c r="J175" i="18"/>
  <c r="I175" i="18"/>
  <c r="BA175" i="6" s="1"/>
  <c r="D175" i="6" s="1"/>
  <c r="J31" i="18"/>
  <c r="I31" i="18"/>
  <c r="BA31" i="6" s="1"/>
  <c r="D31" i="6" s="1"/>
  <c r="J239" i="18"/>
  <c r="I239" i="18"/>
  <c r="BA239" i="6" s="1"/>
  <c r="J291" i="18"/>
  <c r="I291" i="18"/>
  <c r="J272" i="18"/>
  <c r="I272" i="18"/>
  <c r="I241" i="18"/>
  <c r="J241" i="18"/>
  <c r="J341" i="18"/>
  <c r="I341" i="18"/>
  <c r="BA341" i="6" s="1"/>
  <c r="D341" i="6" s="1"/>
  <c r="J186" i="18"/>
  <c r="I186" i="18"/>
  <c r="BA186" i="6" s="1"/>
  <c r="D186" i="6" s="1"/>
  <c r="J335" i="18"/>
  <c r="I335" i="18"/>
  <c r="J250" i="18"/>
  <c r="I250" i="18"/>
  <c r="BA250" i="6" s="1"/>
  <c r="D250" i="6" s="1"/>
  <c r="I224" i="18"/>
  <c r="BA224" i="6" s="1"/>
  <c r="D224" i="6" s="1"/>
  <c r="J224" i="18"/>
  <c r="I82" i="18"/>
  <c r="BA82" i="6" s="1"/>
  <c r="D82" i="6" s="1"/>
  <c r="J82" i="18"/>
  <c r="J222" i="18"/>
  <c r="I222" i="18"/>
  <c r="BA222" i="6" s="1"/>
  <c r="D222" i="6" s="1"/>
  <c r="J167" i="18"/>
  <c r="I167" i="18"/>
  <c r="J342" i="18"/>
  <c r="I342" i="18"/>
  <c r="BA342" i="6" s="1"/>
  <c r="D342" i="6" s="1"/>
  <c r="J277" i="18"/>
  <c r="I277" i="18"/>
  <c r="J233" i="18"/>
  <c r="I233" i="18"/>
  <c r="BA233" i="6" s="1"/>
  <c r="D233" i="6" s="1"/>
  <c r="J258" i="18"/>
  <c r="I258" i="18"/>
  <c r="BA258" i="6" s="1"/>
  <c r="D258" i="6" s="1"/>
  <c r="J323" i="18"/>
  <c r="I323" i="18"/>
  <c r="J261" i="18"/>
  <c r="I261" i="18"/>
  <c r="J88" i="18"/>
  <c r="I88" i="18"/>
  <c r="J184" i="18"/>
  <c r="I184" i="18"/>
  <c r="BA184" i="6" s="1"/>
  <c r="D184" i="6" s="1"/>
  <c r="J322" i="18"/>
  <c r="I322" i="18"/>
  <c r="BA322" i="6" s="1"/>
  <c r="D322" i="6" s="1"/>
  <c r="I146" i="18"/>
  <c r="J146" i="18"/>
  <c r="J168" i="18"/>
  <c r="I168" i="18"/>
  <c r="BA168" i="6" s="1"/>
  <c r="D168" i="6" s="1"/>
  <c r="J328" i="18"/>
  <c r="I328" i="18"/>
  <c r="BA328" i="6" s="1"/>
  <c r="D328" i="6" s="1"/>
  <c r="J165" i="18"/>
  <c r="I165" i="18"/>
  <c r="BA165" i="6" s="1"/>
  <c r="D165" i="6" s="1"/>
  <c r="J215" i="18"/>
  <c r="I215" i="18"/>
  <c r="BA215" i="6" s="1"/>
  <c r="D215" i="6" s="1"/>
  <c r="J116" i="18"/>
  <c r="I116" i="18"/>
  <c r="J94" i="18"/>
  <c r="I94" i="18"/>
  <c r="J299" i="18"/>
  <c r="I299" i="18"/>
  <c r="BA299" i="6" s="1"/>
  <c r="D299" i="6" s="1"/>
  <c r="J312" i="18"/>
  <c r="I312" i="18"/>
  <c r="BA312" i="6" s="1"/>
  <c r="D312" i="6" s="1"/>
  <c r="I118" i="18"/>
  <c r="BA118" i="6" s="1"/>
  <c r="D118" i="6" s="1"/>
  <c r="J118" i="18"/>
  <c r="J303" i="18"/>
  <c r="I303" i="18"/>
  <c r="J351" i="18"/>
  <c r="I351" i="18"/>
  <c r="BA351" i="6" s="1"/>
  <c r="J350" i="18"/>
  <c r="I350" i="18"/>
  <c r="BA350" i="6" s="1"/>
  <c r="D350" i="6" s="1"/>
  <c r="J318" i="18"/>
  <c r="I318" i="18"/>
  <c r="BA318" i="6" s="1"/>
  <c r="D318" i="6" s="1"/>
  <c r="J71" i="18"/>
  <c r="I71" i="18"/>
  <c r="BA71" i="6" s="1"/>
  <c r="J91" i="18"/>
  <c r="I91" i="18"/>
  <c r="BA91" i="6" s="1"/>
  <c r="D91" i="6" s="1"/>
  <c r="J97" i="18"/>
  <c r="I97" i="18"/>
  <c r="J201" i="18"/>
  <c r="I201" i="18"/>
  <c r="BA201" i="6" s="1"/>
  <c r="D201" i="6" s="1"/>
  <c r="J307" i="18"/>
  <c r="I307" i="18"/>
  <c r="I30" i="18"/>
  <c r="BA30" i="6" s="1"/>
  <c r="D30" i="6" s="1"/>
  <c r="J30" i="18"/>
  <c r="I41" i="18"/>
  <c r="BA41" i="6" s="1"/>
  <c r="D41" i="6" s="1"/>
  <c r="J41" i="18"/>
  <c r="J158" i="18"/>
  <c r="I158" i="18"/>
  <c r="BA158" i="6" s="1"/>
  <c r="D158" i="6" s="1"/>
  <c r="J191" i="18"/>
  <c r="I191" i="18"/>
  <c r="J219" i="18"/>
  <c r="I219" i="18"/>
  <c r="I68" i="18"/>
  <c r="BA68" i="6" s="1"/>
  <c r="D68" i="6" s="1"/>
  <c r="J68" i="18"/>
  <c r="I135" i="18"/>
  <c r="J135" i="18"/>
  <c r="J275" i="18"/>
  <c r="I275" i="18"/>
  <c r="J57" i="18"/>
  <c r="I57" i="18"/>
  <c r="BA57" i="6" s="1"/>
  <c r="W119" i="23"/>
  <c r="D119" i="23"/>
  <c r="E119" i="23" s="1"/>
  <c r="F119" i="23" s="1"/>
  <c r="B119" i="24"/>
  <c r="W105" i="23"/>
  <c r="D105" i="23"/>
  <c r="E105" i="23" s="1"/>
  <c r="F105" i="23" s="1"/>
  <c r="B105" i="24"/>
  <c r="W16" i="23"/>
  <c r="D16" i="23"/>
  <c r="E16" i="23" s="1"/>
  <c r="F16" i="23" s="1"/>
  <c r="B16" i="24"/>
  <c r="G16" i="22"/>
  <c r="CC16" i="6" s="1"/>
  <c r="AA16" i="22"/>
  <c r="Z16" i="22" s="1"/>
  <c r="Y16" i="22" s="1"/>
  <c r="D208" i="23"/>
  <c r="E208" i="23" s="1"/>
  <c r="F208" i="23" s="1"/>
  <c r="W208" i="23"/>
  <c r="B208" i="24"/>
  <c r="W35" i="23"/>
  <c r="D35" i="23"/>
  <c r="E35" i="23" s="1"/>
  <c r="F35" i="23" s="1"/>
  <c r="B35" i="24"/>
  <c r="W227" i="23"/>
  <c r="D227" i="23"/>
  <c r="E227" i="23" s="1"/>
  <c r="F227" i="23" s="1"/>
  <c r="B227" i="24"/>
  <c r="W354" i="23"/>
  <c r="D354" i="23"/>
  <c r="E354" i="23" s="1"/>
  <c r="F354" i="23" s="1"/>
  <c r="B354" i="24"/>
  <c r="W216" i="23"/>
  <c r="D216" i="23"/>
  <c r="E216" i="23" s="1"/>
  <c r="F216" i="23" s="1"/>
  <c r="B216" i="24"/>
  <c r="W43" i="23"/>
  <c r="D43" i="23"/>
  <c r="E43" i="23" s="1"/>
  <c r="F43" i="23" s="1"/>
  <c r="B43" i="24"/>
  <c r="W95" i="23"/>
  <c r="D95" i="23"/>
  <c r="E95" i="23" s="1"/>
  <c r="F95" i="23" s="1"/>
  <c r="B95" i="24"/>
  <c r="W66" i="23"/>
  <c r="D66" i="23"/>
  <c r="E66" i="23" s="1"/>
  <c r="F66" i="23" s="1"/>
  <c r="B66" i="24"/>
  <c r="G66" i="22"/>
  <c r="CC66" i="6" s="1"/>
  <c r="AA66" i="22"/>
  <c r="Z66" i="22" s="1"/>
  <c r="Y66" i="22" s="1"/>
  <c r="W114" i="23"/>
  <c r="D114" i="23"/>
  <c r="E114" i="23" s="1"/>
  <c r="F114" i="23" s="1"/>
  <c r="B114" i="24"/>
  <c r="W302" i="24"/>
  <c r="D302" i="24"/>
  <c r="E302" i="24" s="1"/>
  <c r="F302" i="24" s="1"/>
  <c r="B302" i="25"/>
  <c r="W284" i="24"/>
  <c r="D284" i="24"/>
  <c r="E284" i="24" s="1"/>
  <c r="F284" i="24" s="1"/>
  <c r="B284" i="25"/>
  <c r="D19" i="24"/>
  <c r="E19" i="24" s="1"/>
  <c r="F19" i="24" s="1"/>
  <c r="W19" i="24"/>
  <c r="B19" i="25"/>
  <c r="W88" i="24"/>
  <c r="D88" i="24"/>
  <c r="E88" i="24" s="1"/>
  <c r="F88" i="24" s="1"/>
  <c r="B88" i="25"/>
  <c r="W63" i="24"/>
  <c r="D63" i="24"/>
  <c r="E63" i="24" s="1"/>
  <c r="F63" i="24" s="1"/>
  <c r="B63" i="25"/>
  <c r="W97" i="24"/>
  <c r="D97" i="24"/>
  <c r="E97" i="24" s="1"/>
  <c r="F97" i="24" s="1"/>
  <c r="B97" i="25"/>
  <c r="W155" i="24"/>
  <c r="D155" i="24"/>
  <c r="E155" i="24" s="1"/>
  <c r="F155" i="24" s="1"/>
  <c r="B155" i="25"/>
  <c r="W183" i="24"/>
  <c r="D183" i="24"/>
  <c r="E183" i="24" s="1"/>
  <c r="F183" i="24" s="1"/>
  <c r="B183" i="25"/>
  <c r="W247" i="24"/>
  <c r="D247" i="24"/>
  <c r="E247" i="24" s="1"/>
  <c r="F247" i="24" s="1"/>
  <c r="B247" i="25"/>
  <c r="W273" i="24"/>
  <c r="D273" i="24"/>
  <c r="E273" i="24" s="1"/>
  <c r="F273" i="24" s="1"/>
  <c r="B273" i="25"/>
  <c r="D361" i="24"/>
  <c r="E361" i="24" s="1"/>
  <c r="F361" i="24" s="1"/>
  <c r="W361" i="24"/>
  <c r="B361" i="25"/>
  <c r="W164" i="23"/>
  <c r="D164" i="23"/>
  <c r="E164" i="23" s="1"/>
  <c r="F164" i="23" s="1"/>
  <c r="B164" i="24"/>
  <c r="W228" i="23"/>
  <c r="D228" i="23"/>
  <c r="E228" i="23" s="1"/>
  <c r="F228" i="23" s="1"/>
  <c r="B228" i="24"/>
  <c r="G228" i="22"/>
  <c r="CC228" i="6" s="1"/>
  <c r="AA228" i="22"/>
  <c r="Z228" i="22" s="1"/>
  <c r="Y228" i="22" s="1"/>
  <c r="W300" i="23"/>
  <c r="D300" i="23"/>
  <c r="E300" i="23" s="1"/>
  <c r="F300" i="23" s="1"/>
  <c r="B300" i="24"/>
  <c r="W363" i="23"/>
  <c r="D363" i="23"/>
  <c r="E363" i="23" s="1"/>
  <c r="F363" i="23" s="1"/>
  <c r="B363" i="24"/>
  <c r="G333" i="22"/>
  <c r="CC333" i="6" s="1"/>
  <c r="AA333" i="22"/>
  <c r="Z333" i="22" s="1"/>
  <c r="Y333" i="22" s="1"/>
  <c r="AA149" i="22"/>
  <c r="Z149" i="22" s="1"/>
  <c r="Y149" i="22" s="1"/>
  <c r="G149" i="22"/>
  <c r="CC149" i="6" s="1"/>
  <c r="G316" i="22"/>
  <c r="CC316" i="6" s="1"/>
  <c r="AA316" i="22"/>
  <c r="Z316" i="22" s="1"/>
  <c r="Y316" i="22" s="1"/>
  <c r="G298" i="22"/>
  <c r="CC298" i="6" s="1"/>
  <c r="AA298" i="22"/>
  <c r="Z298" i="22" s="1"/>
  <c r="Y298" i="22" s="1"/>
  <c r="AA46" i="23"/>
  <c r="Z46" i="23" s="1"/>
  <c r="Y46" i="23" s="1"/>
  <c r="G46" i="23"/>
  <c r="CD46" i="6" s="1"/>
  <c r="G22" i="23"/>
  <c r="CD22" i="6" s="1"/>
  <c r="AA22" i="23"/>
  <c r="Z22" i="23" s="1"/>
  <c r="Y22" i="23" s="1"/>
  <c r="G248" i="23"/>
  <c r="CD248" i="6" s="1"/>
  <c r="AA248" i="23"/>
  <c r="Z248" i="23" s="1"/>
  <c r="Y248" i="23" s="1"/>
  <c r="G283" i="23"/>
  <c r="CD283" i="6" s="1"/>
  <c r="AA283" i="23"/>
  <c r="Z283" i="23" s="1"/>
  <c r="Y283" i="23" s="1"/>
  <c r="G346" i="23"/>
  <c r="CD346" i="6" s="1"/>
  <c r="AA346" i="23"/>
  <c r="Z346" i="23" s="1"/>
  <c r="Y346" i="23" s="1"/>
  <c r="AA272" i="23"/>
  <c r="Z272" i="23" s="1"/>
  <c r="Y272" i="23" s="1"/>
  <c r="G272" i="23"/>
  <c r="CD272" i="6" s="1"/>
  <c r="G368" i="22"/>
  <c r="CC368" i="6" s="1"/>
  <c r="AA368" i="22"/>
  <c r="Z368" i="22" s="1"/>
  <c r="Y368" i="22" s="1"/>
  <c r="G376" i="22"/>
  <c r="CC376" i="6" s="1"/>
  <c r="AA376" i="22"/>
  <c r="Z376" i="22" s="1"/>
  <c r="Y376" i="22" s="1"/>
  <c r="G347" i="22"/>
  <c r="CC347" i="6" s="1"/>
  <c r="AA347" i="22"/>
  <c r="Z347" i="22" s="1"/>
  <c r="Y347" i="22" s="1"/>
  <c r="G369" i="22"/>
  <c r="CC369" i="6" s="1"/>
  <c r="AA369" i="22"/>
  <c r="Z369" i="22" s="1"/>
  <c r="Y369" i="22" s="1"/>
  <c r="W253" i="23"/>
  <c r="D253" i="23"/>
  <c r="E253" i="23" s="1"/>
  <c r="F253" i="23" s="1"/>
  <c r="B253" i="24"/>
  <c r="W287" i="24"/>
  <c r="D287" i="24"/>
  <c r="E287" i="24" s="1"/>
  <c r="F287" i="24" s="1"/>
  <c r="B287" i="25"/>
  <c r="W55" i="24"/>
  <c r="D55" i="24"/>
  <c r="E55" i="24" s="1"/>
  <c r="F55" i="24" s="1"/>
  <c r="B55" i="25"/>
  <c r="W83" i="24"/>
  <c r="D83" i="24"/>
  <c r="E83" i="24" s="1"/>
  <c r="F83" i="24" s="1"/>
  <c r="B83" i="25"/>
  <c r="W101" i="24"/>
  <c r="D101" i="24"/>
  <c r="E101" i="24" s="1"/>
  <c r="F101" i="24" s="1"/>
  <c r="B101" i="25"/>
  <c r="W167" i="24"/>
  <c r="D167" i="24"/>
  <c r="E167" i="24" s="1"/>
  <c r="F167" i="24" s="1"/>
  <c r="B167" i="25"/>
  <c r="W197" i="24"/>
  <c r="D197" i="24"/>
  <c r="E197" i="24" s="1"/>
  <c r="F197" i="24" s="1"/>
  <c r="B197" i="25"/>
  <c r="W255" i="24"/>
  <c r="D255" i="24"/>
  <c r="E255" i="24" s="1"/>
  <c r="F255" i="24" s="1"/>
  <c r="B255" i="25"/>
  <c r="W271" i="23"/>
  <c r="D271" i="23"/>
  <c r="E271" i="23" s="1"/>
  <c r="F271" i="23" s="1"/>
  <c r="B271" i="24"/>
  <c r="W323" i="23"/>
  <c r="D323" i="23"/>
  <c r="E323" i="23" s="1"/>
  <c r="F323" i="23" s="1"/>
  <c r="B323" i="24"/>
  <c r="W120" i="23"/>
  <c r="D120" i="23"/>
  <c r="E120" i="23" s="1"/>
  <c r="F120" i="23" s="1"/>
  <c r="B120" i="24"/>
  <c r="W146" i="23"/>
  <c r="D146" i="23"/>
  <c r="E146" i="23" s="1"/>
  <c r="F146" i="23" s="1"/>
  <c r="B146" i="24"/>
  <c r="J379" i="18"/>
  <c r="I379" i="18"/>
  <c r="BA379" i="6" s="1"/>
  <c r="D379" i="6" s="1"/>
  <c r="G53" i="22"/>
  <c r="CC53" i="6" s="1"/>
  <c r="AA53" i="22"/>
  <c r="Z53" i="22" s="1"/>
  <c r="Y53" i="22" s="1"/>
  <c r="J59" i="18"/>
  <c r="I59" i="18"/>
  <c r="BA59" i="6" s="1"/>
  <c r="D59" i="6" s="1"/>
  <c r="G139" i="22"/>
  <c r="CC139" i="6" s="1"/>
  <c r="AA139" i="22"/>
  <c r="Z139" i="22" s="1"/>
  <c r="Y139" i="22" s="1"/>
  <c r="J141" i="18"/>
  <c r="I141" i="18"/>
  <c r="BA141" i="6" s="1"/>
  <c r="G169" i="22"/>
  <c r="CC169" i="6" s="1"/>
  <c r="AA169" i="22"/>
  <c r="Z169" i="22" s="1"/>
  <c r="Y169" i="22" s="1"/>
  <c r="I179" i="18"/>
  <c r="BA179" i="6" s="1"/>
  <c r="D179" i="6" s="1"/>
  <c r="J179" i="18"/>
  <c r="G203" i="22"/>
  <c r="CC203" i="6" s="1"/>
  <c r="AA203" i="22"/>
  <c r="Z203" i="22" s="1"/>
  <c r="Y203" i="22" s="1"/>
  <c r="J211" i="18"/>
  <c r="I211" i="18"/>
  <c r="BA211" i="6" s="1"/>
  <c r="G245" i="22"/>
  <c r="CC245" i="6" s="1"/>
  <c r="AA245" i="22"/>
  <c r="Z245" i="22" s="1"/>
  <c r="Y245" i="22" s="1"/>
  <c r="G277" i="22"/>
  <c r="CC277" i="6" s="1"/>
  <c r="AA277" i="22"/>
  <c r="Z277" i="22" s="1"/>
  <c r="Y277" i="22" s="1"/>
  <c r="J301" i="18"/>
  <c r="I301" i="18"/>
  <c r="BA301" i="6" s="1"/>
  <c r="D301" i="6" s="1"/>
  <c r="G325" i="22"/>
  <c r="CC325" i="6" s="1"/>
  <c r="AA325" i="22"/>
  <c r="Z325" i="22" s="1"/>
  <c r="Y325" i="22" s="1"/>
  <c r="J337" i="18"/>
  <c r="I337" i="18"/>
  <c r="BA337" i="6" s="1"/>
  <c r="G373" i="22"/>
  <c r="CC373" i="6" s="1"/>
  <c r="AA373" i="22"/>
  <c r="Z373" i="22" s="1"/>
  <c r="Y373" i="22" s="1"/>
  <c r="I375" i="18"/>
  <c r="BA375" i="6" s="1"/>
  <c r="D375" i="6" s="1"/>
  <c r="J375" i="18"/>
  <c r="G196" i="20"/>
  <c r="CB196" i="6" s="1"/>
  <c r="AA196" i="20"/>
  <c r="Z196" i="20" s="1"/>
  <c r="Y196" i="20" s="1"/>
  <c r="J119" i="18"/>
  <c r="I119" i="18"/>
  <c r="J149" i="18"/>
  <c r="I149" i="18"/>
  <c r="J105" i="18"/>
  <c r="I105" i="18"/>
  <c r="I316" i="18"/>
  <c r="J316" i="18"/>
  <c r="J16" i="18"/>
  <c r="I16" i="18"/>
  <c r="I298" i="18"/>
  <c r="J298" i="18"/>
  <c r="J208" i="18"/>
  <c r="I208" i="18"/>
  <c r="J35" i="18"/>
  <c r="I35" i="18"/>
  <c r="I227" i="18"/>
  <c r="J227" i="18"/>
  <c r="J216" i="18"/>
  <c r="I216" i="18"/>
  <c r="J368" i="18"/>
  <c r="I368" i="18"/>
  <c r="J66" i="18"/>
  <c r="I66" i="18"/>
  <c r="J376" i="18"/>
  <c r="I376" i="18"/>
  <c r="J114" i="18"/>
  <c r="I114" i="18"/>
  <c r="I347" i="18"/>
  <c r="J347" i="18"/>
  <c r="J244" i="18"/>
  <c r="I244" i="18"/>
  <c r="W42" i="23"/>
  <c r="D42" i="23"/>
  <c r="E42" i="23" s="1"/>
  <c r="F42" i="23" s="1"/>
  <c r="B42" i="24"/>
  <c r="W56" i="23"/>
  <c r="D56" i="23"/>
  <c r="E56" i="23" s="1"/>
  <c r="F56" i="23" s="1"/>
  <c r="B56" i="24"/>
  <c r="W84" i="23"/>
  <c r="D84" i="23"/>
  <c r="E84" i="23" s="1"/>
  <c r="F84" i="23" s="1"/>
  <c r="B84" i="24"/>
  <c r="W104" i="23"/>
  <c r="D104" i="23"/>
  <c r="E104" i="23" s="1"/>
  <c r="F104" i="23" s="1"/>
  <c r="B104" i="24"/>
  <c r="W110" i="23"/>
  <c r="D110" i="23"/>
  <c r="E110" i="23" s="1"/>
  <c r="F110" i="23" s="1"/>
  <c r="B110" i="24"/>
  <c r="W128" i="23"/>
  <c r="D128" i="23"/>
  <c r="E128" i="23" s="1"/>
  <c r="F128" i="23" s="1"/>
  <c r="B128" i="24"/>
  <c r="W140" i="23"/>
  <c r="D140" i="23"/>
  <c r="E140" i="23" s="1"/>
  <c r="F140" i="23" s="1"/>
  <c r="B140" i="24"/>
  <c r="W176" i="23"/>
  <c r="D176" i="23"/>
  <c r="E176" i="23" s="1"/>
  <c r="F176" i="23" s="1"/>
  <c r="B176" i="24"/>
  <c r="W220" i="23"/>
  <c r="D220" i="23"/>
  <c r="E220" i="23" s="1"/>
  <c r="F220" i="23" s="1"/>
  <c r="B220" i="24"/>
  <c r="W246" i="23"/>
  <c r="D246" i="23"/>
  <c r="E246" i="23" s="1"/>
  <c r="F246" i="23" s="1"/>
  <c r="B246" i="24"/>
  <c r="J246" i="18"/>
  <c r="I246" i="18"/>
  <c r="W260" i="23"/>
  <c r="D260" i="23"/>
  <c r="E260" i="23" s="1"/>
  <c r="F260" i="23" s="1"/>
  <c r="B260" i="24"/>
  <c r="W270" i="23"/>
  <c r="D270" i="23"/>
  <c r="E270" i="23" s="1"/>
  <c r="F270" i="23" s="1"/>
  <c r="B270" i="24"/>
  <c r="W276" i="23"/>
  <c r="D276" i="23"/>
  <c r="E276" i="23" s="1"/>
  <c r="F276" i="23" s="1"/>
  <c r="B276" i="24"/>
  <c r="W308" i="23"/>
  <c r="D308" i="23"/>
  <c r="E308" i="23" s="1"/>
  <c r="F308" i="23" s="1"/>
  <c r="B308" i="24"/>
  <c r="W320" i="23"/>
  <c r="D320" i="23"/>
  <c r="E320" i="23" s="1"/>
  <c r="F320" i="23" s="1"/>
  <c r="B320" i="24"/>
  <c r="W336" i="23"/>
  <c r="D336" i="23"/>
  <c r="E336" i="23" s="1"/>
  <c r="F336" i="23" s="1"/>
  <c r="B336" i="24"/>
  <c r="W258" i="22"/>
  <c r="D258" i="22"/>
  <c r="E258" i="22" s="1"/>
  <c r="F258" i="22" s="1"/>
  <c r="B258" i="23"/>
  <c r="G23" i="20"/>
  <c r="CB23" i="6" s="1"/>
  <c r="H23" i="20"/>
  <c r="AA23" i="20"/>
  <c r="Z23" i="20" s="1"/>
  <c r="Y23" i="20" s="1"/>
  <c r="W33" i="23"/>
  <c r="D33" i="23"/>
  <c r="E33" i="23" s="1"/>
  <c r="F33" i="23" s="1"/>
  <c r="B33" i="24"/>
  <c r="W47" i="23"/>
  <c r="D47" i="23"/>
  <c r="E47" i="23" s="1"/>
  <c r="F47" i="23" s="1"/>
  <c r="B47" i="24"/>
  <c r="J47" i="18"/>
  <c r="I47" i="18"/>
  <c r="W69" i="23"/>
  <c r="D69" i="23"/>
  <c r="E69" i="23" s="1"/>
  <c r="F69" i="23" s="1"/>
  <c r="B69" i="24"/>
  <c r="W79" i="23"/>
  <c r="D79" i="23"/>
  <c r="E79" i="23" s="1"/>
  <c r="F79" i="23" s="1"/>
  <c r="B79" i="24"/>
  <c r="G79" i="22"/>
  <c r="CC79" i="6" s="1"/>
  <c r="AA79" i="22"/>
  <c r="Z79" i="22" s="1"/>
  <c r="Y79" i="22" s="1"/>
  <c r="W93" i="23"/>
  <c r="D93" i="23"/>
  <c r="E93" i="23" s="1"/>
  <c r="F93" i="23" s="1"/>
  <c r="B93" i="24"/>
  <c r="W131" i="23"/>
  <c r="D131" i="23"/>
  <c r="E131" i="23" s="1"/>
  <c r="F131" i="23" s="1"/>
  <c r="B131" i="24"/>
  <c r="W147" i="23"/>
  <c r="D147" i="23"/>
  <c r="E147" i="23" s="1"/>
  <c r="F147" i="23" s="1"/>
  <c r="B147" i="24"/>
  <c r="W195" i="23"/>
  <c r="D195" i="23"/>
  <c r="E195" i="23" s="1"/>
  <c r="F195" i="23" s="1"/>
  <c r="B195" i="24"/>
  <c r="W209" i="23"/>
  <c r="D209" i="23"/>
  <c r="E209" i="23" s="1"/>
  <c r="F209" i="23" s="1"/>
  <c r="B209" i="24"/>
  <c r="W221" i="23"/>
  <c r="D221" i="23"/>
  <c r="E221" i="23" s="1"/>
  <c r="F221" i="23" s="1"/>
  <c r="B221" i="24"/>
  <c r="W259" i="22"/>
  <c r="D259" i="22"/>
  <c r="E259" i="22" s="1"/>
  <c r="F259" i="22" s="1"/>
  <c r="B259" i="23"/>
  <c r="G285" i="20"/>
  <c r="CB285" i="6" s="1"/>
  <c r="H285" i="20"/>
  <c r="AA285" i="20"/>
  <c r="Z285" i="20" s="1"/>
  <c r="Y285" i="20" s="1"/>
  <c r="W293" i="22"/>
  <c r="D293" i="22"/>
  <c r="E293" i="22" s="1"/>
  <c r="F293" i="22" s="1"/>
  <c r="B293" i="23"/>
  <c r="G327" i="20"/>
  <c r="CB327" i="6" s="1"/>
  <c r="AA327" i="20"/>
  <c r="Z327" i="20" s="1"/>
  <c r="Y327" i="20" s="1"/>
  <c r="W341" i="22"/>
  <c r="D341" i="22"/>
  <c r="E341" i="22" s="1"/>
  <c r="F341" i="22" s="1"/>
  <c r="B341" i="23"/>
  <c r="G34" i="20"/>
  <c r="CB34" i="6" s="1"/>
  <c r="AA34" i="20"/>
  <c r="Z34" i="20" s="1"/>
  <c r="Y34" i="20" s="1"/>
  <c r="W86" i="22"/>
  <c r="D86" i="22"/>
  <c r="E86" i="22" s="1"/>
  <c r="F86" i="22" s="1"/>
  <c r="B86" i="23"/>
  <c r="G96" i="20"/>
  <c r="CB96" i="6" s="1"/>
  <c r="AA96" i="20"/>
  <c r="Z96" i="20" s="1"/>
  <c r="Y96" i="20" s="1"/>
  <c r="J108" i="18"/>
  <c r="I108" i="18"/>
  <c r="G126" i="20"/>
  <c r="CB126" i="6" s="1"/>
  <c r="AA126" i="20"/>
  <c r="Z126" i="20" s="1"/>
  <c r="Y126" i="20" s="1"/>
  <c r="I142" i="18"/>
  <c r="J142" i="18"/>
  <c r="G188" i="20"/>
  <c r="CB188" i="6" s="1"/>
  <c r="AA188" i="20"/>
  <c r="Z188" i="20" s="1"/>
  <c r="Y188" i="20" s="1"/>
  <c r="J192" i="18"/>
  <c r="I192" i="18"/>
  <c r="G250" i="20"/>
  <c r="CB250" i="6" s="1"/>
  <c r="AA250" i="20"/>
  <c r="Z250" i="20" s="1"/>
  <c r="Y250" i="20" s="1"/>
  <c r="G326" i="20"/>
  <c r="CB326" i="6" s="1"/>
  <c r="AA326" i="20"/>
  <c r="Z326" i="20" s="1"/>
  <c r="Y326" i="20" s="1"/>
  <c r="J334" i="18"/>
  <c r="I334" i="18"/>
  <c r="G372" i="22"/>
  <c r="CC372" i="6" s="1"/>
  <c r="AA372" i="22"/>
  <c r="Z372" i="22" s="1"/>
  <c r="Y372" i="22" s="1"/>
  <c r="J39" i="18"/>
  <c r="I39" i="18"/>
  <c r="BA39" i="6" s="1"/>
  <c r="D39" i="6" s="1"/>
  <c r="G65" i="22"/>
  <c r="CC65" i="6" s="1"/>
  <c r="AA65" i="22"/>
  <c r="Z65" i="22" s="1"/>
  <c r="Y65" i="22" s="1"/>
  <c r="G143" i="22"/>
  <c r="CC143" i="6" s="1"/>
  <c r="AA143" i="22"/>
  <c r="Z143" i="22" s="1"/>
  <c r="Y143" i="22" s="1"/>
  <c r="J151" i="18"/>
  <c r="I151" i="18"/>
  <c r="BA151" i="6" s="1"/>
  <c r="D151" i="6" s="1"/>
  <c r="J193" i="18"/>
  <c r="I193" i="18"/>
  <c r="BA193" i="6" s="1"/>
  <c r="D193" i="6" s="1"/>
  <c r="W223" i="23"/>
  <c r="B223" i="24"/>
  <c r="D223" i="23"/>
  <c r="E223" i="23" s="1"/>
  <c r="F223" i="23" s="1"/>
  <c r="W267" i="23"/>
  <c r="B267" i="24"/>
  <c r="D267" i="23"/>
  <c r="E267" i="23" s="1"/>
  <c r="F267" i="23" s="1"/>
  <c r="W307" i="23"/>
  <c r="D307" i="23"/>
  <c r="E307" i="23" s="1"/>
  <c r="F307" i="23" s="1"/>
  <c r="B307" i="24"/>
  <c r="W357" i="23"/>
  <c r="B357" i="24"/>
  <c r="D357" i="23"/>
  <c r="E357" i="23" s="1"/>
  <c r="F357" i="23" s="1"/>
  <c r="G288" i="22"/>
  <c r="CC288" i="6" s="1"/>
  <c r="AA288" i="22"/>
  <c r="Z288" i="22" s="1"/>
  <c r="Y288" i="22" s="1"/>
  <c r="J288" i="18"/>
  <c r="I288" i="18"/>
  <c r="G18" i="22"/>
  <c r="CC18" i="6" s="1"/>
  <c r="AA18" i="22"/>
  <c r="Z18" i="22" s="1"/>
  <c r="Y18" i="22" s="1"/>
  <c r="J18" i="18"/>
  <c r="I18" i="18"/>
  <c r="G28" i="22"/>
  <c r="CC28" i="6" s="1"/>
  <c r="AA28" i="22"/>
  <c r="Z28" i="22" s="1"/>
  <c r="Y28" i="22" s="1"/>
  <c r="G122" i="22"/>
  <c r="CC122" i="6" s="1"/>
  <c r="AA122" i="22"/>
  <c r="Z122" i="22" s="1"/>
  <c r="Y122" i="22" s="1"/>
  <c r="G138" i="22"/>
  <c r="CC138" i="6" s="1"/>
  <c r="AA138" i="22"/>
  <c r="Z138" i="22" s="1"/>
  <c r="Y138" i="22" s="1"/>
  <c r="G172" i="22"/>
  <c r="CC172" i="6" s="1"/>
  <c r="AA172" i="22"/>
  <c r="Z172" i="22" s="1"/>
  <c r="Y172" i="22" s="1"/>
  <c r="G202" i="22"/>
  <c r="CC202" i="6" s="1"/>
  <c r="AA202" i="22"/>
  <c r="Z202" i="22" s="1"/>
  <c r="Y202" i="22" s="1"/>
  <c r="I202" i="18"/>
  <c r="J202" i="18"/>
  <c r="G238" i="22"/>
  <c r="CC238" i="6" s="1"/>
  <c r="AA238" i="22"/>
  <c r="Z238" i="22" s="1"/>
  <c r="Y238" i="22" s="1"/>
  <c r="J238" i="18"/>
  <c r="I238" i="18"/>
  <c r="G280" i="22"/>
  <c r="CC280" i="6" s="1"/>
  <c r="AA280" i="22"/>
  <c r="Z280" i="22" s="1"/>
  <c r="Y280" i="22" s="1"/>
  <c r="J280" i="18"/>
  <c r="I280" i="18"/>
  <c r="G304" i="22"/>
  <c r="CC304" i="6" s="1"/>
  <c r="AA304" i="22"/>
  <c r="Z304" i="22" s="1"/>
  <c r="Y304" i="22" s="1"/>
  <c r="I304" i="18"/>
  <c r="J304" i="18"/>
  <c r="G324" i="22"/>
  <c r="CC324" i="6" s="1"/>
  <c r="AA324" i="22"/>
  <c r="Z324" i="22" s="1"/>
  <c r="Y324" i="22" s="1"/>
  <c r="I324" i="18"/>
  <c r="J324" i="18"/>
  <c r="G344" i="22"/>
  <c r="CC344" i="6" s="1"/>
  <c r="AA344" i="22"/>
  <c r="Z344" i="22" s="1"/>
  <c r="Y344" i="22" s="1"/>
  <c r="J344" i="18"/>
  <c r="I344" i="18"/>
  <c r="G360" i="22"/>
  <c r="CC360" i="6" s="1"/>
  <c r="AA360" i="22"/>
  <c r="Z360" i="22" s="1"/>
  <c r="Y360" i="22" s="1"/>
  <c r="J360" i="18"/>
  <c r="I360" i="18"/>
  <c r="G370" i="22"/>
  <c r="CC370" i="6" s="1"/>
  <c r="AA370" i="22"/>
  <c r="Z370" i="22" s="1"/>
  <c r="Y370" i="22" s="1"/>
  <c r="G25" i="22"/>
  <c r="CC25" i="6" s="1"/>
  <c r="AA25" i="22"/>
  <c r="Z25" i="22" s="1"/>
  <c r="Y25" i="22" s="1"/>
  <c r="G51" i="22"/>
  <c r="CC51" i="6" s="1"/>
  <c r="AA51" i="22"/>
  <c r="Z51" i="22" s="1"/>
  <c r="Y51" i="22" s="1"/>
  <c r="J51" i="18"/>
  <c r="I51" i="18"/>
  <c r="G85" i="22"/>
  <c r="CC85" i="6" s="1"/>
  <c r="AA85" i="22"/>
  <c r="Z85" i="22" s="1"/>
  <c r="Y85" i="22" s="1"/>
  <c r="J85" i="18"/>
  <c r="I85" i="18"/>
  <c r="G109" i="22"/>
  <c r="CC109" i="6" s="1"/>
  <c r="AA109" i="22"/>
  <c r="Z109" i="22" s="1"/>
  <c r="Y109" i="22" s="1"/>
  <c r="J109" i="18"/>
  <c r="I109" i="18"/>
  <c r="G115" i="22"/>
  <c r="CC115" i="6" s="1"/>
  <c r="AA115" i="22"/>
  <c r="Z115" i="22" s="1"/>
  <c r="Y115" i="22" s="1"/>
  <c r="J115" i="18"/>
  <c r="I115" i="18"/>
  <c r="G121" i="22"/>
  <c r="CC121" i="6" s="1"/>
  <c r="AA121" i="22"/>
  <c r="Z121" i="22" s="1"/>
  <c r="Y121" i="22" s="1"/>
  <c r="J121" i="18"/>
  <c r="I121" i="18"/>
  <c r="G133" i="22"/>
  <c r="CC133" i="6" s="1"/>
  <c r="AA133" i="22"/>
  <c r="Z133" i="22" s="1"/>
  <c r="Y133" i="22" s="1"/>
  <c r="J133" i="18"/>
  <c r="I133" i="18"/>
  <c r="G199" i="22"/>
  <c r="CC199" i="6" s="1"/>
  <c r="AA199" i="22"/>
  <c r="Z199" i="22" s="1"/>
  <c r="Y199" i="22" s="1"/>
  <c r="J199" i="18"/>
  <c r="I199" i="18"/>
  <c r="G217" i="22"/>
  <c r="CC217" i="6" s="1"/>
  <c r="AA217" i="22"/>
  <c r="Z217" i="22" s="1"/>
  <c r="Y217" i="22" s="1"/>
  <c r="G237" i="22"/>
  <c r="CC237" i="6" s="1"/>
  <c r="AA237" i="22"/>
  <c r="Z237" i="22" s="1"/>
  <c r="Y237" i="22" s="1"/>
  <c r="G243" i="22"/>
  <c r="CC243" i="6" s="1"/>
  <c r="AA243" i="22"/>
  <c r="Z243" i="22" s="1"/>
  <c r="Y243" i="22" s="1"/>
  <c r="J243" i="18"/>
  <c r="I243" i="18"/>
  <c r="G297" i="22"/>
  <c r="CC297" i="6" s="1"/>
  <c r="AA297" i="22"/>
  <c r="Z297" i="22" s="1"/>
  <c r="Y297" i="22" s="1"/>
  <c r="J297" i="18"/>
  <c r="I297" i="18"/>
  <c r="G329" i="22"/>
  <c r="CC329" i="6" s="1"/>
  <c r="AA329" i="22"/>
  <c r="Z329" i="22" s="1"/>
  <c r="Y329" i="22" s="1"/>
  <c r="G345" i="22"/>
  <c r="CC345" i="6" s="1"/>
  <c r="AA345" i="22"/>
  <c r="Z345" i="22" s="1"/>
  <c r="Y345" i="22" s="1"/>
  <c r="J345" i="18"/>
  <c r="I345" i="18"/>
  <c r="G355" i="22"/>
  <c r="CC355" i="6" s="1"/>
  <c r="AA355" i="22"/>
  <c r="Z355" i="22" s="1"/>
  <c r="Y355" i="22" s="1"/>
  <c r="J355" i="18"/>
  <c r="I355" i="18"/>
  <c r="G24" i="22"/>
  <c r="CC24" i="6" s="1"/>
  <c r="AA24" i="22"/>
  <c r="Z24" i="22" s="1"/>
  <c r="Y24" i="22" s="1"/>
  <c r="G36" i="22"/>
  <c r="CC36" i="6" s="1"/>
  <c r="AA36" i="22"/>
  <c r="Z36" i="22" s="1"/>
  <c r="Y36" i="22" s="1"/>
  <c r="J36" i="18"/>
  <c r="I36" i="18"/>
  <c r="G44" i="22"/>
  <c r="CC44" i="6" s="1"/>
  <c r="AA44" i="22"/>
  <c r="Z44" i="22" s="1"/>
  <c r="Y44" i="22" s="1"/>
  <c r="I44" i="18"/>
  <c r="J44" i="18"/>
  <c r="G58" i="22"/>
  <c r="CC58" i="6" s="1"/>
  <c r="AA58" i="22"/>
  <c r="Z58" i="22" s="1"/>
  <c r="Y58" i="22" s="1"/>
  <c r="J58" i="18"/>
  <c r="I58" i="18"/>
  <c r="G72" i="22"/>
  <c r="CC72" i="6" s="1"/>
  <c r="AA72" i="22"/>
  <c r="Z72" i="22" s="1"/>
  <c r="Y72" i="22" s="1"/>
  <c r="J72" i="18"/>
  <c r="I72" i="18"/>
  <c r="G102" i="22"/>
  <c r="CC102" i="6" s="1"/>
  <c r="AA102" i="22"/>
  <c r="Z102" i="22" s="1"/>
  <c r="Y102" i="22" s="1"/>
  <c r="J102" i="18"/>
  <c r="I102" i="18"/>
  <c r="G156" i="22"/>
  <c r="CC156" i="6" s="1"/>
  <c r="AA156" i="22"/>
  <c r="Z156" i="22" s="1"/>
  <c r="Y156" i="22" s="1"/>
  <c r="J156" i="18"/>
  <c r="I156" i="18"/>
  <c r="G162" i="22"/>
  <c r="CC162" i="6" s="1"/>
  <c r="AA162" i="22"/>
  <c r="Z162" i="22" s="1"/>
  <c r="Y162" i="22" s="1"/>
  <c r="I162" i="18"/>
  <c r="J162" i="18"/>
  <c r="G186" i="20"/>
  <c r="CB186" i="6" s="1"/>
  <c r="AA186" i="20"/>
  <c r="Z186" i="20" s="1"/>
  <c r="Y186" i="20" s="1"/>
  <c r="W198" i="23"/>
  <c r="D198" i="23"/>
  <c r="E198" i="23" s="1"/>
  <c r="F198" i="23" s="1"/>
  <c r="B198" i="24"/>
  <c r="W206" i="23"/>
  <c r="B206" i="24"/>
  <c r="D206" i="23"/>
  <c r="E206" i="23" s="1"/>
  <c r="F206" i="23" s="1"/>
  <c r="W214" i="23"/>
  <c r="B214" i="24"/>
  <c r="D214" i="23"/>
  <c r="E214" i="23" s="1"/>
  <c r="F214" i="23" s="1"/>
  <c r="W240" i="23"/>
  <c r="D240" i="23"/>
  <c r="E240" i="23" s="1"/>
  <c r="F240" i="23" s="1"/>
  <c r="B240" i="24"/>
  <c r="J240" i="18"/>
  <c r="I240" i="18"/>
  <c r="W264" i="23"/>
  <c r="B264" i="24"/>
  <c r="D264" i="23"/>
  <c r="E264" i="23" s="1"/>
  <c r="F264" i="23" s="1"/>
  <c r="W290" i="23"/>
  <c r="B290" i="24"/>
  <c r="D290" i="23"/>
  <c r="E290" i="23" s="1"/>
  <c r="F290" i="23" s="1"/>
  <c r="W314" i="23"/>
  <c r="D314" i="23"/>
  <c r="E314" i="23" s="1"/>
  <c r="F314" i="23" s="1"/>
  <c r="B314" i="24"/>
  <c r="W340" i="23"/>
  <c r="D340" i="23"/>
  <c r="E340" i="23" s="1"/>
  <c r="F340" i="23" s="1"/>
  <c r="B340" i="24"/>
  <c r="W356" i="23"/>
  <c r="D356" i="23"/>
  <c r="E356" i="23" s="1"/>
  <c r="F356" i="23" s="1"/>
  <c r="B356" i="24"/>
  <c r="W362" i="23"/>
  <c r="D362" i="23"/>
  <c r="E362" i="23" s="1"/>
  <c r="F362" i="23" s="1"/>
  <c r="B362" i="24"/>
  <c r="G362" i="22"/>
  <c r="CC362" i="6" s="1"/>
  <c r="AA362" i="22"/>
  <c r="Z362" i="22" s="1"/>
  <c r="Y362" i="22" s="1"/>
  <c r="J362" i="18"/>
  <c r="I362" i="18"/>
  <c r="W137" i="23"/>
  <c r="D137" i="23"/>
  <c r="E137" i="23" s="1"/>
  <c r="F137" i="23" s="1"/>
  <c r="B137" i="24"/>
  <c r="W78" i="23"/>
  <c r="B78" i="24"/>
  <c r="D78" i="23"/>
  <c r="E78" i="23" s="1"/>
  <c r="F78" i="23" s="1"/>
  <c r="W90" i="23"/>
  <c r="D90" i="23"/>
  <c r="E90" i="23" s="1"/>
  <c r="F90" i="23" s="1"/>
  <c r="B90" i="24"/>
  <c r="W289" i="23"/>
  <c r="D289" i="23"/>
  <c r="E289" i="23" s="1"/>
  <c r="F289" i="23" s="1"/>
  <c r="B289" i="24"/>
  <c r="W378" i="23"/>
  <c r="D378" i="23"/>
  <c r="E378" i="23" s="1"/>
  <c r="F378" i="23" s="1"/>
  <c r="B378" i="24"/>
  <c r="W182" i="23"/>
  <c r="B182" i="24"/>
  <c r="D182" i="23"/>
  <c r="E182" i="23" s="1"/>
  <c r="F182" i="23" s="1"/>
  <c r="W310" i="23"/>
  <c r="B310" i="24"/>
  <c r="D310" i="23"/>
  <c r="E310" i="23" s="1"/>
  <c r="F310" i="23" s="1"/>
  <c r="J310" i="18"/>
  <c r="I310" i="18"/>
  <c r="W236" i="23"/>
  <c r="B236" i="24"/>
  <c r="D236" i="23"/>
  <c r="E236" i="23" s="1"/>
  <c r="F236" i="23" s="1"/>
  <c r="W311" i="23"/>
  <c r="B311" i="24"/>
  <c r="D311" i="23"/>
  <c r="E311" i="23" s="1"/>
  <c r="F311" i="23" s="1"/>
  <c r="W98" i="23"/>
  <c r="D98" i="23"/>
  <c r="E98" i="23" s="1"/>
  <c r="F98" i="23" s="1"/>
  <c r="B98" i="24"/>
  <c r="W374" i="23"/>
  <c r="D374" i="23"/>
  <c r="E374" i="23" s="1"/>
  <c r="F374" i="23" s="1"/>
  <c r="B374" i="24"/>
  <c r="G374" i="22"/>
  <c r="CC374" i="6" s="1"/>
  <c r="AA374" i="22"/>
  <c r="Z374" i="22" s="1"/>
  <c r="Y374" i="22" s="1"/>
  <c r="W163" i="23"/>
  <c r="D163" i="23"/>
  <c r="E163" i="23" s="1"/>
  <c r="F163" i="23" s="1"/>
  <c r="B163" i="24"/>
  <c r="W157" i="23"/>
  <c r="B157" i="24"/>
  <c r="D157" i="23"/>
  <c r="E157" i="23" s="1"/>
  <c r="F157" i="23" s="1"/>
  <c r="W321" i="23"/>
  <c r="B321" i="24"/>
  <c r="D321" i="23"/>
  <c r="E321" i="23" s="1"/>
  <c r="F321" i="23" s="1"/>
  <c r="W125" i="23"/>
  <c r="D125" i="23"/>
  <c r="E125" i="23" s="1"/>
  <c r="F125" i="23" s="1"/>
  <c r="B125" i="24"/>
  <c r="J125" i="18"/>
  <c r="I125" i="18"/>
  <c r="W332" i="23"/>
  <c r="D332" i="23"/>
  <c r="E332" i="23" s="1"/>
  <c r="F332" i="23" s="1"/>
  <c r="B332" i="24"/>
  <c r="W309" i="23"/>
  <c r="D309" i="23"/>
  <c r="E309" i="23" s="1"/>
  <c r="F309" i="23" s="1"/>
  <c r="B309" i="24"/>
  <c r="W73" i="23"/>
  <c r="B73" i="24"/>
  <c r="D73" i="23"/>
  <c r="E73" i="23" s="1"/>
  <c r="F73" i="23" s="1"/>
  <c r="W62" i="23"/>
  <c r="D62" i="23"/>
  <c r="E62" i="23" s="1"/>
  <c r="F62" i="23" s="1"/>
  <c r="B62" i="24"/>
  <c r="W81" i="23"/>
  <c r="B81" i="24"/>
  <c r="D81" i="23"/>
  <c r="E81" i="23" s="1"/>
  <c r="F81" i="23" s="1"/>
  <c r="W295" i="23"/>
  <c r="B295" i="24"/>
  <c r="D295" i="23"/>
  <c r="E295" i="23" s="1"/>
  <c r="F295" i="23" s="1"/>
  <c r="W76" i="23"/>
  <c r="D76" i="23"/>
  <c r="E76" i="23" s="1"/>
  <c r="F76" i="23" s="1"/>
  <c r="B76" i="24"/>
  <c r="W232" i="23"/>
  <c r="B232" i="24"/>
  <c r="D232" i="23"/>
  <c r="E232" i="23" s="1"/>
  <c r="F232" i="23" s="1"/>
  <c r="AM10" i="18"/>
  <c r="F382" i="18"/>
  <c r="F381" i="18"/>
  <c r="AK10" i="18"/>
  <c r="AK12" i="18" s="1"/>
  <c r="AK13" i="18" s="1"/>
  <c r="F383" i="18"/>
  <c r="G15" i="18"/>
  <c r="CA15" i="6" s="1"/>
  <c r="F9" i="18"/>
  <c r="AA15" i="18"/>
  <c r="AL9" i="18" s="1"/>
  <c r="G29" i="23"/>
  <c r="CD29" i="6" s="1"/>
  <c r="AA29" i="23"/>
  <c r="Z29" i="23" s="1"/>
  <c r="Y29" i="23" s="1"/>
  <c r="G150" i="23"/>
  <c r="CD150" i="6" s="1"/>
  <c r="AA150" i="23"/>
  <c r="Z150" i="23" s="1"/>
  <c r="Y150" i="23" s="1"/>
  <c r="G226" i="23"/>
  <c r="CD226" i="6" s="1"/>
  <c r="AA226" i="23"/>
  <c r="Z226" i="23" s="1"/>
  <c r="Y226" i="23" s="1"/>
  <c r="G67" i="23"/>
  <c r="CD67" i="6" s="1"/>
  <c r="AA67" i="23"/>
  <c r="Z67" i="23" s="1"/>
  <c r="Y67" i="23" s="1"/>
  <c r="G349" i="23"/>
  <c r="CD349" i="6" s="1"/>
  <c r="AA349" i="23"/>
  <c r="Z349" i="23" s="1"/>
  <c r="Y349" i="23" s="1"/>
  <c r="G74" i="23"/>
  <c r="CD74" i="6" s="1"/>
  <c r="AA74" i="23"/>
  <c r="Z74" i="23" s="1"/>
  <c r="Y74" i="23" s="1"/>
  <c r="G261" i="23"/>
  <c r="CD261" i="6" s="1"/>
  <c r="AA261" i="23"/>
  <c r="Z261" i="23" s="1"/>
  <c r="Y261" i="23" s="1"/>
  <c r="G75" i="23"/>
  <c r="CD75" i="6" s="1"/>
  <c r="AA75" i="23"/>
  <c r="Z75" i="23" s="1"/>
  <c r="Y75" i="23" s="1"/>
  <c r="G171" i="23"/>
  <c r="CD171" i="6" s="1"/>
  <c r="AA171" i="23"/>
  <c r="Z171" i="23" s="1"/>
  <c r="Y171" i="23" s="1"/>
  <c r="G194" i="23"/>
  <c r="CD194" i="6" s="1"/>
  <c r="AA194" i="23"/>
  <c r="Z194" i="23" s="1"/>
  <c r="Y194" i="23" s="1"/>
  <c r="G154" i="23"/>
  <c r="CD154" i="6" s="1"/>
  <c r="AA154" i="23"/>
  <c r="Z154" i="23" s="1"/>
  <c r="Y154" i="23" s="1"/>
  <c r="G189" i="23"/>
  <c r="CD189" i="6" s="1"/>
  <c r="AA189" i="23"/>
  <c r="Z189" i="23" s="1"/>
  <c r="Y189" i="23" s="1"/>
  <c r="G210" i="22"/>
  <c r="CC210" i="6" s="1"/>
  <c r="AA210" i="22"/>
  <c r="Z210" i="22" s="1"/>
  <c r="Y210" i="22" s="1"/>
  <c r="G244" i="22"/>
  <c r="CC244" i="6" s="1"/>
  <c r="AA244" i="22"/>
  <c r="Z244" i="22" s="1"/>
  <c r="Y244" i="22" s="1"/>
  <c r="G130" i="22"/>
  <c r="CC130" i="6" s="1"/>
  <c r="AA130" i="22"/>
  <c r="Z130" i="22" s="1"/>
  <c r="Y130" i="22" s="1"/>
  <c r="G37" i="22"/>
  <c r="CC37" i="6" s="1"/>
  <c r="AA37" i="22"/>
  <c r="Z37" i="22" s="1"/>
  <c r="Y37" i="22" s="1"/>
  <c r="G77" i="22"/>
  <c r="CC77" i="6" s="1"/>
  <c r="AA77" i="22"/>
  <c r="Z77" i="22" s="1"/>
  <c r="Y77" i="22" s="1"/>
  <c r="G99" i="22"/>
  <c r="CC99" i="6" s="1"/>
  <c r="AA99" i="22"/>
  <c r="Z99" i="22" s="1"/>
  <c r="Y99" i="22" s="1"/>
  <c r="G159" i="22"/>
  <c r="CC159" i="6" s="1"/>
  <c r="AA159" i="22"/>
  <c r="Z159" i="22" s="1"/>
  <c r="Y159" i="22" s="1"/>
  <c r="G185" i="22"/>
  <c r="CC185" i="6" s="1"/>
  <c r="AA185" i="22"/>
  <c r="Z185" i="22" s="1"/>
  <c r="Y185" i="22" s="1"/>
  <c r="G249" i="22"/>
  <c r="CC249" i="6" s="1"/>
  <c r="AA249" i="22"/>
  <c r="Z249" i="22" s="1"/>
  <c r="Y249" i="22" s="1"/>
  <c r="G281" i="22"/>
  <c r="CC281" i="6" s="1"/>
  <c r="AA281" i="22"/>
  <c r="Z281" i="22" s="1"/>
  <c r="Y281" i="22" s="1"/>
  <c r="G148" i="23"/>
  <c r="CD148" i="6" s="1"/>
  <c r="AA148" i="23"/>
  <c r="Z148" i="23" s="1"/>
  <c r="Y148" i="23" s="1"/>
  <c r="G192" i="22"/>
  <c r="CC192" i="6" s="1"/>
  <c r="AA192" i="22"/>
  <c r="Z192" i="22" s="1"/>
  <c r="Y192" i="22" s="1"/>
  <c r="G294" i="22"/>
  <c r="CC294" i="6" s="1"/>
  <c r="AA294" i="22"/>
  <c r="Z294" i="22" s="1"/>
  <c r="Y294" i="22" s="1"/>
  <c r="G334" i="22"/>
  <c r="CC334" i="6" s="1"/>
  <c r="AA334" i="22"/>
  <c r="Z334" i="22" s="1"/>
  <c r="Y334" i="22" s="1"/>
  <c r="W180" i="24"/>
  <c r="D180" i="24"/>
  <c r="E180" i="24" s="1"/>
  <c r="F180" i="24" s="1"/>
  <c r="B180" i="25"/>
  <c r="W60" i="24"/>
  <c r="D60" i="24"/>
  <c r="E60" i="24" s="1"/>
  <c r="F60" i="24" s="1"/>
  <c r="B60" i="25"/>
  <c r="W365" i="24"/>
  <c r="D365" i="24"/>
  <c r="E365" i="24" s="1"/>
  <c r="F365" i="24" s="1"/>
  <c r="B365" i="25"/>
  <c r="W187" i="24"/>
  <c r="D187" i="24"/>
  <c r="E187" i="24" s="1"/>
  <c r="F187" i="24" s="1"/>
  <c r="B187" i="25"/>
  <c r="W177" i="23"/>
  <c r="D177" i="23"/>
  <c r="E177" i="23" s="1"/>
  <c r="F177" i="23" s="1"/>
  <c r="B177" i="24"/>
  <c r="W166" i="23"/>
  <c r="D166" i="23"/>
  <c r="E166" i="23" s="1"/>
  <c r="F166" i="23" s="1"/>
  <c r="B166" i="24"/>
  <c r="W319" i="23"/>
  <c r="D319" i="23"/>
  <c r="E319" i="23" s="1"/>
  <c r="F319" i="23" s="1"/>
  <c r="B319" i="24"/>
  <c r="W17" i="23"/>
  <c r="D17" i="23"/>
  <c r="E17" i="23" s="1"/>
  <c r="F17" i="23" s="1"/>
  <c r="B17" i="24"/>
  <c r="W111" i="23"/>
  <c r="D111" i="23"/>
  <c r="E111" i="23" s="1"/>
  <c r="F111" i="23" s="1"/>
  <c r="B111" i="24"/>
  <c r="W278" i="23"/>
  <c r="D278" i="23"/>
  <c r="E278" i="23" s="1"/>
  <c r="F278" i="23" s="1"/>
  <c r="B278" i="24"/>
  <c r="W135" i="24"/>
  <c r="D135" i="24"/>
  <c r="E135" i="24" s="1"/>
  <c r="F135" i="24" s="1"/>
  <c r="B135" i="25"/>
  <c r="W335" i="24"/>
  <c r="D335" i="24"/>
  <c r="E335" i="24" s="1"/>
  <c r="F335" i="24" s="1"/>
  <c r="B335" i="25"/>
  <c r="W367" i="24"/>
  <c r="D367" i="24"/>
  <c r="E367" i="24" s="1"/>
  <c r="F367" i="24" s="1"/>
  <c r="B367" i="25"/>
  <c r="W241" i="24"/>
  <c r="D241" i="24"/>
  <c r="E241" i="24" s="1"/>
  <c r="F241" i="24" s="1"/>
  <c r="B241" i="25"/>
  <c r="G116" i="23"/>
  <c r="CD116" i="6" s="1"/>
  <c r="AA116" i="23"/>
  <c r="Z116" i="23" s="1"/>
  <c r="Y116" i="23" s="1"/>
  <c r="G161" i="22"/>
  <c r="CC161" i="6" s="1"/>
  <c r="AA161" i="22"/>
  <c r="Z161" i="22" s="1"/>
  <c r="Y161" i="22" s="1"/>
  <c r="G265" i="22"/>
  <c r="CC265" i="6" s="1"/>
  <c r="AA265" i="22"/>
  <c r="Z265" i="22" s="1"/>
  <c r="Y265" i="22" s="1"/>
  <c r="AA61" i="22"/>
  <c r="Z61" i="22" s="1"/>
  <c r="Y61" i="22" s="1"/>
  <c r="G61" i="22"/>
  <c r="CC61" i="6" s="1"/>
  <c r="G89" i="22"/>
  <c r="CC89" i="6" s="1"/>
  <c r="AA89" i="22"/>
  <c r="Z89" i="22" s="1"/>
  <c r="Y89" i="22" s="1"/>
  <c r="G127" i="22"/>
  <c r="CC127" i="6" s="1"/>
  <c r="AA127" i="22"/>
  <c r="Z127" i="22" s="1"/>
  <c r="Y127" i="22" s="1"/>
  <c r="G173" i="22"/>
  <c r="CC173" i="6" s="1"/>
  <c r="AA173" i="22"/>
  <c r="Z173" i="22" s="1"/>
  <c r="Y173" i="22" s="1"/>
  <c r="G219" i="22"/>
  <c r="CC219" i="6" s="1"/>
  <c r="AA219" i="22"/>
  <c r="Z219" i="22" s="1"/>
  <c r="Y219" i="22" s="1"/>
  <c r="G263" i="23"/>
  <c r="CD263" i="6" s="1"/>
  <c r="AA263" i="23"/>
  <c r="Z263" i="23" s="1"/>
  <c r="Y263" i="23" s="1"/>
  <c r="G317" i="23"/>
  <c r="CD317" i="6" s="1"/>
  <c r="AA317" i="23"/>
  <c r="Z317" i="23" s="1"/>
  <c r="Y317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AJ10" i="20"/>
  <c r="E383" i="20"/>
  <c r="AK8" i="20"/>
  <c r="E9" i="20"/>
  <c r="E381" i="20"/>
  <c r="E382" i="20"/>
  <c r="F15" i="20"/>
  <c r="D9" i="20"/>
  <c r="D11" i="20" s="1"/>
  <c r="E40" i="19" s="1"/>
  <c r="D381" i="20"/>
  <c r="J196" i="18"/>
  <c r="I196" i="18"/>
  <c r="BA196" i="6" s="1"/>
  <c r="D196" i="6" s="1"/>
  <c r="J60" i="18"/>
  <c r="I60" i="18"/>
  <c r="J67" i="18"/>
  <c r="I67" i="18"/>
  <c r="J349" i="18"/>
  <c r="I349" i="18"/>
  <c r="J248" i="18"/>
  <c r="I248" i="18"/>
  <c r="J283" i="18"/>
  <c r="I283" i="18"/>
  <c r="I171" i="18"/>
  <c r="J171" i="18"/>
  <c r="J194" i="18"/>
  <c r="I194" i="18"/>
  <c r="J284" i="18"/>
  <c r="I284" i="18"/>
  <c r="J287" i="18"/>
  <c r="I287" i="18"/>
  <c r="J55" i="18"/>
  <c r="I55" i="18"/>
  <c r="J255" i="18"/>
  <c r="I255" i="18"/>
  <c r="J273" i="18"/>
  <c r="I273" i="18"/>
  <c r="J361" i="18"/>
  <c r="I361" i="18"/>
  <c r="I106" i="18"/>
  <c r="BA106" i="6" s="1"/>
  <c r="D106" i="6" s="1"/>
  <c r="J106" i="18"/>
  <c r="J136" i="18"/>
  <c r="I136" i="18"/>
  <c r="BA136" i="6" s="1"/>
  <c r="D136" i="6" s="1"/>
  <c r="J230" i="18"/>
  <c r="I230" i="18"/>
  <c r="BA230" i="6" s="1"/>
  <c r="D230" i="6" s="1"/>
  <c r="J274" i="18"/>
  <c r="I274" i="18"/>
  <c r="BA274" i="6" s="1"/>
  <c r="D274" i="6" s="1"/>
  <c r="J352" i="18"/>
  <c r="I352" i="18"/>
  <c r="BA352" i="6" s="1"/>
  <c r="D352" i="6" s="1"/>
  <c r="J21" i="18"/>
  <c r="I21" i="18"/>
  <c r="BA21" i="6" s="1"/>
  <c r="D21" i="6" s="1"/>
  <c r="J371" i="18"/>
  <c r="I371" i="18"/>
  <c r="BA371" i="6" s="1"/>
  <c r="D371" i="6" s="1"/>
  <c r="J96" i="18"/>
  <c r="I96" i="18"/>
  <c r="BA96" i="6" s="1"/>
  <c r="D96" i="6" s="1"/>
  <c r="J144" i="18"/>
  <c r="I144" i="18"/>
  <c r="BA144" i="6" s="1"/>
  <c r="D144" i="6" s="1"/>
  <c r="J188" i="18"/>
  <c r="I188" i="18"/>
  <c r="BA188" i="6" s="1"/>
  <c r="D188" i="6" s="1"/>
  <c r="J326" i="18"/>
  <c r="I326" i="18"/>
  <c r="BA326" i="6" s="1"/>
  <c r="D326" i="6" s="1"/>
  <c r="G59" i="20"/>
  <c r="CB59" i="6" s="1"/>
  <c r="AA59" i="20"/>
  <c r="Z59" i="20" s="1"/>
  <c r="Y59" i="20" s="1"/>
  <c r="G141" i="20"/>
  <c r="CB141" i="6" s="1"/>
  <c r="AA141" i="20"/>
  <c r="Z141" i="20" s="1"/>
  <c r="Y141" i="20" s="1"/>
  <c r="G179" i="20"/>
  <c r="CB179" i="6" s="1"/>
  <c r="AA179" i="20"/>
  <c r="Z179" i="20" s="1"/>
  <c r="Y179" i="20" s="1"/>
  <c r="G211" i="20"/>
  <c r="CB211" i="6" s="1"/>
  <c r="AA211" i="20"/>
  <c r="Z211" i="20" s="1"/>
  <c r="Y211" i="20" s="1"/>
  <c r="G257" i="20"/>
  <c r="CB257" i="6" s="1"/>
  <c r="AA257" i="20"/>
  <c r="Z257" i="20" s="1"/>
  <c r="Y257" i="20" s="1"/>
  <c r="G301" i="20"/>
  <c r="CB301" i="6" s="1"/>
  <c r="AA301" i="20"/>
  <c r="Z301" i="20" s="1"/>
  <c r="Y301" i="20" s="1"/>
  <c r="G337" i="20"/>
  <c r="CB337" i="6" s="1"/>
  <c r="AA337" i="20"/>
  <c r="Z337" i="20" s="1"/>
  <c r="Y337" i="20" s="1"/>
  <c r="G375" i="20"/>
  <c r="CB375" i="6" s="1"/>
  <c r="AA375" i="20"/>
  <c r="Z375" i="20" s="1"/>
  <c r="Y375" i="20" s="1"/>
  <c r="D15" i="23"/>
  <c r="G379" i="20"/>
  <c r="CB379" i="6" s="1"/>
  <c r="AA379" i="20"/>
  <c r="Z379" i="20" s="1"/>
  <c r="Y379" i="20" s="1"/>
  <c r="J363" i="18"/>
  <c r="I363" i="18"/>
  <c r="G175" i="20"/>
  <c r="CB175" i="6" s="1"/>
  <c r="AA175" i="20"/>
  <c r="Z175" i="20" s="1"/>
  <c r="Y175" i="20" s="1"/>
  <c r="J161" i="18"/>
  <c r="I161" i="18"/>
  <c r="J130" i="18"/>
  <c r="I130" i="18"/>
  <c r="J265" i="18"/>
  <c r="I265" i="18"/>
  <c r="J37" i="18"/>
  <c r="I37" i="18"/>
  <c r="I77" i="18"/>
  <c r="J77" i="18"/>
  <c r="J89" i="18"/>
  <c r="I89" i="18"/>
  <c r="J185" i="18"/>
  <c r="I185" i="18"/>
  <c r="J271" i="18"/>
  <c r="I271" i="18"/>
  <c r="G50" i="20"/>
  <c r="CB50" i="6" s="1"/>
  <c r="AA50" i="20"/>
  <c r="Z50" i="20" s="1"/>
  <c r="Y50" i="20" s="1"/>
  <c r="W70" i="22"/>
  <c r="D70" i="22"/>
  <c r="E70" i="22" s="1"/>
  <c r="F70" i="22" s="1"/>
  <c r="B70" i="23"/>
  <c r="G92" i="20"/>
  <c r="CB92" i="6" s="1"/>
  <c r="AA92" i="20"/>
  <c r="Z92" i="20" s="1"/>
  <c r="Y92" i="20" s="1"/>
  <c r="W106" i="22"/>
  <c r="D106" i="22"/>
  <c r="E106" i="22" s="1"/>
  <c r="F106" i="22" s="1"/>
  <c r="B106" i="23"/>
  <c r="G118" i="20"/>
  <c r="CB118" i="6" s="1"/>
  <c r="AA118" i="20"/>
  <c r="Z118" i="20" s="1"/>
  <c r="Y118" i="20" s="1"/>
  <c r="W136" i="22"/>
  <c r="D136" i="22"/>
  <c r="E136" i="22" s="1"/>
  <c r="F136" i="22" s="1"/>
  <c r="B136" i="23"/>
  <c r="G170" i="20"/>
  <c r="CB170" i="6" s="1"/>
  <c r="AA170" i="20"/>
  <c r="Z170" i="20" s="1"/>
  <c r="Y170" i="20" s="1"/>
  <c r="W178" i="22"/>
  <c r="D178" i="22"/>
  <c r="E178" i="22" s="1"/>
  <c r="F178" i="22" s="1"/>
  <c r="B178" i="23"/>
  <c r="G230" i="20"/>
  <c r="CB230" i="6" s="1"/>
  <c r="AA230" i="20"/>
  <c r="Z230" i="20" s="1"/>
  <c r="Y230" i="20" s="1"/>
  <c r="W254" i="22"/>
  <c r="D254" i="22"/>
  <c r="E254" i="22" s="1"/>
  <c r="F254" i="22" s="1"/>
  <c r="B254" i="23"/>
  <c r="G268" i="20"/>
  <c r="CB268" i="6" s="1"/>
  <c r="AA268" i="20"/>
  <c r="Z268" i="20" s="1"/>
  <c r="Y268" i="20" s="1"/>
  <c r="W274" i="22"/>
  <c r="D274" i="22"/>
  <c r="E274" i="22" s="1"/>
  <c r="F274" i="22" s="1"/>
  <c r="B274" i="23"/>
  <c r="G282" i="20"/>
  <c r="CB282" i="6" s="1"/>
  <c r="AA282" i="20"/>
  <c r="Z282" i="20" s="1"/>
  <c r="Y282" i="20" s="1"/>
  <c r="W318" i="22"/>
  <c r="D318" i="22"/>
  <c r="E318" i="22" s="1"/>
  <c r="F318" i="22" s="1"/>
  <c r="B318" i="23"/>
  <c r="G328" i="20"/>
  <c r="CB328" i="6" s="1"/>
  <c r="AA328" i="20"/>
  <c r="Z328" i="20" s="1"/>
  <c r="Y328" i="20" s="1"/>
  <c r="W352" i="22"/>
  <c r="D352" i="22"/>
  <c r="E352" i="22" s="1"/>
  <c r="F352" i="22" s="1"/>
  <c r="B352" i="23"/>
  <c r="G21" i="20"/>
  <c r="CB21" i="6" s="1"/>
  <c r="AA21" i="20"/>
  <c r="Z21" i="20" s="1"/>
  <c r="Y21" i="20" s="1"/>
  <c r="W31" i="22"/>
  <c r="D31" i="22"/>
  <c r="E31" i="22" s="1"/>
  <c r="F31" i="22" s="1"/>
  <c r="B31" i="23"/>
  <c r="G45" i="20"/>
  <c r="CB45" i="6" s="1"/>
  <c r="AA45" i="20"/>
  <c r="Z45" i="20" s="1"/>
  <c r="Y45" i="20" s="1"/>
  <c r="W49" i="22"/>
  <c r="D49" i="22"/>
  <c r="E49" i="22" s="1"/>
  <c r="F49" i="22" s="1"/>
  <c r="B49" i="23"/>
  <c r="W87" i="22"/>
  <c r="D87" i="22"/>
  <c r="E87" i="22" s="1"/>
  <c r="F87" i="22" s="1"/>
  <c r="B87" i="23"/>
  <c r="G123" i="20"/>
  <c r="CB123" i="6" s="1"/>
  <c r="AA123" i="20"/>
  <c r="Z123" i="20" s="1"/>
  <c r="Y123" i="20" s="1"/>
  <c r="W145" i="22"/>
  <c r="D145" i="22"/>
  <c r="E145" i="22" s="1"/>
  <c r="F145" i="22" s="1"/>
  <c r="B145" i="23"/>
  <c r="G181" i="20"/>
  <c r="CB181" i="6" s="1"/>
  <c r="AA181" i="20"/>
  <c r="Z181" i="20" s="1"/>
  <c r="Y181" i="20" s="1"/>
  <c r="W201" i="22"/>
  <c r="D201" i="22"/>
  <c r="E201" i="22" s="1"/>
  <c r="F201" i="22" s="1"/>
  <c r="B201" i="23"/>
  <c r="G215" i="20"/>
  <c r="CB215" i="6" s="1"/>
  <c r="AA215" i="20"/>
  <c r="Z215" i="20" s="1"/>
  <c r="Y215" i="20" s="1"/>
  <c r="W233" i="22"/>
  <c r="D233" i="22"/>
  <c r="E233" i="22" s="1"/>
  <c r="F233" i="22" s="1"/>
  <c r="B233" i="23"/>
  <c r="G275" i="22"/>
  <c r="CC275" i="6" s="1"/>
  <c r="AA275" i="22"/>
  <c r="Z275" i="22" s="1"/>
  <c r="Y275" i="22" s="1"/>
  <c r="G291" i="22"/>
  <c r="CC291" i="6" s="1"/>
  <c r="AA291" i="22"/>
  <c r="Z291" i="22" s="1"/>
  <c r="Y291" i="22" s="1"/>
  <c r="G303" i="22"/>
  <c r="CC303" i="6" s="1"/>
  <c r="AA303" i="22"/>
  <c r="Z303" i="22" s="1"/>
  <c r="Y303" i="22" s="1"/>
  <c r="G339" i="22"/>
  <c r="CC339" i="6" s="1"/>
  <c r="AA339" i="22"/>
  <c r="Z339" i="22" s="1"/>
  <c r="Y339" i="22" s="1"/>
  <c r="G371" i="20"/>
  <c r="CB371" i="6" s="1"/>
  <c r="AA371" i="20"/>
  <c r="Z371" i="20" s="1"/>
  <c r="Y371" i="20" s="1"/>
  <c r="W80" i="23"/>
  <c r="D80" i="23"/>
  <c r="E80" i="23" s="1"/>
  <c r="F80" i="23" s="1"/>
  <c r="B80" i="24"/>
  <c r="W94" i="23"/>
  <c r="D94" i="23"/>
  <c r="E94" i="23" s="1"/>
  <c r="F94" i="23" s="1"/>
  <c r="B94" i="24"/>
  <c r="W112" i="22"/>
  <c r="D112" i="22"/>
  <c r="E112" i="22" s="1"/>
  <c r="F112" i="22" s="1"/>
  <c r="B112" i="23"/>
  <c r="W144" i="22"/>
  <c r="D144" i="22"/>
  <c r="E144" i="22" s="1"/>
  <c r="F144" i="22" s="1"/>
  <c r="B144" i="23"/>
  <c r="W218" i="22"/>
  <c r="D218" i="22"/>
  <c r="E218" i="22" s="1"/>
  <c r="F218" i="22" s="1"/>
  <c r="B218" i="23"/>
  <c r="J228" i="18"/>
  <c r="I228" i="18"/>
  <c r="W296" i="22"/>
  <c r="D296" i="22"/>
  <c r="E296" i="22" s="1"/>
  <c r="F296" i="22" s="1"/>
  <c r="B296" i="23"/>
  <c r="W348" i="22"/>
  <c r="D348" i="22"/>
  <c r="E348" i="22" s="1"/>
  <c r="F348" i="22" s="1"/>
  <c r="B348" i="23"/>
  <c r="W39" i="22"/>
  <c r="D39" i="22"/>
  <c r="E39" i="22" s="1"/>
  <c r="F39" i="22" s="1"/>
  <c r="B39" i="23"/>
  <c r="W107" i="22"/>
  <c r="D107" i="22"/>
  <c r="E107" i="22" s="1"/>
  <c r="F107" i="22" s="1"/>
  <c r="B107" i="23"/>
  <c r="W151" i="22"/>
  <c r="D151" i="22"/>
  <c r="E151" i="22" s="1"/>
  <c r="F151" i="22" s="1"/>
  <c r="B151" i="23"/>
  <c r="D193" i="22"/>
  <c r="E193" i="22" s="1"/>
  <c r="F193" i="22" s="1"/>
  <c r="W193" i="22"/>
  <c r="B193" i="23"/>
  <c r="G231" i="20"/>
  <c r="CB231" i="6" s="1"/>
  <c r="AA231" i="20"/>
  <c r="Z231" i="20" s="1"/>
  <c r="Y231" i="20" s="1"/>
  <c r="G269" i="20"/>
  <c r="CB269" i="6" s="1"/>
  <c r="AA269" i="20"/>
  <c r="Z269" i="20" s="1"/>
  <c r="Y269" i="20" s="1"/>
  <c r="G313" i="20"/>
  <c r="CB313" i="6" s="1"/>
  <c r="AA313" i="20"/>
  <c r="Z313" i="20" s="1"/>
  <c r="Y313" i="20" s="1"/>
  <c r="G359" i="20"/>
  <c r="CB359" i="6" s="1"/>
  <c r="AA359" i="20"/>
  <c r="Z359" i="20" s="1"/>
  <c r="Y359" i="20" s="1"/>
  <c r="J292" i="18"/>
  <c r="I292" i="18"/>
  <c r="BA292" i="6" s="1"/>
  <c r="D292" i="6" s="1"/>
  <c r="J364" i="18"/>
  <c r="I364" i="18"/>
  <c r="BA364" i="6" s="1"/>
  <c r="D364" i="6" s="1"/>
  <c r="J113" i="18"/>
  <c r="I113" i="18"/>
  <c r="BA113" i="6" s="1"/>
  <c r="J117" i="18"/>
  <c r="I117" i="18"/>
  <c r="BA117" i="6" s="1"/>
  <c r="D117" i="6" s="1"/>
  <c r="I213" i="18"/>
  <c r="BA213" i="6" s="1"/>
  <c r="D213" i="6" s="1"/>
  <c r="J213" i="18"/>
  <c r="J225" i="18"/>
  <c r="I225" i="18"/>
  <c r="BA225" i="6" s="1"/>
  <c r="J315" i="18"/>
  <c r="I315" i="18"/>
  <c r="BA315" i="6" s="1"/>
  <c r="D315" i="6" s="1"/>
  <c r="J377" i="18"/>
  <c r="I377" i="18"/>
  <c r="BA377" i="6" s="1"/>
  <c r="D377" i="6" s="1"/>
  <c r="J40" i="18"/>
  <c r="I40" i="18"/>
  <c r="BA40" i="6" s="1"/>
  <c r="D40" i="6" s="1"/>
  <c r="J54" i="18"/>
  <c r="I54" i="18"/>
  <c r="BA54" i="6" s="1"/>
  <c r="D54" i="6" s="1"/>
  <c r="I134" i="18"/>
  <c r="BA134" i="6" s="1"/>
  <c r="D134" i="6" s="1"/>
  <c r="J134" i="18"/>
  <c r="J200" i="18"/>
  <c r="I200" i="18"/>
  <c r="BA200" i="6" s="1"/>
  <c r="D200" i="6" s="1"/>
  <c r="J242" i="18"/>
  <c r="I242" i="18"/>
  <c r="BA242" i="6" s="1"/>
  <c r="D242" i="6" s="1"/>
  <c r="J358" i="18"/>
  <c r="I358" i="18"/>
  <c r="BA358" i="6" s="1"/>
  <c r="D358" i="6" s="1"/>
  <c r="J205" i="18"/>
  <c r="I205" i="18"/>
  <c r="BA205" i="6" s="1"/>
  <c r="D205" i="6" s="1"/>
  <c r="I204" i="18"/>
  <c r="BA204" i="6" s="1"/>
  <c r="D204" i="6" s="1"/>
  <c r="J204" i="18"/>
  <c r="J207" i="18"/>
  <c r="I207" i="18"/>
  <c r="BA207" i="6" s="1"/>
  <c r="D207" i="6" s="1"/>
  <c r="J305" i="18"/>
  <c r="I305" i="18"/>
  <c r="BA305" i="6" s="1"/>
  <c r="D305" i="6" s="1"/>
  <c r="J306" i="18"/>
  <c r="I306" i="18"/>
  <c r="BA306" i="6" s="1"/>
  <c r="D306" i="6" s="1"/>
  <c r="J152" i="18"/>
  <c r="I152" i="18"/>
  <c r="BA152" i="6" s="1"/>
  <c r="D152" i="6" s="1"/>
  <c r="J52" i="18"/>
  <c r="I52" i="18"/>
  <c r="BA52" i="6" s="1"/>
  <c r="D52" i="6" s="1"/>
  <c r="J251" i="18"/>
  <c r="I251" i="18"/>
  <c r="BA251" i="6" s="1"/>
  <c r="D251" i="6" s="1"/>
  <c r="J100" i="18"/>
  <c r="I100" i="18"/>
  <c r="BA100" i="6" s="1"/>
  <c r="D100" i="6" s="1"/>
  <c r="J132" i="18"/>
  <c r="I132" i="18"/>
  <c r="BA132" i="6" s="1"/>
  <c r="D132" i="6" s="1"/>
  <c r="I245" i="18"/>
  <c r="J245" i="18"/>
  <c r="I373" i="18"/>
  <c r="J373" i="18"/>
  <c r="G20" i="20"/>
  <c r="CB20" i="6" s="1"/>
  <c r="AA20" i="20"/>
  <c r="Z20" i="20" s="1"/>
  <c r="Y20" i="20" s="1"/>
  <c r="W27" i="22"/>
  <c r="D27" i="22"/>
  <c r="E27" i="22" s="1"/>
  <c r="F27" i="22" s="1"/>
  <c r="B27" i="23"/>
  <c r="G27" i="20"/>
  <c r="CB27" i="6" s="1"/>
  <c r="AA27" i="20"/>
  <c r="Z27" i="20" s="1"/>
  <c r="Y27" i="20" s="1"/>
  <c r="G48" i="20"/>
  <c r="CB48" i="6" s="1"/>
  <c r="AA48" i="20"/>
  <c r="Z48" i="20" s="1"/>
  <c r="Y48" i="20" s="1"/>
  <c r="W124" i="22"/>
  <c r="D124" i="22"/>
  <c r="E124" i="22" s="1"/>
  <c r="F124" i="22" s="1"/>
  <c r="B124" i="23"/>
  <c r="G160" i="20"/>
  <c r="CB160" i="6" s="1"/>
  <c r="H160" i="20"/>
  <c r="AA160" i="20"/>
  <c r="Z160" i="20" s="1"/>
  <c r="Y160" i="20" s="1"/>
  <c r="W184" i="22"/>
  <c r="D184" i="22"/>
  <c r="E184" i="22" s="1"/>
  <c r="F184" i="22" s="1"/>
  <c r="B184" i="23"/>
  <c r="G234" i="20"/>
  <c r="CB234" i="6" s="1"/>
  <c r="H234" i="20"/>
  <c r="AA234" i="20"/>
  <c r="Z234" i="20" s="1"/>
  <c r="Y234" i="20" s="1"/>
  <c r="W256" i="22"/>
  <c r="D256" i="22"/>
  <c r="E256" i="22" s="1"/>
  <c r="F256" i="22" s="1"/>
  <c r="B256" i="23"/>
  <c r="G266" i="20"/>
  <c r="CB266" i="6" s="1"/>
  <c r="AA266" i="20"/>
  <c r="Z266" i="20" s="1"/>
  <c r="Y266" i="20" s="1"/>
  <c r="W292" i="22"/>
  <c r="D292" i="22"/>
  <c r="E292" i="22" s="1"/>
  <c r="F292" i="22" s="1"/>
  <c r="B292" i="23"/>
  <c r="G322" i="20"/>
  <c r="CB322" i="6" s="1"/>
  <c r="AA322" i="20"/>
  <c r="Z322" i="20" s="1"/>
  <c r="Y322" i="20" s="1"/>
  <c r="H322" i="20"/>
  <c r="W330" i="22"/>
  <c r="D330" i="22"/>
  <c r="E330" i="22" s="1"/>
  <c r="F330" i="22" s="1"/>
  <c r="B330" i="23"/>
  <c r="G350" i="20"/>
  <c r="CB350" i="6" s="1"/>
  <c r="AA350" i="20"/>
  <c r="Z350" i="20" s="1"/>
  <c r="Y350" i="20" s="1"/>
  <c r="W364" i="22"/>
  <c r="D364" i="22"/>
  <c r="E364" i="22" s="1"/>
  <c r="F364" i="22" s="1"/>
  <c r="B364" i="23"/>
  <c r="G26" i="20"/>
  <c r="CB26" i="6" s="1"/>
  <c r="AA26" i="20"/>
  <c r="Z26" i="20" s="1"/>
  <c r="Y26" i="20" s="1"/>
  <c r="W41" i="22"/>
  <c r="D41" i="22"/>
  <c r="E41" i="22" s="1"/>
  <c r="F41" i="22" s="1"/>
  <c r="B41" i="23"/>
  <c r="G57" i="20"/>
  <c r="CB57" i="6" s="1"/>
  <c r="AA57" i="20"/>
  <c r="Z57" i="20" s="1"/>
  <c r="Y57" i="20" s="1"/>
  <c r="W91" i="22"/>
  <c r="D91" i="22"/>
  <c r="E91" i="22" s="1"/>
  <c r="F91" i="22" s="1"/>
  <c r="B91" i="23"/>
  <c r="G113" i="20"/>
  <c r="CB113" i="6" s="1"/>
  <c r="AA113" i="20"/>
  <c r="Z113" i="20" s="1"/>
  <c r="Y113" i="20" s="1"/>
  <c r="W117" i="22"/>
  <c r="D117" i="22"/>
  <c r="E117" i="22" s="1"/>
  <c r="F117" i="22" s="1"/>
  <c r="B117" i="23"/>
  <c r="G129" i="20"/>
  <c r="CB129" i="6" s="1"/>
  <c r="AA129" i="20"/>
  <c r="Z129" i="20" s="1"/>
  <c r="Y129" i="20" s="1"/>
  <c r="W165" i="22"/>
  <c r="D165" i="22"/>
  <c r="E165" i="22" s="1"/>
  <c r="F165" i="22" s="1"/>
  <c r="B165" i="23"/>
  <c r="G213" i="20"/>
  <c r="CB213" i="6" s="1"/>
  <c r="AA213" i="20"/>
  <c r="Z213" i="20" s="1"/>
  <c r="Y213" i="20" s="1"/>
  <c r="W225" i="22"/>
  <c r="D225" i="22"/>
  <c r="E225" i="22" s="1"/>
  <c r="F225" i="22" s="1"/>
  <c r="B225" i="23"/>
  <c r="G239" i="20"/>
  <c r="CB239" i="6" s="1"/>
  <c r="AA239" i="20"/>
  <c r="Z239" i="20" s="1"/>
  <c r="Y239" i="20" s="1"/>
  <c r="W279" i="22"/>
  <c r="D279" i="22"/>
  <c r="E279" i="22" s="1"/>
  <c r="F279" i="22" s="1"/>
  <c r="B279" i="23"/>
  <c r="G315" i="20"/>
  <c r="CB315" i="6" s="1"/>
  <c r="AA315" i="20"/>
  <c r="Z315" i="20" s="1"/>
  <c r="Y315" i="20" s="1"/>
  <c r="W343" i="22"/>
  <c r="D343" i="22"/>
  <c r="E343" i="22" s="1"/>
  <c r="F343" i="22" s="1"/>
  <c r="B343" i="23"/>
  <c r="G351" i="20"/>
  <c r="CB351" i="6" s="1"/>
  <c r="AA351" i="20"/>
  <c r="Z351" i="20" s="1"/>
  <c r="Y351" i="20" s="1"/>
  <c r="W377" i="22"/>
  <c r="D377" i="22"/>
  <c r="E377" i="22" s="1"/>
  <c r="F377" i="22" s="1"/>
  <c r="B377" i="23"/>
  <c r="G30" i="20"/>
  <c r="CB30" i="6" s="1"/>
  <c r="AA30" i="20"/>
  <c r="Z30" i="20" s="1"/>
  <c r="Y30" i="20" s="1"/>
  <c r="W40" i="22"/>
  <c r="D40" i="22"/>
  <c r="E40" i="22" s="1"/>
  <c r="F40" i="22" s="1"/>
  <c r="B40" i="23"/>
  <c r="G54" i="20"/>
  <c r="CB54" i="6" s="1"/>
  <c r="AA54" i="20"/>
  <c r="Z54" i="20" s="1"/>
  <c r="Y54" i="20" s="1"/>
  <c r="W68" i="22"/>
  <c r="D68" i="22"/>
  <c r="E68" i="22" s="1"/>
  <c r="F68" i="22" s="1"/>
  <c r="B68" i="23"/>
  <c r="W134" i="22"/>
  <c r="D134" i="22"/>
  <c r="E134" i="22" s="1"/>
  <c r="F134" i="22" s="1"/>
  <c r="B134" i="23"/>
  <c r="G158" i="20"/>
  <c r="CB158" i="6" s="1"/>
  <c r="AA158" i="20"/>
  <c r="Z158" i="20" s="1"/>
  <c r="Y158" i="20" s="1"/>
  <c r="W168" i="22"/>
  <c r="D168" i="22"/>
  <c r="E168" i="22" s="1"/>
  <c r="F168" i="22" s="1"/>
  <c r="B168" i="23"/>
  <c r="J190" i="18"/>
  <c r="I190" i="18"/>
  <c r="G200" i="20"/>
  <c r="CB200" i="6" s="1"/>
  <c r="AA200" i="20"/>
  <c r="Z200" i="20" s="1"/>
  <c r="Y200" i="20" s="1"/>
  <c r="W212" i="22"/>
  <c r="D212" i="22"/>
  <c r="E212" i="22" s="1"/>
  <c r="F212" i="22" s="1"/>
  <c r="B212" i="23"/>
  <c r="G224" i="20"/>
  <c r="CB224" i="6" s="1"/>
  <c r="AA224" i="20"/>
  <c r="Z224" i="20" s="1"/>
  <c r="Y224" i="20" s="1"/>
  <c r="W242" i="22"/>
  <c r="D242" i="22"/>
  <c r="E242" i="22" s="1"/>
  <c r="F242" i="22" s="1"/>
  <c r="B242" i="23"/>
  <c r="G286" i="20"/>
  <c r="CB286" i="6" s="1"/>
  <c r="AA286" i="20"/>
  <c r="Z286" i="20" s="1"/>
  <c r="Y286" i="20" s="1"/>
  <c r="W312" i="22"/>
  <c r="D312" i="22"/>
  <c r="E312" i="22" s="1"/>
  <c r="F312" i="22" s="1"/>
  <c r="B312" i="23"/>
  <c r="G338" i="20"/>
  <c r="CB338" i="6" s="1"/>
  <c r="AA338" i="20"/>
  <c r="Z338" i="20" s="1"/>
  <c r="Y338" i="20" s="1"/>
  <c r="W342" i="22"/>
  <c r="D342" i="22"/>
  <c r="E342" i="22" s="1"/>
  <c r="F342" i="22" s="1"/>
  <c r="B342" i="23"/>
  <c r="G358" i="20"/>
  <c r="CB358" i="6" s="1"/>
  <c r="AA358" i="20"/>
  <c r="Z358" i="20" s="1"/>
  <c r="Y358" i="20" s="1"/>
  <c r="W366" i="22"/>
  <c r="D366" i="22"/>
  <c r="E366" i="22" s="1"/>
  <c r="F366" i="22" s="1"/>
  <c r="B380" i="22"/>
  <c r="H9" i="22" s="1"/>
  <c r="B366" i="23"/>
  <c r="G64" i="20"/>
  <c r="CB64" i="6" s="1"/>
  <c r="AA64" i="20"/>
  <c r="Z64" i="20" s="1"/>
  <c r="Y64" i="20" s="1"/>
  <c r="W222" i="22"/>
  <c r="D222" i="22"/>
  <c r="E222" i="22" s="1"/>
  <c r="F222" i="22" s="1"/>
  <c r="B222" i="23"/>
  <c r="G205" i="20"/>
  <c r="CB205" i="6" s="1"/>
  <c r="AA205" i="20"/>
  <c r="Z205" i="20" s="1"/>
  <c r="Y205" i="20" s="1"/>
  <c r="W204" i="22"/>
  <c r="D204" i="22"/>
  <c r="E204" i="22" s="1"/>
  <c r="F204" i="22" s="1"/>
  <c r="B204" i="23"/>
  <c r="G207" i="20"/>
  <c r="CB207" i="6" s="1"/>
  <c r="AA207" i="20"/>
  <c r="Z207" i="20" s="1"/>
  <c r="Y207" i="20" s="1"/>
  <c r="W252" i="22"/>
  <c r="D252" i="22"/>
  <c r="E252" i="22" s="1"/>
  <c r="F252" i="22" s="1"/>
  <c r="B252" i="23"/>
  <c r="G299" i="20"/>
  <c r="CB299" i="6" s="1"/>
  <c r="AA299" i="20"/>
  <c r="Z299" i="20" s="1"/>
  <c r="Y299" i="20" s="1"/>
  <c r="W305" i="22"/>
  <c r="D305" i="22"/>
  <c r="E305" i="22" s="1"/>
  <c r="F305" i="22" s="1"/>
  <c r="B305" i="23"/>
  <c r="G306" i="20"/>
  <c r="CB306" i="6" s="1"/>
  <c r="AA306" i="20"/>
  <c r="Z306" i="20" s="1"/>
  <c r="Y306" i="20" s="1"/>
  <c r="W152" i="22"/>
  <c r="D152" i="22"/>
  <c r="E152" i="22" s="1"/>
  <c r="F152" i="22" s="1"/>
  <c r="B152" i="23"/>
  <c r="G353" i="20"/>
  <c r="CB353" i="6" s="1"/>
  <c r="AA353" i="20"/>
  <c r="Z353" i="20" s="1"/>
  <c r="Y353" i="20" s="1"/>
  <c r="W52" i="22"/>
  <c r="D52" i="22"/>
  <c r="E52" i="22" s="1"/>
  <c r="F52" i="22" s="1"/>
  <c r="B52" i="23"/>
  <c r="G229" i="20"/>
  <c r="CB229" i="6" s="1"/>
  <c r="AA229" i="20"/>
  <c r="Z229" i="20" s="1"/>
  <c r="Y229" i="20" s="1"/>
  <c r="W103" i="22"/>
  <c r="D103" i="22"/>
  <c r="E103" i="22" s="1"/>
  <c r="F103" i="22" s="1"/>
  <c r="B103" i="23"/>
  <c r="G32" i="20"/>
  <c r="CB32" i="6" s="1"/>
  <c r="AA32" i="20"/>
  <c r="Z32" i="20" s="1"/>
  <c r="Y32" i="20" s="1"/>
  <c r="W235" i="22"/>
  <c r="D235" i="22"/>
  <c r="E235" i="22" s="1"/>
  <c r="F235" i="22" s="1"/>
  <c r="B235" i="23"/>
  <c r="G331" i="20"/>
  <c r="CB331" i="6" s="1"/>
  <c r="AA331" i="20"/>
  <c r="Z331" i="20" s="1"/>
  <c r="Y331" i="20" s="1"/>
  <c r="W251" i="22"/>
  <c r="D251" i="22"/>
  <c r="E251" i="22" s="1"/>
  <c r="F251" i="22" s="1"/>
  <c r="B251" i="23"/>
  <c r="G100" i="20"/>
  <c r="CB100" i="6" s="1"/>
  <c r="AA100" i="20"/>
  <c r="Z100" i="20" s="1"/>
  <c r="Y100" i="20" s="1"/>
  <c r="W153" i="22"/>
  <c r="D153" i="22"/>
  <c r="E153" i="22" s="1"/>
  <c r="F153" i="22" s="1"/>
  <c r="B153" i="23"/>
  <c r="G38" i="20"/>
  <c r="CB38" i="6" s="1"/>
  <c r="AA38" i="20"/>
  <c r="Z38" i="20" s="1"/>
  <c r="Y38" i="20" s="1"/>
  <c r="W132" i="22"/>
  <c r="D132" i="22"/>
  <c r="E132" i="22" s="1"/>
  <c r="F132" i="22" s="1"/>
  <c r="B132" i="23"/>
  <c r="G174" i="20"/>
  <c r="CB174" i="6" s="1"/>
  <c r="AA174" i="20"/>
  <c r="Z174" i="20" s="1"/>
  <c r="Y174" i="20" s="1"/>
  <c r="G119" i="22"/>
  <c r="CC119" i="6" s="1"/>
  <c r="AA119" i="22"/>
  <c r="Z119" i="22" s="1"/>
  <c r="Y119" i="22" s="1"/>
  <c r="G105" i="22"/>
  <c r="CC105" i="6" s="1"/>
  <c r="AA105" i="22"/>
  <c r="Z105" i="22" s="1"/>
  <c r="Y105" i="22" s="1"/>
  <c r="G208" i="22"/>
  <c r="CC208" i="6" s="1"/>
  <c r="AA208" i="22"/>
  <c r="Z208" i="22" s="1"/>
  <c r="Y208" i="22" s="1"/>
  <c r="G35" i="22"/>
  <c r="CC35" i="6" s="1"/>
  <c r="AA35" i="22"/>
  <c r="Z35" i="22" s="1"/>
  <c r="Y35" i="22" s="1"/>
  <c r="G227" i="22"/>
  <c r="CC227" i="6" s="1"/>
  <c r="AA227" i="22"/>
  <c r="Z227" i="22" s="1"/>
  <c r="Y227" i="22" s="1"/>
  <c r="G354" i="22"/>
  <c r="CC354" i="6" s="1"/>
  <c r="AA354" i="22"/>
  <c r="Z354" i="22" s="1"/>
  <c r="Y354" i="22" s="1"/>
  <c r="G216" i="22"/>
  <c r="CC216" i="6" s="1"/>
  <c r="AA216" i="22"/>
  <c r="Z216" i="22" s="1"/>
  <c r="Y216" i="22" s="1"/>
  <c r="G43" i="22"/>
  <c r="CC43" i="6" s="1"/>
  <c r="AA43" i="22"/>
  <c r="Z43" i="22" s="1"/>
  <c r="Y43" i="22" s="1"/>
  <c r="G95" i="22"/>
  <c r="CC95" i="6" s="1"/>
  <c r="AA95" i="22"/>
  <c r="Z95" i="22" s="1"/>
  <c r="Y95" i="22" s="1"/>
  <c r="G114" i="22"/>
  <c r="CC114" i="6" s="1"/>
  <c r="AA114" i="22"/>
  <c r="Z114" i="22" s="1"/>
  <c r="Y114" i="22" s="1"/>
  <c r="G302" i="23"/>
  <c r="CD302" i="6" s="1"/>
  <c r="AA302" i="23"/>
  <c r="Z302" i="23" s="1"/>
  <c r="Y302" i="23" s="1"/>
  <c r="G284" i="23"/>
  <c r="CD284" i="6" s="1"/>
  <c r="AA284" i="23"/>
  <c r="Z284" i="23" s="1"/>
  <c r="Y284" i="23" s="1"/>
  <c r="G19" i="23"/>
  <c r="CD19" i="6" s="1"/>
  <c r="AA19" i="23"/>
  <c r="Z19" i="23" s="1"/>
  <c r="Y19" i="23" s="1"/>
  <c r="G88" i="23"/>
  <c r="CD88" i="6" s="1"/>
  <c r="AA88" i="23"/>
  <c r="Z88" i="23" s="1"/>
  <c r="Y88" i="23" s="1"/>
  <c r="AA63" i="23"/>
  <c r="Z63" i="23" s="1"/>
  <c r="Y63" i="23" s="1"/>
  <c r="G63" i="23"/>
  <c r="CD63" i="6" s="1"/>
  <c r="G97" i="23"/>
  <c r="CD97" i="6" s="1"/>
  <c r="AA97" i="23"/>
  <c r="Z97" i="23" s="1"/>
  <c r="Y97" i="23" s="1"/>
  <c r="G155" i="23"/>
  <c r="CD155" i="6" s="1"/>
  <c r="AA155" i="23"/>
  <c r="Z155" i="23" s="1"/>
  <c r="Y155" i="23" s="1"/>
  <c r="G183" i="23"/>
  <c r="CD183" i="6" s="1"/>
  <c r="AA183" i="23"/>
  <c r="Z183" i="23" s="1"/>
  <c r="Y183" i="23" s="1"/>
  <c r="G247" i="23"/>
  <c r="CD247" i="6" s="1"/>
  <c r="AA247" i="23"/>
  <c r="Z247" i="23" s="1"/>
  <c r="Y247" i="23" s="1"/>
  <c r="G273" i="23"/>
  <c r="CD273" i="6" s="1"/>
  <c r="AA273" i="23"/>
  <c r="Z273" i="23" s="1"/>
  <c r="Y273" i="23" s="1"/>
  <c r="G361" i="23"/>
  <c r="CD361" i="6" s="1"/>
  <c r="AA361" i="23"/>
  <c r="Z361" i="23" s="1"/>
  <c r="Y361" i="23" s="1"/>
  <c r="G164" i="22"/>
  <c r="CC164" i="6" s="1"/>
  <c r="AA164" i="22"/>
  <c r="Z164" i="22" s="1"/>
  <c r="Y164" i="22" s="1"/>
  <c r="G300" i="22"/>
  <c r="CC300" i="6" s="1"/>
  <c r="AA300" i="22"/>
  <c r="Z300" i="22" s="1"/>
  <c r="Y300" i="22" s="1"/>
  <c r="G363" i="22"/>
  <c r="CC363" i="6" s="1"/>
  <c r="AA363" i="22"/>
  <c r="Z363" i="22" s="1"/>
  <c r="Y363" i="22" s="1"/>
  <c r="W333" i="23"/>
  <c r="D333" i="23"/>
  <c r="E333" i="23" s="1"/>
  <c r="F333" i="23" s="1"/>
  <c r="B333" i="24"/>
  <c r="W149" i="23"/>
  <c r="D149" i="23"/>
  <c r="E149" i="23" s="1"/>
  <c r="F149" i="23" s="1"/>
  <c r="B149" i="24"/>
  <c r="W316" i="23"/>
  <c r="D316" i="23"/>
  <c r="E316" i="23" s="1"/>
  <c r="F316" i="23" s="1"/>
  <c r="B316" i="24"/>
  <c r="W298" i="23"/>
  <c r="D298" i="23"/>
  <c r="E298" i="23" s="1"/>
  <c r="F298" i="23" s="1"/>
  <c r="B298" i="24"/>
  <c r="W46" i="24"/>
  <c r="D46" i="24"/>
  <c r="E46" i="24" s="1"/>
  <c r="F46" i="24" s="1"/>
  <c r="B46" i="25"/>
  <c r="W22" i="24"/>
  <c r="D22" i="24"/>
  <c r="E22" i="24" s="1"/>
  <c r="F22" i="24" s="1"/>
  <c r="B22" i="25"/>
  <c r="W248" i="24"/>
  <c r="D248" i="24"/>
  <c r="E248" i="24" s="1"/>
  <c r="F248" i="24" s="1"/>
  <c r="B248" i="25"/>
  <c r="W283" i="24"/>
  <c r="D283" i="24"/>
  <c r="E283" i="24" s="1"/>
  <c r="F283" i="24" s="1"/>
  <c r="B283" i="25"/>
  <c r="W346" i="24"/>
  <c r="D346" i="24"/>
  <c r="E346" i="24" s="1"/>
  <c r="F346" i="24" s="1"/>
  <c r="B346" i="25"/>
  <c r="D272" i="24"/>
  <c r="E272" i="24" s="1"/>
  <c r="F272" i="24" s="1"/>
  <c r="W272" i="24"/>
  <c r="B272" i="25"/>
  <c r="W368" i="23"/>
  <c r="D368" i="23"/>
  <c r="E368" i="23" s="1"/>
  <c r="F368" i="23" s="1"/>
  <c r="B368" i="24"/>
  <c r="W376" i="23"/>
  <c r="D376" i="23"/>
  <c r="E376" i="23" s="1"/>
  <c r="F376" i="23" s="1"/>
  <c r="B376" i="24"/>
  <c r="W347" i="23"/>
  <c r="D347" i="23"/>
  <c r="E347" i="23" s="1"/>
  <c r="F347" i="23" s="1"/>
  <c r="B347" i="24"/>
  <c r="W369" i="23"/>
  <c r="D369" i="23"/>
  <c r="E369" i="23" s="1"/>
  <c r="F369" i="23" s="1"/>
  <c r="B369" i="24"/>
  <c r="G253" i="22"/>
  <c r="CC253" i="6" s="1"/>
  <c r="AA253" i="22"/>
  <c r="Z253" i="22" s="1"/>
  <c r="Y253" i="22" s="1"/>
  <c r="G287" i="23"/>
  <c r="CD287" i="6" s="1"/>
  <c r="AA287" i="23"/>
  <c r="Z287" i="23" s="1"/>
  <c r="Y287" i="23" s="1"/>
  <c r="G55" i="23"/>
  <c r="CD55" i="6" s="1"/>
  <c r="AA55" i="23"/>
  <c r="Z55" i="23" s="1"/>
  <c r="Y55" i="23" s="1"/>
  <c r="G83" i="23"/>
  <c r="CD83" i="6" s="1"/>
  <c r="AA83" i="23"/>
  <c r="Z83" i="23" s="1"/>
  <c r="Y83" i="23" s="1"/>
  <c r="G101" i="23"/>
  <c r="CD101" i="6" s="1"/>
  <c r="AA101" i="23"/>
  <c r="Z101" i="23" s="1"/>
  <c r="Y101" i="23" s="1"/>
  <c r="G167" i="23"/>
  <c r="CD167" i="6" s="1"/>
  <c r="AA167" i="23"/>
  <c r="Z167" i="23" s="1"/>
  <c r="Y167" i="23" s="1"/>
  <c r="G197" i="23"/>
  <c r="CD197" i="6" s="1"/>
  <c r="AA197" i="23"/>
  <c r="Z197" i="23" s="1"/>
  <c r="Y197" i="23" s="1"/>
  <c r="G255" i="23"/>
  <c r="CD255" i="6" s="1"/>
  <c r="AA255" i="23"/>
  <c r="Z255" i="23" s="1"/>
  <c r="Y255" i="23" s="1"/>
  <c r="G271" i="22"/>
  <c r="CC271" i="6" s="1"/>
  <c r="AA271" i="22"/>
  <c r="Z271" i="22" s="1"/>
  <c r="Y271" i="22" s="1"/>
  <c r="G323" i="22"/>
  <c r="CC323" i="6" s="1"/>
  <c r="AA323" i="22"/>
  <c r="Z323" i="22" s="1"/>
  <c r="Y323" i="22" s="1"/>
  <c r="G120" i="22"/>
  <c r="CC120" i="6" s="1"/>
  <c r="AA120" i="22"/>
  <c r="Z120" i="22" s="1"/>
  <c r="Y120" i="22" s="1"/>
  <c r="G146" i="22"/>
  <c r="CC146" i="6" s="1"/>
  <c r="AA146" i="22"/>
  <c r="Z146" i="22" s="1"/>
  <c r="Y146" i="22" s="1"/>
  <c r="W53" i="23"/>
  <c r="D53" i="23"/>
  <c r="E53" i="23" s="1"/>
  <c r="F53" i="23" s="1"/>
  <c r="B53" i="24"/>
  <c r="W139" i="23"/>
  <c r="D139" i="23"/>
  <c r="E139" i="23" s="1"/>
  <c r="F139" i="23" s="1"/>
  <c r="B139" i="24"/>
  <c r="W169" i="23"/>
  <c r="B169" i="24"/>
  <c r="D169" i="23"/>
  <c r="E169" i="23" s="1"/>
  <c r="F169" i="23" s="1"/>
  <c r="W203" i="23"/>
  <c r="D203" i="23"/>
  <c r="E203" i="23" s="1"/>
  <c r="F203" i="23" s="1"/>
  <c r="B203" i="24"/>
  <c r="W245" i="23"/>
  <c r="B245" i="24"/>
  <c r="D245" i="23"/>
  <c r="E245" i="23" s="1"/>
  <c r="F245" i="23" s="1"/>
  <c r="J257" i="18"/>
  <c r="I257" i="18"/>
  <c r="BA257" i="6" s="1"/>
  <c r="D257" i="6" s="1"/>
  <c r="W277" i="23"/>
  <c r="B277" i="24"/>
  <c r="D277" i="23"/>
  <c r="E277" i="23" s="1"/>
  <c r="F277" i="23" s="1"/>
  <c r="W325" i="23"/>
  <c r="B325" i="24"/>
  <c r="D325" i="23"/>
  <c r="E325" i="23" s="1"/>
  <c r="F325" i="23" s="1"/>
  <c r="W373" i="23"/>
  <c r="B373" i="24"/>
  <c r="D373" i="23"/>
  <c r="E373" i="23" s="1"/>
  <c r="F373" i="23" s="1"/>
  <c r="F381" i="17"/>
  <c r="F383" i="17"/>
  <c r="AM10" i="17"/>
  <c r="H15" i="17"/>
  <c r="F382" i="17"/>
  <c r="AK10" i="17"/>
  <c r="AK12" i="17" s="1"/>
  <c r="AK13" i="17" s="1"/>
  <c r="G15" i="17"/>
  <c r="BZ15" i="6" s="1"/>
  <c r="J2" i="6" s="1"/>
  <c r="AA15" i="17"/>
  <c r="AL9" i="17" s="1"/>
  <c r="F9" i="17"/>
  <c r="W196" i="22"/>
  <c r="D196" i="22"/>
  <c r="E196" i="22" s="1"/>
  <c r="F196" i="22" s="1"/>
  <c r="B196" i="23"/>
  <c r="J333" i="18"/>
  <c r="I333" i="18"/>
  <c r="J177" i="18"/>
  <c r="I177" i="18"/>
  <c r="J166" i="18"/>
  <c r="I166" i="18"/>
  <c r="I319" i="18"/>
  <c r="J319" i="18"/>
  <c r="J354" i="18"/>
  <c r="I354" i="18"/>
  <c r="J17" i="18"/>
  <c r="I17" i="18"/>
  <c r="J111" i="18"/>
  <c r="I111" i="18"/>
  <c r="I43" i="18"/>
  <c r="J43" i="18"/>
  <c r="J278" i="18"/>
  <c r="I278" i="18"/>
  <c r="J95" i="18"/>
  <c r="I95" i="18"/>
  <c r="I210" i="18"/>
  <c r="J210" i="18"/>
  <c r="J369" i="18"/>
  <c r="I369" i="18"/>
  <c r="J253" i="18"/>
  <c r="I253" i="18"/>
  <c r="G42" i="22"/>
  <c r="CC42" i="6" s="1"/>
  <c r="AA42" i="22"/>
  <c r="Z42" i="22" s="1"/>
  <c r="Y42" i="22" s="1"/>
  <c r="J42" i="18"/>
  <c r="I42" i="18"/>
  <c r="G56" i="22"/>
  <c r="CC56" i="6" s="1"/>
  <c r="AA56" i="22"/>
  <c r="Z56" i="22" s="1"/>
  <c r="Y56" i="22" s="1"/>
  <c r="J56" i="18"/>
  <c r="I56" i="18"/>
  <c r="G84" i="22"/>
  <c r="CC84" i="6" s="1"/>
  <c r="AA84" i="22"/>
  <c r="Z84" i="22" s="1"/>
  <c r="Y84" i="22" s="1"/>
  <c r="J84" i="18"/>
  <c r="I84" i="18"/>
  <c r="G104" i="22"/>
  <c r="CC104" i="6" s="1"/>
  <c r="AA104" i="22"/>
  <c r="Z104" i="22" s="1"/>
  <c r="Y104" i="22" s="1"/>
  <c r="I104" i="18"/>
  <c r="J104" i="18"/>
  <c r="G110" i="22"/>
  <c r="CC110" i="6" s="1"/>
  <c r="AA110" i="22"/>
  <c r="Z110" i="22" s="1"/>
  <c r="Y110" i="22" s="1"/>
  <c r="J110" i="18"/>
  <c r="I110" i="18"/>
  <c r="G128" i="22"/>
  <c r="CC128" i="6" s="1"/>
  <c r="AA128" i="22"/>
  <c r="Z128" i="22" s="1"/>
  <c r="Y128" i="22" s="1"/>
  <c r="J128" i="18"/>
  <c r="I128" i="18"/>
  <c r="G140" i="22"/>
  <c r="CC140" i="6" s="1"/>
  <c r="AA140" i="22"/>
  <c r="Z140" i="22" s="1"/>
  <c r="Y140" i="22" s="1"/>
  <c r="J140" i="18"/>
  <c r="I140" i="18"/>
  <c r="G176" i="22"/>
  <c r="CC176" i="6" s="1"/>
  <c r="AA176" i="22"/>
  <c r="Z176" i="22" s="1"/>
  <c r="Y176" i="22" s="1"/>
  <c r="J176" i="18"/>
  <c r="I176" i="18"/>
  <c r="G220" i="22"/>
  <c r="CC220" i="6" s="1"/>
  <c r="AA220" i="22"/>
  <c r="Z220" i="22" s="1"/>
  <c r="Y220" i="22" s="1"/>
  <c r="J220" i="18"/>
  <c r="I220" i="18"/>
  <c r="G246" i="22"/>
  <c r="CC246" i="6" s="1"/>
  <c r="AA246" i="22"/>
  <c r="Z246" i="22" s="1"/>
  <c r="Y246" i="22" s="1"/>
  <c r="G260" i="22"/>
  <c r="CC260" i="6" s="1"/>
  <c r="AA260" i="22"/>
  <c r="Z260" i="22" s="1"/>
  <c r="Y260" i="22" s="1"/>
  <c r="J260" i="18"/>
  <c r="I260" i="18"/>
  <c r="G270" i="22"/>
  <c r="CC270" i="6" s="1"/>
  <c r="AA270" i="22"/>
  <c r="Z270" i="22" s="1"/>
  <c r="Y270" i="22" s="1"/>
  <c r="I270" i="18"/>
  <c r="J270" i="18"/>
  <c r="G276" i="22"/>
  <c r="CC276" i="6" s="1"/>
  <c r="AA276" i="22"/>
  <c r="Z276" i="22" s="1"/>
  <c r="Y276" i="22" s="1"/>
  <c r="J276" i="18"/>
  <c r="I276" i="18"/>
  <c r="G308" i="22"/>
  <c r="CC308" i="6" s="1"/>
  <c r="AA308" i="22"/>
  <c r="Z308" i="22" s="1"/>
  <c r="Y308" i="22" s="1"/>
  <c r="J308" i="18"/>
  <c r="I308" i="18"/>
  <c r="G320" i="22"/>
  <c r="CC320" i="6" s="1"/>
  <c r="AA320" i="22"/>
  <c r="Z320" i="22" s="1"/>
  <c r="Y320" i="22" s="1"/>
  <c r="J320" i="18"/>
  <c r="I320" i="18"/>
  <c r="G336" i="22"/>
  <c r="CC336" i="6" s="1"/>
  <c r="AA336" i="22"/>
  <c r="Z336" i="22" s="1"/>
  <c r="Y336" i="22" s="1"/>
  <c r="J336" i="18"/>
  <c r="I336" i="18"/>
  <c r="G258" i="20"/>
  <c r="CB258" i="6" s="1"/>
  <c r="AA258" i="20"/>
  <c r="Z258" i="20" s="1"/>
  <c r="Y258" i="20" s="1"/>
  <c r="W23" i="22"/>
  <c r="D23" i="22"/>
  <c r="E23" i="22" s="1"/>
  <c r="F23" i="22" s="1"/>
  <c r="B23" i="23"/>
  <c r="G33" i="22"/>
  <c r="CC33" i="6" s="1"/>
  <c r="AA33" i="22"/>
  <c r="Z33" i="22" s="1"/>
  <c r="Y33" i="22" s="1"/>
  <c r="I33" i="18"/>
  <c r="J33" i="18"/>
  <c r="G47" i="22"/>
  <c r="CC47" i="6" s="1"/>
  <c r="AA47" i="22"/>
  <c r="Z47" i="22" s="1"/>
  <c r="Y47" i="22" s="1"/>
  <c r="G69" i="22"/>
  <c r="CC69" i="6" s="1"/>
  <c r="AA69" i="22"/>
  <c r="Z69" i="22" s="1"/>
  <c r="Y69" i="22" s="1"/>
  <c r="J69" i="18"/>
  <c r="I69" i="18"/>
  <c r="I79" i="18"/>
  <c r="J79" i="18"/>
  <c r="G93" i="22"/>
  <c r="CC93" i="6" s="1"/>
  <c r="AA93" i="22"/>
  <c r="Z93" i="22" s="1"/>
  <c r="Y93" i="22" s="1"/>
  <c r="I93" i="18"/>
  <c r="J93" i="18"/>
  <c r="G131" i="22"/>
  <c r="CC131" i="6" s="1"/>
  <c r="AA131" i="22"/>
  <c r="Z131" i="22" s="1"/>
  <c r="Y131" i="22" s="1"/>
  <c r="J131" i="18"/>
  <c r="I131" i="18"/>
  <c r="G147" i="22"/>
  <c r="CC147" i="6" s="1"/>
  <c r="AA147" i="22"/>
  <c r="Z147" i="22" s="1"/>
  <c r="Y147" i="22" s="1"/>
  <c r="J147" i="18"/>
  <c r="I147" i="18"/>
  <c r="G195" i="22"/>
  <c r="CC195" i="6" s="1"/>
  <c r="AA195" i="22"/>
  <c r="Z195" i="22" s="1"/>
  <c r="Y195" i="22" s="1"/>
  <c r="I195" i="18"/>
  <c r="J195" i="18"/>
  <c r="G209" i="22"/>
  <c r="CC209" i="6" s="1"/>
  <c r="AA209" i="22"/>
  <c r="Z209" i="22" s="1"/>
  <c r="Y209" i="22" s="1"/>
  <c r="J209" i="18"/>
  <c r="I209" i="18"/>
  <c r="G221" i="22"/>
  <c r="CC221" i="6" s="1"/>
  <c r="AA221" i="22"/>
  <c r="Z221" i="22" s="1"/>
  <c r="Y221" i="22" s="1"/>
  <c r="J221" i="18"/>
  <c r="I221" i="18"/>
  <c r="G259" i="20"/>
  <c r="CB259" i="6" s="1"/>
  <c r="AA259" i="20"/>
  <c r="Z259" i="20" s="1"/>
  <c r="Y259" i="20" s="1"/>
  <c r="D285" i="22"/>
  <c r="E285" i="22" s="1"/>
  <c r="F285" i="22" s="1"/>
  <c r="W285" i="22"/>
  <c r="B285" i="23"/>
  <c r="G293" i="20"/>
  <c r="CB293" i="6" s="1"/>
  <c r="AA293" i="20"/>
  <c r="Z293" i="20" s="1"/>
  <c r="Y293" i="20" s="1"/>
  <c r="W327" i="22"/>
  <c r="D327" i="22"/>
  <c r="E327" i="22" s="1"/>
  <c r="F327" i="22" s="1"/>
  <c r="B327" i="23"/>
  <c r="G341" i="20"/>
  <c r="CB341" i="6" s="1"/>
  <c r="AA341" i="20"/>
  <c r="Z341" i="20" s="1"/>
  <c r="Y341" i="20" s="1"/>
  <c r="D34" i="22"/>
  <c r="E34" i="22" s="1"/>
  <c r="F34" i="22" s="1"/>
  <c r="W34" i="22"/>
  <c r="B34" i="23"/>
  <c r="G86" i="20"/>
  <c r="CB86" i="6" s="1"/>
  <c r="AA86" i="20"/>
  <c r="Z86" i="20" s="1"/>
  <c r="Y86" i="20" s="1"/>
  <c r="W96" i="22"/>
  <c r="D96" i="22"/>
  <c r="E96" i="22" s="1"/>
  <c r="F96" i="22" s="1"/>
  <c r="B96" i="23"/>
  <c r="W126" i="22"/>
  <c r="D126" i="22"/>
  <c r="E126" i="22" s="1"/>
  <c r="F126" i="22" s="1"/>
  <c r="B126" i="23"/>
  <c r="W188" i="22"/>
  <c r="D188" i="22"/>
  <c r="E188" i="22" s="1"/>
  <c r="F188" i="22" s="1"/>
  <c r="B188" i="23"/>
  <c r="W250" i="22"/>
  <c r="D250" i="22"/>
  <c r="E250" i="22" s="1"/>
  <c r="F250" i="22" s="1"/>
  <c r="B250" i="23"/>
  <c r="I294" i="18"/>
  <c r="J294" i="18"/>
  <c r="W326" i="22"/>
  <c r="D326" i="22"/>
  <c r="E326" i="22" s="1"/>
  <c r="F326" i="22" s="1"/>
  <c r="B326" i="23"/>
  <c r="W372" i="23"/>
  <c r="B372" i="24"/>
  <c r="D372" i="23"/>
  <c r="E372" i="23" s="1"/>
  <c r="F372" i="23" s="1"/>
  <c r="W65" i="23"/>
  <c r="B65" i="24"/>
  <c r="D65" i="23"/>
  <c r="E65" i="23" s="1"/>
  <c r="F65" i="23" s="1"/>
  <c r="I107" i="18"/>
  <c r="BA107" i="6" s="1"/>
  <c r="D107" i="6" s="1"/>
  <c r="J107" i="18"/>
  <c r="W143" i="23"/>
  <c r="D143" i="23"/>
  <c r="E143" i="23" s="1"/>
  <c r="F143" i="23" s="1"/>
  <c r="B143" i="24"/>
  <c r="W191" i="23"/>
  <c r="D191" i="23"/>
  <c r="E191" i="23" s="1"/>
  <c r="F191" i="23" s="1"/>
  <c r="B191" i="24"/>
  <c r="G191" i="22"/>
  <c r="CC191" i="6" s="1"/>
  <c r="AA191" i="22"/>
  <c r="Z191" i="22" s="1"/>
  <c r="Y191" i="22" s="1"/>
  <c r="G223" i="22"/>
  <c r="CC223" i="6" s="1"/>
  <c r="AA223" i="22"/>
  <c r="Z223" i="22" s="1"/>
  <c r="Y223" i="22" s="1"/>
  <c r="J231" i="18"/>
  <c r="I231" i="18"/>
  <c r="BA231" i="6" s="1"/>
  <c r="D231" i="6" s="1"/>
  <c r="G267" i="22"/>
  <c r="CC267" i="6" s="1"/>
  <c r="AA267" i="22"/>
  <c r="Z267" i="22" s="1"/>
  <c r="Y267" i="22" s="1"/>
  <c r="I269" i="18"/>
  <c r="BA269" i="6" s="1"/>
  <c r="D269" i="6" s="1"/>
  <c r="J269" i="18"/>
  <c r="G307" i="22"/>
  <c r="CC307" i="6" s="1"/>
  <c r="AA307" i="22"/>
  <c r="Z307" i="22" s="1"/>
  <c r="Y307" i="22" s="1"/>
  <c r="I313" i="18"/>
  <c r="BA313" i="6" s="1"/>
  <c r="D313" i="6" s="1"/>
  <c r="J313" i="18"/>
  <c r="G357" i="22"/>
  <c r="CC357" i="6" s="1"/>
  <c r="AA357" i="22"/>
  <c r="Z357" i="22" s="1"/>
  <c r="Y357" i="22" s="1"/>
  <c r="J359" i="18"/>
  <c r="I359" i="18"/>
  <c r="BA359" i="6" s="1"/>
  <c r="D359" i="6" s="1"/>
  <c r="W288" i="23"/>
  <c r="B288" i="24"/>
  <c r="D288" i="23"/>
  <c r="E288" i="23" s="1"/>
  <c r="F288" i="23" s="1"/>
  <c r="W18" i="23"/>
  <c r="B18" i="24"/>
  <c r="D18" i="23"/>
  <c r="E18" i="23" s="1"/>
  <c r="F18" i="23" s="1"/>
  <c r="W28" i="23"/>
  <c r="B28" i="24"/>
  <c r="D28" i="23"/>
  <c r="E28" i="23" s="1"/>
  <c r="F28" i="23" s="1"/>
  <c r="J28" i="18"/>
  <c r="I28" i="18"/>
  <c r="W122" i="23"/>
  <c r="B122" i="24"/>
  <c r="D122" i="23"/>
  <c r="E122" i="23" s="1"/>
  <c r="F122" i="23" s="1"/>
  <c r="J122" i="18"/>
  <c r="I122" i="18"/>
  <c r="W138" i="23"/>
  <c r="D138" i="23"/>
  <c r="E138" i="23" s="1"/>
  <c r="F138" i="23" s="1"/>
  <c r="B138" i="24"/>
  <c r="J138" i="18"/>
  <c r="I138" i="18"/>
  <c r="W172" i="23"/>
  <c r="D172" i="23"/>
  <c r="E172" i="23" s="1"/>
  <c r="F172" i="23" s="1"/>
  <c r="B172" i="24"/>
  <c r="J172" i="18"/>
  <c r="I172" i="18"/>
  <c r="W202" i="23"/>
  <c r="D202" i="23"/>
  <c r="E202" i="23" s="1"/>
  <c r="F202" i="23" s="1"/>
  <c r="B202" i="24"/>
  <c r="W238" i="23"/>
  <c r="D238" i="23"/>
  <c r="E238" i="23" s="1"/>
  <c r="F238" i="23" s="1"/>
  <c r="B238" i="24"/>
  <c r="W262" i="23"/>
  <c r="D262" i="23"/>
  <c r="E262" i="23" s="1"/>
  <c r="F262" i="23" s="1"/>
  <c r="B262" i="24"/>
  <c r="G262" i="22"/>
  <c r="CC262" i="6" s="1"/>
  <c r="AA262" i="22"/>
  <c r="Z262" i="22" s="1"/>
  <c r="Y262" i="22" s="1"/>
  <c r="J262" i="18"/>
  <c r="I262" i="18"/>
  <c r="W280" i="23"/>
  <c r="D280" i="23"/>
  <c r="E280" i="23" s="1"/>
  <c r="F280" i="23" s="1"/>
  <c r="B280" i="24"/>
  <c r="W304" i="23"/>
  <c r="D304" i="23"/>
  <c r="E304" i="23" s="1"/>
  <c r="F304" i="23" s="1"/>
  <c r="B304" i="24"/>
  <c r="W324" i="23"/>
  <c r="D324" i="23"/>
  <c r="E324" i="23" s="1"/>
  <c r="F324" i="23" s="1"/>
  <c r="B324" i="24"/>
  <c r="W344" i="23"/>
  <c r="D344" i="23"/>
  <c r="E344" i="23" s="1"/>
  <c r="F344" i="23" s="1"/>
  <c r="B344" i="24"/>
  <c r="W360" i="23"/>
  <c r="B360" i="24"/>
  <c r="D360" i="23"/>
  <c r="E360" i="23" s="1"/>
  <c r="F360" i="23" s="1"/>
  <c r="W370" i="23"/>
  <c r="D370" i="23"/>
  <c r="E370" i="23" s="1"/>
  <c r="F370" i="23" s="1"/>
  <c r="B370" i="24"/>
  <c r="J370" i="18"/>
  <c r="I370" i="18"/>
  <c r="W25" i="23"/>
  <c r="D25" i="23"/>
  <c r="E25" i="23" s="1"/>
  <c r="F25" i="23" s="1"/>
  <c r="B25" i="24"/>
  <c r="I25" i="18"/>
  <c r="J25" i="18"/>
  <c r="W51" i="23"/>
  <c r="B51" i="24"/>
  <c r="D51" i="23"/>
  <c r="E51" i="23" s="1"/>
  <c r="F51" i="23" s="1"/>
  <c r="W85" i="23"/>
  <c r="D85" i="23"/>
  <c r="E85" i="23" s="1"/>
  <c r="F85" i="23" s="1"/>
  <c r="B85" i="24"/>
  <c r="W109" i="23"/>
  <c r="B109" i="24"/>
  <c r="D109" i="23"/>
  <c r="E109" i="23" s="1"/>
  <c r="F109" i="23" s="1"/>
  <c r="W115" i="23"/>
  <c r="B115" i="24"/>
  <c r="D115" i="23"/>
  <c r="E115" i="23" s="1"/>
  <c r="F115" i="23" s="1"/>
  <c r="W121" i="23"/>
  <c r="B121" i="24"/>
  <c r="D121" i="23"/>
  <c r="E121" i="23" s="1"/>
  <c r="F121" i="23" s="1"/>
  <c r="W133" i="23"/>
  <c r="B133" i="24"/>
  <c r="D133" i="23"/>
  <c r="E133" i="23" s="1"/>
  <c r="F133" i="23" s="1"/>
  <c r="W199" i="23"/>
  <c r="B199" i="24"/>
  <c r="D199" i="23"/>
  <c r="E199" i="23" s="1"/>
  <c r="F199" i="23" s="1"/>
  <c r="W217" i="23"/>
  <c r="B217" i="24"/>
  <c r="D217" i="23"/>
  <c r="E217" i="23" s="1"/>
  <c r="F217" i="23" s="1"/>
  <c r="J217" i="18"/>
  <c r="I217" i="18"/>
  <c r="W237" i="23"/>
  <c r="D237" i="23"/>
  <c r="E237" i="23" s="1"/>
  <c r="F237" i="23" s="1"/>
  <c r="B237" i="24"/>
  <c r="J237" i="18"/>
  <c r="I237" i="18"/>
  <c r="W243" i="23"/>
  <c r="D243" i="23"/>
  <c r="E243" i="23" s="1"/>
  <c r="F243" i="23" s="1"/>
  <c r="B243" i="24"/>
  <c r="W297" i="23"/>
  <c r="D297" i="23"/>
  <c r="E297" i="23" s="1"/>
  <c r="F297" i="23" s="1"/>
  <c r="B297" i="24"/>
  <c r="W329" i="23"/>
  <c r="B329" i="24"/>
  <c r="D329" i="23"/>
  <c r="E329" i="23" s="1"/>
  <c r="F329" i="23" s="1"/>
  <c r="J329" i="18"/>
  <c r="I329" i="18"/>
  <c r="W345" i="23"/>
  <c r="B345" i="24"/>
  <c r="D345" i="23"/>
  <c r="E345" i="23" s="1"/>
  <c r="F345" i="23" s="1"/>
  <c r="W355" i="23"/>
  <c r="D355" i="23"/>
  <c r="E355" i="23" s="1"/>
  <c r="F355" i="23" s="1"/>
  <c r="B355" i="24"/>
  <c r="W24" i="23"/>
  <c r="B24" i="24"/>
  <c r="D24" i="23"/>
  <c r="E24" i="23" s="1"/>
  <c r="F24" i="23" s="1"/>
  <c r="J24" i="18"/>
  <c r="I24" i="18"/>
  <c r="W36" i="23"/>
  <c r="D36" i="23"/>
  <c r="E36" i="23" s="1"/>
  <c r="F36" i="23" s="1"/>
  <c r="B36" i="24"/>
  <c r="W44" i="23"/>
  <c r="D44" i="23"/>
  <c r="E44" i="23" s="1"/>
  <c r="F44" i="23" s="1"/>
  <c r="B44" i="24"/>
  <c r="W58" i="23"/>
  <c r="B58" i="24"/>
  <c r="D58" i="23"/>
  <c r="E58" i="23" s="1"/>
  <c r="F58" i="23" s="1"/>
  <c r="W72" i="23"/>
  <c r="B72" i="24"/>
  <c r="D72" i="23"/>
  <c r="E72" i="23" s="1"/>
  <c r="F72" i="23" s="1"/>
  <c r="W102" i="23"/>
  <c r="B102" i="24"/>
  <c r="D102" i="23"/>
  <c r="E102" i="23" s="1"/>
  <c r="F102" i="23" s="1"/>
  <c r="W156" i="23"/>
  <c r="D156" i="23"/>
  <c r="E156" i="23" s="1"/>
  <c r="F156" i="23" s="1"/>
  <c r="B156" i="24"/>
  <c r="W162" i="23"/>
  <c r="B162" i="24"/>
  <c r="D162" i="23"/>
  <c r="E162" i="23" s="1"/>
  <c r="F162" i="23" s="1"/>
  <c r="W186" i="22"/>
  <c r="D186" i="22"/>
  <c r="E186" i="22" s="1"/>
  <c r="F186" i="22" s="1"/>
  <c r="B186" i="23"/>
  <c r="AA198" i="22"/>
  <c r="Z198" i="22" s="1"/>
  <c r="Y198" i="22" s="1"/>
  <c r="G198" i="22"/>
  <c r="CC198" i="6" s="1"/>
  <c r="J198" i="18"/>
  <c r="I198" i="18"/>
  <c r="G206" i="22"/>
  <c r="CC206" i="6" s="1"/>
  <c r="AA206" i="22"/>
  <c r="Z206" i="22" s="1"/>
  <c r="Y206" i="22" s="1"/>
  <c r="I206" i="18"/>
  <c r="J206" i="18"/>
  <c r="G214" i="22"/>
  <c r="CC214" i="6" s="1"/>
  <c r="AA214" i="22"/>
  <c r="Z214" i="22" s="1"/>
  <c r="Y214" i="22" s="1"/>
  <c r="J214" i="18"/>
  <c r="I214" i="18"/>
  <c r="G240" i="22"/>
  <c r="CC240" i="6" s="1"/>
  <c r="AA240" i="22"/>
  <c r="Z240" i="22" s="1"/>
  <c r="Y240" i="22" s="1"/>
  <c r="G264" i="22"/>
  <c r="CC264" i="6" s="1"/>
  <c r="AA264" i="22"/>
  <c r="Z264" i="22" s="1"/>
  <c r="Y264" i="22" s="1"/>
  <c r="J264" i="18"/>
  <c r="I264" i="18"/>
  <c r="G290" i="22"/>
  <c r="CC290" i="6" s="1"/>
  <c r="AA290" i="22"/>
  <c r="Z290" i="22" s="1"/>
  <c r="Y290" i="22" s="1"/>
  <c r="J290" i="18"/>
  <c r="I290" i="18"/>
  <c r="G314" i="22"/>
  <c r="CC314" i="6" s="1"/>
  <c r="AA314" i="22"/>
  <c r="Z314" i="22" s="1"/>
  <c r="Y314" i="22" s="1"/>
  <c r="J314" i="18"/>
  <c r="I314" i="18"/>
  <c r="G340" i="22"/>
  <c r="CC340" i="6" s="1"/>
  <c r="AA340" i="22"/>
  <c r="Z340" i="22" s="1"/>
  <c r="Y340" i="22" s="1"/>
  <c r="J340" i="18"/>
  <c r="I340" i="18"/>
  <c r="G356" i="22"/>
  <c r="CC356" i="6" s="1"/>
  <c r="AA356" i="22"/>
  <c r="Z356" i="22" s="1"/>
  <c r="Y356" i="22" s="1"/>
  <c r="I356" i="18"/>
  <c r="J356" i="18"/>
  <c r="G137" i="22"/>
  <c r="CC137" i="6" s="1"/>
  <c r="AA137" i="22"/>
  <c r="Z137" i="22" s="1"/>
  <c r="Y137" i="22" s="1"/>
  <c r="J137" i="18"/>
  <c r="I137" i="18"/>
  <c r="G78" i="22"/>
  <c r="CC78" i="6" s="1"/>
  <c r="AA78" i="22"/>
  <c r="Z78" i="22" s="1"/>
  <c r="Y78" i="22" s="1"/>
  <c r="J78" i="18"/>
  <c r="I78" i="18"/>
  <c r="G90" i="22"/>
  <c r="CC90" i="6" s="1"/>
  <c r="AA90" i="22"/>
  <c r="Z90" i="22" s="1"/>
  <c r="Y90" i="22" s="1"/>
  <c r="J90" i="18"/>
  <c r="I90" i="18"/>
  <c r="G289" i="22"/>
  <c r="CC289" i="6" s="1"/>
  <c r="AA289" i="22"/>
  <c r="Z289" i="22" s="1"/>
  <c r="Y289" i="22" s="1"/>
  <c r="J289" i="18"/>
  <c r="I289" i="18"/>
  <c r="G378" i="22"/>
  <c r="CC378" i="6" s="1"/>
  <c r="AA378" i="22"/>
  <c r="Z378" i="22" s="1"/>
  <c r="Y378" i="22" s="1"/>
  <c r="I378" i="18"/>
  <c r="J378" i="18"/>
  <c r="G182" i="22"/>
  <c r="CC182" i="6" s="1"/>
  <c r="AA182" i="22"/>
  <c r="Z182" i="22" s="1"/>
  <c r="Y182" i="22" s="1"/>
  <c r="J182" i="18"/>
  <c r="I182" i="18"/>
  <c r="G310" i="22"/>
  <c r="CC310" i="6" s="1"/>
  <c r="AA310" i="22"/>
  <c r="Z310" i="22" s="1"/>
  <c r="Y310" i="22" s="1"/>
  <c r="G236" i="22"/>
  <c r="CC236" i="6" s="1"/>
  <c r="AA236" i="22"/>
  <c r="Z236" i="22" s="1"/>
  <c r="Y236" i="22" s="1"/>
  <c r="J236" i="18"/>
  <c r="I236" i="18"/>
  <c r="G311" i="22"/>
  <c r="CC311" i="6" s="1"/>
  <c r="AA311" i="22"/>
  <c r="Z311" i="22" s="1"/>
  <c r="Y311" i="22" s="1"/>
  <c r="J311" i="18"/>
  <c r="I311" i="18"/>
  <c r="G98" i="22"/>
  <c r="CC98" i="6" s="1"/>
  <c r="AA98" i="22"/>
  <c r="Z98" i="22" s="1"/>
  <c r="Y98" i="22" s="1"/>
  <c r="J98" i="18"/>
  <c r="I98" i="18"/>
  <c r="I374" i="18"/>
  <c r="J374" i="18"/>
  <c r="G163" i="22"/>
  <c r="CC163" i="6" s="1"/>
  <c r="AA163" i="22"/>
  <c r="Z163" i="22" s="1"/>
  <c r="Y163" i="22" s="1"/>
  <c r="J163" i="18"/>
  <c r="I163" i="18"/>
  <c r="G157" i="22"/>
  <c r="CC157" i="6" s="1"/>
  <c r="AA157" i="22"/>
  <c r="Z157" i="22" s="1"/>
  <c r="Y157" i="22" s="1"/>
  <c r="J157" i="18"/>
  <c r="I157" i="18"/>
  <c r="G321" i="22"/>
  <c r="CC321" i="6" s="1"/>
  <c r="AA321" i="22"/>
  <c r="Z321" i="22" s="1"/>
  <c r="Y321" i="22" s="1"/>
  <c r="J321" i="18"/>
  <c r="I321" i="18"/>
  <c r="G125" i="22"/>
  <c r="CC125" i="6" s="1"/>
  <c r="AA125" i="22"/>
  <c r="Z125" i="22" s="1"/>
  <c r="Y125" i="22" s="1"/>
  <c r="G332" i="22"/>
  <c r="CC332" i="6" s="1"/>
  <c r="AA332" i="22"/>
  <c r="Z332" i="22" s="1"/>
  <c r="Y332" i="22" s="1"/>
  <c r="J332" i="18"/>
  <c r="I332" i="18"/>
  <c r="G309" i="22"/>
  <c r="CC309" i="6" s="1"/>
  <c r="AA309" i="22"/>
  <c r="Z309" i="22" s="1"/>
  <c r="Y309" i="22" s="1"/>
  <c r="I309" i="18"/>
  <c r="J309" i="18"/>
  <c r="G73" i="22"/>
  <c r="CC73" i="6" s="1"/>
  <c r="AA73" i="22"/>
  <c r="Z73" i="22" s="1"/>
  <c r="Y73" i="22" s="1"/>
  <c r="J73" i="18"/>
  <c r="I73" i="18"/>
  <c r="G62" i="22"/>
  <c r="CC62" i="6" s="1"/>
  <c r="AA62" i="22"/>
  <c r="Z62" i="22" s="1"/>
  <c r="Y62" i="22" s="1"/>
  <c r="J62" i="18"/>
  <c r="I62" i="18"/>
  <c r="G81" i="22"/>
  <c r="CC81" i="6" s="1"/>
  <c r="AA81" i="22"/>
  <c r="Z81" i="22" s="1"/>
  <c r="Y81" i="22" s="1"/>
  <c r="I81" i="18"/>
  <c r="J81" i="18"/>
  <c r="G295" i="22"/>
  <c r="CC295" i="6" s="1"/>
  <c r="AA295" i="22"/>
  <c r="Z295" i="22" s="1"/>
  <c r="Y295" i="22" s="1"/>
  <c r="J295" i="18"/>
  <c r="I295" i="18"/>
  <c r="G76" i="22"/>
  <c r="CC76" i="6" s="1"/>
  <c r="AA76" i="22"/>
  <c r="Z76" i="22" s="1"/>
  <c r="Y76" i="22" s="1"/>
  <c r="J76" i="18"/>
  <c r="I76" i="18"/>
  <c r="G232" i="22"/>
  <c r="CC232" i="6" s="1"/>
  <c r="AA232" i="22"/>
  <c r="Z232" i="22" s="1"/>
  <c r="Y232" i="22" s="1"/>
  <c r="I232" i="18"/>
  <c r="J232" i="18"/>
  <c r="E11" i="18"/>
  <c r="F39" i="19" s="1"/>
  <c r="D29" i="24"/>
  <c r="E29" i="24" s="1"/>
  <c r="F29" i="24" s="1"/>
  <c r="W29" i="24"/>
  <c r="B29" i="25"/>
  <c r="W150" i="24"/>
  <c r="D150" i="24"/>
  <c r="E150" i="24" s="1"/>
  <c r="F150" i="24" s="1"/>
  <c r="B150" i="25"/>
  <c r="W226" i="24"/>
  <c r="D226" i="24"/>
  <c r="E226" i="24" s="1"/>
  <c r="F226" i="24" s="1"/>
  <c r="B226" i="25"/>
  <c r="D67" i="24"/>
  <c r="E67" i="24" s="1"/>
  <c r="F67" i="24" s="1"/>
  <c r="W67" i="24"/>
  <c r="B67" i="25"/>
  <c r="W349" i="24"/>
  <c r="D349" i="24"/>
  <c r="E349" i="24" s="1"/>
  <c r="F349" i="24" s="1"/>
  <c r="B349" i="25"/>
  <c r="W74" i="24"/>
  <c r="D74" i="24"/>
  <c r="E74" i="24" s="1"/>
  <c r="F74" i="24" s="1"/>
  <c r="B74" i="25"/>
  <c r="W261" i="24"/>
  <c r="D261" i="24"/>
  <c r="E261" i="24" s="1"/>
  <c r="F261" i="24" s="1"/>
  <c r="B261" i="25"/>
  <c r="W75" i="24"/>
  <c r="D75" i="24"/>
  <c r="E75" i="24" s="1"/>
  <c r="F75" i="24" s="1"/>
  <c r="B75" i="25"/>
  <c r="W171" i="24"/>
  <c r="D171" i="24"/>
  <c r="E171" i="24" s="1"/>
  <c r="F171" i="24" s="1"/>
  <c r="B171" i="25"/>
  <c r="W194" i="24"/>
  <c r="D194" i="24"/>
  <c r="E194" i="24" s="1"/>
  <c r="F194" i="24" s="1"/>
  <c r="B194" i="25"/>
  <c r="D154" i="24"/>
  <c r="E154" i="24" s="1"/>
  <c r="F154" i="24" s="1"/>
  <c r="W154" i="24"/>
  <c r="B154" i="25"/>
  <c r="W189" i="24"/>
  <c r="D189" i="24"/>
  <c r="E189" i="24" s="1"/>
  <c r="F189" i="24" s="1"/>
  <c r="B189" i="25"/>
  <c r="W210" i="23"/>
  <c r="D210" i="23"/>
  <c r="E210" i="23" s="1"/>
  <c r="F210" i="23" s="1"/>
  <c r="B210" i="24"/>
  <c r="W244" i="23"/>
  <c r="D244" i="23"/>
  <c r="E244" i="23" s="1"/>
  <c r="F244" i="23" s="1"/>
  <c r="B244" i="24"/>
  <c r="W130" i="23"/>
  <c r="D130" i="23"/>
  <c r="E130" i="23" s="1"/>
  <c r="F130" i="23" s="1"/>
  <c r="B130" i="24"/>
  <c r="W37" i="23"/>
  <c r="D37" i="23"/>
  <c r="E37" i="23" s="1"/>
  <c r="F37" i="23" s="1"/>
  <c r="B37" i="24"/>
  <c r="W77" i="23"/>
  <c r="D77" i="23"/>
  <c r="E77" i="23" s="1"/>
  <c r="F77" i="23" s="1"/>
  <c r="B77" i="24"/>
  <c r="W99" i="23"/>
  <c r="D99" i="23"/>
  <c r="E99" i="23" s="1"/>
  <c r="F99" i="23" s="1"/>
  <c r="B99" i="24"/>
  <c r="W159" i="23"/>
  <c r="D159" i="23"/>
  <c r="E159" i="23" s="1"/>
  <c r="F159" i="23" s="1"/>
  <c r="B159" i="24"/>
  <c r="W185" i="23"/>
  <c r="D185" i="23"/>
  <c r="E185" i="23" s="1"/>
  <c r="F185" i="23" s="1"/>
  <c r="B185" i="24"/>
  <c r="W249" i="23"/>
  <c r="D249" i="23"/>
  <c r="E249" i="23" s="1"/>
  <c r="F249" i="23" s="1"/>
  <c r="B249" i="24"/>
  <c r="W281" i="23"/>
  <c r="D281" i="23"/>
  <c r="E281" i="23" s="1"/>
  <c r="F281" i="23" s="1"/>
  <c r="B281" i="24"/>
  <c r="W148" i="24"/>
  <c r="D148" i="24"/>
  <c r="E148" i="24" s="1"/>
  <c r="F148" i="24" s="1"/>
  <c r="B148" i="25"/>
  <c r="W192" i="23"/>
  <c r="D192" i="23"/>
  <c r="E192" i="23" s="1"/>
  <c r="F192" i="23" s="1"/>
  <c r="B192" i="24"/>
  <c r="W294" i="23"/>
  <c r="D294" i="23"/>
  <c r="E294" i="23" s="1"/>
  <c r="F294" i="23" s="1"/>
  <c r="B294" i="24"/>
  <c r="W334" i="23"/>
  <c r="D334" i="23"/>
  <c r="E334" i="23" s="1"/>
  <c r="F334" i="23" s="1"/>
  <c r="B334" i="24"/>
  <c r="AA180" i="23"/>
  <c r="Z180" i="23" s="1"/>
  <c r="Y180" i="23" s="1"/>
  <c r="G180" i="23"/>
  <c r="CD180" i="6" s="1"/>
  <c r="G60" i="23"/>
  <c r="CD60" i="6" s="1"/>
  <c r="AA60" i="23"/>
  <c r="Z60" i="23" s="1"/>
  <c r="Y60" i="23" s="1"/>
  <c r="G365" i="23"/>
  <c r="CD365" i="6" s="1"/>
  <c r="AA365" i="23"/>
  <c r="Z365" i="23" s="1"/>
  <c r="Y365" i="23" s="1"/>
  <c r="G187" i="23"/>
  <c r="CD187" i="6" s="1"/>
  <c r="AA187" i="23"/>
  <c r="Z187" i="23" s="1"/>
  <c r="Y187" i="23" s="1"/>
  <c r="G177" i="22"/>
  <c r="CC177" i="6" s="1"/>
  <c r="AA177" i="22"/>
  <c r="Z177" i="22" s="1"/>
  <c r="Y177" i="22" s="1"/>
  <c r="G166" i="22"/>
  <c r="CC166" i="6" s="1"/>
  <c r="AA166" i="22"/>
  <c r="Z166" i="22" s="1"/>
  <c r="Y166" i="22" s="1"/>
  <c r="G319" i="22"/>
  <c r="CC319" i="6" s="1"/>
  <c r="AA319" i="22"/>
  <c r="Z319" i="22" s="1"/>
  <c r="Y319" i="22" s="1"/>
  <c r="G17" i="22"/>
  <c r="CC17" i="6" s="1"/>
  <c r="AA17" i="22"/>
  <c r="Z17" i="22" s="1"/>
  <c r="Y17" i="22" s="1"/>
  <c r="G111" i="22"/>
  <c r="CC111" i="6" s="1"/>
  <c r="AA111" i="22"/>
  <c r="Z111" i="22" s="1"/>
  <c r="Y111" i="22" s="1"/>
  <c r="G278" i="22"/>
  <c r="CC278" i="6" s="1"/>
  <c r="AA278" i="22"/>
  <c r="Z278" i="22" s="1"/>
  <c r="Y278" i="22" s="1"/>
  <c r="G135" i="23"/>
  <c r="CD135" i="6" s="1"/>
  <c r="AA135" i="23"/>
  <c r="Z135" i="23" s="1"/>
  <c r="Y135" i="23" s="1"/>
  <c r="G335" i="23"/>
  <c r="CD335" i="6" s="1"/>
  <c r="AA335" i="23"/>
  <c r="Z335" i="23" s="1"/>
  <c r="Y335" i="23" s="1"/>
  <c r="G367" i="23"/>
  <c r="CD367" i="6" s="1"/>
  <c r="AA367" i="23"/>
  <c r="Z367" i="23" s="1"/>
  <c r="Y367" i="23" s="1"/>
  <c r="G241" i="23"/>
  <c r="CD241" i="6" s="1"/>
  <c r="AA241" i="23"/>
  <c r="Z241" i="23" s="1"/>
  <c r="Y241" i="23" s="1"/>
  <c r="W116" i="24"/>
  <c r="D116" i="24"/>
  <c r="E116" i="24" s="1"/>
  <c r="F116" i="24" s="1"/>
  <c r="B116" i="25"/>
  <c r="W161" i="23"/>
  <c r="D161" i="23"/>
  <c r="E161" i="23" s="1"/>
  <c r="F161" i="23" s="1"/>
  <c r="B161" i="24"/>
  <c r="W265" i="23"/>
  <c r="D265" i="23"/>
  <c r="E265" i="23" s="1"/>
  <c r="F265" i="23" s="1"/>
  <c r="B265" i="24"/>
  <c r="W61" i="23"/>
  <c r="D61" i="23"/>
  <c r="E61" i="23" s="1"/>
  <c r="F61" i="23" s="1"/>
  <c r="B61" i="24"/>
  <c r="W89" i="23"/>
  <c r="D89" i="23"/>
  <c r="E89" i="23" s="1"/>
  <c r="F89" i="23" s="1"/>
  <c r="B89" i="24"/>
  <c r="W127" i="23"/>
  <c r="D127" i="23"/>
  <c r="E127" i="23" s="1"/>
  <c r="F127" i="23" s="1"/>
  <c r="B127" i="24"/>
  <c r="W173" i="23"/>
  <c r="D173" i="23"/>
  <c r="E173" i="23" s="1"/>
  <c r="F173" i="23" s="1"/>
  <c r="B173" i="24"/>
  <c r="W219" i="23"/>
  <c r="D219" i="23"/>
  <c r="E219" i="23" s="1"/>
  <c r="F219" i="23" s="1"/>
  <c r="B219" i="24"/>
  <c r="D263" i="24"/>
  <c r="E263" i="24" s="1"/>
  <c r="F263" i="24" s="1"/>
  <c r="W263" i="24"/>
  <c r="B263" i="25"/>
  <c r="W317" i="24"/>
  <c r="D317" i="24"/>
  <c r="E317" i="24" s="1"/>
  <c r="F317" i="24" s="1"/>
  <c r="B317" i="25"/>
  <c r="W108" i="23"/>
  <c r="D108" i="23"/>
  <c r="E108" i="23" s="1"/>
  <c r="F108" i="23" s="1"/>
  <c r="B108" i="24"/>
  <c r="W142" i="23"/>
  <c r="D142" i="23"/>
  <c r="E142" i="23" s="1"/>
  <c r="F142" i="23" s="1"/>
  <c r="B142" i="24"/>
  <c r="AJ8" i="20"/>
  <c r="D382" i="20"/>
  <c r="D383" i="20"/>
  <c r="J150" i="18"/>
  <c r="I150" i="18"/>
  <c r="J226" i="18"/>
  <c r="I226" i="18"/>
  <c r="I46" i="18"/>
  <c r="J46" i="18"/>
  <c r="J22" i="18"/>
  <c r="I22" i="18"/>
  <c r="I63" i="18"/>
  <c r="J63" i="18"/>
  <c r="J155" i="18"/>
  <c r="I155" i="18"/>
  <c r="J247" i="18"/>
  <c r="I247" i="18"/>
  <c r="I317" i="18"/>
  <c r="J317" i="18"/>
  <c r="J170" i="18"/>
  <c r="I170" i="18"/>
  <c r="BA170" i="6" s="1"/>
  <c r="D170" i="6" s="1"/>
  <c r="I259" i="18"/>
  <c r="BA259" i="6" s="1"/>
  <c r="D259" i="6" s="1"/>
  <c r="J259" i="18"/>
  <c r="J293" i="18"/>
  <c r="I293" i="18"/>
  <c r="BA293" i="6" s="1"/>
  <c r="D293" i="6" s="1"/>
  <c r="J34" i="18"/>
  <c r="I34" i="18"/>
  <c r="BA34" i="6" s="1"/>
  <c r="D34" i="6" s="1"/>
  <c r="J148" i="18"/>
  <c r="I148" i="18"/>
  <c r="J218" i="18"/>
  <c r="I218" i="18"/>
  <c r="BA218" i="6" s="1"/>
  <c r="D218" i="6" s="1"/>
  <c r="W59" i="22"/>
  <c r="D59" i="22"/>
  <c r="E59" i="22" s="1"/>
  <c r="F59" i="22" s="1"/>
  <c r="B59" i="23"/>
  <c r="W141" i="22"/>
  <c r="D141" i="22"/>
  <c r="E141" i="22" s="1"/>
  <c r="F141" i="22" s="1"/>
  <c r="B141" i="23"/>
  <c r="W179" i="22"/>
  <c r="D179" i="22"/>
  <c r="E179" i="22" s="1"/>
  <c r="F179" i="22" s="1"/>
  <c r="B179" i="23"/>
  <c r="W211" i="22"/>
  <c r="D211" i="22"/>
  <c r="E211" i="22" s="1"/>
  <c r="F211" i="22" s="1"/>
  <c r="B211" i="23"/>
  <c r="W257" i="22"/>
  <c r="D257" i="22"/>
  <c r="E257" i="22" s="1"/>
  <c r="F257" i="22" s="1"/>
  <c r="B257" i="23"/>
  <c r="W301" i="22"/>
  <c r="D301" i="22"/>
  <c r="E301" i="22" s="1"/>
  <c r="F301" i="22" s="1"/>
  <c r="B301" i="23"/>
  <c r="W337" i="22"/>
  <c r="D337" i="22"/>
  <c r="E337" i="22" s="1"/>
  <c r="F337" i="22" s="1"/>
  <c r="B337" i="23"/>
  <c r="W375" i="22"/>
  <c r="D375" i="22"/>
  <c r="E375" i="22" s="1"/>
  <c r="F375" i="22" s="1"/>
  <c r="B375" i="23"/>
  <c r="E15" i="22"/>
  <c r="AJ6" i="22"/>
  <c r="W379" i="22"/>
  <c r="D379" i="22"/>
  <c r="E379" i="22" s="1"/>
  <c r="F379" i="22" s="1"/>
  <c r="B379" i="23"/>
  <c r="W175" i="22"/>
  <c r="D175" i="22"/>
  <c r="E175" i="22" s="1"/>
  <c r="F175" i="22" s="1"/>
  <c r="B175" i="23"/>
  <c r="J281" i="18"/>
  <c r="I281" i="18"/>
  <c r="W50" i="22"/>
  <c r="D50" i="22"/>
  <c r="E50" i="22" s="1"/>
  <c r="F50" i="22" s="1"/>
  <c r="B50" i="23"/>
  <c r="G70" i="20"/>
  <c r="CB70" i="6" s="1"/>
  <c r="AA70" i="20"/>
  <c r="Z70" i="20" s="1"/>
  <c r="Y70" i="20" s="1"/>
  <c r="W92" i="22"/>
  <c r="D92" i="22"/>
  <c r="E92" i="22" s="1"/>
  <c r="F92" i="22" s="1"/>
  <c r="B92" i="23"/>
  <c r="G106" i="20"/>
  <c r="CB106" i="6" s="1"/>
  <c r="H106" i="20"/>
  <c r="AA106" i="20"/>
  <c r="Z106" i="20" s="1"/>
  <c r="Y106" i="20" s="1"/>
  <c r="D118" i="22"/>
  <c r="E118" i="22" s="1"/>
  <c r="F118" i="22" s="1"/>
  <c r="W118" i="22"/>
  <c r="B118" i="23"/>
  <c r="G136" i="20"/>
  <c r="CB136" i="6" s="1"/>
  <c r="AA136" i="20"/>
  <c r="Z136" i="20" s="1"/>
  <c r="Y136" i="20" s="1"/>
  <c r="W170" i="22"/>
  <c r="D170" i="22"/>
  <c r="E170" i="22" s="1"/>
  <c r="F170" i="22" s="1"/>
  <c r="B170" i="23"/>
  <c r="G178" i="20"/>
  <c r="CB178" i="6" s="1"/>
  <c r="H178" i="20"/>
  <c r="AA178" i="20"/>
  <c r="Z178" i="20" s="1"/>
  <c r="Y178" i="20" s="1"/>
  <c r="W230" i="22"/>
  <c r="D230" i="22"/>
  <c r="E230" i="22" s="1"/>
  <c r="F230" i="22" s="1"/>
  <c r="B230" i="23"/>
  <c r="G254" i="20"/>
  <c r="CB254" i="6" s="1"/>
  <c r="H254" i="20"/>
  <c r="AA254" i="20"/>
  <c r="Z254" i="20" s="1"/>
  <c r="Y254" i="20" s="1"/>
  <c r="W268" i="22"/>
  <c r="D268" i="22"/>
  <c r="E268" i="22" s="1"/>
  <c r="F268" i="22" s="1"/>
  <c r="B268" i="23"/>
  <c r="G274" i="20"/>
  <c r="CB274" i="6" s="1"/>
  <c r="H274" i="20"/>
  <c r="AA274" i="20"/>
  <c r="Z274" i="20" s="1"/>
  <c r="Y274" i="20" s="1"/>
  <c r="W282" i="22"/>
  <c r="D282" i="22"/>
  <c r="E282" i="22" s="1"/>
  <c r="F282" i="22" s="1"/>
  <c r="B282" i="23"/>
  <c r="G318" i="20"/>
  <c r="CB318" i="6" s="1"/>
  <c r="H318" i="20"/>
  <c r="AA318" i="20"/>
  <c r="Z318" i="20" s="1"/>
  <c r="Y318" i="20" s="1"/>
  <c r="W328" i="22"/>
  <c r="D328" i="22"/>
  <c r="E328" i="22" s="1"/>
  <c r="F328" i="22" s="1"/>
  <c r="B328" i="23"/>
  <c r="G352" i="20"/>
  <c r="CB352" i="6" s="1"/>
  <c r="H352" i="20"/>
  <c r="AA352" i="20"/>
  <c r="Z352" i="20" s="1"/>
  <c r="Y352" i="20" s="1"/>
  <c r="W21" i="22"/>
  <c r="D21" i="22"/>
  <c r="E21" i="22" s="1"/>
  <c r="F21" i="22" s="1"/>
  <c r="B21" i="23"/>
  <c r="G31" i="20"/>
  <c r="CB31" i="6" s="1"/>
  <c r="H31" i="20"/>
  <c r="AA31" i="20"/>
  <c r="Z31" i="20" s="1"/>
  <c r="Y31" i="20" s="1"/>
  <c r="W45" i="22"/>
  <c r="D45" i="22"/>
  <c r="E45" i="22" s="1"/>
  <c r="F45" i="22" s="1"/>
  <c r="B45" i="23"/>
  <c r="G49" i="20"/>
  <c r="CB49" i="6" s="1"/>
  <c r="H49" i="20"/>
  <c r="AA49" i="20"/>
  <c r="Z49" i="20" s="1"/>
  <c r="Y49" i="20" s="1"/>
  <c r="W71" i="22"/>
  <c r="D71" i="22"/>
  <c r="E71" i="22" s="1"/>
  <c r="F71" i="22" s="1"/>
  <c r="B71" i="23"/>
  <c r="G71" i="20"/>
  <c r="CB71" i="6" s="1"/>
  <c r="H71" i="20"/>
  <c r="AA71" i="20"/>
  <c r="Z71" i="20" s="1"/>
  <c r="Y71" i="20" s="1"/>
  <c r="G87" i="20"/>
  <c r="CB87" i="6" s="1"/>
  <c r="AA87" i="20"/>
  <c r="Z87" i="20" s="1"/>
  <c r="Y87" i="20" s="1"/>
  <c r="W123" i="22"/>
  <c r="D123" i="22"/>
  <c r="E123" i="22" s="1"/>
  <c r="F123" i="22" s="1"/>
  <c r="B123" i="23"/>
  <c r="G145" i="20"/>
  <c r="CB145" i="6" s="1"/>
  <c r="AA145" i="20"/>
  <c r="Z145" i="20" s="1"/>
  <c r="Y145" i="20" s="1"/>
  <c r="W181" i="22"/>
  <c r="D181" i="22"/>
  <c r="E181" i="22" s="1"/>
  <c r="F181" i="22" s="1"/>
  <c r="B181" i="23"/>
  <c r="G201" i="20"/>
  <c r="CB201" i="6" s="1"/>
  <c r="AA201" i="20"/>
  <c r="Z201" i="20" s="1"/>
  <c r="Y201" i="20" s="1"/>
  <c r="W215" i="22"/>
  <c r="D215" i="22"/>
  <c r="E215" i="22" s="1"/>
  <c r="F215" i="22" s="1"/>
  <c r="B215" i="23"/>
  <c r="G233" i="20"/>
  <c r="CB233" i="6" s="1"/>
  <c r="AA233" i="20"/>
  <c r="Z233" i="20" s="1"/>
  <c r="Y233" i="20" s="1"/>
  <c r="W275" i="23"/>
  <c r="D275" i="23"/>
  <c r="E275" i="23" s="1"/>
  <c r="F275" i="23" s="1"/>
  <c r="B275" i="24"/>
  <c r="W291" i="23"/>
  <c r="D291" i="23"/>
  <c r="E291" i="23" s="1"/>
  <c r="F291" i="23" s="1"/>
  <c r="B291" i="24"/>
  <c r="W303" i="23"/>
  <c r="D303" i="23"/>
  <c r="E303" i="23" s="1"/>
  <c r="F303" i="23" s="1"/>
  <c r="B303" i="24"/>
  <c r="W339" i="23"/>
  <c r="D339" i="23"/>
  <c r="E339" i="23" s="1"/>
  <c r="F339" i="23" s="1"/>
  <c r="B339" i="24"/>
  <c r="D371" i="22"/>
  <c r="E371" i="22" s="1"/>
  <c r="F371" i="22" s="1"/>
  <c r="W371" i="22"/>
  <c r="B371" i="23"/>
  <c r="G80" i="22"/>
  <c r="CC80" i="6" s="1"/>
  <c r="AA80" i="22"/>
  <c r="Z80" i="22" s="1"/>
  <c r="Y80" i="22" s="1"/>
  <c r="J80" i="18"/>
  <c r="I80" i="18"/>
  <c r="G94" i="22"/>
  <c r="CC94" i="6" s="1"/>
  <c r="AA94" i="22"/>
  <c r="Z94" i="22" s="1"/>
  <c r="Y94" i="22" s="1"/>
  <c r="AA112" i="20"/>
  <c r="Z112" i="20" s="1"/>
  <c r="Y112" i="20" s="1"/>
  <c r="G112" i="20"/>
  <c r="CB112" i="6" s="1"/>
  <c r="G144" i="20"/>
  <c r="CB144" i="6" s="1"/>
  <c r="AA144" i="20"/>
  <c r="Z144" i="20" s="1"/>
  <c r="Y144" i="20" s="1"/>
  <c r="J164" i="18"/>
  <c r="I164" i="18"/>
  <c r="G218" i="20"/>
  <c r="CB218" i="6" s="1"/>
  <c r="AA218" i="20"/>
  <c r="Z218" i="20" s="1"/>
  <c r="Y218" i="20" s="1"/>
  <c r="G296" i="20"/>
  <c r="CB296" i="6" s="1"/>
  <c r="AA296" i="20"/>
  <c r="Z296" i="20" s="1"/>
  <c r="Y296" i="20" s="1"/>
  <c r="G348" i="20"/>
  <c r="CB348" i="6" s="1"/>
  <c r="AA348" i="20"/>
  <c r="Z348" i="20" s="1"/>
  <c r="Y348" i="20" s="1"/>
  <c r="G39" i="20"/>
  <c r="CB39" i="6" s="1"/>
  <c r="AA39" i="20"/>
  <c r="Z39" i="20" s="1"/>
  <c r="Y39" i="20" s="1"/>
  <c r="G107" i="20"/>
  <c r="CB107" i="6" s="1"/>
  <c r="AA107" i="20"/>
  <c r="Z107" i="20" s="1"/>
  <c r="Y107" i="20" s="1"/>
  <c r="G151" i="20"/>
  <c r="CB151" i="6" s="1"/>
  <c r="AA151" i="20"/>
  <c r="Z151" i="20" s="1"/>
  <c r="Y151" i="20" s="1"/>
  <c r="G193" i="20"/>
  <c r="CB193" i="6" s="1"/>
  <c r="AA193" i="20"/>
  <c r="Z193" i="20" s="1"/>
  <c r="Y193" i="20" s="1"/>
  <c r="W231" i="22"/>
  <c r="D231" i="22"/>
  <c r="E231" i="22" s="1"/>
  <c r="F231" i="22" s="1"/>
  <c r="B231" i="23"/>
  <c r="W269" i="22"/>
  <c r="D269" i="22"/>
  <c r="E269" i="22" s="1"/>
  <c r="F269" i="22" s="1"/>
  <c r="B269" i="23"/>
  <c r="W313" i="22"/>
  <c r="D313" i="22"/>
  <c r="E313" i="22" s="1"/>
  <c r="F313" i="22" s="1"/>
  <c r="B313" i="23"/>
  <c r="W359" i="22"/>
  <c r="D359" i="22"/>
  <c r="E359" i="22" s="1"/>
  <c r="F359" i="22" s="1"/>
  <c r="B359" i="23"/>
  <c r="I27" i="18"/>
  <c r="BA27" i="6" s="1"/>
  <c r="D27" i="6" s="1"/>
  <c r="J27" i="18"/>
  <c r="I266" i="18"/>
  <c r="BA266" i="6" s="1"/>
  <c r="D266" i="6" s="1"/>
  <c r="J266" i="18"/>
  <c r="J26" i="18"/>
  <c r="I26" i="18"/>
  <c r="BA26" i="6" s="1"/>
  <c r="D26" i="6" s="1"/>
  <c r="J343" i="18"/>
  <c r="I343" i="18"/>
  <c r="BA343" i="6" s="1"/>
  <c r="D343" i="6" s="1"/>
  <c r="J139" i="18"/>
  <c r="I139" i="18"/>
  <c r="J143" i="18"/>
  <c r="I143" i="18"/>
  <c r="J357" i="18"/>
  <c r="I357" i="18"/>
  <c r="D20" i="22"/>
  <c r="E20" i="22" s="1"/>
  <c r="F20" i="22" s="1"/>
  <c r="W20" i="22"/>
  <c r="B20" i="23"/>
  <c r="W48" i="22"/>
  <c r="D48" i="22"/>
  <c r="E48" i="22" s="1"/>
  <c r="F48" i="22" s="1"/>
  <c r="B48" i="23"/>
  <c r="G124" i="20"/>
  <c r="CB124" i="6" s="1"/>
  <c r="AA124" i="20"/>
  <c r="Z124" i="20" s="1"/>
  <c r="Y124" i="20" s="1"/>
  <c r="W160" i="22"/>
  <c r="D160" i="22"/>
  <c r="E160" i="22" s="1"/>
  <c r="F160" i="22" s="1"/>
  <c r="B160" i="23"/>
  <c r="G184" i="20"/>
  <c r="CB184" i="6" s="1"/>
  <c r="AA184" i="20"/>
  <c r="Z184" i="20" s="1"/>
  <c r="Y184" i="20" s="1"/>
  <c r="W234" i="22"/>
  <c r="D234" i="22"/>
  <c r="E234" i="22" s="1"/>
  <c r="F234" i="22" s="1"/>
  <c r="B234" i="23"/>
  <c r="G256" i="20"/>
  <c r="CB256" i="6" s="1"/>
  <c r="AA256" i="20"/>
  <c r="Z256" i="20" s="1"/>
  <c r="Y256" i="20" s="1"/>
  <c r="W266" i="22"/>
  <c r="D266" i="22"/>
  <c r="E266" i="22" s="1"/>
  <c r="F266" i="22" s="1"/>
  <c r="B266" i="23"/>
  <c r="G292" i="20"/>
  <c r="CB292" i="6" s="1"/>
  <c r="AA292" i="20"/>
  <c r="Z292" i="20" s="1"/>
  <c r="Y292" i="20" s="1"/>
  <c r="W322" i="22"/>
  <c r="D322" i="22"/>
  <c r="E322" i="22" s="1"/>
  <c r="F322" i="22" s="1"/>
  <c r="B322" i="23"/>
  <c r="G330" i="20"/>
  <c r="CB330" i="6" s="1"/>
  <c r="AA330" i="20"/>
  <c r="Z330" i="20" s="1"/>
  <c r="Y330" i="20" s="1"/>
  <c r="W350" i="22"/>
  <c r="D350" i="22"/>
  <c r="E350" i="22" s="1"/>
  <c r="F350" i="22" s="1"/>
  <c r="B350" i="23"/>
  <c r="G364" i="20"/>
  <c r="CB364" i="6" s="1"/>
  <c r="AA364" i="20"/>
  <c r="Z364" i="20" s="1"/>
  <c r="Y364" i="20" s="1"/>
  <c r="W26" i="22"/>
  <c r="D26" i="22"/>
  <c r="E26" i="22" s="1"/>
  <c r="F26" i="22" s="1"/>
  <c r="B26" i="23"/>
  <c r="G41" i="20"/>
  <c r="CB41" i="6" s="1"/>
  <c r="AA41" i="20"/>
  <c r="Z41" i="20" s="1"/>
  <c r="Y41" i="20" s="1"/>
  <c r="W57" i="22"/>
  <c r="D57" i="22"/>
  <c r="E57" i="22" s="1"/>
  <c r="F57" i="22" s="1"/>
  <c r="B57" i="23"/>
  <c r="G91" i="20"/>
  <c r="CB91" i="6" s="1"/>
  <c r="AA91" i="20"/>
  <c r="Z91" i="20" s="1"/>
  <c r="Y91" i="20" s="1"/>
  <c r="W113" i="22"/>
  <c r="D113" i="22"/>
  <c r="E113" i="22" s="1"/>
  <c r="F113" i="22" s="1"/>
  <c r="B113" i="23"/>
  <c r="G117" i="20"/>
  <c r="CB117" i="6" s="1"/>
  <c r="AA117" i="20"/>
  <c r="Z117" i="20" s="1"/>
  <c r="Y117" i="20" s="1"/>
  <c r="W129" i="22"/>
  <c r="D129" i="22"/>
  <c r="E129" i="22" s="1"/>
  <c r="F129" i="22" s="1"/>
  <c r="B129" i="23"/>
  <c r="G165" i="20"/>
  <c r="CB165" i="6" s="1"/>
  <c r="AA165" i="20"/>
  <c r="Z165" i="20" s="1"/>
  <c r="Y165" i="20" s="1"/>
  <c r="W213" i="22"/>
  <c r="D213" i="22"/>
  <c r="E213" i="22" s="1"/>
  <c r="F213" i="22" s="1"/>
  <c r="B213" i="23"/>
  <c r="G225" i="20"/>
  <c r="CB225" i="6" s="1"/>
  <c r="AA225" i="20"/>
  <c r="Z225" i="20" s="1"/>
  <c r="Y225" i="20" s="1"/>
  <c r="W239" i="22"/>
  <c r="D239" i="22"/>
  <c r="E239" i="22" s="1"/>
  <c r="F239" i="22" s="1"/>
  <c r="B239" i="23"/>
  <c r="G279" i="20"/>
  <c r="CB279" i="6" s="1"/>
  <c r="AA279" i="20"/>
  <c r="Z279" i="20" s="1"/>
  <c r="Y279" i="20" s="1"/>
  <c r="D315" i="22"/>
  <c r="E315" i="22" s="1"/>
  <c r="F315" i="22" s="1"/>
  <c r="W315" i="22"/>
  <c r="B315" i="23"/>
  <c r="G343" i="20"/>
  <c r="CB343" i="6" s="1"/>
  <c r="AA343" i="20"/>
  <c r="Z343" i="20" s="1"/>
  <c r="Y343" i="20" s="1"/>
  <c r="W351" i="22"/>
  <c r="D351" i="22"/>
  <c r="E351" i="22" s="1"/>
  <c r="F351" i="22" s="1"/>
  <c r="B351" i="23"/>
  <c r="G377" i="20"/>
  <c r="CB377" i="6" s="1"/>
  <c r="AA377" i="20"/>
  <c r="Z377" i="20" s="1"/>
  <c r="Y377" i="20" s="1"/>
  <c r="W30" i="22"/>
  <c r="D30" i="22"/>
  <c r="E30" i="22" s="1"/>
  <c r="F30" i="22" s="1"/>
  <c r="B30" i="23"/>
  <c r="G40" i="20"/>
  <c r="CB40" i="6" s="1"/>
  <c r="AA40" i="20"/>
  <c r="Z40" i="20" s="1"/>
  <c r="Y40" i="20" s="1"/>
  <c r="W54" i="22"/>
  <c r="D54" i="22"/>
  <c r="E54" i="22" s="1"/>
  <c r="F54" i="22" s="1"/>
  <c r="B54" i="23"/>
  <c r="G68" i="20"/>
  <c r="CB68" i="6" s="1"/>
  <c r="AA68" i="20"/>
  <c r="Z68" i="20" s="1"/>
  <c r="Y68" i="20" s="1"/>
  <c r="W82" i="22"/>
  <c r="D82" i="22"/>
  <c r="E82" i="22" s="1"/>
  <c r="F82" i="22" s="1"/>
  <c r="B82" i="23"/>
  <c r="G82" i="20"/>
  <c r="CB82" i="6" s="1"/>
  <c r="AA82" i="20"/>
  <c r="Z82" i="20" s="1"/>
  <c r="Y82" i="20" s="1"/>
  <c r="G134" i="20"/>
  <c r="CB134" i="6" s="1"/>
  <c r="AA134" i="20"/>
  <c r="Z134" i="20" s="1"/>
  <c r="Y134" i="20" s="1"/>
  <c r="D158" i="22"/>
  <c r="E158" i="22" s="1"/>
  <c r="F158" i="22" s="1"/>
  <c r="W158" i="22"/>
  <c r="B158" i="23"/>
  <c r="G168" i="20"/>
  <c r="CB168" i="6" s="1"/>
  <c r="AA168" i="20"/>
  <c r="Z168" i="20" s="1"/>
  <c r="Y168" i="20" s="1"/>
  <c r="W190" i="23"/>
  <c r="D190" i="23"/>
  <c r="E190" i="23" s="1"/>
  <c r="F190" i="23" s="1"/>
  <c r="B190" i="24"/>
  <c r="G190" i="22"/>
  <c r="CC190" i="6" s="1"/>
  <c r="AA190" i="22"/>
  <c r="Z190" i="22" s="1"/>
  <c r="Y190" i="22" s="1"/>
  <c r="W200" i="22"/>
  <c r="D200" i="22"/>
  <c r="E200" i="22" s="1"/>
  <c r="F200" i="22" s="1"/>
  <c r="B200" i="23"/>
  <c r="G212" i="20"/>
  <c r="CB212" i="6" s="1"/>
  <c r="AA212" i="20"/>
  <c r="Z212" i="20" s="1"/>
  <c r="Y212" i="20" s="1"/>
  <c r="W224" i="22"/>
  <c r="D224" i="22"/>
  <c r="E224" i="22" s="1"/>
  <c r="F224" i="22" s="1"/>
  <c r="B224" i="23"/>
  <c r="G242" i="20"/>
  <c r="CB242" i="6" s="1"/>
  <c r="AA242" i="20"/>
  <c r="Z242" i="20" s="1"/>
  <c r="Y242" i="20" s="1"/>
  <c r="W286" i="22"/>
  <c r="D286" i="22"/>
  <c r="E286" i="22" s="1"/>
  <c r="F286" i="22" s="1"/>
  <c r="B286" i="23"/>
  <c r="G312" i="20"/>
  <c r="CB312" i="6" s="1"/>
  <c r="AA312" i="20"/>
  <c r="Z312" i="20" s="1"/>
  <c r="Y312" i="20" s="1"/>
  <c r="W338" i="22"/>
  <c r="D338" i="22"/>
  <c r="E338" i="22" s="1"/>
  <c r="F338" i="22" s="1"/>
  <c r="B338" i="23"/>
  <c r="G342" i="20"/>
  <c r="CB342" i="6" s="1"/>
  <c r="AA342" i="20"/>
  <c r="Z342" i="20" s="1"/>
  <c r="Y342" i="20" s="1"/>
  <c r="W358" i="22"/>
  <c r="D358" i="22"/>
  <c r="E358" i="22" s="1"/>
  <c r="F358" i="22" s="1"/>
  <c r="B358" i="23"/>
  <c r="G366" i="20"/>
  <c r="CB366" i="6" s="1"/>
  <c r="AA366" i="20"/>
  <c r="Z366" i="20" s="1"/>
  <c r="Y366" i="20" s="1"/>
  <c r="W64" i="22"/>
  <c r="D64" i="22"/>
  <c r="E64" i="22" s="1"/>
  <c r="F64" i="22" s="1"/>
  <c r="B64" i="23"/>
  <c r="G222" i="20"/>
  <c r="CB222" i="6" s="1"/>
  <c r="AA222" i="20"/>
  <c r="Z222" i="20" s="1"/>
  <c r="Y222" i="20" s="1"/>
  <c r="W205" i="22"/>
  <c r="D205" i="22"/>
  <c r="E205" i="22" s="1"/>
  <c r="F205" i="22" s="1"/>
  <c r="B205" i="23"/>
  <c r="G204" i="20"/>
  <c r="CB204" i="6" s="1"/>
  <c r="AA204" i="20"/>
  <c r="Z204" i="20" s="1"/>
  <c r="Y204" i="20" s="1"/>
  <c r="W207" i="22"/>
  <c r="D207" i="22"/>
  <c r="E207" i="22" s="1"/>
  <c r="F207" i="22" s="1"/>
  <c r="B207" i="23"/>
  <c r="G252" i="20"/>
  <c r="CB252" i="6" s="1"/>
  <c r="AA252" i="20"/>
  <c r="Z252" i="20" s="1"/>
  <c r="Y252" i="20" s="1"/>
  <c r="W299" i="22"/>
  <c r="D299" i="22"/>
  <c r="E299" i="22" s="1"/>
  <c r="F299" i="22" s="1"/>
  <c r="B299" i="23"/>
  <c r="G305" i="20"/>
  <c r="CB305" i="6" s="1"/>
  <c r="AA305" i="20"/>
  <c r="Z305" i="20" s="1"/>
  <c r="Y305" i="20" s="1"/>
  <c r="W306" i="22"/>
  <c r="D306" i="22"/>
  <c r="E306" i="22" s="1"/>
  <c r="F306" i="22" s="1"/>
  <c r="B306" i="23"/>
  <c r="G152" i="20"/>
  <c r="CB152" i="6" s="1"/>
  <c r="AA152" i="20"/>
  <c r="Z152" i="20" s="1"/>
  <c r="Y152" i="20" s="1"/>
  <c r="W353" i="22"/>
  <c r="D353" i="22"/>
  <c r="E353" i="22" s="1"/>
  <c r="F353" i="22" s="1"/>
  <c r="B353" i="23"/>
  <c r="G52" i="20"/>
  <c r="CB52" i="6" s="1"/>
  <c r="AA52" i="20"/>
  <c r="Z52" i="20" s="1"/>
  <c r="Y52" i="20" s="1"/>
  <c r="W229" i="22"/>
  <c r="D229" i="22"/>
  <c r="E229" i="22" s="1"/>
  <c r="F229" i="22" s="1"/>
  <c r="B229" i="23"/>
  <c r="G103" i="20"/>
  <c r="CB103" i="6" s="1"/>
  <c r="AA103" i="20"/>
  <c r="Z103" i="20" s="1"/>
  <c r="Y103" i="20" s="1"/>
  <c r="W32" i="22"/>
  <c r="D32" i="22"/>
  <c r="E32" i="22" s="1"/>
  <c r="F32" i="22" s="1"/>
  <c r="B32" i="23"/>
  <c r="G235" i="20"/>
  <c r="CB235" i="6" s="1"/>
  <c r="AA235" i="20"/>
  <c r="Z235" i="20" s="1"/>
  <c r="Y235" i="20" s="1"/>
  <c r="D331" i="22"/>
  <c r="E331" i="22" s="1"/>
  <c r="F331" i="22" s="1"/>
  <c r="W331" i="22"/>
  <c r="B331" i="23"/>
  <c r="G251" i="20"/>
  <c r="CB251" i="6" s="1"/>
  <c r="AA251" i="20"/>
  <c r="Z251" i="20" s="1"/>
  <c r="Y251" i="20" s="1"/>
  <c r="W100" i="22"/>
  <c r="D100" i="22"/>
  <c r="E100" i="22" s="1"/>
  <c r="F100" i="22" s="1"/>
  <c r="B100" i="23"/>
  <c r="G153" i="20"/>
  <c r="CB153" i="6" s="1"/>
  <c r="AA153" i="20"/>
  <c r="Z153" i="20" s="1"/>
  <c r="Y153" i="20" s="1"/>
  <c r="W38" i="22"/>
  <c r="D38" i="22"/>
  <c r="E38" i="22" s="1"/>
  <c r="F38" i="22" s="1"/>
  <c r="B38" i="23"/>
  <c r="G132" i="20"/>
  <c r="CB132" i="6" s="1"/>
  <c r="AA132" i="20"/>
  <c r="Z132" i="20" s="1"/>
  <c r="Y132" i="20" s="1"/>
  <c r="W174" i="22"/>
  <c r="D174" i="22"/>
  <c r="E174" i="22" s="1"/>
  <c r="F174" i="22" s="1"/>
  <c r="B174" i="23"/>
  <c r="AK5" i="23" l="1"/>
  <c r="AJ11" i="20"/>
  <c r="W15" i="23"/>
  <c r="AJ5" i="23"/>
  <c r="AJ9" i="22"/>
  <c r="AK9" i="20"/>
  <c r="AK11" i="20" s="1"/>
  <c r="AM9" i="20"/>
  <c r="AJ7" i="22"/>
  <c r="B17" i="19"/>
  <c r="C15" i="19"/>
  <c r="H153" i="20"/>
  <c r="I153" i="20" s="1"/>
  <c r="H153" i="22" s="1"/>
  <c r="H252" i="20"/>
  <c r="J252" i="20" s="1"/>
  <c r="H165" i="20"/>
  <c r="J165" i="20" s="1"/>
  <c r="H256" i="20"/>
  <c r="I256" i="20" s="1"/>
  <c r="H256" i="22" s="1"/>
  <c r="H91" i="20"/>
  <c r="I91" i="20" s="1"/>
  <c r="H91" i="22" s="1"/>
  <c r="H330" i="20"/>
  <c r="I330" i="20" s="1"/>
  <c r="H330" i="22" s="1"/>
  <c r="H296" i="20"/>
  <c r="J296" i="20" s="1"/>
  <c r="AJ12" i="20"/>
  <c r="AJ13" i="20" s="1"/>
  <c r="H331" i="20"/>
  <c r="J331" i="20" s="1"/>
  <c r="H213" i="20"/>
  <c r="J213" i="20" s="1"/>
  <c r="H379" i="20"/>
  <c r="J379" i="20" s="1"/>
  <c r="B15" i="24"/>
  <c r="H337" i="20"/>
  <c r="J337" i="20" s="1"/>
  <c r="H132" i="20"/>
  <c r="I132" i="20" s="1"/>
  <c r="H132" i="22" s="1"/>
  <c r="H251" i="20"/>
  <c r="I251" i="20" s="1"/>
  <c r="H251" i="22" s="1"/>
  <c r="H52" i="20"/>
  <c r="I52" i="20" s="1"/>
  <c r="H52" i="22" s="1"/>
  <c r="H152" i="20"/>
  <c r="J152" i="20" s="1"/>
  <c r="H305" i="20"/>
  <c r="J305" i="20" s="1"/>
  <c r="H366" i="20"/>
  <c r="I366" i="20" s="1"/>
  <c r="H366" i="22" s="1"/>
  <c r="H242" i="20"/>
  <c r="J242" i="20" s="1"/>
  <c r="H82" i="20"/>
  <c r="J82" i="20" s="1"/>
  <c r="H124" i="20"/>
  <c r="J124" i="20" s="1"/>
  <c r="AK6" i="22"/>
  <c r="H353" i="20"/>
  <c r="I353" i="20" s="1"/>
  <c r="H353" i="22" s="1"/>
  <c r="H207" i="20"/>
  <c r="I207" i="20" s="1"/>
  <c r="H207" i="22" s="1"/>
  <c r="H54" i="20"/>
  <c r="J54" i="20" s="1"/>
  <c r="H30" i="20"/>
  <c r="I30" i="20" s="1"/>
  <c r="H30" i="22" s="1"/>
  <c r="H59" i="20"/>
  <c r="J59" i="20" s="1"/>
  <c r="H68" i="20"/>
  <c r="J68" i="20" s="1"/>
  <c r="H40" i="20"/>
  <c r="J40" i="20" s="1"/>
  <c r="H377" i="20"/>
  <c r="I377" i="20" s="1"/>
  <c r="H377" i="22" s="1"/>
  <c r="H343" i="20"/>
  <c r="I343" i="20" s="1"/>
  <c r="H343" i="22" s="1"/>
  <c r="H279" i="20"/>
  <c r="I279" i="20" s="1"/>
  <c r="H279" i="22" s="1"/>
  <c r="H225" i="20"/>
  <c r="I225" i="20" s="1"/>
  <c r="H225" i="22" s="1"/>
  <c r="H117" i="20"/>
  <c r="I117" i="20" s="1"/>
  <c r="H117" i="22" s="1"/>
  <c r="H41" i="20"/>
  <c r="I41" i="20" s="1"/>
  <c r="H41" i="22" s="1"/>
  <c r="H364" i="20"/>
  <c r="J364" i="20" s="1"/>
  <c r="H292" i="20"/>
  <c r="I292" i="20" s="1"/>
  <c r="H292" i="22" s="1"/>
  <c r="H193" i="20"/>
  <c r="I193" i="20" s="1"/>
  <c r="H193" i="22" s="1"/>
  <c r="H348" i="20"/>
  <c r="I348" i="20" s="1"/>
  <c r="H348" i="22" s="1"/>
  <c r="H86" i="20"/>
  <c r="I86" i="20" s="1"/>
  <c r="H86" i="22" s="1"/>
  <c r="H32" i="20"/>
  <c r="I32" i="20" s="1"/>
  <c r="H32" i="22" s="1"/>
  <c r="H338" i="20"/>
  <c r="J338" i="20" s="1"/>
  <c r="H224" i="20"/>
  <c r="I224" i="20" s="1"/>
  <c r="H224" i="22" s="1"/>
  <c r="H129" i="20"/>
  <c r="I129" i="20" s="1"/>
  <c r="H129" i="22" s="1"/>
  <c r="H45" i="20"/>
  <c r="J45" i="20" s="1"/>
  <c r="H118" i="20"/>
  <c r="I118" i="20" s="1"/>
  <c r="H118" i="22" s="1"/>
  <c r="H301" i="20"/>
  <c r="I301" i="20" s="1"/>
  <c r="H301" i="22" s="1"/>
  <c r="H211" i="20"/>
  <c r="J211" i="20" s="1"/>
  <c r="H141" i="20"/>
  <c r="I141" i="20" s="1"/>
  <c r="H141" i="22" s="1"/>
  <c r="H327" i="20"/>
  <c r="I327" i="20" s="1"/>
  <c r="H327" i="22" s="1"/>
  <c r="B382" i="23"/>
  <c r="H174" i="20"/>
  <c r="J174" i="20" s="1"/>
  <c r="H38" i="20"/>
  <c r="I38" i="20" s="1"/>
  <c r="H38" i="22" s="1"/>
  <c r="H306" i="20"/>
  <c r="I306" i="20" s="1"/>
  <c r="H306" i="22" s="1"/>
  <c r="H315" i="20"/>
  <c r="J315" i="20" s="1"/>
  <c r="H239" i="20"/>
  <c r="J239" i="20" s="1"/>
  <c r="H215" i="20"/>
  <c r="J215" i="20" s="1"/>
  <c r="H181" i="20"/>
  <c r="I181" i="20" s="1"/>
  <c r="H181" i="22" s="1"/>
  <c r="H123" i="20"/>
  <c r="J123" i="20" s="1"/>
  <c r="H375" i="20"/>
  <c r="J375" i="20" s="1"/>
  <c r="H179" i="20"/>
  <c r="I179" i="20" s="1"/>
  <c r="H179" i="22" s="1"/>
  <c r="H204" i="20"/>
  <c r="I204" i="20" s="1"/>
  <c r="H204" i="22" s="1"/>
  <c r="H342" i="20"/>
  <c r="J342" i="20" s="1"/>
  <c r="H312" i="20"/>
  <c r="J312" i="20" s="1"/>
  <c r="H212" i="20"/>
  <c r="I212" i="20" s="1"/>
  <c r="H212" i="22" s="1"/>
  <c r="H134" i="20"/>
  <c r="I134" i="20" s="1"/>
  <c r="H134" i="22" s="1"/>
  <c r="H151" i="20"/>
  <c r="J151" i="20" s="1"/>
  <c r="H39" i="20"/>
  <c r="J39" i="20" s="1"/>
  <c r="H144" i="20"/>
  <c r="J144" i="20" s="1"/>
  <c r="H112" i="20"/>
  <c r="I112" i="20" s="1"/>
  <c r="H112" i="22" s="1"/>
  <c r="H233" i="20"/>
  <c r="I233" i="20" s="1"/>
  <c r="H233" i="22" s="1"/>
  <c r="H229" i="20"/>
  <c r="J229" i="20" s="1"/>
  <c r="H158" i="20"/>
  <c r="J158" i="20" s="1"/>
  <c r="H57" i="20"/>
  <c r="I57" i="20" s="1"/>
  <c r="H57" i="22" s="1"/>
  <c r="H20" i="20"/>
  <c r="J20" i="20" s="1"/>
  <c r="H92" i="20"/>
  <c r="I92" i="20" s="1"/>
  <c r="H92" i="22" s="1"/>
  <c r="H50" i="20"/>
  <c r="J50" i="20" s="1"/>
  <c r="H250" i="20"/>
  <c r="J250" i="20" s="1"/>
  <c r="H235" i="20"/>
  <c r="J235" i="20" s="1"/>
  <c r="H103" i="20"/>
  <c r="I103" i="20" s="1"/>
  <c r="H103" i="22" s="1"/>
  <c r="H222" i="20"/>
  <c r="I222" i="20" s="1"/>
  <c r="H222" i="22" s="1"/>
  <c r="H168" i="20"/>
  <c r="J168" i="20" s="1"/>
  <c r="H184" i="20"/>
  <c r="I184" i="20" s="1"/>
  <c r="H184" i="22" s="1"/>
  <c r="H107" i="20"/>
  <c r="I107" i="20" s="1"/>
  <c r="H107" i="22" s="1"/>
  <c r="H218" i="20"/>
  <c r="J218" i="20" s="1"/>
  <c r="H201" i="20"/>
  <c r="J201" i="20" s="1"/>
  <c r="H145" i="20"/>
  <c r="J145" i="20" s="1"/>
  <c r="H87" i="20"/>
  <c r="I87" i="20" s="1"/>
  <c r="H87" i="22" s="1"/>
  <c r="H136" i="20"/>
  <c r="J136" i="20" s="1"/>
  <c r="H70" i="20"/>
  <c r="I70" i="20" s="1"/>
  <c r="H70" i="22" s="1"/>
  <c r="H341" i="20"/>
  <c r="J341" i="20" s="1"/>
  <c r="H258" i="20"/>
  <c r="I258" i="20" s="1"/>
  <c r="H258" i="22" s="1"/>
  <c r="H100" i="20"/>
  <c r="J100" i="20" s="1"/>
  <c r="H299" i="20"/>
  <c r="I299" i="20" s="1"/>
  <c r="H299" i="22" s="1"/>
  <c r="H205" i="20"/>
  <c r="I205" i="20" s="1"/>
  <c r="H205" i="22" s="1"/>
  <c r="H64" i="20"/>
  <c r="I64" i="20" s="1"/>
  <c r="H64" i="22" s="1"/>
  <c r="H358" i="20"/>
  <c r="I358" i="20" s="1"/>
  <c r="H358" i="22" s="1"/>
  <c r="H286" i="20"/>
  <c r="J286" i="20" s="1"/>
  <c r="H200" i="20"/>
  <c r="J200" i="20" s="1"/>
  <c r="H351" i="20"/>
  <c r="I351" i="20" s="1"/>
  <c r="H351" i="22" s="1"/>
  <c r="H113" i="20"/>
  <c r="J113" i="20" s="1"/>
  <c r="H350" i="20"/>
  <c r="I350" i="20" s="1"/>
  <c r="H350" i="22" s="1"/>
  <c r="H48" i="20"/>
  <c r="I48" i="20" s="1"/>
  <c r="H48" i="22" s="1"/>
  <c r="H371" i="20"/>
  <c r="I371" i="20" s="1"/>
  <c r="H371" i="22" s="1"/>
  <c r="H21" i="20"/>
  <c r="I21" i="20" s="1"/>
  <c r="H21" i="22" s="1"/>
  <c r="H328" i="20"/>
  <c r="I328" i="20" s="1"/>
  <c r="H328" i="22" s="1"/>
  <c r="H282" i="20"/>
  <c r="J282" i="20" s="1"/>
  <c r="H268" i="20"/>
  <c r="I268" i="20" s="1"/>
  <c r="H268" i="22" s="1"/>
  <c r="H230" i="20"/>
  <c r="J230" i="20" s="1"/>
  <c r="H175" i="20"/>
  <c r="I175" i="20" s="1"/>
  <c r="H175" i="22" s="1"/>
  <c r="H186" i="20"/>
  <c r="I186" i="20" s="1"/>
  <c r="H186" i="22" s="1"/>
  <c r="H126" i="20"/>
  <c r="J126" i="20" s="1"/>
  <c r="J330" i="20"/>
  <c r="W322" i="23"/>
  <c r="D322" i="23"/>
  <c r="E322" i="23" s="1"/>
  <c r="F322" i="23" s="1"/>
  <c r="B322" i="24"/>
  <c r="J292" i="20"/>
  <c r="W266" i="23"/>
  <c r="D266" i="23"/>
  <c r="E266" i="23" s="1"/>
  <c r="F266" i="23" s="1"/>
  <c r="B266" i="24"/>
  <c r="J256" i="20"/>
  <c r="W234" i="23"/>
  <c r="D234" i="23"/>
  <c r="E234" i="23" s="1"/>
  <c r="F234" i="23" s="1"/>
  <c r="B234" i="24"/>
  <c r="W160" i="23"/>
  <c r="D160" i="23"/>
  <c r="E160" i="23" s="1"/>
  <c r="F160" i="23" s="1"/>
  <c r="B160" i="24"/>
  <c r="W48" i="23"/>
  <c r="D48" i="23"/>
  <c r="E48" i="23" s="1"/>
  <c r="F48" i="23" s="1"/>
  <c r="B48" i="24"/>
  <c r="BA357" i="6"/>
  <c r="D357" i="6" s="1"/>
  <c r="H357" i="20"/>
  <c r="BA143" i="6"/>
  <c r="D143" i="6" s="1"/>
  <c r="H143" i="20"/>
  <c r="BA139" i="6"/>
  <c r="D139" i="6" s="1"/>
  <c r="H139" i="20"/>
  <c r="W359" i="23"/>
  <c r="D359" i="23"/>
  <c r="E359" i="23" s="1"/>
  <c r="F359" i="23" s="1"/>
  <c r="B359" i="24"/>
  <c r="G313" i="22"/>
  <c r="CC313" i="6" s="1"/>
  <c r="AA313" i="22"/>
  <c r="Z313" i="22" s="1"/>
  <c r="Y313" i="22" s="1"/>
  <c r="W269" i="23"/>
  <c r="D269" i="23"/>
  <c r="E269" i="23" s="1"/>
  <c r="F269" i="23" s="1"/>
  <c r="B269" i="24"/>
  <c r="G231" i="22"/>
  <c r="CC231" i="6" s="1"/>
  <c r="AA231" i="22"/>
  <c r="Z231" i="22" s="1"/>
  <c r="Y231" i="22" s="1"/>
  <c r="BA80" i="6"/>
  <c r="D80" i="6" s="1"/>
  <c r="H80" i="20"/>
  <c r="W339" i="24"/>
  <c r="D339" i="24"/>
  <c r="E339" i="24" s="1"/>
  <c r="F339" i="24" s="1"/>
  <c r="B339" i="25"/>
  <c r="G303" i="23"/>
  <c r="CD303" i="6" s="1"/>
  <c r="AA303" i="23"/>
  <c r="Z303" i="23" s="1"/>
  <c r="Y303" i="23" s="1"/>
  <c r="W291" i="24"/>
  <c r="D291" i="24"/>
  <c r="E291" i="24" s="1"/>
  <c r="F291" i="24" s="1"/>
  <c r="B291" i="25"/>
  <c r="G275" i="23"/>
  <c r="CD275" i="6" s="1"/>
  <c r="AA275" i="23"/>
  <c r="Z275" i="23" s="1"/>
  <c r="Y275" i="23" s="1"/>
  <c r="G215" i="22"/>
  <c r="CC215" i="6" s="1"/>
  <c r="AA215" i="22"/>
  <c r="Z215" i="22" s="1"/>
  <c r="Y215" i="22" s="1"/>
  <c r="G181" i="22"/>
  <c r="CC181" i="6" s="1"/>
  <c r="AA181" i="22"/>
  <c r="Z181" i="22" s="1"/>
  <c r="Y181" i="22" s="1"/>
  <c r="G123" i="22"/>
  <c r="CC123" i="6" s="1"/>
  <c r="AA123" i="22"/>
  <c r="Z123" i="22" s="1"/>
  <c r="Y123" i="22" s="1"/>
  <c r="J71" i="20"/>
  <c r="I71" i="20"/>
  <c r="H71" i="22" s="1"/>
  <c r="W71" i="23"/>
  <c r="D71" i="23"/>
  <c r="E71" i="23" s="1"/>
  <c r="F71" i="23" s="1"/>
  <c r="B71" i="24"/>
  <c r="J49" i="20"/>
  <c r="I49" i="20"/>
  <c r="H49" i="22" s="1"/>
  <c r="W45" i="23"/>
  <c r="D45" i="23"/>
  <c r="E45" i="23" s="1"/>
  <c r="F45" i="23" s="1"/>
  <c r="B45" i="24"/>
  <c r="I31" i="20"/>
  <c r="H31" i="22" s="1"/>
  <c r="J31" i="20"/>
  <c r="W21" i="23"/>
  <c r="D21" i="23"/>
  <c r="E21" i="23" s="1"/>
  <c r="F21" i="23" s="1"/>
  <c r="B21" i="24"/>
  <c r="I352" i="20"/>
  <c r="H352" i="22" s="1"/>
  <c r="J352" i="20"/>
  <c r="W328" i="23"/>
  <c r="D328" i="23"/>
  <c r="E328" i="23" s="1"/>
  <c r="F328" i="23" s="1"/>
  <c r="B328" i="24"/>
  <c r="J318" i="20"/>
  <c r="I318" i="20"/>
  <c r="H318" i="22" s="1"/>
  <c r="W282" i="23"/>
  <c r="D282" i="23"/>
  <c r="E282" i="23" s="1"/>
  <c r="F282" i="23" s="1"/>
  <c r="B282" i="24"/>
  <c r="I274" i="20"/>
  <c r="H274" i="22" s="1"/>
  <c r="J274" i="20"/>
  <c r="W268" i="23"/>
  <c r="D268" i="23"/>
  <c r="E268" i="23" s="1"/>
  <c r="F268" i="23" s="1"/>
  <c r="B268" i="24"/>
  <c r="I254" i="20"/>
  <c r="H254" i="22" s="1"/>
  <c r="J254" i="20"/>
  <c r="D230" i="23"/>
  <c r="E230" i="23" s="1"/>
  <c r="F230" i="23" s="1"/>
  <c r="W230" i="23"/>
  <c r="B230" i="24"/>
  <c r="J178" i="20"/>
  <c r="I178" i="20"/>
  <c r="H178" i="22" s="1"/>
  <c r="W170" i="23"/>
  <c r="D170" i="23"/>
  <c r="E170" i="23" s="1"/>
  <c r="F170" i="23" s="1"/>
  <c r="B170" i="24"/>
  <c r="W118" i="23"/>
  <c r="D118" i="23"/>
  <c r="E118" i="23" s="1"/>
  <c r="F118" i="23" s="1"/>
  <c r="B118" i="24"/>
  <c r="G118" i="22"/>
  <c r="CC118" i="6" s="1"/>
  <c r="AA118" i="22"/>
  <c r="Z118" i="22" s="1"/>
  <c r="Y118" i="22" s="1"/>
  <c r="I106" i="20"/>
  <c r="H106" i="22" s="1"/>
  <c r="J106" i="20"/>
  <c r="W92" i="23"/>
  <c r="D92" i="23"/>
  <c r="E92" i="23" s="1"/>
  <c r="F92" i="23" s="1"/>
  <c r="B92" i="24"/>
  <c r="W50" i="23"/>
  <c r="D50" i="23"/>
  <c r="E50" i="23" s="1"/>
  <c r="F50" i="23" s="1"/>
  <c r="B50" i="24"/>
  <c r="G175" i="22"/>
  <c r="CC175" i="6" s="1"/>
  <c r="AA175" i="22"/>
  <c r="Z175" i="22" s="1"/>
  <c r="Y175" i="22" s="1"/>
  <c r="W379" i="23"/>
  <c r="D379" i="23"/>
  <c r="E379" i="23" s="1"/>
  <c r="F379" i="23" s="1"/>
  <c r="B379" i="24"/>
  <c r="G375" i="22"/>
  <c r="CC375" i="6" s="1"/>
  <c r="AA375" i="22"/>
  <c r="Z375" i="22" s="1"/>
  <c r="Y375" i="22" s="1"/>
  <c r="W337" i="23"/>
  <c r="D337" i="23"/>
  <c r="E337" i="23" s="1"/>
  <c r="F337" i="23" s="1"/>
  <c r="B337" i="24"/>
  <c r="G301" i="22"/>
  <c r="CC301" i="6" s="1"/>
  <c r="AA301" i="22"/>
  <c r="Z301" i="22" s="1"/>
  <c r="Y301" i="22" s="1"/>
  <c r="W257" i="23"/>
  <c r="D257" i="23"/>
  <c r="E257" i="23" s="1"/>
  <c r="F257" i="23" s="1"/>
  <c r="B257" i="24"/>
  <c r="G211" i="22"/>
  <c r="CC211" i="6" s="1"/>
  <c r="AA211" i="22"/>
  <c r="Z211" i="22" s="1"/>
  <c r="Y211" i="22" s="1"/>
  <c r="W179" i="23"/>
  <c r="D179" i="23"/>
  <c r="E179" i="23" s="1"/>
  <c r="F179" i="23" s="1"/>
  <c r="B179" i="24"/>
  <c r="G141" i="22"/>
  <c r="CC141" i="6" s="1"/>
  <c r="AA141" i="22"/>
  <c r="Z141" i="22" s="1"/>
  <c r="Y141" i="22" s="1"/>
  <c r="W59" i="23"/>
  <c r="D59" i="23"/>
  <c r="E59" i="23" s="1"/>
  <c r="F59" i="23" s="1"/>
  <c r="B59" i="24"/>
  <c r="BA317" i="6"/>
  <c r="D317" i="6" s="1"/>
  <c r="H317" i="20"/>
  <c r="BA63" i="6"/>
  <c r="D63" i="6" s="1"/>
  <c r="H63" i="20"/>
  <c r="BA46" i="6"/>
  <c r="D46" i="6" s="1"/>
  <c r="H46" i="20"/>
  <c r="W142" i="24"/>
  <c r="D142" i="24"/>
  <c r="E142" i="24" s="1"/>
  <c r="F142" i="24" s="1"/>
  <c r="B142" i="25"/>
  <c r="G108" i="23"/>
  <c r="CD108" i="6" s="1"/>
  <c r="AA108" i="23"/>
  <c r="Z108" i="23" s="1"/>
  <c r="Y108" i="23" s="1"/>
  <c r="W317" i="25"/>
  <c r="D317" i="25"/>
  <c r="E317" i="25" s="1"/>
  <c r="F317" i="25" s="1"/>
  <c r="W219" i="24"/>
  <c r="D219" i="24"/>
  <c r="E219" i="24" s="1"/>
  <c r="F219" i="24" s="1"/>
  <c r="B219" i="25"/>
  <c r="G173" i="23"/>
  <c r="CD173" i="6" s="1"/>
  <c r="AA173" i="23"/>
  <c r="Z173" i="23" s="1"/>
  <c r="Y173" i="23" s="1"/>
  <c r="W127" i="24"/>
  <c r="D127" i="24"/>
  <c r="E127" i="24" s="1"/>
  <c r="F127" i="24" s="1"/>
  <c r="B127" i="25"/>
  <c r="G89" i="23"/>
  <c r="CD89" i="6" s="1"/>
  <c r="AA89" i="23"/>
  <c r="Z89" i="23" s="1"/>
  <c r="Y89" i="23" s="1"/>
  <c r="W61" i="24"/>
  <c r="D61" i="24"/>
  <c r="E61" i="24" s="1"/>
  <c r="F61" i="24" s="1"/>
  <c r="B61" i="25"/>
  <c r="G265" i="23"/>
  <c r="CD265" i="6" s="1"/>
  <c r="AA265" i="23"/>
  <c r="Z265" i="23" s="1"/>
  <c r="Y265" i="23" s="1"/>
  <c r="W161" i="24"/>
  <c r="D161" i="24"/>
  <c r="E161" i="24" s="1"/>
  <c r="F161" i="24" s="1"/>
  <c r="B161" i="25"/>
  <c r="AA116" i="24"/>
  <c r="Z116" i="24" s="1"/>
  <c r="Y116" i="24" s="1"/>
  <c r="G116" i="24"/>
  <c r="CE116" i="6" s="1"/>
  <c r="W334" i="24"/>
  <c r="D334" i="24"/>
  <c r="E334" i="24" s="1"/>
  <c r="F334" i="24" s="1"/>
  <c r="B334" i="25"/>
  <c r="G294" i="23"/>
  <c r="CD294" i="6" s="1"/>
  <c r="AA294" i="23"/>
  <c r="Z294" i="23" s="1"/>
  <c r="Y294" i="23" s="1"/>
  <c r="W192" i="24"/>
  <c r="D192" i="24"/>
  <c r="E192" i="24" s="1"/>
  <c r="F192" i="24" s="1"/>
  <c r="B192" i="25"/>
  <c r="G148" i="24"/>
  <c r="CE148" i="6" s="1"/>
  <c r="AA148" i="24"/>
  <c r="Z148" i="24" s="1"/>
  <c r="Y148" i="24" s="1"/>
  <c r="W281" i="24"/>
  <c r="D281" i="24"/>
  <c r="E281" i="24" s="1"/>
  <c r="F281" i="24" s="1"/>
  <c r="B281" i="25"/>
  <c r="G249" i="23"/>
  <c r="CD249" i="6" s="1"/>
  <c r="AA249" i="23"/>
  <c r="Z249" i="23" s="1"/>
  <c r="Y249" i="23" s="1"/>
  <c r="W185" i="24"/>
  <c r="D185" i="24"/>
  <c r="E185" i="24" s="1"/>
  <c r="F185" i="24" s="1"/>
  <c r="B185" i="25"/>
  <c r="G159" i="23"/>
  <c r="CD159" i="6" s="1"/>
  <c r="AA159" i="23"/>
  <c r="Z159" i="23" s="1"/>
  <c r="Y159" i="23" s="1"/>
  <c r="W99" i="24"/>
  <c r="D99" i="24"/>
  <c r="E99" i="24" s="1"/>
  <c r="F99" i="24" s="1"/>
  <c r="B99" i="25"/>
  <c r="G77" i="23"/>
  <c r="CD77" i="6" s="1"/>
  <c r="AA77" i="23"/>
  <c r="Z77" i="23" s="1"/>
  <c r="Y77" i="23" s="1"/>
  <c r="W37" i="24"/>
  <c r="D37" i="24"/>
  <c r="E37" i="24" s="1"/>
  <c r="F37" i="24" s="1"/>
  <c r="B37" i="25"/>
  <c r="G130" i="23"/>
  <c r="CD130" i="6" s="1"/>
  <c r="AA130" i="23"/>
  <c r="Z130" i="23" s="1"/>
  <c r="Y130" i="23" s="1"/>
  <c r="W244" i="24"/>
  <c r="D244" i="24"/>
  <c r="E244" i="24" s="1"/>
  <c r="F244" i="24" s="1"/>
  <c r="B244" i="25"/>
  <c r="AA210" i="23"/>
  <c r="Z210" i="23" s="1"/>
  <c r="Y210" i="23" s="1"/>
  <c r="G210" i="23"/>
  <c r="CD210" i="6" s="1"/>
  <c r="W189" i="25"/>
  <c r="D189" i="25"/>
  <c r="E189" i="25" s="1"/>
  <c r="F189" i="25" s="1"/>
  <c r="W194" i="25"/>
  <c r="D194" i="25"/>
  <c r="E194" i="25" s="1"/>
  <c r="F194" i="25" s="1"/>
  <c r="G171" i="24"/>
  <c r="CE171" i="6" s="1"/>
  <c r="AA171" i="24"/>
  <c r="Z171" i="24" s="1"/>
  <c r="Y171" i="24" s="1"/>
  <c r="W75" i="25"/>
  <c r="D75" i="25"/>
  <c r="E75" i="25" s="1"/>
  <c r="F75" i="25" s="1"/>
  <c r="G261" i="24"/>
  <c r="CE261" i="6" s="1"/>
  <c r="AA261" i="24"/>
  <c r="Z261" i="24" s="1"/>
  <c r="Y261" i="24" s="1"/>
  <c r="W74" i="25"/>
  <c r="D74" i="25"/>
  <c r="E74" i="25" s="1"/>
  <c r="F74" i="25" s="1"/>
  <c r="G349" i="24"/>
  <c r="CE349" i="6" s="1"/>
  <c r="AA349" i="24"/>
  <c r="Z349" i="24" s="1"/>
  <c r="Y349" i="24" s="1"/>
  <c r="W67" i="25"/>
  <c r="D67" i="25"/>
  <c r="E67" i="25" s="1"/>
  <c r="F67" i="25" s="1"/>
  <c r="AA67" i="24"/>
  <c r="Z67" i="24" s="1"/>
  <c r="Y67" i="24" s="1"/>
  <c r="G67" i="24"/>
  <c r="CE67" i="6" s="1"/>
  <c r="AA226" i="24"/>
  <c r="Z226" i="24" s="1"/>
  <c r="Y226" i="24" s="1"/>
  <c r="G226" i="24"/>
  <c r="CE226" i="6" s="1"/>
  <c r="W150" i="25"/>
  <c r="D150" i="25"/>
  <c r="E150" i="25" s="1"/>
  <c r="F150" i="25" s="1"/>
  <c r="BA232" i="6"/>
  <c r="D232" i="6" s="1"/>
  <c r="H232" i="20"/>
  <c r="BA76" i="6"/>
  <c r="D76" i="6" s="1"/>
  <c r="H76" i="20"/>
  <c r="BA73" i="6"/>
  <c r="D73" i="6" s="1"/>
  <c r="H73" i="20"/>
  <c r="BA309" i="6"/>
  <c r="H309" i="20"/>
  <c r="BA332" i="6"/>
  <c r="D332" i="6" s="1"/>
  <c r="H332" i="20"/>
  <c r="BA321" i="6"/>
  <c r="D321" i="6" s="1"/>
  <c r="H321" i="20"/>
  <c r="BA163" i="6"/>
  <c r="D163" i="6" s="1"/>
  <c r="H163" i="20"/>
  <c r="BA374" i="6"/>
  <c r="D374" i="6" s="1"/>
  <c r="H374" i="20"/>
  <c r="BA311" i="6"/>
  <c r="D311" i="6" s="1"/>
  <c r="H311" i="20"/>
  <c r="BA90" i="6"/>
  <c r="D90" i="6" s="1"/>
  <c r="H90" i="20"/>
  <c r="BA137" i="6"/>
  <c r="D137" i="6" s="1"/>
  <c r="H137" i="20"/>
  <c r="BA356" i="6"/>
  <c r="D356" i="6" s="1"/>
  <c r="H356" i="20"/>
  <c r="BA340" i="6"/>
  <c r="D340" i="6" s="1"/>
  <c r="H340" i="20"/>
  <c r="BA290" i="6"/>
  <c r="D290" i="6" s="1"/>
  <c r="H290" i="20"/>
  <c r="W186" i="23"/>
  <c r="D186" i="23"/>
  <c r="E186" i="23" s="1"/>
  <c r="F186" i="23" s="1"/>
  <c r="B186" i="24"/>
  <c r="W162" i="24"/>
  <c r="D162" i="24"/>
  <c r="E162" i="24" s="1"/>
  <c r="F162" i="24" s="1"/>
  <c r="B162" i="25"/>
  <c r="W156" i="24"/>
  <c r="D156" i="24"/>
  <c r="E156" i="24" s="1"/>
  <c r="F156" i="24" s="1"/>
  <c r="B156" i="25"/>
  <c r="W102" i="24"/>
  <c r="D102" i="24"/>
  <c r="E102" i="24" s="1"/>
  <c r="F102" i="24" s="1"/>
  <c r="B102" i="25"/>
  <c r="G72" i="23"/>
  <c r="CD72" i="6" s="1"/>
  <c r="AA72" i="23"/>
  <c r="Z72" i="23" s="1"/>
  <c r="Y72" i="23" s="1"/>
  <c r="W58" i="24"/>
  <c r="D58" i="24"/>
  <c r="E58" i="24" s="1"/>
  <c r="F58" i="24" s="1"/>
  <c r="B58" i="25"/>
  <c r="W44" i="24"/>
  <c r="D44" i="24"/>
  <c r="E44" i="24" s="1"/>
  <c r="F44" i="24" s="1"/>
  <c r="B44" i="25"/>
  <c r="G36" i="23"/>
  <c r="CD36" i="6" s="1"/>
  <c r="AA36" i="23"/>
  <c r="Z36" i="23" s="1"/>
  <c r="Y36" i="23" s="1"/>
  <c r="BA24" i="6"/>
  <c r="D24" i="6" s="1"/>
  <c r="H24" i="20"/>
  <c r="G24" i="23"/>
  <c r="CD24" i="6" s="1"/>
  <c r="AA24" i="23"/>
  <c r="Z24" i="23" s="1"/>
  <c r="Y24" i="23" s="1"/>
  <c r="G355" i="23"/>
  <c r="CD355" i="6" s="1"/>
  <c r="AA355" i="23"/>
  <c r="Z355" i="23" s="1"/>
  <c r="Y355" i="23" s="1"/>
  <c r="G345" i="23"/>
  <c r="CD345" i="6" s="1"/>
  <c r="AA345" i="23"/>
  <c r="Z345" i="23" s="1"/>
  <c r="Y345" i="23" s="1"/>
  <c r="W329" i="24"/>
  <c r="D329" i="24"/>
  <c r="E329" i="24" s="1"/>
  <c r="F329" i="24" s="1"/>
  <c r="B329" i="25"/>
  <c r="W297" i="24"/>
  <c r="D297" i="24"/>
  <c r="E297" i="24" s="1"/>
  <c r="F297" i="24" s="1"/>
  <c r="B297" i="25"/>
  <c r="G243" i="23"/>
  <c r="CD243" i="6" s="1"/>
  <c r="AA243" i="23"/>
  <c r="Z243" i="23" s="1"/>
  <c r="Y243" i="23" s="1"/>
  <c r="BA237" i="6"/>
  <c r="D237" i="6" s="1"/>
  <c r="H237" i="20"/>
  <c r="D237" i="24"/>
  <c r="E237" i="24" s="1"/>
  <c r="F237" i="24" s="1"/>
  <c r="W237" i="24"/>
  <c r="B237" i="25"/>
  <c r="W217" i="24"/>
  <c r="D217" i="24"/>
  <c r="E217" i="24" s="1"/>
  <c r="F217" i="24" s="1"/>
  <c r="B217" i="25"/>
  <c r="G199" i="23"/>
  <c r="CD199" i="6" s="1"/>
  <c r="AA199" i="23"/>
  <c r="Z199" i="23" s="1"/>
  <c r="Y199" i="23" s="1"/>
  <c r="W133" i="24"/>
  <c r="D133" i="24"/>
  <c r="E133" i="24" s="1"/>
  <c r="F133" i="24" s="1"/>
  <c r="B133" i="25"/>
  <c r="G121" i="23"/>
  <c r="CD121" i="6" s="1"/>
  <c r="AA121" i="23"/>
  <c r="Z121" i="23" s="1"/>
  <c r="Y121" i="23" s="1"/>
  <c r="W115" i="24"/>
  <c r="D115" i="24"/>
  <c r="E115" i="24" s="1"/>
  <c r="F115" i="24" s="1"/>
  <c r="B115" i="25"/>
  <c r="G109" i="23"/>
  <c r="CD109" i="6" s="1"/>
  <c r="AA109" i="23"/>
  <c r="Z109" i="23" s="1"/>
  <c r="Y109" i="23" s="1"/>
  <c r="G85" i="23"/>
  <c r="CD85" i="6" s="1"/>
  <c r="AA85" i="23"/>
  <c r="Z85" i="23" s="1"/>
  <c r="Y85" i="23" s="1"/>
  <c r="G51" i="23"/>
  <c r="CD51" i="6" s="1"/>
  <c r="AA51" i="23"/>
  <c r="Z51" i="23" s="1"/>
  <c r="Y51" i="23" s="1"/>
  <c r="BA25" i="6"/>
  <c r="D25" i="6" s="1"/>
  <c r="H25" i="20"/>
  <c r="G25" i="23"/>
  <c r="CD25" i="6" s="1"/>
  <c r="AA25" i="23"/>
  <c r="Z25" i="23" s="1"/>
  <c r="Y25" i="23" s="1"/>
  <c r="BA370" i="6"/>
  <c r="D370" i="6" s="1"/>
  <c r="H370" i="20"/>
  <c r="W370" i="24"/>
  <c r="D370" i="24"/>
  <c r="E370" i="24" s="1"/>
  <c r="F370" i="24" s="1"/>
  <c r="B370" i="25"/>
  <c r="W360" i="24"/>
  <c r="D360" i="24"/>
  <c r="E360" i="24" s="1"/>
  <c r="F360" i="24" s="1"/>
  <c r="B360" i="25"/>
  <c r="W344" i="24"/>
  <c r="D344" i="24"/>
  <c r="E344" i="24" s="1"/>
  <c r="F344" i="24" s="1"/>
  <c r="B344" i="25"/>
  <c r="G324" i="23"/>
  <c r="CD324" i="6" s="1"/>
  <c r="AA324" i="23"/>
  <c r="Z324" i="23" s="1"/>
  <c r="Y324" i="23" s="1"/>
  <c r="W304" i="24"/>
  <c r="D304" i="24"/>
  <c r="E304" i="24" s="1"/>
  <c r="F304" i="24" s="1"/>
  <c r="B304" i="25"/>
  <c r="G280" i="23"/>
  <c r="CD280" i="6" s="1"/>
  <c r="AA280" i="23"/>
  <c r="Z280" i="23" s="1"/>
  <c r="Y280" i="23" s="1"/>
  <c r="BA262" i="6"/>
  <c r="D262" i="6" s="1"/>
  <c r="H262" i="20"/>
  <c r="G262" i="23"/>
  <c r="CD262" i="6" s="1"/>
  <c r="AA262" i="23"/>
  <c r="Z262" i="23" s="1"/>
  <c r="Y262" i="23" s="1"/>
  <c r="D238" i="24"/>
  <c r="E238" i="24" s="1"/>
  <c r="F238" i="24" s="1"/>
  <c r="W238" i="24"/>
  <c r="B238" i="25"/>
  <c r="G202" i="23"/>
  <c r="CD202" i="6" s="1"/>
  <c r="AA202" i="23"/>
  <c r="Z202" i="23" s="1"/>
  <c r="Y202" i="23" s="1"/>
  <c r="BA172" i="6"/>
  <c r="D172" i="6" s="1"/>
  <c r="H172" i="20"/>
  <c r="W172" i="24"/>
  <c r="D172" i="24"/>
  <c r="E172" i="24" s="1"/>
  <c r="F172" i="24" s="1"/>
  <c r="B172" i="25"/>
  <c r="G138" i="23"/>
  <c r="CD138" i="6" s="1"/>
  <c r="AA138" i="23"/>
  <c r="Z138" i="23" s="1"/>
  <c r="Y138" i="23" s="1"/>
  <c r="BA122" i="6"/>
  <c r="D122" i="6" s="1"/>
  <c r="H122" i="20"/>
  <c r="G122" i="23"/>
  <c r="CD122" i="6" s="1"/>
  <c r="AA122" i="23"/>
  <c r="Z122" i="23" s="1"/>
  <c r="Y122" i="23" s="1"/>
  <c r="W28" i="24"/>
  <c r="D28" i="24"/>
  <c r="E28" i="24" s="1"/>
  <c r="F28" i="24" s="1"/>
  <c r="B28" i="25"/>
  <c r="G18" i="23"/>
  <c r="CD18" i="6" s="1"/>
  <c r="AA18" i="23"/>
  <c r="Z18" i="23" s="1"/>
  <c r="Y18" i="23" s="1"/>
  <c r="D288" i="24"/>
  <c r="E288" i="24" s="1"/>
  <c r="F288" i="24" s="1"/>
  <c r="W288" i="24"/>
  <c r="B288" i="25"/>
  <c r="G191" i="23"/>
  <c r="CD191" i="6" s="1"/>
  <c r="AA191" i="23"/>
  <c r="Z191" i="23" s="1"/>
  <c r="Y191" i="23" s="1"/>
  <c r="W143" i="24"/>
  <c r="D143" i="24"/>
  <c r="E143" i="24" s="1"/>
  <c r="F143" i="24" s="1"/>
  <c r="B143" i="25"/>
  <c r="W65" i="24"/>
  <c r="D65" i="24"/>
  <c r="E65" i="24" s="1"/>
  <c r="F65" i="24" s="1"/>
  <c r="B65" i="25"/>
  <c r="G372" i="23"/>
  <c r="CD372" i="6" s="1"/>
  <c r="AA372" i="23"/>
  <c r="Z372" i="23" s="1"/>
  <c r="Y372" i="23" s="1"/>
  <c r="G326" i="22"/>
  <c r="CC326" i="6" s="1"/>
  <c r="AA326" i="22"/>
  <c r="Z326" i="22" s="1"/>
  <c r="Y326" i="22" s="1"/>
  <c r="W250" i="23"/>
  <c r="D250" i="23"/>
  <c r="E250" i="23" s="1"/>
  <c r="F250" i="23" s="1"/>
  <c r="B250" i="24"/>
  <c r="G188" i="22"/>
  <c r="CC188" i="6" s="1"/>
  <c r="AA188" i="22"/>
  <c r="Z188" i="22" s="1"/>
  <c r="Y188" i="22" s="1"/>
  <c r="W126" i="23"/>
  <c r="D126" i="23"/>
  <c r="E126" i="23" s="1"/>
  <c r="F126" i="23" s="1"/>
  <c r="B126" i="24"/>
  <c r="G96" i="22"/>
  <c r="CC96" i="6" s="1"/>
  <c r="AA96" i="22"/>
  <c r="Z96" i="22" s="1"/>
  <c r="Y96" i="22" s="1"/>
  <c r="G327" i="22"/>
  <c r="CC327" i="6" s="1"/>
  <c r="AA327" i="22"/>
  <c r="Z327" i="22" s="1"/>
  <c r="Y327" i="22" s="1"/>
  <c r="H259" i="20"/>
  <c r="BA209" i="6"/>
  <c r="D209" i="6" s="1"/>
  <c r="H209" i="20"/>
  <c r="BA195" i="6"/>
  <c r="D195" i="6" s="1"/>
  <c r="H195" i="20"/>
  <c r="BA147" i="6"/>
  <c r="D147" i="6" s="1"/>
  <c r="H147" i="20"/>
  <c r="BA79" i="6"/>
  <c r="D79" i="6" s="1"/>
  <c r="H79" i="20"/>
  <c r="BA33" i="6"/>
  <c r="D33" i="6" s="1"/>
  <c r="H33" i="20"/>
  <c r="W23" i="23"/>
  <c r="D23" i="23"/>
  <c r="E23" i="23" s="1"/>
  <c r="F23" i="23" s="1"/>
  <c r="B23" i="24"/>
  <c r="BA336" i="6"/>
  <c r="D336" i="6" s="1"/>
  <c r="H336" i="20"/>
  <c r="BA308" i="6"/>
  <c r="D308" i="6" s="1"/>
  <c r="H308" i="20"/>
  <c r="BA176" i="6"/>
  <c r="D176" i="6" s="1"/>
  <c r="H176" i="20"/>
  <c r="BA128" i="6"/>
  <c r="D128" i="6" s="1"/>
  <c r="H128" i="20"/>
  <c r="BA56" i="6"/>
  <c r="D56" i="6" s="1"/>
  <c r="H56" i="20"/>
  <c r="BA253" i="6"/>
  <c r="H253" i="20"/>
  <c r="BA369" i="6"/>
  <c r="D369" i="6" s="1"/>
  <c r="H369" i="20"/>
  <c r="BA95" i="6"/>
  <c r="D95" i="6" s="1"/>
  <c r="H95" i="20"/>
  <c r="BA278" i="6"/>
  <c r="D278" i="6" s="1"/>
  <c r="H278" i="20"/>
  <c r="BA111" i="6"/>
  <c r="D111" i="6" s="1"/>
  <c r="H111" i="20"/>
  <c r="BA17" i="6"/>
  <c r="D17" i="6" s="1"/>
  <c r="H17" i="20"/>
  <c r="BA354" i="6"/>
  <c r="D354" i="6" s="1"/>
  <c r="H354" i="20"/>
  <c r="BA166" i="6"/>
  <c r="D166" i="6" s="1"/>
  <c r="H166" i="20"/>
  <c r="BA177" i="6"/>
  <c r="D177" i="6" s="1"/>
  <c r="H177" i="20"/>
  <c r="BA333" i="6"/>
  <c r="D333" i="6" s="1"/>
  <c r="H333" i="20"/>
  <c r="W196" i="23"/>
  <c r="D196" i="23"/>
  <c r="E196" i="23" s="1"/>
  <c r="F196" i="23" s="1"/>
  <c r="B196" i="24"/>
  <c r="AA382" i="17"/>
  <c r="AL10" i="17"/>
  <c r="AA381" i="17"/>
  <c r="AA383" i="17"/>
  <c r="AM8" i="17"/>
  <c r="AA9" i="17"/>
  <c r="Z15" i="17"/>
  <c r="AL7" i="17" s="1"/>
  <c r="J15" i="17"/>
  <c r="I15" i="17"/>
  <c r="G373" i="23"/>
  <c r="CD373" i="6" s="1"/>
  <c r="AA373" i="23"/>
  <c r="Z373" i="23" s="1"/>
  <c r="Y373" i="23" s="1"/>
  <c r="W325" i="24"/>
  <c r="D325" i="24"/>
  <c r="E325" i="24" s="1"/>
  <c r="F325" i="24" s="1"/>
  <c r="B325" i="25"/>
  <c r="G277" i="23"/>
  <c r="CD277" i="6" s="1"/>
  <c r="AA277" i="23"/>
  <c r="Z277" i="23" s="1"/>
  <c r="Y277" i="23" s="1"/>
  <c r="W245" i="24"/>
  <c r="D245" i="24"/>
  <c r="E245" i="24" s="1"/>
  <c r="F245" i="24" s="1"/>
  <c r="B245" i="25"/>
  <c r="W203" i="24"/>
  <c r="D203" i="24"/>
  <c r="E203" i="24" s="1"/>
  <c r="F203" i="24" s="1"/>
  <c r="B203" i="25"/>
  <c r="W169" i="24"/>
  <c r="D169" i="24"/>
  <c r="E169" i="24" s="1"/>
  <c r="F169" i="24" s="1"/>
  <c r="B169" i="25"/>
  <c r="W139" i="24"/>
  <c r="D139" i="24"/>
  <c r="E139" i="24" s="1"/>
  <c r="F139" i="24" s="1"/>
  <c r="B139" i="25"/>
  <c r="G53" i="23"/>
  <c r="CD53" i="6" s="1"/>
  <c r="AA53" i="23"/>
  <c r="Z53" i="23" s="1"/>
  <c r="Y53" i="23" s="1"/>
  <c r="G369" i="23"/>
  <c r="CD369" i="6" s="1"/>
  <c r="AA369" i="23"/>
  <c r="Z369" i="23" s="1"/>
  <c r="Y369" i="23" s="1"/>
  <c r="W347" i="24"/>
  <c r="D347" i="24"/>
  <c r="E347" i="24" s="1"/>
  <c r="F347" i="24" s="1"/>
  <c r="B347" i="25"/>
  <c r="G376" i="23"/>
  <c r="CD376" i="6" s="1"/>
  <c r="AA376" i="23"/>
  <c r="Z376" i="23" s="1"/>
  <c r="Y376" i="23" s="1"/>
  <c r="W368" i="24"/>
  <c r="D368" i="24"/>
  <c r="E368" i="24" s="1"/>
  <c r="F368" i="24" s="1"/>
  <c r="B368" i="25"/>
  <c r="W346" i="25"/>
  <c r="D346" i="25"/>
  <c r="E346" i="25" s="1"/>
  <c r="F346" i="25" s="1"/>
  <c r="G283" i="24"/>
  <c r="CE283" i="6" s="1"/>
  <c r="AA283" i="24"/>
  <c r="Z283" i="24" s="1"/>
  <c r="Y283" i="24" s="1"/>
  <c r="W248" i="25"/>
  <c r="D248" i="25"/>
  <c r="E248" i="25" s="1"/>
  <c r="F248" i="25" s="1"/>
  <c r="G22" i="24"/>
  <c r="CE22" i="6" s="1"/>
  <c r="AA22" i="24"/>
  <c r="Z22" i="24" s="1"/>
  <c r="Y22" i="24" s="1"/>
  <c r="W46" i="25"/>
  <c r="D46" i="25"/>
  <c r="E46" i="25" s="1"/>
  <c r="F46" i="25" s="1"/>
  <c r="G298" i="23"/>
  <c r="CD298" i="6" s="1"/>
  <c r="AA298" i="23"/>
  <c r="Z298" i="23" s="1"/>
  <c r="Y298" i="23" s="1"/>
  <c r="W316" i="24"/>
  <c r="D316" i="24"/>
  <c r="E316" i="24" s="1"/>
  <c r="F316" i="24" s="1"/>
  <c r="B316" i="25"/>
  <c r="G149" i="23"/>
  <c r="CD149" i="6" s="1"/>
  <c r="AA149" i="23"/>
  <c r="Z149" i="23" s="1"/>
  <c r="Y149" i="23" s="1"/>
  <c r="D333" i="24"/>
  <c r="E333" i="24" s="1"/>
  <c r="F333" i="24" s="1"/>
  <c r="W333" i="24"/>
  <c r="B333" i="25"/>
  <c r="W132" i="23"/>
  <c r="D132" i="23"/>
  <c r="E132" i="23" s="1"/>
  <c r="F132" i="23" s="1"/>
  <c r="B132" i="24"/>
  <c r="W153" i="23"/>
  <c r="D153" i="23"/>
  <c r="E153" i="23" s="1"/>
  <c r="F153" i="23" s="1"/>
  <c r="B153" i="24"/>
  <c r="W251" i="23"/>
  <c r="D251" i="23"/>
  <c r="E251" i="23" s="1"/>
  <c r="F251" i="23" s="1"/>
  <c r="B251" i="24"/>
  <c r="W235" i="23"/>
  <c r="D235" i="23"/>
  <c r="E235" i="23" s="1"/>
  <c r="F235" i="23" s="1"/>
  <c r="B235" i="24"/>
  <c r="W103" i="23"/>
  <c r="D103" i="23"/>
  <c r="E103" i="23" s="1"/>
  <c r="F103" i="23" s="1"/>
  <c r="B103" i="24"/>
  <c r="W52" i="23"/>
  <c r="D52" i="23"/>
  <c r="E52" i="23" s="1"/>
  <c r="F52" i="23" s="1"/>
  <c r="B52" i="24"/>
  <c r="W152" i="23"/>
  <c r="D152" i="23"/>
  <c r="E152" i="23" s="1"/>
  <c r="F152" i="23" s="1"/>
  <c r="B152" i="24"/>
  <c r="W305" i="23"/>
  <c r="D305" i="23"/>
  <c r="E305" i="23" s="1"/>
  <c r="F305" i="23" s="1"/>
  <c r="B305" i="24"/>
  <c r="W252" i="23"/>
  <c r="D252" i="23"/>
  <c r="E252" i="23" s="1"/>
  <c r="F252" i="23" s="1"/>
  <c r="B252" i="24"/>
  <c r="W204" i="23"/>
  <c r="D204" i="23"/>
  <c r="E204" i="23" s="1"/>
  <c r="F204" i="23" s="1"/>
  <c r="B204" i="24"/>
  <c r="W222" i="23"/>
  <c r="D222" i="23"/>
  <c r="E222" i="23" s="1"/>
  <c r="F222" i="23" s="1"/>
  <c r="B222" i="24"/>
  <c r="W366" i="23"/>
  <c r="D366" i="23"/>
  <c r="E366" i="23" s="1"/>
  <c r="F366" i="23" s="1"/>
  <c r="B366" i="24"/>
  <c r="G366" i="22"/>
  <c r="CC366" i="6" s="1"/>
  <c r="AA366" i="22"/>
  <c r="Z366" i="22" s="1"/>
  <c r="Y366" i="22" s="1"/>
  <c r="G342" i="22"/>
  <c r="CC342" i="6" s="1"/>
  <c r="AA342" i="22"/>
  <c r="Z342" i="22" s="1"/>
  <c r="Y342" i="22" s="1"/>
  <c r="G312" i="22"/>
  <c r="CC312" i="6" s="1"/>
  <c r="AA312" i="22"/>
  <c r="Z312" i="22" s="1"/>
  <c r="Y312" i="22" s="1"/>
  <c r="G242" i="22"/>
  <c r="CC242" i="6" s="1"/>
  <c r="AA242" i="22"/>
  <c r="Z242" i="22" s="1"/>
  <c r="Y242" i="22" s="1"/>
  <c r="G212" i="22"/>
  <c r="CC212" i="6" s="1"/>
  <c r="AA212" i="22"/>
  <c r="Z212" i="22" s="1"/>
  <c r="Y212" i="22" s="1"/>
  <c r="G168" i="22"/>
  <c r="CC168" i="6" s="1"/>
  <c r="AA168" i="22"/>
  <c r="Z168" i="22" s="1"/>
  <c r="Y168" i="22" s="1"/>
  <c r="G134" i="22"/>
  <c r="CC134" i="6" s="1"/>
  <c r="AA134" i="22"/>
  <c r="Z134" i="22" s="1"/>
  <c r="Y134" i="22" s="1"/>
  <c r="W68" i="23"/>
  <c r="D68" i="23"/>
  <c r="E68" i="23" s="1"/>
  <c r="F68" i="23" s="1"/>
  <c r="B68" i="24"/>
  <c r="W40" i="23"/>
  <c r="D40" i="23"/>
  <c r="E40" i="23" s="1"/>
  <c r="F40" i="23" s="1"/>
  <c r="B40" i="24"/>
  <c r="W377" i="23"/>
  <c r="D377" i="23"/>
  <c r="E377" i="23" s="1"/>
  <c r="F377" i="23" s="1"/>
  <c r="B377" i="24"/>
  <c r="W343" i="23"/>
  <c r="D343" i="23"/>
  <c r="E343" i="23" s="1"/>
  <c r="F343" i="23" s="1"/>
  <c r="B343" i="24"/>
  <c r="W279" i="23"/>
  <c r="D279" i="23"/>
  <c r="E279" i="23" s="1"/>
  <c r="F279" i="23" s="1"/>
  <c r="B279" i="24"/>
  <c r="W225" i="23"/>
  <c r="D225" i="23"/>
  <c r="E225" i="23" s="1"/>
  <c r="F225" i="23" s="1"/>
  <c r="B225" i="24"/>
  <c r="W165" i="23"/>
  <c r="D165" i="23"/>
  <c r="E165" i="23" s="1"/>
  <c r="F165" i="23" s="1"/>
  <c r="B165" i="24"/>
  <c r="W117" i="23"/>
  <c r="D117" i="23"/>
  <c r="E117" i="23" s="1"/>
  <c r="F117" i="23" s="1"/>
  <c r="B117" i="24"/>
  <c r="W91" i="23"/>
  <c r="D91" i="23"/>
  <c r="E91" i="23" s="1"/>
  <c r="F91" i="23" s="1"/>
  <c r="B91" i="24"/>
  <c r="W41" i="23"/>
  <c r="D41" i="23"/>
  <c r="E41" i="23" s="1"/>
  <c r="F41" i="23" s="1"/>
  <c r="B41" i="24"/>
  <c r="H26" i="20"/>
  <c r="W364" i="23"/>
  <c r="D364" i="23"/>
  <c r="E364" i="23" s="1"/>
  <c r="F364" i="23" s="1"/>
  <c r="B364" i="24"/>
  <c r="W330" i="23"/>
  <c r="D330" i="23"/>
  <c r="E330" i="23" s="1"/>
  <c r="F330" i="23" s="1"/>
  <c r="B330" i="24"/>
  <c r="W292" i="23"/>
  <c r="D292" i="23"/>
  <c r="E292" i="23" s="1"/>
  <c r="F292" i="23" s="1"/>
  <c r="B292" i="24"/>
  <c r="W256" i="23"/>
  <c r="D256" i="23"/>
  <c r="E256" i="23" s="1"/>
  <c r="F256" i="23" s="1"/>
  <c r="B256" i="24"/>
  <c r="J234" i="20"/>
  <c r="I234" i="20"/>
  <c r="H234" i="22" s="1"/>
  <c r="W184" i="23"/>
  <c r="D184" i="23"/>
  <c r="E184" i="23" s="1"/>
  <c r="F184" i="23" s="1"/>
  <c r="B184" i="24"/>
  <c r="I160" i="20"/>
  <c r="H160" i="22" s="1"/>
  <c r="J160" i="20"/>
  <c r="W124" i="23"/>
  <c r="D124" i="23"/>
  <c r="E124" i="23" s="1"/>
  <c r="F124" i="23" s="1"/>
  <c r="B124" i="24"/>
  <c r="G27" i="22"/>
  <c r="CC27" i="6" s="1"/>
  <c r="AA27" i="22"/>
  <c r="Z27" i="22" s="1"/>
  <c r="Y27" i="22" s="1"/>
  <c r="BA373" i="6"/>
  <c r="D373" i="6" s="1"/>
  <c r="H373" i="20"/>
  <c r="BA245" i="6"/>
  <c r="D245" i="6" s="1"/>
  <c r="H245" i="20"/>
  <c r="H359" i="20"/>
  <c r="W151" i="23"/>
  <c r="D151" i="23"/>
  <c r="E151" i="23" s="1"/>
  <c r="F151" i="23" s="1"/>
  <c r="B151" i="24"/>
  <c r="G107" i="22"/>
  <c r="CC107" i="6" s="1"/>
  <c r="AA107" i="22"/>
  <c r="Z107" i="22" s="1"/>
  <c r="Y107" i="22" s="1"/>
  <c r="W39" i="23"/>
  <c r="D39" i="23"/>
  <c r="E39" i="23" s="1"/>
  <c r="F39" i="23" s="1"/>
  <c r="B39" i="24"/>
  <c r="G348" i="22"/>
  <c r="CC348" i="6" s="1"/>
  <c r="AA348" i="22"/>
  <c r="Z348" i="22" s="1"/>
  <c r="Y348" i="22" s="1"/>
  <c r="W296" i="23"/>
  <c r="D296" i="23"/>
  <c r="E296" i="23" s="1"/>
  <c r="F296" i="23" s="1"/>
  <c r="B296" i="24"/>
  <c r="G218" i="22"/>
  <c r="CC218" i="6" s="1"/>
  <c r="AA218" i="22"/>
  <c r="Z218" i="22" s="1"/>
  <c r="Y218" i="22" s="1"/>
  <c r="W144" i="23"/>
  <c r="D144" i="23"/>
  <c r="E144" i="23" s="1"/>
  <c r="F144" i="23" s="1"/>
  <c r="B144" i="24"/>
  <c r="G112" i="22"/>
  <c r="CC112" i="6" s="1"/>
  <c r="AA112" i="22"/>
  <c r="Z112" i="22" s="1"/>
  <c r="Y112" i="22" s="1"/>
  <c r="D94" i="24"/>
  <c r="E94" i="24" s="1"/>
  <c r="F94" i="24" s="1"/>
  <c r="W94" i="24"/>
  <c r="B94" i="25"/>
  <c r="G80" i="23"/>
  <c r="CD80" i="6" s="1"/>
  <c r="AA80" i="23"/>
  <c r="Z80" i="23" s="1"/>
  <c r="Y80" i="23" s="1"/>
  <c r="G233" i="22"/>
  <c r="CC233" i="6" s="1"/>
  <c r="AA233" i="22"/>
  <c r="Z233" i="22" s="1"/>
  <c r="Y233" i="22" s="1"/>
  <c r="G201" i="22"/>
  <c r="CC201" i="6" s="1"/>
  <c r="AA201" i="22"/>
  <c r="Z201" i="22" s="1"/>
  <c r="Y201" i="22" s="1"/>
  <c r="G145" i="22"/>
  <c r="CC145" i="6" s="1"/>
  <c r="AA145" i="22"/>
  <c r="Z145" i="22" s="1"/>
  <c r="Y145" i="22" s="1"/>
  <c r="G87" i="22"/>
  <c r="CC87" i="6" s="1"/>
  <c r="AA87" i="22"/>
  <c r="Z87" i="22" s="1"/>
  <c r="Y87" i="22" s="1"/>
  <c r="W49" i="23"/>
  <c r="D49" i="23"/>
  <c r="E49" i="23" s="1"/>
  <c r="F49" i="23" s="1"/>
  <c r="B49" i="24"/>
  <c r="W31" i="23"/>
  <c r="D31" i="23"/>
  <c r="E31" i="23" s="1"/>
  <c r="F31" i="23" s="1"/>
  <c r="B31" i="24"/>
  <c r="W352" i="23"/>
  <c r="D352" i="23"/>
  <c r="E352" i="23" s="1"/>
  <c r="F352" i="23" s="1"/>
  <c r="B352" i="24"/>
  <c r="W318" i="23"/>
  <c r="D318" i="23"/>
  <c r="E318" i="23" s="1"/>
  <c r="F318" i="23" s="1"/>
  <c r="B318" i="24"/>
  <c r="W274" i="23"/>
  <c r="D274" i="23"/>
  <c r="E274" i="23" s="1"/>
  <c r="F274" i="23" s="1"/>
  <c r="B274" i="24"/>
  <c r="W254" i="23"/>
  <c r="D254" i="23"/>
  <c r="E254" i="23" s="1"/>
  <c r="F254" i="23" s="1"/>
  <c r="B254" i="24"/>
  <c r="W178" i="23"/>
  <c r="D178" i="23"/>
  <c r="E178" i="23" s="1"/>
  <c r="F178" i="23" s="1"/>
  <c r="B178" i="24"/>
  <c r="H170" i="20"/>
  <c r="W136" i="23"/>
  <c r="D136" i="23"/>
  <c r="E136" i="23" s="1"/>
  <c r="F136" i="23" s="1"/>
  <c r="B136" i="24"/>
  <c r="W106" i="23"/>
  <c r="D106" i="23"/>
  <c r="E106" i="23" s="1"/>
  <c r="F106" i="23" s="1"/>
  <c r="B106" i="24"/>
  <c r="W70" i="23"/>
  <c r="D70" i="23"/>
  <c r="E70" i="23" s="1"/>
  <c r="F70" i="23" s="1"/>
  <c r="B70" i="24"/>
  <c r="BA271" i="6"/>
  <c r="D271" i="6" s="1"/>
  <c r="H271" i="20"/>
  <c r="BA185" i="6"/>
  <c r="D185" i="6" s="1"/>
  <c r="H185" i="20"/>
  <c r="BA89" i="6"/>
  <c r="D89" i="6" s="1"/>
  <c r="H89" i="20"/>
  <c r="BA37" i="6"/>
  <c r="D37" i="6" s="1"/>
  <c r="H37" i="20"/>
  <c r="BA265" i="6"/>
  <c r="D265" i="6" s="1"/>
  <c r="H265" i="20"/>
  <c r="BA130" i="6"/>
  <c r="D130" i="6" s="1"/>
  <c r="H130" i="20"/>
  <c r="BA161" i="6"/>
  <c r="D161" i="6" s="1"/>
  <c r="H161" i="20"/>
  <c r="B383" i="22"/>
  <c r="B383" i="23"/>
  <c r="H257" i="20"/>
  <c r="BA361" i="6"/>
  <c r="D361" i="6" s="1"/>
  <c r="H361" i="20"/>
  <c r="BA273" i="6"/>
  <c r="D273" i="6" s="1"/>
  <c r="H273" i="20"/>
  <c r="BA255" i="6"/>
  <c r="D255" i="6" s="1"/>
  <c r="H255" i="20"/>
  <c r="BA55" i="6"/>
  <c r="D55" i="6" s="1"/>
  <c r="H55" i="20"/>
  <c r="BA287" i="6"/>
  <c r="D287" i="6" s="1"/>
  <c r="H287" i="20"/>
  <c r="BA284" i="6"/>
  <c r="D284" i="6" s="1"/>
  <c r="H284" i="20"/>
  <c r="BA194" i="6"/>
  <c r="D194" i="6" s="1"/>
  <c r="H194" i="20"/>
  <c r="BA283" i="6"/>
  <c r="D283" i="6" s="1"/>
  <c r="H283" i="20"/>
  <c r="BA248" i="6"/>
  <c r="D248" i="6" s="1"/>
  <c r="H248" i="20"/>
  <c r="BA349" i="6"/>
  <c r="D349" i="6" s="1"/>
  <c r="H349" i="20"/>
  <c r="BA67" i="6"/>
  <c r="D67" i="6" s="1"/>
  <c r="H67" i="20"/>
  <c r="BA60" i="6"/>
  <c r="D60" i="6" s="1"/>
  <c r="H60" i="20"/>
  <c r="F383" i="20"/>
  <c r="AM10" i="20"/>
  <c r="F382" i="20"/>
  <c r="AK10" i="20"/>
  <c r="AK12" i="20" s="1"/>
  <c r="F381" i="20"/>
  <c r="G15" i="20"/>
  <c r="CB15" i="6" s="1"/>
  <c r="F9" i="20"/>
  <c r="AA15" i="20"/>
  <c r="G241" i="24"/>
  <c r="CE241" i="6" s="1"/>
  <c r="AA241" i="24"/>
  <c r="Z241" i="24" s="1"/>
  <c r="Y241" i="24" s="1"/>
  <c r="W367" i="25"/>
  <c r="D367" i="25"/>
  <c r="E367" i="25" s="1"/>
  <c r="F367" i="25" s="1"/>
  <c r="G335" i="24"/>
  <c r="CE335" i="6" s="1"/>
  <c r="AA335" i="24"/>
  <c r="Z335" i="24" s="1"/>
  <c r="Y335" i="24" s="1"/>
  <c r="W135" i="25"/>
  <c r="D135" i="25"/>
  <c r="E135" i="25" s="1"/>
  <c r="F135" i="25" s="1"/>
  <c r="G278" i="23"/>
  <c r="CD278" i="6" s="1"/>
  <c r="AA278" i="23"/>
  <c r="Z278" i="23" s="1"/>
  <c r="Y278" i="23" s="1"/>
  <c r="W111" i="24"/>
  <c r="D111" i="24"/>
  <c r="E111" i="24" s="1"/>
  <c r="F111" i="24" s="1"/>
  <c r="B111" i="25"/>
  <c r="G17" i="23"/>
  <c r="CD17" i="6" s="1"/>
  <c r="AA17" i="23"/>
  <c r="Z17" i="23" s="1"/>
  <c r="Y17" i="23" s="1"/>
  <c r="W319" i="24"/>
  <c r="D319" i="24"/>
  <c r="E319" i="24" s="1"/>
  <c r="F319" i="24" s="1"/>
  <c r="B319" i="25"/>
  <c r="G166" i="23"/>
  <c r="CD166" i="6" s="1"/>
  <c r="AA166" i="23"/>
  <c r="Z166" i="23" s="1"/>
  <c r="Y166" i="23" s="1"/>
  <c r="W177" i="24"/>
  <c r="D177" i="24"/>
  <c r="E177" i="24" s="1"/>
  <c r="F177" i="24" s="1"/>
  <c r="B177" i="25"/>
  <c r="AA187" i="24"/>
  <c r="Z187" i="24" s="1"/>
  <c r="Y187" i="24" s="1"/>
  <c r="G187" i="24"/>
  <c r="CE187" i="6" s="1"/>
  <c r="W365" i="25"/>
  <c r="D365" i="25"/>
  <c r="E365" i="25" s="1"/>
  <c r="F365" i="25" s="1"/>
  <c r="G60" i="24"/>
  <c r="CE60" i="6" s="1"/>
  <c r="AA60" i="24"/>
  <c r="Z60" i="24" s="1"/>
  <c r="Y60" i="24" s="1"/>
  <c r="W180" i="25"/>
  <c r="D180" i="25"/>
  <c r="E180" i="25" s="1"/>
  <c r="F180" i="25" s="1"/>
  <c r="G382" i="18"/>
  <c r="G381" i="18"/>
  <c r="G383" i="18"/>
  <c r="G12" i="18" s="1"/>
  <c r="G232" i="23"/>
  <c r="CD232" i="6" s="1"/>
  <c r="AA232" i="23"/>
  <c r="Z232" i="23" s="1"/>
  <c r="Y232" i="23" s="1"/>
  <c r="G76" i="23"/>
  <c r="CD76" i="6" s="1"/>
  <c r="AA76" i="23"/>
  <c r="Z76" i="23" s="1"/>
  <c r="Y76" i="23" s="1"/>
  <c r="AA295" i="23"/>
  <c r="Z295" i="23" s="1"/>
  <c r="Y295" i="23" s="1"/>
  <c r="G295" i="23"/>
  <c r="CD295" i="6" s="1"/>
  <c r="W81" i="24"/>
  <c r="D81" i="24"/>
  <c r="E81" i="24" s="1"/>
  <c r="F81" i="24" s="1"/>
  <c r="B81" i="25"/>
  <c r="W62" i="24"/>
  <c r="D62" i="24"/>
  <c r="E62" i="24" s="1"/>
  <c r="F62" i="24" s="1"/>
  <c r="B62" i="25"/>
  <c r="W73" i="24"/>
  <c r="D73" i="24"/>
  <c r="E73" i="24" s="1"/>
  <c r="F73" i="24" s="1"/>
  <c r="B73" i="25"/>
  <c r="W309" i="24"/>
  <c r="D309" i="24"/>
  <c r="E309" i="24" s="1"/>
  <c r="F309" i="24" s="1"/>
  <c r="B309" i="25"/>
  <c r="G332" i="23"/>
  <c r="CD332" i="6" s="1"/>
  <c r="AA332" i="23"/>
  <c r="Z332" i="23" s="1"/>
  <c r="Y332" i="23" s="1"/>
  <c r="BA125" i="6"/>
  <c r="D125" i="6" s="1"/>
  <c r="H125" i="20"/>
  <c r="W125" i="24"/>
  <c r="D125" i="24"/>
  <c r="E125" i="24" s="1"/>
  <c r="F125" i="24" s="1"/>
  <c r="B125" i="25"/>
  <c r="W321" i="24"/>
  <c r="D321" i="24"/>
  <c r="E321" i="24" s="1"/>
  <c r="F321" i="24" s="1"/>
  <c r="B321" i="25"/>
  <c r="G157" i="23"/>
  <c r="CD157" i="6" s="1"/>
  <c r="AA157" i="23"/>
  <c r="Z157" i="23" s="1"/>
  <c r="Y157" i="23" s="1"/>
  <c r="G163" i="23"/>
  <c r="CD163" i="6" s="1"/>
  <c r="AA163" i="23"/>
  <c r="Z163" i="23" s="1"/>
  <c r="Y163" i="23" s="1"/>
  <c r="G374" i="23"/>
  <c r="CD374" i="6" s="1"/>
  <c r="AA374" i="23"/>
  <c r="Z374" i="23" s="1"/>
  <c r="Y374" i="23" s="1"/>
  <c r="D98" i="24"/>
  <c r="E98" i="24" s="1"/>
  <c r="F98" i="24" s="1"/>
  <c r="W98" i="24"/>
  <c r="B98" i="25"/>
  <c r="D311" i="24"/>
  <c r="E311" i="24" s="1"/>
  <c r="F311" i="24" s="1"/>
  <c r="W311" i="24"/>
  <c r="B311" i="25"/>
  <c r="G236" i="23"/>
  <c r="CD236" i="6" s="1"/>
  <c r="AA236" i="23"/>
  <c r="Z236" i="23" s="1"/>
  <c r="Y236" i="23" s="1"/>
  <c r="D310" i="24"/>
  <c r="E310" i="24" s="1"/>
  <c r="F310" i="24" s="1"/>
  <c r="W310" i="24"/>
  <c r="B310" i="25"/>
  <c r="G182" i="23"/>
  <c r="CD182" i="6" s="1"/>
  <c r="AA182" i="23"/>
  <c r="Z182" i="23" s="1"/>
  <c r="Y182" i="23" s="1"/>
  <c r="G378" i="23"/>
  <c r="CD378" i="6" s="1"/>
  <c r="AA378" i="23"/>
  <c r="Z378" i="23" s="1"/>
  <c r="Y378" i="23" s="1"/>
  <c r="D289" i="24"/>
  <c r="E289" i="24" s="1"/>
  <c r="F289" i="24" s="1"/>
  <c r="W289" i="24"/>
  <c r="B289" i="25"/>
  <c r="G90" i="23"/>
  <c r="CD90" i="6" s="1"/>
  <c r="AA90" i="23"/>
  <c r="Z90" i="23" s="1"/>
  <c r="Y90" i="23" s="1"/>
  <c r="G78" i="23"/>
  <c r="CD78" i="6" s="1"/>
  <c r="AA78" i="23"/>
  <c r="Z78" i="23" s="1"/>
  <c r="Y78" i="23" s="1"/>
  <c r="G137" i="23"/>
  <c r="CD137" i="6" s="1"/>
  <c r="AA137" i="23"/>
  <c r="Z137" i="23" s="1"/>
  <c r="Y137" i="23" s="1"/>
  <c r="BA362" i="6"/>
  <c r="D362" i="6" s="1"/>
  <c r="H362" i="20"/>
  <c r="G362" i="23"/>
  <c r="CD362" i="6" s="1"/>
  <c r="AA362" i="23"/>
  <c r="Z362" i="23" s="1"/>
  <c r="Y362" i="23" s="1"/>
  <c r="W356" i="24"/>
  <c r="D356" i="24"/>
  <c r="E356" i="24" s="1"/>
  <c r="F356" i="24" s="1"/>
  <c r="B356" i="25"/>
  <c r="G340" i="23"/>
  <c r="CD340" i="6" s="1"/>
  <c r="AA340" i="23"/>
  <c r="Z340" i="23" s="1"/>
  <c r="Y340" i="23" s="1"/>
  <c r="W314" i="24"/>
  <c r="D314" i="24"/>
  <c r="E314" i="24" s="1"/>
  <c r="F314" i="24" s="1"/>
  <c r="B314" i="25"/>
  <c r="W290" i="24"/>
  <c r="D290" i="24"/>
  <c r="E290" i="24" s="1"/>
  <c r="F290" i="24" s="1"/>
  <c r="B290" i="25"/>
  <c r="G264" i="23"/>
  <c r="CD264" i="6" s="1"/>
  <c r="AA264" i="23"/>
  <c r="Z264" i="23" s="1"/>
  <c r="Y264" i="23" s="1"/>
  <c r="G240" i="23"/>
  <c r="CD240" i="6" s="1"/>
  <c r="AA240" i="23"/>
  <c r="Z240" i="23" s="1"/>
  <c r="Y240" i="23" s="1"/>
  <c r="G214" i="23"/>
  <c r="CD214" i="6" s="1"/>
  <c r="AA214" i="23"/>
  <c r="Z214" i="23" s="1"/>
  <c r="Y214" i="23" s="1"/>
  <c r="W206" i="24"/>
  <c r="D206" i="24"/>
  <c r="E206" i="24" s="1"/>
  <c r="F206" i="24" s="1"/>
  <c r="B206" i="25"/>
  <c r="W198" i="24"/>
  <c r="D198" i="24"/>
  <c r="E198" i="24" s="1"/>
  <c r="F198" i="24" s="1"/>
  <c r="B198" i="25"/>
  <c r="BA102" i="6"/>
  <c r="D102" i="6" s="1"/>
  <c r="H102" i="20"/>
  <c r="BA58" i="6"/>
  <c r="D58" i="6" s="1"/>
  <c r="H58" i="20"/>
  <c r="BA44" i="6"/>
  <c r="D44" i="6" s="1"/>
  <c r="H44" i="20"/>
  <c r="BA36" i="6"/>
  <c r="D36" i="6" s="1"/>
  <c r="H36" i="20"/>
  <c r="BA355" i="6"/>
  <c r="D355" i="6" s="1"/>
  <c r="H355" i="20"/>
  <c r="BA243" i="6"/>
  <c r="D243" i="6" s="1"/>
  <c r="H243" i="20"/>
  <c r="BA133" i="6"/>
  <c r="D133" i="6" s="1"/>
  <c r="H133" i="20"/>
  <c r="BA115" i="6"/>
  <c r="D115" i="6" s="1"/>
  <c r="H115" i="20"/>
  <c r="BA85" i="6"/>
  <c r="H85" i="20"/>
  <c r="BA360" i="6"/>
  <c r="D360" i="6" s="1"/>
  <c r="H360" i="20"/>
  <c r="BA304" i="6"/>
  <c r="D304" i="6" s="1"/>
  <c r="H304" i="20"/>
  <c r="BA280" i="6"/>
  <c r="D280" i="6" s="1"/>
  <c r="H280" i="20"/>
  <c r="BA288" i="6"/>
  <c r="D288" i="6" s="1"/>
  <c r="H288" i="20"/>
  <c r="W357" i="24"/>
  <c r="D357" i="24"/>
  <c r="E357" i="24" s="1"/>
  <c r="F357" i="24" s="1"/>
  <c r="B357" i="25"/>
  <c r="W307" i="24"/>
  <c r="D307" i="24"/>
  <c r="E307" i="24" s="1"/>
  <c r="F307" i="24" s="1"/>
  <c r="B307" i="25"/>
  <c r="W267" i="24"/>
  <c r="D267" i="24"/>
  <c r="E267" i="24" s="1"/>
  <c r="F267" i="24" s="1"/>
  <c r="B267" i="25"/>
  <c r="G223" i="23"/>
  <c r="CD223" i="6" s="1"/>
  <c r="AA223" i="23"/>
  <c r="Z223" i="23" s="1"/>
  <c r="Y223" i="23" s="1"/>
  <c r="BA334" i="6"/>
  <c r="D334" i="6" s="1"/>
  <c r="H334" i="20"/>
  <c r="H326" i="20"/>
  <c r="BA192" i="6"/>
  <c r="D192" i="6" s="1"/>
  <c r="H192" i="20"/>
  <c r="BA142" i="6"/>
  <c r="D142" i="6" s="1"/>
  <c r="H142" i="20"/>
  <c r="BA108" i="6"/>
  <c r="D108" i="6" s="1"/>
  <c r="H108" i="20"/>
  <c r="G86" i="22"/>
  <c r="CC86" i="6" s="1"/>
  <c r="AA86" i="22"/>
  <c r="Z86" i="22" s="1"/>
  <c r="Y86" i="22" s="1"/>
  <c r="H34" i="20"/>
  <c r="G341" i="22"/>
  <c r="CC341" i="6" s="1"/>
  <c r="AA341" i="22"/>
  <c r="Z341" i="22" s="1"/>
  <c r="Y341" i="22" s="1"/>
  <c r="G293" i="22"/>
  <c r="CC293" i="6" s="1"/>
  <c r="AA293" i="22"/>
  <c r="Z293" i="22" s="1"/>
  <c r="Y293" i="22" s="1"/>
  <c r="G259" i="22"/>
  <c r="CC259" i="6" s="1"/>
  <c r="AA259" i="22"/>
  <c r="Z259" i="22" s="1"/>
  <c r="Y259" i="22" s="1"/>
  <c r="W221" i="24"/>
  <c r="D221" i="24"/>
  <c r="E221" i="24" s="1"/>
  <c r="F221" i="24" s="1"/>
  <c r="B221" i="25"/>
  <c r="G209" i="23"/>
  <c r="CD209" i="6" s="1"/>
  <c r="AA209" i="23"/>
  <c r="Z209" i="23" s="1"/>
  <c r="Y209" i="23" s="1"/>
  <c r="W195" i="24"/>
  <c r="D195" i="24"/>
  <c r="E195" i="24" s="1"/>
  <c r="F195" i="24" s="1"/>
  <c r="B195" i="25"/>
  <c r="G147" i="23"/>
  <c r="CD147" i="6" s="1"/>
  <c r="AA147" i="23"/>
  <c r="Z147" i="23" s="1"/>
  <c r="Y147" i="23" s="1"/>
  <c r="W131" i="24"/>
  <c r="D131" i="24"/>
  <c r="E131" i="24" s="1"/>
  <c r="F131" i="24" s="1"/>
  <c r="B131" i="25"/>
  <c r="G93" i="23"/>
  <c r="CD93" i="6" s="1"/>
  <c r="AA93" i="23"/>
  <c r="Z93" i="23" s="1"/>
  <c r="Y93" i="23" s="1"/>
  <c r="G79" i="23"/>
  <c r="CD79" i="6" s="1"/>
  <c r="AA79" i="23"/>
  <c r="Z79" i="23" s="1"/>
  <c r="Y79" i="23" s="1"/>
  <c r="D69" i="24"/>
  <c r="E69" i="24" s="1"/>
  <c r="F69" i="24" s="1"/>
  <c r="W69" i="24"/>
  <c r="B69" i="25"/>
  <c r="G47" i="23"/>
  <c r="CD47" i="6" s="1"/>
  <c r="AA47" i="23"/>
  <c r="Z47" i="23" s="1"/>
  <c r="Y47" i="23" s="1"/>
  <c r="W33" i="24"/>
  <c r="D33" i="24"/>
  <c r="E33" i="24" s="1"/>
  <c r="F33" i="24" s="1"/>
  <c r="B33" i="25"/>
  <c r="J23" i="20"/>
  <c r="I23" i="20"/>
  <c r="H23" i="22" s="1"/>
  <c r="W258" i="23"/>
  <c r="D258" i="23"/>
  <c r="E258" i="23" s="1"/>
  <c r="F258" i="23" s="1"/>
  <c r="B258" i="24"/>
  <c r="G336" i="23"/>
  <c r="CD336" i="6" s="1"/>
  <c r="AA336" i="23"/>
  <c r="Z336" i="23" s="1"/>
  <c r="Y336" i="23" s="1"/>
  <c r="W320" i="24"/>
  <c r="D320" i="24"/>
  <c r="E320" i="24" s="1"/>
  <c r="F320" i="24" s="1"/>
  <c r="B320" i="25"/>
  <c r="G308" i="23"/>
  <c r="CD308" i="6" s="1"/>
  <c r="AA308" i="23"/>
  <c r="Z308" i="23" s="1"/>
  <c r="Y308" i="23" s="1"/>
  <c r="W276" i="24"/>
  <c r="D276" i="24"/>
  <c r="E276" i="24" s="1"/>
  <c r="F276" i="24" s="1"/>
  <c r="B276" i="25"/>
  <c r="G270" i="23"/>
  <c r="CD270" i="6" s="1"/>
  <c r="AA270" i="23"/>
  <c r="Z270" i="23" s="1"/>
  <c r="Y270" i="23" s="1"/>
  <c r="D260" i="24"/>
  <c r="E260" i="24" s="1"/>
  <c r="F260" i="24" s="1"/>
  <c r="W260" i="24"/>
  <c r="B260" i="25"/>
  <c r="G246" i="23"/>
  <c r="CD246" i="6" s="1"/>
  <c r="AA246" i="23"/>
  <c r="Z246" i="23" s="1"/>
  <c r="Y246" i="23" s="1"/>
  <c r="W220" i="24"/>
  <c r="D220" i="24"/>
  <c r="E220" i="24" s="1"/>
  <c r="F220" i="24" s="1"/>
  <c r="B220" i="25"/>
  <c r="AA176" i="23"/>
  <c r="Z176" i="23" s="1"/>
  <c r="Y176" i="23" s="1"/>
  <c r="G176" i="23"/>
  <c r="CD176" i="6" s="1"/>
  <c r="W140" i="24"/>
  <c r="D140" i="24"/>
  <c r="E140" i="24" s="1"/>
  <c r="F140" i="24" s="1"/>
  <c r="B140" i="25"/>
  <c r="AA128" i="23"/>
  <c r="Z128" i="23" s="1"/>
  <c r="Y128" i="23" s="1"/>
  <c r="G128" i="23"/>
  <c r="CD128" i="6" s="1"/>
  <c r="W110" i="24"/>
  <c r="D110" i="24"/>
  <c r="E110" i="24" s="1"/>
  <c r="F110" i="24" s="1"/>
  <c r="B110" i="25"/>
  <c r="G104" i="23"/>
  <c r="CD104" i="6" s="1"/>
  <c r="AA104" i="23"/>
  <c r="Z104" i="23" s="1"/>
  <c r="Y104" i="23" s="1"/>
  <c r="W84" i="24"/>
  <c r="D84" i="24"/>
  <c r="E84" i="24" s="1"/>
  <c r="F84" i="24" s="1"/>
  <c r="B84" i="25"/>
  <c r="G56" i="23"/>
  <c r="CD56" i="6" s="1"/>
  <c r="AA56" i="23"/>
  <c r="Z56" i="23" s="1"/>
  <c r="Y56" i="23" s="1"/>
  <c r="W42" i="24"/>
  <c r="D42" i="24"/>
  <c r="E42" i="24" s="1"/>
  <c r="F42" i="24" s="1"/>
  <c r="B42" i="25"/>
  <c r="BA347" i="6"/>
  <c r="D347" i="6" s="1"/>
  <c r="H347" i="20"/>
  <c r="BA227" i="6"/>
  <c r="D227" i="6" s="1"/>
  <c r="H227" i="20"/>
  <c r="BA298" i="6"/>
  <c r="D298" i="6" s="1"/>
  <c r="H298" i="20"/>
  <c r="BA316" i="6"/>
  <c r="D316" i="6" s="1"/>
  <c r="H316" i="20"/>
  <c r="H196" i="20"/>
  <c r="D337" i="6"/>
  <c r="G146" i="23"/>
  <c r="CD146" i="6" s="1"/>
  <c r="AA146" i="23"/>
  <c r="Z146" i="23" s="1"/>
  <c r="Y146" i="23" s="1"/>
  <c r="W120" i="24"/>
  <c r="D120" i="24"/>
  <c r="E120" i="24" s="1"/>
  <c r="F120" i="24" s="1"/>
  <c r="B120" i="25"/>
  <c r="G323" i="23"/>
  <c r="CD323" i="6" s="1"/>
  <c r="AA323" i="23"/>
  <c r="Z323" i="23" s="1"/>
  <c r="Y323" i="23" s="1"/>
  <c r="D271" i="24"/>
  <c r="E271" i="24" s="1"/>
  <c r="F271" i="24" s="1"/>
  <c r="W271" i="24"/>
  <c r="B271" i="25"/>
  <c r="AA255" i="24"/>
  <c r="Z255" i="24" s="1"/>
  <c r="Y255" i="24" s="1"/>
  <c r="G255" i="24"/>
  <c r="CE255" i="6" s="1"/>
  <c r="W197" i="25"/>
  <c r="D197" i="25"/>
  <c r="E197" i="25" s="1"/>
  <c r="F197" i="25" s="1"/>
  <c r="G167" i="24"/>
  <c r="CE167" i="6" s="1"/>
  <c r="AA167" i="24"/>
  <c r="Z167" i="24" s="1"/>
  <c r="Y167" i="24" s="1"/>
  <c r="W101" i="25"/>
  <c r="D101" i="25"/>
  <c r="E101" i="25" s="1"/>
  <c r="F101" i="25" s="1"/>
  <c r="G83" i="24"/>
  <c r="CE83" i="6" s="1"/>
  <c r="AA83" i="24"/>
  <c r="Z83" i="24" s="1"/>
  <c r="Y83" i="24" s="1"/>
  <c r="W55" i="25"/>
  <c r="D55" i="25"/>
  <c r="E55" i="25" s="1"/>
  <c r="F55" i="25" s="1"/>
  <c r="G287" i="24"/>
  <c r="CE287" i="6" s="1"/>
  <c r="AA287" i="24"/>
  <c r="Z287" i="24" s="1"/>
  <c r="Y287" i="24" s="1"/>
  <c r="W253" i="24"/>
  <c r="D253" i="24"/>
  <c r="E253" i="24" s="1"/>
  <c r="F253" i="24" s="1"/>
  <c r="B253" i="25"/>
  <c r="G363" i="23"/>
  <c r="CD363" i="6" s="1"/>
  <c r="AA363" i="23"/>
  <c r="Z363" i="23" s="1"/>
  <c r="Y363" i="23" s="1"/>
  <c r="D300" i="24"/>
  <c r="E300" i="24" s="1"/>
  <c r="F300" i="24" s="1"/>
  <c r="W300" i="24"/>
  <c r="B300" i="25"/>
  <c r="W228" i="24"/>
  <c r="D228" i="24"/>
  <c r="E228" i="24" s="1"/>
  <c r="F228" i="24" s="1"/>
  <c r="B228" i="25"/>
  <c r="G164" i="23"/>
  <c r="CD164" i="6" s="1"/>
  <c r="AA164" i="23"/>
  <c r="Z164" i="23" s="1"/>
  <c r="Y164" i="23" s="1"/>
  <c r="W361" i="25"/>
  <c r="D361" i="25"/>
  <c r="E361" i="25" s="1"/>
  <c r="F361" i="25" s="1"/>
  <c r="G361" i="24"/>
  <c r="CE361" i="6" s="1"/>
  <c r="AA361" i="24"/>
  <c r="Z361" i="24" s="1"/>
  <c r="Y361" i="24" s="1"/>
  <c r="G273" i="24"/>
  <c r="CE273" i="6" s="1"/>
  <c r="AA273" i="24"/>
  <c r="Z273" i="24" s="1"/>
  <c r="Y273" i="24" s="1"/>
  <c r="W247" i="25"/>
  <c r="D247" i="25"/>
  <c r="E247" i="25" s="1"/>
  <c r="F247" i="25" s="1"/>
  <c r="G183" i="24"/>
  <c r="CE183" i="6" s="1"/>
  <c r="AA183" i="24"/>
  <c r="Z183" i="24" s="1"/>
  <c r="Y183" i="24" s="1"/>
  <c r="W155" i="25"/>
  <c r="D155" i="25"/>
  <c r="E155" i="25" s="1"/>
  <c r="F155" i="25" s="1"/>
  <c r="G97" i="24"/>
  <c r="CE97" i="6" s="1"/>
  <c r="AA97" i="24"/>
  <c r="Z97" i="24" s="1"/>
  <c r="Y97" i="24" s="1"/>
  <c r="W63" i="25"/>
  <c r="D63" i="25"/>
  <c r="E63" i="25" s="1"/>
  <c r="F63" i="25" s="1"/>
  <c r="G88" i="24"/>
  <c r="CE88" i="6" s="1"/>
  <c r="AA88" i="24"/>
  <c r="Z88" i="24" s="1"/>
  <c r="Y88" i="24" s="1"/>
  <c r="W19" i="25"/>
  <c r="D19" i="25"/>
  <c r="E19" i="25" s="1"/>
  <c r="F19" i="25" s="1"/>
  <c r="G19" i="24"/>
  <c r="CE19" i="6" s="1"/>
  <c r="AA19" i="24"/>
  <c r="Z19" i="24" s="1"/>
  <c r="Y19" i="24" s="1"/>
  <c r="G284" i="24"/>
  <c r="CE284" i="6" s="1"/>
  <c r="AA284" i="24"/>
  <c r="Z284" i="24" s="1"/>
  <c r="Y284" i="24" s="1"/>
  <c r="W302" i="25"/>
  <c r="D302" i="25"/>
  <c r="E302" i="25" s="1"/>
  <c r="F302" i="25" s="1"/>
  <c r="G114" i="23"/>
  <c r="CD114" i="6" s="1"/>
  <c r="AA114" i="23"/>
  <c r="Z114" i="23" s="1"/>
  <c r="Y114" i="23" s="1"/>
  <c r="G66" i="23"/>
  <c r="CD66" i="6" s="1"/>
  <c r="AA66" i="23"/>
  <c r="Z66" i="23" s="1"/>
  <c r="Y66" i="23" s="1"/>
  <c r="D95" i="24"/>
  <c r="E95" i="24" s="1"/>
  <c r="F95" i="24" s="1"/>
  <c r="W95" i="24"/>
  <c r="B95" i="25"/>
  <c r="G43" i="23"/>
  <c r="CD43" i="6" s="1"/>
  <c r="AA43" i="23"/>
  <c r="Z43" i="23" s="1"/>
  <c r="Y43" i="23" s="1"/>
  <c r="W216" i="24"/>
  <c r="D216" i="24"/>
  <c r="E216" i="24" s="1"/>
  <c r="F216" i="24" s="1"/>
  <c r="B216" i="25"/>
  <c r="G354" i="23"/>
  <c r="CD354" i="6" s="1"/>
  <c r="AA354" i="23"/>
  <c r="Z354" i="23" s="1"/>
  <c r="Y354" i="23" s="1"/>
  <c r="W227" i="24"/>
  <c r="D227" i="24"/>
  <c r="E227" i="24" s="1"/>
  <c r="F227" i="24" s="1"/>
  <c r="B227" i="25"/>
  <c r="G35" i="23"/>
  <c r="CD35" i="6" s="1"/>
  <c r="AA35" i="23"/>
  <c r="Z35" i="23" s="1"/>
  <c r="Y35" i="23" s="1"/>
  <c r="W208" i="24"/>
  <c r="D208" i="24"/>
  <c r="E208" i="24" s="1"/>
  <c r="F208" i="24" s="1"/>
  <c r="B208" i="25"/>
  <c r="G208" i="23"/>
  <c r="CD208" i="6" s="1"/>
  <c r="AA208" i="23"/>
  <c r="Z208" i="23" s="1"/>
  <c r="Y208" i="23" s="1"/>
  <c r="W16" i="24"/>
  <c r="D16" i="24"/>
  <c r="E16" i="24" s="1"/>
  <c r="F16" i="24" s="1"/>
  <c r="B16" i="25"/>
  <c r="G105" i="23"/>
  <c r="CD105" i="6" s="1"/>
  <c r="AA105" i="23"/>
  <c r="Z105" i="23" s="1"/>
  <c r="Y105" i="23" s="1"/>
  <c r="W119" i="24"/>
  <c r="D119" i="24"/>
  <c r="E119" i="24" s="1"/>
  <c r="F119" i="24" s="1"/>
  <c r="B119" i="25"/>
  <c r="BA135" i="6"/>
  <c r="D135" i="6" s="1"/>
  <c r="H135" i="20"/>
  <c r="BA146" i="6"/>
  <c r="D146" i="6" s="1"/>
  <c r="H146" i="20"/>
  <c r="BA241" i="6"/>
  <c r="D241" i="6" s="1"/>
  <c r="H241" i="20"/>
  <c r="BA189" i="6"/>
  <c r="D189" i="6" s="1"/>
  <c r="H189" i="20"/>
  <c r="BA169" i="6"/>
  <c r="H169" i="20"/>
  <c r="BA154" i="6"/>
  <c r="D154" i="6" s="1"/>
  <c r="H154" i="20"/>
  <c r="BA372" i="6"/>
  <c r="D372" i="6" s="1"/>
  <c r="H372" i="20"/>
  <c r="BA367" i="6"/>
  <c r="D367" i="6" s="1"/>
  <c r="H367" i="20"/>
  <c r="BA183" i="6"/>
  <c r="H183" i="20"/>
  <c r="BA267" i="6"/>
  <c r="H267" i="20"/>
  <c r="BA127" i="6"/>
  <c r="H127" i="20"/>
  <c r="BA263" i="6"/>
  <c r="D263" i="6" s="1"/>
  <c r="H263" i="20"/>
  <c r="BA187" i="6"/>
  <c r="D187" i="6" s="1"/>
  <c r="H187" i="20"/>
  <c r="BA99" i="6"/>
  <c r="H99" i="20"/>
  <c r="BA101" i="6"/>
  <c r="D101" i="6" s="1"/>
  <c r="H101" i="20"/>
  <c r="BA197" i="6"/>
  <c r="H197" i="20"/>
  <c r="BA325" i="6"/>
  <c r="D325" i="6" s="1"/>
  <c r="H325" i="20"/>
  <c r="BA75" i="6"/>
  <c r="D75" i="6" s="1"/>
  <c r="H75" i="20"/>
  <c r="BA159" i="6"/>
  <c r="D159" i="6" s="1"/>
  <c r="H159" i="20"/>
  <c r="BA65" i="6"/>
  <c r="D65" i="6" s="1"/>
  <c r="H65" i="20"/>
  <c r="BA83" i="6"/>
  <c r="D83" i="6" s="1"/>
  <c r="H83" i="20"/>
  <c r="BA302" i="6"/>
  <c r="D302" i="6" s="1"/>
  <c r="H302" i="20"/>
  <c r="G174" i="22"/>
  <c r="CC174" i="6" s="1"/>
  <c r="AA174" i="22"/>
  <c r="Z174" i="22" s="1"/>
  <c r="Y174" i="22" s="1"/>
  <c r="G38" i="22"/>
  <c r="CC38" i="6" s="1"/>
  <c r="AA38" i="22"/>
  <c r="Z38" i="22" s="1"/>
  <c r="Y38" i="22" s="1"/>
  <c r="G100" i="22"/>
  <c r="CC100" i="6" s="1"/>
  <c r="AA100" i="22"/>
  <c r="Z100" i="22" s="1"/>
  <c r="Y100" i="22" s="1"/>
  <c r="G32" i="22"/>
  <c r="CC32" i="6" s="1"/>
  <c r="AA32" i="22"/>
  <c r="Z32" i="22" s="1"/>
  <c r="Y32" i="22" s="1"/>
  <c r="G229" i="22"/>
  <c r="CC229" i="6" s="1"/>
  <c r="AA229" i="22"/>
  <c r="Z229" i="22" s="1"/>
  <c r="Y229" i="22" s="1"/>
  <c r="G353" i="22"/>
  <c r="CC353" i="6" s="1"/>
  <c r="AA353" i="22"/>
  <c r="Z353" i="22" s="1"/>
  <c r="Y353" i="22" s="1"/>
  <c r="G306" i="22"/>
  <c r="CC306" i="6" s="1"/>
  <c r="AA306" i="22"/>
  <c r="Z306" i="22" s="1"/>
  <c r="Y306" i="22" s="1"/>
  <c r="G299" i="22"/>
  <c r="CC299" i="6" s="1"/>
  <c r="AA299" i="22"/>
  <c r="Z299" i="22" s="1"/>
  <c r="Y299" i="22" s="1"/>
  <c r="G207" i="22"/>
  <c r="CC207" i="6" s="1"/>
  <c r="AA207" i="22"/>
  <c r="Z207" i="22" s="1"/>
  <c r="Y207" i="22" s="1"/>
  <c r="G205" i="22"/>
  <c r="CC205" i="6" s="1"/>
  <c r="AA205" i="22"/>
  <c r="Z205" i="22" s="1"/>
  <c r="Y205" i="22" s="1"/>
  <c r="G64" i="22"/>
  <c r="CC64" i="6" s="1"/>
  <c r="AA64" i="22"/>
  <c r="Z64" i="22" s="1"/>
  <c r="Y64" i="22" s="1"/>
  <c r="G358" i="22"/>
  <c r="CC358" i="6" s="1"/>
  <c r="AA358" i="22"/>
  <c r="Z358" i="22" s="1"/>
  <c r="Y358" i="22" s="1"/>
  <c r="G338" i="22"/>
  <c r="CC338" i="6" s="1"/>
  <c r="AA338" i="22"/>
  <c r="Z338" i="22" s="1"/>
  <c r="Y338" i="22" s="1"/>
  <c r="G286" i="22"/>
  <c r="CC286" i="6" s="1"/>
  <c r="AA286" i="22"/>
  <c r="Z286" i="22" s="1"/>
  <c r="Y286" i="22" s="1"/>
  <c r="G224" i="22"/>
  <c r="CC224" i="6" s="1"/>
  <c r="AA224" i="22"/>
  <c r="Z224" i="22" s="1"/>
  <c r="Y224" i="22" s="1"/>
  <c r="G200" i="22"/>
  <c r="CC200" i="6" s="1"/>
  <c r="AA200" i="22"/>
  <c r="Z200" i="22" s="1"/>
  <c r="Y200" i="22" s="1"/>
  <c r="G190" i="23"/>
  <c r="CD190" i="6" s="1"/>
  <c r="AA190" i="23"/>
  <c r="Z190" i="23" s="1"/>
  <c r="Y190" i="23" s="1"/>
  <c r="W82" i="23"/>
  <c r="D82" i="23"/>
  <c r="E82" i="23" s="1"/>
  <c r="F82" i="23" s="1"/>
  <c r="B82" i="24"/>
  <c r="W54" i="23"/>
  <c r="D54" i="23"/>
  <c r="E54" i="23" s="1"/>
  <c r="F54" i="23" s="1"/>
  <c r="B54" i="24"/>
  <c r="W30" i="23"/>
  <c r="D30" i="23"/>
  <c r="E30" i="23" s="1"/>
  <c r="F30" i="23" s="1"/>
  <c r="B30" i="24"/>
  <c r="W351" i="23"/>
  <c r="D351" i="23"/>
  <c r="E351" i="23" s="1"/>
  <c r="F351" i="23" s="1"/>
  <c r="B351" i="24"/>
  <c r="W315" i="23"/>
  <c r="D315" i="23"/>
  <c r="E315" i="23" s="1"/>
  <c r="F315" i="23" s="1"/>
  <c r="B315" i="24"/>
  <c r="G315" i="22"/>
  <c r="CC315" i="6" s="1"/>
  <c r="AA315" i="22"/>
  <c r="Z315" i="22" s="1"/>
  <c r="Y315" i="22" s="1"/>
  <c r="W239" i="23"/>
  <c r="D239" i="23"/>
  <c r="E239" i="23" s="1"/>
  <c r="F239" i="23" s="1"/>
  <c r="B239" i="24"/>
  <c r="W213" i="23"/>
  <c r="D213" i="23"/>
  <c r="E213" i="23" s="1"/>
  <c r="F213" i="23" s="1"/>
  <c r="B213" i="24"/>
  <c r="W129" i="23"/>
  <c r="D129" i="23"/>
  <c r="E129" i="23" s="1"/>
  <c r="F129" i="23" s="1"/>
  <c r="B129" i="24"/>
  <c r="W113" i="23"/>
  <c r="D113" i="23"/>
  <c r="E113" i="23" s="1"/>
  <c r="F113" i="23" s="1"/>
  <c r="B113" i="24"/>
  <c r="W57" i="23"/>
  <c r="D57" i="23"/>
  <c r="E57" i="23" s="1"/>
  <c r="F57" i="23" s="1"/>
  <c r="B57" i="24"/>
  <c r="W26" i="23"/>
  <c r="D26" i="23"/>
  <c r="E26" i="23" s="1"/>
  <c r="F26" i="23" s="1"/>
  <c r="B26" i="24"/>
  <c r="W350" i="23"/>
  <c r="D350" i="23"/>
  <c r="E350" i="23" s="1"/>
  <c r="F350" i="23" s="1"/>
  <c r="B350" i="24"/>
  <c r="W174" i="23"/>
  <c r="D174" i="23"/>
  <c r="E174" i="23" s="1"/>
  <c r="F174" i="23" s="1"/>
  <c r="B174" i="24"/>
  <c r="W38" i="23"/>
  <c r="D38" i="23"/>
  <c r="E38" i="23" s="1"/>
  <c r="F38" i="23" s="1"/>
  <c r="B38" i="24"/>
  <c r="W100" i="23"/>
  <c r="D100" i="23"/>
  <c r="E100" i="23" s="1"/>
  <c r="F100" i="23" s="1"/>
  <c r="B100" i="24"/>
  <c r="W331" i="23"/>
  <c r="D331" i="23"/>
  <c r="E331" i="23" s="1"/>
  <c r="F331" i="23" s="1"/>
  <c r="B331" i="24"/>
  <c r="G331" i="22"/>
  <c r="CC331" i="6" s="1"/>
  <c r="AA331" i="22"/>
  <c r="Z331" i="22" s="1"/>
  <c r="Y331" i="22" s="1"/>
  <c r="W32" i="23"/>
  <c r="D32" i="23"/>
  <c r="E32" i="23" s="1"/>
  <c r="F32" i="23" s="1"/>
  <c r="B32" i="24"/>
  <c r="W229" i="23"/>
  <c r="D229" i="23"/>
  <c r="E229" i="23" s="1"/>
  <c r="F229" i="23" s="1"/>
  <c r="B229" i="24"/>
  <c r="W353" i="23"/>
  <c r="D353" i="23"/>
  <c r="E353" i="23" s="1"/>
  <c r="F353" i="23" s="1"/>
  <c r="B353" i="24"/>
  <c r="W306" i="23"/>
  <c r="D306" i="23"/>
  <c r="E306" i="23" s="1"/>
  <c r="F306" i="23" s="1"/>
  <c r="B306" i="24"/>
  <c r="W299" i="23"/>
  <c r="D299" i="23"/>
  <c r="E299" i="23" s="1"/>
  <c r="F299" i="23" s="1"/>
  <c r="B299" i="24"/>
  <c r="W207" i="23"/>
  <c r="D207" i="23"/>
  <c r="E207" i="23" s="1"/>
  <c r="F207" i="23" s="1"/>
  <c r="B207" i="24"/>
  <c r="W205" i="23"/>
  <c r="D205" i="23"/>
  <c r="E205" i="23" s="1"/>
  <c r="F205" i="23" s="1"/>
  <c r="B205" i="24"/>
  <c r="W64" i="23"/>
  <c r="D64" i="23"/>
  <c r="E64" i="23" s="1"/>
  <c r="F64" i="23" s="1"/>
  <c r="B64" i="24"/>
  <c r="W358" i="23"/>
  <c r="D358" i="23"/>
  <c r="E358" i="23" s="1"/>
  <c r="F358" i="23" s="1"/>
  <c r="B358" i="24"/>
  <c r="W338" i="23"/>
  <c r="D338" i="23"/>
  <c r="E338" i="23" s="1"/>
  <c r="F338" i="23" s="1"/>
  <c r="B338" i="24"/>
  <c r="D286" i="23"/>
  <c r="E286" i="23" s="1"/>
  <c r="F286" i="23" s="1"/>
  <c r="W286" i="23"/>
  <c r="B286" i="24"/>
  <c r="W224" i="23"/>
  <c r="D224" i="23"/>
  <c r="E224" i="23" s="1"/>
  <c r="F224" i="23" s="1"/>
  <c r="B224" i="24"/>
  <c r="W200" i="23"/>
  <c r="D200" i="23"/>
  <c r="E200" i="23" s="1"/>
  <c r="F200" i="23" s="1"/>
  <c r="B200" i="24"/>
  <c r="W190" i="24"/>
  <c r="D190" i="24"/>
  <c r="E190" i="24" s="1"/>
  <c r="F190" i="24" s="1"/>
  <c r="B190" i="25"/>
  <c r="W158" i="23"/>
  <c r="D158" i="23"/>
  <c r="E158" i="23" s="1"/>
  <c r="F158" i="23" s="1"/>
  <c r="B158" i="24"/>
  <c r="G158" i="22"/>
  <c r="CC158" i="6" s="1"/>
  <c r="AA158" i="22"/>
  <c r="Z158" i="22" s="1"/>
  <c r="Y158" i="22" s="1"/>
  <c r="G82" i="22"/>
  <c r="CC82" i="6" s="1"/>
  <c r="AA82" i="22"/>
  <c r="Z82" i="22" s="1"/>
  <c r="Y82" i="22" s="1"/>
  <c r="G54" i="22"/>
  <c r="CC54" i="6" s="1"/>
  <c r="AA54" i="22"/>
  <c r="Z54" i="22" s="1"/>
  <c r="Y54" i="22" s="1"/>
  <c r="G30" i="22"/>
  <c r="CC30" i="6" s="1"/>
  <c r="AA30" i="22"/>
  <c r="Z30" i="22" s="1"/>
  <c r="Y30" i="22" s="1"/>
  <c r="G351" i="22"/>
  <c r="CC351" i="6" s="1"/>
  <c r="AA351" i="22"/>
  <c r="Z351" i="22" s="1"/>
  <c r="Y351" i="22" s="1"/>
  <c r="G239" i="22"/>
  <c r="CC239" i="6" s="1"/>
  <c r="AA239" i="22"/>
  <c r="Z239" i="22" s="1"/>
  <c r="Y239" i="22" s="1"/>
  <c r="G213" i="22"/>
  <c r="CC213" i="6" s="1"/>
  <c r="AA213" i="22"/>
  <c r="Z213" i="22" s="1"/>
  <c r="Y213" i="22" s="1"/>
  <c r="G129" i="22"/>
  <c r="CC129" i="6" s="1"/>
  <c r="AA129" i="22"/>
  <c r="Z129" i="22" s="1"/>
  <c r="Y129" i="22" s="1"/>
  <c r="G113" i="22"/>
  <c r="CC113" i="6" s="1"/>
  <c r="AA113" i="22"/>
  <c r="Z113" i="22" s="1"/>
  <c r="Y113" i="22" s="1"/>
  <c r="G57" i="22"/>
  <c r="CC57" i="6" s="1"/>
  <c r="AA57" i="22"/>
  <c r="Z57" i="22" s="1"/>
  <c r="Y57" i="22" s="1"/>
  <c r="G26" i="22"/>
  <c r="CC26" i="6" s="1"/>
  <c r="AA26" i="22"/>
  <c r="Z26" i="22" s="1"/>
  <c r="Y26" i="22" s="1"/>
  <c r="G350" i="22"/>
  <c r="CC350" i="6" s="1"/>
  <c r="AA350" i="22"/>
  <c r="Z350" i="22" s="1"/>
  <c r="Y350" i="22" s="1"/>
  <c r="G322" i="22"/>
  <c r="CC322" i="6" s="1"/>
  <c r="AA322" i="22"/>
  <c r="Z322" i="22" s="1"/>
  <c r="Y322" i="22" s="1"/>
  <c r="G266" i="22"/>
  <c r="CC266" i="6" s="1"/>
  <c r="AA266" i="22"/>
  <c r="Z266" i="22" s="1"/>
  <c r="Y266" i="22" s="1"/>
  <c r="G234" i="22"/>
  <c r="CC234" i="6" s="1"/>
  <c r="AA234" i="22"/>
  <c r="Z234" i="22" s="1"/>
  <c r="Y234" i="22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W20" i="23"/>
  <c r="D20" i="23"/>
  <c r="E20" i="23" s="1"/>
  <c r="F20" i="23" s="1"/>
  <c r="B20" i="24"/>
  <c r="G20" i="22"/>
  <c r="CC20" i="6" s="1"/>
  <c r="AA20" i="22"/>
  <c r="Z20" i="22" s="1"/>
  <c r="Y20" i="22" s="1"/>
  <c r="G359" i="22"/>
  <c r="CC359" i="6" s="1"/>
  <c r="AA359" i="22"/>
  <c r="Z359" i="22" s="1"/>
  <c r="Y359" i="22" s="1"/>
  <c r="W313" i="23"/>
  <c r="D313" i="23"/>
  <c r="E313" i="23" s="1"/>
  <c r="F313" i="23" s="1"/>
  <c r="B313" i="24"/>
  <c r="G269" i="22"/>
  <c r="CC269" i="6" s="1"/>
  <c r="AA269" i="22"/>
  <c r="Z269" i="22" s="1"/>
  <c r="Y269" i="22" s="1"/>
  <c r="W231" i="23"/>
  <c r="D231" i="23"/>
  <c r="E231" i="23" s="1"/>
  <c r="F231" i="23" s="1"/>
  <c r="B231" i="24"/>
  <c r="BA164" i="6"/>
  <c r="D164" i="6" s="1"/>
  <c r="H164" i="20"/>
  <c r="W371" i="23"/>
  <c r="D371" i="23"/>
  <c r="E371" i="23" s="1"/>
  <c r="F371" i="23" s="1"/>
  <c r="B371" i="24"/>
  <c r="G371" i="22"/>
  <c r="CC371" i="6" s="1"/>
  <c r="AA371" i="22"/>
  <c r="Z371" i="22" s="1"/>
  <c r="Y371" i="22" s="1"/>
  <c r="G339" i="23"/>
  <c r="CD339" i="6" s="1"/>
  <c r="AA339" i="23"/>
  <c r="Z339" i="23" s="1"/>
  <c r="Y339" i="23" s="1"/>
  <c r="W303" i="24"/>
  <c r="D303" i="24"/>
  <c r="E303" i="24" s="1"/>
  <c r="F303" i="24" s="1"/>
  <c r="B303" i="25"/>
  <c r="G291" i="23"/>
  <c r="CD291" i="6" s="1"/>
  <c r="AA291" i="23"/>
  <c r="Z291" i="23" s="1"/>
  <c r="Y291" i="23" s="1"/>
  <c r="W275" i="24"/>
  <c r="D275" i="24"/>
  <c r="E275" i="24" s="1"/>
  <c r="F275" i="24" s="1"/>
  <c r="B275" i="25"/>
  <c r="W215" i="23"/>
  <c r="D215" i="23"/>
  <c r="E215" i="23" s="1"/>
  <c r="F215" i="23" s="1"/>
  <c r="B215" i="24"/>
  <c r="W181" i="23"/>
  <c r="D181" i="23"/>
  <c r="E181" i="23" s="1"/>
  <c r="F181" i="23" s="1"/>
  <c r="B181" i="24"/>
  <c r="W123" i="23"/>
  <c r="D123" i="23"/>
  <c r="E123" i="23" s="1"/>
  <c r="F123" i="23" s="1"/>
  <c r="B123" i="24"/>
  <c r="G71" i="22"/>
  <c r="CC71" i="6" s="1"/>
  <c r="AA71" i="22"/>
  <c r="Z71" i="22" s="1"/>
  <c r="Y71" i="22" s="1"/>
  <c r="G45" i="22"/>
  <c r="CC45" i="6" s="1"/>
  <c r="AA45" i="22"/>
  <c r="Z45" i="22" s="1"/>
  <c r="Y45" i="22" s="1"/>
  <c r="G21" i="22"/>
  <c r="CC21" i="6" s="1"/>
  <c r="AA21" i="22"/>
  <c r="Z21" i="22" s="1"/>
  <c r="Y21" i="22" s="1"/>
  <c r="G328" i="22"/>
  <c r="CC328" i="6" s="1"/>
  <c r="AA328" i="22"/>
  <c r="Z328" i="22" s="1"/>
  <c r="Y328" i="22" s="1"/>
  <c r="G282" i="22"/>
  <c r="CC282" i="6" s="1"/>
  <c r="AA282" i="22"/>
  <c r="Z282" i="22" s="1"/>
  <c r="Y282" i="22" s="1"/>
  <c r="G268" i="22"/>
  <c r="CC268" i="6" s="1"/>
  <c r="AA268" i="22"/>
  <c r="Z268" i="22" s="1"/>
  <c r="Y268" i="22" s="1"/>
  <c r="G230" i="22"/>
  <c r="CC230" i="6" s="1"/>
  <c r="AA230" i="22"/>
  <c r="Z230" i="22" s="1"/>
  <c r="Y230" i="22" s="1"/>
  <c r="G170" i="22"/>
  <c r="CC170" i="6" s="1"/>
  <c r="AA170" i="22"/>
  <c r="Z170" i="22" s="1"/>
  <c r="Y170" i="22" s="1"/>
  <c r="G92" i="22"/>
  <c r="CC92" i="6" s="1"/>
  <c r="AA92" i="22"/>
  <c r="Z92" i="22" s="1"/>
  <c r="Y92" i="22" s="1"/>
  <c r="G50" i="22"/>
  <c r="CC50" i="6" s="1"/>
  <c r="AA50" i="22"/>
  <c r="Z50" i="22" s="1"/>
  <c r="Y50" i="22" s="1"/>
  <c r="BA281" i="6"/>
  <c r="H281" i="20"/>
  <c r="W175" i="23"/>
  <c r="D175" i="23"/>
  <c r="E175" i="23" s="1"/>
  <c r="F175" i="23" s="1"/>
  <c r="B175" i="24"/>
  <c r="G379" i="22"/>
  <c r="CC379" i="6" s="1"/>
  <c r="AA379" i="22"/>
  <c r="Z379" i="22" s="1"/>
  <c r="Y379" i="22" s="1"/>
  <c r="F15" i="22"/>
  <c r="W375" i="23"/>
  <c r="D375" i="23"/>
  <c r="E375" i="23" s="1"/>
  <c r="F375" i="23" s="1"/>
  <c r="B375" i="24"/>
  <c r="G337" i="22"/>
  <c r="CC337" i="6" s="1"/>
  <c r="AA337" i="22"/>
  <c r="Z337" i="22" s="1"/>
  <c r="Y337" i="22" s="1"/>
  <c r="W301" i="23"/>
  <c r="D301" i="23"/>
  <c r="E301" i="23" s="1"/>
  <c r="F301" i="23" s="1"/>
  <c r="B301" i="24"/>
  <c r="G257" i="22"/>
  <c r="CC257" i="6" s="1"/>
  <c r="AA257" i="22"/>
  <c r="Z257" i="22" s="1"/>
  <c r="Y257" i="22" s="1"/>
  <c r="W211" i="23"/>
  <c r="D211" i="23"/>
  <c r="E211" i="23" s="1"/>
  <c r="F211" i="23" s="1"/>
  <c r="B211" i="24"/>
  <c r="G179" i="22"/>
  <c r="CC179" i="6" s="1"/>
  <c r="AA179" i="22"/>
  <c r="Z179" i="22" s="1"/>
  <c r="Y179" i="22" s="1"/>
  <c r="W141" i="23"/>
  <c r="D141" i="23"/>
  <c r="E141" i="23" s="1"/>
  <c r="F141" i="23" s="1"/>
  <c r="B141" i="24"/>
  <c r="AA59" i="22"/>
  <c r="Z59" i="22" s="1"/>
  <c r="Y59" i="22" s="1"/>
  <c r="G59" i="22"/>
  <c r="CC59" i="6" s="1"/>
  <c r="BA148" i="6"/>
  <c r="D148" i="6" s="1"/>
  <c r="H148" i="20"/>
  <c r="BA247" i="6"/>
  <c r="D247" i="6" s="1"/>
  <c r="H247" i="20"/>
  <c r="BA155" i="6"/>
  <c r="H155" i="20"/>
  <c r="BA22" i="6"/>
  <c r="D22" i="6" s="1"/>
  <c r="H22" i="20"/>
  <c r="BA226" i="6"/>
  <c r="D226" i="6" s="1"/>
  <c r="H226" i="20"/>
  <c r="BA150" i="6"/>
  <c r="D150" i="6" s="1"/>
  <c r="H150" i="20"/>
  <c r="G142" i="23"/>
  <c r="CD142" i="6" s="1"/>
  <c r="AA142" i="23"/>
  <c r="Z142" i="23" s="1"/>
  <c r="Y142" i="23" s="1"/>
  <c r="W108" i="24"/>
  <c r="D108" i="24"/>
  <c r="E108" i="24" s="1"/>
  <c r="F108" i="24" s="1"/>
  <c r="B108" i="25"/>
  <c r="AA317" i="24"/>
  <c r="Z317" i="24" s="1"/>
  <c r="Y317" i="24" s="1"/>
  <c r="G317" i="24"/>
  <c r="CE317" i="6" s="1"/>
  <c r="W263" i="25"/>
  <c r="D263" i="25"/>
  <c r="E263" i="25" s="1"/>
  <c r="F263" i="25" s="1"/>
  <c r="G263" i="24"/>
  <c r="CE263" i="6" s="1"/>
  <c r="AA263" i="24"/>
  <c r="Z263" i="24" s="1"/>
  <c r="Y263" i="24" s="1"/>
  <c r="G219" i="23"/>
  <c r="CD219" i="6" s="1"/>
  <c r="AA219" i="23"/>
  <c r="Z219" i="23" s="1"/>
  <c r="Y219" i="23" s="1"/>
  <c r="W173" i="24"/>
  <c r="D173" i="24"/>
  <c r="E173" i="24" s="1"/>
  <c r="F173" i="24" s="1"/>
  <c r="B173" i="25"/>
  <c r="G127" i="23"/>
  <c r="CD127" i="6" s="1"/>
  <c r="AA127" i="23"/>
  <c r="Z127" i="23" s="1"/>
  <c r="Y127" i="23" s="1"/>
  <c r="W89" i="24"/>
  <c r="D89" i="24"/>
  <c r="E89" i="24" s="1"/>
  <c r="F89" i="24" s="1"/>
  <c r="B89" i="25"/>
  <c r="G61" i="23"/>
  <c r="CD61" i="6" s="1"/>
  <c r="AA61" i="23"/>
  <c r="Z61" i="23" s="1"/>
  <c r="Y61" i="23" s="1"/>
  <c r="W265" i="24"/>
  <c r="D265" i="24"/>
  <c r="E265" i="24" s="1"/>
  <c r="F265" i="24" s="1"/>
  <c r="B265" i="25"/>
  <c r="G161" i="23"/>
  <c r="CD161" i="6" s="1"/>
  <c r="AA161" i="23"/>
  <c r="Z161" i="23" s="1"/>
  <c r="Y161" i="23" s="1"/>
  <c r="W116" i="25"/>
  <c r="D116" i="25"/>
  <c r="E116" i="25" s="1"/>
  <c r="F116" i="25" s="1"/>
  <c r="G334" i="23"/>
  <c r="CD334" i="6" s="1"/>
  <c r="AA334" i="23"/>
  <c r="Z334" i="23" s="1"/>
  <c r="Y334" i="23" s="1"/>
  <c r="W294" i="24"/>
  <c r="D294" i="24"/>
  <c r="E294" i="24" s="1"/>
  <c r="F294" i="24" s="1"/>
  <c r="B294" i="25"/>
  <c r="G192" i="23"/>
  <c r="CD192" i="6" s="1"/>
  <c r="AA192" i="23"/>
  <c r="Z192" i="23" s="1"/>
  <c r="Y192" i="23" s="1"/>
  <c r="W148" i="25"/>
  <c r="D148" i="25"/>
  <c r="E148" i="25" s="1"/>
  <c r="F148" i="25" s="1"/>
  <c r="G281" i="23"/>
  <c r="CD281" i="6" s="1"/>
  <c r="AA281" i="23"/>
  <c r="Z281" i="23" s="1"/>
  <c r="Y281" i="23" s="1"/>
  <c r="W249" i="24"/>
  <c r="D249" i="24"/>
  <c r="E249" i="24" s="1"/>
  <c r="F249" i="24" s="1"/>
  <c r="B249" i="25"/>
  <c r="G185" i="23"/>
  <c r="CD185" i="6" s="1"/>
  <c r="AA185" i="23"/>
  <c r="Z185" i="23" s="1"/>
  <c r="Y185" i="23" s="1"/>
  <c r="W159" i="24"/>
  <c r="D159" i="24"/>
  <c r="E159" i="24" s="1"/>
  <c r="F159" i="24" s="1"/>
  <c r="B159" i="25"/>
  <c r="G99" i="23"/>
  <c r="CD99" i="6" s="1"/>
  <c r="AA99" i="23"/>
  <c r="Z99" i="23" s="1"/>
  <c r="Y99" i="23" s="1"/>
  <c r="W77" i="24"/>
  <c r="D77" i="24"/>
  <c r="E77" i="24" s="1"/>
  <c r="F77" i="24" s="1"/>
  <c r="B77" i="25"/>
  <c r="G37" i="23"/>
  <c r="CD37" i="6" s="1"/>
  <c r="AA37" i="23"/>
  <c r="Z37" i="23" s="1"/>
  <c r="Y37" i="23" s="1"/>
  <c r="W130" i="24"/>
  <c r="D130" i="24"/>
  <c r="E130" i="24" s="1"/>
  <c r="F130" i="24" s="1"/>
  <c r="B130" i="25"/>
  <c r="G244" i="23"/>
  <c r="CD244" i="6" s="1"/>
  <c r="AA244" i="23"/>
  <c r="Z244" i="23" s="1"/>
  <c r="Y244" i="23" s="1"/>
  <c r="W210" i="24"/>
  <c r="D210" i="24"/>
  <c r="E210" i="24" s="1"/>
  <c r="F210" i="24" s="1"/>
  <c r="B210" i="25"/>
  <c r="G189" i="24"/>
  <c r="CE189" i="6" s="1"/>
  <c r="AA189" i="24"/>
  <c r="Z189" i="24" s="1"/>
  <c r="Y189" i="24" s="1"/>
  <c r="W154" i="25"/>
  <c r="D154" i="25"/>
  <c r="E154" i="25" s="1"/>
  <c r="F154" i="25" s="1"/>
  <c r="G154" i="24"/>
  <c r="CE154" i="6" s="1"/>
  <c r="AA154" i="24"/>
  <c r="Z154" i="24" s="1"/>
  <c r="Y154" i="24" s="1"/>
  <c r="G194" i="24"/>
  <c r="CE194" i="6" s="1"/>
  <c r="AA194" i="24"/>
  <c r="Z194" i="24" s="1"/>
  <c r="Y194" i="24" s="1"/>
  <c r="W171" i="25"/>
  <c r="D171" i="25"/>
  <c r="E171" i="25" s="1"/>
  <c r="F171" i="25" s="1"/>
  <c r="G75" i="24"/>
  <c r="CE75" i="6" s="1"/>
  <c r="AA75" i="24"/>
  <c r="Z75" i="24" s="1"/>
  <c r="Y75" i="24" s="1"/>
  <c r="W261" i="25"/>
  <c r="D261" i="25"/>
  <c r="E261" i="25" s="1"/>
  <c r="F261" i="25" s="1"/>
  <c r="G74" i="24"/>
  <c r="CE74" i="6" s="1"/>
  <c r="AA74" i="24"/>
  <c r="Z74" i="24" s="1"/>
  <c r="Y74" i="24" s="1"/>
  <c r="W349" i="25"/>
  <c r="D349" i="25"/>
  <c r="E349" i="25" s="1"/>
  <c r="F349" i="25" s="1"/>
  <c r="W226" i="25"/>
  <c r="D226" i="25"/>
  <c r="E226" i="25" s="1"/>
  <c r="F226" i="25" s="1"/>
  <c r="G150" i="24"/>
  <c r="CE150" i="6" s="1"/>
  <c r="AA150" i="24"/>
  <c r="Z150" i="24" s="1"/>
  <c r="Y150" i="24" s="1"/>
  <c r="W29" i="25"/>
  <c r="D29" i="25"/>
  <c r="E29" i="25" s="1"/>
  <c r="F29" i="25" s="1"/>
  <c r="G29" i="24"/>
  <c r="CE29" i="6" s="1"/>
  <c r="AA29" i="24"/>
  <c r="Z29" i="24" s="1"/>
  <c r="Y29" i="24" s="1"/>
  <c r="BA295" i="6"/>
  <c r="H295" i="20"/>
  <c r="BA81" i="6"/>
  <c r="D81" i="6" s="1"/>
  <c r="H81" i="20"/>
  <c r="BA62" i="6"/>
  <c r="D62" i="6" s="1"/>
  <c r="H62" i="20"/>
  <c r="BA157" i="6"/>
  <c r="D157" i="6" s="1"/>
  <c r="H157" i="20"/>
  <c r="BA98" i="6"/>
  <c r="D98" i="6" s="1"/>
  <c r="H98" i="20"/>
  <c r="BA236" i="6"/>
  <c r="D236" i="6" s="1"/>
  <c r="H236" i="20"/>
  <c r="BA182" i="6"/>
  <c r="D182" i="6" s="1"/>
  <c r="H182" i="20"/>
  <c r="BA378" i="6"/>
  <c r="D378" i="6" s="1"/>
  <c r="H378" i="20"/>
  <c r="BA289" i="6"/>
  <c r="D289" i="6" s="1"/>
  <c r="H289" i="20"/>
  <c r="BA78" i="6"/>
  <c r="D78" i="6" s="1"/>
  <c r="H78" i="20"/>
  <c r="BA314" i="6"/>
  <c r="D314" i="6" s="1"/>
  <c r="H314" i="20"/>
  <c r="BA264" i="6"/>
  <c r="D264" i="6" s="1"/>
  <c r="H264" i="20"/>
  <c r="BA214" i="6"/>
  <c r="D214" i="6" s="1"/>
  <c r="H214" i="20"/>
  <c r="BA206" i="6"/>
  <c r="D206" i="6" s="1"/>
  <c r="H206" i="20"/>
  <c r="BA198" i="6"/>
  <c r="D198" i="6" s="1"/>
  <c r="H198" i="20"/>
  <c r="G186" i="22"/>
  <c r="CC186" i="6" s="1"/>
  <c r="AA186" i="22"/>
  <c r="Z186" i="22" s="1"/>
  <c r="Y186" i="22" s="1"/>
  <c r="G162" i="23"/>
  <c r="CD162" i="6" s="1"/>
  <c r="AA162" i="23"/>
  <c r="Z162" i="23" s="1"/>
  <c r="Y162" i="23" s="1"/>
  <c r="G156" i="23"/>
  <c r="CD156" i="6" s="1"/>
  <c r="AA156" i="23"/>
  <c r="Z156" i="23" s="1"/>
  <c r="Y156" i="23" s="1"/>
  <c r="G102" i="23"/>
  <c r="CD102" i="6" s="1"/>
  <c r="AA102" i="23"/>
  <c r="Z102" i="23" s="1"/>
  <c r="Y102" i="23" s="1"/>
  <c r="W72" i="24"/>
  <c r="D72" i="24"/>
  <c r="E72" i="24" s="1"/>
  <c r="F72" i="24" s="1"/>
  <c r="B72" i="25"/>
  <c r="G58" i="23"/>
  <c r="CD58" i="6" s="1"/>
  <c r="AA58" i="23"/>
  <c r="Z58" i="23" s="1"/>
  <c r="Y58" i="23" s="1"/>
  <c r="G44" i="23"/>
  <c r="CD44" i="6" s="1"/>
  <c r="AA44" i="23"/>
  <c r="Z44" i="23" s="1"/>
  <c r="Y44" i="23" s="1"/>
  <c r="W36" i="24"/>
  <c r="D36" i="24"/>
  <c r="E36" i="24" s="1"/>
  <c r="F36" i="24" s="1"/>
  <c r="B36" i="25"/>
  <c r="W24" i="24"/>
  <c r="D24" i="24"/>
  <c r="E24" i="24" s="1"/>
  <c r="F24" i="24" s="1"/>
  <c r="B24" i="25"/>
  <c r="W355" i="24"/>
  <c r="D355" i="24"/>
  <c r="E355" i="24" s="1"/>
  <c r="F355" i="24" s="1"/>
  <c r="B355" i="25"/>
  <c r="W345" i="24"/>
  <c r="D345" i="24"/>
  <c r="E345" i="24" s="1"/>
  <c r="F345" i="24" s="1"/>
  <c r="B345" i="25"/>
  <c r="BA329" i="6"/>
  <c r="D329" i="6" s="1"/>
  <c r="H329" i="20"/>
  <c r="G329" i="23"/>
  <c r="CD329" i="6" s="1"/>
  <c r="AA329" i="23"/>
  <c r="Z329" i="23" s="1"/>
  <c r="Y329" i="23" s="1"/>
  <c r="G297" i="23"/>
  <c r="CD297" i="6" s="1"/>
  <c r="AA297" i="23"/>
  <c r="Z297" i="23" s="1"/>
  <c r="Y297" i="23" s="1"/>
  <c r="D243" i="24"/>
  <c r="E243" i="24" s="1"/>
  <c r="F243" i="24" s="1"/>
  <c r="W243" i="24"/>
  <c r="B243" i="25"/>
  <c r="G237" i="23"/>
  <c r="CD237" i="6" s="1"/>
  <c r="AA237" i="23"/>
  <c r="Z237" i="23" s="1"/>
  <c r="Y237" i="23" s="1"/>
  <c r="BA217" i="6"/>
  <c r="D217" i="6" s="1"/>
  <c r="H217" i="20"/>
  <c r="G217" i="23"/>
  <c r="CD217" i="6" s="1"/>
  <c r="AA217" i="23"/>
  <c r="Z217" i="23" s="1"/>
  <c r="Y217" i="23" s="1"/>
  <c r="W199" i="24"/>
  <c r="D199" i="24"/>
  <c r="E199" i="24" s="1"/>
  <c r="F199" i="24" s="1"/>
  <c r="B199" i="25"/>
  <c r="G133" i="23"/>
  <c r="CD133" i="6" s="1"/>
  <c r="AA133" i="23"/>
  <c r="Z133" i="23" s="1"/>
  <c r="Y133" i="23" s="1"/>
  <c r="D121" i="24"/>
  <c r="E121" i="24" s="1"/>
  <c r="F121" i="24" s="1"/>
  <c r="W121" i="24"/>
  <c r="B121" i="25"/>
  <c r="G115" i="23"/>
  <c r="CD115" i="6" s="1"/>
  <c r="AA115" i="23"/>
  <c r="Z115" i="23" s="1"/>
  <c r="Y115" i="23" s="1"/>
  <c r="W109" i="24"/>
  <c r="D109" i="24"/>
  <c r="E109" i="24" s="1"/>
  <c r="F109" i="24" s="1"/>
  <c r="B109" i="25"/>
  <c r="W85" i="24"/>
  <c r="D85" i="24"/>
  <c r="E85" i="24" s="1"/>
  <c r="F85" i="24" s="1"/>
  <c r="B85" i="25"/>
  <c r="W51" i="24"/>
  <c r="D51" i="24"/>
  <c r="E51" i="24" s="1"/>
  <c r="F51" i="24" s="1"/>
  <c r="B51" i="25"/>
  <c r="W25" i="24"/>
  <c r="D25" i="24"/>
  <c r="E25" i="24" s="1"/>
  <c r="F25" i="24" s="1"/>
  <c r="B25" i="25"/>
  <c r="G370" i="23"/>
  <c r="CD370" i="6" s="1"/>
  <c r="AA370" i="23"/>
  <c r="Z370" i="23" s="1"/>
  <c r="Y370" i="23" s="1"/>
  <c r="G360" i="23"/>
  <c r="CD360" i="6" s="1"/>
  <c r="AA360" i="23"/>
  <c r="Z360" i="23" s="1"/>
  <c r="Y360" i="23" s="1"/>
  <c r="G344" i="23"/>
  <c r="CD344" i="6" s="1"/>
  <c r="AA344" i="23"/>
  <c r="Z344" i="23" s="1"/>
  <c r="Y344" i="23" s="1"/>
  <c r="W324" i="24"/>
  <c r="D324" i="24"/>
  <c r="E324" i="24" s="1"/>
  <c r="F324" i="24" s="1"/>
  <c r="B324" i="25"/>
  <c r="G304" i="23"/>
  <c r="CD304" i="6" s="1"/>
  <c r="AA304" i="23"/>
  <c r="Z304" i="23" s="1"/>
  <c r="Y304" i="23" s="1"/>
  <c r="D280" i="24"/>
  <c r="E280" i="24" s="1"/>
  <c r="F280" i="24" s="1"/>
  <c r="W280" i="24"/>
  <c r="B280" i="25"/>
  <c r="W262" i="24"/>
  <c r="D262" i="24"/>
  <c r="E262" i="24" s="1"/>
  <c r="F262" i="24" s="1"/>
  <c r="B262" i="25"/>
  <c r="AA238" i="23"/>
  <c r="Z238" i="23" s="1"/>
  <c r="Y238" i="23" s="1"/>
  <c r="G238" i="23"/>
  <c r="CD238" i="6" s="1"/>
  <c r="W202" i="24"/>
  <c r="D202" i="24"/>
  <c r="E202" i="24" s="1"/>
  <c r="F202" i="24" s="1"/>
  <c r="B202" i="25"/>
  <c r="G172" i="23"/>
  <c r="CD172" i="6" s="1"/>
  <c r="AA172" i="23"/>
  <c r="Z172" i="23" s="1"/>
  <c r="Y172" i="23" s="1"/>
  <c r="BA138" i="6"/>
  <c r="D138" i="6" s="1"/>
  <c r="H138" i="20"/>
  <c r="W138" i="24"/>
  <c r="D138" i="24"/>
  <c r="E138" i="24" s="1"/>
  <c r="F138" i="24" s="1"/>
  <c r="B138" i="25"/>
  <c r="W122" i="24"/>
  <c r="D122" i="24"/>
  <c r="E122" i="24" s="1"/>
  <c r="F122" i="24" s="1"/>
  <c r="B122" i="25"/>
  <c r="BA28" i="6"/>
  <c r="D28" i="6" s="1"/>
  <c r="H28" i="20"/>
  <c r="G28" i="23"/>
  <c r="CD28" i="6" s="1"/>
  <c r="AA28" i="23"/>
  <c r="Z28" i="23" s="1"/>
  <c r="Y28" i="23" s="1"/>
  <c r="W18" i="24"/>
  <c r="D18" i="24"/>
  <c r="E18" i="24" s="1"/>
  <c r="F18" i="24" s="1"/>
  <c r="B18" i="25"/>
  <c r="G288" i="23"/>
  <c r="CD288" i="6" s="1"/>
  <c r="AA288" i="23"/>
  <c r="Z288" i="23" s="1"/>
  <c r="Y288" i="23" s="1"/>
  <c r="W191" i="24"/>
  <c r="D191" i="24"/>
  <c r="E191" i="24" s="1"/>
  <c r="F191" i="24" s="1"/>
  <c r="B191" i="25"/>
  <c r="G143" i="23"/>
  <c r="CD143" i="6" s="1"/>
  <c r="AA143" i="23"/>
  <c r="Z143" i="23" s="1"/>
  <c r="Y143" i="23" s="1"/>
  <c r="G65" i="23"/>
  <c r="CD65" i="6" s="1"/>
  <c r="AA65" i="23"/>
  <c r="Z65" i="23" s="1"/>
  <c r="Y65" i="23" s="1"/>
  <c r="W372" i="24"/>
  <c r="D372" i="24"/>
  <c r="E372" i="24" s="1"/>
  <c r="F372" i="24" s="1"/>
  <c r="B372" i="25"/>
  <c r="W326" i="23"/>
  <c r="D326" i="23"/>
  <c r="E326" i="23" s="1"/>
  <c r="F326" i="23" s="1"/>
  <c r="B326" i="24"/>
  <c r="BA294" i="6"/>
  <c r="D294" i="6" s="1"/>
  <c r="H294" i="20"/>
  <c r="G250" i="22"/>
  <c r="CC250" i="6" s="1"/>
  <c r="AA250" i="22"/>
  <c r="Z250" i="22" s="1"/>
  <c r="Y250" i="22" s="1"/>
  <c r="W188" i="23"/>
  <c r="D188" i="23"/>
  <c r="E188" i="23" s="1"/>
  <c r="F188" i="23" s="1"/>
  <c r="B188" i="24"/>
  <c r="G126" i="22"/>
  <c r="CC126" i="6" s="1"/>
  <c r="AA126" i="22"/>
  <c r="Z126" i="22" s="1"/>
  <c r="Y126" i="22" s="1"/>
  <c r="W96" i="23"/>
  <c r="D96" i="23"/>
  <c r="E96" i="23" s="1"/>
  <c r="F96" i="23" s="1"/>
  <c r="B96" i="24"/>
  <c r="W34" i="23"/>
  <c r="D34" i="23"/>
  <c r="E34" i="23" s="1"/>
  <c r="F34" i="23" s="1"/>
  <c r="B34" i="24"/>
  <c r="G34" i="22"/>
  <c r="CC34" i="6" s="1"/>
  <c r="AA34" i="22"/>
  <c r="Z34" i="22" s="1"/>
  <c r="Y34" i="22" s="1"/>
  <c r="W327" i="23"/>
  <c r="D327" i="23"/>
  <c r="E327" i="23" s="1"/>
  <c r="F327" i="23" s="1"/>
  <c r="B327" i="24"/>
  <c r="H293" i="20"/>
  <c r="W285" i="23"/>
  <c r="D285" i="23"/>
  <c r="E285" i="23" s="1"/>
  <c r="F285" i="23" s="1"/>
  <c r="B285" i="24"/>
  <c r="G285" i="22"/>
  <c r="CC285" i="6" s="1"/>
  <c r="AA285" i="22"/>
  <c r="Z285" i="22" s="1"/>
  <c r="Y285" i="22" s="1"/>
  <c r="BA221" i="6"/>
  <c r="D221" i="6" s="1"/>
  <c r="H221" i="20"/>
  <c r="BA131" i="6"/>
  <c r="D131" i="6" s="1"/>
  <c r="H131" i="20"/>
  <c r="BA93" i="6"/>
  <c r="D93" i="6" s="1"/>
  <c r="H93" i="20"/>
  <c r="BA69" i="6"/>
  <c r="D69" i="6" s="1"/>
  <c r="H69" i="20"/>
  <c r="G23" i="22"/>
  <c r="CC23" i="6" s="1"/>
  <c r="AA23" i="22"/>
  <c r="Z23" i="22" s="1"/>
  <c r="Y23" i="22" s="1"/>
  <c r="BA320" i="6"/>
  <c r="D320" i="6" s="1"/>
  <c r="H320" i="20"/>
  <c r="BA276" i="6"/>
  <c r="D276" i="6" s="1"/>
  <c r="H276" i="20"/>
  <c r="BA270" i="6"/>
  <c r="D270" i="6" s="1"/>
  <c r="H270" i="20"/>
  <c r="BA260" i="6"/>
  <c r="D260" i="6" s="1"/>
  <c r="H260" i="20"/>
  <c r="BA220" i="6"/>
  <c r="D220" i="6" s="1"/>
  <c r="H220" i="20"/>
  <c r="BA140" i="6"/>
  <c r="D140" i="6" s="1"/>
  <c r="H140" i="20"/>
  <c r="BA110" i="6"/>
  <c r="D110" i="6" s="1"/>
  <c r="H110" i="20"/>
  <c r="BA104" i="6"/>
  <c r="D104" i="6" s="1"/>
  <c r="H104" i="20"/>
  <c r="BA84" i="6"/>
  <c r="D84" i="6" s="1"/>
  <c r="H84" i="20"/>
  <c r="BA42" i="6"/>
  <c r="D42" i="6" s="1"/>
  <c r="H42" i="20"/>
  <c r="BA210" i="6"/>
  <c r="D210" i="6" s="1"/>
  <c r="H210" i="20"/>
  <c r="BA43" i="6"/>
  <c r="H43" i="20"/>
  <c r="BA319" i="6"/>
  <c r="D319" i="6" s="1"/>
  <c r="H319" i="20"/>
  <c r="G196" i="22"/>
  <c r="CC196" i="6" s="1"/>
  <c r="AA196" i="22"/>
  <c r="Z196" i="22" s="1"/>
  <c r="Y196" i="22" s="1"/>
  <c r="F11" i="17"/>
  <c r="G38" i="19" s="1"/>
  <c r="AB9" i="17"/>
  <c r="G14" i="19"/>
  <c r="J38" i="19" s="1"/>
  <c r="G381" i="17"/>
  <c r="G382" i="17"/>
  <c r="G383" i="17"/>
  <c r="G12" i="17" s="1"/>
  <c r="W373" i="24"/>
  <c r="D373" i="24"/>
  <c r="E373" i="24" s="1"/>
  <c r="F373" i="24" s="1"/>
  <c r="B373" i="25"/>
  <c r="G325" i="23"/>
  <c r="CD325" i="6" s="1"/>
  <c r="AA325" i="23"/>
  <c r="Z325" i="23" s="1"/>
  <c r="Y325" i="23" s="1"/>
  <c r="W277" i="24"/>
  <c r="D277" i="24"/>
  <c r="E277" i="24" s="1"/>
  <c r="F277" i="24" s="1"/>
  <c r="B277" i="25"/>
  <c r="G245" i="23"/>
  <c r="CD245" i="6" s="1"/>
  <c r="AA245" i="23"/>
  <c r="Z245" i="23" s="1"/>
  <c r="Y245" i="23" s="1"/>
  <c r="G203" i="23"/>
  <c r="CD203" i="6" s="1"/>
  <c r="AA203" i="23"/>
  <c r="Z203" i="23" s="1"/>
  <c r="Y203" i="23" s="1"/>
  <c r="G169" i="23"/>
  <c r="CD169" i="6" s="1"/>
  <c r="AA169" i="23"/>
  <c r="Z169" i="23" s="1"/>
  <c r="Y169" i="23" s="1"/>
  <c r="G139" i="23"/>
  <c r="CD139" i="6" s="1"/>
  <c r="AA139" i="23"/>
  <c r="Z139" i="23" s="1"/>
  <c r="Y139" i="23" s="1"/>
  <c r="W53" i="24"/>
  <c r="D53" i="24"/>
  <c r="E53" i="24" s="1"/>
  <c r="F53" i="24" s="1"/>
  <c r="B53" i="25"/>
  <c r="W369" i="24"/>
  <c r="D369" i="24"/>
  <c r="E369" i="24" s="1"/>
  <c r="F369" i="24" s="1"/>
  <c r="B369" i="25"/>
  <c r="AA347" i="23"/>
  <c r="Z347" i="23" s="1"/>
  <c r="Y347" i="23" s="1"/>
  <c r="G347" i="23"/>
  <c r="CD347" i="6" s="1"/>
  <c r="W376" i="24"/>
  <c r="D376" i="24"/>
  <c r="E376" i="24" s="1"/>
  <c r="F376" i="24" s="1"/>
  <c r="B376" i="25"/>
  <c r="G368" i="23"/>
  <c r="CD368" i="6" s="1"/>
  <c r="AA368" i="23"/>
  <c r="Z368" i="23" s="1"/>
  <c r="Y368" i="23" s="1"/>
  <c r="W272" i="25"/>
  <c r="D272" i="25"/>
  <c r="E272" i="25" s="1"/>
  <c r="F272" i="25" s="1"/>
  <c r="G272" i="24"/>
  <c r="CE272" i="6" s="1"/>
  <c r="AA272" i="24"/>
  <c r="Z272" i="24" s="1"/>
  <c r="Y272" i="24" s="1"/>
  <c r="G346" i="24"/>
  <c r="CE346" i="6" s="1"/>
  <c r="AA346" i="24"/>
  <c r="Z346" i="24" s="1"/>
  <c r="Y346" i="24" s="1"/>
  <c r="W283" i="25"/>
  <c r="D283" i="25"/>
  <c r="E283" i="25" s="1"/>
  <c r="F283" i="25" s="1"/>
  <c r="G248" i="24"/>
  <c r="CE248" i="6" s="1"/>
  <c r="AA248" i="24"/>
  <c r="Z248" i="24" s="1"/>
  <c r="Y248" i="24" s="1"/>
  <c r="W22" i="25"/>
  <c r="D22" i="25"/>
  <c r="E22" i="25" s="1"/>
  <c r="F22" i="25" s="1"/>
  <c r="G46" i="24"/>
  <c r="CE46" i="6" s="1"/>
  <c r="AA46" i="24"/>
  <c r="Z46" i="24" s="1"/>
  <c r="Y46" i="24" s="1"/>
  <c r="W298" i="24"/>
  <c r="D298" i="24"/>
  <c r="E298" i="24" s="1"/>
  <c r="F298" i="24" s="1"/>
  <c r="B298" i="25"/>
  <c r="G316" i="23"/>
  <c r="CD316" i="6" s="1"/>
  <c r="AA316" i="23"/>
  <c r="Z316" i="23" s="1"/>
  <c r="Y316" i="23" s="1"/>
  <c r="W149" i="24"/>
  <c r="D149" i="24"/>
  <c r="E149" i="24" s="1"/>
  <c r="F149" i="24" s="1"/>
  <c r="B149" i="25"/>
  <c r="G333" i="23"/>
  <c r="CD333" i="6" s="1"/>
  <c r="AA333" i="23"/>
  <c r="Z333" i="23" s="1"/>
  <c r="Y333" i="23" s="1"/>
  <c r="G132" i="22"/>
  <c r="CC132" i="6" s="1"/>
  <c r="AA132" i="22"/>
  <c r="Z132" i="22" s="1"/>
  <c r="Y132" i="22" s="1"/>
  <c r="G153" i="22"/>
  <c r="CC153" i="6" s="1"/>
  <c r="AA153" i="22"/>
  <c r="Z153" i="22" s="1"/>
  <c r="Y153" i="22" s="1"/>
  <c r="G251" i="22"/>
  <c r="CC251" i="6" s="1"/>
  <c r="AA251" i="22"/>
  <c r="Z251" i="22" s="1"/>
  <c r="Y251" i="22" s="1"/>
  <c r="G235" i="22"/>
  <c r="CC235" i="6" s="1"/>
  <c r="AA235" i="22"/>
  <c r="Z235" i="22" s="1"/>
  <c r="Y235" i="22" s="1"/>
  <c r="G103" i="22"/>
  <c r="CC103" i="6" s="1"/>
  <c r="AA103" i="22"/>
  <c r="Z103" i="22" s="1"/>
  <c r="Y103" i="22" s="1"/>
  <c r="G52" i="22"/>
  <c r="CC52" i="6" s="1"/>
  <c r="AA52" i="22"/>
  <c r="Z52" i="22" s="1"/>
  <c r="Y52" i="22" s="1"/>
  <c r="G152" i="22"/>
  <c r="CC152" i="6" s="1"/>
  <c r="AA152" i="22"/>
  <c r="Z152" i="22" s="1"/>
  <c r="Y152" i="22" s="1"/>
  <c r="G305" i="22"/>
  <c r="CC305" i="6" s="1"/>
  <c r="AA305" i="22"/>
  <c r="Z305" i="22" s="1"/>
  <c r="Y305" i="22" s="1"/>
  <c r="G252" i="22"/>
  <c r="CC252" i="6" s="1"/>
  <c r="AA252" i="22"/>
  <c r="Z252" i="22" s="1"/>
  <c r="Y252" i="22" s="1"/>
  <c r="G204" i="22"/>
  <c r="CC204" i="6" s="1"/>
  <c r="AA204" i="22"/>
  <c r="Z204" i="22" s="1"/>
  <c r="Y204" i="22" s="1"/>
  <c r="G222" i="22"/>
  <c r="CC222" i="6" s="1"/>
  <c r="AA222" i="22"/>
  <c r="Z222" i="22" s="1"/>
  <c r="Y222" i="22" s="1"/>
  <c r="W380" i="22"/>
  <c r="D380" i="22"/>
  <c r="E380" i="22" s="1"/>
  <c r="F380" i="22" s="1"/>
  <c r="W342" i="23"/>
  <c r="D342" i="23"/>
  <c r="E342" i="23" s="1"/>
  <c r="F342" i="23" s="1"/>
  <c r="B342" i="24"/>
  <c r="W312" i="23"/>
  <c r="D312" i="23"/>
  <c r="E312" i="23" s="1"/>
  <c r="F312" i="23" s="1"/>
  <c r="B312" i="24"/>
  <c r="W242" i="23"/>
  <c r="D242" i="23"/>
  <c r="E242" i="23" s="1"/>
  <c r="F242" i="23" s="1"/>
  <c r="B242" i="24"/>
  <c r="W212" i="23"/>
  <c r="D212" i="23"/>
  <c r="E212" i="23" s="1"/>
  <c r="F212" i="23" s="1"/>
  <c r="B212" i="24"/>
  <c r="BA190" i="6"/>
  <c r="D190" i="6" s="1"/>
  <c r="H190" i="20"/>
  <c r="W168" i="23"/>
  <c r="D168" i="23"/>
  <c r="E168" i="23" s="1"/>
  <c r="F168" i="23" s="1"/>
  <c r="B168" i="24"/>
  <c r="W134" i="23"/>
  <c r="D134" i="23"/>
  <c r="E134" i="23" s="1"/>
  <c r="F134" i="23" s="1"/>
  <c r="B134" i="24"/>
  <c r="G68" i="22"/>
  <c r="CC68" i="6" s="1"/>
  <c r="AA68" i="22"/>
  <c r="Z68" i="22" s="1"/>
  <c r="Y68" i="22" s="1"/>
  <c r="G40" i="22"/>
  <c r="CC40" i="6" s="1"/>
  <c r="AA40" i="22"/>
  <c r="Z40" i="22" s="1"/>
  <c r="Y40" i="22" s="1"/>
  <c r="G377" i="22"/>
  <c r="CC377" i="6" s="1"/>
  <c r="AA377" i="22"/>
  <c r="Z377" i="22" s="1"/>
  <c r="Y377" i="22" s="1"/>
  <c r="G343" i="22"/>
  <c r="CC343" i="6" s="1"/>
  <c r="AA343" i="22"/>
  <c r="Z343" i="22" s="1"/>
  <c r="Y343" i="22" s="1"/>
  <c r="G279" i="22"/>
  <c r="CC279" i="6" s="1"/>
  <c r="AA279" i="22"/>
  <c r="Z279" i="22" s="1"/>
  <c r="Y279" i="22" s="1"/>
  <c r="G225" i="22"/>
  <c r="CC225" i="6" s="1"/>
  <c r="AA225" i="22"/>
  <c r="Z225" i="22" s="1"/>
  <c r="Y225" i="22" s="1"/>
  <c r="G165" i="22"/>
  <c r="CC165" i="6" s="1"/>
  <c r="AA165" i="22"/>
  <c r="Z165" i="22" s="1"/>
  <c r="Y165" i="22" s="1"/>
  <c r="G117" i="22"/>
  <c r="CC117" i="6" s="1"/>
  <c r="AA117" i="22"/>
  <c r="Z117" i="22" s="1"/>
  <c r="Y117" i="22" s="1"/>
  <c r="G91" i="22"/>
  <c r="CC91" i="6" s="1"/>
  <c r="AA91" i="22"/>
  <c r="Z91" i="22" s="1"/>
  <c r="Y91" i="22" s="1"/>
  <c r="G41" i="22"/>
  <c r="CC41" i="6" s="1"/>
  <c r="AA41" i="22"/>
  <c r="Z41" i="22" s="1"/>
  <c r="Y41" i="22" s="1"/>
  <c r="G364" i="22"/>
  <c r="CC364" i="6" s="1"/>
  <c r="AA364" i="22"/>
  <c r="Z364" i="22" s="1"/>
  <c r="Y364" i="22" s="1"/>
  <c r="G330" i="22"/>
  <c r="CC330" i="6" s="1"/>
  <c r="AA330" i="22"/>
  <c r="Z330" i="22" s="1"/>
  <c r="Y330" i="22" s="1"/>
  <c r="J322" i="20"/>
  <c r="I322" i="20"/>
  <c r="H322" i="22" s="1"/>
  <c r="G292" i="22"/>
  <c r="CC292" i="6" s="1"/>
  <c r="AA292" i="22"/>
  <c r="Z292" i="22" s="1"/>
  <c r="Y292" i="22" s="1"/>
  <c r="H266" i="20"/>
  <c r="G256" i="22"/>
  <c r="CC256" i="6" s="1"/>
  <c r="AA256" i="22"/>
  <c r="Z256" i="22" s="1"/>
  <c r="Y256" i="22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H27" i="20"/>
  <c r="W27" i="23"/>
  <c r="D27" i="23"/>
  <c r="E27" i="23" s="1"/>
  <c r="F27" i="23" s="1"/>
  <c r="B27" i="24"/>
  <c r="D225" i="6"/>
  <c r="D113" i="6"/>
  <c r="H313" i="20"/>
  <c r="H269" i="20"/>
  <c r="H231" i="20"/>
  <c r="W193" i="23"/>
  <c r="D193" i="23"/>
  <c r="E193" i="23" s="1"/>
  <c r="F193" i="23" s="1"/>
  <c r="B193" i="24"/>
  <c r="G193" i="22"/>
  <c r="CC193" i="6" s="1"/>
  <c r="AA193" i="22"/>
  <c r="Z193" i="22" s="1"/>
  <c r="Y193" i="22" s="1"/>
  <c r="G151" i="22"/>
  <c r="CC151" i="6" s="1"/>
  <c r="AA151" i="22"/>
  <c r="Z151" i="22" s="1"/>
  <c r="Y151" i="22" s="1"/>
  <c r="W107" i="23"/>
  <c r="D107" i="23"/>
  <c r="E107" i="23" s="1"/>
  <c r="F107" i="23" s="1"/>
  <c r="B107" i="24"/>
  <c r="G39" i="22"/>
  <c r="CC39" i="6" s="1"/>
  <c r="AA39" i="22"/>
  <c r="Z39" i="22" s="1"/>
  <c r="Y39" i="22" s="1"/>
  <c r="W348" i="23"/>
  <c r="D348" i="23"/>
  <c r="E348" i="23" s="1"/>
  <c r="F348" i="23" s="1"/>
  <c r="B348" i="24"/>
  <c r="G296" i="22"/>
  <c r="CC296" i="6" s="1"/>
  <c r="AA296" i="22"/>
  <c r="Z296" i="22" s="1"/>
  <c r="Y296" i="22" s="1"/>
  <c r="BA228" i="6"/>
  <c r="D228" i="6" s="1"/>
  <c r="H228" i="20"/>
  <c r="W218" i="23"/>
  <c r="D218" i="23"/>
  <c r="E218" i="23" s="1"/>
  <c r="F218" i="23" s="1"/>
  <c r="B218" i="24"/>
  <c r="G144" i="22"/>
  <c r="CC144" i="6" s="1"/>
  <c r="AA144" i="22"/>
  <c r="Z144" i="22" s="1"/>
  <c r="Y144" i="22" s="1"/>
  <c r="W112" i="23"/>
  <c r="D112" i="23"/>
  <c r="E112" i="23" s="1"/>
  <c r="F112" i="23" s="1"/>
  <c r="B112" i="24"/>
  <c r="G94" i="23"/>
  <c r="CD94" i="6" s="1"/>
  <c r="AA94" i="23"/>
  <c r="Z94" i="23" s="1"/>
  <c r="Y94" i="23" s="1"/>
  <c r="W80" i="24"/>
  <c r="D80" i="24"/>
  <c r="E80" i="24" s="1"/>
  <c r="F80" i="24" s="1"/>
  <c r="B80" i="25"/>
  <c r="W233" i="23"/>
  <c r="D233" i="23"/>
  <c r="E233" i="23" s="1"/>
  <c r="F233" i="23" s="1"/>
  <c r="B233" i="24"/>
  <c r="W201" i="23"/>
  <c r="D201" i="23"/>
  <c r="E201" i="23" s="1"/>
  <c r="F201" i="23" s="1"/>
  <c r="B201" i="24"/>
  <c r="W145" i="23"/>
  <c r="D145" i="23"/>
  <c r="E145" i="23" s="1"/>
  <c r="F145" i="23" s="1"/>
  <c r="B145" i="24"/>
  <c r="W87" i="23"/>
  <c r="D87" i="23"/>
  <c r="E87" i="23" s="1"/>
  <c r="F87" i="23" s="1"/>
  <c r="B87" i="24"/>
  <c r="G49" i="22"/>
  <c r="CC49" i="6" s="1"/>
  <c r="AA49" i="22"/>
  <c r="Z49" i="22" s="1"/>
  <c r="Y49" i="22" s="1"/>
  <c r="G31" i="22"/>
  <c r="CC31" i="6" s="1"/>
  <c r="AA31" i="22"/>
  <c r="Z31" i="22" s="1"/>
  <c r="Y31" i="22" s="1"/>
  <c r="G352" i="22"/>
  <c r="CC352" i="6" s="1"/>
  <c r="AA352" i="22"/>
  <c r="Z352" i="22" s="1"/>
  <c r="Y352" i="22" s="1"/>
  <c r="G318" i="22"/>
  <c r="CC318" i="6" s="1"/>
  <c r="AA318" i="22"/>
  <c r="Z318" i="22" s="1"/>
  <c r="Y318" i="22" s="1"/>
  <c r="G274" i="22"/>
  <c r="CC274" i="6" s="1"/>
  <c r="AA274" i="22"/>
  <c r="Z274" i="22" s="1"/>
  <c r="Y274" i="22" s="1"/>
  <c r="G254" i="22"/>
  <c r="CC254" i="6" s="1"/>
  <c r="AA254" i="22"/>
  <c r="Z254" i="22" s="1"/>
  <c r="Y254" i="22" s="1"/>
  <c r="G178" i="22"/>
  <c r="CC178" i="6" s="1"/>
  <c r="AA178" i="22"/>
  <c r="Z178" i="22" s="1"/>
  <c r="Y178" i="22" s="1"/>
  <c r="G136" i="22"/>
  <c r="CC136" i="6" s="1"/>
  <c r="AA136" i="22"/>
  <c r="Z136" i="22" s="1"/>
  <c r="Y136" i="22" s="1"/>
  <c r="G106" i="22"/>
  <c r="CC106" i="6" s="1"/>
  <c r="AA106" i="22"/>
  <c r="Z106" i="22" s="1"/>
  <c r="Y106" i="22" s="1"/>
  <c r="G70" i="22"/>
  <c r="CC70" i="6" s="1"/>
  <c r="AA70" i="22"/>
  <c r="Z70" i="22" s="1"/>
  <c r="Y70" i="22" s="1"/>
  <c r="BA77" i="6"/>
  <c r="D77" i="6" s="1"/>
  <c r="H77" i="20"/>
  <c r="BA363" i="6"/>
  <c r="D363" i="6" s="1"/>
  <c r="H363" i="20"/>
  <c r="B382" i="22"/>
  <c r="H9" i="23"/>
  <c r="E15" i="23"/>
  <c r="AJ6" i="23"/>
  <c r="B381" i="23"/>
  <c r="AK6" i="23"/>
  <c r="BA171" i="6"/>
  <c r="D171" i="6" s="1"/>
  <c r="H171" i="20"/>
  <c r="E11" i="20"/>
  <c r="F40" i="19" s="1"/>
  <c r="W241" i="25"/>
  <c r="D241" i="25"/>
  <c r="E241" i="25" s="1"/>
  <c r="F241" i="25" s="1"/>
  <c r="G367" i="24"/>
  <c r="CE367" i="6" s="1"/>
  <c r="AA367" i="24"/>
  <c r="Z367" i="24" s="1"/>
  <c r="Y367" i="24" s="1"/>
  <c r="W335" i="25"/>
  <c r="D335" i="25"/>
  <c r="E335" i="25" s="1"/>
  <c r="F335" i="25" s="1"/>
  <c r="AA135" i="24"/>
  <c r="Z135" i="24" s="1"/>
  <c r="Y135" i="24" s="1"/>
  <c r="G135" i="24"/>
  <c r="CE135" i="6" s="1"/>
  <c r="W278" i="24"/>
  <c r="D278" i="24"/>
  <c r="E278" i="24" s="1"/>
  <c r="F278" i="24" s="1"/>
  <c r="B278" i="25"/>
  <c r="AA111" i="23"/>
  <c r="Z111" i="23" s="1"/>
  <c r="Y111" i="23" s="1"/>
  <c r="G111" i="23"/>
  <c r="CD111" i="6" s="1"/>
  <c r="W17" i="24"/>
  <c r="D17" i="24"/>
  <c r="E17" i="24" s="1"/>
  <c r="F17" i="24" s="1"/>
  <c r="B17" i="25"/>
  <c r="AA319" i="23"/>
  <c r="Z319" i="23" s="1"/>
  <c r="Y319" i="23" s="1"/>
  <c r="G319" i="23"/>
  <c r="CD319" i="6" s="1"/>
  <c r="D166" i="24"/>
  <c r="E166" i="24" s="1"/>
  <c r="F166" i="24" s="1"/>
  <c r="W166" i="24"/>
  <c r="B166" i="25"/>
  <c r="G177" i="23"/>
  <c r="CD177" i="6" s="1"/>
  <c r="AA177" i="23"/>
  <c r="Z177" i="23" s="1"/>
  <c r="Y177" i="23" s="1"/>
  <c r="W187" i="25"/>
  <c r="D187" i="25"/>
  <c r="E187" i="25" s="1"/>
  <c r="F187" i="25" s="1"/>
  <c r="AA365" i="24"/>
  <c r="Z365" i="24" s="1"/>
  <c r="Y365" i="24" s="1"/>
  <c r="G365" i="24"/>
  <c r="CE365" i="6" s="1"/>
  <c r="W60" i="25"/>
  <c r="D60" i="25"/>
  <c r="E60" i="25" s="1"/>
  <c r="F60" i="25" s="1"/>
  <c r="AA180" i="24"/>
  <c r="Z180" i="24" s="1"/>
  <c r="Y180" i="24" s="1"/>
  <c r="G180" i="24"/>
  <c r="CE180" i="6" s="1"/>
  <c r="AA383" i="18"/>
  <c r="AA381" i="18"/>
  <c r="Z15" i="18"/>
  <c r="AL7" i="18" s="1"/>
  <c r="AL10" i="18"/>
  <c r="AA382" i="18"/>
  <c r="AM8" i="18"/>
  <c r="AA9" i="18"/>
  <c r="G15" i="19"/>
  <c r="J39" i="19" s="1"/>
  <c r="F11" i="18"/>
  <c r="G39" i="19" s="1"/>
  <c r="AB9" i="18"/>
  <c r="W232" i="24"/>
  <c r="D232" i="24"/>
  <c r="E232" i="24" s="1"/>
  <c r="F232" i="24" s="1"/>
  <c r="B232" i="25"/>
  <c r="W76" i="24"/>
  <c r="D76" i="24"/>
  <c r="E76" i="24" s="1"/>
  <c r="F76" i="24" s="1"/>
  <c r="B76" i="25"/>
  <c r="W295" i="24"/>
  <c r="D295" i="24"/>
  <c r="E295" i="24" s="1"/>
  <c r="F295" i="24" s="1"/>
  <c r="B295" i="25"/>
  <c r="G81" i="23"/>
  <c r="CD81" i="6" s="1"/>
  <c r="AA81" i="23"/>
  <c r="Z81" i="23" s="1"/>
  <c r="Y81" i="23" s="1"/>
  <c r="G62" i="23"/>
  <c r="CD62" i="6" s="1"/>
  <c r="AA62" i="23"/>
  <c r="Z62" i="23" s="1"/>
  <c r="Y62" i="23" s="1"/>
  <c r="G73" i="23"/>
  <c r="CD73" i="6" s="1"/>
  <c r="AA73" i="23"/>
  <c r="Z73" i="23" s="1"/>
  <c r="Y73" i="23" s="1"/>
  <c r="G309" i="23"/>
  <c r="CD309" i="6" s="1"/>
  <c r="AA309" i="23"/>
  <c r="Z309" i="23" s="1"/>
  <c r="Y309" i="23" s="1"/>
  <c r="W332" i="24"/>
  <c r="D332" i="24"/>
  <c r="E332" i="24" s="1"/>
  <c r="F332" i="24" s="1"/>
  <c r="B332" i="25"/>
  <c r="G125" i="23"/>
  <c r="CD125" i="6" s="1"/>
  <c r="AA125" i="23"/>
  <c r="Z125" i="23" s="1"/>
  <c r="Y125" i="23" s="1"/>
  <c r="G321" i="23"/>
  <c r="CD321" i="6" s="1"/>
  <c r="AA321" i="23"/>
  <c r="Z321" i="23" s="1"/>
  <c r="Y321" i="23" s="1"/>
  <c r="W157" i="24"/>
  <c r="D157" i="24"/>
  <c r="E157" i="24" s="1"/>
  <c r="F157" i="24" s="1"/>
  <c r="B157" i="25"/>
  <c r="W163" i="24"/>
  <c r="D163" i="24"/>
  <c r="E163" i="24" s="1"/>
  <c r="F163" i="24" s="1"/>
  <c r="B163" i="25"/>
  <c r="W374" i="24"/>
  <c r="D374" i="24"/>
  <c r="E374" i="24" s="1"/>
  <c r="F374" i="24" s="1"/>
  <c r="B374" i="25"/>
  <c r="G98" i="23"/>
  <c r="CD98" i="6" s="1"/>
  <c r="AA98" i="23"/>
  <c r="Z98" i="23" s="1"/>
  <c r="Y98" i="23" s="1"/>
  <c r="G311" i="23"/>
  <c r="CD311" i="6" s="1"/>
  <c r="AA311" i="23"/>
  <c r="Z311" i="23" s="1"/>
  <c r="Y311" i="23" s="1"/>
  <c r="W236" i="24"/>
  <c r="D236" i="24"/>
  <c r="E236" i="24" s="1"/>
  <c r="F236" i="24" s="1"/>
  <c r="B236" i="25"/>
  <c r="BA310" i="6"/>
  <c r="D310" i="6" s="1"/>
  <c r="H310" i="20"/>
  <c r="G310" i="23"/>
  <c r="CD310" i="6" s="1"/>
  <c r="AA310" i="23"/>
  <c r="Z310" i="23" s="1"/>
  <c r="Y310" i="23" s="1"/>
  <c r="W182" i="24"/>
  <c r="D182" i="24"/>
  <c r="E182" i="24" s="1"/>
  <c r="F182" i="24" s="1"/>
  <c r="B182" i="25"/>
  <c r="D378" i="24"/>
  <c r="E378" i="24" s="1"/>
  <c r="F378" i="24" s="1"/>
  <c r="W378" i="24"/>
  <c r="B378" i="25"/>
  <c r="G289" i="23"/>
  <c r="CD289" i="6" s="1"/>
  <c r="AA289" i="23"/>
  <c r="Z289" i="23" s="1"/>
  <c r="Y289" i="23" s="1"/>
  <c r="D90" i="24"/>
  <c r="E90" i="24" s="1"/>
  <c r="F90" i="24" s="1"/>
  <c r="W90" i="24"/>
  <c r="B90" i="25"/>
  <c r="W78" i="24"/>
  <c r="D78" i="24"/>
  <c r="E78" i="24" s="1"/>
  <c r="F78" i="24" s="1"/>
  <c r="B78" i="25"/>
  <c r="W137" i="24"/>
  <c r="D137" i="24"/>
  <c r="E137" i="24" s="1"/>
  <c r="F137" i="24" s="1"/>
  <c r="B137" i="25"/>
  <c r="W362" i="24"/>
  <c r="D362" i="24"/>
  <c r="E362" i="24" s="1"/>
  <c r="F362" i="24" s="1"/>
  <c r="B362" i="25"/>
  <c r="AA356" i="23"/>
  <c r="Z356" i="23" s="1"/>
  <c r="Y356" i="23" s="1"/>
  <c r="G356" i="23"/>
  <c r="CD356" i="6" s="1"/>
  <c r="W340" i="24"/>
  <c r="D340" i="24"/>
  <c r="E340" i="24" s="1"/>
  <c r="F340" i="24" s="1"/>
  <c r="B340" i="25"/>
  <c r="G314" i="23"/>
  <c r="CD314" i="6" s="1"/>
  <c r="AA314" i="23"/>
  <c r="Z314" i="23" s="1"/>
  <c r="Y314" i="23" s="1"/>
  <c r="G290" i="23"/>
  <c r="CD290" i="6" s="1"/>
  <c r="AA290" i="23"/>
  <c r="Z290" i="23" s="1"/>
  <c r="Y290" i="23" s="1"/>
  <c r="W264" i="24"/>
  <c r="D264" i="24"/>
  <c r="E264" i="24" s="1"/>
  <c r="F264" i="24" s="1"/>
  <c r="B264" i="25"/>
  <c r="BA240" i="6"/>
  <c r="D240" i="6" s="1"/>
  <c r="H240" i="20"/>
  <c r="W240" i="24"/>
  <c r="D240" i="24"/>
  <c r="E240" i="24" s="1"/>
  <c r="F240" i="24" s="1"/>
  <c r="B240" i="25"/>
  <c r="W214" i="24"/>
  <c r="D214" i="24"/>
  <c r="E214" i="24" s="1"/>
  <c r="F214" i="24" s="1"/>
  <c r="B214" i="25"/>
  <c r="G206" i="23"/>
  <c r="CD206" i="6" s="1"/>
  <c r="AA206" i="23"/>
  <c r="Z206" i="23" s="1"/>
  <c r="Y206" i="23" s="1"/>
  <c r="G198" i="23"/>
  <c r="CD198" i="6" s="1"/>
  <c r="AA198" i="23"/>
  <c r="Z198" i="23" s="1"/>
  <c r="Y198" i="23" s="1"/>
  <c r="BA162" i="6"/>
  <c r="D162" i="6" s="1"/>
  <c r="H162" i="20"/>
  <c r="BA156" i="6"/>
  <c r="D156" i="6" s="1"/>
  <c r="H156" i="20"/>
  <c r="BA72" i="6"/>
  <c r="D72" i="6" s="1"/>
  <c r="H72" i="20"/>
  <c r="BA345" i="6"/>
  <c r="D345" i="6" s="1"/>
  <c r="H345" i="20"/>
  <c r="BA297" i="6"/>
  <c r="D297" i="6" s="1"/>
  <c r="H297" i="20"/>
  <c r="BA199" i="6"/>
  <c r="D199" i="6" s="1"/>
  <c r="H199" i="20"/>
  <c r="BA121" i="6"/>
  <c r="D121" i="6" s="1"/>
  <c r="H121" i="20"/>
  <c r="BA109" i="6"/>
  <c r="D109" i="6" s="1"/>
  <c r="H109" i="20"/>
  <c r="BA51" i="6"/>
  <c r="D51" i="6" s="1"/>
  <c r="H51" i="20"/>
  <c r="BA344" i="6"/>
  <c r="D344" i="6" s="1"/>
  <c r="H344" i="20"/>
  <c r="BA324" i="6"/>
  <c r="D324" i="6" s="1"/>
  <c r="H324" i="20"/>
  <c r="BA238" i="6"/>
  <c r="D238" i="6" s="1"/>
  <c r="H238" i="20"/>
  <c r="BA202" i="6"/>
  <c r="D202" i="6" s="1"/>
  <c r="H202" i="20"/>
  <c r="BA18" i="6"/>
  <c r="D18" i="6" s="1"/>
  <c r="H18" i="20"/>
  <c r="G357" i="23"/>
  <c r="CD357" i="6" s="1"/>
  <c r="AA357" i="23"/>
  <c r="Z357" i="23" s="1"/>
  <c r="Y357" i="23" s="1"/>
  <c r="G307" i="23"/>
  <c r="CD307" i="6" s="1"/>
  <c r="AA307" i="23"/>
  <c r="Z307" i="23" s="1"/>
  <c r="Y307" i="23" s="1"/>
  <c r="G267" i="23"/>
  <c r="CD267" i="6" s="1"/>
  <c r="AA267" i="23"/>
  <c r="Z267" i="23" s="1"/>
  <c r="Y267" i="23" s="1"/>
  <c r="W223" i="24"/>
  <c r="D223" i="24"/>
  <c r="E223" i="24" s="1"/>
  <c r="F223" i="24" s="1"/>
  <c r="B223" i="25"/>
  <c r="H188" i="20"/>
  <c r="H96" i="20"/>
  <c r="W86" i="23"/>
  <c r="D86" i="23"/>
  <c r="E86" i="23" s="1"/>
  <c r="F86" i="23" s="1"/>
  <c r="B86" i="24"/>
  <c r="W341" i="23"/>
  <c r="D341" i="23"/>
  <c r="E341" i="23" s="1"/>
  <c r="F341" i="23" s="1"/>
  <c r="B341" i="24"/>
  <c r="W293" i="23"/>
  <c r="D293" i="23"/>
  <c r="E293" i="23" s="1"/>
  <c r="F293" i="23" s="1"/>
  <c r="B293" i="24"/>
  <c r="I285" i="20"/>
  <c r="H285" i="22" s="1"/>
  <c r="J285" i="20"/>
  <c r="W259" i="23"/>
  <c r="D259" i="23"/>
  <c r="E259" i="23" s="1"/>
  <c r="F259" i="23" s="1"/>
  <c r="B259" i="24"/>
  <c r="G221" i="23"/>
  <c r="CD221" i="6" s="1"/>
  <c r="AA221" i="23"/>
  <c r="Z221" i="23" s="1"/>
  <c r="Y221" i="23" s="1"/>
  <c r="W209" i="24"/>
  <c r="D209" i="24"/>
  <c r="E209" i="24" s="1"/>
  <c r="F209" i="24" s="1"/>
  <c r="B209" i="25"/>
  <c r="G195" i="23"/>
  <c r="CD195" i="6" s="1"/>
  <c r="AA195" i="23"/>
  <c r="Z195" i="23" s="1"/>
  <c r="Y195" i="23" s="1"/>
  <c r="W147" i="24"/>
  <c r="D147" i="24"/>
  <c r="E147" i="24" s="1"/>
  <c r="F147" i="24" s="1"/>
  <c r="B147" i="25"/>
  <c r="G131" i="23"/>
  <c r="CD131" i="6" s="1"/>
  <c r="AA131" i="23"/>
  <c r="Z131" i="23" s="1"/>
  <c r="Y131" i="23" s="1"/>
  <c r="D93" i="24"/>
  <c r="E93" i="24" s="1"/>
  <c r="F93" i="24" s="1"/>
  <c r="W93" i="24"/>
  <c r="B93" i="25"/>
  <c r="W79" i="24"/>
  <c r="D79" i="24"/>
  <c r="E79" i="24" s="1"/>
  <c r="F79" i="24" s="1"/>
  <c r="B79" i="25"/>
  <c r="G69" i="23"/>
  <c r="CD69" i="6" s="1"/>
  <c r="AA69" i="23"/>
  <c r="Z69" i="23" s="1"/>
  <c r="Y69" i="23" s="1"/>
  <c r="BA47" i="6"/>
  <c r="D47" i="6" s="1"/>
  <c r="H47" i="20"/>
  <c r="W47" i="24"/>
  <c r="D47" i="24"/>
  <c r="E47" i="24" s="1"/>
  <c r="F47" i="24" s="1"/>
  <c r="B47" i="25"/>
  <c r="G33" i="23"/>
  <c r="CD33" i="6" s="1"/>
  <c r="AA33" i="23"/>
  <c r="Z33" i="23" s="1"/>
  <c r="Y33" i="23" s="1"/>
  <c r="G258" i="22"/>
  <c r="CC258" i="6" s="1"/>
  <c r="AA258" i="22"/>
  <c r="Z258" i="22" s="1"/>
  <c r="Y258" i="22" s="1"/>
  <c r="W336" i="24"/>
  <c r="D336" i="24"/>
  <c r="E336" i="24" s="1"/>
  <c r="F336" i="24" s="1"/>
  <c r="B336" i="25"/>
  <c r="G320" i="23"/>
  <c r="CD320" i="6" s="1"/>
  <c r="AA320" i="23"/>
  <c r="Z320" i="23" s="1"/>
  <c r="Y320" i="23" s="1"/>
  <c r="W308" i="24"/>
  <c r="D308" i="24"/>
  <c r="E308" i="24" s="1"/>
  <c r="F308" i="24" s="1"/>
  <c r="B308" i="25"/>
  <c r="G276" i="23"/>
  <c r="CD276" i="6" s="1"/>
  <c r="AA276" i="23"/>
  <c r="Z276" i="23" s="1"/>
  <c r="Y276" i="23" s="1"/>
  <c r="W270" i="24"/>
  <c r="D270" i="24"/>
  <c r="E270" i="24" s="1"/>
  <c r="F270" i="24" s="1"/>
  <c r="B270" i="25"/>
  <c r="G260" i="23"/>
  <c r="CD260" i="6" s="1"/>
  <c r="AA260" i="23"/>
  <c r="Z260" i="23" s="1"/>
  <c r="Y260" i="23" s="1"/>
  <c r="BA246" i="6"/>
  <c r="D246" i="6" s="1"/>
  <c r="H246" i="20"/>
  <c r="W246" i="24"/>
  <c r="D246" i="24"/>
  <c r="E246" i="24" s="1"/>
  <c r="F246" i="24" s="1"/>
  <c r="B246" i="25"/>
  <c r="G220" i="23"/>
  <c r="CD220" i="6" s="1"/>
  <c r="AA220" i="23"/>
  <c r="Z220" i="23" s="1"/>
  <c r="Y220" i="23" s="1"/>
  <c r="W176" i="24"/>
  <c r="D176" i="24"/>
  <c r="E176" i="24" s="1"/>
  <c r="F176" i="24" s="1"/>
  <c r="B176" i="25"/>
  <c r="G140" i="23"/>
  <c r="CD140" i="6" s="1"/>
  <c r="AA140" i="23"/>
  <c r="Z140" i="23" s="1"/>
  <c r="Y140" i="23" s="1"/>
  <c r="W128" i="24"/>
  <c r="D128" i="24"/>
  <c r="E128" i="24" s="1"/>
  <c r="F128" i="24" s="1"/>
  <c r="B128" i="25"/>
  <c r="G110" i="23"/>
  <c r="CD110" i="6" s="1"/>
  <c r="AA110" i="23"/>
  <c r="Z110" i="23" s="1"/>
  <c r="Y110" i="23" s="1"/>
  <c r="W104" i="24"/>
  <c r="D104" i="24"/>
  <c r="E104" i="24" s="1"/>
  <c r="F104" i="24" s="1"/>
  <c r="B104" i="25"/>
  <c r="G84" i="23"/>
  <c r="CD84" i="6" s="1"/>
  <c r="AA84" i="23"/>
  <c r="Z84" i="23" s="1"/>
  <c r="Y84" i="23" s="1"/>
  <c r="W56" i="24"/>
  <c r="D56" i="24"/>
  <c r="E56" i="24" s="1"/>
  <c r="F56" i="24" s="1"/>
  <c r="B56" i="25"/>
  <c r="G42" i="23"/>
  <c r="CD42" i="6" s="1"/>
  <c r="AA42" i="23"/>
  <c r="Z42" i="23" s="1"/>
  <c r="Y42" i="23" s="1"/>
  <c r="BA244" i="6"/>
  <c r="D244" i="6" s="1"/>
  <c r="H244" i="20"/>
  <c r="BA114" i="6"/>
  <c r="D114" i="6" s="1"/>
  <c r="H114" i="20"/>
  <c r="BA376" i="6"/>
  <c r="D376" i="6" s="1"/>
  <c r="H376" i="20"/>
  <c r="BA66" i="6"/>
  <c r="D66" i="6" s="1"/>
  <c r="H66" i="20"/>
  <c r="BA368" i="6"/>
  <c r="D368" i="6" s="1"/>
  <c r="H368" i="20"/>
  <c r="BA216" i="6"/>
  <c r="D216" i="6" s="1"/>
  <c r="H216" i="20"/>
  <c r="BA35" i="6"/>
  <c r="D35" i="6" s="1"/>
  <c r="H35" i="20"/>
  <c r="BA208" i="6"/>
  <c r="D208" i="6" s="1"/>
  <c r="H208" i="20"/>
  <c r="BA16" i="6"/>
  <c r="D16" i="6" s="1"/>
  <c r="H16" i="20"/>
  <c r="BA105" i="6"/>
  <c r="D105" i="6" s="1"/>
  <c r="H105" i="20"/>
  <c r="BA149" i="6"/>
  <c r="D149" i="6" s="1"/>
  <c r="H149" i="20"/>
  <c r="BA119" i="6"/>
  <c r="D119" i="6" s="1"/>
  <c r="H119" i="20"/>
  <c r="D211" i="6"/>
  <c r="D141" i="6"/>
  <c r="W146" i="24"/>
  <c r="D146" i="24"/>
  <c r="E146" i="24" s="1"/>
  <c r="F146" i="24" s="1"/>
  <c r="B146" i="25"/>
  <c r="G120" i="23"/>
  <c r="CD120" i="6" s="1"/>
  <c r="AA120" i="23"/>
  <c r="Z120" i="23" s="1"/>
  <c r="Y120" i="23" s="1"/>
  <c r="D323" i="24"/>
  <c r="E323" i="24" s="1"/>
  <c r="F323" i="24" s="1"/>
  <c r="W323" i="24"/>
  <c r="B323" i="25"/>
  <c r="G271" i="23"/>
  <c r="CD271" i="6" s="1"/>
  <c r="AA271" i="23"/>
  <c r="Z271" i="23" s="1"/>
  <c r="Y271" i="23" s="1"/>
  <c r="W255" i="25"/>
  <c r="D255" i="25"/>
  <c r="E255" i="25" s="1"/>
  <c r="F255" i="25" s="1"/>
  <c r="AA197" i="24"/>
  <c r="Z197" i="24" s="1"/>
  <c r="Y197" i="24" s="1"/>
  <c r="G197" i="24"/>
  <c r="CE197" i="6" s="1"/>
  <c r="W167" i="25"/>
  <c r="D167" i="25"/>
  <c r="E167" i="25" s="1"/>
  <c r="F167" i="25" s="1"/>
  <c r="G101" i="24"/>
  <c r="CE101" i="6" s="1"/>
  <c r="AA101" i="24"/>
  <c r="Z101" i="24" s="1"/>
  <c r="Y101" i="24" s="1"/>
  <c r="W83" i="25"/>
  <c r="D83" i="25"/>
  <c r="E83" i="25" s="1"/>
  <c r="F83" i="25" s="1"/>
  <c r="G55" i="24"/>
  <c r="CE55" i="6" s="1"/>
  <c r="AA55" i="24"/>
  <c r="Z55" i="24" s="1"/>
  <c r="Y55" i="24" s="1"/>
  <c r="W287" i="25"/>
  <c r="D287" i="25"/>
  <c r="E287" i="25" s="1"/>
  <c r="F287" i="25" s="1"/>
  <c r="G253" i="23"/>
  <c r="CD253" i="6" s="1"/>
  <c r="AA253" i="23"/>
  <c r="Z253" i="23" s="1"/>
  <c r="Y253" i="23" s="1"/>
  <c r="W363" i="24"/>
  <c r="D363" i="24"/>
  <c r="E363" i="24" s="1"/>
  <c r="F363" i="24" s="1"/>
  <c r="B363" i="25"/>
  <c r="G300" i="23"/>
  <c r="CD300" i="6" s="1"/>
  <c r="AA300" i="23"/>
  <c r="Z300" i="23" s="1"/>
  <c r="Y300" i="23" s="1"/>
  <c r="G228" i="23"/>
  <c r="CD228" i="6" s="1"/>
  <c r="AA228" i="23"/>
  <c r="Z228" i="23" s="1"/>
  <c r="Y228" i="23" s="1"/>
  <c r="D164" i="24"/>
  <c r="E164" i="24" s="1"/>
  <c r="F164" i="24" s="1"/>
  <c r="W164" i="24"/>
  <c r="B164" i="25"/>
  <c r="W273" i="25"/>
  <c r="D273" i="25"/>
  <c r="E273" i="25" s="1"/>
  <c r="F273" i="25" s="1"/>
  <c r="G247" i="24"/>
  <c r="CE247" i="6" s="1"/>
  <c r="AA247" i="24"/>
  <c r="Z247" i="24" s="1"/>
  <c r="Y247" i="24" s="1"/>
  <c r="W183" i="25"/>
  <c r="D183" i="25"/>
  <c r="E183" i="25" s="1"/>
  <c r="F183" i="25" s="1"/>
  <c r="AA155" i="24"/>
  <c r="Z155" i="24" s="1"/>
  <c r="Y155" i="24" s="1"/>
  <c r="G155" i="24"/>
  <c r="CE155" i="6" s="1"/>
  <c r="W97" i="25"/>
  <c r="D97" i="25"/>
  <c r="E97" i="25" s="1"/>
  <c r="F97" i="25" s="1"/>
  <c r="G63" i="24"/>
  <c r="CE63" i="6" s="1"/>
  <c r="AA63" i="24"/>
  <c r="Z63" i="24" s="1"/>
  <c r="Y63" i="24" s="1"/>
  <c r="W88" i="25"/>
  <c r="D88" i="25"/>
  <c r="E88" i="25" s="1"/>
  <c r="F88" i="25" s="1"/>
  <c r="W284" i="25"/>
  <c r="D284" i="25"/>
  <c r="E284" i="25" s="1"/>
  <c r="F284" i="25" s="1"/>
  <c r="G302" i="24"/>
  <c r="CE302" i="6" s="1"/>
  <c r="AA302" i="24"/>
  <c r="Z302" i="24" s="1"/>
  <c r="Y302" i="24" s="1"/>
  <c r="W114" i="24"/>
  <c r="D114" i="24"/>
  <c r="E114" i="24" s="1"/>
  <c r="F114" i="24" s="1"/>
  <c r="B114" i="25"/>
  <c r="W66" i="24"/>
  <c r="D66" i="24"/>
  <c r="E66" i="24" s="1"/>
  <c r="F66" i="24" s="1"/>
  <c r="B66" i="25"/>
  <c r="G95" i="23"/>
  <c r="CD95" i="6" s="1"/>
  <c r="AA95" i="23"/>
  <c r="Z95" i="23" s="1"/>
  <c r="Y95" i="23" s="1"/>
  <c r="W43" i="24"/>
  <c r="D43" i="24"/>
  <c r="E43" i="24" s="1"/>
  <c r="F43" i="24" s="1"/>
  <c r="B43" i="25"/>
  <c r="G216" i="23"/>
  <c r="CD216" i="6" s="1"/>
  <c r="AA216" i="23"/>
  <c r="Z216" i="23" s="1"/>
  <c r="Y216" i="23" s="1"/>
  <c r="W354" i="24"/>
  <c r="D354" i="24"/>
  <c r="E354" i="24" s="1"/>
  <c r="F354" i="24" s="1"/>
  <c r="B354" i="25"/>
  <c r="G227" i="23"/>
  <c r="CD227" i="6" s="1"/>
  <c r="AA227" i="23"/>
  <c r="Z227" i="23" s="1"/>
  <c r="Y227" i="23" s="1"/>
  <c r="W35" i="24"/>
  <c r="D35" i="24"/>
  <c r="E35" i="24" s="1"/>
  <c r="F35" i="24" s="1"/>
  <c r="B35" i="25"/>
  <c r="G16" i="23"/>
  <c r="CD16" i="6" s="1"/>
  <c r="AA16" i="23"/>
  <c r="Z16" i="23" s="1"/>
  <c r="Y16" i="23" s="1"/>
  <c r="W105" i="24"/>
  <c r="D105" i="24"/>
  <c r="E105" i="24" s="1"/>
  <c r="F105" i="24" s="1"/>
  <c r="B105" i="25"/>
  <c r="G119" i="23"/>
  <c r="CD119" i="6" s="1"/>
  <c r="AA119" i="23"/>
  <c r="Z119" i="23" s="1"/>
  <c r="Y119" i="23" s="1"/>
  <c r="D57" i="6"/>
  <c r="BA275" i="6"/>
  <c r="D275" i="6" s="1"/>
  <c r="H275" i="20"/>
  <c r="BA219" i="6"/>
  <c r="D219" i="6" s="1"/>
  <c r="H219" i="20"/>
  <c r="BA191" i="6"/>
  <c r="D191" i="6" s="1"/>
  <c r="H191" i="20"/>
  <c r="BA307" i="6"/>
  <c r="D307" i="6" s="1"/>
  <c r="H307" i="20"/>
  <c r="BA97" i="6"/>
  <c r="D97" i="6" s="1"/>
  <c r="H97" i="20"/>
  <c r="D71" i="6"/>
  <c r="D351" i="6"/>
  <c r="BA303" i="6"/>
  <c r="D303" i="6" s="1"/>
  <c r="H303" i="20"/>
  <c r="BA94" i="6"/>
  <c r="D94" i="6" s="1"/>
  <c r="H94" i="20"/>
  <c r="BA116" i="6"/>
  <c r="D116" i="6" s="1"/>
  <c r="H116" i="20"/>
  <c r="BA88" i="6"/>
  <c r="D88" i="6" s="1"/>
  <c r="H88" i="20"/>
  <c r="BA261" i="6"/>
  <c r="D261" i="6" s="1"/>
  <c r="H261" i="20"/>
  <c r="BA323" i="6"/>
  <c r="H323" i="20"/>
  <c r="BA277" i="6"/>
  <c r="D277" i="6" s="1"/>
  <c r="H277" i="20"/>
  <c r="BA167" i="6"/>
  <c r="D167" i="6" s="1"/>
  <c r="H167" i="20"/>
  <c r="BA335" i="6"/>
  <c r="D335" i="6" s="1"/>
  <c r="H335" i="20"/>
  <c r="BA272" i="6"/>
  <c r="D272" i="6" s="1"/>
  <c r="H272" i="20"/>
  <c r="BA291" i="6"/>
  <c r="D291" i="6" s="1"/>
  <c r="H291" i="20"/>
  <c r="D239" i="6"/>
  <c r="BA223" i="6"/>
  <c r="D223" i="6" s="1"/>
  <c r="H223" i="20"/>
  <c r="BA120" i="6"/>
  <c r="D120" i="6" s="1"/>
  <c r="H120" i="20"/>
  <c r="BA74" i="6"/>
  <c r="D74" i="6" s="1"/>
  <c r="H74" i="20"/>
  <c r="BA346" i="6"/>
  <c r="D346" i="6" s="1"/>
  <c r="H346" i="20"/>
  <c r="BA249" i="6"/>
  <c r="D249" i="6" s="1"/>
  <c r="H249" i="20"/>
  <c r="BA180" i="6"/>
  <c r="D180" i="6" s="1"/>
  <c r="H180" i="20"/>
  <c r="BA339" i="6"/>
  <c r="D339" i="6" s="1"/>
  <c r="H339" i="20"/>
  <c r="BA365" i="6"/>
  <c r="H365" i="20"/>
  <c r="BA173" i="6"/>
  <c r="D173" i="6" s="1"/>
  <c r="H173" i="20"/>
  <c r="BA19" i="6"/>
  <c r="D19" i="6" s="1"/>
  <c r="H19" i="20"/>
  <c r="B381" i="22"/>
  <c r="BA300" i="6"/>
  <c r="D300" i="6" s="1"/>
  <c r="H300" i="20"/>
  <c r="BA29" i="6"/>
  <c r="H29" i="20"/>
  <c r="BA203" i="6"/>
  <c r="D203" i="6" s="1"/>
  <c r="H203" i="20"/>
  <c r="BA53" i="6"/>
  <c r="D53" i="6" s="1"/>
  <c r="H53" i="20"/>
  <c r="BA61" i="6"/>
  <c r="D61" i="6" s="1"/>
  <c r="H61" i="20"/>
  <c r="I215" i="20" l="1"/>
  <c r="H215" i="22" s="1"/>
  <c r="I215" i="22" s="1"/>
  <c r="H215" i="23" s="1"/>
  <c r="AK7" i="23"/>
  <c r="I136" i="20"/>
  <c r="H136" i="22" s="1"/>
  <c r="J136" i="22" s="1"/>
  <c r="I218" i="20"/>
  <c r="H218" i="22" s="1"/>
  <c r="J218" i="22" s="1"/>
  <c r="I242" i="20"/>
  <c r="H242" i="22" s="1"/>
  <c r="I242" i="22" s="1"/>
  <c r="H242" i="23" s="1"/>
  <c r="J52" i="20"/>
  <c r="J52" i="22" s="1"/>
  <c r="AJ11" i="22"/>
  <c r="I331" i="20"/>
  <c r="H331" i="22" s="1"/>
  <c r="I331" i="22" s="1"/>
  <c r="H331" i="23" s="1"/>
  <c r="J70" i="20"/>
  <c r="I201" i="20"/>
  <c r="H201" i="22" s="1"/>
  <c r="J201" i="22" s="1"/>
  <c r="I39" i="20"/>
  <c r="H39" i="22" s="1"/>
  <c r="J39" i="22" s="1"/>
  <c r="I82" i="20"/>
  <c r="H82" i="22" s="1"/>
  <c r="I82" i="22" s="1"/>
  <c r="H82" i="23" s="1"/>
  <c r="J153" i="20"/>
  <c r="J91" i="20"/>
  <c r="J91" i="22" s="1"/>
  <c r="J117" i="20"/>
  <c r="J117" i="22" s="1"/>
  <c r="I165" i="20"/>
  <c r="H165" i="22" s="1"/>
  <c r="J165" i="22" s="1"/>
  <c r="AM7" i="20"/>
  <c r="AL9" i="20"/>
  <c r="AJ9" i="23"/>
  <c r="AJ7" i="23"/>
  <c r="AK13" i="20"/>
  <c r="J175" i="20"/>
  <c r="J351" i="20"/>
  <c r="J351" i="22" s="1"/>
  <c r="I68" i="20"/>
  <c r="H68" i="22" s="1"/>
  <c r="I68" i="22" s="1"/>
  <c r="H68" i="23" s="1"/>
  <c r="D15" i="24"/>
  <c r="E15" i="24" s="1"/>
  <c r="AJ5" i="24"/>
  <c r="D15" i="19"/>
  <c r="C16" i="19"/>
  <c r="B18" i="19"/>
  <c r="D14" i="19"/>
  <c r="I211" i="20"/>
  <c r="H211" i="22" s="1"/>
  <c r="I211" i="22" s="1"/>
  <c r="H211" i="23" s="1"/>
  <c r="I337" i="20"/>
  <c r="H337" i="22" s="1"/>
  <c r="I337" i="22" s="1"/>
  <c r="H337" i="23" s="1"/>
  <c r="J129" i="20"/>
  <c r="J129" i="22" s="1"/>
  <c r="J30" i="20"/>
  <c r="J30" i="22" s="1"/>
  <c r="J306" i="20"/>
  <c r="J306" i="22" s="1"/>
  <c r="J141" i="20"/>
  <c r="J141" i="22" s="1"/>
  <c r="J343" i="20"/>
  <c r="J343" i="22" s="1"/>
  <c r="I235" i="20"/>
  <c r="H235" i="22" s="1"/>
  <c r="J235" i="22" s="1"/>
  <c r="B15" i="25"/>
  <c r="I45" i="20"/>
  <c r="H45" i="22" s="1"/>
  <c r="J45" i="22" s="1"/>
  <c r="I213" i="20"/>
  <c r="H213" i="22" s="1"/>
  <c r="J213" i="22" s="1"/>
  <c r="I282" i="20"/>
  <c r="H282" i="22" s="1"/>
  <c r="J282" i="22" s="1"/>
  <c r="J301" i="20"/>
  <c r="J301" i="22" s="1"/>
  <c r="I123" i="20"/>
  <c r="H123" i="22" s="1"/>
  <c r="I123" i="22" s="1"/>
  <c r="H123" i="23" s="1"/>
  <c r="I20" i="20"/>
  <c r="H20" i="22" s="1"/>
  <c r="I20" i="22" s="1"/>
  <c r="H20" i="23" s="1"/>
  <c r="I113" i="20"/>
  <c r="H113" i="22" s="1"/>
  <c r="I113" i="22" s="1"/>
  <c r="H113" i="23" s="1"/>
  <c r="I200" i="20"/>
  <c r="H200" i="22" s="1"/>
  <c r="J200" i="22" s="1"/>
  <c r="J224" i="20"/>
  <c r="J224" i="22" s="1"/>
  <c r="J205" i="20"/>
  <c r="J205" i="22" s="1"/>
  <c r="I341" i="20"/>
  <c r="H341" i="22" s="1"/>
  <c r="J341" i="22" s="1"/>
  <c r="I252" i="20"/>
  <c r="H252" i="22" s="1"/>
  <c r="J252" i="22" s="1"/>
  <c r="I305" i="20"/>
  <c r="H305" i="22" s="1"/>
  <c r="J305" i="22" s="1"/>
  <c r="J132" i="20"/>
  <c r="J132" i="22" s="1"/>
  <c r="J41" i="20"/>
  <c r="J41" i="22" s="1"/>
  <c r="J225" i="20"/>
  <c r="J225" i="22" s="1"/>
  <c r="I40" i="20"/>
  <c r="H40" i="22" s="1"/>
  <c r="J40" i="22" s="1"/>
  <c r="J222" i="20"/>
  <c r="J222" i="22" s="1"/>
  <c r="J186" i="20"/>
  <c r="J186" i="22" s="1"/>
  <c r="I59" i="20"/>
  <c r="H59" i="22" s="1"/>
  <c r="J59" i="22" s="1"/>
  <c r="W15" i="24"/>
  <c r="I54" i="20"/>
  <c r="H54" i="22" s="1"/>
  <c r="I54" i="22" s="1"/>
  <c r="H54" i="23" s="1"/>
  <c r="I158" i="20"/>
  <c r="H158" i="22" s="1"/>
  <c r="I158" i="22" s="1"/>
  <c r="H158" i="23" s="1"/>
  <c r="J353" i="20"/>
  <c r="I296" i="20"/>
  <c r="H296" i="22" s="1"/>
  <c r="J296" i="22" s="1"/>
  <c r="J179" i="20"/>
  <c r="J179" i="22" s="1"/>
  <c r="I315" i="20"/>
  <c r="H315" i="22" s="1"/>
  <c r="J315" i="22" s="1"/>
  <c r="J32" i="20"/>
  <c r="J32" i="22" s="1"/>
  <c r="J38" i="20"/>
  <c r="J38" i="22" s="1"/>
  <c r="J348" i="20"/>
  <c r="J348" i="22" s="1"/>
  <c r="I124" i="20"/>
  <c r="H124" i="22" s="1"/>
  <c r="I124" i="22" s="1"/>
  <c r="H124" i="23" s="1"/>
  <c r="J181" i="20"/>
  <c r="J181" i="22" s="1"/>
  <c r="J86" i="20"/>
  <c r="J86" i="22" s="1"/>
  <c r="J87" i="20"/>
  <c r="J87" i="22" s="1"/>
  <c r="J193" i="20"/>
  <c r="J366" i="20"/>
  <c r="J366" i="22" s="1"/>
  <c r="I152" i="20"/>
  <c r="H152" i="22" s="1"/>
  <c r="I152" i="22" s="1"/>
  <c r="H152" i="23" s="1"/>
  <c r="J251" i="20"/>
  <c r="J251" i="22" s="1"/>
  <c r="I364" i="20"/>
  <c r="H364" i="22" s="1"/>
  <c r="I364" i="22" s="1"/>
  <c r="H364" i="23" s="1"/>
  <c r="J279" i="20"/>
  <c r="J279" i="22" s="1"/>
  <c r="J103" i="20"/>
  <c r="J103" i="22" s="1"/>
  <c r="I126" i="20"/>
  <c r="H126" i="22" s="1"/>
  <c r="J126" i="22" s="1"/>
  <c r="I379" i="20"/>
  <c r="H379" i="22" s="1"/>
  <c r="I379" i="22" s="1"/>
  <c r="H379" i="23" s="1"/>
  <c r="J371" i="20"/>
  <c r="I338" i="20"/>
  <c r="H338" i="22" s="1"/>
  <c r="J338" i="22" s="1"/>
  <c r="J207" i="20"/>
  <c r="J207" i="22" s="1"/>
  <c r="J48" i="20"/>
  <c r="J48" i="22" s="1"/>
  <c r="J358" i="20"/>
  <c r="I100" i="20"/>
  <c r="H100" i="22" s="1"/>
  <c r="I100" i="22" s="1"/>
  <c r="H100" i="23" s="1"/>
  <c r="I145" i="20"/>
  <c r="H145" i="22" s="1"/>
  <c r="J145" i="22" s="1"/>
  <c r="J184" i="20"/>
  <c r="J184" i="22" s="1"/>
  <c r="J212" i="20"/>
  <c r="J212" i="22" s="1"/>
  <c r="I342" i="20"/>
  <c r="H342" i="22" s="1"/>
  <c r="I342" i="22" s="1"/>
  <c r="H342" i="23" s="1"/>
  <c r="I50" i="20"/>
  <c r="H50" i="22" s="1"/>
  <c r="J50" i="22" s="1"/>
  <c r="I230" i="20"/>
  <c r="H230" i="22" s="1"/>
  <c r="I230" i="22" s="1"/>
  <c r="H230" i="23" s="1"/>
  <c r="J21" i="20"/>
  <c r="J21" i="22" s="1"/>
  <c r="I144" i="20"/>
  <c r="H144" i="22" s="1"/>
  <c r="J144" i="22" s="1"/>
  <c r="J327" i="20"/>
  <c r="J327" i="22" s="1"/>
  <c r="I375" i="20"/>
  <c r="H375" i="22" s="1"/>
  <c r="I375" i="22" s="1"/>
  <c r="H375" i="23" s="1"/>
  <c r="I286" i="20"/>
  <c r="H286" i="22" s="1"/>
  <c r="I286" i="22" s="1"/>
  <c r="H286" i="23" s="1"/>
  <c r="J64" i="20"/>
  <c r="J64" i="22" s="1"/>
  <c r="J299" i="20"/>
  <c r="J299" i="22" s="1"/>
  <c r="J107" i="20"/>
  <c r="J107" i="22" s="1"/>
  <c r="J134" i="20"/>
  <c r="J134" i="22" s="1"/>
  <c r="I168" i="20"/>
  <c r="H168" i="22" s="1"/>
  <c r="J168" i="22" s="1"/>
  <c r="I312" i="20"/>
  <c r="H312" i="22" s="1"/>
  <c r="I312" i="22" s="1"/>
  <c r="H312" i="23" s="1"/>
  <c r="J377" i="20"/>
  <c r="J377" i="22" s="1"/>
  <c r="J204" i="20"/>
  <c r="I250" i="20"/>
  <c r="H250" i="22" s="1"/>
  <c r="J250" i="22" s="1"/>
  <c r="J92" i="20"/>
  <c r="J92" i="22" s="1"/>
  <c r="J118" i="20"/>
  <c r="J118" i="22" s="1"/>
  <c r="J268" i="20"/>
  <c r="J268" i="22" s="1"/>
  <c r="J328" i="20"/>
  <c r="J328" i="22" s="1"/>
  <c r="J350" i="20"/>
  <c r="J350" i="22" s="1"/>
  <c r="J57" i="20"/>
  <c r="J57" i="22" s="1"/>
  <c r="I239" i="20"/>
  <c r="H239" i="22" s="1"/>
  <c r="I239" i="22" s="1"/>
  <c r="H239" i="23" s="1"/>
  <c r="I229" i="20"/>
  <c r="H229" i="22" s="1"/>
  <c r="I229" i="22" s="1"/>
  <c r="H229" i="23" s="1"/>
  <c r="I174" i="20"/>
  <c r="H174" i="22" s="1"/>
  <c r="I174" i="22" s="1"/>
  <c r="H174" i="23" s="1"/>
  <c r="J258" i="20"/>
  <c r="J258" i="22" s="1"/>
  <c r="J112" i="20"/>
  <c r="J112" i="22" s="1"/>
  <c r="J233" i="20"/>
  <c r="J233" i="22" s="1"/>
  <c r="I151" i="20"/>
  <c r="H151" i="22" s="1"/>
  <c r="I151" i="22" s="1"/>
  <c r="H151" i="23" s="1"/>
  <c r="AL4" i="6"/>
  <c r="W4" i="6"/>
  <c r="I358" i="22"/>
  <c r="H358" i="23" s="1"/>
  <c r="J358" i="22"/>
  <c r="I327" i="22"/>
  <c r="H327" i="23" s="1"/>
  <c r="J175" i="22"/>
  <c r="I175" i="22"/>
  <c r="H175" i="23" s="1"/>
  <c r="I181" i="22"/>
  <c r="H181" i="23" s="1"/>
  <c r="I48" i="22"/>
  <c r="H48" i="23" s="1"/>
  <c r="I64" i="22"/>
  <c r="H64" i="23" s="1"/>
  <c r="I205" i="22"/>
  <c r="H205" i="23" s="1"/>
  <c r="I299" i="22"/>
  <c r="H299" i="23" s="1"/>
  <c r="J331" i="22"/>
  <c r="I86" i="22"/>
  <c r="H86" i="23" s="1"/>
  <c r="I218" i="22"/>
  <c r="H218" i="23" s="1"/>
  <c r="I107" i="22"/>
  <c r="H107" i="23" s="1"/>
  <c r="J285" i="22"/>
  <c r="I285" i="22"/>
  <c r="H285" i="23" s="1"/>
  <c r="I141" i="22"/>
  <c r="H141" i="23" s="1"/>
  <c r="I301" i="22"/>
  <c r="H301" i="23" s="1"/>
  <c r="J215" i="22"/>
  <c r="I322" i="22"/>
  <c r="H322" i="23" s="1"/>
  <c r="J322" i="22"/>
  <c r="I351" i="22"/>
  <c r="H351" i="23" s="1"/>
  <c r="I224" i="22"/>
  <c r="H224" i="23" s="1"/>
  <c r="I87" i="22"/>
  <c r="H87" i="23" s="1"/>
  <c r="I134" i="22"/>
  <c r="H134" i="23" s="1"/>
  <c r="I212" i="22"/>
  <c r="H212" i="23" s="1"/>
  <c r="J242" i="22"/>
  <c r="I366" i="22"/>
  <c r="H366" i="23" s="1"/>
  <c r="I118" i="22"/>
  <c r="H118" i="23" s="1"/>
  <c r="J191" i="20"/>
  <c r="I191" i="20"/>
  <c r="H191" i="22" s="1"/>
  <c r="J219" i="20"/>
  <c r="I219" i="20"/>
  <c r="H219" i="22" s="1"/>
  <c r="J275" i="20"/>
  <c r="I275" i="20"/>
  <c r="H275" i="22" s="1"/>
  <c r="G105" i="24"/>
  <c r="CE105" i="6" s="1"/>
  <c r="AA105" i="24"/>
  <c r="Z105" i="24" s="1"/>
  <c r="Y105" i="24" s="1"/>
  <c r="G35" i="24"/>
  <c r="CE35" i="6" s="1"/>
  <c r="AA35" i="24"/>
  <c r="Z35" i="24" s="1"/>
  <c r="Y35" i="24" s="1"/>
  <c r="G354" i="24"/>
  <c r="CE354" i="6" s="1"/>
  <c r="AA354" i="24"/>
  <c r="Z354" i="24" s="1"/>
  <c r="Y354" i="24" s="1"/>
  <c r="G43" i="24"/>
  <c r="CE43" i="6" s="1"/>
  <c r="AA43" i="24"/>
  <c r="Z43" i="24" s="1"/>
  <c r="Y43" i="24" s="1"/>
  <c r="G66" i="24"/>
  <c r="CE66" i="6" s="1"/>
  <c r="AA66" i="24"/>
  <c r="Z66" i="24" s="1"/>
  <c r="Y66" i="24" s="1"/>
  <c r="W114" i="25"/>
  <c r="D114" i="25"/>
  <c r="E114" i="25" s="1"/>
  <c r="F114" i="25" s="1"/>
  <c r="G284" i="25"/>
  <c r="CF284" i="6" s="1"/>
  <c r="AA284" i="25"/>
  <c r="Z284" i="25" s="1"/>
  <c r="Y284" i="25" s="1"/>
  <c r="G88" i="25"/>
  <c r="CF88" i="6" s="1"/>
  <c r="AA88" i="25"/>
  <c r="Z88" i="25" s="1"/>
  <c r="Y88" i="25" s="1"/>
  <c r="G183" i="25"/>
  <c r="CF183" i="6" s="1"/>
  <c r="AA183" i="25"/>
  <c r="Z183" i="25" s="1"/>
  <c r="Y183" i="25" s="1"/>
  <c r="W363" i="25"/>
  <c r="D363" i="25"/>
  <c r="E363" i="25" s="1"/>
  <c r="F363" i="25" s="1"/>
  <c r="G287" i="25"/>
  <c r="CF287" i="6" s="1"/>
  <c r="AA287" i="25"/>
  <c r="Z287" i="25" s="1"/>
  <c r="Y287" i="25" s="1"/>
  <c r="G167" i="25"/>
  <c r="CF167" i="6" s="1"/>
  <c r="AA167" i="25"/>
  <c r="Z167" i="25" s="1"/>
  <c r="Y167" i="25" s="1"/>
  <c r="W323" i="25"/>
  <c r="D323" i="25"/>
  <c r="E323" i="25" s="1"/>
  <c r="F323" i="25" s="1"/>
  <c r="G323" i="24"/>
  <c r="CE323" i="6" s="1"/>
  <c r="AA323" i="24"/>
  <c r="Z323" i="24" s="1"/>
  <c r="Y323" i="24" s="1"/>
  <c r="W146" i="25"/>
  <c r="D146" i="25"/>
  <c r="E146" i="25" s="1"/>
  <c r="F146" i="25" s="1"/>
  <c r="AB4" i="6"/>
  <c r="W56" i="25"/>
  <c r="D56" i="25"/>
  <c r="E56" i="25" s="1"/>
  <c r="F56" i="25" s="1"/>
  <c r="W104" i="25"/>
  <c r="D104" i="25"/>
  <c r="E104" i="25" s="1"/>
  <c r="F104" i="25" s="1"/>
  <c r="W128" i="25"/>
  <c r="D128" i="25"/>
  <c r="E128" i="25" s="1"/>
  <c r="F128" i="25" s="1"/>
  <c r="W176" i="25"/>
  <c r="D176" i="25"/>
  <c r="E176" i="25" s="1"/>
  <c r="F176" i="25" s="1"/>
  <c r="W246" i="25"/>
  <c r="D246" i="25"/>
  <c r="E246" i="25" s="1"/>
  <c r="F246" i="25" s="1"/>
  <c r="W270" i="25"/>
  <c r="D270" i="25"/>
  <c r="E270" i="25" s="1"/>
  <c r="F270" i="25" s="1"/>
  <c r="W308" i="25"/>
  <c r="D308" i="25"/>
  <c r="E308" i="25" s="1"/>
  <c r="F308" i="25" s="1"/>
  <c r="W336" i="25"/>
  <c r="D336" i="25"/>
  <c r="E336" i="25" s="1"/>
  <c r="F336" i="25" s="1"/>
  <c r="AA47" i="24"/>
  <c r="Z47" i="24" s="1"/>
  <c r="Y47" i="24" s="1"/>
  <c r="G47" i="24"/>
  <c r="CE47" i="6" s="1"/>
  <c r="J47" i="20"/>
  <c r="I47" i="20"/>
  <c r="H47" i="22" s="1"/>
  <c r="G79" i="24"/>
  <c r="CE79" i="6" s="1"/>
  <c r="AA79" i="24"/>
  <c r="Z79" i="24" s="1"/>
  <c r="Y79" i="24" s="1"/>
  <c r="W93" i="25"/>
  <c r="D93" i="25"/>
  <c r="E93" i="25" s="1"/>
  <c r="F93" i="25" s="1"/>
  <c r="AA93" i="24"/>
  <c r="Z93" i="24" s="1"/>
  <c r="Y93" i="24" s="1"/>
  <c r="G93" i="24"/>
  <c r="CE93" i="6" s="1"/>
  <c r="W147" i="25"/>
  <c r="D147" i="25"/>
  <c r="E147" i="25" s="1"/>
  <c r="F147" i="25" s="1"/>
  <c r="W209" i="25"/>
  <c r="D209" i="25"/>
  <c r="E209" i="25" s="1"/>
  <c r="F209" i="25" s="1"/>
  <c r="D259" i="24"/>
  <c r="E259" i="24" s="1"/>
  <c r="F259" i="24" s="1"/>
  <c r="W259" i="24"/>
  <c r="B259" i="25"/>
  <c r="G293" i="23"/>
  <c r="CD293" i="6" s="1"/>
  <c r="AA293" i="23"/>
  <c r="Z293" i="23" s="1"/>
  <c r="Y293" i="23" s="1"/>
  <c r="W341" i="24"/>
  <c r="D341" i="24"/>
  <c r="E341" i="24" s="1"/>
  <c r="F341" i="24" s="1"/>
  <c r="B341" i="25"/>
  <c r="G86" i="23"/>
  <c r="CD86" i="6" s="1"/>
  <c r="AA86" i="23"/>
  <c r="Z86" i="23" s="1"/>
  <c r="Y86" i="23" s="1"/>
  <c r="I96" i="20"/>
  <c r="H96" i="22" s="1"/>
  <c r="J96" i="20"/>
  <c r="D223" i="25"/>
  <c r="E223" i="25" s="1"/>
  <c r="F223" i="25" s="1"/>
  <c r="W223" i="25"/>
  <c r="J18" i="20"/>
  <c r="I18" i="20"/>
  <c r="H18" i="22" s="1"/>
  <c r="J202" i="20"/>
  <c r="I202" i="20"/>
  <c r="H202" i="22" s="1"/>
  <c r="I238" i="20"/>
  <c r="H238" i="22" s="1"/>
  <c r="J238" i="20"/>
  <c r="I324" i="20"/>
  <c r="H324" i="22" s="1"/>
  <c r="J324" i="20"/>
  <c r="J344" i="20"/>
  <c r="I344" i="20"/>
  <c r="H344" i="22" s="1"/>
  <c r="J51" i="20"/>
  <c r="I51" i="20"/>
  <c r="H51" i="22" s="1"/>
  <c r="I109" i="20"/>
  <c r="H109" i="22" s="1"/>
  <c r="J109" i="20"/>
  <c r="J121" i="20"/>
  <c r="I121" i="20"/>
  <c r="H121" i="22" s="1"/>
  <c r="I199" i="20"/>
  <c r="H199" i="22" s="1"/>
  <c r="J199" i="20"/>
  <c r="I297" i="20"/>
  <c r="H297" i="22" s="1"/>
  <c r="J297" i="20"/>
  <c r="I345" i="20"/>
  <c r="H345" i="22" s="1"/>
  <c r="J345" i="20"/>
  <c r="I72" i="20"/>
  <c r="H72" i="22" s="1"/>
  <c r="J72" i="20"/>
  <c r="J156" i="20"/>
  <c r="I156" i="20"/>
  <c r="H156" i="22" s="1"/>
  <c r="I162" i="20"/>
  <c r="H162" i="22" s="1"/>
  <c r="J162" i="20"/>
  <c r="W214" i="25"/>
  <c r="D214" i="25"/>
  <c r="E214" i="25" s="1"/>
  <c r="F214" i="25" s="1"/>
  <c r="G240" i="24"/>
  <c r="CE240" i="6" s="1"/>
  <c r="AA240" i="24"/>
  <c r="Z240" i="24" s="1"/>
  <c r="Y240" i="24" s="1"/>
  <c r="J240" i="20"/>
  <c r="I240" i="20"/>
  <c r="H240" i="22" s="1"/>
  <c r="W264" i="25"/>
  <c r="D264" i="25"/>
  <c r="E264" i="25" s="1"/>
  <c r="F264" i="25" s="1"/>
  <c r="G340" i="24"/>
  <c r="CE340" i="6" s="1"/>
  <c r="AA340" i="24"/>
  <c r="Z340" i="24" s="1"/>
  <c r="Y340" i="24" s="1"/>
  <c r="G362" i="24"/>
  <c r="CE362" i="6" s="1"/>
  <c r="AA362" i="24"/>
  <c r="Z362" i="24" s="1"/>
  <c r="Y362" i="24" s="1"/>
  <c r="D137" i="25"/>
  <c r="E137" i="25" s="1"/>
  <c r="F137" i="25" s="1"/>
  <c r="W137" i="25"/>
  <c r="G78" i="24"/>
  <c r="CE78" i="6" s="1"/>
  <c r="AA78" i="24"/>
  <c r="Z78" i="24" s="1"/>
  <c r="Y78" i="24" s="1"/>
  <c r="D90" i="25"/>
  <c r="E90" i="25" s="1"/>
  <c r="F90" i="25" s="1"/>
  <c r="W90" i="25"/>
  <c r="G90" i="24"/>
  <c r="CE90" i="6" s="1"/>
  <c r="AA90" i="24"/>
  <c r="Z90" i="24" s="1"/>
  <c r="Y90" i="24" s="1"/>
  <c r="D378" i="25"/>
  <c r="E378" i="25" s="1"/>
  <c r="F378" i="25" s="1"/>
  <c r="W378" i="25"/>
  <c r="G378" i="24"/>
  <c r="CE378" i="6" s="1"/>
  <c r="AA378" i="24"/>
  <c r="Z378" i="24" s="1"/>
  <c r="Y378" i="24" s="1"/>
  <c r="G182" i="24"/>
  <c r="CE182" i="6" s="1"/>
  <c r="AA182" i="24"/>
  <c r="Z182" i="24" s="1"/>
  <c r="Y182" i="24" s="1"/>
  <c r="AA236" i="24"/>
  <c r="Z236" i="24" s="1"/>
  <c r="Y236" i="24" s="1"/>
  <c r="G236" i="24"/>
  <c r="CE236" i="6" s="1"/>
  <c r="D374" i="25"/>
  <c r="E374" i="25" s="1"/>
  <c r="F374" i="25" s="1"/>
  <c r="W374" i="25"/>
  <c r="G163" i="24"/>
  <c r="CE163" i="6" s="1"/>
  <c r="AA163" i="24"/>
  <c r="Z163" i="24" s="1"/>
  <c r="Y163" i="24" s="1"/>
  <c r="W157" i="25"/>
  <c r="D157" i="25"/>
  <c r="E157" i="25" s="1"/>
  <c r="F157" i="25" s="1"/>
  <c r="G332" i="24"/>
  <c r="CE332" i="6" s="1"/>
  <c r="AA332" i="24"/>
  <c r="Z332" i="24" s="1"/>
  <c r="Y332" i="24" s="1"/>
  <c r="D295" i="25"/>
  <c r="E295" i="25" s="1"/>
  <c r="F295" i="25" s="1"/>
  <c r="W295" i="25"/>
  <c r="G76" i="24"/>
  <c r="CE76" i="6" s="1"/>
  <c r="AA76" i="24"/>
  <c r="Z76" i="24" s="1"/>
  <c r="Y76" i="24" s="1"/>
  <c r="W232" i="25"/>
  <c r="D232" i="25"/>
  <c r="E232" i="25" s="1"/>
  <c r="F232" i="25" s="1"/>
  <c r="Z382" i="18"/>
  <c r="Z383" i="18"/>
  <c r="Z381" i="18"/>
  <c r="Z9" i="18"/>
  <c r="Y15" i="18"/>
  <c r="AL5" i="18" s="1"/>
  <c r="AL11" i="18" s="1"/>
  <c r="AJ3" i="18" s="1"/>
  <c r="O15" i="19" s="1"/>
  <c r="AL8" i="18"/>
  <c r="G60" i="25"/>
  <c r="CF60" i="6" s="1"/>
  <c r="AA60" i="25"/>
  <c r="Z60" i="25" s="1"/>
  <c r="Y60" i="25" s="1"/>
  <c r="W166" i="25"/>
  <c r="D166" i="25"/>
  <c r="E166" i="25" s="1"/>
  <c r="F166" i="25" s="1"/>
  <c r="G166" i="24"/>
  <c r="CE166" i="6" s="1"/>
  <c r="AA166" i="24"/>
  <c r="Z166" i="24" s="1"/>
  <c r="Y166" i="24" s="1"/>
  <c r="W17" i="25"/>
  <c r="D17" i="25"/>
  <c r="E17" i="25" s="1"/>
  <c r="F17" i="25" s="1"/>
  <c r="W278" i="25"/>
  <c r="D278" i="25"/>
  <c r="E278" i="25" s="1"/>
  <c r="F278" i="25" s="1"/>
  <c r="G335" i="25"/>
  <c r="CF335" i="6" s="1"/>
  <c r="AA335" i="25"/>
  <c r="Z335" i="25" s="1"/>
  <c r="Y335" i="25" s="1"/>
  <c r="J171" i="20"/>
  <c r="I171" i="20"/>
  <c r="H171" i="22" s="1"/>
  <c r="AJ8" i="23"/>
  <c r="D383" i="23"/>
  <c r="D381" i="23"/>
  <c r="I70" i="22"/>
  <c r="H70" i="23" s="1"/>
  <c r="J70" i="22"/>
  <c r="J178" i="22"/>
  <c r="I178" i="22"/>
  <c r="H178" i="23" s="1"/>
  <c r="I254" i="22"/>
  <c r="H254" i="23" s="1"/>
  <c r="J254" i="22"/>
  <c r="I318" i="22"/>
  <c r="H318" i="23" s="1"/>
  <c r="J318" i="22"/>
  <c r="G87" i="23"/>
  <c r="CD87" i="6" s="1"/>
  <c r="AA87" i="23"/>
  <c r="Z87" i="23" s="1"/>
  <c r="Y87" i="23" s="1"/>
  <c r="W145" i="24"/>
  <c r="D145" i="24"/>
  <c r="E145" i="24" s="1"/>
  <c r="F145" i="24" s="1"/>
  <c r="B145" i="25"/>
  <c r="G201" i="23"/>
  <c r="CD201" i="6" s="1"/>
  <c r="AA201" i="23"/>
  <c r="Z201" i="23" s="1"/>
  <c r="Y201" i="23" s="1"/>
  <c r="W233" i="24"/>
  <c r="D233" i="24"/>
  <c r="E233" i="24" s="1"/>
  <c r="F233" i="24" s="1"/>
  <c r="B233" i="25"/>
  <c r="G80" i="24"/>
  <c r="CE80" i="6" s="1"/>
  <c r="AA80" i="24"/>
  <c r="Z80" i="24" s="1"/>
  <c r="Y80" i="24" s="1"/>
  <c r="G112" i="23"/>
  <c r="CD112" i="6" s="1"/>
  <c r="AA112" i="23"/>
  <c r="Z112" i="23" s="1"/>
  <c r="Y112" i="23" s="1"/>
  <c r="G218" i="23"/>
  <c r="CD218" i="6" s="1"/>
  <c r="AA218" i="23"/>
  <c r="Z218" i="23" s="1"/>
  <c r="Y218" i="23" s="1"/>
  <c r="J228" i="20"/>
  <c r="I228" i="20"/>
  <c r="H228" i="22" s="1"/>
  <c r="AA348" i="23"/>
  <c r="Z348" i="23" s="1"/>
  <c r="Y348" i="23" s="1"/>
  <c r="G348" i="23"/>
  <c r="CD348" i="6" s="1"/>
  <c r="I39" i="22"/>
  <c r="H39" i="23" s="1"/>
  <c r="G107" i="23"/>
  <c r="CD107" i="6" s="1"/>
  <c r="AA107" i="23"/>
  <c r="Z107" i="23" s="1"/>
  <c r="Y107" i="23" s="1"/>
  <c r="I193" i="22"/>
  <c r="H193" i="23" s="1"/>
  <c r="J193" i="22"/>
  <c r="W193" i="24"/>
  <c r="D193" i="24"/>
  <c r="E193" i="24" s="1"/>
  <c r="F193" i="24" s="1"/>
  <c r="B193" i="25"/>
  <c r="J269" i="20"/>
  <c r="I269" i="20"/>
  <c r="H269" i="22" s="1"/>
  <c r="AC4" i="6"/>
  <c r="B27" i="25"/>
  <c r="W27" i="24"/>
  <c r="D27" i="24"/>
  <c r="E27" i="24" s="1"/>
  <c r="F27" i="24" s="1"/>
  <c r="I184" i="22"/>
  <c r="H184" i="23" s="1"/>
  <c r="I330" i="22"/>
  <c r="H330" i="23" s="1"/>
  <c r="J330" i="22"/>
  <c r="I41" i="22"/>
  <c r="H41" i="23" s="1"/>
  <c r="I117" i="22"/>
  <c r="H117" i="23" s="1"/>
  <c r="I225" i="22"/>
  <c r="H225" i="23" s="1"/>
  <c r="I343" i="22"/>
  <c r="H343" i="23" s="1"/>
  <c r="I377" i="22"/>
  <c r="H377" i="23" s="1"/>
  <c r="G134" i="23"/>
  <c r="CD134" i="6" s="1"/>
  <c r="AA134" i="23"/>
  <c r="Z134" i="23" s="1"/>
  <c r="Y134" i="23" s="1"/>
  <c r="W168" i="24"/>
  <c r="B168" i="25"/>
  <c r="D168" i="24"/>
  <c r="E168" i="24" s="1"/>
  <c r="F168" i="24" s="1"/>
  <c r="G212" i="23"/>
  <c r="CD212" i="6" s="1"/>
  <c r="AA212" i="23"/>
  <c r="Z212" i="23" s="1"/>
  <c r="Y212" i="23" s="1"/>
  <c r="W242" i="24"/>
  <c r="B242" i="25"/>
  <c r="D242" i="24"/>
  <c r="E242" i="24" s="1"/>
  <c r="F242" i="24" s="1"/>
  <c r="G312" i="23"/>
  <c r="CD312" i="6" s="1"/>
  <c r="AA312" i="23"/>
  <c r="Z312" i="23" s="1"/>
  <c r="Y312" i="23" s="1"/>
  <c r="W342" i="24"/>
  <c r="D342" i="24"/>
  <c r="E342" i="24" s="1"/>
  <c r="F342" i="24" s="1"/>
  <c r="B342" i="25"/>
  <c r="I222" i="22"/>
  <c r="H222" i="23" s="1"/>
  <c r="I204" i="22"/>
  <c r="H204" i="23" s="1"/>
  <c r="J204" i="22"/>
  <c r="I251" i="22"/>
  <c r="H251" i="23" s="1"/>
  <c r="G149" i="24"/>
  <c r="CE149" i="6" s="1"/>
  <c r="AA149" i="24"/>
  <c r="Z149" i="24" s="1"/>
  <c r="Y149" i="24" s="1"/>
  <c r="G298" i="24"/>
  <c r="CE298" i="6" s="1"/>
  <c r="AA298" i="24"/>
  <c r="Z298" i="24" s="1"/>
  <c r="Y298" i="24" s="1"/>
  <c r="G283" i="25"/>
  <c r="CF283" i="6" s="1"/>
  <c r="AA283" i="25"/>
  <c r="Z283" i="25" s="1"/>
  <c r="Y283" i="25" s="1"/>
  <c r="G272" i="25"/>
  <c r="CF272" i="6" s="1"/>
  <c r="AA272" i="25"/>
  <c r="Z272" i="25" s="1"/>
  <c r="Y272" i="25" s="1"/>
  <c r="G376" i="24"/>
  <c r="CE376" i="6" s="1"/>
  <c r="AA376" i="24"/>
  <c r="Z376" i="24" s="1"/>
  <c r="Y376" i="24" s="1"/>
  <c r="G369" i="24"/>
  <c r="CE369" i="6" s="1"/>
  <c r="AA369" i="24"/>
  <c r="Z369" i="24" s="1"/>
  <c r="Y369" i="24" s="1"/>
  <c r="W53" i="25"/>
  <c r="D53" i="25"/>
  <c r="E53" i="25" s="1"/>
  <c r="F53" i="25" s="1"/>
  <c r="G277" i="24"/>
  <c r="CE277" i="6" s="1"/>
  <c r="AA277" i="24"/>
  <c r="Z277" i="24" s="1"/>
  <c r="Y277" i="24" s="1"/>
  <c r="G373" i="24"/>
  <c r="CE373" i="6" s="1"/>
  <c r="AA373" i="24"/>
  <c r="Z373" i="24" s="1"/>
  <c r="Y373" i="24" s="1"/>
  <c r="D7" i="6"/>
  <c r="W7" i="7"/>
  <c r="P4" i="6"/>
  <c r="D43" i="6"/>
  <c r="I69" i="20"/>
  <c r="H69" i="22" s="1"/>
  <c r="J69" i="20"/>
  <c r="J93" i="20"/>
  <c r="I93" i="20"/>
  <c r="H93" i="22" s="1"/>
  <c r="J131" i="20"/>
  <c r="I131" i="20"/>
  <c r="H131" i="22" s="1"/>
  <c r="I221" i="20"/>
  <c r="H221" i="22" s="1"/>
  <c r="J221" i="20"/>
  <c r="G285" i="23"/>
  <c r="CD285" i="6" s="1"/>
  <c r="AA285" i="23"/>
  <c r="Z285" i="23" s="1"/>
  <c r="Y285" i="23" s="1"/>
  <c r="J293" i="20"/>
  <c r="I293" i="20"/>
  <c r="H293" i="22" s="1"/>
  <c r="G327" i="23"/>
  <c r="CD327" i="6" s="1"/>
  <c r="AA327" i="23"/>
  <c r="Z327" i="23" s="1"/>
  <c r="Y327" i="23" s="1"/>
  <c r="G34" i="23"/>
  <c r="CD34" i="6" s="1"/>
  <c r="AA34" i="23"/>
  <c r="Z34" i="23" s="1"/>
  <c r="Y34" i="23" s="1"/>
  <c r="W96" i="24"/>
  <c r="D96" i="24"/>
  <c r="E96" i="24" s="1"/>
  <c r="F96" i="24" s="1"/>
  <c r="B96" i="25"/>
  <c r="W188" i="24"/>
  <c r="D188" i="24"/>
  <c r="E188" i="24" s="1"/>
  <c r="F188" i="24" s="1"/>
  <c r="B188" i="25"/>
  <c r="J294" i="20"/>
  <c r="I294" i="20"/>
  <c r="H294" i="22" s="1"/>
  <c r="W326" i="24"/>
  <c r="D326" i="24"/>
  <c r="E326" i="24" s="1"/>
  <c r="F326" i="24" s="1"/>
  <c r="B326" i="25"/>
  <c r="G372" i="24"/>
  <c r="CE372" i="6" s="1"/>
  <c r="AA372" i="24"/>
  <c r="Z372" i="24" s="1"/>
  <c r="Y372" i="24" s="1"/>
  <c r="D191" i="25"/>
  <c r="E191" i="25" s="1"/>
  <c r="F191" i="25" s="1"/>
  <c r="W191" i="25"/>
  <c r="W18" i="25"/>
  <c r="D18" i="25"/>
  <c r="E18" i="25" s="1"/>
  <c r="F18" i="25" s="1"/>
  <c r="J28" i="20"/>
  <c r="I28" i="20"/>
  <c r="H28" i="22" s="1"/>
  <c r="W122" i="25"/>
  <c r="D122" i="25"/>
  <c r="E122" i="25" s="1"/>
  <c r="F122" i="25" s="1"/>
  <c r="G138" i="24"/>
  <c r="CE138" i="6" s="1"/>
  <c r="AA138" i="24"/>
  <c r="Z138" i="24" s="1"/>
  <c r="Y138" i="24" s="1"/>
  <c r="I138" i="20"/>
  <c r="H138" i="22" s="1"/>
  <c r="J138" i="20"/>
  <c r="G202" i="24"/>
  <c r="CE202" i="6" s="1"/>
  <c r="AA202" i="24"/>
  <c r="Z202" i="24" s="1"/>
  <c r="Y202" i="24" s="1"/>
  <c r="G262" i="24"/>
  <c r="CE262" i="6" s="1"/>
  <c r="AA262" i="24"/>
  <c r="Z262" i="24" s="1"/>
  <c r="Y262" i="24" s="1"/>
  <c r="D280" i="25"/>
  <c r="E280" i="25" s="1"/>
  <c r="F280" i="25" s="1"/>
  <c r="W280" i="25"/>
  <c r="AA280" i="24"/>
  <c r="Z280" i="24" s="1"/>
  <c r="Y280" i="24" s="1"/>
  <c r="G280" i="24"/>
  <c r="CE280" i="6" s="1"/>
  <c r="W324" i="25"/>
  <c r="D324" i="25"/>
  <c r="E324" i="25" s="1"/>
  <c r="F324" i="25" s="1"/>
  <c r="D25" i="25"/>
  <c r="E25" i="25" s="1"/>
  <c r="F25" i="25" s="1"/>
  <c r="W25" i="25"/>
  <c r="G51" i="24"/>
  <c r="CE51" i="6" s="1"/>
  <c r="AA51" i="24"/>
  <c r="Z51" i="24" s="1"/>
  <c r="Y51" i="24" s="1"/>
  <c r="D85" i="25"/>
  <c r="E85" i="25" s="1"/>
  <c r="F85" i="25" s="1"/>
  <c r="W85" i="25"/>
  <c r="G109" i="24"/>
  <c r="CE109" i="6" s="1"/>
  <c r="AA109" i="24"/>
  <c r="Z109" i="24" s="1"/>
  <c r="Y109" i="24" s="1"/>
  <c r="G199" i="24"/>
  <c r="CE199" i="6" s="1"/>
  <c r="AA199" i="24"/>
  <c r="Z199" i="24" s="1"/>
  <c r="Y199" i="24" s="1"/>
  <c r="D243" i="25"/>
  <c r="E243" i="25" s="1"/>
  <c r="F243" i="25" s="1"/>
  <c r="W243" i="25"/>
  <c r="G243" i="24"/>
  <c r="CE243" i="6" s="1"/>
  <c r="AA243" i="24"/>
  <c r="Z243" i="24" s="1"/>
  <c r="Y243" i="24" s="1"/>
  <c r="G345" i="24"/>
  <c r="CE345" i="6" s="1"/>
  <c r="AA345" i="24"/>
  <c r="Z345" i="24" s="1"/>
  <c r="Y345" i="24" s="1"/>
  <c r="W355" i="25"/>
  <c r="D355" i="25"/>
  <c r="E355" i="25" s="1"/>
  <c r="F355" i="25" s="1"/>
  <c r="G24" i="24"/>
  <c r="CE24" i="6" s="1"/>
  <c r="AA24" i="24"/>
  <c r="Z24" i="24" s="1"/>
  <c r="Y24" i="24" s="1"/>
  <c r="W36" i="25"/>
  <c r="D36" i="25"/>
  <c r="E36" i="25" s="1"/>
  <c r="F36" i="25" s="1"/>
  <c r="G72" i="24"/>
  <c r="CE72" i="6" s="1"/>
  <c r="AA72" i="24"/>
  <c r="Z72" i="24" s="1"/>
  <c r="Y72" i="24" s="1"/>
  <c r="I186" i="22"/>
  <c r="H186" i="23" s="1"/>
  <c r="I198" i="20"/>
  <c r="H198" i="22" s="1"/>
  <c r="J198" i="20"/>
  <c r="I206" i="20"/>
  <c r="H206" i="22" s="1"/>
  <c r="J206" i="20"/>
  <c r="I214" i="20"/>
  <c r="H214" i="22" s="1"/>
  <c r="J214" i="20"/>
  <c r="I264" i="20"/>
  <c r="H264" i="22" s="1"/>
  <c r="J264" i="20"/>
  <c r="I314" i="20"/>
  <c r="H314" i="22" s="1"/>
  <c r="J314" i="20"/>
  <c r="J78" i="20"/>
  <c r="I78" i="20"/>
  <c r="H78" i="22" s="1"/>
  <c r="I289" i="20"/>
  <c r="H289" i="22" s="1"/>
  <c r="J289" i="20"/>
  <c r="J378" i="20"/>
  <c r="I378" i="20"/>
  <c r="H378" i="22" s="1"/>
  <c r="J182" i="20"/>
  <c r="I182" i="20"/>
  <c r="H182" i="22" s="1"/>
  <c r="I236" i="20"/>
  <c r="H236" i="22" s="1"/>
  <c r="J236" i="20"/>
  <c r="I98" i="20"/>
  <c r="H98" i="22" s="1"/>
  <c r="J98" i="20"/>
  <c r="I157" i="20"/>
  <c r="H157" i="22" s="1"/>
  <c r="J157" i="20"/>
  <c r="J62" i="20"/>
  <c r="I62" i="20"/>
  <c r="H62" i="22" s="1"/>
  <c r="J81" i="20"/>
  <c r="I81" i="20"/>
  <c r="H81" i="22" s="1"/>
  <c r="J295" i="20"/>
  <c r="I295" i="20"/>
  <c r="H295" i="22" s="1"/>
  <c r="G226" i="25"/>
  <c r="CF226" i="6" s="1"/>
  <c r="AA226" i="25"/>
  <c r="Z226" i="25" s="1"/>
  <c r="Y226" i="25" s="1"/>
  <c r="G349" i="25"/>
  <c r="CF349" i="6" s="1"/>
  <c r="AA349" i="25"/>
  <c r="Z349" i="25" s="1"/>
  <c r="Y349" i="25" s="1"/>
  <c r="G171" i="25"/>
  <c r="CF171" i="6" s="1"/>
  <c r="AA171" i="25"/>
  <c r="Z171" i="25" s="1"/>
  <c r="Y171" i="25" s="1"/>
  <c r="AA154" i="25"/>
  <c r="Z154" i="25" s="1"/>
  <c r="Y154" i="25" s="1"/>
  <c r="G154" i="25"/>
  <c r="CF154" i="6" s="1"/>
  <c r="AA210" i="24"/>
  <c r="Z210" i="24" s="1"/>
  <c r="Y210" i="24" s="1"/>
  <c r="G210" i="24"/>
  <c r="CE210" i="6" s="1"/>
  <c r="G130" i="24"/>
  <c r="CE130" i="6" s="1"/>
  <c r="AA130" i="24"/>
  <c r="Z130" i="24" s="1"/>
  <c r="Y130" i="24" s="1"/>
  <c r="AA77" i="24"/>
  <c r="Z77" i="24" s="1"/>
  <c r="Y77" i="24" s="1"/>
  <c r="G77" i="24"/>
  <c r="CE77" i="6" s="1"/>
  <c r="G159" i="24"/>
  <c r="CE159" i="6" s="1"/>
  <c r="AA159" i="24"/>
  <c r="Z159" i="24" s="1"/>
  <c r="Y159" i="24" s="1"/>
  <c r="G249" i="24"/>
  <c r="CE249" i="6" s="1"/>
  <c r="AA249" i="24"/>
  <c r="Z249" i="24" s="1"/>
  <c r="Y249" i="24" s="1"/>
  <c r="W294" i="25"/>
  <c r="D294" i="25"/>
  <c r="E294" i="25" s="1"/>
  <c r="F294" i="25" s="1"/>
  <c r="G116" i="25"/>
  <c r="CF116" i="6" s="1"/>
  <c r="AA116" i="25"/>
  <c r="Z116" i="25" s="1"/>
  <c r="Y116" i="25" s="1"/>
  <c r="G265" i="24"/>
  <c r="CE265" i="6" s="1"/>
  <c r="AA265" i="24"/>
  <c r="Z265" i="24" s="1"/>
  <c r="Y265" i="24" s="1"/>
  <c r="G89" i="24"/>
  <c r="CE89" i="6" s="1"/>
  <c r="AA89" i="24"/>
  <c r="Z89" i="24" s="1"/>
  <c r="Y89" i="24" s="1"/>
  <c r="G173" i="24"/>
  <c r="CE173" i="6" s="1"/>
  <c r="AA173" i="24"/>
  <c r="Z173" i="24" s="1"/>
  <c r="Y173" i="24" s="1"/>
  <c r="G263" i="25"/>
  <c r="CF263" i="6" s="1"/>
  <c r="AA263" i="25"/>
  <c r="Z263" i="25" s="1"/>
  <c r="Y263" i="25" s="1"/>
  <c r="G108" i="24"/>
  <c r="CE108" i="6" s="1"/>
  <c r="AA108" i="24"/>
  <c r="Z108" i="24" s="1"/>
  <c r="Y108" i="24" s="1"/>
  <c r="X4" i="6"/>
  <c r="D155" i="6"/>
  <c r="W141" i="24"/>
  <c r="B141" i="25"/>
  <c r="D141" i="24"/>
  <c r="E141" i="24" s="1"/>
  <c r="F141" i="24" s="1"/>
  <c r="I179" i="22"/>
  <c r="H179" i="23" s="1"/>
  <c r="B211" i="25"/>
  <c r="W211" i="24"/>
  <c r="D211" i="24"/>
  <c r="E211" i="24" s="1"/>
  <c r="F211" i="24" s="1"/>
  <c r="W301" i="24"/>
  <c r="D301" i="24"/>
  <c r="E301" i="24" s="1"/>
  <c r="F301" i="24" s="1"/>
  <c r="B301" i="25"/>
  <c r="D375" i="24"/>
  <c r="E375" i="24" s="1"/>
  <c r="F375" i="24" s="1"/>
  <c r="B375" i="25"/>
  <c r="W375" i="24"/>
  <c r="D381" i="22"/>
  <c r="E9" i="22"/>
  <c r="E382" i="22"/>
  <c r="AJ10" i="22"/>
  <c r="G175" i="23"/>
  <c r="CD175" i="6" s="1"/>
  <c r="AA175" i="23"/>
  <c r="Z175" i="23" s="1"/>
  <c r="Y175" i="23" s="1"/>
  <c r="I281" i="20"/>
  <c r="H281" i="22" s="1"/>
  <c r="J281" i="20"/>
  <c r="I92" i="22"/>
  <c r="H92" i="23" s="1"/>
  <c r="I328" i="22"/>
  <c r="H328" i="23" s="1"/>
  <c r="J71" i="22"/>
  <c r="I71" i="22"/>
  <c r="H71" i="23" s="1"/>
  <c r="W123" i="24"/>
  <c r="D123" i="24"/>
  <c r="E123" i="24" s="1"/>
  <c r="F123" i="24" s="1"/>
  <c r="B123" i="25"/>
  <c r="G181" i="23"/>
  <c r="CD181" i="6" s="1"/>
  <c r="AA181" i="23"/>
  <c r="Z181" i="23" s="1"/>
  <c r="Y181" i="23" s="1"/>
  <c r="W215" i="24"/>
  <c r="D215" i="24"/>
  <c r="E215" i="24" s="1"/>
  <c r="F215" i="24" s="1"/>
  <c r="B215" i="25"/>
  <c r="G275" i="24"/>
  <c r="CE275" i="6" s="1"/>
  <c r="AA275" i="24"/>
  <c r="Z275" i="24" s="1"/>
  <c r="Y275" i="24" s="1"/>
  <c r="G303" i="24"/>
  <c r="CE303" i="6" s="1"/>
  <c r="AA303" i="24"/>
  <c r="Z303" i="24" s="1"/>
  <c r="Y303" i="24" s="1"/>
  <c r="W371" i="24"/>
  <c r="D371" i="24"/>
  <c r="E371" i="24" s="1"/>
  <c r="F371" i="24" s="1"/>
  <c r="B371" i="25"/>
  <c r="G231" i="23"/>
  <c r="CD231" i="6" s="1"/>
  <c r="AA231" i="23"/>
  <c r="Z231" i="23" s="1"/>
  <c r="Y231" i="23" s="1"/>
  <c r="G313" i="23"/>
  <c r="CD313" i="6" s="1"/>
  <c r="AA313" i="23"/>
  <c r="Z313" i="23" s="1"/>
  <c r="Y313" i="23" s="1"/>
  <c r="W20" i="24"/>
  <c r="D20" i="24"/>
  <c r="E20" i="24" s="1"/>
  <c r="F20" i="24" s="1"/>
  <c r="B20" i="25"/>
  <c r="I160" i="22"/>
  <c r="H160" i="23" s="1"/>
  <c r="J160" i="22"/>
  <c r="J234" i="22"/>
  <c r="I234" i="22"/>
  <c r="H234" i="23" s="1"/>
  <c r="I57" i="22"/>
  <c r="H57" i="23" s="1"/>
  <c r="I129" i="22"/>
  <c r="H129" i="23" s="1"/>
  <c r="I30" i="22"/>
  <c r="H30" i="23" s="1"/>
  <c r="D158" i="24"/>
  <c r="E158" i="24" s="1"/>
  <c r="F158" i="24" s="1"/>
  <c r="B158" i="25"/>
  <c r="W158" i="24"/>
  <c r="G190" i="24"/>
  <c r="CE190" i="6" s="1"/>
  <c r="AA190" i="24"/>
  <c r="Z190" i="24" s="1"/>
  <c r="Y190" i="24" s="1"/>
  <c r="W200" i="24"/>
  <c r="D200" i="24"/>
  <c r="E200" i="24" s="1"/>
  <c r="F200" i="24" s="1"/>
  <c r="B200" i="25"/>
  <c r="G224" i="23"/>
  <c r="CD224" i="6" s="1"/>
  <c r="AA224" i="23"/>
  <c r="Z224" i="23" s="1"/>
  <c r="Y224" i="23" s="1"/>
  <c r="B286" i="25"/>
  <c r="W286" i="24"/>
  <c r="D286" i="24"/>
  <c r="E286" i="24" s="1"/>
  <c r="F286" i="24" s="1"/>
  <c r="G286" i="23"/>
  <c r="CD286" i="6" s="1"/>
  <c r="AA286" i="23"/>
  <c r="Z286" i="23" s="1"/>
  <c r="Y286" i="23" s="1"/>
  <c r="G338" i="23"/>
  <c r="CD338" i="6" s="1"/>
  <c r="AA338" i="23"/>
  <c r="Z338" i="23" s="1"/>
  <c r="Y338" i="23" s="1"/>
  <c r="D358" i="24"/>
  <c r="E358" i="24" s="1"/>
  <c r="F358" i="24" s="1"/>
  <c r="B358" i="25"/>
  <c r="W358" i="24"/>
  <c r="G64" i="23"/>
  <c r="CD64" i="6" s="1"/>
  <c r="AA64" i="23"/>
  <c r="Z64" i="23" s="1"/>
  <c r="Y64" i="23" s="1"/>
  <c r="B205" i="25"/>
  <c r="W205" i="24"/>
  <c r="D205" i="24"/>
  <c r="E205" i="24" s="1"/>
  <c r="F205" i="24" s="1"/>
  <c r="G207" i="23"/>
  <c r="CD207" i="6" s="1"/>
  <c r="AA207" i="23"/>
  <c r="Z207" i="23" s="1"/>
  <c r="Y207" i="23" s="1"/>
  <c r="W299" i="24"/>
  <c r="B299" i="25"/>
  <c r="D299" i="24"/>
  <c r="E299" i="24" s="1"/>
  <c r="F299" i="24" s="1"/>
  <c r="G306" i="23"/>
  <c r="CD306" i="6" s="1"/>
  <c r="AA306" i="23"/>
  <c r="Z306" i="23" s="1"/>
  <c r="Y306" i="23" s="1"/>
  <c r="W353" i="24"/>
  <c r="B353" i="25"/>
  <c r="D353" i="24"/>
  <c r="E353" i="24" s="1"/>
  <c r="F353" i="24" s="1"/>
  <c r="G229" i="23"/>
  <c r="CD229" i="6" s="1"/>
  <c r="AA229" i="23"/>
  <c r="Z229" i="23" s="1"/>
  <c r="Y229" i="23" s="1"/>
  <c r="B32" i="25"/>
  <c r="W32" i="24"/>
  <c r="D32" i="24"/>
  <c r="E32" i="24" s="1"/>
  <c r="F32" i="24" s="1"/>
  <c r="B331" i="25"/>
  <c r="W331" i="24"/>
  <c r="D331" i="24"/>
  <c r="E331" i="24" s="1"/>
  <c r="F331" i="24" s="1"/>
  <c r="G100" i="23"/>
  <c r="CD100" i="6" s="1"/>
  <c r="AA100" i="23"/>
  <c r="Z100" i="23" s="1"/>
  <c r="Y100" i="23" s="1"/>
  <c r="W38" i="24"/>
  <c r="D38" i="24"/>
  <c r="E38" i="24" s="1"/>
  <c r="F38" i="24" s="1"/>
  <c r="B38" i="25"/>
  <c r="G174" i="23"/>
  <c r="CD174" i="6" s="1"/>
  <c r="AA174" i="23"/>
  <c r="Z174" i="23" s="1"/>
  <c r="Y174" i="23" s="1"/>
  <c r="W350" i="24"/>
  <c r="B350" i="25"/>
  <c r="D350" i="24"/>
  <c r="E350" i="24" s="1"/>
  <c r="F350" i="24" s="1"/>
  <c r="AA26" i="23"/>
  <c r="Z26" i="23" s="1"/>
  <c r="Y26" i="23" s="1"/>
  <c r="G26" i="23"/>
  <c r="CD26" i="6" s="1"/>
  <c r="B57" i="25"/>
  <c r="W57" i="24"/>
  <c r="D57" i="24"/>
  <c r="E57" i="24" s="1"/>
  <c r="F57" i="24" s="1"/>
  <c r="G113" i="23"/>
  <c r="CD113" i="6" s="1"/>
  <c r="AA113" i="23"/>
  <c r="Z113" i="23" s="1"/>
  <c r="Y113" i="23" s="1"/>
  <c r="D129" i="24"/>
  <c r="E129" i="24" s="1"/>
  <c r="F129" i="24" s="1"/>
  <c r="B129" i="25"/>
  <c r="W129" i="24"/>
  <c r="G213" i="23"/>
  <c r="CD213" i="6" s="1"/>
  <c r="AA213" i="23"/>
  <c r="Z213" i="23" s="1"/>
  <c r="Y213" i="23" s="1"/>
  <c r="W239" i="24"/>
  <c r="B239" i="25"/>
  <c r="D239" i="24"/>
  <c r="E239" i="24" s="1"/>
  <c r="F239" i="24" s="1"/>
  <c r="W315" i="24"/>
  <c r="B315" i="25"/>
  <c r="D315" i="24"/>
  <c r="E315" i="24" s="1"/>
  <c r="F315" i="24" s="1"/>
  <c r="G351" i="23"/>
  <c r="CD351" i="6" s="1"/>
  <c r="AA351" i="23"/>
  <c r="Z351" i="23" s="1"/>
  <c r="Y351" i="23" s="1"/>
  <c r="W30" i="24"/>
  <c r="B30" i="25"/>
  <c r="D30" i="24"/>
  <c r="E30" i="24" s="1"/>
  <c r="F30" i="24" s="1"/>
  <c r="G54" i="23"/>
  <c r="CD54" i="6" s="1"/>
  <c r="AA54" i="23"/>
  <c r="Z54" i="23" s="1"/>
  <c r="Y54" i="23" s="1"/>
  <c r="W82" i="24"/>
  <c r="D82" i="24"/>
  <c r="E82" i="24" s="1"/>
  <c r="F82" i="24" s="1"/>
  <c r="B82" i="25"/>
  <c r="I38" i="22"/>
  <c r="H38" i="23" s="1"/>
  <c r="J302" i="20"/>
  <c r="I302" i="20"/>
  <c r="H302" i="22" s="1"/>
  <c r="J83" i="20"/>
  <c r="I83" i="20"/>
  <c r="H83" i="22" s="1"/>
  <c r="I65" i="20"/>
  <c r="H65" i="22" s="1"/>
  <c r="J65" i="20"/>
  <c r="J159" i="20"/>
  <c r="I159" i="20"/>
  <c r="H159" i="22" s="1"/>
  <c r="J75" i="20"/>
  <c r="I75" i="20"/>
  <c r="H75" i="22" s="1"/>
  <c r="I325" i="20"/>
  <c r="H325" i="22" s="1"/>
  <c r="J325" i="20"/>
  <c r="J197" i="20"/>
  <c r="I197" i="20"/>
  <c r="H197" i="22" s="1"/>
  <c r="I101" i="20"/>
  <c r="H101" i="22" s="1"/>
  <c r="J101" i="20"/>
  <c r="J99" i="20"/>
  <c r="I99" i="20"/>
  <c r="H99" i="22" s="1"/>
  <c r="I187" i="20"/>
  <c r="H187" i="22" s="1"/>
  <c r="J187" i="20"/>
  <c r="J263" i="20"/>
  <c r="I263" i="20"/>
  <c r="H263" i="22" s="1"/>
  <c r="I127" i="20"/>
  <c r="H127" i="22" s="1"/>
  <c r="J127" i="20"/>
  <c r="J267" i="20"/>
  <c r="I267" i="20"/>
  <c r="H267" i="22" s="1"/>
  <c r="I183" i="20"/>
  <c r="H183" i="22" s="1"/>
  <c r="J183" i="20"/>
  <c r="J367" i="20"/>
  <c r="I367" i="20"/>
  <c r="H367" i="22" s="1"/>
  <c r="I372" i="20"/>
  <c r="H372" i="22" s="1"/>
  <c r="J372" i="20"/>
  <c r="J154" i="20"/>
  <c r="I154" i="20"/>
  <c r="H154" i="22" s="1"/>
  <c r="J169" i="20"/>
  <c r="I169" i="20"/>
  <c r="H169" i="22" s="1"/>
  <c r="J189" i="20"/>
  <c r="I189" i="20"/>
  <c r="H189" i="22" s="1"/>
  <c r="I241" i="20"/>
  <c r="H241" i="22" s="1"/>
  <c r="J241" i="20"/>
  <c r="I146" i="20"/>
  <c r="H146" i="22" s="1"/>
  <c r="J146" i="20"/>
  <c r="J135" i="20"/>
  <c r="I135" i="20"/>
  <c r="H135" i="22" s="1"/>
  <c r="D119" i="25"/>
  <c r="E119" i="25" s="1"/>
  <c r="F119" i="25" s="1"/>
  <c r="W119" i="25"/>
  <c r="W16" i="25"/>
  <c r="D16" i="25"/>
  <c r="E16" i="25" s="1"/>
  <c r="F16" i="25" s="1"/>
  <c r="W208" i="25"/>
  <c r="D208" i="25"/>
  <c r="E208" i="25" s="1"/>
  <c r="F208" i="25" s="1"/>
  <c r="W227" i="25"/>
  <c r="D227" i="25"/>
  <c r="E227" i="25" s="1"/>
  <c r="F227" i="25" s="1"/>
  <c r="W216" i="25"/>
  <c r="D216" i="25"/>
  <c r="E216" i="25" s="1"/>
  <c r="F216" i="25" s="1"/>
  <c r="W95" i="25"/>
  <c r="D95" i="25"/>
  <c r="E95" i="25" s="1"/>
  <c r="F95" i="25" s="1"/>
  <c r="G95" i="24"/>
  <c r="CE95" i="6" s="1"/>
  <c r="AA95" i="24"/>
  <c r="Z95" i="24" s="1"/>
  <c r="Y95" i="24" s="1"/>
  <c r="AA63" i="25"/>
  <c r="Z63" i="25" s="1"/>
  <c r="Y63" i="25" s="1"/>
  <c r="G63" i="25"/>
  <c r="CF63" i="6" s="1"/>
  <c r="G247" i="25"/>
  <c r="CF247" i="6" s="1"/>
  <c r="AA247" i="25"/>
  <c r="Z247" i="25" s="1"/>
  <c r="Y247" i="25" s="1"/>
  <c r="G361" i="25"/>
  <c r="CF361" i="6" s="1"/>
  <c r="AA361" i="25"/>
  <c r="Z361" i="25" s="1"/>
  <c r="Y361" i="25" s="1"/>
  <c r="G228" i="24"/>
  <c r="CE228" i="6" s="1"/>
  <c r="AA228" i="24"/>
  <c r="Z228" i="24" s="1"/>
  <c r="Y228" i="24" s="1"/>
  <c r="W300" i="25"/>
  <c r="D300" i="25"/>
  <c r="E300" i="25" s="1"/>
  <c r="F300" i="25" s="1"/>
  <c r="G300" i="24"/>
  <c r="CE300" i="6" s="1"/>
  <c r="AA300" i="24"/>
  <c r="Z300" i="24" s="1"/>
  <c r="Y300" i="24" s="1"/>
  <c r="W253" i="25"/>
  <c r="D253" i="25"/>
  <c r="E253" i="25" s="1"/>
  <c r="F253" i="25" s="1"/>
  <c r="AA55" i="25"/>
  <c r="Z55" i="25" s="1"/>
  <c r="Y55" i="25" s="1"/>
  <c r="G55" i="25"/>
  <c r="CF55" i="6" s="1"/>
  <c r="G197" i="25"/>
  <c r="CF197" i="6" s="1"/>
  <c r="AA197" i="25"/>
  <c r="Z197" i="25" s="1"/>
  <c r="Y197" i="25" s="1"/>
  <c r="G120" i="24"/>
  <c r="CE120" i="6" s="1"/>
  <c r="AA120" i="24"/>
  <c r="Z120" i="24" s="1"/>
  <c r="Y120" i="24" s="1"/>
  <c r="AK4" i="6"/>
  <c r="I316" i="20"/>
  <c r="H316" i="22" s="1"/>
  <c r="J316" i="20"/>
  <c r="J298" i="20"/>
  <c r="I298" i="20"/>
  <c r="H298" i="22" s="1"/>
  <c r="I227" i="20"/>
  <c r="H227" i="22" s="1"/>
  <c r="J227" i="20"/>
  <c r="J347" i="20"/>
  <c r="I347" i="20"/>
  <c r="H347" i="22" s="1"/>
  <c r="W42" i="25"/>
  <c r="D42" i="25"/>
  <c r="E42" i="25" s="1"/>
  <c r="F42" i="25" s="1"/>
  <c r="W84" i="25"/>
  <c r="D84" i="25"/>
  <c r="E84" i="25" s="1"/>
  <c r="F84" i="25" s="1"/>
  <c r="W110" i="25"/>
  <c r="D110" i="25"/>
  <c r="E110" i="25" s="1"/>
  <c r="F110" i="25" s="1"/>
  <c r="W140" i="25"/>
  <c r="D140" i="25"/>
  <c r="E140" i="25" s="1"/>
  <c r="F140" i="25" s="1"/>
  <c r="W220" i="25"/>
  <c r="D220" i="25"/>
  <c r="E220" i="25" s="1"/>
  <c r="F220" i="25" s="1"/>
  <c r="W260" i="25"/>
  <c r="D260" i="25"/>
  <c r="E260" i="25" s="1"/>
  <c r="F260" i="25" s="1"/>
  <c r="G260" i="24"/>
  <c r="CE260" i="6" s="1"/>
  <c r="AA260" i="24"/>
  <c r="Z260" i="24" s="1"/>
  <c r="Y260" i="24" s="1"/>
  <c r="W276" i="25"/>
  <c r="D276" i="25"/>
  <c r="E276" i="25" s="1"/>
  <c r="F276" i="25" s="1"/>
  <c r="W320" i="25"/>
  <c r="D320" i="25"/>
  <c r="E320" i="25" s="1"/>
  <c r="F320" i="25" s="1"/>
  <c r="W258" i="24"/>
  <c r="D258" i="24"/>
  <c r="E258" i="24" s="1"/>
  <c r="F258" i="24" s="1"/>
  <c r="B258" i="25"/>
  <c r="G33" i="24"/>
  <c r="CE33" i="6" s="1"/>
  <c r="AA33" i="24"/>
  <c r="Z33" i="24" s="1"/>
  <c r="Y33" i="24" s="1"/>
  <c r="W131" i="25"/>
  <c r="D131" i="25"/>
  <c r="E131" i="25" s="1"/>
  <c r="F131" i="25" s="1"/>
  <c r="W195" i="25"/>
  <c r="D195" i="25"/>
  <c r="E195" i="25" s="1"/>
  <c r="F195" i="25" s="1"/>
  <c r="W221" i="25"/>
  <c r="D221" i="25"/>
  <c r="E221" i="25" s="1"/>
  <c r="F221" i="25" s="1"/>
  <c r="J34" i="20"/>
  <c r="I34" i="20"/>
  <c r="H34" i="22" s="1"/>
  <c r="J108" i="20"/>
  <c r="I108" i="20"/>
  <c r="H108" i="22" s="1"/>
  <c r="J142" i="20"/>
  <c r="I142" i="20"/>
  <c r="H142" i="22" s="1"/>
  <c r="J192" i="20"/>
  <c r="I192" i="20"/>
  <c r="H192" i="22" s="1"/>
  <c r="J326" i="20"/>
  <c r="I326" i="20"/>
  <c r="H326" i="22" s="1"/>
  <c r="W267" i="25"/>
  <c r="D267" i="25"/>
  <c r="E267" i="25" s="1"/>
  <c r="F267" i="25" s="1"/>
  <c r="AA307" i="24"/>
  <c r="Z307" i="24" s="1"/>
  <c r="Y307" i="24" s="1"/>
  <c r="G307" i="24"/>
  <c r="CE307" i="6" s="1"/>
  <c r="W357" i="25"/>
  <c r="D357" i="25"/>
  <c r="E357" i="25" s="1"/>
  <c r="F357" i="25" s="1"/>
  <c r="D85" i="6"/>
  <c r="S4" i="6"/>
  <c r="AA198" i="24"/>
  <c r="Z198" i="24" s="1"/>
  <c r="Y198" i="24" s="1"/>
  <c r="G198" i="24"/>
  <c r="CE198" i="6" s="1"/>
  <c r="D206" i="25"/>
  <c r="E206" i="25" s="1"/>
  <c r="F206" i="25" s="1"/>
  <c r="W206" i="25"/>
  <c r="D290" i="25"/>
  <c r="E290" i="25" s="1"/>
  <c r="F290" i="25" s="1"/>
  <c r="W290" i="25"/>
  <c r="G314" i="24"/>
  <c r="CE314" i="6" s="1"/>
  <c r="AA314" i="24"/>
  <c r="Z314" i="24" s="1"/>
  <c r="Y314" i="24" s="1"/>
  <c r="G356" i="24"/>
  <c r="CE356" i="6" s="1"/>
  <c r="AA356" i="24"/>
  <c r="Z356" i="24" s="1"/>
  <c r="Y356" i="24" s="1"/>
  <c r="D289" i="25"/>
  <c r="E289" i="25" s="1"/>
  <c r="F289" i="25" s="1"/>
  <c r="W289" i="25"/>
  <c r="G289" i="24"/>
  <c r="CE289" i="6" s="1"/>
  <c r="AA289" i="24"/>
  <c r="Z289" i="24" s="1"/>
  <c r="Y289" i="24" s="1"/>
  <c r="D98" i="25"/>
  <c r="E98" i="25" s="1"/>
  <c r="F98" i="25" s="1"/>
  <c r="W98" i="25"/>
  <c r="AA98" i="24"/>
  <c r="Z98" i="24" s="1"/>
  <c r="Y98" i="24" s="1"/>
  <c r="G98" i="24"/>
  <c r="CE98" i="6" s="1"/>
  <c r="D321" i="25"/>
  <c r="E321" i="25" s="1"/>
  <c r="F321" i="25" s="1"/>
  <c r="W321" i="25"/>
  <c r="AA125" i="24"/>
  <c r="Z125" i="24" s="1"/>
  <c r="Y125" i="24" s="1"/>
  <c r="G125" i="24"/>
  <c r="CE125" i="6" s="1"/>
  <c r="I125" i="20"/>
  <c r="H125" i="22" s="1"/>
  <c r="J125" i="20"/>
  <c r="G309" i="24"/>
  <c r="CE309" i="6" s="1"/>
  <c r="AA309" i="24"/>
  <c r="Z309" i="24" s="1"/>
  <c r="Y309" i="24" s="1"/>
  <c r="W73" i="25"/>
  <c r="D73" i="25"/>
  <c r="E73" i="25" s="1"/>
  <c r="F73" i="25" s="1"/>
  <c r="G62" i="24"/>
  <c r="CE62" i="6" s="1"/>
  <c r="AA62" i="24"/>
  <c r="Z62" i="24" s="1"/>
  <c r="Y62" i="24" s="1"/>
  <c r="W81" i="25"/>
  <c r="D81" i="25"/>
  <c r="E81" i="25" s="1"/>
  <c r="F81" i="25" s="1"/>
  <c r="E7" i="6"/>
  <c r="AC7" i="7"/>
  <c r="G365" i="25"/>
  <c r="CF365" i="6" s="1"/>
  <c r="AA365" i="25"/>
  <c r="Z365" i="25" s="1"/>
  <c r="Y365" i="25" s="1"/>
  <c r="G177" i="24"/>
  <c r="CE177" i="6" s="1"/>
  <c r="AA177" i="24"/>
  <c r="Z177" i="24" s="1"/>
  <c r="Y177" i="24" s="1"/>
  <c r="G319" i="24"/>
  <c r="CE319" i="6" s="1"/>
  <c r="AA319" i="24"/>
  <c r="Z319" i="24" s="1"/>
  <c r="Y319" i="24" s="1"/>
  <c r="G111" i="24"/>
  <c r="CE111" i="6" s="1"/>
  <c r="AA111" i="24"/>
  <c r="Z111" i="24" s="1"/>
  <c r="Y111" i="24" s="1"/>
  <c r="G367" i="25"/>
  <c r="CF367" i="6" s="1"/>
  <c r="AA367" i="25"/>
  <c r="Z367" i="25" s="1"/>
  <c r="Y367" i="25" s="1"/>
  <c r="F11" i="20"/>
  <c r="G40" i="19" s="1"/>
  <c r="G16" i="19"/>
  <c r="J40" i="19" s="1"/>
  <c r="AB9" i="20"/>
  <c r="J60" i="20"/>
  <c r="I60" i="20"/>
  <c r="H60" i="22" s="1"/>
  <c r="J67" i="20"/>
  <c r="I67" i="20"/>
  <c r="H67" i="22" s="1"/>
  <c r="I349" i="20"/>
  <c r="H349" i="22" s="1"/>
  <c r="J349" i="20"/>
  <c r="J248" i="20"/>
  <c r="I248" i="20"/>
  <c r="H248" i="22" s="1"/>
  <c r="J283" i="20"/>
  <c r="I283" i="20"/>
  <c r="H283" i="22" s="1"/>
  <c r="J194" i="20"/>
  <c r="I194" i="20"/>
  <c r="H194" i="22" s="1"/>
  <c r="I284" i="20"/>
  <c r="H284" i="22" s="1"/>
  <c r="J284" i="20"/>
  <c r="I287" i="20"/>
  <c r="H287" i="22" s="1"/>
  <c r="J287" i="20"/>
  <c r="I55" i="20"/>
  <c r="H55" i="22" s="1"/>
  <c r="J55" i="20"/>
  <c r="J255" i="20"/>
  <c r="I255" i="20"/>
  <c r="H255" i="22" s="1"/>
  <c r="I273" i="20"/>
  <c r="H273" i="22" s="1"/>
  <c r="J273" i="20"/>
  <c r="J361" i="20"/>
  <c r="I361" i="20"/>
  <c r="H361" i="22" s="1"/>
  <c r="J257" i="20"/>
  <c r="I257" i="20"/>
  <c r="H257" i="22" s="1"/>
  <c r="H9" i="24"/>
  <c r="AK6" i="24"/>
  <c r="B383" i="24"/>
  <c r="B381" i="24"/>
  <c r="J161" i="20"/>
  <c r="I161" i="20"/>
  <c r="H161" i="22" s="1"/>
  <c r="J130" i="20"/>
  <c r="I130" i="20"/>
  <c r="H130" i="22" s="1"/>
  <c r="I265" i="20"/>
  <c r="H265" i="22" s="1"/>
  <c r="J265" i="20"/>
  <c r="I37" i="20"/>
  <c r="H37" i="22" s="1"/>
  <c r="J37" i="20"/>
  <c r="J89" i="20"/>
  <c r="I89" i="20"/>
  <c r="H89" i="22" s="1"/>
  <c r="I185" i="20"/>
  <c r="H185" i="22" s="1"/>
  <c r="J185" i="20"/>
  <c r="J271" i="20"/>
  <c r="I271" i="20"/>
  <c r="H271" i="22" s="1"/>
  <c r="D70" i="24"/>
  <c r="E70" i="24" s="1"/>
  <c r="F70" i="24" s="1"/>
  <c r="W70" i="24"/>
  <c r="B70" i="25"/>
  <c r="G106" i="23"/>
  <c r="CD106" i="6" s="1"/>
  <c r="AA106" i="23"/>
  <c r="Z106" i="23" s="1"/>
  <c r="Y106" i="23" s="1"/>
  <c r="W136" i="24"/>
  <c r="D136" i="24"/>
  <c r="E136" i="24" s="1"/>
  <c r="F136" i="24" s="1"/>
  <c r="B136" i="25"/>
  <c r="W178" i="24"/>
  <c r="D178" i="24"/>
  <c r="E178" i="24" s="1"/>
  <c r="F178" i="24" s="1"/>
  <c r="B178" i="25"/>
  <c r="G254" i="23"/>
  <c r="CD254" i="6" s="1"/>
  <c r="AA254" i="23"/>
  <c r="Z254" i="23" s="1"/>
  <c r="Y254" i="23" s="1"/>
  <c r="W274" i="24"/>
  <c r="D274" i="24"/>
  <c r="E274" i="24" s="1"/>
  <c r="F274" i="24" s="1"/>
  <c r="B274" i="25"/>
  <c r="G318" i="23"/>
  <c r="CD318" i="6" s="1"/>
  <c r="AA318" i="23"/>
  <c r="Z318" i="23" s="1"/>
  <c r="Y318" i="23" s="1"/>
  <c r="W352" i="24"/>
  <c r="D352" i="24"/>
  <c r="E352" i="24" s="1"/>
  <c r="F352" i="24" s="1"/>
  <c r="B352" i="25"/>
  <c r="G31" i="23"/>
  <c r="CD31" i="6" s="1"/>
  <c r="AA31" i="23"/>
  <c r="Z31" i="23" s="1"/>
  <c r="Y31" i="23" s="1"/>
  <c r="W49" i="24"/>
  <c r="D49" i="24"/>
  <c r="E49" i="24" s="1"/>
  <c r="F49" i="24" s="1"/>
  <c r="B49" i="25"/>
  <c r="W94" i="25"/>
  <c r="D94" i="25"/>
  <c r="E94" i="25" s="1"/>
  <c r="F94" i="25" s="1"/>
  <c r="G94" i="24"/>
  <c r="CE94" i="6" s="1"/>
  <c r="AA94" i="24"/>
  <c r="Z94" i="24" s="1"/>
  <c r="Y94" i="24" s="1"/>
  <c r="I112" i="22"/>
  <c r="H112" i="23" s="1"/>
  <c r="W144" i="24"/>
  <c r="D144" i="24"/>
  <c r="E144" i="24" s="1"/>
  <c r="F144" i="24" s="1"/>
  <c r="B144" i="25"/>
  <c r="D296" i="24"/>
  <c r="E296" i="24" s="1"/>
  <c r="F296" i="24" s="1"/>
  <c r="W296" i="24"/>
  <c r="B296" i="25"/>
  <c r="I348" i="22"/>
  <c r="H348" i="23" s="1"/>
  <c r="W39" i="24"/>
  <c r="D39" i="24"/>
  <c r="E39" i="24" s="1"/>
  <c r="F39" i="24" s="1"/>
  <c r="B39" i="25"/>
  <c r="W151" i="24"/>
  <c r="B151" i="25"/>
  <c r="D151" i="24"/>
  <c r="E151" i="24" s="1"/>
  <c r="F151" i="24" s="1"/>
  <c r="J245" i="20"/>
  <c r="I245" i="20"/>
  <c r="H245" i="22" s="1"/>
  <c r="I373" i="20"/>
  <c r="H373" i="22" s="1"/>
  <c r="J373" i="20"/>
  <c r="G124" i="23"/>
  <c r="CD124" i="6" s="1"/>
  <c r="AA124" i="23"/>
  <c r="Z124" i="23" s="1"/>
  <c r="Y124" i="23" s="1"/>
  <c r="W184" i="24"/>
  <c r="B184" i="25"/>
  <c r="D184" i="24"/>
  <c r="E184" i="24" s="1"/>
  <c r="F184" i="24" s="1"/>
  <c r="G256" i="23"/>
  <c r="CD256" i="6" s="1"/>
  <c r="AA256" i="23"/>
  <c r="Z256" i="23" s="1"/>
  <c r="Y256" i="23" s="1"/>
  <c r="W292" i="24"/>
  <c r="D292" i="24"/>
  <c r="E292" i="24" s="1"/>
  <c r="F292" i="24" s="1"/>
  <c r="B292" i="25"/>
  <c r="G330" i="23"/>
  <c r="CD330" i="6" s="1"/>
  <c r="AA330" i="23"/>
  <c r="Z330" i="23" s="1"/>
  <c r="Y330" i="23" s="1"/>
  <c r="W364" i="24"/>
  <c r="B364" i="25"/>
  <c r="D364" i="24"/>
  <c r="E364" i="24" s="1"/>
  <c r="F364" i="24" s="1"/>
  <c r="B41" i="25"/>
  <c r="W41" i="24"/>
  <c r="D41" i="24"/>
  <c r="E41" i="24" s="1"/>
  <c r="F41" i="24" s="1"/>
  <c r="G91" i="23"/>
  <c r="CD91" i="6" s="1"/>
  <c r="AA91" i="23"/>
  <c r="Z91" i="23" s="1"/>
  <c r="Y91" i="23" s="1"/>
  <c r="W117" i="24"/>
  <c r="B117" i="25"/>
  <c r="D117" i="24"/>
  <c r="E117" i="24" s="1"/>
  <c r="F117" i="24" s="1"/>
  <c r="G165" i="23"/>
  <c r="CD165" i="6" s="1"/>
  <c r="AA165" i="23"/>
  <c r="Z165" i="23" s="1"/>
  <c r="Y165" i="23" s="1"/>
  <c r="W225" i="24"/>
  <c r="B225" i="25"/>
  <c r="D225" i="24"/>
  <c r="E225" i="24" s="1"/>
  <c r="F225" i="24" s="1"/>
  <c r="G279" i="23"/>
  <c r="CD279" i="6" s="1"/>
  <c r="AA279" i="23"/>
  <c r="Z279" i="23" s="1"/>
  <c r="Y279" i="23" s="1"/>
  <c r="W343" i="24"/>
  <c r="B343" i="25"/>
  <c r="D343" i="24"/>
  <c r="E343" i="24" s="1"/>
  <c r="F343" i="24" s="1"/>
  <c r="G377" i="23"/>
  <c r="CD377" i="6" s="1"/>
  <c r="AA377" i="23"/>
  <c r="Z377" i="23" s="1"/>
  <c r="Y377" i="23" s="1"/>
  <c r="W40" i="24"/>
  <c r="B40" i="25"/>
  <c r="D40" i="24"/>
  <c r="E40" i="24" s="1"/>
  <c r="F40" i="24" s="1"/>
  <c r="AA68" i="23"/>
  <c r="Z68" i="23" s="1"/>
  <c r="Y68" i="23" s="1"/>
  <c r="G68" i="23"/>
  <c r="CD68" i="6" s="1"/>
  <c r="AA366" i="23"/>
  <c r="Z366" i="23" s="1"/>
  <c r="Y366" i="23" s="1"/>
  <c r="G366" i="23"/>
  <c r="CD366" i="6" s="1"/>
  <c r="D222" i="24"/>
  <c r="E222" i="24" s="1"/>
  <c r="F222" i="24" s="1"/>
  <c r="B222" i="25"/>
  <c r="W222" i="24"/>
  <c r="G204" i="23"/>
  <c r="CD204" i="6" s="1"/>
  <c r="AA204" i="23"/>
  <c r="Z204" i="23" s="1"/>
  <c r="Y204" i="23" s="1"/>
  <c r="W252" i="24"/>
  <c r="B252" i="25"/>
  <c r="D252" i="24"/>
  <c r="E252" i="24" s="1"/>
  <c r="F252" i="24" s="1"/>
  <c r="G305" i="23"/>
  <c r="CD305" i="6" s="1"/>
  <c r="AA305" i="23"/>
  <c r="Z305" i="23" s="1"/>
  <c r="Y305" i="23" s="1"/>
  <c r="B152" i="25"/>
  <c r="W152" i="24"/>
  <c r="D152" i="24"/>
  <c r="E152" i="24" s="1"/>
  <c r="F152" i="24" s="1"/>
  <c r="G52" i="23"/>
  <c r="CD52" i="6" s="1"/>
  <c r="AA52" i="23"/>
  <c r="Z52" i="23" s="1"/>
  <c r="Y52" i="23" s="1"/>
  <c r="W103" i="24"/>
  <c r="D103" i="24"/>
  <c r="E103" i="24" s="1"/>
  <c r="F103" i="24" s="1"/>
  <c r="B103" i="25"/>
  <c r="G235" i="23"/>
  <c r="CD235" i="6" s="1"/>
  <c r="AA235" i="23"/>
  <c r="Z235" i="23" s="1"/>
  <c r="Y235" i="23" s="1"/>
  <c r="D251" i="24"/>
  <c r="E251" i="24" s="1"/>
  <c r="F251" i="24" s="1"/>
  <c r="B251" i="25"/>
  <c r="W251" i="24"/>
  <c r="G153" i="23"/>
  <c r="CD153" i="6" s="1"/>
  <c r="AA153" i="23"/>
  <c r="Z153" i="23" s="1"/>
  <c r="Y153" i="23" s="1"/>
  <c r="W132" i="24"/>
  <c r="D132" i="24"/>
  <c r="E132" i="24" s="1"/>
  <c r="F132" i="24" s="1"/>
  <c r="B132" i="25"/>
  <c r="AA316" i="24"/>
  <c r="Z316" i="24" s="1"/>
  <c r="Y316" i="24" s="1"/>
  <c r="G316" i="24"/>
  <c r="CE316" i="6" s="1"/>
  <c r="G248" i="25"/>
  <c r="CF248" i="6" s="1"/>
  <c r="AA248" i="25"/>
  <c r="Z248" i="25" s="1"/>
  <c r="Y248" i="25" s="1"/>
  <c r="G368" i="24"/>
  <c r="CE368" i="6" s="1"/>
  <c r="AA368" i="24"/>
  <c r="Z368" i="24" s="1"/>
  <c r="Y368" i="24" s="1"/>
  <c r="G347" i="24"/>
  <c r="CE347" i="6" s="1"/>
  <c r="AA347" i="24"/>
  <c r="Z347" i="24" s="1"/>
  <c r="Y347" i="24" s="1"/>
  <c r="W139" i="25"/>
  <c r="D139" i="25"/>
  <c r="E139" i="25" s="1"/>
  <c r="F139" i="25" s="1"/>
  <c r="G169" i="24"/>
  <c r="CE169" i="6" s="1"/>
  <c r="AA169" i="24"/>
  <c r="Z169" i="24" s="1"/>
  <c r="Y169" i="24" s="1"/>
  <c r="W203" i="25"/>
  <c r="D203" i="25"/>
  <c r="E203" i="25" s="1"/>
  <c r="F203" i="25" s="1"/>
  <c r="AA245" i="24"/>
  <c r="Z245" i="24" s="1"/>
  <c r="Y245" i="24" s="1"/>
  <c r="G245" i="24"/>
  <c r="CE245" i="6" s="1"/>
  <c r="G325" i="24"/>
  <c r="CE325" i="6" s="1"/>
  <c r="AA325" i="24"/>
  <c r="Z325" i="24" s="1"/>
  <c r="Y325" i="24" s="1"/>
  <c r="J382" i="17"/>
  <c r="J381" i="17"/>
  <c r="J383" i="17"/>
  <c r="W196" i="24"/>
  <c r="D196" i="24"/>
  <c r="E196" i="24" s="1"/>
  <c r="F196" i="24" s="1"/>
  <c r="B196" i="25"/>
  <c r="D253" i="6"/>
  <c r="AE4" i="6"/>
  <c r="G23" i="23"/>
  <c r="CD23" i="6" s="1"/>
  <c r="AA23" i="23"/>
  <c r="Z23" i="23" s="1"/>
  <c r="Y23" i="23" s="1"/>
  <c r="J33" i="20"/>
  <c r="I33" i="20"/>
  <c r="H33" i="22" s="1"/>
  <c r="J79" i="20"/>
  <c r="I79" i="20"/>
  <c r="H79" i="22" s="1"/>
  <c r="I147" i="20"/>
  <c r="H147" i="22" s="1"/>
  <c r="J147" i="20"/>
  <c r="J195" i="20"/>
  <c r="I195" i="20"/>
  <c r="H195" i="22" s="1"/>
  <c r="J209" i="20"/>
  <c r="I209" i="20"/>
  <c r="H209" i="22" s="1"/>
  <c r="J259" i="20"/>
  <c r="I259" i="20"/>
  <c r="H259" i="22" s="1"/>
  <c r="G126" i="23"/>
  <c r="CD126" i="6" s="1"/>
  <c r="AA126" i="23"/>
  <c r="Z126" i="23" s="1"/>
  <c r="Y126" i="23" s="1"/>
  <c r="G250" i="23"/>
  <c r="CD250" i="6" s="1"/>
  <c r="AA250" i="23"/>
  <c r="Z250" i="23" s="1"/>
  <c r="Y250" i="23" s="1"/>
  <c r="D65" i="25"/>
  <c r="E65" i="25" s="1"/>
  <c r="F65" i="25" s="1"/>
  <c r="W65" i="25"/>
  <c r="AA143" i="24"/>
  <c r="Z143" i="24" s="1"/>
  <c r="Y143" i="24" s="1"/>
  <c r="G143" i="24"/>
  <c r="CE143" i="6" s="1"/>
  <c r="AA28" i="24"/>
  <c r="Z28" i="24" s="1"/>
  <c r="Y28" i="24" s="1"/>
  <c r="G28" i="24"/>
  <c r="CE28" i="6" s="1"/>
  <c r="W172" i="25"/>
  <c r="D172" i="25"/>
  <c r="E172" i="25" s="1"/>
  <c r="F172" i="25" s="1"/>
  <c r="D238" i="25"/>
  <c r="E238" i="25" s="1"/>
  <c r="F238" i="25" s="1"/>
  <c r="W238" i="25"/>
  <c r="G238" i="24"/>
  <c r="CE238" i="6" s="1"/>
  <c r="AA238" i="24"/>
  <c r="Z238" i="24" s="1"/>
  <c r="Y238" i="24" s="1"/>
  <c r="I262" i="20"/>
  <c r="H262" i="22" s="1"/>
  <c r="J262" i="20"/>
  <c r="AA304" i="24"/>
  <c r="Z304" i="24" s="1"/>
  <c r="Y304" i="24" s="1"/>
  <c r="G304" i="24"/>
  <c r="CE304" i="6" s="1"/>
  <c r="G344" i="24"/>
  <c r="CE344" i="6" s="1"/>
  <c r="AA344" i="24"/>
  <c r="Z344" i="24" s="1"/>
  <c r="Y344" i="24" s="1"/>
  <c r="W360" i="25"/>
  <c r="D360" i="25"/>
  <c r="E360" i="25" s="1"/>
  <c r="F360" i="25" s="1"/>
  <c r="G370" i="24"/>
  <c r="CE370" i="6" s="1"/>
  <c r="AA370" i="24"/>
  <c r="Z370" i="24" s="1"/>
  <c r="Y370" i="24" s="1"/>
  <c r="J370" i="20"/>
  <c r="I370" i="20"/>
  <c r="H370" i="22" s="1"/>
  <c r="D115" i="25"/>
  <c r="E115" i="25" s="1"/>
  <c r="F115" i="25" s="1"/>
  <c r="W115" i="25"/>
  <c r="D133" i="25"/>
  <c r="E133" i="25" s="1"/>
  <c r="F133" i="25" s="1"/>
  <c r="W133" i="25"/>
  <c r="W217" i="25"/>
  <c r="D217" i="25"/>
  <c r="E217" i="25" s="1"/>
  <c r="F217" i="25" s="1"/>
  <c r="J237" i="20"/>
  <c r="I237" i="20"/>
  <c r="H237" i="22" s="1"/>
  <c r="G297" i="24"/>
  <c r="CE297" i="6" s="1"/>
  <c r="AA297" i="24"/>
  <c r="Z297" i="24" s="1"/>
  <c r="Y297" i="24" s="1"/>
  <c r="D329" i="25"/>
  <c r="E329" i="25" s="1"/>
  <c r="F329" i="25" s="1"/>
  <c r="W329" i="25"/>
  <c r="J24" i="20"/>
  <c r="I24" i="20"/>
  <c r="H24" i="22" s="1"/>
  <c r="AA44" i="24"/>
  <c r="Z44" i="24" s="1"/>
  <c r="Y44" i="24" s="1"/>
  <c r="G44" i="24"/>
  <c r="CE44" i="6" s="1"/>
  <c r="D58" i="25"/>
  <c r="E58" i="25" s="1"/>
  <c r="F58" i="25" s="1"/>
  <c r="W58" i="25"/>
  <c r="W102" i="25"/>
  <c r="D102" i="25"/>
  <c r="E102" i="25" s="1"/>
  <c r="F102" i="25" s="1"/>
  <c r="G156" i="24"/>
  <c r="CE156" i="6" s="1"/>
  <c r="AA156" i="24"/>
  <c r="Z156" i="24" s="1"/>
  <c r="Y156" i="24" s="1"/>
  <c r="W162" i="25"/>
  <c r="D162" i="25"/>
  <c r="E162" i="25" s="1"/>
  <c r="F162" i="25" s="1"/>
  <c r="AA186" i="23"/>
  <c r="Z186" i="23" s="1"/>
  <c r="Y186" i="23" s="1"/>
  <c r="G186" i="23"/>
  <c r="CD186" i="6" s="1"/>
  <c r="J290" i="20"/>
  <c r="I290" i="20"/>
  <c r="H290" i="22" s="1"/>
  <c r="J340" i="20"/>
  <c r="I340" i="20"/>
  <c r="H340" i="22" s="1"/>
  <c r="I356" i="20"/>
  <c r="H356" i="22" s="1"/>
  <c r="J356" i="20"/>
  <c r="J137" i="20"/>
  <c r="I137" i="20"/>
  <c r="H137" i="22" s="1"/>
  <c r="J90" i="20"/>
  <c r="I90" i="20"/>
  <c r="H90" i="22" s="1"/>
  <c r="J311" i="20"/>
  <c r="I311" i="20"/>
  <c r="H311" i="22" s="1"/>
  <c r="I374" i="20"/>
  <c r="H374" i="22" s="1"/>
  <c r="J374" i="20"/>
  <c r="J163" i="20"/>
  <c r="I163" i="20"/>
  <c r="H163" i="22" s="1"/>
  <c r="I321" i="20"/>
  <c r="H321" i="22" s="1"/>
  <c r="J321" i="20"/>
  <c r="J332" i="20"/>
  <c r="I332" i="20"/>
  <c r="H332" i="22" s="1"/>
  <c r="J309" i="20"/>
  <c r="I309" i="20"/>
  <c r="H309" i="22" s="1"/>
  <c r="I73" i="20"/>
  <c r="H73" i="22" s="1"/>
  <c r="J73" i="20"/>
  <c r="J76" i="20"/>
  <c r="I76" i="20"/>
  <c r="H76" i="22" s="1"/>
  <c r="J232" i="20"/>
  <c r="I232" i="20"/>
  <c r="H232" i="22" s="1"/>
  <c r="G74" i="25"/>
  <c r="CF74" i="6" s="1"/>
  <c r="AA74" i="25"/>
  <c r="Z74" i="25" s="1"/>
  <c r="Y74" i="25" s="1"/>
  <c r="G194" i="25"/>
  <c r="CF194" i="6" s="1"/>
  <c r="AA194" i="25"/>
  <c r="Z194" i="25" s="1"/>
  <c r="Y194" i="25" s="1"/>
  <c r="G189" i="25"/>
  <c r="CF189" i="6" s="1"/>
  <c r="AA189" i="25"/>
  <c r="Z189" i="25" s="1"/>
  <c r="Y189" i="25" s="1"/>
  <c r="G244" i="24"/>
  <c r="CE244" i="6" s="1"/>
  <c r="AA244" i="24"/>
  <c r="Z244" i="24" s="1"/>
  <c r="Y244" i="24" s="1"/>
  <c r="G37" i="24"/>
  <c r="CE37" i="6" s="1"/>
  <c r="AA37" i="24"/>
  <c r="Z37" i="24" s="1"/>
  <c r="Y37" i="24" s="1"/>
  <c r="G99" i="24"/>
  <c r="CE99" i="6" s="1"/>
  <c r="AA99" i="24"/>
  <c r="Z99" i="24" s="1"/>
  <c r="Y99" i="24" s="1"/>
  <c r="G185" i="24"/>
  <c r="CE185" i="6" s="1"/>
  <c r="AA185" i="24"/>
  <c r="Z185" i="24" s="1"/>
  <c r="Y185" i="24" s="1"/>
  <c r="G281" i="24"/>
  <c r="CE281" i="6" s="1"/>
  <c r="AA281" i="24"/>
  <c r="Z281" i="24" s="1"/>
  <c r="Y281" i="24" s="1"/>
  <c r="G192" i="24"/>
  <c r="CE192" i="6" s="1"/>
  <c r="AA192" i="24"/>
  <c r="Z192" i="24" s="1"/>
  <c r="Y192" i="24" s="1"/>
  <c r="AA334" i="24"/>
  <c r="Z334" i="24" s="1"/>
  <c r="Y334" i="24" s="1"/>
  <c r="G334" i="24"/>
  <c r="CE334" i="6" s="1"/>
  <c r="G161" i="24"/>
  <c r="CE161" i="6" s="1"/>
  <c r="AA161" i="24"/>
  <c r="Z161" i="24" s="1"/>
  <c r="Y161" i="24" s="1"/>
  <c r="G61" i="24"/>
  <c r="CE61" i="6" s="1"/>
  <c r="AA61" i="24"/>
  <c r="Z61" i="24" s="1"/>
  <c r="Y61" i="24" s="1"/>
  <c r="G127" i="24"/>
  <c r="CE127" i="6" s="1"/>
  <c r="AA127" i="24"/>
  <c r="Z127" i="24" s="1"/>
  <c r="Y127" i="24" s="1"/>
  <c r="G219" i="24"/>
  <c r="CE219" i="6" s="1"/>
  <c r="AA219" i="24"/>
  <c r="Z219" i="24" s="1"/>
  <c r="Y219" i="24" s="1"/>
  <c r="G317" i="25"/>
  <c r="CF317" i="6" s="1"/>
  <c r="AA317" i="25"/>
  <c r="Z317" i="25" s="1"/>
  <c r="Y317" i="25" s="1"/>
  <c r="G142" i="24"/>
  <c r="CE142" i="6" s="1"/>
  <c r="AA142" i="24"/>
  <c r="Z142" i="24" s="1"/>
  <c r="Y142" i="24" s="1"/>
  <c r="J46" i="20"/>
  <c r="I46" i="20"/>
  <c r="H46" i="22" s="1"/>
  <c r="J63" i="20"/>
  <c r="I63" i="20"/>
  <c r="H63" i="22" s="1"/>
  <c r="I317" i="20"/>
  <c r="H317" i="22" s="1"/>
  <c r="J317" i="20"/>
  <c r="B59" i="25"/>
  <c r="W59" i="24"/>
  <c r="D59" i="24"/>
  <c r="E59" i="24" s="1"/>
  <c r="F59" i="24" s="1"/>
  <c r="W179" i="24"/>
  <c r="B179" i="25"/>
  <c r="D179" i="24"/>
  <c r="E179" i="24" s="1"/>
  <c r="F179" i="24" s="1"/>
  <c r="W257" i="24"/>
  <c r="B257" i="25"/>
  <c r="D257" i="24"/>
  <c r="E257" i="24" s="1"/>
  <c r="F257" i="24" s="1"/>
  <c r="D337" i="24"/>
  <c r="E337" i="24" s="1"/>
  <c r="F337" i="24" s="1"/>
  <c r="B337" i="25"/>
  <c r="W337" i="24"/>
  <c r="D382" i="22"/>
  <c r="D383" i="22"/>
  <c r="G379" i="23"/>
  <c r="CD379" i="6" s="1"/>
  <c r="AA379" i="23"/>
  <c r="Z379" i="23" s="1"/>
  <c r="Y379" i="23" s="1"/>
  <c r="G50" i="23"/>
  <c r="CD50" i="6" s="1"/>
  <c r="AA50" i="23"/>
  <c r="Z50" i="23" s="1"/>
  <c r="Y50" i="23" s="1"/>
  <c r="W92" i="24"/>
  <c r="D92" i="24"/>
  <c r="E92" i="24" s="1"/>
  <c r="F92" i="24" s="1"/>
  <c r="B92" i="25"/>
  <c r="W118" i="24"/>
  <c r="D118" i="24"/>
  <c r="E118" i="24" s="1"/>
  <c r="F118" i="24" s="1"/>
  <c r="B118" i="25"/>
  <c r="G170" i="23"/>
  <c r="CD170" i="6" s="1"/>
  <c r="AA170" i="23"/>
  <c r="Z170" i="23" s="1"/>
  <c r="Y170" i="23" s="1"/>
  <c r="W230" i="24"/>
  <c r="D230" i="24"/>
  <c r="E230" i="24" s="1"/>
  <c r="F230" i="24" s="1"/>
  <c r="B230" i="25"/>
  <c r="G230" i="23"/>
  <c r="CD230" i="6" s="1"/>
  <c r="AA230" i="23"/>
  <c r="Z230" i="23" s="1"/>
  <c r="Y230" i="23" s="1"/>
  <c r="AA268" i="23"/>
  <c r="Z268" i="23" s="1"/>
  <c r="Y268" i="23" s="1"/>
  <c r="G268" i="23"/>
  <c r="CD268" i="6" s="1"/>
  <c r="W282" i="24"/>
  <c r="D282" i="24"/>
  <c r="E282" i="24" s="1"/>
  <c r="F282" i="24" s="1"/>
  <c r="B282" i="25"/>
  <c r="G328" i="23"/>
  <c r="CD328" i="6" s="1"/>
  <c r="AA328" i="23"/>
  <c r="Z328" i="23" s="1"/>
  <c r="Y328" i="23" s="1"/>
  <c r="W21" i="24"/>
  <c r="D21" i="24"/>
  <c r="E21" i="24" s="1"/>
  <c r="F21" i="24" s="1"/>
  <c r="B21" i="25"/>
  <c r="G45" i="23"/>
  <c r="CD45" i="6" s="1"/>
  <c r="AA45" i="23"/>
  <c r="Z45" i="23" s="1"/>
  <c r="Y45" i="23" s="1"/>
  <c r="W71" i="24"/>
  <c r="D71" i="24"/>
  <c r="E71" i="24" s="1"/>
  <c r="F71" i="24" s="1"/>
  <c r="B71" i="25"/>
  <c r="G291" i="24"/>
  <c r="CE291" i="6" s="1"/>
  <c r="AA291" i="24"/>
  <c r="Z291" i="24" s="1"/>
  <c r="Y291" i="24" s="1"/>
  <c r="G339" i="24"/>
  <c r="CE339" i="6" s="1"/>
  <c r="AA339" i="24"/>
  <c r="Z339" i="24" s="1"/>
  <c r="Y339" i="24" s="1"/>
  <c r="J80" i="20"/>
  <c r="I80" i="20"/>
  <c r="H80" i="22" s="1"/>
  <c r="G269" i="23"/>
  <c r="CD269" i="6" s="1"/>
  <c r="AA269" i="23"/>
  <c r="Z269" i="23" s="1"/>
  <c r="Y269" i="23" s="1"/>
  <c r="G359" i="23"/>
  <c r="CD359" i="6" s="1"/>
  <c r="AA359" i="23"/>
  <c r="Z359" i="23" s="1"/>
  <c r="Y359" i="23" s="1"/>
  <c r="J139" i="20"/>
  <c r="I139" i="20"/>
  <c r="H139" i="22" s="1"/>
  <c r="J143" i="20"/>
  <c r="I143" i="20"/>
  <c r="H143" i="22" s="1"/>
  <c r="I357" i="20"/>
  <c r="H357" i="22" s="1"/>
  <c r="J357" i="20"/>
  <c r="W48" i="24"/>
  <c r="D48" i="24"/>
  <c r="E48" i="24" s="1"/>
  <c r="F48" i="24" s="1"/>
  <c r="B48" i="25"/>
  <c r="G160" i="23"/>
  <c r="CD160" i="6" s="1"/>
  <c r="AA160" i="23"/>
  <c r="Z160" i="23" s="1"/>
  <c r="Y160" i="23" s="1"/>
  <c r="W234" i="24"/>
  <c r="D234" i="24"/>
  <c r="E234" i="24" s="1"/>
  <c r="F234" i="24" s="1"/>
  <c r="B234" i="25"/>
  <c r="G266" i="23"/>
  <c r="CD266" i="6" s="1"/>
  <c r="AA266" i="23"/>
  <c r="Z266" i="23" s="1"/>
  <c r="Y266" i="23" s="1"/>
  <c r="W322" i="24"/>
  <c r="B322" i="25"/>
  <c r="D322" i="24"/>
  <c r="E322" i="24" s="1"/>
  <c r="F322" i="24" s="1"/>
  <c r="O4" i="6"/>
  <c r="D29" i="6"/>
  <c r="J19" i="20"/>
  <c r="I19" i="20"/>
  <c r="H19" i="22" s="1"/>
  <c r="I173" i="20"/>
  <c r="H173" i="22" s="1"/>
  <c r="J173" i="20"/>
  <c r="J365" i="20"/>
  <c r="I365" i="20"/>
  <c r="H365" i="22" s="1"/>
  <c r="I339" i="20"/>
  <c r="H339" i="22" s="1"/>
  <c r="J339" i="20"/>
  <c r="I180" i="20"/>
  <c r="H180" i="22" s="1"/>
  <c r="J180" i="20"/>
  <c r="J249" i="20"/>
  <c r="I249" i="20"/>
  <c r="H249" i="22" s="1"/>
  <c r="I346" i="20"/>
  <c r="H346" i="22" s="1"/>
  <c r="J346" i="20"/>
  <c r="I74" i="20"/>
  <c r="H74" i="22" s="1"/>
  <c r="J74" i="20"/>
  <c r="I120" i="20"/>
  <c r="H120" i="22" s="1"/>
  <c r="J120" i="20"/>
  <c r="J223" i="20"/>
  <c r="I223" i="20"/>
  <c r="H223" i="22" s="1"/>
  <c r="I291" i="20"/>
  <c r="H291" i="22" s="1"/>
  <c r="J291" i="20"/>
  <c r="J272" i="20"/>
  <c r="I272" i="20"/>
  <c r="H272" i="22" s="1"/>
  <c r="I335" i="20"/>
  <c r="H335" i="22" s="1"/>
  <c r="J335" i="20"/>
  <c r="J167" i="20"/>
  <c r="I167" i="20"/>
  <c r="H167" i="22" s="1"/>
  <c r="J277" i="20"/>
  <c r="I277" i="20"/>
  <c r="H277" i="22" s="1"/>
  <c r="J323" i="20"/>
  <c r="I323" i="20"/>
  <c r="H323" i="22" s="1"/>
  <c r="I261" i="20"/>
  <c r="H261" i="22" s="1"/>
  <c r="J261" i="20"/>
  <c r="J88" i="20"/>
  <c r="I88" i="20"/>
  <c r="H88" i="22" s="1"/>
  <c r="I116" i="20"/>
  <c r="H116" i="22" s="1"/>
  <c r="J116" i="20"/>
  <c r="I94" i="20"/>
  <c r="H94" i="22" s="1"/>
  <c r="J94" i="20"/>
  <c r="J303" i="20"/>
  <c r="I303" i="20"/>
  <c r="H303" i="22" s="1"/>
  <c r="I97" i="20"/>
  <c r="H97" i="22" s="1"/>
  <c r="J97" i="20"/>
  <c r="J307" i="20"/>
  <c r="I307" i="20"/>
  <c r="H307" i="22" s="1"/>
  <c r="J61" i="20"/>
  <c r="I61" i="20"/>
  <c r="H61" i="22" s="1"/>
  <c r="I53" i="20"/>
  <c r="H53" i="22" s="1"/>
  <c r="J53" i="20"/>
  <c r="J203" i="20"/>
  <c r="I203" i="20"/>
  <c r="H203" i="22" s="1"/>
  <c r="I29" i="20"/>
  <c r="H29" i="22" s="1"/>
  <c r="J29" i="20"/>
  <c r="I300" i="20"/>
  <c r="H300" i="22" s="1"/>
  <c r="J300" i="20"/>
  <c r="AM4" i="6"/>
  <c r="D365" i="6"/>
  <c r="AD4" i="6"/>
  <c r="AJ4" i="6"/>
  <c r="D323" i="6"/>
  <c r="R4" i="6"/>
  <c r="Q4" i="6"/>
  <c r="W105" i="25"/>
  <c r="D105" i="25"/>
  <c r="E105" i="25" s="1"/>
  <c r="F105" i="25" s="1"/>
  <c r="W35" i="25"/>
  <c r="D35" i="25"/>
  <c r="E35" i="25" s="1"/>
  <c r="F35" i="25" s="1"/>
  <c r="W354" i="25"/>
  <c r="D354" i="25"/>
  <c r="E354" i="25" s="1"/>
  <c r="F354" i="25" s="1"/>
  <c r="W43" i="25"/>
  <c r="D43" i="25"/>
  <c r="E43" i="25" s="1"/>
  <c r="F43" i="25" s="1"/>
  <c r="W66" i="25"/>
  <c r="D66" i="25"/>
  <c r="E66" i="25" s="1"/>
  <c r="F66" i="25" s="1"/>
  <c r="AA114" i="24"/>
  <c r="Z114" i="24" s="1"/>
  <c r="Y114" i="24" s="1"/>
  <c r="G114" i="24"/>
  <c r="CE114" i="6" s="1"/>
  <c r="G97" i="25"/>
  <c r="CF97" i="6" s="1"/>
  <c r="AA97" i="25"/>
  <c r="Z97" i="25" s="1"/>
  <c r="Y97" i="25" s="1"/>
  <c r="G273" i="25"/>
  <c r="CF273" i="6" s="1"/>
  <c r="AA273" i="25"/>
  <c r="Z273" i="25" s="1"/>
  <c r="Y273" i="25" s="1"/>
  <c r="W164" i="25"/>
  <c r="D164" i="25"/>
  <c r="E164" i="25" s="1"/>
  <c r="F164" i="25" s="1"/>
  <c r="G164" i="24"/>
  <c r="CE164" i="6" s="1"/>
  <c r="AA164" i="24"/>
  <c r="Z164" i="24" s="1"/>
  <c r="Y164" i="24" s="1"/>
  <c r="G363" i="24"/>
  <c r="CE363" i="6" s="1"/>
  <c r="AA363" i="24"/>
  <c r="Z363" i="24" s="1"/>
  <c r="Y363" i="24" s="1"/>
  <c r="G83" i="25"/>
  <c r="CF83" i="6" s="1"/>
  <c r="AA83" i="25"/>
  <c r="Z83" i="25" s="1"/>
  <c r="Y83" i="25" s="1"/>
  <c r="AA255" i="25"/>
  <c r="Z255" i="25" s="1"/>
  <c r="Y255" i="25" s="1"/>
  <c r="G255" i="25"/>
  <c r="CF255" i="6" s="1"/>
  <c r="AA146" i="24"/>
  <c r="Z146" i="24" s="1"/>
  <c r="Y146" i="24" s="1"/>
  <c r="G146" i="24"/>
  <c r="CE146" i="6" s="1"/>
  <c r="I119" i="20"/>
  <c r="H119" i="22" s="1"/>
  <c r="J119" i="20"/>
  <c r="J149" i="20"/>
  <c r="I149" i="20"/>
  <c r="H149" i="22" s="1"/>
  <c r="I105" i="20"/>
  <c r="H105" i="22" s="1"/>
  <c r="J105" i="20"/>
  <c r="J16" i="20"/>
  <c r="I16" i="20"/>
  <c r="H16" i="22" s="1"/>
  <c r="J208" i="20"/>
  <c r="I208" i="20"/>
  <c r="H208" i="22" s="1"/>
  <c r="J35" i="20"/>
  <c r="I35" i="20"/>
  <c r="H35" i="22" s="1"/>
  <c r="I216" i="20"/>
  <c r="H216" i="22" s="1"/>
  <c r="J216" i="20"/>
  <c r="I368" i="20"/>
  <c r="H368" i="22" s="1"/>
  <c r="J368" i="20"/>
  <c r="I66" i="20"/>
  <c r="H66" i="22" s="1"/>
  <c r="J66" i="20"/>
  <c r="J376" i="20"/>
  <c r="I376" i="20"/>
  <c r="H376" i="22" s="1"/>
  <c r="I114" i="20"/>
  <c r="H114" i="22" s="1"/>
  <c r="J114" i="20"/>
  <c r="J244" i="20"/>
  <c r="I244" i="20"/>
  <c r="H244" i="22" s="1"/>
  <c r="G56" i="24"/>
  <c r="CE56" i="6" s="1"/>
  <c r="AA56" i="24"/>
  <c r="Z56" i="24" s="1"/>
  <c r="Y56" i="24" s="1"/>
  <c r="G104" i="24"/>
  <c r="CE104" i="6" s="1"/>
  <c r="AA104" i="24"/>
  <c r="Z104" i="24" s="1"/>
  <c r="Y104" i="24" s="1"/>
  <c r="G128" i="24"/>
  <c r="CE128" i="6" s="1"/>
  <c r="AA128" i="24"/>
  <c r="Z128" i="24" s="1"/>
  <c r="Y128" i="24" s="1"/>
  <c r="G176" i="24"/>
  <c r="CE176" i="6" s="1"/>
  <c r="AA176" i="24"/>
  <c r="Z176" i="24" s="1"/>
  <c r="Y176" i="24" s="1"/>
  <c r="G246" i="24"/>
  <c r="CE246" i="6" s="1"/>
  <c r="AA246" i="24"/>
  <c r="Z246" i="24" s="1"/>
  <c r="Y246" i="24" s="1"/>
  <c r="I246" i="20"/>
  <c r="H246" i="22" s="1"/>
  <c r="J246" i="20"/>
  <c r="AA270" i="24"/>
  <c r="Z270" i="24" s="1"/>
  <c r="Y270" i="24" s="1"/>
  <c r="G270" i="24"/>
  <c r="CE270" i="6" s="1"/>
  <c r="G308" i="24"/>
  <c r="CE308" i="6" s="1"/>
  <c r="AA308" i="24"/>
  <c r="Z308" i="24" s="1"/>
  <c r="Y308" i="24" s="1"/>
  <c r="G336" i="24"/>
  <c r="CE336" i="6" s="1"/>
  <c r="AA336" i="24"/>
  <c r="Z336" i="24" s="1"/>
  <c r="Y336" i="24" s="1"/>
  <c r="I258" i="22"/>
  <c r="H258" i="23" s="1"/>
  <c r="W47" i="25"/>
  <c r="D47" i="25"/>
  <c r="E47" i="25" s="1"/>
  <c r="F47" i="25" s="1"/>
  <c r="W79" i="25"/>
  <c r="D79" i="25"/>
  <c r="E79" i="25" s="1"/>
  <c r="F79" i="25" s="1"/>
  <c r="G147" i="24"/>
  <c r="CE147" i="6" s="1"/>
  <c r="AA147" i="24"/>
  <c r="Z147" i="24" s="1"/>
  <c r="Y147" i="24" s="1"/>
  <c r="G209" i="24"/>
  <c r="CE209" i="6" s="1"/>
  <c r="AA209" i="24"/>
  <c r="Z209" i="24" s="1"/>
  <c r="Y209" i="24" s="1"/>
  <c r="G259" i="23"/>
  <c r="CD259" i="6" s="1"/>
  <c r="AA259" i="23"/>
  <c r="Z259" i="23" s="1"/>
  <c r="Y259" i="23" s="1"/>
  <c r="W293" i="24"/>
  <c r="D293" i="24"/>
  <c r="E293" i="24" s="1"/>
  <c r="F293" i="24" s="1"/>
  <c r="B293" i="25"/>
  <c r="G341" i="23"/>
  <c r="CD341" i="6" s="1"/>
  <c r="AA341" i="23"/>
  <c r="Z341" i="23" s="1"/>
  <c r="Y341" i="23" s="1"/>
  <c r="W86" i="24"/>
  <c r="D86" i="24"/>
  <c r="E86" i="24" s="1"/>
  <c r="F86" i="24" s="1"/>
  <c r="B86" i="25"/>
  <c r="J188" i="20"/>
  <c r="I188" i="20"/>
  <c r="H188" i="22" s="1"/>
  <c r="AA223" i="24"/>
  <c r="Z223" i="24" s="1"/>
  <c r="Y223" i="24" s="1"/>
  <c r="G223" i="24"/>
  <c r="CE223" i="6" s="1"/>
  <c r="AA214" i="24"/>
  <c r="Z214" i="24" s="1"/>
  <c r="Y214" i="24" s="1"/>
  <c r="G214" i="24"/>
  <c r="CE214" i="6" s="1"/>
  <c r="W240" i="25"/>
  <c r="D240" i="25"/>
  <c r="E240" i="25" s="1"/>
  <c r="F240" i="25" s="1"/>
  <c r="AA264" i="24"/>
  <c r="Z264" i="24" s="1"/>
  <c r="Y264" i="24" s="1"/>
  <c r="G264" i="24"/>
  <c r="CE264" i="6" s="1"/>
  <c r="W340" i="25"/>
  <c r="D340" i="25"/>
  <c r="E340" i="25" s="1"/>
  <c r="F340" i="25" s="1"/>
  <c r="W362" i="25"/>
  <c r="D362" i="25"/>
  <c r="E362" i="25" s="1"/>
  <c r="F362" i="25" s="1"/>
  <c r="G137" i="24"/>
  <c r="CE137" i="6" s="1"/>
  <c r="AA137" i="24"/>
  <c r="Z137" i="24" s="1"/>
  <c r="Y137" i="24" s="1"/>
  <c r="W78" i="25"/>
  <c r="D78" i="25"/>
  <c r="E78" i="25" s="1"/>
  <c r="F78" i="25" s="1"/>
  <c r="W182" i="25"/>
  <c r="D182" i="25"/>
  <c r="E182" i="25" s="1"/>
  <c r="F182" i="25" s="1"/>
  <c r="I310" i="20"/>
  <c r="H310" i="22" s="1"/>
  <c r="J310" i="20"/>
  <c r="D236" i="25"/>
  <c r="E236" i="25" s="1"/>
  <c r="F236" i="25" s="1"/>
  <c r="W236" i="25"/>
  <c r="G374" i="24"/>
  <c r="CE374" i="6" s="1"/>
  <c r="AA374" i="24"/>
  <c r="Z374" i="24" s="1"/>
  <c r="Y374" i="24" s="1"/>
  <c r="D163" i="25"/>
  <c r="E163" i="25" s="1"/>
  <c r="F163" i="25" s="1"/>
  <c r="W163" i="25"/>
  <c r="AA157" i="24"/>
  <c r="Z157" i="24" s="1"/>
  <c r="Y157" i="24" s="1"/>
  <c r="G157" i="24"/>
  <c r="CE157" i="6" s="1"/>
  <c r="W332" i="25"/>
  <c r="D332" i="25"/>
  <c r="E332" i="25" s="1"/>
  <c r="F332" i="25" s="1"/>
  <c r="AA295" i="24"/>
  <c r="Z295" i="24" s="1"/>
  <c r="Y295" i="24" s="1"/>
  <c r="G295" i="24"/>
  <c r="CE295" i="6" s="1"/>
  <c r="W76" i="25"/>
  <c r="D76" i="25"/>
  <c r="E76" i="25" s="1"/>
  <c r="F76" i="25" s="1"/>
  <c r="G232" i="24"/>
  <c r="CE232" i="6" s="1"/>
  <c r="AA232" i="24"/>
  <c r="Z232" i="24" s="1"/>
  <c r="Y232" i="24" s="1"/>
  <c r="AA187" i="25"/>
  <c r="Z187" i="25" s="1"/>
  <c r="Y187" i="25" s="1"/>
  <c r="G187" i="25"/>
  <c r="CF187" i="6" s="1"/>
  <c r="G17" i="24"/>
  <c r="CE17" i="6" s="1"/>
  <c r="AA17" i="24"/>
  <c r="Z17" i="24" s="1"/>
  <c r="Y17" i="24" s="1"/>
  <c r="G278" i="24"/>
  <c r="CE278" i="6" s="1"/>
  <c r="AA278" i="24"/>
  <c r="Z278" i="24" s="1"/>
  <c r="Y278" i="24" s="1"/>
  <c r="G241" i="25"/>
  <c r="CF241" i="6" s="1"/>
  <c r="AA241" i="25"/>
  <c r="Z241" i="25" s="1"/>
  <c r="Y241" i="25" s="1"/>
  <c r="E383" i="23"/>
  <c r="E381" i="23"/>
  <c r="AJ10" i="23"/>
  <c r="E382" i="23"/>
  <c r="AK8" i="23"/>
  <c r="E9" i="23"/>
  <c r="F15" i="23"/>
  <c r="D382" i="23"/>
  <c r="D9" i="23"/>
  <c r="D11" i="23" s="1"/>
  <c r="E42" i="19" s="1"/>
  <c r="I363" i="20"/>
  <c r="H363" i="22" s="1"/>
  <c r="J363" i="20"/>
  <c r="J77" i="20"/>
  <c r="I77" i="20"/>
  <c r="H77" i="22" s="1"/>
  <c r="J106" i="22"/>
  <c r="I106" i="22"/>
  <c r="H106" i="23" s="1"/>
  <c r="I274" i="22"/>
  <c r="H274" i="23" s="1"/>
  <c r="J274" i="22"/>
  <c r="J352" i="22"/>
  <c r="I352" i="22"/>
  <c r="H352" i="23" s="1"/>
  <c r="I31" i="22"/>
  <c r="H31" i="23" s="1"/>
  <c r="J31" i="22"/>
  <c r="I49" i="22"/>
  <c r="H49" i="23" s="1"/>
  <c r="J49" i="22"/>
  <c r="W87" i="24"/>
  <c r="D87" i="24"/>
  <c r="E87" i="24" s="1"/>
  <c r="F87" i="24" s="1"/>
  <c r="B87" i="25"/>
  <c r="G145" i="23"/>
  <c r="CD145" i="6" s="1"/>
  <c r="AA145" i="23"/>
  <c r="Z145" i="23" s="1"/>
  <c r="Y145" i="23" s="1"/>
  <c r="W201" i="24"/>
  <c r="D201" i="24"/>
  <c r="E201" i="24" s="1"/>
  <c r="F201" i="24" s="1"/>
  <c r="B201" i="25"/>
  <c r="G233" i="23"/>
  <c r="CD233" i="6" s="1"/>
  <c r="AA233" i="23"/>
  <c r="Z233" i="23" s="1"/>
  <c r="Y233" i="23" s="1"/>
  <c r="W80" i="25"/>
  <c r="D80" i="25"/>
  <c r="E80" i="25" s="1"/>
  <c r="F80" i="25" s="1"/>
  <c r="W112" i="24"/>
  <c r="D112" i="24"/>
  <c r="E112" i="24" s="1"/>
  <c r="F112" i="24" s="1"/>
  <c r="B112" i="25"/>
  <c r="W218" i="24"/>
  <c r="D218" i="24"/>
  <c r="E218" i="24" s="1"/>
  <c r="F218" i="24" s="1"/>
  <c r="B218" i="25"/>
  <c r="D348" i="24"/>
  <c r="E348" i="24" s="1"/>
  <c r="F348" i="24" s="1"/>
  <c r="W348" i="24"/>
  <c r="B348" i="25"/>
  <c r="B107" i="25"/>
  <c r="W107" i="24"/>
  <c r="D107" i="24"/>
  <c r="E107" i="24" s="1"/>
  <c r="F107" i="24" s="1"/>
  <c r="G193" i="23"/>
  <c r="CD193" i="6" s="1"/>
  <c r="AA193" i="23"/>
  <c r="Z193" i="23" s="1"/>
  <c r="Y193" i="23" s="1"/>
  <c r="I231" i="20"/>
  <c r="H231" i="22" s="1"/>
  <c r="J231" i="20"/>
  <c r="I313" i="20"/>
  <c r="H313" i="22" s="1"/>
  <c r="J313" i="20"/>
  <c r="U4" i="6"/>
  <c r="G27" i="23"/>
  <c r="CD27" i="6" s="1"/>
  <c r="AA27" i="23"/>
  <c r="Z27" i="23" s="1"/>
  <c r="Y27" i="23" s="1"/>
  <c r="J27" i="20"/>
  <c r="I27" i="20"/>
  <c r="H27" i="22" s="1"/>
  <c r="I256" i="22"/>
  <c r="H256" i="23" s="1"/>
  <c r="J256" i="22"/>
  <c r="I266" i="20"/>
  <c r="H266" i="22" s="1"/>
  <c r="J266" i="20"/>
  <c r="I292" i="22"/>
  <c r="H292" i="23" s="1"/>
  <c r="J292" i="22"/>
  <c r="I91" i="22"/>
  <c r="H91" i="23" s="1"/>
  <c r="I279" i="22"/>
  <c r="H279" i="23" s="1"/>
  <c r="D134" i="24"/>
  <c r="E134" i="24" s="1"/>
  <c r="F134" i="24" s="1"/>
  <c r="B134" i="25"/>
  <c r="W134" i="24"/>
  <c r="G168" i="23"/>
  <c r="CD168" i="6" s="1"/>
  <c r="AA168" i="23"/>
  <c r="Z168" i="23" s="1"/>
  <c r="Y168" i="23" s="1"/>
  <c r="I190" i="20"/>
  <c r="H190" i="22" s="1"/>
  <c r="J190" i="20"/>
  <c r="B212" i="25"/>
  <c r="W212" i="24"/>
  <c r="D212" i="24"/>
  <c r="E212" i="24" s="1"/>
  <c r="F212" i="24" s="1"/>
  <c r="G242" i="23"/>
  <c r="CD242" i="6" s="1"/>
  <c r="AA242" i="23"/>
  <c r="Z242" i="23" s="1"/>
  <c r="Y242" i="23" s="1"/>
  <c r="W312" i="24"/>
  <c r="D312" i="24"/>
  <c r="E312" i="24" s="1"/>
  <c r="F312" i="24" s="1"/>
  <c r="B312" i="25"/>
  <c r="G342" i="23"/>
  <c r="CD342" i="6" s="1"/>
  <c r="AA342" i="23"/>
  <c r="Z342" i="23" s="1"/>
  <c r="Y342" i="23" s="1"/>
  <c r="G380" i="22"/>
  <c r="CC380" i="6" s="1"/>
  <c r="AA380" i="22"/>
  <c r="Z380" i="22" s="1"/>
  <c r="Y380" i="22" s="1"/>
  <c r="H380" i="22"/>
  <c r="I52" i="22"/>
  <c r="H52" i="23" s="1"/>
  <c r="I103" i="22"/>
  <c r="H103" i="23" s="1"/>
  <c r="I153" i="22"/>
  <c r="H153" i="23" s="1"/>
  <c r="J153" i="22"/>
  <c r="I132" i="22"/>
  <c r="H132" i="23" s="1"/>
  <c r="W149" i="25"/>
  <c r="D149" i="25"/>
  <c r="E149" i="25" s="1"/>
  <c r="F149" i="25" s="1"/>
  <c r="W298" i="25"/>
  <c r="D298" i="25"/>
  <c r="E298" i="25" s="1"/>
  <c r="F298" i="25" s="1"/>
  <c r="G22" i="25"/>
  <c r="CF22" i="6" s="1"/>
  <c r="AA22" i="25"/>
  <c r="Z22" i="25" s="1"/>
  <c r="Y22" i="25" s="1"/>
  <c r="W376" i="25"/>
  <c r="D376" i="25"/>
  <c r="E376" i="25" s="1"/>
  <c r="F376" i="25" s="1"/>
  <c r="W369" i="25"/>
  <c r="D369" i="25"/>
  <c r="E369" i="25" s="1"/>
  <c r="F369" i="25" s="1"/>
  <c r="G53" i="24"/>
  <c r="CE53" i="6" s="1"/>
  <c r="AA53" i="24"/>
  <c r="Z53" i="24" s="1"/>
  <c r="Y53" i="24" s="1"/>
  <c r="W277" i="25"/>
  <c r="D277" i="25"/>
  <c r="E277" i="25" s="1"/>
  <c r="F277" i="25" s="1"/>
  <c r="W373" i="25"/>
  <c r="D373" i="25"/>
  <c r="E373" i="25" s="1"/>
  <c r="F373" i="25" s="1"/>
  <c r="I319" i="20"/>
  <c r="H319" i="22" s="1"/>
  <c r="J319" i="20"/>
  <c r="J43" i="20"/>
  <c r="I43" i="20"/>
  <c r="H43" i="22" s="1"/>
  <c r="I210" i="20"/>
  <c r="H210" i="22" s="1"/>
  <c r="J210" i="20"/>
  <c r="I42" i="20"/>
  <c r="H42" i="22" s="1"/>
  <c r="J42" i="20"/>
  <c r="I84" i="20"/>
  <c r="H84" i="22" s="1"/>
  <c r="J84" i="20"/>
  <c r="I104" i="20"/>
  <c r="H104" i="22" s="1"/>
  <c r="J104" i="20"/>
  <c r="J110" i="20"/>
  <c r="I110" i="20"/>
  <c r="H110" i="22" s="1"/>
  <c r="J140" i="20"/>
  <c r="I140" i="20"/>
  <c r="H140" i="22" s="1"/>
  <c r="I220" i="20"/>
  <c r="H220" i="22" s="1"/>
  <c r="J220" i="20"/>
  <c r="I260" i="20"/>
  <c r="H260" i="22" s="1"/>
  <c r="J260" i="20"/>
  <c r="J270" i="20"/>
  <c r="I270" i="20"/>
  <c r="H270" i="22" s="1"/>
  <c r="J276" i="20"/>
  <c r="I276" i="20"/>
  <c r="H276" i="22" s="1"/>
  <c r="I320" i="20"/>
  <c r="H320" i="22" s="1"/>
  <c r="J320" i="20"/>
  <c r="I23" i="22"/>
  <c r="H23" i="23" s="1"/>
  <c r="J23" i="22"/>
  <c r="W285" i="24"/>
  <c r="D285" i="24"/>
  <c r="E285" i="24" s="1"/>
  <c r="F285" i="24" s="1"/>
  <c r="B285" i="25"/>
  <c r="W327" i="24"/>
  <c r="D327" i="24"/>
  <c r="E327" i="24" s="1"/>
  <c r="F327" i="24" s="1"/>
  <c r="B327" i="25"/>
  <c r="D34" i="24"/>
  <c r="E34" i="24" s="1"/>
  <c r="F34" i="24" s="1"/>
  <c r="W34" i="24"/>
  <c r="B34" i="25"/>
  <c r="G96" i="23"/>
  <c r="CD96" i="6" s="1"/>
  <c r="AA96" i="23"/>
  <c r="Z96" i="23" s="1"/>
  <c r="Y96" i="23" s="1"/>
  <c r="G188" i="23"/>
  <c r="CD188" i="6" s="1"/>
  <c r="AA188" i="23"/>
  <c r="Z188" i="23" s="1"/>
  <c r="Y188" i="23" s="1"/>
  <c r="G326" i="23"/>
  <c r="CD326" i="6" s="1"/>
  <c r="AA326" i="23"/>
  <c r="Z326" i="23" s="1"/>
  <c r="Y326" i="23" s="1"/>
  <c r="W372" i="25"/>
  <c r="D372" i="25"/>
  <c r="E372" i="25" s="1"/>
  <c r="F372" i="25" s="1"/>
  <c r="G191" i="24"/>
  <c r="CE191" i="6" s="1"/>
  <c r="AA191" i="24"/>
  <c r="Z191" i="24" s="1"/>
  <c r="Y191" i="24" s="1"/>
  <c r="G18" i="24"/>
  <c r="CE18" i="6" s="1"/>
  <c r="AA18" i="24"/>
  <c r="Z18" i="24" s="1"/>
  <c r="Y18" i="24" s="1"/>
  <c r="G122" i="24"/>
  <c r="CE122" i="6" s="1"/>
  <c r="AA122" i="24"/>
  <c r="Z122" i="24" s="1"/>
  <c r="Y122" i="24" s="1"/>
  <c r="D138" i="25"/>
  <c r="E138" i="25" s="1"/>
  <c r="F138" i="25" s="1"/>
  <c r="W138" i="25"/>
  <c r="W202" i="25"/>
  <c r="D202" i="25"/>
  <c r="E202" i="25" s="1"/>
  <c r="F202" i="25" s="1"/>
  <c r="W262" i="25"/>
  <c r="D262" i="25"/>
  <c r="E262" i="25" s="1"/>
  <c r="F262" i="25" s="1"/>
  <c r="G324" i="24"/>
  <c r="CE324" i="6" s="1"/>
  <c r="AA324" i="24"/>
  <c r="Z324" i="24" s="1"/>
  <c r="Y324" i="24" s="1"/>
  <c r="G25" i="24"/>
  <c r="CE25" i="6" s="1"/>
  <c r="AA25" i="24"/>
  <c r="Z25" i="24" s="1"/>
  <c r="Y25" i="24" s="1"/>
  <c r="D51" i="25"/>
  <c r="E51" i="25" s="1"/>
  <c r="F51" i="25" s="1"/>
  <c r="W51" i="25"/>
  <c r="G85" i="24"/>
  <c r="CE85" i="6" s="1"/>
  <c r="AA85" i="24"/>
  <c r="Z85" i="24" s="1"/>
  <c r="Y85" i="24" s="1"/>
  <c r="W109" i="25"/>
  <c r="D109" i="25"/>
  <c r="E109" i="25" s="1"/>
  <c r="F109" i="25" s="1"/>
  <c r="W121" i="25"/>
  <c r="D121" i="25"/>
  <c r="E121" i="25" s="1"/>
  <c r="F121" i="25" s="1"/>
  <c r="G121" i="24"/>
  <c r="CE121" i="6" s="1"/>
  <c r="AA121" i="24"/>
  <c r="Z121" i="24" s="1"/>
  <c r="Y121" i="24" s="1"/>
  <c r="D199" i="25"/>
  <c r="E199" i="25" s="1"/>
  <c r="F199" i="25" s="1"/>
  <c r="W199" i="25"/>
  <c r="I217" i="20"/>
  <c r="H217" i="22" s="1"/>
  <c r="J217" i="20"/>
  <c r="I329" i="20"/>
  <c r="H329" i="22" s="1"/>
  <c r="J329" i="20"/>
  <c r="W345" i="25"/>
  <c r="D345" i="25"/>
  <c r="E345" i="25" s="1"/>
  <c r="F345" i="25" s="1"/>
  <c r="G355" i="24"/>
  <c r="CE355" i="6" s="1"/>
  <c r="AA355" i="24"/>
  <c r="Z355" i="24" s="1"/>
  <c r="Y355" i="24" s="1"/>
  <c r="D24" i="25"/>
  <c r="E24" i="25" s="1"/>
  <c r="F24" i="25" s="1"/>
  <c r="W24" i="25"/>
  <c r="G36" i="24"/>
  <c r="CE36" i="6" s="1"/>
  <c r="AA36" i="24"/>
  <c r="Z36" i="24" s="1"/>
  <c r="Y36" i="24" s="1"/>
  <c r="D72" i="25"/>
  <c r="E72" i="25" s="1"/>
  <c r="F72" i="25" s="1"/>
  <c r="W72" i="25"/>
  <c r="D295" i="6"/>
  <c r="AH4" i="6"/>
  <c r="G29" i="25"/>
  <c r="CF29" i="6" s="1"/>
  <c r="AA29" i="25"/>
  <c r="Z29" i="25" s="1"/>
  <c r="Y29" i="25" s="1"/>
  <c r="G261" i="25"/>
  <c r="CF261" i="6" s="1"/>
  <c r="AA261" i="25"/>
  <c r="Z261" i="25" s="1"/>
  <c r="Y261" i="25" s="1"/>
  <c r="W210" i="25"/>
  <c r="D210" i="25"/>
  <c r="E210" i="25" s="1"/>
  <c r="F210" i="25" s="1"/>
  <c r="W130" i="25"/>
  <c r="D130" i="25"/>
  <c r="E130" i="25" s="1"/>
  <c r="F130" i="25" s="1"/>
  <c r="W77" i="25"/>
  <c r="D77" i="25"/>
  <c r="E77" i="25" s="1"/>
  <c r="F77" i="25" s="1"/>
  <c r="W159" i="25"/>
  <c r="D159" i="25"/>
  <c r="E159" i="25" s="1"/>
  <c r="F159" i="25" s="1"/>
  <c r="W249" i="25"/>
  <c r="D249" i="25"/>
  <c r="E249" i="25" s="1"/>
  <c r="F249" i="25" s="1"/>
  <c r="G148" i="25"/>
  <c r="CF148" i="6" s="1"/>
  <c r="AA148" i="25"/>
  <c r="Z148" i="25" s="1"/>
  <c r="Y148" i="25" s="1"/>
  <c r="G294" i="24"/>
  <c r="CE294" i="6" s="1"/>
  <c r="AA294" i="24"/>
  <c r="Z294" i="24" s="1"/>
  <c r="Y294" i="24" s="1"/>
  <c r="W265" i="25"/>
  <c r="D265" i="25"/>
  <c r="E265" i="25" s="1"/>
  <c r="F265" i="25" s="1"/>
  <c r="W89" i="25"/>
  <c r="D89" i="25"/>
  <c r="E89" i="25" s="1"/>
  <c r="F89" i="25" s="1"/>
  <c r="W173" i="25"/>
  <c r="D173" i="25"/>
  <c r="E173" i="25" s="1"/>
  <c r="F173" i="25" s="1"/>
  <c r="W108" i="25"/>
  <c r="D108" i="25"/>
  <c r="E108" i="25" s="1"/>
  <c r="F108" i="25" s="1"/>
  <c r="I150" i="20"/>
  <c r="H150" i="22" s="1"/>
  <c r="J150" i="20"/>
  <c r="J226" i="20"/>
  <c r="I226" i="20"/>
  <c r="H226" i="22" s="1"/>
  <c r="J22" i="20"/>
  <c r="I22" i="20"/>
  <c r="H22" i="22" s="1"/>
  <c r="J155" i="20"/>
  <c r="I155" i="20"/>
  <c r="H155" i="22" s="1"/>
  <c r="I247" i="20"/>
  <c r="H247" i="22" s="1"/>
  <c r="J247" i="20"/>
  <c r="J148" i="20"/>
  <c r="I148" i="20"/>
  <c r="H148" i="22" s="1"/>
  <c r="G141" i="23"/>
  <c r="CD141" i="6" s="1"/>
  <c r="AA141" i="23"/>
  <c r="Z141" i="23" s="1"/>
  <c r="Y141" i="23" s="1"/>
  <c r="G211" i="23"/>
  <c r="CD211" i="6" s="1"/>
  <c r="AA211" i="23"/>
  <c r="Z211" i="23" s="1"/>
  <c r="Y211" i="23" s="1"/>
  <c r="G301" i="23"/>
  <c r="CD301" i="6" s="1"/>
  <c r="AA301" i="23"/>
  <c r="Z301" i="23" s="1"/>
  <c r="Y301" i="23" s="1"/>
  <c r="G375" i="23"/>
  <c r="CD375" i="6" s="1"/>
  <c r="AA375" i="23"/>
  <c r="Z375" i="23" s="1"/>
  <c r="Y375" i="23" s="1"/>
  <c r="AJ8" i="22"/>
  <c r="F381" i="22"/>
  <c r="AK10" i="22"/>
  <c r="F383" i="22"/>
  <c r="AM10" i="22"/>
  <c r="F382" i="22"/>
  <c r="AA15" i="22"/>
  <c r="AL9" i="22" s="1"/>
  <c r="G15" i="22"/>
  <c r="CC15" i="6" s="1"/>
  <c r="F9" i="22"/>
  <c r="AK8" i="22"/>
  <c r="E381" i="22"/>
  <c r="E383" i="22"/>
  <c r="W175" i="24"/>
  <c r="D175" i="24"/>
  <c r="E175" i="24" s="1"/>
  <c r="F175" i="24" s="1"/>
  <c r="B175" i="25"/>
  <c r="AG4" i="6"/>
  <c r="D281" i="6"/>
  <c r="I268" i="22"/>
  <c r="H268" i="23" s="1"/>
  <c r="I21" i="22"/>
  <c r="H21" i="23" s="1"/>
  <c r="G123" i="23"/>
  <c r="CD123" i="6" s="1"/>
  <c r="AA123" i="23"/>
  <c r="Z123" i="23" s="1"/>
  <c r="Y123" i="23" s="1"/>
  <c r="W181" i="24"/>
  <c r="D181" i="24"/>
  <c r="E181" i="24" s="1"/>
  <c r="F181" i="24" s="1"/>
  <c r="B181" i="25"/>
  <c r="G215" i="23"/>
  <c r="CD215" i="6" s="1"/>
  <c r="AA215" i="23"/>
  <c r="Z215" i="23" s="1"/>
  <c r="Y215" i="23" s="1"/>
  <c r="W275" i="25"/>
  <c r="D275" i="25"/>
  <c r="E275" i="25" s="1"/>
  <c r="F275" i="25" s="1"/>
  <c r="W303" i="25"/>
  <c r="D303" i="25"/>
  <c r="E303" i="25" s="1"/>
  <c r="F303" i="25" s="1"/>
  <c r="J371" i="22"/>
  <c r="I371" i="22"/>
  <c r="H371" i="23" s="1"/>
  <c r="G371" i="23"/>
  <c r="CD371" i="6" s="1"/>
  <c r="AA371" i="23"/>
  <c r="Z371" i="23" s="1"/>
  <c r="Y371" i="23" s="1"/>
  <c r="I164" i="20"/>
  <c r="H164" i="22" s="1"/>
  <c r="J164" i="20"/>
  <c r="W231" i="24"/>
  <c r="B231" i="25"/>
  <c r="D231" i="24"/>
  <c r="E231" i="24" s="1"/>
  <c r="F231" i="24" s="1"/>
  <c r="W313" i="24"/>
  <c r="B313" i="25"/>
  <c r="D313" i="24"/>
  <c r="E313" i="24" s="1"/>
  <c r="F313" i="24" s="1"/>
  <c r="G20" i="23"/>
  <c r="CD20" i="6" s="1"/>
  <c r="AA20" i="23"/>
  <c r="Z20" i="23" s="1"/>
  <c r="Y20" i="23" s="1"/>
  <c r="I350" i="22"/>
  <c r="H350" i="23" s="1"/>
  <c r="G158" i="23"/>
  <c r="CD158" i="6" s="1"/>
  <c r="AA158" i="23"/>
  <c r="Z158" i="23" s="1"/>
  <c r="Y158" i="23" s="1"/>
  <c r="W190" i="25"/>
  <c r="D190" i="25"/>
  <c r="E190" i="25" s="1"/>
  <c r="F190" i="25" s="1"/>
  <c r="G200" i="23"/>
  <c r="CD200" i="6" s="1"/>
  <c r="AA200" i="23"/>
  <c r="Z200" i="23" s="1"/>
  <c r="Y200" i="23" s="1"/>
  <c r="W224" i="24"/>
  <c r="B224" i="25"/>
  <c r="D224" i="24"/>
  <c r="E224" i="24" s="1"/>
  <c r="F224" i="24" s="1"/>
  <c r="D338" i="24"/>
  <c r="E338" i="24" s="1"/>
  <c r="F338" i="24" s="1"/>
  <c r="B338" i="25"/>
  <c r="W338" i="24"/>
  <c r="G358" i="23"/>
  <c r="CD358" i="6" s="1"/>
  <c r="AA358" i="23"/>
  <c r="Z358" i="23" s="1"/>
  <c r="Y358" i="23" s="1"/>
  <c r="W64" i="24"/>
  <c r="B64" i="25"/>
  <c r="D64" i="24"/>
  <c r="E64" i="24" s="1"/>
  <c r="F64" i="24" s="1"/>
  <c r="G205" i="23"/>
  <c r="CD205" i="6" s="1"/>
  <c r="AA205" i="23"/>
  <c r="Z205" i="23" s="1"/>
  <c r="Y205" i="23" s="1"/>
  <c r="W207" i="24"/>
  <c r="D207" i="24"/>
  <c r="E207" i="24" s="1"/>
  <c r="F207" i="24" s="1"/>
  <c r="B207" i="25"/>
  <c r="G299" i="23"/>
  <c r="CD299" i="6" s="1"/>
  <c r="AA299" i="23"/>
  <c r="Z299" i="23" s="1"/>
  <c r="Y299" i="23" s="1"/>
  <c r="W306" i="24"/>
  <c r="B306" i="25"/>
  <c r="D306" i="24"/>
  <c r="E306" i="24" s="1"/>
  <c r="F306" i="24" s="1"/>
  <c r="G353" i="23"/>
  <c r="CD353" i="6" s="1"/>
  <c r="AA353" i="23"/>
  <c r="Z353" i="23" s="1"/>
  <c r="Y353" i="23" s="1"/>
  <c r="D229" i="24"/>
  <c r="E229" i="24" s="1"/>
  <c r="F229" i="24" s="1"/>
  <c r="B229" i="25"/>
  <c r="W229" i="24"/>
  <c r="G32" i="23"/>
  <c r="CD32" i="6" s="1"/>
  <c r="AA32" i="23"/>
  <c r="Z32" i="23" s="1"/>
  <c r="Y32" i="23" s="1"/>
  <c r="G331" i="23"/>
  <c r="CD331" i="6" s="1"/>
  <c r="AA331" i="23"/>
  <c r="Z331" i="23" s="1"/>
  <c r="Y331" i="23" s="1"/>
  <c r="W100" i="24"/>
  <c r="B100" i="25"/>
  <c r="D100" i="24"/>
  <c r="E100" i="24" s="1"/>
  <c r="F100" i="24" s="1"/>
  <c r="G38" i="23"/>
  <c r="CD38" i="6" s="1"/>
  <c r="AA38" i="23"/>
  <c r="Z38" i="23" s="1"/>
  <c r="Y38" i="23" s="1"/>
  <c r="W174" i="24"/>
  <c r="D174" i="24"/>
  <c r="E174" i="24" s="1"/>
  <c r="F174" i="24" s="1"/>
  <c r="B174" i="25"/>
  <c r="G350" i="23"/>
  <c r="CD350" i="6" s="1"/>
  <c r="AA350" i="23"/>
  <c r="Z350" i="23" s="1"/>
  <c r="Y350" i="23" s="1"/>
  <c r="W26" i="24"/>
  <c r="D26" i="24"/>
  <c r="E26" i="24" s="1"/>
  <c r="F26" i="24" s="1"/>
  <c r="B26" i="25"/>
  <c r="G57" i="23"/>
  <c r="CD57" i="6" s="1"/>
  <c r="AA57" i="23"/>
  <c r="Z57" i="23" s="1"/>
  <c r="Y57" i="23" s="1"/>
  <c r="D113" i="24"/>
  <c r="E113" i="24" s="1"/>
  <c r="F113" i="24" s="1"/>
  <c r="B113" i="25"/>
  <c r="W113" i="24"/>
  <c r="G129" i="23"/>
  <c r="CD129" i="6" s="1"/>
  <c r="AA129" i="23"/>
  <c r="Z129" i="23" s="1"/>
  <c r="Y129" i="23" s="1"/>
  <c r="D213" i="24"/>
  <c r="E213" i="24" s="1"/>
  <c r="F213" i="24" s="1"/>
  <c r="B213" i="25"/>
  <c r="W213" i="24"/>
  <c r="AA239" i="23"/>
  <c r="Z239" i="23" s="1"/>
  <c r="Y239" i="23" s="1"/>
  <c r="G239" i="23"/>
  <c r="CD239" i="6" s="1"/>
  <c r="G315" i="23"/>
  <c r="CD315" i="6" s="1"/>
  <c r="AA315" i="23"/>
  <c r="Z315" i="23" s="1"/>
  <c r="Y315" i="23" s="1"/>
  <c r="B351" i="25"/>
  <c r="W351" i="24"/>
  <c r="D351" i="24"/>
  <c r="E351" i="24" s="1"/>
  <c r="F351" i="24" s="1"/>
  <c r="G30" i="23"/>
  <c r="CD30" i="6" s="1"/>
  <c r="AA30" i="23"/>
  <c r="Z30" i="23" s="1"/>
  <c r="Y30" i="23" s="1"/>
  <c r="W54" i="24"/>
  <c r="B54" i="25"/>
  <c r="D54" i="24"/>
  <c r="E54" i="24" s="1"/>
  <c r="F54" i="24" s="1"/>
  <c r="G82" i="23"/>
  <c r="CD82" i="6" s="1"/>
  <c r="AA82" i="23"/>
  <c r="Z82" i="23" s="1"/>
  <c r="Y82" i="23" s="1"/>
  <c r="I207" i="22"/>
  <c r="H207" i="23" s="1"/>
  <c r="I306" i="22"/>
  <c r="H306" i="23" s="1"/>
  <c r="J353" i="22"/>
  <c r="I353" i="22"/>
  <c r="H353" i="23" s="1"/>
  <c r="I32" i="22"/>
  <c r="H32" i="23" s="1"/>
  <c r="AA4" i="6"/>
  <c r="D197" i="6"/>
  <c r="D99" i="6"/>
  <c r="T4" i="6"/>
  <c r="D127" i="6"/>
  <c r="V4" i="6"/>
  <c r="AF4" i="6"/>
  <c r="D267" i="6"/>
  <c r="Z4" i="6"/>
  <c r="D183" i="6"/>
  <c r="D169" i="6"/>
  <c r="Y4" i="6"/>
  <c r="G119" i="24"/>
  <c r="CE119" i="6" s="1"/>
  <c r="AA119" i="24"/>
  <c r="Z119" i="24" s="1"/>
  <c r="Y119" i="24" s="1"/>
  <c r="G16" i="24"/>
  <c r="CE16" i="6" s="1"/>
  <c r="AA16" i="24"/>
  <c r="Z16" i="24" s="1"/>
  <c r="Y16" i="24" s="1"/>
  <c r="AA208" i="24"/>
  <c r="Z208" i="24" s="1"/>
  <c r="Y208" i="24" s="1"/>
  <c r="G208" i="24"/>
  <c r="CE208" i="6" s="1"/>
  <c r="G227" i="24"/>
  <c r="CE227" i="6" s="1"/>
  <c r="AA227" i="24"/>
  <c r="Z227" i="24" s="1"/>
  <c r="Y227" i="24" s="1"/>
  <c r="G216" i="24"/>
  <c r="CE216" i="6" s="1"/>
  <c r="AA216" i="24"/>
  <c r="Z216" i="24" s="1"/>
  <c r="Y216" i="24" s="1"/>
  <c r="G302" i="25"/>
  <c r="CF302" i="6" s="1"/>
  <c r="AA302" i="25"/>
  <c r="Z302" i="25" s="1"/>
  <c r="Y302" i="25" s="1"/>
  <c r="G19" i="25"/>
  <c r="CF19" i="6" s="1"/>
  <c r="AA19" i="25"/>
  <c r="Z19" i="25" s="1"/>
  <c r="Y19" i="25" s="1"/>
  <c r="AA155" i="25"/>
  <c r="Z155" i="25" s="1"/>
  <c r="Y155" i="25" s="1"/>
  <c r="G155" i="25"/>
  <c r="CF155" i="6" s="1"/>
  <c r="W228" i="25"/>
  <c r="D228" i="25"/>
  <c r="E228" i="25" s="1"/>
  <c r="F228" i="25" s="1"/>
  <c r="G253" i="24"/>
  <c r="CE253" i="6" s="1"/>
  <c r="AA253" i="24"/>
  <c r="Z253" i="24" s="1"/>
  <c r="Y253" i="24" s="1"/>
  <c r="G101" i="25"/>
  <c r="CF101" i="6" s="1"/>
  <c r="AA101" i="25"/>
  <c r="Z101" i="25" s="1"/>
  <c r="Y101" i="25" s="1"/>
  <c r="W271" i="25"/>
  <c r="D271" i="25"/>
  <c r="E271" i="25" s="1"/>
  <c r="F271" i="25" s="1"/>
  <c r="G271" i="24"/>
  <c r="CE271" i="6" s="1"/>
  <c r="AA271" i="24"/>
  <c r="Z271" i="24" s="1"/>
  <c r="Y271" i="24" s="1"/>
  <c r="W120" i="25"/>
  <c r="D120" i="25"/>
  <c r="E120" i="25" s="1"/>
  <c r="F120" i="25" s="1"/>
  <c r="I196" i="20"/>
  <c r="H196" i="22" s="1"/>
  <c r="J196" i="20"/>
  <c r="G42" i="24"/>
  <c r="CE42" i="6" s="1"/>
  <c r="AA42" i="24"/>
  <c r="Z42" i="24" s="1"/>
  <c r="Y42" i="24" s="1"/>
  <c r="G84" i="24"/>
  <c r="CE84" i="6" s="1"/>
  <c r="AA84" i="24"/>
  <c r="Z84" i="24" s="1"/>
  <c r="Y84" i="24" s="1"/>
  <c r="G110" i="24"/>
  <c r="CE110" i="6" s="1"/>
  <c r="AA110" i="24"/>
  <c r="Z110" i="24" s="1"/>
  <c r="Y110" i="24" s="1"/>
  <c r="AA140" i="24"/>
  <c r="Z140" i="24" s="1"/>
  <c r="Y140" i="24" s="1"/>
  <c r="G140" i="24"/>
  <c r="CE140" i="6" s="1"/>
  <c r="G220" i="24"/>
  <c r="CE220" i="6" s="1"/>
  <c r="AA220" i="24"/>
  <c r="Z220" i="24" s="1"/>
  <c r="Y220" i="24" s="1"/>
  <c r="G276" i="24"/>
  <c r="CE276" i="6" s="1"/>
  <c r="AA276" i="24"/>
  <c r="Z276" i="24" s="1"/>
  <c r="Y276" i="24" s="1"/>
  <c r="G320" i="24"/>
  <c r="CE320" i="6" s="1"/>
  <c r="AA320" i="24"/>
  <c r="Z320" i="24" s="1"/>
  <c r="Y320" i="24" s="1"/>
  <c r="G258" i="23"/>
  <c r="CD258" i="6" s="1"/>
  <c r="AA258" i="23"/>
  <c r="Z258" i="23" s="1"/>
  <c r="Y258" i="23" s="1"/>
  <c r="W33" i="25"/>
  <c r="D33" i="25"/>
  <c r="E33" i="25" s="1"/>
  <c r="F33" i="25" s="1"/>
  <c r="W69" i="25"/>
  <c r="D69" i="25"/>
  <c r="E69" i="25" s="1"/>
  <c r="F69" i="25" s="1"/>
  <c r="G69" i="24"/>
  <c r="CE69" i="6" s="1"/>
  <c r="AA69" i="24"/>
  <c r="Z69" i="24" s="1"/>
  <c r="Y69" i="24" s="1"/>
  <c r="G131" i="24"/>
  <c r="CE131" i="6" s="1"/>
  <c r="AA131" i="24"/>
  <c r="Z131" i="24" s="1"/>
  <c r="Y131" i="24" s="1"/>
  <c r="G195" i="24"/>
  <c r="CE195" i="6" s="1"/>
  <c r="AA195" i="24"/>
  <c r="Z195" i="24" s="1"/>
  <c r="Y195" i="24" s="1"/>
  <c r="AA221" i="24"/>
  <c r="Z221" i="24" s="1"/>
  <c r="Y221" i="24" s="1"/>
  <c r="G221" i="24"/>
  <c r="CE221" i="6" s="1"/>
  <c r="I334" i="20"/>
  <c r="H334" i="22" s="1"/>
  <c r="J334" i="20"/>
  <c r="AA267" i="24"/>
  <c r="Z267" i="24" s="1"/>
  <c r="Y267" i="24" s="1"/>
  <c r="G267" i="24"/>
  <c r="CE267" i="6" s="1"/>
  <c r="W307" i="25"/>
  <c r="D307" i="25"/>
  <c r="E307" i="25" s="1"/>
  <c r="F307" i="25" s="1"/>
  <c r="G357" i="24"/>
  <c r="CE357" i="6" s="1"/>
  <c r="AA357" i="24"/>
  <c r="Z357" i="24" s="1"/>
  <c r="Y357" i="24" s="1"/>
  <c r="J288" i="20"/>
  <c r="I288" i="20"/>
  <c r="H288" i="22" s="1"/>
  <c r="I280" i="20"/>
  <c r="H280" i="22" s="1"/>
  <c r="J280" i="20"/>
  <c r="I304" i="20"/>
  <c r="H304" i="22" s="1"/>
  <c r="J304" i="20"/>
  <c r="J360" i="20"/>
  <c r="I360" i="20"/>
  <c r="H360" i="22" s="1"/>
  <c r="J85" i="20"/>
  <c r="I85" i="20"/>
  <c r="H85" i="22" s="1"/>
  <c r="I115" i="20"/>
  <c r="H115" i="22" s="1"/>
  <c r="J115" i="20"/>
  <c r="I133" i="20"/>
  <c r="H133" i="22" s="1"/>
  <c r="J133" i="20"/>
  <c r="J243" i="20"/>
  <c r="I243" i="20"/>
  <c r="H243" i="22" s="1"/>
  <c r="I355" i="20"/>
  <c r="H355" i="22" s="1"/>
  <c r="J355" i="20"/>
  <c r="I36" i="20"/>
  <c r="H36" i="22" s="1"/>
  <c r="J36" i="20"/>
  <c r="I44" i="20"/>
  <c r="H44" i="22" s="1"/>
  <c r="J44" i="20"/>
  <c r="J58" i="20"/>
  <c r="I58" i="20"/>
  <c r="H58" i="22" s="1"/>
  <c r="I102" i="20"/>
  <c r="H102" i="22" s="1"/>
  <c r="J102" i="20"/>
  <c r="D198" i="25"/>
  <c r="E198" i="25" s="1"/>
  <c r="F198" i="25" s="1"/>
  <c r="W198" i="25"/>
  <c r="AA206" i="24"/>
  <c r="Z206" i="24" s="1"/>
  <c r="Y206" i="24" s="1"/>
  <c r="G206" i="24"/>
  <c r="CE206" i="6" s="1"/>
  <c r="G290" i="24"/>
  <c r="CE290" i="6" s="1"/>
  <c r="AA290" i="24"/>
  <c r="Z290" i="24" s="1"/>
  <c r="Y290" i="24" s="1"/>
  <c r="W314" i="25"/>
  <c r="D314" i="25"/>
  <c r="E314" i="25" s="1"/>
  <c r="F314" i="25" s="1"/>
  <c r="D356" i="25"/>
  <c r="E356" i="25" s="1"/>
  <c r="F356" i="25" s="1"/>
  <c r="W356" i="25"/>
  <c r="J362" i="20"/>
  <c r="I362" i="20"/>
  <c r="H362" i="22" s="1"/>
  <c r="D310" i="25"/>
  <c r="E310" i="25" s="1"/>
  <c r="F310" i="25" s="1"/>
  <c r="W310" i="25"/>
  <c r="G310" i="24"/>
  <c r="CE310" i="6" s="1"/>
  <c r="AA310" i="24"/>
  <c r="Z310" i="24" s="1"/>
  <c r="Y310" i="24" s="1"/>
  <c r="D311" i="25"/>
  <c r="E311" i="25" s="1"/>
  <c r="F311" i="25" s="1"/>
  <c r="W311" i="25"/>
  <c r="G311" i="24"/>
  <c r="CE311" i="6" s="1"/>
  <c r="AA311" i="24"/>
  <c r="Z311" i="24" s="1"/>
  <c r="Y311" i="24" s="1"/>
  <c r="G321" i="24"/>
  <c r="CE321" i="6" s="1"/>
  <c r="AA321" i="24"/>
  <c r="Z321" i="24" s="1"/>
  <c r="Y321" i="24" s="1"/>
  <c r="D125" i="25"/>
  <c r="E125" i="25" s="1"/>
  <c r="F125" i="25" s="1"/>
  <c r="W125" i="25"/>
  <c r="D309" i="25"/>
  <c r="E309" i="25" s="1"/>
  <c r="F309" i="25" s="1"/>
  <c r="W309" i="25"/>
  <c r="G73" i="24"/>
  <c r="CE73" i="6" s="1"/>
  <c r="AA73" i="24"/>
  <c r="Z73" i="24" s="1"/>
  <c r="Y73" i="24" s="1"/>
  <c r="D62" i="25"/>
  <c r="E62" i="25" s="1"/>
  <c r="F62" i="25" s="1"/>
  <c r="W62" i="25"/>
  <c r="AA81" i="24"/>
  <c r="Z81" i="24" s="1"/>
  <c r="Y81" i="24" s="1"/>
  <c r="G81" i="24"/>
  <c r="CE81" i="6" s="1"/>
  <c r="G180" i="25"/>
  <c r="CF180" i="6" s="1"/>
  <c r="AA180" i="25"/>
  <c r="Z180" i="25" s="1"/>
  <c r="Y180" i="25" s="1"/>
  <c r="W177" i="25"/>
  <c r="D177" i="25"/>
  <c r="E177" i="25" s="1"/>
  <c r="F177" i="25" s="1"/>
  <c r="W319" i="25"/>
  <c r="D319" i="25"/>
  <c r="E319" i="25" s="1"/>
  <c r="F319" i="25" s="1"/>
  <c r="W111" i="25"/>
  <c r="D111" i="25"/>
  <c r="E111" i="25" s="1"/>
  <c r="F111" i="25" s="1"/>
  <c r="G135" i="25"/>
  <c r="CF135" i="6" s="1"/>
  <c r="AA135" i="25"/>
  <c r="Z135" i="25" s="1"/>
  <c r="Y135" i="25" s="1"/>
  <c r="AA382" i="20"/>
  <c r="AL10" i="20"/>
  <c r="AA381" i="20"/>
  <c r="AA383" i="20"/>
  <c r="AM8" i="20"/>
  <c r="Z15" i="20"/>
  <c r="AL7" i="20" s="1"/>
  <c r="AA9" i="20"/>
  <c r="G381" i="20"/>
  <c r="G383" i="20"/>
  <c r="G12" i="20" s="1"/>
  <c r="G382" i="20"/>
  <c r="B382" i="24"/>
  <c r="AJ6" i="24"/>
  <c r="G70" i="23"/>
  <c r="CD70" i="6" s="1"/>
  <c r="AA70" i="23"/>
  <c r="Z70" i="23" s="1"/>
  <c r="Y70" i="23" s="1"/>
  <c r="W106" i="24"/>
  <c r="D106" i="24"/>
  <c r="E106" i="24" s="1"/>
  <c r="F106" i="24" s="1"/>
  <c r="B106" i="25"/>
  <c r="G136" i="23"/>
  <c r="CD136" i="6" s="1"/>
  <c r="AA136" i="23"/>
  <c r="Z136" i="23" s="1"/>
  <c r="Y136" i="23" s="1"/>
  <c r="J170" i="20"/>
  <c r="I170" i="20"/>
  <c r="H170" i="22" s="1"/>
  <c r="G178" i="23"/>
  <c r="CD178" i="6" s="1"/>
  <c r="AA178" i="23"/>
  <c r="Z178" i="23" s="1"/>
  <c r="Y178" i="23" s="1"/>
  <c r="W254" i="24"/>
  <c r="D254" i="24"/>
  <c r="E254" i="24" s="1"/>
  <c r="F254" i="24" s="1"/>
  <c r="B254" i="25"/>
  <c r="G274" i="23"/>
  <c r="CD274" i="6" s="1"/>
  <c r="AA274" i="23"/>
  <c r="Z274" i="23" s="1"/>
  <c r="Y274" i="23" s="1"/>
  <c r="W318" i="24"/>
  <c r="D318" i="24"/>
  <c r="E318" i="24" s="1"/>
  <c r="F318" i="24" s="1"/>
  <c r="B318" i="25"/>
  <c r="G352" i="23"/>
  <c r="CD352" i="6" s="1"/>
  <c r="AA352" i="23"/>
  <c r="Z352" i="23" s="1"/>
  <c r="Y352" i="23" s="1"/>
  <c r="W31" i="24"/>
  <c r="D31" i="24"/>
  <c r="E31" i="24" s="1"/>
  <c r="F31" i="24" s="1"/>
  <c r="B31" i="25"/>
  <c r="G49" i="23"/>
  <c r="CD49" i="6" s="1"/>
  <c r="AA49" i="23"/>
  <c r="Z49" i="23" s="1"/>
  <c r="Y49" i="23" s="1"/>
  <c r="I233" i="22"/>
  <c r="H233" i="23" s="1"/>
  <c r="G144" i="23"/>
  <c r="CD144" i="6" s="1"/>
  <c r="AA144" i="23"/>
  <c r="Z144" i="23" s="1"/>
  <c r="Y144" i="23" s="1"/>
  <c r="G296" i="23"/>
  <c r="CD296" i="6" s="1"/>
  <c r="AA296" i="23"/>
  <c r="Z296" i="23" s="1"/>
  <c r="Y296" i="23" s="1"/>
  <c r="G39" i="23"/>
  <c r="CD39" i="6" s="1"/>
  <c r="AA39" i="23"/>
  <c r="Z39" i="23" s="1"/>
  <c r="Y39" i="23" s="1"/>
  <c r="G151" i="23"/>
  <c r="CD151" i="6" s="1"/>
  <c r="AA151" i="23"/>
  <c r="Z151" i="23" s="1"/>
  <c r="Y151" i="23" s="1"/>
  <c r="J359" i="20"/>
  <c r="I359" i="20"/>
  <c r="H359" i="22" s="1"/>
  <c r="W124" i="24"/>
  <c r="D124" i="24"/>
  <c r="E124" i="24" s="1"/>
  <c r="F124" i="24" s="1"/>
  <c r="B124" i="25"/>
  <c r="G184" i="23"/>
  <c r="CD184" i="6" s="1"/>
  <c r="AA184" i="23"/>
  <c r="Z184" i="23" s="1"/>
  <c r="Y184" i="23" s="1"/>
  <c r="W256" i="24"/>
  <c r="D256" i="24"/>
  <c r="E256" i="24" s="1"/>
  <c r="F256" i="24" s="1"/>
  <c r="B256" i="25"/>
  <c r="G292" i="23"/>
  <c r="CD292" i="6" s="1"/>
  <c r="AA292" i="23"/>
  <c r="Z292" i="23" s="1"/>
  <c r="Y292" i="23" s="1"/>
  <c r="W330" i="24"/>
  <c r="D330" i="24"/>
  <c r="E330" i="24" s="1"/>
  <c r="F330" i="24" s="1"/>
  <c r="B330" i="25"/>
  <c r="G364" i="23"/>
  <c r="CD364" i="6" s="1"/>
  <c r="AA364" i="23"/>
  <c r="Z364" i="23" s="1"/>
  <c r="Y364" i="23" s="1"/>
  <c r="J26" i="20"/>
  <c r="I26" i="20"/>
  <c r="H26" i="22" s="1"/>
  <c r="G41" i="23"/>
  <c r="CD41" i="6" s="1"/>
  <c r="AA41" i="23"/>
  <c r="Z41" i="23" s="1"/>
  <c r="Y41" i="23" s="1"/>
  <c r="B91" i="25"/>
  <c r="W91" i="24"/>
  <c r="D91" i="24"/>
  <c r="E91" i="24" s="1"/>
  <c r="F91" i="24" s="1"/>
  <c r="G117" i="23"/>
  <c r="CD117" i="6" s="1"/>
  <c r="AA117" i="23"/>
  <c r="Z117" i="23" s="1"/>
  <c r="Y117" i="23" s="1"/>
  <c r="W165" i="24"/>
  <c r="D165" i="24"/>
  <c r="E165" i="24" s="1"/>
  <c r="F165" i="24" s="1"/>
  <c r="B165" i="25"/>
  <c r="G225" i="23"/>
  <c r="CD225" i="6" s="1"/>
  <c r="AA225" i="23"/>
  <c r="Z225" i="23" s="1"/>
  <c r="Y225" i="23" s="1"/>
  <c r="D279" i="24"/>
  <c r="E279" i="24" s="1"/>
  <c r="F279" i="24" s="1"/>
  <c r="B279" i="25"/>
  <c r="W279" i="24"/>
  <c r="G343" i="23"/>
  <c r="CD343" i="6" s="1"/>
  <c r="AA343" i="23"/>
  <c r="Z343" i="23" s="1"/>
  <c r="Y343" i="23" s="1"/>
  <c r="W377" i="24"/>
  <c r="D377" i="24"/>
  <c r="E377" i="24" s="1"/>
  <c r="F377" i="24" s="1"/>
  <c r="B377" i="25"/>
  <c r="G40" i="23"/>
  <c r="CD40" i="6" s="1"/>
  <c r="AA40" i="23"/>
  <c r="Z40" i="23" s="1"/>
  <c r="Y40" i="23" s="1"/>
  <c r="W68" i="24"/>
  <c r="B68" i="25"/>
  <c r="D68" i="24"/>
  <c r="E68" i="24" s="1"/>
  <c r="F68" i="24" s="1"/>
  <c r="D366" i="24"/>
  <c r="E366" i="24" s="1"/>
  <c r="F366" i="24" s="1"/>
  <c r="B366" i="25"/>
  <c r="W366" i="24"/>
  <c r="G222" i="23"/>
  <c r="CD222" i="6" s="1"/>
  <c r="AA222" i="23"/>
  <c r="Z222" i="23" s="1"/>
  <c r="Y222" i="23" s="1"/>
  <c r="D204" i="24"/>
  <c r="E204" i="24" s="1"/>
  <c r="F204" i="24" s="1"/>
  <c r="B204" i="25"/>
  <c r="W204" i="24"/>
  <c r="G252" i="23"/>
  <c r="CD252" i="6" s="1"/>
  <c r="AA252" i="23"/>
  <c r="Z252" i="23" s="1"/>
  <c r="Y252" i="23" s="1"/>
  <c r="B305" i="25"/>
  <c r="W305" i="24"/>
  <c r="D305" i="24"/>
  <c r="E305" i="24" s="1"/>
  <c r="F305" i="24" s="1"/>
  <c r="G152" i="23"/>
  <c r="CD152" i="6" s="1"/>
  <c r="AA152" i="23"/>
  <c r="Z152" i="23" s="1"/>
  <c r="Y152" i="23" s="1"/>
  <c r="B52" i="25"/>
  <c r="W52" i="24"/>
  <c r="D52" i="24"/>
  <c r="E52" i="24" s="1"/>
  <c r="F52" i="24" s="1"/>
  <c r="G103" i="23"/>
  <c r="CD103" i="6" s="1"/>
  <c r="AA103" i="23"/>
  <c r="Z103" i="23" s="1"/>
  <c r="Y103" i="23" s="1"/>
  <c r="W235" i="24"/>
  <c r="D235" i="24"/>
  <c r="E235" i="24" s="1"/>
  <c r="F235" i="24" s="1"/>
  <c r="B235" i="25"/>
  <c r="G251" i="23"/>
  <c r="CD251" i="6" s="1"/>
  <c r="AA251" i="23"/>
  <c r="Z251" i="23" s="1"/>
  <c r="Y251" i="23" s="1"/>
  <c r="W153" i="24"/>
  <c r="D153" i="24"/>
  <c r="E153" i="24" s="1"/>
  <c r="F153" i="24" s="1"/>
  <c r="B153" i="25"/>
  <c r="G132" i="23"/>
  <c r="CD132" i="6" s="1"/>
  <c r="AA132" i="23"/>
  <c r="Z132" i="23" s="1"/>
  <c r="Y132" i="23" s="1"/>
  <c r="W333" i="25"/>
  <c r="D333" i="25"/>
  <c r="E333" i="25" s="1"/>
  <c r="F333" i="25" s="1"/>
  <c r="G333" i="24"/>
  <c r="CE333" i="6" s="1"/>
  <c r="AA333" i="24"/>
  <c r="Z333" i="24" s="1"/>
  <c r="Y333" i="24" s="1"/>
  <c r="W316" i="25"/>
  <c r="D316" i="25"/>
  <c r="E316" i="25" s="1"/>
  <c r="F316" i="25" s="1"/>
  <c r="G46" i="25"/>
  <c r="CF46" i="6" s="1"/>
  <c r="AA46" i="25"/>
  <c r="Z46" i="25" s="1"/>
  <c r="Y46" i="25" s="1"/>
  <c r="G346" i="25"/>
  <c r="CF346" i="6" s="1"/>
  <c r="AA346" i="25"/>
  <c r="Z346" i="25" s="1"/>
  <c r="Y346" i="25" s="1"/>
  <c r="W368" i="25"/>
  <c r="D368" i="25"/>
  <c r="E368" i="25" s="1"/>
  <c r="F368" i="25" s="1"/>
  <c r="W347" i="25"/>
  <c r="D347" i="25"/>
  <c r="E347" i="25" s="1"/>
  <c r="F347" i="25" s="1"/>
  <c r="G139" i="24"/>
  <c r="CE139" i="6" s="1"/>
  <c r="AA139" i="24"/>
  <c r="Z139" i="24" s="1"/>
  <c r="Y139" i="24" s="1"/>
  <c r="W169" i="25"/>
  <c r="D169" i="25"/>
  <c r="E169" i="25" s="1"/>
  <c r="F169" i="25" s="1"/>
  <c r="G203" i="24"/>
  <c r="CE203" i="6" s="1"/>
  <c r="AA203" i="24"/>
  <c r="Z203" i="24" s="1"/>
  <c r="Y203" i="24" s="1"/>
  <c r="W245" i="25"/>
  <c r="D245" i="25"/>
  <c r="E245" i="25" s="1"/>
  <c r="F245" i="25" s="1"/>
  <c r="W325" i="25"/>
  <c r="D325" i="25"/>
  <c r="E325" i="25" s="1"/>
  <c r="F325" i="25" s="1"/>
  <c r="I382" i="17"/>
  <c r="I381" i="17"/>
  <c r="I383" i="17"/>
  <c r="H15" i="18"/>
  <c r="Z382" i="17"/>
  <c r="Z381" i="17"/>
  <c r="Z383" i="17"/>
  <c r="AL8" i="17"/>
  <c r="Z9" i="17"/>
  <c r="Y15" i="17"/>
  <c r="AL5" i="17" s="1"/>
  <c r="AL11" i="17" s="1"/>
  <c r="AJ3" i="17" s="1"/>
  <c r="O14" i="19" s="1"/>
  <c r="M14" i="19" s="1"/>
  <c r="G196" i="23"/>
  <c r="CD196" i="6" s="1"/>
  <c r="AA196" i="23"/>
  <c r="Z196" i="23" s="1"/>
  <c r="Y196" i="23" s="1"/>
  <c r="I333" i="20"/>
  <c r="H333" i="22" s="1"/>
  <c r="J333" i="20"/>
  <c r="I177" i="20"/>
  <c r="H177" i="22" s="1"/>
  <c r="J177" i="20"/>
  <c r="J166" i="20"/>
  <c r="I166" i="20"/>
  <c r="H166" i="22" s="1"/>
  <c r="J354" i="20"/>
  <c r="I354" i="20"/>
  <c r="H354" i="22" s="1"/>
  <c r="J17" i="20"/>
  <c r="I17" i="20"/>
  <c r="H17" i="22" s="1"/>
  <c r="J111" i="20"/>
  <c r="I111" i="20"/>
  <c r="H111" i="22" s="1"/>
  <c r="J278" i="20"/>
  <c r="I278" i="20"/>
  <c r="H278" i="22" s="1"/>
  <c r="J95" i="20"/>
  <c r="I95" i="20"/>
  <c r="H95" i="22" s="1"/>
  <c r="I369" i="20"/>
  <c r="H369" i="22" s="1"/>
  <c r="J369" i="20"/>
  <c r="J253" i="20"/>
  <c r="I253" i="20"/>
  <c r="H253" i="22" s="1"/>
  <c r="I56" i="20"/>
  <c r="H56" i="22" s="1"/>
  <c r="J56" i="20"/>
  <c r="J128" i="20"/>
  <c r="I128" i="20"/>
  <c r="H128" i="22" s="1"/>
  <c r="I176" i="20"/>
  <c r="H176" i="22" s="1"/>
  <c r="J176" i="20"/>
  <c r="J308" i="20"/>
  <c r="I308" i="20"/>
  <c r="H308" i="22" s="1"/>
  <c r="I336" i="20"/>
  <c r="H336" i="22" s="1"/>
  <c r="J336" i="20"/>
  <c r="W23" i="24"/>
  <c r="D23" i="24"/>
  <c r="E23" i="24" s="1"/>
  <c r="F23" i="24" s="1"/>
  <c r="B23" i="25"/>
  <c r="W126" i="24"/>
  <c r="D126" i="24"/>
  <c r="E126" i="24" s="1"/>
  <c r="F126" i="24" s="1"/>
  <c r="B126" i="25"/>
  <c r="W250" i="24"/>
  <c r="D250" i="24"/>
  <c r="E250" i="24" s="1"/>
  <c r="F250" i="24" s="1"/>
  <c r="B250" i="25"/>
  <c r="AA65" i="24"/>
  <c r="Z65" i="24" s="1"/>
  <c r="Y65" i="24" s="1"/>
  <c r="G65" i="24"/>
  <c r="CE65" i="6" s="1"/>
  <c r="D143" i="25"/>
  <c r="E143" i="25" s="1"/>
  <c r="F143" i="25" s="1"/>
  <c r="W143" i="25"/>
  <c r="W288" i="25"/>
  <c r="D288" i="25"/>
  <c r="E288" i="25" s="1"/>
  <c r="F288" i="25" s="1"/>
  <c r="G288" i="24"/>
  <c r="CE288" i="6" s="1"/>
  <c r="AA288" i="24"/>
  <c r="Z288" i="24" s="1"/>
  <c r="Y288" i="24" s="1"/>
  <c r="W28" i="25"/>
  <c r="D28" i="25"/>
  <c r="E28" i="25" s="1"/>
  <c r="F28" i="25" s="1"/>
  <c r="I122" i="20"/>
  <c r="H122" i="22" s="1"/>
  <c r="J122" i="20"/>
  <c r="G172" i="24"/>
  <c r="CE172" i="6" s="1"/>
  <c r="AA172" i="24"/>
  <c r="Z172" i="24" s="1"/>
  <c r="Y172" i="24" s="1"/>
  <c r="I172" i="20"/>
  <c r="H172" i="22" s="1"/>
  <c r="J172" i="20"/>
  <c r="D304" i="25"/>
  <c r="E304" i="25" s="1"/>
  <c r="F304" i="25" s="1"/>
  <c r="W304" i="25"/>
  <c r="D344" i="25"/>
  <c r="E344" i="25" s="1"/>
  <c r="F344" i="25" s="1"/>
  <c r="W344" i="25"/>
  <c r="G360" i="24"/>
  <c r="CE360" i="6" s="1"/>
  <c r="AA360" i="24"/>
  <c r="Z360" i="24" s="1"/>
  <c r="Y360" i="24" s="1"/>
  <c r="W370" i="25"/>
  <c r="D370" i="25"/>
  <c r="E370" i="25" s="1"/>
  <c r="F370" i="25" s="1"/>
  <c r="I25" i="20"/>
  <c r="H25" i="22" s="1"/>
  <c r="J25" i="20"/>
  <c r="G115" i="24"/>
  <c r="CE115" i="6" s="1"/>
  <c r="AA115" i="24"/>
  <c r="Z115" i="24" s="1"/>
  <c r="Y115" i="24" s="1"/>
  <c r="AA133" i="24"/>
  <c r="Z133" i="24" s="1"/>
  <c r="Y133" i="24" s="1"/>
  <c r="G133" i="24"/>
  <c r="CE133" i="6" s="1"/>
  <c r="G217" i="24"/>
  <c r="CE217" i="6" s="1"/>
  <c r="AA217" i="24"/>
  <c r="Z217" i="24" s="1"/>
  <c r="Y217" i="24" s="1"/>
  <c r="W237" i="25"/>
  <c r="D237" i="25"/>
  <c r="E237" i="25" s="1"/>
  <c r="F237" i="25" s="1"/>
  <c r="AA237" i="24"/>
  <c r="Z237" i="24" s="1"/>
  <c r="Y237" i="24" s="1"/>
  <c r="G237" i="24"/>
  <c r="CE237" i="6" s="1"/>
  <c r="W297" i="25"/>
  <c r="D297" i="25"/>
  <c r="E297" i="25" s="1"/>
  <c r="F297" i="25" s="1"/>
  <c r="G329" i="24"/>
  <c r="CE329" i="6" s="1"/>
  <c r="AA329" i="24"/>
  <c r="Z329" i="24" s="1"/>
  <c r="Y329" i="24" s="1"/>
  <c r="W44" i="25"/>
  <c r="D44" i="25"/>
  <c r="E44" i="25" s="1"/>
  <c r="F44" i="25" s="1"/>
  <c r="G58" i="24"/>
  <c r="CE58" i="6" s="1"/>
  <c r="AA58" i="24"/>
  <c r="Z58" i="24" s="1"/>
  <c r="Y58" i="24" s="1"/>
  <c r="G102" i="24"/>
  <c r="CE102" i="6" s="1"/>
  <c r="AA102" i="24"/>
  <c r="Z102" i="24" s="1"/>
  <c r="Y102" i="24" s="1"/>
  <c r="D156" i="25"/>
  <c r="E156" i="25" s="1"/>
  <c r="F156" i="25" s="1"/>
  <c r="W156" i="25"/>
  <c r="G162" i="24"/>
  <c r="CE162" i="6" s="1"/>
  <c r="AA162" i="24"/>
  <c r="Z162" i="24" s="1"/>
  <c r="Y162" i="24" s="1"/>
  <c r="W186" i="24"/>
  <c r="B186" i="25"/>
  <c r="D186" i="24"/>
  <c r="E186" i="24" s="1"/>
  <c r="F186" i="24" s="1"/>
  <c r="AI4" i="6"/>
  <c r="D309" i="6"/>
  <c r="G150" i="25"/>
  <c r="CF150" i="6" s="1"/>
  <c r="AA150" i="25"/>
  <c r="Z150" i="25" s="1"/>
  <c r="Y150" i="25" s="1"/>
  <c r="AA67" i="25"/>
  <c r="Z67" i="25" s="1"/>
  <c r="Y67" i="25" s="1"/>
  <c r="G67" i="25"/>
  <c r="CF67" i="6" s="1"/>
  <c r="G75" i="25"/>
  <c r="CF75" i="6" s="1"/>
  <c r="AA75" i="25"/>
  <c r="Z75" i="25" s="1"/>
  <c r="Y75" i="25" s="1"/>
  <c r="W244" i="25"/>
  <c r="D244" i="25"/>
  <c r="E244" i="25" s="1"/>
  <c r="F244" i="25" s="1"/>
  <c r="W37" i="25"/>
  <c r="D37" i="25"/>
  <c r="E37" i="25" s="1"/>
  <c r="F37" i="25" s="1"/>
  <c r="W99" i="25"/>
  <c r="D99" i="25"/>
  <c r="E99" i="25" s="1"/>
  <c r="F99" i="25" s="1"/>
  <c r="W185" i="25"/>
  <c r="D185" i="25"/>
  <c r="E185" i="25" s="1"/>
  <c r="F185" i="25" s="1"/>
  <c r="W281" i="25"/>
  <c r="D281" i="25"/>
  <c r="E281" i="25" s="1"/>
  <c r="F281" i="25" s="1"/>
  <c r="W192" i="25"/>
  <c r="D192" i="25"/>
  <c r="E192" i="25" s="1"/>
  <c r="F192" i="25" s="1"/>
  <c r="W334" i="25"/>
  <c r="D334" i="25"/>
  <c r="E334" i="25" s="1"/>
  <c r="F334" i="25" s="1"/>
  <c r="W161" i="25"/>
  <c r="D161" i="25"/>
  <c r="E161" i="25" s="1"/>
  <c r="F161" i="25" s="1"/>
  <c r="W61" i="25"/>
  <c r="D61" i="25"/>
  <c r="E61" i="25" s="1"/>
  <c r="F61" i="25" s="1"/>
  <c r="W127" i="25"/>
  <c r="D127" i="25"/>
  <c r="E127" i="25" s="1"/>
  <c r="F127" i="25" s="1"/>
  <c r="W219" i="25"/>
  <c r="D219" i="25"/>
  <c r="E219" i="25" s="1"/>
  <c r="F219" i="25" s="1"/>
  <c r="W142" i="25"/>
  <c r="D142" i="25"/>
  <c r="E142" i="25" s="1"/>
  <c r="F142" i="25" s="1"/>
  <c r="G59" i="23"/>
  <c r="CD59" i="6" s="1"/>
  <c r="AA59" i="23"/>
  <c r="Z59" i="23" s="1"/>
  <c r="Y59" i="23" s="1"/>
  <c r="G179" i="23"/>
  <c r="CD179" i="6" s="1"/>
  <c r="AA179" i="23"/>
  <c r="Z179" i="23" s="1"/>
  <c r="Y179" i="23" s="1"/>
  <c r="G257" i="23"/>
  <c r="CD257" i="6" s="1"/>
  <c r="AA257" i="23"/>
  <c r="Z257" i="23" s="1"/>
  <c r="Y257" i="23" s="1"/>
  <c r="G337" i="23"/>
  <c r="CD337" i="6" s="1"/>
  <c r="AA337" i="23"/>
  <c r="Z337" i="23" s="1"/>
  <c r="Y337" i="23" s="1"/>
  <c r="D9" i="22"/>
  <c r="D11" i="22" s="1"/>
  <c r="E41" i="19" s="1"/>
  <c r="D379" i="24"/>
  <c r="E379" i="24" s="1"/>
  <c r="F379" i="24" s="1"/>
  <c r="W379" i="24"/>
  <c r="B379" i="25"/>
  <c r="W50" i="24"/>
  <c r="D50" i="24"/>
  <c r="E50" i="24" s="1"/>
  <c r="F50" i="24" s="1"/>
  <c r="B50" i="25"/>
  <c r="G92" i="23"/>
  <c r="CD92" i="6" s="1"/>
  <c r="AA92" i="23"/>
  <c r="Z92" i="23" s="1"/>
  <c r="Y92" i="23" s="1"/>
  <c r="G118" i="23"/>
  <c r="CD118" i="6" s="1"/>
  <c r="AA118" i="23"/>
  <c r="Z118" i="23" s="1"/>
  <c r="Y118" i="23" s="1"/>
  <c r="W170" i="24"/>
  <c r="D170" i="24"/>
  <c r="E170" i="24" s="1"/>
  <c r="F170" i="24" s="1"/>
  <c r="B170" i="25"/>
  <c r="W268" i="24"/>
  <c r="D268" i="24"/>
  <c r="E268" i="24" s="1"/>
  <c r="F268" i="24" s="1"/>
  <c r="B268" i="25"/>
  <c r="G282" i="23"/>
  <c r="CD282" i="6" s="1"/>
  <c r="AA282" i="23"/>
  <c r="Z282" i="23" s="1"/>
  <c r="Y282" i="23" s="1"/>
  <c r="W328" i="24"/>
  <c r="D328" i="24"/>
  <c r="E328" i="24" s="1"/>
  <c r="F328" i="24" s="1"/>
  <c r="B328" i="25"/>
  <c r="G21" i="23"/>
  <c r="CD21" i="6" s="1"/>
  <c r="AA21" i="23"/>
  <c r="Z21" i="23" s="1"/>
  <c r="Y21" i="23" s="1"/>
  <c r="W45" i="24"/>
  <c r="D45" i="24"/>
  <c r="E45" i="24" s="1"/>
  <c r="F45" i="24" s="1"/>
  <c r="B45" i="25"/>
  <c r="G71" i="23"/>
  <c r="CD71" i="6" s="1"/>
  <c r="AA71" i="23"/>
  <c r="Z71" i="23" s="1"/>
  <c r="Y71" i="23" s="1"/>
  <c r="W291" i="25"/>
  <c r="D291" i="25"/>
  <c r="E291" i="25" s="1"/>
  <c r="F291" i="25" s="1"/>
  <c r="W339" i="25"/>
  <c r="D339" i="25"/>
  <c r="E339" i="25" s="1"/>
  <c r="F339" i="25" s="1"/>
  <c r="W269" i="24"/>
  <c r="D269" i="24"/>
  <c r="E269" i="24" s="1"/>
  <c r="F269" i="24" s="1"/>
  <c r="B269" i="25"/>
  <c r="W359" i="24"/>
  <c r="B359" i="25"/>
  <c r="D359" i="24"/>
  <c r="E359" i="24" s="1"/>
  <c r="F359" i="24" s="1"/>
  <c r="AA48" i="23"/>
  <c r="Z48" i="23" s="1"/>
  <c r="Y48" i="23" s="1"/>
  <c r="G48" i="23"/>
  <c r="CD48" i="6" s="1"/>
  <c r="W160" i="24"/>
  <c r="D160" i="24"/>
  <c r="E160" i="24" s="1"/>
  <c r="F160" i="24" s="1"/>
  <c r="B160" i="25"/>
  <c r="G234" i="23"/>
  <c r="CD234" i="6" s="1"/>
  <c r="AA234" i="23"/>
  <c r="Z234" i="23" s="1"/>
  <c r="Y234" i="23" s="1"/>
  <c r="W266" i="24"/>
  <c r="B266" i="25"/>
  <c r="D266" i="24"/>
  <c r="E266" i="24" s="1"/>
  <c r="F266" i="24" s="1"/>
  <c r="G322" i="23"/>
  <c r="CD322" i="6" s="1"/>
  <c r="AA322" i="23"/>
  <c r="Z322" i="23" s="1"/>
  <c r="Y322" i="23" s="1"/>
  <c r="I59" i="22" l="1"/>
  <c r="H59" i="23" s="1"/>
  <c r="I136" i="22"/>
  <c r="H136" i="23" s="1"/>
  <c r="J136" i="23" s="1"/>
  <c r="AK9" i="23"/>
  <c r="AM9" i="23"/>
  <c r="AK11" i="23"/>
  <c r="I165" i="22"/>
  <c r="H165" i="23" s="1"/>
  <c r="J165" i="23" s="1"/>
  <c r="I252" i="22"/>
  <c r="H252" i="23" s="1"/>
  <c r="J252" i="23" s="1"/>
  <c r="J68" i="22"/>
  <c r="I201" i="22"/>
  <c r="H201" i="23" s="1"/>
  <c r="J201" i="23" s="1"/>
  <c r="J82" i="22"/>
  <c r="J82" i="23" s="1"/>
  <c r="AJ11" i="23"/>
  <c r="D15" i="25"/>
  <c r="E15" i="25" s="1"/>
  <c r="AJ5" i="25"/>
  <c r="AJ9" i="24"/>
  <c r="AJ7" i="24"/>
  <c r="E15" i="19"/>
  <c r="E14" i="19"/>
  <c r="B19" i="19"/>
  <c r="D16" i="19"/>
  <c r="W15" i="25"/>
  <c r="J54" i="22"/>
  <c r="I213" i="22"/>
  <c r="H213" i="23" s="1"/>
  <c r="I213" i="23" s="1"/>
  <c r="H213" i="24" s="1"/>
  <c r="I45" i="22"/>
  <c r="H45" i="23" s="1"/>
  <c r="J45" i="23" s="1"/>
  <c r="I305" i="22"/>
  <c r="H305" i="23" s="1"/>
  <c r="I305" i="23" s="1"/>
  <c r="H305" i="24" s="1"/>
  <c r="I282" i="22"/>
  <c r="H282" i="23" s="1"/>
  <c r="J282" i="23" s="1"/>
  <c r="I315" i="22"/>
  <c r="H315" i="23" s="1"/>
  <c r="I315" i="23" s="1"/>
  <c r="H315" i="24" s="1"/>
  <c r="J337" i="22"/>
  <c r="J337" i="23" s="1"/>
  <c r="I235" i="22"/>
  <c r="H235" i="23" s="1"/>
  <c r="J235" i="23" s="1"/>
  <c r="I40" i="22"/>
  <c r="H40" i="23" s="1"/>
  <c r="J40" i="23" s="1"/>
  <c r="I126" i="22"/>
  <c r="H126" i="23" s="1"/>
  <c r="J126" i="23" s="1"/>
  <c r="J211" i="22"/>
  <c r="J211" i="23" s="1"/>
  <c r="J158" i="22"/>
  <c r="J158" i="23" s="1"/>
  <c r="I296" i="22"/>
  <c r="H296" i="23" s="1"/>
  <c r="I296" i="23" s="1"/>
  <c r="H296" i="24" s="1"/>
  <c r="I144" i="22"/>
  <c r="H144" i="23" s="1"/>
  <c r="J144" i="23" s="1"/>
  <c r="I341" i="22"/>
  <c r="H341" i="23" s="1"/>
  <c r="J341" i="23" s="1"/>
  <c r="J20" i="22"/>
  <c r="J113" i="22"/>
  <c r="J113" i="23" s="1"/>
  <c r="J123" i="22"/>
  <c r="J123" i="23" s="1"/>
  <c r="I50" i="22"/>
  <c r="H50" i="23" s="1"/>
  <c r="I50" i="23" s="1"/>
  <c r="H50" i="24" s="1"/>
  <c r="I200" i="22"/>
  <c r="H200" i="23" s="1"/>
  <c r="I200" i="23" s="1"/>
  <c r="H200" i="24" s="1"/>
  <c r="I250" i="22"/>
  <c r="H250" i="23" s="1"/>
  <c r="J250" i="23" s="1"/>
  <c r="J364" i="22"/>
  <c r="J364" i="23" s="1"/>
  <c r="I338" i="22"/>
  <c r="H338" i="23" s="1"/>
  <c r="J338" i="23" s="1"/>
  <c r="J230" i="22"/>
  <c r="J230" i="23" s="1"/>
  <c r="J379" i="22"/>
  <c r="J174" i="22"/>
  <c r="J174" i="23" s="1"/>
  <c r="J239" i="22"/>
  <c r="I145" i="22"/>
  <c r="H145" i="23" s="1"/>
  <c r="I145" i="23" s="1"/>
  <c r="H145" i="24" s="1"/>
  <c r="J312" i="22"/>
  <c r="J312" i="23" s="1"/>
  <c r="J286" i="22"/>
  <c r="J286" i="23" s="1"/>
  <c r="J229" i="22"/>
  <c r="J229" i="23" s="1"/>
  <c r="J100" i="22"/>
  <c r="J100" i="23" s="1"/>
  <c r="J124" i="22"/>
  <c r="J124" i="23" s="1"/>
  <c r="J342" i="22"/>
  <c r="J342" i="23" s="1"/>
  <c r="J152" i="22"/>
  <c r="J152" i="23" s="1"/>
  <c r="J375" i="22"/>
  <c r="J375" i="23" s="1"/>
  <c r="I168" i="22"/>
  <c r="H168" i="23" s="1"/>
  <c r="J168" i="23" s="1"/>
  <c r="J151" i="22"/>
  <c r="J151" i="23" s="1"/>
  <c r="AJ12" i="22"/>
  <c r="AJ13" i="22" s="1"/>
  <c r="B383" i="25"/>
  <c r="AK12" i="22"/>
  <c r="AK13" i="22" s="1"/>
  <c r="AJ12" i="23"/>
  <c r="F14" i="19"/>
  <c r="J233" i="23"/>
  <c r="I233" i="23"/>
  <c r="H233" i="24" s="1"/>
  <c r="I306" i="23"/>
  <c r="H306" i="24" s="1"/>
  <c r="J306" i="23"/>
  <c r="I207" i="23"/>
  <c r="H207" i="24" s="1"/>
  <c r="J207" i="23"/>
  <c r="J23" i="23"/>
  <c r="I23" i="23"/>
  <c r="H23" i="24" s="1"/>
  <c r="I153" i="23"/>
  <c r="H153" i="24" s="1"/>
  <c r="J153" i="23"/>
  <c r="J305" i="23"/>
  <c r="J279" i="23"/>
  <c r="I279" i="23"/>
  <c r="H279" i="24" s="1"/>
  <c r="I31" i="23"/>
  <c r="H31" i="24" s="1"/>
  <c r="J31" i="23"/>
  <c r="I348" i="23"/>
  <c r="H348" i="24" s="1"/>
  <c r="J348" i="23"/>
  <c r="J112" i="23"/>
  <c r="I112" i="23"/>
  <c r="H112" i="24" s="1"/>
  <c r="I229" i="23"/>
  <c r="H229" i="24" s="1"/>
  <c r="J32" i="23"/>
  <c r="I32" i="23"/>
  <c r="H32" i="24" s="1"/>
  <c r="I353" i="23"/>
  <c r="H353" i="24" s="1"/>
  <c r="J353" i="23"/>
  <c r="I268" i="23"/>
  <c r="H268" i="24" s="1"/>
  <c r="J268" i="23"/>
  <c r="J52" i="23"/>
  <c r="I52" i="23"/>
  <c r="H52" i="24" s="1"/>
  <c r="J68" i="23"/>
  <c r="I68" i="23"/>
  <c r="H68" i="24" s="1"/>
  <c r="I165" i="23"/>
  <c r="H165" i="24" s="1"/>
  <c r="I91" i="23"/>
  <c r="H91" i="24" s="1"/>
  <c r="J91" i="23"/>
  <c r="J256" i="23"/>
  <c r="I256" i="23"/>
  <c r="H256" i="24" s="1"/>
  <c r="J106" i="23"/>
  <c r="I106" i="23"/>
  <c r="H106" i="24" s="1"/>
  <c r="W266" i="25"/>
  <c r="D266" i="25"/>
  <c r="E266" i="25" s="1"/>
  <c r="F266" i="25" s="1"/>
  <c r="J234" i="23"/>
  <c r="I234" i="23"/>
  <c r="H234" i="24" s="1"/>
  <c r="I48" i="23"/>
  <c r="H48" i="24" s="1"/>
  <c r="J48" i="23"/>
  <c r="W269" i="25"/>
  <c r="D269" i="25"/>
  <c r="E269" i="25" s="1"/>
  <c r="F269" i="25" s="1"/>
  <c r="J71" i="23"/>
  <c r="I71" i="23"/>
  <c r="H71" i="24" s="1"/>
  <c r="W45" i="25"/>
  <c r="D45" i="25"/>
  <c r="E45" i="25" s="1"/>
  <c r="F45" i="25" s="1"/>
  <c r="W328" i="25"/>
  <c r="D328" i="25"/>
  <c r="E328" i="25" s="1"/>
  <c r="F328" i="25" s="1"/>
  <c r="W268" i="25"/>
  <c r="D268" i="25"/>
  <c r="E268" i="25" s="1"/>
  <c r="F268" i="25" s="1"/>
  <c r="AA170" i="24"/>
  <c r="Z170" i="24" s="1"/>
  <c r="Y170" i="24" s="1"/>
  <c r="G170" i="24"/>
  <c r="CE170" i="6" s="1"/>
  <c r="I92" i="23"/>
  <c r="H92" i="24" s="1"/>
  <c r="J92" i="23"/>
  <c r="W50" i="25"/>
  <c r="D50" i="25"/>
  <c r="E50" i="25" s="1"/>
  <c r="F50" i="25" s="1"/>
  <c r="G186" i="24"/>
  <c r="CE186" i="6" s="1"/>
  <c r="AA186" i="24"/>
  <c r="Z186" i="24" s="1"/>
  <c r="Y186" i="24" s="1"/>
  <c r="G237" i="25"/>
  <c r="CF237" i="6" s="1"/>
  <c r="AA237" i="25"/>
  <c r="Z237" i="25" s="1"/>
  <c r="Y237" i="25" s="1"/>
  <c r="J122" i="22"/>
  <c r="I122" i="22"/>
  <c r="H122" i="23" s="1"/>
  <c r="AA288" i="25"/>
  <c r="Z288" i="25" s="1"/>
  <c r="Y288" i="25" s="1"/>
  <c r="G288" i="25"/>
  <c r="CF288" i="6" s="1"/>
  <c r="G250" i="24"/>
  <c r="CE250" i="6" s="1"/>
  <c r="AA250" i="24"/>
  <c r="Z250" i="24" s="1"/>
  <c r="Y250" i="24" s="1"/>
  <c r="W126" i="25"/>
  <c r="D126" i="25"/>
  <c r="E126" i="25" s="1"/>
  <c r="F126" i="25" s="1"/>
  <c r="G23" i="24"/>
  <c r="CE23" i="6" s="1"/>
  <c r="AA23" i="24"/>
  <c r="Z23" i="24" s="1"/>
  <c r="Y23" i="24" s="1"/>
  <c r="I308" i="22"/>
  <c r="H308" i="23" s="1"/>
  <c r="J308" i="22"/>
  <c r="I128" i="22"/>
  <c r="H128" i="23" s="1"/>
  <c r="J128" i="22"/>
  <c r="J253" i="22"/>
  <c r="I253" i="22"/>
  <c r="H253" i="23" s="1"/>
  <c r="J95" i="22"/>
  <c r="I95" i="22"/>
  <c r="H95" i="23" s="1"/>
  <c r="I278" i="22"/>
  <c r="H278" i="23" s="1"/>
  <c r="J278" i="22"/>
  <c r="I111" i="22"/>
  <c r="H111" i="23" s="1"/>
  <c r="J111" i="22"/>
  <c r="J17" i="22"/>
  <c r="I17" i="22"/>
  <c r="H17" i="23" s="1"/>
  <c r="J354" i="22"/>
  <c r="I354" i="22"/>
  <c r="H354" i="23" s="1"/>
  <c r="J166" i="22"/>
  <c r="I166" i="22"/>
  <c r="H166" i="23" s="1"/>
  <c r="G169" i="25"/>
  <c r="CF169" i="6" s="1"/>
  <c r="AA169" i="25"/>
  <c r="Z169" i="25" s="1"/>
  <c r="Y169" i="25" s="1"/>
  <c r="AA333" i="25"/>
  <c r="Z333" i="25" s="1"/>
  <c r="Y333" i="25" s="1"/>
  <c r="G333" i="25"/>
  <c r="CF333" i="6" s="1"/>
  <c r="J132" i="23"/>
  <c r="I132" i="23"/>
  <c r="H132" i="24" s="1"/>
  <c r="AA153" i="24"/>
  <c r="Z153" i="24" s="1"/>
  <c r="Y153" i="24" s="1"/>
  <c r="G153" i="24"/>
  <c r="CE153" i="6" s="1"/>
  <c r="G235" i="24"/>
  <c r="CE235" i="6" s="1"/>
  <c r="AA235" i="24"/>
  <c r="Z235" i="24" s="1"/>
  <c r="Y235" i="24" s="1"/>
  <c r="I103" i="23"/>
  <c r="H103" i="24" s="1"/>
  <c r="J103" i="23"/>
  <c r="I152" i="23"/>
  <c r="H152" i="24" s="1"/>
  <c r="I252" i="23"/>
  <c r="H252" i="24" s="1"/>
  <c r="W204" i="25"/>
  <c r="D204" i="25"/>
  <c r="E204" i="25" s="1"/>
  <c r="F204" i="25" s="1"/>
  <c r="I222" i="23"/>
  <c r="H222" i="24" s="1"/>
  <c r="J222" i="23"/>
  <c r="W366" i="25"/>
  <c r="D366" i="25"/>
  <c r="E366" i="25" s="1"/>
  <c r="F366" i="25" s="1"/>
  <c r="G68" i="24"/>
  <c r="CE68" i="6" s="1"/>
  <c r="AA68" i="24"/>
  <c r="Z68" i="24" s="1"/>
  <c r="Y68" i="24" s="1"/>
  <c r="W377" i="25"/>
  <c r="D377" i="25"/>
  <c r="E377" i="25" s="1"/>
  <c r="F377" i="25" s="1"/>
  <c r="J343" i="23"/>
  <c r="I343" i="23"/>
  <c r="H343" i="24" s="1"/>
  <c r="G279" i="24"/>
  <c r="CE279" i="6" s="1"/>
  <c r="AA279" i="24"/>
  <c r="Z279" i="24" s="1"/>
  <c r="Y279" i="24" s="1"/>
  <c r="J225" i="23"/>
  <c r="I225" i="23"/>
  <c r="H225" i="24" s="1"/>
  <c r="W165" i="25"/>
  <c r="D165" i="25"/>
  <c r="E165" i="25" s="1"/>
  <c r="F165" i="25" s="1"/>
  <c r="G91" i="24"/>
  <c r="CE91" i="6" s="1"/>
  <c r="AA91" i="24"/>
  <c r="Z91" i="24" s="1"/>
  <c r="Y91" i="24" s="1"/>
  <c r="W91" i="25"/>
  <c r="D91" i="25"/>
  <c r="E91" i="25" s="1"/>
  <c r="F91" i="25" s="1"/>
  <c r="J26" i="22"/>
  <c r="I26" i="22"/>
  <c r="H26" i="23" s="1"/>
  <c r="I364" i="23"/>
  <c r="H364" i="24" s="1"/>
  <c r="G330" i="24"/>
  <c r="CE330" i="6" s="1"/>
  <c r="AA330" i="24"/>
  <c r="Z330" i="24" s="1"/>
  <c r="Y330" i="24" s="1"/>
  <c r="I292" i="23"/>
  <c r="H292" i="24" s="1"/>
  <c r="J292" i="23"/>
  <c r="G256" i="24"/>
  <c r="CE256" i="6" s="1"/>
  <c r="AA256" i="24"/>
  <c r="Z256" i="24" s="1"/>
  <c r="Y256" i="24" s="1"/>
  <c r="I184" i="23"/>
  <c r="H184" i="24" s="1"/>
  <c r="J184" i="23"/>
  <c r="G124" i="24"/>
  <c r="CE124" i="6" s="1"/>
  <c r="AA124" i="24"/>
  <c r="Z124" i="24" s="1"/>
  <c r="Y124" i="24" s="1"/>
  <c r="J359" i="22"/>
  <c r="I359" i="22"/>
  <c r="H359" i="23" s="1"/>
  <c r="I151" i="23"/>
  <c r="H151" i="24" s="1"/>
  <c r="I39" i="23"/>
  <c r="H39" i="24" s="1"/>
  <c r="J39" i="23"/>
  <c r="I49" i="23"/>
  <c r="H49" i="24" s="1"/>
  <c r="J49" i="23"/>
  <c r="AA31" i="24"/>
  <c r="Z31" i="24" s="1"/>
  <c r="Y31" i="24" s="1"/>
  <c r="G31" i="24"/>
  <c r="CE31" i="6" s="1"/>
  <c r="I352" i="23"/>
  <c r="H352" i="24" s="1"/>
  <c r="J352" i="23"/>
  <c r="G318" i="24"/>
  <c r="CE318" i="6" s="1"/>
  <c r="AA318" i="24"/>
  <c r="Z318" i="24" s="1"/>
  <c r="Y318" i="24" s="1"/>
  <c r="G254" i="24"/>
  <c r="CE254" i="6" s="1"/>
  <c r="AA254" i="24"/>
  <c r="Z254" i="24" s="1"/>
  <c r="Y254" i="24" s="1"/>
  <c r="W106" i="25"/>
  <c r="D106" i="25"/>
  <c r="E106" i="25" s="1"/>
  <c r="F106" i="25" s="1"/>
  <c r="AJ8" i="24"/>
  <c r="AJ10" i="24"/>
  <c r="E381" i="24"/>
  <c r="E383" i="24"/>
  <c r="E382" i="24"/>
  <c r="E9" i="24"/>
  <c r="AK8" i="24"/>
  <c r="F15" i="24"/>
  <c r="D381" i="24"/>
  <c r="Z382" i="20"/>
  <c r="Z381" i="20"/>
  <c r="Z9" i="20"/>
  <c r="Z383" i="20"/>
  <c r="AL8" i="20"/>
  <c r="Y15" i="20"/>
  <c r="G62" i="25"/>
  <c r="CF62" i="6" s="1"/>
  <c r="AA62" i="25"/>
  <c r="Z62" i="25" s="1"/>
  <c r="Y62" i="25" s="1"/>
  <c r="G310" i="25"/>
  <c r="CF310" i="6" s="1"/>
  <c r="AA310" i="25"/>
  <c r="Z310" i="25" s="1"/>
  <c r="Y310" i="25" s="1"/>
  <c r="G356" i="25"/>
  <c r="CF356" i="6" s="1"/>
  <c r="AA356" i="25"/>
  <c r="Z356" i="25" s="1"/>
  <c r="Y356" i="25" s="1"/>
  <c r="G198" i="25"/>
  <c r="CF198" i="6" s="1"/>
  <c r="AA198" i="25"/>
  <c r="Z198" i="25" s="1"/>
  <c r="Y198" i="25" s="1"/>
  <c r="I102" i="22"/>
  <c r="H102" i="23" s="1"/>
  <c r="J102" i="22"/>
  <c r="I44" i="22"/>
  <c r="H44" i="23" s="1"/>
  <c r="J44" i="22"/>
  <c r="I36" i="22"/>
  <c r="H36" i="23" s="1"/>
  <c r="J36" i="22"/>
  <c r="I355" i="22"/>
  <c r="H355" i="23" s="1"/>
  <c r="J355" i="22"/>
  <c r="I133" i="22"/>
  <c r="H133" i="23" s="1"/>
  <c r="J133" i="22"/>
  <c r="J115" i="22"/>
  <c r="I115" i="22"/>
  <c r="H115" i="23" s="1"/>
  <c r="J304" i="22"/>
  <c r="I304" i="22"/>
  <c r="H304" i="23" s="1"/>
  <c r="I280" i="22"/>
  <c r="H280" i="23" s="1"/>
  <c r="J280" i="22"/>
  <c r="G307" i="25"/>
  <c r="CF307" i="6" s="1"/>
  <c r="AA307" i="25"/>
  <c r="Z307" i="25" s="1"/>
  <c r="Y307" i="25" s="1"/>
  <c r="J334" i="22"/>
  <c r="I334" i="22"/>
  <c r="H334" i="23" s="1"/>
  <c r="J258" i="23"/>
  <c r="I258" i="23"/>
  <c r="H258" i="24" s="1"/>
  <c r="J196" i="22"/>
  <c r="I196" i="22"/>
  <c r="H196" i="23" s="1"/>
  <c r="G271" i="25"/>
  <c r="CF271" i="6" s="1"/>
  <c r="AA271" i="25"/>
  <c r="Z271" i="25" s="1"/>
  <c r="Y271" i="25" s="1"/>
  <c r="G228" i="25"/>
  <c r="CF228" i="6" s="1"/>
  <c r="AA228" i="25"/>
  <c r="Z228" i="25" s="1"/>
  <c r="Y228" i="25" s="1"/>
  <c r="I82" i="23"/>
  <c r="H82" i="24" s="1"/>
  <c r="W54" i="25"/>
  <c r="D54" i="25"/>
  <c r="E54" i="25" s="1"/>
  <c r="F54" i="25" s="1"/>
  <c r="J30" i="23"/>
  <c r="I30" i="23"/>
  <c r="H30" i="24" s="1"/>
  <c r="G213" i="24"/>
  <c r="CE213" i="6" s="1"/>
  <c r="AA213" i="24"/>
  <c r="Z213" i="24" s="1"/>
  <c r="Y213" i="24" s="1"/>
  <c r="G113" i="24"/>
  <c r="CE113" i="6" s="1"/>
  <c r="AA113" i="24"/>
  <c r="Z113" i="24" s="1"/>
  <c r="Y113" i="24" s="1"/>
  <c r="W26" i="25"/>
  <c r="D26" i="25"/>
  <c r="E26" i="25" s="1"/>
  <c r="F26" i="25" s="1"/>
  <c r="I350" i="23"/>
  <c r="H350" i="24" s="1"/>
  <c r="J350" i="23"/>
  <c r="W174" i="25"/>
  <c r="D174" i="25"/>
  <c r="E174" i="25" s="1"/>
  <c r="F174" i="25" s="1"/>
  <c r="J38" i="23"/>
  <c r="I38" i="23"/>
  <c r="H38" i="24" s="1"/>
  <c r="AA100" i="24"/>
  <c r="Z100" i="24" s="1"/>
  <c r="Y100" i="24" s="1"/>
  <c r="G100" i="24"/>
  <c r="CE100" i="6" s="1"/>
  <c r="W229" i="25"/>
  <c r="D229" i="25"/>
  <c r="E229" i="25" s="1"/>
  <c r="F229" i="25" s="1"/>
  <c r="W306" i="25"/>
  <c r="D306" i="25"/>
  <c r="E306" i="25" s="1"/>
  <c r="F306" i="25" s="1"/>
  <c r="J299" i="23"/>
  <c r="I299" i="23"/>
  <c r="H299" i="24" s="1"/>
  <c r="G207" i="24"/>
  <c r="CE207" i="6" s="1"/>
  <c r="AA207" i="24"/>
  <c r="Z207" i="24" s="1"/>
  <c r="Y207" i="24" s="1"/>
  <c r="W64" i="25"/>
  <c r="D64" i="25"/>
  <c r="E64" i="25" s="1"/>
  <c r="F64" i="25" s="1"/>
  <c r="I358" i="23"/>
  <c r="H358" i="24" s="1"/>
  <c r="J358" i="23"/>
  <c r="W338" i="25"/>
  <c r="D338" i="25"/>
  <c r="E338" i="25" s="1"/>
  <c r="F338" i="25" s="1"/>
  <c r="G224" i="24"/>
  <c r="CE224" i="6" s="1"/>
  <c r="AA224" i="24"/>
  <c r="Z224" i="24" s="1"/>
  <c r="Y224" i="24" s="1"/>
  <c r="G190" i="25"/>
  <c r="CF190" i="6" s="1"/>
  <c r="AA190" i="25"/>
  <c r="Z190" i="25" s="1"/>
  <c r="Y190" i="25" s="1"/>
  <c r="I158" i="23"/>
  <c r="H158" i="24" s="1"/>
  <c r="I20" i="23"/>
  <c r="H20" i="24" s="1"/>
  <c r="J20" i="23"/>
  <c r="G313" i="24"/>
  <c r="CE313" i="6" s="1"/>
  <c r="AA313" i="24"/>
  <c r="Z313" i="24" s="1"/>
  <c r="Y313" i="24" s="1"/>
  <c r="W231" i="25"/>
  <c r="D231" i="25"/>
  <c r="E231" i="25" s="1"/>
  <c r="F231" i="25" s="1"/>
  <c r="I371" i="23"/>
  <c r="H371" i="24" s="1"/>
  <c r="J371" i="23"/>
  <c r="W181" i="25"/>
  <c r="D181" i="25"/>
  <c r="E181" i="25" s="1"/>
  <c r="F181" i="25" s="1"/>
  <c r="W175" i="25"/>
  <c r="D175" i="25"/>
  <c r="E175" i="25" s="1"/>
  <c r="F175" i="25" s="1"/>
  <c r="G17" i="19"/>
  <c r="J41" i="19" s="1"/>
  <c r="AB9" i="22"/>
  <c r="F11" i="22"/>
  <c r="G41" i="19" s="1"/>
  <c r="I375" i="23"/>
  <c r="H375" i="24" s="1"/>
  <c r="I211" i="23"/>
  <c r="H211" i="24" s="1"/>
  <c r="J148" i="22"/>
  <c r="I148" i="22"/>
  <c r="H148" i="23" s="1"/>
  <c r="J155" i="22"/>
  <c r="I155" i="22"/>
  <c r="H155" i="23" s="1"/>
  <c r="I22" i="22"/>
  <c r="H22" i="23" s="1"/>
  <c r="J22" i="22"/>
  <c r="I226" i="22"/>
  <c r="H226" i="23" s="1"/>
  <c r="J226" i="22"/>
  <c r="AA108" i="25"/>
  <c r="Z108" i="25" s="1"/>
  <c r="Y108" i="25" s="1"/>
  <c r="G108" i="25"/>
  <c r="CF108" i="6" s="1"/>
  <c r="G173" i="25"/>
  <c r="CF173" i="6" s="1"/>
  <c r="AA173" i="25"/>
  <c r="Z173" i="25" s="1"/>
  <c r="Y173" i="25" s="1"/>
  <c r="AA89" i="25"/>
  <c r="Z89" i="25" s="1"/>
  <c r="Y89" i="25" s="1"/>
  <c r="G89" i="25"/>
  <c r="CF89" i="6" s="1"/>
  <c r="G265" i="25"/>
  <c r="CF265" i="6" s="1"/>
  <c r="AA265" i="25"/>
  <c r="Z265" i="25" s="1"/>
  <c r="Y265" i="25" s="1"/>
  <c r="G249" i="25"/>
  <c r="CF249" i="6" s="1"/>
  <c r="AA249" i="25"/>
  <c r="Z249" i="25" s="1"/>
  <c r="Y249" i="25" s="1"/>
  <c r="G159" i="25"/>
  <c r="CF159" i="6" s="1"/>
  <c r="AA159" i="25"/>
  <c r="Z159" i="25" s="1"/>
  <c r="Y159" i="25" s="1"/>
  <c r="AA77" i="25"/>
  <c r="Z77" i="25" s="1"/>
  <c r="Y77" i="25" s="1"/>
  <c r="G77" i="25"/>
  <c r="CF77" i="6" s="1"/>
  <c r="G130" i="25"/>
  <c r="CF130" i="6" s="1"/>
  <c r="AA130" i="25"/>
  <c r="Z130" i="25" s="1"/>
  <c r="Y130" i="25" s="1"/>
  <c r="G210" i="25"/>
  <c r="CF210" i="6" s="1"/>
  <c r="AA210" i="25"/>
  <c r="Z210" i="25" s="1"/>
  <c r="Y210" i="25" s="1"/>
  <c r="G24" i="25"/>
  <c r="CF24" i="6" s="1"/>
  <c r="AA24" i="25"/>
  <c r="Z24" i="25" s="1"/>
  <c r="Y24" i="25" s="1"/>
  <c r="G345" i="25"/>
  <c r="CF345" i="6" s="1"/>
  <c r="AA345" i="25"/>
  <c r="Z345" i="25" s="1"/>
  <c r="Y345" i="25" s="1"/>
  <c r="AA262" i="25"/>
  <c r="Z262" i="25" s="1"/>
  <c r="Y262" i="25" s="1"/>
  <c r="G262" i="25"/>
  <c r="CF262" i="6" s="1"/>
  <c r="G202" i="25"/>
  <c r="CF202" i="6" s="1"/>
  <c r="AA202" i="25"/>
  <c r="Z202" i="25" s="1"/>
  <c r="Y202" i="25" s="1"/>
  <c r="W34" i="25"/>
  <c r="D34" i="25"/>
  <c r="E34" i="25" s="1"/>
  <c r="F34" i="25" s="1"/>
  <c r="G34" i="24"/>
  <c r="CE34" i="6" s="1"/>
  <c r="AA34" i="24"/>
  <c r="Z34" i="24" s="1"/>
  <c r="Y34" i="24" s="1"/>
  <c r="G327" i="24"/>
  <c r="CE327" i="6" s="1"/>
  <c r="AA327" i="24"/>
  <c r="Z327" i="24" s="1"/>
  <c r="Y327" i="24" s="1"/>
  <c r="W285" i="25"/>
  <c r="D285" i="25"/>
  <c r="E285" i="25" s="1"/>
  <c r="F285" i="25" s="1"/>
  <c r="I320" i="22"/>
  <c r="H320" i="23" s="1"/>
  <c r="J320" i="22"/>
  <c r="J260" i="22"/>
  <c r="I260" i="22"/>
  <c r="H260" i="23" s="1"/>
  <c r="J220" i="22"/>
  <c r="I220" i="22"/>
  <c r="H220" i="23" s="1"/>
  <c r="I104" i="22"/>
  <c r="H104" i="23" s="1"/>
  <c r="J104" i="22"/>
  <c r="J84" i="22"/>
  <c r="I84" i="22"/>
  <c r="H84" i="23" s="1"/>
  <c r="J42" i="22"/>
  <c r="I42" i="22"/>
  <c r="H42" i="23" s="1"/>
  <c r="J210" i="22"/>
  <c r="I210" i="22"/>
  <c r="H210" i="23" s="1"/>
  <c r="J319" i="22"/>
  <c r="I319" i="22"/>
  <c r="H319" i="23" s="1"/>
  <c r="G369" i="25"/>
  <c r="CF369" i="6" s="1"/>
  <c r="AA369" i="25"/>
  <c r="Z369" i="25" s="1"/>
  <c r="Y369" i="25" s="1"/>
  <c r="G376" i="25"/>
  <c r="CF376" i="6" s="1"/>
  <c r="AA376" i="25"/>
  <c r="Z376" i="25" s="1"/>
  <c r="Y376" i="25" s="1"/>
  <c r="I342" i="23"/>
  <c r="H342" i="24" s="1"/>
  <c r="AA312" i="24"/>
  <c r="Z312" i="24" s="1"/>
  <c r="Y312" i="24" s="1"/>
  <c r="G312" i="24"/>
  <c r="CE312" i="6" s="1"/>
  <c r="W134" i="25"/>
  <c r="D134" i="25"/>
  <c r="E134" i="25" s="1"/>
  <c r="F134" i="25" s="1"/>
  <c r="I27" i="22"/>
  <c r="H27" i="23" s="1"/>
  <c r="J27" i="22"/>
  <c r="I193" i="23"/>
  <c r="H193" i="24" s="1"/>
  <c r="J193" i="23"/>
  <c r="W348" i="25"/>
  <c r="D348" i="25"/>
  <c r="E348" i="25" s="1"/>
  <c r="F348" i="25" s="1"/>
  <c r="G348" i="24"/>
  <c r="CE348" i="6" s="1"/>
  <c r="AA348" i="24"/>
  <c r="Z348" i="24" s="1"/>
  <c r="Y348" i="24" s="1"/>
  <c r="G218" i="24"/>
  <c r="CE218" i="6" s="1"/>
  <c r="AA218" i="24"/>
  <c r="Z218" i="24" s="1"/>
  <c r="Y218" i="24" s="1"/>
  <c r="W112" i="25"/>
  <c r="D112" i="25"/>
  <c r="E112" i="25" s="1"/>
  <c r="F112" i="25" s="1"/>
  <c r="W201" i="25"/>
  <c r="D201" i="25"/>
  <c r="E201" i="25" s="1"/>
  <c r="F201" i="25" s="1"/>
  <c r="W87" i="25"/>
  <c r="D87" i="25"/>
  <c r="E87" i="25" s="1"/>
  <c r="F87" i="25" s="1"/>
  <c r="I363" i="22"/>
  <c r="H363" i="23" s="1"/>
  <c r="J363" i="22"/>
  <c r="F381" i="23"/>
  <c r="AM10" i="23"/>
  <c r="F383" i="23"/>
  <c r="F382" i="23"/>
  <c r="AK10" i="23"/>
  <c r="AK12" i="23" s="1"/>
  <c r="AK13" i="23" s="1"/>
  <c r="G15" i="23"/>
  <c r="CD15" i="6" s="1"/>
  <c r="AA15" i="23"/>
  <c r="F9" i="23"/>
  <c r="G76" i="25"/>
  <c r="CF76" i="6" s="1"/>
  <c r="AA76" i="25"/>
  <c r="Z76" i="25" s="1"/>
  <c r="Y76" i="25" s="1"/>
  <c r="G236" i="25"/>
  <c r="CF236" i="6" s="1"/>
  <c r="AA236" i="25"/>
  <c r="Z236" i="25" s="1"/>
  <c r="Y236" i="25" s="1"/>
  <c r="I310" i="22"/>
  <c r="H310" i="23" s="1"/>
  <c r="J310" i="22"/>
  <c r="G362" i="25"/>
  <c r="CF362" i="6" s="1"/>
  <c r="AA362" i="25"/>
  <c r="Z362" i="25" s="1"/>
  <c r="Y362" i="25" s="1"/>
  <c r="G340" i="25"/>
  <c r="CF340" i="6" s="1"/>
  <c r="AA340" i="25"/>
  <c r="Z340" i="25" s="1"/>
  <c r="Y340" i="25" s="1"/>
  <c r="AA86" i="24"/>
  <c r="Z86" i="24" s="1"/>
  <c r="Y86" i="24" s="1"/>
  <c r="G86" i="24"/>
  <c r="CE86" i="6" s="1"/>
  <c r="G293" i="24"/>
  <c r="CE293" i="6" s="1"/>
  <c r="AA293" i="24"/>
  <c r="Z293" i="24" s="1"/>
  <c r="Y293" i="24" s="1"/>
  <c r="I114" i="22"/>
  <c r="H114" i="23" s="1"/>
  <c r="J114" i="22"/>
  <c r="J66" i="22"/>
  <c r="I66" i="22"/>
  <c r="H66" i="23" s="1"/>
  <c r="I368" i="22"/>
  <c r="H368" i="23" s="1"/>
  <c r="J368" i="22"/>
  <c r="J216" i="22"/>
  <c r="I216" i="22"/>
  <c r="H216" i="23" s="1"/>
  <c r="I105" i="22"/>
  <c r="H105" i="23" s="1"/>
  <c r="J105" i="22"/>
  <c r="I119" i="22"/>
  <c r="H119" i="23" s="1"/>
  <c r="J119" i="22"/>
  <c r="AA164" i="25"/>
  <c r="Z164" i="25" s="1"/>
  <c r="Y164" i="25" s="1"/>
  <c r="G164" i="25"/>
  <c r="CF164" i="6" s="1"/>
  <c r="I203" i="22"/>
  <c r="H203" i="23" s="1"/>
  <c r="J203" i="22"/>
  <c r="J61" i="22"/>
  <c r="I61" i="22"/>
  <c r="H61" i="23" s="1"/>
  <c r="I307" i="22"/>
  <c r="H307" i="23" s="1"/>
  <c r="J307" i="22"/>
  <c r="J303" i="22"/>
  <c r="I303" i="22"/>
  <c r="H303" i="23" s="1"/>
  <c r="J88" i="22"/>
  <c r="I88" i="22"/>
  <c r="H88" i="23" s="1"/>
  <c r="J323" i="22"/>
  <c r="I323" i="22"/>
  <c r="H323" i="23" s="1"/>
  <c r="I277" i="22"/>
  <c r="H277" i="23" s="1"/>
  <c r="J277" i="22"/>
  <c r="I167" i="22"/>
  <c r="H167" i="23" s="1"/>
  <c r="J167" i="22"/>
  <c r="I272" i="22"/>
  <c r="H272" i="23" s="1"/>
  <c r="J272" i="22"/>
  <c r="I223" i="22"/>
  <c r="H223" i="23" s="1"/>
  <c r="J223" i="22"/>
  <c r="J249" i="22"/>
  <c r="I249" i="22"/>
  <c r="H249" i="23" s="1"/>
  <c r="I365" i="22"/>
  <c r="H365" i="23" s="1"/>
  <c r="J365" i="22"/>
  <c r="I19" i="22"/>
  <c r="H19" i="23" s="1"/>
  <c r="J19" i="22"/>
  <c r="G322" i="24"/>
  <c r="CE322" i="6" s="1"/>
  <c r="AA322" i="24"/>
  <c r="Z322" i="24" s="1"/>
  <c r="Y322" i="24" s="1"/>
  <c r="W234" i="25"/>
  <c r="D234" i="25"/>
  <c r="E234" i="25" s="1"/>
  <c r="F234" i="25" s="1"/>
  <c r="W48" i="25"/>
  <c r="D48" i="25"/>
  <c r="E48" i="25" s="1"/>
  <c r="F48" i="25" s="1"/>
  <c r="J357" i="22"/>
  <c r="I357" i="22"/>
  <c r="H357" i="23" s="1"/>
  <c r="G71" i="24"/>
  <c r="CE71" i="6" s="1"/>
  <c r="AA71" i="24"/>
  <c r="Z71" i="24" s="1"/>
  <c r="Y71" i="24" s="1"/>
  <c r="G21" i="24"/>
  <c r="CE21" i="6" s="1"/>
  <c r="AA21" i="24"/>
  <c r="Z21" i="24" s="1"/>
  <c r="Y21" i="24" s="1"/>
  <c r="AA282" i="24"/>
  <c r="Z282" i="24" s="1"/>
  <c r="Y282" i="24" s="1"/>
  <c r="G282" i="24"/>
  <c r="CE282" i="6" s="1"/>
  <c r="W230" i="25"/>
  <c r="D230" i="25"/>
  <c r="E230" i="25" s="1"/>
  <c r="F230" i="25" s="1"/>
  <c r="W118" i="25"/>
  <c r="D118" i="25"/>
  <c r="E118" i="25" s="1"/>
  <c r="F118" i="25" s="1"/>
  <c r="G92" i="24"/>
  <c r="CE92" i="6" s="1"/>
  <c r="AA92" i="24"/>
  <c r="Z92" i="24" s="1"/>
  <c r="Y92" i="24" s="1"/>
  <c r="G337" i="24"/>
  <c r="CE337" i="6" s="1"/>
  <c r="AA337" i="24"/>
  <c r="Z337" i="24" s="1"/>
  <c r="Y337" i="24" s="1"/>
  <c r="W257" i="25"/>
  <c r="D257" i="25"/>
  <c r="E257" i="25" s="1"/>
  <c r="F257" i="25" s="1"/>
  <c r="G179" i="24"/>
  <c r="CE179" i="6" s="1"/>
  <c r="AA179" i="24"/>
  <c r="Z179" i="24" s="1"/>
  <c r="Y179" i="24" s="1"/>
  <c r="J63" i="22"/>
  <c r="I63" i="22"/>
  <c r="H63" i="23" s="1"/>
  <c r="I46" i="22"/>
  <c r="H46" i="23" s="1"/>
  <c r="J46" i="22"/>
  <c r="I232" i="22"/>
  <c r="H232" i="23" s="1"/>
  <c r="J232" i="22"/>
  <c r="I76" i="22"/>
  <c r="H76" i="23" s="1"/>
  <c r="J76" i="22"/>
  <c r="J309" i="22"/>
  <c r="I309" i="22"/>
  <c r="H309" i="23" s="1"/>
  <c r="I332" i="22"/>
  <c r="H332" i="23" s="1"/>
  <c r="J332" i="22"/>
  <c r="J163" i="22"/>
  <c r="I163" i="22"/>
  <c r="H163" i="23" s="1"/>
  <c r="I311" i="22"/>
  <c r="H311" i="23" s="1"/>
  <c r="J311" i="22"/>
  <c r="I90" i="22"/>
  <c r="H90" i="23" s="1"/>
  <c r="J90" i="22"/>
  <c r="J137" i="22"/>
  <c r="I137" i="22"/>
  <c r="H137" i="23" s="1"/>
  <c r="J340" i="22"/>
  <c r="I340" i="22"/>
  <c r="H340" i="23" s="1"/>
  <c r="J290" i="22"/>
  <c r="I290" i="22"/>
  <c r="H290" i="23" s="1"/>
  <c r="J186" i="23"/>
  <c r="I186" i="23"/>
  <c r="H186" i="24" s="1"/>
  <c r="G102" i="25"/>
  <c r="CF102" i="6" s="1"/>
  <c r="AA102" i="25"/>
  <c r="Z102" i="25" s="1"/>
  <c r="Y102" i="25" s="1"/>
  <c r="G329" i="25"/>
  <c r="CF329" i="6" s="1"/>
  <c r="AA329" i="25"/>
  <c r="Z329" i="25" s="1"/>
  <c r="Y329" i="25" s="1"/>
  <c r="J237" i="22"/>
  <c r="I237" i="22"/>
  <c r="H237" i="23" s="1"/>
  <c r="G217" i="25"/>
  <c r="CF217" i="6" s="1"/>
  <c r="AA217" i="25"/>
  <c r="Z217" i="25" s="1"/>
  <c r="Y217" i="25" s="1"/>
  <c r="J370" i="22"/>
  <c r="I370" i="22"/>
  <c r="H370" i="23" s="1"/>
  <c r="I262" i="22"/>
  <c r="H262" i="23" s="1"/>
  <c r="J262" i="22"/>
  <c r="G172" i="25"/>
  <c r="CF172" i="6" s="1"/>
  <c r="AA172" i="25"/>
  <c r="Z172" i="25" s="1"/>
  <c r="Y172" i="25" s="1"/>
  <c r="I259" i="22"/>
  <c r="H259" i="23" s="1"/>
  <c r="J259" i="22"/>
  <c r="J209" i="22"/>
  <c r="I209" i="22"/>
  <c r="H209" i="23" s="1"/>
  <c r="J195" i="22"/>
  <c r="I195" i="22"/>
  <c r="H195" i="23" s="1"/>
  <c r="I79" i="22"/>
  <c r="H79" i="23" s="1"/>
  <c r="J79" i="22"/>
  <c r="J33" i="22"/>
  <c r="I33" i="22"/>
  <c r="H33" i="23" s="1"/>
  <c r="AA196" i="24"/>
  <c r="Z196" i="24" s="1"/>
  <c r="Y196" i="24" s="1"/>
  <c r="G196" i="24"/>
  <c r="CE196" i="6" s="1"/>
  <c r="G203" i="25"/>
  <c r="CF203" i="6" s="1"/>
  <c r="AA203" i="25"/>
  <c r="Z203" i="25" s="1"/>
  <c r="Y203" i="25" s="1"/>
  <c r="AA132" i="24"/>
  <c r="Z132" i="24" s="1"/>
  <c r="Y132" i="24" s="1"/>
  <c r="G132" i="24"/>
  <c r="CE132" i="6" s="1"/>
  <c r="W251" i="25"/>
  <c r="D251" i="25"/>
  <c r="E251" i="25" s="1"/>
  <c r="F251" i="25" s="1"/>
  <c r="G103" i="24"/>
  <c r="CE103" i="6" s="1"/>
  <c r="AA103" i="24"/>
  <c r="Z103" i="24" s="1"/>
  <c r="Y103" i="24" s="1"/>
  <c r="W252" i="25"/>
  <c r="D252" i="25"/>
  <c r="E252" i="25" s="1"/>
  <c r="F252" i="25" s="1"/>
  <c r="W222" i="25"/>
  <c r="D222" i="25"/>
  <c r="E222" i="25" s="1"/>
  <c r="F222" i="25" s="1"/>
  <c r="J366" i="23"/>
  <c r="I366" i="23"/>
  <c r="H366" i="24" s="1"/>
  <c r="G40" i="24"/>
  <c r="CE40" i="6" s="1"/>
  <c r="AA40" i="24"/>
  <c r="Z40" i="24" s="1"/>
  <c r="Y40" i="24" s="1"/>
  <c r="G343" i="24"/>
  <c r="CE343" i="6" s="1"/>
  <c r="AA343" i="24"/>
  <c r="Z343" i="24" s="1"/>
  <c r="Y343" i="24" s="1"/>
  <c r="G225" i="24"/>
  <c r="CE225" i="6" s="1"/>
  <c r="AA225" i="24"/>
  <c r="Z225" i="24" s="1"/>
  <c r="Y225" i="24" s="1"/>
  <c r="G117" i="24"/>
  <c r="CE117" i="6" s="1"/>
  <c r="AA117" i="24"/>
  <c r="Z117" i="24" s="1"/>
  <c r="Y117" i="24" s="1"/>
  <c r="G41" i="24"/>
  <c r="CE41" i="6" s="1"/>
  <c r="AA41" i="24"/>
  <c r="Z41" i="24" s="1"/>
  <c r="Y41" i="24" s="1"/>
  <c r="W41" i="25"/>
  <c r="D41" i="25"/>
  <c r="E41" i="25" s="1"/>
  <c r="F41" i="25" s="1"/>
  <c r="W364" i="25"/>
  <c r="D364" i="25"/>
  <c r="E364" i="25" s="1"/>
  <c r="F364" i="25" s="1"/>
  <c r="J330" i="23"/>
  <c r="I330" i="23"/>
  <c r="H330" i="24" s="1"/>
  <c r="AA292" i="24"/>
  <c r="Z292" i="24" s="1"/>
  <c r="Y292" i="24" s="1"/>
  <c r="G292" i="24"/>
  <c r="CE292" i="6" s="1"/>
  <c r="W184" i="25"/>
  <c r="D184" i="25"/>
  <c r="E184" i="25" s="1"/>
  <c r="F184" i="25" s="1"/>
  <c r="J373" i="22"/>
  <c r="I373" i="22"/>
  <c r="H373" i="23" s="1"/>
  <c r="W151" i="25"/>
  <c r="D151" i="25"/>
  <c r="E151" i="25" s="1"/>
  <c r="F151" i="25" s="1"/>
  <c r="W39" i="25"/>
  <c r="D39" i="25"/>
  <c r="E39" i="25" s="1"/>
  <c r="F39" i="25" s="1"/>
  <c r="W144" i="25"/>
  <c r="D144" i="25"/>
  <c r="E144" i="25" s="1"/>
  <c r="F144" i="25" s="1"/>
  <c r="G94" i="25"/>
  <c r="CF94" i="6" s="1"/>
  <c r="AA94" i="25"/>
  <c r="Z94" i="25" s="1"/>
  <c r="Y94" i="25" s="1"/>
  <c r="W49" i="25"/>
  <c r="D49" i="25"/>
  <c r="E49" i="25" s="1"/>
  <c r="F49" i="25" s="1"/>
  <c r="W352" i="25"/>
  <c r="D352" i="25"/>
  <c r="E352" i="25" s="1"/>
  <c r="F352" i="25" s="1"/>
  <c r="W274" i="25"/>
  <c r="D274" i="25"/>
  <c r="E274" i="25" s="1"/>
  <c r="F274" i="25" s="1"/>
  <c r="W178" i="25"/>
  <c r="D178" i="25"/>
  <c r="E178" i="25" s="1"/>
  <c r="F178" i="25" s="1"/>
  <c r="G136" i="24"/>
  <c r="CE136" i="6" s="1"/>
  <c r="AA136" i="24"/>
  <c r="Z136" i="24" s="1"/>
  <c r="Y136" i="24" s="1"/>
  <c r="J271" i="22"/>
  <c r="I271" i="22"/>
  <c r="H271" i="23" s="1"/>
  <c r="I89" i="22"/>
  <c r="H89" i="23" s="1"/>
  <c r="J89" i="22"/>
  <c r="I130" i="22"/>
  <c r="H130" i="23" s="1"/>
  <c r="J130" i="22"/>
  <c r="I161" i="22"/>
  <c r="H161" i="23" s="1"/>
  <c r="J161" i="22"/>
  <c r="AK6" i="25"/>
  <c r="I257" i="22"/>
  <c r="H257" i="23" s="1"/>
  <c r="J257" i="22"/>
  <c r="I361" i="22"/>
  <c r="H361" i="23" s="1"/>
  <c r="J361" i="22"/>
  <c r="I255" i="22"/>
  <c r="H255" i="23" s="1"/>
  <c r="J255" i="22"/>
  <c r="I194" i="22"/>
  <c r="H194" i="23" s="1"/>
  <c r="J194" i="22"/>
  <c r="J283" i="22"/>
  <c r="I283" i="22"/>
  <c r="H283" i="23" s="1"/>
  <c r="J248" i="22"/>
  <c r="I248" i="22"/>
  <c r="H248" i="23" s="1"/>
  <c r="J67" i="22"/>
  <c r="I67" i="22"/>
  <c r="H67" i="23" s="1"/>
  <c r="I60" i="22"/>
  <c r="H60" i="23" s="1"/>
  <c r="J60" i="22"/>
  <c r="G81" i="25"/>
  <c r="CF81" i="6" s="1"/>
  <c r="AA81" i="25"/>
  <c r="Z81" i="25" s="1"/>
  <c r="Y81" i="25" s="1"/>
  <c r="G321" i="25"/>
  <c r="CF321" i="6" s="1"/>
  <c r="AA321" i="25"/>
  <c r="Z321" i="25" s="1"/>
  <c r="Y321" i="25" s="1"/>
  <c r="AA289" i="25"/>
  <c r="Z289" i="25" s="1"/>
  <c r="Y289" i="25" s="1"/>
  <c r="G289" i="25"/>
  <c r="CF289" i="6" s="1"/>
  <c r="G290" i="25"/>
  <c r="CF290" i="6" s="1"/>
  <c r="AA290" i="25"/>
  <c r="Z290" i="25" s="1"/>
  <c r="Y290" i="25" s="1"/>
  <c r="AA206" i="25"/>
  <c r="Z206" i="25" s="1"/>
  <c r="Y206" i="25" s="1"/>
  <c r="G206" i="25"/>
  <c r="CF206" i="6" s="1"/>
  <c r="G357" i="25"/>
  <c r="CF357" i="6" s="1"/>
  <c r="AA357" i="25"/>
  <c r="Z357" i="25" s="1"/>
  <c r="Y357" i="25" s="1"/>
  <c r="W258" i="25"/>
  <c r="D258" i="25"/>
  <c r="E258" i="25" s="1"/>
  <c r="F258" i="25" s="1"/>
  <c r="AA260" i="25"/>
  <c r="Z260" i="25" s="1"/>
  <c r="Y260" i="25" s="1"/>
  <c r="G260" i="25"/>
  <c r="CF260" i="6" s="1"/>
  <c r="G220" i="25"/>
  <c r="CF220" i="6" s="1"/>
  <c r="AA220" i="25"/>
  <c r="Z220" i="25" s="1"/>
  <c r="Y220" i="25" s="1"/>
  <c r="G140" i="25"/>
  <c r="CF140" i="6" s="1"/>
  <c r="AA140" i="25"/>
  <c r="Z140" i="25" s="1"/>
  <c r="Y140" i="25" s="1"/>
  <c r="G110" i="25"/>
  <c r="CF110" i="6" s="1"/>
  <c r="AA110" i="25"/>
  <c r="Z110" i="25" s="1"/>
  <c r="Y110" i="25" s="1"/>
  <c r="G84" i="25"/>
  <c r="CF84" i="6" s="1"/>
  <c r="AA84" i="25"/>
  <c r="Z84" i="25" s="1"/>
  <c r="Y84" i="25" s="1"/>
  <c r="G42" i="25"/>
  <c r="CF42" i="6" s="1"/>
  <c r="AA42" i="25"/>
  <c r="Z42" i="25" s="1"/>
  <c r="Y42" i="25" s="1"/>
  <c r="J347" i="22"/>
  <c r="I347" i="22"/>
  <c r="H347" i="23" s="1"/>
  <c r="I298" i="22"/>
  <c r="H298" i="23" s="1"/>
  <c r="J298" i="22"/>
  <c r="G253" i="25"/>
  <c r="CF253" i="6" s="1"/>
  <c r="AA253" i="25"/>
  <c r="Z253" i="25" s="1"/>
  <c r="Y253" i="25" s="1"/>
  <c r="G95" i="25"/>
  <c r="CF95" i="6" s="1"/>
  <c r="AA95" i="25"/>
  <c r="Z95" i="25" s="1"/>
  <c r="Y95" i="25" s="1"/>
  <c r="G216" i="25"/>
  <c r="CF216" i="6" s="1"/>
  <c r="AA216" i="25"/>
  <c r="Z216" i="25" s="1"/>
  <c r="Y216" i="25" s="1"/>
  <c r="G227" i="25"/>
  <c r="CF227" i="6" s="1"/>
  <c r="AA227" i="25"/>
  <c r="Z227" i="25" s="1"/>
  <c r="Y227" i="25" s="1"/>
  <c r="G208" i="25"/>
  <c r="CF208" i="6" s="1"/>
  <c r="AA208" i="25"/>
  <c r="Z208" i="25" s="1"/>
  <c r="Y208" i="25" s="1"/>
  <c r="G16" i="25"/>
  <c r="CF16" i="6" s="1"/>
  <c r="AA16" i="25"/>
  <c r="Z16" i="25" s="1"/>
  <c r="Y16" i="25" s="1"/>
  <c r="I135" i="22"/>
  <c r="H135" i="23" s="1"/>
  <c r="J135" i="22"/>
  <c r="J189" i="22"/>
  <c r="I189" i="22"/>
  <c r="H189" i="23" s="1"/>
  <c r="J169" i="22"/>
  <c r="I169" i="22"/>
  <c r="H169" i="23" s="1"/>
  <c r="I154" i="22"/>
  <c r="H154" i="23" s="1"/>
  <c r="J154" i="22"/>
  <c r="J367" i="22"/>
  <c r="I367" i="22"/>
  <c r="H367" i="23" s="1"/>
  <c r="I267" i="22"/>
  <c r="H267" i="23" s="1"/>
  <c r="J267" i="22"/>
  <c r="I263" i="22"/>
  <c r="H263" i="23" s="1"/>
  <c r="J263" i="22"/>
  <c r="J99" i="22"/>
  <c r="I99" i="22"/>
  <c r="H99" i="23" s="1"/>
  <c r="I197" i="22"/>
  <c r="H197" i="23" s="1"/>
  <c r="J197" i="22"/>
  <c r="J75" i="22"/>
  <c r="I75" i="22"/>
  <c r="H75" i="23" s="1"/>
  <c r="I159" i="22"/>
  <c r="H159" i="23" s="1"/>
  <c r="J159" i="22"/>
  <c r="J83" i="22"/>
  <c r="I83" i="22"/>
  <c r="H83" i="23" s="1"/>
  <c r="I302" i="22"/>
  <c r="H302" i="23" s="1"/>
  <c r="J302" i="22"/>
  <c r="W82" i="25"/>
  <c r="D82" i="25"/>
  <c r="E82" i="25" s="1"/>
  <c r="F82" i="25" s="1"/>
  <c r="G30" i="24"/>
  <c r="CE30" i="6" s="1"/>
  <c r="AA30" i="24"/>
  <c r="Z30" i="24" s="1"/>
  <c r="Y30" i="24" s="1"/>
  <c r="G315" i="24"/>
  <c r="CE315" i="6" s="1"/>
  <c r="AA315" i="24"/>
  <c r="Z315" i="24" s="1"/>
  <c r="Y315" i="24" s="1"/>
  <c r="W239" i="25"/>
  <c r="D239" i="25"/>
  <c r="E239" i="25" s="1"/>
  <c r="F239" i="25" s="1"/>
  <c r="W129" i="25"/>
  <c r="D129" i="25"/>
  <c r="E129" i="25" s="1"/>
  <c r="F129" i="25" s="1"/>
  <c r="W350" i="25"/>
  <c r="D350" i="25"/>
  <c r="E350" i="25" s="1"/>
  <c r="F350" i="25" s="1"/>
  <c r="I174" i="23"/>
  <c r="H174" i="24" s="1"/>
  <c r="G38" i="24"/>
  <c r="CE38" i="6" s="1"/>
  <c r="AA38" i="24"/>
  <c r="Z38" i="24" s="1"/>
  <c r="Y38" i="24" s="1"/>
  <c r="I100" i="23"/>
  <c r="H100" i="24" s="1"/>
  <c r="G32" i="24"/>
  <c r="CE32" i="6" s="1"/>
  <c r="AA32" i="24"/>
  <c r="Z32" i="24" s="1"/>
  <c r="Y32" i="24" s="1"/>
  <c r="W32" i="25"/>
  <c r="D32" i="25"/>
  <c r="E32" i="25" s="1"/>
  <c r="F32" i="25" s="1"/>
  <c r="AA353" i="24"/>
  <c r="Z353" i="24" s="1"/>
  <c r="Y353" i="24" s="1"/>
  <c r="G353" i="24"/>
  <c r="CE353" i="6" s="1"/>
  <c r="G299" i="24"/>
  <c r="CE299" i="6" s="1"/>
  <c r="AA299" i="24"/>
  <c r="Z299" i="24" s="1"/>
  <c r="Y299" i="24" s="1"/>
  <c r="G205" i="24"/>
  <c r="CE205" i="6" s="1"/>
  <c r="AA205" i="24"/>
  <c r="Z205" i="24" s="1"/>
  <c r="Y205" i="24" s="1"/>
  <c r="W205" i="25"/>
  <c r="D205" i="25"/>
  <c r="E205" i="25" s="1"/>
  <c r="F205" i="25" s="1"/>
  <c r="G358" i="24"/>
  <c r="CE358" i="6" s="1"/>
  <c r="AA358" i="24"/>
  <c r="Z358" i="24" s="1"/>
  <c r="Y358" i="24" s="1"/>
  <c r="G200" i="24"/>
  <c r="CE200" i="6" s="1"/>
  <c r="AA200" i="24"/>
  <c r="Z200" i="24" s="1"/>
  <c r="Y200" i="24" s="1"/>
  <c r="W158" i="25"/>
  <c r="D158" i="25"/>
  <c r="E158" i="25" s="1"/>
  <c r="F158" i="25" s="1"/>
  <c r="W20" i="25"/>
  <c r="D20" i="25"/>
  <c r="E20" i="25" s="1"/>
  <c r="F20" i="25" s="1"/>
  <c r="G371" i="24"/>
  <c r="CE371" i="6" s="1"/>
  <c r="AA371" i="24"/>
  <c r="Z371" i="24" s="1"/>
  <c r="Y371" i="24" s="1"/>
  <c r="W215" i="25"/>
  <c r="D215" i="25"/>
  <c r="E215" i="25" s="1"/>
  <c r="F215" i="25" s="1"/>
  <c r="W123" i="25"/>
  <c r="D123" i="25"/>
  <c r="E123" i="25" s="1"/>
  <c r="F123" i="25" s="1"/>
  <c r="J281" i="22"/>
  <c r="I281" i="22"/>
  <c r="H281" i="23" s="1"/>
  <c r="E11" i="22"/>
  <c r="F41" i="19" s="1"/>
  <c r="G375" i="24"/>
  <c r="CE375" i="6" s="1"/>
  <c r="AA375" i="24"/>
  <c r="Z375" i="24" s="1"/>
  <c r="Y375" i="24" s="1"/>
  <c r="G301" i="24"/>
  <c r="CE301" i="6" s="1"/>
  <c r="AA301" i="24"/>
  <c r="Z301" i="24" s="1"/>
  <c r="Y301" i="24" s="1"/>
  <c r="AA211" i="24"/>
  <c r="Z211" i="24" s="1"/>
  <c r="Y211" i="24" s="1"/>
  <c r="G211" i="24"/>
  <c r="CE211" i="6" s="1"/>
  <c r="W211" i="25"/>
  <c r="D211" i="25"/>
  <c r="E211" i="25" s="1"/>
  <c r="F211" i="25" s="1"/>
  <c r="W141" i="25"/>
  <c r="D141" i="25"/>
  <c r="E141" i="25" s="1"/>
  <c r="F141" i="25" s="1"/>
  <c r="AA294" i="25"/>
  <c r="Z294" i="25" s="1"/>
  <c r="Y294" i="25" s="1"/>
  <c r="G294" i="25"/>
  <c r="CF294" i="6" s="1"/>
  <c r="J157" i="22"/>
  <c r="I157" i="22"/>
  <c r="H157" i="23" s="1"/>
  <c r="I98" i="22"/>
  <c r="H98" i="23" s="1"/>
  <c r="J98" i="22"/>
  <c r="J236" i="22"/>
  <c r="I236" i="22"/>
  <c r="H236" i="23" s="1"/>
  <c r="J289" i="22"/>
  <c r="I289" i="22"/>
  <c r="H289" i="23" s="1"/>
  <c r="J314" i="22"/>
  <c r="I314" i="22"/>
  <c r="H314" i="23" s="1"/>
  <c r="I264" i="22"/>
  <c r="H264" i="23" s="1"/>
  <c r="J264" i="22"/>
  <c r="I214" i="22"/>
  <c r="H214" i="23" s="1"/>
  <c r="J214" i="22"/>
  <c r="J206" i="22"/>
  <c r="I206" i="22"/>
  <c r="H206" i="23" s="1"/>
  <c r="I198" i="22"/>
  <c r="H198" i="23" s="1"/>
  <c r="J198" i="22"/>
  <c r="AA36" i="25"/>
  <c r="Z36" i="25" s="1"/>
  <c r="Y36" i="25" s="1"/>
  <c r="G36" i="25"/>
  <c r="CF36" i="6" s="1"/>
  <c r="G243" i="25"/>
  <c r="CF243" i="6" s="1"/>
  <c r="AA243" i="25"/>
  <c r="Z243" i="25" s="1"/>
  <c r="Y243" i="25" s="1"/>
  <c r="G85" i="25"/>
  <c r="CF85" i="6" s="1"/>
  <c r="AA85" i="25"/>
  <c r="Z85" i="25" s="1"/>
  <c r="Y85" i="25" s="1"/>
  <c r="G324" i="25"/>
  <c r="CF324" i="6" s="1"/>
  <c r="AA324" i="25"/>
  <c r="Z324" i="25" s="1"/>
  <c r="Y324" i="25" s="1"/>
  <c r="G280" i="25"/>
  <c r="CF280" i="6" s="1"/>
  <c r="AA280" i="25"/>
  <c r="Z280" i="25" s="1"/>
  <c r="Y280" i="25" s="1"/>
  <c r="J138" i="22"/>
  <c r="I138" i="22"/>
  <c r="H138" i="23" s="1"/>
  <c r="G122" i="25"/>
  <c r="CF122" i="6" s="1"/>
  <c r="AA122" i="25"/>
  <c r="Z122" i="25" s="1"/>
  <c r="Y122" i="25" s="1"/>
  <c r="I28" i="22"/>
  <c r="H28" i="23" s="1"/>
  <c r="J28" i="22"/>
  <c r="G18" i="25"/>
  <c r="CF18" i="6" s="1"/>
  <c r="AA18" i="25"/>
  <c r="Z18" i="25" s="1"/>
  <c r="Y18" i="25" s="1"/>
  <c r="AA326" i="24"/>
  <c r="Z326" i="24" s="1"/>
  <c r="Y326" i="24" s="1"/>
  <c r="G326" i="24"/>
  <c r="CE326" i="6" s="1"/>
  <c r="J294" i="22"/>
  <c r="I294" i="22"/>
  <c r="H294" i="23" s="1"/>
  <c r="W188" i="25"/>
  <c r="D188" i="25"/>
  <c r="E188" i="25" s="1"/>
  <c r="F188" i="25" s="1"/>
  <c r="AA96" i="24"/>
  <c r="Z96" i="24" s="1"/>
  <c r="Y96" i="24" s="1"/>
  <c r="G96" i="24"/>
  <c r="CE96" i="6" s="1"/>
  <c r="I293" i="22"/>
  <c r="H293" i="23" s="1"/>
  <c r="J293" i="22"/>
  <c r="J221" i="22"/>
  <c r="I221" i="22"/>
  <c r="H221" i="23" s="1"/>
  <c r="J69" i="22"/>
  <c r="I69" i="22"/>
  <c r="H69" i="23" s="1"/>
  <c r="G53" i="25"/>
  <c r="CF53" i="6" s="1"/>
  <c r="AA53" i="25"/>
  <c r="Z53" i="25" s="1"/>
  <c r="Y53" i="25" s="1"/>
  <c r="W342" i="25"/>
  <c r="D342" i="25"/>
  <c r="E342" i="25" s="1"/>
  <c r="F342" i="25" s="1"/>
  <c r="G242" i="24"/>
  <c r="CE242" i="6" s="1"/>
  <c r="AA242" i="24"/>
  <c r="Z242" i="24" s="1"/>
  <c r="Y242" i="24" s="1"/>
  <c r="J212" i="23"/>
  <c r="I212" i="23"/>
  <c r="H212" i="24" s="1"/>
  <c r="G168" i="24"/>
  <c r="CE168" i="6" s="1"/>
  <c r="AA168" i="24"/>
  <c r="Z168" i="24" s="1"/>
  <c r="Y168" i="24" s="1"/>
  <c r="G27" i="24"/>
  <c r="CE27" i="6" s="1"/>
  <c r="AA27" i="24"/>
  <c r="Z27" i="24" s="1"/>
  <c r="Y27" i="24" s="1"/>
  <c r="W27" i="25"/>
  <c r="D27" i="25"/>
  <c r="E27" i="25" s="1"/>
  <c r="F27" i="25" s="1"/>
  <c r="I269" i="22"/>
  <c r="H269" i="23" s="1"/>
  <c r="J269" i="22"/>
  <c r="W193" i="25"/>
  <c r="D193" i="25"/>
  <c r="E193" i="25" s="1"/>
  <c r="F193" i="25" s="1"/>
  <c r="W233" i="25"/>
  <c r="D233" i="25"/>
  <c r="E233" i="25" s="1"/>
  <c r="F233" i="25" s="1"/>
  <c r="W145" i="25"/>
  <c r="D145" i="25"/>
  <c r="E145" i="25" s="1"/>
  <c r="F145" i="25" s="1"/>
  <c r="G278" i="25"/>
  <c r="CF278" i="6" s="1"/>
  <c r="AA278" i="25"/>
  <c r="Z278" i="25" s="1"/>
  <c r="Y278" i="25" s="1"/>
  <c r="G17" i="25"/>
  <c r="CF17" i="6" s="1"/>
  <c r="AA17" i="25"/>
  <c r="Z17" i="25" s="1"/>
  <c r="Y17" i="25" s="1"/>
  <c r="G378" i="25"/>
  <c r="CF378" i="6" s="1"/>
  <c r="AA378" i="25"/>
  <c r="Z378" i="25" s="1"/>
  <c r="Y378" i="25" s="1"/>
  <c r="AA137" i="25"/>
  <c r="Z137" i="25" s="1"/>
  <c r="Y137" i="25" s="1"/>
  <c r="G137" i="25"/>
  <c r="CF137" i="6" s="1"/>
  <c r="AA214" i="25"/>
  <c r="Z214" i="25" s="1"/>
  <c r="Y214" i="25" s="1"/>
  <c r="G214" i="25"/>
  <c r="CF214" i="6" s="1"/>
  <c r="I156" i="22"/>
  <c r="H156" i="23" s="1"/>
  <c r="J156" i="22"/>
  <c r="I121" i="22"/>
  <c r="H121" i="23" s="1"/>
  <c r="J121" i="22"/>
  <c r="I51" i="22"/>
  <c r="H51" i="23" s="1"/>
  <c r="J51" i="22"/>
  <c r="I344" i="22"/>
  <c r="H344" i="23" s="1"/>
  <c r="J344" i="22"/>
  <c r="J202" i="22"/>
  <c r="I202" i="22"/>
  <c r="H202" i="23" s="1"/>
  <c r="I18" i="22"/>
  <c r="H18" i="23" s="1"/>
  <c r="J18" i="22"/>
  <c r="I86" i="23"/>
  <c r="H86" i="24" s="1"/>
  <c r="J86" i="23"/>
  <c r="AA341" i="24"/>
  <c r="Z341" i="24" s="1"/>
  <c r="Y341" i="24" s="1"/>
  <c r="G341" i="24"/>
  <c r="CE341" i="6" s="1"/>
  <c r="G209" i="25"/>
  <c r="CF209" i="6" s="1"/>
  <c r="AA209" i="25"/>
  <c r="Z209" i="25" s="1"/>
  <c r="Y209" i="25" s="1"/>
  <c r="G147" i="25"/>
  <c r="CF147" i="6" s="1"/>
  <c r="AA147" i="25"/>
  <c r="Z147" i="25" s="1"/>
  <c r="Y147" i="25" s="1"/>
  <c r="I47" i="22"/>
  <c r="H47" i="23" s="1"/>
  <c r="J47" i="22"/>
  <c r="AA146" i="25"/>
  <c r="Z146" i="25" s="1"/>
  <c r="Y146" i="25" s="1"/>
  <c r="G146" i="25"/>
  <c r="CF146" i="6" s="1"/>
  <c r="G114" i="25"/>
  <c r="CF114" i="6" s="1"/>
  <c r="AA114" i="25"/>
  <c r="Z114" i="25" s="1"/>
  <c r="Y114" i="25" s="1"/>
  <c r="G160" i="24"/>
  <c r="CE160" i="6" s="1"/>
  <c r="AA160" i="24"/>
  <c r="Z160" i="24" s="1"/>
  <c r="Y160" i="24" s="1"/>
  <c r="W359" i="25"/>
  <c r="D359" i="25"/>
  <c r="E359" i="25" s="1"/>
  <c r="F359" i="25" s="1"/>
  <c r="I179" i="23"/>
  <c r="H179" i="24" s="1"/>
  <c r="J179" i="23"/>
  <c r="J59" i="23"/>
  <c r="I59" i="23"/>
  <c r="H59" i="24" s="1"/>
  <c r="G44" i="25"/>
  <c r="CF44" i="6" s="1"/>
  <c r="AA44" i="25"/>
  <c r="Z44" i="25" s="1"/>
  <c r="Y44" i="25" s="1"/>
  <c r="J25" i="22"/>
  <c r="I25" i="22"/>
  <c r="H25" i="23" s="1"/>
  <c r="I322" i="23"/>
  <c r="H322" i="24" s="1"/>
  <c r="J322" i="23"/>
  <c r="G266" i="24"/>
  <c r="CE266" i="6" s="1"/>
  <c r="AA266" i="24"/>
  <c r="Z266" i="24" s="1"/>
  <c r="Y266" i="24" s="1"/>
  <c r="W160" i="25"/>
  <c r="D160" i="25"/>
  <c r="E160" i="25" s="1"/>
  <c r="F160" i="25" s="1"/>
  <c r="AA359" i="24"/>
  <c r="Z359" i="24" s="1"/>
  <c r="Y359" i="24" s="1"/>
  <c r="G359" i="24"/>
  <c r="CE359" i="6" s="1"/>
  <c r="G269" i="24"/>
  <c r="CE269" i="6" s="1"/>
  <c r="AA269" i="24"/>
  <c r="Z269" i="24" s="1"/>
  <c r="Y269" i="24" s="1"/>
  <c r="G339" i="25"/>
  <c r="CF339" i="6" s="1"/>
  <c r="AA339" i="25"/>
  <c r="Z339" i="25" s="1"/>
  <c r="Y339" i="25" s="1"/>
  <c r="G291" i="25"/>
  <c r="CF291" i="6" s="1"/>
  <c r="AA291" i="25"/>
  <c r="Z291" i="25" s="1"/>
  <c r="Y291" i="25" s="1"/>
  <c r="G45" i="24"/>
  <c r="CE45" i="6" s="1"/>
  <c r="AA45" i="24"/>
  <c r="Z45" i="24" s="1"/>
  <c r="Y45" i="24" s="1"/>
  <c r="J21" i="23"/>
  <c r="I21" i="23"/>
  <c r="H21" i="24" s="1"/>
  <c r="G328" i="24"/>
  <c r="CE328" i="6" s="1"/>
  <c r="AA328" i="24"/>
  <c r="Z328" i="24" s="1"/>
  <c r="Y328" i="24" s="1"/>
  <c r="G268" i="24"/>
  <c r="CE268" i="6" s="1"/>
  <c r="AA268" i="24"/>
  <c r="Z268" i="24" s="1"/>
  <c r="Y268" i="24" s="1"/>
  <c r="W170" i="25"/>
  <c r="D170" i="25"/>
  <c r="E170" i="25" s="1"/>
  <c r="F170" i="25" s="1"/>
  <c r="I118" i="23"/>
  <c r="H118" i="24" s="1"/>
  <c r="J118" i="23"/>
  <c r="G50" i="24"/>
  <c r="CE50" i="6" s="1"/>
  <c r="AA50" i="24"/>
  <c r="Z50" i="24" s="1"/>
  <c r="Y50" i="24" s="1"/>
  <c r="W379" i="25"/>
  <c r="D379" i="25"/>
  <c r="E379" i="25" s="1"/>
  <c r="F379" i="25" s="1"/>
  <c r="G379" i="24"/>
  <c r="CE379" i="6" s="1"/>
  <c r="AA379" i="24"/>
  <c r="Z379" i="24" s="1"/>
  <c r="Y379" i="24" s="1"/>
  <c r="I337" i="23"/>
  <c r="H337" i="24" s="1"/>
  <c r="G142" i="25"/>
  <c r="CF142" i="6" s="1"/>
  <c r="AA142" i="25"/>
  <c r="Z142" i="25" s="1"/>
  <c r="Y142" i="25" s="1"/>
  <c r="G219" i="25"/>
  <c r="CF219" i="6" s="1"/>
  <c r="AA219" i="25"/>
  <c r="Z219" i="25" s="1"/>
  <c r="Y219" i="25" s="1"/>
  <c r="G127" i="25"/>
  <c r="CF127" i="6" s="1"/>
  <c r="AA127" i="25"/>
  <c r="Z127" i="25" s="1"/>
  <c r="Y127" i="25" s="1"/>
  <c r="G61" i="25"/>
  <c r="CF61" i="6" s="1"/>
  <c r="AA61" i="25"/>
  <c r="Z61" i="25" s="1"/>
  <c r="Y61" i="25" s="1"/>
  <c r="G161" i="25"/>
  <c r="CF161" i="6" s="1"/>
  <c r="AA161" i="25"/>
  <c r="Z161" i="25" s="1"/>
  <c r="Y161" i="25" s="1"/>
  <c r="G334" i="25"/>
  <c r="CF334" i="6" s="1"/>
  <c r="AA334" i="25"/>
  <c r="Z334" i="25" s="1"/>
  <c r="Y334" i="25" s="1"/>
  <c r="AA192" i="25"/>
  <c r="Z192" i="25" s="1"/>
  <c r="Y192" i="25" s="1"/>
  <c r="G192" i="25"/>
  <c r="CF192" i="6" s="1"/>
  <c r="AA281" i="25"/>
  <c r="Z281" i="25" s="1"/>
  <c r="Y281" i="25" s="1"/>
  <c r="G281" i="25"/>
  <c r="CF281" i="6" s="1"/>
  <c r="G185" i="25"/>
  <c r="CF185" i="6" s="1"/>
  <c r="AA185" i="25"/>
  <c r="Z185" i="25" s="1"/>
  <c r="Y185" i="25" s="1"/>
  <c r="G99" i="25"/>
  <c r="CF99" i="6" s="1"/>
  <c r="AA99" i="25"/>
  <c r="Z99" i="25" s="1"/>
  <c r="Y99" i="25" s="1"/>
  <c r="G37" i="25"/>
  <c r="CF37" i="6" s="1"/>
  <c r="AA37" i="25"/>
  <c r="Z37" i="25" s="1"/>
  <c r="Y37" i="25" s="1"/>
  <c r="G244" i="25"/>
  <c r="CF244" i="6" s="1"/>
  <c r="AA244" i="25"/>
  <c r="Z244" i="25" s="1"/>
  <c r="Y244" i="25" s="1"/>
  <c r="W186" i="25"/>
  <c r="D186" i="25"/>
  <c r="E186" i="25" s="1"/>
  <c r="F186" i="25" s="1"/>
  <c r="G156" i="25"/>
  <c r="CF156" i="6" s="1"/>
  <c r="AA156" i="25"/>
  <c r="Z156" i="25" s="1"/>
  <c r="Y156" i="25" s="1"/>
  <c r="AA297" i="25"/>
  <c r="Z297" i="25" s="1"/>
  <c r="Y297" i="25" s="1"/>
  <c r="G297" i="25"/>
  <c r="CF297" i="6" s="1"/>
  <c r="G370" i="25"/>
  <c r="CF370" i="6" s="1"/>
  <c r="AA370" i="25"/>
  <c r="Z370" i="25" s="1"/>
  <c r="Y370" i="25" s="1"/>
  <c r="AA344" i="25"/>
  <c r="Z344" i="25" s="1"/>
  <c r="Y344" i="25" s="1"/>
  <c r="G344" i="25"/>
  <c r="CF344" i="6" s="1"/>
  <c r="G304" i="25"/>
  <c r="CF304" i="6" s="1"/>
  <c r="AA304" i="25"/>
  <c r="Z304" i="25" s="1"/>
  <c r="Y304" i="25" s="1"/>
  <c r="I172" i="22"/>
  <c r="H172" i="23" s="1"/>
  <c r="J172" i="22"/>
  <c r="G28" i="25"/>
  <c r="CF28" i="6" s="1"/>
  <c r="AA28" i="25"/>
  <c r="Z28" i="25" s="1"/>
  <c r="Y28" i="25" s="1"/>
  <c r="G143" i="25"/>
  <c r="CF143" i="6" s="1"/>
  <c r="AA143" i="25"/>
  <c r="Z143" i="25" s="1"/>
  <c r="Y143" i="25" s="1"/>
  <c r="W250" i="25"/>
  <c r="D250" i="25"/>
  <c r="E250" i="25" s="1"/>
  <c r="F250" i="25" s="1"/>
  <c r="G126" i="24"/>
  <c r="CE126" i="6" s="1"/>
  <c r="AA126" i="24"/>
  <c r="Z126" i="24" s="1"/>
  <c r="Y126" i="24" s="1"/>
  <c r="W23" i="25"/>
  <c r="D23" i="25"/>
  <c r="E23" i="25" s="1"/>
  <c r="F23" i="25" s="1"/>
  <c r="J336" i="22"/>
  <c r="I336" i="22"/>
  <c r="H336" i="23" s="1"/>
  <c r="J176" i="22"/>
  <c r="I176" i="22"/>
  <c r="H176" i="23" s="1"/>
  <c r="J56" i="22"/>
  <c r="I56" i="22"/>
  <c r="H56" i="23" s="1"/>
  <c r="J369" i="22"/>
  <c r="I369" i="22"/>
  <c r="H369" i="23" s="1"/>
  <c r="J177" i="22"/>
  <c r="I177" i="22"/>
  <c r="H177" i="23" s="1"/>
  <c r="I333" i="22"/>
  <c r="H333" i="23" s="1"/>
  <c r="J333" i="22"/>
  <c r="AL6" i="17"/>
  <c r="AL12" i="17" s="1"/>
  <c r="Y381" i="17"/>
  <c r="AM6" i="17"/>
  <c r="AM12" i="17" s="1"/>
  <c r="Y383" i="17"/>
  <c r="Y382" i="17"/>
  <c r="X9" i="17"/>
  <c r="J15" i="18"/>
  <c r="I15" i="18"/>
  <c r="G325" i="25"/>
  <c r="CF325" i="6" s="1"/>
  <c r="AA325" i="25"/>
  <c r="Z325" i="25" s="1"/>
  <c r="Y325" i="25" s="1"/>
  <c r="AA245" i="25"/>
  <c r="Z245" i="25" s="1"/>
  <c r="Y245" i="25" s="1"/>
  <c r="G245" i="25"/>
  <c r="CF245" i="6" s="1"/>
  <c r="G347" i="25"/>
  <c r="CF347" i="6" s="1"/>
  <c r="AA347" i="25"/>
  <c r="Z347" i="25" s="1"/>
  <c r="Y347" i="25" s="1"/>
  <c r="G368" i="25"/>
  <c r="CF368" i="6" s="1"/>
  <c r="AA368" i="25"/>
  <c r="Z368" i="25" s="1"/>
  <c r="Y368" i="25" s="1"/>
  <c r="G316" i="25"/>
  <c r="CF316" i="6" s="1"/>
  <c r="AA316" i="25"/>
  <c r="Z316" i="25" s="1"/>
  <c r="Y316" i="25" s="1"/>
  <c r="W153" i="25"/>
  <c r="D153" i="25"/>
  <c r="E153" i="25" s="1"/>
  <c r="F153" i="25" s="1"/>
  <c r="I251" i="23"/>
  <c r="H251" i="24" s="1"/>
  <c r="J251" i="23"/>
  <c r="W235" i="25"/>
  <c r="D235" i="25"/>
  <c r="E235" i="25" s="1"/>
  <c r="F235" i="25" s="1"/>
  <c r="AA52" i="24"/>
  <c r="Z52" i="24" s="1"/>
  <c r="Y52" i="24" s="1"/>
  <c r="G52" i="24"/>
  <c r="CE52" i="6" s="1"/>
  <c r="W52" i="25"/>
  <c r="D52" i="25"/>
  <c r="E52" i="25" s="1"/>
  <c r="F52" i="25" s="1"/>
  <c r="G305" i="24"/>
  <c r="CE305" i="6" s="1"/>
  <c r="AA305" i="24"/>
  <c r="Z305" i="24" s="1"/>
  <c r="Y305" i="24" s="1"/>
  <c r="W305" i="25"/>
  <c r="D305" i="25"/>
  <c r="E305" i="25" s="1"/>
  <c r="F305" i="25" s="1"/>
  <c r="G204" i="24"/>
  <c r="CE204" i="6" s="1"/>
  <c r="AA204" i="24"/>
  <c r="Z204" i="24" s="1"/>
  <c r="Y204" i="24" s="1"/>
  <c r="G366" i="24"/>
  <c r="CE366" i="6" s="1"/>
  <c r="AA366" i="24"/>
  <c r="Z366" i="24" s="1"/>
  <c r="Y366" i="24" s="1"/>
  <c r="W68" i="25"/>
  <c r="D68" i="25"/>
  <c r="E68" i="25" s="1"/>
  <c r="F68" i="25" s="1"/>
  <c r="G377" i="24"/>
  <c r="CE377" i="6" s="1"/>
  <c r="AA377" i="24"/>
  <c r="Z377" i="24" s="1"/>
  <c r="Y377" i="24" s="1"/>
  <c r="W279" i="25"/>
  <c r="D279" i="25"/>
  <c r="E279" i="25" s="1"/>
  <c r="F279" i="25" s="1"/>
  <c r="AA165" i="24"/>
  <c r="Z165" i="24" s="1"/>
  <c r="Y165" i="24" s="1"/>
  <c r="G165" i="24"/>
  <c r="CE165" i="6" s="1"/>
  <c r="I117" i="23"/>
  <c r="H117" i="24" s="1"/>
  <c r="J117" i="23"/>
  <c r="I41" i="23"/>
  <c r="H41" i="24" s="1"/>
  <c r="J41" i="23"/>
  <c r="W330" i="25"/>
  <c r="D330" i="25"/>
  <c r="E330" i="25" s="1"/>
  <c r="F330" i="25" s="1"/>
  <c r="W256" i="25"/>
  <c r="D256" i="25"/>
  <c r="E256" i="25" s="1"/>
  <c r="F256" i="25" s="1"/>
  <c r="W124" i="25"/>
  <c r="D124" i="25"/>
  <c r="E124" i="25" s="1"/>
  <c r="F124" i="25" s="1"/>
  <c r="W31" i="25"/>
  <c r="D31" i="25"/>
  <c r="E31" i="25" s="1"/>
  <c r="F31" i="25" s="1"/>
  <c r="W318" i="25"/>
  <c r="D318" i="25"/>
  <c r="E318" i="25" s="1"/>
  <c r="F318" i="25" s="1"/>
  <c r="J274" i="23"/>
  <c r="I274" i="23"/>
  <c r="H274" i="24" s="1"/>
  <c r="W254" i="25"/>
  <c r="D254" i="25"/>
  <c r="E254" i="25" s="1"/>
  <c r="F254" i="25" s="1"/>
  <c r="J178" i="23"/>
  <c r="I178" i="23"/>
  <c r="H178" i="24" s="1"/>
  <c r="I170" i="22"/>
  <c r="H170" i="23" s="1"/>
  <c r="J170" i="22"/>
  <c r="I136" i="23"/>
  <c r="H136" i="24" s="1"/>
  <c r="G106" i="24"/>
  <c r="CE106" i="6" s="1"/>
  <c r="AA106" i="24"/>
  <c r="Z106" i="24" s="1"/>
  <c r="Y106" i="24" s="1"/>
  <c r="I70" i="23"/>
  <c r="H70" i="24" s="1"/>
  <c r="J70" i="23"/>
  <c r="D9" i="24"/>
  <c r="D11" i="24" s="1"/>
  <c r="E43" i="19" s="1"/>
  <c r="D383" i="24"/>
  <c r="D382" i="24"/>
  <c r="AI7" i="7"/>
  <c r="F7" i="6"/>
  <c r="G111" i="25"/>
  <c r="CF111" i="6" s="1"/>
  <c r="AA111" i="25"/>
  <c r="Z111" i="25" s="1"/>
  <c r="Y111" i="25" s="1"/>
  <c r="G319" i="25"/>
  <c r="CF319" i="6" s="1"/>
  <c r="AA319" i="25"/>
  <c r="Z319" i="25" s="1"/>
  <c r="Y319" i="25" s="1"/>
  <c r="G177" i="25"/>
  <c r="CF177" i="6" s="1"/>
  <c r="AA177" i="25"/>
  <c r="Z177" i="25" s="1"/>
  <c r="Y177" i="25" s="1"/>
  <c r="AA309" i="25"/>
  <c r="Z309" i="25" s="1"/>
  <c r="Y309" i="25" s="1"/>
  <c r="G309" i="25"/>
  <c r="CF309" i="6" s="1"/>
  <c r="G125" i="25"/>
  <c r="CF125" i="6" s="1"/>
  <c r="AA125" i="25"/>
  <c r="Z125" i="25" s="1"/>
  <c r="Y125" i="25" s="1"/>
  <c r="G311" i="25"/>
  <c r="CF311" i="6" s="1"/>
  <c r="AA311" i="25"/>
  <c r="Z311" i="25" s="1"/>
  <c r="Y311" i="25" s="1"/>
  <c r="I362" i="22"/>
  <c r="H362" i="23" s="1"/>
  <c r="J362" i="22"/>
  <c r="G314" i="25"/>
  <c r="CF314" i="6" s="1"/>
  <c r="AA314" i="25"/>
  <c r="Z314" i="25" s="1"/>
  <c r="Y314" i="25" s="1"/>
  <c r="I58" i="22"/>
  <c r="H58" i="23" s="1"/>
  <c r="J58" i="22"/>
  <c r="J243" i="22"/>
  <c r="I243" i="22"/>
  <c r="H243" i="23" s="1"/>
  <c r="J85" i="22"/>
  <c r="I85" i="22"/>
  <c r="H85" i="23" s="1"/>
  <c r="I360" i="22"/>
  <c r="H360" i="23" s="1"/>
  <c r="J360" i="22"/>
  <c r="I288" i="22"/>
  <c r="H288" i="23" s="1"/>
  <c r="J288" i="22"/>
  <c r="AA69" i="25"/>
  <c r="Z69" i="25" s="1"/>
  <c r="Y69" i="25" s="1"/>
  <c r="G69" i="25"/>
  <c r="CF69" i="6" s="1"/>
  <c r="AA33" i="25"/>
  <c r="Z33" i="25" s="1"/>
  <c r="Y33" i="25" s="1"/>
  <c r="G33" i="25"/>
  <c r="CF33" i="6" s="1"/>
  <c r="G120" i="25"/>
  <c r="CF120" i="6" s="1"/>
  <c r="AA120" i="25"/>
  <c r="Z120" i="25" s="1"/>
  <c r="Y120" i="25" s="1"/>
  <c r="G54" i="24"/>
  <c r="CE54" i="6" s="1"/>
  <c r="AA54" i="24"/>
  <c r="Z54" i="24" s="1"/>
  <c r="Y54" i="24" s="1"/>
  <c r="AA351" i="24"/>
  <c r="Z351" i="24" s="1"/>
  <c r="Y351" i="24" s="1"/>
  <c r="G351" i="24"/>
  <c r="CE351" i="6" s="1"/>
  <c r="W351" i="25"/>
  <c r="D351" i="25"/>
  <c r="E351" i="25" s="1"/>
  <c r="F351" i="25" s="1"/>
  <c r="I239" i="23"/>
  <c r="H239" i="24" s="1"/>
  <c r="J239" i="23"/>
  <c r="W213" i="25"/>
  <c r="D213" i="25"/>
  <c r="E213" i="25" s="1"/>
  <c r="F213" i="25" s="1"/>
  <c r="J129" i="23"/>
  <c r="I129" i="23"/>
  <c r="H129" i="24" s="1"/>
  <c r="W113" i="25"/>
  <c r="D113" i="25"/>
  <c r="E113" i="25" s="1"/>
  <c r="F113" i="25" s="1"/>
  <c r="I57" i="23"/>
  <c r="H57" i="24" s="1"/>
  <c r="J57" i="23"/>
  <c r="G26" i="24"/>
  <c r="CE26" i="6" s="1"/>
  <c r="AA26" i="24"/>
  <c r="Z26" i="24" s="1"/>
  <c r="Y26" i="24" s="1"/>
  <c r="G174" i="24"/>
  <c r="CE174" i="6" s="1"/>
  <c r="AA174" i="24"/>
  <c r="Z174" i="24" s="1"/>
  <c r="Y174" i="24" s="1"/>
  <c r="W100" i="25"/>
  <c r="D100" i="25"/>
  <c r="E100" i="25" s="1"/>
  <c r="F100" i="25" s="1"/>
  <c r="I331" i="23"/>
  <c r="H331" i="24" s="1"/>
  <c r="J331" i="23"/>
  <c r="G229" i="24"/>
  <c r="CE229" i="6" s="1"/>
  <c r="AA229" i="24"/>
  <c r="Z229" i="24" s="1"/>
  <c r="Y229" i="24" s="1"/>
  <c r="G306" i="24"/>
  <c r="CE306" i="6" s="1"/>
  <c r="AA306" i="24"/>
  <c r="Z306" i="24" s="1"/>
  <c r="Y306" i="24" s="1"/>
  <c r="W207" i="25"/>
  <c r="D207" i="25"/>
  <c r="E207" i="25" s="1"/>
  <c r="F207" i="25" s="1"/>
  <c r="I205" i="23"/>
  <c r="H205" i="24" s="1"/>
  <c r="J205" i="23"/>
  <c r="G64" i="24"/>
  <c r="CE64" i="6" s="1"/>
  <c r="AA64" i="24"/>
  <c r="Z64" i="24" s="1"/>
  <c r="Y64" i="24" s="1"/>
  <c r="G338" i="24"/>
  <c r="CE338" i="6" s="1"/>
  <c r="AA338" i="24"/>
  <c r="Z338" i="24" s="1"/>
  <c r="Y338" i="24" s="1"/>
  <c r="W224" i="25"/>
  <c r="D224" i="25"/>
  <c r="E224" i="25" s="1"/>
  <c r="F224" i="25" s="1"/>
  <c r="W313" i="25"/>
  <c r="D313" i="25"/>
  <c r="E313" i="25" s="1"/>
  <c r="F313" i="25" s="1"/>
  <c r="G231" i="24"/>
  <c r="CE231" i="6" s="1"/>
  <c r="AA231" i="24"/>
  <c r="Z231" i="24" s="1"/>
  <c r="Y231" i="24" s="1"/>
  <c r="I164" i="22"/>
  <c r="H164" i="23" s="1"/>
  <c r="J164" i="22"/>
  <c r="G303" i="25"/>
  <c r="CF303" i="6" s="1"/>
  <c r="AA303" i="25"/>
  <c r="Z303" i="25" s="1"/>
  <c r="Y303" i="25" s="1"/>
  <c r="G275" i="25"/>
  <c r="CF275" i="6" s="1"/>
  <c r="AA275" i="25"/>
  <c r="Z275" i="25" s="1"/>
  <c r="Y275" i="25" s="1"/>
  <c r="J215" i="23"/>
  <c r="I215" i="23"/>
  <c r="H215" i="24" s="1"/>
  <c r="G181" i="24"/>
  <c r="CE181" i="6" s="1"/>
  <c r="AA181" i="24"/>
  <c r="Z181" i="24" s="1"/>
  <c r="Y181" i="24" s="1"/>
  <c r="I123" i="23"/>
  <c r="H123" i="24" s="1"/>
  <c r="G175" i="24"/>
  <c r="CE175" i="6" s="1"/>
  <c r="AA175" i="24"/>
  <c r="Z175" i="24" s="1"/>
  <c r="Y175" i="24" s="1"/>
  <c r="G382" i="22"/>
  <c r="G383" i="22"/>
  <c r="G12" i="22" s="1"/>
  <c r="G381" i="22"/>
  <c r="AA383" i="22"/>
  <c r="AA382" i="22"/>
  <c r="AL10" i="22"/>
  <c r="AA381" i="22"/>
  <c r="AA9" i="22"/>
  <c r="Z15" i="22"/>
  <c r="AL7" i="22" s="1"/>
  <c r="AM8" i="22"/>
  <c r="J301" i="23"/>
  <c r="I301" i="23"/>
  <c r="H301" i="24" s="1"/>
  <c r="I141" i="23"/>
  <c r="H141" i="24" s="1"/>
  <c r="J141" i="23"/>
  <c r="J247" i="22"/>
  <c r="I247" i="22"/>
  <c r="H247" i="23" s="1"/>
  <c r="J150" i="22"/>
  <c r="I150" i="22"/>
  <c r="H150" i="23" s="1"/>
  <c r="AA72" i="25"/>
  <c r="Z72" i="25" s="1"/>
  <c r="Y72" i="25" s="1"/>
  <c r="G72" i="25"/>
  <c r="CF72" i="6" s="1"/>
  <c r="I329" i="22"/>
  <c r="H329" i="23" s="1"/>
  <c r="J329" i="22"/>
  <c r="I217" i="22"/>
  <c r="H217" i="23" s="1"/>
  <c r="J217" i="22"/>
  <c r="AA199" i="25"/>
  <c r="Z199" i="25" s="1"/>
  <c r="Y199" i="25" s="1"/>
  <c r="G199" i="25"/>
  <c r="CF199" i="6" s="1"/>
  <c r="G121" i="25"/>
  <c r="CF121" i="6" s="1"/>
  <c r="AA121" i="25"/>
  <c r="Z121" i="25" s="1"/>
  <c r="Y121" i="25" s="1"/>
  <c r="G109" i="25"/>
  <c r="CF109" i="6" s="1"/>
  <c r="AA109" i="25"/>
  <c r="Z109" i="25" s="1"/>
  <c r="Y109" i="25" s="1"/>
  <c r="G51" i="25"/>
  <c r="CF51" i="6" s="1"/>
  <c r="AA51" i="25"/>
  <c r="Z51" i="25" s="1"/>
  <c r="Y51" i="25" s="1"/>
  <c r="G138" i="25"/>
  <c r="CF138" i="6" s="1"/>
  <c r="AA138" i="25"/>
  <c r="Z138" i="25" s="1"/>
  <c r="Y138" i="25" s="1"/>
  <c r="G372" i="25"/>
  <c r="CF372" i="6" s="1"/>
  <c r="AA372" i="25"/>
  <c r="Z372" i="25" s="1"/>
  <c r="Y372" i="25" s="1"/>
  <c r="W327" i="25"/>
  <c r="D327" i="25"/>
  <c r="E327" i="25" s="1"/>
  <c r="F327" i="25" s="1"/>
  <c r="G285" i="24"/>
  <c r="CE285" i="6" s="1"/>
  <c r="AA285" i="24"/>
  <c r="Z285" i="24" s="1"/>
  <c r="Y285" i="24" s="1"/>
  <c r="J276" i="22"/>
  <c r="I276" i="22"/>
  <c r="H276" i="23" s="1"/>
  <c r="J270" i="22"/>
  <c r="I270" i="22"/>
  <c r="H270" i="23" s="1"/>
  <c r="J140" i="22"/>
  <c r="I140" i="22"/>
  <c r="H140" i="23" s="1"/>
  <c r="I110" i="22"/>
  <c r="H110" i="23" s="1"/>
  <c r="J110" i="22"/>
  <c r="I43" i="22"/>
  <c r="H43" i="23" s="1"/>
  <c r="J43" i="22"/>
  <c r="G373" i="25"/>
  <c r="CF373" i="6" s="1"/>
  <c r="AA373" i="25"/>
  <c r="Z373" i="25" s="1"/>
  <c r="Y373" i="25" s="1"/>
  <c r="G277" i="25"/>
  <c r="CF277" i="6" s="1"/>
  <c r="AA277" i="25"/>
  <c r="Z277" i="25" s="1"/>
  <c r="Y277" i="25" s="1"/>
  <c r="G298" i="25"/>
  <c r="CF298" i="6" s="1"/>
  <c r="AA298" i="25"/>
  <c r="Z298" i="25" s="1"/>
  <c r="Y298" i="25" s="1"/>
  <c r="AA149" i="25"/>
  <c r="Z149" i="25" s="1"/>
  <c r="Y149" i="25" s="1"/>
  <c r="G149" i="25"/>
  <c r="CF149" i="6" s="1"/>
  <c r="J380" i="22"/>
  <c r="I380" i="22"/>
  <c r="H380" i="23" s="1"/>
  <c r="W312" i="25"/>
  <c r="D312" i="25"/>
  <c r="E312" i="25" s="1"/>
  <c r="F312" i="25" s="1"/>
  <c r="J242" i="23"/>
  <c r="I242" i="23"/>
  <c r="H242" i="24" s="1"/>
  <c r="AA212" i="24"/>
  <c r="Z212" i="24" s="1"/>
  <c r="Y212" i="24" s="1"/>
  <c r="G212" i="24"/>
  <c r="CE212" i="6" s="1"/>
  <c r="W212" i="25"/>
  <c r="D212" i="25"/>
  <c r="E212" i="25" s="1"/>
  <c r="F212" i="25" s="1"/>
  <c r="I190" i="22"/>
  <c r="H190" i="23" s="1"/>
  <c r="J190" i="22"/>
  <c r="I168" i="23"/>
  <c r="H168" i="24" s="1"/>
  <c r="AA134" i="24"/>
  <c r="Z134" i="24" s="1"/>
  <c r="Y134" i="24" s="1"/>
  <c r="G134" i="24"/>
  <c r="CE134" i="6" s="1"/>
  <c r="I266" i="22"/>
  <c r="H266" i="23" s="1"/>
  <c r="J266" i="22"/>
  <c r="J313" i="22"/>
  <c r="I313" i="22"/>
  <c r="H313" i="23" s="1"/>
  <c r="J231" i="22"/>
  <c r="I231" i="22"/>
  <c r="H231" i="23" s="1"/>
  <c r="G107" i="24"/>
  <c r="CE107" i="6" s="1"/>
  <c r="AA107" i="24"/>
  <c r="Z107" i="24" s="1"/>
  <c r="Y107" i="24" s="1"/>
  <c r="W107" i="25"/>
  <c r="D107" i="25"/>
  <c r="E107" i="25" s="1"/>
  <c r="F107" i="25" s="1"/>
  <c r="W218" i="25"/>
  <c r="D218" i="25"/>
  <c r="E218" i="25" s="1"/>
  <c r="F218" i="25" s="1"/>
  <c r="G112" i="24"/>
  <c r="CE112" i="6" s="1"/>
  <c r="AA112" i="24"/>
  <c r="Z112" i="24" s="1"/>
  <c r="Y112" i="24" s="1"/>
  <c r="G80" i="25"/>
  <c r="CF80" i="6" s="1"/>
  <c r="AA80" i="25"/>
  <c r="Z80" i="25" s="1"/>
  <c r="Y80" i="25" s="1"/>
  <c r="AA201" i="24"/>
  <c r="Z201" i="24" s="1"/>
  <c r="Y201" i="24" s="1"/>
  <c r="G201" i="24"/>
  <c r="CE201" i="6" s="1"/>
  <c r="G87" i="24"/>
  <c r="CE87" i="6" s="1"/>
  <c r="AA87" i="24"/>
  <c r="Z87" i="24" s="1"/>
  <c r="Y87" i="24" s="1"/>
  <c r="J77" i="22"/>
  <c r="I77" i="22"/>
  <c r="H77" i="23" s="1"/>
  <c r="E11" i="23"/>
  <c r="F42" i="19" s="1"/>
  <c r="G332" i="25"/>
  <c r="CF332" i="6" s="1"/>
  <c r="AA332" i="25"/>
  <c r="Z332" i="25" s="1"/>
  <c r="Y332" i="25" s="1"/>
  <c r="G163" i="25"/>
  <c r="CF163" i="6" s="1"/>
  <c r="AA163" i="25"/>
  <c r="Z163" i="25" s="1"/>
  <c r="Y163" i="25" s="1"/>
  <c r="G182" i="25"/>
  <c r="CF182" i="6" s="1"/>
  <c r="AA182" i="25"/>
  <c r="Z182" i="25" s="1"/>
  <c r="Y182" i="25" s="1"/>
  <c r="G78" i="25"/>
  <c r="CF78" i="6" s="1"/>
  <c r="AA78" i="25"/>
  <c r="Z78" i="25" s="1"/>
  <c r="Y78" i="25" s="1"/>
  <c r="G240" i="25"/>
  <c r="CF240" i="6" s="1"/>
  <c r="AA240" i="25"/>
  <c r="Z240" i="25" s="1"/>
  <c r="Y240" i="25" s="1"/>
  <c r="I188" i="22"/>
  <c r="H188" i="23" s="1"/>
  <c r="J188" i="22"/>
  <c r="W86" i="25"/>
  <c r="D86" i="25"/>
  <c r="E86" i="25" s="1"/>
  <c r="F86" i="25" s="1"/>
  <c r="W293" i="25"/>
  <c r="D293" i="25"/>
  <c r="E293" i="25" s="1"/>
  <c r="F293" i="25" s="1"/>
  <c r="AA79" i="25"/>
  <c r="Z79" i="25" s="1"/>
  <c r="Y79" i="25" s="1"/>
  <c r="G79" i="25"/>
  <c r="CF79" i="6" s="1"/>
  <c r="G47" i="25"/>
  <c r="CF47" i="6" s="1"/>
  <c r="AA47" i="25"/>
  <c r="Z47" i="25" s="1"/>
  <c r="Y47" i="25" s="1"/>
  <c r="I246" i="22"/>
  <c r="H246" i="23" s="1"/>
  <c r="J246" i="22"/>
  <c r="J244" i="22"/>
  <c r="I244" i="22"/>
  <c r="H244" i="23" s="1"/>
  <c r="I376" i="22"/>
  <c r="H376" i="23" s="1"/>
  <c r="J376" i="22"/>
  <c r="I35" i="22"/>
  <c r="H35" i="23" s="1"/>
  <c r="J35" i="22"/>
  <c r="I208" i="22"/>
  <c r="H208" i="23" s="1"/>
  <c r="J208" i="22"/>
  <c r="I16" i="22"/>
  <c r="H16" i="23" s="1"/>
  <c r="J16" i="22"/>
  <c r="I149" i="22"/>
  <c r="H149" i="23" s="1"/>
  <c r="J149" i="22"/>
  <c r="G66" i="25"/>
  <c r="CF66" i="6" s="1"/>
  <c r="AA66" i="25"/>
  <c r="Z66" i="25" s="1"/>
  <c r="Y66" i="25" s="1"/>
  <c r="G43" i="25"/>
  <c r="CF43" i="6" s="1"/>
  <c r="AA43" i="25"/>
  <c r="Z43" i="25" s="1"/>
  <c r="Y43" i="25" s="1"/>
  <c r="G354" i="25"/>
  <c r="CF354" i="6" s="1"/>
  <c r="AA354" i="25"/>
  <c r="Z354" i="25" s="1"/>
  <c r="Y354" i="25" s="1"/>
  <c r="AA35" i="25"/>
  <c r="Z35" i="25" s="1"/>
  <c r="Y35" i="25" s="1"/>
  <c r="G35" i="25"/>
  <c r="CF35" i="6" s="1"/>
  <c r="AA105" i="25"/>
  <c r="Z105" i="25" s="1"/>
  <c r="Y105" i="25" s="1"/>
  <c r="G105" i="25"/>
  <c r="CF105" i="6" s="1"/>
  <c r="I300" i="22"/>
  <c r="H300" i="23" s="1"/>
  <c r="J300" i="22"/>
  <c r="J29" i="22"/>
  <c r="I29" i="22"/>
  <c r="H29" i="23" s="1"/>
  <c r="I53" i="22"/>
  <c r="H53" i="23" s="1"/>
  <c r="J53" i="22"/>
  <c r="J97" i="22"/>
  <c r="I97" i="22"/>
  <c r="H97" i="23" s="1"/>
  <c r="I94" i="22"/>
  <c r="H94" i="23" s="1"/>
  <c r="J94" i="22"/>
  <c r="J116" i="22"/>
  <c r="I116" i="22"/>
  <c r="H116" i="23" s="1"/>
  <c r="J261" i="22"/>
  <c r="I261" i="22"/>
  <c r="H261" i="23" s="1"/>
  <c r="I335" i="22"/>
  <c r="H335" i="23" s="1"/>
  <c r="J335" i="22"/>
  <c r="J291" i="22"/>
  <c r="I291" i="22"/>
  <c r="H291" i="23" s="1"/>
  <c r="J120" i="22"/>
  <c r="I120" i="22"/>
  <c r="H120" i="23" s="1"/>
  <c r="I74" i="22"/>
  <c r="H74" i="23" s="1"/>
  <c r="J74" i="22"/>
  <c r="J346" i="22"/>
  <c r="I346" i="22"/>
  <c r="H346" i="23" s="1"/>
  <c r="I180" i="22"/>
  <c r="H180" i="23" s="1"/>
  <c r="J180" i="22"/>
  <c r="J339" i="22"/>
  <c r="I339" i="22"/>
  <c r="H339" i="23" s="1"/>
  <c r="J173" i="22"/>
  <c r="I173" i="22"/>
  <c r="H173" i="23" s="1"/>
  <c r="W322" i="25"/>
  <c r="D322" i="25"/>
  <c r="E322" i="25" s="1"/>
  <c r="F322" i="25" s="1"/>
  <c r="AA234" i="24"/>
  <c r="Z234" i="24" s="1"/>
  <c r="Y234" i="24" s="1"/>
  <c r="G234" i="24"/>
  <c r="CE234" i="6" s="1"/>
  <c r="I160" i="23"/>
  <c r="H160" i="24" s="1"/>
  <c r="J160" i="23"/>
  <c r="G48" i="24"/>
  <c r="CE48" i="6" s="1"/>
  <c r="AA48" i="24"/>
  <c r="Z48" i="24" s="1"/>
  <c r="Y48" i="24" s="1"/>
  <c r="J143" i="22"/>
  <c r="I143" i="22"/>
  <c r="H143" i="23" s="1"/>
  <c r="I139" i="22"/>
  <c r="H139" i="23" s="1"/>
  <c r="J139" i="22"/>
  <c r="I80" i="22"/>
  <c r="H80" i="23" s="1"/>
  <c r="J80" i="22"/>
  <c r="W71" i="25"/>
  <c r="D71" i="25"/>
  <c r="E71" i="25" s="1"/>
  <c r="F71" i="25" s="1"/>
  <c r="W21" i="25"/>
  <c r="D21" i="25"/>
  <c r="E21" i="25" s="1"/>
  <c r="F21" i="25" s="1"/>
  <c r="J328" i="23"/>
  <c r="I328" i="23"/>
  <c r="H328" i="24" s="1"/>
  <c r="W282" i="25"/>
  <c r="D282" i="25"/>
  <c r="E282" i="25" s="1"/>
  <c r="F282" i="25" s="1"/>
  <c r="I230" i="23"/>
  <c r="G230" i="24"/>
  <c r="CE230" i="6" s="1"/>
  <c r="H230" i="24"/>
  <c r="AA230" i="24"/>
  <c r="Z230" i="24" s="1"/>
  <c r="Y230" i="24" s="1"/>
  <c r="G118" i="24"/>
  <c r="CE118" i="6" s="1"/>
  <c r="AA118" i="24"/>
  <c r="Z118" i="24" s="1"/>
  <c r="Y118" i="24" s="1"/>
  <c r="W92" i="25"/>
  <c r="D92" i="25"/>
  <c r="E92" i="25" s="1"/>
  <c r="F92" i="25" s="1"/>
  <c r="J379" i="23"/>
  <c r="I379" i="23"/>
  <c r="H379" i="24" s="1"/>
  <c r="W337" i="25"/>
  <c r="D337" i="25"/>
  <c r="E337" i="25" s="1"/>
  <c r="F337" i="25" s="1"/>
  <c r="G257" i="24"/>
  <c r="CE257" i="6" s="1"/>
  <c r="AA257" i="24"/>
  <c r="Z257" i="24" s="1"/>
  <c r="Y257" i="24" s="1"/>
  <c r="W179" i="25"/>
  <c r="D179" i="25"/>
  <c r="E179" i="25" s="1"/>
  <c r="F179" i="25" s="1"/>
  <c r="G59" i="24"/>
  <c r="CE59" i="6" s="1"/>
  <c r="AA59" i="24"/>
  <c r="Z59" i="24" s="1"/>
  <c r="Y59" i="24" s="1"/>
  <c r="W59" i="25"/>
  <c r="D59" i="25"/>
  <c r="E59" i="25" s="1"/>
  <c r="F59" i="25" s="1"/>
  <c r="J317" i="22"/>
  <c r="I317" i="22"/>
  <c r="H317" i="23" s="1"/>
  <c r="I73" i="22"/>
  <c r="H73" i="23" s="1"/>
  <c r="J73" i="22"/>
  <c r="J321" i="22"/>
  <c r="I321" i="22"/>
  <c r="H321" i="23" s="1"/>
  <c r="J374" i="22"/>
  <c r="I374" i="22"/>
  <c r="H374" i="23" s="1"/>
  <c r="I356" i="22"/>
  <c r="H356" i="23" s="1"/>
  <c r="J356" i="22"/>
  <c r="G162" i="25"/>
  <c r="CF162" i="6" s="1"/>
  <c r="AA162" i="25"/>
  <c r="Z162" i="25" s="1"/>
  <c r="Y162" i="25" s="1"/>
  <c r="G58" i="25"/>
  <c r="CF58" i="6" s="1"/>
  <c r="AA58" i="25"/>
  <c r="Z58" i="25" s="1"/>
  <c r="Y58" i="25" s="1"/>
  <c r="I24" i="22"/>
  <c r="H24" i="23" s="1"/>
  <c r="J24" i="22"/>
  <c r="G133" i="25"/>
  <c r="CF133" i="6" s="1"/>
  <c r="AA133" i="25"/>
  <c r="Z133" i="25" s="1"/>
  <c r="Y133" i="25" s="1"/>
  <c r="AA115" i="25"/>
  <c r="Z115" i="25" s="1"/>
  <c r="Y115" i="25" s="1"/>
  <c r="G115" i="25"/>
  <c r="CF115" i="6" s="1"/>
  <c r="G360" i="25"/>
  <c r="CF360" i="6" s="1"/>
  <c r="AA360" i="25"/>
  <c r="Z360" i="25" s="1"/>
  <c r="Y360" i="25" s="1"/>
  <c r="G238" i="25"/>
  <c r="CF238" i="6" s="1"/>
  <c r="AA238" i="25"/>
  <c r="Z238" i="25" s="1"/>
  <c r="Y238" i="25" s="1"/>
  <c r="G65" i="25"/>
  <c r="CF65" i="6" s="1"/>
  <c r="AA65" i="25"/>
  <c r="Z65" i="25" s="1"/>
  <c r="Y65" i="25" s="1"/>
  <c r="J147" i="22"/>
  <c r="I147" i="22"/>
  <c r="H147" i="23" s="1"/>
  <c r="W196" i="25"/>
  <c r="D196" i="25"/>
  <c r="E196" i="25" s="1"/>
  <c r="F196" i="25" s="1"/>
  <c r="G139" i="25"/>
  <c r="CF139" i="6" s="1"/>
  <c r="AA139" i="25"/>
  <c r="Z139" i="25" s="1"/>
  <c r="Y139" i="25" s="1"/>
  <c r="W132" i="25"/>
  <c r="D132" i="25"/>
  <c r="E132" i="25" s="1"/>
  <c r="F132" i="25" s="1"/>
  <c r="G251" i="24"/>
  <c r="CE251" i="6" s="1"/>
  <c r="AA251" i="24"/>
  <c r="Z251" i="24" s="1"/>
  <c r="Y251" i="24" s="1"/>
  <c r="W103" i="25"/>
  <c r="D103" i="25"/>
  <c r="E103" i="25" s="1"/>
  <c r="F103" i="25" s="1"/>
  <c r="AA152" i="24"/>
  <c r="Z152" i="24" s="1"/>
  <c r="Y152" i="24" s="1"/>
  <c r="G152" i="24"/>
  <c r="CE152" i="6" s="1"/>
  <c r="W152" i="25"/>
  <c r="D152" i="25"/>
  <c r="E152" i="25" s="1"/>
  <c r="F152" i="25" s="1"/>
  <c r="AA252" i="24"/>
  <c r="Z252" i="24" s="1"/>
  <c r="Y252" i="24" s="1"/>
  <c r="G252" i="24"/>
  <c r="CE252" i="6" s="1"/>
  <c r="J204" i="23"/>
  <c r="I204" i="23"/>
  <c r="H204" i="24" s="1"/>
  <c r="G222" i="24"/>
  <c r="CE222" i="6" s="1"/>
  <c r="AA222" i="24"/>
  <c r="Z222" i="24" s="1"/>
  <c r="Y222" i="24" s="1"/>
  <c r="W40" i="25"/>
  <c r="D40" i="25"/>
  <c r="E40" i="25" s="1"/>
  <c r="F40" i="25" s="1"/>
  <c r="I377" i="23"/>
  <c r="H377" i="24" s="1"/>
  <c r="J377" i="23"/>
  <c r="W343" i="25"/>
  <c r="D343" i="25"/>
  <c r="E343" i="25" s="1"/>
  <c r="F343" i="25" s="1"/>
  <c r="W225" i="25"/>
  <c r="D225" i="25"/>
  <c r="E225" i="25" s="1"/>
  <c r="F225" i="25" s="1"/>
  <c r="W117" i="25"/>
  <c r="D117" i="25"/>
  <c r="E117" i="25" s="1"/>
  <c r="F117" i="25" s="1"/>
  <c r="G364" i="24"/>
  <c r="CE364" i="6" s="1"/>
  <c r="AA364" i="24"/>
  <c r="Z364" i="24" s="1"/>
  <c r="Y364" i="24" s="1"/>
  <c r="W292" i="25"/>
  <c r="D292" i="25"/>
  <c r="E292" i="25" s="1"/>
  <c r="F292" i="25" s="1"/>
  <c r="G184" i="24"/>
  <c r="CE184" i="6" s="1"/>
  <c r="AA184" i="24"/>
  <c r="Z184" i="24" s="1"/>
  <c r="Y184" i="24" s="1"/>
  <c r="I124" i="23"/>
  <c r="H124" i="24" s="1"/>
  <c r="I245" i="22"/>
  <c r="H245" i="23" s="1"/>
  <c r="J245" i="22"/>
  <c r="G151" i="24"/>
  <c r="CE151" i="6" s="1"/>
  <c r="AA151" i="24"/>
  <c r="Z151" i="24" s="1"/>
  <c r="Y151" i="24" s="1"/>
  <c r="G39" i="24"/>
  <c r="CE39" i="6" s="1"/>
  <c r="AA39" i="24"/>
  <c r="Z39" i="24" s="1"/>
  <c r="Y39" i="24" s="1"/>
  <c r="W296" i="25"/>
  <c r="D296" i="25"/>
  <c r="E296" i="25" s="1"/>
  <c r="F296" i="25" s="1"/>
  <c r="G296" i="24"/>
  <c r="CE296" i="6" s="1"/>
  <c r="AA296" i="24"/>
  <c r="Z296" i="24" s="1"/>
  <c r="Y296" i="24" s="1"/>
  <c r="AA144" i="24"/>
  <c r="Z144" i="24" s="1"/>
  <c r="Y144" i="24" s="1"/>
  <c r="G144" i="24"/>
  <c r="CE144" i="6" s="1"/>
  <c r="G49" i="24"/>
  <c r="CE49" i="6" s="1"/>
  <c r="AA49" i="24"/>
  <c r="Z49" i="24" s="1"/>
  <c r="Y49" i="24" s="1"/>
  <c r="G352" i="24"/>
  <c r="CE352" i="6" s="1"/>
  <c r="AA352" i="24"/>
  <c r="Z352" i="24" s="1"/>
  <c r="Y352" i="24" s="1"/>
  <c r="J318" i="23"/>
  <c r="I318" i="23"/>
  <c r="H318" i="24" s="1"/>
  <c r="G274" i="24"/>
  <c r="CE274" i="6" s="1"/>
  <c r="AA274" i="24"/>
  <c r="Z274" i="24" s="1"/>
  <c r="Y274" i="24" s="1"/>
  <c r="J254" i="23"/>
  <c r="I254" i="23"/>
  <c r="H254" i="24" s="1"/>
  <c r="G178" i="24"/>
  <c r="CE178" i="6" s="1"/>
  <c r="AA178" i="24"/>
  <c r="Z178" i="24" s="1"/>
  <c r="Y178" i="24" s="1"/>
  <c r="W136" i="25"/>
  <c r="D136" i="25"/>
  <c r="E136" i="25" s="1"/>
  <c r="F136" i="25" s="1"/>
  <c r="W70" i="25"/>
  <c r="D70" i="25"/>
  <c r="E70" i="25" s="1"/>
  <c r="F70" i="25" s="1"/>
  <c r="G70" i="24"/>
  <c r="CE70" i="6" s="1"/>
  <c r="AA70" i="24"/>
  <c r="Z70" i="24" s="1"/>
  <c r="Y70" i="24" s="1"/>
  <c r="J185" i="22"/>
  <c r="I185" i="22"/>
  <c r="H185" i="23" s="1"/>
  <c r="J37" i="22"/>
  <c r="I37" i="22"/>
  <c r="H37" i="23" s="1"/>
  <c r="J265" i="22"/>
  <c r="I265" i="22"/>
  <c r="H265" i="23" s="1"/>
  <c r="H9" i="25"/>
  <c r="B382" i="25"/>
  <c r="AJ6" i="25"/>
  <c r="B381" i="25"/>
  <c r="I273" i="22"/>
  <c r="H273" i="23" s="1"/>
  <c r="J273" i="22"/>
  <c r="J55" i="22"/>
  <c r="I55" i="22"/>
  <c r="H55" i="23" s="1"/>
  <c r="I287" i="22"/>
  <c r="H287" i="23" s="1"/>
  <c r="J287" i="22"/>
  <c r="I284" i="22"/>
  <c r="H284" i="23" s="1"/>
  <c r="J284" i="22"/>
  <c r="J349" i="22"/>
  <c r="I349" i="22"/>
  <c r="H349" i="23" s="1"/>
  <c r="G73" i="25"/>
  <c r="CF73" i="6" s="1"/>
  <c r="AA73" i="25"/>
  <c r="Z73" i="25" s="1"/>
  <c r="Y73" i="25" s="1"/>
  <c r="I125" i="22"/>
  <c r="H125" i="23" s="1"/>
  <c r="J125" i="22"/>
  <c r="G98" i="25"/>
  <c r="CF98" i="6" s="1"/>
  <c r="AA98" i="25"/>
  <c r="Z98" i="25" s="1"/>
  <c r="Y98" i="25" s="1"/>
  <c r="AA267" i="25"/>
  <c r="Z267" i="25" s="1"/>
  <c r="Y267" i="25" s="1"/>
  <c r="G267" i="25"/>
  <c r="CF267" i="6" s="1"/>
  <c r="J326" i="22"/>
  <c r="I326" i="22"/>
  <c r="H326" i="23" s="1"/>
  <c r="J192" i="22"/>
  <c r="I192" i="22"/>
  <c r="H192" i="23" s="1"/>
  <c r="J142" i="22"/>
  <c r="I142" i="22"/>
  <c r="H142" i="23" s="1"/>
  <c r="J108" i="22"/>
  <c r="I108" i="22"/>
  <c r="H108" i="23" s="1"/>
  <c r="J34" i="22"/>
  <c r="I34" i="22"/>
  <c r="H34" i="23" s="1"/>
  <c r="G221" i="25"/>
  <c r="CF221" i="6" s="1"/>
  <c r="AA221" i="25"/>
  <c r="Z221" i="25" s="1"/>
  <c r="Y221" i="25" s="1"/>
  <c r="G195" i="25"/>
  <c r="CF195" i="6" s="1"/>
  <c r="AA195" i="25"/>
  <c r="Z195" i="25" s="1"/>
  <c r="Y195" i="25" s="1"/>
  <c r="G131" i="25"/>
  <c r="CF131" i="6" s="1"/>
  <c r="AA131" i="25"/>
  <c r="Z131" i="25" s="1"/>
  <c r="Y131" i="25" s="1"/>
  <c r="G258" i="24"/>
  <c r="CE258" i="6" s="1"/>
  <c r="AA258" i="24"/>
  <c r="Z258" i="24" s="1"/>
  <c r="Y258" i="24" s="1"/>
  <c r="G320" i="25"/>
  <c r="CF320" i="6" s="1"/>
  <c r="AA320" i="25"/>
  <c r="Z320" i="25" s="1"/>
  <c r="Y320" i="25" s="1"/>
  <c r="AA276" i="25"/>
  <c r="Z276" i="25" s="1"/>
  <c r="Y276" i="25" s="1"/>
  <c r="G276" i="25"/>
  <c r="CF276" i="6" s="1"/>
  <c r="I227" i="22"/>
  <c r="H227" i="23" s="1"/>
  <c r="J227" i="22"/>
  <c r="J316" i="22"/>
  <c r="I316" i="22"/>
  <c r="H316" i="23" s="1"/>
  <c r="AA300" i="25"/>
  <c r="Z300" i="25" s="1"/>
  <c r="Y300" i="25" s="1"/>
  <c r="G300" i="25"/>
  <c r="CF300" i="6" s="1"/>
  <c r="G119" i="25"/>
  <c r="CF119" i="6" s="1"/>
  <c r="AA119" i="25"/>
  <c r="Z119" i="25" s="1"/>
  <c r="Y119" i="25" s="1"/>
  <c r="J146" i="22"/>
  <c r="I146" i="22"/>
  <c r="H146" i="23" s="1"/>
  <c r="J241" i="22"/>
  <c r="I241" i="22"/>
  <c r="H241" i="23" s="1"/>
  <c r="J372" i="22"/>
  <c r="I372" i="22"/>
  <c r="H372" i="23" s="1"/>
  <c r="I183" i="22"/>
  <c r="H183" i="23" s="1"/>
  <c r="J183" i="22"/>
  <c r="I127" i="22"/>
  <c r="H127" i="23" s="1"/>
  <c r="J127" i="22"/>
  <c r="I187" i="22"/>
  <c r="H187" i="23" s="1"/>
  <c r="J187" i="22"/>
  <c r="J101" i="22"/>
  <c r="I101" i="22"/>
  <c r="H101" i="23" s="1"/>
  <c r="J325" i="22"/>
  <c r="I325" i="22"/>
  <c r="H325" i="23" s="1"/>
  <c r="J65" i="22"/>
  <c r="I65" i="22"/>
  <c r="H65" i="23" s="1"/>
  <c r="G82" i="24"/>
  <c r="CE82" i="6" s="1"/>
  <c r="AA82" i="24"/>
  <c r="Z82" i="24" s="1"/>
  <c r="Y82" i="24" s="1"/>
  <c r="I54" i="23"/>
  <c r="H54" i="24" s="1"/>
  <c r="J54" i="23"/>
  <c r="W30" i="25"/>
  <c r="D30" i="25"/>
  <c r="E30" i="25" s="1"/>
  <c r="F30" i="25" s="1"/>
  <c r="I351" i="23"/>
  <c r="H351" i="24" s="1"/>
  <c r="J351" i="23"/>
  <c r="W315" i="25"/>
  <c r="D315" i="25"/>
  <c r="E315" i="25" s="1"/>
  <c r="F315" i="25" s="1"/>
  <c r="AA239" i="24"/>
  <c r="Z239" i="24" s="1"/>
  <c r="Y239" i="24" s="1"/>
  <c r="G239" i="24"/>
  <c r="CE239" i="6" s="1"/>
  <c r="G129" i="24"/>
  <c r="CE129" i="6" s="1"/>
  <c r="AA129" i="24"/>
  <c r="Z129" i="24" s="1"/>
  <c r="Y129" i="24" s="1"/>
  <c r="I113" i="23"/>
  <c r="H113" i="24" s="1"/>
  <c r="G57" i="24"/>
  <c r="CE57" i="6" s="1"/>
  <c r="AA57" i="24"/>
  <c r="Z57" i="24" s="1"/>
  <c r="Y57" i="24" s="1"/>
  <c r="W57" i="25"/>
  <c r="D57" i="25"/>
  <c r="E57" i="25" s="1"/>
  <c r="F57" i="25" s="1"/>
  <c r="G350" i="24"/>
  <c r="CE350" i="6" s="1"/>
  <c r="AA350" i="24"/>
  <c r="Z350" i="24" s="1"/>
  <c r="Y350" i="24" s="1"/>
  <c r="W38" i="25"/>
  <c r="D38" i="25"/>
  <c r="E38" i="25" s="1"/>
  <c r="F38" i="25" s="1"/>
  <c r="AA331" i="24"/>
  <c r="Z331" i="24" s="1"/>
  <c r="Y331" i="24" s="1"/>
  <c r="G331" i="24"/>
  <c r="CE331" i="6" s="1"/>
  <c r="W331" i="25"/>
  <c r="D331" i="25"/>
  <c r="E331" i="25" s="1"/>
  <c r="F331" i="25" s="1"/>
  <c r="W353" i="25"/>
  <c r="D353" i="25"/>
  <c r="E353" i="25" s="1"/>
  <c r="F353" i="25" s="1"/>
  <c r="W299" i="25"/>
  <c r="D299" i="25"/>
  <c r="E299" i="25" s="1"/>
  <c r="F299" i="25" s="1"/>
  <c r="J64" i="23"/>
  <c r="I64" i="23"/>
  <c r="H64" i="24" s="1"/>
  <c r="W358" i="25"/>
  <c r="D358" i="25"/>
  <c r="E358" i="25" s="1"/>
  <c r="F358" i="25" s="1"/>
  <c r="I286" i="23"/>
  <c r="H286" i="24" s="1"/>
  <c r="G286" i="24"/>
  <c r="CE286" i="6" s="1"/>
  <c r="AA286" i="24"/>
  <c r="Z286" i="24" s="1"/>
  <c r="Y286" i="24" s="1"/>
  <c r="W286" i="25"/>
  <c r="D286" i="25"/>
  <c r="E286" i="25" s="1"/>
  <c r="F286" i="25" s="1"/>
  <c r="J224" i="23"/>
  <c r="I224" i="23"/>
  <c r="H224" i="24" s="1"/>
  <c r="W200" i="25"/>
  <c r="D200" i="25"/>
  <c r="E200" i="25" s="1"/>
  <c r="F200" i="25" s="1"/>
  <c r="G158" i="24"/>
  <c r="CE158" i="6" s="1"/>
  <c r="AA158" i="24"/>
  <c r="Z158" i="24" s="1"/>
  <c r="Y158" i="24" s="1"/>
  <c r="G20" i="24"/>
  <c r="CE20" i="6" s="1"/>
  <c r="AA20" i="24"/>
  <c r="Z20" i="24" s="1"/>
  <c r="Y20" i="24" s="1"/>
  <c r="W371" i="25"/>
  <c r="D371" i="25"/>
  <c r="E371" i="25" s="1"/>
  <c r="F371" i="25" s="1"/>
  <c r="G215" i="24"/>
  <c r="CE215" i="6" s="1"/>
  <c r="AA215" i="24"/>
  <c r="Z215" i="24" s="1"/>
  <c r="Y215" i="24" s="1"/>
  <c r="I181" i="23"/>
  <c r="H181" i="24" s="1"/>
  <c r="J181" i="23"/>
  <c r="G123" i="24"/>
  <c r="CE123" i="6" s="1"/>
  <c r="AA123" i="24"/>
  <c r="Z123" i="24" s="1"/>
  <c r="Y123" i="24" s="1"/>
  <c r="J175" i="23"/>
  <c r="I175" i="23"/>
  <c r="H175" i="24" s="1"/>
  <c r="W375" i="25"/>
  <c r="D375" i="25"/>
  <c r="E375" i="25" s="1"/>
  <c r="F375" i="25" s="1"/>
  <c r="W301" i="25"/>
  <c r="D301" i="25"/>
  <c r="E301" i="25" s="1"/>
  <c r="F301" i="25" s="1"/>
  <c r="G141" i="24"/>
  <c r="CE141" i="6" s="1"/>
  <c r="AA141" i="24"/>
  <c r="Z141" i="24" s="1"/>
  <c r="Y141" i="24" s="1"/>
  <c r="J295" i="22"/>
  <c r="I295" i="22"/>
  <c r="H295" i="23" s="1"/>
  <c r="J81" i="22"/>
  <c r="I81" i="22"/>
  <c r="H81" i="23" s="1"/>
  <c r="J62" i="22"/>
  <c r="I62" i="22"/>
  <c r="H62" i="23" s="1"/>
  <c r="J182" i="22"/>
  <c r="I182" i="22"/>
  <c r="H182" i="23" s="1"/>
  <c r="I378" i="22"/>
  <c r="H378" i="23" s="1"/>
  <c r="J378" i="22"/>
  <c r="J78" i="22"/>
  <c r="I78" i="22"/>
  <c r="H78" i="23" s="1"/>
  <c r="G355" i="25"/>
  <c r="CF355" i="6" s="1"/>
  <c r="AA355" i="25"/>
  <c r="Z355" i="25" s="1"/>
  <c r="Y355" i="25" s="1"/>
  <c r="G25" i="25"/>
  <c r="CF25" i="6" s="1"/>
  <c r="AA25" i="25"/>
  <c r="Z25" i="25" s="1"/>
  <c r="Y25" i="25" s="1"/>
  <c r="G191" i="25"/>
  <c r="CF191" i="6" s="1"/>
  <c r="AA191" i="25"/>
  <c r="Z191" i="25" s="1"/>
  <c r="Y191" i="25" s="1"/>
  <c r="W326" i="25"/>
  <c r="D326" i="25"/>
  <c r="E326" i="25" s="1"/>
  <c r="F326" i="25" s="1"/>
  <c r="G188" i="24"/>
  <c r="CE188" i="6" s="1"/>
  <c r="AA188" i="24"/>
  <c r="Z188" i="24" s="1"/>
  <c r="Y188" i="24" s="1"/>
  <c r="W96" i="25"/>
  <c r="D96" i="25"/>
  <c r="E96" i="25" s="1"/>
  <c r="F96" i="25" s="1"/>
  <c r="J327" i="23"/>
  <c r="I327" i="23"/>
  <c r="H327" i="24" s="1"/>
  <c r="J285" i="23"/>
  <c r="I285" i="23"/>
  <c r="H285" i="24" s="1"/>
  <c r="I131" i="22"/>
  <c r="H131" i="23" s="1"/>
  <c r="J131" i="22"/>
  <c r="I93" i="22"/>
  <c r="H93" i="23" s="1"/>
  <c r="J93" i="22"/>
  <c r="G342" i="24"/>
  <c r="CE342" i="6" s="1"/>
  <c r="AA342" i="24"/>
  <c r="Z342" i="24" s="1"/>
  <c r="Y342" i="24" s="1"/>
  <c r="I312" i="23"/>
  <c r="H312" i="24" s="1"/>
  <c r="W242" i="25"/>
  <c r="D242" i="25"/>
  <c r="E242" i="25" s="1"/>
  <c r="F242" i="25" s="1"/>
  <c r="W168" i="25"/>
  <c r="D168" i="25"/>
  <c r="E168" i="25" s="1"/>
  <c r="F168" i="25" s="1"/>
  <c r="I134" i="23"/>
  <c r="H134" i="24" s="1"/>
  <c r="J134" i="23"/>
  <c r="G193" i="24"/>
  <c r="CE193" i="6" s="1"/>
  <c r="AA193" i="24"/>
  <c r="Z193" i="24" s="1"/>
  <c r="Y193" i="24" s="1"/>
  <c r="J107" i="23"/>
  <c r="I107" i="23"/>
  <c r="H107" i="24" s="1"/>
  <c r="I228" i="22"/>
  <c r="H228" i="23" s="1"/>
  <c r="J228" i="22"/>
  <c r="J218" i="23"/>
  <c r="I218" i="23"/>
  <c r="H218" i="24" s="1"/>
  <c r="G233" i="24"/>
  <c r="CE233" i="6" s="1"/>
  <c r="AA233" i="24"/>
  <c r="Z233" i="24" s="1"/>
  <c r="Y233" i="24" s="1"/>
  <c r="I201" i="23"/>
  <c r="H201" i="24" s="1"/>
  <c r="AA145" i="24"/>
  <c r="Z145" i="24" s="1"/>
  <c r="Y145" i="24" s="1"/>
  <c r="G145" i="24"/>
  <c r="CE145" i="6" s="1"/>
  <c r="I87" i="23"/>
  <c r="H87" i="24" s="1"/>
  <c r="J87" i="23"/>
  <c r="I171" i="22"/>
  <c r="H171" i="23" s="1"/>
  <c r="J171" i="22"/>
  <c r="G166" i="25"/>
  <c r="CF166" i="6" s="1"/>
  <c r="AA166" i="25"/>
  <c r="Z166" i="25" s="1"/>
  <c r="Y166" i="25" s="1"/>
  <c r="AM6" i="18"/>
  <c r="AM12" i="18" s="1"/>
  <c r="Y381" i="18"/>
  <c r="X9" i="18"/>
  <c r="AL6" i="18"/>
  <c r="AL12" i="18" s="1"/>
  <c r="Y383" i="18"/>
  <c r="Y382" i="18"/>
  <c r="G232" i="25"/>
  <c r="CF232" i="6" s="1"/>
  <c r="AA232" i="25"/>
  <c r="Z232" i="25" s="1"/>
  <c r="Y232" i="25" s="1"/>
  <c r="G295" i="25"/>
  <c r="CF295" i="6" s="1"/>
  <c r="AA295" i="25"/>
  <c r="Z295" i="25" s="1"/>
  <c r="Y295" i="25" s="1"/>
  <c r="AA157" i="25"/>
  <c r="Z157" i="25" s="1"/>
  <c r="Y157" i="25" s="1"/>
  <c r="G157" i="25"/>
  <c r="CF157" i="6" s="1"/>
  <c r="G374" i="25"/>
  <c r="CF374" i="6" s="1"/>
  <c r="AA374" i="25"/>
  <c r="Z374" i="25" s="1"/>
  <c r="Y374" i="25" s="1"/>
  <c r="G90" i="25"/>
  <c r="CF90" i="6" s="1"/>
  <c r="AA90" i="25"/>
  <c r="Z90" i="25" s="1"/>
  <c r="Y90" i="25" s="1"/>
  <c r="AA264" i="25"/>
  <c r="Z264" i="25" s="1"/>
  <c r="Y264" i="25" s="1"/>
  <c r="G264" i="25"/>
  <c r="CF264" i="6" s="1"/>
  <c r="I240" i="22"/>
  <c r="H240" i="23" s="1"/>
  <c r="J240" i="22"/>
  <c r="I162" i="22"/>
  <c r="H162" i="23" s="1"/>
  <c r="J162" i="22"/>
  <c r="J72" i="22"/>
  <c r="I72" i="22"/>
  <c r="H72" i="23" s="1"/>
  <c r="I345" i="22"/>
  <c r="H345" i="23" s="1"/>
  <c r="J345" i="22"/>
  <c r="I297" i="22"/>
  <c r="H297" i="23" s="1"/>
  <c r="J297" i="22"/>
  <c r="I199" i="22"/>
  <c r="H199" i="23" s="1"/>
  <c r="J199" i="22"/>
  <c r="I109" i="22"/>
  <c r="H109" i="23" s="1"/>
  <c r="J109" i="22"/>
  <c r="I324" i="22"/>
  <c r="H324" i="23" s="1"/>
  <c r="J324" i="22"/>
  <c r="J238" i="22"/>
  <c r="I238" i="22"/>
  <c r="H238" i="23" s="1"/>
  <c r="G223" i="25"/>
  <c r="CF223" i="6" s="1"/>
  <c r="AA223" i="25"/>
  <c r="Z223" i="25" s="1"/>
  <c r="Y223" i="25" s="1"/>
  <c r="I96" i="22"/>
  <c r="H96" i="23" s="1"/>
  <c r="J96" i="22"/>
  <c r="W341" i="25"/>
  <c r="D341" i="25"/>
  <c r="E341" i="25" s="1"/>
  <c r="F341" i="25" s="1"/>
  <c r="W259" i="25"/>
  <c r="D259" i="25"/>
  <c r="E259" i="25" s="1"/>
  <c r="F259" i="25" s="1"/>
  <c r="G259" i="24"/>
  <c r="CE259" i="6" s="1"/>
  <c r="AA259" i="24"/>
  <c r="Z259" i="24" s="1"/>
  <c r="Y259" i="24" s="1"/>
  <c r="G93" i="25"/>
  <c r="CF93" i="6" s="1"/>
  <c r="AA93" i="25"/>
  <c r="Z93" i="25" s="1"/>
  <c r="Y93" i="25" s="1"/>
  <c r="G336" i="25"/>
  <c r="CF336" i="6" s="1"/>
  <c r="AA336" i="25"/>
  <c r="Z336" i="25" s="1"/>
  <c r="Y336" i="25" s="1"/>
  <c r="G308" i="25"/>
  <c r="CF308" i="6" s="1"/>
  <c r="AA308" i="25"/>
  <c r="Z308" i="25" s="1"/>
  <c r="Y308" i="25" s="1"/>
  <c r="G270" i="25"/>
  <c r="CF270" i="6" s="1"/>
  <c r="AA270" i="25"/>
  <c r="Z270" i="25" s="1"/>
  <c r="Y270" i="25" s="1"/>
  <c r="G246" i="25"/>
  <c r="CF246" i="6" s="1"/>
  <c r="AA246" i="25"/>
  <c r="Z246" i="25" s="1"/>
  <c r="Y246" i="25" s="1"/>
  <c r="G176" i="25"/>
  <c r="CF176" i="6" s="1"/>
  <c r="AA176" i="25"/>
  <c r="Z176" i="25" s="1"/>
  <c r="Y176" i="25" s="1"/>
  <c r="G128" i="25"/>
  <c r="CF128" i="6" s="1"/>
  <c r="AA128" i="25"/>
  <c r="Z128" i="25" s="1"/>
  <c r="Y128" i="25" s="1"/>
  <c r="G104" i="25"/>
  <c r="CF104" i="6" s="1"/>
  <c r="AA104" i="25"/>
  <c r="Z104" i="25" s="1"/>
  <c r="Y104" i="25" s="1"/>
  <c r="G56" i="25"/>
  <c r="CF56" i="6" s="1"/>
  <c r="AA56" i="25"/>
  <c r="Z56" i="25" s="1"/>
  <c r="Y56" i="25" s="1"/>
  <c r="G323" i="25"/>
  <c r="CF323" i="6" s="1"/>
  <c r="AA323" i="25"/>
  <c r="Z323" i="25" s="1"/>
  <c r="Y323" i="25" s="1"/>
  <c r="G363" i="25"/>
  <c r="CF363" i="6" s="1"/>
  <c r="AA363" i="25"/>
  <c r="Z363" i="25" s="1"/>
  <c r="Y363" i="25" s="1"/>
  <c r="J275" i="22"/>
  <c r="I275" i="22"/>
  <c r="H275" i="23" s="1"/>
  <c r="J219" i="22"/>
  <c r="I219" i="22"/>
  <c r="H219" i="23" s="1"/>
  <c r="J191" i="22"/>
  <c r="I191" i="22"/>
  <c r="H191" i="23" s="1"/>
  <c r="AL9" i="23" l="1"/>
  <c r="AM7" i="23"/>
  <c r="I40" i="23"/>
  <c r="H40" i="24" s="1"/>
  <c r="I40" i="24" s="1"/>
  <c r="H40" i="25" s="1"/>
  <c r="J213" i="23"/>
  <c r="AJ11" i="24"/>
  <c r="J50" i="23"/>
  <c r="J50" i="24" s="1"/>
  <c r="AJ13" i="23"/>
  <c r="I282" i="23"/>
  <c r="H282" i="24" s="1"/>
  <c r="J282" i="24" s="1"/>
  <c r="AJ9" i="25"/>
  <c r="AM5" i="20"/>
  <c r="AM11" i="20" s="1"/>
  <c r="AK3" i="20" s="1"/>
  <c r="Q16" i="19" s="1"/>
  <c r="AL5" i="20"/>
  <c r="AL11" i="20" s="1"/>
  <c r="AJ3" i="20" s="1"/>
  <c r="O16" i="19" s="1"/>
  <c r="AJ7" i="25"/>
  <c r="E16" i="19"/>
  <c r="F15" i="19"/>
  <c r="Z11" i="17"/>
  <c r="Z5" i="17" s="1"/>
  <c r="C17" i="19"/>
  <c r="D17" i="19"/>
  <c r="Y11" i="18"/>
  <c r="B20" i="19"/>
  <c r="C18" i="19"/>
  <c r="I45" i="23"/>
  <c r="H45" i="24" s="1"/>
  <c r="J45" i="24" s="1"/>
  <c r="I235" i="23"/>
  <c r="H235" i="24" s="1"/>
  <c r="I235" i="24" s="1"/>
  <c r="H235" i="25" s="1"/>
  <c r="J315" i="23"/>
  <c r="J315" i="24" s="1"/>
  <c r="I250" i="23"/>
  <c r="H250" i="24" s="1"/>
  <c r="J250" i="24" s="1"/>
  <c r="J200" i="23"/>
  <c r="J200" i="24" s="1"/>
  <c r="I126" i="23"/>
  <c r="H126" i="24" s="1"/>
  <c r="J126" i="24" s="1"/>
  <c r="J296" i="23"/>
  <c r="I338" i="23"/>
  <c r="H338" i="24" s="1"/>
  <c r="J338" i="24" s="1"/>
  <c r="I341" i="23"/>
  <c r="H341" i="24" s="1"/>
  <c r="I341" i="24" s="1"/>
  <c r="H341" i="25" s="1"/>
  <c r="I144" i="23"/>
  <c r="H144" i="24" s="1"/>
  <c r="J144" i="24" s="1"/>
  <c r="J145" i="23"/>
  <c r="J145" i="24" s="1"/>
  <c r="AJ4" i="18"/>
  <c r="AL13" i="18"/>
  <c r="AJ4" i="17"/>
  <c r="AL13" i="17"/>
  <c r="AK4" i="18"/>
  <c r="AM13" i="18"/>
  <c r="AK4" i="17"/>
  <c r="AM13" i="17"/>
  <c r="AJ12" i="24"/>
  <c r="I87" i="24"/>
  <c r="H87" i="25" s="1"/>
  <c r="J87" i="24"/>
  <c r="J201" i="24"/>
  <c r="I201" i="24"/>
  <c r="H201" i="25" s="1"/>
  <c r="I312" i="24"/>
  <c r="H312" i="25" s="1"/>
  <c r="J312" i="24"/>
  <c r="J175" i="24"/>
  <c r="I175" i="24"/>
  <c r="H175" i="25" s="1"/>
  <c r="I181" i="24"/>
  <c r="H181" i="25" s="1"/>
  <c r="J181" i="24"/>
  <c r="I224" i="24"/>
  <c r="H224" i="25" s="1"/>
  <c r="J224" i="24"/>
  <c r="I254" i="24"/>
  <c r="H254" i="25" s="1"/>
  <c r="J254" i="24"/>
  <c r="I124" i="24"/>
  <c r="H124" i="25" s="1"/>
  <c r="J124" i="24"/>
  <c r="I377" i="24"/>
  <c r="H377" i="25" s="1"/>
  <c r="J377" i="24"/>
  <c r="I204" i="24"/>
  <c r="H204" i="25" s="1"/>
  <c r="J204" i="24"/>
  <c r="I379" i="24"/>
  <c r="H379" i="25" s="1"/>
  <c r="J379" i="24"/>
  <c r="J328" i="24"/>
  <c r="I328" i="24"/>
  <c r="H328" i="25" s="1"/>
  <c r="J160" i="24"/>
  <c r="I160" i="24"/>
  <c r="H160" i="25" s="1"/>
  <c r="I41" i="24"/>
  <c r="H41" i="25" s="1"/>
  <c r="J41" i="24"/>
  <c r="J117" i="24"/>
  <c r="I117" i="24"/>
  <c r="H117" i="25" s="1"/>
  <c r="J40" i="24"/>
  <c r="J337" i="24"/>
  <c r="I337" i="24"/>
  <c r="H337" i="25" s="1"/>
  <c r="I86" i="24"/>
  <c r="H86" i="25" s="1"/>
  <c r="J86" i="24"/>
  <c r="J100" i="24"/>
  <c r="I100" i="24"/>
  <c r="H100" i="25" s="1"/>
  <c r="J213" i="24"/>
  <c r="I213" i="24"/>
  <c r="H213" i="25" s="1"/>
  <c r="J330" i="24"/>
  <c r="I330" i="24"/>
  <c r="H330" i="25" s="1"/>
  <c r="I186" i="24"/>
  <c r="H186" i="25" s="1"/>
  <c r="J186" i="24"/>
  <c r="I218" i="24"/>
  <c r="H218" i="25" s="1"/>
  <c r="J218" i="24"/>
  <c r="I107" i="24"/>
  <c r="H107" i="25" s="1"/>
  <c r="J107" i="24"/>
  <c r="J134" i="24"/>
  <c r="I134" i="24"/>
  <c r="H134" i="25" s="1"/>
  <c r="J285" i="24"/>
  <c r="I285" i="24"/>
  <c r="H285" i="25" s="1"/>
  <c r="I327" i="24"/>
  <c r="H327" i="25" s="1"/>
  <c r="J327" i="24"/>
  <c r="I64" i="24"/>
  <c r="H64" i="25" s="1"/>
  <c r="J64" i="24"/>
  <c r="I113" i="24"/>
  <c r="H113" i="25" s="1"/>
  <c r="J113" i="24"/>
  <c r="I351" i="24"/>
  <c r="H351" i="25" s="1"/>
  <c r="J351" i="24"/>
  <c r="J54" i="24"/>
  <c r="I54" i="24"/>
  <c r="H54" i="25" s="1"/>
  <c r="I318" i="24"/>
  <c r="H318" i="25" s="1"/>
  <c r="J318" i="24"/>
  <c r="J168" i="24"/>
  <c r="I168" i="24"/>
  <c r="H168" i="25" s="1"/>
  <c r="J242" i="24"/>
  <c r="I242" i="24"/>
  <c r="H242" i="25" s="1"/>
  <c r="I301" i="24"/>
  <c r="H301" i="25" s="1"/>
  <c r="J301" i="24"/>
  <c r="J205" i="24"/>
  <c r="I205" i="24"/>
  <c r="H205" i="25" s="1"/>
  <c r="J136" i="24"/>
  <c r="I136" i="24"/>
  <c r="H136" i="25" s="1"/>
  <c r="J21" i="24"/>
  <c r="I21" i="24"/>
  <c r="H21" i="25" s="1"/>
  <c r="I322" i="24"/>
  <c r="H322" i="25" s="1"/>
  <c r="J322" i="24"/>
  <c r="J179" i="24"/>
  <c r="I179" i="24"/>
  <c r="H179" i="25" s="1"/>
  <c r="J96" i="23"/>
  <c r="I96" i="23"/>
  <c r="H96" i="24" s="1"/>
  <c r="I238" i="23"/>
  <c r="H238" i="24" s="1"/>
  <c r="J238" i="23"/>
  <c r="J72" i="23"/>
  <c r="I72" i="23"/>
  <c r="H72" i="24" s="1"/>
  <c r="J171" i="23"/>
  <c r="I171" i="23"/>
  <c r="H171" i="24" s="1"/>
  <c r="I228" i="23"/>
  <c r="H228" i="24" s="1"/>
  <c r="J228" i="23"/>
  <c r="G168" i="25"/>
  <c r="CF168" i="6" s="1"/>
  <c r="AA168" i="25"/>
  <c r="Z168" i="25" s="1"/>
  <c r="Y168" i="25" s="1"/>
  <c r="G242" i="25"/>
  <c r="CF242" i="6" s="1"/>
  <c r="AA242" i="25"/>
  <c r="Z242" i="25" s="1"/>
  <c r="Y242" i="25" s="1"/>
  <c r="J342" i="24"/>
  <c r="I342" i="24"/>
  <c r="H342" i="25" s="1"/>
  <c r="I93" i="23"/>
  <c r="H93" i="24" s="1"/>
  <c r="J93" i="23"/>
  <c r="J131" i="23"/>
  <c r="I131" i="23"/>
  <c r="H131" i="24" s="1"/>
  <c r="G326" i="25"/>
  <c r="CF326" i="6" s="1"/>
  <c r="AA326" i="25"/>
  <c r="Z326" i="25" s="1"/>
  <c r="Y326" i="25" s="1"/>
  <c r="I378" i="23"/>
  <c r="H378" i="24" s="1"/>
  <c r="J378" i="23"/>
  <c r="J141" i="24"/>
  <c r="I141" i="24"/>
  <c r="H141" i="25" s="1"/>
  <c r="G301" i="25"/>
  <c r="CF301" i="6" s="1"/>
  <c r="AA301" i="25"/>
  <c r="Z301" i="25" s="1"/>
  <c r="Y301" i="25" s="1"/>
  <c r="G375" i="25"/>
  <c r="CF375" i="6" s="1"/>
  <c r="AA375" i="25"/>
  <c r="Z375" i="25" s="1"/>
  <c r="Y375" i="25" s="1"/>
  <c r="J123" i="24"/>
  <c r="I123" i="24"/>
  <c r="H123" i="25" s="1"/>
  <c r="I215" i="24"/>
  <c r="H215" i="25" s="1"/>
  <c r="J215" i="24"/>
  <c r="G371" i="25"/>
  <c r="CF371" i="6" s="1"/>
  <c r="AA371" i="25"/>
  <c r="Z371" i="25" s="1"/>
  <c r="Y371" i="25" s="1"/>
  <c r="J20" i="24"/>
  <c r="I20" i="24"/>
  <c r="H20" i="25" s="1"/>
  <c r="G200" i="25"/>
  <c r="CF200" i="6" s="1"/>
  <c r="AA200" i="25"/>
  <c r="Z200" i="25" s="1"/>
  <c r="Y200" i="25" s="1"/>
  <c r="G286" i="25"/>
  <c r="CF286" i="6" s="1"/>
  <c r="AA286" i="25"/>
  <c r="Z286" i="25" s="1"/>
  <c r="Y286" i="25" s="1"/>
  <c r="J286" i="24"/>
  <c r="I286" i="24"/>
  <c r="H286" i="25" s="1"/>
  <c r="J331" i="24"/>
  <c r="I331" i="24"/>
  <c r="H331" i="25" s="1"/>
  <c r="AA38" i="25"/>
  <c r="Z38" i="25" s="1"/>
  <c r="Y38" i="25" s="1"/>
  <c r="G38" i="25"/>
  <c r="CF38" i="6" s="1"/>
  <c r="G315" i="25"/>
  <c r="CF315" i="6" s="1"/>
  <c r="AA315" i="25"/>
  <c r="Z315" i="25" s="1"/>
  <c r="Y315" i="25" s="1"/>
  <c r="G30" i="25"/>
  <c r="CF30" i="6" s="1"/>
  <c r="AA30" i="25"/>
  <c r="Z30" i="25" s="1"/>
  <c r="Y30" i="25" s="1"/>
  <c r="J187" i="23"/>
  <c r="I187" i="23"/>
  <c r="H187" i="24" s="1"/>
  <c r="I127" i="23"/>
  <c r="H127" i="24" s="1"/>
  <c r="J127" i="23"/>
  <c r="J183" i="23"/>
  <c r="I183" i="23"/>
  <c r="H183" i="24" s="1"/>
  <c r="I227" i="23"/>
  <c r="H227" i="24" s="1"/>
  <c r="J227" i="23"/>
  <c r="J125" i="23"/>
  <c r="I125" i="23"/>
  <c r="H125" i="24" s="1"/>
  <c r="J349" i="23"/>
  <c r="I349" i="23"/>
  <c r="H349" i="24" s="1"/>
  <c r="J55" i="23"/>
  <c r="I55" i="23"/>
  <c r="H55" i="24" s="1"/>
  <c r="G70" i="25"/>
  <c r="CF70" i="6" s="1"/>
  <c r="AA70" i="25"/>
  <c r="Z70" i="25" s="1"/>
  <c r="Y70" i="25" s="1"/>
  <c r="G136" i="25"/>
  <c r="CF136" i="6" s="1"/>
  <c r="AA136" i="25"/>
  <c r="Z136" i="25" s="1"/>
  <c r="Y136" i="25" s="1"/>
  <c r="I178" i="24"/>
  <c r="H178" i="25" s="1"/>
  <c r="J178" i="24"/>
  <c r="J49" i="24"/>
  <c r="I49" i="24"/>
  <c r="H49" i="25" s="1"/>
  <c r="AA296" i="25"/>
  <c r="Z296" i="25" s="1"/>
  <c r="Y296" i="25" s="1"/>
  <c r="G296" i="25"/>
  <c r="CF296" i="6" s="1"/>
  <c r="J151" i="24"/>
  <c r="I151" i="24"/>
  <c r="H151" i="25" s="1"/>
  <c r="I184" i="24"/>
  <c r="H184" i="25" s="1"/>
  <c r="J184" i="24"/>
  <c r="I364" i="24"/>
  <c r="H364" i="25" s="1"/>
  <c r="J364" i="24"/>
  <c r="G117" i="25"/>
  <c r="CF117" i="6" s="1"/>
  <c r="AA117" i="25"/>
  <c r="Z117" i="25" s="1"/>
  <c r="Y117" i="25" s="1"/>
  <c r="G225" i="25"/>
  <c r="CF225" i="6" s="1"/>
  <c r="AA225" i="25"/>
  <c r="Z225" i="25" s="1"/>
  <c r="Y225" i="25" s="1"/>
  <c r="AA343" i="25"/>
  <c r="Z343" i="25" s="1"/>
  <c r="Y343" i="25" s="1"/>
  <c r="G343" i="25"/>
  <c r="CF343" i="6" s="1"/>
  <c r="G40" i="25"/>
  <c r="CF40" i="6" s="1"/>
  <c r="AA40" i="25"/>
  <c r="Z40" i="25" s="1"/>
  <c r="Y40" i="25" s="1"/>
  <c r="J222" i="24"/>
  <c r="I222" i="24"/>
  <c r="H222" i="25" s="1"/>
  <c r="I252" i="24"/>
  <c r="H252" i="25" s="1"/>
  <c r="J252" i="24"/>
  <c r="AA152" i="25"/>
  <c r="Z152" i="25" s="1"/>
  <c r="Y152" i="25" s="1"/>
  <c r="G152" i="25"/>
  <c r="CF152" i="6" s="1"/>
  <c r="I152" i="24"/>
  <c r="H152" i="25" s="1"/>
  <c r="J152" i="24"/>
  <c r="G132" i="25"/>
  <c r="CF132" i="6" s="1"/>
  <c r="AA132" i="25"/>
  <c r="Z132" i="25" s="1"/>
  <c r="Y132" i="25" s="1"/>
  <c r="J374" i="23"/>
  <c r="I374" i="23"/>
  <c r="H374" i="24" s="1"/>
  <c r="I321" i="23"/>
  <c r="H321" i="24" s="1"/>
  <c r="J321" i="23"/>
  <c r="I317" i="23"/>
  <c r="H317" i="24" s="1"/>
  <c r="J317" i="23"/>
  <c r="AA59" i="25"/>
  <c r="Z59" i="25" s="1"/>
  <c r="Y59" i="25" s="1"/>
  <c r="G59" i="25"/>
  <c r="CF59" i="6" s="1"/>
  <c r="J59" i="24"/>
  <c r="I59" i="24"/>
  <c r="H59" i="25" s="1"/>
  <c r="G337" i="25"/>
  <c r="CF337" i="6" s="1"/>
  <c r="AA337" i="25"/>
  <c r="Z337" i="25" s="1"/>
  <c r="Y337" i="25" s="1"/>
  <c r="AA92" i="25"/>
  <c r="Z92" i="25" s="1"/>
  <c r="Y92" i="25" s="1"/>
  <c r="G92" i="25"/>
  <c r="CF92" i="6" s="1"/>
  <c r="J230" i="24"/>
  <c r="I230" i="24"/>
  <c r="H230" i="25" s="1"/>
  <c r="G282" i="25"/>
  <c r="CF282" i="6" s="1"/>
  <c r="AA282" i="25"/>
  <c r="Z282" i="25" s="1"/>
  <c r="Y282" i="25" s="1"/>
  <c r="G21" i="25"/>
  <c r="CF21" i="6" s="1"/>
  <c r="AA21" i="25"/>
  <c r="Z21" i="25" s="1"/>
  <c r="Y21" i="25" s="1"/>
  <c r="AA71" i="25"/>
  <c r="Z71" i="25" s="1"/>
  <c r="Y71" i="25" s="1"/>
  <c r="G71" i="25"/>
  <c r="CF71" i="6" s="1"/>
  <c r="J143" i="23"/>
  <c r="I143" i="23"/>
  <c r="H143" i="24" s="1"/>
  <c r="G322" i="25"/>
  <c r="CF322" i="6" s="1"/>
  <c r="AA322" i="25"/>
  <c r="Z322" i="25" s="1"/>
  <c r="Y322" i="25" s="1"/>
  <c r="I173" i="23"/>
  <c r="H173" i="24" s="1"/>
  <c r="J173" i="23"/>
  <c r="J339" i="23"/>
  <c r="I339" i="23"/>
  <c r="H339" i="24" s="1"/>
  <c r="I346" i="23"/>
  <c r="H346" i="24" s="1"/>
  <c r="J346" i="23"/>
  <c r="I120" i="23"/>
  <c r="H120" i="24" s="1"/>
  <c r="J120" i="23"/>
  <c r="J291" i="23"/>
  <c r="I291" i="23"/>
  <c r="H291" i="24" s="1"/>
  <c r="J261" i="23"/>
  <c r="I261" i="23"/>
  <c r="H261" i="24" s="1"/>
  <c r="I116" i="23"/>
  <c r="H116" i="24" s="1"/>
  <c r="J116" i="23"/>
  <c r="I97" i="23"/>
  <c r="H97" i="24" s="1"/>
  <c r="J97" i="23"/>
  <c r="I29" i="23"/>
  <c r="H29" i="24" s="1"/>
  <c r="J29" i="23"/>
  <c r="I149" i="23"/>
  <c r="H149" i="24" s="1"/>
  <c r="J149" i="23"/>
  <c r="J16" i="23"/>
  <c r="I16" i="23"/>
  <c r="H16" i="24" s="1"/>
  <c r="I208" i="23"/>
  <c r="H208" i="24" s="1"/>
  <c r="J208" i="23"/>
  <c r="I35" i="23"/>
  <c r="H35" i="24" s="1"/>
  <c r="J35" i="23"/>
  <c r="J376" i="23"/>
  <c r="I376" i="23"/>
  <c r="H376" i="24" s="1"/>
  <c r="I246" i="23"/>
  <c r="H246" i="24" s="1"/>
  <c r="J246" i="23"/>
  <c r="J188" i="23"/>
  <c r="I188" i="23"/>
  <c r="H188" i="24" s="1"/>
  <c r="J231" i="23"/>
  <c r="I231" i="23"/>
  <c r="H231" i="24" s="1"/>
  <c r="J313" i="23"/>
  <c r="I313" i="23"/>
  <c r="H313" i="24" s="1"/>
  <c r="J190" i="23"/>
  <c r="I190" i="23"/>
  <c r="H190" i="24" s="1"/>
  <c r="G312" i="25"/>
  <c r="CF312" i="6" s="1"/>
  <c r="AA312" i="25"/>
  <c r="Z312" i="25" s="1"/>
  <c r="Y312" i="25" s="1"/>
  <c r="J380" i="23"/>
  <c r="I380" i="23"/>
  <c r="H380" i="24" s="1"/>
  <c r="J140" i="23"/>
  <c r="I140" i="23"/>
  <c r="H140" i="24" s="1"/>
  <c r="J270" i="23"/>
  <c r="I270" i="23"/>
  <c r="H270" i="24" s="1"/>
  <c r="J276" i="23"/>
  <c r="I276" i="23"/>
  <c r="H276" i="24" s="1"/>
  <c r="J217" i="23"/>
  <c r="I217" i="23"/>
  <c r="H217" i="24" s="1"/>
  <c r="J329" i="23"/>
  <c r="I329" i="23"/>
  <c r="H329" i="24" s="1"/>
  <c r="J150" i="23"/>
  <c r="I150" i="23"/>
  <c r="H150" i="24" s="1"/>
  <c r="J247" i="23"/>
  <c r="I247" i="23"/>
  <c r="H247" i="24" s="1"/>
  <c r="G7" i="6"/>
  <c r="AO7" i="7"/>
  <c r="J85" i="23"/>
  <c r="I85" i="23"/>
  <c r="H85" i="24" s="1"/>
  <c r="I243" i="23"/>
  <c r="H243" i="24" s="1"/>
  <c r="J243" i="23"/>
  <c r="I362" i="23"/>
  <c r="H362" i="24" s="1"/>
  <c r="J362" i="23"/>
  <c r="J106" i="24"/>
  <c r="I106" i="24"/>
  <c r="H106" i="25" s="1"/>
  <c r="G254" i="25"/>
  <c r="CF254" i="6" s="1"/>
  <c r="AA254" i="25"/>
  <c r="Z254" i="25" s="1"/>
  <c r="Y254" i="25" s="1"/>
  <c r="G318" i="25"/>
  <c r="CF318" i="6" s="1"/>
  <c r="AA318" i="25"/>
  <c r="Z318" i="25" s="1"/>
  <c r="Y318" i="25" s="1"/>
  <c r="G31" i="25"/>
  <c r="CF31" i="6" s="1"/>
  <c r="AA31" i="25"/>
  <c r="Z31" i="25" s="1"/>
  <c r="Y31" i="25" s="1"/>
  <c r="G124" i="25"/>
  <c r="CF124" i="6" s="1"/>
  <c r="AA124" i="25"/>
  <c r="Z124" i="25" s="1"/>
  <c r="Y124" i="25" s="1"/>
  <c r="G256" i="25"/>
  <c r="CF256" i="6" s="1"/>
  <c r="AA256" i="25"/>
  <c r="Z256" i="25" s="1"/>
  <c r="Y256" i="25" s="1"/>
  <c r="AA330" i="25"/>
  <c r="Z330" i="25" s="1"/>
  <c r="Y330" i="25" s="1"/>
  <c r="G330" i="25"/>
  <c r="CF330" i="6" s="1"/>
  <c r="J165" i="24"/>
  <c r="I165" i="24"/>
  <c r="H165" i="25" s="1"/>
  <c r="AA68" i="25"/>
  <c r="Z68" i="25" s="1"/>
  <c r="Y68" i="25" s="1"/>
  <c r="G68" i="25"/>
  <c r="CF68" i="6" s="1"/>
  <c r="J366" i="24"/>
  <c r="I366" i="24"/>
  <c r="H366" i="25" s="1"/>
  <c r="AA305" i="25"/>
  <c r="Z305" i="25" s="1"/>
  <c r="Y305" i="25" s="1"/>
  <c r="G305" i="25"/>
  <c r="CF305" i="6" s="1"/>
  <c r="J52" i="24"/>
  <c r="I52" i="24"/>
  <c r="H52" i="25" s="1"/>
  <c r="G235" i="25"/>
  <c r="CF235" i="6" s="1"/>
  <c r="AA235" i="25"/>
  <c r="Z235" i="25" s="1"/>
  <c r="Y235" i="25" s="1"/>
  <c r="G153" i="25"/>
  <c r="CF153" i="6" s="1"/>
  <c r="AA153" i="25"/>
  <c r="Z153" i="25" s="1"/>
  <c r="Y153" i="25" s="1"/>
  <c r="J382" i="18"/>
  <c r="J383" i="18"/>
  <c r="J381" i="18"/>
  <c r="J333" i="23"/>
  <c r="I333" i="23"/>
  <c r="H333" i="24" s="1"/>
  <c r="G250" i="25"/>
  <c r="CF250" i="6" s="1"/>
  <c r="AA250" i="25"/>
  <c r="Z250" i="25" s="1"/>
  <c r="Y250" i="25" s="1"/>
  <c r="G379" i="25"/>
  <c r="CF379" i="6" s="1"/>
  <c r="AA379" i="25"/>
  <c r="Z379" i="25" s="1"/>
  <c r="Y379" i="25" s="1"/>
  <c r="I50" i="24"/>
  <c r="H50" i="25" s="1"/>
  <c r="J268" i="24"/>
  <c r="I268" i="24"/>
  <c r="H268" i="25" s="1"/>
  <c r="G160" i="25"/>
  <c r="CF160" i="6" s="1"/>
  <c r="AA160" i="25"/>
  <c r="Z160" i="25" s="1"/>
  <c r="Y160" i="25" s="1"/>
  <c r="AA359" i="25"/>
  <c r="Z359" i="25" s="1"/>
  <c r="Y359" i="25" s="1"/>
  <c r="G359" i="25"/>
  <c r="CF359" i="6" s="1"/>
  <c r="I47" i="23"/>
  <c r="H47" i="24" s="1"/>
  <c r="J47" i="23"/>
  <c r="J202" i="23"/>
  <c r="I202" i="23"/>
  <c r="H202" i="24" s="1"/>
  <c r="J269" i="23"/>
  <c r="I269" i="23"/>
  <c r="H269" i="24" s="1"/>
  <c r="AA342" i="25"/>
  <c r="Z342" i="25" s="1"/>
  <c r="Y342" i="25" s="1"/>
  <c r="G342" i="25"/>
  <c r="CF342" i="6" s="1"/>
  <c r="I293" i="23"/>
  <c r="H293" i="24" s="1"/>
  <c r="J293" i="23"/>
  <c r="G188" i="25"/>
  <c r="CF188" i="6" s="1"/>
  <c r="AA188" i="25"/>
  <c r="Z188" i="25" s="1"/>
  <c r="Y188" i="25" s="1"/>
  <c r="J294" i="23"/>
  <c r="I294" i="23"/>
  <c r="H294" i="24" s="1"/>
  <c r="J206" i="23"/>
  <c r="I206" i="23"/>
  <c r="H206" i="24" s="1"/>
  <c r="I314" i="23"/>
  <c r="H314" i="24" s="1"/>
  <c r="J314" i="23"/>
  <c r="J289" i="23"/>
  <c r="I289" i="23"/>
  <c r="H289" i="24" s="1"/>
  <c r="I236" i="23"/>
  <c r="H236" i="24" s="1"/>
  <c r="J236" i="23"/>
  <c r="I157" i="23"/>
  <c r="H157" i="24" s="1"/>
  <c r="J157" i="23"/>
  <c r="J375" i="24"/>
  <c r="I375" i="24"/>
  <c r="H375" i="25" s="1"/>
  <c r="G20" i="25"/>
  <c r="CF20" i="6" s="1"/>
  <c r="AA20" i="25"/>
  <c r="Z20" i="25" s="1"/>
  <c r="Y20" i="25" s="1"/>
  <c r="AA158" i="25"/>
  <c r="Z158" i="25" s="1"/>
  <c r="Y158" i="25" s="1"/>
  <c r="G158" i="25"/>
  <c r="CF158" i="6" s="1"/>
  <c r="I200" i="24"/>
  <c r="H200" i="25" s="1"/>
  <c r="I358" i="24"/>
  <c r="H358" i="25" s="1"/>
  <c r="J358" i="24"/>
  <c r="G205" i="25"/>
  <c r="CF205" i="6" s="1"/>
  <c r="AA205" i="25"/>
  <c r="Z205" i="25" s="1"/>
  <c r="Y205" i="25" s="1"/>
  <c r="I299" i="24"/>
  <c r="H299" i="25" s="1"/>
  <c r="J299" i="24"/>
  <c r="I353" i="24"/>
  <c r="H353" i="25" s="1"/>
  <c r="J353" i="24"/>
  <c r="I38" i="24"/>
  <c r="H38" i="25" s="1"/>
  <c r="J38" i="24"/>
  <c r="I315" i="24"/>
  <c r="H315" i="25" s="1"/>
  <c r="I30" i="24"/>
  <c r="H30" i="25" s="1"/>
  <c r="J30" i="24"/>
  <c r="J302" i="23"/>
  <c r="I302" i="23"/>
  <c r="H302" i="24" s="1"/>
  <c r="I159" i="23"/>
  <c r="H159" i="24" s="1"/>
  <c r="J159" i="23"/>
  <c r="J197" i="23"/>
  <c r="I197" i="23"/>
  <c r="H197" i="24" s="1"/>
  <c r="I263" i="23"/>
  <c r="H263" i="24" s="1"/>
  <c r="J263" i="23"/>
  <c r="I267" i="23"/>
  <c r="H267" i="24" s="1"/>
  <c r="J267" i="23"/>
  <c r="I154" i="23"/>
  <c r="H154" i="24" s="1"/>
  <c r="J154" i="23"/>
  <c r="I135" i="23"/>
  <c r="H135" i="24" s="1"/>
  <c r="J135" i="23"/>
  <c r="I298" i="23"/>
  <c r="H298" i="24" s="1"/>
  <c r="J298" i="23"/>
  <c r="J67" i="23"/>
  <c r="I67" i="23"/>
  <c r="H67" i="24" s="1"/>
  <c r="I248" i="23"/>
  <c r="H248" i="24" s="1"/>
  <c r="J248" i="23"/>
  <c r="I283" i="23"/>
  <c r="H283" i="24" s="1"/>
  <c r="J283" i="23"/>
  <c r="AJ8" i="25"/>
  <c r="D383" i="25"/>
  <c r="D9" i="25"/>
  <c r="D11" i="25" s="1"/>
  <c r="E44" i="19" s="1"/>
  <c r="E33" i="19" s="1"/>
  <c r="J161" i="23"/>
  <c r="I161" i="23"/>
  <c r="H161" i="24" s="1"/>
  <c r="J130" i="23"/>
  <c r="I130" i="23"/>
  <c r="H130" i="24" s="1"/>
  <c r="J89" i="23"/>
  <c r="I89" i="23"/>
  <c r="H89" i="24" s="1"/>
  <c r="G178" i="25"/>
  <c r="CF178" i="6" s="1"/>
  <c r="AA178" i="25"/>
  <c r="Z178" i="25" s="1"/>
  <c r="Y178" i="25" s="1"/>
  <c r="G274" i="25"/>
  <c r="CF274" i="6" s="1"/>
  <c r="AA274" i="25"/>
  <c r="Z274" i="25" s="1"/>
  <c r="Y274" i="25" s="1"/>
  <c r="G352" i="25"/>
  <c r="CF352" i="6" s="1"/>
  <c r="AA352" i="25"/>
  <c r="Z352" i="25" s="1"/>
  <c r="Y352" i="25" s="1"/>
  <c r="G49" i="25"/>
  <c r="CF49" i="6" s="1"/>
  <c r="AA49" i="25"/>
  <c r="Z49" i="25" s="1"/>
  <c r="Y49" i="25" s="1"/>
  <c r="G364" i="25"/>
  <c r="CF364" i="6" s="1"/>
  <c r="AA364" i="25"/>
  <c r="Z364" i="25" s="1"/>
  <c r="Y364" i="25" s="1"/>
  <c r="G41" i="25"/>
  <c r="CF41" i="6" s="1"/>
  <c r="AA41" i="25"/>
  <c r="Z41" i="25" s="1"/>
  <c r="Y41" i="25" s="1"/>
  <c r="I225" i="24"/>
  <c r="H225" i="25" s="1"/>
  <c r="J225" i="24"/>
  <c r="J343" i="24"/>
  <c r="I343" i="24"/>
  <c r="H343" i="25" s="1"/>
  <c r="G251" i="25"/>
  <c r="CF251" i="6" s="1"/>
  <c r="AA251" i="25"/>
  <c r="Z251" i="25" s="1"/>
  <c r="Y251" i="25" s="1"/>
  <c r="I132" i="24"/>
  <c r="H132" i="25" s="1"/>
  <c r="J132" i="24"/>
  <c r="I33" i="23"/>
  <c r="H33" i="24" s="1"/>
  <c r="J33" i="23"/>
  <c r="I195" i="23"/>
  <c r="H195" i="24" s="1"/>
  <c r="J195" i="23"/>
  <c r="I209" i="23"/>
  <c r="H209" i="24" s="1"/>
  <c r="J209" i="23"/>
  <c r="J262" i="23"/>
  <c r="I262" i="23"/>
  <c r="H262" i="24" s="1"/>
  <c r="I237" i="23"/>
  <c r="H237" i="24" s="1"/>
  <c r="J237" i="23"/>
  <c r="J290" i="23"/>
  <c r="I290" i="23"/>
  <c r="H290" i="24" s="1"/>
  <c r="J340" i="23"/>
  <c r="I340" i="23"/>
  <c r="H340" i="24" s="1"/>
  <c r="J137" i="23"/>
  <c r="I137" i="23"/>
  <c r="H137" i="24" s="1"/>
  <c r="I163" i="23"/>
  <c r="H163" i="24" s="1"/>
  <c r="J163" i="23"/>
  <c r="I309" i="23"/>
  <c r="H309" i="24" s="1"/>
  <c r="J309" i="23"/>
  <c r="J63" i="23"/>
  <c r="I63" i="23"/>
  <c r="H63" i="24" s="1"/>
  <c r="J357" i="23"/>
  <c r="I357" i="23"/>
  <c r="H357" i="24" s="1"/>
  <c r="G48" i="25"/>
  <c r="CF48" i="6" s="1"/>
  <c r="AA48" i="25"/>
  <c r="Z48" i="25" s="1"/>
  <c r="Y48" i="25" s="1"/>
  <c r="G234" i="25"/>
  <c r="CF234" i="6" s="1"/>
  <c r="AA234" i="25"/>
  <c r="Z234" i="25" s="1"/>
  <c r="Y234" i="25" s="1"/>
  <c r="I19" i="23"/>
  <c r="H19" i="24" s="1"/>
  <c r="J19" i="23"/>
  <c r="J365" i="23"/>
  <c r="I365" i="23"/>
  <c r="H365" i="24" s="1"/>
  <c r="J223" i="23"/>
  <c r="I223" i="23"/>
  <c r="H223" i="24" s="1"/>
  <c r="J272" i="23"/>
  <c r="I272" i="23"/>
  <c r="H272" i="24" s="1"/>
  <c r="J167" i="23"/>
  <c r="I167" i="23"/>
  <c r="H167" i="24" s="1"/>
  <c r="J277" i="23"/>
  <c r="I277" i="23"/>
  <c r="H277" i="24" s="1"/>
  <c r="J307" i="23"/>
  <c r="I307" i="23"/>
  <c r="H307" i="24" s="1"/>
  <c r="J203" i="23"/>
  <c r="I203" i="23"/>
  <c r="H203" i="24" s="1"/>
  <c r="J216" i="23"/>
  <c r="I216" i="23"/>
  <c r="H216" i="24" s="1"/>
  <c r="J66" i="23"/>
  <c r="I66" i="23"/>
  <c r="H66" i="24" s="1"/>
  <c r="AA381" i="23"/>
  <c r="AA383" i="23"/>
  <c r="AA382" i="23"/>
  <c r="AL10" i="23"/>
  <c r="Z15" i="23"/>
  <c r="AL7" i="23" s="1"/>
  <c r="AM8" i="23"/>
  <c r="AA9" i="23"/>
  <c r="G382" i="23"/>
  <c r="G381" i="23"/>
  <c r="G383" i="23"/>
  <c r="G12" i="23" s="1"/>
  <c r="G87" i="25"/>
  <c r="CF87" i="6" s="1"/>
  <c r="AA87" i="25"/>
  <c r="Z87" i="25" s="1"/>
  <c r="Y87" i="25" s="1"/>
  <c r="G201" i="25"/>
  <c r="CF201" i="6" s="1"/>
  <c r="AA201" i="25"/>
  <c r="Z201" i="25" s="1"/>
  <c r="Y201" i="25" s="1"/>
  <c r="AA112" i="25"/>
  <c r="Z112" i="25" s="1"/>
  <c r="Y112" i="25" s="1"/>
  <c r="G112" i="25"/>
  <c r="CF112" i="6" s="1"/>
  <c r="J348" i="24"/>
  <c r="I348" i="24"/>
  <c r="H348" i="25" s="1"/>
  <c r="G348" i="25"/>
  <c r="CF348" i="6" s="1"/>
  <c r="AA348" i="25"/>
  <c r="Z348" i="25" s="1"/>
  <c r="Y348" i="25" s="1"/>
  <c r="G134" i="25"/>
  <c r="CF134" i="6" s="1"/>
  <c r="AA134" i="25"/>
  <c r="Z134" i="25" s="1"/>
  <c r="Y134" i="25" s="1"/>
  <c r="J104" i="23"/>
  <c r="I104" i="23"/>
  <c r="H104" i="24" s="1"/>
  <c r="J320" i="23"/>
  <c r="I320" i="23"/>
  <c r="H320" i="24" s="1"/>
  <c r="I155" i="23"/>
  <c r="H155" i="24" s="1"/>
  <c r="J155" i="23"/>
  <c r="I148" i="23"/>
  <c r="H148" i="24" s="1"/>
  <c r="J148" i="23"/>
  <c r="G338" i="25"/>
  <c r="CF338" i="6" s="1"/>
  <c r="AA338" i="25"/>
  <c r="Z338" i="25" s="1"/>
  <c r="Y338" i="25" s="1"/>
  <c r="G64" i="25"/>
  <c r="CF64" i="6" s="1"/>
  <c r="AA64" i="25"/>
  <c r="Z64" i="25" s="1"/>
  <c r="Y64" i="25" s="1"/>
  <c r="I207" i="24"/>
  <c r="H207" i="25" s="1"/>
  <c r="J207" i="24"/>
  <c r="AA174" i="25"/>
  <c r="Z174" i="25" s="1"/>
  <c r="Y174" i="25" s="1"/>
  <c r="G174" i="25"/>
  <c r="CF174" i="6" s="1"/>
  <c r="G26" i="25"/>
  <c r="CF26" i="6" s="1"/>
  <c r="AA26" i="25"/>
  <c r="Z26" i="25" s="1"/>
  <c r="Y26" i="25" s="1"/>
  <c r="G54" i="25"/>
  <c r="CF54" i="6" s="1"/>
  <c r="AA54" i="25"/>
  <c r="Z54" i="25" s="1"/>
  <c r="Y54" i="25" s="1"/>
  <c r="I196" i="23"/>
  <c r="H196" i="24" s="1"/>
  <c r="J196" i="23"/>
  <c r="J334" i="23"/>
  <c r="I334" i="23"/>
  <c r="H334" i="24" s="1"/>
  <c r="J280" i="23"/>
  <c r="I280" i="23"/>
  <c r="H280" i="24" s="1"/>
  <c r="J133" i="23"/>
  <c r="I133" i="23"/>
  <c r="H133" i="24" s="1"/>
  <c r="J355" i="23"/>
  <c r="I355" i="23"/>
  <c r="H355" i="24" s="1"/>
  <c r="J36" i="23"/>
  <c r="I36" i="23"/>
  <c r="H36" i="24" s="1"/>
  <c r="I44" i="23"/>
  <c r="H44" i="24" s="1"/>
  <c r="J44" i="23"/>
  <c r="J102" i="23"/>
  <c r="I102" i="23"/>
  <c r="H102" i="24" s="1"/>
  <c r="AM10" i="24"/>
  <c r="F381" i="24"/>
  <c r="F383" i="24"/>
  <c r="AK10" i="24"/>
  <c r="AK12" i="24" s="1"/>
  <c r="AK13" i="24" s="1"/>
  <c r="F382" i="24"/>
  <c r="F9" i="24"/>
  <c r="AA15" i="24"/>
  <c r="AL9" i="24" s="1"/>
  <c r="G15" i="24"/>
  <c r="CE15" i="6" s="1"/>
  <c r="E11" i="24"/>
  <c r="F43" i="19" s="1"/>
  <c r="AA106" i="25"/>
  <c r="Z106" i="25" s="1"/>
  <c r="Y106" i="25" s="1"/>
  <c r="G106" i="25"/>
  <c r="CF106" i="6" s="1"/>
  <c r="I26" i="23"/>
  <c r="H26" i="24" s="1"/>
  <c r="J26" i="23"/>
  <c r="AA91" i="25"/>
  <c r="Z91" i="25" s="1"/>
  <c r="Y91" i="25" s="1"/>
  <c r="G91" i="25"/>
  <c r="CF91" i="6" s="1"/>
  <c r="J91" i="24"/>
  <c r="I91" i="24"/>
  <c r="H91" i="25" s="1"/>
  <c r="I279" i="24"/>
  <c r="H279" i="25" s="1"/>
  <c r="J279" i="24"/>
  <c r="AA377" i="25"/>
  <c r="Z377" i="25" s="1"/>
  <c r="Y377" i="25" s="1"/>
  <c r="G377" i="25"/>
  <c r="CF377" i="6" s="1"/>
  <c r="I153" i="24"/>
  <c r="H153" i="25" s="1"/>
  <c r="J153" i="24"/>
  <c r="I166" i="23"/>
  <c r="H166" i="24" s="1"/>
  <c r="J166" i="23"/>
  <c r="I354" i="23"/>
  <c r="H354" i="24" s="1"/>
  <c r="J354" i="23"/>
  <c r="J17" i="23"/>
  <c r="I17" i="23"/>
  <c r="H17" i="24" s="1"/>
  <c r="J95" i="23"/>
  <c r="I95" i="23"/>
  <c r="H95" i="24" s="1"/>
  <c r="J253" i="23"/>
  <c r="I253" i="23"/>
  <c r="H253" i="24" s="1"/>
  <c r="AA268" i="25"/>
  <c r="Z268" i="25" s="1"/>
  <c r="Y268" i="25" s="1"/>
  <c r="G268" i="25"/>
  <c r="CF268" i="6" s="1"/>
  <c r="G328" i="25"/>
  <c r="CF328" i="6" s="1"/>
  <c r="AA328" i="25"/>
  <c r="Z328" i="25" s="1"/>
  <c r="Y328" i="25" s="1"/>
  <c r="AA45" i="25"/>
  <c r="Z45" i="25" s="1"/>
  <c r="Y45" i="25" s="1"/>
  <c r="G45" i="25"/>
  <c r="CF45" i="6" s="1"/>
  <c r="G269" i="25"/>
  <c r="CF269" i="6" s="1"/>
  <c r="AA269" i="25"/>
  <c r="Z269" i="25" s="1"/>
  <c r="Y269" i="25" s="1"/>
  <c r="AA266" i="25"/>
  <c r="Z266" i="25" s="1"/>
  <c r="Y266" i="25" s="1"/>
  <c r="G266" i="25"/>
  <c r="CF266" i="6" s="1"/>
  <c r="I191" i="23"/>
  <c r="H191" i="24" s="1"/>
  <c r="J191" i="23"/>
  <c r="J219" i="23"/>
  <c r="I219" i="23"/>
  <c r="H219" i="24" s="1"/>
  <c r="J275" i="23"/>
  <c r="I275" i="23"/>
  <c r="H275" i="24" s="1"/>
  <c r="G259" i="25"/>
  <c r="CF259" i="6" s="1"/>
  <c r="AA259" i="25"/>
  <c r="Z259" i="25" s="1"/>
  <c r="Y259" i="25" s="1"/>
  <c r="AA341" i="25"/>
  <c r="Z341" i="25" s="1"/>
  <c r="Y341" i="25" s="1"/>
  <c r="G341" i="25"/>
  <c r="CF341" i="6" s="1"/>
  <c r="J324" i="23"/>
  <c r="I324" i="23"/>
  <c r="H324" i="24" s="1"/>
  <c r="I109" i="23"/>
  <c r="H109" i="24" s="1"/>
  <c r="J109" i="23"/>
  <c r="I199" i="23"/>
  <c r="H199" i="24" s="1"/>
  <c r="J199" i="23"/>
  <c r="J297" i="23"/>
  <c r="I297" i="23"/>
  <c r="H297" i="24" s="1"/>
  <c r="I345" i="23"/>
  <c r="H345" i="24" s="1"/>
  <c r="J345" i="23"/>
  <c r="J162" i="23"/>
  <c r="I162" i="23"/>
  <c r="H162" i="24" s="1"/>
  <c r="J240" i="23"/>
  <c r="I240" i="23"/>
  <c r="H240" i="24" s="1"/>
  <c r="J15" i="19"/>
  <c r="AA11" i="18"/>
  <c r="AA5" i="18" s="1"/>
  <c r="I145" i="24"/>
  <c r="H145" i="25" s="1"/>
  <c r="J233" i="24"/>
  <c r="I233" i="24"/>
  <c r="H233" i="25" s="1"/>
  <c r="I193" i="24"/>
  <c r="H193" i="25" s="1"/>
  <c r="J193" i="24"/>
  <c r="G96" i="25"/>
  <c r="CF96" i="6" s="1"/>
  <c r="AA96" i="25"/>
  <c r="Z96" i="25" s="1"/>
  <c r="Y96" i="25" s="1"/>
  <c r="I78" i="23"/>
  <c r="H78" i="24" s="1"/>
  <c r="J78" i="23"/>
  <c r="I182" i="23"/>
  <c r="H182" i="24" s="1"/>
  <c r="J182" i="23"/>
  <c r="J62" i="23"/>
  <c r="I62" i="23"/>
  <c r="H62" i="24" s="1"/>
  <c r="I81" i="23"/>
  <c r="H81" i="24" s="1"/>
  <c r="J81" i="23"/>
  <c r="I295" i="23"/>
  <c r="H295" i="24" s="1"/>
  <c r="J295" i="23"/>
  <c r="J158" i="24"/>
  <c r="I158" i="24"/>
  <c r="H158" i="25" s="1"/>
  <c r="G358" i="25"/>
  <c r="CF358" i="6" s="1"/>
  <c r="AA358" i="25"/>
  <c r="Z358" i="25" s="1"/>
  <c r="Y358" i="25" s="1"/>
  <c r="G299" i="25"/>
  <c r="CF299" i="6" s="1"/>
  <c r="AA299" i="25"/>
  <c r="Z299" i="25" s="1"/>
  <c r="Y299" i="25" s="1"/>
  <c r="G353" i="25"/>
  <c r="CF353" i="6" s="1"/>
  <c r="AA353" i="25"/>
  <c r="Z353" i="25" s="1"/>
  <c r="Y353" i="25" s="1"/>
  <c r="AA331" i="25"/>
  <c r="Z331" i="25" s="1"/>
  <c r="Y331" i="25" s="1"/>
  <c r="G331" i="25"/>
  <c r="CF331" i="6" s="1"/>
  <c r="I350" i="24"/>
  <c r="H350" i="25" s="1"/>
  <c r="J350" i="24"/>
  <c r="AA57" i="25"/>
  <c r="Z57" i="25" s="1"/>
  <c r="Y57" i="25" s="1"/>
  <c r="G57" i="25"/>
  <c r="CF57" i="6" s="1"/>
  <c r="I57" i="24"/>
  <c r="H57" i="25" s="1"/>
  <c r="J57" i="24"/>
  <c r="I129" i="24"/>
  <c r="H129" i="25" s="1"/>
  <c r="J129" i="24"/>
  <c r="J239" i="24"/>
  <c r="I239" i="24"/>
  <c r="H239" i="25" s="1"/>
  <c r="J82" i="24"/>
  <c r="I82" i="24"/>
  <c r="H82" i="25" s="1"/>
  <c r="I65" i="23"/>
  <c r="H65" i="24" s="1"/>
  <c r="J65" i="23"/>
  <c r="I325" i="23"/>
  <c r="H325" i="24" s="1"/>
  <c r="J325" i="23"/>
  <c r="I101" i="23"/>
  <c r="H101" i="24" s="1"/>
  <c r="J101" i="23"/>
  <c r="I372" i="23"/>
  <c r="H372" i="24" s="1"/>
  <c r="J372" i="23"/>
  <c r="I241" i="23"/>
  <c r="H241" i="24" s="1"/>
  <c r="J241" i="23"/>
  <c r="J146" i="23"/>
  <c r="I146" i="23"/>
  <c r="H146" i="24" s="1"/>
  <c r="I316" i="23"/>
  <c r="H316" i="24" s="1"/>
  <c r="J316" i="23"/>
  <c r="J258" i="24"/>
  <c r="I258" i="24"/>
  <c r="H258" i="25" s="1"/>
  <c r="J34" i="23"/>
  <c r="I34" i="23"/>
  <c r="H34" i="24" s="1"/>
  <c r="I108" i="23"/>
  <c r="H108" i="24" s="1"/>
  <c r="J108" i="23"/>
  <c r="I142" i="23"/>
  <c r="H142" i="24" s="1"/>
  <c r="J142" i="23"/>
  <c r="J192" i="23"/>
  <c r="I192" i="23"/>
  <c r="H192" i="24" s="1"/>
  <c r="J326" i="23"/>
  <c r="I326" i="23"/>
  <c r="H326" i="24" s="1"/>
  <c r="I284" i="23"/>
  <c r="H284" i="24" s="1"/>
  <c r="J284" i="23"/>
  <c r="I287" i="23"/>
  <c r="H287" i="24" s="1"/>
  <c r="J287" i="23"/>
  <c r="I273" i="23"/>
  <c r="H273" i="24" s="1"/>
  <c r="J273" i="23"/>
  <c r="I265" i="23"/>
  <c r="H265" i="24" s="1"/>
  <c r="J265" i="23"/>
  <c r="J37" i="23"/>
  <c r="I37" i="23"/>
  <c r="H37" i="24" s="1"/>
  <c r="J185" i="23"/>
  <c r="I185" i="23"/>
  <c r="H185" i="24" s="1"/>
  <c r="J70" i="24"/>
  <c r="I70" i="24"/>
  <c r="H70" i="25" s="1"/>
  <c r="I274" i="24"/>
  <c r="H274" i="25" s="1"/>
  <c r="J274" i="24"/>
  <c r="J352" i="24"/>
  <c r="I352" i="24"/>
  <c r="H352" i="25" s="1"/>
  <c r="J296" i="24"/>
  <c r="I296" i="24"/>
  <c r="H296" i="25" s="1"/>
  <c r="J39" i="24"/>
  <c r="I39" i="24"/>
  <c r="H39" i="25" s="1"/>
  <c r="J245" i="23"/>
  <c r="I245" i="23"/>
  <c r="H245" i="24" s="1"/>
  <c r="G292" i="25"/>
  <c r="CF292" i="6" s="1"/>
  <c r="AA292" i="25"/>
  <c r="Z292" i="25" s="1"/>
  <c r="Y292" i="25" s="1"/>
  <c r="G103" i="25"/>
  <c r="CF103" i="6" s="1"/>
  <c r="AA103" i="25"/>
  <c r="Z103" i="25" s="1"/>
  <c r="Y103" i="25" s="1"/>
  <c r="J251" i="24"/>
  <c r="I251" i="24"/>
  <c r="H251" i="25" s="1"/>
  <c r="AA196" i="25"/>
  <c r="Z196" i="25" s="1"/>
  <c r="Y196" i="25" s="1"/>
  <c r="G196" i="25"/>
  <c r="CF196" i="6" s="1"/>
  <c r="I147" i="23"/>
  <c r="H147" i="24" s="1"/>
  <c r="J147" i="23"/>
  <c r="I24" i="23"/>
  <c r="H24" i="24" s="1"/>
  <c r="J24" i="23"/>
  <c r="J356" i="23"/>
  <c r="I356" i="23"/>
  <c r="H356" i="24" s="1"/>
  <c r="J73" i="23"/>
  <c r="I73" i="23"/>
  <c r="H73" i="24" s="1"/>
  <c r="G179" i="25"/>
  <c r="CF179" i="6" s="1"/>
  <c r="AA179" i="25"/>
  <c r="Z179" i="25" s="1"/>
  <c r="Y179" i="25" s="1"/>
  <c r="I118" i="24"/>
  <c r="H118" i="25" s="1"/>
  <c r="J118" i="24"/>
  <c r="I80" i="23"/>
  <c r="H80" i="24" s="1"/>
  <c r="J80" i="23"/>
  <c r="I139" i="23"/>
  <c r="H139" i="24" s="1"/>
  <c r="J139" i="23"/>
  <c r="J48" i="24"/>
  <c r="I48" i="24"/>
  <c r="H48" i="25" s="1"/>
  <c r="I234" i="24"/>
  <c r="H234" i="25" s="1"/>
  <c r="J234" i="24"/>
  <c r="I180" i="23"/>
  <c r="H180" i="24" s="1"/>
  <c r="J180" i="23"/>
  <c r="J74" i="23"/>
  <c r="I74" i="23"/>
  <c r="H74" i="24" s="1"/>
  <c r="I335" i="23"/>
  <c r="H335" i="24" s="1"/>
  <c r="J335" i="23"/>
  <c r="I94" i="23"/>
  <c r="H94" i="24" s="1"/>
  <c r="J94" i="23"/>
  <c r="I53" i="23"/>
  <c r="H53" i="24" s="1"/>
  <c r="J53" i="23"/>
  <c r="I300" i="23"/>
  <c r="H300" i="24" s="1"/>
  <c r="J300" i="23"/>
  <c r="J244" i="23"/>
  <c r="I244" i="23"/>
  <c r="H244" i="24" s="1"/>
  <c r="G293" i="25"/>
  <c r="CF293" i="6" s="1"/>
  <c r="AA293" i="25"/>
  <c r="Z293" i="25" s="1"/>
  <c r="Y293" i="25" s="1"/>
  <c r="G86" i="25"/>
  <c r="CF86" i="6" s="1"/>
  <c r="AA86" i="25"/>
  <c r="Z86" i="25" s="1"/>
  <c r="Y86" i="25" s="1"/>
  <c r="I77" i="23"/>
  <c r="H77" i="24" s="1"/>
  <c r="J77" i="23"/>
  <c r="J112" i="24"/>
  <c r="I112" i="24"/>
  <c r="H112" i="25" s="1"/>
  <c r="G218" i="25"/>
  <c r="CF218" i="6" s="1"/>
  <c r="AA218" i="25"/>
  <c r="Z218" i="25" s="1"/>
  <c r="Y218" i="25" s="1"/>
  <c r="G107" i="25"/>
  <c r="CF107" i="6" s="1"/>
  <c r="AA107" i="25"/>
  <c r="Z107" i="25" s="1"/>
  <c r="Y107" i="25" s="1"/>
  <c r="J266" i="23"/>
  <c r="I266" i="23"/>
  <c r="H266" i="24" s="1"/>
  <c r="G212" i="25"/>
  <c r="CF212" i="6" s="1"/>
  <c r="AA212" i="25"/>
  <c r="Z212" i="25" s="1"/>
  <c r="Y212" i="25" s="1"/>
  <c r="J212" i="24"/>
  <c r="I212" i="24"/>
  <c r="H212" i="25" s="1"/>
  <c r="I43" i="23"/>
  <c r="H43" i="24" s="1"/>
  <c r="J43" i="23"/>
  <c r="I110" i="23"/>
  <c r="H110" i="24" s="1"/>
  <c r="J110" i="23"/>
  <c r="AA327" i="25"/>
  <c r="Z327" i="25" s="1"/>
  <c r="Y327" i="25" s="1"/>
  <c r="G327" i="25"/>
  <c r="CF327" i="6" s="1"/>
  <c r="Z381" i="22"/>
  <c r="Z383" i="22"/>
  <c r="Z382" i="22"/>
  <c r="Y15" i="22"/>
  <c r="AL5" i="22" s="1"/>
  <c r="AL11" i="22" s="1"/>
  <c r="AJ3" i="22" s="1"/>
  <c r="O17" i="19" s="1"/>
  <c r="AL8" i="22"/>
  <c r="Z9" i="22"/>
  <c r="I164" i="23"/>
  <c r="H164" i="24" s="1"/>
  <c r="J164" i="23"/>
  <c r="AA313" i="25"/>
  <c r="Z313" i="25" s="1"/>
  <c r="Y313" i="25" s="1"/>
  <c r="G313" i="25"/>
  <c r="CF313" i="6" s="1"/>
  <c r="G224" i="25"/>
  <c r="CF224" i="6" s="1"/>
  <c r="AA224" i="25"/>
  <c r="Z224" i="25" s="1"/>
  <c r="Y224" i="25" s="1"/>
  <c r="AA207" i="25"/>
  <c r="Z207" i="25" s="1"/>
  <c r="Y207" i="25" s="1"/>
  <c r="G207" i="25"/>
  <c r="CF207" i="6" s="1"/>
  <c r="I306" i="24"/>
  <c r="H306" i="25" s="1"/>
  <c r="J306" i="24"/>
  <c r="I229" i="24"/>
  <c r="H229" i="25" s="1"/>
  <c r="J229" i="24"/>
  <c r="G100" i="25"/>
  <c r="CF100" i="6" s="1"/>
  <c r="AA100" i="25"/>
  <c r="Z100" i="25" s="1"/>
  <c r="Y100" i="25" s="1"/>
  <c r="J174" i="24"/>
  <c r="I174" i="24"/>
  <c r="H174" i="25" s="1"/>
  <c r="AA113" i="25"/>
  <c r="Z113" i="25" s="1"/>
  <c r="Y113" i="25" s="1"/>
  <c r="G113" i="25"/>
  <c r="CF113" i="6" s="1"/>
  <c r="G213" i="25"/>
  <c r="CF213" i="6" s="1"/>
  <c r="AA213" i="25"/>
  <c r="Z213" i="25" s="1"/>
  <c r="Y213" i="25" s="1"/>
  <c r="G351" i="25"/>
  <c r="CF351" i="6" s="1"/>
  <c r="AA351" i="25"/>
  <c r="Z351" i="25" s="1"/>
  <c r="Y351" i="25" s="1"/>
  <c r="J288" i="23"/>
  <c r="I288" i="23"/>
  <c r="H288" i="24" s="1"/>
  <c r="J360" i="23"/>
  <c r="I360" i="23"/>
  <c r="H360" i="24" s="1"/>
  <c r="J58" i="23"/>
  <c r="I58" i="23"/>
  <c r="H58" i="24" s="1"/>
  <c r="J170" i="23"/>
  <c r="I170" i="23"/>
  <c r="H170" i="24" s="1"/>
  <c r="G279" i="25"/>
  <c r="CF279" i="6" s="1"/>
  <c r="AA279" i="25"/>
  <c r="Z279" i="25" s="1"/>
  <c r="Y279" i="25" s="1"/>
  <c r="I305" i="24"/>
  <c r="H305" i="25" s="1"/>
  <c r="J305" i="24"/>
  <c r="G52" i="25"/>
  <c r="CF52" i="6" s="1"/>
  <c r="AA52" i="25"/>
  <c r="Z52" i="25" s="1"/>
  <c r="Y52" i="25" s="1"/>
  <c r="I381" i="18"/>
  <c r="I382" i="18"/>
  <c r="I383" i="18"/>
  <c r="H15" i="20"/>
  <c r="J14" i="19"/>
  <c r="AA11" i="17"/>
  <c r="AA5" i="17" s="1"/>
  <c r="I177" i="23"/>
  <c r="H177" i="24" s="1"/>
  <c r="J177" i="23"/>
  <c r="I369" i="23"/>
  <c r="H369" i="24" s="1"/>
  <c r="J369" i="23"/>
  <c r="J56" i="23"/>
  <c r="I56" i="23"/>
  <c r="H56" i="24" s="1"/>
  <c r="I176" i="23"/>
  <c r="H176" i="24" s="1"/>
  <c r="J176" i="23"/>
  <c r="J336" i="23"/>
  <c r="I336" i="23"/>
  <c r="H336" i="24" s="1"/>
  <c r="G23" i="25"/>
  <c r="CF23" i="6" s="1"/>
  <c r="AA23" i="25"/>
  <c r="Z23" i="25" s="1"/>
  <c r="Y23" i="25" s="1"/>
  <c r="J172" i="23"/>
  <c r="I172" i="23"/>
  <c r="H172" i="24" s="1"/>
  <c r="G186" i="25"/>
  <c r="CF186" i="6" s="1"/>
  <c r="AA186" i="25"/>
  <c r="Z186" i="25" s="1"/>
  <c r="Y186" i="25" s="1"/>
  <c r="G170" i="25"/>
  <c r="CF170" i="6" s="1"/>
  <c r="AA170" i="25"/>
  <c r="Z170" i="25" s="1"/>
  <c r="Y170" i="25" s="1"/>
  <c r="J25" i="23"/>
  <c r="I25" i="23"/>
  <c r="H25" i="24" s="1"/>
  <c r="I18" i="23"/>
  <c r="H18" i="24" s="1"/>
  <c r="J18" i="23"/>
  <c r="J344" i="23"/>
  <c r="I344" i="23"/>
  <c r="H344" i="24" s="1"/>
  <c r="J51" i="23"/>
  <c r="I51" i="23"/>
  <c r="H51" i="24" s="1"/>
  <c r="J121" i="23"/>
  <c r="I121" i="23"/>
  <c r="H121" i="24" s="1"/>
  <c r="J156" i="23"/>
  <c r="I156" i="23"/>
  <c r="H156" i="24" s="1"/>
  <c r="Z11" i="18"/>
  <c r="Z5" i="18" s="1"/>
  <c r="AA145" i="25"/>
  <c r="Z145" i="25" s="1"/>
  <c r="Y145" i="25" s="1"/>
  <c r="G145" i="25"/>
  <c r="CF145" i="6" s="1"/>
  <c r="AA233" i="25"/>
  <c r="Z233" i="25" s="1"/>
  <c r="Y233" i="25" s="1"/>
  <c r="G233" i="25"/>
  <c r="CF233" i="6" s="1"/>
  <c r="G193" i="25"/>
  <c r="CF193" i="6" s="1"/>
  <c r="AA193" i="25"/>
  <c r="Z193" i="25" s="1"/>
  <c r="Y193" i="25" s="1"/>
  <c r="G27" i="25"/>
  <c r="CF27" i="6" s="1"/>
  <c r="AA27" i="25"/>
  <c r="Z27" i="25" s="1"/>
  <c r="Y27" i="25" s="1"/>
  <c r="J69" i="23"/>
  <c r="I69" i="23"/>
  <c r="H69" i="24" s="1"/>
  <c r="I221" i="23"/>
  <c r="H221" i="24" s="1"/>
  <c r="J221" i="23"/>
  <c r="I28" i="23"/>
  <c r="H28" i="24" s="1"/>
  <c r="J28" i="23"/>
  <c r="J138" i="23"/>
  <c r="I138" i="23"/>
  <c r="H138" i="24" s="1"/>
  <c r="I198" i="23"/>
  <c r="H198" i="24" s="1"/>
  <c r="J198" i="23"/>
  <c r="I214" i="23"/>
  <c r="H214" i="24" s="1"/>
  <c r="J214" i="23"/>
  <c r="I264" i="23"/>
  <c r="H264" i="24" s="1"/>
  <c r="J264" i="23"/>
  <c r="I98" i="23"/>
  <c r="H98" i="24" s="1"/>
  <c r="J98" i="23"/>
  <c r="G141" i="25"/>
  <c r="CF141" i="6" s="1"/>
  <c r="AA141" i="25"/>
  <c r="Z141" i="25" s="1"/>
  <c r="Y141" i="25" s="1"/>
  <c r="G211" i="25"/>
  <c r="CF211" i="6" s="1"/>
  <c r="AA211" i="25"/>
  <c r="Z211" i="25" s="1"/>
  <c r="Y211" i="25" s="1"/>
  <c r="I211" i="24"/>
  <c r="H211" i="25" s="1"/>
  <c r="J211" i="24"/>
  <c r="I281" i="23"/>
  <c r="H281" i="24" s="1"/>
  <c r="J281" i="23"/>
  <c r="AA123" i="25"/>
  <c r="Z123" i="25" s="1"/>
  <c r="Y123" i="25" s="1"/>
  <c r="G123" i="25"/>
  <c r="CF123" i="6" s="1"/>
  <c r="G215" i="25"/>
  <c r="CF215" i="6" s="1"/>
  <c r="AA215" i="25"/>
  <c r="Z215" i="25" s="1"/>
  <c r="Y215" i="25" s="1"/>
  <c r="J371" i="24"/>
  <c r="I371" i="24"/>
  <c r="H371" i="25" s="1"/>
  <c r="AA32" i="25"/>
  <c r="Z32" i="25" s="1"/>
  <c r="Y32" i="25" s="1"/>
  <c r="G32" i="25"/>
  <c r="CF32" i="6" s="1"/>
  <c r="J32" i="24"/>
  <c r="I32" i="24"/>
  <c r="H32" i="25" s="1"/>
  <c r="G350" i="25"/>
  <c r="CF350" i="6" s="1"/>
  <c r="AA350" i="25"/>
  <c r="Z350" i="25" s="1"/>
  <c r="Y350" i="25" s="1"/>
  <c r="G129" i="25"/>
  <c r="CF129" i="6" s="1"/>
  <c r="AA129" i="25"/>
  <c r="Z129" i="25" s="1"/>
  <c r="Y129" i="25" s="1"/>
  <c r="G239" i="25"/>
  <c r="CF239" i="6" s="1"/>
  <c r="AA239" i="25"/>
  <c r="Z239" i="25" s="1"/>
  <c r="Y239" i="25" s="1"/>
  <c r="G82" i="25"/>
  <c r="CF82" i="6" s="1"/>
  <c r="AA82" i="25"/>
  <c r="Z82" i="25" s="1"/>
  <c r="Y82" i="25" s="1"/>
  <c r="J83" i="23"/>
  <c r="I83" i="23"/>
  <c r="H83" i="24" s="1"/>
  <c r="I75" i="23"/>
  <c r="H75" i="24" s="1"/>
  <c r="J75" i="23"/>
  <c r="I99" i="23"/>
  <c r="H99" i="24" s="1"/>
  <c r="J99" i="23"/>
  <c r="I367" i="23"/>
  <c r="H367" i="24" s="1"/>
  <c r="J367" i="23"/>
  <c r="I169" i="23"/>
  <c r="H169" i="24" s="1"/>
  <c r="J169" i="23"/>
  <c r="J189" i="23"/>
  <c r="I189" i="23"/>
  <c r="H189" i="24" s="1"/>
  <c r="J347" i="23"/>
  <c r="I347" i="23"/>
  <c r="H347" i="24" s="1"/>
  <c r="AA258" i="25"/>
  <c r="Z258" i="25" s="1"/>
  <c r="Y258" i="25" s="1"/>
  <c r="G258" i="25"/>
  <c r="CF258" i="6" s="1"/>
  <c r="I60" i="23"/>
  <c r="H60" i="24" s="1"/>
  <c r="J60" i="23"/>
  <c r="J194" i="23"/>
  <c r="I194" i="23"/>
  <c r="H194" i="24" s="1"/>
  <c r="I255" i="23"/>
  <c r="H255" i="24" s="1"/>
  <c r="J255" i="23"/>
  <c r="I361" i="23"/>
  <c r="H361" i="24" s="1"/>
  <c r="J361" i="23"/>
  <c r="J257" i="23"/>
  <c r="I257" i="23"/>
  <c r="H257" i="24" s="1"/>
  <c r="E382" i="25"/>
  <c r="E383" i="25"/>
  <c r="AJ10" i="25"/>
  <c r="E381" i="25"/>
  <c r="AK8" i="25"/>
  <c r="F15" i="25"/>
  <c r="E9" i="25"/>
  <c r="D382" i="25"/>
  <c r="D381" i="25"/>
  <c r="J271" i="23"/>
  <c r="I271" i="23"/>
  <c r="H271" i="24" s="1"/>
  <c r="G144" i="25"/>
  <c r="CF144" i="6" s="1"/>
  <c r="AA144" i="25"/>
  <c r="Z144" i="25" s="1"/>
  <c r="Y144" i="25" s="1"/>
  <c r="G39" i="25"/>
  <c r="CF39" i="6" s="1"/>
  <c r="AA39" i="25"/>
  <c r="Z39" i="25" s="1"/>
  <c r="Y39" i="25" s="1"/>
  <c r="G151" i="25"/>
  <c r="CF151" i="6" s="1"/>
  <c r="AA151" i="25"/>
  <c r="Z151" i="25" s="1"/>
  <c r="Y151" i="25" s="1"/>
  <c r="I373" i="23"/>
  <c r="H373" i="24" s="1"/>
  <c r="J373" i="23"/>
  <c r="G184" i="25"/>
  <c r="CF184" i="6" s="1"/>
  <c r="AA184" i="25"/>
  <c r="Z184" i="25" s="1"/>
  <c r="Y184" i="25" s="1"/>
  <c r="I292" i="24"/>
  <c r="H292" i="25" s="1"/>
  <c r="J292" i="24"/>
  <c r="G222" i="25"/>
  <c r="CF222" i="6" s="1"/>
  <c r="AA222" i="25"/>
  <c r="Z222" i="25" s="1"/>
  <c r="Y222" i="25" s="1"/>
  <c r="AA252" i="25"/>
  <c r="Z252" i="25" s="1"/>
  <c r="Y252" i="25" s="1"/>
  <c r="G252" i="25"/>
  <c r="CF252" i="6" s="1"/>
  <c r="I103" i="24"/>
  <c r="H103" i="25" s="1"/>
  <c r="J103" i="24"/>
  <c r="I79" i="23"/>
  <c r="H79" i="24" s="1"/>
  <c r="J79" i="23"/>
  <c r="J259" i="23"/>
  <c r="I259" i="23"/>
  <c r="H259" i="24" s="1"/>
  <c r="I370" i="23"/>
  <c r="H370" i="24" s="1"/>
  <c r="J370" i="23"/>
  <c r="J90" i="23"/>
  <c r="I90" i="23"/>
  <c r="H90" i="24" s="1"/>
  <c r="J311" i="23"/>
  <c r="I311" i="23"/>
  <c r="H311" i="24" s="1"/>
  <c r="J332" i="23"/>
  <c r="I332" i="23"/>
  <c r="H332" i="24" s="1"/>
  <c r="I76" i="23"/>
  <c r="H76" i="24" s="1"/>
  <c r="J76" i="23"/>
  <c r="J232" i="23"/>
  <c r="I232" i="23"/>
  <c r="H232" i="24" s="1"/>
  <c r="I46" i="23"/>
  <c r="H46" i="24" s="1"/>
  <c r="J46" i="23"/>
  <c r="G257" i="25"/>
  <c r="CF257" i="6" s="1"/>
  <c r="AA257" i="25"/>
  <c r="Z257" i="25" s="1"/>
  <c r="Y257" i="25" s="1"/>
  <c r="I92" i="24"/>
  <c r="H92" i="25" s="1"/>
  <c r="J92" i="24"/>
  <c r="G118" i="25"/>
  <c r="CF118" i="6" s="1"/>
  <c r="AA118" i="25"/>
  <c r="Z118" i="25" s="1"/>
  <c r="Y118" i="25" s="1"/>
  <c r="G230" i="25"/>
  <c r="CF230" i="6" s="1"/>
  <c r="AA230" i="25"/>
  <c r="Z230" i="25" s="1"/>
  <c r="Y230" i="25" s="1"/>
  <c r="J71" i="24"/>
  <c r="I71" i="24"/>
  <c r="H71" i="25" s="1"/>
  <c r="I249" i="23"/>
  <c r="H249" i="24" s="1"/>
  <c r="J249" i="23"/>
  <c r="J323" i="23"/>
  <c r="I323" i="23"/>
  <c r="H323" i="24" s="1"/>
  <c r="J88" i="23"/>
  <c r="I88" i="23"/>
  <c r="H88" i="24" s="1"/>
  <c r="I303" i="23"/>
  <c r="H303" i="24" s="1"/>
  <c r="J303" i="23"/>
  <c r="J61" i="23"/>
  <c r="I61" i="23"/>
  <c r="H61" i="24" s="1"/>
  <c r="J119" i="23"/>
  <c r="I119" i="23"/>
  <c r="H119" i="24" s="1"/>
  <c r="J105" i="23"/>
  <c r="I105" i="23"/>
  <c r="H105" i="24" s="1"/>
  <c r="J368" i="23"/>
  <c r="I368" i="23"/>
  <c r="H368" i="24" s="1"/>
  <c r="J114" i="23"/>
  <c r="I114" i="23"/>
  <c r="H114" i="24" s="1"/>
  <c r="I310" i="23"/>
  <c r="H310" i="24" s="1"/>
  <c r="J310" i="23"/>
  <c r="G18" i="19"/>
  <c r="J42" i="19" s="1"/>
  <c r="AB9" i="23"/>
  <c r="F11" i="23"/>
  <c r="G42" i="19" s="1"/>
  <c r="J363" i="23"/>
  <c r="I363" i="23"/>
  <c r="H363" i="24" s="1"/>
  <c r="I27" i="23"/>
  <c r="H27" i="24" s="1"/>
  <c r="J27" i="23"/>
  <c r="J319" i="23"/>
  <c r="I319" i="23"/>
  <c r="H319" i="24" s="1"/>
  <c r="I210" i="23"/>
  <c r="H210" i="24" s="1"/>
  <c r="J210" i="23"/>
  <c r="J42" i="23"/>
  <c r="I42" i="23"/>
  <c r="H42" i="24" s="1"/>
  <c r="I84" i="23"/>
  <c r="H84" i="24" s="1"/>
  <c r="J84" i="23"/>
  <c r="I220" i="23"/>
  <c r="H220" i="24" s="1"/>
  <c r="J220" i="23"/>
  <c r="J260" i="23"/>
  <c r="I260" i="23"/>
  <c r="H260" i="24" s="1"/>
  <c r="G285" i="25"/>
  <c r="CF285" i="6" s="1"/>
  <c r="AA285" i="25"/>
  <c r="Z285" i="25" s="1"/>
  <c r="Y285" i="25" s="1"/>
  <c r="G34" i="25"/>
  <c r="CF34" i="6" s="1"/>
  <c r="AA34" i="25"/>
  <c r="Z34" i="25" s="1"/>
  <c r="Y34" i="25" s="1"/>
  <c r="J226" i="23"/>
  <c r="I226" i="23"/>
  <c r="H226" i="24" s="1"/>
  <c r="I22" i="23"/>
  <c r="H22" i="24" s="1"/>
  <c r="J22" i="23"/>
  <c r="G175" i="25"/>
  <c r="CF175" i="6" s="1"/>
  <c r="AA175" i="25"/>
  <c r="Z175" i="25" s="1"/>
  <c r="Y175" i="25" s="1"/>
  <c r="G181" i="25"/>
  <c r="CF181" i="6" s="1"/>
  <c r="AA181" i="25"/>
  <c r="Z181" i="25" s="1"/>
  <c r="Y181" i="25" s="1"/>
  <c r="G231" i="25"/>
  <c r="CF231" i="6" s="1"/>
  <c r="AA231" i="25"/>
  <c r="Z231" i="25" s="1"/>
  <c r="Y231" i="25" s="1"/>
  <c r="G306" i="25"/>
  <c r="CF306" i="6" s="1"/>
  <c r="AA306" i="25"/>
  <c r="Z306" i="25" s="1"/>
  <c r="Y306" i="25" s="1"/>
  <c r="AA229" i="25"/>
  <c r="Z229" i="25" s="1"/>
  <c r="Y229" i="25" s="1"/>
  <c r="G229" i="25"/>
  <c r="CF229" i="6" s="1"/>
  <c r="I304" i="23"/>
  <c r="H304" i="24" s="1"/>
  <c r="J304" i="23"/>
  <c r="I115" i="23"/>
  <c r="H115" i="24" s="1"/>
  <c r="J115" i="23"/>
  <c r="AL6" i="20"/>
  <c r="AL12" i="20" s="1"/>
  <c r="AM6" i="20"/>
  <c r="AM12" i="20" s="1"/>
  <c r="Y382" i="20"/>
  <c r="Y383" i="20"/>
  <c r="Y381" i="20"/>
  <c r="X9" i="20"/>
  <c r="J31" i="24"/>
  <c r="I31" i="24"/>
  <c r="H31" i="25" s="1"/>
  <c r="I359" i="23"/>
  <c r="H359" i="24" s="1"/>
  <c r="J359" i="23"/>
  <c r="I256" i="24"/>
  <c r="H256" i="25" s="1"/>
  <c r="J256" i="24"/>
  <c r="AA165" i="25"/>
  <c r="Z165" i="25" s="1"/>
  <c r="Y165" i="25" s="1"/>
  <c r="G165" i="25"/>
  <c r="CF165" i="6" s="1"/>
  <c r="I68" i="24"/>
  <c r="H68" i="25" s="1"/>
  <c r="J68" i="24"/>
  <c r="G366" i="25"/>
  <c r="CF366" i="6" s="1"/>
  <c r="AA366" i="25"/>
  <c r="Z366" i="25" s="1"/>
  <c r="Y366" i="25" s="1"/>
  <c r="G204" i="25"/>
  <c r="CF204" i="6" s="1"/>
  <c r="AA204" i="25"/>
  <c r="Z204" i="25" s="1"/>
  <c r="Y204" i="25" s="1"/>
  <c r="Y11" i="17"/>
  <c r="I111" i="23"/>
  <c r="H111" i="24" s="1"/>
  <c r="J111" i="23"/>
  <c r="J278" i="23"/>
  <c r="I278" i="23"/>
  <c r="H278" i="24" s="1"/>
  <c r="I128" i="23"/>
  <c r="H128" i="24" s="1"/>
  <c r="J128" i="23"/>
  <c r="J308" i="23"/>
  <c r="I308" i="23"/>
  <c r="H308" i="24" s="1"/>
  <c r="I23" i="24"/>
  <c r="H23" i="25" s="1"/>
  <c r="J23" i="24"/>
  <c r="G126" i="25"/>
  <c r="CF126" i="6" s="1"/>
  <c r="AA126" i="25"/>
  <c r="Z126" i="25" s="1"/>
  <c r="Y126" i="25" s="1"/>
  <c r="J122" i="23"/>
  <c r="I122" i="23"/>
  <c r="H122" i="24" s="1"/>
  <c r="AA50" i="25"/>
  <c r="Z50" i="25" s="1"/>
  <c r="Y50" i="25" s="1"/>
  <c r="G50" i="25"/>
  <c r="CF50" i="6" s="1"/>
  <c r="AJ13" i="24" l="1"/>
  <c r="I144" i="24"/>
  <c r="H144" i="25" s="1"/>
  <c r="I144" i="25" s="1"/>
  <c r="I282" i="24"/>
  <c r="H282" i="25" s="1"/>
  <c r="J282" i="25" s="1"/>
  <c r="B9" i="19"/>
  <c r="I250" i="24"/>
  <c r="H250" i="25" s="1"/>
  <c r="J250" i="25" s="1"/>
  <c r="J235" i="24"/>
  <c r="J235" i="25" s="1"/>
  <c r="I45" i="24"/>
  <c r="H45" i="25" s="1"/>
  <c r="J45" i="25" s="1"/>
  <c r="I126" i="24"/>
  <c r="H126" i="25" s="1"/>
  <c r="J126" i="25" s="1"/>
  <c r="AJ11" i="25"/>
  <c r="E17" i="19"/>
  <c r="F16" i="19"/>
  <c r="I14" i="19"/>
  <c r="I38" i="19" s="1"/>
  <c r="I15" i="19"/>
  <c r="I39" i="19" s="1"/>
  <c r="C19" i="19"/>
  <c r="Y11" i="20"/>
  <c r="D18" i="19"/>
  <c r="H15" i="19"/>
  <c r="R14" i="19"/>
  <c r="N15" i="19" s="1"/>
  <c r="R15" i="19"/>
  <c r="P14" i="19"/>
  <c r="M15" i="19" s="1"/>
  <c r="P15" i="19"/>
  <c r="H14" i="19"/>
  <c r="J341" i="24"/>
  <c r="J341" i="25" s="1"/>
  <c r="I338" i="24"/>
  <c r="H338" i="25" s="1"/>
  <c r="I338" i="25" s="1"/>
  <c r="E11" i="25"/>
  <c r="F44" i="19" s="1"/>
  <c r="F33" i="19" s="1"/>
  <c r="AL13" i="20"/>
  <c r="AJ4" i="20"/>
  <c r="F17" i="19"/>
  <c r="AK4" i="20"/>
  <c r="AM13" i="20"/>
  <c r="AJ12" i="25"/>
  <c r="AJ13" i="25" s="1"/>
  <c r="J23" i="25"/>
  <c r="I23" i="25"/>
  <c r="J68" i="25"/>
  <c r="I68" i="25"/>
  <c r="I31" i="25"/>
  <c r="J31" i="25"/>
  <c r="I71" i="25"/>
  <c r="J71" i="25"/>
  <c r="I32" i="25"/>
  <c r="J32" i="25"/>
  <c r="I371" i="25"/>
  <c r="J371" i="25"/>
  <c r="J174" i="25"/>
  <c r="I174" i="25"/>
  <c r="J212" i="25"/>
  <c r="I212" i="25"/>
  <c r="I112" i="25"/>
  <c r="J112" i="25"/>
  <c r="J234" i="25"/>
  <c r="I234" i="25"/>
  <c r="I251" i="25"/>
  <c r="J251" i="25"/>
  <c r="J296" i="25"/>
  <c r="I296" i="25"/>
  <c r="I352" i="25"/>
  <c r="J352" i="25"/>
  <c r="J70" i="25"/>
  <c r="I70" i="25"/>
  <c r="J158" i="25"/>
  <c r="I158" i="25"/>
  <c r="J343" i="25"/>
  <c r="I343" i="25"/>
  <c r="J30" i="25"/>
  <c r="I30" i="25"/>
  <c r="I315" i="25"/>
  <c r="J315" i="25"/>
  <c r="I38" i="25"/>
  <c r="J38" i="25"/>
  <c r="I256" i="25"/>
  <c r="J256" i="25"/>
  <c r="I92" i="25"/>
  <c r="J92" i="25"/>
  <c r="I103" i="25"/>
  <c r="J103" i="25"/>
  <c r="J292" i="25"/>
  <c r="I292" i="25"/>
  <c r="I305" i="25"/>
  <c r="J305" i="25"/>
  <c r="J48" i="25"/>
  <c r="I48" i="25"/>
  <c r="I274" i="25"/>
  <c r="J274" i="25"/>
  <c r="J57" i="25"/>
  <c r="I57" i="25"/>
  <c r="I153" i="25"/>
  <c r="J153" i="25"/>
  <c r="I91" i="25"/>
  <c r="J91" i="25"/>
  <c r="I132" i="25"/>
  <c r="J132" i="25"/>
  <c r="J225" i="25"/>
  <c r="I225" i="25"/>
  <c r="I200" i="25"/>
  <c r="J200" i="25"/>
  <c r="I375" i="25"/>
  <c r="J375" i="25"/>
  <c r="I59" i="25"/>
  <c r="J59" i="25"/>
  <c r="J286" i="25"/>
  <c r="I286" i="25"/>
  <c r="J122" i="24"/>
  <c r="I122" i="24"/>
  <c r="H122" i="25" s="1"/>
  <c r="J128" i="24"/>
  <c r="I128" i="24"/>
  <c r="H128" i="25" s="1"/>
  <c r="I111" i="24"/>
  <c r="H111" i="25" s="1"/>
  <c r="J111" i="24"/>
  <c r="J204" i="25"/>
  <c r="I204" i="25"/>
  <c r="J165" i="25"/>
  <c r="I165" i="25"/>
  <c r="J359" i="24"/>
  <c r="I359" i="24"/>
  <c r="H359" i="25" s="1"/>
  <c r="J115" i="24"/>
  <c r="I115" i="24"/>
  <c r="H115" i="25" s="1"/>
  <c r="I304" i="24"/>
  <c r="H304" i="25" s="1"/>
  <c r="J304" i="24"/>
  <c r="J306" i="25"/>
  <c r="I306" i="25"/>
  <c r="I181" i="25"/>
  <c r="J181" i="25"/>
  <c r="I22" i="24"/>
  <c r="H22" i="25" s="1"/>
  <c r="J22" i="24"/>
  <c r="J285" i="25"/>
  <c r="I285" i="25"/>
  <c r="I220" i="24"/>
  <c r="H220" i="25" s="1"/>
  <c r="J220" i="24"/>
  <c r="J84" i="24"/>
  <c r="I84" i="24"/>
  <c r="H84" i="25" s="1"/>
  <c r="I210" i="24"/>
  <c r="H210" i="25" s="1"/>
  <c r="J210" i="24"/>
  <c r="I27" i="24"/>
  <c r="H27" i="25" s="1"/>
  <c r="J27" i="24"/>
  <c r="J114" i="24"/>
  <c r="I114" i="24"/>
  <c r="H114" i="25" s="1"/>
  <c r="I368" i="24"/>
  <c r="H368" i="25" s="1"/>
  <c r="J368" i="24"/>
  <c r="I105" i="24"/>
  <c r="H105" i="25" s="1"/>
  <c r="J105" i="24"/>
  <c r="J119" i="24"/>
  <c r="I119" i="24"/>
  <c r="H119" i="25" s="1"/>
  <c r="J61" i="24"/>
  <c r="I61" i="24"/>
  <c r="H61" i="25" s="1"/>
  <c r="I88" i="24"/>
  <c r="H88" i="25" s="1"/>
  <c r="J88" i="24"/>
  <c r="I323" i="24"/>
  <c r="H323" i="25" s="1"/>
  <c r="J323" i="24"/>
  <c r="I230" i="25"/>
  <c r="J230" i="25"/>
  <c r="I46" i="24"/>
  <c r="H46" i="25" s="1"/>
  <c r="J46" i="24"/>
  <c r="I76" i="24"/>
  <c r="H76" i="25" s="1"/>
  <c r="J76" i="24"/>
  <c r="I370" i="24"/>
  <c r="H370" i="25" s="1"/>
  <c r="J370" i="24"/>
  <c r="I79" i="24"/>
  <c r="H79" i="25" s="1"/>
  <c r="J79" i="24"/>
  <c r="J222" i="25"/>
  <c r="I222" i="25"/>
  <c r="J151" i="25"/>
  <c r="I151" i="25"/>
  <c r="F381" i="25"/>
  <c r="AK10" i="25"/>
  <c r="AK12" i="25" s="1"/>
  <c r="AK13" i="25" s="1"/>
  <c r="F383" i="25"/>
  <c r="AM10" i="25"/>
  <c r="F382" i="25"/>
  <c r="G15" i="25"/>
  <c r="CF15" i="6" s="1"/>
  <c r="AA15" i="25"/>
  <c r="AL9" i="25" s="1"/>
  <c r="F9" i="25"/>
  <c r="I257" i="24"/>
  <c r="H257" i="25" s="1"/>
  <c r="J257" i="24"/>
  <c r="I194" i="24"/>
  <c r="H194" i="25" s="1"/>
  <c r="J194" i="24"/>
  <c r="J258" i="25"/>
  <c r="I258" i="25"/>
  <c r="J169" i="24"/>
  <c r="I169" i="24"/>
  <c r="H169" i="25" s="1"/>
  <c r="I367" i="24"/>
  <c r="H367" i="25" s="1"/>
  <c r="J367" i="24"/>
  <c r="J99" i="24"/>
  <c r="I99" i="24"/>
  <c r="H99" i="25" s="1"/>
  <c r="J75" i="24"/>
  <c r="I75" i="24"/>
  <c r="H75" i="25" s="1"/>
  <c r="I239" i="25"/>
  <c r="J239" i="25"/>
  <c r="J350" i="25"/>
  <c r="I350" i="25"/>
  <c r="I215" i="25"/>
  <c r="J215" i="25"/>
  <c r="J211" i="25"/>
  <c r="I211" i="25"/>
  <c r="J138" i="24"/>
  <c r="I138" i="24"/>
  <c r="H138" i="25" s="1"/>
  <c r="J69" i="24"/>
  <c r="I69" i="24"/>
  <c r="H69" i="25" s="1"/>
  <c r="J233" i="25"/>
  <c r="I233" i="25"/>
  <c r="I156" i="24"/>
  <c r="H156" i="25" s="1"/>
  <c r="J156" i="24"/>
  <c r="J121" i="24"/>
  <c r="I121" i="24"/>
  <c r="H121" i="25" s="1"/>
  <c r="I51" i="24"/>
  <c r="H51" i="25" s="1"/>
  <c r="J51" i="24"/>
  <c r="J344" i="24"/>
  <c r="I344" i="24"/>
  <c r="H344" i="25" s="1"/>
  <c r="I25" i="24"/>
  <c r="H25" i="25" s="1"/>
  <c r="J25" i="24"/>
  <c r="J172" i="24"/>
  <c r="I172" i="24"/>
  <c r="H172" i="25" s="1"/>
  <c r="J176" i="24"/>
  <c r="I176" i="24"/>
  <c r="H176" i="25" s="1"/>
  <c r="J369" i="24"/>
  <c r="I369" i="24"/>
  <c r="H369" i="25" s="1"/>
  <c r="J177" i="24"/>
  <c r="I177" i="24"/>
  <c r="H177" i="25" s="1"/>
  <c r="B12" i="6"/>
  <c r="BA15" i="6"/>
  <c r="B13" i="6"/>
  <c r="J52" i="25"/>
  <c r="I52" i="25"/>
  <c r="J170" i="24"/>
  <c r="I170" i="24"/>
  <c r="H170" i="25" s="1"/>
  <c r="J58" i="24"/>
  <c r="I58" i="24"/>
  <c r="H58" i="25" s="1"/>
  <c r="I360" i="24"/>
  <c r="H360" i="25" s="1"/>
  <c r="J360" i="24"/>
  <c r="J288" i="24"/>
  <c r="I288" i="24"/>
  <c r="H288" i="25" s="1"/>
  <c r="J351" i="25"/>
  <c r="I351" i="25"/>
  <c r="I113" i="25"/>
  <c r="J113" i="25"/>
  <c r="J207" i="25"/>
  <c r="I207" i="25"/>
  <c r="I164" i="24"/>
  <c r="H164" i="25" s="1"/>
  <c r="J164" i="24"/>
  <c r="J218" i="25"/>
  <c r="I218" i="25"/>
  <c r="J77" i="24"/>
  <c r="I77" i="24"/>
  <c r="H77" i="25" s="1"/>
  <c r="I300" i="24"/>
  <c r="H300" i="25" s="1"/>
  <c r="J300" i="24"/>
  <c r="J53" i="24"/>
  <c r="I53" i="24"/>
  <c r="H53" i="25" s="1"/>
  <c r="J94" i="24"/>
  <c r="I94" i="24"/>
  <c r="H94" i="25" s="1"/>
  <c r="J335" i="24"/>
  <c r="I335" i="24"/>
  <c r="H335" i="25" s="1"/>
  <c r="I180" i="24"/>
  <c r="H180" i="25" s="1"/>
  <c r="J180" i="24"/>
  <c r="J139" i="24"/>
  <c r="I139" i="24"/>
  <c r="H139" i="25" s="1"/>
  <c r="I80" i="24"/>
  <c r="H80" i="25" s="1"/>
  <c r="J80" i="24"/>
  <c r="J73" i="24"/>
  <c r="I73" i="24"/>
  <c r="H73" i="25" s="1"/>
  <c r="J356" i="24"/>
  <c r="I356" i="24"/>
  <c r="H356" i="25" s="1"/>
  <c r="I265" i="24"/>
  <c r="H265" i="25" s="1"/>
  <c r="J265" i="24"/>
  <c r="I326" i="24"/>
  <c r="H326" i="25" s="1"/>
  <c r="J326" i="24"/>
  <c r="J192" i="24"/>
  <c r="I192" i="24"/>
  <c r="H192" i="25" s="1"/>
  <c r="I34" i="24"/>
  <c r="H34" i="25" s="1"/>
  <c r="J34" i="24"/>
  <c r="I146" i="24"/>
  <c r="H146" i="25" s="1"/>
  <c r="J146" i="24"/>
  <c r="J353" i="25"/>
  <c r="I353" i="25"/>
  <c r="J358" i="25"/>
  <c r="I358" i="25"/>
  <c r="J295" i="24"/>
  <c r="I295" i="24"/>
  <c r="H295" i="25" s="1"/>
  <c r="I81" i="24"/>
  <c r="H81" i="25" s="1"/>
  <c r="J81" i="24"/>
  <c r="I182" i="24"/>
  <c r="H182" i="25" s="1"/>
  <c r="J182" i="24"/>
  <c r="J78" i="24"/>
  <c r="I78" i="24"/>
  <c r="H78" i="25" s="1"/>
  <c r="J240" i="24"/>
  <c r="I240" i="24"/>
  <c r="H240" i="25" s="1"/>
  <c r="I162" i="24"/>
  <c r="H162" i="25" s="1"/>
  <c r="J162" i="24"/>
  <c r="J297" i="24"/>
  <c r="I297" i="24"/>
  <c r="H297" i="25" s="1"/>
  <c r="J324" i="24"/>
  <c r="I324" i="24"/>
  <c r="H324" i="25" s="1"/>
  <c r="I341" i="25"/>
  <c r="J275" i="24"/>
  <c r="I275" i="24"/>
  <c r="H275" i="25" s="1"/>
  <c r="J219" i="24"/>
  <c r="I219" i="24"/>
  <c r="H219" i="25" s="1"/>
  <c r="J268" i="25"/>
  <c r="I268" i="25"/>
  <c r="J354" i="24"/>
  <c r="I354" i="24"/>
  <c r="H354" i="25" s="1"/>
  <c r="J166" i="24"/>
  <c r="I166" i="24"/>
  <c r="H166" i="25" s="1"/>
  <c r="I26" i="24"/>
  <c r="H26" i="25" s="1"/>
  <c r="J26" i="24"/>
  <c r="AL10" i="24"/>
  <c r="AA382" i="24"/>
  <c r="AA383" i="24"/>
  <c r="AA381" i="24"/>
  <c r="AM8" i="24"/>
  <c r="AA9" i="24"/>
  <c r="Z15" i="24"/>
  <c r="AL7" i="24" s="1"/>
  <c r="I44" i="24"/>
  <c r="H44" i="25" s="1"/>
  <c r="J44" i="24"/>
  <c r="I196" i="24"/>
  <c r="H196" i="25" s="1"/>
  <c r="J196" i="24"/>
  <c r="I64" i="25"/>
  <c r="J64" i="25"/>
  <c r="I320" i="24"/>
  <c r="H320" i="25" s="1"/>
  <c r="J320" i="24"/>
  <c r="J104" i="24"/>
  <c r="I104" i="24"/>
  <c r="H104" i="25" s="1"/>
  <c r="J134" i="25"/>
  <c r="I134" i="25"/>
  <c r="J87" i="25"/>
  <c r="I87" i="25"/>
  <c r="Z381" i="23"/>
  <c r="Z383" i="23"/>
  <c r="Z382" i="23"/>
  <c r="Y15" i="23"/>
  <c r="Z9" i="23"/>
  <c r="AL8" i="23"/>
  <c r="I19" i="24"/>
  <c r="H19" i="25" s="1"/>
  <c r="J19" i="24"/>
  <c r="J309" i="24"/>
  <c r="I309" i="24"/>
  <c r="H309" i="25" s="1"/>
  <c r="I163" i="24"/>
  <c r="H163" i="25" s="1"/>
  <c r="J163" i="24"/>
  <c r="J237" i="24"/>
  <c r="I237" i="24"/>
  <c r="H237" i="25" s="1"/>
  <c r="J209" i="24"/>
  <c r="I209" i="24"/>
  <c r="H209" i="25" s="1"/>
  <c r="J195" i="24"/>
  <c r="I195" i="24"/>
  <c r="H195" i="25" s="1"/>
  <c r="I33" i="24"/>
  <c r="H33" i="25" s="1"/>
  <c r="J33" i="24"/>
  <c r="I41" i="25"/>
  <c r="J41" i="25"/>
  <c r="I49" i="25"/>
  <c r="J49" i="25"/>
  <c r="I89" i="24"/>
  <c r="H89" i="25" s="1"/>
  <c r="J89" i="24"/>
  <c r="J130" i="24"/>
  <c r="I130" i="24"/>
  <c r="H130" i="25" s="1"/>
  <c r="I161" i="24"/>
  <c r="H161" i="25" s="1"/>
  <c r="J161" i="24"/>
  <c r="I283" i="24"/>
  <c r="H283" i="25" s="1"/>
  <c r="J283" i="24"/>
  <c r="I248" i="24"/>
  <c r="H248" i="25" s="1"/>
  <c r="J248" i="24"/>
  <c r="I298" i="24"/>
  <c r="H298" i="25" s="1"/>
  <c r="J298" i="24"/>
  <c r="I135" i="24"/>
  <c r="H135" i="25" s="1"/>
  <c r="J135" i="24"/>
  <c r="I154" i="24"/>
  <c r="H154" i="25" s="1"/>
  <c r="J154" i="24"/>
  <c r="J267" i="24"/>
  <c r="I267" i="24"/>
  <c r="H267" i="25" s="1"/>
  <c r="J263" i="24"/>
  <c r="I263" i="24"/>
  <c r="H263" i="25" s="1"/>
  <c r="I159" i="24"/>
  <c r="H159" i="25" s="1"/>
  <c r="J159" i="24"/>
  <c r="J289" i="24"/>
  <c r="I289" i="24"/>
  <c r="H289" i="25" s="1"/>
  <c r="J206" i="24"/>
  <c r="I206" i="24"/>
  <c r="H206" i="25" s="1"/>
  <c r="J294" i="24"/>
  <c r="I294" i="24"/>
  <c r="H294" i="25" s="1"/>
  <c r="I293" i="24"/>
  <c r="H293" i="25" s="1"/>
  <c r="J293" i="24"/>
  <c r="I269" i="24"/>
  <c r="H269" i="25" s="1"/>
  <c r="J269" i="24"/>
  <c r="I202" i="24"/>
  <c r="H202" i="25" s="1"/>
  <c r="J202" i="24"/>
  <c r="I379" i="25"/>
  <c r="J379" i="25"/>
  <c r="J333" i="24"/>
  <c r="I333" i="24"/>
  <c r="H333" i="25" s="1"/>
  <c r="J330" i="25"/>
  <c r="I330" i="25"/>
  <c r="J124" i="25"/>
  <c r="I124" i="25"/>
  <c r="J318" i="25"/>
  <c r="I318" i="25"/>
  <c r="I85" i="24"/>
  <c r="H85" i="25" s="1"/>
  <c r="J85" i="24"/>
  <c r="J190" i="24"/>
  <c r="I190" i="24"/>
  <c r="H190" i="25" s="1"/>
  <c r="I313" i="24"/>
  <c r="H313" i="25" s="1"/>
  <c r="J313" i="24"/>
  <c r="I231" i="24"/>
  <c r="H231" i="25" s="1"/>
  <c r="J231" i="24"/>
  <c r="I246" i="24"/>
  <c r="H246" i="25" s="1"/>
  <c r="J246" i="24"/>
  <c r="J35" i="24"/>
  <c r="I35" i="24"/>
  <c r="H35" i="25" s="1"/>
  <c r="I208" i="24"/>
  <c r="H208" i="25" s="1"/>
  <c r="J208" i="24"/>
  <c r="J149" i="24"/>
  <c r="I149" i="24"/>
  <c r="H149" i="25" s="1"/>
  <c r="J29" i="24"/>
  <c r="I29" i="24"/>
  <c r="H29" i="25" s="1"/>
  <c r="J97" i="24"/>
  <c r="I97" i="24"/>
  <c r="H97" i="25" s="1"/>
  <c r="I116" i="24"/>
  <c r="H116" i="25" s="1"/>
  <c r="J116" i="24"/>
  <c r="J120" i="24"/>
  <c r="I120" i="24"/>
  <c r="H120" i="25" s="1"/>
  <c r="I346" i="24"/>
  <c r="H346" i="25" s="1"/>
  <c r="J346" i="24"/>
  <c r="J173" i="24"/>
  <c r="I173" i="24"/>
  <c r="H173" i="25" s="1"/>
  <c r="J143" i="24"/>
  <c r="I143" i="24"/>
  <c r="H143" i="25" s="1"/>
  <c r="I337" i="25"/>
  <c r="J337" i="25"/>
  <c r="J374" i="24"/>
  <c r="I374" i="24"/>
  <c r="H374" i="25" s="1"/>
  <c r="I40" i="25"/>
  <c r="J40" i="25"/>
  <c r="J227" i="24"/>
  <c r="I227" i="24"/>
  <c r="H227" i="25" s="1"/>
  <c r="J127" i="24"/>
  <c r="I127" i="24"/>
  <c r="H127" i="25" s="1"/>
  <c r="I301" i="25"/>
  <c r="J301" i="25"/>
  <c r="I378" i="24"/>
  <c r="H378" i="25" s="1"/>
  <c r="J378" i="24"/>
  <c r="J131" i="24"/>
  <c r="I131" i="24"/>
  <c r="H131" i="25" s="1"/>
  <c r="I242" i="25"/>
  <c r="J242" i="25"/>
  <c r="J171" i="24"/>
  <c r="I171" i="24"/>
  <c r="H171" i="25" s="1"/>
  <c r="J72" i="24"/>
  <c r="I72" i="24"/>
  <c r="H72" i="25" s="1"/>
  <c r="I96" i="24"/>
  <c r="H96" i="25" s="1"/>
  <c r="J96" i="24"/>
  <c r="I50" i="25"/>
  <c r="J50" i="25"/>
  <c r="J308" i="24"/>
  <c r="I308" i="24"/>
  <c r="H308" i="25" s="1"/>
  <c r="J278" i="24"/>
  <c r="I278" i="24"/>
  <c r="H278" i="25" s="1"/>
  <c r="J366" i="25"/>
  <c r="I366" i="25"/>
  <c r="J16" i="19"/>
  <c r="AA11" i="20"/>
  <c r="AA5" i="20" s="1"/>
  <c r="Z11" i="20"/>
  <c r="Z5" i="20" s="1"/>
  <c r="I229" i="25"/>
  <c r="J229" i="25"/>
  <c r="I175" i="25"/>
  <c r="J175" i="25"/>
  <c r="J226" i="24"/>
  <c r="I226" i="24"/>
  <c r="H226" i="25" s="1"/>
  <c r="I260" i="24"/>
  <c r="H260" i="25" s="1"/>
  <c r="J260" i="24"/>
  <c r="J42" i="24"/>
  <c r="I42" i="24"/>
  <c r="H42" i="25" s="1"/>
  <c r="J319" i="24"/>
  <c r="I319" i="24"/>
  <c r="H319" i="25" s="1"/>
  <c r="J363" i="24"/>
  <c r="I363" i="24"/>
  <c r="H363" i="25" s="1"/>
  <c r="I310" i="24"/>
  <c r="H310" i="25" s="1"/>
  <c r="J310" i="24"/>
  <c r="J303" i="24"/>
  <c r="I303" i="24"/>
  <c r="H303" i="25" s="1"/>
  <c r="J249" i="24"/>
  <c r="I249" i="24"/>
  <c r="H249" i="25" s="1"/>
  <c r="J118" i="25"/>
  <c r="I118" i="25"/>
  <c r="J232" i="24"/>
  <c r="I232" i="24"/>
  <c r="H232" i="25" s="1"/>
  <c r="J332" i="24"/>
  <c r="I332" i="24"/>
  <c r="H332" i="25" s="1"/>
  <c r="I311" i="24"/>
  <c r="H311" i="25" s="1"/>
  <c r="J311" i="24"/>
  <c r="J90" i="24"/>
  <c r="I90" i="24"/>
  <c r="H90" i="25" s="1"/>
  <c r="I259" i="24"/>
  <c r="H259" i="25" s="1"/>
  <c r="J259" i="24"/>
  <c r="J252" i="25"/>
  <c r="I252" i="25"/>
  <c r="I184" i="25"/>
  <c r="J184" i="25"/>
  <c r="J373" i="24"/>
  <c r="I373" i="24"/>
  <c r="H373" i="25" s="1"/>
  <c r="I39" i="25"/>
  <c r="J39" i="25"/>
  <c r="J271" i="24"/>
  <c r="I271" i="24"/>
  <c r="H271" i="25" s="1"/>
  <c r="I361" i="24"/>
  <c r="H361" i="25" s="1"/>
  <c r="J361" i="24"/>
  <c r="J255" i="24"/>
  <c r="I255" i="24"/>
  <c r="H255" i="25" s="1"/>
  <c r="I60" i="24"/>
  <c r="H60" i="25" s="1"/>
  <c r="J60" i="24"/>
  <c r="I347" i="24"/>
  <c r="H347" i="25" s="1"/>
  <c r="J347" i="24"/>
  <c r="J189" i="24"/>
  <c r="I189" i="24"/>
  <c r="H189" i="25" s="1"/>
  <c r="I83" i="24"/>
  <c r="H83" i="25" s="1"/>
  <c r="J83" i="24"/>
  <c r="I82" i="25"/>
  <c r="J82" i="25"/>
  <c r="I129" i="25"/>
  <c r="J129" i="25"/>
  <c r="J123" i="25"/>
  <c r="I123" i="25"/>
  <c r="I281" i="24"/>
  <c r="H281" i="25" s="1"/>
  <c r="J281" i="24"/>
  <c r="J141" i="25"/>
  <c r="I141" i="25"/>
  <c r="I98" i="24"/>
  <c r="H98" i="25" s="1"/>
  <c r="J98" i="24"/>
  <c r="I264" i="24"/>
  <c r="H264" i="25" s="1"/>
  <c r="J264" i="24"/>
  <c r="J214" i="24"/>
  <c r="I214" i="24"/>
  <c r="H214" i="25" s="1"/>
  <c r="I198" i="24"/>
  <c r="H198" i="25" s="1"/>
  <c r="J198" i="24"/>
  <c r="I28" i="24"/>
  <c r="H28" i="25" s="1"/>
  <c r="J28" i="24"/>
  <c r="J221" i="24"/>
  <c r="I221" i="24"/>
  <c r="H221" i="25" s="1"/>
  <c r="J193" i="25"/>
  <c r="I193" i="25"/>
  <c r="J145" i="25"/>
  <c r="I145" i="25"/>
  <c r="I18" i="24"/>
  <c r="H18" i="25" s="1"/>
  <c r="J18" i="24"/>
  <c r="I186" i="25"/>
  <c r="J186" i="25"/>
  <c r="I336" i="24"/>
  <c r="H336" i="25" s="1"/>
  <c r="J336" i="24"/>
  <c r="J56" i="24"/>
  <c r="I56" i="24"/>
  <c r="H56" i="25" s="1"/>
  <c r="J15" i="20"/>
  <c r="I15" i="20"/>
  <c r="J279" i="25"/>
  <c r="I279" i="25"/>
  <c r="J213" i="25"/>
  <c r="I213" i="25"/>
  <c r="J100" i="25"/>
  <c r="I100" i="25"/>
  <c r="J224" i="25"/>
  <c r="I224" i="25"/>
  <c r="Y383" i="22"/>
  <c r="Y381" i="22"/>
  <c r="AL6" i="22"/>
  <c r="AL12" i="22" s="1"/>
  <c r="AM6" i="22"/>
  <c r="AM12" i="22" s="1"/>
  <c r="Y382" i="22"/>
  <c r="X9" i="22"/>
  <c r="J327" i="25"/>
  <c r="I327" i="25"/>
  <c r="I110" i="24"/>
  <c r="H110" i="25" s="1"/>
  <c r="J110" i="24"/>
  <c r="J43" i="24"/>
  <c r="I43" i="24"/>
  <c r="H43" i="25" s="1"/>
  <c r="I266" i="24"/>
  <c r="H266" i="25" s="1"/>
  <c r="J266" i="24"/>
  <c r="J107" i="25"/>
  <c r="I107" i="25"/>
  <c r="J86" i="25"/>
  <c r="I86" i="25"/>
  <c r="I244" i="24"/>
  <c r="H244" i="25" s="1"/>
  <c r="J244" i="24"/>
  <c r="J74" i="24"/>
  <c r="I74" i="24"/>
  <c r="H74" i="25" s="1"/>
  <c r="I179" i="25"/>
  <c r="J179" i="25"/>
  <c r="I24" i="24"/>
  <c r="H24" i="25" s="1"/>
  <c r="J24" i="24"/>
  <c r="I147" i="24"/>
  <c r="H147" i="25" s="1"/>
  <c r="J147" i="24"/>
  <c r="I245" i="24"/>
  <c r="H245" i="25" s="1"/>
  <c r="J245" i="24"/>
  <c r="I185" i="24"/>
  <c r="H185" i="25" s="1"/>
  <c r="J185" i="24"/>
  <c r="J37" i="24"/>
  <c r="I37" i="24"/>
  <c r="H37" i="25" s="1"/>
  <c r="I273" i="24"/>
  <c r="H273" i="25" s="1"/>
  <c r="J273" i="24"/>
  <c r="J287" i="24"/>
  <c r="I287" i="24"/>
  <c r="H287" i="25" s="1"/>
  <c r="J284" i="24"/>
  <c r="I284" i="24"/>
  <c r="H284" i="25" s="1"/>
  <c r="I142" i="24"/>
  <c r="H142" i="25" s="1"/>
  <c r="J142" i="24"/>
  <c r="I108" i="24"/>
  <c r="H108" i="25" s="1"/>
  <c r="J108" i="24"/>
  <c r="I316" i="24"/>
  <c r="H316" i="25" s="1"/>
  <c r="J316" i="24"/>
  <c r="I241" i="24"/>
  <c r="H241" i="25" s="1"/>
  <c r="J241" i="24"/>
  <c r="I372" i="24"/>
  <c r="H372" i="25" s="1"/>
  <c r="J372" i="24"/>
  <c r="I101" i="24"/>
  <c r="H101" i="25" s="1"/>
  <c r="J101" i="24"/>
  <c r="J325" i="24"/>
  <c r="I325" i="24"/>
  <c r="H325" i="25" s="1"/>
  <c r="J65" i="24"/>
  <c r="I65" i="24"/>
  <c r="H65" i="25" s="1"/>
  <c r="J331" i="25"/>
  <c r="I331" i="25"/>
  <c r="J299" i="25"/>
  <c r="I299" i="25"/>
  <c r="J62" i="24"/>
  <c r="I62" i="24"/>
  <c r="H62" i="25" s="1"/>
  <c r="I345" i="24"/>
  <c r="H345" i="25" s="1"/>
  <c r="J345" i="24"/>
  <c r="I199" i="24"/>
  <c r="H199" i="25" s="1"/>
  <c r="J199" i="24"/>
  <c r="J109" i="24"/>
  <c r="I109" i="24"/>
  <c r="H109" i="25" s="1"/>
  <c r="J191" i="24"/>
  <c r="I191" i="24"/>
  <c r="H191" i="25" s="1"/>
  <c r="J328" i="25"/>
  <c r="I328" i="25"/>
  <c r="I253" i="24"/>
  <c r="H253" i="25" s="1"/>
  <c r="J253" i="24"/>
  <c r="I95" i="24"/>
  <c r="H95" i="25" s="1"/>
  <c r="J95" i="24"/>
  <c r="I17" i="24"/>
  <c r="H17" i="25" s="1"/>
  <c r="J17" i="24"/>
  <c r="J377" i="25"/>
  <c r="I377" i="25"/>
  <c r="I106" i="25"/>
  <c r="J106" i="25"/>
  <c r="G382" i="24"/>
  <c r="G381" i="24"/>
  <c r="G383" i="24"/>
  <c r="G12" i="24" s="1"/>
  <c r="F11" i="24"/>
  <c r="G43" i="19" s="1"/>
  <c r="G19" i="19"/>
  <c r="J43" i="19" s="1"/>
  <c r="AB9" i="24"/>
  <c r="J102" i="24"/>
  <c r="I102" i="24"/>
  <c r="H102" i="25" s="1"/>
  <c r="I36" i="24"/>
  <c r="H36" i="25" s="1"/>
  <c r="J36" i="24"/>
  <c r="I355" i="24"/>
  <c r="H355" i="25" s="1"/>
  <c r="J355" i="24"/>
  <c r="J133" i="24"/>
  <c r="I133" i="24"/>
  <c r="H133" i="25" s="1"/>
  <c r="I280" i="24"/>
  <c r="H280" i="25" s="1"/>
  <c r="J280" i="24"/>
  <c r="J334" i="24"/>
  <c r="I334" i="24"/>
  <c r="H334" i="25" s="1"/>
  <c r="J54" i="25"/>
  <c r="I54" i="25"/>
  <c r="J148" i="24"/>
  <c r="I148" i="24"/>
  <c r="H148" i="25" s="1"/>
  <c r="J155" i="24"/>
  <c r="I155" i="24"/>
  <c r="H155" i="25" s="1"/>
  <c r="I348" i="25"/>
  <c r="J348" i="25"/>
  <c r="I201" i="25"/>
  <c r="J201" i="25"/>
  <c r="H7" i="6"/>
  <c r="AU7" i="7"/>
  <c r="J66" i="24"/>
  <c r="I66" i="24"/>
  <c r="H66" i="25" s="1"/>
  <c r="J216" i="24"/>
  <c r="I216" i="24"/>
  <c r="H216" i="25" s="1"/>
  <c r="I203" i="24"/>
  <c r="H203" i="25" s="1"/>
  <c r="J203" i="24"/>
  <c r="I307" i="24"/>
  <c r="H307" i="25" s="1"/>
  <c r="J307" i="24"/>
  <c r="J277" i="24"/>
  <c r="I277" i="24"/>
  <c r="H277" i="25" s="1"/>
  <c r="J167" i="24"/>
  <c r="I167" i="24"/>
  <c r="H167" i="25" s="1"/>
  <c r="J272" i="24"/>
  <c r="I272" i="24"/>
  <c r="H272" i="25" s="1"/>
  <c r="I223" i="24"/>
  <c r="H223" i="25" s="1"/>
  <c r="J223" i="24"/>
  <c r="I365" i="24"/>
  <c r="H365" i="25" s="1"/>
  <c r="J365" i="24"/>
  <c r="J357" i="24"/>
  <c r="I357" i="24"/>
  <c r="H357" i="25" s="1"/>
  <c r="I63" i="24"/>
  <c r="H63" i="25" s="1"/>
  <c r="J63" i="24"/>
  <c r="J137" i="24"/>
  <c r="I137" i="24"/>
  <c r="H137" i="25" s="1"/>
  <c r="I340" i="24"/>
  <c r="H340" i="25" s="1"/>
  <c r="J340" i="24"/>
  <c r="J290" i="24"/>
  <c r="I290" i="24"/>
  <c r="H290" i="25" s="1"/>
  <c r="J262" i="24"/>
  <c r="I262" i="24"/>
  <c r="H262" i="25" s="1"/>
  <c r="J364" i="25"/>
  <c r="I364" i="25"/>
  <c r="J178" i="25"/>
  <c r="I178" i="25"/>
  <c r="J67" i="24"/>
  <c r="I67" i="24"/>
  <c r="H67" i="25" s="1"/>
  <c r="I197" i="24"/>
  <c r="H197" i="25" s="1"/>
  <c r="J197" i="24"/>
  <c r="J302" i="24"/>
  <c r="I302" i="24"/>
  <c r="H302" i="25" s="1"/>
  <c r="I205" i="25"/>
  <c r="J205" i="25"/>
  <c r="I20" i="25"/>
  <c r="J20" i="25"/>
  <c r="I157" i="24"/>
  <c r="H157" i="25" s="1"/>
  <c r="J157" i="24"/>
  <c r="I236" i="24"/>
  <c r="H236" i="25" s="1"/>
  <c r="J236" i="24"/>
  <c r="I314" i="24"/>
  <c r="H314" i="25" s="1"/>
  <c r="J314" i="24"/>
  <c r="I342" i="25"/>
  <c r="J342" i="25"/>
  <c r="J47" i="24"/>
  <c r="I47" i="24"/>
  <c r="H47" i="25" s="1"/>
  <c r="I160" i="25"/>
  <c r="J160" i="25"/>
  <c r="C13" i="6"/>
  <c r="C12" i="6"/>
  <c r="I235" i="25"/>
  <c r="I254" i="25"/>
  <c r="J254" i="25"/>
  <c r="J362" i="24"/>
  <c r="I362" i="24"/>
  <c r="H362" i="25" s="1"/>
  <c r="J243" i="24"/>
  <c r="I243" i="24"/>
  <c r="H243" i="25" s="1"/>
  <c r="J247" i="24"/>
  <c r="I247" i="24"/>
  <c r="H247" i="25" s="1"/>
  <c r="I150" i="24"/>
  <c r="H150" i="25" s="1"/>
  <c r="J150" i="24"/>
  <c r="J329" i="24"/>
  <c r="I329" i="24"/>
  <c r="H329" i="25" s="1"/>
  <c r="I217" i="24"/>
  <c r="H217" i="25" s="1"/>
  <c r="J217" i="24"/>
  <c r="I276" i="24"/>
  <c r="H276" i="25" s="1"/>
  <c r="J276" i="24"/>
  <c r="J270" i="24"/>
  <c r="I270" i="24"/>
  <c r="H270" i="25" s="1"/>
  <c r="I140" i="24"/>
  <c r="H140" i="25" s="1"/>
  <c r="J140" i="24"/>
  <c r="J380" i="24"/>
  <c r="I380" i="24"/>
  <c r="H380" i="25" s="1"/>
  <c r="I312" i="25"/>
  <c r="J312" i="25"/>
  <c r="I188" i="24"/>
  <c r="H188" i="25" s="1"/>
  <c r="J188" i="24"/>
  <c r="J376" i="24"/>
  <c r="I376" i="24"/>
  <c r="H376" i="25" s="1"/>
  <c r="I16" i="24"/>
  <c r="H16" i="25" s="1"/>
  <c r="J16" i="24"/>
  <c r="J261" i="24"/>
  <c r="I261" i="24"/>
  <c r="H261" i="25" s="1"/>
  <c r="J291" i="24"/>
  <c r="I291" i="24"/>
  <c r="H291" i="25" s="1"/>
  <c r="I339" i="24"/>
  <c r="H339" i="25" s="1"/>
  <c r="J339" i="24"/>
  <c r="I322" i="25"/>
  <c r="J322" i="25"/>
  <c r="I21" i="25"/>
  <c r="J21" i="25"/>
  <c r="J317" i="24"/>
  <c r="I317" i="24"/>
  <c r="H317" i="25" s="1"/>
  <c r="I321" i="24"/>
  <c r="H321" i="25" s="1"/>
  <c r="J321" i="24"/>
  <c r="J152" i="25"/>
  <c r="I152" i="25"/>
  <c r="I117" i="25"/>
  <c r="J117" i="25"/>
  <c r="J136" i="25"/>
  <c r="I136" i="25"/>
  <c r="I55" i="24"/>
  <c r="H55" i="25" s="1"/>
  <c r="J55" i="24"/>
  <c r="I349" i="24"/>
  <c r="H349" i="25" s="1"/>
  <c r="J349" i="24"/>
  <c r="I125" i="24"/>
  <c r="H125" i="25" s="1"/>
  <c r="J125" i="24"/>
  <c r="J183" i="24"/>
  <c r="I183" i="24"/>
  <c r="H183" i="25" s="1"/>
  <c r="J187" i="24"/>
  <c r="I187" i="24"/>
  <c r="H187" i="25" s="1"/>
  <c r="J93" i="24"/>
  <c r="I93" i="24"/>
  <c r="H93" i="25" s="1"/>
  <c r="I168" i="25"/>
  <c r="J168" i="25"/>
  <c r="J228" i="24"/>
  <c r="I228" i="24"/>
  <c r="H228" i="25" s="1"/>
  <c r="I238" i="24"/>
  <c r="H238" i="25" s="1"/>
  <c r="J238" i="24"/>
  <c r="AL5" i="23" l="1"/>
  <c r="AL11" i="23" s="1"/>
  <c r="AJ3" i="23" s="1"/>
  <c r="O18" i="19" s="1"/>
  <c r="AM5" i="23"/>
  <c r="AM11" i="23" s="1"/>
  <c r="AK3" i="23" s="1"/>
  <c r="Q18" i="19" s="1"/>
  <c r="I282" i="25"/>
  <c r="J144" i="25"/>
  <c r="H38" i="19"/>
  <c r="H39" i="19"/>
  <c r="I45" i="25"/>
  <c r="I126" i="25"/>
  <c r="I250" i="25"/>
  <c r="J338" i="25"/>
  <c r="M16" i="19"/>
  <c r="N16" i="19"/>
  <c r="E18" i="19"/>
  <c r="D19" i="19"/>
  <c r="H16" i="19"/>
  <c r="B32" i="19" s="1"/>
  <c r="C20" i="19"/>
  <c r="I16" i="19"/>
  <c r="I40" i="19" s="1"/>
  <c r="R16" i="19"/>
  <c r="P16" i="19"/>
  <c r="M17" i="19" s="1"/>
  <c r="C9" i="19"/>
  <c r="AL13" i="22"/>
  <c r="AJ4" i="22"/>
  <c r="AK4" i="22"/>
  <c r="AM13" i="22"/>
  <c r="I93" i="25"/>
  <c r="J93" i="25"/>
  <c r="I183" i="25"/>
  <c r="J183" i="25"/>
  <c r="I317" i="25"/>
  <c r="J317" i="25"/>
  <c r="I376" i="25"/>
  <c r="J376" i="25"/>
  <c r="I67" i="25"/>
  <c r="J67" i="25"/>
  <c r="J290" i="25"/>
  <c r="I290" i="25"/>
  <c r="J357" i="25"/>
  <c r="I357" i="25"/>
  <c r="I167" i="25"/>
  <c r="J167" i="25"/>
  <c r="J155" i="25"/>
  <c r="I155" i="25"/>
  <c r="J334" i="25"/>
  <c r="I334" i="25"/>
  <c r="J102" i="25"/>
  <c r="I102" i="25"/>
  <c r="I7" i="6"/>
  <c r="BA7" i="7"/>
  <c r="I17" i="25"/>
  <c r="J17" i="25"/>
  <c r="I199" i="25"/>
  <c r="J199" i="25"/>
  <c r="I382" i="20"/>
  <c r="I381" i="20"/>
  <c r="I383" i="20"/>
  <c r="H15" i="22"/>
  <c r="J221" i="25"/>
  <c r="I221" i="25"/>
  <c r="I214" i="25"/>
  <c r="J214" i="25"/>
  <c r="J189" i="25"/>
  <c r="I189" i="25"/>
  <c r="J255" i="25"/>
  <c r="I255" i="25"/>
  <c r="I259" i="25"/>
  <c r="J259" i="25"/>
  <c r="J311" i="25"/>
  <c r="I311" i="25"/>
  <c r="J310" i="25"/>
  <c r="I310" i="25"/>
  <c r="I260" i="25"/>
  <c r="J260" i="25"/>
  <c r="J278" i="25"/>
  <c r="I278" i="25"/>
  <c r="I308" i="25"/>
  <c r="J308" i="25"/>
  <c r="J72" i="25"/>
  <c r="I72" i="25"/>
  <c r="J171" i="25"/>
  <c r="I171" i="25"/>
  <c r="I131" i="25"/>
  <c r="J131" i="25"/>
  <c r="J127" i="25"/>
  <c r="I127" i="25"/>
  <c r="I227" i="25"/>
  <c r="J227" i="25"/>
  <c r="J374" i="25"/>
  <c r="I374" i="25"/>
  <c r="J143" i="25"/>
  <c r="I143" i="25"/>
  <c r="J173" i="25"/>
  <c r="I173" i="25"/>
  <c r="I120" i="25"/>
  <c r="J120" i="25"/>
  <c r="I97" i="25"/>
  <c r="J97" i="25"/>
  <c r="I29" i="25"/>
  <c r="J29" i="25"/>
  <c r="I149" i="25"/>
  <c r="J149" i="25"/>
  <c r="I35" i="25"/>
  <c r="J35" i="25"/>
  <c r="J190" i="25"/>
  <c r="I190" i="25"/>
  <c r="J333" i="25"/>
  <c r="I333" i="25"/>
  <c r="I294" i="25"/>
  <c r="J294" i="25"/>
  <c r="J206" i="25"/>
  <c r="I206" i="25"/>
  <c r="I289" i="25"/>
  <c r="J289" i="25"/>
  <c r="J263" i="25"/>
  <c r="I263" i="25"/>
  <c r="I267" i="25"/>
  <c r="J267" i="25"/>
  <c r="I130" i="25"/>
  <c r="J130" i="25"/>
  <c r="I195" i="25"/>
  <c r="J195" i="25"/>
  <c r="J209" i="25"/>
  <c r="I209" i="25"/>
  <c r="J237" i="25"/>
  <c r="I237" i="25"/>
  <c r="J309" i="25"/>
  <c r="I309" i="25"/>
  <c r="Y382" i="23"/>
  <c r="Y383" i="23"/>
  <c r="AM6" i="23"/>
  <c r="AM12" i="23" s="1"/>
  <c r="X9" i="23"/>
  <c r="AL6" i="23"/>
  <c r="AL12" i="23" s="1"/>
  <c r="Y381" i="23"/>
  <c r="J238" i="25"/>
  <c r="I238" i="25"/>
  <c r="J125" i="25"/>
  <c r="I125" i="25"/>
  <c r="J349" i="25"/>
  <c r="I349" i="25"/>
  <c r="J55" i="25"/>
  <c r="I55" i="25"/>
  <c r="J321" i="25"/>
  <c r="I321" i="25"/>
  <c r="J339" i="25"/>
  <c r="I339" i="25"/>
  <c r="J16" i="25"/>
  <c r="I16" i="25"/>
  <c r="I188" i="25"/>
  <c r="J188" i="25"/>
  <c r="J140" i="25"/>
  <c r="I140" i="25"/>
  <c r="J276" i="25"/>
  <c r="I276" i="25"/>
  <c r="J217" i="25"/>
  <c r="I217" i="25"/>
  <c r="I150" i="25"/>
  <c r="J150" i="25"/>
  <c r="J314" i="25"/>
  <c r="I314" i="25"/>
  <c r="I236" i="25"/>
  <c r="J236" i="25"/>
  <c r="I157" i="25"/>
  <c r="J157" i="25"/>
  <c r="I197" i="25"/>
  <c r="J197" i="25"/>
  <c r="I340" i="25"/>
  <c r="J340" i="25"/>
  <c r="J63" i="25"/>
  <c r="I63" i="25"/>
  <c r="J365" i="25"/>
  <c r="I365" i="25"/>
  <c r="J223" i="25"/>
  <c r="I223" i="25"/>
  <c r="I307" i="25"/>
  <c r="J307" i="25"/>
  <c r="I203" i="25"/>
  <c r="J203" i="25"/>
  <c r="J280" i="25"/>
  <c r="I280" i="25"/>
  <c r="J355" i="25"/>
  <c r="I355" i="25"/>
  <c r="J36" i="25"/>
  <c r="I36" i="25"/>
  <c r="J191" i="25"/>
  <c r="I191" i="25"/>
  <c r="I109" i="25"/>
  <c r="J109" i="25"/>
  <c r="I62" i="25"/>
  <c r="J62" i="25"/>
  <c r="J65" i="25"/>
  <c r="I65" i="25"/>
  <c r="I325" i="25"/>
  <c r="J325" i="25"/>
  <c r="J284" i="25"/>
  <c r="I284" i="25"/>
  <c r="I287" i="25"/>
  <c r="J287" i="25"/>
  <c r="I37" i="25"/>
  <c r="J37" i="25"/>
  <c r="I74" i="25"/>
  <c r="J74" i="25"/>
  <c r="I43" i="25"/>
  <c r="J43" i="25"/>
  <c r="J17" i="19"/>
  <c r="AA11" i="22"/>
  <c r="AA5" i="22" s="1"/>
  <c r="Y11" i="22"/>
  <c r="J382" i="20"/>
  <c r="J381" i="20"/>
  <c r="J383" i="20"/>
  <c r="I336" i="25"/>
  <c r="J336" i="25"/>
  <c r="J18" i="25"/>
  <c r="I18" i="25"/>
  <c r="I28" i="25"/>
  <c r="J28" i="25"/>
  <c r="I198" i="25"/>
  <c r="J198" i="25"/>
  <c r="I264" i="25"/>
  <c r="J264" i="25"/>
  <c r="I98" i="25"/>
  <c r="J98" i="25"/>
  <c r="J281" i="25"/>
  <c r="I281" i="25"/>
  <c r="J83" i="25"/>
  <c r="I83" i="25"/>
  <c r="I347" i="25"/>
  <c r="J347" i="25"/>
  <c r="I60" i="25"/>
  <c r="J60" i="25"/>
  <c r="I361" i="25"/>
  <c r="J361" i="25"/>
  <c r="J271" i="25"/>
  <c r="I271" i="25"/>
  <c r="I373" i="25"/>
  <c r="J373" i="25"/>
  <c r="J90" i="25"/>
  <c r="I90" i="25"/>
  <c r="J332" i="25"/>
  <c r="I332" i="25"/>
  <c r="I232" i="25"/>
  <c r="J232" i="25"/>
  <c r="J249" i="25"/>
  <c r="I249" i="25"/>
  <c r="J303" i="25"/>
  <c r="I303" i="25"/>
  <c r="I363" i="25"/>
  <c r="J363" i="25"/>
  <c r="J319" i="25"/>
  <c r="I319" i="25"/>
  <c r="J42" i="25"/>
  <c r="I42" i="25"/>
  <c r="I226" i="25"/>
  <c r="J226" i="25"/>
  <c r="I96" i="25"/>
  <c r="J96" i="25"/>
  <c r="J378" i="25"/>
  <c r="I378" i="25"/>
  <c r="J346" i="25"/>
  <c r="I346" i="25"/>
  <c r="I116" i="25"/>
  <c r="J116" i="25"/>
  <c r="I208" i="25"/>
  <c r="J208" i="25"/>
  <c r="I246" i="25"/>
  <c r="J246" i="25"/>
  <c r="I231" i="25"/>
  <c r="J231" i="25"/>
  <c r="I313" i="25"/>
  <c r="J313" i="25"/>
  <c r="J85" i="25"/>
  <c r="I85" i="25"/>
  <c r="J202" i="25"/>
  <c r="I202" i="25"/>
  <c r="J269" i="25"/>
  <c r="I269" i="25"/>
  <c r="J293" i="25"/>
  <c r="I293" i="25"/>
  <c r="I159" i="25"/>
  <c r="J159" i="25"/>
  <c r="I154" i="25"/>
  <c r="J154" i="25"/>
  <c r="I135" i="25"/>
  <c r="J135" i="25"/>
  <c r="I298" i="25"/>
  <c r="J298" i="25"/>
  <c r="I248" i="25"/>
  <c r="J248" i="25"/>
  <c r="J283" i="25"/>
  <c r="I283" i="25"/>
  <c r="I161" i="25"/>
  <c r="J161" i="25"/>
  <c r="J89" i="25"/>
  <c r="I89" i="25"/>
  <c r="J33" i="25"/>
  <c r="I33" i="25"/>
  <c r="I163" i="25"/>
  <c r="J163" i="25"/>
  <c r="I19" i="25"/>
  <c r="J19" i="25"/>
  <c r="J104" i="25"/>
  <c r="I104" i="25"/>
  <c r="I196" i="25"/>
  <c r="J196" i="25"/>
  <c r="J44" i="25"/>
  <c r="I44" i="25"/>
  <c r="I26" i="25"/>
  <c r="J26" i="25"/>
  <c r="J162" i="25"/>
  <c r="I162" i="25"/>
  <c r="I182" i="25"/>
  <c r="J182" i="25"/>
  <c r="I81" i="25"/>
  <c r="J81" i="25"/>
  <c r="I146" i="25"/>
  <c r="J146" i="25"/>
  <c r="I34" i="25"/>
  <c r="J34" i="25"/>
  <c r="J326" i="25"/>
  <c r="I326" i="25"/>
  <c r="I265" i="25"/>
  <c r="J265" i="25"/>
  <c r="I80" i="25"/>
  <c r="J80" i="25"/>
  <c r="I180" i="25"/>
  <c r="J180" i="25"/>
  <c r="J300" i="25"/>
  <c r="I300" i="25"/>
  <c r="I164" i="25"/>
  <c r="J164" i="25"/>
  <c r="I360" i="25"/>
  <c r="J360" i="25"/>
  <c r="D15" i="6"/>
  <c r="N4" i="6"/>
  <c r="I177" i="25"/>
  <c r="J177" i="25"/>
  <c r="J369" i="25"/>
  <c r="I369" i="25"/>
  <c r="J176" i="25"/>
  <c r="I176" i="25"/>
  <c r="I172" i="25"/>
  <c r="J172" i="25"/>
  <c r="I344" i="25"/>
  <c r="J344" i="25"/>
  <c r="J121" i="25"/>
  <c r="I121" i="25"/>
  <c r="J69" i="25"/>
  <c r="I69" i="25"/>
  <c r="J138" i="25"/>
  <c r="I138" i="25"/>
  <c r="I75" i="25"/>
  <c r="J75" i="25"/>
  <c r="I99" i="25"/>
  <c r="J99" i="25"/>
  <c r="J169" i="25"/>
  <c r="I169" i="25"/>
  <c r="G20" i="19"/>
  <c r="J44" i="19" s="1"/>
  <c r="J33" i="19" s="1"/>
  <c r="AB9" i="25"/>
  <c r="F11" i="25"/>
  <c r="G44" i="19" s="1"/>
  <c r="G33" i="19" s="1"/>
  <c r="I79" i="25"/>
  <c r="J79" i="25"/>
  <c r="I370" i="25"/>
  <c r="J370" i="25"/>
  <c r="I76" i="25"/>
  <c r="J76" i="25"/>
  <c r="I46" i="25"/>
  <c r="J46" i="25"/>
  <c r="J323" i="25"/>
  <c r="I323" i="25"/>
  <c r="J88" i="25"/>
  <c r="I88" i="25"/>
  <c r="I105" i="25"/>
  <c r="J105" i="25"/>
  <c r="J368" i="25"/>
  <c r="I368" i="25"/>
  <c r="I84" i="25"/>
  <c r="J84" i="25"/>
  <c r="J115" i="25"/>
  <c r="I115" i="25"/>
  <c r="J359" i="25"/>
  <c r="I359" i="25"/>
  <c r="J128" i="25"/>
  <c r="I128" i="25"/>
  <c r="J122" i="25"/>
  <c r="I122" i="25"/>
  <c r="Z11" i="22"/>
  <c r="Z5" i="22" s="1"/>
  <c r="J228" i="25"/>
  <c r="I228" i="25"/>
  <c r="I187" i="25"/>
  <c r="J187" i="25"/>
  <c r="I291" i="25"/>
  <c r="J291" i="25"/>
  <c r="J261" i="25"/>
  <c r="I261" i="25"/>
  <c r="I380" i="25"/>
  <c r="J380" i="25"/>
  <c r="I270" i="25"/>
  <c r="J270" i="25"/>
  <c r="I329" i="25"/>
  <c r="J329" i="25"/>
  <c r="I247" i="25"/>
  <c r="J247" i="25"/>
  <c r="J243" i="25"/>
  <c r="I243" i="25"/>
  <c r="J362" i="25"/>
  <c r="I362" i="25"/>
  <c r="I47" i="25"/>
  <c r="J47" i="25"/>
  <c r="I302" i="25"/>
  <c r="J302" i="25"/>
  <c r="J262" i="25"/>
  <c r="I262" i="25"/>
  <c r="I137" i="25"/>
  <c r="J137" i="25"/>
  <c r="J272" i="25"/>
  <c r="I272" i="25"/>
  <c r="I277" i="25"/>
  <c r="J277" i="25"/>
  <c r="J216" i="25"/>
  <c r="I216" i="25"/>
  <c r="I66" i="25"/>
  <c r="J66" i="25"/>
  <c r="J148" i="25"/>
  <c r="I148" i="25"/>
  <c r="J133" i="25"/>
  <c r="I133" i="25"/>
  <c r="I95" i="25"/>
  <c r="J95" i="25"/>
  <c r="I253" i="25"/>
  <c r="J253" i="25"/>
  <c r="I345" i="25"/>
  <c r="J345" i="25"/>
  <c r="J101" i="25"/>
  <c r="I101" i="25"/>
  <c r="J372" i="25"/>
  <c r="I372" i="25"/>
  <c r="I241" i="25"/>
  <c r="J241" i="25"/>
  <c r="J316" i="25"/>
  <c r="I316" i="25"/>
  <c r="I108" i="25"/>
  <c r="J108" i="25"/>
  <c r="I142" i="25"/>
  <c r="J142" i="25"/>
  <c r="I273" i="25"/>
  <c r="J273" i="25"/>
  <c r="J185" i="25"/>
  <c r="I185" i="25"/>
  <c r="J245" i="25"/>
  <c r="I245" i="25"/>
  <c r="I147" i="25"/>
  <c r="J147" i="25"/>
  <c r="J24" i="25"/>
  <c r="I24" i="25"/>
  <c r="I244" i="25"/>
  <c r="J244" i="25"/>
  <c r="I266" i="25"/>
  <c r="J266" i="25"/>
  <c r="I110" i="25"/>
  <c r="J110" i="25"/>
  <c r="I56" i="25"/>
  <c r="J56" i="25"/>
  <c r="I320" i="25"/>
  <c r="J320" i="25"/>
  <c r="Z382" i="24"/>
  <c r="Z381" i="24"/>
  <c r="Z383" i="24"/>
  <c r="Y15" i="24"/>
  <c r="AL5" i="24" s="1"/>
  <c r="AL11" i="24" s="1"/>
  <c r="AJ3" i="24" s="1"/>
  <c r="O19" i="19" s="1"/>
  <c r="AL8" i="24"/>
  <c r="Z9" i="24"/>
  <c r="I166" i="25"/>
  <c r="J166" i="25"/>
  <c r="J354" i="25"/>
  <c r="I354" i="25"/>
  <c r="I219" i="25"/>
  <c r="J219" i="25"/>
  <c r="I275" i="25"/>
  <c r="J275" i="25"/>
  <c r="I324" i="25"/>
  <c r="J324" i="25"/>
  <c r="I297" i="25"/>
  <c r="J297" i="25"/>
  <c r="I240" i="25"/>
  <c r="J240" i="25"/>
  <c r="J78" i="25"/>
  <c r="I78" i="25"/>
  <c r="J295" i="25"/>
  <c r="I295" i="25"/>
  <c r="I192" i="25"/>
  <c r="J192" i="25"/>
  <c r="I356" i="25"/>
  <c r="J356" i="25"/>
  <c r="J73" i="25"/>
  <c r="I73" i="25"/>
  <c r="J139" i="25"/>
  <c r="I139" i="25"/>
  <c r="I335" i="25"/>
  <c r="J335" i="25"/>
  <c r="J94" i="25"/>
  <c r="I94" i="25"/>
  <c r="J53" i="25"/>
  <c r="I53" i="25"/>
  <c r="I77" i="25"/>
  <c r="J77" i="25"/>
  <c r="I288" i="25"/>
  <c r="J288" i="25"/>
  <c r="J58" i="25"/>
  <c r="I58" i="25"/>
  <c r="I170" i="25"/>
  <c r="J170" i="25"/>
  <c r="J25" i="25"/>
  <c r="I25" i="25"/>
  <c r="J51" i="25"/>
  <c r="I51" i="25"/>
  <c r="J156" i="25"/>
  <c r="I156" i="25"/>
  <c r="I367" i="25"/>
  <c r="J367" i="25"/>
  <c r="I194" i="25"/>
  <c r="J194" i="25"/>
  <c r="J257" i="25"/>
  <c r="I257" i="25"/>
  <c r="AA383" i="25"/>
  <c r="AA381" i="25"/>
  <c r="AL10" i="25"/>
  <c r="AA382" i="25"/>
  <c r="AA9" i="25"/>
  <c r="Z15" i="25"/>
  <c r="AL7" i="25" s="1"/>
  <c r="AM8" i="25"/>
  <c r="G381" i="25"/>
  <c r="G382" i="25"/>
  <c r="G383" i="25"/>
  <c r="G12" i="25" s="1"/>
  <c r="I61" i="25"/>
  <c r="J61" i="25"/>
  <c r="I119" i="25"/>
  <c r="J119" i="25"/>
  <c r="J114" i="25"/>
  <c r="I114" i="25"/>
  <c r="J27" i="25"/>
  <c r="I27" i="25"/>
  <c r="J210" i="25"/>
  <c r="I210" i="25"/>
  <c r="J220" i="25"/>
  <c r="I220" i="25"/>
  <c r="J22" i="25"/>
  <c r="I22" i="25"/>
  <c r="J304" i="25"/>
  <c r="I304" i="25"/>
  <c r="J111" i="25"/>
  <c r="I111" i="25"/>
  <c r="N17" i="19" l="1"/>
  <c r="H40" i="19"/>
  <c r="F18" i="19"/>
  <c r="E19" i="19"/>
  <c r="D20" i="19"/>
  <c r="E20" i="19" s="1"/>
  <c r="R17" i="19"/>
  <c r="N18" i="19" s="1"/>
  <c r="H17" i="19"/>
  <c r="I17" i="19"/>
  <c r="I41" i="19" s="1"/>
  <c r="Y11" i="23"/>
  <c r="P17" i="19"/>
  <c r="M18" i="19" s="1"/>
  <c r="AL13" i="23"/>
  <c r="AJ4" i="23"/>
  <c r="AM13" i="23"/>
  <c r="AK4" i="23"/>
  <c r="J7" i="6"/>
  <c r="BG7" i="7"/>
  <c r="Z381" i="25"/>
  <c r="Z383" i="25"/>
  <c r="Z382" i="25"/>
  <c r="Y15" i="25"/>
  <c r="AL5" i="25" s="1"/>
  <c r="AL11" i="25" s="1"/>
  <c r="AJ3" i="25" s="1"/>
  <c r="O20" i="19" s="1"/>
  <c r="AL8" i="25"/>
  <c r="Z9" i="25"/>
  <c r="AL6" i="24"/>
  <c r="AL12" i="24" s="1"/>
  <c r="Y381" i="24"/>
  <c r="Y382" i="24"/>
  <c r="Y383" i="24"/>
  <c r="AM6" i="24"/>
  <c r="AM12" i="24" s="1"/>
  <c r="X9" i="24"/>
  <c r="D12" i="6"/>
  <c r="D13" i="6"/>
  <c r="J18" i="19"/>
  <c r="AA11" i="23"/>
  <c r="AA5" i="23" s="1"/>
  <c r="Z11" i="23"/>
  <c r="Z5" i="23" s="1"/>
  <c r="I15" i="22"/>
  <c r="J15" i="22"/>
  <c r="G9" i="19"/>
  <c r="H41" i="19" l="1"/>
  <c r="D9" i="19"/>
  <c r="F19" i="19"/>
  <c r="H18" i="19"/>
  <c r="Z11" i="24"/>
  <c r="Z5" i="24" s="1"/>
  <c r="R18" i="19"/>
  <c r="N19" i="19" s="1"/>
  <c r="P18" i="19"/>
  <c r="M19" i="19" s="1"/>
  <c r="I18" i="19"/>
  <c r="I42" i="19" s="1"/>
  <c r="AJ4" i="24"/>
  <c r="AL13" i="24"/>
  <c r="AK4" i="24"/>
  <c r="AM13" i="24"/>
  <c r="F20" i="19"/>
  <c r="E9" i="19"/>
  <c r="I381" i="22"/>
  <c r="I383" i="22"/>
  <c r="I382" i="22"/>
  <c r="H15" i="23"/>
  <c r="J19" i="19"/>
  <c r="AA11" i="24"/>
  <c r="AA5" i="24" s="1"/>
  <c r="Y11" i="24"/>
  <c r="J382" i="22"/>
  <c r="J381" i="22"/>
  <c r="J383" i="22"/>
  <c r="AL6" i="25"/>
  <c r="AL12" i="25" s="1"/>
  <c r="AM6" i="25"/>
  <c r="AM12" i="25" s="1"/>
  <c r="Y381" i="25"/>
  <c r="Y382" i="25"/>
  <c r="Y383" i="25"/>
  <c r="X9" i="25"/>
  <c r="H42" i="19" l="1"/>
  <c r="I19" i="19"/>
  <c r="I43" i="19" s="1"/>
  <c r="R19" i="19"/>
  <c r="N20" i="19" s="1"/>
  <c r="P19" i="19"/>
  <c r="M20" i="19" s="1"/>
  <c r="H19" i="19"/>
  <c r="AL13" i="25"/>
  <c r="AJ4" i="25"/>
  <c r="AK4" i="25"/>
  <c r="AM13" i="25"/>
  <c r="F9" i="19"/>
  <c r="J20" i="19"/>
  <c r="AA11" i="25"/>
  <c r="AA5" i="25" s="1"/>
  <c r="Z11" i="25"/>
  <c r="Z5" i="25" s="1"/>
  <c r="Y11" i="25"/>
  <c r="J15" i="23"/>
  <c r="I15" i="23"/>
  <c r="H43" i="19" l="1"/>
  <c r="I20" i="19"/>
  <c r="I44" i="19" s="1"/>
  <c r="I33" i="19" s="1"/>
  <c r="P20" i="19"/>
  <c r="H20" i="19"/>
  <c r="H44" i="19" s="1"/>
  <c r="R20" i="19"/>
  <c r="J382" i="23"/>
  <c r="J381" i="23"/>
  <c r="J383" i="23"/>
  <c r="I383" i="23"/>
  <c r="I381" i="23"/>
  <c r="I382" i="23"/>
  <c r="H15" i="24"/>
  <c r="J9" i="19"/>
  <c r="O33" i="19" l="1"/>
  <c r="N33" i="19" s="1"/>
  <c r="O35" i="19"/>
  <c r="N35" i="19" s="1"/>
  <c r="H33" i="19"/>
  <c r="O36" i="19"/>
  <c r="N36" i="19" s="1"/>
  <c r="O34" i="19"/>
  <c r="H9" i="19"/>
  <c r="I9" i="19"/>
  <c r="I15" i="24"/>
  <c r="J15" i="24"/>
  <c r="N34" i="19" l="1"/>
  <c r="N32" i="19" s="1"/>
  <c r="O32" i="19"/>
  <c r="J382" i="24"/>
  <c r="J381" i="24"/>
  <c r="J383" i="24"/>
  <c r="I383" i="24"/>
  <c r="I381" i="24"/>
  <c r="I382" i="24"/>
  <c r="H15" i="25"/>
  <c r="I15" i="25" l="1"/>
  <c r="J15" i="25"/>
  <c r="J382" i="25" l="1"/>
  <c r="J383" i="25"/>
  <c r="J381" i="25"/>
  <c r="I383" i="25"/>
  <c r="I381" i="25"/>
  <c r="I382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0,55% garanti par Longi solar modules LR4-60HPH 37
5Wc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<sst xmlns="http://schemas.openxmlformats.org/spreadsheetml/2006/main" count="2101" uniqueCount="374">
  <si>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</si>
  <si>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</si>
  <si>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</si>
  <si>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</si>
  <si>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</si>
  <si>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</si>
  <si>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</si>
  <si>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</si>
  <si>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</si>
  <si>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</si>
  <si>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</si>
  <si>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</si>
  <si>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</si>
  <si>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</si>
  <si>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</si>
  <si>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</si>
  <si>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</si>
  <si>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</si>
  <si>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</si>
  <si>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</si>
  <si>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</si>
  <si>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</si>
  <si>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</si>
  <si>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</si>
  <si>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</si>
  <si>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</si>
  <si>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</si>
  <si>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</si>
  <si>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</si>
  <si>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</si>
  <si>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</si>
  <si>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</si>
  <si>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</si>
  <si>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</si>
  <si>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</si>
  <si>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</si>
  <si>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</si>
  <si>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</si>
  <si>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</si>
  <si>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</si>
  <si>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</si>
  <si>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</si>
  <si>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</si>
  <si>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</si>
  <si>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</si>
  <si>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</si>
  <si>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</si>
  <si>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</si>
  <si>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</si>
  <si>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</si>
  <si>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</si>
  <si>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</si>
  <si>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</si>
  <si>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</si>
  <si>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</si>
  <si>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</si>
  <si>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</si>
  <si>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</si>
  <si>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</si>
  <si>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</si>
  <si>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</si>
  <si>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</si>
  <si>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</si>
  <si>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</si>
  <si>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</si>
  <si>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</si>
  <si>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</si>
  <si>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</si>
  <si>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</si>
  <si>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</si>
  <si>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</si>
  <si>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</si>
  <si>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</si>
  <si>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</si>
  <si>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</si>
  <si>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</si>
  <si>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</si>
  <si>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</si>
  <si>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</si>
  <si>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</si>
  <si>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</si>
  <si>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</si>
  <si>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</si>
  <si>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</si>
  <si>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</si>
  <si>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</si>
  <si>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</si>
  <si>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</si>
  <si>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</si>
  <si>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</si>
  <si>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</si>
  <si>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</si>
  <si>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</si>
  <si>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</si>
  <si>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</si>
  <si>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</si>
  <si>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</si>
  <si>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</si>
  <si>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</si>
  <si>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</si>
  <si>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</si>
  <si>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</si>
  <si>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</si>
  <si>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</si>
  <si>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</si>
  <si>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</si>
  <si>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</si>
  <si>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</si>
  <si>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</si>
  <si>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</si>
  <si>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</si>
  <si>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</si>
  <si>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</si>
  <si>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</si>
  <si>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</si>
  <si>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</si>
  <si>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</si>
  <si>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</si>
  <si>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</si>
  <si>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</si>
  <si>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</si>
  <si>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</si>
  <si>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</si>
  <si>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</si>
  <si>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</si>
  <si>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</si>
  <si>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</si>
  <si>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</si>
  <si>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</si>
  <si>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</si>
  <si>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</si>
  <si>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</si>
  <si>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</si>
  <si>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</si>
  <si>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</si>
  <si>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</si>
  <si>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</si>
  <si>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</si>
  <si>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</si>
  <si>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</si>
  <si>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</si>
  <si>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</si>
  <si>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</si>
  <si>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</si>
  <si>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</si>
  <si>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</si>
  <si>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</si>
  <si>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</si>
  <si>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</si>
  <si>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</si>
  <si>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</si>
  <si>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</si>
  <si>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</si>
  <si>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</si>
  <si>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</si>
  <si>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</si>
  <si>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</si>
  <si>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</si>
  <si>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</si>
  <si>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</si>
  <si>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</si>
  <si>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</si>
  <si>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</si>
  <si>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</si>
  <si>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</si>
  <si>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</si>
  <si>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</si>
  <si>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</si>
  <si>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</si>
  <si>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</si>
  <si>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</si>
  <si>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</si>
  <si>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</si>
  <si>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</si>
  <si>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</si>
  <si>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</si>
  <si>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</si>
  <si>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</si>
  <si>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</si>
  <si>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</si>
  <si>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</si>
  <si>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</si>
  <si>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</si>
  <si>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</si>
  <si>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</si>
  <si>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</si>
  <si>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</si>
  <si>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</si>
  <si>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</si>
  <si>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</si>
  <si>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</si>
  <si>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</si>
  <si>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</si>
  <si>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</si>
  <si>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</si>
  <si>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</si>
  <si>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</si>
  <si>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</si>
  <si>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</si>
  <si>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</si>
  <si>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</si>
  <si>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</si>
  <si>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</si>
  <si>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</si>
  <si>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</si>
  <si>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</si>
  <si>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</si>
  <si>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</si>
  <si>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</si>
  <si>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</si>
  <si>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</si>
  <si>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</si>
  <si>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</si>
  <si>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</si>
  <si>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</si>
  <si>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</si>
  <si>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</si>
  <si>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</si>
  <si>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</si>
  <si>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</si>
  <si>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</si>
  <si>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</si>
  <si>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</si>
  <si>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</si>
  <si>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</si>
  <si>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</si>
  <si>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</si>
  <si>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</si>
  <si>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</si>
  <si>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</si>
  <si>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</si>
  <si>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</si>
  <si>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</si>
  <si>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</si>
  <si>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</si>
  <si>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</si>
  <si>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</si>
  <si>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</si>
  <si>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</si>
  <si>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</si>
  <si>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</si>
  <si>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</si>
  <si>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</si>
  <si>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</si>
  <si>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</si>
  <si>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</si>
  <si>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</si>
  <si>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</si>
  <si>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</si>
  <si>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</si>
  <si>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</si>
  <si>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</si>
  <si>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</si>
  <si>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</si>
  <si>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</si>
  <si>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</si>
  <si>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</si>
  <si>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</si>
  <si>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</si>
  <si>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</si>
  <si>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</si>
  <si>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</si>
  <si>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</si>
  <si>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</si>
  <si>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</si>
  <si>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</si>
  <si>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</si>
  <si>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</si>
  <si>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</si>
  <si>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</si>
  <si>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</si>
  <si>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</si>
  <si>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</si>
  <si>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</si>
  <si>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</si>
  <si>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</si>
  <si>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</si>
  <si>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</si>
  <si>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</si>
  <si>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</si>
  <si>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</si>
  <si>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</si>
  <si>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</si>
  <si>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</si>
  <si>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</si>
  <si>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</si>
  <si>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</si>
  <si>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</si>
  <si>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</si>
  <si>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</si>
  <si>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</si>
  <si>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</si>
  <si>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</si>
  <si>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</si>
  <si>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</si>
  <si>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</si>
  <si>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</si>
  <si>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C.: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</si>
  <si>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</si>
  <si>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</si>
  <si>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</si>
  <si>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</si>
  <si>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</si>
  <si>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</si>
  <si>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</si>
  <si>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</si>
  <si>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</si>
  <si>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</si>
  <si>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</si>
  <si>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</si>
  <si>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</si>
  <si>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</si>
  <si>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</si>
  <si>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</si>
  <si>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</si>
  <si>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</si>
  <si>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</si>
  <si>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</si>
  <si>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</si>
  <si>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</si>
  <si>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</si>
  <si>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</si>
  <si>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</si>
  <si>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</si>
  <si>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</si>
  <si>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</si>
  <si>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</si>
  <si>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</si>
  <si>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</si>
  <si>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</si>
  <si>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</si>
  <si>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</si>
  <si>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S.D.I.S. Montgiscard</t>
  </si>
  <si>
    <t>espanes 6/12</t>
  </si>
  <si>
    <t>Toiture G</t>
  </si>
  <si>
    <t>Arbre 7</t>
  </si>
  <si>
    <t>Arbre 8</t>
  </si>
  <si>
    <t>Arbre 9</t>
  </si>
  <si>
    <t>Arbre 10</t>
  </si>
  <si>
    <t>Arbre 11</t>
  </si>
  <si>
    <t>Arbre 12</t>
  </si>
  <si>
    <t>Arbre 13</t>
  </si>
  <si>
    <t>Arbre 14</t>
  </si>
  <si>
    <t>Arbre 15</t>
  </si>
  <si>
    <t>C</t>
  </si>
  <si>
    <t>Cloture angle Est</t>
  </si>
  <si>
    <t>Cloture angle Sud</t>
  </si>
  <si>
    <t>Montgiscard SDIS Sud Ouest</t>
  </si>
  <si>
    <t>Montgiscard SDIS Nord Est</t>
  </si>
  <si>
    <t>Entrée 1ere Bicoque au Nord Est</t>
  </si>
  <si>
    <t>creux</t>
  </si>
  <si>
    <t>Coin sud CPV</t>
  </si>
  <si>
    <t>Hauteur 0 = Cloture angle est SDIS</t>
  </si>
  <si>
    <t>G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</si>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</sst>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62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1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9" fontId="109" fillId="0" borderId="35" xfId="0" applyNumberFormat="1" applyFont="1" applyBorder="1" applyAlignment="1" applyProtection="1">
      <alignment horizontal="center"/>
      <protection locked="0"/>
    </xf>
    <xf numFmtId="2" fontId="100" fillId="0" borderId="0" xfId="0" applyNumberFormat="1" applyFont="1" applyFill="1" applyBorder="1" applyProtection="1">
      <protection locked="0"/>
    </xf>
    <xf numFmtId="168" fontId="40" fillId="0" borderId="18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7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2" fontId="93" fillId="34" borderId="22" xfId="0" applyNumberFormat="1" applyFont="1" applyFill="1" applyBorder="1" applyProtection="1"/>
    <xf numFmtId="0" fontId="0" fillId="33" borderId="6" xfId="0" applyFill="1" applyBorder="1" applyAlignment="1" applyProtection="1">
      <alignment horizontal="center" vertical="center"/>
    </xf>
    <xf numFmtId="166" fontId="31" fillId="0" borderId="13" xfId="0" quotePrefix="1" applyNumberFormat="1" applyFont="1" applyBorder="1" applyProtection="1"/>
    <xf numFmtId="166" fontId="31" fillId="0" borderId="5" xfId="0" quotePrefix="1" applyNumberFormat="1" applyFont="1" applyBorder="1" applyProtection="1"/>
    <xf numFmtId="166" fontId="31" fillId="0" borderId="11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0" xfId="0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4" xfId="0" quotePrefix="1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1" xfId="0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0" fontId="34" fillId="0" borderId="6" xfId="33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1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7.112625280918853</c:v>
                </c:pt>
                <c:pt idx="6">
                  <c:v>6.821953597769931</c:v>
                </c:pt>
                <c:pt idx="7">
                  <c:v>6.0827600330178981</c:v>
                </c:pt>
                <c:pt idx="8">
                  <c:v>5.0944670944298958</c:v>
                </c:pt>
                <c:pt idx="9">
                  <c:v>3.7998689759698356</c:v>
                </c:pt>
                <c:pt idx="10">
                  <c:v>2.5955073444707137</c:v>
                </c:pt>
                <c:pt idx="11">
                  <c:v>1.9108614027620487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2.303335035196441</c:v>
                </c:pt>
                <c:pt idx="1">
                  <c:v>3.4198258898255309</c:v>
                </c:pt>
                <c:pt idx="2">
                  <c:v>4.8027926651767041</c:v>
                </c:pt>
                <c:pt idx="3">
                  <c:v>6.1472661054255084</c:v>
                </c:pt>
                <c:pt idx="4">
                  <c:v>7.0139030823795459</c:v>
                </c:pt>
                <c:pt idx="5">
                  <c:v>7.1545897858096703</c:v>
                </c:pt>
                <c:pt idx="6">
                  <c:v>6.8609200652999869</c:v>
                </c:pt>
                <c:pt idx="7">
                  <c:v>6.1157628676085167</c:v>
                </c:pt>
                <c:pt idx="8">
                  <c:v>5.120474420651127</c:v>
                </c:pt>
                <c:pt idx="9">
                  <c:v>3.8171996375756345</c:v>
                </c:pt>
                <c:pt idx="10">
                  <c:v>2.5999094653955992</c:v>
                </c:pt>
                <c:pt idx="11">
                  <c:v>1.9127758786456264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2.3056082157322622</c:v>
                </c:pt>
                <c:pt idx="1">
                  <c:v>3.4521397487377921</c:v>
                </c:pt>
                <c:pt idx="2">
                  <c:v>4.8678057002086188</c:v>
                </c:pt>
                <c:pt idx="3">
                  <c:v>6.1925754627036707</c:v>
                </c:pt>
                <c:pt idx="4">
                  <c:v>6.8306108983896507</c:v>
                </c:pt>
                <c:pt idx="5">
                  <c:v>6.9552776219917209</c:v>
                </c:pt>
                <c:pt idx="6">
                  <c:v>6.6571953023423998</c:v>
                </c:pt>
                <c:pt idx="7">
                  <c:v>5.925027328500593</c:v>
                </c:pt>
                <c:pt idx="8">
                  <c:v>4.9494348123672616</c:v>
                </c:pt>
                <c:pt idx="9">
                  <c:v>3.6772745588005424</c:v>
                </c:pt>
                <c:pt idx="10">
                  <c:v>2.4973591505270942</c:v>
                </c:pt>
                <c:pt idx="11">
                  <c:v>1.8552036440061501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2.2460725985057959</c:v>
                </c:pt>
                <c:pt idx="1">
                  <c:v>3.3494925856949478</c:v>
                </c:pt>
                <c:pt idx="2">
                  <c:v>4.7111233460550102</c:v>
                </c:pt>
                <c:pt idx="3">
                  <c:v>6.0332159248306505</c:v>
                </c:pt>
                <c:pt idx="4">
                  <c:v>6.9440163285065744</c:v>
                </c:pt>
                <c:pt idx="5">
                  <c:v>7.083338083393464</c:v>
                </c:pt>
                <c:pt idx="6">
                  <c:v>6.7925702445672451</c:v>
                </c:pt>
                <c:pt idx="7">
                  <c:v>6.0546145860564016</c:v>
                </c:pt>
                <c:pt idx="8">
                  <c:v>5.069008647152689</c:v>
                </c:pt>
                <c:pt idx="9">
                  <c:v>3.7771602653431233</c:v>
                </c:pt>
                <c:pt idx="10">
                  <c:v>2.5601727644018437</c:v>
                </c:pt>
                <c:pt idx="11">
                  <c:v>1.8814379096884362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2.2699908276664775</c:v>
                </c:pt>
                <c:pt idx="1">
                  <c:v>3.390597903045713</c:v>
                </c:pt>
                <c:pt idx="2">
                  <c:v>4.7701120181415941</c:v>
                </c:pt>
                <c:pt idx="3">
                  <c:v>6.0976727553590502</c:v>
                </c:pt>
                <c:pt idx="4">
                  <c:v>6.7515279257256244</c:v>
                </c:pt>
                <c:pt idx="5">
                  <c:v>6.8880666374883992</c:v>
                </c:pt>
                <c:pt idx="6">
                  <c:v>6.607907420735561</c:v>
                </c:pt>
                <c:pt idx="7">
                  <c:v>5.8933192885927577</c:v>
                </c:pt>
                <c:pt idx="8">
                  <c:v>4.936997072415906</c:v>
                </c:pt>
                <c:pt idx="9">
                  <c:v>3.6800649006235142</c:v>
                </c:pt>
                <c:pt idx="10">
                  <c:v>2.4902735688267836</c:v>
                </c:pt>
                <c:pt idx="11">
                  <c:v>1.8304880569596331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2.2111339035396491</c:v>
                </c:pt>
                <c:pt idx="1">
                  <c:v>3.310396985975621</c:v>
                </c:pt>
                <c:pt idx="2">
                  <c:v>4.664096483355717</c:v>
                </c:pt>
                <c:pt idx="3">
                  <c:v>5.9731277263511329</c:v>
                </c:pt>
                <c:pt idx="4">
                  <c:v>6.8749053271911418</c:v>
                </c:pt>
                <c:pt idx="5">
                  <c:v>7.0128876704057861</c:v>
                </c:pt>
                <c:pt idx="6">
                  <c:v>6.7249828147809758</c:v>
                </c:pt>
                <c:pt idx="7">
                  <c:v>5.9941230050020851</c:v>
                </c:pt>
                <c:pt idx="8">
                  <c:v>5.018128221000719</c:v>
                </c:pt>
                <c:pt idx="9">
                  <c:v>3.7359837263045454</c:v>
                </c:pt>
                <c:pt idx="10">
                  <c:v>2.5192860449588448</c:v>
                </c:pt>
                <c:pt idx="11">
                  <c:v>1.8494627402684998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2.2342106733328739</c:v>
                </c:pt>
                <c:pt idx="1">
                  <c:v>3.3497053092739986</c:v>
                </c:pt>
                <c:pt idx="2">
                  <c:v>4.7222660146072295</c:v>
                </c:pt>
                <c:pt idx="3">
                  <c:v>6.0367048002391117</c:v>
                </c:pt>
                <c:pt idx="4">
                  <c:v>6.6843249848368851</c:v>
                </c:pt>
                <c:pt idx="5">
                  <c:v>6.8195559722067483</c:v>
                </c:pt>
                <c:pt idx="6">
                  <c:v>6.542151295611137</c:v>
                </c:pt>
                <c:pt idx="7">
                  <c:v>5.8344157463233683</c:v>
                </c:pt>
                <c:pt idx="8">
                  <c:v>4.8874213972397333</c:v>
                </c:pt>
                <c:pt idx="9">
                  <c:v>3.6394586782183365</c:v>
                </c:pt>
                <c:pt idx="10">
                  <c:v>2.4503314762001573</c:v>
                </c:pt>
                <c:pt idx="11">
                  <c:v>1.799136777995904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2.1760076170797742</c:v>
                </c:pt>
                <c:pt idx="1">
                  <c:v>3.2698014910771822</c:v>
                </c:pt>
                <c:pt idx="2">
                  <c:v>4.6170847558256058</c:v>
                </c:pt>
                <c:pt idx="3">
                  <c:v>5.9140913373313548</c:v>
                </c:pt>
                <c:pt idx="4">
                  <c:v>6.8065851769713408</c:v>
                </c:pt>
                <c:pt idx="5">
                  <c:v>6.9430977816037505</c:v>
                </c:pt>
                <c:pt idx="6">
                  <c:v>6.6581166072534854</c:v>
                </c:pt>
                <c:pt idx="7">
                  <c:v>5.9350518710614661</c:v>
                </c:pt>
                <c:pt idx="8">
                  <c:v>4.9692701131752788</c:v>
                </c:pt>
                <c:pt idx="9">
                  <c:v>3.7051542915771289</c:v>
                </c:pt>
                <c:pt idx="10">
                  <c:v>2.5300151259436054</c:v>
                </c:pt>
                <c:pt idx="11">
                  <c:v>1.8620189593966114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2.2438399668740261</c:v>
                </c:pt>
                <c:pt idx="1">
                  <c:v>3.3304225963317031</c:v>
                </c:pt>
                <c:pt idx="2">
                  <c:v>4.6761286429044322</c:v>
                </c:pt>
                <c:pt idx="3">
                  <c:v>5.9773491349115657</c:v>
                </c:pt>
                <c:pt idx="4">
                  <c:v>6.6179150911219233</c:v>
                </c:pt>
                <c:pt idx="5">
                  <c:v>6.7516954206738014</c:v>
                </c:pt>
                <c:pt idx="6">
                  <c:v>6.4771188699672386</c:v>
                </c:pt>
                <c:pt idx="7">
                  <c:v>5.7770079875116602</c:v>
                </c:pt>
                <c:pt idx="8">
                  <c:v>4.8399353653349637</c:v>
                </c:pt>
                <c:pt idx="9">
                  <c:v>3.610913761772097</c:v>
                </c:pt>
                <c:pt idx="10">
                  <c:v>2.4619782202109692</c:v>
                </c:pt>
                <c:pt idx="11">
                  <c:v>1.8126849987935634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2.1861571976450396</c:v>
                </c:pt>
                <c:pt idx="1">
                  <c:v>3.2530981725142336</c:v>
                </c:pt>
                <c:pt idx="2">
                  <c:v>4.5722756352400191</c:v>
                </c:pt>
                <c:pt idx="3">
                  <c:v>5.8553361632554353</c:v>
                </c:pt>
                <c:pt idx="4">
                  <c:v>6.7388639248309694</c:v>
                </c:pt>
                <c:pt idx="5">
                  <c:v>6.8740484066092158</c:v>
                </c:pt>
                <c:pt idx="6">
                  <c:v>6.5918834723377291</c:v>
                </c:pt>
                <c:pt idx="7">
                  <c:v>5.8758448391513642</c:v>
                </c:pt>
                <c:pt idx="8">
                  <c:v>4.9194773198045514</c:v>
                </c:pt>
                <c:pt idx="9">
                  <c:v>3.6665905334664859</c:v>
                </c:pt>
                <c:pt idx="10">
                  <c:v>2.4915824339815198</c:v>
                </c:pt>
                <c:pt idx="11">
                  <c:v>1.8321116308996901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612200"/>
        <c:axId val="372611416"/>
      </c:lineChart>
      <c:dateAx>
        <c:axId val="372612200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61141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2611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61220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2.540745451761306E-2</c:v>
                </c:pt>
                <c:pt idx="1">
                  <c:v>2.582095156418962E-2</c:v>
                </c:pt>
                <c:pt idx="2">
                  <c:v>2.6194281973451528E-2</c:v>
                </c:pt>
                <c:pt idx="3">
                  <c:v>2.660744518736069E-2</c:v>
                </c:pt>
                <c:pt idx="4">
                  <c:v>2.7007113650154624E-2</c:v>
                </c:pt>
                <c:pt idx="5">
                  <c:v>2.7419931998407643E-2</c:v>
                </c:pt>
                <c:pt idx="6">
                  <c:v>2.7819266859559488E-2</c:v>
                </c:pt>
                <c:pt idx="7">
                  <c:v>2.8231740630014213E-2</c:v>
                </c:pt>
                <c:pt idx="8">
                  <c:v>2.8644039397400678E-2</c:v>
                </c:pt>
                <c:pt idx="9">
                  <c:v>2.9042871648254032E-2</c:v>
                </c:pt>
                <c:pt idx="10">
                  <c:v>2.9454826271534285E-2</c:v>
                </c:pt>
                <c:pt idx="11">
                  <c:v>2.985332561872811E-2</c:v>
                </c:pt>
                <c:pt idx="12">
                  <c:v>3.0264936385157926E-2</c:v>
                </c:pt>
                <c:pt idx="13">
                  <c:v>3.0676372514672035E-2</c:v>
                </c:pt>
                <c:pt idx="14">
                  <c:v>3.1047842202033271E-2</c:v>
                </c:pt>
                <c:pt idx="15">
                  <c:v>3.1458946162740475E-2</c:v>
                </c:pt>
                <c:pt idx="16">
                  <c:v>3.1856622631731391E-2</c:v>
                </c:pt>
                <c:pt idx="17">
                  <c:v>3.2267383445632736E-2</c:v>
                </c:pt>
                <c:pt idx="18">
                  <c:v>3.2664727975690644E-2</c:v>
                </c:pt>
                <c:pt idx="19">
                  <c:v>3.3075145929209349E-2</c:v>
                </c:pt>
                <c:pt idx="20">
                  <c:v>3.3485389751895189E-2</c:v>
                </c:pt>
                <c:pt idx="21">
                  <c:v>3.3882234176722426E-2</c:v>
                </c:pt>
                <c:pt idx="22">
                  <c:v>3.4292135570556104E-2</c:v>
                </c:pt>
                <c:pt idx="23">
                  <c:v>3.4688648750954232E-2</c:v>
                </c:pt>
                <c:pt idx="24">
                  <c:v>3.5111416697004572E-2</c:v>
                </c:pt>
                <c:pt idx="25">
                  <c:v>3.552079657716134E-2</c:v>
                </c:pt>
                <c:pt idx="26">
                  <c:v>3.5890409756911601E-2</c:v>
                </c:pt>
                <c:pt idx="27">
                  <c:v>3.6299459128353639E-2</c:v>
                </c:pt>
                <c:pt idx="28">
                  <c:v>3.6695148115144849E-2</c:v>
                </c:pt>
                <c:pt idx="29">
                  <c:v>3.7103856054738427E-2</c:v>
                </c:pt>
                <c:pt idx="30">
                  <c:v>3.7499214761539834E-2</c:v>
                </c:pt>
                <c:pt idx="31">
                  <c:v>3.7907581554276537E-2</c:v>
                </c:pt>
                <c:pt idx="32">
                  <c:v>3.8315775086440462E-2</c:v>
                </c:pt>
                <c:pt idx="33">
                  <c:v>3.8710636187405445E-2</c:v>
                </c:pt>
                <c:pt idx="34">
                  <c:v>3.9118489002086365E-2</c:v>
                </c:pt>
                <c:pt idx="35">
                  <c:v>3.9513020514094555E-2</c:v>
                </c:pt>
                <c:pt idx="36">
                  <c:v>3.9920532895687977E-2</c:v>
                </c:pt>
                <c:pt idx="37">
                  <c:v>4.0327872379215424E-2</c:v>
                </c:pt>
                <c:pt idx="38">
                  <c:v>4.0695643364166423E-2</c:v>
                </c:pt>
                <c:pt idx="39">
                  <c:v>4.1102653986272775E-2</c:v>
                </c:pt>
                <c:pt idx="40">
                  <c:v>4.1496370813429162E-2</c:v>
                </c:pt>
                <c:pt idx="41">
                  <c:v>4.1903041705422805E-2</c:v>
                </c:pt>
                <c:pt idx="42">
                  <c:v>4.229642989874316E-2</c:v>
                </c:pt>
                <c:pt idx="43">
                  <c:v>4.2702761344195261E-2</c:v>
                </c:pt>
                <c:pt idx="44">
                  <c:v>4.3108920392625372E-2</c:v>
                </c:pt>
                <c:pt idx="45">
                  <c:v>4.3501813460234184E-2</c:v>
                </c:pt>
                <c:pt idx="46">
                  <c:v>4.3907633489356557E-2</c:v>
                </c:pt>
                <c:pt idx="47">
                  <c:v>4.4300198610717989E-2</c:v>
                </c:pt>
                <c:pt idx="48">
                  <c:v>4.4705679903510709E-2</c:v>
                </c:pt>
                <c:pt idx="49">
                  <c:v>4.5110989159981352E-2</c:v>
                </c:pt>
                <c:pt idx="50">
                  <c:v>4.5476927131844924E-2</c:v>
                </c:pt>
                <c:pt idx="51">
                  <c:v>4.5881909165977897E-2</c:v>
                </c:pt>
                <c:pt idx="52">
                  <c:v>4.6273663662971032E-2</c:v>
                </c:pt>
                <c:pt idx="53">
                  <c:v>4.6678307660245388E-2</c:v>
                </c:pt>
                <c:pt idx="54">
                  <c:v>4.7069735161351489E-2</c:v>
                </c:pt>
                <c:pt idx="55">
                  <c:v>4.7474041403925082E-2</c:v>
                </c:pt>
                <c:pt idx="56">
                  <c:v>4.7878176108723247E-2</c:v>
                </c:pt>
                <c:pt idx="57">
                  <c:v>4.8269110951881689E-2</c:v>
                </c:pt>
                <c:pt idx="58">
                  <c:v>4.8672908327083597E-2</c:v>
                </c:pt>
                <c:pt idx="59">
                  <c:v>4.906351685851662E-2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3.4798620597959143E-2</c:v>
                </c:pt>
                <c:pt idx="1">
                  <c:v>3.6060889678252175E-2</c:v>
                </c:pt>
                <c:pt idx="2">
                  <c:v>3.7187486996754053E-2</c:v>
                </c:pt>
                <c:pt idx="3">
                  <c:v>3.8550105353292979E-2</c:v>
                </c:pt>
                <c:pt idx="4">
                  <c:v>1.1103264166585922E-3</c:v>
                </c:pt>
                <c:pt idx="5">
                  <c:v>3.4257618901518123E-3</c:v>
                </c:pt>
                <c:pt idx="6">
                  <c:v>5.6299006722728712E-3</c:v>
                </c:pt>
                <c:pt idx="7">
                  <c:v>7.8163497238483148E-3</c:v>
                </c:pt>
                <c:pt idx="8">
                  <c:v>9.9089403711630861E-3</c:v>
                </c:pt>
                <c:pt idx="9">
                  <c:v>1.1772073770290548E-2</c:v>
                </c:pt>
                <c:pt idx="10">
                  <c:v>1.3472353892820317E-2</c:v>
                </c:pt>
                <c:pt idx="11">
                  <c:v>1.5126720739303667E-2</c:v>
                </c:pt>
                <c:pt idx="12">
                  <c:v>1.6911344862095584E-2</c:v>
                </c:pt>
                <c:pt idx="13">
                  <c:v>1.8672822209208531E-2</c:v>
                </c:pt>
                <c:pt idx="14">
                  <c:v>2.0230679920103148E-2</c:v>
                </c:pt>
                <c:pt idx="15">
                  <c:v>2.1995256554298806E-2</c:v>
                </c:pt>
                <c:pt idx="16">
                  <c:v>2.3929536837938786E-2</c:v>
                </c:pt>
                <c:pt idx="17">
                  <c:v>2.6059925759156673E-2</c:v>
                </c:pt>
                <c:pt idx="18">
                  <c:v>2.7834747477213418E-2</c:v>
                </c:pt>
                <c:pt idx="19">
                  <c:v>2.940113297821037E-2</c:v>
                </c:pt>
                <c:pt idx="20">
                  <c:v>3.0821802256283105E-2</c:v>
                </c:pt>
                <c:pt idx="21">
                  <c:v>3.1896397547139708E-2</c:v>
                </c:pt>
                <c:pt idx="22">
                  <c:v>3.2634707112477061E-2</c:v>
                </c:pt>
                <c:pt idx="23">
                  <c:v>3.3560944134461548E-2</c:v>
                </c:pt>
                <c:pt idx="24">
                  <c:v>3.4839893201582345E-2</c:v>
                </c:pt>
                <c:pt idx="25">
                  <c:v>3.6101010422574603E-2</c:v>
                </c:pt>
                <c:pt idx="26">
                  <c:v>3.7226612662815461E-2</c:v>
                </c:pt>
                <c:pt idx="27">
                  <c:v>3.8588303551979716E-2</c:v>
                </c:pt>
                <c:pt idx="28">
                  <c:v>1.1103264166585922E-3</c:v>
                </c:pt>
                <c:pt idx="29">
                  <c:v>3.4257618901518123E-3</c:v>
                </c:pt>
                <c:pt idx="30">
                  <c:v>5.6299006722728712E-3</c:v>
                </c:pt>
                <c:pt idx="31">
                  <c:v>7.8163497238483148E-3</c:v>
                </c:pt>
                <c:pt idx="32">
                  <c:v>9.9089403711630861E-3</c:v>
                </c:pt>
                <c:pt idx="33">
                  <c:v>1.1772073770290548E-2</c:v>
                </c:pt>
                <c:pt idx="34">
                  <c:v>1.3472353892820317E-2</c:v>
                </c:pt>
                <c:pt idx="35">
                  <c:v>1.5126720739303667E-2</c:v>
                </c:pt>
                <c:pt idx="36">
                  <c:v>1.6911344862095584E-2</c:v>
                </c:pt>
                <c:pt idx="37">
                  <c:v>1.8672822209208531E-2</c:v>
                </c:pt>
                <c:pt idx="38">
                  <c:v>2.0230679920103148E-2</c:v>
                </c:pt>
                <c:pt idx="39">
                  <c:v>2.1995256554298806E-2</c:v>
                </c:pt>
                <c:pt idx="40">
                  <c:v>2.3929536837938786E-2</c:v>
                </c:pt>
                <c:pt idx="41">
                  <c:v>2.6059925759156673E-2</c:v>
                </c:pt>
                <c:pt idx="42">
                  <c:v>2.7834747477213418E-2</c:v>
                </c:pt>
                <c:pt idx="43">
                  <c:v>2.940113297821037E-2</c:v>
                </c:pt>
                <c:pt idx="44">
                  <c:v>3.0821802256283105E-2</c:v>
                </c:pt>
                <c:pt idx="45">
                  <c:v>3.1896397547139708E-2</c:v>
                </c:pt>
                <c:pt idx="46">
                  <c:v>3.2634707112477061E-2</c:v>
                </c:pt>
                <c:pt idx="47">
                  <c:v>3.3560944134461548E-2</c:v>
                </c:pt>
                <c:pt idx="48">
                  <c:v>3.4798620597959143E-2</c:v>
                </c:pt>
                <c:pt idx="49">
                  <c:v>3.6060889678252175E-2</c:v>
                </c:pt>
                <c:pt idx="50">
                  <c:v>3.7187486996754053E-2</c:v>
                </c:pt>
                <c:pt idx="51">
                  <c:v>3.8550105353292979E-2</c:v>
                </c:pt>
                <c:pt idx="52">
                  <c:v>1.1103264166585922E-3</c:v>
                </c:pt>
                <c:pt idx="53">
                  <c:v>3.4257618901518123E-3</c:v>
                </c:pt>
                <c:pt idx="54">
                  <c:v>5.6299006722728712E-3</c:v>
                </c:pt>
                <c:pt idx="55">
                  <c:v>7.8163497238483148E-3</c:v>
                </c:pt>
                <c:pt idx="56">
                  <c:v>9.9089403711630861E-3</c:v>
                </c:pt>
                <c:pt idx="57">
                  <c:v>1.1772073770290548E-2</c:v>
                </c:pt>
                <c:pt idx="58">
                  <c:v>1.3472353892820317E-2</c:v>
                </c:pt>
                <c:pt idx="59">
                  <c:v>1.5126720739303667E-2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1.401043494138611E-2</c:v>
                </c:pt>
                <c:pt idx="1">
                  <c:v>2.5866304127863497E-3</c:v>
                </c:pt>
                <c:pt idx="2">
                  <c:v>1.2148652869390586E-4</c:v>
                </c:pt>
                <c:pt idx="3">
                  <c:v>1.3123370482254798E-4</c:v>
                </c:pt>
                <c:pt idx="4">
                  <c:v>1.7533413231708928E-5</c:v>
                </c:pt>
                <c:pt idx="5">
                  <c:v>4.7260918703650025E-6</c:v>
                </c:pt>
                <c:pt idx="6">
                  <c:v>1.4570140183769799E-5</c:v>
                </c:pt>
                <c:pt idx="7">
                  <c:v>8.1735765025186337E-5</c:v>
                </c:pt>
                <c:pt idx="8">
                  <c:v>2.3859787070363943E-4</c:v>
                </c:pt>
                <c:pt idx="9">
                  <c:v>9.5574180789518908E-4</c:v>
                </c:pt>
                <c:pt idx="10">
                  <c:v>1.8876099897987456E-2</c:v>
                </c:pt>
                <c:pt idx="11">
                  <c:v>1.9787798641754811E-2</c:v>
                </c:pt>
                <c:pt idx="12">
                  <c:v>1.6841598145842192E-2</c:v>
                </c:pt>
                <c:pt idx="13">
                  <c:v>3.4935950755549056E-3</c:v>
                </c:pt>
                <c:pt idx="14">
                  <c:v>1.526411014149742E-4</c:v>
                </c:pt>
                <c:pt idx="15">
                  <c:v>1.6582588426414103E-4</c:v>
                </c:pt>
                <c:pt idx="16">
                  <c:v>2.2408897223990358E-5</c:v>
                </c:pt>
                <c:pt idx="17">
                  <c:v>6.0222390152248681E-6</c:v>
                </c:pt>
                <c:pt idx="18">
                  <c:v>1.8562886292183829E-5</c:v>
                </c:pt>
                <c:pt idx="19">
                  <c:v>1.0198970719429995E-4</c:v>
                </c:pt>
                <c:pt idx="20">
                  <c:v>2.8456213953639712E-4</c:v>
                </c:pt>
                <c:pt idx="21">
                  <c:v>1.2767959119617525E-3</c:v>
                </c:pt>
                <c:pt idx="22">
                  <c:v>2.2104575026034332E-2</c:v>
                </c:pt>
                <c:pt idx="23">
                  <c:v>2.3506702017518255E-2</c:v>
                </c:pt>
                <c:pt idx="24">
                  <c:v>1.9744863943171879E-2</c:v>
                </c:pt>
                <c:pt idx="25">
                  <c:v>4.654588263771805E-3</c:v>
                </c:pt>
                <c:pt idx="26">
                  <c:v>1.8319631948527024E-4</c:v>
                </c:pt>
                <c:pt idx="27">
                  <c:v>5.5590220312453088E-7</c:v>
                </c:pt>
                <c:pt idx="28">
                  <c:v>4.9380372825329876E-7</c:v>
                </c:pt>
                <c:pt idx="29">
                  <c:v>3.2096465404917696E-7</c:v>
                </c:pt>
                <c:pt idx="30">
                  <c:v>1.3046281236720057E-6</c:v>
                </c:pt>
                <c:pt idx="31">
                  <c:v>9.7262831517255853E-6</c:v>
                </c:pt>
                <c:pt idx="32">
                  <c:v>3.1154905162973688E-5</c:v>
                </c:pt>
                <c:pt idx="33">
                  <c:v>9.7794515739719925E-5</c:v>
                </c:pt>
                <c:pt idx="34">
                  <c:v>2.9433254314525491E-3</c:v>
                </c:pt>
                <c:pt idx="35">
                  <c:v>2.8289863215310777E-3</c:v>
                </c:pt>
                <c:pt idx="36">
                  <c:v>2.6378676890773329E-3</c:v>
                </c:pt>
                <c:pt idx="37">
                  <c:v>3.4259027684951649E-4</c:v>
                </c:pt>
                <c:pt idx="38">
                  <c:v>1.934681695777891E-5</c:v>
                </c:pt>
                <c:pt idx="39">
                  <c:v>1.5454891101000326E-5</c:v>
                </c:pt>
                <c:pt idx="40">
                  <c:v>2.9253190910908884E-6</c:v>
                </c:pt>
                <c:pt idx="41">
                  <c:v>9.6505763053164395E-7</c:v>
                </c:pt>
                <c:pt idx="42">
                  <c:v>3.0318489892301787E-6</c:v>
                </c:pt>
                <c:pt idx="43">
                  <c:v>2.0701577875435258E-5</c:v>
                </c:pt>
                <c:pt idx="44">
                  <c:v>6.4627489893903536E-5</c:v>
                </c:pt>
                <c:pt idx="45">
                  <c:v>2.0185633697753679E-4</c:v>
                </c:pt>
                <c:pt idx="46">
                  <c:v>6.0548340572253488E-3</c:v>
                </c:pt>
                <c:pt idx="47">
                  <c:v>5.8068341675242188E-3</c:v>
                </c:pt>
                <c:pt idx="48">
                  <c:v>5.4128407652025423E-3</c:v>
                </c:pt>
                <c:pt idx="49">
                  <c:v>7.0320748256273203E-4</c:v>
                </c:pt>
                <c:pt idx="50">
                  <c:v>3.9297879566321801E-5</c:v>
                </c:pt>
                <c:pt idx="51">
                  <c:v>3.0827561488486004E-5</c:v>
                </c:pt>
                <c:pt idx="52">
                  <c:v>5.5611775588410134E-6</c:v>
                </c:pt>
                <c:pt idx="53">
                  <c:v>1.712106490245073E-6</c:v>
                </c:pt>
                <c:pt idx="54">
                  <c:v>5.402287950636317E-6</c:v>
                </c:pt>
                <c:pt idx="55">
                  <c:v>3.4143651802769047E-5</c:v>
                </c:pt>
                <c:pt idx="56">
                  <c:v>1.090363014624486E-4</c:v>
                </c:pt>
                <c:pt idx="57">
                  <c:v>3.3523069645580703E-4</c:v>
                </c:pt>
                <c:pt idx="58">
                  <c:v>9.1084532654370724E-3</c:v>
                </c:pt>
                <c:pt idx="59">
                  <c:v>9.0784065014938003E-3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825664"/>
        <c:axId val="385825272"/>
      </c:lineChart>
      <c:dateAx>
        <c:axId val="385825664"/>
        <c:scaling>
          <c:orientation val="minMax"/>
          <c:max val="48183"/>
          <c:min val="46388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527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858252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566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7.3894655694539679E-4</c:v>
                </c:pt>
                <c:pt idx="1">
                  <c:v>1.1629098801547721E-3</c:v>
                </c:pt>
                <c:pt idx="2">
                  <c:v>1.5456898837271638E-3</c:v>
                </c:pt>
                <c:pt idx="3">
                  <c:v>1.9693109244262041E-3</c:v>
                </c:pt>
                <c:pt idx="4">
                  <c:v>2.3790956401114061E-3</c:v>
                </c:pt>
                <c:pt idx="5">
                  <c:v>2.8023630860488646E-3</c:v>
                </c:pt>
                <c:pt idx="6">
                  <c:v>3.2118057560966973E-3</c:v>
                </c:pt>
                <c:pt idx="7">
                  <c:v>3.6347199024164834E-3</c:v>
                </c:pt>
                <c:pt idx="8">
                  <c:v>4.0574546160582203E-3</c:v>
                </c:pt>
                <c:pt idx="9">
                  <c:v>4.466381953931009E-3</c:v>
                </c:pt>
                <c:pt idx="10">
                  <c:v>4.8887638126245969E-3</c:v>
                </c:pt>
                <c:pt idx="11">
                  <c:v>5.297349820509778E-3</c:v>
                </c:pt>
                <c:pt idx="12">
                  <c:v>5.7193791187818421E-3</c:v>
                </c:pt>
                <c:pt idx="13">
                  <c:v>6.1412293597964407E-3</c:v>
                </c:pt>
                <c:pt idx="14">
                  <c:v>6.5221015435981133E-3</c:v>
                </c:pt>
                <c:pt idx="15">
                  <c:v>6.943611208078071E-3</c:v>
                </c:pt>
                <c:pt idx="16">
                  <c:v>7.3513535093868709E-3</c:v>
                </c:pt>
                <c:pt idx="17">
                  <c:v>7.7725113414621738E-3</c:v>
                </c:pt>
                <c:pt idx="18">
                  <c:v>8.1799133019286874E-3</c:v>
                </c:pt>
                <c:pt idx="19">
                  <c:v>8.6007195952725324E-3</c:v>
                </c:pt>
                <c:pt idx="20">
                  <c:v>9.0213473502516184E-3</c:v>
                </c:pt>
                <c:pt idx="21">
                  <c:v>9.4282365470180762E-3</c:v>
                </c:pt>
                <c:pt idx="22">
                  <c:v>9.8485132057187785E-3</c:v>
                </c:pt>
                <c:pt idx="23">
                  <c:v>1.0255062773725787E-2</c:v>
                </c:pt>
                <c:pt idx="24">
                  <c:v>1.0674988629206905E-2</c:v>
                </c:pt>
                <c:pt idx="25">
                  <c:v>1.1094736319872567E-2</c:v>
                </c:pt>
                <c:pt idx="26">
                  <c:v>1.1473710192697828E-2</c:v>
                </c:pt>
                <c:pt idx="27">
                  <c:v>1.1893119004301567E-2</c:v>
                </c:pt>
                <c:pt idx="28">
                  <c:v>1.2298829070863326E-2</c:v>
                </c:pt>
                <c:pt idx="29">
                  <c:v>1.2717887803635919E-2</c:v>
                </c:pt>
                <c:pt idx="30">
                  <c:v>1.3123259225653272E-2</c:v>
                </c:pt>
                <c:pt idx="31">
                  <c:v>1.3541968171804086E-2</c:v>
                </c:pt>
                <c:pt idx="32">
                  <c:v>1.3960499469445886E-2</c:v>
                </c:pt>
                <c:pt idx="33">
                  <c:v>1.4365360683436745E-2</c:v>
                </c:pt>
                <c:pt idx="34">
                  <c:v>1.4783542634704716E-2</c:v>
                </c:pt>
                <c:pt idx="35">
                  <c:v>1.5188065912685178E-2</c:v>
                </c:pt>
                <c:pt idx="36">
                  <c:v>1.5619374337766057E-2</c:v>
                </c:pt>
                <c:pt idx="37">
                  <c:v>1.6037024240082021E-2</c:v>
                </c:pt>
                <c:pt idx="38">
                  <c:v>1.6414104101354687E-2</c:v>
                </c:pt>
                <c:pt idx="39">
                  <c:v>1.6831416818237077E-2</c:v>
                </c:pt>
                <c:pt idx="40">
                  <c:v>1.7235099252795316E-2</c:v>
                </c:pt>
                <c:pt idx="41">
                  <c:v>1.7652063640448135E-2</c:v>
                </c:pt>
                <c:pt idx="42">
                  <c:v>1.8055409122918253E-2</c:v>
                </c:pt>
                <c:pt idx="43">
                  <c:v>1.8472025472090703E-2</c:v>
                </c:pt>
                <c:pt idx="44">
                  <c:v>1.8888465060594606E-2</c:v>
                </c:pt>
                <c:pt idx="45">
                  <c:v>1.9291302884923422E-2</c:v>
                </c:pt>
                <c:pt idx="46">
                  <c:v>1.9707394872994666E-2</c:v>
                </c:pt>
                <c:pt idx="47">
                  <c:v>2.0109896450228093E-2</c:v>
                </c:pt>
                <c:pt idx="48">
                  <c:v>2.0525641128007255E-2</c:v>
                </c:pt>
                <c:pt idx="49">
                  <c:v>2.0941209414947703E-2</c:v>
                </c:pt>
                <c:pt idx="50">
                  <c:v>2.1316409866617758E-2</c:v>
                </c:pt>
                <c:pt idx="51">
                  <c:v>2.1731642648695759E-2</c:v>
                </c:pt>
                <c:pt idx="52">
                  <c:v>2.2133313083351869E-2</c:v>
                </c:pt>
                <c:pt idx="53">
                  <c:v>2.2548199272313552E-2</c:v>
                </c:pt>
                <c:pt idx="54">
                  <c:v>2.2949534434289709E-2</c:v>
                </c:pt>
                <c:pt idx="55">
                  <c:v>2.3364074319434991E-2</c:v>
                </c:pt>
                <c:pt idx="56">
                  <c:v>2.3778438324907336E-2</c:v>
                </c:pt>
                <c:pt idx="57">
                  <c:v>2.4179268358969108E-2</c:v>
                </c:pt>
                <c:pt idx="58">
                  <c:v>2.4593286496489397E-2</c:v>
                </c:pt>
                <c:pt idx="59">
                  <c:v>2.4993781959350092E-2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3.8501200702880144E-3</c:v>
                </c:pt>
                <c:pt idx="1">
                  <c:v>5.9761175090653649E-3</c:v>
                </c:pt>
                <c:pt idx="2">
                  <c:v>7.8488800166446448E-3</c:v>
                </c:pt>
                <c:pt idx="3">
                  <c:v>9.9069651481055593E-3</c:v>
                </c:pt>
                <c:pt idx="4">
                  <c:v>1.1990329671997377E-2</c:v>
                </c:pt>
                <c:pt idx="5">
                  <c:v>1.4217536540995697E-2</c:v>
                </c:pt>
                <c:pt idx="6">
                  <c:v>1.6216980639630417E-2</c:v>
                </c:pt>
                <c:pt idx="7">
                  <c:v>1.810778872360605E-2</c:v>
                </c:pt>
                <c:pt idx="8">
                  <c:v>1.9880013041423832E-2</c:v>
                </c:pt>
                <c:pt idx="9">
                  <c:v>2.1367178252934032E-2</c:v>
                </c:pt>
                <c:pt idx="10">
                  <c:v>2.2608799087935026E-2</c:v>
                </c:pt>
                <c:pt idx="11">
                  <c:v>2.3915999896917398E-2</c:v>
                </c:pt>
                <c:pt idx="12">
                  <c:v>2.5439844080186402E-2</c:v>
                </c:pt>
                <c:pt idx="13">
                  <c:v>2.6963303219490208E-2</c:v>
                </c:pt>
                <c:pt idx="14">
                  <c:v>2.8315539684666522E-2</c:v>
                </c:pt>
                <c:pt idx="15">
                  <c:v>2.9888466069415462E-2</c:v>
                </c:pt>
                <c:pt idx="16">
                  <c:v>1.1103264166585922E-3</c:v>
                </c:pt>
                <c:pt idx="17">
                  <c:v>3.4257618901518123E-3</c:v>
                </c:pt>
                <c:pt idx="18">
                  <c:v>5.6299006722728712E-3</c:v>
                </c:pt>
                <c:pt idx="19">
                  <c:v>7.8163497238483148E-3</c:v>
                </c:pt>
                <c:pt idx="20">
                  <c:v>9.9089403711630861E-3</c:v>
                </c:pt>
                <c:pt idx="21">
                  <c:v>1.1772073770290548E-2</c:v>
                </c:pt>
                <c:pt idx="22">
                  <c:v>1.3472353892820317E-2</c:v>
                </c:pt>
                <c:pt idx="23">
                  <c:v>1.5126720739303667E-2</c:v>
                </c:pt>
                <c:pt idx="24">
                  <c:v>1.6911344862095584E-2</c:v>
                </c:pt>
                <c:pt idx="25">
                  <c:v>1.8672822209208531E-2</c:v>
                </c:pt>
                <c:pt idx="26">
                  <c:v>2.0230679920103148E-2</c:v>
                </c:pt>
                <c:pt idx="27">
                  <c:v>2.1995256554298806E-2</c:v>
                </c:pt>
                <c:pt idx="28">
                  <c:v>2.3929536837938786E-2</c:v>
                </c:pt>
                <c:pt idx="29">
                  <c:v>2.6059925759156673E-2</c:v>
                </c:pt>
                <c:pt idx="30">
                  <c:v>2.7834747477213418E-2</c:v>
                </c:pt>
                <c:pt idx="31">
                  <c:v>2.940113297821037E-2</c:v>
                </c:pt>
                <c:pt idx="32">
                  <c:v>3.0821802256283105E-2</c:v>
                </c:pt>
                <c:pt idx="33">
                  <c:v>3.1896397547139708E-2</c:v>
                </c:pt>
                <c:pt idx="34">
                  <c:v>3.2634707112477061E-2</c:v>
                </c:pt>
                <c:pt idx="35">
                  <c:v>3.3560944134461548E-2</c:v>
                </c:pt>
                <c:pt idx="36">
                  <c:v>3.4839893201582345E-2</c:v>
                </c:pt>
                <c:pt idx="37">
                  <c:v>3.6101010422574603E-2</c:v>
                </c:pt>
                <c:pt idx="38">
                  <c:v>3.7226612662815461E-2</c:v>
                </c:pt>
                <c:pt idx="39">
                  <c:v>3.8588303551979716E-2</c:v>
                </c:pt>
                <c:pt idx="40">
                  <c:v>1.1103264166585922E-3</c:v>
                </c:pt>
                <c:pt idx="41">
                  <c:v>3.4257618901518123E-3</c:v>
                </c:pt>
                <c:pt idx="42">
                  <c:v>5.6299006722728712E-3</c:v>
                </c:pt>
                <c:pt idx="43">
                  <c:v>7.8163497238483148E-3</c:v>
                </c:pt>
                <c:pt idx="44">
                  <c:v>9.9089403711630861E-3</c:v>
                </c:pt>
                <c:pt idx="45">
                  <c:v>1.1772073770290548E-2</c:v>
                </c:pt>
                <c:pt idx="46">
                  <c:v>1.3472353892820317E-2</c:v>
                </c:pt>
                <c:pt idx="47">
                  <c:v>1.5126720739303667E-2</c:v>
                </c:pt>
                <c:pt idx="48">
                  <c:v>1.6911344862095584E-2</c:v>
                </c:pt>
                <c:pt idx="49">
                  <c:v>1.8672822209208531E-2</c:v>
                </c:pt>
                <c:pt idx="50">
                  <c:v>2.0230679920103148E-2</c:v>
                </c:pt>
                <c:pt idx="51">
                  <c:v>2.1995256554298806E-2</c:v>
                </c:pt>
                <c:pt idx="52">
                  <c:v>2.3929536837938786E-2</c:v>
                </c:pt>
                <c:pt idx="53">
                  <c:v>2.6059925759156673E-2</c:v>
                </c:pt>
                <c:pt idx="54">
                  <c:v>2.7834747477213418E-2</c:v>
                </c:pt>
                <c:pt idx="55">
                  <c:v>2.940113297821037E-2</c:v>
                </c:pt>
                <c:pt idx="56">
                  <c:v>3.0821802256283105E-2</c:v>
                </c:pt>
                <c:pt idx="57">
                  <c:v>3.1896397547139708E-2</c:v>
                </c:pt>
                <c:pt idx="58">
                  <c:v>3.2634707112477061E-2</c:v>
                </c:pt>
                <c:pt idx="59">
                  <c:v>3.3560944134461548E-2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2.883835124273815E-6</c:v>
                </c:pt>
                <c:pt idx="1">
                  <c:v>1.0684582602144311E-6</c:v>
                </c:pt>
                <c:pt idx="2">
                  <c:v>3.9283316368429409E-7</c:v>
                </c:pt>
                <c:pt idx="3">
                  <c:v>1.3004974398920354E-6</c:v>
                </c:pt>
                <c:pt idx="4">
                  <c:v>6.1532168962005805E-7</c:v>
                </c:pt>
                <c:pt idx="5">
                  <c:v>3.5315399022571599E-7</c:v>
                </c:pt>
                <c:pt idx="6">
                  <c:v>1.390948104051574E-6</c:v>
                </c:pt>
                <c:pt idx="7">
                  <c:v>1.0274786961575312E-5</c:v>
                </c:pt>
                <c:pt idx="8">
                  <c:v>3.2827738623269782E-5</c:v>
                </c:pt>
                <c:pt idx="9">
                  <c:v>1.0299513283891623E-4</c:v>
                </c:pt>
                <c:pt idx="10">
                  <c:v>3.0988268898261236E-3</c:v>
                </c:pt>
                <c:pt idx="11">
                  <c:v>2.9778079185631334E-3</c:v>
                </c:pt>
                <c:pt idx="12">
                  <c:v>2.7765503707548444E-3</c:v>
                </c:pt>
                <c:pt idx="13">
                  <c:v>3.6061256383227607E-4</c:v>
                </c:pt>
                <c:pt idx="14">
                  <c:v>2.0343895772227154E-5</c:v>
                </c:pt>
                <c:pt idx="15">
                  <c:v>1.6199486337767806E-5</c:v>
                </c:pt>
                <c:pt idx="16">
                  <c:v>3.0468370524576506E-6</c:v>
                </c:pt>
                <c:pt idx="17">
                  <c:v>9.9724696670818399E-7</c:v>
                </c:pt>
                <c:pt idx="18">
                  <c:v>3.1181689696097486E-6</c:v>
                </c:pt>
                <c:pt idx="19">
                  <c:v>2.1250081685284996E-5</c:v>
                </c:pt>
                <c:pt idx="20">
                  <c:v>6.6300323354199616E-5</c:v>
                </c:pt>
                <c:pt idx="21">
                  <c:v>2.0705695407673328E-4</c:v>
                </c:pt>
                <c:pt idx="22">
                  <c:v>6.2103355155989281E-3</c:v>
                </c:pt>
                <c:pt idx="23">
                  <c:v>5.9556557645562835E-3</c:v>
                </c:pt>
                <c:pt idx="24">
                  <c:v>5.5515234468800495E-3</c:v>
                </c:pt>
                <c:pt idx="25">
                  <c:v>7.2122976954549156E-4</c:v>
                </c:pt>
                <c:pt idx="26">
                  <c:v>4.0362442798827076E-5</c:v>
                </c:pt>
                <c:pt idx="27">
                  <c:v>3.2435146300588916E-5</c:v>
                </c:pt>
                <c:pt idx="28">
                  <c:v>5.7357753079475043E-6</c:v>
                </c:pt>
                <c:pt idx="29">
                  <c:v>1.7548308322275882E-6</c:v>
                </c:pt>
                <c:pt idx="30">
                  <c:v>5.5317067790729059E-6</c:v>
                </c:pt>
                <c:pt idx="31">
                  <c:v>3.483294580728577E-5</c:v>
                </c:pt>
                <c:pt idx="32">
                  <c:v>1.1130338862810356E-4</c:v>
                </c:pt>
                <c:pt idx="33">
                  <c:v>3.4200212146504592E-4</c:v>
                </c:pt>
                <c:pt idx="34">
                  <c:v>9.2608653765029157E-3</c:v>
                </c:pt>
                <c:pt idx="35">
                  <c:v>9.2428851758483005E-3</c:v>
                </c:pt>
                <c:pt idx="36">
                  <c:v>8.3652721031716726E-3</c:v>
                </c:pt>
                <c:pt idx="37">
                  <c:v>1.2012078093890394E-3</c:v>
                </c:pt>
                <c:pt idx="38">
                  <c:v>6.5300980547129388E-5</c:v>
                </c:pt>
                <c:pt idx="39">
                  <c:v>6.4602137284703858E-5</c:v>
                </c:pt>
                <c:pt idx="40">
                  <c:v>9.2293914326286919E-6</c:v>
                </c:pt>
                <c:pt idx="41">
                  <c:v>2.6097241560554317E-6</c:v>
                </c:pt>
                <c:pt idx="42">
                  <c:v>8.1213146530418207E-6</c:v>
                </c:pt>
                <c:pt idx="43">
                  <c:v>4.8625383918025235E-5</c:v>
                </c:pt>
                <c:pt idx="44">
                  <c:v>1.5666670126255898E-4</c:v>
                </c:pt>
                <c:pt idx="45">
                  <c:v>4.7749504574619999E-4</c:v>
                </c:pt>
                <c:pt idx="46">
                  <c:v>1.2310557663724585E-2</c:v>
                </c:pt>
                <c:pt idx="47">
                  <c:v>1.2534023531478415E-2</c:v>
                </c:pt>
                <c:pt idx="48">
                  <c:v>1.1179463224135055E-2</c:v>
                </c:pt>
                <c:pt idx="49">
                  <c:v>1.6817808479526271E-3</c:v>
                </c:pt>
                <c:pt idx="50">
                  <c:v>9.0323735384137261E-5</c:v>
                </c:pt>
                <c:pt idx="51">
                  <c:v>9.6934199952909865E-5</c:v>
                </c:pt>
                <c:pt idx="52">
                  <c:v>1.2979896795030872E-5</c:v>
                </c:pt>
                <c:pt idx="53">
                  <c:v>3.6069069538619156E-6</c:v>
                </c:pt>
                <c:pt idx="54">
                  <c:v>1.1273557183994876E-5</c:v>
                </c:pt>
                <c:pt idx="55">
                  <c:v>6.5073840054605486E-5</c:v>
                </c:pt>
                <c:pt idx="56">
                  <c:v>1.9769992921957058E-4</c:v>
                </c:pt>
                <c:pt idx="57">
                  <c:v>7.1570747732400291E-4</c:v>
                </c:pt>
                <c:pt idx="58">
                  <c:v>1.5591738935759814E-2</c:v>
                </c:pt>
                <c:pt idx="59">
                  <c:v>1.6158803303380417E-2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824488"/>
        <c:axId val="385824096"/>
      </c:lineChart>
      <c:dateAx>
        <c:axId val="385824488"/>
        <c:scaling>
          <c:orientation val="minMax"/>
          <c:max val="46357"/>
          <c:min val="4456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4096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858240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448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'2022'!Ppv</c:f>
              <c:numCache>
                <c:formatCode>0.00%</c:formatCode>
                <c:ptCount val="366"/>
                <c:pt idx="0">
                  <c:v>5.4742026824727841E-4</c:v>
                </c:pt>
                <c:pt idx="1">
                  <c:v>5.6110193476177628E-4</c:v>
                </c:pt>
                <c:pt idx="2">
                  <c:v>5.7478341398575772E-4</c:v>
                </c:pt>
                <c:pt idx="3">
                  <c:v>5.8846470592177624E-4</c:v>
                </c:pt>
                <c:pt idx="4">
                  <c:v>6.0214581057227434E-4</c:v>
                </c:pt>
                <c:pt idx="5">
                  <c:v>6.158267279401386E-4</c:v>
                </c:pt>
                <c:pt idx="6">
                  <c:v>6.2950745802758945E-4</c:v>
                </c:pt>
                <c:pt idx="7">
                  <c:v>6.4318800083740246E-4</c:v>
                </c:pt>
                <c:pt idx="8">
                  <c:v>6.5686835637202012E-4</c:v>
                </c:pt>
                <c:pt idx="9">
                  <c:v>6.7054852463410697E-4</c:v>
                </c:pt>
                <c:pt idx="10">
                  <c:v>6.8422850562610549E-4</c:v>
                </c:pt>
                <c:pt idx="11">
                  <c:v>6.9790829935068022E-4</c:v>
                </c:pt>
                <c:pt idx="12">
                  <c:v>7.1158790581049569E-4</c:v>
                </c:pt>
                <c:pt idx="13">
                  <c:v>7.2526732500777236E-4</c:v>
                </c:pt>
                <c:pt idx="14">
                  <c:v>7.3894655694539679E-4</c:v>
                </c:pt>
                <c:pt idx="15">
                  <c:v>7.5262560162592251E-4</c:v>
                </c:pt>
                <c:pt idx="16">
                  <c:v>7.6630445905168099E-4</c:v>
                </c:pt>
                <c:pt idx="17">
                  <c:v>7.7998312922533675E-4</c:v>
                </c:pt>
                <c:pt idx="18">
                  <c:v>7.9366161214955433E-4</c:v>
                </c:pt>
                <c:pt idx="19">
                  <c:v>8.0733990782688725E-4</c:v>
                </c:pt>
                <c:pt idx="20">
                  <c:v>8.2101801625977799E-4</c:v>
                </c:pt>
                <c:pt idx="21">
                  <c:v>8.3469593745078008E-4</c:v>
                </c:pt>
                <c:pt idx="22">
                  <c:v>8.4837367140266906E-4</c:v>
                </c:pt>
                <c:pt idx="23">
                  <c:v>8.6205121811777641E-4</c:v>
                </c:pt>
                <c:pt idx="24">
                  <c:v>8.7572857759876666E-4</c:v>
                </c:pt>
                <c:pt idx="25">
                  <c:v>8.8940574984819332E-4</c:v>
                </c:pt>
                <c:pt idx="26">
                  <c:v>9.030827348686099E-4</c:v>
                </c:pt>
                <c:pt idx="27">
                  <c:v>9.1675953266256993E-4</c:v>
                </c:pt>
                <c:pt idx="28">
                  <c:v>9.3043614323273793E-4</c:v>
                </c:pt>
                <c:pt idx="29">
                  <c:v>9.4411256658144538E-4</c:v>
                </c:pt>
                <c:pt idx="30">
                  <c:v>9.5778880271157885E-4</c:v>
                </c:pt>
                <c:pt idx="31">
                  <c:v>9.7146485162535878E-4</c:v>
                </c:pt>
                <c:pt idx="32">
                  <c:v>9.8514071332567177E-4</c:v>
                </c:pt>
                <c:pt idx="33">
                  <c:v>9.9881638781484927E-4</c:v>
                </c:pt>
                <c:pt idx="34">
                  <c:v>1.0124918750954448E-3</c:v>
                </c:pt>
                <c:pt idx="35">
                  <c:v>1.0261671751702339E-3</c:v>
                </c:pt>
                <c:pt idx="36">
                  <c:v>1.0398422880415481E-3</c:v>
                </c:pt>
                <c:pt idx="37">
                  <c:v>1.0535172137120519E-3</c:v>
                </c:pt>
                <c:pt idx="38">
                  <c:v>1.0671919521844098E-3</c:v>
                </c:pt>
                <c:pt idx="39">
                  <c:v>1.0808665034610643E-3</c:v>
                </c:pt>
                <c:pt idx="40">
                  <c:v>1.0945408675444579E-3</c:v>
                </c:pt>
                <c:pt idx="41">
                  <c:v>1.1082150444374772E-3</c:v>
                </c:pt>
                <c:pt idx="42">
                  <c:v>1.1218890341423426E-3</c:v>
                </c:pt>
                <c:pt idx="43">
                  <c:v>1.1355628366618298E-3</c:v>
                </c:pt>
                <c:pt idx="44">
                  <c:v>1.1492364519984921E-3</c:v>
                </c:pt>
                <c:pt idx="45">
                  <c:v>1.1629098801547721E-3</c:v>
                </c:pt>
                <c:pt idx="46">
                  <c:v>1.1765831211333344E-3</c:v>
                </c:pt>
                <c:pt idx="47">
                  <c:v>1.1902561749367324E-3</c:v>
                </c:pt>
                <c:pt idx="48">
                  <c:v>1.2039290415675197E-3</c:v>
                </c:pt>
                <c:pt idx="49">
                  <c:v>1.2176017210281387E-3</c:v>
                </c:pt>
                <c:pt idx="50">
                  <c:v>1.231274213321365E-3</c:v>
                </c:pt>
                <c:pt idx="51">
                  <c:v>1.2449465184495301E-3</c:v>
                </c:pt>
                <c:pt idx="52">
                  <c:v>1.2586186364154095E-3</c:v>
                </c:pt>
                <c:pt idx="53">
                  <c:v>1.2722905672215568E-3</c:v>
                </c:pt>
                <c:pt idx="54">
                  <c:v>1.2859623108703033E-3</c:v>
                </c:pt>
                <c:pt idx="55">
                  <c:v>1.2996338673644248E-3</c:v>
                </c:pt>
                <c:pt idx="56">
                  <c:v>1.3133052367064746E-3</c:v>
                </c:pt>
                <c:pt idx="57">
                  <c:v>1.3269764188988953E-3</c:v>
                </c:pt>
                <c:pt idx="58">
                  <c:v>1.3406474139442404E-3</c:v>
                </c:pt>
                <c:pt idx="59">
                  <c:v>1.3543182218452854E-3</c:v>
                </c:pt>
                <c:pt idx="60">
                  <c:v>1.3679888426043618E-3</c:v>
                </c:pt>
                <c:pt idx="61">
                  <c:v>1.3816592762241342E-3</c:v>
                </c:pt>
                <c:pt idx="62">
                  <c:v>1.395329522707156E-3</c:v>
                </c:pt>
                <c:pt idx="63">
                  <c:v>1.4089995820559809E-3</c:v>
                </c:pt>
                <c:pt idx="64">
                  <c:v>1.4226694542731622E-3</c:v>
                </c:pt>
                <c:pt idx="65">
                  <c:v>1.4363391393613645E-3</c:v>
                </c:pt>
                <c:pt idx="66">
                  <c:v>1.4500086373229193E-3</c:v>
                </c:pt>
                <c:pt idx="67">
                  <c:v>1.4636779481606021E-3</c:v>
                </c:pt>
                <c:pt idx="68">
                  <c:v>1.4773470718768555E-3</c:v>
                </c:pt>
                <c:pt idx="69">
                  <c:v>1.491016008474344E-3</c:v>
                </c:pt>
                <c:pt idx="70">
                  <c:v>1.50468475795551E-3</c:v>
                </c:pt>
                <c:pt idx="71">
                  <c:v>1.5183533203230182E-3</c:v>
                </c:pt>
                <c:pt idx="72">
                  <c:v>1.5320216955794219E-3</c:v>
                </c:pt>
                <c:pt idx="73">
                  <c:v>1.5456898837271638E-3</c:v>
                </c:pt>
                <c:pt idx="74">
                  <c:v>1.5593578847689082E-3</c:v>
                </c:pt>
                <c:pt idx="75">
                  <c:v>1.5730256987072089E-3</c:v>
                </c:pt>
                <c:pt idx="76">
                  <c:v>1.5866933255446192E-3</c:v>
                </c:pt>
                <c:pt idx="77">
                  <c:v>1.6003607652836926E-3</c:v>
                </c:pt>
                <c:pt idx="78">
                  <c:v>1.6140280179269828E-3</c:v>
                </c:pt>
                <c:pt idx="79">
                  <c:v>1.6276950834770432E-3</c:v>
                </c:pt>
                <c:pt idx="80">
                  <c:v>1.6413619619365383E-3</c:v>
                </c:pt>
                <c:pt idx="81">
                  <c:v>1.6550286533077996E-3</c:v>
                </c:pt>
                <c:pt idx="82">
                  <c:v>1.6686951575936027E-3</c:v>
                </c:pt>
                <c:pt idx="83">
                  <c:v>1.682361474796501E-3</c:v>
                </c:pt>
                <c:pt idx="84">
                  <c:v>1.6960276049189371E-3</c:v>
                </c:pt>
                <c:pt idx="85">
                  <c:v>1.7096935479635755E-3</c:v>
                </c:pt>
                <c:pt idx="86">
                  <c:v>1.7233593039328587E-3</c:v>
                </c:pt>
                <c:pt idx="87">
                  <c:v>1.7370248728294513E-3</c:v>
                </c:pt>
                <c:pt idx="88">
                  <c:v>1.7506902546559067E-3</c:v>
                </c:pt>
                <c:pt idx="89">
                  <c:v>1.7643554494146674E-3</c:v>
                </c:pt>
                <c:pt idx="90">
                  <c:v>1.778020457108509E-3</c:v>
                </c:pt>
                <c:pt idx="91">
                  <c:v>1.7916852777397629E-3</c:v>
                </c:pt>
                <c:pt idx="92">
                  <c:v>1.8053499113112048E-3</c:v>
                </c:pt>
                <c:pt idx="93">
                  <c:v>1.8190143578251661E-3</c:v>
                </c:pt>
                <c:pt idx="94">
                  <c:v>1.8326786172844223E-3</c:v>
                </c:pt>
                <c:pt idx="95">
                  <c:v>1.8463426896914159E-3</c:v>
                </c:pt>
                <c:pt idx="96">
                  <c:v>1.8600065750488115E-3</c:v>
                </c:pt>
                <c:pt idx="97">
                  <c:v>1.8736702733589405E-3</c:v>
                </c:pt>
                <c:pt idx="98">
                  <c:v>1.8873337846245786E-3</c:v>
                </c:pt>
                <c:pt idx="99">
                  <c:v>1.9009971088482791E-3</c:v>
                </c:pt>
                <c:pt idx="100">
                  <c:v>1.9146602460324846E-3</c:v>
                </c:pt>
                <c:pt idx="101">
                  <c:v>1.9283231961798597E-3</c:v>
                </c:pt>
                <c:pt idx="102">
                  <c:v>1.9419859592928468E-3</c:v>
                </c:pt>
                <c:pt idx="103">
                  <c:v>1.9556485353741104E-3</c:v>
                </c:pt>
                <c:pt idx="104">
                  <c:v>1.9693109244262041E-3</c:v>
                </c:pt>
                <c:pt idx="105">
                  <c:v>1.9829731264516814E-3</c:v>
                </c:pt>
                <c:pt idx="106">
                  <c:v>1.9966351414529848E-3</c:v>
                </c:pt>
                <c:pt idx="107">
                  <c:v>2.0102969694328898E-3</c:v>
                </c:pt>
                <c:pt idx="108">
                  <c:v>2.023958610393839E-3</c:v>
                </c:pt>
                <c:pt idx="109">
                  <c:v>2.0376200643382747E-3</c:v>
                </c:pt>
                <c:pt idx="110">
                  <c:v>2.0512813312689726E-3</c:v>
                </c:pt>
                <c:pt idx="111">
                  <c:v>2.0649424111883752E-3</c:v>
                </c:pt>
                <c:pt idx="112">
                  <c:v>2.078603304099147E-3</c:v>
                </c:pt>
                <c:pt idx="113">
                  <c:v>2.0922640100036194E-3</c:v>
                </c:pt>
                <c:pt idx="114">
                  <c:v>2.105924528904568E-3</c:v>
                </c:pt>
                <c:pt idx="115">
                  <c:v>2.1195848608045464E-3</c:v>
                </c:pt>
                <c:pt idx="116">
                  <c:v>2.1332450057059971E-3</c:v>
                </c:pt>
                <c:pt idx="117">
                  <c:v>2.1469049636115844E-3</c:v>
                </c:pt>
                <c:pt idx="118">
                  <c:v>2.1605647345237511E-3</c:v>
                </c:pt>
                <c:pt idx="119">
                  <c:v>2.1742243184451615E-3</c:v>
                </c:pt>
                <c:pt idx="120">
                  <c:v>2.1878837153782582E-3</c:v>
                </c:pt>
                <c:pt idx="121">
                  <c:v>2.2015429253258167E-3</c:v>
                </c:pt>
                <c:pt idx="122">
                  <c:v>2.2152019482901686E-3</c:v>
                </c:pt>
                <c:pt idx="123">
                  <c:v>2.2288607842739783E-3</c:v>
                </c:pt>
                <c:pt idx="124">
                  <c:v>2.2425194332797993E-3</c:v>
                </c:pt>
                <c:pt idx="125">
                  <c:v>2.2561778953101852E-3</c:v>
                </c:pt>
                <c:pt idx="126">
                  <c:v>2.2698361703676895E-3</c:v>
                </c:pt>
                <c:pt idx="127">
                  <c:v>2.2834942584548656E-3</c:v>
                </c:pt>
                <c:pt idx="128">
                  <c:v>2.2971521595743782E-3</c:v>
                </c:pt>
                <c:pt idx="129">
                  <c:v>2.3108098737285587E-3</c:v>
                </c:pt>
                <c:pt idx="130">
                  <c:v>2.3244674009201827E-3</c:v>
                </c:pt>
                <c:pt idx="131">
                  <c:v>2.3381247411516926E-3</c:v>
                </c:pt>
                <c:pt idx="132">
                  <c:v>2.3517818944257529E-3</c:v>
                </c:pt>
                <c:pt idx="133">
                  <c:v>2.3654388607448062E-3</c:v>
                </c:pt>
                <c:pt idx="134">
                  <c:v>2.3790956401114061E-3</c:v>
                </c:pt>
                <c:pt idx="135">
                  <c:v>2.3927522325282169E-3</c:v>
                </c:pt>
                <c:pt idx="136">
                  <c:v>2.4064086379977923E-3</c:v>
                </c:pt>
                <c:pt idx="137">
                  <c:v>2.4200648565225746E-3</c:v>
                </c:pt>
                <c:pt idx="138">
                  <c:v>2.4337208881052286E-3</c:v>
                </c:pt>
                <c:pt idx="139">
                  <c:v>2.4473767327483076E-3</c:v>
                </c:pt>
                <c:pt idx="140">
                  <c:v>2.4610323904542541E-3</c:v>
                </c:pt>
                <c:pt idx="141">
                  <c:v>2.4746878612258438E-3</c:v>
                </c:pt>
                <c:pt idx="142">
                  <c:v>2.4883431450654081E-3</c:v>
                </c:pt>
                <c:pt idx="143">
                  <c:v>2.5019982419756115E-3</c:v>
                </c:pt>
                <c:pt idx="144">
                  <c:v>2.5156531519590075E-3</c:v>
                </c:pt>
                <c:pt idx="145">
                  <c:v>2.5293078750181497E-3</c:v>
                </c:pt>
                <c:pt idx="146">
                  <c:v>2.5429624111555915E-3</c:v>
                </c:pt>
                <c:pt idx="147">
                  <c:v>2.5566167603738865E-3</c:v>
                </c:pt>
                <c:pt idx="148">
                  <c:v>2.5702709226756992E-3</c:v>
                </c:pt>
                <c:pt idx="149">
                  <c:v>2.5839248980633611E-3</c:v>
                </c:pt>
                <c:pt idx="150">
                  <c:v>2.5975786865396477E-3</c:v>
                </c:pt>
                <c:pt idx="151">
                  <c:v>2.6112322881071126E-3</c:v>
                </c:pt>
                <c:pt idx="152">
                  <c:v>2.6248857027680872E-3</c:v>
                </c:pt>
                <c:pt idx="153">
                  <c:v>2.638538930525347E-3</c:v>
                </c:pt>
                <c:pt idx="154">
                  <c:v>2.6521919713814457E-3</c:v>
                </c:pt>
                <c:pt idx="155">
                  <c:v>2.6658448253387146E-3</c:v>
                </c:pt>
                <c:pt idx="156">
                  <c:v>2.6794974924000403E-3</c:v>
                </c:pt>
                <c:pt idx="157">
                  <c:v>2.6931499725677543E-3</c:v>
                </c:pt>
                <c:pt idx="158">
                  <c:v>2.7068022658445212E-3</c:v>
                </c:pt>
                <c:pt idx="159">
                  <c:v>2.7204543722327834E-3</c:v>
                </c:pt>
                <c:pt idx="160">
                  <c:v>2.7341062917352055E-3</c:v>
                </c:pt>
                <c:pt idx="161">
                  <c:v>2.7477580243543409E-3</c:v>
                </c:pt>
                <c:pt idx="162">
                  <c:v>2.7614095700927432E-3</c:v>
                </c:pt>
                <c:pt idx="163">
                  <c:v>2.7750609289528549E-3</c:v>
                </c:pt>
                <c:pt idx="164">
                  <c:v>2.7887121009373406E-3</c:v>
                </c:pt>
                <c:pt idx="165">
                  <c:v>2.8023630860488646E-3</c:v>
                </c:pt>
                <c:pt idx="166">
                  <c:v>2.8160138842897586E-3</c:v>
                </c:pt>
                <c:pt idx="167">
                  <c:v>2.8296644956626871E-3</c:v>
                </c:pt>
                <c:pt idx="168">
                  <c:v>2.8433149201702035E-3</c:v>
                </c:pt>
                <c:pt idx="169">
                  <c:v>2.8569651578149724E-3</c:v>
                </c:pt>
                <c:pt idx="170">
                  <c:v>2.8706152085993253E-3</c:v>
                </c:pt>
                <c:pt idx="171">
                  <c:v>2.8842650725260377E-3</c:v>
                </c:pt>
                <c:pt idx="172">
                  <c:v>2.8979147495975521E-3</c:v>
                </c:pt>
                <c:pt idx="173">
                  <c:v>2.9115642398164221E-3</c:v>
                </c:pt>
                <c:pt idx="174">
                  <c:v>2.9252135431853121E-3</c:v>
                </c:pt>
                <c:pt idx="175">
                  <c:v>2.9388626597065537E-3</c:v>
                </c:pt>
                <c:pt idx="176">
                  <c:v>2.9525115893829224E-3</c:v>
                </c:pt>
                <c:pt idx="177">
                  <c:v>2.9661603322169716E-3</c:v>
                </c:pt>
                <c:pt idx="178">
                  <c:v>2.979808888211144E-3</c:v>
                </c:pt>
                <c:pt idx="179">
                  <c:v>2.993457257367993E-3</c:v>
                </c:pt>
                <c:pt idx="180">
                  <c:v>3.0071054396901831E-3</c:v>
                </c:pt>
                <c:pt idx="181">
                  <c:v>3.0207534351802678E-3</c:v>
                </c:pt>
                <c:pt idx="182">
                  <c:v>3.0344012438406898E-3</c:v>
                </c:pt>
                <c:pt idx="183">
                  <c:v>3.0480488656741134E-3</c:v>
                </c:pt>
                <c:pt idx="184">
                  <c:v>3.0616963006829812E-3</c:v>
                </c:pt>
                <c:pt idx="185">
                  <c:v>3.0753435488699576E-3</c:v>
                </c:pt>
                <c:pt idx="186">
                  <c:v>3.0889906102375964E-3</c:v>
                </c:pt>
                <c:pt idx="187">
                  <c:v>3.1026374847884508E-3</c:v>
                </c:pt>
                <c:pt idx="188">
                  <c:v>3.1162841725249635E-3</c:v>
                </c:pt>
                <c:pt idx="189">
                  <c:v>3.1299306734499099E-3</c:v>
                </c:pt>
                <c:pt idx="190">
                  <c:v>3.1435769875656216E-3</c:v>
                </c:pt>
                <c:pt idx="191">
                  <c:v>3.1572231148747631E-3</c:v>
                </c:pt>
                <c:pt idx="192">
                  <c:v>3.1708690553798879E-3</c:v>
                </c:pt>
                <c:pt idx="193">
                  <c:v>3.1845148090835496E-3</c:v>
                </c:pt>
                <c:pt idx="194">
                  <c:v>3.1981603759883015E-3</c:v>
                </c:pt>
                <c:pt idx="195">
                  <c:v>3.2118057560966973E-3</c:v>
                </c:pt>
                <c:pt idx="196">
                  <c:v>3.2254509494112904E-3</c:v>
                </c:pt>
                <c:pt idx="197">
                  <c:v>3.2390959559346344E-3</c:v>
                </c:pt>
                <c:pt idx="198">
                  <c:v>3.2527407756692828E-3</c:v>
                </c:pt>
                <c:pt idx="199">
                  <c:v>3.2663854086179001E-3</c:v>
                </c:pt>
                <c:pt idx="200">
                  <c:v>3.2800298547829287E-3</c:v>
                </c:pt>
                <c:pt idx="201">
                  <c:v>3.2936741141668113E-3</c:v>
                </c:pt>
                <c:pt idx="202">
                  <c:v>3.3073181867724344E-3</c:v>
                </c:pt>
                <c:pt idx="203">
                  <c:v>3.3209620726020184E-3</c:v>
                </c:pt>
                <c:pt idx="204">
                  <c:v>3.3346057716583388E-3</c:v>
                </c:pt>
                <c:pt idx="205">
                  <c:v>3.3482492839438383E-3</c:v>
                </c:pt>
                <c:pt idx="206">
                  <c:v>3.3618926094610702E-3</c:v>
                </c:pt>
                <c:pt idx="207">
                  <c:v>3.3755357482126991E-3</c:v>
                </c:pt>
                <c:pt idx="208">
                  <c:v>3.3891787002012785E-3</c:v>
                </c:pt>
                <c:pt idx="209">
                  <c:v>3.40282146542914E-3</c:v>
                </c:pt>
                <c:pt idx="210">
                  <c:v>3.41646404389917E-3</c:v>
                </c:pt>
                <c:pt idx="211">
                  <c:v>3.4301064356135891E-3</c:v>
                </c:pt>
                <c:pt idx="212">
                  <c:v>3.4437486405752837E-3</c:v>
                </c:pt>
                <c:pt idx="213">
                  <c:v>3.4573906587865855E-3</c:v>
                </c:pt>
                <c:pt idx="214">
                  <c:v>3.4710324902500478E-3</c:v>
                </c:pt>
                <c:pt idx="215">
                  <c:v>3.4846741349683352E-3</c:v>
                </c:pt>
                <c:pt idx="216">
                  <c:v>3.4983155929440013E-3</c:v>
                </c:pt>
                <c:pt idx="217">
                  <c:v>3.5119568641794885E-3</c:v>
                </c:pt>
                <c:pt idx="218">
                  <c:v>3.5255979486775724E-3</c:v>
                </c:pt>
                <c:pt idx="219">
                  <c:v>3.5392388464404734E-3</c:v>
                </c:pt>
                <c:pt idx="220">
                  <c:v>3.5528795574710781E-3</c:v>
                </c:pt>
                <c:pt idx="221">
                  <c:v>3.566520081771718E-3</c:v>
                </c:pt>
                <c:pt idx="222">
                  <c:v>3.5801604193451686E-3</c:v>
                </c:pt>
                <c:pt idx="223">
                  <c:v>3.5938005701937614E-3</c:v>
                </c:pt>
                <c:pt idx="224">
                  <c:v>3.60744053432005E-3</c:v>
                </c:pt>
                <c:pt idx="225">
                  <c:v>3.6210803117268098E-3</c:v>
                </c:pt>
                <c:pt idx="226">
                  <c:v>3.6347199024164834E-3</c:v>
                </c:pt>
                <c:pt idx="227">
                  <c:v>3.6483593063915132E-3</c:v>
                </c:pt>
                <c:pt idx="228">
                  <c:v>3.6619985236546748E-3</c:v>
                </c:pt>
                <c:pt idx="229">
                  <c:v>3.6756375542082997E-3</c:v>
                </c:pt>
                <c:pt idx="230">
                  <c:v>3.6892763980550525E-3</c:v>
                </c:pt>
                <c:pt idx="231">
                  <c:v>3.7029150551975976E-3</c:v>
                </c:pt>
                <c:pt idx="232">
                  <c:v>3.7165535256382665E-3</c:v>
                </c:pt>
                <c:pt idx="233">
                  <c:v>3.7301918093798347E-3</c:v>
                </c:pt>
                <c:pt idx="234">
                  <c:v>3.7438299064246339E-3</c:v>
                </c:pt>
                <c:pt idx="235">
                  <c:v>3.7574678167754394E-3</c:v>
                </c:pt>
                <c:pt idx="236">
                  <c:v>3.7711055404345828E-3</c:v>
                </c:pt>
                <c:pt idx="237">
                  <c:v>3.7847430774048396E-3</c:v>
                </c:pt>
                <c:pt idx="238">
                  <c:v>3.7983804276886524E-3</c:v>
                </c:pt>
                <c:pt idx="239">
                  <c:v>3.8120175912885745E-3</c:v>
                </c:pt>
                <c:pt idx="240">
                  <c:v>3.8256545682071597E-3</c:v>
                </c:pt>
                <c:pt idx="241">
                  <c:v>3.8392913584470723E-3</c:v>
                </c:pt>
                <c:pt idx="242">
                  <c:v>3.8529279620107548E-3</c:v>
                </c:pt>
                <c:pt idx="243">
                  <c:v>3.8665643789006499E-3</c:v>
                </c:pt>
                <c:pt idx="244">
                  <c:v>3.8802006091196439E-3</c:v>
                </c:pt>
                <c:pt idx="245">
                  <c:v>3.8938366526699575E-3</c:v>
                </c:pt>
                <c:pt idx="246">
                  <c:v>3.9074725095543661E-3</c:v>
                </c:pt>
                <c:pt idx="247">
                  <c:v>3.9211081797753122E-3</c:v>
                </c:pt>
                <c:pt idx="248">
                  <c:v>3.9347436633353494E-3</c:v>
                </c:pt>
                <c:pt idx="249">
                  <c:v>3.9483789602370312E-3</c:v>
                </c:pt>
                <c:pt idx="250">
                  <c:v>3.962014070483022E-3</c:v>
                </c:pt>
                <c:pt idx="251">
                  <c:v>3.9756489940758755E-3</c:v>
                </c:pt>
                <c:pt idx="252">
                  <c:v>3.989283731017923E-3</c:v>
                </c:pt>
                <c:pt idx="253">
                  <c:v>4.0029182813119402E-3</c:v>
                </c:pt>
                <c:pt idx="254">
                  <c:v>4.0165526449604805E-3</c:v>
                </c:pt>
                <c:pt idx="255">
                  <c:v>4.0301868219659864E-3</c:v>
                </c:pt>
                <c:pt idx="256">
                  <c:v>4.0438208123310115E-3</c:v>
                </c:pt>
                <c:pt idx="257">
                  <c:v>4.0574546160582203E-3</c:v>
                </c:pt>
                <c:pt idx="258">
                  <c:v>4.0710882331500553E-3</c:v>
                </c:pt>
                <c:pt idx="259">
                  <c:v>4.08472166360907E-3</c:v>
                </c:pt>
                <c:pt idx="260">
                  <c:v>4.0983549074379289E-3</c:v>
                </c:pt>
                <c:pt idx="261">
                  <c:v>4.1119879646391855E-3</c:v>
                </c:pt>
                <c:pt idx="262">
                  <c:v>4.1256208352152823E-3</c:v>
                </c:pt>
                <c:pt idx="263">
                  <c:v>4.139253519168884E-3</c:v>
                </c:pt>
                <c:pt idx="264">
                  <c:v>4.1528860165024328E-3</c:v>
                </c:pt>
                <c:pt idx="265">
                  <c:v>4.1665183272184825E-3</c:v>
                </c:pt>
                <c:pt idx="266">
                  <c:v>4.1801504513198084E-3</c:v>
                </c:pt>
                <c:pt idx="267">
                  <c:v>4.1937823888086312E-3</c:v>
                </c:pt>
                <c:pt idx="268">
                  <c:v>4.2074141396878373E-3</c:v>
                </c:pt>
                <c:pt idx="269">
                  <c:v>4.2210457039597582E-3</c:v>
                </c:pt>
                <c:pt idx="270">
                  <c:v>4.2346770816269474E-3</c:v>
                </c:pt>
                <c:pt idx="271">
                  <c:v>4.2483082726920696E-3</c:v>
                </c:pt>
                <c:pt idx="272">
                  <c:v>4.2619392771576781E-3</c:v>
                </c:pt>
                <c:pt idx="273">
                  <c:v>4.2755700950262154E-3</c:v>
                </c:pt>
                <c:pt idx="274">
                  <c:v>4.2892007263003462E-3</c:v>
                </c:pt>
                <c:pt idx="275">
                  <c:v>4.3028311709825129E-3</c:v>
                </c:pt>
                <c:pt idx="276">
                  <c:v>4.31646142907538E-3</c:v>
                </c:pt>
                <c:pt idx="277">
                  <c:v>4.3300915005815011E-3</c:v>
                </c:pt>
                <c:pt idx="278">
                  <c:v>4.3437213855033185E-3</c:v>
                </c:pt>
                <c:pt idx="279">
                  <c:v>4.357351083843497E-3</c:v>
                </c:pt>
                <c:pt idx="280">
                  <c:v>4.37098059560459E-3</c:v>
                </c:pt>
                <c:pt idx="281">
                  <c:v>4.3846099207890399E-3</c:v>
                </c:pt>
                <c:pt idx="282">
                  <c:v>4.3982390593995113E-3</c:v>
                </c:pt>
                <c:pt idx="283">
                  <c:v>4.4118680114384468E-3</c:v>
                </c:pt>
                <c:pt idx="284">
                  <c:v>4.4254967769086218E-3</c:v>
                </c:pt>
                <c:pt idx="285">
                  <c:v>4.4391253558123678E-3</c:v>
                </c:pt>
                <c:pt idx="286">
                  <c:v>4.4527537481522383E-3</c:v>
                </c:pt>
                <c:pt idx="287">
                  <c:v>4.466381953931009E-3</c:v>
                </c:pt>
                <c:pt idx="288">
                  <c:v>4.4800099731510112E-3</c:v>
                </c:pt>
                <c:pt idx="289">
                  <c:v>4.4936378058147985E-3</c:v>
                </c:pt>
                <c:pt idx="290">
                  <c:v>4.5072654519251465E-3</c:v>
                </c:pt>
                <c:pt idx="291">
                  <c:v>4.5208929114843865E-3</c:v>
                </c:pt>
                <c:pt idx="292">
                  <c:v>4.5345201844950722E-3</c:v>
                </c:pt>
                <c:pt idx="293">
                  <c:v>4.5481472709599791E-3</c:v>
                </c:pt>
                <c:pt idx="294">
                  <c:v>4.5617741708814386E-3</c:v>
                </c:pt>
                <c:pt idx="295">
                  <c:v>4.5754008842621152E-3</c:v>
                </c:pt>
                <c:pt idx="296">
                  <c:v>4.5890274111044516E-3</c:v>
                </c:pt>
                <c:pt idx="297">
                  <c:v>4.6026537514111121E-3</c:v>
                </c:pt>
                <c:pt idx="298">
                  <c:v>4.6162799051846504E-3</c:v>
                </c:pt>
                <c:pt idx="299">
                  <c:v>4.6299058724276199E-3</c:v>
                </c:pt>
                <c:pt idx="300">
                  <c:v>4.6435316531424631E-3</c:v>
                </c:pt>
                <c:pt idx="301">
                  <c:v>4.6571572473318446E-3</c:v>
                </c:pt>
                <c:pt idx="302">
                  <c:v>4.6707826549983178E-3</c:v>
                </c:pt>
                <c:pt idx="303">
                  <c:v>4.6844078761443253E-3</c:v>
                </c:pt>
                <c:pt idx="304">
                  <c:v>4.6980329107725316E-3</c:v>
                </c:pt>
                <c:pt idx="305">
                  <c:v>4.7116577588854902E-3</c:v>
                </c:pt>
                <c:pt idx="306">
                  <c:v>4.7252824204856436E-3</c:v>
                </c:pt>
                <c:pt idx="307">
                  <c:v>4.7389068955757674E-3</c:v>
                </c:pt>
                <c:pt idx="308">
                  <c:v>4.752531184158082E-3</c:v>
                </c:pt>
                <c:pt idx="309">
                  <c:v>4.7661552862354739E-3</c:v>
                </c:pt>
                <c:pt idx="310">
                  <c:v>4.7797792018102747E-3</c:v>
                </c:pt>
                <c:pt idx="311">
                  <c:v>4.7934029308851489E-3</c:v>
                </c:pt>
                <c:pt idx="312">
                  <c:v>4.807026473462539E-3</c:v>
                </c:pt>
                <c:pt idx="313">
                  <c:v>4.8206498295451095E-3</c:v>
                </c:pt>
                <c:pt idx="314">
                  <c:v>4.8342729991354139E-3</c:v>
                </c:pt>
                <c:pt idx="315">
                  <c:v>4.8478959822360057E-3</c:v>
                </c:pt>
                <c:pt idx="316">
                  <c:v>4.8615187788493275E-3</c:v>
                </c:pt>
                <c:pt idx="317">
                  <c:v>4.8751413889780437E-3</c:v>
                </c:pt>
                <c:pt idx="318">
                  <c:v>4.8887638126245969E-3</c:v>
                </c:pt>
                <c:pt idx="319">
                  <c:v>4.9023860497916516E-3</c:v>
                </c:pt>
                <c:pt idx="320">
                  <c:v>4.9160081004816503E-3</c:v>
                </c:pt>
                <c:pt idx="321">
                  <c:v>4.9296299646973685E-3</c:v>
                </c:pt>
                <c:pt idx="322">
                  <c:v>4.9432516424411377E-3</c:v>
                </c:pt>
                <c:pt idx="323">
                  <c:v>4.9568731337155114E-3</c:v>
                </c:pt>
                <c:pt idx="324">
                  <c:v>4.9704944385231542E-3</c:v>
                </c:pt>
                <c:pt idx="325">
                  <c:v>4.9841155568666196E-3</c:v>
                </c:pt>
                <c:pt idx="326">
                  <c:v>4.99773648874835E-3</c:v>
                </c:pt>
                <c:pt idx="327">
                  <c:v>5.011357234170899E-3</c:v>
                </c:pt>
                <c:pt idx="328">
                  <c:v>5.0249777931370421E-3</c:v>
                </c:pt>
                <c:pt idx="329">
                  <c:v>5.0385981656489998E-3</c:v>
                </c:pt>
                <c:pt idx="330">
                  <c:v>5.0522183517096586E-3</c:v>
                </c:pt>
                <c:pt idx="331">
                  <c:v>5.0658383513213501E-3</c:v>
                </c:pt>
                <c:pt idx="332">
                  <c:v>5.0794581644866277E-3</c:v>
                </c:pt>
                <c:pt idx="333">
                  <c:v>5.093077791208156E-3</c:v>
                </c:pt>
                <c:pt idx="334">
                  <c:v>5.1066972314883774E-3</c:v>
                </c:pt>
                <c:pt idx="335">
                  <c:v>5.1203164853299565E-3</c:v>
                </c:pt>
                <c:pt idx="336">
                  <c:v>5.1339355527353359E-3</c:v>
                </c:pt>
                <c:pt idx="337">
                  <c:v>5.1475544337071799E-3</c:v>
                </c:pt>
                <c:pt idx="338">
                  <c:v>5.1611731282479312E-3</c:v>
                </c:pt>
                <c:pt idx="339">
                  <c:v>5.1747916363602542E-3</c:v>
                </c:pt>
                <c:pt idx="340">
                  <c:v>5.1884099580465914E-3</c:v>
                </c:pt>
                <c:pt idx="341">
                  <c:v>5.2020280933094964E-3</c:v>
                </c:pt>
                <c:pt idx="342">
                  <c:v>5.2156460421516337E-3</c:v>
                </c:pt>
                <c:pt idx="343">
                  <c:v>5.2292638045755568E-3</c:v>
                </c:pt>
                <c:pt idx="344">
                  <c:v>5.2428813805835972E-3</c:v>
                </c:pt>
                <c:pt idx="345">
                  <c:v>5.2564987701785304E-3</c:v>
                </c:pt>
                <c:pt idx="346">
                  <c:v>5.2701159733627989E-3</c:v>
                </c:pt>
                <c:pt idx="347">
                  <c:v>5.2837329901390673E-3</c:v>
                </c:pt>
                <c:pt idx="348">
                  <c:v>5.297349820509778E-3</c:v>
                </c:pt>
                <c:pt idx="349">
                  <c:v>5.3109664644774845E-3</c:v>
                </c:pt>
                <c:pt idx="350">
                  <c:v>5.3245829220447405E-3</c:v>
                </c:pt>
                <c:pt idx="351">
                  <c:v>5.3381991932142103E-3</c:v>
                </c:pt>
                <c:pt idx="352">
                  <c:v>5.3518152779883366E-3</c:v>
                </c:pt>
                <c:pt idx="353">
                  <c:v>5.3654311763696727E-3</c:v>
                </c:pt>
                <c:pt idx="354">
                  <c:v>5.3790468883607723E-3</c:v>
                </c:pt>
                <c:pt idx="355">
                  <c:v>5.3926624139641888E-3</c:v>
                </c:pt>
                <c:pt idx="356">
                  <c:v>5.4062777531825867E-3</c:v>
                </c:pt>
                <c:pt idx="357">
                  <c:v>5.4198929060184087E-3</c:v>
                </c:pt>
                <c:pt idx="358">
                  <c:v>5.4335078724742081E-3</c:v>
                </c:pt>
                <c:pt idx="359">
                  <c:v>5.4471226525525385E-3</c:v>
                </c:pt>
                <c:pt idx="360">
                  <c:v>5.4607372462559534E-3</c:v>
                </c:pt>
                <c:pt idx="361">
                  <c:v>5.4743516535870063E-3</c:v>
                </c:pt>
                <c:pt idx="362">
                  <c:v>5.4879658745482507E-3</c:v>
                </c:pt>
                <c:pt idx="363">
                  <c:v>5.5015799091422402E-3</c:v>
                </c:pt>
                <c:pt idx="364">
                  <c:v>5.5151937573716392E-3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'2022'!Psa</c:f>
              <c:numCache>
                <c:formatCode>0.00%</c:formatCode>
                <c:ptCount val="366"/>
                <c:pt idx="0">
                  <c:v>2.871284039389784E-3</c:v>
                </c:pt>
                <c:pt idx="1">
                  <c:v>2.9416132423509636E-3</c:v>
                </c:pt>
                <c:pt idx="2">
                  <c:v>3.0118792881357755E-3</c:v>
                </c:pt>
                <c:pt idx="3">
                  <c:v>3.0820819964849588E-3</c:v>
                </c:pt>
                <c:pt idx="4">
                  <c:v>3.152221215614925E-3</c:v>
                </c:pt>
                <c:pt idx="5">
                  <c:v>3.2222968298095448E-3</c:v>
                </c:pt>
                <c:pt idx="6">
                  <c:v>3.2923087658467609E-3</c:v>
                </c:pt>
                <c:pt idx="7">
                  <c:v>3.3622569982178284E-3</c:v>
                </c:pt>
                <c:pt idx="8">
                  <c:v>3.432141553112895E-3</c:v>
                </c:pt>
                <c:pt idx="9">
                  <c:v>3.5019625111626252E-3</c:v>
                </c:pt>
                <c:pt idx="10">
                  <c:v>3.5717200089416261E-3</c:v>
                </c:pt>
                <c:pt idx="11">
                  <c:v>3.641414239254888E-3</c:v>
                </c:pt>
                <c:pt idx="12">
                  <c:v>3.7110454502437083E-3</c:v>
                </c:pt>
                <c:pt idx="13">
                  <c:v>3.7806139433620729E-3</c:v>
                </c:pt>
                <c:pt idx="14">
                  <c:v>3.8501200702880144E-3</c:v>
                </c:pt>
                <c:pt idx="15">
                  <c:v>3.9195642288474422E-3</c:v>
                </c:pt>
                <c:pt idx="16">
                  <c:v>3.9889468580392934E-3</c:v>
                </c:pt>
                <c:pt idx="17">
                  <c:v>4.0582684322615012E-3</c:v>
                </c:pt>
                <c:pt idx="18">
                  <c:v>4.1275294548461933E-3</c:v>
                </c:pt>
                <c:pt idx="19">
                  <c:v>4.1967304510201293E-3</c:v>
                </c:pt>
                <c:pt idx="20">
                  <c:v>4.2658719604128656E-3</c:v>
                </c:pt>
                <c:pt idx="21">
                  <c:v>4.3349545292391154E-3</c:v>
                </c:pt>
                <c:pt idx="22">
                  <c:v>4.4039787022854713E-3</c:v>
                </c:pt>
                <c:pt idx="23">
                  <c:v>4.4729450148323557E-3</c:v>
                </c:pt>
                <c:pt idx="24">
                  <c:v>4.5418539846423514E-3</c:v>
                </c:pt>
                <c:pt idx="25">
                  <c:v>4.6107061041439209E-3</c:v>
                </c:pt>
                <c:pt idx="26">
                  <c:v>4.6795018329362304E-3</c:v>
                </c:pt>
                <c:pt idx="27">
                  <c:v>4.7482415907358771E-3</c:v>
                </c:pt>
                <c:pt idx="28">
                  <c:v>4.8169257508801295E-3</c:v>
                </c:pt>
                <c:pt idx="29">
                  <c:v>4.8855546344934286E-3</c:v>
                </c:pt>
                <c:pt idx="30">
                  <c:v>4.9541285054151962E-3</c:v>
                </c:pt>
                <c:pt idx="31">
                  <c:v>5.0226475659770438E-3</c:v>
                </c:pt>
                <c:pt idx="32">
                  <c:v>5.091111953706296E-3</c:v>
                </c:pt>
                <c:pt idx="33">
                  <c:v>5.1595217390212307E-3</c:v>
                </c:pt>
                <c:pt idx="34">
                  <c:v>5.2278769239707578E-3</c:v>
                </c:pt>
                <c:pt idx="35">
                  <c:v>5.2961774420583708E-3</c:v>
                </c:pt>
                <c:pt idx="36">
                  <c:v>5.3644231591767587E-3</c:v>
                </c:pt>
                <c:pt idx="37">
                  <c:v>5.4326138756659878E-3</c:v>
                </c:pt>
                <c:pt idx="38">
                  <c:v>5.5007493294944101E-3</c:v>
                </c:pt>
                <c:pt idx="39">
                  <c:v>5.5688292005481163E-3</c:v>
                </c:pt>
                <c:pt idx="40">
                  <c:v>5.6368531160015554E-3</c:v>
                </c:pt>
                <c:pt idx="41">
                  <c:v>5.7048206567290897E-3</c:v>
                </c:pt>
                <c:pt idx="42">
                  <c:v>5.7727313647050879E-3</c:v>
                </c:pt>
                <c:pt idx="43">
                  <c:v>5.8405847513290747E-3</c:v>
                </c:pt>
                <c:pt idx="44">
                  <c:v>5.908380306601348E-3</c:v>
                </c:pt>
                <c:pt idx="45">
                  <c:v>5.9761175090653649E-3</c:v>
                </c:pt>
                <c:pt idx="46">
                  <c:v>6.0437958364245262E-3</c:v>
                </c:pt>
                <c:pt idx="47">
                  <c:v>6.1114147767335827E-3</c:v>
                </c:pt>
                <c:pt idx="48">
                  <c:v>6.1789738400590049E-3</c:v>
                </c:pt>
                <c:pt idx="49">
                  <c:v>6.2464725704978012E-3</c:v>
                </c:pt>
                <c:pt idx="50">
                  <c:v>6.3139105584406391E-3</c:v>
                </c:pt>
                <c:pt idx="51">
                  <c:v>6.3812874529636287E-3</c:v>
                </c:pt>
                <c:pt idx="52">
                  <c:v>6.4486029742316748E-3</c:v>
                </c:pt>
                <c:pt idx="53">
                  <c:v>6.5158569257977011E-3</c:v>
                </c:pt>
                <c:pt idx="54">
                  <c:v>6.5830492066836412E-3</c:v>
                </c:pt>
                <c:pt idx="55">
                  <c:v>6.6501798231324658E-3</c:v>
                </c:pt>
                <c:pt idx="56">
                  <c:v>6.7172488999251998E-3</c:v>
                </c:pt>
                <c:pt idx="57">
                  <c:v>6.7842566911623901E-3</c:v>
                </c:pt>
                <c:pt idx="58">
                  <c:v>6.8512035904163531E-3</c:v>
                </c:pt>
                <c:pt idx="59">
                  <c:v>6.9180901401680994E-3</c:v>
                </c:pt>
                <c:pt idx="60">
                  <c:v>6.9849170404515945E-3</c:v>
                </c:pt>
                <c:pt idx="61">
                  <c:v>7.0516851566371002E-3</c:v>
                </c:pt>
                <c:pt idx="62">
                  <c:v>7.1183955262952093E-3</c:v>
                </c:pt>
                <c:pt idx="63">
                  <c:v>7.1850493650936972E-3</c:v>
                </c:pt>
                <c:pt idx="64">
                  <c:v>7.2516480716896701E-3</c:v>
                </c:pt>
                <c:pt idx="65">
                  <c:v>7.3181932315904384E-3</c:v>
                </c:pt>
                <c:pt idx="66">
                  <c:v>7.3846866199674503E-3</c:v>
                </c:pt>
                <c:pt idx="67">
                  <c:v>7.4511302034179E-3</c:v>
                </c:pt>
                <c:pt idx="68">
                  <c:v>7.517526140679652E-3</c:v>
                </c:pt>
                <c:pt idx="69">
                  <c:v>7.5838767823145168E-3</c:v>
                </c:pt>
                <c:pt idx="70">
                  <c:v>7.6501846693848704E-3</c:v>
                </c:pt>
                <c:pt idx="71">
                  <c:v>7.7164525311571811E-3</c:v>
                </c:pt>
                <c:pt idx="72">
                  <c:v>7.7826832818741936E-3</c:v>
                </c:pt>
                <c:pt idx="73">
                  <c:v>7.8488800166446448E-3</c:v>
                </c:pt>
                <c:pt idx="74">
                  <c:v>7.9150460065058083E-3</c:v>
                </c:pt>
                <c:pt idx="75">
                  <c:v>7.9811846927191898E-3</c:v>
                </c:pt>
                <c:pt idx="76">
                  <c:v>8.0472996803641183E-3</c:v>
                </c:pt>
                <c:pt idx="77">
                  <c:v>8.1133947312967882E-3</c:v>
                </c:pt>
                <c:pt idx="78">
                  <c:v>8.1794737565444066E-3</c:v>
                </c:pt>
                <c:pt idx="79">
                  <c:v>8.2455408082048754E-3</c:v>
                </c:pt>
                <c:pt idx="80">
                  <c:v>8.3116000709218263E-3</c:v>
                </c:pt>
                <c:pt idx="81">
                  <c:v>8.3776558530036429E-3</c:v>
                </c:pt>
                <c:pt idx="82">
                  <c:v>8.4437125772523908E-3</c:v>
                </c:pt>
                <c:pt idx="83">
                  <c:v>8.509774771564959E-3</c:v>
                </c:pt>
                <c:pt idx="84">
                  <c:v>8.5758470593642923E-3</c:v>
                </c:pt>
                <c:pt idx="85">
                  <c:v>8.641934149913091E-3</c:v>
                </c:pt>
                <c:pt idx="86">
                  <c:v>8.7080408285563609E-3</c:v>
                </c:pt>
                <c:pt idx="87">
                  <c:v>8.7741719469322868E-3</c:v>
                </c:pt>
                <c:pt idx="88">
                  <c:v>8.8403324131835111E-3</c:v>
                </c:pt>
                <c:pt idx="89">
                  <c:v>8.9065271821934314E-3</c:v>
                </c:pt>
                <c:pt idx="90">
                  <c:v>8.9727612458638788E-3</c:v>
                </c:pt>
                <c:pt idx="91">
                  <c:v>9.0390396234424717E-3</c:v>
                </c:pt>
                <c:pt idx="92">
                  <c:v>9.1053673519000122E-3</c:v>
                </c:pt>
                <c:pt idx="93">
                  <c:v>9.1717494763501987E-3</c:v>
                </c:pt>
                <c:pt idx="94">
                  <c:v>9.2381910404963005E-3</c:v>
                </c:pt>
                <c:pt idx="95">
                  <c:v>9.3046970770824331E-3</c:v>
                </c:pt>
                <c:pt idx="96">
                  <c:v>9.371272598320218E-3</c:v>
                </c:pt>
                <c:pt idx="97">
                  <c:v>9.437922586256E-3</c:v>
                </c:pt>
                <c:pt idx="98">
                  <c:v>9.5046519830386707E-3</c:v>
                </c:pt>
                <c:pt idx="99">
                  <c:v>9.5714656810437868E-3</c:v>
                </c:pt>
                <c:pt idx="100">
                  <c:v>9.6383685128071106E-3</c:v>
                </c:pt>
                <c:pt idx="101">
                  <c:v>9.7053652407182636E-3</c:v>
                </c:pt>
                <c:pt idx="102">
                  <c:v>9.7724605464247199E-3</c:v>
                </c:pt>
                <c:pt idx="103">
                  <c:v>9.8396590198967168E-3</c:v>
                </c:pt>
                <c:pt idx="104">
                  <c:v>9.9069651481055593E-3</c:v>
                </c:pt>
                <c:pt idx="105">
                  <c:v>9.9743833032706411E-3</c:v>
                </c:pt>
                <c:pt idx="106">
                  <c:v>1.0041917730635029E-2</c:v>
                </c:pt>
                <c:pt idx="107">
                  <c:v>1.0109572535735002E-2</c:v>
                </c:pt>
                <c:pt idx="108">
                  <c:v>1.0177351671135704E-2</c:v>
                </c:pt>
                <c:pt idx="109">
                  <c:v>1.0245258922613297E-2</c:v>
                </c:pt>
                <c:pt idx="110">
                  <c:v>1.0313297894772687E-2</c:v>
                </c:pt>
                <c:pt idx="111">
                  <c:v>1.0381471996100627E-2</c:v>
                </c:pt>
                <c:pt idx="112">
                  <c:v>1.0449784423464269E-2</c:v>
                </c:pt>
                <c:pt idx="113">
                  <c:v>1.0518238146077587E-2</c:v>
                </c:pt>
                <c:pt idx="114">
                  <c:v>1.0586835888970192E-2</c:v>
                </c:pt>
                <c:pt idx="115">
                  <c:v>1.0655580116005774E-2</c:v>
                </c:pt>
                <c:pt idx="116">
                  <c:v>1.0724473012511025E-2</c:v>
                </c:pt>
                <c:pt idx="117">
                  <c:v>1.0793516467588525E-2</c:v>
                </c:pt>
                <c:pt idx="118">
                  <c:v>1.0862712056200922E-2</c:v>
                </c:pt>
                <c:pt idx="119">
                  <c:v>1.0932061021126205E-2</c:v>
                </c:pt>
                <c:pt idx="120">
                  <c:v>1.1001564254896939E-2</c:v>
                </c:pt>
                <c:pt idx="121">
                  <c:v>1.1071222281847695E-2</c:v>
                </c:pt>
                <c:pt idx="122">
                  <c:v>1.1141035240406669E-2</c:v>
                </c:pt>
                <c:pt idx="123">
                  <c:v>1.1211002865777272E-2</c:v>
                </c:pt>
                <c:pt idx="124">
                  <c:v>1.128112447316452E-2</c:v>
                </c:pt>
                <c:pt idx="125">
                  <c:v>1.1351398941709039E-2</c:v>
                </c:pt>
                <c:pt idx="126">
                  <c:v>1.1421824699297391E-2</c:v>
                </c:pt>
                <c:pt idx="127">
                  <c:v>1.1492399708422207E-2</c:v>
                </c:pt>
                <c:pt idx="128">
                  <c:v>1.1563121453268575E-2</c:v>
                </c:pt>
                <c:pt idx="129">
                  <c:v>1.1633986928204044E-2</c:v>
                </c:pt>
                <c:pt idx="130">
                  <c:v>1.1704992627848626E-2</c:v>
                </c:pt>
                <c:pt idx="131">
                  <c:v>1.1776134538898614E-2</c:v>
                </c:pt>
                <c:pt idx="132">
                  <c:v>1.1847408133872691E-2</c:v>
                </c:pt>
                <c:pt idx="133">
                  <c:v>1.1918808366942098E-2</c:v>
                </c:pt>
                <c:pt idx="134">
                  <c:v>1.1990329671997377E-2</c:v>
                </c:pt>
                <c:pt idx="135">
                  <c:v>1.2061965963093115E-2</c:v>
                </c:pt>
                <c:pt idx="136">
                  <c:v>1.2133710637399138E-2</c:v>
                </c:pt>
                <c:pt idx="137">
                  <c:v>1.2205556580771359E-2</c:v>
                </c:pt>
                <c:pt idx="138">
                  <c:v>1.2277496176038714E-2</c:v>
                </c:pt>
                <c:pt idx="139">
                  <c:v>1.2349521314084282E-2</c:v>
                </c:pt>
                <c:pt idx="140">
                  <c:v>1.2421623407778125E-2</c:v>
                </c:pt>
                <c:pt idx="141">
                  <c:v>1.2493793408798456E-2</c:v>
                </c:pt>
                <c:pt idx="142">
                  <c:v>1.2566021827354501E-2</c:v>
                </c:pt>
                <c:pt idx="143">
                  <c:v>1.2638298754801122E-2</c:v>
                </c:pt>
                <c:pt idx="144">
                  <c:v>1.2710613889110768E-2</c:v>
                </c:pt>
                <c:pt idx="145">
                  <c:v>1.2782956563142914E-2</c:v>
                </c:pt>
                <c:pt idx="146">
                  <c:v>1.2855315775626383E-2</c:v>
                </c:pt>
                <c:pt idx="147">
                  <c:v>1.2927680224744224E-2</c:v>
                </c:pt>
                <c:pt idx="148">
                  <c:v>1.3000038344185665E-2</c:v>
                </c:pt>
                <c:pt idx="149">
                  <c:v>1.307237834150525E-2</c:v>
                </c:pt>
                <c:pt idx="150">
                  <c:v>1.3144688238605056E-2</c:v>
                </c:pt>
                <c:pt idx="151">
                  <c:v>1.321695591413311E-2</c:v>
                </c:pt>
                <c:pt idx="152">
                  <c:v>1.3289169147569396E-2</c:v>
                </c:pt>
                <c:pt idx="153">
                  <c:v>1.3361315664750887E-2</c:v>
                </c:pt>
                <c:pt idx="154">
                  <c:v>1.3433383184568272E-2</c:v>
                </c:pt>
                <c:pt idx="155">
                  <c:v>1.350535946655103E-2</c:v>
                </c:pt>
                <c:pt idx="156">
                  <c:v>1.3577232359043038E-2</c:v>
                </c:pt>
                <c:pt idx="157">
                  <c:v>1.3648989847659042E-2</c:v>
                </c:pt>
                <c:pt idx="158">
                  <c:v>1.3720620103703186E-2</c:v>
                </c:pt>
                <c:pt idx="159">
                  <c:v>1.3792111532223867E-2</c:v>
                </c:pt>
                <c:pt idx="160">
                  <c:v>1.3863452819375621E-2</c:v>
                </c:pt>
                <c:pt idx="161">
                  <c:v>1.3934632978757735E-2</c:v>
                </c:pt>
                <c:pt idx="162">
                  <c:v>1.4005641396401087E-2</c:v>
                </c:pt>
                <c:pt idx="163">
                  <c:v>1.4076467874080106E-2</c:v>
                </c:pt>
                <c:pt idx="164">
                  <c:v>1.4147102670634404E-2</c:v>
                </c:pt>
                <c:pt idx="165">
                  <c:v>1.4217536540995697E-2</c:v>
                </c:pt>
                <c:pt idx="166">
                  <c:v>1.4287760772629622E-2</c:v>
                </c:pt>
                <c:pt idx="167">
                  <c:v>1.4357767219118444E-2</c:v>
                </c:pt>
                <c:pt idx="168">
                  <c:v>1.4427548330630272E-2</c:v>
                </c:pt>
                <c:pt idx="169">
                  <c:v>1.4497097181042166E-2</c:v>
                </c:pt>
                <c:pt idx="170">
                  <c:v>1.4566407491508643E-2</c:v>
                </c:pt>
                <c:pt idx="171">
                  <c:v>1.4635473650293763E-2</c:v>
                </c:pt>
                <c:pt idx="172">
                  <c:v>1.4704290728713033E-2</c:v>
                </c:pt>
                <c:pt idx="173">
                  <c:v>1.4772854493061463E-2</c:v>
                </c:pt>
                <c:pt idx="174">
                  <c:v>1.4841161412435423E-2</c:v>
                </c:pt>
                <c:pt idx="175">
                  <c:v>1.4909208662388483E-2</c:v>
                </c:pt>
                <c:pt idx="176">
                  <c:v>1.4976994124394618E-2</c:v>
                </c:pt>
                <c:pt idx="177">
                  <c:v>1.5044516381125906E-2</c:v>
                </c:pt>
                <c:pt idx="178">
                  <c:v>1.5111774707585724E-2</c:v>
                </c:pt>
                <c:pt idx="179">
                  <c:v>1.517876905817222E-2</c:v>
                </c:pt>
                <c:pt idx="180">
                  <c:v>1.5245500049779934E-2</c:v>
                </c:pt>
                <c:pt idx="181">
                  <c:v>1.5311968941079893E-2</c:v>
                </c:pt>
                <c:pt idx="182">
                  <c:v>1.5378177608149491E-2</c:v>
                </c:pt>
                <c:pt idx="183">
                  <c:v>1.5444128516653579E-2</c:v>
                </c:pt>
                <c:pt idx="184">
                  <c:v>1.5509824690805521E-2</c:v>
                </c:pt>
                <c:pt idx="185">
                  <c:v>1.5575269679363415E-2</c:v>
                </c:pt>
                <c:pt idx="186">
                  <c:v>1.564046751893975E-2</c:v>
                </c:pt>
                <c:pt idx="187">
                  <c:v>1.5705422694923952E-2</c:v>
                </c:pt>
                <c:pt idx="188">
                  <c:v>1.5770140100335277E-2</c:v>
                </c:pt>
                <c:pt idx="189">
                  <c:v>1.5834624992938761E-2</c:v>
                </c:pt>
                <c:pt idx="190">
                  <c:v>1.5898882950968734E-2</c:v>
                </c:pt>
                <c:pt idx="191">
                  <c:v>1.59629198278134E-2</c:v>
                </c:pt>
                <c:pt idx="192">
                  <c:v>1.6026741706018959E-2</c:v>
                </c:pt>
                <c:pt idx="193">
                  <c:v>1.609035485097389E-2</c:v>
                </c:pt>
                <c:pt idx="194">
                  <c:v>1.6153765664632329E-2</c:v>
                </c:pt>
                <c:pt idx="195">
                  <c:v>1.6216980639630417E-2</c:v>
                </c:pt>
                <c:pt idx="196">
                  <c:v>1.6280006314141015E-2</c:v>
                </c:pt>
                <c:pt idx="197">
                  <c:v>1.6342849227800511E-2</c:v>
                </c:pt>
                <c:pt idx="198">
                  <c:v>1.6405515879026292E-2</c:v>
                </c:pt>
                <c:pt idx="199">
                  <c:v>1.6468012684025653E-2</c:v>
                </c:pt>
                <c:pt idx="200">
                  <c:v>1.653034593777564E-2</c:v>
                </c:pt>
                <c:pt idx="201">
                  <c:v>1.6592521777230234E-2</c:v>
                </c:pt>
                <c:pt idx="202">
                  <c:v>1.6654546146984965E-2</c:v>
                </c:pt>
                <c:pt idx="203">
                  <c:v>1.6716424767601133E-2</c:v>
                </c:pt>
                <c:pt idx="204">
                  <c:v>1.6778163106761917E-2</c:v>
                </c:pt>
                <c:pt idx="205">
                  <c:v>1.6839766353401304E-2</c:v>
                </c:pt>
                <c:pt idx="206">
                  <c:v>1.6901239394914055E-2</c:v>
                </c:pt>
                <c:pt idx="207">
                  <c:v>1.6962586797521693E-2</c:v>
                </c:pt>
                <c:pt idx="208">
                  <c:v>1.7023812789835693E-2</c:v>
                </c:pt>
                <c:pt idx="209">
                  <c:v>1.7084921249625025E-2</c:v>
                </c:pt>
                <c:pt idx="210">
                  <c:v>1.7145915693761699E-2</c:v>
                </c:pt>
                <c:pt idx="211">
                  <c:v>1.7206799271284923E-2</c:v>
                </c:pt>
                <c:pt idx="212">
                  <c:v>1.7267574759492591E-2</c:v>
                </c:pt>
                <c:pt idx="213">
                  <c:v>1.7328244562938373E-2</c:v>
                </c:pt>
                <c:pt idx="214">
                  <c:v>1.7388810715183479E-2</c:v>
                </c:pt>
                <c:pt idx="215">
                  <c:v>1.7449274883125851E-2</c:v>
                </c:pt>
                <c:pt idx="216">
                  <c:v>1.7509638373704624E-2</c:v>
                </c:pt>
                <c:pt idx="217">
                  <c:v>1.7569902142756239E-2</c:v>
                </c:pt>
                <c:pt idx="218">
                  <c:v>1.7630066805779183E-2</c:v>
                </c:pt>
                <c:pt idx="219">
                  <c:v>1.7690132650348914E-2</c:v>
                </c:pt>
                <c:pt idx="220">
                  <c:v>1.7750099649911522E-2</c:v>
                </c:pt>
                <c:pt idx="221">
                  <c:v>1.7809967478675581E-2</c:v>
                </c:pt>
                <c:pt idx="222">
                  <c:v>1.7869735527316074E-2</c:v>
                </c:pt>
                <c:pt idx="223">
                  <c:v>1.7929402919202007E-2</c:v>
                </c:pt>
                <c:pt idx="224">
                  <c:v>1.798896852686108E-2</c:v>
                </c:pt>
                <c:pt idx="225">
                  <c:v>1.8048430988399786E-2</c:v>
                </c:pt>
                <c:pt idx="226">
                  <c:v>1.810778872360605E-2</c:v>
                </c:pt>
                <c:pt idx="227">
                  <c:v>1.8167039949473971E-2</c:v>
                </c:pt>
                <c:pt idx="228">
                  <c:v>1.8226182694905488E-2</c:v>
                </c:pt>
                <c:pt idx="229">
                  <c:v>1.8285214814362852E-2</c:v>
                </c:pt>
                <c:pt idx="230">
                  <c:v>1.8344134000267114E-2</c:v>
                </c:pt>
                <c:pt idx="231">
                  <c:v>1.8402937793962758E-2</c:v>
                </c:pt>
                <c:pt idx="232">
                  <c:v>1.8461623595095122E-2</c:v>
                </c:pt>
                <c:pt idx="233">
                  <c:v>1.8520188669276346E-2</c:v>
                </c:pt>
                <c:pt idx="234">
                  <c:v>1.8578630153946622E-2</c:v>
                </c:pt>
                <c:pt idx="235">
                  <c:v>1.8636945062369428E-2</c:v>
                </c:pt>
                <c:pt idx="236">
                  <c:v>1.8695130285733202E-2</c:v>
                </c:pt>
                <c:pt idx="237">
                  <c:v>1.8753182593365475E-2</c:v>
                </c:pt>
                <c:pt idx="238">
                  <c:v>1.8811098631100136E-2</c:v>
                </c:pt>
                <c:pt idx="239">
                  <c:v>1.8868874917872269E-2</c:v>
                </c:pt>
                <c:pt idx="240">
                  <c:v>1.892650784064899E-2</c:v>
                </c:pt>
                <c:pt idx="241">
                  <c:v>1.8983993647836792E-2</c:v>
                </c:pt>
                <c:pt idx="242">
                  <c:v>1.9041328441337515E-2</c:v>
                </c:pt>
                <c:pt idx="243">
                  <c:v>1.9098508167454186E-2</c:v>
                </c:pt>
                <c:pt idx="244">
                  <c:v>1.9155528606875468E-2</c:v>
                </c:pt>
                <c:pt idx="245">
                  <c:v>1.9212385363991752E-2</c:v>
                </c:pt>
                <c:pt idx="246">
                  <c:v>1.9269073855818445E-2</c:v>
                </c:pt>
                <c:pt idx="247">
                  <c:v>1.932558930081987E-2</c:v>
                </c:pt>
                <c:pt idx="248">
                  <c:v>1.9381926707943153E-2</c:v>
                </c:pt>
                <c:pt idx="249">
                  <c:v>1.9438080866182577E-2</c:v>
                </c:pt>
                <c:pt idx="250">
                  <c:v>1.9494046335002645E-2</c:v>
                </c:pt>
                <c:pt idx="251">
                  <c:v>1.9549817435951793E-2</c:v>
                </c:pt>
                <c:pt idx="252">
                  <c:v>1.9605388245797994E-2</c:v>
                </c:pt>
                <c:pt idx="253">
                  <c:v>1.9660752591512752E-2</c:v>
                </c:pt>
                <c:pt idx="254">
                  <c:v>1.9715904047420879E-2</c:v>
                </c:pt>
                <c:pt idx="255">
                  <c:v>1.977083593482E-2</c:v>
                </c:pt>
                <c:pt idx="256">
                  <c:v>1.9825541324356721E-2</c:v>
                </c:pt>
                <c:pt idx="257">
                  <c:v>1.9880013041423832E-2</c:v>
                </c:pt>
                <c:pt idx="258">
                  <c:v>1.9934243674818712E-2</c:v>
                </c:pt>
                <c:pt idx="259">
                  <c:v>1.9988225588872813E-2</c:v>
                </c:pt>
                <c:pt idx="260">
                  <c:v>2.0041950939230189E-2</c:v>
                </c:pt>
                <c:pt idx="261">
                  <c:v>2.00954116924171E-2</c:v>
                </c:pt>
                <c:pt idx="262">
                  <c:v>2.0148599649306115E-2</c:v>
                </c:pt>
                <c:pt idx="263">
                  <c:v>2.0201506472537135E-2</c:v>
                </c:pt>
                <c:pt idx="264">
                  <c:v>2.0254123717915039E-2</c:v>
                </c:pt>
                <c:pt idx="265">
                  <c:v>2.0306442869758499E-2</c:v>
                </c:pt>
                <c:pt idx="266">
                  <c:v>2.0358455380129301E-2</c:v>
                </c:pt>
                <c:pt idx="267">
                  <c:v>2.0410152711824642E-2</c:v>
                </c:pt>
                <c:pt idx="268">
                  <c:v>2.0461526384968436E-2</c:v>
                </c:pt>
                <c:pt idx="269">
                  <c:v>2.0512568026991335E-2</c:v>
                </c:pt>
                <c:pt idx="270">
                  <c:v>2.0563269425743543E-2</c:v>
                </c:pt>
                <c:pt idx="271">
                  <c:v>2.0613622585440545E-2</c:v>
                </c:pt>
                <c:pt idx="272">
                  <c:v>2.0663619785099216E-2</c:v>
                </c:pt>
                <c:pt idx="273">
                  <c:v>2.0713253639082066E-2</c:v>
                </c:pt>
                <c:pt idx="274">
                  <c:v>2.0762517159329662E-2</c:v>
                </c:pt>
                <c:pt idx="275">
                  <c:v>2.0811403818827734E-2</c:v>
                </c:pt>
                <c:pt idx="276">
                  <c:v>2.0859907615824565E-2</c:v>
                </c:pt>
                <c:pt idx="277">
                  <c:v>2.0908023138288184E-2</c:v>
                </c:pt>
                <c:pt idx="278">
                  <c:v>2.095574562807076E-2</c:v>
                </c:pt>
                <c:pt idx="279">
                  <c:v>2.100307104423044E-2</c:v>
                </c:pt>
                <c:pt idx="280">
                  <c:v>2.1049996124948209E-2</c:v>
                </c:pt>
                <c:pt idx="281">
                  <c:v>2.1096518447470833E-2</c:v>
                </c:pt>
                <c:pt idx="282">
                  <c:v>2.1142636485508411E-2</c:v>
                </c:pt>
                <c:pt idx="283">
                  <c:v>2.1188349663519471E-2</c:v>
                </c:pt>
                <c:pt idx="284">
                  <c:v>2.123365840732554E-2</c:v>
                </c:pt>
                <c:pt idx="285">
                  <c:v>2.1278564190511738E-2</c:v>
                </c:pt>
                <c:pt idx="286">
                  <c:v>2.1323069576090922E-2</c:v>
                </c:pt>
                <c:pt idx="287">
                  <c:v>2.1367178252934032E-2</c:v>
                </c:pt>
                <c:pt idx="288">
                  <c:v>2.1410895066500832E-2</c:v>
                </c:pt>
                <c:pt idx="289">
                  <c:v>2.1454226043441115E-2</c:v>
                </c:pt>
                <c:pt idx="290">
                  <c:v>2.1497178409677381E-2</c:v>
                </c:pt>
                <c:pt idx="291">
                  <c:v>2.1539760601625501E-2</c:v>
                </c:pt>
                <c:pt idx="292">
                  <c:v>2.1581982270258936E-2</c:v>
                </c:pt>
                <c:pt idx="293">
                  <c:v>2.1623854277775953E-2</c:v>
                </c:pt>
                <c:pt idx="294">
                  <c:v>2.1665388686684887E-2</c:v>
                </c:pt>
                <c:pt idx="295">
                  <c:v>2.1706598741182331E-2</c:v>
                </c:pt>
                <c:pt idx="296">
                  <c:v>2.1747498840760032E-2</c:v>
                </c:pt>
                <c:pt idx="297">
                  <c:v>2.1788104506039737E-2</c:v>
                </c:pt>
                <c:pt idx="298">
                  <c:v>2.1828432336899014E-2</c:v>
                </c:pt>
                <c:pt idx="299">
                  <c:v>2.186849996301626E-2</c:v>
                </c:pt>
                <c:pt idx="300">
                  <c:v>2.1908325987027147E-2</c:v>
                </c:pt>
                <c:pt idx="301">
                  <c:v>2.1947929920549138E-2</c:v>
                </c:pt>
                <c:pt idx="302">
                  <c:v>2.1987332113393099E-2</c:v>
                </c:pt>
                <c:pt idx="303">
                  <c:v>2.2026553676341765E-2</c:v>
                </c:pt>
                <c:pt idx="304">
                  <c:v>2.2065616397933051E-2</c:v>
                </c:pt>
                <c:pt idx="305">
                  <c:v>2.2104542655741469E-2</c:v>
                </c:pt>
                <c:pt idx="306">
                  <c:v>2.2143355322702195E-2</c:v>
                </c:pt>
                <c:pt idx="307">
                  <c:v>2.21820776690702E-2</c:v>
                </c:pt>
                <c:pt idx="308">
                  <c:v>2.2220733260649179E-2</c:v>
                </c:pt>
                <c:pt idx="309">
                  <c:v>2.2259345853963334E-2</c:v>
                </c:pt>
                <c:pt idx="310">
                  <c:v>2.229793928907705E-2</c:v>
                </c:pt>
                <c:pt idx="311">
                  <c:v>2.2336537380794188E-2</c:v>
                </c:pt>
                <c:pt idx="312">
                  <c:v>2.2375163808989414E-2</c:v>
                </c:pt>
                <c:pt idx="313">
                  <c:v>2.2413842008837885E-2</c:v>
                </c:pt>
                <c:pt idx="314">
                  <c:v>2.2452595061717474E-2</c:v>
                </c:pt>
                <c:pt idx="315">
                  <c:v>2.2491445587558893E-2</c:v>
                </c:pt>
                <c:pt idx="316">
                  <c:v>2.2530415639413208E-2</c:v>
                </c:pt>
                <c:pt idx="317">
                  <c:v>2.2569526600994337E-2</c:v>
                </c:pt>
                <c:pt idx="318">
                  <c:v>2.2608799087935026E-2</c:v>
                </c:pt>
                <c:pt idx="319">
                  <c:v>2.2648252853469757E-2</c:v>
                </c:pt>
                <c:pt idx="320">
                  <c:v>2.2687906699226126E-2</c:v>
                </c:pt>
                <c:pt idx="321">
                  <c:v>2.2727778391769128E-2</c:v>
                </c:pt>
                <c:pt idx="322">
                  <c:v>2.2767884585499162E-2</c:v>
                </c:pt>
                <c:pt idx="323">
                  <c:v>2.2808240752456171E-2</c:v>
                </c:pt>
                <c:pt idx="324">
                  <c:v>2.2848861119528743E-2</c:v>
                </c:pt>
                <c:pt idx="325">
                  <c:v>2.2889758613509351E-2</c:v>
                </c:pt>
                <c:pt idx="326">
                  <c:v>2.2930944814374406E-2</c:v>
                </c:pt>
                <c:pt idx="327">
                  <c:v>2.2972429917103555E-2</c:v>
                </c:pt>
                <c:pt idx="328">
                  <c:v>2.3014222702283711E-2</c:v>
                </c:pt>
                <c:pt idx="329">
                  <c:v>2.3056330515673611E-2</c:v>
                </c:pt>
                <c:pt idx="330">
                  <c:v>2.3098759256833003E-2</c:v>
                </c:pt>
                <c:pt idx="331">
                  <c:v>2.3141513376847528E-2</c:v>
                </c:pt>
                <c:pt idx="332">
                  <c:v>2.3184595885107958E-2</c:v>
                </c:pt>
                <c:pt idx="333">
                  <c:v>2.322800836502981E-2</c:v>
                </c:pt>
                <c:pt idx="334">
                  <c:v>2.3271750998527786E-2</c:v>
                </c:pt>
                <c:pt idx="335">
                  <c:v>2.3315822598990368E-2</c:v>
                </c:pt>
                <c:pt idx="336">
                  <c:v>2.3360220652432241E-2</c:v>
                </c:pt>
                <c:pt idx="337">
                  <c:v>2.3404941366437865E-2</c:v>
                </c:pt>
                <c:pt idx="338">
                  <c:v>2.3449979726449504E-2</c:v>
                </c:pt>
                <c:pt idx="339">
                  <c:v>2.3495329558895318E-2</c:v>
                </c:pt>
                <c:pt idx="340">
                  <c:v>2.354098360060217E-2</c:v>
                </c:pt>
                <c:pt idx="341">
                  <c:v>2.3586933573890266E-2</c:v>
                </c:pt>
                <c:pt idx="342">
                  <c:v>2.363317026670558E-2</c:v>
                </c:pt>
                <c:pt idx="343">
                  <c:v>2.3679683617110387E-2</c:v>
                </c:pt>
                <c:pt idx="344">
                  <c:v>2.3726462801422942E-2</c:v>
                </c:pt>
                <c:pt idx="345">
                  <c:v>2.3773496325274326E-2</c:v>
                </c:pt>
                <c:pt idx="346">
                  <c:v>2.3820772116834033E-2</c:v>
                </c:pt>
                <c:pt idx="347">
                  <c:v>2.3868277621446436E-2</c:v>
                </c:pt>
                <c:pt idx="348">
                  <c:v>2.3915999896917398E-2</c:v>
                </c:pt>
                <c:pt idx="349">
                  <c:v>2.3963925708693795E-2</c:v>
                </c:pt>
                <c:pt idx="350">
                  <c:v>2.4012041624190163E-2</c:v>
                </c:pt>
                <c:pt idx="351">
                  <c:v>2.4060334105532995E-2</c:v>
                </c:pt>
                <c:pt idx="352">
                  <c:v>2.4108789600017458E-2</c:v>
                </c:pt>
                <c:pt idx="353">
                  <c:v>2.4157394627600557E-2</c:v>
                </c:pt>
                <c:pt idx="354">
                  <c:v>2.4206135864790507E-2</c:v>
                </c:pt>
                <c:pt idx="355">
                  <c:v>2.4255000224332815E-2</c:v>
                </c:pt>
                <c:pt idx="356">
                  <c:v>2.4303974930139468E-2</c:v>
                </c:pt>
                <c:pt idx="357">
                  <c:v>2.4353047586958346E-2</c:v>
                </c:pt>
                <c:pt idx="358">
                  <c:v>2.4402206244333997E-2</c:v>
                </c:pt>
                <c:pt idx="359">
                  <c:v>2.4451439454469266E-2</c:v>
                </c:pt>
                <c:pt idx="360">
                  <c:v>2.4500736323657953E-2</c:v>
                </c:pt>
                <c:pt idx="361">
                  <c:v>2.45500865570219E-2</c:v>
                </c:pt>
                <c:pt idx="362">
                  <c:v>2.4599480496350707E-2</c:v>
                </c:pt>
                <c:pt idx="363">
                  <c:v>2.4648909150908477E-2</c:v>
                </c:pt>
                <c:pt idx="364">
                  <c:v>2.4698364221137914E-2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'2022'!Pvg</c:f>
              <c:numCache>
                <c:formatCode>0.00%</c:formatCode>
                <c:ptCount val="366"/>
                <c:pt idx="0">
                  <c:v>6.8879188521336048E-9</c:v>
                </c:pt>
                <c:pt idx="1">
                  <c:v>1.7374028242748862E-7</c:v>
                </c:pt>
                <c:pt idx="2">
                  <c:v>3.4476570422856296E-7</c:v>
                </c:pt>
                <c:pt idx="3">
                  <c:v>5.2023472622447653E-7</c:v>
                </c:pt>
                <c:pt idx="4">
                  <c:v>7.0049177729268316E-7</c:v>
                </c:pt>
                <c:pt idx="5">
                  <c:v>8.8595646742283495E-7</c:v>
                </c:pt>
                <c:pt idx="6">
                  <c:v>1.0771252491981753E-6</c:v>
                </c:pt>
                <c:pt idx="7">
                  <c:v>1.2745736448008363E-6</c:v>
                </c:pt>
                <c:pt idx="8">
                  <c:v>1.4786393692301845E-6</c:v>
                </c:pt>
                <c:pt idx="9">
                  <c:v>1.6902417204912589E-6</c:v>
                </c:pt>
                <c:pt idx="10">
                  <c:v>1.9099830314442416E-6</c:v>
                </c:pt>
                <c:pt idx="11">
                  <c:v>2.138521121544905E-6</c:v>
                </c:pt>
                <c:pt idx="12">
                  <c:v>2.3765363493458741E-6</c:v>
                </c:pt>
                <c:pt idx="13">
                  <c:v>2.6247320765116286E-6</c:v>
                </c:pt>
                <c:pt idx="14">
                  <c:v>2.883835124273815E-6</c:v>
                </c:pt>
                <c:pt idx="15">
                  <c:v>3.1451025551368685E-6</c:v>
                </c:pt>
                <c:pt idx="16">
                  <c:v>3.4056478324256187E-6</c:v>
                </c:pt>
                <c:pt idx="17">
                  <c:v>3.6636721254163647E-6</c:v>
                </c:pt>
                <c:pt idx="18">
                  <c:v>3.9173115236173186E-6</c:v>
                </c:pt>
                <c:pt idx="19">
                  <c:v>4.1646560890176E-6</c:v>
                </c:pt>
                <c:pt idx="20">
                  <c:v>4.4037435559761144E-6</c:v>
                </c:pt>
                <c:pt idx="21">
                  <c:v>4.6325339351651825E-6</c:v>
                </c:pt>
                <c:pt idx="22">
                  <c:v>4.8485314078900041E-6</c:v>
                </c:pt>
                <c:pt idx="23">
                  <c:v>5.0330651702708089E-6</c:v>
                </c:pt>
                <c:pt idx="24">
                  <c:v>5.1791444090052606E-6</c:v>
                </c:pt>
                <c:pt idx="25">
                  <c:v>5.2816553616910467E-6</c:v>
                </c:pt>
                <c:pt idx="26">
                  <c:v>5.3353290726851353E-6</c:v>
                </c:pt>
                <c:pt idx="27">
                  <c:v>5.3347137224929236E-6</c:v>
                </c:pt>
                <c:pt idx="28">
                  <c:v>5.2741435921661715E-6</c:v>
                </c:pt>
                <c:pt idx="29">
                  <c:v>5.1653717763350513E-6</c:v>
                </c:pt>
                <c:pt idx="30">
                  <c:v>5.0264713906237879E-6</c:v>
                </c:pt>
                <c:pt idx="31">
                  <c:v>4.8562565941427601E-6</c:v>
                </c:pt>
                <c:pt idx="32">
                  <c:v>4.6534316245877025E-6</c:v>
                </c:pt>
                <c:pt idx="33">
                  <c:v>4.4165779722528177E-6</c:v>
                </c:pt>
                <c:pt idx="34">
                  <c:v>4.1441413292650402E-6</c:v>
                </c:pt>
                <c:pt idx="35">
                  <c:v>3.8344181713792082E-6</c:v>
                </c:pt>
                <c:pt idx="36">
                  <c:v>3.4851525331358545E-6</c:v>
                </c:pt>
                <c:pt idx="37">
                  <c:v>3.1192261279161489E-6</c:v>
                </c:pt>
                <c:pt idx="38">
                  <c:v>2.7688709280023627E-6</c:v>
                </c:pt>
                <c:pt idx="39">
                  <c:v>2.4387407681342743E-6</c:v>
                </c:pt>
                <c:pt idx="40">
                  <c:v>2.1337117090649314E-6</c:v>
                </c:pt>
                <c:pt idx="41">
                  <c:v>1.8589012289368969E-6</c:v>
                </c:pt>
                <c:pt idx="42">
                  <c:v>1.6196888247601431E-6</c:v>
                </c:pt>
                <c:pt idx="43">
                  <c:v>1.420740983643169E-6</c:v>
                </c:pt>
                <c:pt idx="44">
                  <c:v>1.2360918554948395E-6</c:v>
                </c:pt>
                <c:pt idx="45">
                  <c:v>1.0684582602144311E-6</c:v>
                </c:pt>
                <c:pt idx="46">
                  <c:v>9.2070960633284693E-7</c:v>
                </c:pt>
                <c:pt idx="47">
                  <c:v>7.9588060823346011E-7</c:v>
                </c:pt>
                <c:pt idx="48">
                  <c:v>6.9718485687437738E-7</c:v>
                </c:pt>
                <c:pt idx="49">
                  <c:v>6.2802930625979894E-7</c:v>
                </c:pt>
                <c:pt idx="50">
                  <c:v>5.9202374040241566E-7</c:v>
                </c:pt>
                <c:pt idx="51">
                  <c:v>5.9237008519090391E-7</c:v>
                </c:pt>
                <c:pt idx="52">
                  <c:v>5.8989632079428201E-7</c:v>
                </c:pt>
                <c:pt idx="53">
                  <c:v>5.8434230637620492E-7</c:v>
                </c:pt>
                <c:pt idx="54">
                  <c:v>5.754358742399398E-7</c:v>
                </c:pt>
                <c:pt idx="55">
                  <c:v>5.6288978084982903E-7</c:v>
                </c:pt>
                <c:pt idx="56">
                  <c:v>5.4640110312106467E-7</c:v>
                </c:pt>
                <c:pt idx="57">
                  <c:v>5.4423481766723083E-7</c:v>
                </c:pt>
                <c:pt idx="58">
                  <c:v>5.4251279674018846E-7</c:v>
                </c:pt>
                <c:pt idx="59">
                  <c:v>5.4073811134561225E-7</c:v>
                </c:pt>
                <c:pt idx="60">
                  <c:v>5.3839801168594897E-7</c:v>
                </c:pt>
                <c:pt idx="61">
                  <c:v>5.3496271973487947E-7</c:v>
                </c:pt>
                <c:pt idx="62">
                  <c:v>5.2988423226530351E-7</c:v>
                </c:pt>
                <c:pt idx="63">
                  <c:v>5.2259512695958296E-7</c:v>
                </c:pt>
                <c:pt idx="64">
                  <c:v>5.1249922269195921E-7</c:v>
                </c:pt>
                <c:pt idx="65">
                  <c:v>5.0089894414694118E-7</c:v>
                </c:pt>
                <c:pt idx="66">
                  <c:v>4.8868206300329001E-7</c:v>
                </c:pt>
                <c:pt idx="67">
                  <c:v>4.7565248417371773E-7</c:v>
                </c:pt>
                <c:pt idx="68">
                  <c:v>4.6161019695998785E-7</c:v>
                </c:pt>
                <c:pt idx="69">
                  <c:v>4.4635090476804143E-7</c:v>
                </c:pt>
                <c:pt idx="70">
                  <c:v>4.2966559382407206E-7</c:v>
                </c:pt>
                <c:pt idx="71">
                  <c:v>4.1487086687238266E-7</c:v>
                </c:pt>
                <c:pt idx="72">
                  <c:v>4.0234684599573735E-7</c:v>
                </c:pt>
                <c:pt idx="73">
                  <c:v>3.9283316368429409E-7</c:v>
                </c:pt>
                <c:pt idx="74">
                  <c:v>3.8710999777353285E-7</c:v>
                </c:pt>
                <c:pt idx="75">
                  <c:v>3.8600156905747951E-7</c:v>
                </c:pt>
                <c:pt idx="76">
                  <c:v>3.9037998563371398E-7</c:v>
                </c:pt>
                <c:pt idx="77">
                  <c:v>4.011694545431627E-7</c:v>
                </c:pt>
                <c:pt idx="78">
                  <c:v>4.1931094285696652E-7</c:v>
                </c:pt>
                <c:pt idx="79">
                  <c:v>4.4636704858654155E-7</c:v>
                </c:pt>
                <c:pt idx="80">
                  <c:v>4.7995219379070268E-7</c:v>
                </c:pt>
                <c:pt idx="81">
                  <c:v>5.2088732781267712E-7</c:v>
                </c:pt>
                <c:pt idx="82">
                  <c:v>5.7004436122050177E-7</c:v>
                </c:pt>
                <c:pt idx="83">
                  <c:v>6.2835138163358087E-7</c:v>
                </c:pt>
                <c:pt idx="84">
                  <c:v>6.9679844964021453E-7</c:v>
                </c:pt>
                <c:pt idx="85">
                  <c:v>7.7041929410313449E-7</c:v>
                </c:pt>
                <c:pt idx="86">
                  <c:v>8.4283324578298095E-7</c:v>
                </c:pt>
                <c:pt idx="87">
                  <c:v>9.1375827335969697E-7</c:v>
                </c:pt>
                <c:pt idx="88">
                  <c:v>9.8289003087708058E-7</c:v>
                </c:pt>
                <c:pt idx="89">
                  <c:v>1.0498987577586389E-6</c:v>
                </c:pt>
                <c:pt idx="90">
                  <c:v>1.1144258824013407E-6</c:v>
                </c:pt>
                <c:pt idx="91">
                  <c:v>1.1760802990564489E-6</c:v>
                </c:pt>
                <c:pt idx="92">
                  <c:v>1.2343351885134431E-6</c:v>
                </c:pt>
                <c:pt idx="93">
                  <c:v>1.2860232448344364E-6</c:v>
                </c:pt>
                <c:pt idx="94">
                  <c:v>1.3293221673420596E-6</c:v>
                </c:pt>
                <c:pt idx="95">
                  <c:v>1.3631900424110028E-6</c:v>
                </c:pt>
                <c:pt idx="96">
                  <c:v>1.3864988974620276E-6</c:v>
                </c:pt>
                <c:pt idx="97">
                  <c:v>1.39802783628899E-6</c:v>
                </c:pt>
                <c:pt idx="98">
                  <c:v>1.396455712659035E-6</c:v>
                </c:pt>
                <c:pt idx="99">
                  <c:v>1.3845352158071207E-6</c:v>
                </c:pt>
                <c:pt idx="100">
                  <c:v>1.3711506705913551E-6</c:v>
                </c:pt>
                <c:pt idx="101">
                  <c:v>1.3561834060270498E-6</c:v>
                </c:pt>
                <c:pt idx="102">
                  <c:v>1.3395081427721727E-6</c:v>
                </c:pt>
                <c:pt idx="103">
                  <c:v>1.3209926572252071E-6</c:v>
                </c:pt>
                <c:pt idx="104">
                  <c:v>1.3004974398920354E-6</c:v>
                </c:pt>
                <c:pt idx="105">
                  <c:v>1.2778753477497746E-6</c:v>
                </c:pt>
                <c:pt idx="106">
                  <c:v>1.2529638011756448E-6</c:v>
                </c:pt>
                <c:pt idx="107">
                  <c:v>1.2259907581127457E-6</c:v>
                </c:pt>
                <c:pt idx="108">
                  <c:v>1.2014174484584414E-6</c:v>
                </c:pt>
                <c:pt idx="109">
                  <c:v>1.1796694692900889E-6</c:v>
                </c:pt>
                <c:pt idx="110">
                  <c:v>1.1612169704068216E-6</c:v>
                </c:pt>
                <c:pt idx="111">
                  <c:v>1.1465747021984447E-6</c:v>
                </c:pt>
                <c:pt idx="112">
                  <c:v>1.1363023665032961E-6</c:v>
                </c:pt>
                <c:pt idx="113">
                  <c:v>1.1303354497779161E-6</c:v>
                </c:pt>
                <c:pt idx="114">
                  <c:v>1.1220991782295025E-6</c:v>
                </c:pt>
                <c:pt idx="115">
                  <c:v>1.111421714035582E-6</c:v>
                </c:pt>
                <c:pt idx="116">
                  <c:v>1.0981216308769138E-6</c:v>
                </c:pt>
                <c:pt idx="117">
                  <c:v>1.0820077419272878E-6</c:v>
                </c:pt>
                <c:pt idx="118">
                  <c:v>1.062878963050707E-6</c:v>
                </c:pt>
                <c:pt idx="119">
                  <c:v>1.0405242181876006E-6</c:v>
                </c:pt>
                <c:pt idx="120">
                  <c:v>1.014746963503088E-6</c:v>
                </c:pt>
                <c:pt idx="121">
                  <c:v>9.8797263665247727E-7</c:v>
                </c:pt>
                <c:pt idx="122">
                  <c:v>9.5941604869832007E-7</c:v>
                </c:pt>
                <c:pt idx="123">
                  <c:v>9.2902587202515228E-7</c:v>
                </c:pt>
                <c:pt idx="124">
                  <c:v>8.9675577455300845E-7</c:v>
                </c:pt>
                <c:pt idx="125">
                  <c:v>8.6256518528233856E-7</c:v>
                </c:pt>
                <c:pt idx="126">
                  <c:v>8.2642010515904147E-7</c:v>
                </c:pt>
                <c:pt idx="127">
                  <c:v>7.9059353887642558E-7</c:v>
                </c:pt>
                <c:pt idx="128">
                  <c:v>7.5653636293644051E-7</c:v>
                </c:pt>
                <c:pt idx="129">
                  <c:v>7.2466364669573187E-7</c:v>
                </c:pt>
                <c:pt idx="130">
                  <c:v>6.9542819944903838E-7</c:v>
                </c:pt>
                <c:pt idx="131">
                  <c:v>6.6932190846622096E-7</c:v>
                </c:pt>
                <c:pt idx="132">
                  <c:v>6.4687692361778342E-7</c:v>
                </c:pt>
                <c:pt idx="133">
                  <c:v>6.2866665890958398E-7</c:v>
                </c:pt>
                <c:pt idx="134">
                  <c:v>6.1532168962005805E-7</c:v>
                </c:pt>
                <c:pt idx="135">
                  <c:v>6.0729305440263404E-7</c:v>
                </c:pt>
                <c:pt idx="136">
                  <c:v>6.0069347329481497E-7</c:v>
                </c:pt>
                <c:pt idx="137">
                  <c:v>5.9575511788199E-7</c:v>
                </c:pt>
                <c:pt idx="138">
                  <c:v>5.9272685800120572E-7</c:v>
                </c:pt>
                <c:pt idx="139">
                  <c:v>5.9187447083873809E-7</c:v>
                </c:pt>
                <c:pt idx="140">
                  <c:v>5.9348075029414623E-7</c:v>
                </c:pt>
                <c:pt idx="141">
                  <c:v>5.9723375672550132E-7</c:v>
                </c:pt>
                <c:pt idx="142">
                  <c:v>5.9941497462856265E-7</c:v>
                </c:pt>
                <c:pt idx="143">
                  <c:v>5.9987713548303645E-7</c:v>
                </c:pt>
                <c:pt idx="144">
                  <c:v>5.9847116724940672E-7</c:v>
                </c:pt>
                <c:pt idx="145">
                  <c:v>5.9504356288703637E-7</c:v>
                </c:pt>
                <c:pt idx="146">
                  <c:v>5.8943679789296976E-7</c:v>
                </c:pt>
                <c:pt idx="147">
                  <c:v>5.8148979850892663E-7</c:v>
                </c:pt>
                <c:pt idx="148">
                  <c:v>5.7104743030038617E-7</c:v>
                </c:pt>
                <c:pt idx="149">
                  <c:v>5.5913511976439482E-7</c:v>
                </c:pt>
                <c:pt idx="150">
                  <c:v>5.4606454783917014E-7</c:v>
                </c:pt>
                <c:pt idx="151">
                  <c:v>5.318123599175554E-7</c:v>
                </c:pt>
                <c:pt idx="152">
                  <c:v>5.1635822870040649E-7</c:v>
                </c:pt>
                <c:pt idx="153">
                  <c:v>4.9968506869627993E-7</c:v>
                </c:pt>
                <c:pt idx="154">
                  <c:v>4.8177923632881792E-7</c:v>
                </c:pt>
                <c:pt idx="155">
                  <c:v>4.6361363329866525E-7</c:v>
                </c:pt>
                <c:pt idx="156">
                  <c:v>4.4624822022857249E-7</c:v>
                </c:pt>
                <c:pt idx="157">
                  <c:v>4.298478910667359E-7</c:v>
                </c:pt>
                <c:pt idx="158">
                  <c:v>4.1458406891069662E-7</c:v>
                </c:pt>
                <c:pt idx="159">
                  <c:v>4.00634170888912E-7</c:v>
                </c:pt>
                <c:pt idx="160">
                  <c:v>3.8818101923777704E-7</c:v>
                </c:pt>
                <c:pt idx="161">
                  <c:v>3.7741220299242841E-7</c:v>
                </c:pt>
                <c:pt idx="162">
                  <c:v>3.6851579648599761E-7</c:v>
                </c:pt>
                <c:pt idx="163">
                  <c:v>3.622552563725368E-7</c:v>
                </c:pt>
                <c:pt idx="164">
                  <c:v>3.5709443716524107E-7</c:v>
                </c:pt>
                <c:pt idx="165">
                  <c:v>3.5315399022571599E-7</c:v>
                </c:pt>
                <c:pt idx="166">
                  <c:v>3.5055571215130353E-7</c:v>
                </c:pt>
                <c:pt idx="167">
                  <c:v>3.4942224413242455E-7</c:v>
                </c:pt>
                <c:pt idx="168">
                  <c:v>3.4987679298269842E-7</c:v>
                </c:pt>
                <c:pt idx="169">
                  <c:v>3.5269332029430561E-7</c:v>
                </c:pt>
                <c:pt idx="170">
                  <c:v>3.5662713544026054E-7</c:v>
                </c:pt>
                <c:pt idx="171">
                  <c:v>3.6175711727435202E-7</c:v>
                </c:pt>
                <c:pt idx="172">
                  <c:v>3.6816220921186338E-7</c:v>
                </c:pt>
                <c:pt idx="173">
                  <c:v>3.7591813578492209E-7</c:v>
                </c:pt>
                <c:pt idx="174">
                  <c:v>3.8510008925739926E-7</c:v>
                </c:pt>
                <c:pt idx="175">
                  <c:v>3.9578604030252714E-7</c:v>
                </c:pt>
                <c:pt idx="176">
                  <c:v>4.0804960852250102E-7</c:v>
                </c:pt>
                <c:pt idx="177">
                  <c:v>4.2356380177715319E-7</c:v>
                </c:pt>
                <c:pt idx="178">
                  <c:v>4.4171058525369686E-7</c:v>
                </c:pt>
                <c:pt idx="179">
                  <c:v>4.6260037272926715E-7</c:v>
                </c:pt>
                <c:pt idx="180">
                  <c:v>4.8634120341544623E-7</c:v>
                </c:pt>
                <c:pt idx="181">
                  <c:v>5.1303851080527204E-7</c:v>
                </c:pt>
                <c:pt idx="182">
                  <c:v>5.4279491355757647E-7</c:v>
                </c:pt>
                <c:pt idx="183">
                  <c:v>5.7824539929237372E-7</c:v>
                </c:pt>
                <c:pt idx="184">
                  <c:v>6.1875201258763895E-7</c:v>
                </c:pt>
                <c:pt idx="185">
                  <c:v>6.644792823940236E-7</c:v>
                </c:pt>
                <c:pt idx="186">
                  <c:v>7.1558623263331214E-7</c:v>
                </c:pt>
                <c:pt idx="187">
                  <c:v>7.7222617146251562E-7</c:v>
                </c:pt>
                <c:pt idx="188">
                  <c:v>8.3454651106537661E-7</c:v>
                </c:pt>
                <c:pt idx="189">
                  <c:v>9.0268861532535906E-7</c:v>
                </c:pt>
                <c:pt idx="190">
                  <c:v>9.767929823860959E-7</c:v>
                </c:pt>
                <c:pt idx="191">
                  <c:v>1.055078193340271E-6</c:v>
                </c:pt>
                <c:pt idx="192">
                  <c:v>1.1356333891965528E-6</c:v>
                </c:pt>
                <c:pt idx="193">
                  <c:v>1.2184605257958818E-6</c:v>
                </c:pt>
                <c:pt idx="194">
                  <c:v>1.3035634363532975E-6</c:v>
                </c:pt>
                <c:pt idx="195">
                  <c:v>1.390948104051574E-6</c:v>
                </c:pt>
                <c:pt idx="196">
                  <c:v>1.4806229248314723E-6</c:v>
                </c:pt>
                <c:pt idx="197">
                  <c:v>1.5716748362913767E-6</c:v>
                </c:pt>
                <c:pt idx="198">
                  <c:v>1.6610559716878265E-6</c:v>
                </c:pt>
                <c:pt idx="199">
                  <c:v>1.7486669521990517E-6</c:v>
                </c:pt>
                <c:pt idx="200">
                  <c:v>1.8344140959649363E-6</c:v>
                </c:pt>
                <c:pt idx="201">
                  <c:v>1.9182092080256652E-6</c:v>
                </c:pt>
                <c:pt idx="202">
                  <c:v>1.9999693399819735E-6</c:v>
                </c:pt>
                <c:pt idx="203">
                  <c:v>2.0796165233358378E-6</c:v>
                </c:pt>
                <c:pt idx="204">
                  <c:v>2.1570969376007343E-6</c:v>
                </c:pt>
                <c:pt idx="205">
                  <c:v>2.2460564189484432E-6</c:v>
                </c:pt>
                <c:pt idx="206">
                  <c:v>2.3489978103831941E-6</c:v>
                </c:pt>
                <c:pt idx="207">
                  <c:v>2.466245137805225E-6</c:v>
                </c:pt>
                <c:pt idx="208">
                  <c:v>2.5981183223194529E-6</c:v>
                </c:pt>
                <c:pt idx="209">
                  <c:v>2.744932649322224E-6</c:v>
                </c:pt>
                <c:pt idx="210">
                  <c:v>2.906998142473331E-6</c:v>
                </c:pt>
                <c:pt idx="211">
                  <c:v>3.1047359330313414E-6</c:v>
                </c:pt>
                <c:pt idx="212">
                  <c:v>3.3399891913996997E-6</c:v>
                </c:pt>
                <c:pt idx="213">
                  <c:v>3.6135558331254691E-6</c:v>
                </c:pt>
                <c:pt idx="214">
                  <c:v>3.9262177670178813E-6</c:v>
                </c:pt>
                <c:pt idx="215">
                  <c:v>4.2787385451994633E-6</c:v>
                </c:pt>
                <c:pt idx="216">
                  <c:v>4.6718607174753132E-6</c:v>
                </c:pt>
                <c:pt idx="217">
                  <c:v>5.1063028852455556E-6</c:v>
                </c:pt>
                <c:pt idx="218">
                  <c:v>5.5829551687982419E-6</c:v>
                </c:pt>
                <c:pt idx="219">
                  <c:v>6.0950894889706721E-6</c:v>
                </c:pt>
                <c:pt idx="220">
                  <c:v>6.6278674887120925E-6</c:v>
                </c:pt>
                <c:pt idx="221">
                  <c:v>7.1815657400062695E-6</c:v>
                </c:pt>
                <c:pt idx="222">
                  <c:v>7.7564540504396467E-6</c:v>
                </c:pt>
                <c:pt idx="223">
                  <c:v>8.3527942370272533E-6</c:v>
                </c:pt>
                <c:pt idx="224">
                  <c:v>8.9708388136044764E-6</c:v>
                </c:pt>
                <c:pt idx="225">
                  <c:v>9.6188622669099002E-6</c:v>
                </c:pt>
                <c:pt idx="226">
                  <c:v>1.0274786961575312E-5</c:v>
                </c:pt>
                <c:pt idx="227">
                  <c:v>1.0938535682187115E-5</c:v>
                </c:pt>
                <c:pt idx="228">
                  <c:v>1.1610018102831821E-5</c:v>
                </c:pt>
                <c:pt idx="229">
                  <c:v>1.2289129674593104E-5</c:v>
                </c:pt>
                <c:pt idx="230">
                  <c:v>1.2975750502675992E-5</c:v>
                </c:pt>
                <c:pt idx="231">
                  <c:v>1.3669744214314825E-5</c:v>
                </c:pt>
                <c:pt idx="232">
                  <c:v>1.4370861136969424E-5</c:v>
                </c:pt>
                <c:pt idx="233">
                  <c:v>1.5161590689097971E-5</c:v>
                </c:pt>
                <c:pt idx="234">
                  <c:v>1.6052033778989854E-5</c:v>
                </c:pt>
                <c:pt idx="235">
                  <c:v>1.704396909809741E-5</c:v>
                </c:pt>
                <c:pt idx="236">
                  <c:v>1.8139204793425823E-5</c:v>
                </c:pt>
                <c:pt idx="237">
                  <c:v>1.9339576642866055E-5</c:v>
                </c:pt>
                <c:pt idx="238">
                  <c:v>2.0646968710128228E-5</c:v>
                </c:pt>
                <c:pt idx="239">
                  <c:v>2.1990740356997952E-5</c:v>
                </c:pt>
                <c:pt idx="240">
                  <c:v>2.3362767076617863E-5</c:v>
                </c:pt>
                <c:pt idx="241">
                  <c:v>2.4763681261175412E-5</c:v>
                </c:pt>
                <c:pt idx="242">
                  <c:v>2.6194192065576598E-5</c:v>
                </c:pt>
                <c:pt idx="243">
                  <c:v>2.7655090324653253E-5</c:v>
                </c:pt>
                <c:pt idx="244">
                  <c:v>2.9147253829916742E-5</c:v>
                </c:pt>
                <c:pt idx="245">
                  <c:v>3.0671653013791693E-5</c:v>
                </c:pt>
                <c:pt idx="246">
                  <c:v>3.2228041877108942E-5</c:v>
                </c:pt>
                <c:pt idx="247">
                  <c:v>3.3606154696028898E-5</c:v>
                </c:pt>
                <c:pt idx="248">
                  <c:v>3.4712334313101618E-5</c:v>
                </c:pt>
                <c:pt idx="249">
                  <c:v>3.5541713528293834E-5</c:v>
                </c:pt>
                <c:pt idx="250">
                  <c:v>3.6089377224325696E-5</c:v>
                </c:pt>
                <c:pt idx="251">
                  <c:v>3.6350339714416248E-5</c:v>
                </c:pt>
                <c:pt idx="252">
                  <c:v>3.6319521121132529E-5</c:v>
                </c:pt>
                <c:pt idx="253">
                  <c:v>3.6018738427082589E-5</c:v>
                </c:pt>
                <c:pt idx="254">
                  <c:v>3.552270495858807E-5</c:v>
                </c:pt>
                <c:pt idx="255">
                  <c:v>3.4827951909437102E-5</c:v>
                </c:pt>
                <c:pt idx="256">
                  <c:v>3.3930879684846832E-5</c:v>
                </c:pt>
                <c:pt idx="257">
                  <c:v>3.2827738623269782E-5</c:v>
                </c:pt>
                <c:pt idx="258">
                  <c:v>3.1514608526774466E-5</c:v>
                </c:pt>
                <c:pt idx="259">
                  <c:v>2.9987376824747546E-5</c:v>
                </c:pt>
                <c:pt idx="260">
                  <c:v>2.8242370375719052E-5</c:v>
                </c:pt>
                <c:pt idx="261">
                  <c:v>2.6581621950259305E-5</c:v>
                </c:pt>
                <c:pt idx="262">
                  <c:v>2.5236936212865205E-5</c:v>
                </c:pt>
                <c:pt idx="263">
                  <c:v>2.4214305596430853E-5</c:v>
                </c:pt>
                <c:pt idx="264">
                  <c:v>2.3520095008286759E-5</c:v>
                </c:pt>
                <c:pt idx="265">
                  <c:v>2.3161099069898804E-5</c:v>
                </c:pt>
                <c:pt idx="266">
                  <c:v>2.3144337494983814E-5</c:v>
                </c:pt>
                <c:pt idx="267">
                  <c:v>2.3667012292325736E-5</c:v>
                </c:pt>
                <c:pt idx="268">
                  <c:v>2.4710767782804062E-5</c:v>
                </c:pt>
                <c:pt idx="269">
                  <c:v>2.6286701927360757E-5</c:v>
                </c:pt>
                <c:pt idx="270">
                  <c:v>2.8405952759396727E-5</c:v>
                </c:pt>
                <c:pt idx="271">
                  <c:v>3.1079575627124978E-5</c:v>
                </c:pt>
                <c:pt idx="272">
                  <c:v>3.4318409597152703E-5</c:v>
                </c:pt>
                <c:pt idx="273">
                  <c:v>3.813293267999949E-5</c:v>
                </c:pt>
                <c:pt idx="274">
                  <c:v>4.2536373048149874E-5</c:v>
                </c:pt>
                <c:pt idx="275">
                  <c:v>4.7354138960677838E-5</c:v>
                </c:pt>
                <c:pt idx="276">
                  <c:v>5.2252276113536888E-5</c:v>
                </c:pt>
                <c:pt idx="277">
                  <c:v>5.7231333829321081E-5</c:v>
                </c:pt>
                <c:pt idx="278">
                  <c:v>6.2291656711159157E-5</c:v>
                </c:pt>
                <c:pt idx="279">
                  <c:v>6.7433372998821205E-5</c:v>
                </c:pt>
                <c:pt idx="280">
                  <c:v>7.2656382759563509E-5</c:v>
                </c:pt>
                <c:pt idx="281">
                  <c:v>7.7828925197352691E-5</c:v>
                </c:pt>
                <c:pt idx="282">
                  <c:v>8.2735781691418449E-5</c:v>
                </c:pt>
                <c:pt idx="283">
                  <c:v>8.7368867379603602E-5</c:v>
                </c:pt>
                <c:pt idx="284">
                  <c:v>9.1719886614762084E-5</c:v>
                </c:pt>
                <c:pt idx="285">
                  <c:v>9.5780365802401466E-5</c:v>
                </c:pt>
                <c:pt idx="286">
                  <c:v>9.9541688506896205E-5</c:v>
                </c:pt>
                <c:pt idx="287">
                  <c:v>1.0299513283891623E-4</c:v>
                </c:pt>
                <c:pt idx="288">
                  <c:v>1.0613736575395142E-4</c:v>
                </c:pt>
                <c:pt idx="289">
                  <c:v>1.1229425651138699E-4</c:v>
                </c:pt>
                <c:pt idx="290">
                  <c:v>1.2173322197701273E-4</c:v>
                </c:pt>
                <c:pt idx="291">
                  <c:v>1.3451592480341796E-4</c:v>
                </c:pt>
                <c:pt idx="292">
                  <c:v>1.5070387123558855E-4</c:v>
                </c:pt>
                <c:pt idx="293">
                  <c:v>1.7035823718190724E-4</c:v>
                </c:pt>
                <c:pt idx="294">
                  <c:v>1.9353969381283881E-4</c:v>
                </c:pt>
                <c:pt idx="295">
                  <c:v>2.2853967776781294E-4</c:v>
                </c:pt>
                <c:pt idx="296">
                  <c:v>2.757180608167705E-4</c:v>
                </c:pt>
                <c:pt idx="297">
                  <c:v>3.3529131227226343E-4</c:v>
                </c:pt>
                <c:pt idx="298">
                  <c:v>4.0747279462229226E-4</c:v>
                </c:pt>
                <c:pt idx="299">
                  <c:v>4.9247350015737895E-4</c:v>
                </c:pt>
                <c:pt idx="300">
                  <c:v>5.9050142185717235E-4</c:v>
                </c:pt>
                <c:pt idx="301">
                  <c:v>7.0176088979781079E-4</c:v>
                </c:pt>
                <c:pt idx="302">
                  <c:v>8.2650777878842143E-4</c:v>
                </c:pt>
                <c:pt idx="303">
                  <c:v>9.6415100357534966E-4</c:v>
                </c:pt>
                <c:pt idx="304">
                  <c:v>1.1112745574556188E-3</c:v>
                </c:pt>
                <c:pt idx="305">
                  <c:v>1.2680482066947084E-3</c:v>
                </c:pt>
                <c:pt idx="306">
                  <c:v>1.4346409532019098E-3</c:v>
                </c:pt>
                <c:pt idx="307">
                  <c:v>1.6112198292233333E-3</c:v>
                </c:pt>
                <c:pt idx="308">
                  <c:v>1.7979484962241529E-3</c:v>
                </c:pt>
                <c:pt idx="309">
                  <c:v>1.9825962447710113E-3</c:v>
                </c:pt>
                <c:pt idx="310">
                  <c:v>2.1560710148247346E-3</c:v>
                </c:pt>
                <c:pt idx="311">
                  <c:v>2.3181178257025291E-3</c:v>
                </c:pt>
                <c:pt idx="312">
                  <c:v>2.468469321529504E-3</c:v>
                </c:pt>
                <c:pt idx="313">
                  <c:v>2.6068462050525447E-3</c:v>
                </c:pt>
                <c:pt idx="314">
                  <c:v>2.7329578609947688E-3</c:v>
                </c:pt>
                <c:pt idx="315">
                  <c:v>2.8465032089375177E-3</c:v>
                </c:pt>
                <c:pt idx="316">
                  <c:v>2.9473350186089296E-3</c:v>
                </c:pt>
                <c:pt idx="317">
                  <c:v>3.0312180479178672E-3</c:v>
                </c:pt>
                <c:pt idx="318">
                  <c:v>3.0988268898261236E-3</c:v>
                </c:pt>
                <c:pt idx="319">
                  <c:v>3.1498863010933765E-3</c:v>
                </c:pt>
                <c:pt idx="320">
                  <c:v>3.1841140360076708E-3</c:v>
                </c:pt>
                <c:pt idx="321">
                  <c:v>3.201219330391978E-3</c:v>
                </c:pt>
                <c:pt idx="322">
                  <c:v>3.2009014581099514E-3</c:v>
                </c:pt>
                <c:pt idx="323">
                  <c:v>3.1852663320639449E-3</c:v>
                </c:pt>
                <c:pt idx="324">
                  <c:v>3.1676053951669135E-3</c:v>
                </c:pt>
                <c:pt idx="325">
                  <c:v>3.1478860706873209E-3</c:v>
                </c:pt>
                <c:pt idx="326">
                  <c:v>3.1260554852864338E-3</c:v>
                </c:pt>
                <c:pt idx="327">
                  <c:v>3.1020679231005821E-3</c:v>
                </c:pt>
                <c:pt idx="328">
                  <c:v>3.0758869112604854E-3</c:v>
                </c:pt>
                <c:pt idx="329">
                  <c:v>3.0474714914414487E-3</c:v>
                </c:pt>
                <c:pt idx="330">
                  <c:v>3.0171205584769538E-3</c:v>
                </c:pt>
                <c:pt idx="331">
                  <c:v>2.9862005766327841E-3</c:v>
                </c:pt>
                <c:pt idx="332">
                  <c:v>2.9590953150267947E-3</c:v>
                </c:pt>
                <c:pt idx="333">
                  <c:v>2.9357125292217632E-3</c:v>
                </c:pt>
                <c:pt idx="334">
                  <c:v>2.9159594681486445E-3</c:v>
                </c:pt>
                <c:pt idx="335">
                  <c:v>2.8997412637507582E-3</c:v>
                </c:pt>
                <c:pt idx="336">
                  <c:v>2.8869592749146073E-3</c:v>
                </c:pt>
                <c:pt idx="337">
                  <c:v>2.8799677826399691E-3</c:v>
                </c:pt>
                <c:pt idx="338">
                  <c:v>2.8760254030708267E-3</c:v>
                </c:pt>
                <c:pt idx="339">
                  <c:v>2.8750063012598372E-3</c:v>
                </c:pt>
                <c:pt idx="340">
                  <c:v>2.8767736044172654E-3</c:v>
                </c:pt>
                <c:pt idx="341">
                  <c:v>2.8811779468689452E-3</c:v>
                </c:pt>
                <c:pt idx="342">
                  <c:v>2.8880561782021704E-3</c:v>
                </c:pt>
                <c:pt idx="343">
                  <c:v>2.8972302938202782E-3</c:v>
                </c:pt>
                <c:pt idx="344">
                  <c:v>2.909352245770823E-3</c:v>
                </c:pt>
                <c:pt idx="345">
                  <c:v>2.9250943621791118E-3</c:v>
                </c:pt>
                <c:pt idx="346">
                  <c:v>2.941897745963117E-3</c:v>
                </c:pt>
                <c:pt idx="347">
                  <c:v>2.9595453002833295E-3</c:v>
                </c:pt>
                <c:pt idx="348">
                  <c:v>2.9778079185631334E-3</c:v>
                </c:pt>
                <c:pt idx="349">
                  <c:v>2.9964448417369154E-3</c:v>
                </c:pt>
                <c:pt idx="350">
                  <c:v>3.0152044251970261E-3</c:v>
                </c:pt>
                <c:pt idx="351">
                  <c:v>3.032714312223672E-3</c:v>
                </c:pt>
                <c:pt idx="352">
                  <c:v>3.0460442616736224E-3</c:v>
                </c:pt>
                <c:pt idx="353">
                  <c:v>3.0549053705784665E-3</c:v>
                </c:pt>
                <c:pt idx="354">
                  <c:v>3.0590246612682438E-3</c:v>
                </c:pt>
                <c:pt idx="355">
                  <c:v>3.0581511637738949E-3</c:v>
                </c:pt>
                <c:pt idx="356">
                  <c:v>3.0520231504229298E-3</c:v>
                </c:pt>
                <c:pt idx="357">
                  <c:v>3.0404890434604682E-3</c:v>
                </c:pt>
                <c:pt idx="358">
                  <c:v>3.0232016710892776E-3</c:v>
                </c:pt>
                <c:pt idx="359">
                  <c:v>3.0001958406961418E-3</c:v>
                </c:pt>
                <c:pt idx="360">
                  <c:v>2.9745072343711331E-3</c:v>
                </c:pt>
                <c:pt idx="361">
                  <c:v>2.9476154204911976E-3</c:v>
                </c:pt>
                <c:pt idx="362">
                  <c:v>2.9198836819311542E-3</c:v>
                </c:pt>
                <c:pt idx="363">
                  <c:v>2.8916620689272534E-3</c:v>
                </c:pt>
                <c:pt idx="364">
                  <c:v>2.863283925547886E-3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823312"/>
        <c:axId val="385822920"/>
      </c:lineChart>
      <c:dateAx>
        <c:axId val="3858233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2920"/>
        <c:crosses val="autoZero"/>
        <c:auto val="1"/>
        <c:lblOffset val="100"/>
        <c:baseTimeUnit val="days"/>
        <c:majorUnit val="1"/>
        <c:majorTimeUnit val="months"/>
      </c:dateAx>
      <c:valAx>
        <c:axId val="3858229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3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'2023'!Ppv</c:f>
              <c:numCache>
                <c:formatCode>0.00%</c:formatCode>
                <c:ptCount val="366"/>
                <c:pt idx="0">
                  <c:v>5.5288074192387793E-3</c:v>
                </c:pt>
                <c:pt idx="1">
                  <c:v>5.5424208947463249E-3</c:v>
                </c:pt>
                <c:pt idx="2">
                  <c:v>5.5560341838968297E-3</c:v>
                </c:pt>
                <c:pt idx="3">
                  <c:v>5.569647286692847E-3</c:v>
                </c:pt>
                <c:pt idx="4">
                  <c:v>5.5832602031369305E-3</c:v>
                </c:pt>
                <c:pt idx="5">
                  <c:v>5.5968729332316336E-3</c:v>
                </c:pt>
                <c:pt idx="6">
                  <c:v>5.6104854769793988E-3</c:v>
                </c:pt>
                <c:pt idx="7">
                  <c:v>5.6240978343830017E-3</c:v>
                </c:pt>
                <c:pt idx="8">
                  <c:v>5.6377100054447737E-3</c:v>
                </c:pt>
                <c:pt idx="9">
                  <c:v>5.6513219901673795E-3</c:v>
                </c:pt>
                <c:pt idx="10">
                  <c:v>5.6649337885533724E-3</c:v>
                </c:pt>
                <c:pt idx="11">
                  <c:v>5.678545400605195E-3</c:v>
                </c:pt>
                <c:pt idx="12">
                  <c:v>5.6921568263256228E-3</c:v>
                </c:pt>
                <c:pt idx="13">
                  <c:v>5.7057680657169874E-3</c:v>
                </c:pt>
                <c:pt idx="14">
                  <c:v>5.7193791187818421E-3</c:v>
                </c:pt>
                <c:pt idx="15">
                  <c:v>5.7329899855228517E-3</c:v>
                </c:pt>
                <c:pt idx="16">
                  <c:v>5.7466006659425695E-3</c:v>
                </c:pt>
                <c:pt idx="17">
                  <c:v>5.760211160043438E-3</c:v>
                </c:pt>
                <c:pt idx="18">
                  <c:v>5.7738214678281219E-3</c:v>
                </c:pt>
                <c:pt idx="19">
                  <c:v>5.7874315892991746E-3</c:v>
                </c:pt>
                <c:pt idx="20">
                  <c:v>5.8010415244590385E-3</c:v>
                </c:pt>
                <c:pt idx="21">
                  <c:v>5.8146512733102673E-3</c:v>
                </c:pt>
                <c:pt idx="22">
                  <c:v>5.8282608358555255E-3</c:v>
                </c:pt>
                <c:pt idx="23">
                  <c:v>5.8418702120972554E-3</c:v>
                </c:pt>
                <c:pt idx="24">
                  <c:v>5.8554794020381218E-3</c:v>
                </c:pt>
                <c:pt idx="25">
                  <c:v>5.869088405680567E-3</c:v>
                </c:pt>
                <c:pt idx="26">
                  <c:v>5.8826972230271446E-3</c:v>
                </c:pt>
                <c:pt idx="27">
                  <c:v>5.8963058540805191E-3</c:v>
                </c:pt>
                <c:pt idx="28">
                  <c:v>5.909914298843133E-3</c:v>
                </c:pt>
                <c:pt idx="29">
                  <c:v>5.9235225573175398E-3</c:v>
                </c:pt>
                <c:pt idx="30">
                  <c:v>5.9371306295062931E-3</c:v>
                </c:pt>
                <c:pt idx="31">
                  <c:v>5.9507385154120573E-3</c:v>
                </c:pt>
                <c:pt idx="32">
                  <c:v>5.964346215037164E-3</c:v>
                </c:pt>
                <c:pt idx="33">
                  <c:v>5.9779537283843887E-3</c:v>
                </c:pt>
                <c:pt idx="34">
                  <c:v>5.9915610554561738E-3</c:v>
                </c:pt>
                <c:pt idx="35">
                  <c:v>6.0051681962550729E-3</c:v>
                </c:pt>
                <c:pt idx="36">
                  <c:v>6.0187751507836396E-3</c:v>
                </c:pt>
                <c:pt idx="37">
                  <c:v>6.0323819190444272E-3</c:v>
                </c:pt>
                <c:pt idx="38">
                  <c:v>6.0459885010398784E-3</c:v>
                </c:pt>
                <c:pt idx="39">
                  <c:v>6.0595948967727686E-3</c:v>
                </c:pt>
                <c:pt idx="40">
                  <c:v>6.0732011062455404E-3</c:v>
                </c:pt>
                <c:pt idx="41">
                  <c:v>6.0868071294606363E-3</c:v>
                </c:pt>
                <c:pt idx="42">
                  <c:v>6.1004129664208318E-3</c:v>
                </c:pt>
                <c:pt idx="43">
                  <c:v>6.1140186171284583E-3</c:v>
                </c:pt>
                <c:pt idx="44">
                  <c:v>6.1276240815860694E-3</c:v>
                </c:pt>
                <c:pt idx="45">
                  <c:v>6.1412293597964407E-3</c:v>
                </c:pt>
                <c:pt idx="46">
                  <c:v>6.1548344517619036E-3</c:v>
                </c:pt>
                <c:pt idx="47">
                  <c:v>6.1684393574851226E-3</c:v>
                </c:pt>
                <c:pt idx="48">
                  <c:v>6.1820440769685403E-3</c:v>
                </c:pt>
                <c:pt idx="49">
                  <c:v>6.1956486102148212E-3</c:v>
                </c:pt>
                <c:pt idx="50">
                  <c:v>6.2092529572265187E-3</c:v>
                </c:pt>
                <c:pt idx="51">
                  <c:v>6.2228571180060754E-3</c:v>
                </c:pt>
                <c:pt idx="52">
                  <c:v>6.2364610925561559E-3</c:v>
                </c:pt>
                <c:pt idx="53">
                  <c:v>6.2500648808790915E-3</c:v>
                </c:pt>
                <c:pt idx="54">
                  <c:v>6.2636684829777689E-3</c:v>
                </c:pt>
                <c:pt idx="55">
                  <c:v>6.2772718988544085E-3</c:v>
                </c:pt>
                <c:pt idx="56">
                  <c:v>6.2908751285117859E-3</c:v>
                </c:pt>
                <c:pt idx="57">
                  <c:v>6.3044781719523435E-3</c:v>
                </c:pt>
                <c:pt idx="58">
                  <c:v>6.3180810291787459E-3</c:v>
                </c:pt>
                <c:pt idx="59">
                  <c:v>6.3316837001933246E-3</c:v>
                </c:pt>
                <c:pt idx="60">
                  <c:v>6.3452861849988551E-3</c:v>
                </c:pt>
                <c:pt idx="61">
                  <c:v>6.3588884835977799E-3</c:v>
                </c:pt>
                <c:pt idx="62">
                  <c:v>6.3724905959926526E-3</c:v>
                </c:pt>
                <c:pt idx="63">
                  <c:v>6.3860925221860265E-3</c:v>
                </c:pt>
                <c:pt idx="64">
                  <c:v>6.3996942621804553E-3</c:v>
                </c:pt>
                <c:pt idx="65">
                  <c:v>6.4132958159784925E-3</c:v>
                </c:pt>
                <c:pt idx="66">
                  <c:v>6.4268971835825806E-3</c:v>
                </c:pt>
                <c:pt idx="67">
                  <c:v>6.440498364995495E-3</c:v>
                </c:pt>
                <c:pt idx="68">
                  <c:v>6.4540993602195673E-3</c:v>
                </c:pt>
                <c:pt idx="69">
                  <c:v>6.4677001692575731E-3</c:v>
                </c:pt>
                <c:pt idx="70">
                  <c:v>6.4813007921118437E-3</c:v>
                </c:pt>
                <c:pt idx="71">
                  <c:v>6.4949012287849328E-3</c:v>
                </c:pt>
                <c:pt idx="72">
                  <c:v>6.5085014792795048E-3</c:v>
                </c:pt>
                <c:pt idx="73">
                  <c:v>6.5221015435981133E-3</c:v>
                </c:pt>
                <c:pt idx="74">
                  <c:v>6.5357014217433118E-3</c:v>
                </c:pt>
                <c:pt idx="75">
                  <c:v>6.5493011137174317E-3</c:v>
                </c:pt>
                <c:pt idx="76">
                  <c:v>6.5629006195233597E-3</c:v>
                </c:pt>
                <c:pt idx="77">
                  <c:v>6.5764999391634271E-3</c:v>
                </c:pt>
                <c:pt idx="78">
                  <c:v>6.5900990726401876E-3</c:v>
                </c:pt>
                <c:pt idx="79">
                  <c:v>6.6036980199561945E-3</c:v>
                </c:pt>
                <c:pt idx="80">
                  <c:v>6.6172967811141126E-3</c:v>
                </c:pt>
                <c:pt idx="81">
                  <c:v>6.6308953561163841E-3</c:v>
                </c:pt>
                <c:pt idx="82">
                  <c:v>6.6444937449655628E-3</c:v>
                </c:pt>
                <c:pt idx="83">
                  <c:v>6.658091947664313E-3</c:v>
                </c:pt>
                <c:pt idx="84">
                  <c:v>6.6716899642149663E-3</c:v>
                </c:pt>
                <c:pt idx="85">
                  <c:v>6.6852877946201872E-3</c:v>
                </c:pt>
                <c:pt idx="86">
                  <c:v>6.6988854388826402E-3</c:v>
                </c:pt>
                <c:pt idx="87">
                  <c:v>6.7124828970046568E-3</c:v>
                </c:pt>
                <c:pt idx="88">
                  <c:v>6.7260801689890126E-3</c:v>
                </c:pt>
                <c:pt idx="89">
                  <c:v>6.739677254838039E-3</c:v>
                </c:pt>
                <c:pt idx="90">
                  <c:v>6.7532741545544006E-3</c:v>
                </c:pt>
                <c:pt idx="91">
                  <c:v>6.7668708681405398E-3</c:v>
                </c:pt>
                <c:pt idx="92">
                  <c:v>6.7804673955992323E-3</c:v>
                </c:pt>
                <c:pt idx="93">
                  <c:v>6.7940637369328094E-3</c:v>
                </c:pt>
                <c:pt idx="94">
                  <c:v>6.8076598921438247E-3</c:v>
                </c:pt>
                <c:pt idx="95">
                  <c:v>6.8212558612350538E-3</c:v>
                </c:pt>
                <c:pt idx="96">
                  <c:v>6.834851644208717E-3</c:v>
                </c:pt>
                <c:pt idx="97">
                  <c:v>6.8484472410675901E-3</c:v>
                </c:pt>
                <c:pt idx="98">
                  <c:v>6.8620426518142263E-3</c:v>
                </c:pt>
                <c:pt idx="99">
                  <c:v>6.8756378764510684E-3</c:v>
                </c:pt>
                <c:pt idx="100">
                  <c:v>6.8892329149806697E-3</c:v>
                </c:pt>
                <c:pt idx="101">
                  <c:v>6.9028277674055838E-3</c:v>
                </c:pt>
                <c:pt idx="102">
                  <c:v>6.9164224337284752E-3</c:v>
                </c:pt>
                <c:pt idx="103">
                  <c:v>6.9300169139517864E-3</c:v>
                </c:pt>
                <c:pt idx="104">
                  <c:v>6.943611208078071E-3</c:v>
                </c:pt>
                <c:pt idx="105">
                  <c:v>6.9572053161097713E-3</c:v>
                </c:pt>
                <c:pt idx="106">
                  <c:v>6.9707992380496631E-3</c:v>
                </c:pt>
                <c:pt idx="107">
                  <c:v>6.9843929739001887E-3</c:v>
                </c:pt>
                <c:pt idx="108">
                  <c:v>6.9979865236637906E-3</c:v>
                </c:pt>
                <c:pt idx="109">
                  <c:v>7.0115798873432444E-3</c:v>
                </c:pt>
                <c:pt idx="110">
                  <c:v>7.0251730649408817E-3</c:v>
                </c:pt>
                <c:pt idx="111">
                  <c:v>7.0387660564593668E-3</c:v>
                </c:pt>
                <c:pt idx="112">
                  <c:v>7.0523588619011424E-3</c:v>
                </c:pt>
                <c:pt idx="113">
                  <c:v>7.0659514812688728E-3</c:v>
                </c:pt>
                <c:pt idx="114">
                  <c:v>7.0795439145651118E-3</c:v>
                </c:pt>
                <c:pt idx="115">
                  <c:v>7.0931361617923017E-3</c:v>
                </c:pt>
                <c:pt idx="116">
                  <c:v>7.106728222952996E-3</c:v>
                </c:pt>
                <c:pt idx="117">
                  <c:v>7.1203200980498593E-3</c:v>
                </c:pt>
                <c:pt idx="118">
                  <c:v>7.1339117870853341E-3</c:v>
                </c:pt>
                <c:pt idx="119">
                  <c:v>7.1475032900619739E-3</c:v>
                </c:pt>
                <c:pt idx="120">
                  <c:v>7.1610946069824433E-3</c:v>
                </c:pt>
                <c:pt idx="121">
                  <c:v>7.1746857378490736E-3</c:v>
                </c:pt>
                <c:pt idx="122">
                  <c:v>7.1882766826646405E-3</c:v>
                </c:pt>
                <c:pt idx="123">
                  <c:v>7.2018674414315864E-3</c:v>
                </c:pt>
                <c:pt idx="124">
                  <c:v>7.2154580141523539E-3</c:v>
                </c:pt>
                <c:pt idx="125">
                  <c:v>7.2290484008297184E-3</c:v>
                </c:pt>
                <c:pt idx="126">
                  <c:v>7.2426386014660116E-3</c:v>
                </c:pt>
                <c:pt idx="127">
                  <c:v>7.2562286160638978E-3</c:v>
                </c:pt>
                <c:pt idx="128">
                  <c:v>7.2698184446259306E-3</c:v>
                </c:pt>
                <c:pt idx="129">
                  <c:v>7.2834080871545526E-3</c:v>
                </c:pt>
                <c:pt idx="130">
                  <c:v>7.2969975436524281E-3</c:v>
                </c:pt>
                <c:pt idx="131">
                  <c:v>7.3105868141219998E-3</c:v>
                </c:pt>
                <c:pt idx="132">
                  <c:v>7.3241758985659322E-3</c:v>
                </c:pt>
                <c:pt idx="133">
                  <c:v>7.3377647969866677E-3</c:v>
                </c:pt>
                <c:pt idx="134">
                  <c:v>7.3513535093868709E-3</c:v>
                </c:pt>
                <c:pt idx="135">
                  <c:v>7.3649420357689843E-3</c:v>
                </c:pt>
                <c:pt idx="136">
                  <c:v>7.3785303761355614E-3</c:v>
                </c:pt>
                <c:pt idx="137">
                  <c:v>7.3921185304891557E-3</c:v>
                </c:pt>
                <c:pt idx="138">
                  <c:v>7.4057064988323207E-3</c:v>
                </c:pt>
                <c:pt idx="139">
                  <c:v>7.4192942811676099E-3</c:v>
                </c:pt>
                <c:pt idx="140">
                  <c:v>7.4328818774976879E-3</c:v>
                </c:pt>
                <c:pt idx="141">
                  <c:v>7.4464692878248862E-3</c:v>
                </c:pt>
                <c:pt idx="142">
                  <c:v>7.4600565121517581E-3</c:v>
                </c:pt>
                <c:pt idx="143">
                  <c:v>7.4736435504810794E-3</c:v>
                </c:pt>
                <c:pt idx="144">
                  <c:v>7.4872304028151815E-3</c:v>
                </c:pt>
                <c:pt idx="145">
                  <c:v>7.5008170691567289E-3</c:v>
                </c:pt>
                <c:pt idx="146">
                  <c:v>7.514403549508164E-3</c:v>
                </c:pt>
                <c:pt idx="147">
                  <c:v>7.5279898438721515E-3</c:v>
                </c:pt>
                <c:pt idx="148">
                  <c:v>7.5415759522511339E-3</c:v>
                </c:pt>
                <c:pt idx="149">
                  <c:v>7.5551618746477756E-3</c:v>
                </c:pt>
                <c:pt idx="150">
                  <c:v>7.5687476110645191E-3</c:v>
                </c:pt>
                <c:pt idx="151">
                  <c:v>7.582333161503918E-3</c:v>
                </c:pt>
                <c:pt idx="152">
                  <c:v>7.5959185259685258E-3</c:v>
                </c:pt>
                <c:pt idx="153">
                  <c:v>7.609503704460896E-3</c:v>
                </c:pt>
                <c:pt idx="154">
                  <c:v>7.623088696983582E-3</c:v>
                </c:pt>
                <c:pt idx="155">
                  <c:v>7.6366735035391375E-3</c:v>
                </c:pt>
                <c:pt idx="156">
                  <c:v>7.650258124130116E-3</c:v>
                </c:pt>
                <c:pt idx="157">
                  <c:v>7.6638425587590708E-3</c:v>
                </c:pt>
                <c:pt idx="158">
                  <c:v>7.6774268074284446E-3</c:v>
                </c:pt>
                <c:pt idx="159">
                  <c:v>7.6910108701410129E-3</c:v>
                </c:pt>
                <c:pt idx="160">
                  <c:v>7.7045947468989961E-3</c:v>
                </c:pt>
                <c:pt idx="161">
                  <c:v>7.7181784377051699E-3</c:v>
                </c:pt>
                <c:pt idx="162">
                  <c:v>7.7317619425620876E-3</c:v>
                </c:pt>
                <c:pt idx="163">
                  <c:v>7.7453452614721918E-3</c:v>
                </c:pt>
                <c:pt idx="164">
                  <c:v>7.7589283944380361E-3</c:v>
                </c:pt>
                <c:pt idx="165">
                  <c:v>7.7725113414621738E-3</c:v>
                </c:pt>
                <c:pt idx="166">
                  <c:v>7.7860941025472696E-3</c:v>
                </c:pt>
                <c:pt idx="167">
                  <c:v>7.799676677695766E-3</c:v>
                </c:pt>
                <c:pt idx="168">
                  <c:v>7.8132590669101054E-3</c:v>
                </c:pt>
                <c:pt idx="169">
                  <c:v>7.8268412701930634E-3</c:v>
                </c:pt>
                <c:pt idx="170">
                  <c:v>7.8404232875469715E-3</c:v>
                </c:pt>
                <c:pt idx="171">
                  <c:v>7.8540051189744942E-3</c:v>
                </c:pt>
                <c:pt idx="172">
                  <c:v>7.8675867644781849E-3</c:v>
                </c:pt>
                <c:pt idx="173">
                  <c:v>7.8811682240604863E-3</c:v>
                </c:pt>
                <c:pt idx="174">
                  <c:v>7.8947494977240629E-3</c:v>
                </c:pt>
                <c:pt idx="175">
                  <c:v>7.9083305854714681E-3</c:v>
                </c:pt>
                <c:pt idx="176">
                  <c:v>7.9219114873050334E-3</c:v>
                </c:pt>
                <c:pt idx="177">
                  <c:v>7.9354922032275343E-3</c:v>
                </c:pt>
                <c:pt idx="178">
                  <c:v>7.9490727332415245E-3</c:v>
                </c:pt>
                <c:pt idx="179">
                  <c:v>7.9626530773493354E-3</c:v>
                </c:pt>
                <c:pt idx="180">
                  <c:v>7.9762332355537424E-3</c:v>
                </c:pt>
                <c:pt idx="181">
                  <c:v>7.9898132078570772E-3</c:v>
                </c:pt>
                <c:pt idx="182">
                  <c:v>8.0033929942621151E-3</c:v>
                </c:pt>
                <c:pt idx="183">
                  <c:v>8.0169725947711878E-3</c:v>
                </c:pt>
                <c:pt idx="184">
                  <c:v>8.0305520093869598E-3</c:v>
                </c:pt>
                <c:pt idx="185">
                  <c:v>8.0441312381119845E-3</c:v>
                </c:pt>
                <c:pt idx="186">
                  <c:v>8.0577102809487045E-3</c:v>
                </c:pt>
                <c:pt idx="187">
                  <c:v>8.0712891378997842E-3</c:v>
                </c:pt>
                <c:pt idx="188">
                  <c:v>8.0848678089676662E-3</c:v>
                </c:pt>
                <c:pt idx="189">
                  <c:v>8.098446294155015E-3</c:v>
                </c:pt>
                <c:pt idx="190">
                  <c:v>8.1120245934642732E-3</c:v>
                </c:pt>
                <c:pt idx="191">
                  <c:v>8.1256027068979941E-3</c:v>
                </c:pt>
                <c:pt idx="192">
                  <c:v>8.1391806344587314E-3</c:v>
                </c:pt>
                <c:pt idx="193">
                  <c:v>8.1527583761490385E-3</c:v>
                </c:pt>
                <c:pt idx="194">
                  <c:v>8.16633593197158E-3</c:v>
                </c:pt>
                <c:pt idx="195">
                  <c:v>8.1799133019286874E-3</c:v>
                </c:pt>
                <c:pt idx="196">
                  <c:v>8.1934904860230251E-3</c:v>
                </c:pt>
                <c:pt idx="197">
                  <c:v>8.2070674842570357E-3</c:v>
                </c:pt>
                <c:pt idx="198">
                  <c:v>8.2206442966333837E-3</c:v>
                </c:pt>
                <c:pt idx="199">
                  <c:v>8.2342209231546226E-3</c:v>
                </c:pt>
                <c:pt idx="200">
                  <c:v>8.2477973638231949E-3</c:v>
                </c:pt>
                <c:pt idx="201">
                  <c:v>8.2613736186417652E-3</c:v>
                </c:pt>
                <c:pt idx="202">
                  <c:v>8.2749496876127759E-3</c:v>
                </c:pt>
                <c:pt idx="203">
                  <c:v>8.2885255707387806E-3</c:v>
                </c:pt>
                <c:pt idx="204">
                  <c:v>8.3021012680223327E-3</c:v>
                </c:pt>
                <c:pt idx="205">
                  <c:v>8.3156767794659858E-3</c:v>
                </c:pt>
                <c:pt idx="206">
                  <c:v>8.3292521050724044E-3</c:v>
                </c:pt>
                <c:pt idx="207">
                  <c:v>8.34282724484392E-3</c:v>
                </c:pt>
                <c:pt idx="208">
                  <c:v>8.3564021987830861E-3</c:v>
                </c:pt>
                <c:pt idx="209">
                  <c:v>8.3699769668926782E-3</c:v>
                </c:pt>
                <c:pt idx="210">
                  <c:v>8.3835515491750279E-3</c:v>
                </c:pt>
                <c:pt idx="211">
                  <c:v>8.3971259456327996E-3</c:v>
                </c:pt>
                <c:pt idx="212">
                  <c:v>8.4107001562684358E-3</c:v>
                </c:pt>
                <c:pt idx="213">
                  <c:v>8.4242741810844901E-3</c:v>
                </c:pt>
                <c:pt idx="214">
                  <c:v>8.437848020083627E-3</c:v>
                </c:pt>
                <c:pt idx="215">
                  <c:v>8.4514216732681779E-3</c:v>
                </c:pt>
                <c:pt idx="216">
                  <c:v>8.4649951406409185E-3</c:v>
                </c:pt>
                <c:pt idx="217">
                  <c:v>8.4785684222042912E-3</c:v>
                </c:pt>
                <c:pt idx="218">
                  <c:v>8.4921415179608495E-3</c:v>
                </c:pt>
                <c:pt idx="219">
                  <c:v>8.5057144279130359E-3</c:v>
                </c:pt>
                <c:pt idx="220">
                  <c:v>8.519287152063626E-3</c:v>
                </c:pt>
                <c:pt idx="221">
                  <c:v>8.5328596904149512E-3</c:v>
                </c:pt>
                <c:pt idx="222">
                  <c:v>8.546432042969565E-3</c:v>
                </c:pt>
                <c:pt idx="223">
                  <c:v>8.5600042097301321E-3</c:v>
                </c:pt>
                <c:pt idx="224">
                  <c:v>8.5735761906990948E-3</c:v>
                </c:pt>
                <c:pt idx="225">
                  <c:v>8.5871479858790067E-3</c:v>
                </c:pt>
                <c:pt idx="226">
                  <c:v>8.6007195952725324E-3</c:v>
                </c:pt>
                <c:pt idx="227">
                  <c:v>8.6142910188821142E-3</c:v>
                </c:pt>
                <c:pt idx="228">
                  <c:v>8.6278622567101948E-3</c:v>
                </c:pt>
                <c:pt idx="229">
                  <c:v>8.6414333087595496E-3</c:v>
                </c:pt>
                <c:pt idx="230">
                  <c:v>8.6550041750325102E-3</c:v>
                </c:pt>
                <c:pt idx="231">
                  <c:v>8.668574855531741E-3</c:v>
                </c:pt>
                <c:pt idx="232">
                  <c:v>8.6821453502597956E-3</c:v>
                </c:pt>
                <c:pt idx="233">
                  <c:v>8.6957156592191165E-3</c:v>
                </c:pt>
                <c:pt idx="234">
                  <c:v>8.7092857824123682E-3</c:v>
                </c:pt>
                <c:pt idx="235">
                  <c:v>8.7228557198419931E-3</c:v>
                </c:pt>
                <c:pt idx="236">
                  <c:v>8.7364254715105449E-3</c:v>
                </c:pt>
                <c:pt idx="237">
                  <c:v>8.749995037420577E-3</c:v>
                </c:pt>
                <c:pt idx="238">
                  <c:v>8.763564417574643E-3</c:v>
                </c:pt>
                <c:pt idx="239">
                  <c:v>8.7771336119754073E-3</c:v>
                </c:pt>
                <c:pt idx="240">
                  <c:v>8.7907026206252015E-3</c:v>
                </c:pt>
                <c:pt idx="241">
                  <c:v>8.80427144352669E-3</c:v>
                </c:pt>
                <c:pt idx="242">
                  <c:v>8.8178400806823154E-3</c:v>
                </c:pt>
                <c:pt idx="243">
                  <c:v>8.8314085320947422E-3</c:v>
                </c:pt>
                <c:pt idx="244">
                  <c:v>8.8449767977665239E-3</c:v>
                </c:pt>
                <c:pt idx="245">
                  <c:v>8.858544877700103E-3</c:v>
                </c:pt>
                <c:pt idx="246">
                  <c:v>8.872112771898033E-3</c:v>
                </c:pt>
                <c:pt idx="247">
                  <c:v>8.8856804803628675E-3</c:v>
                </c:pt>
                <c:pt idx="248">
                  <c:v>8.8992480030971599E-3</c:v>
                </c:pt>
                <c:pt idx="249">
                  <c:v>8.9128153401035748E-3</c:v>
                </c:pt>
                <c:pt idx="250">
                  <c:v>8.9263824913844436E-3</c:v>
                </c:pt>
                <c:pt idx="251">
                  <c:v>8.9399494569424309E-3</c:v>
                </c:pt>
                <c:pt idx="252">
                  <c:v>8.9535162367799792E-3</c:v>
                </c:pt>
                <c:pt idx="253">
                  <c:v>8.967082830899753E-3</c:v>
                </c:pt>
                <c:pt idx="254">
                  <c:v>8.9806492393043058E-3</c:v>
                </c:pt>
                <c:pt idx="255">
                  <c:v>8.9942154619960801E-3</c:v>
                </c:pt>
                <c:pt idx="256">
                  <c:v>9.0077814989776295E-3</c:v>
                </c:pt>
                <c:pt idx="257">
                  <c:v>9.0213473502516184E-3</c:v>
                </c:pt>
                <c:pt idx="258">
                  <c:v>9.0349130158203783E-3</c:v>
                </c:pt>
                <c:pt idx="259">
                  <c:v>9.0484784956865738E-3</c:v>
                </c:pt>
                <c:pt idx="260">
                  <c:v>9.0620437898528694E-3</c:v>
                </c:pt>
                <c:pt idx="261">
                  <c:v>9.0756088983215966E-3</c:v>
                </c:pt>
                <c:pt idx="262">
                  <c:v>9.0891738210953088E-3</c:v>
                </c:pt>
                <c:pt idx="263">
                  <c:v>9.1027385581766707E-3</c:v>
                </c:pt>
                <c:pt idx="264">
                  <c:v>9.1163031095682356E-3</c:v>
                </c:pt>
                <c:pt idx="265">
                  <c:v>9.1298674752724462E-3</c:v>
                </c:pt>
                <c:pt idx="266">
                  <c:v>9.143431655291856E-3</c:v>
                </c:pt>
                <c:pt idx="267">
                  <c:v>9.1569956496290184E-3</c:v>
                </c:pt>
                <c:pt idx="268">
                  <c:v>9.1705594582865979E-3</c:v>
                </c:pt>
                <c:pt idx="269">
                  <c:v>9.1841230812669261E-3</c:v>
                </c:pt>
                <c:pt idx="270">
                  <c:v>9.1976865185726675E-3</c:v>
                </c:pt>
                <c:pt idx="271">
                  <c:v>9.2112497702063756E-3</c:v>
                </c:pt>
                <c:pt idx="272">
                  <c:v>9.2248128361704929E-3</c:v>
                </c:pt>
                <c:pt idx="273">
                  <c:v>9.2383757164676839E-3</c:v>
                </c:pt>
                <c:pt idx="274">
                  <c:v>9.2519384111003911E-3</c:v>
                </c:pt>
                <c:pt idx="275">
                  <c:v>9.265500920071168E-3</c:v>
                </c:pt>
                <c:pt idx="276">
                  <c:v>9.2790632433826792E-3</c:v>
                </c:pt>
                <c:pt idx="277">
                  <c:v>9.2926253810373671E-3</c:v>
                </c:pt>
                <c:pt idx="278">
                  <c:v>9.3061873330376743E-3</c:v>
                </c:pt>
                <c:pt idx="279">
                  <c:v>9.3197490993863763E-3</c:v>
                </c:pt>
                <c:pt idx="280">
                  <c:v>9.3333106800858046E-3</c:v>
                </c:pt>
                <c:pt idx="281">
                  <c:v>9.3468720751386236E-3</c:v>
                </c:pt>
                <c:pt idx="282">
                  <c:v>9.360433284547276E-3</c:v>
                </c:pt>
                <c:pt idx="283">
                  <c:v>9.3739943083144261E-3</c:v>
                </c:pt>
                <c:pt idx="284">
                  <c:v>9.3875551464425167E-3</c:v>
                </c:pt>
                <c:pt idx="285">
                  <c:v>9.401115798934101E-3</c:v>
                </c:pt>
                <c:pt idx="286">
                  <c:v>9.4146762657917327E-3</c:v>
                </c:pt>
                <c:pt idx="287">
                  <c:v>9.4282365470180762E-3</c:v>
                </c:pt>
                <c:pt idx="288">
                  <c:v>9.4417966426154631E-3</c:v>
                </c:pt>
                <c:pt idx="289">
                  <c:v>9.4553565525865579E-3</c:v>
                </c:pt>
                <c:pt idx="290">
                  <c:v>9.4689162769338031E-3</c:v>
                </c:pt>
                <c:pt idx="291">
                  <c:v>9.4824758156598632E-3</c:v>
                </c:pt>
                <c:pt idx="292">
                  <c:v>9.4960351687671807E-3</c:v>
                </c:pt>
                <c:pt idx="293">
                  <c:v>9.5095943362584201E-3</c:v>
                </c:pt>
                <c:pt idx="294">
                  <c:v>9.5231533181360239E-3</c:v>
                </c:pt>
                <c:pt idx="295">
                  <c:v>9.5367121144025457E-3</c:v>
                </c:pt>
                <c:pt idx="296">
                  <c:v>9.550270725060428E-3</c:v>
                </c:pt>
                <c:pt idx="297">
                  <c:v>9.5638291501124462E-3</c:v>
                </c:pt>
                <c:pt idx="298">
                  <c:v>9.5773873895609318E-3</c:v>
                </c:pt>
                <c:pt idx="299">
                  <c:v>9.5909454434085495E-3</c:v>
                </c:pt>
                <c:pt idx="300">
                  <c:v>9.6045033116578526E-3</c:v>
                </c:pt>
                <c:pt idx="301">
                  <c:v>9.6180609943111728E-3</c:v>
                </c:pt>
                <c:pt idx="302">
                  <c:v>9.6316184913713965E-3</c:v>
                </c:pt>
                <c:pt idx="303">
                  <c:v>9.6451758028407442E-3</c:v>
                </c:pt>
                <c:pt idx="304">
                  <c:v>9.6587329287218804E-3</c:v>
                </c:pt>
                <c:pt idx="305">
                  <c:v>9.6722898690173587E-3</c:v>
                </c:pt>
                <c:pt idx="306">
                  <c:v>9.6858466237297325E-3</c:v>
                </c:pt>
                <c:pt idx="307">
                  <c:v>9.6994031928615554E-3</c:v>
                </c:pt>
                <c:pt idx="308">
                  <c:v>9.7129595764152699E-3</c:v>
                </c:pt>
                <c:pt idx="309">
                  <c:v>9.7265157743934294E-3</c:v>
                </c:pt>
                <c:pt idx="310">
                  <c:v>9.7400717867986986E-3</c:v>
                </c:pt>
                <c:pt idx="311">
                  <c:v>9.7536276136335198E-3</c:v>
                </c:pt>
                <c:pt idx="312">
                  <c:v>9.7671832549004467E-3</c:v>
                </c:pt>
                <c:pt idx="313">
                  <c:v>9.7807387106020327E-3</c:v>
                </c:pt>
                <c:pt idx="314">
                  <c:v>9.7942939807408314E-3</c:v>
                </c:pt>
                <c:pt idx="315">
                  <c:v>9.8078490653193962E-3</c:v>
                </c:pt>
                <c:pt idx="316">
                  <c:v>9.8214039643401696E-3</c:v>
                </c:pt>
                <c:pt idx="317">
                  <c:v>9.8349586778058162E-3</c:v>
                </c:pt>
                <c:pt idx="318">
                  <c:v>9.8485132057187785E-3</c:v>
                </c:pt>
                <c:pt idx="319">
                  <c:v>9.862067548081721E-3</c:v>
                </c:pt>
                <c:pt idx="320">
                  <c:v>9.8756217048969752E-3</c:v>
                </c:pt>
                <c:pt idx="321">
                  <c:v>9.8891756761672056E-3</c:v>
                </c:pt>
                <c:pt idx="322">
                  <c:v>9.9027294618950767E-3</c:v>
                </c:pt>
                <c:pt idx="323">
                  <c:v>9.9162830620829201E-3</c:v>
                </c:pt>
                <c:pt idx="324">
                  <c:v>9.9298364767334002E-3</c:v>
                </c:pt>
                <c:pt idx="325">
                  <c:v>9.9433897058489595E-3</c:v>
                </c:pt>
                <c:pt idx="326">
                  <c:v>9.9569427494321516E-3</c:v>
                </c:pt>
                <c:pt idx="327">
                  <c:v>9.970495607485641E-3</c:v>
                </c:pt>
                <c:pt idx="328">
                  <c:v>9.9840482800118702E-3</c:v>
                </c:pt>
                <c:pt idx="329">
                  <c:v>9.9976007670133926E-3</c:v>
                </c:pt>
                <c:pt idx="330">
                  <c:v>1.0011153068492762E-2</c:v>
                </c:pt>
                <c:pt idx="331">
                  <c:v>1.0024705184452531E-2</c:v>
                </c:pt>
                <c:pt idx="332">
                  <c:v>1.0038257114895144E-2</c:v>
                </c:pt>
                <c:pt idx="333">
                  <c:v>1.0051808859823264E-2</c:v>
                </c:pt>
                <c:pt idx="334">
                  <c:v>1.0065360419239333E-2</c:v>
                </c:pt>
                <c:pt idx="335">
                  <c:v>1.0078911793145906E-2</c:v>
                </c:pt>
                <c:pt idx="336">
                  <c:v>1.0092462981545647E-2</c:v>
                </c:pt>
                <c:pt idx="337">
                  <c:v>1.0106013984440887E-2</c:v>
                </c:pt>
                <c:pt idx="338">
                  <c:v>1.0119564801834402E-2</c:v>
                </c:pt>
                <c:pt idx="339">
                  <c:v>1.0133115433728523E-2</c:v>
                </c:pt>
                <c:pt idx="340">
                  <c:v>1.0146665880125916E-2</c:v>
                </c:pt>
                <c:pt idx="341">
                  <c:v>1.0160216141029021E-2</c:v>
                </c:pt>
                <c:pt idx="342">
                  <c:v>1.0173766216440394E-2</c:v>
                </c:pt>
                <c:pt idx="343">
                  <c:v>1.0187316106362698E-2</c:v>
                </c:pt>
                <c:pt idx="344">
                  <c:v>1.0200865810798376E-2</c:v>
                </c:pt>
                <c:pt idx="345">
                  <c:v>1.0214415329749982E-2</c:v>
                </c:pt>
                <c:pt idx="346">
                  <c:v>1.0227964663220068E-2</c:v>
                </c:pt>
                <c:pt idx="347">
                  <c:v>1.0241513811211078E-2</c:v>
                </c:pt>
                <c:pt idx="348">
                  <c:v>1.0255062773725787E-2</c:v>
                </c:pt>
                <c:pt idx="349">
                  <c:v>1.0268611550766416E-2</c:v>
                </c:pt>
                <c:pt idx="350">
                  <c:v>1.0282160142335739E-2</c:v>
                </c:pt>
                <c:pt idx="351">
                  <c:v>1.02957085484362E-2</c:v>
                </c:pt>
                <c:pt idx="352">
                  <c:v>1.0309256769070352E-2</c:v>
                </c:pt>
                <c:pt idx="353">
                  <c:v>1.0322804804240748E-2</c:v>
                </c:pt>
                <c:pt idx="354">
                  <c:v>1.0336352653949943E-2</c:v>
                </c:pt>
                <c:pt idx="355">
                  <c:v>1.0349900318200489E-2</c:v>
                </c:pt>
                <c:pt idx="356">
                  <c:v>1.0363447796994829E-2</c:v>
                </c:pt>
                <c:pt idx="357">
                  <c:v>1.0376995090335517E-2</c:v>
                </c:pt>
                <c:pt idx="358">
                  <c:v>1.0390542198225217E-2</c:v>
                </c:pt>
                <c:pt idx="359">
                  <c:v>1.0404089120666371E-2</c:v>
                </c:pt>
                <c:pt idx="360">
                  <c:v>1.0417635857661423E-2</c:v>
                </c:pt>
                <c:pt idx="361">
                  <c:v>1.0431182409213147E-2</c:v>
                </c:pt>
                <c:pt idx="362">
                  <c:v>1.0444728775323986E-2</c:v>
                </c:pt>
                <c:pt idx="363">
                  <c:v>1.0458274955996383E-2</c:v>
                </c:pt>
                <c:pt idx="364">
                  <c:v>1.0471820951232891E-2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'2023'!Psa</c:f>
              <c:numCache>
                <c:formatCode>0.00%</c:formatCode>
                <c:ptCount val="366"/>
                <c:pt idx="0">
                  <c:v>2.4747838115258724E-2</c:v>
                </c:pt>
                <c:pt idx="1">
                  <c:v>2.4797323958822164E-2</c:v>
                </c:pt>
                <c:pt idx="2">
                  <c:v>2.4846815597347804E-2</c:v>
                </c:pt>
                <c:pt idx="3">
                  <c:v>2.4896307592230021E-2</c:v>
                </c:pt>
                <c:pt idx="4">
                  <c:v>2.4945795210161149E-2</c:v>
                </c:pt>
                <c:pt idx="5">
                  <c:v>2.4995274406374075E-2</c:v>
                </c:pt>
                <c:pt idx="6">
                  <c:v>2.5044741802059456E-2</c:v>
                </c:pt>
                <c:pt idx="7">
                  <c:v>2.5094194656360692E-2</c:v>
                </c:pt>
                <c:pt idx="8">
                  <c:v>2.5143630833393729E-2</c:v>
                </c:pt>
                <c:pt idx="9">
                  <c:v>2.519304876477696E-2</c:v>
                </c:pt>
                <c:pt idx="10">
                  <c:v>2.5242447408190306E-2</c:v>
                </c:pt>
                <c:pt idx="11">
                  <c:v>2.5291826202510019E-2</c:v>
                </c:pt>
                <c:pt idx="12">
                  <c:v>2.5341185020088142E-2</c:v>
                </c:pt>
                <c:pt idx="13">
                  <c:v>2.5390524116761633E-2</c:v>
                </c:pt>
                <c:pt idx="14">
                  <c:v>2.5439844080186402E-2</c:v>
                </c:pt>
                <c:pt idx="15">
                  <c:v>2.5489145777096007E-2</c:v>
                </c:pt>
                <c:pt idx="16">
                  <c:v>2.5538430300082546E-2</c:v>
                </c:pt>
                <c:pt idx="17">
                  <c:v>2.5587698914490229E-2</c:v>
                </c:pt>
                <c:pt idx="18">
                  <c:v>2.5636953005998529E-2</c:v>
                </c:pt>
                <c:pt idx="19">
                  <c:v>2.5686194029452995E-2</c:v>
                </c:pt>
                <c:pt idx="20">
                  <c:v>2.5735423459477821E-2</c:v>
                </c:pt>
                <c:pt idx="21">
                  <c:v>2.5784642743375299E-2</c:v>
                </c:pt>
                <c:pt idx="22">
                  <c:v>2.5833853256783484E-2</c:v>
                </c:pt>
                <c:pt idx="23">
                  <c:v>2.588305626252612E-2</c:v>
                </c:pt>
                <c:pt idx="24">
                  <c:v>2.5932252873046634E-2</c:v>
                </c:pt>
                <c:pt idx="25">
                  <c:v>2.5981444016774175E-2</c:v>
                </c:pt>
                <c:pt idx="26">
                  <c:v>2.6030630408721448E-2</c:v>
                </c:pt>
                <c:pt idx="27">
                  <c:v>2.6079812525564548E-2</c:v>
                </c:pt>
                <c:pt idx="28">
                  <c:v>2.6128990585403918E-2</c:v>
                </c:pt>
                <c:pt idx="29">
                  <c:v>2.617816453235243E-2</c:v>
                </c:pt>
                <c:pt idx="30">
                  <c:v>2.6227334026043915E-2</c:v>
                </c:pt>
                <c:pt idx="31">
                  <c:v>2.6276498436101942E-2</c:v>
                </c:pt>
                <c:pt idx="32">
                  <c:v>2.6325656841556192E-2</c:v>
                </c:pt>
                <c:pt idx="33">
                  <c:v>2.6374808035142257E-2</c:v>
                </c:pt>
                <c:pt idx="34">
                  <c:v>2.6423950532370309E-2</c:v>
                </c:pt>
                <c:pt idx="35">
                  <c:v>2.6473082585200557E-2</c:v>
                </c:pt>
                <c:pt idx="36">
                  <c:v>2.6522202200117851E-2</c:v>
                </c:pt>
                <c:pt idx="37">
                  <c:v>2.6571307160355238E-2</c:v>
                </c:pt>
                <c:pt idx="38">
                  <c:v>2.6620395051977507E-2</c:v>
                </c:pt>
                <c:pt idx="39">
                  <c:v>2.6669463293500131E-2</c:v>
                </c:pt>
                <c:pt idx="40">
                  <c:v>2.6718509168688082E-2</c:v>
                </c:pt>
                <c:pt idx="41">
                  <c:v>2.6767529862151564E-2</c:v>
                </c:pt>
                <c:pt idx="42">
                  <c:v>2.6816522497333656E-2</c:v>
                </c:pt>
                <c:pt idx="43">
                  <c:v>2.6865484176466965E-2</c:v>
                </c:pt>
                <c:pt idx="44">
                  <c:v>2.691441202206294E-2</c:v>
                </c:pt>
                <c:pt idx="45">
                  <c:v>2.6963303219490208E-2</c:v>
                </c:pt>
                <c:pt idx="46">
                  <c:v>2.7012155060193763E-2</c:v>
                </c:pt>
                <c:pt idx="47">
                  <c:v>2.7060964985109456E-2</c:v>
                </c:pt>
                <c:pt idx="48">
                  <c:v>2.710973062783353E-2</c:v>
                </c:pt>
                <c:pt idx="49">
                  <c:v>2.7158449857117749E-2</c:v>
                </c:pt>
                <c:pt idx="50">
                  <c:v>2.7207120818275983E-2</c:v>
                </c:pt>
                <c:pt idx="51">
                  <c:v>2.725574197310655E-2</c:v>
                </c:pt>
                <c:pt idx="52">
                  <c:v>2.7304312137957951E-2</c:v>
                </c:pt>
                <c:pt idx="53">
                  <c:v>2.7352830519591555E-2</c:v>
                </c:pt>
                <c:pt idx="54">
                  <c:v>2.7401296748524231E-2</c:v>
                </c:pt>
                <c:pt idx="55">
                  <c:v>2.7449710909566112E-2</c:v>
                </c:pt>
                <c:pt idx="56">
                  <c:v>2.7498073569302731E-2</c:v>
                </c:pt>
                <c:pt idx="57">
                  <c:v>2.7546385800307379E-2</c:v>
                </c:pt>
                <c:pt idx="58">
                  <c:v>2.7594649201906605E-2</c:v>
                </c:pt>
                <c:pt idx="59">
                  <c:v>2.7642865917360825E-2</c:v>
                </c:pt>
                <c:pt idx="60">
                  <c:v>2.7691038647360697E-2</c:v>
                </c:pt>
                <c:pt idx="61">
                  <c:v>2.7739170659779024E-2</c:v>
                </c:pt>
                <c:pt idx="62">
                  <c:v>2.7787265795656681E-2</c:v>
                </c:pt>
                <c:pt idx="63">
                  <c:v>2.7835328471438513E-2</c:v>
                </c:pt>
                <c:pt idx="64">
                  <c:v>2.7883363677511864E-2</c:v>
                </c:pt>
                <c:pt idx="65">
                  <c:v>2.7931376973134931E-2</c:v>
                </c:pt>
                <c:pt idx="66">
                  <c:v>2.7979374477874713E-2</c:v>
                </c:pt>
                <c:pt idx="67">
                  <c:v>2.8027362859704703E-2</c:v>
                </c:pt>
                <c:pt idx="68">
                  <c:v>2.807534931993981E-2</c:v>
                </c:pt>
                <c:pt idx="69">
                  <c:v>2.8123341575210355E-2</c:v>
                </c:pt>
                <c:pt idx="70">
                  <c:v>2.8171347836698373E-2</c:v>
                </c:pt>
                <c:pt idx="71">
                  <c:v>2.8219376786877168E-2</c:v>
                </c:pt>
                <c:pt idx="72">
                  <c:v>2.8267437554008977E-2</c:v>
                </c:pt>
                <c:pt idx="73">
                  <c:v>2.8315539684666522E-2</c:v>
                </c:pt>
                <c:pt idx="74">
                  <c:v>2.8363693114550739E-2</c:v>
                </c:pt>
                <c:pt idx="75">
                  <c:v>2.8411908137879971E-2</c:v>
                </c:pt>
                <c:pt idx="76">
                  <c:v>2.8460195375625583E-2</c:v>
                </c:pt>
                <c:pt idx="77">
                  <c:v>2.8508565742864211E-2</c:v>
                </c:pt>
                <c:pt idx="78">
                  <c:v>2.8557030415509849E-2</c:v>
                </c:pt>
                <c:pt idx="79">
                  <c:v>2.8605600796677212E-2</c:v>
                </c:pt>
                <c:pt idx="80">
                  <c:v>2.8654288482914524E-2</c:v>
                </c:pt>
                <c:pt idx="81">
                  <c:v>2.8703105230526504E-2</c:v>
                </c:pt>
                <c:pt idx="82">
                  <c:v>2.8752062922189313E-2</c:v>
                </c:pt>
                <c:pt idx="83">
                  <c:v>2.8801173534037463E-2</c:v>
                </c:pt>
                <c:pt idx="84">
                  <c:v>2.8850449103379486E-2</c:v>
                </c:pt>
                <c:pt idx="85">
                  <c:v>2.8899901697174286E-2</c:v>
                </c:pt>
                <c:pt idx="86">
                  <c:v>2.8949543381373927E-2</c:v>
                </c:pt>
                <c:pt idx="87">
                  <c:v>2.8999386191212437E-2</c:v>
                </c:pt>
                <c:pt idx="88">
                  <c:v>2.904944210249296E-2</c:v>
                </c:pt>
                <c:pt idx="89">
                  <c:v>2.9099723003898778E-2</c:v>
                </c:pt>
                <c:pt idx="90">
                  <c:v>2.9150240670327919E-2</c:v>
                </c:pt>
                <c:pt idx="91">
                  <c:v>2.9201006737225196E-2</c:v>
                </c:pt>
                <c:pt idx="92">
                  <c:v>2.9252032675861919E-2</c:v>
                </c:pt>
                <c:pt idx="93">
                  <c:v>2.9303329769491127E-2</c:v>
                </c:pt>
                <c:pt idx="94">
                  <c:v>2.9354909090285652E-2</c:v>
                </c:pt>
                <c:pt idx="95">
                  <c:v>2.9406781476948762E-2</c:v>
                </c:pt>
                <c:pt idx="96">
                  <c:v>2.9458957512871333E-2</c:v>
                </c:pt>
                <c:pt idx="97">
                  <c:v>2.9511447504697291E-2</c:v>
                </c:pt>
                <c:pt idx="98">
                  <c:v>2.9564261461149672E-2</c:v>
                </c:pt>
                <c:pt idx="99">
                  <c:v>2.9617409071963138E-2</c:v>
                </c:pt>
                <c:pt idx="100">
                  <c:v>2.9670899686766318E-2</c:v>
                </c:pt>
                <c:pt idx="101">
                  <c:v>2.9724742293757867E-2</c:v>
                </c:pt>
                <c:pt idx="102">
                  <c:v>2.977894549802404E-2</c:v>
                </c:pt>
                <c:pt idx="103">
                  <c:v>2.9833517499353448E-2</c:v>
                </c:pt>
                <c:pt idx="104">
                  <c:v>2.9888466069415462E-2</c:v>
                </c:pt>
                <c:pt idx="105">
                  <c:v>2.9943798528182852E-2</c:v>
                </c:pt>
                <c:pt idx="106">
                  <c:v>2.9999521719497046E-2</c:v>
                </c:pt>
                <c:pt idx="107">
                  <c:v>3.0055641985694152E-2</c:v>
                </c:pt>
                <c:pt idx="108">
                  <c:v>3.0112165141233539E-2</c:v>
                </c:pt>
                <c:pt idx="109">
                  <c:v>3.0169096445295591E-2</c:v>
                </c:pt>
                <c:pt idx="110">
                  <c:v>3.0226440573343293E-2</c:v>
                </c:pt>
                <c:pt idx="111">
                  <c:v>3.0284201587671155E-2</c:v>
                </c:pt>
                <c:pt idx="112">
                  <c:v>3.0342382906996038E-2</c:v>
                </c:pt>
                <c:pt idx="113">
                  <c:v>3.0400987275175647E-2</c:v>
                </c:pt>
                <c:pt idx="114">
                  <c:v>3.0460016729172763E-2</c:v>
                </c:pt>
                <c:pt idx="115">
                  <c:v>3.0519472566415688E-2</c:v>
                </c:pt>
                <c:pt idx="116">
                  <c:v>3.0579355311736819E-2</c:v>
                </c:pt>
                <c:pt idx="117">
                  <c:v>3.0639664684102806E-2</c:v>
                </c:pt>
                <c:pt idx="118">
                  <c:v>3.0700399563379131E-2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'2023'!Pvg</c:f>
              <c:numCache>
                <c:formatCode>0.00%</c:formatCode>
                <c:ptCount val="366"/>
                <c:pt idx="0">
                  <c:v>2.8350701957137701E-3</c:v>
                </c:pt>
                <c:pt idx="1">
                  <c:v>2.8097474291701578E-3</c:v>
                </c:pt>
                <c:pt idx="2">
                  <c:v>2.7873634220761385E-3</c:v>
                </c:pt>
                <c:pt idx="3">
                  <c:v>2.7680965048673739E-3</c:v>
                </c:pt>
                <c:pt idx="4">
                  <c:v>2.7521047372977042E-3</c:v>
                </c:pt>
                <c:pt idx="5">
                  <c:v>2.739529059683049E-3</c:v>
                </c:pt>
                <c:pt idx="6">
                  <c:v>2.7304965982940768E-3</c:v>
                </c:pt>
                <c:pt idx="7">
                  <c:v>2.7251240467905257E-3</c:v>
                </c:pt>
                <c:pt idx="8">
                  <c:v>2.7229320502160374E-3</c:v>
                </c:pt>
                <c:pt idx="9">
                  <c:v>2.7257657423443945E-3</c:v>
                </c:pt>
                <c:pt idx="10">
                  <c:v>2.7311881023834262E-3</c:v>
                </c:pt>
                <c:pt idx="11">
                  <c:v>2.7390883161468277E-3</c:v>
                </c:pt>
                <c:pt idx="12">
                  <c:v>2.7493556752855607E-3</c:v>
                </c:pt>
                <c:pt idx="13">
                  <c:v>2.7618797174080506E-3</c:v>
                </c:pt>
                <c:pt idx="14">
                  <c:v>2.7765503707548444E-3</c:v>
                </c:pt>
                <c:pt idx="15">
                  <c:v>2.7891606108316654E-3</c:v>
                </c:pt>
                <c:pt idx="16">
                  <c:v>2.798704623360967E-3</c:v>
                </c:pt>
                <c:pt idx="17">
                  <c:v>2.8052671176430127E-3</c:v>
                </c:pt>
                <c:pt idx="18">
                  <c:v>2.8089346788864309E-3</c:v>
                </c:pt>
                <c:pt idx="19">
                  <c:v>2.8098086262353297E-3</c:v>
                </c:pt>
                <c:pt idx="20">
                  <c:v>2.8079974424660434E-3</c:v>
                </c:pt>
                <c:pt idx="21">
                  <c:v>2.8036001836988134E-3</c:v>
                </c:pt>
                <c:pt idx="22">
                  <c:v>2.7964913471369536E-3</c:v>
                </c:pt>
                <c:pt idx="23">
                  <c:v>2.7750998724414481E-3</c:v>
                </c:pt>
                <c:pt idx="24">
                  <c:v>2.7381171922393126E-3</c:v>
                </c:pt>
                <c:pt idx="25">
                  <c:v>2.6863519691075581E-3</c:v>
                </c:pt>
                <c:pt idx="26">
                  <c:v>2.6205930333756166E-3</c:v>
                </c:pt>
                <c:pt idx="27">
                  <c:v>2.5416020579446912E-3</c:v>
                </c:pt>
                <c:pt idx="28">
                  <c:v>2.4501076115095309E-3</c:v>
                </c:pt>
                <c:pt idx="29">
                  <c:v>2.346021754621226E-3</c:v>
                </c:pt>
                <c:pt idx="30">
                  <c:v>2.2333614110711499E-3</c:v>
                </c:pt>
                <c:pt idx="31">
                  <c:v>2.112621331222237E-3</c:v>
                </c:pt>
                <c:pt idx="32">
                  <c:v>1.984255501269946E-3</c:v>
                </c:pt>
                <c:pt idx="33">
                  <c:v>1.8486766588779195E-3</c:v>
                </c:pt>
                <c:pt idx="34">
                  <c:v>1.7062562342793747E-3</c:v>
                </c:pt>
                <c:pt idx="35">
                  <c:v>1.5573246212304949E-3</c:v>
                </c:pt>
                <c:pt idx="36">
                  <c:v>1.4020150898064105E-3</c:v>
                </c:pt>
                <c:pt idx="37">
                  <c:v>1.2473326754944242E-3</c:v>
                </c:pt>
                <c:pt idx="38">
                  <c:v>1.1026693551923436E-3</c:v>
                </c:pt>
                <c:pt idx="39">
                  <c:v>9.6768942135479446E-4</c:v>
                </c:pt>
                <c:pt idx="40">
                  <c:v>8.4206252822210817E-4</c:v>
                </c:pt>
                <c:pt idx="41">
                  <c:v>7.2546478125360163E-4</c:v>
                </c:pt>
                <c:pt idx="42">
                  <c:v>6.175796473464212E-4</c:v>
                </c:pt>
                <c:pt idx="43">
                  <c:v>5.2075956577432244E-4</c:v>
                </c:pt>
                <c:pt idx="44">
                  <c:v>4.3524052744200336E-4</c:v>
                </c:pt>
                <c:pt idx="45">
                  <c:v>3.6061256383227607E-4</c:v>
                </c:pt>
                <c:pt idx="46">
                  <c:v>2.9648115391227038E-4</c:v>
                </c:pt>
                <c:pt idx="47">
                  <c:v>2.4246749386785122E-4</c:v>
                </c:pt>
                <c:pt idx="48">
                  <c:v>1.9820866655531985E-4</c:v>
                </c:pt>
                <c:pt idx="49">
                  <c:v>1.6335772840835364E-4</c:v>
                </c:pt>
                <c:pt idx="50">
                  <c:v>1.3758233384874452E-4</c:v>
                </c:pt>
                <c:pt idx="51">
                  <c:v>1.2046493276579009E-4</c:v>
                </c:pt>
                <c:pt idx="52">
                  <c:v>1.0602558838146832E-4</c:v>
                </c:pt>
                <c:pt idx="53">
                  <c:v>9.4172769378530617E-5</c:v>
                </c:pt>
                <c:pt idx="54">
                  <c:v>8.4819859552535379E-5</c:v>
                </c:pt>
                <c:pt idx="55">
                  <c:v>7.7884204471555778E-5</c:v>
                </c:pt>
                <c:pt idx="56">
                  <c:v>7.3286772653755053E-5</c:v>
                </c:pt>
                <c:pt idx="57">
                  <c:v>7.0810334409986066E-5</c:v>
                </c:pt>
                <c:pt idx="58">
                  <c:v>6.8152148159849482E-5</c:v>
                </c:pt>
                <c:pt idx="59">
                  <c:v>6.5317948777944229E-5</c:v>
                </c:pt>
                <c:pt idx="60">
                  <c:v>6.2313317885061994E-5</c:v>
                </c:pt>
                <c:pt idx="61">
                  <c:v>5.9143691284051831E-5</c:v>
                </c:pt>
                <c:pt idx="62">
                  <c:v>5.5814364278502136E-5</c:v>
                </c:pt>
                <c:pt idx="63">
                  <c:v>5.2330495092344436E-5</c:v>
                </c:pt>
                <c:pt idx="64">
                  <c:v>4.86963329993953E-5</c:v>
                </c:pt>
                <c:pt idx="65">
                  <c:v>4.505537561235114E-5</c:v>
                </c:pt>
                <c:pt idx="66">
                  <c:v>4.149485527575545E-5</c:v>
                </c:pt>
                <c:pt idx="67">
                  <c:v>3.8013424862234576E-5</c:v>
                </c:pt>
                <c:pt idx="68">
                  <c:v>3.4609536706492136E-5</c:v>
                </c:pt>
                <c:pt idx="69">
                  <c:v>3.1281460538428351E-5</c:v>
                </c:pt>
                <c:pt idx="70">
                  <c:v>2.8027300163078611E-5</c:v>
                </c:pt>
                <c:pt idx="71">
                  <c:v>2.506501099349568E-5</c:v>
                </c:pt>
                <c:pt idx="72">
                  <c:v>2.2507704491188937E-5</c:v>
                </c:pt>
                <c:pt idx="73">
                  <c:v>2.0343895772227154E-5</c:v>
                </c:pt>
                <c:pt idx="74">
                  <c:v>1.8562568828108307E-5</c:v>
                </c:pt>
                <c:pt idx="75">
                  <c:v>1.7153215892383255E-5</c:v>
                </c:pt>
                <c:pt idx="76">
                  <c:v>1.6105873059958973E-5</c:v>
                </c:pt>
                <c:pt idx="77">
                  <c:v>1.5411152574426629E-5</c:v>
                </c:pt>
                <c:pt idx="78">
                  <c:v>1.5058837789786041E-5</c:v>
                </c:pt>
                <c:pt idx="79">
                  <c:v>1.5058693930953414E-5</c:v>
                </c:pt>
                <c:pt idx="80">
                  <c:v>1.5282137798755635E-5</c:v>
                </c:pt>
                <c:pt idx="81">
                  <c:v>1.5724566553384506E-5</c:v>
                </c:pt>
                <c:pt idx="82">
                  <c:v>1.6381719221864998E-5</c:v>
                </c:pt>
                <c:pt idx="83">
                  <c:v>1.7249739923412187E-5</c:v>
                </c:pt>
                <c:pt idx="84">
                  <c:v>1.8325235349206149E-5</c:v>
                </c:pt>
                <c:pt idx="85">
                  <c:v>1.945854519051279E-5</c:v>
                </c:pt>
                <c:pt idx="86">
                  <c:v>2.0455114632808013E-5</c:v>
                </c:pt>
                <c:pt idx="87">
                  <c:v>2.1319185882281749E-5</c:v>
                </c:pt>
                <c:pt idx="88">
                  <c:v>2.2054758100609282E-5</c:v>
                </c:pt>
                <c:pt idx="89">
                  <c:v>2.2665558500302521E-5</c:v>
                </c:pt>
                <c:pt idx="90">
                  <c:v>2.3155016313982982E-5</c:v>
                </c:pt>
                <c:pt idx="91">
                  <c:v>2.3526239129576961E-5</c:v>
                </c:pt>
                <c:pt idx="92">
                  <c:v>2.3780081985265679E-5</c:v>
                </c:pt>
                <c:pt idx="93">
                  <c:v>2.3865450193871564E-5</c:v>
                </c:pt>
                <c:pt idx="94">
                  <c:v>2.3766986314538336E-5</c:v>
                </c:pt>
                <c:pt idx="95">
                  <c:v>2.348654616504197E-5</c:v>
                </c:pt>
                <c:pt idx="96">
                  <c:v>2.3025543703993639E-5</c:v>
                </c:pt>
                <c:pt idx="97">
                  <c:v>2.2384943191538514E-5</c:v>
                </c:pt>
                <c:pt idx="98">
                  <c:v>2.1565251021272525E-5</c:v>
                </c:pt>
                <c:pt idx="99">
                  <c:v>2.0626214700483922E-5</c:v>
                </c:pt>
                <c:pt idx="100">
                  <c:v>1.9706458261622884E-5</c:v>
                </c:pt>
                <c:pt idx="101">
                  <c:v>1.8804938542904755E-5</c:v>
                </c:pt>
                <c:pt idx="102">
                  <c:v>1.7920620321266008E-5</c:v>
                </c:pt>
                <c:pt idx="103">
                  <c:v>1.7052476184385995E-5</c:v>
                </c:pt>
                <c:pt idx="104">
                  <c:v>1.6199486337767806E-5</c:v>
                </c:pt>
                <c:pt idx="105">
                  <c:v>1.5360638337409134E-5</c:v>
                </c:pt>
                <c:pt idx="106">
                  <c:v>1.453484032820479E-5</c:v>
                </c:pt>
                <c:pt idx="107">
                  <c:v>1.3727130807682219E-5</c:v>
                </c:pt>
                <c:pt idx="108">
                  <c:v>1.2987563816680944E-5</c:v>
                </c:pt>
                <c:pt idx="109">
                  <c:v>1.2315651654732601E-5</c:v>
                </c:pt>
                <c:pt idx="110">
                  <c:v>1.1711113006140331E-5</c:v>
                </c:pt>
                <c:pt idx="111">
                  <c:v>1.1173837754397103E-5</c:v>
                </c:pt>
                <c:pt idx="112">
                  <c:v>1.0703860223428562E-5</c:v>
                </c:pt>
                <c:pt idx="113">
                  <c:v>1.0295100383282181E-5</c:v>
                </c:pt>
                <c:pt idx="114">
                  <c:v>9.8861229111264856E-6</c:v>
                </c:pt>
                <c:pt idx="115">
                  <c:v>9.4763506962441482E-6</c:v>
                </c:pt>
                <c:pt idx="116">
                  <c:v>9.0652090442507127E-6</c:v>
                </c:pt>
                <c:pt idx="117">
                  <c:v>8.6521253100393322E-6</c:v>
                </c:pt>
                <c:pt idx="118">
                  <c:v>8.236528639317202E-6</c:v>
                </c:pt>
                <c:pt idx="119">
                  <c:v>7.8178498333947366E-6</c:v>
                </c:pt>
                <c:pt idx="120">
                  <c:v>7.3957004159492288E-6</c:v>
                </c:pt>
                <c:pt idx="121">
                  <c:v>6.9880391780551904E-6</c:v>
                </c:pt>
                <c:pt idx="122">
                  <c:v>6.5879381953144193E-6</c:v>
                </c:pt>
                <c:pt idx="123">
                  <c:v>6.1950747372908317E-6</c:v>
                </c:pt>
                <c:pt idx="124">
                  <c:v>5.8091629306963587E-6</c:v>
                </c:pt>
                <c:pt idx="125">
                  <c:v>5.4299534628497211E-6</c:v>
                </c:pt>
                <c:pt idx="126">
                  <c:v>5.0572333967311894E-6</c:v>
                </c:pt>
                <c:pt idx="127">
                  <c:v>4.7047746984125929E-6</c:v>
                </c:pt>
                <c:pt idx="128">
                  <c:v>4.3799020471238698E-6</c:v>
                </c:pt>
                <c:pt idx="129">
                  <c:v>4.0831741527112658E-6</c:v>
                </c:pt>
                <c:pt idx="130">
                  <c:v>3.8152298774969104E-6</c:v>
                </c:pt>
                <c:pt idx="131">
                  <c:v>3.5767864141748664E-6</c:v>
                </c:pt>
                <c:pt idx="132">
                  <c:v>3.3686372164442761E-6</c:v>
                </c:pt>
                <c:pt idx="133">
                  <c:v>3.1916496378525531E-6</c:v>
                </c:pt>
                <c:pt idx="134">
                  <c:v>3.0468370524576506E-6</c:v>
                </c:pt>
                <c:pt idx="135">
                  <c:v>2.9341703828647695E-6</c:v>
                </c:pt>
                <c:pt idx="136">
                  <c:v>2.8333007723281163E-6</c:v>
                </c:pt>
                <c:pt idx="137">
                  <c:v>2.7445724010969041E-6</c:v>
                </c:pt>
                <c:pt idx="138">
                  <c:v>2.6683578931108586E-6</c:v>
                </c:pt>
                <c:pt idx="139">
                  <c:v>2.6050574548895306E-6</c:v>
                </c:pt>
                <c:pt idx="140">
                  <c:v>2.5550978780122659E-6</c:v>
                </c:pt>
                <c:pt idx="141">
                  <c:v>2.5162885427824476E-6</c:v>
                </c:pt>
                <c:pt idx="142">
                  <c:v>2.4724650885602941E-6</c:v>
                </c:pt>
                <c:pt idx="143">
                  <c:v>2.4233940018543332E-6</c:v>
                </c:pt>
                <c:pt idx="144">
                  <c:v>2.3688512470405595E-6</c:v>
                </c:pt>
                <c:pt idx="145">
                  <c:v>2.308610097351846E-6</c:v>
                </c:pt>
                <c:pt idx="146">
                  <c:v>2.2424419221632192E-6</c:v>
                </c:pt>
                <c:pt idx="147">
                  <c:v>2.17011702171335E-6</c:v>
                </c:pt>
                <c:pt idx="148">
                  <c:v>2.0914383615311982E-6</c:v>
                </c:pt>
                <c:pt idx="149">
                  <c:v>2.0104560087509334E-6</c:v>
                </c:pt>
                <c:pt idx="150">
                  <c:v>1.9284241651290445E-6</c:v>
                </c:pt>
                <c:pt idx="151">
                  <c:v>1.8453219176618579E-6</c:v>
                </c:pt>
                <c:pt idx="152">
                  <c:v>1.7611343234497214E-6</c:v>
                </c:pt>
                <c:pt idx="153">
                  <c:v>1.6758525329774469E-6</c:v>
                </c:pt>
                <c:pt idx="154">
                  <c:v>1.5894738898903164E-6</c:v>
                </c:pt>
                <c:pt idx="155">
                  <c:v>1.5051860126642185E-6</c:v>
                </c:pt>
                <c:pt idx="156">
                  <c:v>1.4263022294770381E-6</c:v>
                </c:pt>
                <c:pt idx="157">
                  <c:v>1.3530723429413679E-6</c:v>
                </c:pt>
                <c:pt idx="158">
                  <c:v>1.2857531185402378E-6</c:v>
                </c:pt>
                <c:pt idx="159">
                  <c:v>1.2246072644506759E-6</c:v>
                </c:pt>
                <c:pt idx="160">
                  <c:v>1.1699023685889284E-6</c:v>
                </c:pt>
                <c:pt idx="161">
                  <c:v>1.1219098001494666E-6</c:v>
                </c:pt>
                <c:pt idx="162">
                  <c:v>1.080893027539828E-6</c:v>
                </c:pt>
                <c:pt idx="163">
                  <c:v>1.0487845723087416E-6</c:v>
                </c:pt>
                <c:pt idx="164">
                  <c:v>1.0208439778082403E-6</c:v>
                </c:pt>
                <c:pt idx="165">
                  <c:v>9.9724696670818399E-7</c:v>
                </c:pt>
                <c:pt idx="166">
                  <c:v>9.781681535442661E-7</c:v>
                </c:pt>
                <c:pt idx="167">
                  <c:v>9.6378090878355755E-7</c:v>
                </c:pt>
                <c:pt idx="168">
                  <c:v>9.5425727169448594E-7</c:v>
                </c:pt>
                <c:pt idx="169">
                  <c:v>9.515338063436952E-7</c:v>
                </c:pt>
                <c:pt idx="170">
                  <c:v>9.5207330467335085E-7</c:v>
                </c:pt>
                <c:pt idx="171">
                  <c:v>9.5598569392482437E-7</c:v>
                </c:pt>
                <c:pt idx="172">
                  <c:v>9.6338045530217403E-7</c:v>
                </c:pt>
                <c:pt idx="173">
                  <c:v>9.7435843171304972E-7</c:v>
                </c:pt>
                <c:pt idx="174">
                  <c:v>9.8901939985486264E-7</c:v>
                </c:pt>
                <c:pt idx="175">
                  <c:v>1.0074707823783751E-6</c:v>
                </c:pt>
                <c:pt idx="176">
                  <c:v>1.0298095442192748E-6</c:v>
                </c:pt>
                <c:pt idx="177">
                  <c:v>1.0601345487499013E-6</c:v>
                </c:pt>
                <c:pt idx="178">
                  <c:v>1.0967213230524478E-6</c:v>
                </c:pt>
                <c:pt idx="179">
                  <c:v>1.1397125262880507E-6</c:v>
                </c:pt>
                <c:pt idx="180">
                  <c:v>1.189247700184498E-6</c:v>
                </c:pt>
                <c:pt idx="181">
                  <c:v>1.2454629943472795E-6</c:v>
                </c:pt>
                <c:pt idx="182">
                  <c:v>1.3084909224949139E-6</c:v>
                </c:pt>
                <c:pt idx="183">
                  <c:v>1.3845279839180548E-6</c:v>
                </c:pt>
                <c:pt idx="184">
                  <c:v>1.4718236001789362E-6</c:v>
                </c:pt>
                <c:pt idx="185">
                  <c:v>1.5705901132193886E-6</c:v>
                </c:pt>
                <c:pt idx="186">
                  <c:v>1.6810328463145118E-6</c:v>
                </c:pt>
                <c:pt idx="187">
                  <c:v>1.8033498725087225E-6</c:v>
                </c:pt>
                <c:pt idx="188">
                  <c:v>1.9377318143491411E-6</c:v>
                </c:pt>
                <c:pt idx="189">
                  <c:v>2.0843616696408085E-6</c:v>
                </c:pt>
                <c:pt idx="190">
                  <c:v>2.2434268532342782E-6</c:v>
                </c:pt>
                <c:pt idx="191">
                  <c:v>2.4107006770873362E-6</c:v>
                </c:pt>
                <c:pt idx="192">
                  <c:v>2.5817896851819009E-6</c:v>
                </c:pt>
                <c:pt idx="193">
                  <c:v>2.7567134343107963E-6</c:v>
                </c:pt>
                <c:pt idx="194">
                  <c:v>2.9354965215452288E-6</c:v>
                </c:pt>
                <c:pt idx="195">
                  <c:v>3.1181689696097486E-6</c:v>
                </c:pt>
                <c:pt idx="196">
                  <c:v>3.3047665966677182E-6</c:v>
                </c:pt>
                <c:pt idx="197">
                  <c:v>3.4932664764637785E-6</c:v>
                </c:pt>
                <c:pt idx="198">
                  <c:v>3.676965754106504E-6</c:v>
                </c:pt>
                <c:pt idx="199">
                  <c:v>3.8557637717377966E-6</c:v>
                </c:pt>
                <c:pt idx="200">
                  <c:v>4.0295677621552443E-6</c:v>
                </c:pt>
                <c:pt idx="201">
                  <c:v>4.1982923000059289E-6</c:v>
                </c:pt>
                <c:pt idx="202">
                  <c:v>4.3618587241510907E-6</c:v>
                </c:pt>
                <c:pt idx="203">
                  <c:v>4.5201945369447585E-6</c:v>
                </c:pt>
                <c:pt idx="204">
                  <c:v>4.6732749392927689E-6</c:v>
                </c:pt>
                <c:pt idx="205">
                  <c:v>4.8507418951022522E-6</c:v>
                </c:pt>
                <c:pt idx="206">
                  <c:v>5.0578344104892828E-6</c:v>
                </c:pt>
                <c:pt idx="207">
                  <c:v>5.2950362589070251E-6</c:v>
                </c:pt>
                <c:pt idx="208">
                  <c:v>5.5628328826522704E-6</c:v>
                </c:pt>
                <c:pt idx="209">
                  <c:v>5.8617098893691309E-6</c:v>
                </c:pt>
                <c:pt idx="210">
                  <c:v>6.1921513642540565E-6</c:v>
                </c:pt>
                <c:pt idx="211">
                  <c:v>6.5973225566608809E-6</c:v>
                </c:pt>
                <c:pt idx="212">
                  <c:v>7.0806876723628952E-6</c:v>
                </c:pt>
                <c:pt idx="213">
                  <c:v>7.6434913700883807E-6</c:v>
                </c:pt>
                <c:pt idx="214">
                  <c:v>8.2869678289207657E-6</c:v>
                </c:pt>
                <c:pt idx="215">
                  <c:v>9.0123349934180653E-6</c:v>
                </c:pt>
                <c:pt idx="216">
                  <c:v>9.8207882575359204E-6</c:v>
                </c:pt>
                <c:pt idx="217">
                  <c:v>1.0713493580406939E-5</c:v>
                </c:pt>
                <c:pt idx="218">
                  <c:v>1.1691996188993887E-5</c:v>
                </c:pt>
                <c:pt idx="219">
                  <c:v>1.2741902115091492E-5</c:v>
                </c:pt>
                <c:pt idx="220">
                  <c:v>1.3831962896926393E-5</c:v>
                </c:pt>
                <c:pt idx="221">
                  <c:v>1.4962729546183085E-5</c:v>
                </c:pt>
                <c:pt idx="222">
                  <c:v>1.6134741851416955E-5</c:v>
                </c:pt>
                <c:pt idx="223">
                  <c:v>1.734852570807851E-5</c:v>
                </c:pt>
                <c:pt idx="224">
                  <c:v>1.860459029194152E-5</c:v>
                </c:pt>
                <c:pt idx="225">
                  <c:v>1.9920331955476195E-5</c:v>
                </c:pt>
                <c:pt idx="226">
                  <c:v>2.1250081685284996E-5</c:v>
                </c:pt>
                <c:pt idx="227">
                  <c:v>2.2593794265101211E-5</c:v>
                </c:pt>
                <c:pt idx="228">
                  <c:v>2.3951393472520162E-5</c:v>
                </c:pt>
                <c:pt idx="229">
                  <c:v>2.5322770026183552E-5</c:v>
                </c:pt>
                <c:pt idx="230">
                  <c:v>2.6707779508806774E-5</c:v>
                </c:pt>
                <c:pt idx="231">
                  <c:v>2.8106240267760665E-5</c:v>
                </c:pt>
                <c:pt idx="232">
                  <c:v>2.9517734764978955E-5</c:v>
                </c:pt>
                <c:pt idx="233">
                  <c:v>3.1111309449767271E-5</c:v>
                </c:pt>
                <c:pt idx="234">
                  <c:v>3.2907285036216196E-5</c:v>
                </c:pt>
                <c:pt idx="235">
                  <c:v>3.4908869078296814E-5</c:v>
                </c:pt>
                <c:pt idx="236">
                  <c:v>3.7119354459898514E-5</c:v>
                </c:pt>
                <c:pt idx="237">
                  <c:v>3.954211403971621E-5</c:v>
                </c:pt>
                <c:pt idx="238">
                  <c:v>4.2180641327461012E-5</c:v>
                </c:pt>
                <c:pt idx="239">
                  <c:v>4.4890136164547437E-5</c:v>
                </c:pt>
                <c:pt idx="240">
                  <c:v>4.7653783357594564E-5</c:v>
                </c:pt>
                <c:pt idx="241">
                  <c:v>5.0472939078023128E-5</c:v>
                </c:pt>
                <c:pt idx="242">
                  <c:v>5.3349110481348029E-5</c:v>
                </c:pt>
                <c:pt idx="243">
                  <c:v>5.6283965400728471E-5</c:v>
                </c:pt>
                <c:pt idx="244">
                  <c:v>5.9279342774962155E-5</c:v>
                </c:pt>
                <c:pt idx="245">
                  <c:v>6.233726390540489E-5</c:v>
                </c:pt>
                <c:pt idx="246">
                  <c:v>6.5457273353680776E-5</c:v>
                </c:pt>
                <c:pt idx="247">
                  <c:v>6.8213117612236728E-5</c:v>
                </c:pt>
                <c:pt idx="248">
                  <c:v>7.0415865285413385E-5</c:v>
                </c:pt>
                <c:pt idx="249">
                  <c:v>7.205666325017527E-5</c:v>
                </c:pt>
                <c:pt idx="250">
                  <c:v>7.3126502532112295E-5</c:v>
                </c:pt>
                <c:pt idx="251">
                  <c:v>7.3616175830536039E-5</c:v>
                </c:pt>
                <c:pt idx="252">
                  <c:v>7.3516233038415664E-5</c:v>
                </c:pt>
                <c:pt idx="253">
                  <c:v>7.2871631079389878E-5</c:v>
                </c:pt>
                <c:pt idx="254">
                  <c:v>7.1834482990211604E-5</c:v>
                </c:pt>
                <c:pt idx="255">
                  <c:v>7.0398193002338354E-5</c:v>
                </c:pt>
                <c:pt idx="256">
                  <c:v>6.8555876571039086E-5</c:v>
                </c:pt>
                <c:pt idx="257">
                  <c:v>6.6300323354199616E-5</c:v>
                </c:pt>
                <c:pt idx="258">
                  <c:v>6.3623957750103913E-5</c:v>
                </c:pt>
                <c:pt idx="259">
                  <c:v>6.0518796642716853E-5</c:v>
                </c:pt>
                <c:pt idx="260">
                  <c:v>5.6977725800444743E-5</c:v>
                </c:pt>
                <c:pt idx="261">
                  <c:v>5.3612128787755275E-5</c:v>
                </c:pt>
                <c:pt idx="262">
                  <c:v>5.0888690696825124E-5</c:v>
                </c:pt>
                <c:pt idx="263">
                  <c:v>4.8818789820905312E-5</c:v>
                </c:pt>
                <c:pt idx="264">
                  <c:v>4.7414597625162259E-5</c:v>
                </c:pt>
                <c:pt idx="265">
                  <c:v>4.6689190684440256E-5</c:v>
                </c:pt>
                <c:pt idx="266">
                  <c:v>4.665613510798709E-5</c:v>
                </c:pt>
                <c:pt idx="267">
                  <c:v>4.7712536572337404E-5</c:v>
                </c:pt>
                <c:pt idx="268">
                  <c:v>4.9820628292973238E-5</c:v>
                </c:pt>
                <c:pt idx="269">
                  <c:v>5.3002063847948763E-5</c:v>
                </c:pt>
                <c:pt idx="270">
                  <c:v>5.7278615730059003E-5</c:v>
                </c:pt>
                <c:pt idx="271">
                  <c:v>6.2671925662036941E-5</c:v>
                </c:pt>
                <c:pt idx="272">
                  <c:v>6.9203233455659841E-5</c:v>
                </c:pt>
                <c:pt idx="273">
                  <c:v>7.68930837153291E-5</c:v>
                </c:pt>
                <c:pt idx="274">
                  <c:v>8.5767598083694068E-5</c:v>
                </c:pt>
                <c:pt idx="275">
                  <c:v>9.5470875066795886E-5</c:v>
                </c:pt>
                <c:pt idx="276">
                  <c:v>1.0532936275583323E-4</c:v>
                </c:pt>
                <c:pt idx="277">
                  <c:v>1.1534419157380924E-4</c:v>
                </c:pt>
                <c:pt idx="278">
                  <c:v>1.2551607342865299E-4</c:v>
                </c:pt>
                <c:pt idx="279">
                  <c:v>1.3584527918069061E-4</c:v>
                </c:pt>
                <c:pt idx="280">
                  <c:v>1.4633161577840473E-4</c:v>
                </c:pt>
                <c:pt idx="281">
                  <c:v>1.5671009324057705E-4</c:v>
                </c:pt>
                <c:pt idx="282">
                  <c:v>1.6654806121328445E-4</c:v>
                </c:pt>
                <c:pt idx="283">
                  <c:v>1.7582953839677474E-4</c:v>
                </c:pt>
                <c:pt idx="284">
                  <c:v>1.8453810321777326E-4</c:v>
                </c:pt>
                <c:pt idx="285">
                  <c:v>1.9265696140070767E-4</c:v>
                </c:pt>
                <c:pt idx="286">
                  <c:v>2.0016901802169087E-4</c:v>
                </c:pt>
                <c:pt idx="287">
                  <c:v>2.0705695407673328E-4</c:v>
                </c:pt>
                <c:pt idx="288">
                  <c:v>2.1331427025370644E-4</c:v>
                </c:pt>
                <c:pt idx="289">
                  <c:v>2.2565279134410004E-4</c:v>
                </c:pt>
                <c:pt idx="290">
                  <c:v>2.4461276975925087E-4</c:v>
                </c:pt>
                <c:pt idx="291">
                  <c:v>2.7031680834617054E-4</c:v>
                </c:pt>
                <c:pt idx="292">
                  <c:v>3.0288729917707624E-4</c:v>
                </c:pt>
                <c:pt idx="293">
                  <c:v>3.4244606729801617E-4</c:v>
                </c:pt>
                <c:pt idx="294">
                  <c:v>3.8911401393500124E-4</c:v>
                </c:pt>
                <c:pt idx="295">
                  <c:v>4.5952950635161111E-4</c:v>
                </c:pt>
                <c:pt idx="296">
                  <c:v>5.544102908273485E-4</c:v>
                </c:pt>
                <c:pt idx="297">
                  <c:v>6.7418640037532058E-4</c:v>
                </c:pt>
                <c:pt idx="298">
                  <c:v>8.1928191054726123E-4</c:v>
                </c:pt>
                <c:pt idx="299">
                  <c:v>9.9011640673033678E-4</c:v>
                </c:pt>
                <c:pt idx="300">
                  <c:v>1.1871037066769504E-3</c:v>
                </c:pt>
                <c:pt idx="301">
                  <c:v>1.4106505147381792E-3</c:v>
                </c:pt>
                <c:pt idx="302">
                  <c:v>1.6612673773399741E-3</c:v>
                </c:pt>
                <c:pt idx="303">
                  <c:v>1.9376792372229267E-3</c:v>
                </c:pt>
                <c:pt idx="304">
                  <c:v>2.2329947414919346E-3</c:v>
                </c:pt>
                <c:pt idx="305">
                  <c:v>2.5475515264975668E-3</c:v>
                </c:pt>
                <c:pt idx="306">
                  <c:v>2.8816857223220587E-3</c:v>
                </c:pt>
                <c:pt idx="307">
                  <c:v>3.2357295364833093E-3</c:v>
                </c:pt>
                <c:pt idx="308">
                  <c:v>3.6100084466952754E-3</c:v>
                </c:pt>
                <c:pt idx="309">
                  <c:v>3.9799805582147307E-3</c:v>
                </c:pt>
                <c:pt idx="310">
                  <c:v>4.3274169025424103E-3</c:v>
                </c:pt>
                <c:pt idx="311">
                  <c:v>4.6518088554211943E-3</c:v>
                </c:pt>
                <c:pt idx="312">
                  <c:v>4.9526227292395857E-3</c:v>
                </c:pt>
                <c:pt idx="313">
                  <c:v>5.2293006752430005E-3</c:v>
                </c:pt>
                <c:pt idx="314">
                  <c:v>5.4812619669989361E-3</c:v>
                </c:pt>
                <c:pt idx="315">
                  <c:v>5.7079047455443578E-3</c:v>
                </c:pt>
                <c:pt idx="316">
                  <c:v>5.9089354822696944E-3</c:v>
                </c:pt>
                <c:pt idx="317">
                  <c:v>6.0759290394383388E-3</c:v>
                </c:pt>
                <c:pt idx="318">
                  <c:v>6.2103355155989281E-3</c:v>
                </c:pt>
                <c:pt idx="319">
                  <c:v>6.3116071776498847E-3</c:v>
                </c:pt>
                <c:pt idx="320">
                  <c:v>6.3791820547154749E-3</c:v>
                </c:pt>
                <c:pt idx="321">
                  <c:v>6.4124809173369468E-3</c:v>
                </c:pt>
                <c:pt idx="322">
                  <c:v>6.4109044018393754E-3</c:v>
                </c:pt>
                <c:pt idx="323">
                  <c:v>6.378683703536712E-3</c:v>
                </c:pt>
                <c:pt idx="324">
                  <c:v>6.3424756877216021E-3</c:v>
                </c:pt>
                <c:pt idx="325">
                  <c:v>6.3022161288676199E-3</c:v>
                </c:pt>
                <c:pt idx="326">
                  <c:v>6.2578002022444989E-3</c:v>
                </c:pt>
                <c:pt idx="327">
                  <c:v>6.2091374592001336E-3</c:v>
                </c:pt>
                <c:pt idx="328">
                  <c:v>6.1561559926227123E-3</c:v>
                </c:pt>
                <c:pt idx="329">
                  <c:v>6.0987749549833176E-3</c:v>
                </c:pt>
                <c:pt idx="330">
                  <c:v>6.0375936237331467E-3</c:v>
                </c:pt>
                <c:pt idx="331">
                  <c:v>5.9753457143490929E-3</c:v>
                </c:pt>
                <c:pt idx="332">
                  <c:v>5.9207473237752337E-3</c:v>
                </c:pt>
                <c:pt idx="333">
                  <c:v>5.8736132744396357E-3</c:v>
                </c:pt>
                <c:pt idx="334">
                  <c:v>5.8337575010422209E-3</c:v>
                </c:pt>
                <c:pt idx="335">
                  <c:v>5.8009898238724402E-3</c:v>
                </c:pt>
                <c:pt idx="336">
                  <c:v>5.7751126304819364E-3</c:v>
                </c:pt>
                <c:pt idx="337">
                  <c:v>5.7608650065460263E-3</c:v>
                </c:pt>
                <c:pt idx="338">
                  <c:v>5.7527466664178614E-3</c:v>
                </c:pt>
                <c:pt idx="339">
                  <c:v>5.750506194842347E-3</c:v>
                </c:pt>
                <c:pt idx="340">
                  <c:v>5.7538701536723851E-3</c:v>
                </c:pt>
                <c:pt idx="341">
                  <c:v>5.7625401496366616E-3</c:v>
                </c:pt>
                <c:pt idx="342">
                  <c:v>5.776190226372901E-3</c:v>
                </c:pt>
                <c:pt idx="343">
                  <c:v>5.7944646993201669E-3</c:v>
                </c:pt>
                <c:pt idx="344">
                  <c:v>5.8186677388085452E-3</c:v>
                </c:pt>
                <c:pt idx="345">
                  <c:v>5.8501441811646907E-3</c:v>
                </c:pt>
                <c:pt idx="346">
                  <c:v>5.8837610859596113E-3</c:v>
                </c:pt>
                <c:pt idx="347">
                  <c:v>5.9190843344592067E-3</c:v>
                </c:pt>
                <c:pt idx="348">
                  <c:v>5.9556557645562835E-3</c:v>
                </c:pt>
                <c:pt idx="349">
                  <c:v>5.992993870122078E-3</c:v>
                </c:pt>
                <c:pt idx="350">
                  <c:v>6.0305953195200889E-3</c:v>
                </c:pt>
                <c:pt idx="351">
                  <c:v>6.0656987107456555E-3</c:v>
                </c:pt>
                <c:pt idx="352">
                  <c:v>6.0924109885950959E-3</c:v>
                </c:pt>
                <c:pt idx="353">
                  <c:v>6.1101540498766493E-3</c:v>
                </c:pt>
                <c:pt idx="354">
                  <c:v>6.1183817648644539E-3</c:v>
                </c:pt>
                <c:pt idx="355">
                  <c:v>6.116592169009949E-3</c:v>
                </c:pt>
                <c:pt idx="356">
                  <c:v>6.1043026663658235E-3</c:v>
                </c:pt>
                <c:pt idx="357">
                  <c:v>6.081167798173341E-3</c:v>
                </c:pt>
                <c:pt idx="358">
                  <c:v>6.046493647949654E-3</c:v>
                </c:pt>
                <c:pt idx="359">
                  <c:v>6.0003505259026875E-3</c:v>
                </c:pt>
                <c:pt idx="360">
                  <c:v>5.9488423982078436E-3</c:v>
                </c:pt>
                <c:pt idx="361">
                  <c:v>5.8949449751818147E-3</c:v>
                </c:pt>
                <c:pt idx="362">
                  <c:v>5.8393847894287485E-3</c:v>
                </c:pt>
                <c:pt idx="363">
                  <c:v>5.7828617782723626E-3</c:v>
                </c:pt>
                <c:pt idx="364">
                  <c:v>5.7260423574971792E-3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822136"/>
        <c:axId val="385821744"/>
      </c:lineChart>
      <c:dateAx>
        <c:axId val="3858221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1744"/>
        <c:crosses val="autoZero"/>
        <c:auto val="1"/>
        <c:lblOffset val="100"/>
        <c:baseTimeUnit val="days"/>
        <c:majorUnit val="1"/>
        <c:majorTimeUnit val="months"/>
      </c:dateAx>
      <c:valAx>
        <c:axId val="3858217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2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'2024'!Ppv</c:f>
              <c:numCache>
                <c:formatCode>0.00%</c:formatCode>
                <c:ptCount val="366"/>
                <c:pt idx="0">
                  <c:v>1.0485366761036174E-2</c:v>
                </c:pt>
                <c:pt idx="1">
                  <c:v>1.0498912385408676E-2</c:v>
                </c:pt>
                <c:pt idx="2">
                  <c:v>1.051245782435295E-2</c:v>
                </c:pt>
                <c:pt idx="3">
                  <c:v>1.0526003077871549E-2</c:v>
                </c:pt>
                <c:pt idx="4">
                  <c:v>1.0539548145967026E-2</c:v>
                </c:pt>
                <c:pt idx="5">
                  <c:v>1.0553093028641825E-2</c:v>
                </c:pt>
                <c:pt idx="6">
                  <c:v>1.0566637725898609E-2</c:v>
                </c:pt>
                <c:pt idx="7">
                  <c:v>1.0580182237739821E-2</c:v>
                </c:pt>
                <c:pt idx="8">
                  <c:v>1.0593726564168127E-2</c:v>
                </c:pt>
                <c:pt idx="9">
                  <c:v>1.0607270705185856E-2</c:v>
                </c:pt>
                <c:pt idx="10">
                  <c:v>1.0620814660795785E-2</c:v>
                </c:pt>
                <c:pt idx="11">
                  <c:v>1.0634358431000246E-2</c:v>
                </c:pt>
                <c:pt idx="12">
                  <c:v>1.0647902015801902E-2</c:v>
                </c:pt>
                <c:pt idx="13">
                  <c:v>1.0661445415203308E-2</c:v>
                </c:pt>
                <c:pt idx="14">
                  <c:v>1.0674988629206905E-2</c:v>
                </c:pt>
                <c:pt idx="15">
                  <c:v>1.0688531657815248E-2</c:v>
                </c:pt>
                <c:pt idx="16">
                  <c:v>1.0702074501030889E-2</c:v>
                </c:pt>
                <c:pt idx="17">
                  <c:v>1.0715617158856494E-2</c:v>
                </c:pt>
                <c:pt idx="18">
                  <c:v>1.0729159631294394E-2</c:v>
                </c:pt>
                <c:pt idx="19">
                  <c:v>1.0742701918347142E-2</c:v>
                </c:pt>
                <c:pt idx="20">
                  <c:v>1.0756244020017514E-2</c:v>
                </c:pt>
                <c:pt idx="21">
                  <c:v>1.0769785936307841E-2</c:v>
                </c:pt>
                <c:pt idx="22">
                  <c:v>1.0783327667220677E-2</c:v>
                </c:pt>
                <c:pt idx="23">
                  <c:v>1.0796869212758575E-2</c:v>
                </c:pt>
                <c:pt idx="24">
                  <c:v>1.081041057292409E-2</c:v>
                </c:pt>
                <c:pt idx="25">
                  <c:v>1.0823951747719773E-2</c:v>
                </c:pt>
                <c:pt idx="26">
                  <c:v>1.0837492737148069E-2</c:v>
                </c:pt>
                <c:pt idx="27">
                  <c:v>1.0851033541211752E-2</c:v>
                </c:pt>
                <c:pt idx="28">
                  <c:v>1.0864574159913043E-2</c:v>
                </c:pt>
                <c:pt idx="29">
                  <c:v>1.0878114593254717E-2</c:v>
                </c:pt>
                <c:pt idx="30">
                  <c:v>1.0891654841239218E-2</c:v>
                </c:pt>
                <c:pt idx="31">
                  <c:v>1.0905194903869098E-2</c:v>
                </c:pt>
                <c:pt idx="32">
                  <c:v>1.091873478114691E-2</c:v>
                </c:pt>
                <c:pt idx="33">
                  <c:v>1.0932274473075099E-2</c:v>
                </c:pt>
                <c:pt idx="34">
                  <c:v>1.0945813979656327E-2</c:v>
                </c:pt>
                <c:pt idx="35">
                  <c:v>1.0959353300893038E-2</c:v>
                </c:pt>
                <c:pt idx="36">
                  <c:v>1.0972892436787895E-2</c:v>
                </c:pt>
                <c:pt idx="37">
                  <c:v>1.0986431387343232E-2</c:v>
                </c:pt>
                <c:pt idx="38">
                  <c:v>1.0999970152561822E-2</c:v>
                </c:pt>
                <c:pt idx="39">
                  <c:v>1.1013508732445998E-2</c:v>
                </c:pt>
                <c:pt idx="40">
                  <c:v>1.1027047126998424E-2</c:v>
                </c:pt>
                <c:pt idx="41">
                  <c:v>1.1040585336221653E-2</c:v>
                </c:pt>
                <c:pt idx="42">
                  <c:v>1.1054123360118129E-2</c:v>
                </c:pt>
                <c:pt idx="43">
                  <c:v>1.1067661198690404E-2</c:v>
                </c:pt>
                <c:pt idx="44">
                  <c:v>1.1081198851941032E-2</c:v>
                </c:pt>
                <c:pt idx="45">
                  <c:v>1.1094736319872567E-2</c:v>
                </c:pt>
                <c:pt idx="46">
                  <c:v>1.1108273602487562E-2</c:v>
                </c:pt>
                <c:pt idx="47">
                  <c:v>1.1121810699788459E-2</c:v>
                </c:pt>
                <c:pt idx="48">
                  <c:v>1.1135347611777924E-2</c:v>
                </c:pt>
                <c:pt idx="49">
                  <c:v>1.1148884338458398E-2</c:v>
                </c:pt>
                <c:pt idx="50">
                  <c:v>1.1162420879832435E-2</c:v>
                </c:pt>
                <c:pt idx="51">
                  <c:v>1.1175957235902589E-2</c:v>
                </c:pt>
                <c:pt idx="52">
                  <c:v>1.1189493406671525E-2</c:v>
                </c:pt>
                <c:pt idx="53">
                  <c:v>1.1203029392141461E-2</c:v>
                </c:pt>
                <c:pt idx="54">
                  <c:v>1.1216565192315286E-2</c:v>
                </c:pt>
                <c:pt idx="55">
                  <c:v>1.123010080719522E-2</c:v>
                </c:pt>
                <c:pt idx="56">
                  <c:v>1.1243636236784038E-2</c:v>
                </c:pt>
                <c:pt idx="57">
                  <c:v>1.1257171481084183E-2</c:v>
                </c:pt>
                <c:pt idx="58">
                  <c:v>1.1270706540098208E-2</c:v>
                </c:pt>
                <c:pt idx="59">
                  <c:v>1.1284241413828666E-2</c:v>
                </c:pt>
                <c:pt idx="60">
                  <c:v>1.1297776102278001E-2</c:v>
                </c:pt>
                <c:pt idx="61">
                  <c:v>1.1311310605448877E-2</c:v>
                </c:pt>
                <c:pt idx="62">
                  <c:v>1.1324844923343735E-2</c:v>
                </c:pt>
                <c:pt idx="63">
                  <c:v>1.1338379055965131E-2</c:v>
                </c:pt>
                <c:pt idx="64">
                  <c:v>1.1351913003315728E-2</c:v>
                </c:pt>
                <c:pt idx="65">
                  <c:v>1.1365446765397857E-2</c:v>
                </c:pt>
                <c:pt idx="66">
                  <c:v>1.1378980342214073E-2</c:v>
                </c:pt>
                <c:pt idx="67">
                  <c:v>1.1392513733767151E-2</c:v>
                </c:pt>
                <c:pt idx="68">
                  <c:v>1.1406046940059311E-2</c:v>
                </c:pt>
                <c:pt idx="69">
                  <c:v>1.1419579961093329E-2</c:v>
                </c:pt>
                <c:pt idx="70">
                  <c:v>1.1433112796871647E-2</c:v>
                </c:pt>
                <c:pt idx="71">
                  <c:v>1.1446645447396819E-2</c:v>
                </c:pt>
                <c:pt idx="72">
                  <c:v>1.1460177912671399E-2</c:v>
                </c:pt>
                <c:pt idx="73">
                  <c:v>1.1473710192697828E-2</c:v>
                </c:pt>
                <c:pt idx="74">
                  <c:v>1.1487242287478661E-2</c:v>
                </c:pt>
                <c:pt idx="75">
                  <c:v>1.1500774197016561E-2</c:v>
                </c:pt>
                <c:pt idx="76">
                  <c:v>1.1514305921313972E-2</c:v>
                </c:pt>
                <c:pt idx="77">
                  <c:v>1.1527837460373447E-2</c:v>
                </c:pt>
                <c:pt idx="78">
                  <c:v>1.1541368814197539E-2</c:v>
                </c:pt>
                <c:pt idx="79">
                  <c:v>1.1554899982788691E-2</c:v>
                </c:pt>
                <c:pt idx="80">
                  <c:v>1.1568430966149568E-2</c:v>
                </c:pt>
                <c:pt idx="81">
                  <c:v>1.1581961764282611E-2</c:v>
                </c:pt>
                <c:pt idx="82">
                  <c:v>1.1595492377190375E-2</c:v>
                </c:pt>
                <c:pt idx="83">
                  <c:v>1.1609022804875413E-2</c:v>
                </c:pt>
                <c:pt idx="84">
                  <c:v>1.1622553047340278E-2</c:v>
                </c:pt>
                <c:pt idx="85">
                  <c:v>1.1636083104587525E-2</c:v>
                </c:pt>
                <c:pt idx="86">
                  <c:v>1.1649612976619594E-2</c:v>
                </c:pt>
                <c:pt idx="87">
                  <c:v>1.1663142663439041E-2</c:v>
                </c:pt>
                <c:pt idx="88">
                  <c:v>1.1676672165048529E-2</c:v>
                </c:pt>
                <c:pt idx="89">
                  <c:v>1.1690201481450502E-2</c:v>
                </c:pt>
                <c:pt idx="90">
                  <c:v>1.1703730612647401E-2</c:v>
                </c:pt>
                <c:pt idx="91">
                  <c:v>1.171725955864189E-2</c:v>
                </c:pt>
                <c:pt idx="92">
                  <c:v>1.1730788319436525E-2</c:v>
                </c:pt>
                <c:pt idx="93">
                  <c:v>1.1744316895033746E-2</c:v>
                </c:pt>
                <c:pt idx="94">
                  <c:v>1.1757845285436108E-2</c:v>
                </c:pt>
                <c:pt idx="95">
                  <c:v>1.1771373490646275E-2</c:v>
                </c:pt>
                <c:pt idx="96">
                  <c:v>1.1784901510666579E-2</c:v>
                </c:pt>
                <c:pt idx="97">
                  <c:v>1.1798429345499573E-2</c:v>
                </c:pt>
                <c:pt idx="98">
                  <c:v>1.1811956995148032E-2</c:v>
                </c:pt>
                <c:pt idx="99">
                  <c:v>1.1825484459614177E-2</c:v>
                </c:pt>
                <c:pt idx="100">
                  <c:v>1.1839011738900784E-2</c:v>
                </c:pt>
                <c:pt idx="101">
                  <c:v>1.1852538833010295E-2</c:v>
                </c:pt>
                <c:pt idx="102">
                  <c:v>1.1866065741945264E-2</c:v>
                </c:pt>
                <c:pt idx="103">
                  <c:v>1.1879592465708133E-2</c:v>
                </c:pt>
                <c:pt idx="104">
                  <c:v>1.1893119004301567E-2</c:v>
                </c:pt>
                <c:pt idx="105">
                  <c:v>1.1906645357728007E-2</c:v>
                </c:pt>
                <c:pt idx="106">
                  <c:v>1.192017152599012E-2</c:v>
                </c:pt>
                <c:pt idx="107">
                  <c:v>1.1933697509090235E-2</c:v>
                </c:pt>
                <c:pt idx="108">
                  <c:v>1.194722330703113E-2</c:v>
                </c:pt>
                <c:pt idx="109">
                  <c:v>1.1960748919815023E-2</c:v>
                </c:pt>
                <c:pt idx="110">
                  <c:v>1.1974274347444802E-2</c:v>
                </c:pt>
                <c:pt idx="111">
                  <c:v>1.1987799589922798E-2</c:v>
                </c:pt>
                <c:pt idx="112">
                  <c:v>1.2001324647251566E-2</c:v>
                </c:pt>
                <c:pt idx="113">
                  <c:v>1.2014849519433657E-2</c:v>
                </c:pt>
                <c:pt idx="114">
                  <c:v>1.2028374206471515E-2</c:v>
                </c:pt>
                <c:pt idx="115">
                  <c:v>1.2041898708367915E-2</c:v>
                </c:pt>
                <c:pt idx="116">
                  <c:v>1.2055423025125189E-2</c:v>
                </c:pt>
                <c:pt idx="117">
                  <c:v>1.2068947156745891E-2</c:v>
                </c:pt>
                <c:pt idx="118">
                  <c:v>1.2082471103232573E-2</c:v>
                </c:pt>
                <c:pt idx="119">
                  <c:v>1.2095994864587789E-2</c:v>
                </c:pt>
                <c:pt idx="120">
                  <c:v>1.2109518440814093E-2</c:v>
                </c:pt>
                <c:pt idx="121">
                  <c:v>1.2123041831914039E-2</c:v>
                </c:pt>
                <c:pt idx="122">
                  <c:v>1.2136565037890068E-2</c:v>
                </c:pt>
                <c:pt idx="123">
                  <c:v>1.2150088058744735E-2</c:v>
                </c:pt>
                <c:pt idx="124">
                  <c:v>1.2163610894480703E-2</c:v>
                </c:pt>
                <c:pt idx="125">
                  <c:v>1.2177133545100305E-2</c:v>
                </c:pt>
                <c:pt idx="126">
                  <c:v>1.2190656010606205E-2</c:v>
                </c:pt>
                <c:pt idx="127">
                  <c:v>1.2204178291000956E-2</c:v>
                </c:pt>
                <c:pt idx="128">
                  <c:v>1.2217700386287E-2</c:v>
                </c:pt>
                <c:pt idx="129">
                  <c:v>1.2231222296466893E-2</c:v>
                </c:pt>
                <c:pt idx="130">
                  <c:v>1.2244744021543297E-2</c:v>
                </c:pt>
                <c:pt idx="131">
                  <c:v>1.2258265561518544E-2</c:v>
                </c:pt>
                <c:pt idx="132">
                  <c:v>1.22717869163953E-2</c:v>
                </c:pt>
                <c:pt idx="133">
                  <c:v>1.2285308086176006E-2</c:v>
                </c:pt>
                <c:pt idx="134">
                  <c:v>1.2298829070863326E-2</c:v>
                </c:pt>
                <c:pt idx="135">
                  <c:v>1.2312349870459594E-2</c:v>
                </c:pt>
                <c:pt idx="136">
                  <c:v>1.2325870484967583E-2</c:v>
                </c:pt>
                <c:pt idx="137">
                  <c:v>1.2339390914389736E-2</c:v>
                </c:pt>
                <c:pt idx="138">
                  <c:v>1.2352911158728497E-2</c:v>
                </c:pt>
                <c:pt idx="139">
                  <c:v>1.2366431217986529E-2</c:v>
                </c:pt>
                <c:pt idx="140">
                  <c:v>1.2379951092166164E-2</c:v>
                </c:pt>
                <c:pt idx="141">
                  <c:v>1.2393470781270177E-2</c:v>
                </c:pt>
                <c:pt idx="142">
                  <c:v>1.2406990285301012E-2</c:v>
                </c:pt>
                <c:pt idx="143">
                  <c:v>1.2420509604261221E-2</c:v>
                </c:pt>
                <c:pt idx="144">
                  <c:v>1.2434028738153247E-2</c:v>
                </c:pt>
                <c:pt idx="145">
                  <c:v>1.2447547686979643E-2</c:v>
                </c:pt>
                <c:pt idx="146">
                  <c:v>1.2461066450743075E-2</c:v>
                </c:pt>
                <c:pt idx="147">
                  <c:v>1.2474585029445984E-2</c:v>
                </c:pt>
                <c:pt idx="148">
                  <c:v>1.2488103423090813E-2</c:v>
                </c:pt>
                <c:pt idx="149">
                  <c:v>1.2501621631680226E-2</c:v>
                </c:pt>
                <c:pt idx="150">
                  <c:v>1.2515139655216778E-2</c:v>
                </c:pt>
                <c:pt idx="151">
                  <c:v>1.2528657493702799E-2</c:v>
                </c:pt>
                <c:pt idx="152">
                  <c:v>1.2542175147141066E-2</c:v>
                </c:pt>
                <c:pt idx="153">
                  <c:v>1.255569261553402E-2</c:v>
                </c:pt>
                <c:pt idx="154">
                  <c:v>1.2569209898884215E-2</c:v>
                </c:pt>
                <c:pt idx="155">
                  <c:v>1.2582726997194094E-2</c:v>
                </c:pt>
                <c:pt idx="156">
                  <c:v>1.2596243910466209E-2</c:v>
                </c:pt>
                <c:pt idx="157">
                  <c:v>1.2609760638703116E-2</c:v>
                </c:pt>
                <c:pt idx="158">
                  <c:v>1.2623277181907477E-2</c:v>
                </c:pt>
                <c:pt idx="159">
                  <c:v>1.2636793540081626E-2</c:v>
                </c:pt>
                <c:pt idx="160">
                  <c:v>1.2650309713228225E-2</c:v>
                </c:pt>
                <c:pt idx="161">
                  <c:v>1.2663825701349718E-2</c:v>
                </c:pt>
                <c:pt idx="162">
                  <c:v>1.2677341504448769E-2</c:v>
                </c:pt>
                <c:pt idx="163">
                  <c:v>1.269085712252771E-2</c:v>
                </c:pt>
                <c:pt idx="164">
                  <c:v>1.2704372555589316E-2</c:v>
                </c:pt>
                <c:pt idx="165">
                  <c:v>1.2717887803635919E-2</c:v>
                </c:pt>
                <c:pt idx="166">
                  <c:v>1.2731402866670072E-2</c:v>
                </c:pt>
                <c:pt idx="167">
                  <c:v>1.2744917744694439E-2</c:v>
                </c:pt>
                <c:pt idx="168">
                  <c:v>1.2758432437711464E-2</c:v>
                </c:pt>
                <c:pt idx="169">
                  <c:v>1.27719469457237E-2</c:v>
                </c:pt>
                <c:pt idx="170">
                  <c:v>1.27854612687337E-2</c:v>
                </c:pt>
                <c:pt idx="171">
                  <c:v>1.2798975406743907E-2</c:v>
                </c:pt>
                <c:pt idx="172">
                  <c:v>1.2812489359756873E-2</c:v>
                </c:pt>
                <c:pt idx="173">
                  <c:v>1.2826003127775265E-2</c:v>
                </c:pt>
                <c:pt idx="174">
                  <c:v>1.2839516710801524E-2</c:v>
                </c:pt>
                <c:pt idx="175">
                  <c:v>1.2853030108838093E-2</c:v>
                </c:pt>
                <c:pt idx="176">
                  <c:v>1.2866543321887636E-2</c:v>
                </c:pt>
                <c:pt idx="177">
                  <c:v>1.2880056349952596E-2</c:v>
                </c:pt>
                <c:pt idx="178">
                  <c:v>1.2893569193035637E-2</c:v>
                </c:pt>
                <c:pt idx="179">
                  <c:v>1.2907081851139202E-2</c:v>
                </c:pt>
                <c:pt idx="180">
                  <c:v>1.2920594324265733E-2</c:v>
                </c:pt>
                <c:pt idx="181">
                  <c:v>1.2934106612417895E-2</c:v>
                </c:pt>
                <c:pt idx="182">
                  <c:v>1.2947618715598241E-2</c:v>
                </c:pt>
                <c:pt idx="183">
                  <c:v>1.2961130633809215E-2</c:v>
                </c:pt>
                <c:pt idx="184">
                  <c:v>1.2974642367053257E-2</c:v>
                </c:pt>
                <c:pt idx="185">
                  <c:v>1.2988153915333145E-2</c:v>
                </c:pt>
                <c:pt idx="186">
                  <c:v>1.300166527865132E-2</c:v>
                </c:pt>
                <c:pt idx="187">
                  <c:v>1.3015176457010114E-2</c:v>
                </c:pt>
                <c:pt idx="188">
                  <c:v>1.3028687450412302E-2</c:v>
                </c:pt>
                <c:pt idx="189">
                  <c:v>1.3042198258860438E-2</c:v>
                </c:pt>
                <c:pt idx="190">
                  <c:v>1.3055708882356853E-2</c:v>
                </c:pt>
                <c:pt idx="191">
                  <c:v>1.3069219320904213E-2</c:v>
                </c:pt>
                <c:pt idx="192">
                  <c:v>1.3082729574504959E-2</c:v>
                </c:pt>
                <c:pt idx="193">
                  <c:v>1.3096239643161645E-2</c:v>
                </c:pt>
                <c:pt idx="194">
                  <c:v>1.3109749526876935E-2</c:v>
                </c:pt>
                <c:pt idx="195">
                  <c:v>1.3123259225653272E-2</c:v>
                </c:pt>
                <c:pt idx="196">
                  <c:v>1.3136768739493099E-2</c:v>
                </c:pt>
                <c:pt idx="197">
                  <c:v>1.3150278068399079E-2</c:v>
                </c:pt>
                <c:pt idx="198">
                  <c:v>1.3163787212373657E-2</c:v>
                </c:pt>
                <c:pt idx="199">
                  <c:v>1.3177296171419384E-2</c:v>
                </c:pt>
                <c:pt idx="200">
                  <c:v>1.3190804945538925E-2</c:v>
                </c:pt>
                <c:pt idx="201">
                  <c:v>1.3204313534734613E-2</c:v>
                </c:pt>
                <c:pt idx="202">
                  <c:v>1.3217821939009E-2</c:v>
                </c:pt>
                <c:pt idx="203">
                  <c:v>1.3231330158364751E-2</c:v>
                </c:pt>
                <c:pt idx="204">
                  <c:v>1.3244838192804309E-2</c:v>
                </c:pt>
                <c:pt idx="205">
                  <c:v>1.3258346042330227E-2</c:v>
                </c:pt>
                <c:pt idx="206">
                  <c:v>1.3271853706944947E-2</c:v>
                </c:pt>
                <c:pt idx="207">
                  <c:v>1.3285361186651135E-2</c:v>
                </c:pt>
                <c:pt idx="208">
                  <c:v>1.3298868481451342E-2</c:v>
                </c:pt>
                <c:pt idx="209">
                  <c:v>1.3312375591347902E-2</c:v>
                </c:pt>
                <c:pt idx="210">
                  <c:v>1.332588251634359E-2</c:v>
                </c:pt>
                <c:pt idx="211">
                  <c:v>1.3339389256440737E-2</c:v>
                </c:pt>
                <c:pt idx="212">
                  <c:v>1.3352895811642007E-2</c:v>
                </c:pt>
                <c:pt idx="213">
                  <c:v>1.3366402181949844E-2</c:v>
                </c:pt>
                <c:pt idx="214">
                  <c:v>1.33799083673668E-2</c:v>
                </c:pt>
                <c:pt idx="215">
                  <c:v>1.3393414367895429E-2</c:v>
                </c:pt>
                <c:pt idx="216">
                  <c:v>1.3406920183538285E-2</c:v>
                </c:pt>
                <c:pt idx="217">
                  <c:v>1.3420425814297809E-2</c:v>
                </c:pt>
                <c:pt idx="218">
                  <c:v>1.3433931260176668E-2</c:v>
                </c:pt>
                <c:pt idx="219">
                  <c:v>1.3447436521177192E-2</c:v>
                </c:pt>
                <c:pt idx="220">
                  <c:v>1.3460941597302156E-2</c:v>
                </c:pt>
                <c:pt idx="221">
                  <c:v>1.3474446488553893E-2</c:v>
                </c:pt>
                <c:pt idx="222">
                  <c:v>1.3487951194935066E-2</c:v>
                </c:pt>
                <c:pt idx="223">
                  <c:v>1.3501455716448119E-2</c:v>
                </c:pt>
                <c:pt idx="224">
                  <c:v>1.3514960053095604E-2</c:v>
                </c:pt>
                <c:pt idx="225">
                  <c:v>1.3528464204880075E-2</c:v>
                </c:pt>
                <c:pt idx="226">
                  <c:v>1.3541968171804086E-2</c:v>
                </c:pt>
                <c:pt idx="227">
                  <c:v>1.355547195387008E-2</c:v>
                </c:pt>
                <c:pt idx="228">
                  <c:v>1.3568975551080609E-2</c:v>
                </c:pt>
                <c:pt idx="229">
                  <c:v>1.3582478963438338E-2</c:v>
                </c:pt>
                <c:pt idx="230">
                  <c:v>1.3595982190945599E-2</c:v>
                </c:pt>
                <c:pt idx="231">
                  <c:v>1.3609485233605056E-2</c:v>
                </c:pt>
                <c:pt idx="232">
                  <c:v>1.3622988091419153E-2</c:v>
                </c:pt>
                <c:pt idx="233">
                  <c:v>1.3636490764390552E-2</c:v>
                </c:pt>
                <c:pt idx="234">
                  <c:v>1.3649993252521586E-2</c:v>
                </c:pt>
                <c:pt idx="235">
                  <c:v>1.366349555581492E-2</c:v>
                </c:pt>
                <c:pt idx="236">
                  <c:v>1.3676997674273106E-2</c:v>
                </c:pt>
                <c:pt idx="237">
                  <c:v>1.3690499607898698E-2</c:v>
                </c:pt>
                <c:pt idx="238">
                  <c:v>1.3704001356694029E-2</c:v>
                </c:pt>
                <c:pt idx="239">
                  <c:v>1.3717502920661762E-2</c:v>
                </c:pt>
                <c:pt idx="240">
                  <c:v>1.373100429980445E-2</c:v>
                </c:pt>
                <c:pt idx="241">
                  <c:v>1.3744505494124648E-2</c:v>
                </c:pt>
                <c:pt idx="242">
                  <c:v>1.3758006503624798E-2</c:v>
                </c:pt>
                <c:pt idx="243">
                  <c:v>1.3771507328307453E-2</c:v>
                </c:pt>
                <c:pt idx="244">
                  <c:v>1.3785007968175167E-2</c:v>
                </c:pt>
                <c:pt idx="245">
                  <c:v>1.3798508423230493E-2</c:v>
                </c:pt>
                <c:pt idx="246">
                  <c:v>1.3812008693475875E-2</c:v>
                </c:pt>
                <c:pt idx="247">
                  <c:v>1.3825508778913864E-2</c:v>
                </c:pt>
                <c:pt idx="248">
                  <c:v>1.3839008679547127E-2</c:v>
                </c:pt>
                <c:pt idx="249">
                  <c:v>1.3852508395377994E-2</c:v>
                </c:pt>
                <c:pt idx="250">
                  <c:v>1.386600792640913E-2</c:v>
                </c:pt>
                <c:pt idx="251">
                  <c:v>1.3879507272642977E-2</c:v>
                </c:pt>
                <c:pt idx="252">
                  <c:v>1.38930064340822E-2</c:v>
                </c:pt>
                <c:pt idx="253">
                  <c:v>1.3906505410729131E-2</c:v>
                </c:pt>
                <c:pt idx="254">
                  <c:v>1.3920004202586544E-2</c:v>
                </c:pt>
                <c:pt idx="255">
                  <c:v>1.3933502809656662E-2</c:v>
                </c:pt>
                <c:pt idx="256">
                  <c:v>1.3947001231942258E-2</c:v>
                </c:pt>
                <c:pt idx="257">
                  <c:v>1.3960499469445886E-2</c:v>
                </c:pt>
                <c:pt idx="258">
                  <c:v>1.3973997522169879E-2</c:v>
                </c:pt>
                <c:pt idx="259">
                  <c:v>1.39874953901169E-2</c:v>
                </c:pt>
                <c:pt idx="260">
                  <c:v>1.4000993073289392E-2</c:v>
                </c:pt>
                <c:pt idx="261">
                  <c:v>1.4014490571689908E-2</c:v>
                </c:pt>
                <c:pt idx="262">
                  <c:v>1.4027987885321114E-2</c:v>
                </c:pt>
                <c:pt idx="263">
                  <c:v>1.404148501418534E-2</c:v>
                </c:pt>
                <c:pt idx="264">
                  <c:v>1.4054981958285251E-2</c:v>
                </c:pt>
                <c:pt idx="265">
                  <c:v>1.4068478717623401E-2</c:v>
                </c:pt>
                <c:pt idx="266">
                  <c:v>1.408197529220212E-2</c:v>
                </c:pt>
                <c:pt idx="267">
                  <c:v>1.4095471682024185E-2</c:v>
                </c:pt>
                <c:pt idx="268">
                  <c:v>1.4108967887091928E-2</c:v>
                </c:pt>
                <c:pt idx="269">
                  <c:v>1.4122463907408012E-2</c:v>
                </c:pt>
                <c:pt idx="270">
                  <c:v>1.413595974297488E-2</c:v>
                </c:pt>
                <c:pt idx="271">
                  <c:v>1.4149455393795085E-2</c:v>
                </c:pt>
                <c:pt idx="272">
                  <c:v>1.4162950859871071E-2</c:v>
                </c:pt>
                <c:pt idx="273">
                  <c:v>1.4176446141205612E-2</c:v>
                </c:pt>
                <c:pt idx="274">
                  <c:v>1.418994123780104E-2</c:v>
                </c:pt>
                <c:pt idx="275">
                  <c:v>1.4203436149659909E-2</c:v>
                </c:pt>
                <c:pt idx="276">
                  <c:v>1.4216930876784772E-2</c:v>
                </c:pt>
                <c:pt idx="277">
                  <c:v>1.4230425419178183E-2</c:v>
                </c:pt>
                <c:pt idx="278">
                  <c:v>1.4243919776842584E-2</c:v>
                </c:pt>
                <c:pt idx="279">
                  <c:v>1.4257413949780529E-2</c:v>
                </c:pt>
                <c:pt idx="280">
                  <c:v>1.4270907937994681E-2</c:v>
                </c:pt>
                <c:pt idx="281">
                  <c:v>1.4284401741487485E-2</c:v>
                </c:pt>
                <c:pt idx="282">
                  <c:v>1.4297895360261381E-2</c:v>
                </c:pt>
                <c:pt idx="283">
                  <c:v>1.4311388794318924E-2</c:v>
                </c:pt>
                <c:pt idx="284">
                  <c:v>1.4324882043662779E-2</c:v>
                </c:pt>
                <c:pt idx="285">
                  <c:v>1.4338375108295276E-2</c:v>
                </c:pt>
                <c:pt idx="286">
                  <c:v>1.4351867988219191E-2</c:v>
                </c:pt>
                <c:pt idx="287">
                  <c:v>1.4365360683436745E-2</c:v>
                </c:pt>
                <c:pt idx="288">
                  <c:v>1.4378853193950714E-2</c:v>
                </c:pt>
                <c:pt idx="289">
                  <c:v>1.439234551976365E-2</c:v>
                </c:pt>
                <c:pt idx="290">
                  <c:v>1.4405837660877885E-2</c:v>
                </c:pt>
                <c:pt idx="291">
                  <c:v>1.4419329617295973E-2</c:v>
                </c:pt>
                <c:pt idx="292">
                  <c:v>1.4432821389020578E-2</c:v>
                </c:pt>
                <c:pt idx="293">
                  <c:v>1.4446312976054143E-2</c:v>
                </c:pt>
                <c:pt idx="294">
                  <c:v>1.4459804378399221E-2</c:v>
                </c:pt>
                <c:pt idx="295">
                  <c:v>1.4473295596058255E-2</c:v>
                </c:pt>
                <c:pt idx="296">
                  <c:v>1.4486786629034021E-2</c:v>
                </c:pt>
                <c:pt idx="297">
                  <c:v>1.4500277477328738E-2</c:v>
                </c:pt>
                <c:pt idx="298">
                  <c:v>1.4513768140945071E-2</c:v>
                </c:pt>
                <c:pt idx="299">
                  <c:v>1.4527258619885575E-2</c:v>
                </c:pt>
                <c:pt idx="300">
                  <c:v>1.4540748914152801E-2</c:v>
                </c:pt>
                <c:pt idx="301">
                  <c:v>1.4554239023749194E-2</c:v>
                </c:pt>
                <c:pt idx="302">
                  <c:v>1.4567728948677305E-2</c:v>
                </c:pt>
                <c:pt idx="303">
                  <c:v>1.4581218688939579E-2</c:v>
                </c:pt>
                <c:pt idx="304">
                  <c:v>1.459470824453879E-2</c:v>
                </c:pt>
                <c:pt idx="305">
                  <c:v>1.460819761547727E-2</c:v>
                </c:pt>
                <c:pt idx="306">
                  <c:v>1.4621686801757572E-2</c:v>
                </c:pt>
                <c:pt idx="307">
                  <c:v>1.463517580338225E-2</c:v>
                </c:pt>
                <c:pt idx="308">
                  <c:v>1.4648664620353746E-2</c:v>
                </c:pt>
                <c:pt idx="309">
                  <c:v>1.4662153252674726E-2</c:v>
                </c:pt>
                <c:pt idx="310">
                  <c:v>1.4675641700347741E-2</c:v>
                </c:pt>
                <c:pt idx="311">
                  <c:v>1.4689129963375125E-2</c:v>
                </c:pt>
                <c:pt idx="312">
                  <c:v>1.4702618041759541E-2</c:v>
                </c:pt>
                <c:pt idx="313">
                  <c:v>1.4716105935503543E-2</c:v>
                </c:pt>
                <c:pt idx="314">
                  <c:v>1.4729593644609462E-2</c:v>
                </c:pt>
                <c:pt idx="315">
                  <c:v>1.4743081169080074E-2</c:v>
                </c:pt>
                <c:pt idx="316">
                  <c:v>1.4756568508917822E-2</c:v>
                </c:pt>
                <c:pt idx="317">
                  <c:v>1.4770055664125259E-2</c:v>
                </c:pt>
                <c:pt idx="318">
                  <c:v>1.4783542634704716E-2</c:v>
                </c:pt>
                <c:pt idx="319">
                  <c:v>1.4797029420658969E-2</c:v>
                </c:pt>
                <c:pt idx="320">
                  <c:v>1.4810516021990461E-2</c:v>
                </c:pt>
                <c:pt idx="321">
                  <c:v>1.4824002438701633E-2</c:v>
                </c:pt>
                <c:pt idx="322">
                  <c:v>1.4837488670795151E-2</c:v>
                </c:pt>
                <c:pt idx="323">
                  <c:v>1.4850974718273457E-2</c:v>
                </c:pt>
                <c:pt idx="324">
                  <c:v>1.4864460581139105E-2</c:v>
                </c:pt>
                <c:pt idx="325">
                  <c:v>1.4877946259394648E-2</c:v>
                </c:pt>
                <c:pt idx="326">
                  <c:v>1.4891431753042528E-2</c:v>
                </c:pt>
                <c:pt idx="327">
                  <c:v>1.4904917062085299E-2</c:v>
                </c:pt>
                <c:pt idx="328">
                  <c:v>1.4918402186525515E-2</c:v>
                </c:pt>
                <c:pt idx="329">
                  <c:v>1.4931887126365728E-2</c:v>
                </c:pt>
                <c:pt idx="330">
                  <c:v>1.4945371881608494E-2</c:v>
                </c:pt>
                <c:pt idx="331">
                  <c:v>1.4958856452256253E-2</c:v>
                </c:pt>
                <c:pt idx="332">
                  <c:v>1.497234083831156E-2</c:v>
                </c:pt>
                <c:pt idx="333">
                  <c:v>1.4985825039776857E-2</c:v>
                </c:pt>
                <c:pt idx="334">
                  <c:v>1.4999309056654919E-2</c:v>
                </c:pt>
                <c:pt idx="335">
                  <c:v>1.5012792888947968E-2</c:v>
                </c:pt>
                <c:pt idx="336">
                  <c:v>1.5026276536658778E-2</c:v>
                </c:pt>
                <c:pt idx="337">
                  <c:v>1.5039759999789681E-2</c:v>
                </c:pt>
                <c:pt idx="338">
                  <c:v>1.5053243278343342E-2</c:v>
                </c:pt>
                <c:pt idx="339">
                  <c:v>1.5066726372322314E-2</c:v>
                </c:pt>
                <c:pt idx="340">
                  <c:v>1.5080209281728929E-2</c:v>
                </c:pt>
                <c:pt idx="341">
                  <c:v>1.5093692006565962E-2</c:v>
                </c:pt>
                <c:pt idx="342">
                  <c:v>1.5107174546835744E-2</c:v>
                </c:pt>
                <c:pt idx="343">
                  <c:v>1.512065690254083E-2</c:v>
                </c:pt>
                <c:pt idx="344">
                  <c:v>1.5134139073683883E-2</c:v>
                </c:pt>
                <c:pt idx="345">
                  <c:v>1.5147621060267236E-2</c:v>
                </c:pt>
                <c:pt idx="346">
                  <c:v>1.5161102862293552E-2</c:v>
                </c:pt>
                <c:pt idx="347">
                  <c:v>1.5174584479765385E-2</c:v>
                </c:pt>
                <c:pt idx="348">
                  <c:v>1.5188065912685178E-2</c:v>
                </c:pt>
                <c:pt idx="349">
                  <c:v>1.5201547161055373E-2</c:v>
                </c:pt>
                <c:pt idx="350">
                  <c:v>1.5215028224878746E-2</c:v>
                </c:pt>
                <c:pt idx="351">
                  <c:v>1.5228509104157517E-2</c:v>
                </c:pt>
                <c:pt idx="352">
                  <c:v>1.5241989798894462E-2</c:v>
                </c:pt>
                <c:pt idx="353">
                  <c:v>1.5255470309092023E-2</c:v>
                </c:pt>
                <c:pt idx="354">
                  <c:v>1.5268950634752754E-2</c:v>
                </c:pt>
                <c:pt idx="355">
                  <c:v>1.5282430775879097E-2</c:v>
                </c:pt>
                <c:pt idx="356">
                  <c:v>1.5295910732473605E-2</c:v>
                </c:pt>
                <c:pt idx="357">
                  <c:v>1.5309390504538833E-2</c:v>
                </c:pt>
                <c:pt idx="358">
                  <c:v>1.5322870092077334E-2</c:v>
                </c:pt>
                <c:pt idx="359">
                  <c:v>1.533634949509155E-2</c:v>
                </c:pt>
                <c:pt idx="360">
                  <c:v>1.5349828713584146E-2</c:v>
                </c:pt>
                <c:pt idx="361">
                  <c:v>1.5363307747557453E-2</c:v>
                </c:pt>
                <c:pt idx="362">
                  <c:v>1.5376786597014136E-2</c:v>
                </c:pt>
                <c:pt idx="363">
                  <c:v>1.5390265261956748E-2</c:v>
                </c:pt>
                <c:pt idx="364">
                  <c:v>1.5403743742387732E-2</c:v>
                </c:pt>
                <c:pt idx="365">
                  <c:v>1.5417222038309641E-2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  <c:pt idx="365">
                  <c:v>3.4230950566402636E-2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'2024'!Pvg</c:f>
              <c:numCache>
                <c:formatCode>0.00%</c:formatCode>
                <c:ptCount val="366"/>
                <c:pt idx="0">
                  <c:v>5.6695612771068757E-3</c:v>
                </c:pt>
                <c:pt idx="1">
                  <c:v>5.6187349783759308E-3</c:v>
                </c:pt>
                <c:pt idx="2">
                  <c:v>5.5738112373805689E-3</c:v>
                </c:pt>
                <c:pt idx="3">
                  <c:v>5.5351450602445264E-3</c:v>
                </c:pt>
                <c:pt idx="4">
                  <c:v>5.5030508101190151E-3</c:v>
                </c:pt>
                <c:pt idx="5">
                  <c:v>5.4778085347194552E-3</c:v>
                </c:pt>
                <c:pt idx="6">
                  <c:v>5.4596705977389293E-3</c:v>
                </c:pt>
                <c:pt idx="7">
                  <c:v>5.4488684579135265E-3</c:v>
                </c:pt>
                <c:pt idx="8">
                  <c:v>5.4444417565564715E-3</c:v>
                </c:pt>
                <c:pt idx="9">
                  <c:v>5.4500932134321804E-3</c:v>
                </c:pt>
                <c:pt idx="10">
                  <c:v>5.4609201509992194E-3</c:v>
                </c:pt>
                <c:pt idx="11">
                  <c:v>5.4766993883958526E-3</c:v>
                </c:pt>
                <c:pt idx="12">
                  <c:v>5.4972079221260193E-3</c:v>
                </c:pt>
                <c:pt idx="13">
                  <c:v>5.522223207123588E-3</c:v>
                </c:pt>
                <c:pt idx="14">
                  <c:v>5.5515234468800495E-3</c:v>
                </c:pt>
                <c:pt idx="15">
                  <c:v>5.5767465163177156E-3</c:v>
                </c:pt>
                <c:pt idx="16">
                  <c:v>5.5958807114047191E-3</c:v>
                </c:pt>
                <c:pt idx="17">
                  <c:v>5.6090932754469681E-3</c:v>
                </c:pt>
                <c:pt idx="18">
                  <c:v>5.6165552144985583E-3</c:v>
                </c:pt>
                <c:pt idx="19">
                  <c:v>5.6184670131179358E-3</c:v>
                </c:pt>
                <c:pt idx="20">
                  <c:v>5.615043505808744E-3</c:v>
                </c:pt>
                <c:pt idx="21">
                  <c:v>5.6064807093230626E-3</c:v>
                </c:pt>
                <c:pt idx="22">
                  <c:v>5.592525595005924E-3</c:v>
                </c:pt>
                <c:pt idx="23">
                  <c:v>5.5500078125902139E-3</c:v>
                </c:pt>
                <c:pt idx="24">
                  <c:v>5.4763063044293101E-3</c:v>
                </c:pt>
                <c:pt idx="25">
                  <c:v>5.3730440547223044E-3</c:v>
                </c:pt>
                <c:pt idx="26">
                  <c:v>5.2418046242979311E-3</c:v>
                </c:pt>
                <c:pt idx="27">
                  <c:v>5.084117502331017E-3</c:v>
                </c:pt>
                <c:pt idx="28">
                  <c:v>4.901446220545988E-3</c:v>
                </c:pt>
                <c:pt idx="29">
                  <c:v>4.6935451331541703E-3</c:v>
                </c:pt>
                <c:pt idx="30">
                  <c:v>4.46840813294781E-3</c:v>
                </c:pt>
                <c:pt idx="31">
                  <c:v>4.227035925911316E-3</c:v>
                </c:pt>
                <c:pt idx="32">
                  <c:v>3.9703477293899997E-3</c:v>
                </c:pt>
                <c:pt idx="33">
                  <c:v>3.6991803035571732E-3</c:v>
                </c:pt>
                <c:pt idx="34">
                  <c:v>3.4142878444003559E-3</c:v>
                </c:pt>
                <c:pt idx="35">
                  <c:v>3.116342546116836E-3</c:v>
                </c:pt>
                <c:pt idx="36">
                  <c:v>2.8056222782960054E-3</c:v>
                </c:pt>
                <c:pt idx="37">
                  <c:v>2.4961364936354927E-3</c:v>
                </c:pt>
                <c:pt idx="38">
                  <c:v>2.2066689423352725E-3</c:v>
                </c:pt>
                <c:pt idx="39">
                  <c:v>1.9365479451108516E-3</c:v>
                </c:pt>
                <c:pt idx="40">
                  <c:v>1.6851123779536451E-3</c:v>
                </c:pt>
                <c:pt idx="41">
                  <c:v>1.4517138440830071E-3</c:v>
                </c:pt>
                <c:pt idx="42">
                  <c:v>1.2357184870588685E-3</c:v>
                </c:pt>
                <c:pt idx="43">
                  <c:v>1.0418471659434695E-3</c:v>
                </c:pt>
                <c:pt idx="44">
                  <c:v>8.7062683198715896E-4</c:v>
                </c:pt>
                <c:pt idx="45">
                  <c:v>7.2122976954549156E-4</c:v>
                </c:pt>
                <c:pt idx="46">
                  <c:v>5.9285896337500925E-4</c:v>
                </c:pt>
                <c:pt idx="47">
                  <c:v>4.8474861549526089E-4</c:v>
                </c:pt>
                <c:pt idx="48">
                  <c:v>3.9616445917570712E-4</c:v>
                </c:pt>
                <c:pt idx="49">
                  <c:v>3.2640390551919474E-4</c:v>
                </c:pt>
                <c:pt idx="50">
                  <c:v>2.7479326647409839E-4</c:v>
                </c:pt>
                <c:pt idx="51">
                  <c:v>2.4048865668351517E-4</c:v>
                </c:pt>
                <c:pt idx="52">
                  <c:v>2.1156082228884155E-4</c:v>
                </c:pt>
                <c:pt idx="53">
                  <c:v>1.87823458086421E-4</c:v>
                </c:pt>
                <c:pt idx="54">
                  <c:v>1.691000108083561E-4</c:v>
                </c:pt>
                <c:pt idx="55">
                  <c:v>1.5522176290701763E-4</c:v>
                </c:pt>
                <c:pt idx="56">
                  <c:v>1.4602714420438901E-4</c:v>
                </c:pt>
                <c:pt idx="57">
                  <c:v>1.4108850247502363E-4</c:v>
                </c:pt>
                <c:pt idx="58">
                  <c:v>1.3578570727687422E-4</c:v>
                </c:pt>
                <c:pt idx="59">
                  <c:v>1.3013051166453269E-4</c:v>
                </c:pt>
                <c:pt idx="60">
                  <c:v>1.2413437649045646E-4</c:v>
                </c:pt>
                <c:pt idx="61">
                  <c:v>1.1780847924918277E-4</c:v>
                </c:pt>
                <c:pt idx="62">
                  <c:v>1.111637254142735E-4</c:v>
                </c:pt>
                <c:pt idx="63">
                  <c:v>1.0421075596893606E-4</c:v>
                </c:pt>
                <c:pt idx="64">
                  <c:v>9.6958411251270765E-5</c:v>
                </c:pt>
                <c:pt idx="65">
                  <c:v>8.9692474542959013E-5</c:v>
                </c:pt>
                <c:pt idx="66">
                  <c:v>8.2586632063601435E-5</c:v>
                </c:pt>
                <c:pt idx="67">
                  <c:v>7.5638320413985813E-5</c:v>
                </c:pt>
                <c:pt idx="68">
                  <c:v>6.8844575831381757E-5</c:v>
                </c:pt>
                <c:pt idx="69">
                  <c:v>6.2202070049422262E-5</c:v>
                </c:pt>
                <c:pt idx="70">
                  <c:v>5.5707143694600124E-5</c:v>
                </c:pt>
                <c:pt idx="71">
                  <c:v>4.9792802523751453E-5</c:v>
                </c:pt>
                <c:pt idx="72">
                  <c:v>4.4685734071342845E-5</c:v>
                </c:pt>
                <c:pt idx="73">
                  <c:v>4.0362442798827076E-5</c:v>
                </c:pt>
                <c:pt idx="74">
                  <c:v>3.6800339983516078E-5</c:v>
                </c:pt>
                <c:pt idx="75">
                  <c:v>3.397781980640921E-5</c:v>
                </c:pt>
                <c:pt idx="76">
                  <c:v>3.1874327699491634E-5</c:v>
                </c:pt>
                <c:pt idx="77">
                  <c:v>3.0470421767451037E-5</c:v>
                </c:pt>
                <c:pt idx="78">
                  <c:v>2.9744994778171267E-5</c:v>
                </c:pt>
                <c:pt idx="79">
                  <c:v>2.9718982375676292E-5</c:v>
                </c:pt>
                <c:pt idx="80">
                  <c:v>3.0137242770663899E-5</c:v>
                </c:pt>
                <c:pt idx="81">
                  <c:v>3.0990366578486472E-5</c:v>
                </c:pt>
                <c:pt idx="82">
                  <c:v>3.2269611874247022E-5</c:v>
                </c:pt>
                <c:pt idx="83">
                  <c:v>3.3967029094309571E-5</c:v>
                </c:pt>
                <c:pt idx="84">
                  <c:v>3.607557431873084E-5</c:v>
                </c:pt>
                <c:pt idx="85">
                  <c:v>3.8302052905279624E-5</c:v>
                </c:pt>
                <c:pt idx="86">
                  <c:v>4.0263430852952624E-5</c:v>
                </c:pt>
                <c:pt idx="87">
                  <c:v>4.1969249419398971E-5</c:v>
                </c:pt>
                <c:pt idx="88">
                  <c:v>4.3428642260691596E-5</c:v>
                </c:pt>
                <c:pt idx="89">
                  <c:v>4.4650286696206476E-5</c:v>
                </c:pt>
                <c:pt idx="90">
                  <c:v>4.5642361614265354E-5</c:v>
                </c:pt>
                <c:pt idx="91">
                  <c:v>4.6412511090714057E-5</c:v>
                </c:pt>
                <c:pt idx="92">
                  <c:v>4.6964042467355194E-5</c:v>
                </c:pt>
                <c:pt idx="93">
                  <c:v>4.7187611605839027E-5</c:v>
                </c:pt>
                <c:pt idx="94">
                  <c:v>4.7048423125295307E-5</c:v>
                </c:pt>
                <c:pt idx="95">
                  <c:v>4.6550118786745014E-5</c:v>
                </c:pt>
                <c:pt idx="96">
                  <c:v>4.5695455291159783E-5</c:v>
                </c:pt>
                <c:pt idx="97">
                  <c:v>4.4486287697644524E-5</c:v>
                </c:pt>
                <c:pt idx="98">
                  <c:v>4.2923552093755541E-5</c:v>
                </c:pt>
                <c:pt idx="99">
                  <c:v>4.1121782614348715E-5</c:v>
                </c:pt>
                <c:pt idx="100">
                  <c:v>3.9346871848337488E-5</c:v>
                </c:pt>
                <c:pt idx="101">
                  <c:v>3.7594891925856001E-5</c:v>
                </c:pt>
                <c:pt idx="102">
                  <c:v>3.5861779276277108E-5</c:v>
                </c:pt>
                <c:pt idx="103">
                  <c:v>3.4143321997636374E-5</c:v>
                </c:pt>
                <c:pt idx="104">
                  <c:v>3.2435146300588916E-5</c:v>
                </c:pt>
                <c:pt idx="105">
                  <c:v>3.0732701974337067E-5</c:v>
                </c:pt>
                <c:pt idx="106">
                  <c:v>2.9031074231206153E-5</c:v>
                </c:pt>
                <c:pt idx="107">
                  <c:v>2.7347702133198311E-5</c:v>
                </c:pt>
                <c:pt idx="108">
                  <c:v>2.5797957221001811E-5</c:v>
                </c:pt>
                <c:pt idx="109">
                  <c:v>2.4381062366566229E-5</c:v>
                </c:pt>
                <c:pt idx="110">
                  <c:v>2.3096677829568421E-5</c:v>
                </c:pt>
                <c:pt idx="111">
                  <c:v>2.1944833407699503E-5</c:v>
                </c:pt>
                <c:pt idx="112">
                  <c:v>2.0925878642276697E-5</c:v>
                </c:pt>
                <c:pt idx="113">
                  <c:v>2.0028528754767379E-5</c:v>
                </c:pt>
                <c:pt idx="114">
                  <c:v>1.9138795199728309E-5</c:v>
                </c:pt>
                <c:pt idx="115">
                  <c:v>1.8256955305579782E-5</c:v>
                </c:pt>
                <c:pt idx="116">
                  <c:v>1.7383415175471648E-5</c:v>
                </c:pt>
                <c:pt idx="117">
                  <c:v>1.6518716239860241E-5</c:v>
                </c:pt>
                <c:pt idx="118">
                  <c:v>1.5663542069602966E-5</c:v>
                </c:pt>
                <c:pt idx="119">
                  <c:v>1.4818725425078044E-5</c:v>
                </c:pt>
                <c:pt idx="120">
                  <c:v>1.3985594127087433E-5</c:v>
                </c:pt>
                <c:pt idx="121">
                  <c:v>1.319976922756572E-5</c:v>
                </c:pt>
                <c:pt idx="122">
                  <c:v>1.2430602694592741E-5</c:v>
                </c:pt>
                <c:pt idx="123">
                  <c:v>1.1677470306850517E-5</c:v>
                </c:pt>
                <c:pt idx="124">
                  <c:v>1.0939814604518753E-5</c:v>
                </c:pt>
                <c:pt idx="125">
                  <c:v>1.0217143493443634E-5</c:v>
                </c:pt>
                <c:pt idx="126">
                  <c:v>9.5090290368054917E-6</c:v>
                </c:pt>
                <c:pt idx="127">
                  <c:v>8.8415157655296373E-6</c:v>
                </c:pt>
                <c:pt idx="128">
                  <c:v>8.2280672524154233E-6</c:v>
                </c:pt>
                <c:pt idx="129">
                  <c:v>7.6694720525355009E-6</c:v>
                </c:pt>
                <c:pt idx="130">
                  <c:v>7.1666475871650893E-6</c:v>
                </c:pt>
                <c:pt idx="131">
                  <c:v>6.7206353155596101E-6</c:v>
                </c:pt>
                <c:pt idx="132">
                  <c:v>6.3325955331941839E-6</c:v>
                </c:pt>
                <c:pt idx="133">
                  <c:v>6.0038017321210808E-6</c:v>
                </c:pt>
                <c:pt idx="134">
                  <c:v>5.7357753079475043E-6</c:v>
                </c:pt>
                <c:pt idx="135">
                  <c:v>5.5267425316585615E-6</c:v>
                </c:pt>
                <c:pt idx="136">
                  <c:v>5.3397436366890564E-6</c:v>
                </c:pt>
                <c:pt idx="137">
                  <c:v>5.1751960017944993E-6</c:v>
                </c:pt>
                <c:pt idx="138">
                  <c:v>5.033554535721752E-6</c:v>
                </c:pt>
                <c:pt idx="139">
                  <c:v>4.9153097368993693E-6</c:v>
                </c:pt>
                <c:pt idx="140">
                  <c:v>4.8209855972893687E-6</c:v>
                </c:pt>
                <c:pt idx="141">
                  <c:v>4.7462707353942269E-6</c:v>
                </c:pt>
                <c:pt idx="142">
                  <c:v>4.6610642486103491E-6</c:v>
                </c:pt>
                <c:pt idx="143">
                  <c:v>4.5648202926425357E-6</c:v>
                </c:pt>
                <c:pt idx="144">
                  <c:v>4.4570054715314902E-6</c:v>
                </c:pt>
                <c:pt idx="145">
                  <c:v>4.3370760103775865E-6</c:v>
                </c:pt>
                <c:pt idx="146">
                  <c:v>4.2044794176721261E-6</c:v>
                </c:pt>
                <c:pt idx="147">
                  <c:v>4.0586562819684008E-6</c:v>
                </c:pt>
                <c:pt idx="148">
                  <c:v>3.8991034506998272E-6</c:v>
                </c:pt>
                <c:pt idx="149">
                  <c:v>3.7340818840810343E-6</c:v>
                </c:pt>
                <c:pt idx="150">
                  <c:v>3.5679816031848394E-6</c:v>
                </c:pt>
                <c:pt idx="151">
                  <c:v>3.4008571213853192E-6</c:v>
                </c:pt>
                <c:pt idx="152">
                  <c:v>3.2327773185804245E-6</c:v>
                </c:pt>
                <c:pt idx="153">
                  <c:v>3.0638253784964758E-6</c:v>
                </c:pt>
                <c:pt idx="154">
                  <c:v>2.8940986527233748E-6</c:v>
                </c:pt>
                <c:pt idx="155">
                  <c:v>2.7293509314830481E-6</c:v>
                </c:pt>
                <c:pt idx="156">
                  <c:v>2.5755797019200162E-6</c:v>
                </c:pt>
                <c:pt idx="157">
                  <c:v>2.4332717925946335E-6</c:v>
                </c:pt>
                <c:pt idx="158">
                  <c:v>2.3029264335093616E-6</c:v>
                </c:pt>
                <c:pt idx="159">
                  <c:v>2.1850532343850883E-6</c:v>
                </c:pt>
                <c:pt idx="160">
                  <c:v>2.0801700881387685E-6</c:v>
                </c:pt>
                <c:pt idx="161">
                  <c:v>1.9888010140084945E-6</c:v>
                </c:pt>
                <c:pt idx="162">
                  <c:v>1.9114552886170663E-6</c:v>
                </c:pt>
                <c:pt idx="163">
                  <c:v>1.8516147283530567E-6</c:v>
                </c:pt>
                <c:pt idx="164">
                  <c:v>1.7993176823475163E-6</c:v>
                </c:pt>
                <c:pt idx="165">
                  <c:v>1.7548308322275882E-6</c:v>
                </c:pt>
                <c:pt idx="166">
                  <c:v>1.718417876962608E-6</c:v>
                </c:pt>
                <c:pt idx="167">
                  <c:v>1.690339470466316E-6</c:v>
                </c:pt>
                <c:pt idx="168">
                  <c:v>1.6708532413008876E-6</c:v>
                </c:pt>
                <c:pt idx="169">
                  <c:v>1.66333186677732E-6</c:v>
                </c:pt>
                <c:pt idx="170">
                  <c:v>1.6616261579095266E-6</c:v>
                </c:pt>
                <c:pt idx="171">
                  <c:v>1.6659060549448148E-6</c:v>
                </c:pt>
                <c:pt idx="172">
                  <c:v>1.6763405439482455E-6</c:v>
                </c:pt>
                <c:pt idx="173">
                  <c:v>1.6930835004360992E-6</c:v>
                </c:pt>
                <c:pt idx="174">
                  <c:v>1.7162869989390362E-6</c:v>
                </c:pt>
                <c:pt idx="175">
                  <c:v>1.7461164807150116E-6</c:v>
                </c:pt>
                <c:pt idx="176">
                  <c:v>1.7827193878875713E-6</c:v>
                </c:pt>
                <c:pt idx="177">
                  <c:v>1.8330694717608071E-6</c:v>
                </c:pt>
                <c:pt idx="178">
                  <c:v>1.8941032317769674E-6</c:v>
                </c:pt>
                <c:pt idx="179">
                  <c:v>1.9660282979086596E-6</c:v>
                </c:pt>
                <c:pt idx="180">
                  <c:v>2.049047716947763E-6</c:v>
                </c:pt>
                <c:pt idx="181">
                  <c:v>2.1433595666181347E-6</c:v>
                </c:pt>
                <c:pt idx="182">
                  <c:v>2.2491566160430294E-6</c:v>
                </c:pt>
                <c:pt idx="183">
                  <c:v>2.3793884030983659E-6</c:v>
                </c:pt>
                <c:pt idx="184">
                  <c:v>2.5310515074167929E-6</c:v>
                </c:pt>
                <c:pt idx="185">
                  <c:v>2.7045558034183036E-6</c:v>
                </c:pt>
                <c:pt idx="186">
                  <c:v>2.9002981103007595E-6</c:v>
                </c:pt>
                <c:pt idx="187">
                  <c:v>3.118661727623648E-6</c:v>
                </c:pt>
                <c:pt idx="188">
                  <c:v>3.3600160320477745E-6</c:v>
                </c:pt>
                <c:pt idx="189">
                  <c:v>3.624716125215058E-6</c:v>
                </c:pt>
                <c:pt idx="190">
                  <c:v>3.9131237944642143E-6</c:v>
                </c:pt>
                <c:pt idx="191">
                  <c:v>4.2180868420771239E-6</c:v>
                </c:pt>
                <c:pt idx="192">
                  <c:v>4.5323056185841339E-6</c:v>
                </c:pt>
                <c:pt idx="193">
                  <c:v>4.8558976313808548E-6</c:v>
                </c:pt>
                <c:pt idx="194">
                  <c:v>5.1889872890475666E-6</c:v>
                </c:pt>
                <c:pt idx="195">
                  <c:v>5.5317067790729059E-6</c:v>
                </c:pt>
                <c:pt idx="196">
                  <c:v>5.8841969422541171E-6</c:v>
                </c:pt>
                <c:pt idx="197">
                  <c:v>6.2375709635675104E-6</c:v>
                </c:pt>
                <c:pt idx="198">
                  <c:v>6.5775813546238714E-6</c:v>
                </c:pt>
                <c:pt idx="199">
                  <c:v>6.9039196081659609E-6</c:v>
                </c:pt>
                <c:pt idx="200">
                  <c:v>7.2162941191325168E-6</c:v>
                </c:pt>
                <c:pt idx="201">
                  <c:v>7.5144286987206744E-6</c:v>
                </c:pt>
                <c:pt idx="202">
                  <c:v>7.7980610102383743E-6</c:v>
                </c:pt>
                <c:pt idx="203">
                  <c:v>8.0669409400218811E-6</c:v>
                </c:pt>
                <c:pt idx="204">
                  <c:v>8.3209039711703404E-6</c:v>
                </c:pt>
                <c:pt idx="205">
                  <c:v>8.6103692712401446E-6</c:v>
                </c:pt>
                <c:pt idx="206">
                  <c:v>8.9439592155911886E-6</c:v>
                </c:pt>
                <c:pt idx="207">
                  <c:v>9.3222789142072597E-6</c:v>
                </c:pt>
                <c:pt idx="208">
                  <c:v>9.7459406482601952E-6</c:v>
                </c:pt>
                <c:pt idx="209">
                  <c:v>1.0215561362448862E-5</c:v>
                </c:pt>
                <c:pt idx="210">
                  <c:v>1.0731759892633951E-5</c:v>
                </c:pt>
                <c:pt idx="211">
                  <c:v>1.1360983199316485E-5</c:v>
                </c:pt>
                <c:pt idx="212">
                  <c:v>1.2114962632437551E-5</c:v>
                </c:pt>
                <c:pt idx="213">
                  <c:v>1.2995524379207272E-5</c:v>
                </c:pt>
                <c:pt idx="214">
                  <c:v>1.4004486978571244E-5</c:v>
                </c:pt>
                <c:pt idx="215">
                  <c:v>1.5143651817436594E-5</c:v>
                </c:pt>
                <c:pt idx="216">
                  <c:v>1.6414792754313471E-5</c:v>
                </c:pt>
                <c:pt idx="217">
                  <c:v>1.7819644860237898E-5</c:v>
                </c:pt>
                <c:pt idx="218">
                  <c:v>1.9360581381869107E-5</c:v>
                </c:pt>
                <c:pt idx="219">
                  <c:v>2.1014356838940272E-5</c:v>
                </c:pt>
                <c:pt idx="220">
                  <c:v>2.2727825802545203E-5</c:v>
                </c:pt>
                <c:pt idx="221">
                  <c:v>2.4501792897324113E-5</c:v>
                </c:pt>
                <c:pt idx="222">
                  <c:v>2.633704610955692E-5</c:v>
                </c:pt>
                <c:pt idx="223">
                  <c:v>2.8234352583032348E-5</c:v>
                </c:pt>
                <c:pt idx="224">
                  <c:v>3.0194454191647762E-5</c:v>
                </c:pt>
                <c:pt idx="225">
                  <c:v>3.2416101654076652E-5</c:v>
                </c:pt>
                <c:pt idx="226">
                  <c:v>3.483294580728577E-5</c:v>
                </c:pt>
                <c:pt idx="227">
                  <c:v>3.7448487893796705E-5</c:v>
                </c:pt>
                <c:pt idx="228">
                  <c:v>4.0266144331272178E-5</c:v>
                </c:pt>
                <c:pt idx="229">
                  <c:v>4.3289235637715901E-5</c:v>
                </c:pt>
                <c:pt idx="230">
                  <c:v>4.6520974350556145E-5</c:v>
                </c:pt>
                <c:pt idx="231">
                  <c:v>4.9964451932373744E-5</c:v>
                </c:pt>
                <c:pt idx="232">
                  <c:v>5.3622267638159447E-5</c:v>
                </c:pt>
                <c:pt idx="233">
                  <c:v>5.7736611826744681E-5</c:v>
                </c:pt>
                <c:pt idx="234">
                  <c:v>6.2342472041270134E-5</c:v>
                </c:pt>
                <c:pt idx="235">
                  <c:v>6.7447483698215846E-5</c:v>
                </c:pt>
                <c:pt idx="236">
                  <c:v>7.3059483694910927E-5</c:v>
                </c:pt>
                <c:pt idx="237">
                  <c:v>7.9186511902142132E-5</c:v>
                </c:pt>
                <c:pt idx="238">
                  <c:v>8.5836900881030646E-5</c:v>
                </c:pt>
                <c:pt idx="239">
                  <c:v>9.2428831894522727E-5</c:v>
                </c:pt>
                <c:pt idx="240">
                  <c:v>9.8744200346491013E-5</c:v>
                </c:pt>
                <c:pt idx="241">
                  <c:v>1.0477869820839622E-4</c:v>
                </c:pt>
                <c:pt idx="242">
                  <c:v>1.1052826276093093E-4</c:v>
                </c:pt>
                <c:pt idx="243">
                  <c:v>1.1598904483726098E-4</c:v>
                </c:pt>
                <c:pt idx="244">
                  <c:v>1.211573759348688E-4</c:v>
                </c:pt>
                <c:pt idx="245">
                  <c:v>1.2602973417071044E-4</c:v>
                </c:pt>
                <c:pt idx="246">
                  <c:v>1.3059737938702978E-4</c:v>
                </c:pt>
                <c:pt idx="247">
                  <c:v>1.3422824477446024E-4</c:v>
                </c:pt>
                <c:pt idx="248">
                  <c:v>1.3664942904978734E-4</c:v>
                </c:pt>
                <c:pt idx="249">
                  <c:v>1.3784146425081876E-4</c:v>
                </c:pt>
                <c:pt idx="250">
                  <c:v>1.3778448192917323E-4</c:v>
                </c:pt>
                <c:pt idx="251">
                  <c:v>1.3645811886492124E-4</c:v>
                </c:pt>
                <c:pt idx="252">
                  <c:v>1.3384141825483088E-4</c:v>
                </c:pt>
                <c:pt idx="253">
                  <c:v>1.3018097228931626E-4</c:v>
                </c:pt>
                <c:pt idx="254">
                  <c:v>1.2610353940232583E-4</c:v>
                </c:pt>
                <c:pt idx="255">
                  <c:v>1.2160273900424112E-4</c:v>
                </c:pt>
                <c:pt idx="256">
                  <c:v>1.1667177326920848E-4</c:v>
                </c:pt>
                <c:pt idx="257">
                  <c:v>1.1130338862810356E-4</c:v>
                </c:pt>
                <c:pt idx="258">
                  <c:v>1.0548983435193408E-4</c:v>
                </c:pt>
                <c:pt idx="259">
                  <c:v>9.9222817799309018E-5</c:v>
                </c:pt>
                <c:pt idx="260">
                  <c:v>9.2495601689361327E-5</c:v>
                </c:pt>
                <c:pt idx="261">
                  <c:v>8.6293291367339729E-5</c:v>
                </c:pt>
                <c:pt idx="262">
                  <c:v>8.1302069296179121E-5</c:v>
                </c:pt>
                <c:pt idx="263">
                  <c:v>7.7543612658241494E-5</c:v>
                </c:pt>
                <c:pt idx="264">
                  <c:v>7.5041096798314266E-5</c:v>
                </c:pt>
                <c:pt idx="265">
                  <c:v>7.3819342944108257E-5</c:v>
                </c:pt>
                <c:pt idx="266">
                  <c:v>7.3904131317037501E-5</c:v>
                </c:pt>
                <c:pt idx="267">
                  <c:v>7.5979403355838014E-5</c:v>
                </c:pt>
                <c:pt idx="268">
                  <c:v>7.9789614510872002E-5</c:v>
                </c:pt>
                <c:pt idx="269">
                  <c:v>8.537023472624997E-5</c:v>
                </c:pt>
                <c:pt idx="270">
                  <c:v>9.2756915278620572E-5</c:v>
                </c:pt>
                <c:pt idx="271">
                  <c:v>1.0198507509413782E-4</c:v>
                </c:pt>
                <c:pt idx="272">
                  <c:v>1.1308945180649684E-4</c:v>
                </c:pt>
                <c:pt idx="273">
                  <c:v>1.2610361641797476E-4</c:v>
                </c:pt>
                <c:pt idx="274">
                  <c:v>1.4107028700483803E-4</c:v>
                </c:pt>
                <c:pt idx="275">
                  <c:v>1.5735341660869684E-4</c:v>
                </c:pt>
                <c:pt idx="276">
                  <c:v>1.7387348845364586E-4</c:v>
                </c:pt>
                <c:pt idx="277">
                  <c:v>1.9063197448305122E-4</c:v>
                </c:pt>
                <c:pt idx="278">
                  <c:v>2.0762963725596184E-4</c:v>
                </c:pt>
                <c:pt idx="279">
                  <c:v>2.248664947366696E-4</c:v>
                </c:pt>
                <c:pt idx="280">
                  <c:v>2.4234178466848115E-4</c:v>
                </c:pt>
                <c:pt idx="281">
                  <c:v>2.5959976210019703E-4</c:v>
                </c:pt>
                <c:pt idx="282">
                  <c:v>2.7589808275669777E-4</c:v>
                </c:pt>
                <c:pt idx="283">
                  <c:v>2.9120903735513099E-4</c:v>
                </c:pt>
                <c:pt idx="284">
                  <c:v>3.0550418879557451E-4</c:v>
                </c:pt>
                <c:pt idx="285">
                  <c:v>3.1875449267608204E-4</c:v>
                </c:pt>
                <c:pt idx="286">
                  <c:v>3.3093042561964224E-4</c:v>
                </c:pt>
                <c:pt idx="287">
                  <c:v>3.4200212146504592E-4</c:v>
                </c:pt>
                <c:pt idx="288">
                  <c:v>3.519576031951894E-4</c:v>
                </c:pt>
                <c:pt idx="289">
                  <c:v>3.7313770869689864E-4</c:v>
                </c:pt>
                <c:pt idx="290">
                  <c:v>4.0650997987487806E-4</c:v>
                </c:pt>
                <c:pt idx="291">
                  <c:v>4.523004143076516E-4</c:v>
                </c:pt>
                <c:pt idx="292">
                  <c:v>5.1073466500473335E-4</c:v>
                </c:pt>
                <c:pt idx="293">
                  <c:v>5.8203738278057697E-4</c:v>
                </c:pt>
                <c:pt idx="294">
                  <c:v>6.6643155786881786E-4</c:v>
                </c:pt>
                <c:pt idx="295">
                  <c:v>7.8711953069858195E-4</c:v>
                </c:pt>
                <c:pt idx="296">
                  <c:v>9.452478896325667E-4</c:v>
                </c:pt>
                <c:pt idx="297">
                  <c:v>1.1414693794499805E-3</c:v>
                </c:pt>
                <c:pt idx="298">
                  <c:v>1.37642703598357E-3</c:v>
                </c:pt>
                <c:pt idx="299">
                  <c:v>1.6507569169764988E-3</c:v>
                </c:pt>
                <c:pt idx="300">
                  <c:v>1.9650861394968494E-3</c:v>
                </c:pt>
                <c:pt idx="301">
                  <c:v>2.3200308108700766E-3</c:v>
                </c:pt>
                <c:pt idx="302">
                  <c:v>2.7163775931327806E-3</c:v>
                </c:pt>
                <c:pt idx="303">
                  <c:v>3.1472991789202598E-3</c:v>
                </c:pt>
                <c:pt idx="304">
                  <c:v>3.5998915077051041E-3</c:v>
                </c:pt>
                <c:pt idx="305">
                  <c:v>4.0745373993681085E-3</c:v>
                </c:pt>
                <c:pt idx="306">
                  <c:v>4.5716137934699542E-3</c:v>
                </c:pt>
                <c:pt idx="307">
                  <c:v>5.0914885726594207E-3</c:v>
                </c:pt>
                <c:pt idx="308">
                  <c:v>5.6345168796070148E-3</c:v>
                </c:pt>
                <c:pt idx="309">
                  <c:v>6.1676651613737392E-3</c:v>
                </c:pt>
                <c:pt idx="310">
                  <c:v>6.6655032618601149E-3</c:v>
                </c:pt>
                <c:pt idx="311">
                  <c:v>7.1272437597020739E-3</c:v>
                </c:pt>
                <c:pt idx="312">
                  <c:v>7.5520623277369981E-3</c:v>
                </c:pt>
                <c:pt idx="313">
                  <c:v>7.9390994086025631E-3</c:v>
                </c:pt>
                <c:pt idx="314">
                  <c:v>8.2874625071597662E-3</c:v>
                </c:pt>
                <c:pt idx="315">
                  <c:v>8.5962292232129242E-3</c:v>
                </c:pt>
                <c:pt idx="316">
                  <c:v>8.8649419961560599E-3</c:v>
                </c:pt>
                <c:pt idx="317">
                  <c:v>9.0839500615290929E-3</c:v>
                </c:pt>
                <c:pt idx="318">
                  <c:v>9.2608653765029157E-3</c:v>
                </c:pt>
                <c:pt idx="319">
                  <c:v>9.394990728634145E-3</c:v>
                </c:pt>
                <c:pt idx="320">
                  <c:v>9.4856099177875602E-3</c:v>
                </c:pt>
                <c:pt idx="321">
                  <c:v>9.5319837775456242E-3</c:v>
                </c:pt>
                <c:pt idx="322">
                  <c:v>9.5333463841713699E-3</c:v>
                </c:pt>
                <c:pt idx="323">
                  <c:v>9.4946363316106702E-3</c:v>
                </c:pt>
                <c:pt idx="324">
                  <c:v>9.4516565271666585E-3</c:v>
                </c:pt>
                <c:pt idx="325">
                  <c:v>9.4043436513107162E-3</c:v>
                </c:pt>
                <c:pt idx="326">
                  <c:v>9.3525749108773846E-3</c:v>
                </c:pt>
                <c:pt idx="327">
                  <c:v>9.2962499333602185E-3</c:v>
                </c:pt>
                <c:pt idx="328">
                  <c:v>9.2352972359706006E-3</c:v>
                </c:pt>
                <c:pt idx="329">
                  <c:v>9.1696332833067322E-3</c:v>
                </c:pt>
                <c:pt idx="330">
                  <c:v>9.1002010746321395E-3</c:v>
                </c:pt>
                <c:pt idx="331">
                  <c:v>9.03118444059961E-3</c:v>
                </c:pt>
                <c:pt idx="332">
                  <c:v>8.9723968357572018E-3</c:v>
                </c:pt>
                <c:pt idx="333">
                  <c:v>8.9235383067697745E-3</c:v>
                </c:pt>
                <c:pt idx="334">
                  <c:v>8.8843007640368975E-3</c:v>
                </c:pt>
                <c:pt idx="335">
                  <c:v>8.8543633989555479E-3</c:v>
                </c:pt>
                <c:pt idx="336">
                  <c:v>8.8333880657971101E-3</c:v>
                </c:pt>
                <c:pt idx="337">
                  <c:v>8.827615094686464E-3</c:v>
                </c:pt>
                <c:pt idx="338">
                  <c:v>8.8304397153606794E-3</c:v>
                </c:pt>
                <c:pt idx="339">
                  <c:v>8.8414475839125543E-3</c:v>
                </c:pt>
                <c:pt idx="340">
                  <c:v>8.8601869526413572E-3</c:v>
                </c:pt>
                <c:pt idx="341">
                  <c:v>8.8861646608389966E-3</c:v>
                </c:pt>
                <c:pt idx="342">
                  <c:v>8.9188427365674127E-3</c:v>
                </c:pt>
                <c:pt idx="343">
                  <c:v>8.9576357965826508E-3</c:v>
                </c:pt>
                <c:pt idx="344">
                  <c:v>9.0045265788826108E-3</c:v>
                </c:pt>
                <c:pt idx="345">
                  <c:v>9.061570918543654E-3</c:v>
                </c:pt>
                <c:pt idx="346">
                  <c:v>9.120781849499859E-3</c:v>
                </c:pt>
                <c:pt idx="347">
                  <c:v>9.1814642100949903E-3</c:v>
                </c:pt>
                <c:pt idx="348">
                  <c:v>9.2428851758483005E-3</c:v>
                </c:pt>
                <c:pt idx="349">
                  <c:v>9.3042763008416938E-3</c:v>
                </c:pt>
                <c:pt idx="350">
                  <c:v>9.3648368949280237E-3</c:v>
                </c:pt>
                <c:pt idx="351">
                  <c:v>9.4201584538070576E-3</c:v>
                </c:pt>
                <c:pt idx="352">
                  <c:v>9.4622454263732451E-3</c:v>
                </c:pt>
                <c:pt idx="353">
                  <c:v>9.4901973923691846E-3</c:v>
                </c:pt>
                <c:pt idx="354">
                  <c:v>9.5031643397227965E-3</c:v>
                </c:pt>
                <c:pt idx="355">
                  <c:v>9.5003657771906818E-3</c:v>
                </c:pt>
                <c:pt idx="356">
                  <c:v>9.4810705250907186E-3</c:v>
                </c:pt>
                <c:pt idx="357">
                  <c:v>9.4447245148797827E-3</c:v>
                </c:pt>
                <c:pt idx="358">
                  <c:v>9.390252842384119E-3</c:v>
                </c:pt>
                <c:pt idx="359">
                  <c:v>9.3177690706674043E-3</c:v>
                </c:pt>
                <c:pt idx="360">
                  <c:v>9.2356070985245061E-3</c:v>
                </c:pt>
                <c:pt idx="361">
                  <c:v>9.1485196498303379E-3</c:v>
                </c:pt>
                <c:pt idx="362">
                  <c:v>9.057668778783428E-3</c:v>
                </c:pt>
                <c:pt idx="363">
                  <c:v>8.9641793653529814E-3</c:v>
                </c:pt>
                <c:pt idx="364">
                  <c:v>8.8691268506027234E-3</c:v>
                </c:pt>
                <c:pt idx="365">
                  <c:v>8.773528182965987E-3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820960"/>
        <c:axId val="385820568"/>
      </c:lineChart>
      <c:dateAx>
        <c:axId val="385820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0568"/>
        <c:crosses val="autoZero"/>
        <c:auto val="1"/>
        <c:lblOffset val="100"/>
        <c:baseTimeUnit val="days"/>
        <c:majorUnit val="1"/>
        <c:majorTimeUnit val="months"/>
      </c:dateAx>
      <c:valAx>
        <c:axId val="3858205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20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17.327549273066261</c:v>
                </c:pt>
                <c:pt idx="1">
                  <c:v>17.500673538843976</c:v>
                </c:pt>
                <c:pt idx="2">
                  <c:v>17.682222468087875</c:v>
                </c:pt>
                <c:pt idx="3">
                  <c:v>17.870572566264574</c:v>
                </c:pt>
                <c:pt idx="4">
                  <c:v>18.064100744504263</c:v>
                </c:pt>
                <c:pt idx="5">
                  <c:v>18.261184327877647</c:v>
                </c:pt>
                <c:pt idx="6">
                  <c:v>18.460201056896778</c:v>
                </c:pt>
                <c:pt idx="7">
                  <c:v>18.659529100331859</c:v>
                </c:pt>
                <c:pt idx="8">
                  <c:v>18.86164864699365</c:v>
                </c:pt>
                <c:pt idx="9">
                  <c:v>19.070093840117412</c:v>
                </c:pt>
                <c:pt idx="10">
                  <c:v>19.28505418624642</c:v>
                </c:pt>
                <c:pt idx="11">
                  <c:v>19.506631348678635</c:v>
                </c:pt>
                <c:pt idx="12">
                  <c:v>19.73492694230379</c:v>
                </c:pt>
                <c:pt idx="13">
                  <c:v>19.970042542860856</c:v>
                </c:pt>
                <c:pt idx="14">
                  <c:v>20.212079682696057</c:v>
                </c:pt>
                <c:pt idx="15">
                  <c:v>20.461307384446538</c:v>
                </c:pt>
                <c:pt idx="16">
                  <c:v>20.717870774625549</c:v>
                </c:pt>
                <c:pt idx="17">
                  <c:v>20.981871280355083</c:v>
                </c:pt>
                <c:pt idx="18">
                  <c:v>21.253410295401611</c:v>
                </c:pt>
                <c:pt idx="19">
                  <c:v>21.532588618769211</c:v>
                </c:pt>
                <c:pt idx="20">
                  <c:v>21.819506726315417</c:v>
                </c:pt>
                <c:pt idx="21">
                  <c:v>22.114265490850901</c:v>
                </c:pt>
                <c:pt idx="22">
                  <c:v>22.418779111353867</c:v>
                </c:pt>
                <c:pt idx="23">
                  <c:v>22.734784357707607</c:v>
                </c:pt>
                <c:pt idx="24">
                  <c:v>23.061418091943953</c:v>
                </c:pt>
                <c:pt idx="25">
                  <c:v>23.39772262131482</c:v>
                </c:pt>
                <c:pt idx="26">
                  <c:v>23.74274056848822</c:v>
                </c:pt>
                <c:pt idx="27">
                  <c:v>24.095514896334016</c:v>
                </c:pt>
                <c:pt idx="28">
                  <c:v>24.455088912117709</c:v>
                </c:pt>
                <c:pt idx="29">
                  <c:v>24.82054701501454</c:v>
                </c:pt>
                <c:pt idx="30">
                  <c:v>25.190765778491926</c:v>
                </c:pt>
                <c:pt idx="31">
                  <c:v>25.564789570306939</c:v>
                </c:pt>
                <c:pt idx="32">
                  <c:v>25.941663109463182</c:v>
                </c:pt>
                <c:pt idx="33">
                  <c:v>26.320431470576185</c:v>
                </c:pt>
                <c:pt idx="34">
                  <c:v>26.700140079893227</c:v>
                </c:pt>
                <c:pt idx="35">
                  <c:v>27.079834715972506</c:v>
                </c:pt>
                <c:pt idx="36">
                  <c:v>27.461637227319049</c:v>
                </c:pt>
                <c:pt idx="37">
                  <c:v>27.847710953798725</c:v>
                </c:pt>
                <c:pt idx="38">
                  <c:v>28.237208474020516</c:v>
                </c:pt>
                <c:pt idx="39">
                  <c:v>28.62981114622583</c:v>
                </c:pt>
                <c:pt idx="40">
                  <c:v>29.025200394136764</c:v>
                </c:pt>
                <c:pt idx="41">
                  <c:v>29.423057702253228</c:v>
                </c:pt>
                <c:pt idx="42">
                  <c:v>29.823064618235403</c:v>
                </c:pt>
                <c:pt idx="43">
                  <c:v>30.224741218336753</c:v>
                </c:pt>
                <c:pt idx="44">
                  <c:v>30.627728225826612</c:v>
                </c:pt>
                <c:pt idx="45">
                  <c:v>31.031707204028464</c:v>
                </c:pt>
                <c:pt idx="46">
                  <c:v>31.436359758455481</c:v>
                </c:pt>
                <c:pt idx="47">
                  <c:v>31.841367535617302</c:v>
                </c:pt>
                <c:pt idx="48">
                  <c:v>32.246412222683098</c:v>
                </c:pt>
                <c:pt idx="49">
                  <c:v>32.651175549753958</c:v>
                </c:pt>
                <c:pt idx="50">
                  <c:v>33.055674804369133</c:v>
                </c:pt>
                <c:pt idx="51">
                  <c:v>33.460287090831862</c:v>
                </c:pt>
                <c:pt idx="52">
                  <c:v>33.865607378525823</c:v>
                </c:pt>
                <c:pt idx="53">
                  <c:v>34.271847323316685</c:v>
                </c:pt>
                <c:pt idx="54">
                  <c:v>34.679218463889271</c:v>
                </c:pt>
                <c:pt idx="55">
                  <c:v>35.087932260697556</c:v>
                </c:pt>
                <c:pt idx="56">
                  <c:v>35.498200093311411</c:v>
                </c:pt>
                <c:pt idx="57">
                  <c:v>35.910243051915401</c:v>
                </c:pt>
                <c:pt idx="58">
                  <c:v>36.324435121774862</c:v>
                </c:pt>
                <c:pt idx="59">
                  <c:v>36.740987655028555</c:v>
                </c:pt>
                <c:pt idx="60">
                  <c:v>37.160111926933041</c:v>
                </c:pt>
                <c:pt idx="61">
                  <c:v>37.582019136463401</c:v>
                </c:pt>
                <c:pt idx="62">
                  <c:v>38.006920409417795</c:v>
                </c:pt>
                <c:pt idx="63">
                  <c:v>38.435026790186157</c:v>
                </c:pt>
                <c:pt idx="64">
                  <c:v>38.867166703781763</c:v>
                </c:pt>
                <c:pt idx="65">
                  <c:v>39.303663563419001</c:v>
                </c:pt>
                <c:pt idx="66">
                  <c:v>39.743980391684069</c:v>
                </c:pt>
                <c:pt idx="67">
                  <c:v>40.187587094838726</c:v>
                </c:pt>
                <c:pt idx="68">
                  <c:v>40.63395370525361</c:v>
                </c:pt>
                <c:pt idx="69">
                  <c:v>41.082550383115844</c:v>
                </c:pt>
                <c:pt idx="70">
                  <c:v>41.532847413115221</c:v>
                </c:pt>
                <c:pt idx="71">
                  <c:v>41.984296859155904</c:v>
                </c:pt>
                <c:pt idx="72">
                  <c:v>42.436358865466396</c:v>
                </c:pt>
                <c:pt idx="73">
                  <c:v>42.888504004890699</c:v>
                </c:pt>
                <c:pt idx="74">
                  <c:v>43.340202963980602</c:v>
                </c:pt>
                <c:pt idx="75">
                  <c:v>43.790926542945527</c:v>
                </c:pt>
                <c:pt idx="76">
                  <c:v>44.240145654672943</c:v>
                </c:pt>
                <c:pt idx="77">
                  <c:v>44.687331323370955</c:v>
                </c:pt>
                <c:pt idx="78">
                  <c:v>45.1362550053951</c:v>
                </c:pt>
                <c:pt idx="79">
                  <c:v>45.590121282086578</c:v>
                </c:pt>
                <c:pt idx="80">
                  <c:v>46.047564941595049</c:v>
                </c:pt>
                <c:pt idx="81">
                  <c:v>46.507210161339536</c:v>
                </c:pt>
                <c:pt idx="82">
                  <c:v>46.967681466745042</c:v>
                </c:pt>
                <c:pt idx="83">
                  <c:v>47.427603729650336</c:v>
                </c:pt>
                <c:pt idx="84">
                  <c:v>47.885602172151579</c:v>
                </c:pt>
                <c:pt idx="85">
                  <c:v>48.340316246365866</c:v>
                </c:pt>
                <c:pt idx="86">
                  <c:v>48.790390710591687</c:v>
                </c:pt>
                <c:pt idx="87">
                  <c:v>49.234452066136399</c:v>
                </c:pt>
                <c:pt idx="88">
                  <c:v>49.671127197640722</c:v>
                </c:pt>
                <c:pt idx="89">
                  <c:v>50.099043377180386</c:v>
                </c:pt>
                <c:pt idx="90">
                  <c:v>50.516828268635003</c:v>
                </c:pt>
                <c:pt idx="91">
                  <c:v>50.923109933741664</c:v>
                </c:pt>
                <c:pt idx="92">
                  <c:v>51.320636809317243</c:v>
                </c:pt>
                <c:pt idx="93">
                  <c:v>51.712866535351353</c:v>
                </c:pt>
                <c:pt idx="94">
                  <c:v>52.099484902709762</c:v>
                </c:pt>
                <c:pt idx="95">
                  <c:v>52.480175825113427</c:v>
                </c:pt>
                <c:pt idx="96">
                  <c:v>52.854623329633291</c:v>
                </c:pt>
                <c:pt idx="97">
                  <c:v>53.222511575939393</c:v>
                </c:pt>
                <c:pt idx="98">
                  <c:v>53.583524853394671</c:v>
                </c:pt>
                <c:pt idx="99">
                  <c:v>53.937341406832168</c:v>
                </c:pt>
                <c:pt idx="100">
                  <c:v>54.283631194671202</c:v>
                </c:pt>
                <c:pt idx="101">
                  <c:v>54.622078644644311</c:v>
                </c:pt>
                <c:pt idx="102">
                  <c:v>54.952368308920867</c:v>
                </c:pt>
                <c:pt idx="103">
                  <c:v>55.27418486855106</c:v>
                </c:pt>
                <c:pt idx="104">
                  <c:v>55.587213123619279</c:v>
                </c:pt>
                <c:pt idx="105">
                  <c:v>55.891138016630613</c:v>
                </c:pt>
                <c:pt idx="106">
                  <c:v>56.185978802233976</c:v>
                </c:pt>
                <c:pt idx="107">
                  <c:v>56.472105239990277</c:v>
                </c:pt>
                <c:pt idx="108">
                  <c:v>56.749723171128117</c:v>
                </c:pt>
                <c:pt idx="109">
                  <c:v>57.019044896272213</c:v>
                </c:pt>
                <c:pt idx="110">
                  <c:v>57.280282674857368</c:v>
                </c:pt>
                <c:pt idx="111">
                  <c:v>57.5336487283911</c:v>
                </c:pt>
                <c:pt idx="112">
                  <c:v>57.779355232510248</c:v>
                </c:pt>
                <c:pt idx="113">
                  <c:v>58.017615027282645</c:v>
                </c:pt>
                <c:pt idx="114">
                  <c:v>58.248646924453013</c:v>
                </c:pt>
                <c:pt idx="115">
                  <c:v>58.472663142976202</c:v>
                </c:pt>
                <c:pt idx="116">
                  <c:v>58.689875880393018</c:v>
                </c:pt>
                <c:pt idx="117">
                  <c:v>58.900497298144451</c:v>
                </c:pt>
                <c:pt idx="118">
                  <c:v>59.104739545539786</c:v>
                </c:pt>
                <c:pt idx="119">
                  <c:v>59.302814742160571</c:v>
                </c:pt>
                <c:pt idx="120">
                  <c:v>59.493494294588118</c:v>
                </c:pt>
                <c:pt idx="121">
                  <c:v>59.675688551128516</c:v>
                </c:pt>
                <c:pt idx="122">
                  <c:v>59.849822918406154</c:v>
                </c:pt>
                <c:pt idx="123">
                  <c:v>60.016320957759653</c:v>
                </c:pt>
                <c:pt idx="124">
                  <c:v>60.175606154301072</c:v>
                </c:pt>
                <c:pt idx="125">
                  <c:v>60.328101922723455</c:v>
                </c:pt>
                <c:pt idx="126">
                  <c:v>60.474231603664087</c:v>
                </c:pt>
                <c:pt idx="127">
                  <c:v>60.614416867628975</c:v>
                </c:pt>
                <c:pt idx="128">
                  <c:v>60.749080062129721</c:v>
                </c:pt>
                <c:pt idx="129">
                  <c:v>60.878644236145398</c:v>
                </c:pt>
                <c:pt idx="130">
                  <c:v>61.003532356102362</c:v>
                </c:pt>
                <c:pt idx="131">
                  <c:v>61.12416731533559</c:v>
                </c:pt>
                <c:pt idx="132">
                  <c:v>61.240971924171596</c:v>
                </c:pt>
                <c:pt idx="133">
                  <c:v>61.354368915121043</c:v>
                </c:pt>
                <c:pt idx="134">
                  <c:v>61.463271707908341</c:v>
                </c:pt>
                <c:pt idx="135">
                  <c:v>61.566453972717675</c:v>
                </c:pt>
                <c:pt idx="136">
                  <c:v>61.664130812729439</c:v>
                </c:pt>
                <c:pt idx="137">
                  <c:v>61.756515036088253</c:v>
                </c:pt>
                <c:pt idx="138">
                  <c:v>61.843819442675844</c:v>
                </c:pt>
                <c:pt idx="139">
                  <c:v>61.926256811825674</c:v>
                </c:pt>
                <c:pt idx="140">
                  <c:v>62.004039910198046</c:v>
                </c:pt>
                <c:pt idx="141">
                  <c:v>62.077381787922945</c:v>
                </c:pt>
                <c:pt idx="142">
                  <c:v>62.146497073754659</c:v>
                </c:pt>
                <c:pt idx="143">
                  <c:v>62.211598543245209</c:v>
                </c:pt>
                <c:pt idx="144">
                  <c:v>62.272898940062994</c:v>
                </c:pt>
                <c:pt idx="145">
                  <c:v>62.330610973526653</c:v>
                </c:pt>
                <c:pt idx="146">
                  <c:v>62.384947310342184</c:v>
                </c:pt>
                <c:pt idx="147">
                  <c:v>62.436120578223878</c:v>
                </c:pt>
                <c:pt idx="148">
                  <c:v>62.483361765665578</c:v>
                </c:pt>
                <c:pt idx="149">
                  <c:v>62.525901584662279</c:v>
                </c:pt>
                <c:pt idx="150">
                  <c:v>62.563952687867577</c:v>
                </c:pt>
                <c:pt idx="151">
                  <c:v>62.597727926677656</c:v>
                </c:pt>
                <c:pt idx="152">
                  <c:v>62.627440078611123</c:v>
                </c:pt>
                <c:pt idx="153">
                  <c:v>62.653301842679319</c:v>
                </c:pt>
                <c:pt idx="154">
                  <c:v>62.675525831736685</c:v>
                </c:pt>
                <c:pt idx="155">
                  <c:v>62.694324210173733</c:v>
                </c:pt>
                <c:pt idx="156">
                  <c:v>62.709909033383809</c:v>
                </c:pt>
                <c:pt idx="157">
                  <c:v>62.722492597424427</c:v>
                </c:pt>
                <c:pt idx="158">
                  <c:v>62.732287091711214</c:v>
                </c:pt>
                <c:pt idx="159">
                  <c:v>62.739504589645371</c:v>
                </c:pt>
                <c:pt idx="160">
                  <c:v>62.744357047309684</c:v>
                </c:pt>
                <c:pt idx="161">
                  <c:v>62.747056297183882</c:v>
                </c:pt>
                <c:pt idx="162">
                  <c:v>62.748426817299581</c:v>
                </c:pt>
                <c:pt idx="163">
                  <c:v>62.748802388781868</c:v>
                </c:pt>
                <c:pt idx="164">
                  <c:v>62.747659724999252</c:v>
                </c:pt>
                <c:pt idx="165">
                  <c:v>62.744474997342934</c:v>
                </c:pt>
                <c:pt idx="166">
                  <c:v>62.738724476695829</c:v>
                </c:pt>
                <c:pt idx="167">
                  <c:v>62.729884522638912</c:v>
                </c:pt>
                <c:pt idx="168">
                  <c:v>62.7174315815829</c:v>
                </c:pt>
                <c:pt idx="169">
                  <c:v>62.700841988159674</c:v>
                </c:pt>
                <c:pt idx="170">
                  <c:v>62.679592746814869</c:v>
                </c:pt>
                <c:pt idx="171">
                  <c:v>62.65316054134253</c:v>
                </c:pt>
                <c:pt idx="172">
                  <c:v>62.621022126137618</c:v>
                </c:pt>
                <c:pt idx="173">
                  <c:v>62.582654319868105</c:v>
                </c:pt>
                <c:pt idx="174">
                  <c:v>62.537534008231177</c:v>
                </c:pt>
                <c:pt idx="175">
                  <c:v>62.485138138805105</c:v>
                </c:pt>
                <c:pt idx="176">
                  <c:v>62.425573297374321</c:v>
                </c:pt>
                <c:pt idx="177">
                  <c:v>62.3595051017844</c:v>
                </c:pt>
                <c:pt idx="178">
                  <c:v>62.287249783339647</c:v>
                </c:pt>
                <c:pt idx="179">
                  <c:v>62.209123183613727</c:v>
                </c:pt>
                <c:pt idx="180">
                  <c:v>62.125440964976889</c:v>
                </c:pt>
                <c:pt idx="181">
                  <c:v>62.036518608116197</c:v>
                </c:pt>
                <c:pt idx="182">
                  <c:v>61.942671430141353</c:v>
                </c:pt>
                <c:pt idx="183">
                  <c:v>61.844213788609395</c:v>
                </c:pt>
                <c:pt idx="184">
                  <c:v>61.741460876638818</c:v>
                </c:pt>
                <c:pt idx="185">
                  <c:v>61.634727520830502</c:v>
                </c:pt>
                <c:pt idx="186">
                  <c:v>61.524328405565974</c:v>
                </c:pt>
                <c:pt idx="187">
                  <c:v>61.41057807520572</c:v>
                </c:pt>
                <c:pt idx="188">
                  <c:v>61.293790947150086</c:v>
                </c:pt>
                <c:pt idx="189">
                  <c:v>61.174281308888602</c:v>
                </c:pt>
                <c:pt idx="190">
                  <c:v>61.052031398582976</c:v>
                </c:pt>
                <c:pt idx="191">
                  <c:v>60.926674503929327</c:v>
                </c:pt>
                <c:pt idx="192">
                  <c:v>60.798001221758696</c:v>
                </c:pt>
                <c:pt idx="193">
                  <c:v>60.665801735606358</c:v>
                </c:pt>
                <c:pt idx="194">
                  <c:v>60.52986628408182</c:v>
                </c:pt>
                <c:pt idx="195">
                  <c:v>60.389985157175417</c:v>
                </c:pt>
                <c:pt idx="196">
                  <c:v>60.245948708510049</c:v>
                </c:pt>
                <c:pt idx="197">
                  <c:v>60.097547894498618</c:v>
                </c:pt>
                <c:pt idx="198">
                  <c:v>59.944574061265776</c:v>
                </c:pt>
                <c:pt idx="199">
                  <c:v>59.786817783685208</c:v>
                </c:pt>
                <c:pt idx="200">
                  <c:v>59.624069708176123</c:v>
                </c:pt>
                <c:pt idx="201">
                  <c:v>59.456120563407929</c:v>
                </c:pt>
                <c:pt idx="202">
                  <c:v>59.282761160932033</c:v>
                </c:pt>
                <c:pt idx="203">
                  <c:v>59.103782389654107</c:v>
                </c:pt>
                <c:pt idx="204">
                  <c:v>58.918364347171419</c:v>
                </c:pt>
                <c:pt idx="205">
                  <c:v>58.726173083623799</c:v>
                </c:pt>
                <c:pt idx="206">
                  <c:v>58.527732371404241</c:v>
                </c:pt>
                <c:pt idx="207">
                  <c:v>58.323566357579821</c:v>
                </c:pt>
                <c:pt idx="208">
                  <c:v>58.114199091892132</c:v>
                </c:pt>
                <c:pt idx="209">
                  <c:v>57.900154523374304</c:v>
                </c:pt>
                <c:pt idx="210">
                  <c:v>57.681956506553121</c:v>
                </c:pt>
                <c:pt idx="211">
                  <c:v>57.460125018490928</c:v>
                </c:pt>
                <c:pt idx="212">
                  <c:v>57.235183129145121</c:v>
                </c:pt>
                <c:pt idx="213">
                  <c:v>57.007654388655538</c:v>
                </c:pt>
                <c:pt idx="214">
                  <c:v>56.7780622547183</c:v>
                </c:pt>
                <c:pt idx="215">
                  <c:v>56.546930087187789</c:v>
                </c:pt>
                <c:pt idx="216">
                  <c:v>56.314781150294664</c:v>
                </c:pt>
                <c:pt idx="217">
                  <c:v>56.082138612168869</c:v>
                </c:pt>
                <c:pt idx="218">
                  <c:v>55.847537627317216</c:v>
                </c:pt>
                <c:pt idx="219">
                  <c:v>55.609375705951585</c:v>
                </c:pt>
                <c:pt idx="220">
                  <c:v>55.367970321317259</c:v>
                </c:pt>
                <c:pt idx="221">
                  <c:v>55.123635861785885</c:v>
                </c:pt>
                <c:pt idx="222">
                  <c:v>54.876686661829176</c:v>
                </c:pt>
                <c:pt idx="223">
                  <c:v>54.627436996831314</c:v>
                </c:pt>
                <c:pt idx="224">
                  <c:v>54.376201082176578</c:v>
                </c:pt>
                <c:pt idx="225">
                  <c:v>54.123282352525699</c:v>
                </c:pt>
                <c:pt idx="226">
                  <c:v>53.868998659888277</c:v>
                </c:pt>
                <c:pt idx="227">
                  <c:v>53.613663975757611</c:v>
                </c:pt>
                <c:pt idx="228">
                  <c:v>53.357592212342425</c:v>
                </c:pt>
                <c:pt idx="229">
                  <c:v>53.101097217309984</c:v>
                </c:pt>
                <c:pt idx="230">
                  <c:v>52.844492774785074</c:v>
                </c:pt>
                <c:pt idx="231">
                  <c:v>52.588092605127237</c:v>
                </c:pt>
                <c:pt idx="232">
                  <c:v>52.332558806690585</c:v>
                </c:pt>
                <c:pt idx="233">
                  <c:v>52.07798338850646</c:v>
                </c:pt>
                <c:pt idx="234">
                  <c:v>51.823842234445387</c:v>
                </c:pt>
                <c:pt idx="235">
                  <c:v>51.569612820911587</c:v>
                </c:pt>
                <c:pt idx="236">
                  <c:v>51.314772765971753</c:v>
                </c:pt>
                <c:pt idx="237">
                  <c:v>51.058799832382832</c:v>
                </c:pt>
                <c:pt idx="238">
                  <c:v>50.801171925069355</c:v>
                </c:pt>
                <c:pt idx="239">
                  <c:v>50.541396937616661</c:v>
                </c:pt>
                <c:pt idx="240">
                  <c:v>50.278964016705707</c:v>
                </c:pt>
                <c:pt idx="241">
                  <c:v>50.013351526703026</c:v>
                </c:pt>
                <c:pt idx="242">
                  <c:v>49.744037951855013</c:v>
                </c:pt>
                <c:pt idx="243">
                  <c:v>49.470501896836687</c:v>
                </c:pt>
                <c:pt idx="244">
                  <c:v>49.192222083367632</c:v>
                </c:pt>
                <c:pt idx="245">
                  <c:v>48.908677353822561</c:v>
                </c:pt>
                <c:pt idx="246">
                  <c:v>48.621331094083608</c:v>
                </c:pt>
                <c:pt idx="247">
                  <c:v>48.331815653848224</c:v>
                </c:pt>
                <c:pt idx="248">
                  <c:v>48.039830672388618</c:v>
                </c:pt>
                <c:pt idx="249">
                  <c:v>47.745063431553021</c:v>
                </c:pt>
                <c:pt idx="250">
                  <c:v>47.447201269557006</c:v>
                </c:pt>
                <c:pt idx="251">
                  <c:v>47.145931575790712</c:v>
                </c:pt>
                <c:pt idx="252">
                  <c:v>46.840941795363122</c:v>
                </c:pt>
                <c:pt idx="253">
                  <c:v>46.53190693268197</c:v>
                </c:pt>
                <c:pt idx="254">
                  <c:v>46.218484769859089</c:v>
                </c:pt>
                <c:pt idx="255">
                  <c:v>45.900362988218681</c:v>
                </c:pt>
                <c:pt idx="256">
                  <c:v>45.577229331369004</c:v>
                </c:pt>
                <c:pt idx="257">
                  <c:v>45.248771599914626</c:v>
                </c:pt>
                <c:pt idx="258">
                  <c:v>44.914677651034772</c:v>
                </c:pt>
                <c:pt idx="259">
                  <c:v>44.574635394383243</c:v>
                </c:pt>
                <c:pt idx="260">
                  <c:v>44.227306594948971</c:v>
                </c:pt>
                <c:pt idx="261">
                  <c:v>43.872074906785329</c:v>
                </c:pt>
                <c:pt idx="262">
                  <c:v>43.509747053914055</c:v>
                </c:pt>
                <c:pt idx="263">
                  <c:v>43.14115927519827</c:v>
                </c:pt>
                <c:pt idx="264">
                  <c:v>42.767147618041683</c:v>
                </c:pt>
                <c:pt idx="265">
                  <c:v>42.388547940389991</c:v>
                </c:pt>
                <c:pt idx="266">
                  <c:v>42.006195923144645</c:v>
                </c:pt>
                <c:pt idx="267">
                  <c:v>41.620899709891212</c:v>
                </c:pt>
                <c:pt idx="268">
                  <c:v>41.23350705325678</c:v>
                </c:pt>
                <c:pt idx="269">
                  <c:v>40.844853224249192</c:v>
                </c:pt>
                <c:pt idx="270">
                  <c:v>40.455773327788535</c:v>
                </c:pt>
                <c:pt idx="271">
                  <c:v>40.067102306397864</c:v>
                </c:pt>
                <c:pt idx="272">
                  <c:v>39.679674943086304</c:v>
                </c:pt>
                <c:pt idx="273">
                  <c:v>39.294325864831436</c:v>
                </c:pt>
                <c:pt idx="274">
                  <c:v>38.908900175130071</c:v>
                </c:pt>
                <c:pt idx="275">
                  <c:v>38.520991682328756</c:v>
                </c:pt>
                <c:pt idx="276">
                  <c:v>38.131060280067842</c:v>
                </c:pt>
                <c:pt idx="277">
                  <c:v>37.739523218982477</c:v>
                </c:pt>
                <c:pt idx="278">
                  <c:v>37.346797617801435</c:v>
                </c:pt>
                <c:pt idx="279">
                  <c:v>36.953300461813477</c:v>
                </c:pt>
                <c:pt idx="280">
                  <c:v>36.559448602647507</c:v>
                </c:pt>
                <c:pt idx="281">
                  <c:v>36.165675188630544</c:v>
                </c:pt>
                <c:pt idx="282">
                  <c:v>35.772422746769223</c:v>
                </c:pt>
                <c:pt idx="283">
                  <c:v>35.380107192558427</c:v>
                </c:pt>
                <c:pt idx="284">
                  <c:v>34.989144276636686</c:v>
                </c:pt>
                <c:pt idx="285">
                  <c:v>34.599949586945137</c:v>
                </c:pt>
                <c:pt idx="286">
                  <c:v>34.212938550589541</c:v>
                </c:pt>
                <c:pt idx="287">
                  <c:v>33.828526438604896</c:v>
                </c:pt>
                <c:pt idx="288">
                  <c:v>33.44540885288778</c:v>
                </c:pt>
                <c:pt idx="289">
                  <c:v>33.061803617476876</c:v>
                </c:pt>
                <c:pt idx="290">
                  <c:v>32.678003519310359</c:v>
                </c:pt>
                <c:pt idx="291">
                  <c:v>32.294326645511596</c:v>
                </c:pt>
                <c:pt idx="292">
                  <c:v>31.911091269394859</c:v>
                </c:pt>
                <c:pt idx="293">
                  <c:v>31.528615832274927</c:v>
                </c:pt>
                <c:pt idx="294">
                  <c:v>31.147218927561799</c:v>
                </c:pt>
                <c:pt idx="295">
                  <c:v>30.766511656784147</c:v>
                </c:pt>
                <c:pt idx="296">
                  <c:v>30.386810466697423</c:v>
                </c:pt>
                <c:pt idx="297">
                  <c:v>30.008447672909256</c:v>
                </c:pt>
                <c:pt idx="298">
                  <c:v>29.631756039327083</c:v>
                </c:pt>
                <c:pt idx="299">
                  <c:v>29.257068555139014</c:v>
                </c:pt>
                <c:pt idx="300">
                  <c:v>28.884718340866517</c:v>
                </c:pt>
                <c:pt idx="301">
                  <c:v>28.515038553975252</c:v>
                </c:pt>
                <c:pt idx="302">
                  <c:v>28.14645277422472</c:v>
                </c:pt>
                <c:pt idx="303">
                  <c:v>27.777738470433068</c:v>
                </c:pt>
                <c:pt idx="304">
                  <c:v>27.409804691070779</c:v>
                </c:pt>
                <c:pt idx="305">
                  <c:v>27.043180168686185</c:v>
                </c:pt>
                <c:pt idx="306">
                  <c:v>26.678393120158525</c:v>
                </c:pt>
                <c:pt idx="307">
                  <c:v>26.315971205105924</c:v>
                </c:pt>
                <c:pt idx="308">
                  <c:v>25.956441478094899</c:v>
                </c:pt>
                <c:pt idx="309">
                  <c:v>25.601190015991985</c:v>
                </c:pt>
                <c:pt idx="310">
                  <c:v>25.251363090993177</c:v>
                </c:pt>
                <c:pt idx="311">
                  <c:v>24.907453878315824</c:v>
                </c:pt>
                <c:pt idx="312">
                  <c:v>24.569955404865862</c:v>
                </c:pt>
                <c:pt idx="313">
                  <c:v>24.239360682153933</c:v>
                </c:pt>
                <c:pt idx="314">
                  <c:v>23.916162830944277</c:v>
                </c:pt>
                <c:pt idx="315">
                  <c:v>23.600855211460807</c:v>
                </c:pt>
                <c:pt idx="316">
                  <c:v>23.292630269766995</c:v>
                </c:pt>
                <c:pt idx="317">
                  <c:v>22.99055186504177</c:v>
                </c:pt>
                <c:pt idx="318">
                  <c:v>22.694396787269945</c:v>
                </c:pt>
                <c:pt idx="319">
                  <c:v>22.404140082740685</c:v>
                </c:pt>
                <c:pt idx="320">
                  <c:v>22.119757719972927</c:v>
                </c:pt>
                <c:pt idx="321">
                  <c:v>21.84122667513488</c:v>
                </c:pt>
                <c:pt idx="322">
                  <c:v>21.568525019784577</c:v>
                </c:pt>
                <c:pt idx="323">
                  <c:v>21.301508661558668</c:v>
                </c:pt>
                <c:pt idx="324">
                  <c:v>21.039384558143215</c:v>
                </c:pt>
                <c:pt idx="325">
                  <c:v>20.782150674664393</c:v>
                </c:pt>
                <c:pt idx="326">
                  <c:v>20.52980631491932</c:v>
                </c:pt>
                <c:pt idx="327">
                  <c:v>20.282350367811766</c:v>
                </c:pt>
                <c:pt idx="328">
                  <c:v>20.039781215362932</c:v>
                </c:pt>
                <c:pt idx="329">
                  <c:v>19.802097579649931</c:v>
                </c:pt>
                <c:pt idx="330">
                  <c:v>19.567044264442487</c:v>
                </c:pt>
                <c:pt idx="331">
                  <c:v>19.33299095506268</c:v>
                </c:pt>
                <c:pt idx="332">
                  <c:v>19.100780226877866</c:v>
                </c:pt>
                <c:pt idx="333">
                  <c:v>18.871456473653875</c:v>
                </c:pt>
                <c:pt idx="334">
                  <c:v>18.646063843684786</c:v>
                </c:pt>
                <c:pt idx="335">
                  <c:v>18.425646219213846</c:v>
                </c:pt>
                <c:pt idx="336">
                  <c:v>18.211247184200996</c:v>
                </c:pt>
                <c:pt idx="337">
                  <c:v>18.003790123614227</c:v>
                </c:pt>
                <c:pt idx="338">
                  <c:v>17.804433659047991</c:v>
                </c:pt>
                <c:pt idx="339">
                  <c:v>17.614220372047871</c:v>
                </c:pt>
                <c:pt idx="340">
                  <c:v>17.434192473126274</c:v>
                </c:pt>
                <c:pt idx="341">
                  <c:v>17.265391801829164</c:v>
                </c:pt>
                <c:pt idx="342">
                  <c:v>17.108859815501976</c:v>
                </c:pt>
                <c:pt idx="343">
                  <c:v>16.965637570581666</c:v>
                </c:pt>
                <c:pt idx="344">
                  <c:v>16.83182769822843</c:v>
                </c:pt>
                <c:pt idx="345">
                  <c:v>16.703559878233932</c:v>
                </c:pt>
                <c:pt idx="346">
                  <c:v>16.582039738109817</c:v>
                </c:pt>
                <c:pt idx="347">
                  <c:v>16.468347147700946</c:v>
                </c:pt>
                <c:pt idx="348">
                  <c:v>16.363561712038052</c:v>
                </c:pt>
                <c:pt idx="349">
                  <c:v>16.268762746586546</c:v>
                </c:pt>
                <c:pt idx="350">
                  <c:v>16.185029285302829</c:v>
                </c:pt>
                <c:pt idx="351">
                  <c:v>16.113498300933053</c:v>
                </c:pt>
                <c:pt idx="352">
                  <c:v>16.05536342498791</c:v>
                </c:pt>
                <c:pt idx="353">
                  <c:v>16.011702141559535</c:v>
                </c:pt>
                <c:pt idx="354">
                  <c:v>15.983591748543372</c:v>
                </c:pt>
                <c:pt idx="355">
                  <c:v>15.97210933742368</c:v>
                </c:pt>
                <c:pt idx="356">
                  <c:v>15.978332429826223</c:v>
                </c:pt>
                <c:pt idx="357">
                  <c:v>16.003337203756441</c:v>
                </c:pt>
                <c:pt idx="358">
                  <c:v>16.049203391484362</c:v>
                </c:pt>
                <c:pt idx="359">
                  <c:v>16.116234362808562</c:v>
                </c:pt>
                <c:pt idx="360">
                  <c:v>16.202728199016757</c:v>
                </c:pt>
                <c:pt idx="361">
                  <c:v>16.307040373145874</c:v>
                </c:pt>
                <c:pt idx="362">
                  <c:v>16.427584411595667</c:v>
                </c:pt>
                <c:pt idx="363">
                  <c:v>16.562774073823217</c:v>
                </c:pt>
                <c:pt idx="364">
                  <c:v>16.711023352658962</c:v>
                </c:pt>
                <c:pt idx="365">
                  <c:v>16.870746500787924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5.965942036121386</c:v>
                </c:pt>
                <c:pt idx="7">
                  <c:v>7.7928245221206422</c:v>
                </c:pt>
                <c:pt idx="8">
                  <c:v>2.3408005255166504</c:v>
                </c:pt>
                <c:pt idx="9">
                  <c:v>1.9356178091633516</c:v>
                </c:pt>
                <c:pt idx="10">
                  <c:v>19.423243056947229</c:v>
                </c:pt>
                <c:pt idx="11">
                  <c:v>17.435080873356121</c:v>
                </c:pt>
                <c:pt idx="12">
                  <c:v>5.9233859092547005</c:v>
                </c:pt>
                <c:pt idx="13">
                  <c:v>20.03877170173838</c:v>
                </c:pt>
                <c:pt idx="14">
                  <c:v>20.617522500698815</c:v>
                </c:pt>
                <c:pt idx="15">
                  <c:v>20.334494013660247</c:v>
                </c:pt>
                <c:pt idx="16">
                  <c:v>13.644645804195985</c:v>
                </c:pt>
                <c:pt idx="17">
                  <c:v>4.3286191846998028</c:v>
                </c:pt>
                <c:pt idx="18">
                  <c:v>10.944504711726704</c:v>
                </c:pt>
                <c:pt idx="19">
                  <c:v>6.3351262677141547</c:v>
                </c:pt>
                <c:pt idx="20">
                  <c:v>17.832870997973945</c:v>
                </c:pt>
                <c:pt idx="21">
                  <c:v>21.992017802372168</c:v>
                </c:pt>
                <c:pt idx="22">
                  <c:v>22.064485434101755</c:v>
                </c:pt>
                <c:pt idx="23">
                  <c:v>22.611808560966654</c:v>
                </c:pt>
                <c:pt idx="24">
                  <c:v>21.176390390163284</c:v>
                </c:pt>
                <c:pt idx="25">
                  <c:v>22.788380518719659</c:v>
                </c:pt>
                <c:pt idx="26">
                  <c:v>19.077283815197163</c:v>
                </c:pt>
                <c:pt idx="27">
                  <c:v>4.5501572179571159</c:v>
                </c:pt>
                <c:pt idx="28">
                  <c:v>6.8382337211953992</c:v>
                </c:pt>
                <c:pt idx="29">
                  <c:v>4.928462673575627</c:v>
                </c:pt>
                <c:pt idx="30">
                  <c:v>11.427560457888335</c:v>
                </c:pt>
                <c:pt idx="31">
                  <c:v>14.73230551046437</c:v>
                </c:pt>
                <c:pt idx="32">
                  <c:v>5.9416172966448348</c:v>
                </c:pt>
                <c:pt idx="33">
                  <c:v>13.730733551077501</c:v>
                </c:pt>
                <c:pt idx="34">
                  <c:v>12.530989831041147</c:v>
                </c:pt>
                <c:pt idx="35">
                  <c:v>9.8410316088371754</c:v>
                </c:pt>
                <c:pt idx="36">
                  <c:v>21.616118870408901</c:v>
                </c:pt>
                <c:pt idx="37">
                  <c:v>14.813449738326657</c:v>
                </c:pt>
                <c:pt idx="38">
                  <c:v>28.712309796952781</c:v>
                </c:pt>
                <c:pt idx="39">
                  <c:v>28.94083748476406</c:v>
                </c:pt>
                <c:pt idx="40">
                  <c:v>27.93369073022258</c:v>
                </c:pt>
                <c:pt idx="41">
                  <c:v>14.604138096323789</c:v>
                </c:pt>
                <c:pt idx="42">
                  <c:v>23.354936183316475</c:v>
                </c:pt>
                <c:pt idx="43">
                  <c:v>25.733278319180954</c:v>
                </c:pt>
                <c:pt idx="44">
                  <c:v>16.523231798609061</c:v>
                </c:pt>
                <c:pt idx="45">
                  <c:v>21.270718200634693</c:v>
                </c:pt>
                <c:pt idx="46">
                  <c:v>10.102505032081744</c:v>
                </c:pt>
                <c:pt idx="47">
                  <c:v>12.140663377620678</c:v>
                </c:pt>
                <c:pt idx="48">
                  <c:v>28.449900900863778</c:v>
                </c:pt>
                <c:pt idx="49">
                  <c:v>17.174107861669668</c:v>
                </c:pt>
                <c:pt idx="50">
                  <c:v>21.626300424434355</c:v>
                </c:pt>
                <c:pt idx="51">
                  <c:v>19.068862374777339</c:v>
                </c:pt>
                <c:pt idx="52">
                  <c:v>31.161473719661366</c:v>
                </c:pt>
                <c:pt idx="53">
                  <c:v>32.770223357557612</c:v>
                </c:pt>
                <c:pt idx="54">
                  <c:v>23.333991960981834</c:v>
                </c:pt>
                <c:pt idx="55">
                  <c:v>25.761359436463071</c:v>
                </c:pt>
                <c:pt idx="56">
                  <c:v>36.277049865325395</c:v>
                </c:pt>
                <c:pt idx="57">
                  <c:v>23.20344331843674</c:v>
                </c:pt>
                <c:pt idx="58">
                  <c:v>33.838080565772167</c:v>
                </c:pt>
                <c:pt idx="59">
                  <c:v>35.702591844529636</c:v>
                </c:pt>
                <c:pt idx="60">
                  <c:v>16.497340999936885</c:v>
                </c:pt>
                <c:pt idx="61">
                  <c:v>28.45785837238726</c:v>
                </c:pt>
                <c:pt idx="62">
                  <c:v>5.6048697533683871</c:v>
                </c:pt>
                <c:pt idx="63">
                  <c:v>14.535381415375713</c:v>
                </c:pt>
                <c:pt idx="64">
                  <c:v>22.252140355736977</c:v>
                </c:pt>
                <c:pt idx="65">
                  <c:v>36.067018841486302</c:v>
                </c:pt>
                <c:pt idx="66">
                  <c:v>32.358834013434823</c:v>
                </c:pt>
                <c:pt idx="67">
                  <c:v>28.883173789967131</c:v>
                </c:pt>
                <c:pt idx="68">
                  <c:v>24.40340949784073</c:v>
                </c:pt>
                <c:pt idx="69">
                  <c:v>17.61146277539136</c:v>
                </c:pt>
                <c:pt idx="70">
                  <c:v>13.782437178682882</c:v>
                </c:pt>
                <c:pt idx="71">
                  <c:v>8.7781616117157419</c:v>
                </c:pt>
                <c:pt idx="72">
                  <c:v>13.071147813861819</c:v>
                </c:pt>
                <c:pt idx="73">
                  <c:v>15.490074684306135</c:v>
                </c:pt>
                <c:pt idx="74">
                  <c:v>13.006993502036558</c:v>
                </c:pt>
                <c:pt idx="75">
                  <c:v>12.491921563243787</c:v>
                </c:pt>
                <c:pt idx="76">
                  <c:v>14.744696092698828</c:v>
                </c:pt>
                <c:pt idx="77">
                  <c:v>27.092383542785765</c:v>
                </c:pt>
                <c:pt idx="78">
                  <c:v>32.475035130319824</c:v>
                </c:pt>
                <c:pt idx="79">
                  <c:v>43.679188897625352</c:v>
                </c:pt>
                <c:pt idx="80">
                  <c:v>42.631465793753549</c:v>
                </c:pt>
                <c:pt idx="81">
                  <c:v>45.48003483158476</c:v>
                </c:pt>
                <c:pt idx="82">
                  <c:v>45.181227272947659</c:v>
                </c:pt>
                <c:pt idx="83">
                  <c:v>37.636168485174707</c:v>
                </c:pt>
                <c:pt idx="84">
                  <c:v>41.337322880223098</c:v>
                </c:pt>
                <c:pt idx="85">
                  <c:v>43.257985052776306</c:v>
                </c:pt>
                <c:pt idx="86">
                  <c:v>37.159845215999788</c:v>
                </c:pt>
                <c:pt idx="87">
                  <c:v>28.298369897895608</c:v>
                </c:pt>
                <c:pt idx="88">
                  <c:v>7.8810899420908731</c:v>
                </c:pt>
                <c:pt idx="89">
                  <c:v>27.524384798946269</c:v>
                </c:pt>
                <c:pt idx="90">
                  <c:v>30.274228371983099</c:v>
                </c:pt>
                <c:pt idx="91">
                  <c:v>20.631151565082593</c:v>
                </c:pt>
                <c:pt idx="92">
                  <c:v>28.167485869368242</c:v>
                </c:pt>
                <c:pt idx="93">
                  <c:v>43.743767371912575</c:v>
                </c:pt>
                <c:pt idx="94">
                  <c:v>52.351180603417774</c:v>
                </c:pt>
                <c:pt idx="95">
                  <c:v>12.769860951905164</c:v>
                </c:pt>
                <c:pt idx="96">
                  <c:v>43.284338903968383</c:v>
                </c:pt>
                <c:pt idx="97">
                  <c:v>36.870841227205645</c:v>
                </c:pt>
                <c:pt idx="98">
                  <c:v>34.301301263865483</c:v>
                </c:pt>
                <c:pt idx="99">
                  <c:v>56.198649273326353</c:v>
                </c:pt>
                <c:pt idx="100">
                  <c:v>45.338565071878847</c:v>
                </c:pt>
                <c:pt idx="101">
                  <c:v>37.829581702582537</c:v>
                </c:pt>
                <c:pt idx="102">
                  <c:v>8.7475081051235914</c:v>
                </c:pt>
                <c:pt idx="103">
                  <c:v>40.381663944995992</c:v>
                </c:pt>
                <c:pt idx="104">
                  <c:v>44.24975287036748</c:v>
                </c:pt>
                <c:pt idx="105">
                  <c:v>40.26303313189247</c:v>
                </c:pt>
                <c:pt idx="106">
                  <c:v>55.762960328296188</c:v>
                </c:pt>
                <c:pt idx="107">
                  <c:v>35.574352313639075</c:v>
                </c:pt>
                <c:pt idx="108">
                  <c:v>11.704340863291158</c:v>
                </c:pt>
                <c:pt idx="109">
                  <c:v>11.728876200851095</c:v>
                </c:pt>
                <c:pt idx="110">
                  <c:v>11.257570579511173</c:v>
                </c:pt>
                <c:pt idx="111">
                  <c:v>29.944107080099492</c:v>
                </c:pt>
                <c:pt idx="112">
                  <c:v>9.8308217171931656</c:v>
                </c:pt>
                <c:pt idx="113">
                  <c:v>35.249169356764526</c:v>
                </c:pt>
                <c:pt idx="114">
                  <c:v>46.518970028465802</c:v>
                </c:pt>
                <c:pt idx="115">
                  <c:v>58.082298367091759</c:v>
                </c:pt>
                <c:pt idx="116">
                  <c:v>46.167410895376328</c:v>
                </c:pt>
                <c:pt idx="117">
                  <c:v>24.612971807334098</c:v>
                </c:pt>
                <c:pt idx="118">
                  <c:v>44.608921219701102</c:v>
                </c:pt>
                <c:pt idx="119">
                  <c:v>43.99787396653857</c:v>
                </c:pt>
                <c:pt idx="120">
                  <c:v>49.914248681467576</c:v>
                </c:pt>
                <c:pt idx="121">
                  <c:v>32.082780361838054</c:v>
                </c:pt>
                <c:pt idx="122">
                  <c:v>35.757451507895006</c:v>
                </c:pt>
                <c:pt idx="123">
                  <c:v>20.124411245399475</c:v>
                </c:pt>
                <c:pt idx="124">
                  <c:v>40.507195057588959</c:v>
                </c:pt>
                <c:pt idx="125">
                  <c:v>42.463476059897467</c:v>
                </c:pt>
                <c:pt idx="126">
                  <c:v>48.840615695839524</c:v>
                </c:pt>
                <c:pt idx="127">
                  <c:v>55.396780092263661</c:v>
                </c:pt>
                <c:pt idx="128">
                  <c:v>58.614823519820348</c:v>
                </c:pt>
                <c:pt idx="129">
                  <c:v>57.414916233191214</c:v>
                </c:pt>
                <c:pt idx="130">
                  <c:v>61.247198865237507</c:v>
                </c:pt>
                <c:pt idx="131">
                  <c:v>46.636815493307992</c:v>
                </c:pt>
                <c:pt idx="132">
                  <c:v>49.419588295781509</c:v>
                </c:pt>
                <c:pt idx="133">
                  <c:v>55.326372511004294</c:v>
                </c:pt>
                <c:pt idx="134">
                  <c:v>57.112494608897102</c:v>
                </c:pt>
                <c:pt idx="135">
                  <c:v>55.819590129424441</c:v>
                </c:pt>
                <c:pt idx="136">
                  <c:v>59.612752909239646</c:v>
                </c:pt>
                <c:pt idx="137">
                  <c:v>56.918228529104063</c:v>
                </c:pt>
                <c:pt idx="138">
                  <c:v>55.702569661923661</c:v>
                </c:pt>
                <c:pt idx="139">
                  <c:v>52.939551007580086</c:v>
                </c:pt>
                <c:pt idx="140">
                  <c:v>55.439673347393992</c:v>
                </c:pt>
                <c:pt idx="141">
                  <c:v>42.868235232552308</c:v>
                </c:pt>
                <c:pt idx="142">
                  <c:v>20.39736694254303</c:v>
                </c:pt>
                <c:pt idx="143">
                  <c:v>17.520796751505056</c:v>
                </c:pt>
                <c:pt idx="144">
                  <c:v>42.701212214425766</c:v>
                </c:pt>
                <c:pt idx="145">
                  <c:v>28.491327737224459</c:v>
                </c:pt>
                <c:pt idx="146">
                  <c:v>44.61259824670973</c:v>
                </c:pt>
                <c:pt idx="147">
                  <c:v>58.569368695401273</c:v>
                </c:pt>
                <c:pt idx="148">
                  <c:v>63.693824080903291</c:v>
                </c:pt>
                <c:pt idx="149">
                  <c:v>51.224926246208653</c:v>
                </c:pt>
                <c:pt idx="150">
                  <c:v>60.551390219192726</c:v>
                </c:pt>
                <c:pt idx="151">
                  <c:v>63.131801583399032</c:v>
                </c:pt>
                <c:pt idx="152">
                  <c:v>45.473895604128735</c:v>
                </c:pt>
                <c:pt idx="153">
                  <c:v>60.209451311860605</c:v>
                </c:pt>
                <c:pt idx="154">
                  <c:v>30.601687023406452</c:v>
                </c:pt>
                <c:pt idx="155">
                  <c:v>33.817854501179468</c:v>
                </c:pt>
                <c:pt idx="156">
                  <c:v>54.079952544693128</c:v>
                </c:pt>
                <c:pt idx="157">
                  <c:v>28.239733127092254</c:v>
                </c:pt>
                <c:pt idx="158">
                  <c:v>25.447231170614945</c:v>
                </c:pt>
                <c:pt idx="159">
                  <c:v>52.292378668316992</c:v>
                </c:pt>
                <c:pt idx="160">
                  <c:v>64.33740587927835</c:v>
                </c:pt>
                <c:pt idx="161">
                  <c:v>61.600763109933226</c:v>
                </c:pt>
                <c:pt idx="162">
                  <c:v>49.673410488910349</c:v>
                </c:pt>
                <c:pt idx="163">
                  <c:v>55.533710283110054</c:v>
                </c:pt>
                <c:pt idx="164">
                  <c:v>56.454367123296073</c:v>
                </c:pt>
                <c:pt idx="165">
                  <c:v>59.88598175213334</c:v>
                </c:pt>
                <c:pt idx="166">
                  <c:v>56.748275258751974</c:v>
                </c:pt>
                <c:pt idx="167">
                  <c:v>56.914810332647804</c:v>
                </c:pt>
                <c:pt idx="168">
                  <c:v>60.602784955609138</c:v>
                </c:pt>
                <c:pt idx="169">
                  <c:v>61.088247642228232</c:v>
                </c:pt>
                <c:pt idx="170">
                  <c:v>33.032284131439525</c:v>
                </c:pt>
                <c:pt idx="171">
                  <c:v>22.228359270034439</c:v>
                </c:pt>
                <c:pt idx="172">
                  <c:v>46.113037045247879</c:v>
                </c:pt>
                <c:pt idx="173">
                  <c:v>45.595823961374762</c:v>
                </c:pt>
                <c:pt idx="174">
                  <c:v>49.047191268011581</c:v>
                </c:pt>
                <c:pt idx="175">
                  <c:v>40.85790189363351</c:v>
                </c:pt>
                <c:pt idx="176">
                  <c:v>12.778443654798478</c:v>
                </c:pt>
                <c:pt idx="177">
                  <c:v>18.799485409428861</c:v>
                </c:pt>
                <c:pt idx="178">
                  <c:v>65.057128481310158</c:v>
                </c:pt>
                <c:pt idx="179">
                  <c:v>63.1284823631891</c:v>
                </c:pt>
                <c:pt idx="180">
                  <c:v>15.507098258630863</c:v>
                </c:pt>
                <c:pt idx="181">
                  <c:v>52.60828949124712</c:v>
                </c:pt>
                <c:pt idx="182">
                  <c:v>58.410707686368241</c:v>
                </c:pt>
                <c:pt idx="183">
                  <c:v>54.321997150958083</c:v>
                </c:pt>
                <c:pt idx="184">
                  <c:v>50.567802854690235</c:v>
                </c:pt>
                <c:pt idx="185">
                  <c:v>60.635655431370054</c:v>
                </c:pt>
                <c:pt idx="186">
                  <c:v>44.64017425973524</c:v>
                </c:pt>
                <c:pt idx="187">
                  <c:v>60.175838097167258</c:v>
                </c:pt>
                <c:pt idx="188">
                  <c:v>63.100470611429294</c:v>
                </c:pt>
                <c:pt idx="189">
                  <c:v>62.126593937632535</c:v>
                </c:pt>
                <c:pt idx="190">
                  <c:v>61.473596961919149</c:v>
                </c:pt>
                <c:pt idx="191">
                  <c:v>60.416547558521764</c:v>
                </c:pt>
                <c:pt idx="192">
                  <c:v>59.470039116292561</c:v>
                </c:pt>
                <c:pt idx="193">
                  <c:v>58.291653586196794</c:v>
                </c:pt>
                <c:pt idx="194">
                  <c:v>58.135631370021613</c:v>
                </c:pt>
                <c:pt idx="195">
                  <c:v>55.570888083833047</c:v>
                </c:pt>
                <c:pt idx="196">
                  <c:v>56.714124438284784</c:v>
                </c:pt>
                <c:pt idx="197">
                  <c:v>57.123603021131323</c:v>
                </c:pt>
                <c:pt idx="198">
                  <c:v>58.867615230861574</c:v>
                </c:pt>
                <c:pt idx="199">
                  <c:v>43.240234769613828</c:v>
                </c:pt>
                <c:pt idx="200">
                  <c:v>40.604815626160175</c:v>
                </c:pt>
                <c:pt idx="201">
                  <c:v>56.029912263999016</c:v>
                </c:pt>
                <c:pt idx="202">
                  <c:v>48.122821773334486</c:v>
                </c:pt>
                <c:pt idx="203">
                  <c:v>45.535327429513274</c:v>
                </c:pt>
                <c:pt idx="204">
                  <c:v>55.439570669776472</c:v>
                </c:pt>
                <c:pt idx="205">
                  <c:v>29.246930037595632</c:v>
                </c:pt>
                <c:pt idx="206">
                  <c:v>51.833058301997518</c:v>
                </c:pt>
                <c:pt idx="207">
                  <c:v>58.666231554566892</c:v>
                </c:pt>
                <c:pt idx="208">
                  <c:v>46.094297250846736</c:v>
                </c:pt>
                <c:pt idx="209">
                  <c:v>28.634556168913413</c:v>
                </c:pt>
                <c:pt idx="210">
                  <c:v>47.096202425569842</c:v>
                </c:pt>
                <c:pt idx="211">
                  <c:v>57.6743515618519</c:v>
                </c:pt>
                <c:pt idx="212">
                  <c:v>57.169013512170032</c:v>
                </c:pt>
                <c:pt idx="213">
                  <c:v>57.180325304685624</c:v>
                </c:pt>
                <c:pt idx="214">
                  <c:v>56.774776352674706</c:v>
                </c:pt>
                <c:pt idx="215">
                  <c:v>54.163570268277496</c:v>
                </c:pt>
                <c:pt idx="216">
                  <c:v>43.235559870952109</c:v>
                </c:pt>
                <c:pt idx="217">
                  <c:v>51.588997975601629</c:v>
                </c:pt>
                <c:pt idx="218">
                  <c:v>54.394069129519352</c:v>
                </c:pt>
                <c:pt idx="219">
                  <c:v>55.804707124396614</c:v>
                </c:pt>
                <c:pt idx="220">
                  <c:v>53.205097603182246</c:v>
                </c:pt>
                <c:pt idx="221">
                  <c:v>51.671136410538232</c:v>
                </c:pt>
                <c:pt idx="222">
                  <c:v>48.765134340388457</c:v>
                </c:pt>
                <c:pt idx="223">
                  <c:v>0</c:v>
                </c:pt>
                <c:pt idx="224">
                  <c:v>36.243493844625199</c:v>
                </c:pt>
                <c:pt idx="225">
                  <c:v>36.310362104463131</c:v>
                </c:pt>
                <c:pt idx="226">
                  <c:v>36.723665922572472</c:v>
                </c:pt>
                <c:pt idx="227">
                  <c:v>38.037331994290241</c:v>
                </c:pt>
                <c:pt idx="228">
                  <c:v>26.458122674849719</c:v>
                </c:pt>
                <c:pt idx="229">
                  <c:v>40.371109232559313</c:v>
                </c:pt>
                <c:pt idx="230">
                  <c:v>39.966259480806293</c:v>
                </c:pt>
                <c:pt idx="231">
                  <c:v>52.159033458953452</c:v>
                </c:pt>
                <c:pt idx="232">
                  <c:v>37.639545680147187</c:v>
                </c:pt>
                <c:pt idx="233">
                  <c:v>27.532786262259542</c:v>
                </c:pt>
                <c:pt idx="234">
                  <c:v>46.576652435284736</c:v>
                </c:pt>
                <c:pt idx="235">
                  <c:v>50.588703584850997</c:v>
                </c:pt>
                <c:pt idx="236">
                  <c:v>32.447477908673122</c:v>
                </c:pt>
                <c:pt idx="237">
                  <c:v>37.397078692906405</c:v>
                </c:pt>
                <c:pt idx="238">
                  <c:v>47.145435334005263</c:v>
                </c:pt>
                <c:pt idx="239">
                  <c:v>49.563175295143985</c:v>
                </c:pt>
                <c:pt idx="240">
                  <c:v>34.639618521622396</c:v>
                </c:pt>
                <c:pt idx="241">
                  <c:v>48.613415427019092</c:v>
                </c:pt>
                <c:pt idx="242">
                  <c:v>24.61272944499763</c:v>
                </c:pt>
                <c:pt idx="243">
                  <c:v>42.322602059950349</c:v>
                </c:pt>
                <c:pt idx="244">
                  <c:v>40.006169393371408</c:v>
                </c:pt>
                <c:pt idx="245">
                  <c:v>36.804903577113841</c:v>
                </c:pt>
                <c:pt idx="246">
                  <c:v>48.259908040003062</c:v>
                </c:pt>
                <c:pt idx="247">
                  <c:v>40.383996721888515</c:v>
                </c:pt>
                <c:pt idx="248">
                  <c:v>44.018690155658078</c:v>
                </c:pt>
                <c:pt idx="249">
                  <c:v>36.094702904239988</c:v>
                </c:pt>
                <c:pt idx="250">
                  <c:v>40.145511022569366</c:v>
                </c:pt>
                <c:pt idx="251">
                  <c:v>19.126481085377439</c:v>
                </c:pt>
                <c:pt idx="252">
                  <c:v>44.588625050757379</c:v>
                </c:pt>
                <c:pt idx="253">
                  <c:v>46.129046165604485</c:v>
                </c:pt>
                <c:pt idx="254">
                  <c:v>35.831924185377282</c:v>
                </c:pt>
                <c:pt idx="255">
                  <c:v>13.73488672074509</c:v>
                </c:pt>
                <c:pt idx="256">
                  <c:v>36.906912649805989</c:v>
                </c:pt>
                <c:pt idx="257">
                  <c:v>41.926467089916272</c:v>
                </c:pt>
                <c:pt idx="258">
                  <c:v>28.173984316367985</c:v>
                </c:pt>
                <c:pt idx="259">
                  <c:v>45.239680633987284</c:v>
                </c:pt>
                <c:pt idx="260">
                  <c:v>44.314343156809478</c:v>
                </c:pt>
                <c:pt idx="261">
                  <c:v>44.66556552769746</c:v>
                </c:pt>
                <c:pt idx="262">
                  <c:v>45.019700803249002</c:v>
                </c:pt>
                <c:pt idx="263">
                  <c:v>43.690869724807953</c:v>
                </c:pt>
                <c:pt idx="264">
                  <c:v>42.468678567988221</c:v>
                </c:pt>
                <c:pt idx="265">
                  <c:v>31.121077732157335</c:v>
                </c:pt>
                <c:pt idx="266">
                  <c:v>19.223899387156212</c:v>
                </c:pt>
                <c:pt idx="267">
                  <c:v>30.771314924505599</c:v>
                </c:pt>
                <c:pt idx="268">
                  <c:v>33.188008501372018</c:v>
                </c:pt>
                <c:pt idx="269">
                  <c:v>16.24119230185913</c:v>
                </c:pt>
                <c:pt idx="270">
                  <c:v>18.553957386910277</c:v>
                </c:pt>
                <c:pt idx="271">
                  <c:v>24.013586039846945</c:v>
                </c:pt>
                <c:pt idx="272">
                  <c:v>25.751646372899053</c:v>
                </c:pt>
                <c:pt idx="273">
                  <c:v>35.148347639512636</c:v>
                </c:pt>
                <c:pt idx="274">
                  <c:v>36.553497586330785</c:v>
                </c:pt>
                <c:pt idx="275">
                  <c:v>33.103158197482706</c:v>
                </c:pt>
                <c:pt idx="276">
                  <c:v>38.55696453937243</c:v>
                </c:pt>
                <c:pt idx="277">
                  <c:v>38.809671853125714</c:v>
                </c:pt>
                <c:pt idx="278">
                  <c:v>15.555433689138411</c:v>
                </c:pt>
                <c:pt idx="279">
                  <c:v>29.879192899832532</c:v>
                </c:pt>
                <c:pt idx="280">
                  <c:v>15.110980085241589</c:v>
                </c:pt>
                <c:pt idx="281">
                  <c:v>35.289074200271955</c:v>
                </c:pt>
                <c:pt idx="282">
                  <c:v>30.897753073177391</c:v>
                </c:pt>
                <c:pt idx="283">
                  <c:v>24.849711189061903</c:v>
                </c:pt>
                <c:pt idx="284">
                  <c:v>24.754863439396971</c:v>
                </c:pt>
                <c:pt idx="285">
                  <c:v>22.423645011709009</c:v>
                </c:pt>
                <c:pt idx="286">
                  <c:v>15.072249743743487</c:v>
                </c:pt>
                <c:pt idx="287">
                  <c:v>33.594356312215417</c:v>
                </c:pt>
                <c:pt idx="288">
                  <c:v>29.450768809342335</c:v>
                </c:pt>
                <c:pt idx="289">
                  <c:v>16.598077440784767</c:v>
                </c:pt>
                <c:pt idx="290">
                  <c:v>29.610161102512539</c:v>
                </c:pt>
                <c:pt idx="291">
                  <c:v>16.540871617133725</c:v>
                </c:pt>
                <c:pt idx="292">
                  <c:v>8.7015264390150424</c:v>
                </c:pt>
                <c:pt idx="293">
                  <c:v>16.823790984026633</c:v>
                </c:pt>
                <c:pt idx="294">
                  <c:v>28.838929503514564</c:v>
                </c:pt>
                <c:pt idx="295">
                  <c:v>18.803330673385382</c:v>
                </c:pt>
                <c:pt idx="296">
                  <c:v>24.391017860664359</c:v>
                </c:pt>
                <c:pt idx="297">
                  <c:v>20.497462166320936</c:v>
                </c:pt>
                <c:pt idx="298">
                  <c:v>15.317510450870904</c:v>
                </c:pt>
                <c:pt idx="299">
                  <c:v>14.483168909242032</c:v>
                </c:pt>
                <c:pt idx="300">
                  <c:v>16.658865939695431</c:v>
                </c:pt>
                <c:pt idx="301">
                  <c:v>23.436816045290879</c:v>
                </c:pt>
                <c:pt idx="302">
                  <c:v>20.522870165043305</c:v>
                </c:pt>
                <c:pt idx="303">
                  <c:v>19.686280231419271</c:v>
                </c:pt>
                <c:pt idx="304">
                  <c:v>17.949883914672853</c:v>
                </c:pt>
                <c:pt idx="305">
                  <c:v>24.845560209546271</c:v>
                </c:pt>
                <c:pt idx="306">
                  <c:v>9.011387997500405</c:v>
                </c:pt>
                <c:pt idx="307">
                  <c:v>12.503619458603163</c:v>
                </c:pt>
                <c:pt idx="308">
                  <c:v>25.190948258761491</c:v>
                </c:pt>
                <c:pt idx="309">
                  <c:v>25.244958554342048</c:v>
                </c:pt>
                <c:pt idx="310">
                  <c:v>25.038144595302391</c:v>
                </c:pt>
                <c:pt idx="311">
                  <c:v>18.11189598554374</c:v>
                </c:pt>
                <c:pt idx="312">
                  <c:v>10.100048194225042</c:v>
                </c:pt>
                <c:pt idx="313">
                  <c:v>18.363128051784646</c:v>
                </c:pt>
                <c:pt idx="314">
                  <c:v>21.843685114435729</c:v>
                </c:pt>
                <c:pt idx="315">
                  <c:v>21.972211505877798</c:v>
                </c:pt>
                <c:pt idx="316">
                  <c:v>20.920743013269789</c:v>
                </c:pt>
                <c:pt idx="317">
                  <c:v>11.304481202612525</c:v>
                </c:pt>
                <c:pt idx="318">
                  <c:v>12.835261638821992</c:v>
                </c:pt>
                <c:pt idx="319">
                  <c:v>21.437697548944431</c:v>
                </c:pt>
                <c:pt idx="320">
                  <c:v>14.091908082997103</c:v>
                </c:pt>
                <c:pt idx="321">
                  <c:v>11.680767147283451</c:v>
                </c:pt>
                <c:pt idx="322">
                  <c:v>8.3828818740440099</c:v>
                </c:pt>
                <c:pt idx="323">
                  <c:v>15.090541303899109</c:v>
                </c:pt>
                <c:pt idx="324">
                  <c:v>3.4365787294418846</c:v>
                </c:pt>
                <c:pt idx="325">
                  <c:v>9.6430836516671317</c:v>
                </c:pt>
                <c:pt idx="326">
                  <c:v>12.861263195224023</c:v>
                </c:pt>
                <c:pt idx="327">
                  <c:v>11.958046916359535</c:v>
                </c:pt>
                <c:pt idx="328">
                  <c:v>4.853385483900742</c:v>
                </c:pt>
                <c:pt idx="329">
                  <c:v>9.7062948739846426</c:v>
                </c:pt>
                <c:pt idx="330">
                  <c:v>13.876889008719553</c:v>
                </c:pt>
                <c:pt idx="331">
                  <c:v>9.4764399163238764</c:v>
                </c:pt>
                <c:pt idx="332">
                  <c:v>10.50365732965442</c:v>
                </c:pt>
                <c:pt idx="333">
                  <c:v>4.4999317536267585</c:v>
                </c:pt>
                <c:pt idx="334">
                  <c:v>4.2467711574729785</c:v>
                </c:pt>
                <c:pt idx="335">
                  <c:v>5.4189404422502179</c:v>
                </c:pt>
                <c:pt idx="336">
                  <c:v>9.7459134495969746</c:v>
                </c:pt>
                <c:pt idx="337">
                  <c:v>13.032364173409505</c:v>
                </c:pt>
                <c:pt idx="338">
                  <c:v>18.060864830196493</c:v>
                </c:pt>
                <c:pt idx="339">
                  <c:v>11.797965579167403</c:v>
                </c:pt>
                <c:pt idx="340">
                  <c:v>14.473347956546611</c:v>
                </c:pt>
                <c:pt idx="341">
                  <c:v>4.6629895715977447</c:v>
                </c:pt>
                <c:pt idx="342">
                  <c:v>7.7640629481997916</c:v>
                </c:pt>
                <c:pt idx="343">
                  <c:v>11.306341174636167</c:v>
                </c:pt>
                <c:pt idx="344">
                  <c:v>12.857056303270731</c:v>
                </c:pt>
                <c:pt idx="345">
                  <c:v>5.8871536649456537</c:v>
                </c:pt>
                <c:pt idx="346">
                  <c:v>5.5459999207135215</c:v>
                </c:pt>
                <c:pt idx="347">
                  <c:v>12.629808221967142</c:v>
                </c:pt>
                <c:pt idx="348">
                  <c:v>6.7457378321076407</c:v>
                </c:pt>
                <c:pt idx="349">
                  <c:v>5.6613610638095917</c:v>
                </c:pt>
                <c:pt idx="350">
                  <c:v>3.6556090612488714</c:v>
                </c:pt>
                <c:pt idx="351">
                  <c:v>14.711630001402252</c:v>
                </c:pt>
                <c:pt idx="352">
                  <c:v>14.086034445142907</c:v>
                </c:pt>
                <c:pt idx="353">
                  <c:v>4.2524567033195364</c:v>
                </c:pt>
                <c:pt idx="354">
                  <c:v>15.080353726998931</c:v>
                </c:pt>
                <c:pt idx="355">
                  <c:v>15.012345120478027</c:v>
                </c:pt>
                <c:pt idx="356">
                  <c:v>14.730217879491903</c:v>
                </c:pt>
                <c:pt idx="357">
                  <c:v>15.937586438071776</c:v>
                </c:pt>
                <c:pt idx="358">
                  <c:v>8.8380699209813276</c:v>
                </c:pt>
                <c:pt idx="359">
                  <c:v>14.770280715618249</c:v>
                </c:pt>
                <c:pt idx="360">
                  <c:v>6.3568440208703176</c:v>
                </c:pt>
                <c:pt idx="361">
                  <c:v>13.020507078829972</c:v>
                </c:pt>
                <c:pt idx="362">
                  <c:v>9.9210165843098661</c:v>
                </c:pt>
                <c:pt idx="363">
                  <c:v>11.887208684618493</c:v>
                </c:pt>
                <c:pt idx="364">
                  <c:v>10.809327754424178</c:v>
                </c:pt>
                <c:pt idx="365">
                  <c:v>12.100991362468408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'2024'!$W$15:$W$380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5.965942036121386</c:v>
                </c:pt>
                <c:pt idx="7">
                  <c:v>7.7928245221206422</c:v>
                </c:pt>
                <c:pt idx="8">
                  <c:v>2.3408005255166504</c:v>
                </c:pt>
                <c:pt idx="9">
                  <c:v>1.9356178091633516</c:v>
                </c:pt>
                <c:pt idx="10">
                  <c:v>19.423243056947229</c:v>
                </c:pt>
                <c:pt idx="11">
                  <c:v>17.435080873356121</c:v>
                </c:pt>
                <c:pt idx="12">
                  <c:v>5.9233859092547005</c:v>
                </c:pt>
                <c:pt idx="13">
                  <c:v>20.03877170173838</c:v>
                </c:pt>
                <c:pt idx="14">
                  <c:v>20.617522500698815</c:v>
                </c:pt>
                <c:pt idx="15">
                  <c:v>20.334494013660247</c:v>
                </c:pt>
                <c:pt idx="16">
                  <c:v>13.644645804195985</c:v>
                </c:pt>
                <c:pt idx="17">
                  <c:v>4.3286191846998028</c:v>
                </c:pt>
                <c:pt idx="18">
                  <c:v>10.944504711726704</c:v>
                </c:pt>
                <c:pt idx="19">
                  <c:v>6.3351262677141547</c:v>
                </c:pt>
                <c:pt idx="20">
                  <c:v>17.832870997973945</c:v>
                </c:pt>
                <c:pt idx="21">
                  <c:v>21.992017802372168</c:v>
                </c:pt>
                <c:pt idx="22">
                  <c:v>22.064485434101755</c:v>
                </c:pt>
                <c:pt idx="23">
                  <c:v>22.611808560966654</c:v>
                </c:pt>
                <c:pt idx="24">
                  <c:v>21.176390390163284</c:v>
                </c:pt>
                <c:pt idx="25">
                  <c:v>22.788380518719659</c:v>
                </c:pt>
                <c:pt idx="26">
                  <c:v>19.077283815197163</c:v>
                </c:pt>
                <c:pt idx="27">
                  <c:v>4.5501572179571159</c:v>
                </c:pt>
                <c:pt idx="28">
                  <c:v>6.8382337211953992</c:v>
                </c:pt>
                <c:pt idx="29">
                  <c:v>4.928462673575627</c:v>
                </c:pt>
                <c:pt idx="30">
                  <c:v>11.427560457888335</c:v>
                </c:pt>
                <c:pt idx="31">
                  <c:v>14.73230551046437</c:v>
                </c:pt>
                <c:pt idx="32">
                  <c:v>5.9416172966448348</c:v>
                </c:pt>
                <c:pt idx="33">
                  <c:v>13.730733551077501</c:v>
                </c:pt>
                <c:pt idx="34">
                  <c:v>12.530989831041147</c:v>
                </c:pt>
                <c:pt idx="35">
                  <c:v>9.8410316088371754</c:v>
                </c:pt>
                <c:pt idx="36">
                  <c:v>21.616118870408901</c:v>
                </c:pt>
                <c:pt idx="37">
                  <c:v>14.813449738326657</c:v>
                </c:pt>
                <c:pt idx="38">
                  <c:v>28.712309796952781</c:v>
                </c:pt>
                <c:pt idx="39">
                  <c:v>28.94083748476406</c:v>
                </c:pt>
                <c:pt idx="40">
                  <c:v>27.93369073022258</c:v>
                </c:pt>
                <c:pt idx="41">
                  <c:v>14.604138096323789</c:v>
                </c:pt>
                <c:pt idx="42">
                  <c:v>23.354936183316475</c:v>
                </c:pt>
                <c:pt idx="43">
                  <c:v>25.733278319180954</c:v>
                </c:pt>
                <c:pt idx="44">
                  <c:v>16.523231798609061</c:v>
                </c:pt>
                <c:pt idx="45">
                  <c:v>21.270718200634693</c:v>
                </c:pt>
                <c:pt idx="46">
                  <c:v>10.102505032081744</c:v>
                </c:pt>
                <c:pt idx="47">
                  <c:v>12.140663377620678</c:v>
                </c:pt>
                <c:pt idx="48">
                  <c:v>28.449900900863778</c:v>
                </c:pt>
                <c:pt idx="49">
                  <c:v>17.174107861669668</c:v>
                </c:pt>
                <c:pt idx="50">
                  <c:v>21.626300424434355</c:v>
                </c:pt>
                <c:pt idx="51">
                  <c:v>19.068862374777339</c:v>
                </c:pt>
                <c:pt idx="52">
                  <c:v>31.161473719661366</c:v>
                </c:pt>
                <c:pt idx="53">
                  <c:v>32.770223357557612</c:v>
                </c:pt>
                <c:pt idx="54">
                  <c:v>23.333991960981834</c:v>
                </c:pt>
                <c:pt idx="55">
                  <c:v>25.761359436463071</c:v>
                </c:pt>
                <c:pt idx="56">
                  <c:v>36.277049865325395</c:v>
                </c:pt>
                <c:pt idx="57">
                  <c:v>23.20344331843674</c:v>
                </c:pt>
                <c:pt idx="58">
                  <c:v>33.838080565772167</c:v>
                </c:pt>
                <c:pt idx="59">
                  <c:v>35.702591844529636</c:v>
                </c:pt>
                <c:pt idx="60">
                  <c:v>16.497340999936885</c:v>
                </c:pt>
                <c:pt idx="61">
                  <c:v>28.45785837238726</c:v>
                </c:pt>
                <c:pt idx="62">
                  <c:v>5.6048697533683871</c:v>
                </c:pt>
                <c:pt idx="63">
                  <c:v>14.535381415375713</c:v>
                </c:pt>
                <c:pt idx="64">
                  <c:v>22.252140355736977</c:v>
                </c:pt>
                <c:pt idx="65">
                  <c:v>36.067018841486302</c:v>
                </c:pt>
                <c:pt idx="66">
                  <c:v>32.358834013434823</c:v>
                </c:pt>
                <c:pt idx="67">
                  <c:v>28.883173789967131</c:v>
                </c:pt>
                <c:pt idx="68">
                  <c:v>24.40340949784073</c:v>
                </c:pt>
                <c:pt idx="69">
                  <c:v>17.61146277539136</c:v>
                </c:pt>
                <c:pt idx="70">
                  <c:v>13.782437178682882</c:v>
                </c:pt>
                <c:pt idx="71">
                  <c:v>8.7781616117157419</c:v>
                </c:pt>
                <c:pt idx="72">
                  <c:v>13.071147813861819</c:v>
                </c:pt>
                <c:pt idx="73">
                  <c:v>15.490074684306135</c:v>
                </c:pt>
                <c:pt idx="74">
                  <c:v>13.006993502036558</c:v>
                </c:pt>
                <c:pt idx="75">
                  <c:v>12.491921563243787</c:v>
                </c:pt>
                <c:pt idx="76">
                  <c:v>14.744696092698828</c:v>
                </c:pt>
                <c:pt idx="77">
                  <c:v>27.092383542785765</c:v>
                </c:pt>
                <c:pt idx="78">
                  <c:v>32.475035130319824</c:v>
                </c:pt>
                <c:pt idx="79">
                  <c:v>43.679188897625352</c:v>
                </c:pt>
                <c:pt idx="80">
                  <c:v>42.631465793753549</c:v>
                </c:pt>
                <c:pt idx="81">
                  <c:v>45.48003483158476</c:v>
                </c:pt>
                <c:pt idx="82">
                  <c:v>45.181227272947659</c:v>
                </c:pt>
                <c:pt idx="83">
                  <c:v>37.636168485174707</c:v>
                </c:pt>
                <c:pt idx="84">
                  <c:v>41.337322880223098</c:v>
                </c:pt>
                <c:pt idx="85">
                  <c:v>43.257985052776306</c:v>
                </c:pt>
                <c:pt idx="86">
                  <c:v>37.159845215999788</c:v>
                </c:pt>
                <c:pt idx="87">
                  <c:v>28.298369897895608</c:v>
                </c:pt>
                <c:pt idx="88">
                  <c:v>7.8810899420908731</c:v>
                </c:pt>
                <c:pt idx="89">
                  <c:v>27.524384798946269</c:v>
                </c:pt>
                <c:pt idx="90">
                  <c:v>30.274228371983099</c:v>
                </c:pt>
                <c:pt idx="91">
                  <c:v>20.631151565082593</c:v>
                </c:pt>
                <c:pt idx="92">
                  <c:v>28.167485869368242</c:v>
                </c:pt>
                <c:pt idx="93">
                  <c:v>43.743767371912575</c:v>
                </c:pt>
                <c:pt idx="94">
                  <c:v>52.351180603417774</c:v>
                </c:pt>
                <c:pt idx="95">
                  <c:v>12.769860951905164</c:v>
                </c:pt>
                <c:pt idx="96">
                  <c:v>43.284338903968383</c:v>
                </c:pt>
                <c:pt idx="97">
                  <c:v>36.870841227205645</c:v>
                </c:pt>
                <c:pt idx="98">
                  <c:v>34.301301263865483</c:v>
                </c:pt>
                <c:pt idx="99">
                  <c:v>56.198649273326353</c:v>
                </c:pt>
                <c:pt idx="100">
                  <c:v>45.338565071878847</c:v>
                </c:pt>
                <c:pt idx="101">
                  <c:v>37.829581702582537</c:v>
                </c:pt>
                <c:pt idx="102">
                  <c:v>8.7475081051235914</c:v>
                </c:pt>
                <c:pt idx="103">
                  <c:v>40.381663944995992</c:v>
                </c:pt>
                <c:pt idx="104">
                  <c:v>44.24975287036748</c:v>
                </c:pt>
                <c:pt idx="105">
                  <c:v>40.26303313189247</c:v>
                </c:pt>
                <c:pt idx="106">
                  <c:v>55.762960328296188</c:v>
                </c:pt>
                <c:pt idx="107">
                  <c:v>35.574352313639075</c:v>
                </c:pt>
                <c:pt idx="108">
                  <c:v>11.704340863291158</c:v>
                </c:pt>
                <c:pt idx="109">
                  <c:v>11.728876200851095</c:v>
                </c:pt>
                <c:pt idx="110">
                  <c:v>11.257570579511173</c:v>
                </c:pt>
                <c:pt idx="111">
                  <c:v>29.944107080099492</c:v>
                </c:pt>
                <c:pt idx="112">
                  <c:v>9.8308217171931656</c:v>
                </c:pt>
                <c:pt idx="113">
                  <c:v>35.249169356764526</c:v>
                </c:pt>
                <c:pt idx="114">
                  <c:v>46.518970028465802</c:v>
                </c:pt>
                <c:pt idx="115">
                  <c:v>58.082298367091759</c:v>
                </c:pt>
                <c:pt idx="116">
                  <c:v>46.167410895376328</c:v>
                </c:pt>
                <c:pt idx="117">
                  <c:v>24.612971807334098</c:v>
                </c:pt>
                <c:pt idx="118">
                  <c:v>44.608921219701102</c:v>
                </c:pt>
                <c:pt idx="119">
                  <c:v>43.99787396653857</c:v>
                </c:pt>
                <c:pt idx="120">
                  <c:v>49.914248681467576</c:v>
                </c:pt>
                <c:pt idx="121">
                  <c:v>32.082780361838054</c:v>
                </c:pt>
                <c:pt idx="122">
                  <c:v>35.757451507895006</c:v>
                </c:pt>
                <c:pt idx="123">
                  <c:v>20.124411245399475</c:v>
                </c:pt>
                <c:pt idx="124">
                  <c:v>40.507195057588959</c:v>
                </c:pt>
                <c:pt idx="125">
                  <c:v>42.463476059897467</c:v>
                </c:pt>
                <c:pt idx="126">
                  <c:v>48.840615695839524</c:v>
                </c:pt>
                <c:pt idx="127">
                  <c:v>55.396780092263661</c:v>
                </c:pt>
                <c:pt idx="128">
                  <c:v>58.614823519820348</c:v>
                </c:pt>
                <c:pt idx="129">
                  <c:v>57.414916233191214</c:v>
                </c:pt>
                <c:pt idx="130">
                  <c:v>61.247198865237507</c:v>
                </c:pt>
                <c:pt idx="131">
                  <c:v>46.636815493307992</c:v>
                </c:pt>
                <c:pt idx="132">
                  <c:v>49.419588295781509</c:v>
                </c:pt>
                <c:pt idx="133">
                  <c:v>55.326372511004294</c:v>
                </c:pt>
                <c:pt idx="134">
                  <c:v>57.112494608897102</c:v>
                </c:pt>
                <c:pt idx="135">
                  <c:v>55.819590129424441</c:v>
                </c:pt>
                <c:pt idx="136">
                  <c:v>59.612752909239646</c:v>
                </c:pt>
                <c:pt idx="137">
                  <c:v>56.918228529104063</c:v>
                </c:pt>
                <c:pt idx="138">
                  <c:v>55.702569661923661</c:v>
                </c:pt>
                <c:pt idx="139">
                  <c:v>52.939551007580086</c:v>
                </c:pt>
                <c:pt idx="140">
                  <c:v>55.439673347393992</c:v>
                </c:pt>
                <c:pt idx="141">
                  <c:v>42.868235232552308</c:v>
                </c:pt>
                <c:pt idx="142">
                  <c:v>20.39736694254303</c:v>
                </c:pt>
                <c:pt idx="143">
                  <c:v>17.520796751505056</c:v>
                </c:pt>
                <c:pt idx="144">
                  <c:v>42.701212214425766</c:v>
                </c:pt>
                <c:pt idx="145">
                  <c:v>28.491327737224459</c:v>
                </c:pt>
                <c:pt idx="146">
                  <c:v>44.61259824670973</c:v>
                </c:pt>
                <c:pt idx="147">
                  <c:v>58.569368695401273</c:v>
                </c:pt>
                <c:pt idx="148">
                  <c:v>63.693824080903291</c:v>
                </c:pt>
                <c:pt idx="149">
                  <c:v>51.224926246208653</c:v>
                </c:pt>
                <c:pt idx="150">
                  <c:v>60.551390219192726</c:v>
                </c:pt>
                <c:pt idx="151">
                  <c:v>63.131801583399032</c:v>
                </c:pt>
                <c:pt idx="152">
                  <c:v>45.473895604128735</c:v>
                </c:pt>
                <c:pt idx="153">
                  <c:v>60.209451311860605</c:v>
                </c:pt>
                <c:pt idx="154">
                  <c:v>30.601687023406452</c:v>
                </c:pt>
                <c:pt idx="155">
                  <c:v>33.817854501179468</c:v>
                </c:pt>
                <c:pt idx="156">
                  <c:v>54.079952544693128</c:v>
                </c:pt>
                <c:pt idx="157">
                  <c:v>28.239733127092254</c:v>
                </c:pt>
                <c:pt idx="158">
                  <c:v>25.447231170614945</c:v>
                </c:pt>
                <c:pt idx="159">
                  <c:v>52.292378668316992</c:v>
                </c:pt>
                <c:pt idx="160">
                  <c:v>64.33740587927835</c:v>
                </c:pt>
                <c:pt idx="161">
                  <c:v>61.600763109933226</c:v>
                </c:pt>
                <c:pt idx="162">
                  <c:v>49.673410488910349</c:v>
                </c:pt>
                <c:pt idx="163">
                  <c:v>55.533710283110054</c:v>
                </c:pt>
                <c:pt idx="164">
                  <c:v>56.454367123296073</c:v>
                </c:pt>
                <c:pt idx="165">
                  <c:v>59.88598175213334</c:v>
                </c:pt>
                <c:pt idx="166">
                  <c:v>56.748275258751974</c:v>
                </c:pt>
                <c:pt idx="167">
                  <c:v>56.914810332647804</c:v>
                </c:pt>
                <c:pt idx="168">
                  <c:v>60.602784955609138</c:v>
                </c:pt>
                <c:pt idx="169">
                  <c:v>61.088247642228232</c:v>
                </c:pt>
                <c:pt idx="170">
                  <c:v>33.032284131439525</c:v>
                </c:pt>
                <c:pt idx="171">
                  <c:v>22.228359270034439</c:v>
                </c:pt>
                <c:pt idx="172">
                  <c:v>46.113037045247879</c:v>
                </c:pt>
                <c:pt idx="173">
                  <c:v>45.595823961374762</c:v>
                </c:pt>
                <c:pt idx="174">
                  <c:v>49.047191268011581</c:v>
                </c:pt>
                <c:pt idx="175">
                  <c:v>40.85790189363351</c:v>
                </c:pt>
                <c:pt idx="176">
                  <c:v>12.778443654798478</c:v>
                </c:pt>
                <c:pt idx="177">
                  <c:v>18.799485409428861</c:v>
                </c:pt>
                <c:pt idx="178">
                  <c:v>65.057128481310158</c:v>
                </c:pt>
                <c:pt idx="179">
                  <c:v>63.1284823631891</c:v>
                </c:pt>
                <c:pt idx="180">
                  <c:v>15.507098258630863</c:v>
                </c:pt>
                <c:pt idx="181">
                  <c:v>52.60828949124712</c:v>
                </c:pt>
                <c:pt idx="182">
                  <c:v>58.410707686368241</c:v>
                </c:pt>
                <c:pt idx="183">
                  <c:v>54.321997150958083</c:v>
                </c:pt>
                <c:pt idx="184">
                  <c:v>50.567802854690235</c:v>
                </c:pt>
                <c:pt idx="185">
                  <c:v>60.635655431370054</c:v>
                </c:pt>
                <c:pt idx="186">
                  <c:v>44.64017425973524</c:v>
                </c:pt>
                <c:pt idx="187">
                  <c:v>60.175838097167258</c:v>
                </c:pt>
                <c:pt idx="188">
                  <c:v>63.100470611429294</c:v>
                </c:pt>
                <c:pt idx="189">
                  <c:v>62.126593937632535</c:v>
                </c:pt>
                <c:pt idx="190">
                  <c:v>61.473596961919149</c:v>
                </c:pt>
                <c:pt idx="191">
                  <c:v>60.416547558521764</c:v>
                </c:pt>
                <c:pt idx="192">
                  <c:v>59.470039116292561</c:v>
                </c:pt>
                <c:pt idx="193">
                  <c:v>58.291653586196794</c:v>
                </c:pt>
                <c:pt idx="194">
                  <c:v>58.135631370021613</c:v>
                </c:pt>
                <c:pt idx="195">
                  <c:v>55.570888083833047</c:v>
                </c:pt>
                <c:pt idx="196">
                  <c:v>56.714124438284784</c:v>
                </c:pt>
                <c:pt idx="197">
                  <c:v>57.123603021131323</c:v>
                </c:pt>
                <c:pt idx="198">
                  <c:v>58.867615230861574</c:v>
                </c:pt>
                <c:pt idx="199">
                  <c:v>43.240234769613828</c:v>
                </c:pt>
                <c:pt idx="200">
                  <c:v>40.604815626160175</c:v>
                </c:pt>
                <c:pt idx="201">
                  <c:v>56.029912263999016</c:v>
                </c:pt>
                <c:pt idx="202">
                  <c:v>48.122821773334486</c:v>
                </c:pt>
                <c:pt idx="203">
                  <c:v>45.535327429513274</c:v>
                </c:pt>
                <c:pt idx="204">
                  <c:v>55.439570669776472</c:v>
                </c:pt>
                <c:pt idx="205">
                  <c:v>29.246930037595632</c:v>
                </c:pt>
                <c:pt idx="206">
                  <c:v>51.833058301997518</c:v>
                </c:pt>
                <c:pt idx="207">
                  <c:v>58.666231554566892</c:v>
                </c:pt>
                <c:pt idx="208">
                  <c:v>46.094297250846736</c:v>
                </c:pt>
                <c:pt idx="209">
                  <c:v>28.634556168913413</c:v>
                </c:pt>
                <c:pt idx="210">
                  <c:v>47.096202425569842</c:v>
                </c:pt>
                <c:pt idx="211">
                  <c:v>57.6743515618519</c:v>
                </c:pt>
                <c:pt idx="212">
                  <c:v>57.169013512170032</c:v>
                </c:pt>
                <c:pt idx="213">
                  <c:v>57.180325304685624</c:v>
                </c:pt>
                <c:pt idx="214">
                  <c:v>56.774776352674706</c:v>
                </c:pt>
                <c:pt idx="215">
                  <c:v>54.163570268277496</c:v>
                </c:pt>
                <c:pt idx="216">
                  <c:v>43.235559870952109</c:v>
                </c:pt>
                <c:pt idx="217">
                  <c:v>51.588997975601629</c:v>
                </c:pt>
                <c:pt idx="218">
                  <c:v>54.394069129519352</c:v>
                </c:pt>
                <c:pt idx="219">
                  <c:v>55.804707124396614</c:v>
                </c:pt>
                <c:pt idx="220">
                  <c:v>53.205097603182246</c:v>
                </c:pt>
                <c:pt idx="221">
                  <c:v>51.671136410538232</c:v>
                </c:pt>
                <c:pt idx="222">
                  <c:v>48.765134340388457</c:v>
                </c:pt>
                <c:pt idx="223">
                  <c:v>0</c:v>
                </c:pt>
                <c:pt idx="224">
                  <c:v>36.243493844625199</c:v>
                </c:pt>
                <c:pt idx="225">
                  <c:v>36.310362104463131</c:v>
                </c:pt>
                <c:pt idx="226">
                  <c:v>36.723665922572472</c:v>
                </c:pt>
                <c:pt idx="227">
                  <c:v>38.037331994290241</c:v>
                </c:pt>
                <c:pt idx="228">
                  <c:v>26.458122674849719</c:v>
                </c:pt>
                <c:pt idx="229">
                  <c:v>40.371109232559313</c:v>
                </c:pt>
                <c:pt idx="230">
                  <c:v>39.966259480806293</c:v>
                </c:pt>
                <c:pt idx="231">
                  <c:v>52.159033458953452</c:v>
                </c:pt>
                <c:pt idx="232">
                  <c:v>37.639545680147187</c:v>
                </c:pt>
                <c:pt idx="233">
                  <c:v>27.532786262259542</c:v>
                </c:pt>
                <c:pt idx="234">
                  <c:v>46.576652435284736</c:v>
                </c:pt>
                <c:pt idx="235">
                  <c:v>50.588703584850997</c:v>
                </c:pt>
                <c:pt idx="236">
                  <c:v>32.447477908673122</c:v>
                </c:pt>
                <c:pt idx="237">
                  <c:v>37.397078692906405</c:v>
                </c:pt>
                <c:pt idx="238">
                  <c:v>47.145435334005263</c:v>
                </c:pt>
                <c:pt idx="239">
                  <c:v>49.563175295143985</c:v>
                </c:pt>
                <c:pt idx="240">
                  <c:v>34.639618521622396</c:v>
                </c:pt>
                <c:pt idx="241">
                  <c:v>48.613415427019092</c:v>
                </c:pt>
                <c:pt idx="242">
                  <c:v>24.61272944499763</c:v>
                </c:pt>
                <c:pt idx="243">
                  <c:v>42.322602059950349</c:v>
                </c:pt>
                <c:pt idx="244">
                  <c:v>40.006169393371408</c:v>
                </c:pt>
                <c:pt idx="245">
                  <c:v>36.804903577113841</c:v>
                </c:pt>
                <c:pt idx="246">
                  <c:v>48.259908040003062</c:v>
                </c:pt>
                <c:pt idx="247">
                  <c:v>40.383996721888515</c:v>
                </c:pt>
                <c:pt idx="248">
                  <c:v>44.018690155658078</c:v>
                </c:pt>
                <c:pt idx="249">
                  <c:v>36.094702904239988</c:v>
                </c:pt>
                <c:pt idx="250">
                  <c:v>40.145511022569366</c:v>
                </c:pt>
                <c:pt idx="251">
                  <c:v>19.126481085377439</c:v>
                </c:pt>
                <c:pt idx="252">
                  <c:v>44.588625050757379</c:v>
                </c:pt>
                <c:pt idx="253">
                  <c:v>46.129046165604485</c:v>
                </c:pt>
                <c:pt idx="254">
                  <c:v>35.831924185377282</c:v>
                </c:pt>
                <c:pt idx="255">
                  <c:v>13.73488672074509</c:v>
                </c:pt>
                <c:pt idx="256">
                  <c:v>36.906912649805989</c:v>
                </c:pt>
                <c:pt idx="257">
                  <c:v>41.926467089916272</c:v>
                </c:pt>
                <c:pt idx="258">
                  <c:v>28.173984316367985</c:v>
                </c:pt>
                <c:pt idx="259">
                  <c:v>45.239680633987284</c:v>
                </c:pt>
                <c:pt idx="260">
                  <c:v>44.314343156809478</c:v>
                </c:pt>
                <c:pt idx="261">
                  <c:v>44.66556552769746</c:v>
                </c:pt>
                <c:pt idx="262">
                  <c:v>45.019700803249002</c:v>
                </c:pt>
                <c:pt idx="263">
                  <c:v>43.690869724807953</c:v>
                </c:pt>
                <c:pt idx="264">
                  <c:v>42.468678567988221</c:v>
                </c:pt>
                <c:pt idx="265">
                  <c:v>31.121077732157335</c:v>
                </c:pt>
                <c:pt idx="266">
                  <c:v>19.223899387156212</c:v>
                </c:pt>
                <c:pt idx="267">
                  <c:v>30.771314924505599</c:v>
                </c:pt>
                <c:pt idx="268">
                  <c:v>33.188008501372018</c:v>
                </c:pt>
                <c:pt idx="269">
                  <c:v>16.24119230185913</c:v>
                </c:pt>
                <c:pt idx="270">
                  <c:v>18.553957386910277</c:v>
                </c:pt>
                <c:pt idx="271">
                  <c:v>24.013586039846945</c:v>
                </c:pt>
                <c:pt idx="272">
                  <c:v>25.751646372899053</c:v>
                </c:pt>
                <c:pt idx="273">
                  <c:v>35.148347639512636</c:v>
                </c:pt>
                <c:pt idx="274">
                  <c:v>36.553497586330785</c:v>
                </c:pt>
                <c:pt idx="275">
                  <c:v>33.103158197482706</c:v>
                </c:pt>
                <c:pt idx="276">
                  <c:v>38.55696453937243</c:v>
                </c:pt>
                <c:pt idx="277">
                  <c:v>38.809671853125714</c:v>
                </c:pt>
                <c:pt idx="278">
                  <c:v>15.555433689138411</c:v>
                </c:pt>
                <c:pt idx="279">
                  <c:v>29.879192899832532</c:v>
                </c:pt>
                <c:pt idx="280">
                  <c:v>15.110980085241589</c:v>
                </c:pt>
                <c:pt idx="281">
                  <c:v>35.289074200271955</c:v>
                </c:pt>
                <c:pt idx="282">
                  <c:v>30.897753073177391</c:v>
                </c:pt>
                <c:pt idx="283">
                  <c:v>24.849711189061903</c:v>
                </c:pt>
                <c:pt idx="284">
                  <c:v>24.754863439396971</c:v>
                </c:pt>
                <c:pt idx="285">
                  <c:v>22.423645011709009</c:v>
                </c:pt>
                <c:pt idx="286">
                  <c:v>15.072249743743487</c:v>
                </c:pt>
                <c:pt idx="287">
                  <c:v>33.594356312215417</c:v>
                </c:pt>
                <c:pt idx="288">
                  <c:v>29.450768809342335</c:v>
                </c:pt>
                <c:pt idx="289">
                  <c:v>16.598077440784767</c:v>
                </c:pt>
                <c:pt idx="290">
                  <c:v>29.610161102512539</c:v>
                </c:pt>
                <c:pt idx="291">
                  <c:v>16.540871617133725</c:v>
                </c:pt>
                <c:pt idx="292">
                  <c:v>8.7015264390150424</c:v>
                </c:pt>
                <c:pt idx="293">
                  <c:v>16.823790984026633</c:v>
                </c:pt>
                <c:pt idx="294">
                  <c:v>28.838929503514564</c:v>
                </c:pt>
                <c:pt idx="295">
                  <c:v>18.803330673385382</c:v>
                </c:pt>
                <c:pt idx="296">
                  <c:v>24.391017860664359</c:v>
                </c:pt>
                <c:pt idx="297">
                  <c:v>20.497462166320936</c:v>
                </c:pt>
                <c:pt idx="298">
                  <c:v>15.317510450870904</c:v>
                </c:pt>
                <c:pt idx="299">
                  <c:v>14.483168909242032</c:v>
                </c:pt>
                <c:pt idx="300">
                  <c:v>16.658865939695431</c:v>
                </c:pt>
                <c:pt idx="301">
                  <c:v>23.436816045290879</c:v>
                </c:pt>
                <c:pt idx="302">
                  <c:v>20.522870165043305</c:v>
                </c:pt>
                <c:pt idx="303">
                  <c:v>19.686280231419271</c:v>
                </c:pt>
                <c:pt idx="304">
                  <c:v>17.949883914672853</c:v>
                </c:pt>
                <c:pt idx="305">
                  <c:v>24.845560209546271</c:v>
                </c:pt>
                <c:pt idx="306">
                  <c:v>9.011387997500405</c:v>
                </c:pt>
                <c:pt idx="307">
                  <c:v>12.503619458603163</c:v>
                </c:pt>
                <c:pt idx="308">
                  <c:v>25.190948258761491</c:v>
                </c:pt>
                <c:pt idx="309">
                  <c:v>25.244958554342048</c:v>
                </c:pt>
                <c:pt idx="310">
                  <c:v>25.038144595302391</c:v>
                </c:pt>
                <c:pt idx="311">
                  <c:v>18.11189598554374</c:v>
                </c:pt>
                <c:pt idx="312">
                  <c:v>10.100048194225042</c:v>
                </c:pt>
                <c:pt idx="313">
                  <c:v>18.363128051784646</c:v>
                </c:pt>
                <c:pt idx="314">
                  <c:v>21.843685114435729</c:v>
                </c:pt>
                <c:pt idx="315">
                  <c:v>21.972211505877798</c:v>
                </c:pt>
                <c:pt idx="316">
                  <c:v>20.920743013269789</c:v>
                </c:pt>
                <c:pt idx="317">
                  <c:v>11.304481202612525</c:v>
                </c:pt>
                <c:pt idx="318">
                  <c:v>12.835261638821992</c:v>
                </c:pt>
                <c:pt idx="319">
                  <c:v>21.437697548944431</c:v>
                </c:pt>
                <c:pt idx="320">
                  <c:v>14.091908082997103</c:v>
                </c:pt>
                <c:pt idx="321">
                  <c:v>11.680767147283451</c:v>
                </c:pt>
                <c:pt idx="322">
                  <c:v>8.3828818740440099</c:v>
                </c:pt>
                <c:pt idx="323">
                  <c:v>15.090541303899109</c:v>
                </c:pt>
                <c:pt idx="324">
                  <c:v>3.4365787294418846</c:v>
                </c:pt>
                <c:pt idx="325">
                  <c:v>9.6430836516671317</c:v>
                </c:pt>
                <c:pt idx="326">
                  <c:v>12.861263195224023</c:v>
                </c:pt>
                <c:pt idx="327">
                  <c:v>11.958046916359535</c:v>
                </c:pt>
                <c:pt idx="328">
                  <c:v>4.853385483900742</c:v>
                </c:pt>
                <c:pt idx="329">
                  <c:v>9.7062948739846426</c:v>
                </c:pt>
                <c:pt idx="330">
                  <c:v>13.876889008719553</c:v>
                </c:pt>
                <c:pt idx="331">
                  <c:v>9.4764399163238764</c:v>
                </c:pt>
                <c:pt idx="332">
                  <c:v>10.50365732965442</c:v>
                </c:pt>
                <c:pt idx="333">
                  <c:v>4.4999317536267585</c:v>
                </c:pt>
                <c:pt idx="334">
                  <c:v>4.2467711574729785</c:v>
                </c:pt>
                <c:pt idx="335">
                  <c:v>5.4189404422502179</c:v>
                </c:pt>
                <c:pt idx="336">
                  <c:v>9.7459134495969746</c:v>
                </c:pt>
                <c:pt idx="337">
                  <c:v>13.032364173409505</c:v>
                </c:pt>
                <c:pt idx="338">
                  <c:v>18.060864830196493</c:v>
                </c:pt>
                <c:pt idx="339">
                  <c:v>11.797965579167403</c:v>
                </c:pt>
                <c:pt idx="340">
                  <c:v>14.473347956546611</c:v>
                </c:pt>
                <c:pt idx="341">
                  <c:v>4.6629895715977447</c:v>
                </c:pt>
                <c:pt idx="342">
                  <c:v>7.7640629481997916</c:v>
                </c:pt>
                <c:pt idx="343">
                  <c:v>11.306341174636167</c:v>
                </c:pt>
                <c:pt idx="344">
                  <c:v>12.857056303270731</c:v>
                </c:pt>
                <c:pt idx="345">
                  <c:v>5.8871536649456537</c:v>
                </c:pt>
                <c:pt idx="346">
                  <c:v>5.5459999207135215</c:v>
                </c:pt>
                <c:pt idx="347">
                  <c:v>12.629808221967142</c:v>
                </c:pt>
                <c:pt idx="348">
                  <c:v>6.7457378321076407</c:v>
                </c:pt>
                <c:pt idx="349">
                  <c:v>5.6613610638095917</c:v>
                </c:pt>
                <c:pt idx="350">
                  <c:v>3.6556090612488714</c:v>
                </c:pt>
                <c:pt idx="351">
                  <c:v>14.711630001402252</c:v>
                </c:pt>
                <c:pt idx="352">
                  <c:v>14.086034445142907</c:v>
                </c:pt>
                <c:pt idx="353">
                  <c:v>4.2524567033195364</c:v>
                </c:pt>
                <c:pt idx="354">
                  <c:v>15.080353726998931</c:v>
                </c:pt>
                <c:pt idx="355">
                  <c:v>15.012345120478027</c:v>
                </c:pt>
                <c:pt idx="356">
                  <c:v>14.730217879491903</c:v>
                </c:pt>
                <c:pt idx="357">
                  <c:v>15.937586438071776</c:v>
                </c:pt>
                <c:pt idx="358">
                  <c:v>8.8380699209813276</c:v>
                </c:pt>
                <c:pt idx="359">
                  <c:v>14.770280715618249</c:v>
                </c:pt>
                <c:pt idx="360">
                  <c:v>6.3568440208703176</c:v>
                </c:pt>
                <c:pt idx="361">
                  <c:v>13.020507078829972</c:v>
                </c:pt>
                <c:pt idx="362">
                  <c:v>9.9210165843098661</c:v>
                </c:pt>
                <c:pt idx="363">
                  <c:v>11.887208684618493</c:v>
                </c:pt>
                <c:pt idx="364">
                  <c:v>10.809327754424178</c:v>
                </c:pt>
                <c:pt idx="365">
                  <c:v>12.100991362468408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1904"/>
        <c:axId val="232812296"/>
      </c:lineChart>
      <c:dateAx>
        <c:axId val="232811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2296"/>
        <c:crosses val="autoZero"/>
        <c:auto val="1"/>
        <c:lblOffset val="100"/>
        <c:baseTimeUnit val="days"/>
        <c:majorUnit val="1"/>
        <c:majorTimeUnit val="months"/>
      </c:dateAx>
      <c:valAx>
        <c:axId val="2328122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19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564897897133484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1.5430700149724919E-2</c:v>
                </c:pt>
                <c:pt idx="1">
                  <c:v>1.5444178076636228E-2</c:v>
                </c:pt>
                <c:pt idx="2">
                  <c:v>1.5457655819046123E-2</c:v>
                </c:pt>
                <c:pt idx="3">
                  <c:v>1.5471133376956936E-2</c:v>
                </c:pt>
                <c:pt idx="4">
                  <c:v>1.548461075037133E-2</c:v>
                </c:pt>
                <c:pt idx="5">
                  <c:v>1.5498087939291749E-2</c:v>
                </c:pt>
                <c:pt idx="6">
                  <c:v>1.5511564943720857E-2</c:v>
                </c:pt>
                <c:pt idx="7">
                  <c:v>1.5525041763660985E-2</c:v>
                </c:pt>
                <c:pt idx="8">
                  <c:v>1.5538518399114909E-2</c:v>
                </c:pt>
                <c:pt idx="9">
                  <c:v>1.5551994850084849E-2</c:v>
                </c:pt>
                <c:pt idx="10">
                  <c:v>1.5565471116573582E-2</c:v>
                </c:pt>
                <c:pt idx="11">
                  <c:v>1.5578947198583548E-2</c:v>
                </c:pt>
                <c:pt idx="12">
                  <c:v>1.5592423096117303E-2</c:v>
                </c:pt>
                <c:pt idx="13">
                  <c:v>1.5605898809177288E-2</c:v>
                </c:pt>
                <c:pt idx="14">
                  <c:v>1.5619374337766057E-2</c:v>
                </c:pt>
                <c:pt idx="15">
                  <c:v>1.5632849681886163E-2</c:v>
                </c:pt>
                <c:pt idx="16">
                  <c:v>1.564632484154016E-2</c:v>
                </c:pt>
                <c:pt idx="17">
                  <c:v>1.5659799816730491E-2</c:v>
                </c:pt>
                <c:pt idx="18">
                  <c:v>1.5673274607459708E-2</c:v>
                </c:pt>
                <c:pt idx="19">
                  <c:v>1.5686749213730478E-2</c:v>
                </c:pt>
                <c:pt idx="20">
                  <c:v>1.570022363554513E-2</c:v>
                </c:pt>
                <c:pt idx="21">
                  <c:v>1.5713697872906218E-2</c:v>
                </c:pt>
                <c:pt idx="22">
                  <c:v>1.5727171925816297E-2</c:v>
                </c:pt>
                <c:pt idx="23">
                  <c:v>1.574064579427803E-2</c:v>
                </c:pt>
                <c:pt idx="24">
                  <c:v>1.5754119478293749E-2</c:v>
                </c:pt>
                <c:pt idx="25">
                  <c:v>1.5767592977866007E-2</c:v>
                </c:pt>
                <c:pt idx="26">
                  <c:v>1.578106629299747E-2</c:v>
                </c:pt>
                <c:pt idx="27">
                  <c:v>1.5794539423690468E-2</c:v>
                </c:pt>
                <c:pt idx="28">
                  <c:v>1.5808012369947666E-2</c:v>
                </c:pt>
                <c:pt idx="29">
                  <c:v>1.5821485131771507E-2</c:v>
                </c:pt>
                <c:pt idx="30">
                  <c:v>1.5834957709164654E-2</c:v>
                </c:pt>
                <c:pt idx="31">
                  <c:v>1.584843010212944E-2</c:v>
                </c:pt>
                <c:pt idx="32">
                  <c:v>1.586190231066853E-2</c:v>
                </c:pt>
                <c:pt idx="33">
                  <c:v>1.5875374334784365E-2</c:v>
                </c:pt>
                <c:pt idx="34">
                  <c:v>1.5888846174479498E-2</c:v>
                </c:pt>
                <c:pt idx="35">
                  <c:v>1.5902317829756374E-2</c:v>
                </c:pt>
                <c:pt idx="36">
                  <c:v>1.5915789300617766E-2</c:v>
                </c:pt>
                <c:pt idx="37">
                  <c:v>1.5929260587065897E-2</c:v>
                </c:pt>
                <c:pt idx="38">
                  <c:v>1.594273168910354E-2</c:v>
                </c:pt>
                <c:pt idx="39">
                  <c:v>1.5956202606733028E-2</c:v>
                </c:pt>
                <c:pt idx="40">
                  <c:v>1.5969673339957025E-2</c:v>
                </c:pt>
                <c:pt idx="41">
                  <c:v>1.5983143888777973E-2</c:v>
                </c:pt>
                <c:pt idx="42">
                  <c:v>1.5996614253198427E-2</c:v>
                </c:pt>
                <c:pt idx="43">
                  <c:v>1.6010084433220939E-2</c:v>
                </c:pt>
                <c:pt idx="44">
                  <c:v>1.6023554428847953E-2</c:v>
                </c:pt>
                <c:pt idx="45">
                  <c:v>1.6037024240082021E-2</c:v>
                </c:pt>
                <c:pt idx="46">
                  <c:v>1.6050493866925697E-2</c:v>
                </c:pt>
                <c:pt idx="47">
                  <c:v>1.6063963309381535E-2</c:v>
                </c:pt>
                <c:pt idx="48">
                  <c:v>1.6077432567451977E-2</c:v>
                </c:pt>
                <c:pt idx="49">
                  <c:v>1.6090901641139577E-2</c:v>
                </c:pt>
                <c:pt idx="50">
                  <c:v>1.6104370530446888E-2</c:v>
                </c:pt>
                <c:pt idx="51">
                  <c:v>1.6117839235376352E-2</c:v>
                </c:pt>
                <c:pt idx="52">
                  <c:v>1.6131307755930635E-2</c:v>
                </c:pt>
                <c:pt idx="53">
                  <c:v>1.6144776092112179E-2</c:v>
                </c:pt>
                <c:pt idx="54">
                  <c:v>1.6158244243923536E-2</c:v>
                </c:pt>
                <c:pt idx="55">
                  <c:v>1.6171712211367151E-2</c:v>
                </c:pt>
                <c:pt idx="56">
                  <c:v>1.6185179994445575E-2</c:v>
                </c:pt>
                <c:pt idx="57">
                  <c:v>1.6198647593161364E-2</c:v>
                </c:pt>
                <c:pt idx="58">
                  <c:v>1.6212115007517069E-2</c:v>
                </c:pt>
                <c:pt idx="59">
                  <c:v>1.6225582237515246E-2</c:v>
                </c:pt>
                <c:pt idx="60">
                  <c:v>1.6239049283158224E-2</c:v>
                </c:pt>
                <c:pt idx="61">
                  <c:v>1.6252516144448781E-2</c:v>
                </c:pt>
                <c:pt idx="62">
                  <c:v>1.6265982821389247E-2</c:v>
                </c:pt>
                <c:pt idx="63">
                  <c:v>1.6279449313982175E-2</c:v>
                </c:pt>
                <c:pt idx="64">
                  <c:v>1.6292915622230231E-2</c:v>
                </c:pt>
                <c:pt idx="65">
                  <c:v>1.6306381746135745E-2</c:v>
                </c:pt>
                <c:pt idx="66">
                  <c:v>1.6319847685701383E-2</c:v>
                </c:pt>
                <c:pt idx="67">
                  <c:v>1.6333313440929587E-2</c:v>
                </c:pt>
                <c:pt idx="68">
                  <c:v>1.6346779011822909E-2</c:v>
                </c:pt>
                <c:pt idx="69">
                  <c:v>1.6360244398383905E-2</c:v>
                </c:pt>
                <c:pt idx="70">
                  <c:v>1.6373709600615127E-2</c:v>
                </c:pt>
                <c:pt idx="71">
                  <c:v>1.6387174618518907E-2</c:v>
                </c:pt>
                <c:pt idx="72">
                  <c:v>1.6400639452097909E-2</c:v>
                </c:pt>
                <c:pt idx="73">
                  <c:v>1.6414104101354687E-2</c:v>
                </c:pt>
                <c:pt idx="74">
                  <c:v>1.6427568566291795E-2</c:v>
                </c:pt>
                <c:pt idx="75">
                  <c:v>1.6441032846911563E-2</c:v>
                </c:pt>
                <c:pt idx="76">
                  <c:v>1.6454496943216768E-2</c:v>
                </c:pt>
                <c:pt idx="77">
                  <c:v>1.6467960855209629E-2</c:v>
                </c:pt>
                <c:pt idx="78">
                  <c:v>1.6481424582893034E-2</c:v>
                </c:pt>
                <c:pt idx="79">
                  <c:v>1.6494888126269203E-2</c:v>
                </c:pt>
                <c:pt idx="80">
                  <c:v>1.65083514853408E-2</c:v>
                </c:pt>
                <c:pt idx="81">
                  <c:v>1.6521814660110268E-2</c:v>
                </c:pt>
                <c:pt idx="82">
                  <c:v>1.653527765058016E-2</c:v>
                </c:pt>
                <c:pt idx="83">
                  <c:v>1.6548740456753142E-2</c:v>
                </c:pt>
                <c:pt idx="84">
                  <c:v>1.6562203078631543E-2</c:v>
                </c:pt>
                <c:pt idx="85">
                  <c:v>1.6575665516217919E-2</c:v>
                </c:pt>
                <c:pt idx="86">
                  <c:v>1.6589127769514822E-2</c:v>
                </c:pt>
                <c:pt idx="87">
                  <c:v>1.6602589838524806E-2</c:v>
                </c:pt>
                <c:pt idx="88">
                  <c:v>1.6616051723250425E-2</c:v>
                </c:pt>
                <c:pt idx="89">
                  <c:v>1.662951342369412E-2</c:v>
                </c:pt>
                <c:pt idx="90">
                  <c:v>1.6642974939858446E-2</c:v>
                </c:pt>
                <c:pt idx="91">
                  <c:v>1.6656436271745845E-2</c:v>
                </c:pt>
                <c:pt idx="92">
                  <c:v>1.6669897419358981E-2</c:v>
                </c:pt>
                <c:pt idx="93">
                  <c:v>1.6683358382700297E-2</c:v>
                </c:pt>
                <c:pt idx="94">
                  <c:v>1.6696819161772347E-2</c:v>
                </c:pt>
                <c:pt idx="95">
                  <c:v>1.6710279756577684E-2</c:v>
                </c:pt>
                <c:pt idx="96">
                  <c:v>1.672374016711875E-2</c:v>
                </c:pt>
                <c:pt idx="97">
                  <c:v>1.6737200393397988E-2</c:v>
                </c:pt>
                <c:pt idx="98">
                  <c:v>1.6750660435418174E-2</c:v>
                </c:pt>
                <c:pt idx="99">
                  <c:v>1.6764120293181639E-2</c:v>
                </c:pt>
                <c:pt idx="100">
                  <c:v>1.6777579966690936E-2</c:v>
                </c:pt>
                <c:pt idx="101">
                  <c:v>1.679103945594862E-2</c:v>
                </c:pt>
                <c:pt idx="102">
                  <c:v>1.6804498760957132E-2</c:v>
                </c:pt>
                <c:pt idx="103">
                  <c:v>1.6817957881719137E-2</c:v>
                </c:pt>
                <c:pt idx="104">
                  <c:v>1.6831416818237077E-2</c:v>
                </c:pt>
                <c:pt idx="105">
                  <c:v>1.6844875570513507E-2</c:v>
                </c:pt>
                <c:pt idx="106">
                  <c:v>1.6858334138550868E-2</c:v>
                </c:pt>
                <c:pt idx="107">
                  <c:v>1.6871792522351714E-2</c:v>
                </c:pt>
                <c:pt idx="108">
                  <c:v>1.6885250721918599E-2</c:v>
                </c:pt>
                <c:pt idx="109">
                  <c:v>1.6898708737254076E-2</c:v>
                </c:pt>
                <c:pt idx="110">
                  <c:v>1.6912166568360587E-2</c:v>
                </c:pt>
                <c:pt idx="111">
                  <c:v>1.6925624215240687E-2</c:v>
                </c:pt>
                <c:pt idx="112">
                  <c:v>1.6939081677896928E-2</c:v>
                </c:pt>
                <c:pt idx="113">
                  <c:v>1.6952538956331864E-2</c:v>
                </c:pt>
                <c:pt idx="114">
                  <c:v>1.6965996050547827E-2</c:v>
                </c:pt>
                <c:pt idx="115">
                  <c:v>1.6979452960547592E-2</c:v>
                </c:pt>
                <c:pt idx="116">
                  <c:v>1.6992909686333491E-2</c:v>
                </c:pt>
                <c:pt idx="117">
                  <c:v>1.7006366227908187E-2</c:v>
                </c:pt>
                <c:pt idx="118">
                  <c:v>1.7019822585274014E-2</c:v>
                </c:pt>
                <c:pt idx="119">
                  <c:v>1.7033278758433634E-2</c:v>
                </c:pt>
                <c:pt idx="120">
                  <c:v>1.7046734747389602E-2</c:v>
                </c:pt>
                <c:pt idx="121">
                  <c:v>1.7060190552144361E-2</c:v>
                </c:pt>
                <c:pt idx="122">
                  <c:v>1.7073646172700463E-2</c:v>
                </c:pt>
                <c:pt idx="123">
                  <c:v>1.7087101609060462E-2</c:v>
                </c:pt>
                <c:pt idx="124">
                  <c:v>1.710055686122669E-2</c:v>
                </c:pt>
                <c:pt idx="125">
                  <c:v>1.7114011929201922E-2</c:v>
                </c:pt>
                <c:pt idx="126">
                  <c:v>1.7127466812988601E-2</c:v>
                </c:pt>
                <c:pt idx="127">
                  <c:v>1.7140921512589169E-2</c:v>
                </c:pt>
                <c:pt idx="128">
                  <c:v>1.715437602800618E-2</c:v>
                </c:pt>
                <c:pt idx="129">
                  <c:v>1.7167830359242187E-2</c:v>
                </c:pt>
                <c:pt idx="130">
                  <c:v>1.7181284506299743E-2</c:v>
                </c:pt>
                <c:pt idx="131">
                  <c:v>1.7194738469181292E-2</c:v>
                </c:pt>
                <c:pt idx="132">
                  <c:v>1.7208192247889387E-2</c:v>
                </c:pt>
                <c:pt idx="133">
                  <c:v>1.722164584242647E-2</c:v>
                </c:pt>
                <c:pt idx="134">
                  <c:v>1.7235099252795316E-2</c:v>
                </c:pt>
                <c:pt idx="135">
                  <c:v>1.7248552478998147E-2</c:v>
                </c:pt>
                <c:pt idx="136">
                  <c:v>1.7262005521037627E-2</c:v>
                </c:pt>
                <c:pt idx="137">
                  <c:v>1.7275458378916198E-2</c:v>
                </c:pt>
                <c:pt idx="138">
                  <c:v>1.7288911052636524E-2</c:v>
                </c:pt>
                <c:pt idx="139">
                  <c:v>1.7302363542201049E-2</c:v>
                </c:pt>
                <c:pt idx="140">
                  <c:v>1.7315815847612326E-2</c:v>
                </c:pt>
                <c:pt idx="141">
                  <c:v>1.7329267968872797E-2</c:v>
                </c:pt>
                <c:pt idx="142">
                  <c:v>1.7342719905985016E-2</c:v>
                </c:pt>
                <c:pt idx="143">
                  <c:v>1.7356171658951425E-2</c:v>
                </c:pt>
                <c:pt idx="144">
                  <c:v>1.73696232277748E-2</c:v>
                </c:pt>
                <c:pt idx="145">
                  <c:v>1.7383074612457361E-2</c:v>
                </c:pt>
                <c:pt idx="146">
                  <c:v>1.7396525813001773E-2</c:v>
                </c:pt>
                <c:pt idx="147">
                  <c:v>1.7409976829410589E-2</c:v>
                </c:pt>
                <c:pt idx="148">
                  <c:v>1.7423427661686253E-2</c:v>
                </c:pt>
                <c:pt idx="149">
                  <c:v>1.7436878309831427E-2</c:v>
                </c:pt>
                <c:pt idx="150">
                  <c:v>1.7450328773848445E-2</c:v>
                </c:pt>
                <c:pt idx="151">
                  <c:v>1.7463779053739859E-2</c:v>
                </c:pt>
                <c:pt idx="152">
                  <c:v>1.7477229149508333E-2</c:v>
                </c:pt>
                <c:pt idx="153">
                  <c:v>1.74906790611562E-2</c:v>
                </c:pt>
                <c:pt idx="154">
                  <c:v>1.7504128788686124E-2</c:v>
                </c:pt>
                <c:pt idx="155">
                  <c:v>1.7517578332100547E-2</c:v>
                </c:pt>
                <c:pt idx="156">
                  <c:v>1.7531027691402024E-2</c:v>
                </c:pt>
                <c:pt idx="157">
                  <c:v>1.7544476866592995E-2</c:v>
                </c:pt>
                <c:pt idx="158">
                  <c:v>1.7557925857676127E-2</c:v>
                </c:pt>
                <c:pt idx="159">
                  <c:v>1.757137466465386E-2</c:v>
                </c:pt>
                <c:pt idx="160">
                  <c:v>1.758482328752875E-2</c:v>
                </c:pt>
                <c:pt idx="161">
                  <c:v>1.7598271726303238E-2</c:v>
                </c:pt>
                <c:pt idx="162">
                  <c:v>1.761171998097999E-2</c:v>
                </c:pt>
                <c:pt idx="163">
                  <c:v>1.7625168051561335E-2</c:v>
                </c:pt>
                <c:pt idx="164">
                  <c:v>1.7638615938049829E-2</c:v>
                </c:pt>
                <c:pt idx="165">
                  <c:v>1.7652063640448135E-2</c:v>
                </c:pt>
                <c:pt idx="166">
                  <c:v>1.7665511158758695E-2</c:v>
                </c:pt>
                <c:pt idx="167">
                  <c:v>1.7678958492984065E-2</c:v>
                </c:pt>
                <c:pt idx="168">
                  <c:v>1.7692405643126574E-2</c:v>
                </c:pt>
                <c:pt idx="169">
                  <c:v>1.7705852609188999E-2</c:v>
                </c:pt>
                <c:pt idx="170">
                  <c:v>1.7719299391173782E-2</c:v>
                </c:pt>
                <c:pt idx="171">
                  <c:v>1.7732745989083365E-2</c:v>
                </c:pt>
                <c:pt idx="172">
                  <c:v>1.7746192402920302E-2</c:v>
                </c:pt>
                <c:pt idx="173">
                  <c:v>1.7759638632687147E-2</c:v>
                </c:pt>
                <c:pt idx="174">
                  <c:v>1.7773084678386342E-2</c:v>
                </c:pt>
                <c:pt idx="175">
                  <c:v>1.778653054002044E-2</c:v>
                </c:pt>
                <c:pt idx="176">
                  <c:v>1.7799976217592106E-2</c:v>
                </c:pt>
                <c:pt idx="177">
                  <c:v>1.7813421711103672E-2</c:v>
                </c:pt>
                <c:pt idx="178">
                  <c:v>1.7826867020557691E-2</c:v>
                </c:pt>
                <c:pt idx="179">
                  <c:v>1.7840312145956827E-2</c:v>
                </c:pt>
                <c:pt idx="180">
                  <c:v>1.7853757087303412E-2</c:v>
                </c:pt>
                <c:pt idx="181">
                  <c:v>1.78672018446E-2</c:v>
                </c:pt>
                <c:pt idx="182">
                  <c:v>1.7880646417849144E-2</c:v>
                </c:pt>
                <c:pt idx="183">
                  <c:v>1.7894090807053509E-2</c:v>
                </c:pt>
                <c:pt idx="184">
                  <c:v>1.7907535012215314E-2</c:v>
                </c:pt>
                <c:pt idx="185">
                  <c:v>1.7920979033337336E-2</c:v>
                </c:pt>
                <c:pt idx="186">
                  <c:v>1.7934422870422018E-2</c:v>
                </c:pt>
                <c:pt idx="187">
                  <c:v>1.79478665234718E-2</c:v>
                </c:pt>
                <c:pt idx="188">
                  <c:v>1.7961309992489238E-2</c:v>
                </c:pt>
                <c:pt idx="189">
                  <c:v>1.7974753277476885E-2</c:v>
                </c:pt>
                <c:pt idx="190">
                  <c:v>1.7988196378437293E-2</c:v>
                </c:pt>
                <c:pt idx="191">
                  <c:v>1.8001639295372907E-2</c:v>
                </c:pt>
                <c:pt idx="192">
                  <c:v>1.8015082028286278E-2</c:v>
                </c:pt>
                <c:pt idx="193">
                  <c:v>1.8028524577179961E-2</c:v>
                </c:pt>
                <c:pt idx="194">
                  <c:v>1.8041966942056398E-2</c:v>
                </c:pt>
                <c:pt idx="195">
                  <c:v>1.8055409122918253E-2</c:v>
                </c:pt>
                <c:pt idx="196">
                  <c:v>1.8068851119767859E-2</c:v>
                </c:pt>
                <c:pt idx="197">
                  <c:v>1.8082292932607769E-2</c:v>
                </c:pt>
                <c:pt idx="198">
                  <c:v>1.8095734561440535E-2</c:v>
                </c:pt>
                <c:pt idx="199">
                  <c:v>1.8109176006268823E-2</c:v>
                </c:pt>
                <c:pt idx="200">
                  <c:v>1.8122617267094965E-2</c:v>
                </c:pt>
                <c:pt idx="201">
                  <c:v>1.8136058343921513E-2</c:v>
                </c:pt>
                <c:pt idx="202">
                  <c:v>1.814949923675091E-2</c:v>
                </c:pt>
                <c:pt idx="203">
                  <c:v>1.8162939945585932E-2</c:v>
                </c:pt>
                <c:pt idx="204">
                  <c:v>1.8176380470428799E-2</c:v>
                </c:pt>
                <c:pt idx="205">
                  <c:v>1.8189820811282287E-2</c:v>
                </c:pt>
                <c:pt idx="206">
                  <c:v>1.8203260968148727E-2</c:v>
                </c:pt>
                <c:pt idx="207">
                  <c:v>1.8216700941030783E-2</c:v>
                </c:pt>
                <c:pt idx="208">
                  <c:v>1.8230140729930788E-2</c:v>
                </c:pt>
                <c:pt idx="209">
                  <c:v>1.8243580334851406E-2</c:v>
                </c:pt>
                <c:pt idx="210">
                  <c:v>1.825701975579519E-2</c:v>
                </c:pt>
                <c:pt idx="211">
                  <c:v>1.8270458992764471E-2</c:v>
                </c:pt>
                <c:pt idx="212">
                  <c:v>1.8283898045762026E-2</c:v>
                </c:pt>
                <c:pt idx="213">
                  <c:v>1.8297336914790074E-2</c:v>
                </c:pt>
                <c:pt idx="214">
                  <c:v>1.8310775599851392E-2</c:v>
                </c:pt>
                <c:pt idx="215">
                  <c:v>1.8324214100948422E-2</c:v>
                </c:pt>
                <c:pt idx="216">
                  <c:v>1.8337652418083605E-2</c:v>
                </c:pt>
                <c:pt idx="217">
                  <c:v>1.8351090551259497E-2</c:v>
                </c:pt>
                <c:pt idx="218">
                  <c:v>1.836452850047865E-2</c:v>
                </c:pt>
                <c:pt idx="219">
                  <c:v>1.8377966265743506E-2</c:v>
                </c:pt>
                <c:pt idx="220">
                  <c:v>1.8391403847056731E-2</c:v>
                </c:pt>
                <c:pt idx="221">
                  <c:v>1.8404841244420655E-2</c:v>
                </c:pt>
                <c:pt idx="222">
                  <c:v>1.8418278457837944E-2</c:v>
                </c:pt>
                <c:pt idx="223">
                  <c:v>1.8431715487311151E-2</c:v>
                </c:pt>
                <c:pt idx="224">
                  <c:v>1.8445152332842607E-2</c:v>
                </c:pt>
                <c:pt idx="225">
                  <c:v>1.8458588994434977E-2</c:v>
                </c:pt>
                <c:pt idx="226">
                  <c:v>1.8472025472090703E-2</c:v>
                </c:pt>
                <c:pt idx="227">
                  <c:v>1.8485461765812339E-2</c:v>
                </c:pt>
                <c:pt idx="228">
                  <c:v>1.8498897875602438E-2</c:v>
                </c:pt>
                <c:pt idx="229">
                  <c:v>1.8512333801463332E-2</c:v>
                </c:pt>
                <c:pt idx="230">
                  <c:v>1.8525769543397796E-2</c:v>
                </c:pt>
                <c:pt idx="231">
                  <c:v>1.8539205101408274E-2</c:v>
                </c:pt>
                <c:pt idx="232">
                  <c:v>1.8552640475497206E-2</c:v>
                </c:pt>
                <c:pt idx="233">
                  <c:v>1.8566075665667148E-2</c:v>
                </c:pt>
                <c:pt idx="234">
                  <c:v>1.8579510671920652E-2</c:v>
                </c:pt>
                <c:pt idx="235">
                  <c:v>1.859294549426016E-2</c:v>
                </c:pt>
                <c:pt idx="236">
                  <c:v>1.8606380132688227E-2</c:v>
                </c:pt>
                <c:pt idx="237">
                  <c:v>1.8619814587207406E-2</c:v>
                </c:pt>
                <c:pt idx="238">
                  <c:v>1.8633248857820139E-2</c:v>
                </c:pt>
                <c:pt idx="239">
                  <c:v>1.8646682944528981E-2</c:v>
                </c:pt>
                <c:pt idx="240">
                  <c:v>1.8660116847336483E-2</c:v>
                </c:pt>
                <c:pt idx="241">
                  <c:v>1.8673550566245201E-2</c:v>
                </c:pt>
                <c:pt idx="242">
                  <c:v>1.8686984101257464E-2</c:v>
                </c:pt>
                <c:pt idx="243">
                  <c:v>1.870041745237605E-2</c:v>
                </c:pt>
                <c:pt idx="244">
                  <c:v>1.8713850619603289E-2</c:v>
                </c:pt>
                <c:pt idx="245">
                  <c:v>1.8727283602941736E-2</c:v>
                </c:pt>
                <c:pt idx="246">
                  <c:v>1.8740716402393942E-2</c:v>
                </c:pt>
                <c:pt idx="247">
                  <c:v>1.8754149017962352E-2</c:v>
                </c:pt>
                <c:pt idx="248">
                  <c:v>1.8767581449649517E-2</c:v>
                </c:pt>
                <c:pt idx="249">
                  <c:v>1.8781013697457993E-2</c:v>
                </c:pt>
                <c:pt idx="250">
                  <c:v>1.8794445761390333E-2</c:v>
                </c:pt>
                <c:pt idx="251">
                  <c:v>1.8807877641448978E-2</c:v>
                </c:pt>
                <c:pt idx="252">
                  <c:v>1.8821309337636483E-2</c:v>
                </c:pt>
                <c:pt idx="253">
                  <c:v>1.8834740849955289E-2</c:v>
                </c:pt>
                <c:pt idx="254">
                  <c:v>1.8848172178408062E-2</c:v>
                </c:pt>
                <c:pt idx="255">
                  <c:v>1.8861603322997134E-2</c:v>
                </c:pt>
                <c:pt idx="256">
                  <c:v>1.8875034283725167E-2</c:v>
                </c:pt>
                <c:pt idx="257">
                  <c:v>1.8888465060594606E-2</c:v>
                </c:pt>
                <c:pt idx="258">
                  <c:v>1.8901895653608003E-2</c:v>
                </c:pt>
                <c:pt idx="259">
                  <c:v>1.8915326062767801E-2</c:v>
                </c:pt>
                <c:pt idx="260">
                  <c:v>1.8928756288076554E-2</c:v>
                </c:pt>
                <c:pt idx="261">
                  <c:v>1.8942186329536925E-2</c:v>
                </c:pt>
                <c:pt idx="262">
                  <c:v>1.8955616187151247E-2</c:v>
                </c:pt>
                <c:pt idx="263">
                  <c:v>1.8969045860922074E-2</c:v>
                </c:pt>
                <c:pt idx="264">
                  <c:v>1.8982475350851957E-2</c:v>
                </c:pt>
                <c:pt idx="265">
                  <c:v>1.8995904656943452E-2</c:v>
                </c:pt>
                <c:pt idx="266">
                  <c:v>1.9009333779199E-2</c:v>
                </c:pt>
                <c:pt idx="267">
                  <c:v>1.9022762717621156E-2</c:v>
                </c:pt>
                <c:pt idx="268">
                  <c:v>1.903619147221236E-2</c:v>
                </c:pt>
                <c:pt idx="269">
                  <c:v>1.9049620042975168E-2</c:v>
                </c:pt>
                <c:pt idx="270">
                  <c:v>1.9063048429912244E-2</c:v>
                </c:pt>
                <c:pt idx="271">
                  <c:v>1.9076476633025918E-2</c:v>
                </c:pt>
                <c:pt idx="272">
                  <c:v>1.9089904652318745E-2</c:v>
                </c:pt>
                <c:pt idx="273">
                  <c:v>1.9103332487793279E-2</c:v>
                </c:pt>
                <c:pt idx="274">
                  <c:v>1.911676013945196E-2</c:v>
                </c:pt>
                <c:pt idx="275">
                  <c:v>1.9130187607297455E-2</c:v>
                </c:pt>
                <c:pt idx="276">
                  <c:v>1.9143614891332206E-2</c:v>
                </c:pt>
                <c:pt idx="277">
                  <c:v>1.9157041991558654E-2</c:v>
                </c:pt>
                <c:pt idx="278">
                  <c:v>1.9170468907979354E-2</c:v>
                </c:pt>
                <c:pt idx="279">
                  <c:v>1.918389564059686E-2</c:v>
                </c:pt>
                <c:pt idx="280">
                  <c:v>1.9197322189413724E-2</c:v>
                </c:pt>
                <c:pt idx="281">
                  <c:v>1.9210748554432389E-2</c:v>
                </c:pt>
                <c:pt idx="282">
                  <c:v>1.9224174735655408E-2</c:v>
                </c:pt>
                <c:pt idx="283">
                  <c:v>1.9237600733085225E-2</c:v>
                </c:pt>
                <c:pt idx="284">
                  <c:v>1.9251026546724392E-2</c:v>
                </c:pt>
                <c:pt idx="285">
                  <c:v>1.9264452176575575E-2</c:v>
                </c:pt>
                <c:pt idx="286">
                  <c:v>1.9277877622640993E-2</c:v>
                </c:pt>
                <c:pt idx="287">
                  <c:v>1.9291302884923422E-2</c:v>
                </c:pt>
                <c:pt idx="288">
                  <c:v>1.9304727963425306E-2</c:v>
                </c:pt>
                <c:pt idx="289">
                  <c:v>1.9318152858149085E-2</c:v>
                </c:pt>
                <c:pt idx="290">
                  <c:v>1.9331577569097425E-2</c:v>
                </c:pt>
                <c:pt idx="291">
                  <c:v>1.9345002096272657E-2</c:v>
                </c:pt>
                <c:pt idx="292">
                  <c:v>1.9358426439677334E-2</c:v>
                </c:pt>
                <c:pt idx="293">
                  <c:v>1.9371850599314122E-2</c:v>
                </c:pt>
                <c:pt idx="294">
                  <c:v>1.9385274575185463E-2</c:v>
                </c:pt>
                <c:pt idx="295">
                  <c:v>1.9398698367293798E-2</c:v>
                </c:pt>
                <c:pt idx="296">
                  <c:v>1.9412121975641683E-2</c:v>
                </c:pt>
                <c:pt idx="297">
                  <c:v>1.9425545400231559E-2</c:v>
                </c:pt>
                <c:pt idx="298">
                  <c:v>1.9438968641066201E-2</c:v>
                </c:pt>
                <c:pt idx="299">
                  <c:v>1.9452391698147831E-2</c:v>
                </c:pt>
                <c:pt idx="300">
                  <c:v>1.9465814571479112E-2</c:v>
                </c:pt>
                <c:pt idx="301">
                  <c:v>1.9479237261062488E-2</c:v>
                </c:pt>
                <c:pt idx="302">
                  <c:v>1.9492659766900622E-2</c:v>
                </c:pt>
                <c:pt idx="303">
                  <c:v>1.9506082088995846E-2</c:v>
                </c:pt>
                <c:pt idx="304">
                  <c:v>1.9519504227350715E-2</c:v>
                </c:pt>
                <c:pt idx="305">
                  <c:v>1.9532926181967891E-2</c:v>
                </c:pt>
                <c:pt idx="306">
                  <c:v>1.9546347952849707E-2</c:v>
                </c:pt>
                <c:pt idx="307">
                  <c:v>1.9559769539998717E-2</c:v>
                </c:pt>
                <c:pt idx="308">
                  <c:v>1.9573190943417473E-2</c:v>
                </c:pt>
                <c:pt idx="309">
                  <c:v>1.958661216310853E-2</c:v>
                </c:pt>
                <c:pt idx="310">
                  <c:v>1.960003319907444E-2</c:v>
                </c:pt>
                <c:pt idx="311">
                  <c:v>1.9613454051317536E-2</c:v>
                </c:pt>
                <c:pt idx="312">
                  <c:v>1.962687471984037E-2</c:v>
                </c:pt>
                <c:pt idx="313">
                  <c:v>1.9640295204645608E-2</c:v>
                </c:pt>
                <c:pt idx="314">
                  <c:v>1.9653715505735692E-2</c:v>
                </c:pt>
                <c:pt idx="315">
                  <c:v>1.9667135623113174E-2</c:v>
                </c:pt>
                <c:pt idx="316">
                  <c:v>1.9680555556780388E-2</c:v>
                </c:pt>
                <c:pt idx="317">
                  <c:v>1.9693975306740108E-2</c:v>
                </c:pt>
                <c:pt idx="318">
                  <c:v>1.9707394872994666E-2</c:v>
                </c:pt>
                <c:pt idx="319">
                  <c:v>1.9720814255546615E-2</c:v>
                </c:pt>
                <c:pt idx="320">
                  <c:v>1.9734233454398509E-2</c:v>
                </c:pt>
                <c:pt idx="321">
                  <c:v>1.974765246955279E-2</c:v>
                </c:pt>
                <c:pt idx="322">
                  <c:v>1.9761071301012012E-2</c:v>
                </c:pt>
                <c:pt idx="323">
                  <c:v>1.9774489948778728E-2</c:v>
                </c:pt>
                <c:pt idx="324">
                  <c:v>1.9787908412855493E-2</c:v>
                </c:pt>
                <c:pt idx="325">
                  <c:v>1.9801326693244747E-2</c:v>
                </c:pt>
                <c:pt idx="326">
                  <c:v>1.9814744789948935E-2</c:v>
                </c:pt>
                <c:pt idx="327">
                  <c:v>1.9828162702970609E-2</c:v>
                </c:pt>
                <c:pt idx="328">
                  <c:v>1.9841580432312433E-2</c:v>
                </c:pt>
                <c:pt idx="329">
                  <c:v>1.985499797797674E-2</c:v>
                </c:pt>
                <c:pt idx="330">
                  <c:v>1.9868415339966194E-2</c:v>
                </c:pt>
                <c:pt idx="331">
                  <c:v>1.9881832518283127E-2</c:v>
                </c:pt>
                <c:pt idx="332">
                  <c:v>1.9895249512930202E-2</c:v>
                </c:pt>
                <c:pt idx="333">
                  <c:v>1.9908666323909974E-2</c:v>
                </c:pt>
                <c:pt idx="334">
                  <c:v>1.9922082951224773E-2</c:v>
                </c:pt>
                <c:pt idx="335">
                  <c:v>1.9935499394877154E-2</c:v>
                </c:pt>
                <c:pt idx="336">
                  <c:v>1.9948915654869781E-2</c:v>
                </c:pt>
                <c:pt idx="337">
                  <c:v>1.9962331731205096E-2</c:v>
                </c:pt>
                <c:pt idx="338">
                  <c:v>1.9975747623885542E-2</c:v>
                </c:pt>
                <c:pt idx="339">
                  <c:v>1.9989163332913673E-2</c:v>
                </c:pt>
                <c:pt idx="340">
                  <c:v>2.0002578858292042E-2</c:v>
                </c:pt>
                <c:pt idx="341">
                  <c:v>2.0015994200023091E-2</c:v>
                </c:pt>
                <c:pt idx="342">
                  <c:v>2.0029409358109374E-2</c:v>
                </c:pt>
                <c:pt idx="343">
                  <c:v>2.0042824332553444E-2</c:v>
                </c:pt>
                <c:pt idx="344">
                  <c:v>2.0056239123357855E-2</c:v>
                </c:pt>
                <c:pt idx="345">
                  <c:v>2.0069653730524939E-2</c:v>
                </c:pt>
                <c:pt idx="346">
                  <c:v>2.008306815405736E-2</c:v>
                </c:pt>
                <c:pt idx="347">
                  <c:v>2.009648239395756E-2</c:v>
                </c:pt>
                <c:pt idx="348">
                  <c:v>2.0109896450228093E-2</c:v>
                </c:pt>
                <c:pt idx="349">
                  <c:v>2.0123310322871513E-2</c:v>
                </c:pt>
                <c:pt idx="350">
                  <c:v>2.013672401189015E-2</c:v>
                </c:pt>
                <c:pt idx="351">
                  <c:v>2.0150137517286781E-2</c:v>
                </c:pt>
                <c:pt idx="352">
                  <c:v>2.0163550839063737E-2</c:v>
                </c:pt>
                <c:pt idx="353">
                  <c:v>2.0176963977223572E-2</c:v>
                </c:pt>
                <c:pt idx="354">
                  <c:v>2.0190376931768839E-2</c:v>
                </c:pt>
                <c:pt idx="355">
                  <c:v>2.020378970270198E-2</c:v>
                </c:pt>
                <c:pt idx="356">
                  <c:v>2.0217202290025549E-2</c:v>
                </c:pt>
                <c:pt idx="357">
                  <c:v>2.0230614693742099E-2</c:v>
                </c:pt>
                <c:pt idx="358">
                  <c:v>2.0244026913854074E-2</c:v>
                </c:pt>
                <c:pt idx="359">
                  <c:v>2.0257438950364026E-2</c:v>
                </c:pt>
                <c:pt idx="360">
                  <c:v>2.0270850803274509E-2</c:v>
                </c:pt>
                <c:pt idx="361">
                  <c:v>2.0284262472587966E-2</c:v>
                </c:pt>
                <c:pt idx="362">
                  <c:v>2.0297673958306839E-2</c:v>
                </c:pt>
                <c:pt idx="363">
                  <c:v>2.0311085260433903E-2</c:v>
                </c:pt>
                <c:pt idx="364">
                  <c:v>2.032449637897138E-2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3.42727714967953E-2</c:v>
                </c:pt>
                <c:pt idx="1">
                  <c:v>3.4313182254354681E-2</c:v>
                </c:pt>
                <c:pt idx="2">
                  <c:v>3.4353628828264648E-2</c:v>
                </c:pt>
                <c:pt idx="3">
                  <c:v>3.4394103490463984E-2</c:v>
                </c:pt>
                <c:pt idx="4">
                  <c:v>3.4434599512874225E-2</c:v>
                </c:pt>
                <c:pt idx="5">
                  <c:v>3.4475111140040704E-2</c:v>
                </c:pt>
                <c:pt idx="6">
                  <c:v>3.451563355391922E-2</c:v>
                </c:pt>
                <c:pt idx="7">
                  <c:v>3.4556162831405411E-2</c:v>
                </c:pt>
                <c:pt idx="8">
                  <c:v>3.459669589525978E-2</c:v>
                </c:pt>
                <c:pt idx="9">
                  <c:v>3.4637230459129732E-2</c:v>
                </c:pt>
                <c:pt idx="10">
                  <c:v>3.4677764967410804E-2</c:v>
                </c:pt>
                <c:pt idx="11">
                  <c:v>3.4718298530722731E-2</c:v>
                </c:pt>
                <c:pt idx="12">
                  <c:v>3.4758830857800953E-2</c:v>
                </c:pt>
                <c:pt idx="13">
                  <c:v>3.4799362184621013E-2</c:v>
                </c:pt>
                <c:pt idx="14">
                  <c:v>3.4839893201582345E-2</c:v>
                </c:pt>
                <c:pt idx="15">
                  <c:v>3.4880424979578335E-2</c:v>
                </c:pt>
                <c:pt idx="16">
                  <c:v>3.4920958895772014E-2</c:v>
                </c:pt>
                <c:pt idx="17">
                  <c:v>3.496149655988133E-2</c:v>
                </c:pt>
                <c:pt idx="18">
                  <c:v>3.5002039741755017E-2</c:v>
                </c:pt>
                <c:pt idx="19">
                  <c:v>3.5042590300989621E-2</c:v>
                </c:pt>
                <c:pt idx="20">
                  <c:v>3.5083150119300952E-2</c:v>
                </c:pt>
                <c:pt idx="21">
                  <c:v>3.512372103631993E-2</c:v>
                </c:pt>
                <c:pt idx="22">
                  <c:v>3.5164304789432908E-2</c:v>
                </c:pt>
                <c:pt idx="23">
                  <c:v>3.5204902958231997E-2</c:v>
                </c:pt>
                <c:pt idx="24">
                  <c:v>3.5245516914081475E-2</c:v>
                </c:pt>
                <c:pt idx="25">
                  <c:v>3.5286147775242853E-2</c:v>
                </c:pt>
                <c:pt idx="26">
                  <c:v>3.5326796367934482E-2</c:v>
                </c:pt>
                <c:pt idx="27">
                  <c:v>3.536746319363232E-2</c:v>
                </c:pt>
                <c:pt idx="28">
                  <c:v>3.5408148402847527E-2</c:v>
                </c:pt>
                <c:pt idx="29">
                  <c:v>3.5448851775544202E-2</c:v>
                </c:pt>
                <c:pt idx="30">
                  <c:v>3.5489572708288314E-2</c:v>
                </c:pt>
                <c:pt idx="31">
                  <c:v>3.5530310208146829E-2</c:v>
                </c:pt>
                <c:pt idx="32">
                  <c:v>3.5571062893285314E-2</c:v>
                </c:pt>
                <c:pt idx="33">
                  <c:v>3.5611829000143216E-2</c:v>
                </c:pt>
                <c:pt idx="34">
                  <c:v>3.5652606396999756E-2</c:v>
                </c:pt>
                <c:pt idx="35">
                  <c:v>3.5693392603680318E-2</c:v>
                </c:pt>
                <c:pt idx="36">
                  <c:v>3.5734184817093596E-2</c:v>
                </c:pt>
                <c:pt idx="37">
                  <c:v>3.577497994223517E-2</c:v>
                </c:pt>
                <c:pt idx="38">
                  <c:v>3.5815774628242654E-2</c:v>
                </c:pt>
                <c:pt idx="39">
                  <c:v>3.5856565309042972E-2</c:v>
                </c:pt>
                <c:pt idx="40">
                  <c:v>3.5897348248093264E-2</c:v>
                </c:pt>
                <c:pt idx="41">
                  <c:v>3.5938119586683276E-2</c:v>
                </c:pt>
                <c:pt idx="42">
                  <c:v>3.5978875395240667E-2</c:v>
                </c:pt>
                <c:pt idx="43">
                  <c:v>3.6019611727059746E-2</c:v>
                </c:pt>
                <c:pt idx="44">
                  <c:v>3.6060324673860174E-2</c:v>
                </c:pt>
                <c:pt idx="45">
                  <c:v>3.6101010422574603E-2</c:v>
                </c:pt>
                <c:pt idx="46">
                  <c:v>3.6141665312762944E-2</c:v>
                </c:pt>
                <c:pt idx="47">
                  <c:v>3.6182285894056587E-2</c:v>
                </c:pt>
                <c:pt idx="48">
                  <c:v>3.6222868983046712E-2</c:v>
                </c:pt>
                <c:pt idx="49">
                  <c:v>3.6263411719048885E-2</c:v>
                </c:pt>
                <c:pt idx="50">
                  <c:v>3.6303911618198313E-2</c:v>
                </c:pt>
                <c:pt idx="51">
                  <c:v>3.634436662535899E-2</c:v>
                </c:pt>
                <c:pt idx="52">
                  <c:v>3.6384775163362658E-2</c:v>
                </c:pt>
                <c:pt idx="53">
                  <c:v>3.6425136179130846E-2</c:v>
                </c:pt>
                <c:pt idx="54">
                  <c:v>3.6465449186274784E-2</c:v>
                </c:pt>
                <c:pt idx="55">
                  <c:v>3.6505714303812296E-2</c:v>
                </c:pt>
                <c:pt idx="56">
                  <c:v>3.6545932290688254E-2</c:v>
                </c:pt>
                <c:pt idx="57">
                  <c:v>3.658610457583452E-2</c:v>
                </c:pt>
                <c:pt idx="58">
                  <c:v>3.6626233283556534E-2</c:v>
                </c:pt>
                <c:pt idx="59">
                  <c:v>3.6666321254085407E-2</c:v>
                </c:pt>
                <c:pt idx="60">
                  <c:v>3.6706372059186906E-2</c:v>
                </c:pt>
                <c:pt idx="61">
                  <c:v>3.6746390012770462E-2</c:v>
                </c:pt>
                <c:pt idx="62">
                  <c:v>3.6786380176492744E-2</c:v>
                </c:pt>
                <c:pt idx="63">
                  <c:v>3.6826348360399622E-2</c:v>
                </c:pt>
                <c:pt idx="64">
                  <c:v>3.6866301118698395E-2</c:v>
                </c:pt>
                <c:pt idx="65">
                  <c:v>3.6906245740796893E-2</c:v>
                </c:pt>
                <c:pt idx="66">
                  <c:v>3.6946190237788459E-2</c:v>
                </c:pt>
                <c:pt idx="67">
                  <c:v>3.6986143324600408E-2</c:v>
                </c:pt>
                <c:pt idx="68">
                  <c:v>3.7026114398058439E-2</c:v>
                </c:pt>
                <c:pt idx="69">
                  <c:v>3.7066113511150078E-2</c:v>
                </c:pt>
                <c:pt idx="70">
                  <c:v>3.7106151343796849E-2</c:v>
                </c:pt>
                <c:pt idx="71">
                  <c:v>3.7146239170466076E-2</c:v>
                </c:pt>
                <c:pt idx="72">
                  <c:v>3.7186388824970523E-2</c:v>
                </c:pt>
                <c:pt idx="73">
                  <c:v>3.7226612662815461E-2</c:v>
                </c:pt>
                <c:pt idx="74">
                  <c:v>3.7266923521460341E-2</c:v>
                </c:pt>
                <c:pt idx="75">
                  <c:v>3.7307334678863859E-2</c:v>
                </c:pt>
                <c:pt idx="76">
                  <c:v>3.7347859810678848E-2</c:v>
                </c:pt>
                <c:pt idx="77">
                  <c:v>3.7388512946455489E-2</c:v>
                </c:pt>
                <c:pt idx="78">
                  <c:v>3.7429308425200147E-2</c:v>
                </c:pt>
                <c:pt idx="79">
                  <c:v>3.7470260850620565E-2</c:v>
                </c:pt>
                <c:pt idx="80">
                  <c:v>3.7511385046368154E-2</c:v>
                </c:pt>
                <c:pt idx="81">
                  <c:v>3.7552696011564961E-2</c:v>
                </c:pt>
                <c:pt idx="82">
                  <c:v>3.7594208876876013E-2</c:v>
                </c:pt>
                <c:pt idx="83">
                  <c:v>3.7635938861358201E-2</c:v>
                </c:pt>
                <c:pt idx="84">
                  <c:v>3.767790123028579E-2</c:v>
                </c:pt>
                <c:pt idx="85">
                  <c:v>3.7720111254118796E-2</c:v>
                </c:pt>
                <c:pt idx="86">
                  <c:v>3.7762584168746269E-2</c:v>
                </c:pt>
                <c:pt idx="87">
                  <c:v>3.7805335137101034E-2</c:v>
                </c:pt>
                <c:pt idx="88">
                  <c:v>3.7848379212207378E-2</c:v>
                </c:pt>
                <c:pt idx="89">
                  <c:v>3.7891731301687617E-2</c:v>
                </c:pt>
                <c:pt idx="90">
                  <c:v>3.793540613371963E-2</c:v>
                </c:pt>
                <c:pt idx="91">
                  <c:v>3.797941822440469E-2</c:v>
                </c:pt>
                <c:pt idx="92">
                  <c:v>3.8023781846473828E-2</c:v>
                </c:pt>
                <c:pt idx="93">
                  <c:v>3.806851099923219E-2</c:v>
                </c:pt>
                <c:pt idx="94">
                  <c:v>3.8113619379615681E-2</c:v>
                </c:pt>
                <c:pt idx="95">
                  <c:v>3.815912035421077E-2</c:v>
                </c:pt>
                <c:pt idx="96">
                  <c:v>3.8205026932069688E-2</c:v>
                </c:pt>
                <c:pt idx="97">
                  <c:v>3.8251351738137367E-2</c:v>
                </c:pt>
                <c:pt idx="98">
                  <c:v>3.8298106987095813E-2</c:v>
                </c:pt>
                <c:pt idx="99">
                  <c:v>3.8345304457423929E-2</c:v>
                </c:pt>
                <c:pt idx="100">
                  <c:v>3.8392955465468163E-2</c:v>
                </c:pt>
                <c:pt idx="101">
                  <c:v>3.8441070839321557E-2</c:v>
                </c:pt>
                <c:pt idx="102">
                  <c:v>3.8489660892314412E-2</c:v>
                </c:pt>
                <c:pt idx="103">
                  <c:v>3.8538735395930751E-2</c:v>
                </c:pt>
                <c:pt idx="104">
                  <c:v>3.8588303551979716E-2</c:v>
                </c:pt>
                <c:pt idx="105">
                  <c:v>3.8638373963869974E-2</c:v>
                </c:pt>
                <c:pt idx="106">
                  <c:v>3.8688954606858603E-2</c:v>
                </c:pt>
                <c:pt idx="107">
                  <c:v>3.8740052797172304E-2</c:v>
                </c:pt>
                <c:pt idx="108">
                  <c:v>3.8791675159929095E-2</c:v>
                </c:pt>
                <c:pt idx="109">
                  <c:v>3.8843827595821633E-2</c:v>
                </c:pt>
                <c:pt idx="110">
                  <c:v>3.8896515246558662E-2</c:v>
                </c:pt>
                <c:pt idx="111">
                  <c:v>3.8949742459099101E-2</c:v>
                </c:pt>
                <c:pt idx="112">
                  <c:v>3.900351274875196E-2</c:v>
                </c:pt>
                <c:pt idx="113">
                  <c:v>3.9057828761256026E-2</c:v>
                </c:pt>
                <c:pt idx="114">
                  <c:v>3.9112692233993544E-2</c:v>
                </c:pt>
                <c:pt idx="115">
                  <c:v>3.9168103956533119E-2</c:v>
                </c:pt>
                <c:pt idx="116">
                  <c:v>3.9224063730736926E-2</c:v>
                </c:pt>
                <c:pt idx="117">
                  <c:v>3.9280570330706151E-2</c:v>
                </c:pt>
                <c:pt idx="118">
                  <c:v>3.9337621462875547E-2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8.7735356135990924E-3</c:v>
                </c:pt>
                <c:pt idx="1">
                  <c:v>8.6856300625473507E-3</c:v>
                </c:pt>
                <c:pt idx="2">
                  <c:v>8.6059047806512565E-3</c:v>
                </c:pt>
                <c:pt idx="3">
                  <c:v>8.5349488415988155E-3</c:v>
                </c:pt>
                <c:pt idx="4">
                  <c:v>8.4732850483777954E-3</c:v>
                </c:pt>
                <c:pt idx="5">
                  <c:v>8.4213790134087564E-3</c:v>
                </c:pt>
                <c:pt idx="6">
                  <c:v>8.3796488248151831E-3</c:v>
                </c:pt>
                <c:pt idx="7">
                  <c:v>8.348475039132202E-3</c:v>
                </c:pt>
                <c:pt idx="8">
                  <c:v>8.3264096608284353E-3</c:v>
                </c:pt>
                <c:pt idx="9">
                  <c:v>8.3174205289338141E-3</c:v>
                </c:pt>
                <c:pt idx="10">
                  <c:v>8.3149877411013637E-3</c:v>
                </c:pt>
                <c:pt idx="11">
                  <c:v>8.3188333812736718E-3</c:v>
                </c:pt>
                <c:pt idx="12">
                  <c:v>8.328680116500042E-3</c:v>
                </c:pt>
                <c:pt idx="13">
                  <c:v>8.3442514689232566E-3</c:v>
                </c:pt>
                <c:pt idx="14">
                  <c:v>8.3652721031716726E-3</c:v>
                </c:pt>
                <c:pt idx="15">
                  <c:v>8.3822301575639264E-3</c:v>
                </c:pt>
                <c:pt idx="16">
                  <c:v>8.3920305723225955E-3</c:v>
                </c:pt>
                <c:pt idx="17">
                  <c:v>8.3948713851959948E-3</c:v>
                </c:pt>
                <c:pt idx="18">
                  <c:v>8.3909552725770914E-3</c:v>
                </c:pt>
                <c:pt idx="19">
                  <c:v>8.3805280369370766E-3</c:v>
                </c:pt>
                <c:pt idx="20">
                  <c:v>8.3638559322458082E-3</c:v>
                </c:pt>
                <c:pt idx="21">
                  <c:v>8.3411764207737635E-3</c:v>
                </c:pt>
                <c:pt idx="22">
                  <c:v>8.3120591208708829E-3</c:v>
                </c:pt>
                <c:pt idx="23">
                  <c:v>8.2453685373988766E-3</c:v>
                </c:pt>
                <c:pt idx="24">
                  <c:v>8.1382684025770018E-3</c:v>
                </c:pt>
                <c:pt idx="25">
                  <c:v>7.9929244754361195E-3</c:v>
                </c:pt>
                <c:pt idx="26">
                  <c:v>7.8114462417061417E-3</c:v>
                </c:pt>
                <c:pt idx="27">
                  <c:v>7.5958681398613781E-3</c:v>
                </c:pt>
                <c:pt idx="28">
                  <c:v>7.3481344215252844E-3</c:v>
                </c:pt>
                <c:pt idx="29">
                  <c:v>7.0632586518288281E-3</c:v>
                </c:pt>
                <c:pt idx="30">
                  <c:v>6.7507694815797398E-3</c:v>
                </c:pt>
                <c:pt idx="31">
                  <c:v>6.4122383349170765E-3</c:v>
                </c:pt>
                <c:pt idx="32">
                  <c:v>6.0491155438112763E-3</c:v>
                </c:pt>
                <c:pt idx="33">
                  <c:v>5.662728139831044E-3</c:v>
                </c:pt>
                <c:pt idx="34">
                  <c:v>5.2542790554782658E-3</c:v>
                </c:pt>
                <c:pt idx="35">
                  <c:v>4.8248474369293765E-3</c:v>
                </c:pt>
                <c:pt idx="36">
                  <c:v>4.3749011317723314E-3</c:v>
                </c:pt>
                <c:pt idx="37">
                  <c:v>3.9239708983591134E-3</c:v>
                </c:pt>
                <c:pt idx="38">
                  <c:v>3.4973576663890416E-3</c:v>
                </c:pt>
                <c:pt idx="39">
                  <c:v>3.0942769877043267E-3</c:v>
                </c:pt>
                <c:pt idx="40">
                  <c:v>2.7139518272169074E-3</c:v>
                </c:pt>
                <c:pt idx="41">
                  <c:v>2.3556155409927811E-3</c:v>
                </c:pt>
                <c:pt idx="42">
                  <c:v>2.0185143978966374E-3</c:v>
                </c:pt>
                <c:pt idx="43">
                  <c:v>1.7117211336908987E-3</c:v>
                </c:pt>
                <c:pt idx="44">
                  <c:v>1.4397095776522654E-3</c:v>
                </c:pt>
                <c:pt idx="45">
                  <c:v>1.2012078093890394E-3</c:v>
                </c:pt>
                <c:pt idx="46">
                  <c:v>9.9499043555053191E-4</c:v>
                </c:pt>
                <c:pt idx="47">
                  <c:v>8.198794009854184E-4</c:v>
                </c:pt>
                <c:pt idx="48">
                  <c:v>6.7474448450097885E-4</c:v>
                </c:pt>
                <c:pt idx="49">
                  <c:v>5.5850353365018666E-4</c:v>
                </c:pt>
                <c:pt idx="50">
                  <c:v>4.7011771762059867E-4</c:v>
                </c:pt>
                <c:pt idx="51">
                  <c:v>4.0825004357882341E-4</c:v>
                </c:pt>
                <c:pt idx="52">
                  <c:v>3.5626145638294708E-4</c:v>
                </c:pt>
                <c:pt idx="53">
                  <c:v>3.13809558627297E-4</c:v>
                </c:pt>
                <c:pt idx="54">
                  <c:v>2.805696668331423E-4</c:v>
                </c:pt>
                <c:pt idx="55">
                  <c:v>2.5623143708449088E-4</c:v>
                </c:pt>
                <c:pt idx="56">
                  <c:v>2.4049760184145162E-4</c:v>
                </c:pt>
                <c:pt idx="57">
                  <c:v>2.3257795747731849E-4</c:v>
                </c:pt>
                <c:pt idx="58">
                  <c:v>2.2400568757922088E-4</c:v>
                </c:pt>
                <c:pt idx="59">
                  <c:v>2.1480234822159237E-4</c:v>
                </c:pt>
                <c:pt idx="60">
                  <c:v>2.0498895828012455E-4</c:v>
                </c:pt>
                <c:pt idx="61">
                  <c:v>1.9458603098999492E-4</c:v>
                </c:pt>
                <c:pt idx="62">
                  <c:v>1.8361359788060568E-4</c:v>
                </c:pt>
                <c:pt idx="63">
                  <c:v>1.7209122587003635E-4</c:v>
                </c:pt>
                <c:pt idx="64">
                  <c:v>1.6003548591311161E-4</c:v>
                </c:pt>
                <c:pt idx="65">
                  <c:v>1.4793621521399055E-4</c:v>
                </c:pt>
                <c:pt idx="66">
                  <c:v>1.3609169997878516E-4</c:v>
                </c:pt>
                <c:pt idx="67">
                  <c:v>1.2449825961779779E-4</c:v>
                </c:pt>
                <c:pt idx="68">
                  <c:v>1.1315153678937903E-4</c:v>
                </c:pt>
                <c:pt idx="69">
                  <c:v>1.0204655607420959E-4</c:v>
                </c:pt>
                <c:pt idx="70">
                  <c:v>9.1177778777662175E-5</c:v>
                </c:pt>
                <c:pt idx="71">
                  <c:v>8.123562187799012E-5</c:v>
                </c:pt>
                <c:pt idx="72">
                  <c:v>7.2623149937072522E-5</c:v>
                </c:pt>
                <c:pt idx="73">
                  <c:v>6.5300980547129388E-5</c:v>
                </c:pt>
                <c:pt idx="74">
                  <c:v>5.9231180675132742E-5</c:v>
                </c:pt>
                <c:pt idx="75">
                  <c:v>5.4377389648355293E-5</c:v>
                </c:pt>
                <c:pt idx="76">
                  <c:v>5.0704929064737497E-5</c:v>
                </c:pt>
                <c:pt idx="77">
                  <c:v>4.81809009534559E-5</c:v>
                </c:pt>
                <c:pt idx="78">
                  <c:v>4.6769820508916458E-5</c:v>
                </c:pt>
                <c:pt idx="79">
                  <c:v>4.6626344126709208E-5</c:v>
                </c:pt>
                <c:pt idx="80">
                  <c:v>4.7312540760101997E-5</c:v>
                </c:pt>
                <c:pt idx="81">
                  <c:v>4.880903723574388E-5</c:v>
                </c:pt>
                <c:pt idx="82">
                  <c:v>5.1097645799586912E-5</c:v>
                </c:pt>
                <c:pt idx="83">
                  <c:v>5.4161591982603175E-5</c:v>
                </c:pt>
                <c:pt idx="84">
                  <c:v>5.7985719438007928E-5</c:v>
                </c:pt>
                <c:pt idx="85">
                  <c:v>6.2141351255392652E-5</c:v>
                </c:pt>
                <c:pt idx="86">
                  <c:v>6.6016576655820736E-5</c:v>
                </c:pt>
                <c:pt idx="87">
                  <c:v>6.9623456571437023E-5</c:v>
                </c:pt>
                <c:pt idx="88">
                  <c:v>7.2973798372023203E-5</c:v>
                </c:pt>
                <c:pt idx="89">
                  <c:v>7.6079100152108233E-5</c:v>
                </c:pt>
                <c:pt idx="90">
                  <c:v>7.895050369394683E-5</c:v>
                </c:pt>
                <c:pt idx="91">
                  <c:v>8.1598755180150212E-5</c:v>
                </c:pt>
                <c:pt idx="92">
                  <c:v>8.4027426897355953E-5</c:v>
                </c:pt>
                <c:pt idx="93">
                  <c:v>8.5830428733682301E-5</c:v>
                </c:pt>
                <c:pt idx="94">
                  <c:v>8.6848372425222774E-5</c:v>
                </c:pt>
                <c:pt idx="95">
                  <c:v>8.7092916506823409E-5</c:v>
                </c:pt>
                <c:pt idx="96">
                  <c:v>8.6574023438773114E-5</c:v>
                </c:pt>
                <c:pt idx="97">
                  <c:v>8.5299940174227544E-5</c:v>
                </c:pt>
                <c:pt idx="98">
                  <c:v>8.3277178402700838E-5</c:v>
                </c:pt>
                <c:pt idx="99">
                  <c:v>8.0669252215308693E-5</c:v>
                </c:pt>
                <c:pt idx="100">
                  <c:v>7.7863177733441025E-5</c:v>
                </c:pt>
                <c:pt idx="101">
                  <c:v>7.4856669520747019E-5</c:v>
                </c:pt>
                <c:pt idx="102">
                  <c:v>7.1646810987572776E-5</c:v>
                </c:pt>
                <c:pt idx="103">
                  <c:v>6.8230040647104296E-5</c:v>
                </c:pt>
                <c:pt idx="104">
                  <c:v>6.4602137284703858E-5</c:v>
                </c:pt>
                <c:pt idx="105">
                  <c:v>6.0758203905139826E-5</c:v>
                </c:pt>
                <c:pt idx="106">
                  <c:v>5.6692313291199615E-5</c:v>
                </c:pt>
                <c:pt idx="107">
                  <c:v>5.2547664888522064E-5</c:v>
                </c:pt>
                <c:pt idx="108">
                  <c:v>4.8720071271259932E-5</c:v>
                </c:pt>
                <c:pt idx="109">
                  <c:v>4.520600137782302E-5</c:v>
                </c:pt>
                <c:pt idx="110">
                  <c:v>4.2002799951625417E-5</c:v>
                </c:pt>
                <c:pt idx="111">
                  <c:v>3.9108543165793483E-5</c:v>
                </c:pt>
                <c:pt idx="112">
                  <c:v>3.6521939963451324E-5</c:v>
                </c:pt>
                <c:pt idx="113">
                  <c:v>3.4223797797192229E-5</c:v>
                </c:pt>
                <c:pt idx="114">
                  <c:v>3.2055708368043833E-5</c:v>
                </c:pt>
                <c:pt idx="115">
                  <c:v>3.0017132820478995E-5</c:v>
                </c:pt>
                <c:pt idx="116">
                  <c:v>2.8107894984509589E-5</c:v>
                </c:pt>
                <c:pt idx="117">
                  <c:v>2.6328178987356352E-5</c:v>
                </c:pt>
                <c:pt idx="118">
                  <c:v>2.4678527241189242E-5</c:v>
                </c:pt>
                <c:pt idx="119">
                  <c:v>2.3159838719553119E-5</c:v>
                </c:pt>
                <c:pt idx="120">
                  <c:v>2.1773894615386111E-5</c:v>
                </c:pt>
                <c:pt idx="121">
                  <c:v>2.0573124740162387E-5</c:v>
                </c:pt>
                <c:pt idx="122">
                  <c:v>1.9397926596248922E-5</c:v>
                </c:pt>
                <c:pt idx="123">
                  <c:v>1.8247354537999541E-5</c:v>
                </c:pt>
                <c:pt idx="124">
                  <c:v>1.712056229797771E-5</c:v>
                </c:pt>
                <c:pt idx="125">
                  <c:v>1.6016800577769724E-5</c:v>
                </c:pt>
                <c:pt idx="126">
                  <c:v>1.49354149060653E-5</c:v>
                </c:pt>
                <c:pt idx="127">
                  <c:v>1.3918141702091272E-5</c:v>
                </c:pt>
                <c:pt idx="128">
                  <c:v>1.2985376947173272E-5</c:v>
                </c:pt>
                <c:pt idx="129">
                  <c:v>1.2138080917864997E-5</c:v>
                </c:pt>
                <c:pt idx="130">
                  <c:v>1.1377391277039772E-5</c:v>
                </c:pt>
                <c:pt idx="131">
                  <c:v>1.0704614512984783E-5</c:v>
                </c:pt>
                <c:pt idx="132">
                  <c:v>1.0121216895605197E-5</c:v>
                </c:pt>
                <c:pt idx="133">
                  <c:v>9.6288148682183136E-6</c:v>
                </c:pt>
                <c:pt idx="134">
                  <c:v>9.2293914326286919E-6</c:v>
                </c:pt>
                <c:pt idx="135">
                  <c:v>8.9151918468957865E-6</c:v>
                </c:pt>
                <c:pt idx="136">
                  <c:v>8.6322811999135094E-6</c:v>
                </c:pt>
                <c:pt idx="137">
                  <c:v>8.3811567220709947E-6</c:v>
                </c:pt>
                <c:pt idx="138">
                  <c:v>8.1623641577415497E-6</c:v>
                </c:pt>
                <c:pt idx="139">
                  <c:v>7.9764948966145418E-6</c:v>
                </c:pt>
                <c:pt idx="140">
                  <c:v>7.8241829180291748E-6</c:v>
                </c:pt>
                <c:pt idx="141">
                  <c:v>7.6985636335755572E-6</c:v>
                </c:pt>
                <c:pt idx="142">
                  <c:v>7.552468222811202E-6</c:v>
                </c:pt>
                <c:pt idx="143">
                  <c:v>7.3851388953951205E-6</c:v>
                </c:pt>
                <c:pt idx="144">
                  <c:v>7.1958460580827405E-6</c:v>
                </c:pt>
                <c:pt idx="145">
                  <c:v>6.9838513775765959E-6</c:v>
                </c:pt>
                <c:pt idx="146">
                  <c:v>6.748410508255483E-6</c:v>
                </c:pt>
                <c:pt idx="147">
                  <c:v>6.4887759544293435E-6</c:v>
                </c:pt>
                <c:pt idx="148">
                  <c:v>6.2042975228124682E-6</c:v>
                </c:pt>
                <c:pt idx="149">
                  <c:v>5.9100352185496691E-6</c:v>
                </c:pt>
                <c:pt idx="150">
                  <c:v>5.6173300434790228E-6</c:v>
                </c:pt>
                <c:pt idx="151">
                  <c:v>5.326285278915648E-6</c:v>
                </c:pt>
                <c:pt idx="152">
                  <c:v>5.0370237001041311E-6</c:v>
                </c:pt>
                <c:pt idx="153">
                  <c:v>4.7496871094299549E-6</c:v>
                </c:pt>
                <c:pt idx="154">
                  <c:v>4.4644357842279308E-6</c:v>
                </c:pt>
                <c:pt idx="155">
                  <c:v>4.1898819833657834E-6</c:v>
                </c:pt>
                <c:pt idx="156">
                  <c:v>3.9350342359985589E-6</c:v>
                </c:pt>
                <c:pt idx="157">
                  <c:v>3.7005383483846543E-6</c:v>
                </c:pt>
                <c:pt idx="158">
                  <c:v>3.4870527225817361E-6</c:v>
                </c:pt>
                <c:pt idx="159">
                  <c:v>3.2952454420082803E-6</c:v>
                </c:pt>
                <c:pt idx="160">
                  <c:v>3.1257913051620013E-6</c:v>
                </c:pt>
                <c:pt idx="161">
                  <c:v>2.9793688271387375E-6</c:v>
                </c:pt>
                <c:pt idx="162">
                  <c:v>2.8566293317074636E-6</c:v>
                </c:pt>
                <c:pt idx="163">
                  <c:v>2.7626895611381205E-6</c:v>
                </c:pt>
                <c:pt idx="164">
                  <c:v>2.6802749810164699E-6</c:v>
                </c:pt>
                <c:pt idx="165">
                  <c:v>2.6097241560554317E-6</c:v>
                </c:pt>
                <c:pt idx="166">
                  <c:v>2.5513697340810555E-6</c:v>
                </c:pt>
                <c:pt idx="167">
                  <c:v>2.5055385962170562E-6</c:v>
                </c:pt>
                <c:pt idx="168">
                  <c:v>2.4725521244156435E-6</c:v>
                </c:pt>
                <c:pt idx="169">
                  <c:v>2.4573689133535373E-6</c:v>
                </c:pt>
                <c:pt idx="170">
                  <c:v>2.4509350596486175E-6</c:v>
                </c:pt>
                <c:pt idx="171">
                  <c:v>2.4534627098510212E-6</c:v>
                </c:pt>
                <c:pt idx="172">
                  <c:v>2.4651623451608395E-6</c:v>
                </c:pt>
                <c:pt idx="173">
                  <c:v>2.4862221277954134E-6</c:v>
                </c:pt>
                <c:pt idx="174">
                  <c:v>2.5168276899651531E-6</c:v>
                </c:pt>
                <c:pt idx="175">
                  <c:v>2.55718446517587E-6</c:v>
                </c:pt>
                <c:pt idx="176">
                  <c:v>2.6074717807445743E-6</c:v>
                </c:pt>
                <c:pt idx="177">
                  <c:v>2.6777420486591147E-6</c:v>
                </c:pt>
                <c:pt idx="178">
                  <c:v>2.7634174366883187E-6</c:v>
                </c:pt>
                <c:pt idx="179">
                  <c:v>2.8647473970073219E-6</c:v>
                </c:pt>
                <c:pt idx="180">
                  <c:v>2.9819758331927062E-6</c:v>
                </c:pt>
                <c:pt idx="181">
                  <c:v>3.1153406581477005E-6</c:v>
                </c:pt>
                <c:pt idx="182">
                  <c:v>3.2650734098390381E-6</c:v>
                </c:pt>
                <c:pt idx="183">
                  <c:v>3.4521622839913574E-6</c:v>
                </c:pt>
                <c:pt idx="184">
                  <c:v>3.6721099579318357E-6</c:v>
                </c:pt>
                <c:pt idx="185">
                  <c:v>3.9254174935456743E-6</c:v>
                </c:pt>
                <c:pt idx="186">
                  <c:v>4.2125700699645595E-6</c:v>
                </c:pt>
                <c:pt idx="187">
                  <c:v>4.5340364813630898E-6</c:v>
                </c:pt>
                <c:pt idx="188">
                  <c:v>4.8902687000899811E-6</c:v>
                </c:pt>
                <c:pt idx="189">
                  <c:v>5.281701490026767E-6</c:v>
                </c:pt>
                <c:pt idx="190">
                  <c:v>5.7087830883129354E-6</c:v>
                </c:pt>
                <c:pt idx="191">
                  <c:v>6.1611707449624363E-6</c:v>
                </c:pt>
                <c:pt idx="192">
                  <c:v>6.6284434502435429E-6</c:v>
                </c:pt>
                <c:pt idx="193">
                  <c:v>7.110769281149323E-6</c:v>
                </c:pt>
                <c:pt idx="194">
                  <c:v>7.6083284510523386E-6</c:v>
                </c:pt>
                <c:pt idx="195">
                  <c:v>8.1213146530418207E-6</c:v>
                </c:pt>
                <c:pt idx="196">
                  <c:v>8.6499363929588098E-6</c:v>
                </c:pt>
                <c:pt idx="197">
                  <c:v>9.1770255939622866E-6</c:v>
                </c:pt>
                <c:pt idx="198">
                  <c:v>9.68001309909291E-6</c:v>
                </c:pt>
                <c:pt idx="199">
                  <c:v>1.0158541968073555E-5</c:v>
                </c:pt>
                <c:pt idx="200">
                  <c:v>1.0612274464431039E-5</c:v>
                </c:pt>
                <c:pt idx="201">
                  <c:v>1.1040889505705169E-5</c:v>
                </c:pt>
                <c:pt idx="202">
                  <c:v>1.1444080036218532E-5</c:v>
                </c:pt>
                <c:pt idx="203">
                  <c:v>1.1821550339079073E-5</c:v>
                </c:pt>
                <c:pt idx="204">
                  <c:v>1.2173123105276421E-5</c:v>
                </c:pt>
                <c:pt idx="205">
                  <c:v>1.2570975231302494E-5</c:v>
                </c:pt>
                <c:pt idx="206">
                  <c:v>1.3027263943419933E-5</c:v>
                </c:pt>
                <c:pt idx="207">
                  <c:v>1.3542736973140439E-5</c:v>
                </c:pt>
                <c:pt idx="208">
                  <c:v>1.4118153378354228E-5</c:v>
                </c:pt>
                <c:pt idx="209">
                  <c:v>1.4754280088873466E-5</c:v>
                </c:pt>
                <c:pt idx="210">
                  <c:v>1.5451888106945422E-5</c:v>
                </c:pt>
                <c:pt idx="211">
                  <c:v>1.6300802345066746E-5</c:v>
                </c:pt>
                <c:pt idx="212">
                  <c:v>1.7321920134414377E-5</c:v>
                </c:pt>
                <c:pt idx="213">
                  <c:v>1.8517579528875029E-5</c:v>
                </c:pt>
                <c:pt idx="214">
                  <c:v>1.9890117765771711E-5</c:v>
                </c:pt>
                <c:pt idx="215">
                  <c:v>2.1441857827367117E-5</c:v>
                </c:pt>
                <c:pt idx="216">
                  <c:v>2.3175093822139366E-5</c:v>
                </c:pt>
                <c:pt idx="217">
                  <c:v>2.509207517301284E-5</c:v>
                </c:pt>
                <c:pt idx="218">
                  <c:v>2.7195957604391988E-5</c:v>
                </c:pt>
                <c:pt idx="219">
                  <c:v>2.9454461247099169E-5</c:v>
                </c:pt>
                <c:pt idx="220">
                  <c:v>3.1791955599297637E-5</c:v>
                </c:pt>
                <c:pt idx="221">
                  <c:v>3.420951622047435E-5</c:v>
                </c:pt>
                <c:pt idx="222">
                  <c:v>3.6708195645816383E-5</c:v>
                </c:pt>
                <c:pt idx="223">
                  <c:v>3.9289017689531083E-5</c:v>
                </c:pt>
                <c:pt idx="224">
                  <c:v>4.195297145745191E-5</c:v>
                </c:pt>
                <c:pt idx="225">
                  <c:v>4.5094513560261319E-5</c:v>
                </c:pt>
                <c:pt idx="226">
                  <c:v>4.8625383918025235E-5</c:v>
                </c:pt>
                <c:pt idx="227">
                  <c:v>5.2551532708204282E-5</c:v>
                </c:pt>
                <c:pt idx="228">
                  <c:v>5.6878844067163853E-5</c:v>
                </c:pt>
                <c:pt idx="229">
                  <c:v>6.1613111970206593E-5</c:v>
                </c:pt>
                <c:pt idx="230">
                  <c:v>6.6760014282771097E-5</c:v>
                </c:pt>
                <c:pt idx="231">
                  <c:v>7.2325084965021614E-5</c:v>
                </c:pt>
                <c:pt idx="232">
                  <c:v>7.8313163001340189E-5</c:v>
                </c:pt>
                <c:pt idx="233">
                  <c:v>8.5037814767793333E-5</c:v>
                </c:pt>
                <c:pt idx="234">
                  <c:v>9.2548214125146564E-5</c:v>
                </c:pt>
                <c:pt idx="235">
                  <c:v>1.0085589315276738E-4</c:v>
                </c:pt>
                <c:pt idx="236">
                  <c:v>1.0997274963897448E-4</c:v>
                </c:pt>
                <c:pt idx="237">
                  <c:v>1.1991105285960397E-4</c:v>
                </c:pt>
                <c:pt idx="238">
                  <c:v>1.3068358085848025E-4</c:v>
                </c:pt>
                <c:pt idx="239">
                  <c:v>1.4125205312878313E-4</c:v>
                </c:pt>
                <c:pt idx="240">
                  <c:v>1.5118862506960571E-4</c:v>
                </c:pt>
                <c:pt idx="241">
                  <c:v>1.6048509337300291E-4</c:v>
                </c:pt>
                <c:pt idx="242">
                  <c:v>1.6913347610038361E-4</c:v>
                </c:pt>
                <c:pt idx="243">
                  <c:v>1.7712594357349485E-4</c:v>
                </c:pt>
                <c:pt idx="244">
                  <c:v>1.8445474626817022E-4</c:v>
                </c:pt>
                <c:pt idx="245">
                  <c:v>1.9111213953606194E-4</c:v>
                </c:pt>
                <c:pt idx="246">
                  <c:v>1.9708226204962268E-4</c:v>
                </c:pt>
                <c:pt idx="247">
                  <c:v>2.0152906215631546E-4</c:v>
                </c:pt>
                <c:pt idx="248">
                  <c:v>2.0409737959525349E-4</c:v>
                </c:pt>
                <c:pt idx="249">
                  <c:v>2.0475799409950138E-4</c:v>
                </c:pt>
                <c:pt idx="250">
                  <c:v>2.0348096886269227E-4</c:v>
                </c:pt>
                <c:pt idx="251">
                  <c:v>2.0023550760918274E-4</c:v>
                </c:pt>
                <c:pt idx="252">
                  <c:v>1.9498980450038437E-4</c:v>
                </c:pt>
                <c:pt idx="253">
                  <c:v>1.8819912267915273E-4</c:v>
                </c:pt>
                <c:pt idx="254">
                  <c:v>1.8097856035957416E-4</c:v>
                </c:pt>
                <c:pt idx="255">
                  <c:v>1.7332128404082573E-4</c:v>
                </c:pt>
                <c:pt idx="256">
                  <c:v>1.6521995774775342E-4</c:v>
                </c:pt>
                <c:pt idx="257">
                  <c:v>1.5666670126255898E-4</c:v>
                </c:pt>
                <c:pt idx="258">
                  <c:v>1.4765304503943104E-4</c:v>
                </c:pt>
                <c:pt idx="259">
                  <c:v>1.38169881305177E-4</c:v>
                </c:pt>
                <c:pt idx="260">
                  <c:v>1.2821038519493958E-4</c:v>
                </c:pt>
                <c:pt idx="261">
                  <c:v>1.1913466733663351E-4</c:v>
                </c:pt>
                <c:pt idx="262">
                  <c:v>1.1184735358295715E-4</c:v>
                </c:pt>
                <c:pt idx="263">
                  <c:v>1.0638000117860679E-4</c:v>
                </c:pt>
                <c:pt idx="264">
                  <c:v>1.0276640802644741E-4</c:v>
                </c:pt>
                <c:pt idx="265">
                  <c:v>1.0104279335285394E-4</c:v>
                </c:pt>
                <c:pt idx="266">
                  <c:v>1.0124683584316774E-4</c:v>
                </c:pt>
                <c:pt idx="267">
                  <c:v>1.0435103801234833E-4</c:v>
                </c:pt>
                <c:pt idx="268">
                  <c:v>1.0987672481455086E-4</c:v>
                </c:pt>
                <c:pt idx="269">
                  <c:v>1.178730632130159E-4</c:v>
                </c:pt>
                <c:pt idx="270">
                  <c:v>1.2838947396576417E-4</c:v>
                </c:pt>
                <c:pt idx="271">
                  <c:v>1.4147505261372483E-4</c:v>
                </c:pt>
                <c:pt idx="272">
                  <c:v>1.5717794144691518E-4</c:v>
                </c:pt>
                <c:pt idx="273">
                  <c:v>1.7554465086591254E-4</c:v>
                </c:pt>
                <c:pt idx="274">
                  <c:v>1.9663443340229282E-4</c:v>
                </c:pt>
                <c:pt idx="275">
                  <c:v>2.1952886018959948E-4</c:v>
                </c:pt>
                <c:pt idx="276">
                  <c:v>2.4274104926932258E-4</c:v>
                </c:pt>
                <c:pt idx="277">
                  <c:v>2.6627286941305925E-4</c:v>
                </c:pt>
                <c:pt idx="278">
                  <c:v>2.9012518476331594E-4</c:v>
                </c:pt>
                <c:pt idx="279">
                  <c:v>3.1429780715316755E-4</c:v>
                </c:pt>
                <c:pt idx="280">
                  <c:v>3.3878944791160146E-4</c:v>
                </c:pt>
                <c:pt idx="281">
                  <c:v>3.6295254722947846E-4</c:v>
                </c:pt>
                <c:pt idx="282">
                  <c:v>3.8573341009256763E-4</c:v>
                </c:pt>
                <c:pt idx="283">
                  <c:v>4.0709269346608931E-4</c:v>
                </c:pt>
                <c:pt idx="284">
                  <c:v>4.2699002967213576E-4</c:v>
                </c:pt>
                <c:pt idx="285">
                  <c:v>4.4538420062881662E-4</c:v>
                </c:pt>
                <c:pt idx="286">
                  <c:v>4.622333232021482E-4</c:v>
                </c:pt>
                <c:pt idx="287">
                  <c:v>4.7749504574619999E-4</c:v>
                </c:pt>
                <c:pt idx="288">
                  <c:v>4.9115199721199852E-4</c:v>
                </c:pt>
                <c:pt idx="289">
                  <c:v>5.2121294490566745E-4</c:v>
                </c:pt>
                <c:pt idx="290">
                  <c:v>5.6907408054680776E-4</c:v>
                </c:pt>
                <c:pt idx="291">
                  <c:v>6.3506424547715875E-4</c:v>
                </c:pt>
                <c:pt idx="292">
                  <c:v>7.1951187259804497E-4</c:v>
                </c:pt>
                <c:pt idx="293">
                  <c:v>8.2274402172579514E-4</c:v>
                </c:pt>
                <c:pt idx="294">
                  <c:v>9.4508541424701009E-4</c:v>
                </c:pt>
                <c:pt idx="295">
                  <c:v>1.1162725413347405E-3</c:v>
                </c:pt>
                <c:pt idx="296">
                  <c:v>1.3378819415771615E-3</c:v>
                </c:pt>
                <c:pt idx="297">
                  <c:v>1.6107891643545374E-3</c:v>
                </c:pt>
                <c:pt idx="298">
                  <c:v>1.9358562901025955E-3</c:v>
                </c:pt>
                <c:pt idx="299">
                  <c:v>2.3139359332366703E-3</c:v>
                </c:pt>
                <c:pt idx="300">
                  <c:v>2.7458685936739996E-3</c:v>
                </c:pt>
                <c:pt idx="301">
                  <c:v>3.2324798636469356E-3</c:v>
                </c:pt>
                <c:pt idx="302">
                  <c:v>3.7748328265651524E-3</c:v>
                </c:pt>
                <c:pt idx="303">
                  <c:v>4.3604745905750936E-3</c:v>
                </c:pt>
                <c:pt idx="304">
                  <c:v>4.970452150161459E-3</c:v>
                </c:pt>
                <c:pt idx="305">
                  <c:v>5.6051940868108302E-3</c:v>
                </c:pt>
                <c:pt idx="306">
                  <c:v>6.2651185376037238E-3</c:v>
                </c:pt>
                <c:pt idx="307">
                  <c:v>6.9506292740331849E-3</c:v>
                </c:pt>
                <c:pt idx="308">
                  <c:v>7.6621111591570791E-3</c:v>
                </c:pt>
                <c:pt idx="309">
                  <c:v>8.3580959507459657E-3</c:v>
                </c:pt>
                <c:pt idx="310">
                  <c:v>9.0059807220004076E-3</c:v>
                </c:pt>
                <c:pt idx="311">
                  <c:v>9.6046989891968356E-3</c:v>
                </c:pt>
                <c:pt idx="312">
                  <c:v>1.0153135525422748E-2</c:v>
                </c:pt>
                <c:pt idx="313">
                  <c:v>1.0650128813958742E-2</c:v>
                </c:pt>
                <c:pt idx="314">
                  <c:v>1.1094474354551525E-2</c:v>
                </c:pt>
                <c:pt idx="315">
                  <c:v>1.14849289891252E-2</c:v>
                </c:pt>
                <c:pt idx="316">
                  <c:v>1.1820870929863669E-2</c:v>
                </c:pt>
                <c:pt idx="317">
                  <c:v>1.209146473727323E-2</c:v>
                </c:pt>
                <c:pt idx="318">
                  <c:v>1.2310557663724585E-2</c:v>
                </c:pt>
                <c:pt idx="319">
                  <c:v>1.2477303177706518E-2</c:v>
                </c:pt>
                <c:pt idx="320">
                  <c:v>1.2590831130382094E-2</c:v>
                </c:pt>
                <c:pt idx="321">
                  <c:v>1.2650242821325009E-2</c:v>
                </c:pt>
                <c:pt idx="322">
                  <c:v>1.2654606293892307E-2</c:v>
                </c:pt>
                <c:pt idx="323">
                  <c:v>1.2609547297084522E-2</c:v>
                </c:pt>
                <c:pt idx="324">
                  <c:v>1.2559957391276209E-2</c:v>
                </c:pt>
                <c:pt idx="325">
                  <c:v>1.2505774420864551E-2</c:v>
                </c:pt>
                <c:pt idx="326">
                  <c:v>1.2446857911253094E-2</c:v>
                </c:pt>
                <c:pt idx="327">
                  <c:v>1.2383097873322285E-2</c:v>
                </c:pt>
                <c:pt idx="328">
                  <c:v>1.231442357837392E-2</c:v>
                </c:pt>
                <c:pt idx="329">
                  <c:v>1.2240749158615795E-2</c:v>
                </c:pt>
                <c:pt idx="330">
                  <c:v>1.2163361778599084E-2</c:v>
                </c:pt>
                <c:pt idx="331">
                  <c:v>1.2087896351184934E-2</c:v>
                </c:pt>
                <c:pt idx="332">
                  <c:v>1.2025221338538089E-2</c:v>
                </c:pt>
                <c:pt idx="333">
                  <c:v>1.1974921965813179E-2</c:v>
                </c:pt>
                <c:pt idx="334">
                  <c:v>1.1936567970722043E-2</c:v>
                </c:pt>
                <c:pt idx="335">
                  <c:v>1.190970766993471E-2</c:v>
                </c:pt>
                <c:pt idx="336">
                  <c:v>1.1893862047458393E-2</c:v>
                </c:pt>
                <c:pt idx="337">
                  <c:v>1.189676147536179E-2</c:v>
                </c:pt>
                <c:pt idx="338">
                  <c:v>1.1910718234596517E-2</c:v>
                </c:pt>
                <c:pt idx="339">
                  <c:v>1.1935154669829232E-2</c:v>
                </c:pt>
                <c:pt idx="340">
                  <c:v>1.1969440282003379E-2</c:v>
                </c:pt>
                <c:pt idx="341">
                  <c:v>1.2012886647826999E-2</c:v>
                </c:pt>
                <c:pt idx="342">
                  <c:v>1.2064743238464227E-2</c:v>
                </c:pt>
                <c:pt idx="343">
                  <c:v>1.2124194393257914E-2</c:v>
                </c:pt>
                <c:pt idx="344">
                  <c:v>1.2193901834193936E-2</c:v>
                </c:pt>
                <c:pt idx="345">
                  <c:v>1.2276632957273137E-2</c:v>
                </c:pt>
                <c:pt idx="346">
                  <c:v>1.2361543288146312E-2</c:v>
                </c:pt>
                <c:pt idx="347">
                  <c:v>1.2447676142596861E-2</c:v>
                </c:pt>
                <c:pt idx="348">
                  <c:v>1.2534023531478415E-2</c:v>
                </c:pt>
                <c:pt idx="349">
                  <c:v>1.2619529556949505E-2</c:v>
                </c:pt>
                <c:pt idx="350">
                  <c:v>1.2703095662420595E-2</c:v>
                </c:pt>
                <c:pt idx="351">
                  <c:v>1.277866305873517E-2</c:v>
                </c:pt>
                <c:pt idx="352">
                  <c:v>1.2836144581291354E-2</c:v>
                </c:pt>
                <c:pt idx="353">
                  <c:v>1.2874317102898812E-2</c:v>
                </c:pt>
                <c:pt idx="354">
                  <c:v>1.2892026368868296E-2</c:v>
                </c:pt>
                <c:pt idx="355">
                  <c:v>1.2888213040539772E-2</c:v>
                </c:pt>
                <c:pt idx="356">
                  <c:v>1.2861901467572594E-2</c:v>
                </c:pt>
                <c:pt idx="357">
                  <c:v>1.2812324150945414E-2</c:v>
                </c:pt>
                <c:pt idx="358">
                  <c:v>1.2738024770019445E-2</c:v>
                </c:pt>
                <c:pt idx="359">
                  <c:v>1.2639160237756249E-2</c:v>
                </c:pt>
                <c:pt idx="360">
                  <c:v>1.2526283888144573E-2</c:v>
                </c:pt>
                <c:pt idx="361">
                  <c:v>1.2405928975554118E-2</c:v>
                </c:pt>
                <c:pt idx="362">
                  <c:v>1.2279693980730619E-2</c:v>
                </c:pt>
                <c:pt idx="363">
                  <c:v>1.2149129666097623E-2</c:v>
                </c:pt>
                <c:pt idx="364">
                  <c:v>1.2015721449051274E-2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3080"/>
        <c:axId val="232813472"/>
      </c:lineChart>
      <c:dateAx>
        <c:axId val="2328130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3472"/>
        <c:crosses val="autoZero"/>
        <c:auto val="1"/>
        <c:lblOffset val="100"/>
        <c:baseTimeUnit val="days"/>
        <c:majorUnit val="1"/>
        <c:majorTimeUnit val="months"/>
      </c:dateAx>
      <c:valAx>
        <c:axId val="2328134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30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16.869784878090989</c:v>
                </c:pt>
                <c:pt idx="1">
                  <c:v>17.039262153495983</c:v>
                </c:pt>
                <c:pt idx="2">
                  <c:v>17.216919860937509</c:v>
                </c:pt>
                <c:pt idx="3">
                  <c:v>17.401173136430774</c:v>
                </c:pt>
                <c:pt idx="4">
                  <c:v>17.590437366652981</c:v>
                </c:pt>
                <c:pt idx="5">
                  <c:v>17.783128201055536</c:v>
                </c:pt>
                <c:pt idx="6">
                  <c:v>17.977661557153503</c:v>
                </c:pt>
                <c:pt idx="7">
                  <c:v>18.172453636701949</c:v>
                </c:pt>
                <c:pt idx="8">
                  <c:v>18.369927202040806</c:v>
                </c:pt>
                <c:pt idx="9">
                  <c:v>18.573517854561242</c:v>
                </c:pt>
                <c:pt idx="10">
                  <c:v>18.783439789143536</c:v>
                </c:pt>
                <c:pt idx="11">
                  <c:v>18.999792763263493</c:v>
                </c:pt>
                <c:pt idx="12">
                  <c:v>19.222676478213955</c:v>
                </c:pt>
                <c:pt idx="13">
                  <c:v>19.45219059063097</c:v>
                </c:pt>
                <c:pt idx="14">
                  <c:v>19.688434710863422</c:v>
                </c:pt>
                <c:pt idx="15">
                  <c:v>19.931694106185834</c:v>
                </c:pt>
                <c:pt idx="16">
                  <c:v>20.182132788756167</c:v>
                </c:pt>
                <c:pt idx="17">
                  <c:v>20.439850248627916</c:v>
                </c:pt>
                <c:pt idx="18">
                  <c:v>20.704945944681302</c:v>
                </c:pt>
                <c:pt idx="19">
                  <c:v>20.97751848414994</c:v>
                </c:pt>
                <c:pt idx="20">
                  <c:v>21.257666029747519</c:v>
                </c:pt>
                <c:pt idx="21">
                  <c:v>21.545487341734404</c:v>
                </c:pt>
                <c:pt idx="22">
                  <c:v>21.842852771599865</c:v>
                </c:pt>
                <c:pt idx="23">
                  <c:v>22.151635630779136</c:v>
                </c:pt>
                <c:pt idx="24">
                  <c:v>22.471009622651078</c:v>
                </c:pt>
                <c:pt idx="25">
                  <c:v>22.800039292696631</c:v>
                </c:pt>
                <c:pt idx="26">
                  <c:v>23.137789442181589</c:v>
                </c:pt>
                <c:pt idx="27">
                  <c:v>23.483325156194148</c:v>
                </c:pt>
                <c:pt idx="28">
                  <c:v>23.835711810973716</c:v>
                </c:pt>
                <c:pt idx="29">
                  <c:v>24.194181468582791</c:v>
                </c:pt>
                <c:pt idx="30">
                  <c:v>24.557614664338299</c:v>
                </c:pt>
                <c:pt idx="31">
                  <c:v>24.925077773082847</c:v>
                </c:pt>
                <c:pt idx="32">
                  <c:v>25.295637488896205</c:v>
                </c:pt>
                <c:pt idx="33">
                  <c:v>25.668360830044275</c:v>
                </c:pt>
                <c:pt idx="34">
                  <c:v>26.042315134956844</c:v>
                </c:pt>
                <c:pt idx="35">
                  <c:v>26.416568062007688</c:v>
                </c:pt>
                <c:pt idx="36">
                  <c:v>26.793193169386221</c:v>
                </c:pt>
                <c:pt idx="37">
                  <c:v>27.174159574901712</c:v>
                </c:pt>
                <c:pt idx="38">
                  <c:v>27.558463691443212</c:v>
                </c:pt>
                <c:pt idx="39">
                  <c:v>27.945794520096484</c:v>
                </c:pt>
                <c:pt idx="40">
                  <c:v>28.335841116919156</c:v>
                </c:pt>
                <c:pt idx="41">
                  <c:v>28.728292587251566</c:v>
                </c:pt>
                <c:pt idx="42">
                  <c:v>29.12283808722939</c:v>
                </c:pt>
                <c:pt idx="43">
                  <c:v>29.518876698012381</c:v>
                </c:pt>
                <c:pt idx="44">
                  <c:v>29.91593053902244</c:v>
                </c:pt>
                <c:pt idx="45">
                  <c:v>30.313688494626565</c:v>
                </c:pt>
                <c:pt idx="46">
                  <c:v>30.711839454359403</c:v>
                </c:pt>
                <c:pt idx="47">
                  <c:v>31.110072312174069</c:v>
                </c:pt>
                <c:pt idx="48">
                  <c:v>31.508075966409077</c:v>
                </c:pt>
                <c:pt idx="49">
                  <c:v>31.9055393220744</c:v>
                </c:pt>
                <c:pt idx="50">
                  <c:v>32.302479224232556</c:v>
                </c:pt>
                <c:pt idx="51">
                  <c:v>32.699268895829171</c:v>
                </c:pt>
                <c:pt idx="52">
                  <c:v>33.096634945299066</c:v>
                </c:pt>
                <c:pt idx="53">
                  <c:v>33.494784213884316</c:v>
                </c:pt>
                <c:pt idx="54">
                  <c:v>33.893923399028203</c:v>
                </c:pt>
                <c:pt idx="55">
                  <c:v>34.294259118375528</c:v>
                </c:pt>
                <c:pt idx="56">
                  <c:v>34.695997906449932</c:v>
                </c:pt>
                <c:pt idx="57">
                  <c:v>35.099363939321734</c:v>
                </c:pt>
                <c:pt idx="58">
                  <c:v>35.504855129812462</c:v>
                </c:pt>
                <c:pt idx="59">
                  <c:v>35.912678119446248</c:v>
                </c:pt>
                <c:pt idx="60">
                  <c:v>36.323039471477088</c:v>
                </c:pt>
                <c:pt idx="61">
                  <c:v>36.736145670618249</c:v>
                </c:pt>
                <c:pt idx="62">
                  <c:v>37.152203125575305</c:v>
                </c:pt>
                <c:pt idx="63">
                  <c:v>37.571418160620908</c:v>
                </c:pt>
                <c:pt idx="64">
                  <c:v>37.994600653456708</c:v>
                </c:pt>
                <c:pt idx="65">
                  <c:v>38.422059290225157</c:v>
                </c:pt>
                <c:pt idx="66">
                  <c:v>38.853264396418382</c:v>
                </c:pt>
                <c:pt idx="67">
                  <c:v>39.287697690406183</c:v>
                </c:pt>
                <c:pt idx="68">
                  <c:v>39.724840964472982</c:v>
                </c:pt>
                <c:pt idx="69">
                  <c:v>40.16417608671884</c:v>
                </c:pt>
                <c:pt idx="70">
                  <c:v>40.605184998181763</c:v>
                </c:pt>
                <c:pt idx="71">
                  <c:v>41.047321124140304</c:v>
                </c:pt>
                <c:pt idx="72">
                  <c:v>41.490048636610801</c:v>
                </c:pt>
                <c:pt idx="73">
                  <c:v>41.932849595475055</c:v>
                </c:pt>
                <c:pt idx="74">
                  <c:v>42.375206121314072</c:v>
                </c:pt>
                <c:pt idx="75">
                  <c:v>42.816600395591628</c:v>
                </c:pt>
                <c:pt idx="76">
                  <c:v>43.256514660021189</c:v>
                </c:pt>
                <c:pt idx="77">
                  <c:v>43.694431215657218</c:v>
                </c:pt>
                <c:pt idx="78">
                  <c:v>44.134037330311649</c:v>
                </c:pt>
                <c:pt idx="79">
                  <c:v>44.578459602036347</c:v>
                </c:pt>
                <c:pt idx="80">
                  <c:v>45.026370344889202</c:v>
                </c:pt>
                <c:pt idx="81">
                  <c:v>45.476423864796423</c:v>
                </c:pt>
                <c:pt idx="82">
                  <c:v>45.927274710705298</c:v>
                </c:pt>
                <c:pt idx="83">
                  <c:v>46.377577674653409</c:v>
                </c:pt>
                <c:pt idx="84">
                  <c:v>46.825987797355708</c:v>
                </c:pt>
                <c:pt idx="85">
                  <c:v>47.271180002174219</c:v>
                </c:pt>
                <c:pt idx="86">
                  <c:v>47.711839036302663</c:v>
                </c:pt>
                <c:pt idx="87">
                  <c:v>48.146620992237182</c:v>
                </c:pt>
                <c:pt idx="88">
                  <c:v>48.574182263792089</c:v>
                </c:pt>
                <c:pt idx="89">
                  <c:v>48.993179553665463</c:v>
                </c:pt>
                <c:pt idx="90">
                  <c:v>49.402269881426101</c:v>
                </c:pt>
                <c:pt idx="91">
                  <c:v>49.800110593298157</c:v>
                </c:pt>
                <c:pt idx="92">
                  <c:v>50.18938867709403</c:v>
                </c:pt>
                <c:pt idx="93">
                  <c:v>50.573499840848363</c:v>
                </c:pt>
                <c:pt idx="94">
                  <c:v>50.952142833276774</c:v>
                </c:pt>
                <c:pt idx="95">
                  <c:v>51.325007931692035</c:v>
                </c:pt>
                <c:pt idx="96">
                  <c:v>51.691785536107432</c:v>
                </c:pt>
                <c:pt idx="97">
                  <c:v>52.052166190734212</c:v>
                </c:pt>
                <c:pt idx="98">
                  <c:v>52.405840583780879</c:v>
                </c:pt>
                <c:pt idx="99">
                  <c:v>52.752491178179447</c:v>
                </c:pt>
                <c:pt idx="100">
                  <c:v>53.091788420056311</c:v>
                </c:pt>
                <c:pt idx="101">
                  <c:v>53.423423118413794</c:v>
                </c:pt>
                <c:pt idx="102">
                  <c:v>53.747086223349633</c:v>
                </c:pt>
                <c:pt idx="103">
                  <c:v>54.062468832654574</c:v>
                </c:pt>
                <c:pt idx="104">
                  <c:v>54.369262184410175</c:v>
                </c:pt>
                <c:pt idx="105">
                  <c:v>54.667157682067078</c:v>
                </c:pt>
                <c:pt idx="106">
                  <c:v>54.956173761040908</c:v>
                </c:pt>
                <c:pt idx="107">
                  <c:v>55.236664708579447</c:v>
                </c:pt>
                <c:pt idx="108">
                  <c:v>55.508815787911878</c:v>
                </c:pt>
                <c:pt idx="109">
                  <c:v>55.772834113639469</c:v>
                </c:pt>
                <c:pt idx="110">
                  <c:v>56.028926786518483</c:v>
                </c:pt>
                <c:pt idx="111">
                  <c:v>56.277300900592323</c:v>
                </c:pt>
                <c:pt idx="112">
                  <c:v>56.518163537964433</c:v>
                </c:pt>
                <c:pt idx="113">
                  <c:v>56.751722836940694</c:v>
                </c:pt>
                <c:pt idx="114">
                  <c:v>56.978194914319296</c:v>
                </c:pt>
                <c:pt idx="115">
                  <c:v>57.197787032247234</c:v>
                </c:pt>
                <c:pt idx="116">
                  <c:v>57.410706467168815</c:v>
                </c:pt>
                <c:pt idx="117">
                  <c:v>57.61716049611293</c:v>
                </c:pt>
                <c:pt idx="118">
                  <c:v>57.817356420788613</c:v>
                </c:pt>
                <c:pt idx="119">
                  <c:v>60.390602233061706</c:v>
                </c:pt>
                <c:pt idx="120">
                  <c:v>60.584349753727928</c:v>
                </c:pt>
                <c:pt idx="121">
                  <c:v>60.769464119811396</c:v>
                </c:pt>
                <c:pt idx="122">
                  <c:v>60.946386317969065</c:v>
                </c:pt>
                <c:pt idx="123">
                  <c:v>61.115547614247063</c:v>
                </c:pt>
                <c:pt idx="124">
                  <c:v>61.277379122398273</c:v>
                </c:pt>
                <c:pt idx="125">
                  <c:v>61.43231181035371</c:v>
                </c:pt>
                <c:pt idx="126">
                  <c:v>61.58077649722027</c:v>
                </c:pt>
                <c:pt idx="127">
                  <c:v>61.723201248143667</c:v>
                </c:pt>
                <c:pt idx="128">
                  <c:v>61.86001528111661</c:v>
                </c:pt>
                <c:pt idx="129">
                  <c:v>61.991648875691105</c:v>
                </c:pt>
                <c:pt idx="130">
                  <c:v>62.118532157501981</c:v>
                </c:pt>
                <c:pt idx="131">
                  <c:v>62.241095109521083</c:v>
                </c:pt>
                <c:pt idx="132">
                  <c:v>62.35976756376779</c:v>
                </c:pt>
                <c:pt idx="133">
                  <c:v>62.474979208596125</c:v>
                </c:pt>
                <c:pt idx="134">
                  <c:v>62.585622791135464</c:v>
                </c:pt>
                <c:pt idx="135">
                  <c:v>62.690449126995738</c:v>
                </c:pt>
                <c:pt idx="136">
                  <c:v>62.789677436028505</c:v>
                </c:pt>
                <c:pt idx="137">
                  <c:v>62.883523482956335</c:v>
                </c:pt>
                <c:pt idx="138">
                  <c:v>62.972202973798112</c:v>
                </c:pt>
                <c:pt idx="139">
                  <c:v>63.05593154671444</c:v>
                </c:pt>
                <c:pt idx="140">
                  <c:v>63.134924783628335</c:v>
                </c:pt>
                <c:pt idx="141">
                  <c:v>63.209398684458122</c:v>
                </c:pt>
                <c:pt idx="142">
                  <c:v>63.279571740777314</c:v>
                </c:pt>
                <c:pt idx="143">
                  <c:v>63.345659463061793</c:v>
                </c:pt>
                <c:pt idx="144">
                  <c:v>63.407877301521005</c:v>
                </c:pt>
                <c:pt idx="145">
                  <c:v>63.466440649040763</c:v>
                </c:pt>
                <c:pt idx="146">
                  <c:v>63.521564837401414</c:v>
                </c:pt>
                <c:pt idx="147">
                  <c:v>63.573465145707367</c:v>
                </c:pt>
                <c:pt idx="148">
                  <c:v>63.621357325014259</c:v>
                </c:pt>
                <c:pt idx="149">
                  <c:v>63.664456413228649</c:v>
                </c:pt>
                <c:pt idx="150">
                  <c:v>63.702977271800272</c:v>
                </c:pt>
                <c:pt idx="151">
                  <c:v>63.737135412285902</c:v>
                </c:pt>
                <c:pt idx="152">
                  <c:v>63.767146284931684</c:v>
                </c:pt>
                <c:pt idx="153">
                  <c:v>63.793225279202346</c:v>
                </c:pt>
                <c:pt idx="154">
                  <c:v>63.815587721123791</c:v>
                </c:pt>
                <c:pt idx="155">
                  <c:v>63.83444833116743</c:v>
                </c:pt>
                <c:pt idx="156">
                  <c:v>63.850021743212615</c:v>
                </c:pt>
                <c:pt idx="157">
                  <c:v>63.862523057090918</c:v>
                </c:pt>
                <c:pt idx="158">
                  <c:v>63.872167307316211</c:v>
                </c:pt>
                <c:pt idx="159">
                  <c:v>63.879169457635577</c:v>
                </c:pt>
                <c:pt idx="160">
                  <c:v>63.883744403491505</c:v>
                </c:pt>
                <c:pt idx="161">
                  <c:v>63.886106969082519</c:v>
                </c:pt>
                <c:pt idx="162">
                  <c:v>63.887095799874281</c:v>
                </c:pt>
                <c:pt idx="163">
                  <c:v>63.88704989138661</c:v>
                </c:pt>
                <c:pt idx="164">
                  <c:v>63.885436259840972</c:v>
                </c:pt>
                <c:pt idx="165">
                  <c:v>63.88172098270482</c:v>
                </c:pt>
                <c:pt idx="166">
                  <c:v>63.875370327897613</c:v>
                </c:pt>
                <c:pt idx="167">
                  <c:v>63.865850746606768</c:v>
                </c:pt>
                <c:pt idx="168">
                  <c:v>63.852628874854076</c:v>
                </c:pt>
                <c:pt idx="169">
                  <c:v>63.835171237085007</c:v>
                </c:pt>
                <c:pt idx="170">
                  <c:v>63.812945428488455</c:v>
                </c:pt>
                <c:pt idx="171">
                  <c:v>63.7854186339545</c:v>
                </c:pt>
                <c:pt idx="172">
                  <c:v>63.752058216509816</c:v>
                </c:pt>
                <c:pt idx="173">
                  <c:v>63.712331712669467</c:v>
                </c:pt>
                <c:pt idx="174">
                  <c:v>63.665706835730795</c:v>
                </c:pt>
                <c:pt idx="175">
                  <c:v>63.611651470490209</c:v>
                </c:pt>
                <c:pt idx="176">
                  <c:v>63.550274593287725</c:v>
                </c:pt>
                <c:pt idx="177">
                  <c:v>63.482254161678703</c:v>
                </c:pt>
                <c:pt idx="178">
                  <c:v>63.407912798543151</c:v>
                </c:pt>
                <c:pt idx="179">
                  <c:v>63.32757268905273</c:v>
                </c:pt>
                <c:pt idx="180">
                  <c:v>63.24155588903939</c:v>
                </c:pt>
                <c:pt idx="181">
                  <c:v>63.150184317171323</c:v>
                </c:pt>
                <c:pt idx="182">
                  <c:v>63.053779767830001</c:v>
                </c:pt>
                <c:pt idx="183">
                  <c:v>62.952662591419575</c:v>
                </c:pt>
                <c:pt idx="184">
                  <c:v>62.847154621853207</c:v>
                </c:pt>
                <c:pt idx="185">
                  <c:v>62.737577244459011</c:v>
                </c:pt>
                <c:pt idx="186">
                  <c:v>62.62425171845652</c:v>
                </c:pt>
                <c:pt idx="187">
                  <c:v>62.507499173049766</c:v>
                </c:pt>
                <c:pt idx="188">
                  <c:v>62.387640614600521</c:v>
                </c:pt>
                <c:pt idx="189">
                  <c:v>62.264996917571374</c:v>
                </c:pt>
                <c:pt idx="190">
                  <c:v>62.139550986079627</c:v>
                </c:pt>
                <c:pt idx="191">
                  <c:v>62.010930777899553</c:v>
                </c:pt>
                <c:pt idx="192">
                  <c:v>61.878924380766549</c:v>
                </c:pt>
                <c:pt idx="193">
                  <c:v>61.743319279426501</c:v>
                </c:pt>
                <c:pt idx="194">
                  <c:v>61.603903025446371</c:v>
                </c:pt>
                <c:pt idx="195">
                  <c:v>61.460463229491317</c:v>
                </c:pt>
                <c:pt idx="196">
                  <c:v>61.31278757001067</c:v>
                </c:pt>
                <c:pt idx="197">
                  <c:v>61.160664849393157</c:v>
                </c:pt>
                <c:pt idx="198">
                  <c:v>61.003884260350617</c:v>
                </c:pt>
                <c:pt idx="199">
                  <c:v>60.842233695091458</c:v>
                </c:pt>
                <c:pt idx="200">
                  <c:v>60.675501108561072</c:v>
                </c:pt>
                <c:pt idx="201">
                  <c:v>60.503474526850226</c:v>
                </c:pt>
                <c:pt idx="202">
                  <c:v>60.325942045652972</c:v>
                </c:pt>
                <c:pt idx="203">
                  <c:v>60.142691822767091</c:v>
                </c:pt>
                <c:pt idx="204">
                  <c:v>59.952890479770943</c:v>
                </c:pt>
                <c:pt idx="205">
                  <c:v>59.756197840462455</c:v>
                </c:pt>
                <c:pt idx="206">
                  <c:v>59.553147570703565</c:v>
                </c:pt>
                <c:pt idx="207">
                  <c:v>59.344273845153054</c:v>
                </c:pt>
                <c:pt idx="208">
                  <c:v>59.130110661745725</c:v>
                </c:pt>
                <c:pt idx="209">
                  <c:v>58.911191837758601</c:v>
                </c:pt>
                <c:pt idx="210">
                  <c:v>58.68805101601167</c:v>
                </c:pt>
                <c:pt idx="211">
                  <c:v>58.461216458457095</c:v>
                </c:pt>
                <c:pt idx="212">
                  <c:v>58.231220345524854</c:v>
                </c:pt>
                <c:pt idx="213">
                  <c:v>57.998595780171101</c:v>
                </c:pt>
                <c:pt idx="214">
                  <c:v>57.763875695882142</c:v>
                </c:pt>
                <c:pt idx="215">
                  <c:v>57.527592852484155</c:v>
                </c:pt>
                <c:pt idx="216">
                  <c:v>57.290279839885976</c:v>
                </c:pt>
                <c:pt idx="217">
                  <c:v>57.052469079228473</c:v>
                </c:pt>
                <c:pt idx="218">
                  <c:v>56.81267053693557</c:v>
                </c:pt>
                <c:pt idx="219">
                  <c:v>56.5692548093363</c:v>
                </c:pt>
                <c:pt idx="220">
                  <c:v>56.322546414283742</c:v>
                </c:pt>
                <c:pt idx="221">
                  <c:v>56.072865386421014</c:v>
                </c:pt>
                <c:pt idx="222">
                  <c:v>55.820531661159286</c:v>
                </c:pt>
                <c:pt idx="223">
                  <c:v>55.565865071312125</c:v>
                </c:pt>
                <c:pt idx="224">
                  <c:v>55.309185348027029</c:v>
                </c:pt>
                <c:pt idx="225">
                  <c:v>55.050790456738596</c:v>
                </c:pt>
                <c:pt idx="226">
                  <c:v>54.791005117193947</c:v>
                </c:pt>
                <c:pt idx="227">
                  <c:v>54.530148715282301</c:v>
                </c:pt>
                <c:pt idx="228">
                  <c:v>54.268540543396703</c:v>
                </c:pt>
                <c:pt idx="229">
                  <c:v>54.006499796492854</c:v>
                </c:pt>
                <c:pt idx="230">
                  <c:v>53.744345574367699</c:v>
                </c:pt>
                <c:pt idx="231">
                  <c:v>53.482396882544236</c:v>
                </c:pt>
                <c:pt idx="232">
                  <c:v>53.221327001351348</c:v>
                </c:pt>
                <c:pt idx="233">
                  <c:v>52.961225728012323</c:v>
                </c:pt>
                <c:pt idx="234">
                  <c:v>52.701559374703521</c:v>
                </c:pt>
                <c:pt idx="235">
                  <c:v>52.441796472588891</c:v>
                </c:pt>
                <c:pt idx="236">
                  <c:v>52.181405739544637</c:v>
                </c:pt>
                <c:pt idx="237">
                  <c:v>51.919856085399822</c:v>
                </c:pt>
                <c:pt idx="238">
                  <c:v>51.656616609260773</c:v>
                </c:pt>
                <c:pt idx="239">
                  <c:v>51.39121065275026</c:v>
                </c:pt>
                <c:pt idx="240">
                  <c:v>51.123129444163368</c:v>
                </c:pt>
                <c:pt idx="241">
                  <c:v>50.851842599273212</c:v>
                </c:pt>
                <c:pt idx="242">
                  <c:v>50.576819896019686</c:v>
                </c:pt>
                <c:pt idx="243">
                  <c:v>50.297531275134375</c:v>
                </c:pt>
                <c:pt idx="244">
                  <c:v>50.01344683676929</c:v>
                </c:pt>
                <c:pt idx="245">
                  <c:v>49.72403684425872</c:v>
                </c:pt>
                <c:pt idx="246">
                  <c:v>49.430789318351437</c:v>
                </c:pt>
                <c:pt idx="247">
                  <c:v>49.135373576933546</c:v>
                </c:pt>
                <c:pt idx="248">
                  <c:v>48.837487792344675</c:v>
                </c:pt>
                <c:pt idx="249">
                  <c:v>48.53681397043669</c:v>
                </c:pt>
                <c:pt idx="250">
                  <c:v>48.23303419136667</c:v>
                </c:pt>
                <c:pt idx="251">
                  <c:v>47.925830604194125</c:v>
                </c:pt>
                <c:pt idx="252">
                  <c:v>47.614885431470171</c:v>
                </c:pt>
                <c:pt idx="253">
                  <c:v>47.299857858456761</c:v>
                </c:pt>
                <c:pt idx="254">
                  <c:v>46.980376696860958</c:v>
                </c:pt>
                <c:pt idx="255">
                  <c:v>46.656124609162333</c:v>
                </c:pt>
                <c:pt idx="256">
                  <c:v>46.326784350883429</c:v>
                </c:pt>
                <c:pt idx="257">
                  <c:v>45.992038766644171</c:v>
                </c:pt>
                <c:pt idx="258">
                  <c:v>45.65157079135043</c:v>
                </c:pt>
                <c:pt idx="259">
                  <c:v>45.305063447831472</c:v>
                </c:pt>
                <c:pt idx="260">
                  <c:v>44.951156819087679</c:v>
                </c:pt>
                <c:pt idx="261">
                  <c:v>44.589208067072043</c:v>
                </c:pt>
                <c:pt idx="262">
                  <c:v>44.220028199556545</c:v>
                </c:pt>
                <c:pt idx="263">
                  <c:v>43.844467659081502</c:v>
                </c:pt>
                <c:pt idx="264">
                  <c:v>43.463376642316028</c:v>
                </c:pt>
                <c:pt idx="265">
                  <c:v>43.07760509807607</c:v>
                </c:pt>
                <c:pt idx="266">
                  <c:v>42.688002748961914</c:v>
                </c:pt>
                <c:pt idx="267">
                  <c:v>42.295379601827818</c:v>
                </c:pt>
                <c:pt idx="268">
                  <c:v>41.900607763170129</c:v>
                </c:pt>
                <c:pt idx="269">
                  <c:v>41.504536415539846</c:v>
                </c:pt>
                <c:pt idx="270">
                  <c:v>41.108014527882915</c:v>
                </c:pt>
                <c:pt idx="271">
                  <c:v>40.711890860036533</c:v>
                </c:pt>
                <c:pt idx="272">
                  <c:v>40.317013966167565</c:v>
                </c:pt>
                <c:pt idx="273">
                  <c:v>39.92423219855759</c:v>
                </c:pt>
                <c:pt idx="274">
                  <c:v>39.531356348068556</c:v>
                </c:pt>
                <c:pt idx="275">
                  <c:v>39.135953932617433</c:v>
                </c:pt>
                <c:pt idx="276">
                  <c:v>38.73850897079479</c:v>
                </c:pt>
                <c:pt idx="277">
                  <c:v>38.339445848815743</c:v>
                </c:pt>
                <c:pt idx="278">
                  <c:v>37.939188808232643</c:v>
                </c:pt>
                <c:pt idx="279">
                  <c:v>37.538161943369467</c:v>
                </c:pt>
                <c:pt idx="280">
                  <c:v>37.136789199816384</c:v>
                </c:pt>
                <c:pt idx="281">
                  <c:v>36.735518081239135</c:v>
                </c:pt>
                <c:pt idx="282">
                  <c:v>36.334809627136195</c:v>
                </c:pt>
                <c:pt idx="283">
                  <c:v>35.935086541781011</c:v>
                </c:pt>
                <c:pt idx="284">
                  <c:v>35.536771326926804</c:v>
                </c:pt>
                <c:pt idx="285">
                  <c:v>35.140286281563448</c:v>
                </c:pt>
                <c:pt idx="286">
                  <c:v>34.746053501291001</c:v>
                </c:pt>
                <c:pt idx="287">
                  <c:v>34.354494880586905</c:v>
                </c:pt>
                <c:pt idx="288">
                  <c:v>33.964285677190958</c:v>
                </c:pt>
                <c:pt idx="289">
                  <c:v>33.573425538300228</c:v>
                </c:pt>
                <c:pt idx="290">
                  <c:v>33.18220422903466</c:v>
                </c:pt>
                <c:pt idx="291">
                  <c:v>32.790948529223478</c:v>
                </c:pt>
                <c:pt idx="292">
                  <c:v>32.399985507759567</c:v>
                </c:pt>
                <c:pt idx="293">
                  <c:v>32.00964249154206</c:v>
                </c:pt>
                <c:pt idx="294">
                  <c:v>31.620247035304921</c:v>
                </c:pt>
                <c:pt idx="295">
                  <c:v>31.231207189792759</c:v>
                </c:pt>
                <c:pt idx="296">
                  <c:v>30.842845661061229</c:v>
                </c:pt>
                <c:pt idx="297">
                  <c:v>30.455507970373098</c:v>
                </c:pt>
                <c:pt idx="298">
                  <c:v>30.069540221704369</c:v>
                </c:pt>
                <c:pt idx="299">
                  <c:v>29.685288779049305</c:v>
                </c:pt>
                <c:pt idx="300">
                  <c:v>29.303100134081692</c:v>
                </c:pt>
                <c:pt idx="301">
                  <c:v>28.923320771894719</c:v>
                </c:pt>
                <c:pt idx="302">
                  <c:v>28.544358463028651</c:v>
                </c:pt>
                <c:pt idx="303">
                  <c:v>28.165148340592715</c:v>
                </c:pt>
                <c:pt idx="304">
                  <c:v>27.786791262003575</c:v>
                </c:pt>
                <c:pt idx="305">
                  <c:v>27.409824747399259</c:v>
                </c:pt>
                <c:pt idx="306">
                  <c:v>27.034785528269303</c:v>
                </c:pt>
                <c:pt idx="307">
                  <c:v>26.662209499690793</c:v>
                </c:pt>
                <c:pt idx="308">
                  <c:v>26.292631667906637</c:v>
                </c:pt>
                <c:pt idx="309">
                  <c:v>25.927679786507245</c:v>
                </c:pt>
                <c:pt idx="310">
                  <c:v>25.568693382638862</c:v>
                </c:pt>
                <c:pt idx="311">
                  <c:v>25.216163482691748</c:v>
                </c:pt>
                <c:pt idx="312">
                  <c:v>24.870580856691667</c:v>
                </c:pt>
                <c:pt idx="313">
                  <c:v>24.532436198736388</c:v>
                </c:pt>
                <c:pt idx="314">
                  <c:v>24.202220299218752</c:v>
                </c:pt>
                <c:pt idx="315">
                  <c:v>23.880424222402379</c:v>
                </c:pt>
                <c:pt idx="316">
                  <c:v>23.566218976671593</c:v>
                </c:pt>
                <c:pt idx="317">
                  <c:v>23.258670800545872</c:v>
                </c:pt>
                <c:pt idx="318">
                  <c:v>22.957392765473404</c:v>
                </c:pt>
                <c:pt idx="319">
                  <c:v>22.662353444579217</c:v>
                </c:pt>
                <c:pt idx="320">
                  <c:v>22.373522531693077</c:v>
                </c:pt>
                <c:pt idx="321">
                  <c:v>22.090870951002735</c:v>
                </c:pt>
                <c:pt idx="322">
                  <c:v>21.814370966967815</c:v>
                </c:pt>
                <c:pt idx="323">
                  <c:v>21.543852371958675</c:v>
                </c:pt>
                <c:pt idx="324">
                  <c:v>21.278306561225659</c:v>
                </c:pt>
                <c:pt idx="325">
                  <c:v>21.017730811440337</c:v>
                </c:pt>
                <c:pt idx="326">
                  <c:v>20.762124138548611</c:v>
                </c:pt>
                <c:pt idx="327">
                  <c:v>20.511484937414863</c:v>
                </c:pt>
                <c:pt idx="328">
                  <c:v>20.265810853994282</c:v>
                </c:pt>
                <c:pt idx="329">
                  <c:v>20.025099932452708</c:v>
                </c:pt>
                <c:pt idx="330">
                  <c:v>19.787063939581731</c:v>
                </c:pt>
                <c:pt idx="331">
                  <c:v>19.550024913067773</c:v>
                </c:pt>
                <c:pt idx="332">
                  <c:v>19.314814402198444</c:v>
                </c:pt>
                <c:pt idx="333">
                  <c:v>19.082492155524637</c:v>
                </c:pt>
                <c:pt idx="334">
                  <c:v>18.854117552957451</c:v>
                </c:pt>
                <c:pt idx="335">
                  <c:v>18.630749587268745</c:v>
                </c:pt>
                <c:pt idx="336">
                  <c:v>18.413446833995536</c:v>
                </c:pt>
                <c:pt idx="337">
                  <c:v>18.203115597916799</c:v>
                </c:pt>
                <c:pt idx="338">
                  <c:v>18.000948652885146</c:v>
                </c:pt>
                <c:pt idx="339">
                  <c:v>17.808003349580051</c:v>
                </c:pt>
                <c:pt idx="340">
                  <c:v>17.625336544091152</c:v>
                </c:pt>
                <c:pt idx="341">
                  <c:v>17.454004601518783</c:v>
                </c:pt>
                <c:pt idx="342">
                  <c:v>17.29506338811537</c:v>
                </c:pt>
                <c:pt idx="343">
                  <c:v>17.149568255795575</c:v>
                </c:pt>
                <c:pt idx="344">
                  <c:v>17.013566587863188</c:v>
                </c:pt>
                <c:pt idx="345">
                  <c:v>16.883133495955281</c:v>
                </c:pt>
                <c:pt idx="346">
                  <c:v>16.759536474275269</c:v>
                </c:pt>
                <c:pt idx="347">
                  <c:v>16.643870103858315</c:v>
                </c:pt>
                <c:pt idx="348">
                  <c:v>16.537228631807043</c:v>
                </c:pt>
                <c:pt idx="349">
                  <c:v>16.44070594686162</c:v>
                </c:pt>
                <c:pt idx="350">
                  <c:v>16.355395587890239</c:v>
                </c:pt>
                <c:pt idx="351">
                  <c:v>16.282471948882353</c:v>
                </c:pt>
                <c:pt idx="352">
                  <c:v>16.223173654131163</c:v>
                </c:pt>
                <c:pt idx="353">
                  <c:v>16.178592278422983</c:v>
                </c:pt>
                <c:pt idx="354">
                  <c:v>16.149819180341851</c:v>
                </c:pt>
                <c:pt idx="355">
                  <c:v>16.13794547763699</c:v>
                </c:pt>
                <c:pt idx="356">
                  <c:v>16.144062656401729</c:v>
                </c:pt>
                <c:pt idx="357">
                  <c:v>16.169260936217942</c:v>
                </c:pt>
                <c:pt idx="358">
                  <c:v>16.215648003322727</c:v>
                </c:pt>
                <c:pt idx="359">
                  <c:v>16.28353058256161</c:v>
                </c:pt>
                <c:pt idx="360">
                  <c:v>16.371153597766671</c:v>
                </c:pt>
                <c:pt idx="361">
                  <c:v>16.476827266147986</c:v>
                </c:pt>
                <c:pt idx="362">
                  <c:v>16.598942767831581</c:v>
                </c:pt>
                <c:pt idx="363">
                  <c:v>16.735891614190422</c:v>
                </c:pt>
                <c:pt idx="364">
                  <c:v>16.886065646582001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5.809995593461605</c:v>
                </c:pt>
                <c:pt idx="7">
                  <c:v>7.5894060115736135</c:v>
                </c:pt>
                <c:pt idx="8">
                  <c:v>2.2797760711704029</c:v>
                </c:pt>
                <c:pt idx="9">
                  <c:v>1.8852152611054418</c:v>
                </c:pt>
                <c:pt idx="10">
                  <c:v>18.918034294674641</c:v>
                </c:pt>
                <c:pt idx="11">
                  <c:v>16.982067148510748</c:v>
                </c:pt>
                <c:pt idx="12">
                  <c:v>5.7696352929048285</c:v>
                </c:pt>
                <c:pt idx="13">
                  <c:v>19.519137503475545</c:v>
                </c:pt>
                <c:pt idx="14">
                  <c:v>20.083373508678957</c:v>
                </c:pt>
                <c:pt idx="15">
                  <c:v>19.808163128052541</c:v>
                </c:pt>
                <c:pt idx="16">
                  <c:v>13.291812487463746</c:v>
                </c:pt>
                <c:pt idx="17">
                  <c:v>4.2167987181124538</c:v>
                </c:pt>
                <c:pt idx="18">
                  <c:v>10.662071418093293</c:v>
                </c:pt>
                <c:pt idx="19">
                  <c:v>6.1718184809678363</c:v>
                </c:pt>
                <c:pt idx="20">
                  <c:v>17.373684051679533</c:v>
                </c:pt>
                <c:pt idx="21">
                  <c:v>21.426383859605885</c:v>
                </c:pt>
                <c:pt idx="22">
                  <c:v>21.497660707764091</c:v>
                </c:pt>
                <c:pt idx="23">
                  <c:v>22.031814171382411</c:v>
                </c:pt>
                <c:pt idx="24">
                  <c:v>20.634241586236424</c:v>
                </c:pt>
                <c:pt idx="25">
                  <c:v>22.206262534730975</c:v>
                </c:pt>
                <c:pt idx="26">
                  <c:v>18.591205794945701</c:v>
                </c:pt>
                <c:pt idx="27">
                  <c:v>4.4345523190022273</c:v>
                </c:pt>
                <c:pt idx="28">
                  <c:v>6.6650409188956541</c:v>
                </c:pt>
                <c:pt idx="29">
                  <c:v>4.8040891368548095</c:v>
                </c:pt>
                <c:pt idx="30">
                  <c:v>11.140337246827894</c:v>
                </c:pt>
                <c:pt idx="31">
                  <c:v>14.363656685507882</c:v>
                </c:pt>
                <c:pt idx="32">
                  <c:v>5.7936531131212172</c:v>
                </c:pt>
                <c:pt idx="33">
                  <c:v>13.390564043156127</c:v>
                </c:pt>
                <c:pt idx="34">
                  <c:v>12.222257454696402</c:v>
                </c:pt>
                <c:pt idx="35">
                  <c:v>9.5999951263321517</c:v>
                </c:pt>
                <c:pt idx="36">
                  <c:v>21.089960648490493</c:v>
                </c:pt>
                <c:pt idx="37">
                  <c:v>14.455157471000806</c:v>
                </c:pt>
                <c:pt idx="38">
                  <c:v>28.022144886056754</c:v>
                </c:pt>
                <c:pt idx="39">
                  <c:v>28.249389891464247</c:v>
                </c:pt>
                <c:pt idx="40">
                  <c:v>27.270255212454497</c:v>
                </c:pt>
                <c:pt idx="41">
                  <c:v>14.259291351071491</c:v>
                </c:pt>
                <c:pt idx="42">
                  <c:v>22.806577181488375</c:v>
                </c:pt>
                <c:pt idx="43">
                  <c:v>25.132306816201723</c:v>
                </c:pt>
                <c:pt idx="44">
                  <c:v>16.139226883648977</c:v>
                </c:pt>
                <c:pt idx="45">
                  <c:v>20.778551478061061</c:v>
                </c:pt>
                <c:pt idx="46">
                  <c:v>9.8696705030772431</c:v>
                </c:pt>
                <c:pt idx="47">
                  <c:v>11.861830845457764</c:v>
                </c:pt>
                <c:pt idx="48">
                  <c:v>27.798492205302455</c:v>
                </c:pt>
                <c:pt idx="49">
                  <c:v>16.78191257975022</c:v>
                </c:pt>
                <c:pt idx="50">
                  <c:v>21.133530756569741</c:v>
                </c:pt>
                <c:pt idx="51">
                  <c:v>18.635161636172977</c:v>
                </c:pt>
                <c:pt idx="52">
                  <c:v>30.453902938446493</c:v>
                </c:pt>
                <c:pt idx="53">
                  <c:v>32.027207335725244</c:v>
                </c:pt>
                <c:pt idx="54">
                  <c:v>22.805604369158004</c:v>
                </c:pt>
                <c:pt idx="55">
                  <c:v>25.178649148991195</c:v>
                </c:pt>
                <c:pt idx="56">
                  <c:v>35.457246927194731</c:v>
                </c:pt>
                <c:pt idx="57">
                  <c:v>22.679492881789173</c:v>
                </c:pt>
                <c:pt idx="58">
                  <c:v>33.074599627798989</c:v>
                </c:pt>
                <c:pt idx="59">
                  <c:v>34.897692489414467</c:v>
                </c:pt>
                <c:pt idx="60">
                  <c:v>16.125720221009615</c:v>
                </c:pt>
                <c:pt idx="61">
                  <c:v>27.817346025124195</c:v>
                </c:pt>
                <c:pt idx="62">
                  <c:v>5.4788248383822502</c:v>
                </c:pt>
                <c:pt idx="63">
                  <c:v>14.208781387415124</c:v>
                </c:pt>
                <c:pt idx="64">
                  <c:v>21.75258085942836</c:v>
                </c:pt>
                <c:pt idx="65">
                  <c:v>35.258014411639422</c:v>
                </c:pt>
                <c:pt idx="66">
                  <c:v>31.633629070199078</c:v>
                </c:pt>
                <c:pt idx="67">
                  <c:v>28.236415326996031</c:v>
                </c:pt>
                <c:pt idx="68">
                  <c:v>23.857426435156246</c:v>
                </c:pt>
                <c:pt idx="69">
                  <c:v>17.217769721186059</c:v>
                </c:pt>
                <c:pt idx="70">
                  <c:v>13.474597727424641</c:v>
                </c:pt>
                <c:pt idx="71">
                  <c:v>8.5822568319878556</c:v>
                </c:pt>
                <c:pt idx="72">
                  <c:v>12.779667554720012</c:v>
                </c:pt>
                <c:pt idx="73">
                  <c:v>15.14492023050316</c:v>
                </c:pt>
                <c:pt idx="74">
                  <c:v>12.717384621513297</c:v>
                </c:pt>
                <c:pt idx="75">
                  <c:v>12.213982575179076</c:v>
                </c:pt>
                <c:pt idx="76">
                  <c:v>14.41686398751752</c:v>
                </c:pt>
                <c:pt idx="77">
                  <c:v>26.490422545312068</c:v>
                </c:pt>
                <c:pt idx="78">
                  <c:v>31.753950622917245</c:v>
                </c:pt>
                <c:pt idx="79">
                  <c:v>42.709931515088719</c:v>
                </c:pt>
                <c:pt idx="80">
                  <c:v>41.686029860855697</c:v>
                </c:pt>
                <c:pt idx="81">
                  <c:v>44.472014859884297</c:v>
                </c:pt>
                <c:pt idx="82">
                  <c:v>44.180393239140294</c:v>
                </c:pt>
                <c:pt idx="83">
                  <c:v>36.802920452131417</c:v>
                </c:pt>
                <c:pt idx="84">
                  <c:v>40.422609071634177</c:v>
                </c:pt>
                <c:pt idx="85">
                  <c:v>42.301254041027896</c:v>
                </c:pt>
                <c:pt idx="86">
                  <c:v>36.338396305869679</c:v>
                </c:pt>
                <c:pt idx="87">
                  <c:v>27.673119797127281</c:v>
                </c:pt>
                <c:pt idx="88">
                  <c:v>7.707042720436668</c:v>
                </c:pt>
                <c:pt idx="89">
                  <c:v>26.916823868401174</c:v>
                </c:pt>
                <c:pt idx="90">
                  <c:v>29.606284712321049</c:v>
                </c:pt>
                <c:pt idx="91">
                  <c:v>20.176176021948571</c:v>
                </c:pt>
                <c:pt idx="92">
                  <c:v>27.546596929553651</c:v>
                </c:pt>
                <c:pt idx="93">
                  <c:v>42.779980311267373</c:v>
                </c:pt>
                <c:pt idx="94">
                  <c:v>51.19829565641782</c:v>
                </c:pt>
                <c:pt idx="95">
                  <c:v>12.488777035108578</c:v>
                </c:pt>
                <c:pt idx="96">
                  <c:v>42.332053900792573</c:v>
                </c:pt>
                <c:pt idx="97">
                  <c:v>36.060063652056392</c:v>
                </c:pt>
                <c:pt idx="98">
                  <c:v>33.547410902298893</c:v>
                </c:pt>
                <c:pt idx="99">
                  <c:v>54.964124532122845</c:v>
                </c:pt>
                <c:pt idx="100">
                  <c:v>44.34311874665898</c:v>
                </c:pt>
                <c:pt idx="101">
                  <c:v>36.999429531739885</c:v>
                </c:pt>
                <c:pt idx="102">
                  <c:v>8.5556471328498436</c:v>
                </c:pt>
                <c:pt idx="103">
                  <c:v>39.496420501339628</c:v>
                </c:pt>
                <c:pt idx="104">
                  <c:v>43.280212844167913</c:v>
                </c:pt>
                <c:pt idx="105">
                  <c:v>39.381298343299463</c:v>
                </c:pt>
                <c:pt idx="106">
                  <c:v>54.542414363172576</c:v>
                </c:pt>
                <c:pt idx="107">
                  <c:v>34.796092028491508</c:v>
                </c:pt>
                <c:pt idx="108">
                  <c:v>11.44841004669245</c:v>
                </c:pt>
                <c:pt idx="109">
                  <c:v>11.472529360663653</c:v>
                </c:pt>
                <c:pt idx="110">
                  <c:v>11.011635563564658</c:v>
                </c:pt>
                <c:pt idx="111">
                  <c:v>29.29022513941019</c:v>
                </c:pt>
                <c:pt idx="112">
                  <c:v>9.6162372752174541</c:v>
                </c:pt>
                <c:pt idx="113">
                  <c:v>34.480064177522223</c:v>
                </c:pt>
                <c:pt idx="114">
                  <c:v>45.504352142857812</c:v>
                </c:pt>
                <c:pt idx="115">
                  <c:v>56.815933357114744</c:v>
                </c:pt>
                <c:pt idx="116">
                  <c:v>45.161173635214588</c:v>
                </c:pt>
                <c:pt idx="117">
                  <c:v>24.076699042643686</c:v>
                </c:pt>
                <c:pt idx="118">
                  <c:v>43.637277103964003</c:v>
                </c:pt>
                <c:pt idx="119">
                  <c:v>44.804923971418354</c:v>
                </c:pt>
                <c:pt idx="120">
                  <c:v>50.829461870886739</c:v>
                </c:pt>
                <c:pt idx="121">
                  <c:v>32.670814822557041</c:v>
                </c:pt>
                <c:pt idx="122">
                  <c:v>36.412596513731685</c:v>
                </c:pt>
                <c:pt idx="123">
                  <c:v>20.492999138393241</c:v>
                </c:pt>
                <c:pt idx="124">
                  <c:v>41.248853270610589</c:v>
                </c:pt>
                <c:pt idx="125">
                  <c:v>43.240702404405219</c:v>
                </c:pt>
                <c:pt idx="126">
                  <c:v>49.734291108709044</c:v>
                </c:pt>
                <c:pt idx="127">
                  <c:v>56.41012126869115</c:v>
                </c:pt>
                <c:pt idx="128">
                  <c:v>59.686728999479833</c:v>
                </c:pt>
                <c:pt idx="129">
                  <c:v>58.464595787466315</c:v>
                </c:pt>
                <c:pt idx="130">
                  <c:v>62.366652312168789</c:v>
                </c:pt>
                <c:pt idx="131">
                  <c:v>47.489014512855327</c:v>
                </c:pt>
                <c:pt idx="132">
                  <c:v>50.322422103912771</c:v>
                </c:pt>
                <c:pt idx="133">
                  <c:v>56.336884127907069</c:v>
                </c:pt>
                <c:pt idx="134">
                  <c:v>58.155398255398744</c:v>
                </c:pt>
                <c:pt idx="135">
                  <c:v>56.838666993053188</c:v>
                </c:pt>
                <c:pt idx="136">
                  <c:v>60.700856022965937</c:v>
                </c:pt>
                <c:pt idx="137">
                  <c:v>57.956942004039988</c:v>
                </c:pt>
                <c:pt idx="138">
                  <c:v>56.718901816278482</c:v>
                </c:pt>
                <c:pt idx="139">
                  <c:v>53.905287939352746</c:v>
                </c:pt>
                <c:pt idx="140">
                  <c:v>56.450831460111935</c:v>
                </c:pt>
                <c:pt idx="141">
                  <c:v>43.649962251479749</c:v>
                </c:pt>
                <c:pt idx="142">
                  <c:v>20.769258213086118</c:v>
                </c:pt>
                <c:pt idx="143">
                  <c:v>17.840184957968184</c:v>
                </c:pt>
                <c:pt idx="144">
                  <c:v>43.479479369100012</c:v>
                </c:pt>
                <c:pt idx="145">
                  <c:v>29.010515581420023</c:v>
                </c:pt>
                <c:pt idx="146">
                  <c:v>45.425413890243277</c:v>
                </c:pt>
                <c:pt idx="147">
                  <c:v>59.636276003058143</c:v>
                </c:pt>
                <c:pt idx="148">
                  <c:v>64.853865520956433</c:v>
                </c:pt>
                <c:pt idx="149">
                  <c:v>52.157697875924484</c:v>
                </c:pt>
                <c:pt idx="150">
                  <c:v>61.653774564936548</c:v>
                </c:pt>
                <c:pt idx="151">
                  <c:v>64.280930308778906</c:v>
                </c:pt>
                <c:pt idx="152">
                  <c:v>46.301438307144295</c:v>
                </c:pt>
                <c:pt idx="153">
                  <c:v>61.30491097052186</c:v>
                </c:pt>
                <c:pt idx="154">
                  <c:v>31.158328817206474</c:v>
                </c:pt>
                <c:pt idx="155">
                  <c:v>34.432847199845376</c:v>
                </c:pt>
                <c:pt idx="156">
                  <c:v>55.063166237609181</c:v>
                </c:pt>
                <c:pt idx="157">
                  <c:v>28.753012408647145</c:v>
                </c:pt>
                <c:pt idx="158">
                  <c:v>25.909621379836942</c:v>
                </c:pt>
                <c:pt idx="159">
                  <c:v>53.242271199692787</c:v>
                </c:pt>
                <c:pt idx="160">
                  <c:v>65.505721728512654</c:v>
                </c:pt>
                <c:pt idx="161">
                  <c:v>62.719005060241052</c:v>
                </c:pt>
                <c:pt idx="162">
                  <c:v>50.574812717640476</c:v>
                </c:pt>
                <c:pt idx="163">
                  <c:v>56.541077828525168</c:v>
                </c:pt>
                <c:pt idx="164">
                  <c:v>57.478030069192926</c:v>
                </c:pt>
                <c:pt idx="165">
                  <c:v>60.971417439179135</c:v>
                </c:pt>
                <c:pt idx="166">
                  <c:v>57.776391341342666</c:v>
                </c:pt>
                <c:pt idx="167">
                  <c:v>57.945472236035997</c:v>
                </c:pt>
                <c:pt idx="168">
                  <c:v>61.699706747707921</c:v>
                </c:pt>
                <c:pt idx="169">
                  <c:v>62.193403232949947</c:v>
                </c:pt>
                <c:pt idx="170">
                  <c:v>33.629563503585302</c:v>
                </c:pt>
                <c:pt idx="171">
                  <c:v>22.630066693116074</c:v>
                </c:pt>
                <c:pt idx="172">
                  <c:v>46.945912449769203</c:v>
                </c:pt>
                <c:pt idx="173">
                  <c:v>46.418872649467296</c:v>
                </c:pt>
                <c:pt idx="174">
                  <c:v>49.931999237038056</c:v>
                </c:pt>
                <c:pt idx="175">
                  <c:v>41.594508590182947</c:v>
                </c:pt>
                <c:pt idx="176">
                  <c:v>13.008668727299538</c:v>
                </c:pt>
                <c:pt idx="177">
                  <c:v>19.137959945676087</c:v>
                </c:pt>
                <c:pt idx="178">
                  <c:v>66.227626745689264</c:v>
                </c:pt>
                <c:pt idx="179">
                  <c:v>64.263460904356222</c:v>
                </c:pt>
                <c:pt idx="180">
                  <c:v>15.785691110875064</c:v>
                </c:pt>
                <c:pt idx="181">
                  <c:v>53.552701739596301</c:v>
                </c:pt>
                <c:pt idx="182">
                  <c:v>59.458460759043078</c:v>
                </c:pt>
                <c:pt idx="183">
                  <c:v>55.29562344547373</c:v>
                </c:pt>
                <c:pt idx="184">
                  <c:v>51.473393725586213</c:v>
                </c:pt>
                <c:pt idx="185">
                  <c:v>61.720628441300519</c:v>
                </c:pt>
                <c:pt idx="186">
                  <c:v>45.438245033236562</c:v>
                </c:pt>
                <c:pt idx="187">
                  <c:v>61.250704161909297</c:v>
                </c:pt>
                <c:pt idx="188">
                  <c:v>64.226562304041224</c:v>
                </c:pt>
                <c:pt idx="189">
                  <c:v>63.234288940699557</c:v>
                </c:pt>
                <c:pt idx="190">
                  <c:v>62.568625895084402</c:v>
                </c:pt>
                <c:pt idx="191">
                  <c:v>61.491725570046469</c:v>
                </c:pt>
                <c:pt idx="192">
                  <c:v>60.527352535420185</c:v>
                </c:pt>
                <c:pt idx="193">
                  <c:v>59.327002623058668</c:v>
                </c:pt>
                <c:pt idx="194">
                  <c:v>59.167185012991574</c:v>
                </c:pt>
                <c:pt idx="195">
                  <c:v>56.55594242683442</c:v>
                </c:pt>
                <c:pt idx="196">
                  <c:v>57.718421544460114</c:v>
                </c:pt>
                <c:pt idx="197">
                  <c:v>58.13411132012282</c:v>
                </c:pt>
                <c:pt idx="198">
                  <c:v>59.907893958109192</c:v>
                </c:pt>
                <c:pt idx="199">
                  <c:v>44.003554067755928</c:v>
                </c:pt>
                <c:pt idx="200">
                  <c:v>41.320854943253821</c:v>
                </c:pt>
                <c:pt idx="201">
                  <c:v>57.016911585934935</c:v>
                </c:pt>
                <c:pt idx="202">
                  <c:v>48.969624567430017</c:v>
                </c:pt>
                <c:pt idx="203">
                  <c:v>46.335734430448134</c:v>
                </c:pt>
                <c:pt idx="204">
                  <c:v>56.413013929335243</c:v>
                </c:pt>
                <c:pt idx="205">
                  <c:v>29.759905094855956</c:v>
                </c:pt>
                <c:pt idx="206">
                  <c:v>52.741181744603416</c:v>
                </c:pt>
                <c:pt idx="207">
                  <c:v>59.692935947921761</c:v>
                </c:pt>
                <c:pt idx="208">
                  <c:v>46.900085347613938</c:v>
                </c:pt>
                <c:pt idx="209">
                  <c:v>29.134565279526704</c:v>
                </c:pt>
                <c:pt idx="210">
                  <c:v>47.917659143518222</c:v>
                </c:pt>
                <c:pt idx="211">
                  <c:v>58.679175335479073</c:v>
                </c:pt>
                <c:pt idx="212">
                  <c:v>58.163899209545242</c:v>
                </c:pt>
                <c:pt idx="213">
                  <c:v>58.174268166085191</c:v>
                </c:pt>
                <c:pt idx="214">
                  <c:v>57.760532742113426</c:v>
                </c:pt>
                <c:pt idx="215">
                  <c:v>55.102899715795076</c:v>
                </c:pt>
                <c:pt idx="216">
                  <c:v>43.984497026284366</c:v>
                </c:pt>
                <c:pt idx="217">
                  <c:v>52.481588339299719</c:v>
                </c:pt>
                <c:pt idx="218">
                  <c:v>55.334083827307502</c:v>
                </c:pt>
                <c:pt idx="219">
                  <c:v>56.767957863308972</c:v>
                </c:pt>
                <c:pt idx="220">
                  <c:v>54.122384509334047</c:v>
                </c:pt>
                <c:pt idx="221">
                  <c:v>52.560913862361474</c:v>
                </c:pt>
                <c:pt idx="222">
                  <c:v>49.60386442758324</c:v>
                </c:pt>
                <c:pt idx="223">
                  <c:v>0</c:v>
                </c:pt>
                <c:pt idx="224">
                  <c:v>36.865357984147934</c:v>
                </c:pt>
                <c:pt idx="225">
                  <c:v>36.932611045305926</c:v>
                </c:pt>
                <c:pt idx="226">
                  <c:v>37.352217741965404</c:v>
                </c:pt>
                <c:pt idx="227">
                  <c:v>38.687551205586153</c:v>
                </c:pt>
                <c:pt idx="228">
                  <c:v>26.90982938975483</c:v>
                </c:pt>
                <c:pt idx="229">
                  <c:v>41.059458595173183</c:v>
                </c:pt>
                <c:pt idx="230">
                  <c:v>40.646817635388665</c:v>
                </c:pt>
                <c:pt idx="231">
                  <c:v>53.046041228536076</c:v>
                </c:pt>
                <c:pt idx="232">
                  <c:v>38.278781211999664</c:v>
                </c:pt>
                <c:pt idx="233">
                  <c:v>27.999742180463546</c:v>
                </c:pt>
                <c:pt idx="234">
                  <c:v>47.365500278587312</c:v>
                </c:pt>
                <c:pt idx="235">
                  <c:v>51.444297369886435</c:v>
                </c:pt>
                <c:pt idx="236">
                  <c:v>32.995469310548351</c:v>
                </c:pt>
                <c:pt idx="237">
                  <c:v>38.027743506000441</c:v>
                </c:pt>
                <c:pt idx="238">
                  <c:v>47.939320799873087</c:v>
                </c:pt>
                <c:pt idx="239">
                  <c:v>50.396540985122286</c:v>
                </c:pt>
                <c:pt idx="240">
                  <c:v>35.221205054840539</c:v>
                </c:pt>
                <c:pt idx="241">
                  <c:v>49.428436088470619</c:v>
                </c:pt>
                <c:pt idx="242">
                  <c:v>25.024779562405513</c:v>
                </c:pt>
                <c:pt idx="243">
                  <c:v>43.030135517819296</c:v>
                </c:pt>
                <c:pt idx="244">
                  <c:v>40.674040353519082</c:v>
                </c:pt>
                <c:pt idx="245">
                  <c:v>37.418480329743851</c:v>
                </c:pt>
                <c:pt idx="246">
                  <c:v>49.063349216670957</c:v>
                </c:pt>
                <c:pt idx="247">
                  <c:v>41.055415332853549</c:v>
                </c:pt>
                <c:pt idx="248">
                  <c:v>44.749579942785935</c:v>
                </c:pt>
                <c:pt idx="249">
                  <c:v>36.693256941480861</c:v>
                </c:pt>
                <c:pt idx="250">
                  <c:v>40.810411446204029</c:v>
                </c:pt>
                <c:pt idx="251">
                  <c:v>19.44287580951779</c:v>
                </c:pt>
                <c:pt idx="252">
                  <c:v>45.325354101841768</c:v>
                </c:pt>
                <c:pt idx="253">
                  <c:v>46.890348378282624</c:v>
                </c:pt>
                <c:pt idx="254">
                  <c:v>36.422598109494878</c:v>
                </c:pt>
                <c:pt idx="255">
                  <c:v>13.961035264585846</c:v>
                </c:pt>
                <c:pt idx="256">
                  <c:v>37.513877180938699</c:v>
                </c:pt>
                <c:pt idx="257">
                  <c:v>42.615161286533102</c:v>
                </c:pt>
                <c:pt idx="258">
                  <c:v>28.636221092047354</c:v>
                </c:pt>
                <c:pt idx="259">
                  <c:v>45.981006537648334</c:v>
                </c:pt>
                <c:pt idx="260">
                  <c:v>45.03961787273078</c:v>
                </c:pt>
                <c:pt idx="261">
                  <c:v>45.395669089722446</c:v>
                </c:pt>
                <c:pt idx="262">
                  <c:v>45.754631406807576</c:v>
                </c:pt>
                <c:pt idx="263">
                  <c:v>44.403139758642517</c:v>
                </c:pt>
                <c:pt idx="264">
                  <c:v>43.160048656676054</c:v>
                </c:pt>
                <c:pt idx="265">
                  <c:v>31.626973838728485</c:v>
                </c:pt>
                <c:pt idx="266">
                  <c:v>19.535924447577496</c:v>
                </c:pt>
                <c:pt idx="267">
                  <c:v>31.269973850902989</c:v>
                </c:pt>
                <c:pt idx="268">
                  <c:v>33.7249442513018</c:v>
                </c:pt>
                <c:pt idx="269">
                  <c:v>16.503502990288652</c:v>
                </c:pt>
                <c:pt idx="270">
                  <c:v>18.853090352049417</c:v>
                </c:pt>
                <c:pt idx="271">
                  <c:v>24.400029893258285</c:v>
                </c:pt>
                <c:pt idx="272">
                  <c:v>26.165271967503305</c:v>
                </c:pt>
                <c:pt idx="273">
                  <c:v>35.711792012481339</c:v>
                </c:pt>
                <c:pt idx="274">
                  <c:v>37.138272537889215</c:v>
                </c:pt>
                <c:pt idx="275">
                  <c:v>33.631628306057941</c:v>
                </c:pt>
                <c:pt idx="276">
                  <c:v>39.171198118397513</c:v>
                </c:pt>
                <c:pt idx="277">
                  <c:v>39.426605995774935</c:v>
                </c:pt>
                <c:pt idx="278">
                  <c:v>15.802172431642804</c:v>
                </c:pt>
                <c:pt idx="279">
                  <c:v>30.352092175640159</c:v>
                </c:pt>
                <c:pt idx="280">
                  <c:v>15.349610113857192</c:v>
                </c:pt>
                <c:pt idx="281">
                  <c:v>35.845104967425556</c:v>
                </c:pt>
                <c:pt idx="282">
                  <c:v>31.383504096645396</c:v>
                </c:pt>
                <c:pt idx="283">
                  <c:v>25.23950866675229</c:v>
                </c:pt>
                <c:pt idx="284">
                  <c:v>25.142310264002614</c:v>
                </c:pt>
                <c:pt idx="285">
                  <c:v>22.773828129648948</c:v>
                </c:pt>
                <c:pt idx="286">
                  <c:v>15.307109478671386</c:v>
                </c:pt>
                <c:pt idx="287">
                  <c:v>34.116683859677252</c:v>
                </c:pt>
                <c:pt idx="288">
                  <c:v>29.907672220518879</c:v>
                </c:pt>
                <c:pt idx="289">
                  <c:v>16.854927924820071</c:v>
                </c:pt>
                <c:pt idx="290">
                  <c:v>30.06702696440999</c:v>
                </c:pt>
                <c:pt idx="291">
                  <c:v>16.795237001831381</c:v>
                </c:pt>
                <c:pt idx="292">
                  <c:v>8.8348382742355653</c:v>
                </c:pt>
                <c:pt idx="293">
                  <c:v>17.080468664274509</c:v>
                </c:pt>
                <c:pt idx="294">
                  <c:v>29.276901968539793</c:v>
                </c:pt>
                <c:pt idx="295">
                  <c:v>19.08733504369167</c:v>
                </c:pt>
                <c:pt idx="296">
                  <c:v>24.757070184023853</c:v>
                </c:pt>
                <c:pt idx="297">
                  <c:v>20.802829562635871</c:v>
                </c:pt>
                <c:pt idx="298">
                  <c:v>15.543813737786813</c:v>
                </c:pt>
                <c:pt idx="299">
                  <c:v>14.695151385256596</c:v>
                </c:pt>
                <c:pt idx="300">
                  <c:v>16.900161912276204</c:v>
                </c:pt>
                <c:pt idx="301">
                  <c:v>23.772387579512351</c:v>
                </c:pt>
                <c:pt idx="302">
                  <c:v>20.813001459908762</c:v>
                </c:pt>
                <c:pt idx="303">
                  <c:v>19.960840353601231</c:v>
                </c:pt>
                <c:pt idx="304">
                  <c:v>18.19676145582654</c:v>
                </c:pt>
                <c:pt idx="305">
                  <c:v>25.182410014158656</c:v>
                </c:pt>
                <c:pt idx="306">
                  <c:v>9.131769695692828</c:v>
                </c:pt>
                <c:pt idx="307">
                  <c:v>12.668129133877658</c:v>
                </c:pt>
                <c:pt idx="308">
                  <c:v>25.51722371080286</c:v>
                </c:pt>
                <c:pt idx="309">
                  <c:v>25.566905335719234</c:v>
                </c:pt>
                <c:pt idx="310">
                  <c:v>25.352795400411924</c:v>
                </c:pt>
                <c:pt idx="311">
                  <c:v>18.336379638971792</c:v>
                </c:pt>
                <c:pt idx="312">
                  <c:v>10.223627236263109</c:v>
                </c:pt>
                <c:pt idx="313">
                  <c:v>18.585154668345073</c:v>
                </c:pt>
                <c:pt idx="314">
                  <c:v>22.104954002166142</c:v>
                </c:pt>
                <c:pt idx="315">
                  <c:v>22.232488067208266</c:v>
                </c:pt>
                <c:pt idx="316">
                  <c:v>21.166472197230306</c:v>
                </c:pt>
                <c:pt idx="317">
                  <c:v>11.4363155963349</c:v>
                </c:pt>
                <c:pt idx="318">
                  <c:v>12.984004177424861</c:v>
                </c:pt>
                <c:pt idx="319">
                  <c:v>21.684772416970944</c:v>
                </c:pt>
                <c:pt idx="320">
                  <c:v>14.253574880921859</c:v>
                </c:pt>
                <c:pt idx="321">
                  <c:v>11.814277810372003</c:v>
                </c:pt>
                <c:pt idx="322">
                  <c:v>8.4784330316942942</c:v>
                </c:pt>
                <c:pt idx="323">
                  <c:v>15.262223874821007</c:v>
                </c:pt>
                <c:pt idx="324">
                  <c:v>3.4756043136513322</c:v>
                </c:pt>
                <c:pt idx="325">
                  <c:v>9.7523947138937697</c:v>
                </c:pt>
                <c:pt idx="326">
                  <c:v>13.006802837868706</c:v>
                </c:pt>
                <c:pt idx="327">
                  <c:v>12.093139836252197</c:v>
                </c:pt>
                <c:pt idx="328">
                  <c:v>4.9081270479565271</c:v>
                </c:pt>
                <c:pt idx="329">
                  <c:v>9.8156028190237841</c:v>
                </c:pt>
                <c:pt idx="330">
                  <c:v>14.032926301341726</c:v>
                </c:pt>
                <c:pt idx="331">
                  <c:v>9.5828233138859922</c:v>
                </c:pt>
                <c:pt idx="332">
                  <c:v>10.621356272194946</c:v>
                </c:pt>
                <c:pt idx="333">
                  <c:v>4.5502535805257214</c:v>
                </c:pt>
                <c:pt idx="334">
                  <c:v>4.2941568416126197</c:v>
                </c:pt>
                <c:pt idx="335">
                  <c:v>5.4792608740424793</c:v>
                </c:pt>
                <c:pt idx="336">
                  <c:v>9.8541224188402232</c:v>
                </c:pt>
                <c:pt idx="337">
                  <c:v>13.176649468467543</c:v>
                </c:pt>
                <c:pt idx="338">
                  <c:v>18.260210162306851</c:v>
                </c:pt>
                <c:pt idx="339">
                  <c:v>11.927760985972991</c:v>
                </c:pt>
                <c:pt idx="340">
                  <c:v>14.632030078082776</c:v>
                </c:pt>
                <c:pt idx="341">
                  <c:v>4.713929598219635</c:v>
                </c:pt>
                <c:pt idx="342">
                  <c:v>7.8485628081869647</c:v>
                </c:pt>
                <c:pt idx="343">
                  <c:v>11.428917356690123</c:v>
                </c:pt>
                <c:pt idx="344">
                  <c:v>12.995878252878374</c:v>
                </c:pt>
                <c:pt idx="345">
                  <c:v>5.9504442143496385</c:v>
                </c:pt>
                <c:pt idx="346">
                  <c:v>5.6053651677065135</c:v>
                </c:pt>
                <c:pt idx="347">
                  <c:v>12.764419258213715</c:v>
                </c:pt>
                <c:pt idx="348">
                  <c:v>6.8173305288253392</c:v>
                </c:pt>
                <c:pt idx="349">
                  <c:v>5.7211955179956275</c:v>
                </c:pt>
                <c:pt idx="350">
                  <c:v>3.6940886085200986</c:v>
                </c:pt>
                <c:pt idx="351">
                  <c:v>14.865903005450873</c:v>
                </c:pt>
                <c:pt idx="352">
                  <c:v>14.233261300455338</c:v>
                </c:pt>
                <c:pt idx="353">
                  <c:v>4.2967801034770261</c:v>
                </c:pt>
                <c:pt idx="354">
                  <c:v>15.237187592008032</c:v>
                </c:pt>
                <c:pt idx="355">
                  <c:v>15.168216165293437</c:v>
                </c:pt>
                <c:pt idx="356">
                  <c:v>14.883002430532898</c:v>
                </c:pt>
                <c:pt idx="357">
                  <c:v>16.102828461942394</c:v>
                </c:pt>
                <c:pt idx="358">
                  <c:v>8.9297286208878042</c:v>
                </c:pt>
                <c:pt idx="359">
                  <c:v>14.923605125823936</c:v>
                </c:pt>
                <c:pt idx="360">
                  <c:v>6.4229226451523109</c:v>
                </c:pt>
                <c:pt idx="361">
                  <c:v>13.15607499254331</c:v>
                </c:pt>
                <c:pt idx="362">
                  <c:v>10.02450405096848</c:v>
                </c:pt>
                <c:pt idx="363">
                  <c:v>12.011456248471051</c:v>
                </c:pt>
                <c:pt idx="364">
                  <c:v>10.92255179139492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'2025'!$W$15:$W$380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5.809995593461605</c:v>
                </c:pt>
                <c:pt idx="7">
                  <c:v>7.5894060115736135</c:v>
                </c:pt>
                <c:pt idx="8">
                  <c:v>2.2797760711704029</c:v>
                </c:pt>
                <c:pt idx="9">
                  <c:v>1.8852152611054418</c:v>
                </c:pt>
                <c:pt idx="10">
                  <c:v>18.918034294674641</c:v>
                </c:pt>
                <c:pt idx="11">
                  <c:v>16.982067148510748</c:v>
                </c:pt>
                <c:pt idx="12">
                  <c:v>5.7696352929048285</c:v>
                </c:pt>
                <c:pt idx="13">
                  <c:v>19.519137503475545</c:v>
                </c:pt>
                <c:pt idx="14">
                  <c:v>20.083373508678957</c:v>
                </c:pt>
                <c:pt idx="15">
                  <c:v>19.808163128052541</c:v>
                </c:pt>
                <c:pt idx="16">
                  <c:v>13.291812487463746</c:v>
                </c:pt>
                <c:pt idx="17">
                  <c:v>4.2167987181124538</c:v>
                </c:pt>
                <c:pt idx="18">
                  <c:v>10.662071418093293</c:v>
                </c:pt>
                <c:pt idx="19">
                  <c:v>6.1718184809678363</c:v>
                </c:pt>
                <c:pt idx="20">
                  <c:v>17.373684051679533</c:v>
                </c:pt>
                <c:pt idx="21">
                  <c:v>21.426383859605885</c:v>
                </c:pt>
                <c:pt idx="22">
                  <c:v>21.497660707764091</c:v>
                </c:pt>
                <c:pt idx="23">
                  <c:v>22.031814171382411</c:v>
                </c:pt>
                <c:pt idx="24">
                  <c:v>20.634241586236424</c:v>
                </c:pt>
                <c:pt idx="25">
                  <c:v>22.206262534730975</c:v>
                </c:pt>
                <c:pt idx="26">
                  <c:v>18.591205794945701</c:v>
                </c:pt>
                <c:pt idx="27">
                  <c:v>4.4345523190022273</c:v>
                </c:pt>
                <c:pt idx="28">
                  <c:v>6.6650409188956541</c:v>
                </c:pt>
                <c:pt idx="29">
                  <c:v>4.8040891368548095</c:v>
                </c:pt>
                <c:pt idx="30">
                  <c:v>11.140337246827894</c:v>
                </c:pt>
                <c:pt idx="31">
                  <c:v>14.363656685507882</c:v>
                </c:pt>
                <c:pt idx="32">
                  <c:v>5.7936531131212172</c:v>
                </c:pt>
                <c:pt idx="33">
                  <c:v>13.390564043156127</c:v>
                </c:pt>
                <c:pt idx="34">
                  <c:v>12.222257454696402</c:v>
                </c:pt>
                <c:pt idx="35">
                  <c:v>9.5999951263321517</c:v>
                </c:pt>
                <c:pt idx="36">
                  <c:v>21.089960648490493</c:v>
                </c:pt>
                <c:pt idx="37">
                  <c:v>14.455157471000806</c:v>
                </c:pt>
                <c:pt idx="38">
                  <c:v>28.022144886056754</c:v>
                </c:pt>
                <c:pt idx="39">
                  <c:v>28.249389891464247</c:v>
                </c:pt>
                <c:pt idx="40">
                  <c:v>27.270255212454497</c:v>
                </c:pt>
                <c:pt idx="41">
                  <c:v>14.259291351071491</c:v>
                </c:pt>
                <c:pt idx="42">
                  <c:v>22.806577181488375</c:v>
                </c:pt>
                <c:pt idx="43">
                  <c:v>25.132306816201723</c:v>
                </c:pt>
                <c:pt idx="44">
                  <c:v>16.139226883648977</c:v>
                </c:pt>
                <c:pt idx="45">
                  <c:v>20.778551478061061</c:v>
                </c:pt>
                <c:pt idx="46">
                  <c:v>9.8696705030772431</c:v>
                </c:pt>
                <c:pt idx="47">
                  <c:v>11.861830845457764</c:v>
                </c:pt>
                <c:pt idx="48">
                  <c:v>27.798492205302455</c:v>
                </c:pt>
                <c:pt idx="49">
                  <c:v>16.78191257975022</c:v>
                </c:pt>
                <c:pt idx="50">
                  <c:v>21.133530756569741</c:v>
                </c:pt>
                <c:pt idx="51">
                  <c:v>18.635161636172977</c:v>
                </c:pt>
                <c:pt idx="52">
                  <c:v>30.453902938446493</c:v>
                </c:pt>
                <c:pt idx="53">
                  <c:v>32.027207335725244</c:v>
                </c:pt>
                <c:pt idx="54">
                  <c:v>22.805604369158004</c:v>
                </c:pt>
                <c:pt idx="55">
                  <c:v>25.178649148991195</c:v>
                </c:pt>
                <c:pt idx="56">
                  <c:v>35.457246927194731</c:v>
                </c:pt>
                <c:pt idx="57">
                  <c:v>22.679492881789173</c:v>
                </c:pt>
                <c:pt idx="58">
                  <c:v>33.074599627798989</c:v>
                </c:pt>
                <c:pt idx="59">
                  <c:v>34.897692489414467</c:v>
                </c:pt>
                <c:pt idx="60">
                  <c:v>16.125720221009615</c:v>
                </c:pt>
                <c:pt idx="61">
                  <c:v>27.817346025124195</c:v>
                </c:pt>
                <c:pt idx="62">
                  <c:v>5.4788248383822502</c:v>
                </c:pt>
                <c:pt idx="63">
                  <c:v>14.208781387415124</c:v>
                </c:pt>
                <c:pt idx="64">
                  <c:v>21.75258085942836</c:v>
                </c:pt>
                <c:pt idx="65">
                  <c:v>35.258014411639422</c:v>
                </c:pt>
                <c:pt idx="66">
                  <c:v>31.633629070199078</c:v>
                </c:pt>
                <c:pt idx="67">
                  <c:v>28.236415326996031</c:v>
                </c:pt>
                <c:pt idx="68">
                  <c:v>23.857426435156246</c:v>
                </c:pt>
                <c:pt idx="69">
                  <c:v>17.217769721186059</c:v>
                </c:pt>
                <c:pt idx="70">
                  <c:v>13.474597727424641</c:v>
                </c:pt>
                <c:pt idx="71">
                  <c:v>8.5822568319878556</c:v>
                </c:pt>
                <c:pt idx="72">
                  <c:v>12.779667554720012</c:v>
                </c:pt>
                <c:pt idx="73">
                  <c:v>15.14492023050316</c:v>
                </c:pt>
                <c:pt idx="74">
                  <c:v>12.717384621513297</c:v>
                </c:pt>
                <c:pt idx="75">
                  <c:v>12.213982575179076</c:v>
                </c:pt>
                <c:pt idx="76">
                  <c:v>14.41686398751752</c:v>
                </c:pt>
                <c:pt idx="77">
                  <c:v>26.490422545312068</c:v>
                </c:pt>
                <c:pt idx="78">
                  <c:v>31.753950622917245</c:v>
                </c:pt>
                <c:pt idx="79">
                  <c:v>42.709931515088719</c:v>
                </c:pt>
                <c:pt idx="80">
                  <c:v>41.686029860855697</c:v>
                </c:pt>
                <c:pt idx="81">
                  <c:v>44.472014859884297</c:v>
                </c:pt>
                <c:pt idx="82">
                  <c:v>44.180393239140294</c:v>
                </c:pt>
                <c:pt idx="83">
                  <c:v>36.802920452131417</c:v>
                </c:pt>
                <c:pt idx="84">
                  <c:v>40.422609071634177</c:v>
                </c:pt>
                <c:pt idx="85">
                  <c:v>42.301254041027896</c:v>
                </c:pt>
                <c:pt idx="86">
                  <c:v>36.338396305869679</c:v>
                </c:pt>
                <c:pt idx="87">
                  <c:v>27.673119797127281</c:v>
                </c:pt>
                <c:pt idx="88">
                  <c:v>7.707042720436668</c:v>
                </c:pt>
                <c:pt idx="89">
                  <c:v>26.916823868401174</c:v>
                </c:pt>
                <c:pt idx="90">
                  <c:v>29.606284712321049</c:v>
                </c:pt>
                <c:pt idx="91">
                  <c:v>20.176176021948571</c:v>
                </c:pt>
                <c:pt idx="92">
                  <c:v>27.546596929553651</c:v>
                </c:pt>
                <c:pt idx="93">
                  <c:v>42.779980311267373</c:v>
                </c:pt>
                <c:pt idx="94">
                  <c:v>51.19829565641782</c:v>
                </c:pt>
                <c:pt idx="95">
                  <c:v>12.488777035108578</c:v>
                </c:pt>
                <c:pt idx="96">
                  <c:v>42.332053900792573</c:v>
                </c:pt>
                <c:pt idx="97">
                  <c:v>36.060063652056392</c:v>
                </c:pt>
                <c:pt idx="98">
                  <c:v>33.547410902298893</c:v>
                </c:pt>
                <c:pt idx="99">
                  <c:v>54.964124532122845</c:v>
                </c:pt>
                <c:pt idx="100">
                  <c:v>44.34311874665898</c:v>
                </c:pt>
                <c:pt idx="101">
                  <c:v>36.999429531739885</c:v>
                </c:pt>
                <c:pt idx="102">
                  <c:v>8.5556471328498436</c:v>
                </c:pt>
                <c:pt idx="103">
                  <c:v>39.496420501339628</c:v>
                </c:pt>
                <c:pt idx="104">
                  <c:v>43.280212844167913</c:v>
                </c:pt>
                <c:pt idx="105">
                  <c:v>39.381298343299463</c:v>
                </c:pt>
                <c:pt idx="106">
                  <c:v>54.542414363172576</c:v>
                </c:pt>
                <c:pt idx="107">
                  <c:v>34.796092028491508</c:v>
                </c:pt>
                <c:pt idx="108">
                  <c:v>11.44841004669245</c:v>
                </c:pt>
                <c:pt idx="109">
                  <c:v>11.472529360663653</c:v>
                </c:pt>
                <c:pt idx="110">
                  <c:v>11.011635563564658</c:v>
                </c:pt>
                <c:pt idx="111">
                  <c:v>29.29022513941019</c:v>
                </c:pt>
                <c:pt idx="112">
                  <c:v>9.6162372752174541</c:v>
                </c:pt>
                <c:pt idx="113">
                  <c:v>34.480064177522223</c:v>
                </c:pt>
                <c:pt idx="114">
                  <c:v>45.504352142857812</c:v>
                </c:pt>
                <c:pt idx="115">
                  <c:v>56.815933357114744</c:v>
                </c:pt>
                <c:pt idx="116">
                  <c:v>45.161173635214588</c:v>
                </c:pt>
                <c:pt idx="117">
                  <c:v>24.076699042643686</c:v>
                </c:pt>
                <c:pt idx="118">
                  <c:v>43.637277103964003</c:v>
                </c:pt>
                <c:pt idx="119">
                  <c:v>44.804923971418354</c:v>
                </c:pt>
                <c:pt idx="120">
                  <c:v>50.829461870886739</c:v>
                </c:pt>
                <c:pt idx="121">
                  <c:v>32.670814822557041</c:v>
                </c:pt>
                <c:pt idx="122">
                  <c:v>36.412596513731685</c:v>
                </c:pt>
                <c:pt idx="123">
                  <c:v>20.492999138393241</c:v>
                </c:pt>
                <c:pt idx="124">
                  <c:v>41.248853270610589</c:v>
                </c:pt>
                <c:pt idx="125">
                  <c:v>43.240702404405219</c:v>
                </c:pt>
                <c:pt idx="126">
                  <c:v>49.734291108709044</c:v>
                </c:pt>
                <c:pt idx="127">
                  <c:v>56.41012126869115</c:v>
                </c:pt>
                <c:pt idx="128">
                  <c:v>59.686728999479833</c:v>
                </c:pt>
                <c:pt idx="129">
                  <c:v>58.464595787466315</c:v>
                </c:pt>
                <c:pt idx="130">
                  <c:v>62.366652312168789</c:v>
                </c:pt>
                <c:pt idx="131">
                  <c:v>47.489014512855327</c:v>
                </c:pt>
                <c:pt idx="132">
                  <c:v>50.322422103912771</c:v>
                </c:pt>
                <c:pt idx="133">
                  <c:v>56.336884127907069</c:v>
                </c:pt>
                <c:pt idx="134">
                  <c:v>58.155398255398744</c:v>
                </c:pt>
                <c:pt idx="135">
                  <c:v>56.838666993053188</c:v>
                </c:pt>
                <c:pt idx="136">
                  <c:v>60.700856022965937</c:v>
                </c:pt>
                <c:pt idx="137">
                  <c:v>57.956942004039988</c:v>
                </c:pt>
                <c:pt idx="138">
                  <c:v>56.718901816278482</c:v>
                </c:pt>
                <c:pt idx="139">
                  <c:v>53.905287939352746</c:v>
                </c:pt>
                <c:pt idx="140">
                  <c:v>56.450831460111935</c:v>
                </c:pt>
                <c:pt idx="141">
                  <c:v>43.649962251479749</c:v>
                </c:pt>
                <c:pt idx="142">
                  <c:v>20.769258213086118</c:v>
                </c:pt>
                <c:pt idx="143">
                  <c:v>17.840184957968184</c:v>
                </c:pt>
                <c:pt idx="144">
                  <c:v>43.479479369100012</c:v>
                </c:pt>
                <c:pt idx="145">
                  <c:v>29.010515581420023</c:v>
                </c:pt>
                <c:pt idx="146">
                  <c:v>45.425413890243277</c:v>
                </c:pt>
                <c:pt idx="147">
                  <c:v>59.636276003058143</c:v>
                </c:pt>
                <c:pt idx="148">
                  <c:v>64.853865520956433</c:v>
                </c:pt>
                <c:pt idx="149">
                  <c:v>52.157697875924484</c:v>
                </c:pt>
                <c:pt idx="150">
                  <c:v>61.653774564936548</c:v>
                </c:pt>
                <c:pt idx="151">
                  <c:v>64.280930308778906</c:v>
                </c:pt>
                <c:pt idx="152">
                  <c:v>46.301438307144295</c:v>
                </c:pt>
                <c:pt idx="153">
                  <c:v>61.30491097052186</c:v>
                </c:pt>
                <c:pt idx="154">
                  <c:v>31.158328817206474</c:v>
                </c:pt>
                <c:pt idx="155">
                  <c:v>34.432847199845376</c:v>
                </c:pt>
                <c:pt idx="156">
                  <c:v>55.063166237609181</c:v>
                </c:pt>
                <c:pt idx="157">
                  <c:v>28.753012408647145</c:v>
                </c:pt>
                <c:pt idx="158">
                  <c:v>25.909621379836942</c:v>
                </c:pt>
                <c:pt idx="159">
                  <c:v>53.242271199692787</c:v>
                </c:pt>
                <c:pt idx="160">
                  <c:v>65.505721728512654</c:v>
                </c:pt>
                <c:pt idx="161">
                  <c:v>62.719005060241052</c:v>
                </c:pt>
                <c:pt idx="162">
                  <c:v>50.574812717640476</c:v>
                </c:pt>
                <c:pt idx="163">
                  <c:v>56.541077828525168</c:v>
                </c:pt>
                <c:pt idx="164">
                  <c:v>57.478030069192926</c:v>
                </c:pt>
                <c:pt idx="165">
                  <c:v>60.971417439179135</c:v>
                </c:pt>
                <c:pt idx="166">
                  <c:v>57.776391341342666</c:v>
                </c:pt>
                <c:pt idx="167">
                  <c:v>57.945472236035997</c:v>
                </c:pt>
                <c:pt idx="168">
                  <c:v>61.699706747707921</c:v>
                </c:pt>
                <c:pt idx="169">
                  <c:v>62.193403232949947</c:v>
                </c:pt>
                <c:pt idx="170">
                  <c:v>33.629563503585302</c:v>
                </c:pt>
                <c:pt idx="171">
                  <c:v>22.630066693116074</c:v>
                </c:pt>
                <c:pt idx="172">
                  <c:v>46.945912449769203</c:v>
                </c:pt>
                <c:pt idx="173">
                  <c:v>46.418872649467296</c:v>
                </c:pt>
                <c:pt idx="174">
                  <c:v>49.931999237038056</c:v>
                </c:pt>
                <c:pt idx="175">
                  <c:v>41.594508590182947</c:v>
                </c:pt>
                <c:pt idx="176">
                  <c:v>13.008668727299538</c:v>
                </c:pt>
                <c:pt idx="177">
                  <c:v>19.137959945676087</c:v>
                </c:pt>
                <c:pt idx="178">
                  <c:v>66.227626745689264</c:v>
                </c:pt>
                <c:pt idx="179">
                  <c:v>64.263460904356222</c:v>
                </c:pt>
                <c:pt idx="180">
                  <c:v>15.785691110875064</c:v>
                </c:pt>
                <c:pt idx="181">
                  <c:v>53.552701739596301</c:v>
                </c:pt>
                <c:pt idx="182">
                  <c:v>59.458460759043078</c:v>
                </c:pt>
                <c:pt idx="183">
                  <c:v>55.29562344547373</c:v>
                </c:pt>
                <c:pt idx="184">
                  <c:v>51.473393725586213</c:v>
                </c:pt>
                <c:pt idx="185">
                  <c:v>61.720628441300519</c:v>
                </c:pt>
                <c:pt idx="186">
                  <c:v>45.438245033236562</c:v>
                </c:pt>
                <c:pt idx="187">
                  <c:v>61.250704161909297</c:v>
                </c:pt>
                <c:pt idx="188">
                  <c:v>64.226562304041224</c:v>
                </c:pt>
                <c:pt idx="189">
                  <c:v>63.234288940699557</c:v>
                </c:pt>
                <c:pt idx="190">
                  <c:v>62.568625895084402</c:v>
                </c:pt>
                <c:pt idx="191">
                  <c:v>61.491725570046469</c:v>
                </c:pt>
                <c:pt idx="192">
                  <c:v>60.527352535420185</c:v>
                </c:pt>
                <c:pt idx="193">
                  <c:v>59.327002623058668</c:v>
                </c:pt>
                <c:pt idx="194">
                  <c:v>59.167185012991574</c:v>
                </c:pt>
                <c:pt idx="195">
                  <c:v>56.55594242683442</c:v>
                </c:pt>
                <c:pt idx="196">
                  <c:v>57.718421544460114</c:v>
                </c:pt>
                <c:pt idx="197">
                  <c:v>58.13411132012282</c:v>
                </c:pt>
                <c:pt idx="198">
                  <c:v>59.907893958109192</c:v>
                </c:pt>
                <c:pt idx="199">
                  <c:v>44.003554067755928</c:v>
                </c:pt>
                <c:pt idx="200">
                  <c:v>41.320854943253821</c:v>
                </c:pt>
                <c:pt idx="201">
                  <c:v>57.016911585934935</c:v>
                </c:pt>
                <c:pt idx="202">
                  <c:v>48.969624567430017</c:v>
                </c:pt>
                <c:pt idx="203">
                  <c:v>46.335734430448134</c:v>
                </c:pt>
                <c:pt idx="204">
                  <c:v>56.413013929335243</c:v>
                </c:pt>
                <c:pt idx="205">
                  <c:v>29.759905094855956</c:v>
                </c:pt>
                <c:pt idx="206">
                  <c:v>52.741181744603416</c:v>
                </c:pt>
                <c:pt idx="207">
                  <c:v>59.692935947921761</c:v>
                </c:pt>
                <c:pt idx="208">
                  <c:v>46.900085347613938</c:v>
                </c:pt>
                <c:pt idx="209">
                  <c:v>29.134565279526704</c:v>
                </c:pt>
                <c:pt idx="210">
                  <c:v>47.917659143518222</c:v>
                </c:pt>
                <c:pt idx="211">
                  <c:v>58.679175335479073</c:v>
                </c:pt>
                <c:pt idx="212">
                  <c:v>58.163899209545242</c:v>
                </c:pt>
                <c:pt idx="213">
                  <c:v>58.174268166085191</c:v>
                </c:pt>
                <c:pt idx="214">
                  <c:v>57.760532742113426</c:v>
                </c:pt>
                <c:pt idx="215">
                  <c:v>55.102899715795076</c:v>
                </c:pt>
                <c:pt idx="216">
                  <c:v>43.984497026284366</c:v>
                </c:pt>
                <c:pt idx="217">
                  <c:v>52.481588339299719</c:v>
                </c:pt>
                <c:pt idx="218">
                  <c:v>55.334083827307502</c:v>
                </c:pt>
                <c:pt idx="219">
                  <c:v>56.767957863308972</c:v>
                </c:pt>
                <c:pt idx="220">
                  <c:v>54.122384509334047</c:v>
                </c:pt>
                <c:pt idx="221">
                  <c:v>52.560913862361474</c:v>
                </c:pt>
                <c:pt idx="222">
                  <c:v>49.60386442758324</c:v>
                </c:pt>
                <c:pt idx="223">
                  <c:v>0</c:v>
                </c:pt>
                <c:pt idx="224">
                  <c:v>36.865357984147934</c:v>
                </c:pt>
                <c:pt idx="225">
                  <c:v>36.932611045305926</c:v>
                </c:pt>
                <c:pt idx="226">
                  <c:v>37.352217741965404</c:v>
                </c:pt>
                <c:pt idx="227">
                  <c:v>38.687551205586153</c:v>
                </c:pt>
                <c:pt idx="228">
                  <c:v>26.90982938975483</c:v>
                </c:pt>
                <c:pt idx="229">
                  <c:v>41.059458595173183</c:v>
                </c:pt>
                <c:pt idx="230">
                  <c:v>40.646817635388665</c:v>
                </c:pt>
                <c:pt idx="231">
                  <c:v>53.046041228536076</c:v>
                </c:pt>
                <c:pt idx="232">
                  <c:v>38.278781211999664</c:v>
                </c:pt>
                <c:pt idx="233">
                  <c:v>27.999742180463546</c:v>
                </c:pt>
                <c:pt idx="234">
                  <c:v>47.365500278587312</c:v>
                </c:pt>
                <c:pt idx="235">
                  <c:v>51.444297369886435</c:v>
                </c:pt>
                <c:pt idx="236">
                  <c:v>32.995469310548351</c:v>
                </c:pt>
                <c:pt idx="237">
                  <c:v>38.027743506000441</c:v>
                </c:pt>
                <c:pt idx="238">
                  <c:v>47.939320799873087</c:v>
                </c:pt>
                <c:pt idx="239">
                  <c:v>50.396540985122286</c:v>
                </c:pt>
                <c:pt idx="240">
                  <c:v>35.221205054840539</c:v>
                </c:pt>
                <c:pt idx="241">
                  <c:v>49.428436088470619</c:v>
                </c:pt>
                <c:pt idx="242">
                  <c:v>25.024779562405513</c:v>
                </c:pt>
                <c:pt idx="243">
                  <c:v>43.030135517819296</c:v>
                </c:pt>
                <c:pt idx="244">
                  <c:v>40.674040353519082</c:v>
                </c:pt>
                <c:pt idx="245">
                  <c:v>37.418480329743851</c:v>
                </c:pt>
                <c:pt idx="246">
                  <c:v>49.063349216670957</c:v>
                </c:pt>
                <c:pt idx="247">
                  <c:v>41.055415332853549</c:v>
                </c:pt>
                <c:pt idx="248">
                  <c:v>44.749579942785935</c:v>
                </c:pt>
                <c:pt idx="249">
                  <c:v>36.693256941480861</c:v>
                </c:pt>
                <c:pt idx="250">
                  <c:v>40.810411446204029</c:v>
                </c:pt>
                <c:pt idx="251">
                  <c:v>19.44287580951779</c:v>
                </c:pt>
                <c:pt idx="252">
                  <c:v>45.325354101841768</c:v>
                </c:pt>
                <c:pt idx="253">
                  <c:v>46.890348378282624</c:v>
                </c:pt>
                <c:pt idx="254">
                  <c:v>36.422598109494878</c:v>
                </c:pt>
                <c:pt idx="255">
                  <c:v>13.961035264585846</c:v>
                </c:pt>
                <c:pt idx="256">
                  <c:v>37.513877180938699</c:v>
                </c:pt>
                <c:pt idx="257">
                  <c:v>42.615161286533102</c:v>
                </c:pt>
                <c:pt idx="258">
                  <c:v>28.636221092047354</c:v>
                </c:pt>
                <c:pt idx="259">
                  <c:v>45.981006537648334</c:v>
                </c:pt>
                <c:pt idx="260">
                  <c:v>45.03961787273078</c:v>
                </c:pt>
                <c:pt idx="261">
                  <c:v>45.395669089722446</c:v>
                </c:pt>
                <c:pt idx="262">
                  <c:v>45.754631406807576</c:v>
                </c:pt>
                <c:pt idx="263">
                  <c:v>44.403139758642517</c:v>
                </c:pt>
                <c:pt idx="264">
                  <c:v>43.160048656676054</c:v>
                </c:pt>
                <c:pt idx="265">
                  <c:v>31.626973838728485</c:v>
                </c:pt>
                <c:pt idx="266">
                  <c:v>19.535924447577496</c:v>
                </c:pt>
                <c:pt idx="267">
                  <c:v>31.269973850902989</c:v>
                </c:pt>
                <c:pt idx="268">
                  <c:v>33.7249442513018</c:v>
                </c:pt>
                <c:pt idx="269">
                  <c:v>16.503502990288652</c:v>
                </c:pt>
                <c:pt idx="270">
                  <c:v>18.853090352049417</c:v>
                </c:pt>
                <c:pt idx="271">
                  <c:v>24.400029893258285</c:v>
                </c:pt>
                <c:pt idx="272">
                  <c:v>26.165271967503305</c:v>
                </c:pt>
                <c:pt idx="273">
                  <c:v>35.711792012481339</c:v>
                </c:pt>
                <c:pt idx="274">
                  <c:v>37.138272537889215</c:v>
                </c:pt>
                <c:pt idx="275">
                  <c:v>33.631628306057941</c:v>
                </c:pt>
                <c:pt idx="276">
                  <c:v>39.171198118397513</c:v>
                </c:pt>
                <c:pt idx="277">
                  <c:v>39.426605995774935</c:v>
                </c:pt>
                <c:pt idx="278">
                  <c:v>15.802172431642804</c:v>
                </c:pt>
                <c:pt idx="279">
                  <c:v>30.352092175640159</c:v>
                </c:pt>
                <c:pt idx="280">
                  <c:v>15.349610113857192</c:v>
                </c:pt>
                <c:pt idx="281">
                  <c:v>35.845104967425556</c:v>
                </c:pt>
                <c:pt idx="282">
                  <c:v>31.383504096645396</c:v>
                </c:pt>
                <c:pt idx="283">
                  <c:v>25.23950866675229</c:v>
                </c:pt>
                <c:pt idx="284">
                  <c:v>25.142310264002614</c:v>
                </c:pt>
                <c:pt idx="285">
                  <c:v>22.773828129648948</c:v>
                </c:pt>
                <c:pt idx="286">
                  <c:v>15.307109478671386</c:v>
                </c:pt>
                <c:pt idx="287">
                  <c:v>34.116683859677252</c:v>
                </c:pt>
                <c:pt idx="288">
                  <c:v>29.907672220518879</c:v>
                </c:pt>
                <c:pt idx="289">
                  <c:v>16.854927924820071</c:v>
                </c:pt>
                <c:pt idx="290">
                  <c:v>30.06702696440999</c:v>
                </c:pt>
                <c:pt idx="291">
                  <c:v>16.795237001831381</c:v>
                </c:pt>
                <c:pt idx="292">
                  <c:v>8.8348382742355653</c:v>
                </c:pt>
                <c:pt idx="293">
                  <c:v>17.080468664274509</c:v>
                </c:pt>
                <c:pt idx="294">
                  <c:v>29.276901968539793</c:v>
                </c:pt>
                <c:pt idx="295">
                  <c:v>19.08733504369167</c:v>
                </c:pt>
                <c:pt idx="296">
                  <c:v>24.757070184023853</c:v>
                </c:pt>
                <c:pt idx="297">
                  <c:v>20.802829562635871</c:v>
                </c:pt>
                <c:pt idx="298">
                  <c:v>15.543813737786813</c:v>
                </c:pt>
                <c:pt idx="299">
                  <c:v>14.695151385256596</c:v>
                </c:pt>
                <c:pt idx="300">
                  <c:v>16.900161912276204</c:v>
                </c:pt>
                <c:pt idx="301">
                  <c:v>23.772387579512351</c:v>
                </c:pt>
                <c:pt idx="302">
                  <c:v>20.813001459908762</c:v>
                </c:pt>
                <c:pt idx="303">
                  <c:v>19.960840353601231</c:v>
                </c:pt>
                <c:pt idx="304">
                  <c:v>18.19676145582654</c:v>
                </c:pt>
                <c:pt idx="305">
                  <c:v>25.182410014158656</c:v>
                </c:pt>
                <c:pt idx="306">
                  <c:v>9.131769695692828</c:v>
                </c:pt>
                <c:pt idx="307">
                  <c:v>12.668129133877658</c:v>
                </c:pt>
                <c:pt idx="308">
                  <c:v>25.51722371080286</c:v>
                </c:pt>
                <c:pt idx="309">
                  <c:v>25.566905335719234</c:v>
                </c:pt>
                <c:pt idx="310">
                  <c:v>25.352795400411924</c:v>
                </c:pt>
                <c:pt idx="311">
                  <c:v>18.336379638971792</c:v>
                </c:pt>
                <c:pt idx="312">
                  <c:v>10.223627236263109</c:v>
                </c:pt>
                <c:pt idx="313">
                  <c:v>18.585154668345073</c:v>
                </c:pt>
                <c:pt idx="314">
                  <c:v>22.104954002166142</c:v>
                </c:pt>
                <c:pt idx="315">
                  <c:v>22.232488067208266</c:v>
                </c:pt>
                <c:pt idx="316">
                  <c:v>21.166472197230306</c:v>
                </c:pt>
                <c:pt idx="317">
                  <c:v>11.4363155963349</c:v>
                </c:pt>
                <c:pt idx="318">
                  <c:v>12.984004177424861</c:v>
                </c:pt>
                <c:pt idx="319">
                  <c:v>21.684772416970944</c:v>
                </c:pt>
                <c:pt idx="320">
                  <c:v>14.253574880921859</c:v>
                </c:pt>
                <c:pt idx="321">
                  <c:v>11.814277810372003</c:v>
                </c:pt>
                <c:pt idx="322">
                  <c:v>8.4784330316942942</c:v>
                </c:pt>
                <c:pt idx="323">
                  <c:v>15.262223874821007</c:v>
                </c:pt>
                <c:pt idx="324">
                  <c:v>3.4756043136513322</c:v>
                </c:pt>
                <c:pt idx="325">
                  <c:v>9.7523947138937697</c:v>
                </c:pt>
                <c:pt idx="326">
                  <c:v>13.006802837868706</c:v>
                </c:pt>
                <c:pt idx="327">
                  <c:v>12.093139836252197</c:v>
                </c:pt>
                <c:pt idx="328">
                  <c:v>4.9081270479565271</c:v>
                </c:pt>
                <c:pt idx="329">
                  <c:v>9.8156028190237841</c:v>
                </c:pt>
                <c:pt idx="330">
                  <c:v>14.032926301341726</c:v>
                </c:pt>
                <c:pt idx="331">
                  <c:v>9.5828233138859922</c:v>
                </c:pt>
                <c:pt idx="332">
                  <c:v>10.621356272194946</c:v>
                </c:pt>
                <c:pt idx="333">
                  <c:v>4.5502535805257214</c:v>
                </c:pt>
                <c:pt idx="334">
                  <c:v>4.2941568416126197</c:v>
                </c:pt>
                <c:pt idx="335">
                  <c:v>5.4792608740424793</c:v>
                </c:pt>
                <c:pt idx="336">
                  <c:v>9.8541224188402232</c:v>
                </c:pt>
                <c:pt idx="337">
                  <c:v>13.176649468467543</c:v>
                </c:pt>
                <c:pt idx="338">
                  <c:v>18.260210162306851</c:v>
                </c:pt>
                <c:pt idx="339">
                  <c:v>11.927760985972991</c:v>
                </c:pt>
                <c:pt idx="340">
                  <c:v>14.632030078082776</c:v>
                </c:pt>
                <c:pt idx="341">
                  <c:v>4.713929598219635</c:v>
                </c:pt>
                <c:pt idx="342">
                  <c:v>7.8485628081869647</c:v>
                </c:pt>
                <c:pt idx="343">
                  <c:v>11.428917356690123</c:v>
                </c:pt>
                <c:pt idx="344">
                  <c:v>12.995878252878374</c:v>
                </c:pt>
                <c:pt idx="345">
                  <c:v>5.9504442143496385</c:v>
                </c:pt>
                <c:pt idx="346">
                  <c:v>5.6053651677065135</c:v>
                </c:pt>
                <c:pt idx="347">
                  <c:v>12.764419258213715</c:v>
                </c:pt>
                <c:pt idx="348">
                  <c:v>6.8173305288253392</c:v>
                </c:pt>
                <c:pt idx="349">
                  <c:v>5.7211955179956275</c:v>
                </c:pt>
                <c:pt idx="350">
                  <c:v>3.6940886085200986</c:v>
                </c:pt>
                <c:pt idx="351">
                  <c:v>14.865903005450873</c:v>
                </c:pt>
                <c:pt idx="352">
                  <c:v>14.233261300455338</c:v>
                </c:pt>
                <c:pt idx="353">
                  <c:v>4.2967801034770261</c:v>
                </c:pt>
                <c:pt idx="354">
                  <c:v>15.237187592008032</c:v>
                </c:pt>
                <c:pt idx="355">
                  <c:v>15.168216165293437</c:v>
                </c:pt>
                <c:pt idx="356">
                  <c:v>14.883002430532898</c:v>
                </c:pt>
                <c:pt idx="357">
                  <c:v>16.102828461942394</c:v>
                </c:pt>
                <c:pt idx="358">
                  <c:v>8.9297286208878042</c:v>
                </c:pt>
                <c:pt idx="359">
                  <c:v>14.923605125823936</c:v>
                </c:pt>
                <c:pt idx="360">
                  <c:v>6.4229226451523109</c:v>
                </c:pt>
                <c:pt idx="361">
                  <c:v>13.15607499254331</c:v>
                </c:pt>
                <c:pt idx="362">
                  <c:v>10.02450405096848</c:v>
                </c:pt>
                <c:pt idx="363">
                  <c:v>12.011456248471051</c:v>
                </c:pt>
                <c:pt idx="364">
                  <c:v>10.92255179139492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4256"/>
        <c:axId val="232814648"/>
      </c:lineChart>
      <c:dateAx>
        <c:axId val="232814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4648"/>
        <c:crosses val="autoZero"/>
        <c:auto val="1"/>
        <c:lblOffset val="100"/>
        <c:baseTimeUnit val="days"/>
        <c:majorUnit val="1"/>
        <c:majorTimeUnit val="months"/>
      </c:dateAx>
      <c:valAx>
        <c:axId val="2328146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42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17.047856931953323</c:v>
                </c:pt>
                <c:pt idx="1">
                  <c:v>17.219487203537696</c:v>
                </c:pt>
                <c:pt idx="2">
                  <c:v>17.399352307469851</c:v>
                </c:pt>
                <c:pt idx="3">
                  <c:v>17.585845538557926</c:v>
                </c:pt>
                <c:pt idx="4">
                  <c:v>17.777360531557065</c:v>
                </c:pt>
                <c:pt idx="5">
                  <c:v>17.972291275695259</c:v>
                </c:pt>
                <c:pt idx="6">
                  <c:v>18.169032122203006</c:v>
                </c:pt>
                <c:pt idx="7">
                  <c:v>18.365977802774005</c:v>
                </c:pt>
                <c:pt idx="8">
                  <c:v>18.565584187546218</c:v>
                </c:pt>
                <c:pt idx="9">
                  <c:v>18.771316924981697</c:v>
                </c:pt>
                <c:pt idx="10">
                  <c:v>18.983421804163402</c:v>
                </c:pt>
                <c:pt idx="11">
                  <c:v>19.201999770027776</c:v>
                </c:pt>
                <c:pt idx="12">
                  <c:v>19.427151701938005</c:v>
                </c:pt>
                <c:pt idx="13">
                  <c:v>19.658978426941797</c:v>
                </c:pt>
                <c:pt idx="14">
                  <c:v>19.897580719643738</c:v>
                </c:pt>
                <c:pt idx="15">
                  <c:v>20.143269170739877</c:v>
                </c:pt>
                <c:pt idx="16">
                  <c:v>20.396231933812945</c:v>
                </c:pt>
                <c:pt idx="17">
                  <c:v>20.656569628979742</c:v>
                </c:pt>
                <c:pt idx="18">
                  <c:v>20.92438284175433</c:v>
                </c:pt>
                <c:pt idx="19">
                  <c:v>21.199771014766259</c:v>
                </c:pt>
                <c:pt idx="20">
                  <c:v>21.482833002965563</c:v>
                </c:pt>
                <c:pt idx="21">
                  <c:v>21.7736684714775</c:v>
                </c:pt>
                <c:pt idx="22">
                  <c:v>22.074172354169036</c:v>
                </c:pt>
                <c:pt idx="23">
                  <c:v>22.386420149271178</c:v>
                </c:pt>
                <c:pt idx="24">
                  <c:v>22.709590506403966</c:v>
                </c:pt>
                <c:pt idx="25">
                  <c:v>23.042734895152535</c:v>
                </c:pt>
                <c:pt idx="26">
                  <c:v>23.384905115662914</c:v>
                </c:pt>
                <c:pt idx="27">
                  <c:v>23.735153329212228</c:v>
                </c:pt>
                <c:pt idx="28">
                  <c:v>24.092532067280864</c:v>
                </c:pt>
                <c:pt idx="29">
                  <c:v>24.45639208187167</c:v>
                </c:pt>
                <c:pt idx="30">
                  <c:v>24.825577106435855</c:v>
                </c:pt>
                <c:pt idx="31">
                  <c:v>25.199140899404096</c:v>
                </c:pt>
                <c:pt idx="32">
                  <c:v>25.576137626045316</c:v>
                </c:pt>
                <c:pt idx="33">
                  <c:v>25.955621862818457</c:v>
                </c:pt>
                <c:pt idx="34">
                  <c:v>26.336648592021394</c:v>
                </c:pt>
                <c:pt idx="35">
                  <c:v>26.718273199768046</c:v>
                </c:pt>
                <c:pt idx="36">
                  <c:v>27.102596565091105</c:v>
                </c:pt>
                <c:pt idx="37">
                  <c:v>27.491466907135443</c:v>
                </c:pt>
                <c:pt idx="38">
                  <c:v>27.883689843109732</c:v>
                </c:pt>
                <c:pt idx="39">
                  <c:v>28.278950237414882</c:v>
                </c:pt>
                <c:pt idx="40">
                  <c:v>28.676933021032291</c:v>
                </c:pt>
                <c:pt idx="41">
                  <c:v>29.077323184877656</c:v>
                </c:pt>
                <c:pt idx="42">
                  <c:v>29.479805780908386</c:v>
                </c:pt>
                <c:pt idx="43">
                  <c:v>29.88363772684702</c:v>
                </c:pt>
                <c:pt idx="44">
                  <c:v>30.28820561910258</c:v>
                </c:pt>
                <c:pt idx="45">
                  <c:v>30.693194224737027</c:v>
                </c:pt>
                <c:pt idx="46">
                  <c:v>31.098288317501343</c:v>
                </c:pt>
                <c:pt idx="47">
                  <c:v>31.503172679568316</c:v>
                </c:pt>
                <c:pt idx="48">
                  <c:v>31.907532103993521</c:v>
                </c:pt>
                <c:pt idx="49">
                  <c:v>32.3110513993919</c:v>
                </c:pt>
                <c:pt idx="50">
                  <c:v>32.713747565558208</c:v>
                </c:pt>
                <c:pt idx="51">
                  <c:v>33.116003341683722</c:v>
                </c:pt>
                <c:pt idx="52">
                  <c:v>33.518701533916243</c:v>
                </c:pt>
                <c:pt idx="53">
                  <c:v>33.92205159334268</c:v>
                </c:pt>
                <c:pt idx="54">
                  <c:v>34.326262793930304</c:v>
                </c:pt>
                <c:pt idx="55">
                  <c:v>34.731544326371314</c:v>
                </c:pt>
                <c:pt idx="56">
                  <c:v>35.138105296654963</c:v>
                </c:pt>
                <c:pt idx="57">
                  <c:v>35.546179081362361</c:v>
                </c:pt>
                <c:pt idx="58">
                  <c:v>35.956406243931404</c:v>
                </c:pt>
                <c:pt idx="59">
                  <c:v>36.368995969882754</c:v>
                </c:pt>
                <c:pt idx="60">
                  <c:v>36.784157359482329</c:v>
                </c:pt>
                <c:pt idx="61">
                  <c:v>37.202099429978524</c:v>
                </c:pt>
                <c:pt idx="62">
                  <c:v>37.623031118791729</c:v>
                </c:pt>
                <c:pt idx="63">
                  <c:v>38.047161275561557</c:v>
                </c:pt>
                <c:pt idx="64">
                  <c:v>38.475309976415353</c:v>
                </c:pt>
                <c:pt idx="65">
                  <c:v>38.907782083666881</c:v>
                </c:pt>
                <c:pt idx="66">
                  <c:v>39.344036680087257</c:v>
                </c:pt>
                <c:pt idx="67">
                  <c:v>39.783548957231041</c:v>
                </c:pt>
                <c:pt idx="68">
                  <c:v>40.225794234755924</c:v>
                </c:pt>
                <c:pt idx="69">
                  <c:v>40.670247962562172</c:v>
                </c:pt>
                <c:pt idx="70">
                  <c:v>41.116385717946798</c:v>
                </c:pt>
                <c:pt idx="71">
                  <c:v>41.563643461383073</c:v>
                </c:pt>
                <c:pt idx="72">
                  <c:v>42.011470983235199</c:v>
                </c:pt>
                <c:pt idx="73">
                  <c:v>42.459344110567926</c:v>
                </c:pt>
                <c:pt idx="74">
                  <c:v>42.906738778526332</c:v>
                </c:pt>
                <c:pt idx="75">
                  <c:v>43.353131028945</c:v>
                </c:pt>
                <c:pt idx="76">
                  <c:v>43.797997007940744</c:v>
                </c:pt>
                <c:pt idx="77">
                  <c:v>44.240812963046231</c:v>
                </c:pt>
                <c:pt idx="78">
                  <c:v>44.68531274435086</c:v>
                </c:pt>
                <c:pt idx="79">
                  <c:v>45.134655690127687</c:v>
                </c:pt>
                <c:pt idx="80">
                  <c:v>45.587505411361178</c:v>
                </c:pt>
                <c:pt idx="81">
                  <c:v>46.042499699535746</c:v>
                </c:pt>
                <c:pt idx="82">
                  <c:v>46.498276673728483</c:v>
                </c:pt>
                <c:pt idx="83">
                  <c:v>46.953474777392586</c:v>
                </c:pt>
                <c:pt idx="84">
                  <c:v>47.40673278052607</c:v>
                </c:pt>
                <c:pt idx="85">
                  <c:v>47.85671566330776</c:v>
                </c:pt>
                <c:pt idx="86">
                  <c:v>48.30210332385834</c:v>
                </c:pt>
                <c:pt idx="87">
                  <c:v>48.741535844769345</c:v>
                </c:pt>
                <c:pt idx="88">
                  <c:v>49.173653682278662</c:v>
                </c:pt>
                <c:pt idx="89">
                  <c:v>49.597097670261483</c:v>
                </c:pt>
                <c:pt idx="90">
                  <c:v>50.01050902449213</c:v>
                </c:pt>
                <c:pt idx="91">
                  <c:v>50.412529348578929</c:v>
                </c:pt>
                <c:pt idx="92">
                  <c:v>50.805879588755168</c:v>
                </c:pt>
                <c:pt idx="93">
                  <c:v>51.194013181634439</c:v>
                </c:pt>
                <c:pt idx="94">
                  <c:v>51.576632639108247</c:v>
                </c:pt>
                <c:pt idx="95">
                  <c:v>51.953425193421261</c:v>
                </c:pt>
                <c:pt idx="96">
                  <c:v>52.324078220247948</c:v>
                </c:pt>
                <c:pt idx="97">
                  <c:v>52.688279259232935</c:v>
                </c:pt>
                <c:pt idx="98">
                  <c:v>53.045716012491845</c:v>
                </c:pt>
                <c:pt idx="99">
                  <c:v>53.396065665122443</c:v>
                </c:pt>
                <c:pt idx="100">
                  <c:v>53.73898941365772</c:v>
                </c:pt>
                <c:pt idx="101">
                  <c:v>54.074175109990477</c:v>
                </c:pt>
                <c:pt idx="102">
                  <c:v>54.401310756999742</c:v>
                </c:pt>
                <c:pt idx="103">
                  <c:v>54.720084513675999</c:v>
                </c:pt>
                <c:pt idx="104">
                  <c:v>55.030184686021251</c:v>
                </c:pt>
                <c:pt idx="105">
                  <c:v>55.331299750769894</c:v>
                </c:pt>
                <c:pt idx="106">
                  <c:v>55.623449198283886</c:v>
                </c:pt>
                <c:pt idx="107">
                  <c:v>55.906985267298595</c:v>
                </c:pt>
                <c:pt idx="108">
                  <c:v>56.182080224480622</c:v>
                </c:pt>
                <c:pt idx="109">
                  <c:v>56.448944163685269</c:v>
                </c:pt>
                <c:pt idx="110">
                  <c:v>56.707787117650227</c:v>
                </c:pt>
                <c:pt idx="111">
                  <c:v>56.958819067802104</c:v>
                </c:pt>
                <c:pt idx="112">
                  <c:v>57.202249940165501</c:v>
                </c:pt>
                <c:pt idx="113">
                  <c:v>57.43829106730341</c:v>
                </c:pt>
                <c:pt idx="114">
                  <c:v>57.6671636225661</c:v>
                </c:pt>
                <c:pt idx="115">
                  <c:v>57.889077572350153</c:v>
                </c:pt>
                <c:pt idx="116">
                  <c:v>58.10424284773805</c:v>
                </c:pt>
                <c:pt idx="117">
                  <c:v>58.312869329855232</c:v>
                </c:pt>
                <c:pt idx="118">
                  <c:v>58.515166873554243</c:v>
                </c:pt>
                <c:pt idx="119">
                  <c:v>58.711345290009596</c:v>
                </c:pt>
                <c:pt idx="120">
                  <c:v>58.900188008326289</c:v>
                </c:pt>
                <c:pt idx="121">
                  <c:v>59.080614110996159</c:v>
                </c:pt>
                <c:pt idx="122">
                  <c:v>59.253059974474091</c:v>
                </c:pt>
                <c:pt idx="123">
                  <c:v>59.417944952595811</c:v>
                </c:pt>
                <c:pt idx="124">
                  <c:v>59.575688322818763</c:v>
                </c:pt>
                <c:pt idx="125">
                  <c:v>59.726709291938903</c:v>
                </c:pt>
                <c:pt idx="126">
                  <c:v>59.871426992460201</c:v>
                </c:pt>
                <c:pt idx="127">
                  <c:v>60.010256942363185</c:v>
                </c:pt>
                <c:pt idx="128">
                  <c:v>60.143616406913132</c:v>
                </c:pt>
                <c:pt idx="129">
                  <c:v>60.271924163825481</c:v>
                </c:pt>
                <c:pt idx="130">
                  <c:v>60.395598905850576</c:v>
                </c:pt>
                <c:pt idx="131">
                  <c:v>60.51505925028566</c:v>
                </c:pt>
                <c:pt idx="132">
                  <c:v>60.630723729322654</c:v>
                </c:pt>
                <c:pt idx="133">
                  <c:v>60.743010795376065</c:v>
                </c:pt>
                <c:pt idx="134">
                  <c:v>60.850844613687165</c:v>
                </c:pt>
                <c:pt idx="135">
                  <c:v>60.953011784179516</c:v>
                </c:pt>
                <c:pt idx="136">
                  <c:v>61.049727271191152</c:v>
                </c:pt>
                <c:pt idx="137">
                  <c:v>61.141201738912493</c:v>
                </c:pt>
                <c:pt idx="138">
                  <c:v>61.227645842283678</c:v>
                </c:pt>
                <c:pt idx="139">
                  <c:v>61.309270214899264</c:v>
                </c:pt>
                <c:pt idx="140">
                  <c:v>61.386285476880481</c:v>
                </c:pt>
                <c:pt idx="141">
                  <c:v>61.458902863802962</c:v>
                </c:pt>
                <c:pt idx="142">
                  <c:v>61.527337050311814</c:v>
                </c:pt>
                <c:pt idx="143">
                  <c:v>61.591798724145626</c:v>
                </c:pt>
                <c:pt idx="144">
                  <c:v>61.65249853927822</c:v>
                </c:pt>
                <c:pt idx="145">
                  <c:v>61.709647115303092</c:v>
                </c:pt>
                <c:pt idx="146">
                  <c:v>61.763455029139948</c:v>
                </c:pt>
                <c:pt idx="147">
                  <c:v>61.814132818506621</c:v>
                </c:pt>
                <c:pt idx="148">
                  <c:v>61.860919155315941</c:v>
                </c:pt>
                <c:pt idx="149">
                  <c:v>61.903051544806274</c:v>
                </c:pt>
                <c:pt idx="150">
                  <c:v>61.940739647258383</c:v>
                </c:pt>
                <c:pt idx="151">
                  <c:v>61.97419418321951</c:v>
                </c:pt>
                <c:pt idx="152">
                  <c:v>62.003625799668846</c:v>
                </c:pt>
                <c:pt idx="153">
                  <c:v>62.029245065473752</c:v>
                </c:pt>
                <c:pt idx="154">
                  <c:v>62.051262463858826</c:v>
                </c:pt>
                <c:pt idx="155">
                  <c:v>62.069887667341611</c:v>
                </c:pt>
                <c:pt idx="156">
                  <c:v>62.085330227691443</c:v>
                </c:pt>
                <c:pt idx="157">
                  <c:v>62.09780029995526</c:v>
                </c:pt>
                <c:pt idx="158">
                  <c:v>62.107507933884072</c:v>
                </c:pt>
                <c:pt idx="159">
                  <c:v>62.114663064750111</c:v>
                </c:pt>
                <c:pt idx="160">
                  <c:v>62.11947551214935</c:v>
                </c:pt>
                <c:pt idx="161">
                  <c:v>62.122154973868781</c:v>
                </c:pt>
                <c:pt idx="162">
                  <c:v>62.123517693819068</c:v>
                </c:pt>
                <c:pt idx="163">
                  <c:v>62.123893904734757</c:v>
                </c:pt>
                <c:pt idx="164">
                  <c:v>62.122766481842348</c:v>
                </c:pt>
                <c:pt idx="165">
                  <c:v>62.119616801277267</c:v>
                </c:pt>
                <c:pt idx="166">
                  <c:v>62.113926337996347</c:v>
                </c:pt>
                <c:pt idx="167">
                  <c:v>62.105176655120999</c:v>
                </c:pt>
                <c:pt idx="168">
                  <c:v>62.092849402113778</c:v>
                </c:pt>
                <c:pt idx="169">
                  <c:v>62.076425910723408</c:v>
                </c:pt>
                <c:pt idx="170">
                  <c:v>62.05538877931982</c:v>
                </c:pt>
                <c:pt idx="171">
                  <c:v>62.029219896048886</c:v>
                </c:pt>
                <c:pt idx="172">
                  <c:v>61.997401219243613</c:v>
                </c:pt>
                <c:pt idx="173">
                  <c:v>61.959414772086625</c:v>
                </c:pt>
                <c:pt idx="174">
                  <c:v>61.914742644508287</c:v>
                </c:pt>
                <c:pt idx="175">
                  <c:v>61.862866987162846</c:v>
                </c:pt>
                <c:pt idx="176">
                  <c:v>61.803893319989051</c:v>
                </c:pt>
                <c:pt idx="177">
                  <c:v>61.738480219445606</c:v>
                </c:pt>
                <c:pt idx="178">
                  <c:v>61.666940975660872</c:v>
                </c:pt>
                <c:pt idx="179">
                  <c:v>61.58958828040037</c:v>
                </c:pt>
                <c:pt idx="180">
                  <c:v>61.506734648511973</c:v>
                </c:pt>
                <c:pt idx="181">
                  <c:v>61.418692415455602</c:v>
                </c:pt>
                <c:pt idx="182">
                  <c:v>61.325773755210477</c:v>
                </c:pt>
                <c:pt idx="183">
                  <c:v>61.228288844252909</c:v>
                </c:pt>
                <c:pt idx="184">
                  <c:v>61.126549947306088</c:v>
                </c:pt>
                <c:pt idx="185">
                  <c:v>61.020868749820757</c:v>
                </c:pt>
                <c:pt idx="186">
                  <c:v>60.911556797412466</c:v>
                </c:pt>
                <c:pt idx="187">
                  <c:v>60.798925497974189</c:v>
                </c:pt>
                <c:pt idx="188">
                  <c:v>60.683286134540218</c:v>
                </c:pt>
                <c:pt idx="189">
                  <c:v>60.5649498622954</c:v>
                </c:pt>
                <c:pt idx="190">
                  <c:v>60.443899093989813</c:v>
                </c:pt>
                <c:pt idx="191">
                  <c:v>60.319771186267275</c:v>
                </c:pt>
                <c:pt idx="192">
                  <c:v>60.192359244696853</c:v>
                </c:pt>
                <c:pt idx="193">
                  <c:v>60.061455543980287</c:v>
                </c:pt>
                <c:pt idx="194">
                  <c:v>59.926852413320617</c:v>
                </c:pt>
                <c:pt idx="195">
                  <c:v>59.788342232739097</c:v>
                </c:pt>
                <c:pt idx="196">
                  <c:v>59.645717445181418</c:v>
                </c:pt>
                <c:pt idx="197">
                  <c:v>59.498772110905499</c:v>
                </c:pt>
                <c:pt idx="198">
                  <c:v>59.347300724893458</c:v>
                </c:pt>
                <c:pt idx="199">
                  <c:v>59.191095951386878</c:v>
                </c:pt>
                <c:pt idx="200">
                  <c:v>59.029950524652563</c:v>
                </c:pt>
                <c:pt idx="201">
                  <c:v>58.863657259662041</c:v>
                </c:pt>
                <c:pt idx="202">
                  <c:v>58.692009052796934</c:v>
                </c:pt>
                <c:pt idx="203">
                  <c:v>58.514798876453625</c:v>
                </c:pt>
                <c:pt idx="204">
                  <c:v>58.331214993516816</c:v>
                </c:pt>
                <c:pt idx="205">
                  <c:v>58.140923931535013</c:v>
                </c:pt>
                <c:pt idx="206">
                  <c:v>57.944443821885017</c:v>
                </c:pt>
                <c:pt idx="207">
                  <c:v>57.742293589699635</c:v>
                </c:pt>
                <c:pt idx="208">
                  <c:v>57.534992064232767</c:v>
                </c:pt>
                <c:pt idx="209">
                  <c:v>57.323057975480346</c:v>
                </c:pt>
                <c:pt idx="210">
                  <c:v>57.107009960295628</c:v>
                </c:pt>
                <c:pt idx="211">
                  <c:v>56.887360383381875</c:v>
                </c:pt>
                <c:pt idx="212">
                  <c:v>56.664626089171243</c:v>
                </c:pt>
                <c:pt idx="213">
                  <c:v>56.439325419682902</c:v>
                </c:pt>
                <c:pt idx="214">
                  <c:v>56.211976625881171</c:v>
                </c:pt>
                <c:pt idx="215">
                  <c:v>55.983097862310423</c:v>
                </c:pt>
                <c:pt idx="216">
                  <c:v>55.753207189283522</c:v>
                </c:pt>
                <c:pt idx="217">
                  <c:v>55.522822572414576</c:v>
                </c:pt>
                <c:pt idx="218">
                  <c:v>55.290493758693877</c:v>
                </c:pt>
                <c:pt idx="219">
                  <c:v>55.054635364614967</c:v>
                </c:pt>
                <c:pt idx="220">
                  <c:v>54.815564568103667</c:v>
                </c:pt>
                <c:pt idx="221">
                  <c:v>54.573592634953606</c:v>
                </c:pt>
                <c:pt idx="222">
                  <c:v>54.329030777681126</c:v>
                </c:pt>
                <c:pt idx="223">
                  <c:v>54.082190150437839</c:v>
                </c:pt>
                <c:pt idx="224">
                  <c:v>53.833381848154218</c:v>
                </c:pt>
                <c:pt idx="225">
                  <c:v>53.582884502705056</c:v>
                </c:pt>
                <c:pt idx="226">
                  <c:v>53.331015241714034</c:v>
                </c:pt>
                <c:pt idx="227">
                  <c:v>53.078084939249024</c:v>
                </c:pt>
                <c:pt idx="228">
                  <c:v>52.824404413561076</c:v>
                </c:pt>
                <c:pt idx="229">
                  <c:v>52.570284422101885</c:v>
                </c:pt>
                <c:pt idx="230">
                  <c:v>52.316035662752299</c:v>
                </c:pt>
                <c:pt idx="231">
                  <c:v>52.061968773856947</c:v>
                </c:pt>
                <c:pt idx="232">
                  <c:v>51.808739306838824</c:v>
                </c:pt>
                <c:pt idx="233">
                  <c:v>51.556434851290433</c:v>
                </c:pt>
                <c:pt idx="234">
                  <c:v>51.304535454103878</c:v>
                </c:pt>
                <c:pt idx="235">
                  <c:v>51.052523878740381</c:v>
                </c:pt>
                <c:pt idx="236">
                  <c:v>50.799883031293191</c:v>
                </c:pt>
                <c:pt idx="237">
                  <c:v>50.546095966800436</c:v>
                </c:pt>
                <c:pt idx="238">
                  <c:v>50.290645885529123</c:v>
                </c:pt>
                <c:pt idx="239">
                  <c:v>50.033092868706262</c:v>
                </c:pt>
                <c:pt idx="240">
                  <c:v>49.7729527797853</c:v>
                </c:pt>
                <c:pt idx="241">
                  <c:v>49.509709131068796</c:v>
                </c:pt>
                <c:pt idx="242">
                  <c:v>49.242845545899193</c:v>
                </c:pt>
                <c:pt idx="243">
                  <c:v>48.971845758816279</c:v>
                </c:pt>
                <c:pt idx="244">
                  <c:v>48.696193611789234</c:v>
                </c:pt>
                <c:pt idx="245">
                  <c:v>48.415373057338051</c:v>
                </c:pt>
                <c:pt idx="246">
                  <c:v>48.130832822108594</c:v>
                </c:pt>
                <c:pt idx="247">
                  <c:v>47.844201621370942</c:v>
                </c:pt>
                <c:pt idx="248">
                  <c:v>47.555185346976295</c:v>
                </c:pt>
                <c:pt idx="249">
                  <c:v>47.263474189944773</c:v>
                </c:pt>
                <c:pt idx="250">
                  <c:v>46.968758383321216</c:v>
                </c:pt>
                <c:pt idx="251">
                  <c:v>46.670728195818839</c:v>
                </c:pt>
                <c:pt idx="252">
                  <c:v>46.369073935025902</c:v>
                </c:pt>
                <c:pt idx="253">
                  <c:v>46.063453391252366</c:v>
                </c:pt>
                <c:pt idx="254">
                  <c:v>45.753481063184317</c:v>
                </c:pt>
                <c:pt idx="255">
                  <c:v>45.438847715416806</c:v>
                </c:pt>
                <c:pt idx="256">
                  <c:v>45.119244175465411</c:v>
                </c:pt>
                <c:pt idx="257">
                  <c:v>44.794361328489948</c:v>
                </c:pt>
                <c:pt idx="258">
                  <c:v>44.463890116850536</c:v>
                </c:pt>
                <c:pt idx="259">
                  <c:v>44.127521536038095</c:v>
                </c:pt>
                <c:pt idx="260">
                  <c:v>43.783930655329002</c:v>
                </c:pt>
                <c:pt idx="261">
                  <c:v>43.432473568722735</c:v>
                </c:pt>
                <c:pt idx="262">
                  <c:v>43.073936765745287</c:v>
                </c:pt>
                <c:pt idx="263">
                  <c:v>42.709148429631519</c:v>
                </c:pt>
                <c:pt idx="264">
                  <c:v>42.338936577181933</c:v>
                </c:pt>
                <c:pt idx="265">
                  <c:v>41.964129051784759</c:v>
                </c:pt>
                <c:pt idx="266">
                  <c:v>41.585553552442164</c:v>
                </c:pt>
                <c:pt idx="267">
                  <c:v>41.203984441426591</c:v>
                </c:pt>
                <c:pt idx="268">
                  <c:v>40.820281249158612</c:v>
                </c:pt>
                <c:pt idx="269">
                  <c:v>40.43527141046934</c:v>
                </c:pt>
                <c:pt idx="270">
                  <c:v>40.049782231847523</c:v>
                </c:pt>
                <c:pt idx="271">
                  <c:v>39.664640897125629</c:v>
                </c:pt>
                <c:pt idx="272">
                  <c:v>39.280674472222259</c:v>
                </c:pt>
                <c:pt idx="273">
                  <c:v>38.89870991030287</c:v>
                </c:pt>
                <c:pt idx="274">
                  <c:v>38.516614450797931</c:v>
                </c:pt>
                <c:pt idx="275">
                  <c:v>38.132034705612242</c:v>
                </c:pt>
                <c:pt idx="276">
                  <c:v>37.745458914334904</c:v>
                </c:pt>
                <c:pt idx="277">
                  <c:v>37.357300362221615</c:v>
                </c:pt>
                <c:pt idx="278">
                  <c:v>36.967972205072734</c:v>
                </c:pt>
                <c:pt idx="279">
                  <c:v>36.577887466675115</c:v>
                </c:pt>
                <c:pt idx="280">
                  <c:v>36.18745903748281</c:v>
                </c:pt>
                <c:pt idx="281">
                  <c:v>35.797050013936925</c:v>
                </c:pt>
                <c:pt idx="282">
                  <c:v>35.407124349196494</c:v>
                </c:pt>
                <c:pt idx="283">
                  <c:v>35.018094489242934</c:v>
                </c:pt>
                <c:pt idx="284">
                  <c:v>34.630372748914013</c:v>
                </c:pt>
                <c:pt idx="285">
                  <c:v>34.244371312035916</c:v>
                </c:pt>
                <c:pt idx="286">
                  <c:v>33.860502230973154</c:v>
                </c:pt>
                <c:pt idx="287">
                  <c:v>33.479177428764551</c:v>
                </c:pt>
                <c:pt idx="288">
                  <c:v>33.09910630428439</c:v>
                </c:pt>
                <c:pt idx="289">
                  <c:v>32.718079868132023</c:v>
                </c:pt>
                <c:pt idx="290">
                  <c:v>32.336369569347553</c:v>
                </c:pt>
                <c:pt idx="291">
                  <c:v>31.954299058675968</c:v>
                </c:pt>
                <c:pt idx="292">
                  <c:v>31.572192509000619</c:v>
                </c:pt>
                <c:pt idx="293">
                  <c:v>31.190374569916081</c:v>
                </c:pt>
                <c:pt idx="294">
                  <c:v>30.809170320862854</c:v>
                </c:pt>
                <c:pt idx="295">
                  <c:v>30.427966180661478</c:v>
                </c:pt>
                <c:pt idx="296">
                  <c:v>30.047150910441001</c:v>
                </c:pt>
                <c:pt idx="297">
                  <c:v>29.667066839894698</c:v>
                </c:pt>
                <c:pt idx="298">
                  <c:v>29.288057067681869</c:v>
                </c:pt>
                <c:pt idx="299">
                  <c:v>28.910464989464064</c:v>
                </c:pt>
                <c:pt idx="300">
                  <c:v>28.534634144061293</c:v>
                </c:pt>
                <c:pt idx="301">
                  <c:v>28.160908056693813</c:v>
                </c:pt>
                <c:pt idx="302">
                  <c:v>27.787739573041044</c:v>
                </c:pt>
                <c:pt idx="303">
                  <c:v>27.414397686237422</c:v>
                </c:pt>
                <c:pt idx="304">
                  <c:v>27.042191349293251</c:v>
                </c:pt>
                <c:pt idx="305">
                  <c:v>26.671638624928427</c:v>
                </c:pt>
                <c:pt idx="306">
                  <c:v>26.303256692611498</c:v>
                </c:pt>
                <c:pt idx="307">
                  <c:v>25.937561830495813</c:v>
                </c:pt>
                <c:pt idx="308">
                  <c:v>25.575069394095884</c:v>
                </c:pt>
                <c:pt idx="309">
                  <c:v>25.217514256638111</c:v>
                </c:pt>
                <c:pt idx="310">
                  <c:v>24.866231266152042</c:v>
                </c:pt>
                <c:pt idx="311">
                  <c:v>24.521688946898315</c:v>
                </c:pt>
                <c:pt idx="312">
                  <c:v>24.18435572061988</c:v>
                </c:pt>
                <c:pt idx="313">
                  <c:v>23.854700133150047</c:v>
                </c:pt>
                <c:pt idx="314">
                  <c:v>23.5331910719033</c:v>
                </c:pt>
                <c:pt idx="315">
                  <c:v>23.220297986980299</c:v>
                </c:pt>
                <c:pt idx="316">
                  <c:v>22.915202782433596</c:v>
                </c:pt>
                <c:pt idx="317">
                  <c:v>22.616941040326228</c:v>
                </c:pt>
                <c:pt idx="318">
                  <c:v>22.324855565155875</c:v>
                </c:pt>
                <c:pt idx="319">
                  <c:v>22.038913671193839</c:v>
                </c:pt>
                <c:pt idx="320">
                  <c:v>21.759083940262613</c:v>
                </c:pt>
                <c:pt idx="321">
                  <c:v>21.485336336213223</c:v>
                </c:pt>
                <c:pt idx="322">
                  <c:v>21.217642318239097</c:v>
                </c:pt>
                <c:pt idx="323">
                  <c:v>20.955771211417094</c:v>
                </c:pt>
                <c:pt idx="324">
                  <c:v>20.698600261145703</c:v>
                </c:pt>
                <c:pt idx="325">
                  <c:v>20.446129456488599</c:v>
                </c:pt>
                <c:pt idx="326">
                  <c:v>20.198360792178931</c:v>
                </c:pt>
                <c:pt idx="327">
                  <c:v>19.955295386777546</c:v>
                </c:pt>
                <c:pt idx="328">
                  <c:v>19.716933321207957</c:v>
                </c:pt>
                <c:pt idx="329">
                  <c:v>19.483275031662938</c:v>
                </c:pt>
                <c:pt idx="330">
                  <c:v>19.252089486871483</c:v>
                </c:pt>
                <c:pt idx="331">
                  <c:v>19.021716598187407</c:v>
                </c:pt>
                <c:pt idx="332">
                  <c:v>18.793010835634373</c:v>
                </c:pt>
                <c:pt idx="333">
                  <c:v>18.567008274068304</c:v>
                </c:pt>
                <c:pt idx="334">
                  <c:v>18.344744683477565</c:v>
                </c:pt>
                <c:pt idx="335">
                  <c:v>18.127255502599887</c:v>
                </c:pt>
                <c:pt idx="336">
                  <c:v>17.915575802035477</c:v>
                </c:pt>
                <c:pt idx="337">
                  <c:v>17.710621896997747</c:v>
                </c:pt>
                <c:pt idx="338">
                  <c:v>17.513618273623411</c:v>
                </c:pt>
                <c:pt idx="339">
                  <c:v>17.325597964149367</c:v>
                </c:pt>
                <c:pt idx="340">
                  <c:v>17.147593641916007</c:v>
                </c:pt>
                <c:pt idx="341">
                  <c:v>16.980637617739859</c:v>
                </c:pt>
                <c:pt idx="342">
                  <c:v>16.825761825198178</c:v>
                </c:pt>
                <c:pt idx="343">
                  <c:v>16.683997798611898</c:v>
                </c:pt>
                <c:pt idx="344">
                  <c:v>16.551487812899083</c:v>
                </c:pt>
                <c:pt idx="345">
                  <c:v>16.424400913228276</c:v>
                </c:pt>
                <c:pt idx="346">
                  <c:v>16.304001563345459</c:v>
                </c:pt>
                <c:pt idx="347">
                  <c:v>16.191359231678309</c:v>
                </c:pt>
                <c:pt idx="348">
                  <c:v>16.087543174917002</c:v>
                </c:pt>
                <c:pt idx="349">
                  <c:v>15.993622405947765</c:v>
                </c:pt>
                <c:pt idx="350">
                  <c:v>15.910665694290923</c:v>
                </c:pt>
                <c:pt idx="351">
                  <c:v>15.839823783547851</c:v>
                </c:pt>
                <c:pt idx="352">
                  <c:v>15.782278514303435</c:v>
                </c:pt>
                <c:pt idx="353">
                  <c:v>15.739097098193476</c:v>
                </c:pt>
                <c:pt idx="354">
                  <c:v>15.711346587467791</c:v>
                </c:pt>
                <c:pt idx="355">
                  <c:v>15.700093847126734</c:v>
                </c:pt>
                <c:pt idx="356">
                  <c:v>15.706406177748503</c:v>
                </c:pt>
                <c:pt idx="357">
                  <c:v>15.731349697427838</c:v>
                </c:pt>
                <c:pt idx="358">
                  <c:v>15.776984375960955</c:v>
                </c:pt>
                <c:pt idx="359">
                  <c:v>15.843611493980289</c:v>
                </c:pt>
                <c:pt idx="360">
                  <c:v>15.929547320169613</c:v>
                </c:pt>
                <c:pt idx="361">
                  <c:v>16.033140219383981</c:v>
                </c:pt>
                <c:pt idx="362">
                  <c:v>16.152820396401417</c:v>
                </c:pt>
                <c:pt idx="363">
                  <c:v>16.287018242683175</c:v>
                </c:pt>
                <c:pt idx="364">
                  <c:v>16.434164334686383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5.8718424658215671</c:v>
                </c:pt>
                <c:pt idx="7">
                  <c:v>7.6702279797422763</c:v>
                </c:pt>
                <c:pt idx="8">
                  <c:v>2.3040578284580975</c:v>
                </c:pt>
                <c:pt idx="9">
                  <c:v>1.9052919008195246</c:v>
                </c:pt>
                <c:pt idx="10">
                  <c:v>19.119449299643573</c:v>
                </c:pt>
                <c:pt idx="11">
                  <c:v>17.162800328580477</c:v>
                </c:pt>
                <c:pt idx="12">
                  <c:v>5.831007988255549</c:v>
                </c:pt>
                <c:pt idx="13">
                  <c:v>19.726637023500878</c:v>
                </c:pt>
                <c:pt idx="14">
                  <c:v>20.296714867393824</c:v>
                </c:pt>
                <c:pt idx="15">
                  <c:v>20.018426910457976</c:v>
                </c:pt>
                <c:pt idx="16">
                  <c:v>13.432816697455189</c:v>
                </c:pt>
                <c:pt idx="17">
                  <c:v>4.2615085371249029</c:v>
                </c:pt>
                <c:pt idx="18">
                  <c:v>10.775071078880062</c:v>
                </c:pt>
                <c:pt idx="19">
                  <c:v>6.2372076392200908</c:v>
                </c:pt>
                <c:pt idx="20">
                  <c:v>17.557710832704739</c:v>
                </c:pt>
                <c:pt idx="21">
                  <c:v>21.653303603766126</c:v>
                </c:pt>
                <c:pt idx="22">
                  <c:v>21.725324646771149</c:v>
                </c:pt>
                <c:pt idx="23">
                  <c:v>22.265328705837227</c:v>
                </c:pt>
                <c:pt idx="24">
                  <c:v>20.853320999039155</c:v>
                </c:pt>
                <c:pt idx="25">
                  <c:v>22.442637665272386</c:v>
                </c:pt>
                <c:pt idx="26">
                  <c:v>18.789763152913203</c:v>
                </c:pt>
                <c:pt idx="27">
                  <c:v>4.4821071350778743</c:v>
                </c:pt>
                <c:pt idx="28">
                  <c:v>6.7368540676139714</c:v>
                </c:pt>
                <c:pt idx="29">
                  <c:v>4.8561546783365452</c:v>
                </c:pt>
                <c:pt idx="30">
                  <c:v>11.261895957445882</c:v>
                </c:pt>
                <c:pt idx="31">
                  <c:v>14.521591946230982</c:v>
                </c:pt>
                <c:pt idx="32">
                  <c:v>5.8578982025576165</c:v>
                </c:pt>
                <c:pt idx="33">
                  <c:v>13.540421187596902</c:v>
                </c:pt>
                <c:pt idx="34">
                  <c:v>12.360394915637611</c:v>
                </c:pt>
                <c:pt idx="35">
                  <c:v>9.7096372208423141</c:v>
                </c:pt>
                <c:pt idx="36">
                  <c:v>21.333504051423933</c:v>
                </c:pt>
                <c:pt idx="37">
                  <c:v>14.623947509989835</c:v>
                </c:pt>
                <c:pt idx="38">
                  <c:v>28.352843086245741</c:v>
                </c:pt>
                <c:pt idx="39">
                  <c:v>28.586164920219645</c:v>
                </c:pt>
                <c:pt idx="40">
                  <c:v>27.598520155700289</c:v>
                </c:pt>
                <c:pt idx="41">
                  <c:v>14.432532728604578</c:v>
                </c:pt>
                <c:pt idx="42">
                  <c:v>23.086124498710795</c:v>
                </c:pt>
                <c:pt idx="43">
                  <c:v>25.442863555370689</c:v>
                </c:pt>
                <c:pt idx="44">
                  <c:v>16.340064092195938</c:v>
                </c:pt>
                <c:pt idx="45">
                  <c:v>21.038684102657939</c:v>
                </c:pt>
                <c:pt idx="46">
                  <c:v>9.9938611413868728</c:v>
                </c:pt>
                <c:pt idx="47">
                  <c:v>12.011714459244581</c:v>
                </c:pt>
                <c:pt idx="48">
                  <c:v>28.150918622543539</c:v>
                </c:pt>
                <c:pt idx="49">
                  <c:v>16.995206834483813</c:v>
                </c:pt>
                <c:pt idx="50">
                  <c:v>21.402598405534867</c:v>
                </c:pt>
                <c:pt idx="51">
                  <c:v>18.87265666343492</c:v>
                </c:pt>
                <c:pt idx="52">
                  <c:v>30.84226794729264</c:v>
                </c:pt>
                <c:pt idx="53">
                  <c:v>32.435753957859703</c:v>
                </c:pt>
                <c:pt idx="54">
                  <c:v>23.096504926088549</c:v>
                </c:pt>
                <c:pt idx="55">
                  <c:v>25.499701450840455</c:v>
                </c:pt>
                <c:pt idx="56">
                  <c:v>35.909054393436342</c:v>
                </c:pt>
                <c:pt idx="57">
                  <c:v>22.968202980664593</c:v>
                </c:pt>
                <c:pt idx="58">
                  <c:v>33.495242727351595</c:v>
                </c:pt>
                <c:pt idx="59">
                  <c:v>35.341113611309048</c:v>
                </c:pt>
                <c:pt idx="60">
                  <c:v>16.330434863811313</c:v>
                </c:pt>
                <c:pt idx="61">
                  <c:v>28.170175553623125</c:v>
                </c:pt>
                <c:pt idx="62">
                  <c:v>5.5482577087592979</c:v>
                </c:pt>
                <c:pt idx="63">
                  <c:v>14.388698203114259</c:v>
                </c:pt>
                <c:pt idx="64">
                  <c:v>22.027795448809435</c:v>
                </c:pt>
                <c:pt idx="65">
                  <c:v>35.703738081000033</c:v>
                </c:pt>
                <c:pt idx="66">
                  <c:v>32.03320703670186</c:v>
                </c:pt>
                <c:pt idx="67">
                  <c:v>28.592788011921847</c:v>
                </c:pt>
                <c:pt idx="68">
                  <c:v>24.158282410990477</c:v>
                </c:pt>
                <c:pt idx="69">
                  <c:v>17.434715015963821</c:v>
                </c:pt>
                <c:pt idx="70">
                  <c:v>13.64423675399507</c:v>
                </c:pt>
                <c:pt idx="71">
                  <c:v>8.6902105494279862</c:v>
                </c:pt>
                <c:pt idx="72">
                  <c:v>12.940274844044369</c:v>
                </c:pt>
                <c:pt idx="73">
                  <c:v>15.33507466812906</c:v>
                </c:pt>
                <c:pt idx="74">
                  <c:v>12.876904913197809</c:v>
                </c:pt>
                <c:pt idx="75">
                  <c:v>12.367034796660503</c:v>
                </c:pt>
                <c:pt idx="76">
                  <c:v>14.597333390171746</c:v>
                </c:pt>
                <c:pt idx="77">
                  <c:v>26.821674903031155</c:v>
                </c:pt>
                <c:pt idx="78">
                  <c:v>32.150587172300106</c:v>
                </c:pt>
                <c:pt idx="79">
                  <c:v>43.242814370248126</c:v>
                </c:pt>
                <c:pt idx="80">
                  <c:v>42.205536384649463</c:v>
                </c:pt>
                <c:pt idx="81">
                  <c:v>45.025588135768821</c:v>
                </c:pt>
                <c:pt idx="82">
                  <c:v>44.729676675303011</c:v>
                </c:pt>
                <c:pt idx="83">
                  <c:v>37.259923519635443</c:v>
                </c:pt>
                <c:pt idx="84">
                  <c:v>40.923938109829798</c:v>
                </c:pt>
                <c:pt idx="85">
                  <c:v>42.825228537762527</c:v>
                </c:pt>
                <c:pt idx="86">
                  <c:v>36.787954697238327</c:v>
                </c:pt>
                <c:pt idx="87">
                  <c:v>28.015057603850359</c:v>
                </c:pt>
                <c:pt idx="88">
                  <c:v>7.8021581010078958</c:v>
                </c:pt>
                <c:pt idx="89">
                  <c:v>27.248616124454813</c:v>
                </c:pt>
                <c:pt idx="90">
                  <c:v>29.970796328609381</c:v>
                </c:pt>
                <c:pt idx="91">
                  <c:v>20.424293314430052</c:v>
                </c:pt>
                <c:pt idx="92">
                  <c:v>27.884959820632517</c:v>
                </c:pt>
                <c:pt idx="93">
                  <c:v>43.304870789190474</c:v>
                </c:pt>
                <c:pt idx="94">
                  <c:v>51.825802409529238</c:v>
                </c:pt>
                <c:pt idx="95">
                  <c:v>12.641688128219267</c:v>
                </c:pt>
                <c:pt idx="96">
                  <c:v>42.849858571467308</c:v>
                </c:pt>
                <c:pt idx="97">
                  <c:v>36.500742290788089</c:v>
                </c:pt>
                <c:pt idx="98">
                  <c:v>33.957024863149947</c:v>
                </c:pt>
                <c:pt idx="99">
                  <c:v>55.634680698400423</c:v>
                </c:pt>
                <c:pt idx="100">
                  <c:v>44.883671464249886</c:v>
                </c:pt>
                <c:pt idx="101">
                  <c:v>37.450120465595113</c:v>
                </c:pt>
                <c:pt idx="102">
                  <c:v>8.6597888575249922</c:v>
                </c:pt>
                <c:pt idx="103">
                  <c:v>39.976854821612633</c:v>
                </c:pt>
                <c:pt idx="104">
                  <c:v>43.806334873306454</c:v>
                </c:pt>
                <c:pt idx="105">
                  <c:v>39.859735087752732</c:v>
                </c:pt>
                <c:pt idx="106">
                  <c:v>55.204665952060928</c:v>
                </c:pt>
                <c:pt idx="107">
                  <c:v>35.218357492433583</c:v>
                </c:pt>
                <c:pt idx="108">
                  <c:v>11.587267401696101</c:v>
                </c:pt>
                <c:pt idx="109">
                  <c:v>11.611605893593387</c:v>
                </c:pt>
                <c:pt idx="110">
                  <c:v>11.145055262882945</c:v>
                </c:pt>
                <c:pt idx="111">
                  <c:v>29.644929793590975</c:v>
                </c:pt>
                <c:pt idx="112">
                  <c:v>9.73263060345956</c:v>
                </c:pt>
                <c:pt idx="113">
                  <c:v>34.897195419743213</c:v>
                </c:pt>
                <c:pt idx="114">
                  <c:v>46.054581485198618</c:v>
                </c:pt>
                <c:pt idx="115">
                  <c:v>57.502608826477712</c:v>
                </c:pt>
                <c:pt idx="116">
                  <c:v>45.706732448763361</c:v>
                </c:pt>
                <c:pt idx="117">
                  <c:v>24.367417503378174</c:v>
                </c:pt>
                <c:pt idx="118">
                  <c:v>44.163945045537815</c:v>
                </c:pt>
                <c:pt idx="119">
                  <c:v>43.559051652219395</c:v>
                </c:pt>
                <c:pt idx="120">
                  <c:v>49.416472615901277</c:v>
                </c:pt>
                <c:pt idx="121">
                  <c:v>31.762857072719186</c:v>
                </c:pt>
                <c:pt idx="122">
                  <c:v>35.400913744058165</c:v>
                </c:pt>
                <c:pt idx="123">
                  <c:v>19.923766410542441</c:v>
                </c:pt>
                <c:pt idx="124">
                  <c:v>40.103360511143883</c:v>
                </c:pt>
                <c:pt idx="125">
                  <c:v>42.040170489756534</c:v>
                </c:pt>
                <c:pt idx="126">
                  <c:v>48.353774481412174</c:v>
                </c:pt>
                <c:pt idx="127">
                  <c:v>54.844625732788479</c:v>
                </c:pt>
                <c:pt idx="128">
                  <c:v>58.030631211691734</c:v>
                </c:pt>
                <c:pt idx="129">
                  <c:v>56.842715873503153</c:v>
                </c:pt>
                <c:pt idx="130">
                  <c:v>60.636837145410368</c:v>
                </c:pt>
                <c:pt idx="131">
                  <c:v>46.17207524909869</c:v>
                </c:pt>
                <c:pt idx="132">
                  <c:v>48.927136696792836</c:v>
                </c:pt>
                <c:pt idx="133">
                  <c:v>54.775079625612044</c:v>
                </c:pt>
                <c:pt idx="134">
                  <c:v>56.543419157084649</c:v>
                </c:pt>
                <c:pt idx="135">
                  <c:v>55.263409135997875</c:v>
                </c:pt>
                <c:pt idx="136">
                  <c:v>59.018788703054433</c:v>
                </c:pt>
                <c:pt idx="137">
                  <c:v>56.351121676569065</c:v>
                </c:pt>
                <c:pt idx="138">
                  <c:v>55.147583679347065</c:v>
                </c:pt>
                <c:pt idx="139">
                  <c:v>52.412101180954338</c:v>
                </c:pt>
                <c:pt idx="140">
                  <c:v>54.887320564548993</c:v>
                </c:pt>
                <c:pt idx="141">
                  <c:v>42.441137644961891</c:v>
                </c:pt>
                <c:pt idx="142">
                  <c:v>20.194149789702877</c:v>
                </c:pt>
                <c:pt idx="143">
                  <c:v>17.346241091284966</c:v>
                </c:pt>
                <c:pt idx="144">
                  <c:v>42.275796831125184</c:v>
                </c:pt>
                <c:pt idx="145">
                  <c:v>28.207485103223433</c:v>
                </c:pt>
                <c:pt idx="146">
                  <c:v>44.168157934581579</c:v>
                </c:pt>
                <c:pt idx="147">
                  <c:v>57.985901463844733</c:v>
                </c:pt>
                <c:pt idx="148">
                  <c:v>63.059323167320031</c:v>
                </c:pt>
                <c:pt idx="149">
                  <c:v>50.714650559725818</c:v>
                </c:pt>
                <c:pt idx="150">
                  <c:v>59.948224747856791</c:v>
                </c:pt>
                <c:pt idx="151">
                  <c:v>62.50294795122467</c:v>
                </c:pt>
                <c:pt idx="152">
                  <c:v>45.020942946932806</c:v>
                </c:pt>
                <c:pt idx="153">
                  <c:v>59.609736451862602</c:v>
                </c:pt>
                <c:pt idx="154">
                  <c:v>30.296886833053641</c:v>
                </c:pt>
                <c:pt idx="155">
                  <c:v>33.481028091185415</c:v>
                </c:pt>
                <c:pt idx="156">
                  <c:v>53.541326469597358</c:v>
                </c:pt>
                <c:pt idx="157">
                  <c:v>27.958476068634663</c:v>
                </c:pt>
                <c:pt idx="158">
                  <c:v>25.193790711213776</c:v>
                </c:pt>
                <c:pt idx="159">
                  <c:v>51.771583200752779</c:v>
                </c:pt>
                <c:pt idx="160">
                  <c:v>63.696658904633871</c:v>
                </c:pt>
                <c:pt idx="161">
                  <c:v>60.987277782393726</c:v>
                </c:pt>
                <c:pt idx="162">
                  <c:v>49.178714940617262</c:v>
                </c:pt>
                <c:pt idx="163">
                  <c:v>54.9806561149761</c:v>
                </c:pt>
                <c:pt idx="164">
                  <c:v>55.892147707995839</c:v>
                </c:pt>
                <c:pt idx="165">
                  <c:v>59.289590651102628</c:v>
                </c:pt>
                <c:pt idx="166">
                  <c:v>56.183134397954838</c:v>
                </c:pt>
                <c:pt idx="167">
                  <c:v>56.348013022822322</c:v>
                </c:pt>
                <c:pt idx="168">
                  <c:v>59.999261843215166</c:v>
                </c:pt>
                <c:pt idx="169">
                  <c:v>60.479890836151874</c:v>
                </c:pt>
                <c:pt idx="170">
                  <c:v>32.703327258768773</c:v>
                </c:pt>
                <c:pt idx="171">
                  <c:v>22.006994909371219</c:v>
                </c:pt>
                <c:pt idx="172">
                  <c:v>45.653813401087795</c:v>
                </c:pt>
                <c:pt idx="173">
                  <c:v>45.141750528164863</c:v>
                </c:pt>
                <c:pt idx="174">
                  <c:v>48.558745926809578</c:v>
                </c:pt>
                <c:pt idx="175">
                  <c:v>40.451010040268969</c:v>
                </c:pt>
                <c:pt idx="176">
                  <c:v>12.651186472481688</c:v>
                </c:pt>
                <c:pt idx="177">
                  <c:v>18.612265382660457</c:v>
                </c:pt>
                <c:pt idx="178">
                  <c:v>64.409234892499938</c:v>
                </c:pt>
                <c:pt idx="179">
                  <c:v>62.499791646950456</c:v>
                </c:pt>
                <c:pt idx="180">
                  <c:v>15.352663304228434</c:v>
                </c:pt>
                <c:pt idx="181">
                  <c:v>52.084359716849505</c:v>
                </c:pt>
                <c:pt idx="182">
                  <c:v>57.828985443351556</c:v>
                </c:pt>
                <c:pt idx="183">
                  <c:v>53.78098820245885</c:v>
                </c:pt>
                <c:pt idx="184">
                  <c:v>50.06417540230747</c:v>
                </c:pt>
                <c:pt idx="185">
                  <c:v>60.031747043685662</c:v>
                </c:pt>
                <c:pt idx="186">
                  <c:v>44.195565889708462</c:v>
                </c:pt>
                <c:pt idx="187">
                  <c:v>59.576483594851304</c:v>
                </c:pt>
                <c:pt idx="188">
                  <c:v>62.471970719499929</c:v>
                </c:pt>
                <c:pt idx="189">
                  <c:v>61.507776902990472</c:v>
                </c:pt>
                <c:pt idx="190">
                  <c:v>60.861265490947801</c:v>
                </c:pt>
                <c:pt idx="191">
                  <c:v>59.814725721805736</c:v>
                </c:pt>
                <c:pt idx="192">
                  <c:v>58.877625692453776</c:v>
                </c:pt>
                <c:pt idx="193">
                  <c:v>57.710958403069796</c:v>
                </c:pt>
                <c:pt idx="194">
                  <c:v>57.556469474354223</c:v>
                </c:pt>
                <c:pt idx="195">
                  <c:v>55.017256028232048</c:v>
                </c:pt>
                <c:pt idx="196">
                  <c:v>56.1490807915348</c:v>
                </c:pt>
                <c:pt idx="197">
                  <c:v>56.554457833698955</c:v>
                </c:pt>
                <c:pt idx="198">
                  <c:v>58.281072453573948</c:v>
                </c:pt>
                <c:pt idx="199">
                  <c:v>42.809384745463632</c:v>
                </c:pt>
                <c:pt idx="200">
                  <c:v>40.200212249956373</c:v>
                </c:pt>
                <c:pt idx="201">
                  <c:v>55.471590149909538</c:v>
                </c:pt>
                <c:pt idx="202">
                  <c:v>47.643278346960791</c:v>
                </c:pt>
                <c:pt idx="203">
                  <c:v>45.081556857820324</c:v>
                </c:pt>
                <c:pt idx="204">
                  <c:v>54.88708913967421</c:v>
                </c:pt>
                <c:pt idx="205">
                  <c:v>28.955463045845132</c:v>
                </c:pt>
                <c:pt idx="206">
                  <c:v>51.316489007936006</c:v>
                </c:pt>
                <c:pt idx="207">
                  <c:v>58.081543667208457</c:v>
                </c:pt>
                <c:pt idx="208">
                  <c:v>45.634889028417412</c:v>
                </c:pt>
                <c:pt idx="209">
                  <c:v>28.349152724801971</c:v>
                </c:pt>
                <c:pt idx="210">
                  <c:v>46.626769684963186</c:v>
                </c:pt>
                <c:pt idx="211">
                  <c:v>57.099451508695992</c:v>
                </c:pt>
                <c:pt idx="212">
                  <c:v>56.599116093406984</c:v>
                </c:pt>
                <c:pt idx="213">
                  <c:v>56.610274919795579</c:v>
                </c:pt>
                <c:pt idx="214">
                  <c:v>56.208723484764086</c:v>
                </c:pt>
                <c:pt idx="215">
                  <c:v>53.623502641536717</c:v>
                </c:pt>
                <c:pt idx="216">
                  <c:v>42.804412592789632</c:v>
                </c:pt>
                <c:pt idx="217">
                  <c:v>51.074492738165041</c:v>
                </c:pt>
                <c:pt idx="218">
                  <c:v>53.851522689956155</c:v>
                </c:pt>
                <c:pt idx="219">
                  <c:v>55.248018222833124</c:v>
                </c:pt>
                <c:pt idx="220">
                  <c:v>52.67427081206592</c:v>
                </c:pt>
                <c:pt idx="221">
                  <c:v>51.155543450077396</c:v>
                </c:pt>
                <c:pt idx="222">
                  <c:v>48.2784702506383</c:v>
                </c:pt>
                <c:pt idx="223">
                  <c:v>0</c:v>
                </c:pt>
                <c:pt idx="224">
                  <c:v>35.88168729735829</c:v>
                </c:pt>
                <c:pt idx="225">
                  <c:v>35.947818652651492</c:v>
                </c:pt>
                <c:pt idx="226">
                  <c:v>36.356910946381959</c:v>
                </c:pt>
                <c:pt idx="227">
                  <c:v>37.657354277600874</c:v>
                </c:pt>
                <c:pt idx="228">
                  <c:v>26.193733904592825</c:v>
                </c:pt>
                <c:pt idx="229">
                  <c:v>39.967548808003698</c:v>
                </c:pt>
                <c:pt idx="230">
                  <c:v>39.566587671030554</c:v>
                </c:pt>
                <c:pt idx="231">
                  <c:v>51.637202200975779</c:v>
                </c:pt>
                <c:pt idx="232">
                  <c:v>37.26279498340309</c:v>
                </c:pt>
                <c:pt idx="233">
                  <c:v>27.257051998637266</c:v>
                </c:pt>
                <c:pt idx="234">
                  <c:v>46.109925724713349</c:v>
                </c:pt>
                <c:pt idx="235">
                  <c:v>50.08145022785282</c:v>
                </c:pt>
                <c:pt idx="236">
                  <c:v>32.121901619607605</c:v>
                </c:pt>
                <c:pt idx="237">
                  <c:v>37.021558177925918</c:v>
                </c:pt>
                <c:pt idx="238">
                  <c:v>46.671647595033988</c:v>
                </c:pt>
                <c:pt idx="239">
                  <c:v>49.064709380129067</c:v>
                </c:pt>
                <c:pt idx="240">
                  <c:v>34.291002822047652</c:v>
                </c:pt>
                <c:pt idx="241">
                  <c:v>48.123870610320424</c:v>
                </c:pt>
                <c:pt idx="242">
                  <c:v>24.36474569467126</c:v>
                </c:pt>
                <c:pt idx="243">
                  <c:v>41.895995810064314</c:v>
                </c:pt>
                <c:pt idx="244">
                  <c:v>39.602768241370789</c:v>
                </c:pt>
                <c:pt idx="245">
                  <c:v>36.433680758411519</c:v>
                </c:pt>
                <c:pt idx="246">
                  <c:v>47.773055850508506</c:v>
                </c:pt>
                <c:pt idx="247">
                  <c:v>39.976567304584144</c:v>
                </c:pt>
                <c:pt idx="248">
                  <c:v>43.574611729149915</c:v>
                </c:pt>
                <c:pt idx="249">
                  <c:v>35.730627137063593</c:v>
                </c:pt>
                <c:pt idx="250">
                  <c:v>39.740696119917295</c:v>
                </c:pt>
                <c:pt idx="251">
                  <c:v>18.933697357175394</c:v>
                </c:pt>
                <c:pt idx="252">
                  <c:v>44.139446654857529</c:v>
                </c:pt>
                <c:pt idx="253">
                  <c:v>45.664648369264235</c:v>
                </c:pt>
                <c:pt idx="254">
                  <c:v>35.471419559436889</c:v>
                </c:pt>
                <c:pt idx="255">
                  <c:v>13.596786288000047</c:v>
                </c:pt>
                <c:pt idx="256">
                  <c:v>36.536051621353607</c:v>
                </c:pt>
                <c:pt idx="257">
                  <c:v>41.505421023546539</c:v>
                </c:pt>
                <c:pt idx="258">
                  <c:v>27.891215262189363</c:v>
                </c:pt>
                <c:pt idx="259">
                  <c:v>44.78589592033569</c:v>
                </c:pt>
                <c:pt idx="260">
                  <c:v>43.870094681184781</c:v>
                </c:pt>
                <c:pt idx="261">
                  <c:v>44.218013356686249</c:v>
                </c:pt>
                <c:pt idx="262">
                  <c:v>44.568766240103329</c:v>
                </c:pt>
                <c:pt idx="263">
                  <c:v>43.253354138985202</c:v>
                </c:pt>
                <c:pt idx="264">
                  <c:v>42.043455983214649</c:v>
                </c:pt>
                <c:pt idx="265">
                  <c:v>30.80947533327701</c:v>
                </c:pt>
                <c:pt idx="266">
                  <c:v>19.031394771238254</c:v>
                </c:pt>
                <c:pt idx="267">
                  <c:v>30.463079612146149</c:v>
                </c:pt>
                <c:pt idx="268">
                  <c:v>32.855411483085817</c:v>
                </c:pt>
                <c:pt idx="269">
                  <c:v>16.078329750623578</c:v>
                </c:pt>
                <c:pt idx="270">
                  <c:v>18.367760439628579</c:v>
                </c:pt>
                <c:pt idx="271">
                  <c:v>23.77237713970311</c:v>
                </c:pt>
                <c:pt idx="272">
                  <c:v>25.492699719655327</c:v>
                </c:pt>
                <c:pt idx="273">
                  <c:v>34.794473465685599</c:v>
                </c:pt>
                <c:pt idx="274">
                  <c:v>36.184959405786365</c:v>
                </c:pt>
                <c:pt idx="275">
                  <c:v>32.768906565581752</c:v>
                </c:pt>
                <c:pt idx="276">
                  <c:v>38.167056205439472</c:v>
                </c:pt>
                <c:pt idx="277">
                  <c:v>38.416610617042259</c:v>
                </c:pt>
                <c:pt idx="278">
                  <c:v>15.397647909276712</c:v>
                </c:pt>
                <c:pt idx="279">
                  <c:v>29.575646608739145</c:v>
                </c:pt>
                <c:pt idx="280">
                  <c:v>14.9572270302594</c:v>
                </c:pt>
                <c:pt idx="281">
                  <c:v>34.929383939437535</c:v>
                </c:pt>
                <c:pt idx="282">
                  <c:v>30.582233496375764</c:v>
                </c:pt>
                <c:pt idx="283">
                  <c:v>24.595446523463217</c:v>
                </c:pt>
                <c:pt idx="284">
                  <c:v>24.501032133764014</c:v>
                </c:pt>
                <c:pt idx="285">
                  <c:v>22.193200716106663</c:v>
                </c:pt>
                <c:pt idx="286">
                  <c:v>14.916986604911688</c:v>
                </c:pt>
                <c:pt idx="287">
                  <c:v>33.247425589850195</c:v>
                </c:pt>
                <c:pt idx="288">
                  <c:v>29.145827813049987</c:v>
                </c:pt>
                <c:pt idx="289">
                  <c:v>16.42551718134245</c:v>
                </c:pt>
                <c:pt idx="290">
                  <c:v>29.300600076530376</c:v>
                </c:pt>
                <c:pt idx="291">
                  <c:v>16.366712461506506</c:v>
                </c:pt>
                <c:pt idx="292">
                  <c:v>8.6091154180685994</c:v>
                </c:pt>
                <c:pt idx="293">
                  <c:v>16.643304142156673</c:v>
                </c:pt>
                <c:pt idx="294">
                  <c:v>28.525933342925551</c:v>
                </c:pt>
                <c:pt idx="295">
                  <c:v>18.596424456439934</c:v>
                </c:pt>
                <c:pt idx="296">
                  <c:v>24.118378443234377</c:v>
                </c:pt>
                <c:pt idx="297">
                  <c:v>20.264279804297587</c:v>
                </c:pt>
                <c:pt idx="298">
                  <c:v>15.139842526528453</c:v>
                </c:pt>
                <c:pt idx="299">
                  <c:v>14.311589245450524</c:v>
                </c:pt>
                <c:pt idx="300">
                  <c:v>16.456959671011727</c:v>
                </c:pt>
                <c:pt idx="301">
                  <c:v>23.145752391103557</c:v>
                </c:pt>
                <c:pt idx="302">
                  <c:v>20.261315911175792</c:v>
                </c:pt>
                <c:pt idx="303">
                  <c:v>19.428778041138639</c:v>
                </c:pt>
                <c:pt idx="304">
                  <c:v>17.709144628685124</c:v>
                </c:pt>
                <c:pt idx="305">
                  <c:v>24.504211383772073</c:v>
                </c:pt>
                <c:pt idx="306">
                  <c:v>8.8846749722669571</c:v>
                </c:pt>
                <c:pt idx="307">
                  <c:v>12.32382420108385</c:v>
                </c:pt>
                <c:pt idx="308">
                  <c:v>24.820823392320811</c:v>
                </c:pt>
                <c:pt idx="309">
                  <c:v>24.86662150683981</c:v>
                </c:pt>
                <c:pt idx="310">
                  <c:v>24.656264762365193</c:v>
                </c:pt>
                <c:pt idx="311">
                  <c:v>17.83138018706676</c:v>
                </c:pt>
                <c:pt idx="312">
                  <c:v>9.9415385294581675</c:v>
                </c:pt>
                <c:pt idx="313">
                  <c:v>18.071718925510588</c:v>
                </c:pt>
                <c:pt idx="314">
                  <c:v>21.493900135493</c:v>
                </c:pt>
                <c:pt idx="315">
                  <c:v>21.617915708057936</c:v>
                </c:pt>
                <c:pt idx="316">
                  <c:v>20.581748946168016</c:v>
                </c:pt>
                <c:pt idx="317">
                  <c:v>11.120776323761339</c:v>
                </c:pt>
                <c:pt idx="318">
                  <c:v>12.626260345832142</c:v>
                </c:pt>
                <c:pt idx="319">
                  <c:v>21.088225829935713</c:v>
                </c:pt>
                <c:pt idx="320">
                  <c:v>13.862132431022596</c:v>
                </c:pt>
                <c:pt idx="321">
                  <c:v>11.490435704789689</c:v>
                </c:pt>
                <c:pt idx="322">
                  <c:v>8.2465068444115666</c:v>
                </c:pt>
                <c:pt idx="323">
                  <c:v>14.845611925677106</c:v>
                </c:pt>
                <c:pt idx="324">
                  <c:v>3.380914930762176</c:v>
                </c:pt>
                <c:pt idx="325">
                  <c:v>9.487167126648643</c:v>
                </c:pt>
                <c:pt idx="326">
                  <c:v>12.653623238107384</c:v>
                </c:pt>
                <c:pt idx="327">
                  <c:v>11.765222182711163</c:v>
                </c:pt>
                <c:pt idx="328">
                  <c:v>4.7751957438950745</c:v>
                </c:pt>
                <c:pt idx="329">
                  <c:v>9.5500192243576496</c:v>
                </c:pt>
                <c:pt idx="330">
                  <c:v>13.65352402665831</c:v>
                </c:pt>
                <c:pt idx="331">
                  <c:v>9.3238627622106147</c:v>
                </c:pt>
                <c:pt idx="332">
                  <c:v>10.334412713268065</c:v>
                </c:pt>
                <c:pt idx="333">
                  <c:v>4.4273355487412358</c:v>
                </c:pt>
                <c:pt idx="334">
                  <c:v>4.1781436160524663</c:v>
                </c:pt>
                <c:pt idx="335">
                  <c:v>5.3311844144499405</c:v>
                </c:pt>
                <c:pt idx="336">
                  <c:v>9.5876822383591325</c:v>
                </c:pt>
                <c:pt idx="337">
                  <c:v>12.820149130515436</c:v>
                </c:pt>
                <c:pt idx="338">
                  <c:v>17.76586093019737</c:v>
                </c:pt>
                <c:pt idx="339">
                  <c:v>11.604646933105348</c:v>
                </c:pt>
                <c:pt idx="340">
                  <c:v>14.235422132655444</c:v>
                </c:pt>
                <c:pt idx="341">
                  <c:v>4.5860839440789656</c:v>
                </c:pt>
                <c:pt idx="342">
                  <c:v>7.6355920482724926</c:v>
                </c:pt>
                <c:pt idx="343">
                  <c:v>11.118649121390934</c:v>
                </c:pt>
                <c:pt idx="344">
                  <c:v>12.642917603994999</c:v>
                </c:pt>
                <c:pt idx="345">
                  <c:v>5.7887643553663803</c:v>
                </c:pt>
                <c:pt idx="346">
                  <c:v>5.4530077605479326</c:v>
                </c:pt>
                <c:pt idx="347">
                  <c:v>12.417382273704531</c:v>
                </c:pt>
                <c:pt idx="348">
                  <c:v>6.6319515598408447</c:v>
                </c:pt>
                <c:pt idx="349">
                  <c:v>5.5656150728059108</c:v>
                </c:pt>
                <c:pt idx="350">
                  <c:v>3.5936403115048923</c:v>
                </c:pt>
                <c:pt idx="351">
                  <c:v>14.461765064230274</c:v>
                </c:pt>
                <c:pt idx="352">
                  <c:v>13.846445757143266</c:v>
                </c:pt>
                <c:pt idx="353">
                  <c:v>4.1800570837305715</c:v>
                </c:pt>
                <c:pt idx="354">
                  <c:v>14.82349322942912</c:v>
                </c:pt>
                <c:pt idx="355">
                  <c:v>14.756675043834758</c:v>
                </c:pt>
                <c:pt idx="356">
                  <c:v>14.479532586902705</c:v>
                </c:pt>
                <c:pt idx="357">
                  <c:v>15.666716410339674</c:v>
                </c:pt>
                <c:pt idx="358">
                  <c:v>8.6881627489971329</c:v>
                </c:pt>
                <c:pt idx="359">
                  <c:v>14.520426052832802</c:v>
                </c:pt>
                <c:pt idx="360">
                  <c:v>6.2496665002092628</c:v>
                </c:pt>
                <c:pt idx="361">
                  <c:v>12.801808969955337</c:v>
                </c:pt>
                <c:pt idx="362">
                  <c:v>9.7550799326869058</c:v>
                </c:pt>
                <c:pt idx="363">
                  <c:v>11.689296964265875</c:v>
                </c:pt>
                <c:pt idx="364">
                  <c:v>10.630244774053772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5.8718424658215671</c:v>
                </c:pt>
                <c:pt idx="7">
                  <c:v>7.6702279797422763</c:v>
                </c:pt>
                <c:pt idx="8">
                  <c:v>2.3040578284580975</c:v>
                </c:pt>
                <c:pt idx="9">
                  <c:v>1.9052919008195246</c:v>
                </c:pt>
                <c:pt idx="10">
                  <c:v>19.119449299643573</c:v>
                </c:pt>
                <c:pt idx="11">
                  <c:v>17.162800328580477</c:v>
                </c:pt>
                <c:pt idx="12">
                  <c:v>5.831007988255549</c:v>
                </c:pt>
                <c:pt idx="13">
                  <c:v>19.726637023500878</c:v>
                </c:pt>
                <c:pt idx="14">
                  <c:v>20.296714867393824</c:v>
                </c:pt>
                <c:pt idx="15">
                  <c:v>20.018426910457976</c:v>
                </c:pt>
                <c:pt idx="16">
                  <c:v>13.432816697455189</c:v>
                </c:pt>
                <c:pt idx="17">
                  <c:v>4.2615085371249029</c:v>
                </c:pt>
                <c:pt idx="18">
                  <c:v>10.775071078880062</c:v>
                </c:pt>
                <c:pt idx="19">
                  <c:v>6.2372076392200908</c:v>
                </c:pt>
                <c:pt idx="20">
                  <c:v>17.557710832704739</c:v>
                </c:pt>
                <c:pt idx="21">
                  <c:v>21.653303603766126</c:v>
                </c:pt>
                <c:pt idx="22">
                  <c:v>21.725324646771149</c:v>
                </c:pt>
                <c:pt idx="23">
                  <c:v>22.265328705837227</c:v>
                </c:pt>
                <c:pt idx="24">
                  <c:v>20.853320999039155</c:v>
                </c:pt>
                <c:pt idx="25">
                  <c:v>22.442637665272386</c:v>
                </c:pt>
                <c:pt idx="26">
                  <c:v>18.789763152913203</c:v>
                </c:pt>
                <c:pt idx="27">
                  <c:v>4.4821071350778743</c:v>
                </c:pt>
                <c:pt idx="28">
                  <c:v>6.7368540676139714</c:v>
                </c:pt>
                <c:pt idx="29">
                  <c:v>4.8561546783365452</c:v>
                </c:pt>
                <c:pt idx="30">
                  <c:v>11.261895957445882</c:v>
                </c:pt>
                <c:pt idx="31">
                  <c:v>14.521591946230982</c:v>
                </c:pt>
                <c:pt idx="32">
                  <c:v>5.8578982025576165</c:v>
                </c:pt>
                <c:pt idx="33">
                  <c:v>13.540421187596902</c:v>
                </c:pt>
                <c:pt idx="34">
                  <c:v>12.360394915637611</c:v>
                </c:pt>
                <c:pt idx="35">
                  <c:v>9.7096372208423141</c:v>
                </c:pt>
                <c:pt idx="36">
                  <c:v>21.333504051423933</c:v>
                </c:pt>
                <c:pt idx="37">
                  <c:v>14.623947509989835</c:v>
                </c:pt>
                <c:pt idx="38">
                  <c:v>28.352843086245741</c:v>
                </c:pt>
                <c:pt idx="39">
                  <c:v>28.586164920219645</c:v>
                </c:pt>
                <c:pt idx="40">
                  <c:v>27.598520155700289</c:v>
                </c:pt>
                <c:pt idx="41">
                  <c:v>14.432532728604578</c:v>
                </c:pt>
                <c:pt idx="42">
                  <c:v>23.086124498710795</c:v>
                </c:pt>
                <c:pt idx="43">
                  <c:v>25.442863555370689</c:v>
                </c:pt>
                <c:pt idx="44">
                  <c:v>16.340064092195938</c:v>
                </c:pt>
                <c:pt idx="45">
                  <c:v>21.038684102657939</c:v>
                </c:pt>
                <c:pt idx="46">
                  <c:v>9.9938611413868728</c:v>
                </c:pt>
                <c:pt idx="47">
                  <c:v>12.011714459244581</c:v>
                </c:pt>
                <c:pt idx="48">
                  <c:v>28.150918622543539</c:v>
                </c:pt>
                <c:pt idx="49">
                  <c:v>16.995206834483813</c:v>
                </c:pt>
                <c:pt idx="50">
                  <c:v>21.402598405534867</c:v>
                </c:pt>
                <c:pt idx="51">
                  <c:v>18.87265666343492</c:v>
                </c:pt>
                <c:pt idx="52">
                  <c:v>30.84226794729264</c:v>
                </c:pt>
                <c:pt idx="53">
                  <c:v>32.435753957859703</c:v>
                </c:pt>
                <c:pt idx="54">
                  <c:v>23.096504926088549</c:v>
                </c:pt>
                <c:pt idx="55">
                  <c:v>25.499701450840455</c:v>
                </c:pt>
                <c:pt idx="56">
                  <c:v>35.909054393436342</c:v>
                </c:pt>
                <c:pt idx="57">
                  <c:v>22.968202980664593</c:v>
                </c:pt>
                <c:pt idx="58">
                  <c:v>33.495242727351595</c:v>
                </c:pt>
                <c:pt idx="59">
                  <c:v>35.341113611309048</c:v>
                </c:pt>
                <c:pt idx="60">
                  <c:v>16.330434863811313</c:v>
                </c:pt>
                <c:pt idx="61">
                  <c:v>28.170175553623125</c:v>
                </c:pt>
                <c:pt idx="62">
                  <c:v>5.5482577087592979</c:v>
                </c:pt>
                <c:pt idx="63">
                  <c:v>14.388698203114259</c:v>
                </c:pt>
                <c:pt idx="64">
                  <c:v>22.027795448809435</c:v>
                </c:pt>
                <c:pt idx="65">
                  <c:v>35.703738081000033</c:v>
                </c:pt>
                <c:pt idx="66">
                  <c:v>32.03320703670186</c:v>
                </c:pt>
                <c:pt idx="67">
                  <c:v>28.592788011921847</c:v>
                </c:pt>
                <c:pt idx="68">
                  <c:v>24.158282410990477</c:v>
                </c:pt>
                <c:pt idx="69">
                  <c:v>17.434715015963821</c:v>
                </c:pt>
                <c:pt idx="70">
                  <c:v>13.64423675399507</c:v>
                </c:pt>
                <c:pt idx="71">
                  <c:v>8.6902105494279862</c:v>
                </c:pt>
                <c:pt idx="72">
                  <c:v>12.940274844044369</c:v>
                </c:pt>
                <c:pt idx="73">
                  <c:v>15.33507466812906</c:v>
                </c:pt>
                <c:pt idx="74">
                  <c:v>12.876904913197809</c:v>
                </c:pt>
                <c:pt idx="75">
                  <c:v>12.367034796660503</c:v>
                </c:pt>
                <c:pt idx="76">
                  <c:v>14.597333390171746</c:v>
                </c:pt>
                <c:pt idx="77">
                  <c:v>26.821674903031155</c:v>
                </c:pt>
                <c:pt idx="78">
                  <c:v>32.150587172300106</c:v>
                </c:pt>
                <c:pt idx="79">
                  <c:v>43.242814370248126</c:v>
                </c:pt>
                <c:pt idx="80">
                  <c:v>42.205536384649463</c:v>
                </c:pt>
                <c:pt idx="81">
                  <c:v>45.025588135768821</c:v>
                </c:pt>
                <c:pt idx="82">
                  <c:v>44.729676675303011</c:v>
                </c:pt>
                <c:pt idx="83">
                  <c:v>37.259923519635443</c:v>
                </c:pt>
                <c:pt idx="84">
                  <c:v>40.923938109829798</c:v>
                </c:pt>
                <c:pt idx="85">
                  <c:v>42.825228537762527</c:v>
                </c:pt>
                <c:pt idx="86">
                  <c:v>36.787954697238327</c:v>
                </c:pt>
                <c:pt idx="87">
                  <c:v>28.015057603850359</c:v>
                </c:pt>
                <c:pt idx="88">
                  <c:v>7.8021581010078958</c:v>
                </c:pt>
                <c:pt idx="89">
                  <c:v>27.248616124454813</c:v>
                </c:pt>
                <c:pt idx="90">
                  <c:v>29.970796328609381</c:v>
                </c:pt>
                <c:pt idx="91">
                  <c:v>20.424293314430052</c:v>
                </c:pt>
                <c:pt idx="92">
                  <c:v>27.884959820632517</c:v>
                </c:pt>
                <c:pt idx="93">
                  <c:v>43.304870789190474</c:v>
                </c:pt>
                <c:pt idx="94">
                  <c:v>51.825802409529238</c:v>
                </c:pt>
                <c:pt idx="95">
                  <c:v>12.641688128219267</c:v>
                </c:pt>
                <c:pt idx="96">
                  <c:v>42.849858571467308</c:v>
                </c:pt>
                <c:pt idx="97">
                  <c:v>36.500742290788089</c:v>
                </c:pt>
                <c:pt idx="98">
                  <c:v>33.957024863149947</c:v>
                </c:pt>
                <c:pt idx="99">
                  <c:v>55.634680698400423</c:v>
                </c:pt>
                <c:pt idx="100">
                  <c:v>44.883671464249886</c:v>
                </c:pt>
                <c:pt idx="101">
                  <c:v>37.450120465595113</c:v>
                </c:pt>
                <c:pt idx="102">
                  <c:v>8.6597888575249922</c:v>
                </c:pt>
                <c:pt idx="103">
                  <c:v>39.976854821612633</c:v>
                </c:pt>
                <c:pt idx="104">
                  <c:v>43.806334873306454</c:v>
                </c:pt>
                <c:pt idx="105">
                  <c:v>39.859735087752732</c:v>
                </c:pt>
                <c:pt idx="106">
                  <c:v>55.204665952060928</c:v>
                </c:pt>
                <c:pt idx="107">
                  <c:v>35.218357492433583</c:v>
                </c:pt>
                <c:pt idx="108">
                  <c:v>11.587267401696101</c:v>
                </c:pt>
                <c:pt idx="109">
                  <c:v>11.611605893593387</c:v>
                </c:pt>
                <c:pt idx="110">
                  <c:v>11.145055262882945</c:v>
                </c:pt>
                <c:pt idx="111">
                  <c:v>29.644929793590975</c:v>
                </c:pt>
                <c:pt idx="112">
                  <c:v>9.73263060345956</c:v>
                </c:pt>
                <c:pt idx="113">
                  <c:v>34.897195419743213</c:v>
                </c:pt>
                <c:pt idx="114">
                  <c:v>46.054581485198618</c:v>
                </c:pt>
                <c:pt idx="115">
                  <c:v>57.502608826477712</c:v>
                </c:pt>
                <c:pt idx="116">
                  <c:v>45.706732448763361</c:v>
                </c:pt>
                <c:pt idx="117">
                  <c:v>24.367417503378174</c:v>
                </c:pt>
                <c:pt idx="118">
                  <c:v>44.163945045537815</c:v>
                </c:pt>
                <c:pt idx="119">
                  <c:v>43.559051652219395</c:v>
                </c:pt>
                <c:pt idx="120">
                  <c:v>49.416472615901277</c:v>
                </c:pt>
                <c:pt idx="121">
                  <c:v>31.762857072719186</c:v>
                </c:pt>
                <c:pt idx="122">
                  <c:v>35.400913744058165</c:v>
                </c:pt>
                <c:pt idx="123">
                  <c:v>19.923766410542441</c:v>
                </c:pt>
                <c:pt idx="124">
                  <c:v>40.103360511143883</c:v>
                </c:pt>
                <c:pt idx="125">
                  <c:v>42.040170489756534</c:v>
                </c:pt>
                <c:pt idx="126">
                  <c:v>48.353774481412174</c:v>
                </c:pt>
                <c:pt idx="127">
                  <c:v>54.844625732788479</c:v>
                </c:pt>
                <c:pt idx="128">
                  <c:v>58.030631211691734</c:v>
                </c:pt>
                <c:pt idx="129">
                  <c:v>56.842715873503153</c:v>
                </c:pt>
                <c:pt idx="130">
                  <c:v>60.636837145410368</c:v>
                </c:pt>
                <c:pt idx="131">
                  <c:v>46.17207524909869</c:v>
                </c:pt>
                <c:pt idx="132">
                  <c:v>48.927136696792836</c:v>
                </c:pt>
                <c:pt idx="133">
                  <c:v>54.775079625612044</c:v>
                </c:pt>
                <c:pt idx="134">
                  <c:v>56.543419157084649</c:v>
                </c:pt>
                <c:pt idx="135">
                  <c:v>55.263409135997875</c:v>
                </c:pt>
                <c:pt idx="136">
                  <c:v>59.018788703054433</c:v>
                </c:pt>
                <c:pt idx="137">
                  <c:v>56.351121676569065</c:v>
                </c:pt>
                <c:pt idx="138">
                  <c:v>55.147583679347065</c:v>
                </c:pt>
                <c:pt idx="139">
                  <c:v>52.412101180954338</c:v>
                </c:pt>
                <c:pt idx="140">
                  <c:v>54.887320564548993</c:v>
                </c:pt>
                <c:pt idx="141">
                  <c:v>42.441137644961891</c:v>
                </c:pt>
                <c:pt idx="142">
                  <c:v>20.194149789702877</c:v>
                </c:pt>
                <c:pt idx="143">
                  <c:v>17.346241091284966</c:v>
                </c:pt>
                <c:pt idx="144">
                  <c:v>42.275796831125184</c:v>
                </c:pt>
                <c:pt idx="145">
                  <c:v>28.207485103223433</c:v>
                </c:pt>
                <c:pt idx="146">
                  <c:v>44.168157934581579</c:v>
                </c:pt>
                <c:pt idx="147">
                  <c:v>57.985901463844733</c:v>
                </c:pt>
                <c:pt idx="148">
                  <c:v>63.059323167320031</c:v>
                </c:pt>
                <c:pt idx="149">
                  <c:v>50.714650559725818</c:v>
                </c:pt>
                <c:pt idx="150">
                  <c:v>59.948224747856791</c:v>
                </c:pt>
                <c:pt idx="151">
                  <c:v>62.50294795122467</c:v>
                </c:pt>
                <c:pt idx="152">
                  <c:v>45.020942946932806</c:v>
                </c:pt>
                <c:pt idx="153">
                  <c:v>59.609736451862602</c:v>
                </c:pt>
                <c:pt idx="154">
                  <c:v>30.296886833053641</c:v>
                </c:pt>
                <c:pt idx="155">
                  <c:v>33.481028091185415</c:v>
                </c:pt>
                <c:pt idx="156">
                  <c:v>53.541326469597358</c:v>
                </c:pt>
                <c:pt idx="157">
                  <c:v>27.958476068634663</c:v>
                </c:pt>
                <c:pt idx="158">
                  <c:v>25.193790711213776</c:v>
                </c:pt>
                <c:pt idx="159">
                  <c:v>51.771583200752779</c:v>
                </c:pt>
                <c:pt idx="160">
                  <c:v>63.696658904633871</c:v>
                </c:pt>
                <c:pt idx="161">
                  <c:v>60.987277782393726</c:v>
                </c:pt>
                <c:pt idx="162">
                  <c:v>49.178714940617262</c:v>
                </c:pt>
                <c:pt idx="163">
                  <c:v>54.9806561149761</c:v>
                </c:pt>
                <c:pt idx="164">
                  <c:v>55.892147707995839</c:v>
                </c:pt>
                <c:pt idx="165">
                  <c:v>59.289590651102628</c:v>
                </c:pt>
                <c:pt idx="166">
                  <c:v>56.183134397954838</c:v>
                </c:pt>
                <c:pt idx="167">
                  <c:v>56.348013022822322</c:v>
                </c:pt>
                <c:pt idx="168">
                  <c:v>59.999261843215166</c:v>
                </c:pt>
                <c:pt idx="169">
                  <c:v>60.479890836151874</c:v>
                </c:pt>
                <c:pt idx="170">
                  <c:v>32.703327258768773</c:v>
                </c:pt>
                <c:pt idx="171">
                  <c:v>22.006994909371219</c:v>
                </c:pt>
                <c:pt idx="172">
                  <c:v>45.653813401087795</c:v>
                </c:pt>
                <c:pt idx="173">
                  <c:v>45.141750528164863</c:v>
                </c:pt>
                <c:pt idx="174">
                  <c:v>48.558745926809578</c:v>
                </c:pt>
                <c:pt idx="175">
                  <c:v>40.451010040268969</c:v>
                </c:pt>
                <c:pt idx="176">
                  <c:v>12.651186472481688</c:v>
                </c:pt>
                <c:pt idx="177">
                  <c:v>18.612265382660457</c:v>
                </c:pt>
                <c:pt idx="178">
                  <c:v>64.409234892499938</c:v>
                </c:pt>
                <c:pt idx="179">
                  <c:v>62.499791646950456</c:v>
                </c:pt>
                <c:pt idx="180">
                  <c:v>15.352663304228434</c:v>
                </c:pt>
                <c:pt idx="181">
                  <c:v>52.084359716849505</c:v>
                </c:pt>
                <c:pt idx="182">
                  <c:v>57.828985443351556</c:v>
                </c:pt>
                <c:pt idx="183">
                  <c:v>53.78098820245885</c:v>
                </c:pt>
                <c:pt idx="184">
                  <c:v>50.06417540230747</c:v>
                </c:pt>
                <c:pt idx="185">
                  <c:v>60.031747043685662</c:v>
                </c:pt>
                <c:pt idx="186">
                  <c:v>44.195565889708462</c:v>
                </c:pt>
                <c:pt idx="187">
                  <c:v>59.576483594851304</c:v>
                </c:pt>
                <c:pt idx="188">
                  <c:v>62.471970719499929</c:v>
                </c:pt>
                <c:pt idx="189">
                  <c:v>61.507776902990472</c:v>
                </c:pt>
                <c:pt idx="190">
                  <c:v>60.861265490947801</c:v>
                </c:pt>
                <c:pt idx="191">
                  <c:v>59.814725721805736</c:v>
                </c:pt>
                <c:pt idx="192">
                  <c:v>58.877625692453776</c:v>
                </c:pt>
                <c:pt idx="193">
                  <c:v>57.710958403069796</c:v>
                </c:pt>
                <c:pt idx="194">
                  <c:v>57.556469474354223</c:v>
                </c:pt>
                <c:pt idx="195">
                  <c:v>55.017256028232048</c:v>
                </c:pt>
                <c:pt idx="196">
                  <c:v>56.1490807915348</c:v>
                </c:pt>
                <c:pt idx="197">
                  <c:v>56.554457833698955</c:v>
                </c:pt>
                <c:pt idx="198">
                  <c:v>58.281072453573948</c:v>
                </c:pt>
                <c:pt idx="199">
                  <c:v>42.809384745463632</c:v>
                </c:pt>
                <c:pt idx="200">
                  <c:v>40.200212249956373</c:v>
                </c:pt>
                <c:pt idx="201">
                  <c:v>55.471590149909538</c:v>
                </c:pt>
                <c:pt idx="202">
                  <c:v>47.643278346960791</c:v>
                </c:pt>
                <c:pt idx="203">
                  <c:v>45.081556857820324</c:v>
                </c:pt>
                <c:pt idx="204">
                  <c:v>54.88708913967421</c:v>
                </c:pt>
                <c:pt idx="205">
                  <c:v>28.955463045845132</c:v>
                </c:pt>
                <c:pt idx="206">
                  <c:v>51.316489007936006</c:v>
                </c:pt>
                <c:pt idx="207">
                  <c:v>58.081543667208457</c:v>
                </c:pt>
                <c:pt idx="208">
                  <c:v>45.634889028417412</c:v>
                </c:pt>
                <c:pt idx="209">
                  <c:v>28.349152724801971</c:v>
                </c:pt>
                <c:pt idx="210">
                  <c:v>46.626769684963186</c:v>
                </c:pt>
                <c:pt idx="211">
                  <c:v>57.099451508695992</c:v>
                </c:pt>
                <c:pt idx="212">
                  <c:v>56.599116093406984</c:v>
                </c:pt>
                <c:pt idx="213">
                  <c:v>56.610274919795579</c:v>
                </c:pt>
                <c:pt idx="214">
                  <c:v>56.208723484764086</c:v>
                </c:pt>
                <c:pt idx="215">
                  <c:v>53.623502641536717</c:v>
                </c:pt>
                <c:pt idx="216">
                  <c:v>42.804412592789632</c:v>
                </c:pt>
                <c:pt idx="217">
                  <c:v>51.074492738165041</c:v>
                </c:pt>
                <c:pt idx="218">
                  <c:v>53.851522689956155</c:v>
                </c:pt>
                <c:pt idx="219">
                  <c:v>55.248018222833124</c:v>
                </c:pt>
                <c:pt idx="220">
                  <c:v>52.67427081206592</c:v>
                </c:pt>
                <c:pt idx="221">
                  <c:v>51.155543450077396</c:v>
                </c:pt>
                <c:pt idx="222">
                  <c:v>48.2784702506383</c:v>
                </c:pt>
                <c:pt idx="223">
                  <c:v>0</c:v>
                </c:pt>
                <c:pt idx="224">
                  <c:v>35.88168729735829</c:v>
                </c:pt>
                <c:pt idx="225">
                  <c:v>35.947818652651492</c:v>
                </c:pt>
                <c:pt idx="226">
                  <c:v>36.356910946381959</c:v>
                </c:pt>
                <c:pt idx="227">
                  <c:v>37.657354277600874</c:v>
                </c:pt>
                <c:pt idx="228">
                  <c:v>26.193733904592825</c:v>
                </c:pt>
                <c:pt idx="229">
                  <c:v>39.967548808003698</c:v>
                </c:pt>
                <c:pt idx="230">
                  <c:v>39.566587671030554</c:v>
                </c:pt>
                <c:pt idx="231">
                  <c:v>51.637202200975779</c:v>
                </c:pt>
                <c:pt idx="232">
                  <c:v>37.26279498340309</c:v>
                </c:pt>
                <c:pt idx="233">
                  <c:v>27.257051998637266</c:v>
                </c:pt>
                <c:pt idx="234">
                  <c:v>46.109925724713349</c:v>
                </c:pt>
                <c:pt idx="235">
                  <c:v>50.08145022785282</c:v>
                </c:pt>
                <c:pt idx="236">
                  <c:v>32.121901619607605</c:v>
                </c:pt>
                <c:pt idx="237">
                  <c:v>37.021558177925918</c:v>
                </c:pt>
                <c:pt idx="238">
                  <c:v>46.671647595033988</c:v>
                </c:pt>
                <c:pt idx="239">
                  <c:v>49.064709380129067</c:v>
                </c:pt>
                <c:pt idx="240">
                  <c:v>34.291002822047652</c:v>
                </c:pt>
                <c:pt idx="241">
                  <c:v>48.123870610320424</c:v>
                </c:pt>
                <c:pt idx="242">
                  <c:v>24.36474569467126</c:v>
                </c:pt>
                <c:pt idx="243">
                  <c:v>41.895995810064314</c:v>
                </c:pt>
                <c:pt idx="244">
                  <c:v>39.602768241370789</c:v>
                </c:pt>
                <c:pt idx="245">
                  <c:v>36.433680758411519</c:v>
                </c:pt>
                <c:pt idx="246">
                  <c:v>47.773055850508506</c:v>
                </c:pt>
                <c:pt idx="247">
                  <c:v>39.976567304584144</c:v>
                </c:pt>
                <c:pt idx="248">
                  <c:v>43.574611729149915</c:v>
                </c:pt>
                <c:pt idx="249">
                  <c:v>35.730627137063593</c:v>
                </c:pt>
                <c:pt idx="250">
                  <c:v>39.740696119917295</c:v>
                </c:pt>
                <c:pt idx="251">
                  <c:v>18.933697357175394</c:v>
                </c:pt>
                <c:pt idx="252">
                  <c:v>44.139446654857529</c:v>
                </c:pt>
                <c:pt idx="253">
                  <c:v>45.664648369264235</c:v>
                </c:pt>
                <c:pt idx="254">
                  <c:v>35.471419559436889</c:v>
                </c:pt>
                <c:pt idx="255">
                  <c:v>13.596786288000047</c:v>
                </c:pt>
                <c:pt idx="256">
                  <c:v>36.536051621353607</c:v>
                </c:pt>
                <c:pt idx="257">
                  <c:v>41.505421023546539</c:v>
                </c:pt>
                <c:pt idx="258">
                  <c:v>27.891215262189363</c:v>
                </c:pt>
                <c:pt idx="259">
                  <c:v>44.78589592033569</c:v>
                </c:pt>
                <c:pt idx="260">
                  <c:v>43.870094681184781</c:v>
                </c:pt>
                <c:pt idx="261">
                  <c:v>44.218013356686249</c:v>
                </c:pt>
                <c:pt idx="262">
                  <c:v>44.568766240103329</c:v>
                </c:pt>
                <c:pt idx="263">
                  <c:v>43.253354138985202</c:v>
                </c:pt>
                <c:pt idx="264">
                  <c:v>42.043455983214649</c:v>
                </c:pt>
                <c:pt idx="265">
                  <c:v>30.80947533327701</c:v>
                </c:pt>
                <c:pt idx="266">
                  <c:v>19.031394771238254</c:v>
                </c:pt>
                <c:pt idx="267">
                  <c:v>30.463079612146149</c:v>
                </c:pt>
                <c:pt idx="268">
                  <c:v>32.855411483085817</c:v>
                </c:pt>
                <c:pt idx="269">
                  <c:v>16.078329750623578</c:v>
                </c:pt>
                <c:pt idx="270">
                  <c:v>18.367760439628579</c:v>
                </c:pt>
                <c:pt idx="271">
                  <c:v>23.77237713970311</c:v>
                </c:pt>
                <c:pt idx="272">
                  <c:v>25.492699719655327</c:v>
                </c:pt>
                <c:pt idx="273">
                  <c:v>34.794473465685599</c:v>
                </c:pt>
                <c:pt idx="274">
                  <c:v>36.184959405786365</c:v>
                </c:pt>
                <c:pt idx="275">
                  <c:v>32.768906565581752</c:v>
                </c:pt>
                <c:pt idx="276">
                  <c:v>38.167056205439472</c:v>
                </c:pt>
                <c:pt idx="277">
                  <c:v>38.416610617042259</c:v>
                </c:pt>
                <c:pt idx="278">
                  <c:v>15.397647909276712</c:v>
                </c:pt>
                <c:pt idx="279">
                  <c:v>29.575646608739145</c:v>
                </c:pt>
                <c:pt idx="280">
                  <c:v>14.9572270302594</c:v>
                </c:pt>
                <c:pt idx="281">
                  <c:v>34.929383939437535</c:v>
                </c:pt>
                <c:pt idx="282">
                  <c:v>30.582233496375764</c:v>
                </c:pt>
                <c:pt idx="283">
                  <c:v>24.595446523463217</c:v>
                </c:pt>
                <c:pt idx="284">
                  <c:v>24.501032133764014</c:v>
                </c:pt>
                <c:pt idx="285">
                  <c:v>22.193200716106663</c:v>
                </c:pt>
                <c:pt idx="286">
                  <c:v>14.916986604911688</c:v>
                </c:pt>
                <c:pt idx="287">
                  <c:v>33.247425589850195</c:v>
                </c:pt>
                <c:pt idx="288">
                  <c:v>29.145827813049987</c:v>
                </c:pt>
                <c:pt idx="289">
                  <c:v>16.42551718134245</c:v>
                </c:pt>
                <c:pt idx="290">
                  <c:v>29.300600076530376</c:v>
                </c:pt>
                <c:pt idx="291">
                  <c:v>16.366712461506506</c:v>
                </c:pt>
                <c:pt idx="292">
                  <c:v>8.6091154180685994</c:v>
                </c:pt>
                <c:pt idx="293">
                  <c:v>16.643304142156673</c:v>
                </c:pt>
                <c:pt idx="294">
                  <c:v>28.525933342925551</c:v>
                </c:pt>
                <c:pt idx="295">
                  <c:v>18.596424456439934</c:v>
                </c:pt>
                <c:pt idx="296">
                  <c:v>24.118378443234377</c:v>
                </c:pt>
                <c:pt idx="297">
                  <c:v>20.264279804297587</c:v>
                </c:pt>
                <c:pt idx="298">
                  <c:v>15.139842526528453</c:v>
                </c:pt>
                <c:pt idx="299">
                  <c:v>14.311589245450524</c:v>
                </c:pt>
                <c:pt idx="300">
                  <c:v>16.456959671011727</c:v>
                </c:pt>
                <c:pt idx="301">
                  <c:v>23.145752391103557</c:v>
                </c:pt>
                <c:pt idx="302">
                  <c:v>20.261315911175792</c:v>
                </c:pt>
                <c:pt idx="303">
                  <c:v>19.428778041138639</c:v>
                </c:pt>
                <c:pt idx="304">
                  <c:v>17.709144628685124</c:v>
                </c:pt>
                <c:pt idx="305">
                  <c:v>24.504211383772073</c:v>
                </c:pt>
                <c:pt idx="306">
                  <c:v>8.8846749722669571</c:v>
                </c:pt>
                <c:pt idx="307">
                  <c:v>12.32382420108385</c:v>
                </c:pt>
                <c:pt idx="308">
                  <c:v>24.820823392320811</c:v>
                </c:pt>
                <c:pt idx="309">
                  <c:v>24.86662150683981</c:v>
                </c:pt>
                <c:pt idx="310">
                  <c:v>24.656264762365193</c:v>
                </c:pt>
                <c:pt idx="311">
                  <c:v>17.83138018706676</c:v>
                </c:pt>
                <c:pt idx="312">
                  <c:v>9.9415385294581675</c:v>
                </c:pt>
                <c:pt idx="313">
                  <c:v>18.071718925510588</c:v>
                </c:pt>
                <c:pt idx="314">
                  <c:v>21.493900135493</c:v>
                </c:pt>
                <c:pt idx="315">
                  <c:v>21.617915708057936</c:v>
                </c:pt>
                <c:pt idx="316">
                  <c:v>20.581748946168016</c:v>
                </c:pt>
                <c:pt idx="317">
                  <c:v>11.120776323761339</c:v>
                </c:pt>
                <c:pt idx="318">
                  <c:v>12.626260345832142</c:v>
                </c:pt>
                <c:pt idx="319">
                  <c:v>21.088225829935713</c:v>
                </c:pt>
                <c:pt idx="320">
                  <c:v>13.862132431022596</c:v>
                </c:pt>
                <c:pt idx="321">
                  <c:v>11.490435704789689</c:v>
                </c:pt>
                <c:pt idx="322">
                  <c:v>8.2465068444115666</c:v>
                </c:pt>
                <c:pt idx="323">
                  <c:v>14.845611925677106</c:v>
                </c:pt>
                <c:pt idx="324">
                  <c:v>3.380914930762176</c:v>
                </c:pt>
                <c:pt idx="325">
                  <c:v>9.487167126648643</c:v>
                </c:pt>
                <c:pt idx="326">
                  <c:v>12.653623238107384</c:v>
                </c:pt>
                <c:pt idx="327">
                  <c:v>11.765222182711163</c:v>
                </c:pt>
                <c:pt idx="328">
                  <c:v>4.7751957438950745</c:v>
                </c:pt>
                <c:pt idx="329">
                  <c:v>9.5500192243576496</c:v>
                </c:pt>
                <c:pt idx="330">
                  <c:v>13.65352402665831</c:v>
                </c:pt>
                <c:pt idx="331">
                  <c:v>9.3238627622106147</c:v>
                </c:pt>
                <c:pt idx="332">
                  <c:v>10.334412713268065</c:v>
                </c:pt>
                <c:pt idx="333">
                  <c:v>4.4273355487412358</c:v>
                </c:pt>
                <c:pt idx="334">
                  <c:v>4.1781436160524663</c:v>
                </c:pt>
                <c:pt idx="335">
                  <c:v>5.3311844144499405</c:v>
                </c:pt>
                <c:pt idx="336">
                  <c:v>9.5876822383591325</c:v>
                </c:pt>
                <c:pt idx="337">
                  <c:v>12.820149130515436</c:v>
                </c:pt>
                <c:pt idx="338">
                  <c:v>17.76586093019737</c:v>
                </c:pt>
                <c:pt idx="339">
                  <c:v>11.604646933105348</c:v>
                </c:pt>
                <c:pt idx="340">
                  <c:v>14.235422132655444</c:v>
                </c:pt>
                <c:pt idx="341">
                  <c:v>4.5860839440789656</c:v>
                </c:pt>
                <c:pt idx="342">
                  <c:v>7.6355920482724926</c:v>
                </c:pt>
                <c:pt idx="343">
                  <c:v>11.118649121390934</c:v>
                </c:pt>
                <c:pt idx="344">
                  <c:v>12.642917603994999</c:v>
                </c:pt>
                <c:pt idx="345">
                  <c:v>5.7887643553663803</c:v>
                </c:pt>
                <c:pt idx="346">
                  <c:v>5.4530077605479326</c:v>
                </c:pt>
                <c:pt idx="347">
                  <c:v>12.417382273704531</c:v>
                </c:pt>
                <c:pt idx="348">
                  <c:v>6.6319515598408447</c:v>
                </c:pt>
                <c:pt idx="349">
                  <c:v>5.5656150728059108</c:v>
                </c:pt>
                <c:pt idx="350">
                  <c:v>3.5936403115048923</c:v>
                </c:pt>
                <c:pt idx="351">
                  <c:v>14.461765064230274</c:v>
                </c:pt>
                <c:pt idx="352">
                  <c:v>13.846445757143266</c:v>
                </c:pt>
                <c:pt idx="353">
                  <c:v>4.1800570837305715</c:v>
                </c:pt>
                <c:pt idx="354">
                  <c:v>14.82349322942912</c:v>
                </c:pt>
                <c:pt idx="355">
                  <c:v>14.756675043834758</c:v>
                </c:pt>
                <c:pt idx="356">
                  <c:v>14.479532586902705</c:v>
                </c:pt>
                <c:pt idx="357">
                  <c:v>15.666716410339674</c:v>
                </c:pt>
                <c:pt idx="358">
                  <c:v>8.6881627489971329</c:v>
                </c:pt>
                <c:pt idx="359">
                  <c:v>14.520426052832802</c:v>
                </c:pt>
                <c:pt idx="360">
                  <c:v>6.2496665002092628</c:v>
                </c:pt>
                <c:pt idx="361">
                  <c:v>12.801808969955337</c:v>
                </c:pt>
                <c:pt idx="362">
                  <c:v>9.7550799326869058</c:v>
                </c:pt>
                <c:pt idx="363">
                  <c:v>11.689296964265875</c:v>
                </c:pt>
                <c:pt idx="364">
                  <c:v>10.630244774053772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5432"/>
        <c:axId val="232815824"/>
      </c:lineChart>
      <c:dateAx>
        <c:axId val="232815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5824"/>
        <c:crosses val="autoZero"/>
        <c:auto val="1"/>
        <c:lblOffset val="100"/>
        <c:baseTimeUnit val="days"/>
        <c:majorUnit val="1"/>
        <c:majorTimeUnit val="months"/>
      </c:dateAx>
      <c:valAx>
        <c:axId val="2328158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54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2.0337907313921932E-2</c:v>
                </c:pt>
                <c:pt idx="1">
                  <c:v>2.0351318065288004E-2</c:v>
                </c:pt>
                <c:pt idx="2">
                  <c:v>2.036472863307226E-2</c:v>
                </c:pt>
                <c:pt idx="3">
                  <c:v>2.037813901727703E-2</c:v>
                </c:pt>
                <c:pt idx="4">
                  <c:v>2.039154921790487E-2</c:v>
                </c:pt>
                <c:pt idx="5">
                  <c:v>2.0404959234958442E-2</c:v>
                </c:pt>
                <c:pt idx="6">
                  <c:v>2.0418369068440079E-2</c:v>
                </c:pt>
                <c:pt idx="7">
                  <c:v>2.0431778718352334E-2</c:v>
                </c:pt>
                <c:pt idx="8">
                  <c:v>2.044518818469776E-2</c:v>
                </c:pt>
                <c:pt idx="9">
                  <c:v>2.0458597467478801E-2</c:v>
                </c:pt>
                <c:pt idx="10">
                  <c:v>2.047200656669812E-2</c:v>
                </c:pt>
                <c:pt idx="11">
                  <c:v>2.0485415482358049E-2</c:v>
                </c:pt>
                <c:pt idx="12">
                  <c:v>2.0498824214461253E-2</c:v>
                </c:pt>
                <c:pt idx="13">
                  <c:v>2.0512232763010063E-2</c:v>
                </c:pt>
                <c:pt idx="14">
                  <c:v>2.0525641128007255E-2</c:v>
                </c:pt>
                <c:pt idx="15">
                  <c:v>2.0539049309455049E-2</c:v>
                </c:pt>
                <c:pt idx="16">
                  <c:v>2.055245730735622E-2</c:v>
                </c:pt>
                <c:pt idx="17">
                  <c:v>2.0565865121713101E-2</c:v>
                </c:pt>
                <c:pt idx="18">
                  <c:v>2.0579272752528244E-2</c:v>
                </c:pt>
                <c:pt idx="19">
                  <c:v>2.0592680199804203E-2</c:v>
                </c:pt>
                <c:pt idx="20">
                  <c:v>2.0606087463543421E-2</c:v>
                </c:pt>
                <c:pt idx="21">
                  <c:v>2.0619494543748562E-2</c:v>
                </c:pt>
                <c:pt idx="22">
                  <c:v>2.0632901440421958E-2</c:v>
                </c:pt>
                <c:pt idx="23">
                  <c:v>2.0646308153566162E-2</c:v>
                </c:pt>
                <c:pt idx="24">
                  <c:v>2.0659714683183839E-2</c:v>
                </c:pt>
                <c:pt idx="25">
                  <c:v>2.0673121029277319E-2</c:v>
                </c:pt>
                <c:pt idx="26">
                  <c:v>2.0686527191849158E-2</c:v>
                </c:pt>
                <c:pt idx="27">
                  <c:v>2.0699933170901907E-2</c:v>
                </c:pt>
                <c:pt idx="28">
                  <c:v>2.0713338966438011E-2</c:v>
                </c:pt>
                <c:pt idx="29">
                  <c:v>2.0726744578460132E-2</c:v>
                </c:pt>
                <c:pt idx="30">
                  <c:v>2.0740150006970604E-2</c:v>
                </c:pt>
                <c:pt idx="31">
                  <c:v>2.0753555251972089E-2</c:v>
                </c:pt>
                <c:pt idx="32">
                  <c:v>2.076696031346692E-2</c:v>
                </c:pt>
                <c:pt idx="33">
                  <c:v>2.0780365191457761E-2</c:v>
                </c:pt>
                <c:pt idx="34">
                  <c:v>2.0793769885947166E-2</c:v>
                </c:pt>
                <c:pt idx="35">
                  <c:v>2.0807174396937467E-2</c:v>
                </c:pt>
                <c:pt idx="36">
                  <c:v>2.0820578724431327E-2</c:v>
                </c:pt>
                <c:pt idx="37">
                  <c:v>2.0833982868431078E-2</c:v>
                </c:pt>
                <c:pt idx="38">
                  <c:v>2.0847386828939496E-2</c:v>
                </c:pt>
                <c:pt idx="39">
                  <c:v>2.0860790605958912E-2</c:v>
                </c:pt>
                <c:pt idx="40">
                  <c:v>2.087419419949188E-2</c:v>
                </c:pt>
                <c:pt idx="41">
                  <c:v>2.0887597609540842E-2</c:v>
                </c:pt>
                <c:pt idx="42">
                  <c:v>2.0901000836108463E-2</c:v>
                </c:pt>
                <c:pt idx="43">
                  <c:v>2.0914403879197074E-2</c:v>
                </c:pt>
                <c:pt idx="44">
                  <c:v>2.092780673880934E-2</c:v>
                </c:pt>
                <c:pt idx="45">
                  <c:v>2.0941209414947703E-2</c:v>
                </c:pt>
                <c:pt idx="46">
                  <c:v>2.0954611907614717E-2</c:v>
                </c:pt>
                <c:pt idx="47">
                  <c:v>2.0968014216812825E-2</c:v>
                </c:pt>
                <c:pt idx="48">
                  <c:v>2.0981416342544579E-2</c:v>
                </c:pt>
                <c:pt idx="49">
                  <c:v>2.0994818284812533E-2</c:v>
                </c:pt>
                <c:pt idx="50">
                  <c:v>2.100822004361913E-2</c:v>
                </c:pt>
                <c:pt idx="51">
                  <c:v>2.1021621618966813E-2</c:v>
                </c:pt>
                <c:pt idx="52">
                  <c:v>2.1035023010858245E-2</c:v>
                </c:pt>
                <c:pt idx="53">
                  <c:v>2.104842421929598E-2</c:v>
                </c:pt>
                <c:pt idx="54">
                  <c:v>2.106182524428224E-2</c:v>
                </c:pt>
                <c:pt idx="55">
                  <c:v>2.1075226085819798E-2</c:v>
                </c:pt>
                <c:pt idx="56">
                  <c:v>2.108862674391121E-2</c:v>
                </c:pt>
                <c:pt idx="57">
                  <c:v>2.1102027218558694E-2</c:v>
                </c:pt>
                <c:pt idx="58">
                  <c:v>2.1115427509765028E-2</c:v>
                </c:pt>
                <c:pt idx="59">
                  <c:v>2.1128827617532542E-2</c:v>
                </c:pt>
                <c:pt idx="60">
                  <c:v>2.1142227541863901E-2</c:v>
                </c:pt>
                <c:pt idx="61">
                  <c:v>2.1155627282761547E-2</c:v>
                </c:pt>
                <c:pt idx="62">
                  <c:v>2.1169026840228033E-2</c:v>
                </c:pt>
                <c:pt idx="63">
                  <c:v>2.1182426214265804E-2</c:v>
                </c:pt>
                <c:pt idx="64">
                  <c:v>2.11958254048773E-2</c:v>
                </c:pt>
                <c:pt idx="65">
                  <c:v>2.1209224412065186E-2</c:v>
                </c:pt>
                <c:pt idx="66">
                  <c:v>2.1222623235832017E-2</c:v>
                </c:pt>
                <c:pt idx="67">
                  <c:v>2.1236021876180122E-2</c:v>
                </c:pt>
                <c:pt idx="68">
                  <c:v>2.1249420333112057E-2</c:v>
                </c:pt>
                <c:pt idx="69">
                  <c:v>2.1262818606630374E-2</c:v>
                </c:pt>
                <c:pt idx="70">
                  <c:v>2.1276216696737626E-2</c:v>
                </c:pt>
                <c:pt idx="71">
                  <c:v>2.1289614603436258E-2</c:v>
                </c:pt>
                <c:pt idx="72">
                  <c:v>2.130301232672871E-2</c:v>
                </c:pt>
                <c:pt idx="73">
                  <c:v>2.1316409866617758E-2</c:v>
                </c:pt>
                <c:pt idx="74">
                  <c:v>2.1329807223105623E-2</c:v>
                </c:pt>
                <c:pt idx="75">
                  <c:v>2.134320439619497E-2</c:v>
                </c:pt>
                <c:pt idx="76">
                  <c:v>2.1356601385888241E-2</c:v>
                </c:pt>
                <c:pt idx="77">
                  <c:v>2.1369998192187878E-2</c:v>
                </c:pt>
                <c:pt idx="78">
                  <c:v>2.1383394815096657E-2</c:v>
                </c:pt>
                <c:pt idx="79">
                  <c:v>2.1396791254616798E-2</c:v>
                </c:pt>
                <c:pt idx="80">
                  <c:v>2.1410187510750966E-2</c:v>
                </c:pt>
                <c:pt idx="81">
                  <c:v>2.1423583583501715E-2</c:v>
                </c:pt>
                <c:pt idx="82">
                  <c:v>2.1436979472871376E-2</c:v>
                </c:pt>
                <c:pt idx="83">
                  <c:v>2.1450375178862613E-2</c:v>
                </c:pt>
                <c:pt idx="84">
                  <c:v>2.1463770701477869E-2</c:v>
                </c:pt>
                <c:pt idx="85">
                  <c:v>2.1477166040719697E-2</c:v>
                </c:pt>
                <c:pt idx="86">
                  <c:v>2.1490561196590541E-2</c:v>
                </c:pt>
                <c:pt idx="87">
                  <c:v>2.1503956169092953E-2</c:v>
                </c:pt>
                <c:pt idx="88">
                  <c:v>2.1517350958229486E-2</c:v>
                </c:pt>
                <c:pt idx="89">
                  <c:v>2.1530745564002585E-2</c:v>
                </c:pt>
                <c:pt idx="90">
                  <c:v>2.154413998641469E-2</c:v>
                </c:pt>
                <c:pt idx="91">
                  <c:v>2.1557534225468467E-2</c:v>
                </c:pt>
                <c:pt idx="92">
                  <c:v>2.1570928281166357E-2</c:v>
                </c:pt>
                <c:pt idx="93">
                  <c:v>2.1584322153510915E-2</c:v>
                </c:pt>
                <c:pt idx="94">
                  <c:v>2.1597715842504583E-2</c:v>
                </c:pt>
                <c:pt idx="95">
                  <c:v>2.1611109348149915E-2</c:v>
                </c:pt>
                <c:pt idx="96">
                  <c:v>2.1624502670449353E-2</c:v>
                </c:pt>
                <c:pt idx="97">
                  <c:v>2.163789580940545E-2</c:v>
                </c:pt>
                <c:pt idx="98">
                  <c:v>2.165128876502076E-2</c:v>
                </c:pt>
                <c:pt idx="99">
                  <c:v>2.1664681537297725E-2</c:v>
                </c:pt>
                <c:pt idx="100">
                  <c:v>2.16780741262389E-2</c:v>
                </c:pt>
                <c:pt idx="101">
                  <c:v>2.1691466531846837E-2</c:v>
                </c:pt>
                <c:pt idx="102">
                  <c:v>2.1704858754123868E-2</c:v>
                </c:pt>
                <c:pt idx="103">
                  <c:v>2.1718250793072658E-2</c:v>
                </c:pt>
                <c:pt idx="104">
                  <c:v>2.1731642648695759E-2</c:v>
                </c:pt>
                <c:pt idx="105">
                  <c:v>2.1745034320995504E-2</c:v>
                </c:pt>
                <c:pt idx="106">
                  <c:v>2.1758425809974558E-2</c:v>
                </c:pt>
                <c:pt idx="107">
                  <c:v>2.1771817115635361E-2</c:v>
                </c:pt>
                <c:pt idx="108">
                  <c:v>2.1785208237980469E-2</c:v>
                </c:pt>
                <c:pt idx="109">
                  <c:v>2.1798599177012323E-2</c:v>
                </c:pt>
                <c:pt idx="110">
                  <c:v>2.1811989932733478E-2</c:v>
                </c:pt>
                <c:pt idx="111">
                  <c:v>2.1825380505146486E-2</c:v>
                </c:pt>
                <c:pt idx="112">
                  <c:v>2.1838770894253678E-2</c:v>
                </c:pt>
                <c:pt idx="113">
                  <c:v>2.1852161100057721E-2</c:v>
                </c:pt>
                <c:pt idx="114">
                  <c:v>2.1865551122561167E-2</c:v>
                </c:pt>
                <c:pt idx="115">
                  <c:v>2.1878940961766347E-2</c:v>
                </c:pt>
                <c:pt idx="116">
                  <c:v>2.1892330617675926E-2</c:v>
                </c:pt>
                <c:pt idx="117">
                  <c:v>2.1905720090292458E-2</c:v>
                </c:pt>
                <c:pt idx="118">
                  <c:v>2.1919109379618273E-2</c:v>
                </c:pt>
                <c:pt idx="119">
                  <c:v>2.1932498485655927E-2</c:v>
                </c:pt>
                <c:pt idx="120">
                  <c:v>2.1945887408407971E-2</c:v>
                </c:pt>
                <c:pt idx="121">
                  <c:v>2.1959276147876849E-2</c:v>
                </c:pt>
                <c:pt idx="122">
                  <c:v>2.1972664704065226E-2</c:v>
                </c:pt>
                <c:pt idx="123">
                  <c:v>2.1986053076975542E-2</c:v>
                </c:pt>
                <c:pt idx="124">
                  <c:v>2.1999441266610131E-2</c:v>
                </c:pt>
                <c:pt idx="125">
                  <c:v>2.2012829272971768E-2</c:v>
                </c:pt>
                <c:pt idx="126">
                  <c:v>2.2026217096062783E-2</c:v>
                </c:pt>
                <c:pt idx="127">
                  <c:v>2.2039604735885843E-2</c:v>
                </c:pt>
                <c:pt idx="128">
                  <c:v>2.2052992192443277E-2</c:v>
                </c:pt>
                <c:pt idx="129">
                  <c:v>2.206637946573764E-2</c:v>
                </c:pt>
                <c:pt idx="130">
                  <c:v>2.2079766555771485E-2</c:v>
                </c:pt>
                <c:pt idx="131">
                  <c:v>2.2093153462547366E-2</c:v>
                </c:pt>
                <c:pt idx="132">
                  <c:v>2.2106540186067725E-2</c:v>
                </c:pt>
                <c:pt idx="133">
                  <c:v>2.2119926726335004E-2</c:v>
                </c:pt>
                <c:pt idx="134">
                  <c:v>2.2133313083351869E-2</c:v>
                </c:pt>
                <c:pt idx="135">
                  <c:v>2.214669925712065E-2</c:v>
                </c:pt>
                <c:pt idx="136">
                  <c:v>2.2160085247644012E-2</c:v>
                </c:pt>
                <c:pt idx="137">
                  <c:v>2.217347105492451E-2</c:v>
                </c:pt>
                <c:pt idx="138">
                  <c:v>2.2186856678964362E-2</c:v>
                </c:pt>
                <c:pt idx="139">
                  <c:v>2.2200242119766345E-2</c:v>
                </c:pt>
                <c:pt idx="140">
                  <c:v>2.2213627377332901E-2</c:v>
                </c:pt>
                <c:pt idx="141">
                  <c:v>2.2227012451666583E-2</c:v>
                </c:pt>
                <c:pt idx="142">
                  <c:v>2.2240397342769724E-2</c:v>
                </c:pt>
                <c:pt idx="143">
                  <c:v>2.2253782050644988E-2</c:v>
                </c:pt>
                <c:pt idx="144">
                  <c:v>2.2267166575294817E-2</c:v>
                </c:pt>
                <c:pt idx="145">
                  <c:v>2.2280550916721764E-2</c:v>
                </c:pt>
                <c:pt idx="146">
                  <c:v>2.2293935074928384E-2</c:v>
                </c:pt>
                <c:pt idx="147">
                  <c:v>2.2307319049917007E-2</c:v>
                </c:pt>
                <c:pt idx="148">
                  <c:v>2.2320702841690299E-2</c:v>
                </c:pt>
                <c:pt idx="149">
                  <c:v>2.2334086450250701E-2</c:v>
                </c:pt>
                <c:pt idx="150">
                  <c:v>2.2347469875600767E-2</c:v>
                </c:pt>
                <c:pt idx="151">
                  <c:v>2.2360853117743051E-2</c:v>
                </c:pt>
                <c:pt idx="152">
                  <c:v>2.2374236176679885E-2</c:v>
                </c:pt>
                <c:pt idx="153">
                  <c:v>2.2387619052413932E-2</c:v>
                </c:pt>
                <c:pt idx="154">
                  <c:v>2.2401001744947524E-2</c:v>
                </c:pt>
                <c:pt idx="155">
                  <c:v>2.2414384254283437E-2</c:v>
                </c:pt>
                <c:pt idx="156">
                  <c:v>2.2427766580424002E-2</c:v>
                </c:pt>
                <c:pt idx="157">
                  <c:v>2.2441148723371773E-2</c:v>
                </c:pt>
                <c:pt idx="158">
                  <c:v>2.2454530683129192E-2</c:v>
                </c:pt>
                <c:pt idx="159">
                  <c:v>2.2467912459698813E-2</c:v>
                </c:pt>
                <c:pt idx="160">
                  <c:v>2.248129405308319E-2</c:v>
                </c:pt>
                <c:pt idx="161">
                  <c:v>2.2494675463284763E-2</c:v>
                </c:pt>
                <c:pt idx="162">
                  <c:v>2.2508056690306089E-2</c:v>
                </c:pt>
                <c:pt idx="163">
                  <c:v>2.2521437734149719E-2</c:v>
                </c:pt>
                <c:pt idx="164">
                  <c:v>2.2534818594817985E-2</c:v>
                </c:pt>
                <c:pt idx="165">
                  <c:v>2.2548199272313552E-2</c:v>
                </c:pt>
                <c:pt idx="166">
                  <c:v>2.2561579766638862E-2</c:v>
                </c:pt>
                <c:pt idx="167">
                  <c:v>2.2574960077796469E-2</c:v>
                </c:pt>
                <c:pt idx="168">
                  <c:v>2.2588340205788926E-2</c:v>
                </c:pt>
                <c:pt idx="169">
                  <c:v>2.2601720150618565E-2</c:v>
                </c:pt>
                <c:pt idx="170">
                  <c:v>2.2615099912287939E-2</c:v>
                </c:pt>
                <c:pt idx="171">
                  <c:v>2.2628479490799713E-2</c:v>
                </c:pt>
                <c:pt idx="172">
                  <c:v>2.264185888615633E-2</c:v>
                </c:pt>
                <c:pt idx="173">
                  <c:v>2.265523809836012E-2</c:v>
                </c:pt>
                <c:pt idx="174">
                  <c:v>2.2668617127413859E-2</c:v>
                </c:pt>
                <c:pt idx="175">
                  <c:v>2.2681995973319879E-2</c:v>
                </c:pt>
                <c:pt idx="176">
                  <c:v>2.2695374636080734E-2</c:v>
                </c:pt>
                <c:pt idx="177">
                  <c:v>2.2708753115698865E-2</c:v>
                </c:pt>
                <c:pt idx="178">
                  <c:v>2.2722131412176938E-2</c:v>
                </c:pt>
                <c:pt idx="179">
                  <c:v>2.2735509525517283E-2</c:v>
                </c:pt>
                <c:pt idx="180">
                  <c:v>2.2748887455722566E-2</c:v>
                </c:pt>
                <c:pt idx="181">
                  <c:v>2.2762265202795229E-2</c:v>
                </c:pt>
                <c:pt idx="182">
                  <c:v>2.2775642766737714E-2</c:v>
                </c:pt>
                <c:pt idx="183">
                  <c:v>2.2789020147552574E-2</c:v>
                </c:pt>
                <c:pt idx="184">
                  <c:v>2.2802397345242365E-2</c:v>
                </c:pt>
                <c:pt idx="185">
                  <c:v>2.2815774359809526E-2</c:v>
                </c:pt>
                <c:pt idx="186">
                  <c:v>2.2829151191256614E-2</c:v>
                </c:pt>
                <c:pt idx="187">
                  <c:v>2.284252783958618E-2</c:v>
                </c:pt>
                <c:pt idx="188">
                  <c:v>2.2855904304800556E-2</c:v>
                </c:pt>
                <c:pt idx="189">
                  <c:v>2.2869280586902407E-2</c:v>
                </c:pt>
                <c:pt idx="190">
                  <c:v>2.2882656685894176E-2</c:v>
                </c:pt>
                <c:pt idx="191">
                  <c:v>2.2896032601778304E-2</c:v>
                </c:pt>
                <c:pt idx="192">
                  <c:v>2.2909408334557457E-2</c:v>
                </c:pt>
                <c:pt idx="193">
                  <c:v>2.2922783884234077E-2</c:v>
                </c:pt>
                <c:pt idx="194">
                  <c:v>2.2936159250810606E-2</c:v>
                </c:pt>
                <c:pt idx="195">
                  <c:v>2.2949534434289709E-2</c:v>
                </c:pt>
                <c:pt idx="196">
                  <c:v>2.2962909434673606E-2</c:v>
                </c:pt>
                <c:pt idx="197">
                  <c:v>2.2976284251965073E-2</c:v>
                </c:pt>
                <c:pt idx="198">
                  <c:v>2.2989658886166553E-2</c:v>
                </c:pt>
                <c:pt idx="199">
                  <c:v>2.3003033337280487E-2</c:v>
                </c:pt>
                <c:pt idx="200">
                  <c:v>2.301640760530943E-2</c:v>
                </c:pt>
                <c:pt idx="201">
                  <c:v>2.3029781690255824E-2</c:v>
                </c:pt>
                <c:pt idx="202">
                  <c:v>2.3043155592122333E-2</c:v>
                </c:pt>
                <c:pt idx="203">
                  <c:v>2.3056529310911289E-2</c:v>
                </c:pt>
                <c:pt idx="204">
                  <c:v>2.3069902846625245E-2</c:v>
                </c:pt>
                <c:pt idx="205">
                  <c:v>2.3083276199266756E-2</c:v>
                </c:pt>
                <c:pt idx="206">
                  <c:v>2.3096649368838262E-2</c:v>
                </c:pt>
                <c:pt idx="207">
                  <c:v>2.3110022355342319E-2</c:v>
                </c:pt>
                <c:pt idx="208">
                  <c:v>2.3123395158781479E-2</c:v>
                </c:pt>
                <c:pt idx="209">
                  <c:v>2.3136767779158185E-2</c:v>
                </c:pt>
                <c:pt idx="210">
                  <c:v>2.3150140216474879E-2</c:v>
                </c:pt>
                <c:pt idx="211">
                  <c:v>2.3163512470734116E-2</c:v>
                </c:pt>
                <c:pt idx="212">
                  <c:v>2.3176884541938558E-2</c:v>
                </c:pt>
                <c:pt idx="213">
                  <c:v>2.3190256430090428E-2</c:v>
                </c:pt>
                <c:pt idx="214">
                  <c:v>2.32036281351925E-2</c:v>
                </c:pt>
                <c:pt idx="215">
                  <c:v>2.3216999657247106E-2</c:v>
                </c:pt>
                <c:pt idx="216">
                  <c:v>2.3230370996256799E-2</c:v>
                </c:pt>
                <c:pt idx="217">
                  <c:v>2.3243742152224023E-2</c:v>
                </c:pt>
                <c:pt idx="218">
                  <c:v>2.3257113125151441E-2</c:v>
                </c:pt>
                <c:pt idx="219">
                  <c:v>2.3270483915041384E-2</c:v>
                </c:pt>
                <c:pt idx="220">
                  <c:v>2.3283854521896519E-2</c:v>
                </c:pt>
                <c:pt idx="221">
                  <c:v>2.3297224945719286E-2</c:v>
                </c:pt>
                <c:pt idx="222">
                  <c:v>2.3310595186512129E-2</c:v>
                </c:pt>
                <c:pt idx="223">
                  <c:v>2.33239652442776E-2</c:v>
                </c:pt>
                <c:pt idx="224">
                  <c:v>2.3337335119018254E-2</c:v>
                </c:pt>
                <c:pt idx="225">
                  <c:v>2.3350704810736533E-2</c:v>
                </c:pt>
                <c:pt idx="226">
                  <c:v>2.3364074319434991E-2</c:v>
                </c:pt>
                <c:pt idx="227">
                  <c:v>2.3377443645116069E-2</c:v>
                </c:pt>
                <c:pt idx="228">
                  <c:v>2.3390812787782322E-2</c:v>
                </c:pt>
                <c:pt idx="229">
                  <c:v>2.3404181747436192E-2</c:v>
                </c:pt>
                <c:pt idx="230">
                  <c:v>2.3417550524080233E-2</c:v>
                </c:pt>
                <c:pt idx="231">
                  <c:v>2.3430919117716997E-2</c:v>
                </c:pt>
                <c:pt idx="232">
                  <c:v>2.3444287528348928E-2</c:v>
                </c:pt>
                <c:pt idx="233">
                  <c:v>2.3457655755978468E-2</c:v>
                </c:pt>
                <c:pt idx="234">
                  <c:v>2.3471023800608282E-2</c:v>
                </c:pt>
                <c:pt idx="235">
                  <c:v>2.3484391662240811E-2</c:v>
                </c:pt>
                <c:pt idx="236">
                  <c:v>2.3497759340878499E-2</c:v>
                </c:pt>
                <c:pt idx="237">
                  <c:v>2.3511126836523899E-2</c:v>
                </c:pt>
                <c:pt idx="238">
                  <c:v>2.3524494149179453E-2</c:v>
                </c:pt>
                <c:pt idx="239">
                  <c:v>2.3537861278847827E-2</c:v>
                </c:pt>
                <c:pt idx="240">
                  <c:v>2.3551228225531351E-2</c:v>
                </c:pt>
                <c:pt idx="241">
                  <c:v>2.3564594989232579E-2</c:v>
                </c:pt>
                <c:pt idx="242">
                  <c:v>2.3577961569954065E-2</c:v>
                </c:pt>
                <c:pt idx="243">
                  <c:v>2.3591327967698361E-2</c:v>
                </c:pt>
                <c:pt idx="244">
                  <c:v>2.36046941824678E-2</c:v>
                </c:pt>
                <c:pt idx="245">
                  <c:v>2.3618060214265046E-2</c:v>
                </c:pt>
                <c:pt idx="246">
                  <c:v>2.3631426063092431E-2</c:v>
                </c:pt>
                <c:pt idx="247">
                  <c:v>2.364479172895273E-2</c:v>
                </c:pt>
                <c:pt idx="248">
                  <c:v>2.3658157211848163E-2</c:v>
                </c:pt>
                <c:pt idx="249">
                  <c:v>2.3671522511781395E-2</c:v>
                </c:pt>
                <c:pt idx="250">
                  <c:v>2.3684887628754869E-2</c:v>
                </c:pt>
                <c:pt idx="251">
                  <c:v>2.3698252562771138E-2</c:v>
                </c:pt>
                <c:pt idx="252">
                  <c:v>2.3711617313832756E-2</c:v>
                </c:pt>
                <c:pt idx="253">
                  <c:v>2.3724981881942053E-2</c:v>
                </c:pt>
                <c:pt idx="254">
                  <c:v>2.3738346267101695E-2</c:v>
                </c:pt>
                <c:pt idx="255">
                  <c:v>2.3751710469314125E-2</c:v>
                </c:pt>
                <c:pt idx="256">
                  <c:v>2.3765074488581783E-2</c:v>
                </c:pt>
                <c:pt idx="257">
                  <c:v>2.3778438324907336E-2</c:v>
                </c:pt>
                <c:pt idx="258">
                  <c:v>2.3791801978293114E-2</c:v>
                </c:pt>
                <c:pt idx="259">
                  <c:v>2.3805165448741672E-2</c:v>
                </c:pt>
                <c:pt idx="260">
                  <c:v>2.3818528736255673E-2</c:v>
                </c:pt>
                <c:pt idx="261">
                  <c:v>2.3831891840837338E-2</c:v>
                </c:pt>
                <c:pt idx="262">
                  <c:v>2.3845254762489443E-2</c:v>
                </c:pt>
                <c:pt idx="263">
                  <c:v>2.3858617501214319E-2</c:v>
                </c:pt>
                <c:pt idx="264">
                  <c:v>2.3871980057014519E-2</c:v>
                </c:pt>
                <c:pt idx="265">
                  <c:v>2.3885342429892598E-2</c:v>
                </c:pt>
                <c:pt idx="266">
                  <c:v>2.3898704619850997E-2</c:v>
                </c:pt>
                <c:pt idx="267">
                  <c:v>2.3912066626892159E-2</c:v>
                </c:pt>
                <c:pt idx="268">
                  <c:v>2.3925428451018749E-2</c:v>
                </c:pt>
                <c:pt idx="269">
                  <c:v>2.3938790092233209E-2</c:v>
                </c:pt>
                <c:pt idx="270">
                  <c:v>2.3952151550537981E-2</c:v>
                </c:pt>
                <c:pt idx="271">
                  <c:v>2.396551282593562E-2</c:v>
                </c:pt>
                <c:pt idx="272">
                  <c:v>2.3978873918428567E-2</c:v>
                </c:pt>
                <c:pt idx="273">
                  <c:v>2.3992234828019376E-2</c:v>
                </c:pt>
                <c:pt idx="274">
                  <c:v>2.4005595554710601E-2</c:v>
                </c:pt>
                <c:pt idx="275">
                  <c:v>2.4018956098504685E-2</c:v>
                </c:pt>
                <c:pt idx="276">
                  <c:v>2.4032316459404179E-2</c:v>
                </c:pt>
                <c:pt idx="277">
                  <c:v>2.4045676637411528E-2</c:v>
                </c:pt>
                <c:pt idx="278">
                  <c:v>2.4059036632529285E-2</c:v>
                </c:pt>
                <c:pt idx="279">
                  <c:v>2.4072396444759891E-2</c:v>
                </c:pt>
                <c:pt idx="280">
                  <c:v>2.4085756074105902E-2</c:v>
                </c:pt>
                <c:pt idx="281">
                  <c:v>2.4099115520569758E-2</c:v>
                </c:pt>
                <c:pt idx="282">
                  <c:v>2.4112474784154014E-2</c:v>
                </c:pt>
                <c:pt idx="283">
                  <c:v>2.4125833864861224E-2</c:v>
                </c:pt>
                <c:pt idx="284">
                  <c:v>2.4139192762693829E-2</c:v>
                </c:pt>
                <c:pt idx="285">
                  <c:v>2.4152551477654272E-2</c:v>
                </c:pt>
                <c:pt idx="286">
                  <c:v>2.4165910009745217E-2</c:v>
                </c:pt>
                <c:pt idx="287">
                  <c:v>2.4179268358969108E-2</c:v>
                </c:pt>
                <c:pt idx="288">
                  <c:v>2.4192626525328276E-2</c:v>
                </c:pt>
                <c:pt idx="289">
                  <c:v>2.4205984508825495E-2</c:v>
                </c:pt>
                <c:pt idx="290">
                  <c:v>2.4219342309463099E-2</c:v>
                </c:pt>
                <c:pt idx="291">
                  <c:v>2.4232699927243528E-2</c:v>
                </c:pt>
                <c:pt idx="292">
                  <c:v>2.4246057362169449E-2</c:v>
                </c:pt>
                <c:pt idx="293">
                  <c:v>2.4259414614243413E-2</c:v>
                </c:pt>
                <c:pt idx="294">
                  <c:v>2.4272771683467642E-2</c:v>
                </c:pt>
                <c:pt idx="295">
                  <c:v>2.4286128569844911E-2</c:v>
                </c:pt>
                <c:pt idx="296">
                  <c:v>2.4299485273377663E-2</c:v>
                </c:pt>
                <c:pt idx="297">
                  <c:v>2.431284179406823E-2</c:v>
                </c:pt>
                <c:pt idx="298">
                  <c:v>2.4326198131919385E-2</c:v>
                </c:pt>
                <c:pt idx="299">
                  <c:v>2.4339554286933351E-2</c:v>
                </c:pt>
                <c:pt idx="300">
                  <c:v>2.4352910259112903E-2</c:v>
                </c:pt>
                <c:pt idx="301">
                  <c:v>2.4366266048460372E-2</c:v>
                </c:pt>
                <c:pt idx="302">
                  <c:v>2.4379621654978201E-2</c:v>
                </c:pt>
                <c:pt idx="303">
                  <c:v>2.4392977078669054E-2</c:v>
                </c:pt>
                <c:pt idx="304">
                  <c:v>2.4406332319535484E-2</c:v>
                </c:pt>
                <c:pt idx="305">
                  <c:v>2.4419687377579713E-2</c:v>
                </c:pt>
                <c:pt idx="306">
                  <c:v>2.4433042252804515E-2</c:v>
                </c:pt>
                <c:pt idx="307">
                  <c:v>2.4446396945212223E-2</c:v>
                </c:pt>
                <c:pt idx="308">
                  <c:v>2.4459751454805501E-2</c:v>
                </c:pt>
                <c:pt idx="309">
                  <c:v>2.4473105781586679E-2</c:v>
                </c:pt>
                <c:pt idx="310">
                  <c:v>2.4486459925558313E-2</c:v>
                </c:pt>
                <c:pt idx="311">
                  <c:v>2.4499813886723065E-2</c:v>
                </c:pt>
                <c:pt idx="312">
                  <c:v>2.4513167665083158E-2</c:v>
                </c:pt>
                <c:pt idx="313">
                  <c:v>2.4526521260641254E-2</c:v>
                </c:pt>
                <c:pt idx="314">
                  <c:v>2.4539874673399908E-2</c:v>
                </c:pt>
                <c:pt idx="315">
                  <c:v>2.4553227903361563E-2</c:v>
                </c:pt>
                <c:pt idx="316">
                  <c:v>2.456658095052866E-2</c:v>
                </c:pt>
                <c:pt idx="317">
                  <c:v>2.4579933814903754E-2</c:v>
                </c:pt>
                <c:pt idx="318">
                  <c:v>2.4593286496489397E-2</c:v>
                </c:pt>
                <c:pt idx="319">
                  <c:v>2.4606638995288033E-2</c:v>
                </c:pt>
                <c:pt idx="320">
                  <c:v>2.4619991311302103E-2</c:v>
                </c:pt>
                <c:pt idx="321">
                  <c:v>2.4633343444534272E-2</c:v>
                </c:pt>
                <c:pt idx="322">
                  <c:v>2.4646695394986873E-2</c:v>
                </c:pt>
                <c:pt idx="323">
                  <c:v>2.4660047162662568E-2</c:v>
                </c:pt>
                <c:pt idx="324">
                  <c:v>2.4673398747563691E-2</c:v>
                </c:pt>
                <c:pt idx="325">
                  <c:v>2.4686750149692904E-2</c:v>
                </c:pt>
                <c:pt idx="326">
                  <c:v>2.4700101369052541E-2</c:v>
                </c:pt>
                <c:pt idx="327">
                  <c:v>2.4713452405645264E-2</c:v>
                </c:pt>
                <c:pt idx="328">
                  <c:v>2.4726803259473518E-2</c:v>
                </c:pt>
                <c:pt idx="329">
                  <c:v>2.4740153930539743E-2</c:v>
                </c:pt>
                <c:pt idx="330">
                  <c:v>2.4753504418846495E-2</c:v>
                </c:pt>
                <c:pt idx="331">
                  <c:v>2.4766854724396326E-2</c:v>
                </c:pt>
                <c:pt idx="332">
                  <c:v>2.4780204847191678E-2</c:v>
                </c:pt>
                <c:pt idx="333">
                  <c:v>2.4793554787234995E-2</c:v>
                </c:pt>
                <c:pt idx="334">
                  <c:v>2.480690454452894E-2</c:v>
                </c:pt>
                <c:pt idx="335">
                  <c:v>2.4820254119075846E-2</c:v>
                </c:pt>
                <c:pt idx="336">
                  <c:v>2.4833603510878266E-2</c:v>
                </c:pt>
                <c:pt idx="337">
                  <c:v>2.4846952719938753E-2</c:v>
                </c:pt>
                <c:pt idx="338">
                  <c:v>2.4860301746259861E-2</c:v>
                </c:pt>
                <c:pt idx="339">
                  <c:v>2.4873650589843921E-2</c:v>
                </c:pt>
                <c:pt idx="340">
                  <c:v>2.4886999250693487E-2</c:v>
                </c:pt>
                <c:pt idx="341">
                  <c:v>2.4900347728811223E-2</c:v>
                </c:pt>
                <c:pt idx="342">
                  <c:v>2.491369602419935E-2</c:v>
                </c:pt>
                <c:pt idx="343">
                  <c:v>2.4927044136860643E-2</c:v>
                </c:pt>
                <c:pt idx="344">
                  <c:v>2.4940392066797434E-2</c:v>
                </c:pt>
                <c:pt idx="345">
                  <c:v>2.4953739814012277E-2</c:v>
                </c:pt>
                <c:pt idx="346">
                  <c:v>2.4967087378507724E-2</c:v>
                </c:pt>
                <c:pt idx="347">
                  <c:v>2.4980434760286108E-2</c:v>
                </c:pt>
                <c:pt idx="348">
                  <c:v>2.4993781959350092E-2</c:v>
                </c:pt>
                <c:pt idx="349">
                  <c:v>2.500712897570212E-2</c:v>
                </c:pt>
                <c:pt idx="350">
                  <c:v>2.5020475809344744E-2</c:v>
                </c:pt>
                <c:pt idx="351">
                  <c:v>2.5033822460280408E-2</c:v>
                </c:pt>
                <c:pt idx="352">
                  <c:v>2.5047168928511665E-2</c:v>
                </c:pt>
                <c:pt idx="353">
                  <c:v>2.5060515214040957E-2</c:v>
                </c:pt>
                <c:pt idx="354">
                  <c:v>2.5073861316870727E-2</c:v>
                </c:pt>
                <c:pt idx="355">
                  <c:v>2.5087207237003639E-2</c:v>
                </c:pt>
                <c:pt idx="356">
                  <c:v>2.5100552974442136E-2</c:v>
                </c:pt>
                <c:pt idx="357">
                  <c:v>2.5113898529188661E-2</c:v>
                </c:pt>
                <c:pt idx="358">
                  <c:v>2.5127243901245655E-2</c:v>
                </c:pt>
                <c:pt idx="359">
                  <c:v>2.5140589090615784E-2</c:v>
                </c:pt>
                <c:pt idx="360">
                  <c:v>2.5153934097301489E-2</c:v>
                </c:pt>
                <c:pt idx="361">
                  <c:v>2.5167278921305325E-2</c:v>
                </c:pt>
                <c:pt idx="362">
                  <c:v>2.5180623562629623E-2</c:v>
                </c:pt>
                <c:pt idx="363">
                  <c:v>2.5193968021277047E-2</c:v>
                </c:pt>
                <c:pt idx="364">
                  <c:v>2.520731229725004E-2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0.0%</c:formatCode>
                <c:ptCount val="366"/>
                <c:pt idx="0">
                  <c:v>1.1880883626569848E-2</c:v>
                </c:pt>
                <c:pt idx="1">
                  <c:v>1.1755738457990271E-2</c:v>
                </c:pt>
                <c:pt idx="2">
                  <c:v>1.1641043536148954E-2</c:v>
                </c:pt>
                <c:pt idx="3">
                  <c:v>1.1537622906265374E-2</c:v>
                </c:pt>
                <c:pt idx="4">
                  <c:v>1.144620865013511E-2</c:v>
                </c:pt>
                <c:pt idx="5">
                  <c:v>1.1367452714905562E-2</c:v>
                </c:pt>
                <c:pt idx="6">
                  <c:v>1.1301939612197869E-2</c:v>
                </c:pt>
                <c:pt idx="7">
                  <c:v>1.1250199624068449E-2</c:v>
                </c:pt>
                <c:pt idx="8">
                  <c:v>1.1210297260161753E-2</c:v>
                </c:pt>
                <c:pt idx="9">
                  <c:v>1.1186446797648318E-2</c:v>
                </c:pt>
                <c:pt idx="10">
                  <c:v>1.117052178461592E-2</c:v>
                </c:pt>
                <c:pt idx="11">
                  <c:v>1.1162190735763709E-2</c:v>
                </c:pt>
                <c:pt idx="12">
                  <c:v>1.1161123173414413E-2</c:v>
                </c:pt>
                <c:pt idx="13">
                  <c:v>1.11669898886329E-2</c:v>
                </c:pt>
                <c:pt idx="14">
                  <c:v>1.1179463224135055E-2</c:v>
                </c:pt>
                <c:pt idx="15">
                  <c:v>1.1187916130924498E-2</c:v>
                </c:pt>
                <c:pt idx="16">
                  <c:v>1.1188168945151776E-2</c:v>
                </c:pt>
                <c:pt idx="17">
                  <c:v>1.1180449531636175E-2</c:v>
                </c:pt>
                <c:pt idx="18">
                  <c:v>1.1164991242944688E-2</c:v>
                </c:pt>
                <c:pt idx="19">
                  <c:v>1.1142084177726089E-2</c:v>
                </c:pt>
                <c:pt idx="20">
                  <c:v>1.1112044960548656E-2</c:v>
                </c:pt>
                <c:pt idx="21">
                  <c:v>1.1075151428917962E-2</c:v>
                </c:pt>
                <c:pt idx="22">
                  <c:v>1.1030794822072714E-2</c:v>
                </c:pt>
                <c:pt idx="23">
                  <c:v>1.0939911334909192E-2</c:v>
                </c:pt>
                <c:pt idx="24">
                  <c:v>1.0799458357057708E-2</c:v>
                </c:pt>
                <c:pt idx="25">
                  <c:v>1.0612138753242253E-2</c:v>
                </c:pt>
                <c:pt idx="26">
                  <c:v>1.0380582224745997E-2</c:v>
                </c:pt>
                <c:pt idx="27">
                  <c:v>1.0107322439988364E-2</c:v>
                </c:pt>
                <c:pt idx="28">
                  <c:v>9.794778663270453E-3</c:v>
                </c:pt>
                <c:pt idx="29">
                  <c:v>9.4331777796710665E-3</c:v>
                </c:pt>
                <c:pt idx="30">
                  <c:v>9.033560026510937E-3</c:v>
                </c:pt>
                <c:pt idx="31">
                  <c:v>8.5980685205218031E-3</c:v>
                </c:pt>
                <c:pt idx="32">
                  <c:v>8.1286856889808082E-3</c:v>
                </c:pt>
                <c:pt idx="33">
                  <c:v>7.62722981264349E-3</c:v>
                </c:pt>
                <c:pt idx="34">
                  <c:v>7.0953535279093781E-3</c:v>
                </c:pt>
                <c:pt idx="35">
                  <c:v>6.5345438838622779E-3</c:v>
                </c:pt>
                <c:pt idx="36">
                  <c:v>5.945459492921989E-3</c:v>
                </c:pt>
                <c:pt idx="37">
                  <c:v>5.3531418020239425E-3</c:v>
                </c:pt>
                <c:pt idx="38">
                  <c:v>4.7893899367417204E-3</c:v>
                </c:pt>
                <c:pt idx="39">
                  <c:v>4.2533124943895193E-3</c:v>
                </c:pt>
                <c:pt idx="40">
                  <c:v>3.7440223921532522E-3</c:v>
                </c:pt>
                <c:pt idx="41">
                  <c:v>3.2606406602549653E-3</c:v>
                </c:pt>
                <c:pt idx="42">
                  <c:v>2.8022996829256746E-3</c:v>
                </c:pt>
                <c:pt idx="43">
                  <c:v>2.3824403408285407E-3</c:v>
                </c:pt>
                <c:pt idx="44">
                  <c:v>2.0095062345332829E-3</c:v>
                </c:pt>
                <c:pt idx="45">
                  <c:v>1.6817808479526271E-3</c:v>
                </c:pt>
                <c:pt idx="46">
                  <c:v>1.3976100242712917E-3</c:v>
                </c:pt>
                <c:pt idx="47">
                  <c:v>1.1554030715262922E-3</c:v>
                </c:pt>
                <c:pt idx="48">
                  <c:v>9.5363344010442888E-4</c:v>
                </c:pt>
                <c:pt idx="49">
                  <c:v>7.9083904555468719E-4</c:v>
                </c:pt>
                <c:pt idx="50">
                  <c:v>6.6561554928592516E-4</c:v>
                </c:pt>
                <c:pt idx="51">
                  <c:v>5.7613238109468275E-4</c:v>
                </c:pt>
                <c:pt idx="52">
                  <c:v>5.0104299886705942E-4</c:v>
                </c:pt>
                <c:pt idx="53">
                  <c:v>4.3984672578997248E-4</c:v>
                </c:pt>
                <c:pt idx="54">
                  <c:v>3.9206850647468215E-4</c:v>
                </c:pt>
                <c:pt idx="55">
                  <c:v>3.5725406630283995E-4</c:v>
                </c:pt>
                <c:pt idx="56">
                  <c:v>3.3496806621814164E-4</c:v>
                </c:pt>
                <c:pt idx="57">
                  <c:v>3.2410753092433267E-4</c:v>
                </c:pt>
                <c:pt idx="58">
                  <c:v>3.1229317791784983E-4</c:v>
                </c:pt>
                <c:pt idx="59">
                  <c:v>2.9955856243502196E-4</c:v>
                </c:pt>
                <c:pt idx="60">
                  <c:v>2.8593659099830556E-4</c:v>
                </c:pt>
                <c:pt idx="61">
                  <c:v>2.7145952314917886E-4</c:v>
                </c:pt>
                <c:pt idx="62">
                  <c:v>2.5615901468270004E-4</c:v>
                </c:pt>
                <c:pt idx="63">
                  <c:v>2.4006615095034859E-4</c:v>
                </c:pt>
                <c:pt idx="64">
                  <c:v>2.2320792542141705E-4</c:v>
                </c:pt>
                <c:pt idx="65">
                  <c:v>2.0628138389045173E-4</c:v>
                </c:pt>
                <c:pt idx="66">
                  <c:v>1.8970260003139597E-4</c:v>
                </c:pt>
                <c:pt idx="67">
                  <c:v>1.7346665716189868E-4</c:v>
                </c:pt>
                <c:pt idx="68">
                  <c:v>1.5756767995755221E-4</c:v>
                </c:pt>
                <c:pt idx="69">
                  <c:v>1.4199891536563226E-4</c:v>
                </c:pt>
                <c:pt idx="70">
                  <c:v>1.2675280819937645E-4</c:v>
                </c:pt>
                <c:pt idx="71">
                  <c:v>1.1277723036688656E-4</c:v>
                </c:pt>
                <c:pt idx="72">
                  <c:v>1.0065258729396279E-4</c:v>
                </c:pt>
                <c:pt idx="73">
                  <c:v>9.0323735384137261E-5</c:v>
                </c:pt>
                <c:pt idx="74">
                  <c:v>8.1737527855492803E-5</c:v>
                </c:pt>
                <c:pt idx="75">
                  <c:v>7.4842985056291933E-5</c:v>
                </c:pt>
                <c:pt idx="76">
                  <c:v>6.9591446436174627E-5</c:v>
                </c:pt>
                <c:pt idx="77">
                  <c:v>6.5936706011437626E-5</c:v>
                </c:pt>
                <c:pt idx="78">
                  <c:v>6.3829053202214784E-5</c:v>
                </c:pt>
                <c:pt idx="79">
                  <c:v>6.3557001419560502E-5</c:v>
                </c:pt>
                <c:pt idx="80">
                  <c:v>6.4498879890252555E-5</c:v>
                </c:pt>
                <c:pt idx="81">
                  <c:v>6.662534472215671E-5</c:v>
                </c:pt>
                <c:pt idx="82">
                  <c:v>6.9908753453007202E-5</c:v>
                </c:pt>
                <c:pt idx="83">
                  <c:v>7.4323495650895096E-5</c:v>
                </c:pt>
                <c:pt idx="84">
                  <c:v>7.9846289092800433E-5</c:v>
                </c:pt>
                <c:pt idx="85">
                  <c:v>8.5915556794496136E-5</c:v>
                </c:pt>
                <c:pt idx="86">
                  <c:v>9.1690423712386613E-5</c:v>
                </c:pt>
                <c:pt idx="87">
                  <c:v>9.7185795489181348E-5</c:v>
                </c:pt>
                <c:pt idx="88">
                  <c:v>1.0241649924271184E-4</c:v>
                </c:pt>
                <c:pt idx="89">
                  <c:v>1.0739722339293334E-4</c:v>
                </c:pt>
                <c:pt idx="90">
                  <c:v>1.1214246848255581E-4</c:v>
                </c:pt>
                <c:pt idx="91">
                  <c:v>1.166665080899176E-4</c:v>
                </c:pt>
                <c:pt idx="92">
                  <c:v>1.2097364700339104E-4</c:v>
                </c:pt>
                <c:pt idx="93">
                  <c:v>1.2436090946469291E-4</c:v>
                </c:pt>
                <c:pt idx="94">
                  <c:v>1.2654481560644756E-4</c:v>
                </c:pt>
                <c:pt idx="95">
                  <c:v>1.2754552432778116E-4</c:v>
                </c:pt>
                <c:pt idx="96">
                  <c:v>1.2738072308085056E-4</c:v>
                </c:pt>
                <c:pt idx="97">
                  <c:v>1.260656084008489E-4</c:v>
                </c:pt>
                <c:pt idx="98">
                  <c:v>1.236128667184225E-4</c:v>
                </c:pt>
                <c:pt idx="99">
                  <c:v>1.2023272951525602E-4</c:v>
                </c:pt>
                <c:pt idx="100">
                  <c:v>1.164285342511932E-4</c:v>
                </c:pt>
                <c:pt idx="101">
                  <c:v>1.1219930417696811E-4</c:v>
                </c:pt>
                <c:pt idx="102">
                  <c:v>1.0754290709229084E-4</c:v>
                </c:pt>
                <c:pt idx="103">
                  <c:v>1.024560379357695E-4</c:v>
                </c:pt>
                <c:pt idx="104">
                  <c:v>9.6934199952909865E-5</c:v>
                </c:pt>
                <c:pt idx="105">
                  <c:v>9.097168421614432E-5</c:v>
                </c:pt>
                <c:pt idx="106">
                  <c:v>8.4561044565384009E-5</c:v>
                </c:pt>
                <c:pt idx="107">
                  <c:v>7.7971665640870632E-5</c:v>
                </c:pt>
                <c:pt idx="108">
                  <c:v>7.1880549087458413E-5</c:v>
                </c:pt>
                <c:pt idx="109">
                  <c:v>6.6281051524878559E-5</c:v>
                </c:pt>
                <c:pt idx="110">
                  <c:v>6.1167813857347162E-5</c:v>
                </c:pt>
                <c:pt idx="111">
                  <c:v>5.6536537841077748E-5</c:v>
                </c:pt>
                <c:pt idx="112">
                  <c:v>5.2383835795330287E-5</c:v>
                </c:pt>
                <c:pt idx="113">
                  <c:v>4.8682037384323683E-5</c:v>
                </c:pt>
                <c:pt idx="114">
                  <c:v>4.523321469420422E-5</c:v>
                </c:pt>
                <c:pt idx="115">
                  <c:v>4.2036111839675286E-5</c:v>
                </c:pt>
                <c:pt idx="116">
                  <c:v>3.9090078519516417E-5</c:v>
                </c:pt>
                <c:pt idx="117">
                  <c:v>3.6395059261885668E-5</c:v>
                </c:pt>
                <c:pt idx="118">
                  <c:v>3.3951583168960747E-5</c:v>
                </c:pt>
                <c:pt idx="119">
                  <c:v>3.1760754007362122E-5</c:v>
                </c:pt>
                <c:pt idx="120">
                  <c:v>2.9824962602856204E-5</c:v>
                </c:pt>
                <c:pt idx="121">
                  <c:v>2.8213165472185466E-5</c:v>
                </c:pt>
                <c:pt idx="122">
                  <c:v>2.6635120602418438E-5</c:v>
                </c:pt>
                <c:pt idx="123">
                  <c:v>2.5089468346653556E-5</c:v>
                </c:pt>
                <c:pt idx="124">
                  <c:v>2.3574974453997011E-5</c:v>
                </c:pt>
                <c:pt idx="125">
                  <c:v>2.2090526448278244E-5</c:v>
                </c:pt>
                <c:pt idx="126">
                  <c:v>2.0635130378953796E-5</c:v>
                </c:pt>
                <c:pt idx="127">
                  <c:v>1.9266978047193593E-5</c:v>
                </c:pt>
                <c:pt idx="128">
                  <c:v>1.8013517325444E-5</c:v>
                </c:pt>
                <c:pt idx="129">
                  <c:v>1.6875875214360194E-5</c:v>
                </c:pt>
                <c:pt idx="130">
                  <c:v>1.585540567542015E-5</c:v>
                </c:pt>
                <c:pt idx="131">
                  <c:v>1.4953677474230397E-5</c:v>
                </c:pt>
                <c:pt idx="132">
                  <c:v>1.4172461435696598E-5</c:v>
                </c:pt>
                <c:pt idx="133">
                  <c:v>1.3513717011163647E-5</c:v>
                </c:pt>
                <c:pt idx="134">
                  <c:v>1.2979896795030872E-5</c:v>
                </c:pt>
                <c:pt idx="135">
                  <c:v>1.2557168963001586E-5</c:v>
                </c:pt>
                <c:pt idx="136">
                  <c:v>1.2175421370730078E-5</c:v>
                </c:pt>
                <c:pt idx="137">
                  <c:v>1.1835315952119445E-5</c:v>
                </c:pt>
                <c:pt idx="138">
                  <c:v>1.153758053790223E-5</c:v>
                </c:pt>
                <c:pt idx="139">
                  <c:v>1.1283005162887911E-5</c:v>
                </c:pt>
                <c:pt idx="140">
                  <c:v>1.1072438118082598E-5</c:v>
                </c:pt>
                <c:pt idx="141">
                  <c:v>1.0896453811357574E-5</c:v>
                </c:pt>
                <c:pt idx="142">
                  <c:v>1.0689377104145759E-5</c:v>
                </c:pt>
                <c:pt idx="143">
                  <c:v>1.0450186091441124E-5</c:v>
                </c:pt>
                <c:pt idx="144">
                  <c:v>1.0177902692202014E-5</c:v>
                </c:pt>
                <c:pt idx="145">
                  <c:v>9.8715405151435814E-6</c:v>
                </c:pt>
                <c:pt idx="146">
                  <c:v>9.5301088192727136E-6</c:v>
                </c:pt>
                <c:pt idx="147">
                  <c:v>9.1526166254254383E-6</c:v>
                </c:pt>
                <c:pt idx="148">
                  <c:v>8.7382142348284433E-6</c:v>
                </c:pt>
                <c:pt idx="149">
                  <c:v>8.3092209199375809E-6</c:v>
                </c:pt>
                <c:pt idx="150">
                  <c:v>7.8840974851780511E-6</c:v>
                </c:pt>
                <c:pt idx="151">
                  <c:v>7.4630054427023347E-6</c:v>
                </c:pt>
                <c:pt idx="152">
                  <c:v>7.0461328600705413E-6</c:v>
                </c:pt>
                <c:pt idx="153">
                  <c:v>6.6336935257753831E-6</c:v>
                </c:pt>
                <c:pt idx="154">
                  <c:v>6.225926004869486E-6</c:v>
                </c:pt>
                <c:pt idx="155">
                  <c:v>5.8346382090456466E-6</c:v>
                </c:pt>
                <c:pt idx="156">
                  <c:v>5.4720874621007835E-6</c:v>
                </c:pt>
                <c:pt idx="157">
                  <c:v>5.1391439907161623E-6</c:v>
                </c:pt>
                <c:pt idx="158">
                  <c:v>4.8366934151519045E-6</c:v>
                </c:pt>
                <c:pt idx="159">
                  <c:v>4.5656327305934955E-6</c:v>
                </c:pt>
                <c:pt idx="160">
                  <c:v>4.3268662380969198E-6</c:v>
                </c:pt>
                <c:pt idx="161">
                  <c:v>4.1213014517253703E-6</c:v>
                </c:pt>
                <c:pt idx="162">
                  <c:v>3.9498064357321113E-6</c:v>
                </c:pt>
                <c:pt idx="163">
                  <c:v>3.8194662578235747E-6</c:v>
                </c:pt>
                <c:pt idx="164">
                  <c:v>3.7050147771939475E-6</c:v>
                </c:pt>
                <c:pt idx="165">
                  <c:v>3.6069069538619156E-6</c:v>
                </c:pt>
                <c:pt idx="166">
                  <c:v>3.525589368055394E-6</c:v>
                </c:pt>
                <c:pt idx="167">
                  <c:v>3.4615004700342634E-6</c:v>
                </c:pt>
                <c:pt idx="168">
                  <c:v>3.415070990152032E-6</c:v>
                </c:pt>
                <c:pt idx="169">
                  <c:v>3.3931842708434893E-6</c:v>
                </c:pt>
                <c:pt idx="170">
                  <c:v>3.3834846115912956E-6</c:v>
                </c:pt>
                <c:pt idx="171">
                  <c:v>3.3862622248202301E-6</c:v>
                </c:pt>
                <c:pt idx="172">
                  <c:v>3.4018049523165726E-6</c:v>
                </c:pt>
                <c:pt idx="173">
                  <c:v>3.4303697900831029E-6</c:v>
                </c:pt>
                <c:pt idx="174">
                  <c:v>3.4722102272309269E-6</c:v>
                </c:pt>
                <c:pt idx="175">
                  <c:v>3.5276070649314636E-6</c:v>
                </c:pt>
                <c:pt idx="176">
                  <c:v>3.5968050957225979E-6</c:v>
                </c:pt>
                <c:pt idx="177">
                  <c:v>3.6934931936859612E-6</c:v>
                </c:pt>
                <c:pt idx="178">
                  <c:v>3.8112911773557266E-6</c:v>
                </c:pt>
                <c:pt idx="179">
                  <c:v>3.9505309112353588E-6</c:v>
                </c:pt>
                <c:pt idx="180">
                  <c:v>4.111536850218991E-6</c:v>
                </c:pt>
                <c:pt idx="181">
                  <c:v>4.2946254573777054E-6</c:v>
                </c:pt>
                <c:pt idx="182">
                  <c:v>4.5001046991219936E-6</c:v>
                </c:pt>
                <c:pt idx="183">
                  <c:v>4.7581513801008196E-6</c:v>
                </c:pt>
                <c:pt idx="184">
                  <c:v>5.0624774509257159E-6</c:v>
                </c:pt>
                <c:pt idx="185">
                  <c:v>5.4137406508869369E-6</c:v>
                </c:pt>
                <c:pt idx="186">
                  <c:v>5.8125778195990718E-6</c:v>
                </c:pt>
                <c:pt idx="187">
                  <c:v>6.2596042728015164E-6</c:v>
                </c:pt>
                <c:pt idx="188">
                  <c:v>6.7554132598344203E-6</c:v>
                </c:pt>
                <c:pt idx="189">
                  <c:v>7.300575481549956E-6</c:v>
                </c:pt>
                <c:pt idx="190">
                  <c:v>7.8956815688971677E-6</c:v>
                </c:pt>
                <c:pt idx="191">
                  <c:v>8.5268813190151756E-6</c:v>
                </c:pt>
                <c:pt idx="192">
                  <c:v>9.1800225746234282E-6</c:v>
                </c:pt>
                <c:pt idx="193">
                  <c:v>9.8553425194776242E-6</c:v>
                </c:pt>
                <c:pt idx="194">
                  <c:v>1.0553095939756082E-5</c:v>
                </c:pt>
                <c:pt idx="195">
                  <c:v>1.1273557183994876E-5</c:v>
                </c:pt>
                <c:pt idx="196">
                  <c:v>1.201702210718046E-5</c:v>
                </c:pt>
                <c:pt idx="197">
                  <c:v>1.2757619418137911E-5</c:v>
                </c:pt>
                <c:pt idx="198">
                  <c:v>1.346313130495858E-5</c:v>
                </c:pt>
                <c:pt idx="199">
                  <c:v>1.4133121920697579E-5</c:v>
                </c:pt>
                <c:pt idx="200">
                  <c:v>1.4767179134212717E-5</c:v>
                </c:pt>
                <c:pt idx="201">
                  <c:v>1.5364910878152836E-5</c:v>
                </c:pt>
                <c:pt idx="202">
                  <c:v>1.5925941409624434E-5</c:v>
                </c:pt>
                <c:pt idx="203">
                  <c:v>1.6449907505027232E-5</c:v>
                </c:pt>
                <c:pt idx="204">
                  <c:v>1.6936607378153206E-5</c:v>
                </c:pt>
                <c:pt idx="205">
                  <c:v>1.7485353437346958E-5</c:v>
                </c:pt>
                <c:pt idx="206">
                  <c:v>1.8112386513813596E-5</c:v>
                </c:pt>
                <c:pt idx="207">
                  <c:v>1.8818721843645623E-5</c:v>
                </c:pt>
                <c:pt idx="208">
                  <c:v>1.9605388443487899E-5</c:v>
                </c:pt>
                <c:pt idx="209">
                  <c:v>2.0473424486613762E-5</c:v>
                </c:pt>
                <c:pt idx="210">
                  <c:v>2.1423872215629215E-5</c:v>
                </c:pt>
                <c:pt idx="211">
                  <c:v>2.2566381643884776E-5</c:v>
                </c:pt>
                <c:pt idx="212">
                  <c:v>2.3931546017865716E-5</c:v>
                </c:pt>
                <c:pt idx="213">
                  <c:v>2.5522249236908907E-5</c:v>
                </c:pt>
                <c:pt idx="214">
                  <c:v>2.7341378687306202E-5</c:v>
                </c:pt>
                <c:pt idx="215">
                  <c:v>2.939180756984083E-5</c:v>
                </c:pt>
                <c:pt idx="216">
                  <c:v>3.1676375720061481E-5</c:v>
                </c:pt>
                <c:pt idx="217">
                  <c:v>3.4197868906785219E-5</c:v>
                </c:pt>
                <c:pt idx="218">
                  <c:v>3.696031214750935E-5</c:v>
                </c:pt>
                <c:pt idx="219">
                  <c:v>3.9921566680599546E-5</c:v>
                </c:pt>
                <c:pt idx="220">
                  <c:v>4.2977455153710794E-5</c:v>
                </c:pt>
                <c:pt idx="221">
                  <c:v>4.612921214478809E-5</c:v>
                </c:pt>
                <c:pt idx="222">
                  <c:v>4.9378041789715101E-5</c:v>
                </c:pt>
                <c:pt idx="223">
                  <c:v>5.2725110544484266E-5</c:v>
                </c:pt>
                <c:pt idx="224">
                  <c:v>5.6171539614864018E-5</c:v>
                </c:pt>
                <c:pt idx="225">
                  <c:v>6.0323069156396747E-5</c:v>
                </c:pt>
                <c:pt idx="226">
                  <c:v>6.5073840054605486E-5</c:v>
                </c:pt>
                <c:pt idx="227">
                  <c:v>7.0432541474495415E-5</c:v>
                </c:pt>
                <c:pt idx="228">
                  <c:v>7.6407810492309052E-5</c:v>
                </c:pt>
                <c:pt idx="229">
                  <c:v>8.3008194127310583E-5</c:v>
                </c:pt>
                <c:pt idx="230">
                  <c:v>9.0242108637640138E-5</c:v>
                </c:pt>
                <c:pt idx="231">
                  <c:v>9.8117796051348601E-5</c:v>
                </c:pt>
                <c:pt idx="232">
                  <c:v>1.0664256787487535E-4</c:v>
                </c:pt>
                <c:pt idx="233">
                  <c:v>1.161325897453062E-4</c:v>
                </c:pt>
                <c:pt idx="234">
                  <c:v>1.2665125509195098E-4</c:v>
                </c:pt>
                <c:pt idx="235">
                  <c:v>1.3821304098914663E-4</c:v>
                </c:pt>
                <c:pt idx="236">
                  <c:v>1.5083297053055232E-4</c:v>
                </c:pt>
                <c:pt idx="237">
                  <c:v>1.6452661372134679E-4</c:v>
                </c:pt>
                <c:pt idx="238">
                  <c:v>1.7931026826668419E-4</c:v>
                </c:pt>
                <c:pt idx="239">
                  <c:v>1.9366766528467491E-4</c:v>
                </c:pt>
                <c:pt idx="240">
                  <c:v>2.069426437588997E-4</c:v>
                </c:pt>
                <c:pt idx="241">
                  <c:v>2.1912146328664304E-4</c:v>
                </c:pt>
                <c:pt idx="242">
                  <c:v>2.3019054396413241E-4</c:v>
                </c:pt>
                <c:pt idx="243">
                  <c:v>2.4013634704086887E-4</c:v>
                </c:pt>
                <c:pt idx="244">
                  <c:v>2.489452500453427E-4</c:v>
                </c:pt>
                <c:pt idx="245">
                  <c:v>2.5660341599515786E-4</c:v>
                </c:pt>
                <c:pt idx="246">
                  <c:v>2.6308591973914707E-4</c:v>
                </c:pt>
                <c:pt idx="247">
                  <c:v>2.6747752346211384E-4</c:v>
                </c:pt>
                <c:pt idx="248">
                  <c:v>2.6941686905801319E-4</c:v>
                </c:pt>
                <c:pt idx="249">
                  <c:v>2.6886680878227914E-4</c:v>
                </c:pt>
                <c:pt idx="250">
                  <c:v>2.6578916787079658E-4</c:v>
                </c:pt>
                <c:pt idx="251">
                  <c:v>2.6014456091419874E-4</c:v>
                </c:pt>
                <c:pt idx="252">
                  <c:v>2.5189219877076589E-4</c:v>
                </c:pt>
                <c:pt idx="253">
                  <c:v>2.4169597745979881E-4</c:v>
                </c:pt>
                <c:pt idx="254">
                  <c:v>2.3118380879997639E-4</c:v>
                </c:pt>
                <c:pt idx="255">
                  <c:v>2.2035078487914647E-4</c:v>
                </c:pt>
                <c:pt idx="256">
                  <c:v>2.0919148218748955E-4</c:v>
                </c:pt>
                <c:pt idx="257">
                  <c:v>1.9769992921957058E-4</c:v>
                </c:pt>
                <c:pt idx="258">
                  <c:v>1.8586957111658942E-4</c:v>
                </c:pt>
                <c:pt idx="259">
                  <c:v>1.7369323089138245E-4</c:v>
                </c:pt>
                <c:pt idx="260">
                  <c:v>1.6116680571097317E-4</c:v>
                </c:pt>
                <c:pt idx="261">
                  <c:v>1.5005167550453344E-4</c:v>
                </c:pt>
                <c:pt idx="262">
                  <c:v>1.4133517469326636E-4</c:v>
                </c:pt>
                <c:pt idx="263">
                  <c:v>1.3505964367864503E-4</c:v>
                </c:pt>
                <c:pt idx="264">
                  <c:v>1.3127037670060648E-4</c:v>
                </c:pt>
                <c:pt idx="265">
                  <c:v>1.3001583591300394E-4</c:v>
                </c:pt>
                <c:pt idx="266">
                  <c:v>1.3134641049311724E-4</c:v>
                </c:pt>
                <c:pt idx="267">
                  <c:v>1.3660488945907491E-4</c:v>
                </c:pt>
                <c:pt idx="268">
                  <c:v>1.4509411728476216E-4</c:v>
                </c:pt>
                <c:pt idx="269">
                  <c:v>1.5687945993578077E-4</c:v>
                </c:pt>
                <c:pt idx="270">
                  <c:v>1.7202652982857707E-4</c:v>
                </c:pt>
                <c:pt idx="271">
                  <c:v>1.9060040915660454E-4</c:v>
                </c:pt>
                <c:pt idx="272">
                  <c:v>2.1266480790404523E-4</c:v>
                </c:pt>
                <c:pt idx="273">
                  <c:v>2.3828115450809785E-4</c:v>
                </c:pt>
                <c:pt idx="274">
                  <c:v>2.6752816780343532E-4</c:v>
                </c:pt>
                <c:pt idx="275">
                  <c:v>2.9907287210907089E-4</c:v>
                </c:pt>
                <c:pt idx="276">
                  <c:v>3.3099484995751966E-4</c:v>
                </c:pt>
                <c:pt idx="277">
                  <c:v>3.632954277178154E-4</c:v>
                </c:pt>
                <c:pt idx="278">
                  <c:v>3.9597453157572571E-4</c:v>
                </c:pt>
                <c:pt idx="279">
                  <c:v>4.2903062844795872E-4</c:v>
                </c:pt>
                <c:pt idx="280">
                  <c:v>4.6246066658183458E-4</c:v>
                </c:pt>
                <c:pt idx="281">
                  <c:v>4.976466011009285E-4</c:v>
                </c:pt>
                <c:pt idx="282">
                  <c:v>5.3317886506942498E-4</c:v>
                </c:pt>
                <c:pt idx="283">
                  <c:v>5.6905002126638197E-4</c:v>
                </c:pt>
                <c:pt idx="284">
                  <c:v>6.052507399982351E-4</c:v>
                </c:pt>
                <c:pt idx="285">
                  <c:v>6.4176974597076524E-4</c:v>
                </c:pt>
                <c:pt idx="286">
                  <c:v>6.7859376593548638E-4</c:v>
                </c:pt>
                <c:pt idx="287">
                  <c:v>7.1570747732400291E-4</c:v>
                </c:pt>
                <c:pt idx="288">
                  <c:v>7.5313216314745073E-4</c:v>
                </c:pt>
                <c:pt idx="289">
                  <c:v>8.1684942315665568E-4</c:v>
                </c:pt>
                <c:pt idx="290">
                  <c:v>9.0892135308373156E-4</c:v>
                </c:pt>
                <c:pt idx="291">
                  <c:v>1.0298689790709152E-3</c:v>
                </c:pt>
                <c:pt idx="292">
                  <c:v>1.1802122779363369E-3</c:v>
                </c:pt>
                <c:pt idx="293">
                  <c:v>1.3604686552099892E-3</c:v>
                </c:pt>
                <c:pt idx="294">
                  <c:v>1.5711514212838847E-3</c:v>
                </c:pt>
                <c:pt idx="295">
                  <c:v>1.8435722811355048E-3</c:v>
                </c:pt>
                <c:pt idx="296">
                  <c:v>2.1772797556838513E-3</c:v>
                </c:pt>
                <c:pt idx="297">
                  <c:v>2.5733212047728883E-3</c:v>
                </c:pt>
                <c:pt idx="298">
                  <c:v>3.03272362890034E-3</c:v>
                </c:pt>
                <c:pt idx="299">
                  <c:v>3.5565014572535463E-3</c:v>
                </c:pt>
                <c:pt idx="300">
                  <c:v>4.1456533153453783E-3</c:v>
                </c:pt>
                <c:pt idx="301">
                  <c:v>4.8011586048128394E-3</c:v>
                </c:pt>
                <c:pt idx="302">
                  <c:v>5.5243475821217594E-3</c:v>
                </c:pt>
                <c:pt idx="303">
                  <c:v>6.2921259319378238E-3</c:v>
                </c:pt>
                <c:pt idx="304">
                  <c:v>7.0768781198536123E-3</c:v>
                </c:pt>
                <c:pt idx="305">
                  <c:v>7.8788908416856721E-3</c:v>
                </c:pt>
                <c:pt idx="306">
                  <c:v>8.6984300046571063E-3</c:v>
                </c:pt>
                <c:pt idx="307">
                  <c:v>9.5357367005864772E-3</c:v>
                </c:pt>
                <c:pt idx="308">
                  <c:v>1.0391022559704382E-2</c:v>
                </c:pt>
                <c:pt idx="309">
                  <c:v>1.1216610695185128E-2</c:v>
                </c:pt>
                <c:pt idx="310">
                  <c:v>1.1978086074185865E-2</c:v>
                </c:pt>
                <c:pt idx="311">
                  <c:v>1.267404062155067E-2</c:v>
                </c:pt>
                <c:pt idx="312">
                  <c:v>1.3303006481268221E-2</c:v>
                </c:pt>
                <c:pt idx="313">
                  <c:v>1.3863459830780302E-2</c:v>
                </c:pt>
                <c:pt idx="314">
                  <c:v>1.4353825877886929E-2</c:v>
                </c:pt>
                <c:pt idx="315">
                  <c:v>1.4772485257050364E-2</c:v>
                </c:pt>
                <c:pt idx="316">
                  <c:v>1.5118619151986425E-2</c:v>
                </c:pt>
                <c:pt idx="317">
                  <c:v>1.5383181377162842E-2</c:v>
                </c:pt>
                <c:pt idx="318">
                  <c:v>1.5591738935759814E-2</c:v>
                </c:pt>
                <c:pt idx="319">
                  <c:v>1.5743386852528147E-2</c:v>
                </c:pt>
                <c:pt idx="320">
                  <c:v>1.5837192720931124E-2</c:v>
                </c:pt>
                <c:pt idx="321">
                  <c:v>1.5872191274155931E-2</c:v>
                </c:pt>
                <c:pt idx="322">
                  <c:v>1.5847379219549235E-2</c:v>
                </c:pt>
                <c:pt idx="323">
                  <c:v>1.5771278696131909E-2</c:v>
                </c:pt>
                <c:pt idx="324">
                  <c:v>1.5695344813361271E-2</c:v>
                </c:pt>
                <c:pt idx="325">
                  <c:v>1.561960937092919E-2</c:v>
                </c:pt>
                <c:pt idx="326">
                  <c:v>1.5544009962820945E-2</c:v>
                </c:pt>
                <c:pt idx="327">
                  <c:v>1.546852604698737E-2</c:v>
                </c:pt>
                <c:pt idx="328">
                  <c:v>1.5393189966828707E-2</c:v>
                </c:pt>
                <c:pt idx="329">
                  <c:v>1.5318019247992282E-2</c:v>
                </c:pt>
                <c:pt idx="330">
                  <c:v>1.5244756642103816E-2</c:v>
                </c:pt>
                <c:pt idx="331">
                  <c:v>1.5180669410456763E-2</c:v>
                </c:pt>
                <c:pt idx="332">
                  <c:v>1.5134498372768817E-2</c:v>
                </c:pt>
                <c:pt idx="333">
                  <c:v>1.5105776474683721E-2</c:v>
                </c:pt>
                <c:pt idx="334">
                  <c:v>1.5094012472612078E-2</c:v>
                </c:pt>
                <c:pt idx="335">
                  <c:v>1.5098681884841201E-2</c:v>
                </c:pt>
                <c:pt idx="336">
                  <c:v>1.5119217811162764E-2</c:v>
                </c:pt>
                <c:pt idx="337">
                  <c:v>1.5161584145747073E-2</c:v>
                </c:pt>
                <c:pt idx="338">
                  <c:v>1.5214627373052667E-2</c:v>
                </c:pt>
                <c:pt idx="339">
                  <c:v>1.5277509425024453E-2</c:v>
                </c:pt>
                <c:pt idx="340">
                  <c:v>1.5349318195844315E-2</c:v>
                </c:pt>
                <c:pt idx="341">
                  <c:v>1.5429063507056865E-2</c:v>
                </c:pt>
                <c:pt idx="342">
                  <c:v>1.5515674588960957E-2</c:v>
                </c:pt>
                <c:pt idx="343">
                  <c:v>1.56079993955604E-2</c:v>
                </c:pt>
                <c:pt idx="344">
                  <c:v>1.5709371945340056E-2</c:v>
                </c:pt>
                <c:pt idx="345">
                  <c:v>1.5823280913361888E-2</c:v>
                </c:pt>
                <c:pt idx="346">
                  <c:v>1.593702008116164E-2</c:v>
                </c:pt>
                <c:pt idx="347">
                  <c:v>1.604930870251833E-2</c:v>
                </c:pt>
                <c:pt idx="348">
                  <c:v>1.6158803303380417E-2</c:v>
                </c:pt>
                <c:pt idx="349">
                  <c:v>1.6264104602303611E-2</c:v>
                </c:pt>
                <c:pt idx="350">
                  <c:v>1.6363766929886569E-2</c:v>
                </c:pt>
                <c:pt idx="351">
                  <c:v>1.6451203380197708E-2</c:v>
                </c:pt>
                <c:pt idx="352">
                  <c:v>1.6517778674272239E-2</c:v>
                </c:pt>
                <c:pt idx="353">
                  <c:v>1.6561950109959794E-2</c:v>
                </c:pt>
                <c:pt idx="354">
                  <c:v>1.6582254709947477E-2</c:v>
                </c:pt>
                <c:pt idx="355">
                  <c:v>1.6577340613390772E-2</c:v>
                </c:pt>
                <c:pt idx="356">
                  <c:v>1.6545959457063299E-2</c:v>
                </c:pt>
                <c:pt idx="357">
                  <c:v>1.6487097660329506E-2</c:v>
                </c:pt>
                <c:pt idx="358">
                  <c:v>1.6398847617446932E-2</c:v>
                </c:pt>
                <c:pt idx="359">
                  <c:v>1.6281359357225095E-2</c:v>
                </c:pt>
                <c:pt idx="360">
                  <c:v>1.6143871813369695E-2</c:v>
                </c:pt>
                <c:pt idx="361">
                  <c:v>1.5993597330945634E-2</c:v>
                </c:pt>
                <c:pt idx="362">
                  <c:v>1.5832645292959757E-2</c:v>
                </c:pt>
                <c:pt idx="363">
                  <c:v>1.5663080359560388E-2</c:v>
                </c:pt>
                <c:pt idx="364">
                  <c:v>1.5486895886806186E-2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6608"/>
        <c:axId val="232817000"/>
      </c:lineChart>
      <c:dateAx>
        <c:axId val="2328166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7000"/>
        <c:crosses val="autoZero"/>
        <c:auto val="1"/>
        <c:lblOffset val="100"/>
        <c:baseTimeUnit val="days"/>
        <c:majorUnit val="1"/>
        <c:majorTimeUnit val="months"/>
      </c:dateAx>
      <c:valAx>
        <c:axId val="2328170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6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S.D.I.S. Montgiscard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11645.393898508526</c:v>
                </c:pt>
                <c:pt idx="1">
                  <c:v>11644.042730330064</c:v>
                </c:pt>
                <c:pt idx="2">
                  <c:v>11655.410721774573</c:v>
                </c:pt>
                <c:pt idx="3">
                  <c:v>11641.158305589774</c:v>
                </c:pt>
                <c:pt idx="4">
                  <c:v>11639.541454132361</c:v>
                </c:pt>
                <c:pt idx="5">
                  <c:v>11637.826261513354</c:v>
                </c:pt>
                <c:pt idx="6">
                  <c:v>11648.752627706708</c:v>
                </c:pt>
                <c:pt idx="7">
                  <c:v>11642.206553821024</c:v>
                </c:pt>
                <c:pt idx="8">
                  <c:v>11644.110350956131</c:v>
                </c:pt>
                <c:pt idx="9">
                  <c:v>11642.689315005764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11612.65549527049</c:v>
                </c:pt>
                <c:pt idx="1">
                  <c:v>11551.317882420679</c:v>
                </c:pt>
                <c:pt idx="2">
                  <c:v>11504.929952704622</c:v>
                </c:pt>
                <c:pt idx="3">
                  <c:v>11433.359254997667</c:v>
                </c:pt>
                <c:pt idx="4">
                  <c:v>11374.767851004206</c:v>
                </c:pt>
                <c:pt idx="5">
                  <c:v>11316.359594460986</c:v>
                </c:pt>
                <c:pt idx="6">
                  <c:v>11270.392640942453</c:v>
                </c:pt>
                <c:pt idx="7">
                  <c:v>11207.952121179178</c:v>
                </c:pt>
                <c:pt idx="8">
                  <c:v>11154.102734763903</c:v>
                </c:pt>
                <c:pt idx="9">
                  <c:v>11097.021273046941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11439.895</c:v>
                </c:pt>
                <c:pt idx="1">
                  <c:v>11409.83632965588</c:v>
                </c:pt>
                <c:pt idx="2">
                  <c:v>11195.823795010287</c:v>
                </c:pt>
                <c:pt idx="3">
                  <c:v>11263.770615554617</c:v>
                </c:pt>
                <c:pt idx="4">
                  <c:v>11064.346824011482</c:v>
                </c:pt>
                <c:pt idx="5">
                  <c:v>11143.187956669599</c:v>
                </c:pt>
                <c:pt idx="6">
                  <c:v>10957.043322483001</c:v>
                </c:pt>
                <c:pt idx="7">
                  <c:v>11042.292750137391</c:v>
                </c:pt>
                <c:pt idx="8">
                  <c:v>10856.944336974133</c:v>
                </c:pt>
                <c:pt idx="9">
                  <c:v>10934.975221236853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11437.941500000001</c:v>
                </c:pt>
                <c:pt idx="1">
                  <c:v>11156.166662009433</c:v>
                </c:pt>
                <c:pt idx="2">
                  <c:v>10951.092256091391</c:v>
                </c:pt>
                <c:pt idx="3">
                  <c:v>10896.953855559335</c:v>
                </c:pt>
                <c:pt idx="4">
                  <c:v>10754.537581772065</c:v>
                </c:pt>
                <c:pt idx="5">
                  <c:v>10767.927767676108</c:v>
                </c:pt>
                <c:pt idx="6">
                  <c:v>10650.578033910804</c:v>
                </c:pt>
                <c:pt idx="7">
                  <c:v>10658.697363777963</c:v>
                </c:pt>
                <c:pt idx="8">
                  <c:v>10534.437348591662</c:v>
                </c:pt>
                <c:pt idx="9">
                  <c:v>10547.590151486089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-2.9257563003739051E-2</c:v>
                </c:pt>
                <c:pt idx="1">
                  <c:v>253.77854537262832</c:v>
                </c:pt>
                <c:pt idx="2">
                  <c:v>244.71492065880142</c:v>
                </c:pt>
                <c:pt idx="3">
                  <c:v>366.88569375122643</c:v>
                </c:pt>
                <c:pt idx="4">
                  <c:v>309.78825983843274</c:v>
                </c:pt>
                <c:pt idx="5">
                  <c:v>375.30888615028033</c:v>
                </c:pt>
                <c:pt idx="6">
                  <c:v>306.44444852827161</c:v>
                </c:pt>
                <c:pt idx="7">
                  <c:v>371.57319401519692</c:v>
                </c:pt>
                <c:pt idx="8">
                  <c:v>302.92015190278295</c:v>
                </c:pt>
                <c:pt idx="9">
                  <c:v>367.22724318080225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-2.4337450580480535E-4</c:v>
                </c:pt>
                <c:pt idx="1">
                  <c:v>-8.3096946973766794E-2</c:v>
                </c:pt>
                <c:pt idx="2">
                  <c:v>-0.13400936554940923</c:v>
                </c:pt>
                <c:pt idx="3">
                  <c:v>-0.27936598533131551</c:v>
                </c:pt>
                <c:pt idx="4">
                  <c:v>-0.31128484231866871</c:v>
                </c:pt>
                <c:pt idx="5">
                  <c:v>-0.47336304364997694</c:v>
                </c:pt>
                <c:pt idx="6">
                  <c:v>-0.47163592351484951</c:v>
                </c:pt>
                <c:pt idx="7">
                  <c:v>11.254419501199729</c:v>
                </c:pt>
                <c:pt idx="8">
                  <c:v>18.430225125756937</c:v>
                </c:pt>
                <c:pt idx="9">
                  <c:v>19.064128964109859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819000"/>
        <c:axId val="385819392"/>
      </c:lineChart>
      <c:catAx>
        <c:axId val="385819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19392"/>
        <c:crosses val="autoZero"/>
        <c:auto val="1"/>
        <c:lblAlgn val="ctr"/>
        <c:lblOffset val="100"/>
        <c:noMultiLvlLbl val="0"/>
      </c:catAx>
      <c:valAx>
        <c:axId val="385819392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190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16.59268931861509</c:v>
                </c:pt>
                <c:pt idx="1">
                  <c:v>16.760831462967523</c:v>
                </c:pt>
                <c:pt idx="2">
                  <c:v>16.937025150777</c:v>
                </c:pt>
                <c:pt idx="3">
                  <c:v>17.119701837641934</c:v>
                </c:pt>
                <c:pt idx="4">
                  <c:v>17.307293171851462</c:v>
                </c:pt>
                <c:pt idx="5">
                  <c:v>17.498231010427201</c:v>
                </c:pt>
                <c:pt idx="6">
                  <c:v>17.690947428447508</c:v>
                </c:pt>
                <c:pt idx="7">
                  <c:v>17.88387473917906</c:v>
                </c:pt>
                <c:pt idx="8">
                  <c:v>18.079412109111697</c:v>
                </c:pt>
                <c:pt idx="9">
                  <c:v>18.280888984403671</c:v>
                </c:pt>
                <c:pt idx="10">
                  <c:v>18.488517390966898</c:v>
                </c:pt>
                <c:pt idx="11">
                  <c:v>18.702396377340001</c:v>
                </c:pt>
                <c:pt idx="12">
                  <c:v>18.922624912803499</c:v>
                </c:pt>
                <c:pt idx="13">
                  <c:v>19.149301904146714</c:v>
                </c:pt>
                <c:pt idx="14">
                  <c:v>19.382526199187286</c:v>
                </c:pt>
                <c:pt idx="15">
                  <c:v>19.622563670531594</c:v>
                </c:pt>
                <c:pt idx="16">
                  <c:v>19.869621204682364</c:v>
                </c:pt>
                <c:pt idx="17">
                  <c:v>20.123797493878524</c:v>
                </c:pt>
                <c:pt idx="18">
                  <c:v>20.385191201794928</c:v>
                </c:pt>
                <c:pt idx="19">
                  <c:v>20.653899611760139</c:v>
                </c:pt>
                <c:pt idx="20">
                  <c:v>20.930019305654628</c:v>
                </c:pt>
                <c:pt idx="21">
                  <c:v>21.2136478625103</c:v>
                </c:pt>
                <c:pt idx="22">
                  <c:v>21.506636905521436</c:v>
                </c:pt>
                <c:pt idx="23">
                  <c:v>21.811138059265271</c:v>
                </c:pt>
                <c:pt idx="24">
                  <c:v>22.126405369528587</c:v>
                </c:pt>
                <c:pt idx="25">
                  <c:v>22.451512318519875</c:v>
                </c:pt>
                <c:pt idx="26">
                  <c:v>22.78553265334055</c:v>
                </c:pt>
                <c:pt idx="27">
                  <c:v>23.127540418802297</c:v>
                </c:pt>
                <c:pt idx="28">
                  <c:v>23.476609968914079</c:v>
                </c:pt>
                <c:pt idx="29">
                  <c:v>23.832340560337752</c:v>
                </c:pt>
                <c:pt idx="30">
                  <c:v>24.193640484653272</c:v>
                </c:pt>
                <c:pt idx="31">
                  <c:v>24.559585225565986</c:v>
                </c:pt>
                <c:pt idx="32">
                  <c:v>24.929250643842199</c:v>
                </c:pt>
                <c:pt idx="33">
                  <c:v>25.301712983308743</c:v>
                </c:pt>
                <c:pt idx="34">
                  <c:v>25.676048866395359</c:v>
                </c:pt>
                <c:pt idx="35">
                  <c:v>26.051335292011618</c:v>
                </c:pt>
                <c:pt idx="36">
                  <c:v>26.429625451432727</c:v>
                </c:pt>
                <c:pt idx="37">
                  <c:v>26.812695796345611</c:v>
                </c:pt>
                <c:pt idx="38">
                  <c:v>27.199256279293039</c:v>
                </c:pt>
                <c:pt idx="39">
                  <c:v>27.588999367943948</c:v>
                </c:pt>
                <c:pt idx="40">
                  <c:v>27.981617605391996</c:v>
                </c:pt>
                <c:pt idx="41">
                  <c:v>28.376803601818683</c:v>
                </c:pt>
                <c:pt idx="42">
                  <c:v>28.774250033883536</c:v>
                </c:pt>
                <c:pt idx="43">
                  <c:v>29.173047053381975</c:v>
                </c:pt>
                <c:pt idx="44">
                  <c:v>29.572361503826752</c:v>
                </c:pt>
                <c:pt idx="45">
                  <c:v>29.971885476165397</c:v>
                </c:pt>
                <c:pt idx="46">
                  <c:v>30.371311039867638</c:v>
                </c:pt>
                <c:pt idx="47">
                  <c:v>30.770330245309982</c:v>
                </c:pt>
                <c:pt idx="48">
                  <c:v>31.168635126962194</c:v>
                </c:pt>
                <c:pt idx="49">
                  <c:v>31.565917708746781</c:v>
                </c:pt>
                <c:pt idx="50">
                  <c:v>31.962194692865253</c:v>
                </c:pt>
                <c:pt idx="51">
                  <c:v>32.357789798543955</c:v>
                </c:pt>
                <c:pt idx="52">
                  <c:v>32.753595413858434</c:v>
                </c:pt>
                <c:pt idx="53">
                  <c:v>33.149816172911329</c:v>
                </c:pt>
                <c:pt idx="54">
                  <c:v>33.546656467857154</c:v>
                </c:pt>
                <c:pt idx="55">
                  <c:v>33.944320600301111</c:v>
                </c:pt>
                <c:pt idx="56">
                  <c:v>34.343012779925509</c:v>
                </c:pt>
                <c:pt idx="57">
                  <c:v>34.742973507305912</c:v>
                </c:pt>
                <c:pt idx="58">
                  <c:v>35.145011730793648</c:v>
                </c:pt>
                <c:pt idx="59">
                  <c:v>35.549331962011387</c:v>
                </c:pt>
                <c:pt idx="60">
                  <c:v>35.956138628816383</c:v>
                </c:pt>
                <c:pt idx="61">
                  <c:v>36.365636075018408</c:v>
                </c:pt>
                <c:pt idx="62">
                  <c:v>36.77802856276012</c:v>
                </c:pt>
                <c:pt idx="63">
                  <c:v>37.193520263924974</c:v>
                </c:pt>
                <c:pt idx="64">
                  <c:v>37.612912919885609</c:v>
                </c:pt>
                <c:pt idx="65">
                  <c:v>38.036494918892593</c:v>
                </c:pt>
                <c:pt idx="66">
                  <c:v>38.46378811404584</c:v>
                </c:pt>
                <c:pt idx="67">
                  <c:v>38.894279363929861</c:v>
                </c:pt>
                <c:pt idx="68">
                  <c:v>39.32745560409807</c:v>
                </c:pt>
                <c:pt idx="69">
                  <c:v>39.762803849489835</c:v>
                </c:pt>
                <c:pt idx="70">
                  <c:v>40.199811192104306</c:v>
                </c:pt>
                <c:pt idx="71">
                  <c:v>40.637914724517415</c:v>
                </c:pt>
                <c:pt idx="72">
                  <c:v>41.076565014307384</c:v>
                </c:pt>
                <c:pt idx="73">
                  <c:v>41.515249233712957</c:v>
                </c:pt>
                <c:pt idx="74">
                  <c:v>41.953454610890354</c:v>
                </c:pt>
                <c:pt idx="75">
                  <c:v>42.390668428700991</c:v>
                </c:pt>
                <c:pt idx="76">
                  <c:v>42.826378022586098</c:v>
                </c:pt>
                <c:pt idx="77">
                  <c:v>43.260070778075892</c:v>
                </c:pt>
                <c:pt idx="78">
                  <c:v>43.695397393939693</c:v>
                </c:pt>
                <c:pt idx="79">
                  <c:v>44.135440522349576</c:v>
                </c:pt>
                <c:pt idx="80">
                  <c:v>44.578902762267056</c:v>
                </c:pt>
                <c:pt idx="81">
                  <c:v>45.024451667365518</c:v>
                </c:pt>
                <c:pt idx="82">
                  <c:v>45.470755015815193</c:v>
                </c:pt>
                <c:pt idx="83">
                  <c:v>45.916480808716138</c:v>
                </c:pt>
                <c:pt idx="84">
                  <c:v>46.360297273995087</c:v>
                </c:pt>
                <c:pt idx="85">
                  <c:v>46.800900148628855</c:v>
                </c:pt>
                <c:pt idx="86">
                  <c:v>47.237009041856759</c:v>
                </c:pt>
                <c:pt idx="87">
                  <c:v>47.667293255822706</c:v>
                </c:pt>
                <c:pt idx="88">
                  <c:v>48.090422383216861</c:v>
                </c:pt>
                <c:pt idx="89">
                  <c:v>48.50506631450299</c:v>
                </c:pt>
                <c:pt idx="90">
                  <c:v>48.909895245572564</c:v>
                </c:pt>
                <c:pt idx="91">
                  <c:v>49.303579687188247</c:v>
                </c:pt>
                <c:pt idx="92">
                  <c:v>49.688779874348313</c:v>
                </c:pt>
                <c:pt idx="93">
                  <c:v>50.068888119444935</c:v>
                </c:pt>
                <c:pt idx="94">
                  <c:v>50.44361936775735</c:v>
                </c:pt>
                <c:pt idx="95">
                  <c:v>50.812667107615773</c:v>
                </c:pt>
                <c:pt idx="96">
                  <c:v>51.175724976325952</c:v>
                </c:pt>
                <c:pt idx="97">
                  <c:v>51.532486782789185</c:v>
                </c:pt>
                <c:pt idx="98">
                  <c:v>51.882646508545747</c:v>
                </c:pt>
                <c:pt idx="99">
                  <c:v>52.225888012925942</c:v>
                </c:pt>
                <c:pt idx="100">
                  <c:v>52.561877359286306</c:v>
                </c:pt>
                <c:pt idx="101">
                  <c:v>52.890308713119431</c:v>
                </c:pt>
                <c:pt idx="102">
                  <c:v>53.210876409400605</c:v>
                </c:pt>
                <c:pt idx="103">
                  <c:v>53.52327495992806</c:v>
                </c:pt>
                <c:pt idx="104">
                  <c:v>53.827199046718249</c:v>
                </c:pt>
                <c:pt idx="105">
                  <c:v>54.12234354747163</c:v>
                </c:pt>
                <c:pt idx="106">
                  <c:v>54.408727165391582</c:v>
                </c:pt>
                <c:pt idx="107">
                  <c:v>54.686686570763712</c:v>
                </c:pt>
                <c:pt idx="108">
                  <c:v>54.956373654287077</c:v>
                </c:pt>
                <c:pt idx="109">
                  <c:v>55.217993411151298</c:v>
                </c:pt>
                <c:pt idx="110">
                  <c:v>55.471750804430165</c:v>
                </c:pt>
                <c:pt idx="111">
                  <c:v>55.717850778946676</c:v>
                </c:pt>
                <c:pt idx="112">
                  <c:v>55.956498260174591</c:v>
                </c:pt>
                <c:pt idx="113">
                  <c:v>56.187899992061212</c:v>
                </c:pt>
                <c:pt idx="114">
                  <c:v>56.412271816255917</c:v>
                </c:pt>
                <c:pt idx="115">
                  <c:v>56.629818800384626</c:v>
                </c:pt>
                <c:pt idx="116">
                  <c:v>56.840746011789413</c:v>
                </c:pt>
                <c:pt idx="117">
                  <c:v>57.045258503846796</c:v>
                </c:pt>
                <c:pt idx="118">
                  <c:v>57.243561339778601</c:v>
                </c:pt>
                <c:pt idx="119">
                  <c:v>59.788993287105804</c:v>
                </c:pt>
                <c:pt idx="120">
                  <c:v>59.98087969232931</c:v>
                </c:pt>
                <c:pt idx="121">
                  <c:v>60.164202248485175</c:v>
                </c:pt>
                <c:pt idx="122">
                  <c:v>60.339413716218388</c:v>
                </c:pt>
                <c:pt idx="123">
                  <c:v>60.506941088893619</c:v>
                </c:pt>
                <c:pt idx="124">
                  <c:v>60.667211208345179</c:v>
                </c:pt>
                <c:pt idx="125">
                  <c:v>60.820650771237545</c:v>
                </c:pt>
                <c:pt idx="126">
                  <c:v>60.967686326047563</c:v>
                </c:pt>
                <c:pt idx="127">
                  <c:v>61.108739415860029</c:v>
                </c:pt>
                <c:pt idx="128">
                  <c:v>61.244234054972267</c:v>
                </c:pt>
                <c:pt idx="129">
                  <c:v>61.374596184281863</c:v>
                </c:pt>
                <c:pt idx="130">
                  <c:v>61.500251588885341</c:v>
                </c:pt>
                <c:pt idx="131">
                  <c:v>61.621625909366976</c:v>
                </c:pt>
                <c:pt idx="132">
                  <c:v>61.739144633760212</c:v>
                </c:pt>
                <c:pt idx="133">
                  <c:v>61.853233104952899</c:v>
                </c:pt>
                <c:pt idx="134">
                  <c:v>61.962795004317698</c:v>
                </c:pt>
                <c:pt idx="135">
                  <c:v>62.066594326394451</c:v>
                </c:pt>
                <c:pt idx="136">
                  <c:v>62.164849956764236</c:v>
                </c:pt>
                <c:pt idx="137">
                  <c:v>62.257775484668635</c:v>
                </c:pt>
                <c:pt idx="138">
                  <c:v>62.345584439985799</c:v>
                </c:pt>
                <c:pt idx="139">
                  <c:v>62.428490284253051</c:v>
                </c:pt>
                <c:pt idx="140">
                  <c:v>62.506706422267278</c:v>
                </c:pt>
                <c:pt idx="141">
                  <c:v>62.580447038172487</c:v>
                </c:pt>
                <c:pt idx="142">
                  <c:v>62.649930981153183</c:v>
                </c:pt>
                <c:pt idx="143">
                  <c:v>62.715371651775719</c:v>
                </c:pt>
                <c:pt idx="144">
                  <c:v>62.776982388381846</c:v>
                </c:pt>
                <c:pt idx="145">
                  <c:v>62.834976472120061</c:v>
                </c:pt>
                <c:pt idx="146">
                  <c:v>62.889567123080106</c:v>
                </c:pt>
                <c:pt idx="147">
                  <c:v>62.94096750851763</c:v>
                </c:pt>
                <c:pt idx="148">
                  <c:v>62.988401205535084</c:v>
                </c:pt>
                <c:pt idx="149">
                  <c:v>63.031090089755381</c:v>
                </c:pt>
                <c:pt idx="150">
                  <c:v>63.069245965549165</c:v>
                </c:pt>
                <c:pt idx="151">
                  <c:v>63.103082188608006</c:v>
                </c:pt>
                <c:pt idx="152">
                  <c:v>63.132812053448568</c:v>
                </c:pt>
                <c:pt idx="153">
                  <c:v>63.158648793981868</c:v>
                </c:pt>
                <c:pt idx="154">
                  <c:v>63.180805580930802</c:v>
                </c:pt>
                <c:pt idx="155">
                  <c:v>63.199494565699752</c:v>
                </c:pt>
                <c:pt idx="156">
                  <c:v>63.214927819455781</c:v>
                </c:pt>
                <c:pt idx="157">
                  <c:v>63.227318272987638</c:v>
                </c:pt>
                <c:pt idx="158">
                  <c:v>63.236878792747795</c:v>
                </c:pt>
                <c:pt idx="159">
                  <c:v>63.243822175565171</c:v>
                </c:pt>
                <c:pt idx="160">
                  <c:v>63.248361151186934</c:v>
                </c:pt>
                <c:pt idx="161">
                  <c:v>63.250708379468087</c:v>
                </c:pt>
                <c:pt idx="162">
                  <c:v>63.251694139370869</c:v>
                </c:pt>
                <c:pt idx="163">
                  <c:v>63.251653793189128</c:v>
                </c:pt>
                <c:pt idx="164">
                  <c:v>63.250060716258631</c:v>
                </c:pt>
                <c:pt idx="165">
                  <c:v>63.246386282650896</c:v>
                </c:pt>
                <c:pt idx="166">
                  <c:v>63.240102055372851</c:v>
                </c:pt>
                <c:pt idx="167">
                  <c:v>63.230679779287243</c:v>
                </c:pt>
                <c:pt idx="168">
                  <c:v>63.217591382692596</c:v>
                </c:pt>
                <c:pt idx="169">
                  <c:v>63.2003084406741</c:v>
                </c:pt>
                <c:pt idx="170">
                  <c:v>63.178304284077313</c:v>
                </c:pt>
                <c:pt idx="171">
                  <c:v>63.151051388694704</c:v>
                </c:pt>
                <c:pt idx="172">
                  <c:v>63.118022407025144</c:v>
                </c:pt>
                <c:pt idx="173">
                  <c:v>63.07869016474794</c:v>
                </c:pt>
                <c:pt idx="174">
                  <c:v>63.032527663017795</c:v>
                </c:pt>
                <c:pt idx="175">
                  <c:v>62.979008072157278</c:v>
                </c:pt>
                <c:pt idx="176">
                  <c:v>62.918239279817591</c:v>
                </c:pt>
                <c:pt idx="177">
                  <c:v>62.850892030184653</c:v>
                </c:pt>
                <c:pt idx="178">
                  <c:v>62.777285981593479</c:v>
                </c:pt>
                <c:pt idx="179">
                  <c:v>62.697740110158541</c:v>
                </c:pt>
                <c:pt idx="180">
                  <c:v>62.612573264511511</c:v>
                </c:pt>
                <c:pt idx="181">
                  <c:v>62.522104158036676</c:v>
                </c:pt>
                <c:pt idx="182">
                  <c:v>62.426651381598042</c:v>
                </c:pt>
                <c:pt idx="183">
                  <c:v>62.326530932128918</c:v>
                </c:pt>
                <c:pt idx="184">
                  <c:v>62.222061689842704</c:v>
                </c:pt>
                <c:pt idx="185">
                  <c:v>62.113561837642038</c:v>
                </c:pt>
                <c:pt idx="186">
                  <c:v>62.001349434643693</c:v>
                </c:pt>
                <c:pt idx="187">
                  <c:v>61.885742412238201</c:v>
                </c:pt>
                <c:pt idx="188">
                  <c:v>61.76705858111626</c:v>
                </c:pt>
                <c:pt idx="189">
                  <c:v>61.645615622223538</c:v>
                </c:pt>
                <c:pt idx="190">
                  <c:v>61.521396607494204</c:v>
                </c:pt>
                <c:pt idx="191">
                  <c:v>61.394033649110618</c:v>
                </c:pt>
                <c:pt idx="192">
                  <c:v>61.263317424850662</c:v>
                </c:pt>
                <c:pt idx="193">
                  <c:v>61.129037534955479</c:v>
                </c:pt>
                <c:pt idx="194">
                  <c:v>60.990983645786017</c:v>
                </c:pt>
                <c:pt idx="195">
                  <c:v>60.848945482147876</c:v>
                </c:pt>
                <c:pt idx="196">
                  <c:v>60.702712835864716</c:v>
                </c:pt>
                <c:pt idx="197">
                  <c:v>60.552077683237705</c:v>
                </c:pt>
                <c:pt idx="198">
                  <c:v>60.396832502557331</c:v>
                </c:pt>
                <c:pt idx="199">
                  <c:v>60.236767299414147</c:v>
                </c:pt>
                <c:pt idx="200">
                  <c:v>60.071672140631499</c:v>
                </c:pt>
                <c:pt idx="201">
                  <c:v>59.901337162678765</c:v>
                </c:pt>
                <c:pt idx="202">
                  <c:v>59.725552570231322</c:v>
                </c:pt>
                <c:pt idx="203">
                  <c:v>59.544108628829903</c:v>
                </c:pt>
                <c:pt idx="204">
                  <c:v>59.356180248208283</c:v>
                </c:pt>
                <c:pt idx="205">
                  <c:v>59.161427362239749</c:v>
                </c:pt>
                <c:pt idx="206">
                  <c:v>58.960377867413612</c:v>
                </c:pt>
                <c:pt idx="207">
                  <c:v>58.753560624126862</c:v>
                </c:pt>
                <c:pt idx="208">
                  <c:v>58.541504318332763</c:v>
                </c:pt>
                <c:pt idx="209">
                  <c:v>58.324737457611747</c:v>
                </c:pt>
                <c:pt idx="210">
                  <c:v>58.103788377281703</c:v>
                </c:pt>
                <c:pt idx="211">
                  <c:v>57.879177851416891</c:v>
                </c:pt>
                <c:pt idx="212">
                  <c:v>57.651431701039023</c:v>
                </c:pt>
                <c:pt idx="213">
                  <c:v>57.421077733685671</c:v>
                </c:pt>
                <c:pt idx="214">
                  <c:v>57.188643589598136</c:v>
                </c:pt>
                <c:pt idx="215">
                  <c:v>56.954656737553968</c:v>
                </c:pt>
                <c:pt idx="216">
                  <c:v>56.719644478567652</c:v>
                </c:pt>
                <c:pt idx="217">
                  <c:v>56.484133947036248</c:v>
                </c:pt>
                <c:pt idx="218">
                  <c:v>56.246649933187349</c:v>
                </c:pt>
                <c:pt idx="219">
                  <c:v>56.005580463335242</c:v>
                </c:pt>
                <c:pt idx="220">
                  <c:v>55.76125011726365</c:v>
                </c:pt>
                <c:pt idx="221">
                  <c:v>55.513975755213252</c:v>
                </c:pt>
                <c:pt idx="222">
                  <c:v>55.264074139270491</c:v>
                </c:pt>
                <c:pt idx="223">
                  <c:v>55.011861930085487</c:v>
                </c:pt>
                <c:pt idx="224">
                  <c:v>54.75765568784162</c:v>
                </c:pt>
                <c:pt idx="225">
                  <c:v>54.501727333160396</c:v>
                </c:pt>
                <c:pt idx="226">
                  <c:v>54.244400601347934</c:v>
                </c:pt>
                <c:pt idx="227">
                  <c:v>53.985991734609726</c:v>
                </c:pt>
                <c:pt idx="228">
                  <c:v>53.726816885627358</c:v>
                </c:pt>
                <c:pt idx="229">
                  <c:v>53.467192113892139</c:v>
                </c:pt>
                <c:pt idx="230">
                  <c:v>53.2074333882152</c:v>
                </c:pt>
                <c:pt idx="231">
                  <c:v>52.947856587874242</c:v>
                </c:pt>
                <c:pt idx="232">
                  <c:v>52.689128348349485</c:v>
                </c:pt>
                <c:pt idx="233">
                  <c:v>52.431337864114901</c:v>
                </c:pt>
                <c:pt idx="234">
                  <c:v>52.173955620595969</c:v>
                </c:pt>
                <c:pt idx="235">
                  <c:v>51.916455515937024</c:v>
                </c:pt>
                <c:pt idx="236">
                  <c:v>51.658311635101867</c:v>
                </c:pt>
                <c:pt idx="237">
                  <c:v>51.398998258589288</c:v>
                </c:pt>
                <c:pt idx="238">
                  <c:v>51.13798985840031</c:v>
                </c:pt>
                <c:pt idx="239">
                  <c:v>50.874863699376164</c:v>
                </c:pt>
                <c:pt idx="240">
                  <c:v>50.609138970738115</c:v>
                </c:pt>
                <c:pt idx="241">
                  <c:v>50.340290499903134</c:v>
                </c:pt>
                <c:pt idx="242">
                  <c:v>50.067793266070865</c:v>
                </c:pt>
                <c:pt idx="243">
                  <c:v>49.791122400380793</c:v>
                </c:pt>
                <c:pt idx="244">
                  <c:v>49.509753182076146</c:v>
                </c:pt>
                <c:pt idx="245">
                  <c:v>49.22316104168911</c:v>
                </c:pt>
                <c:pt idx="246">
                  <c:v>48.932819092962482</c:v>
                </c:pt>
                <c:pt idx="247">
                  <c:v>48.640386445952707</c:v>
                </c:pt>
                <c:pt idx="248">
                  <c:v>48.345563784079005</c:v>
                </c:pt>
                <c:pt idx="249">
                  <c:v>48.048036075359562</c:v>
                </c:pt>
                <c:pt idx="250">
                  <c:v>47.74748834844074</c:v>
                </c:pt>
                <c:pt idx="251">
                  <c:v>47.443605686095658</c:v>
                </c:pt>
                <c:pt idx="252">
                  <c:v>47.136073228543005</c:v>
                </c:pt>
                <c:pt idx="253">
                  <c:v>46.824532867553977</c:v>
                </c:pt>
                <c:pt idx="254">
                  <c:v>46.508568571627372</c:v>
                </c:pt>
                <c:pt idx="255">
                  <c:v>46.187866156421677</c:v>
                </c:pt>
                <c:pt idx="256">
                  <c:v>45.862111533038949</c:v>
                </c:pt>
                <c:pt idx="257">
                  <c:v>45.530990704227044</c:v>
                </c:pt>
                <c:pt idx="258">
                  <c:v>45.194189765688165</c:v>
                </c:pt>
                <c:pt idx="259">
                  <c:v>44.851394903895233</c:v>
                </c:pt>
                <c:pt idx="260">
                  <c:v>44.501259739751745</c:v>
                </c:pt>
                <c:pt idx="261">
                  <c:v>44.143112563727584</c:v>
                </c:pt>
                <c:pt idx="262">
                  <c:v>43.777750247039698</c:v>
                </c:pt>
                <c:pt idx="263">
                  <c:v>43.406015069244106</c:v>
                </c:pt>
                <c:pt idx="264">
                  <c:v>43.028749090905166</c:v>
                </c:pt>
                <c:pt idx="265">
                  <c:v>42.646794142211398</c:v>
                </c:pt>
                <c:pt idx="266">
                  <c:v>42.260991861271101</c:v>
                </c:pt>
                <c:pt idx="267">
                  <c:v>41.872114594159974</c:v>
                </c:pt>
                <c:pt idx="268">
                  <c:v>41.481046281071926</c:v>
                </c:pt>
                <c:pt idx="269">
                  <c:v>41.088628201271113</c:v>
                </c:pt>
                <c:pt idx="270">
                  <c:v>40.695701462561729</c:v>
                </c:pt>
                <c:pt idx="271">
                  <c:v>40.303107007935978</c:v>
                </c:pt>
                <c:pt idx="272">
                  <c:v>39.911685621011088</c:v>
                </c:pt>
                <c:pt idx="273">
                  <c:v>39.522277931611413</c:v>
                </c:pt>
                <c:pt idx="274">
                  <c:v>39.132717259486135</c:v>
                </c:pt>
                <c:pt idx="275">
                  <c:v>38.740630061605479</c:v>
                </c:pt>
                <c:pt idx="276">
                  <c:v>38.346530031750035</c:v>
                </c:pt>
                <c:pt idx="277">
                  <c:v>37.95083753707911</c:v>
                </c:pt>
                <c:pt idx="278">
                  <c:v>37.55397280168453</c:v>
                </c:pt>
                <c:pt idx="279">
                  <c:v>37.156355902815207</c:v>
                </c:pt>
                <c:pt idx="280">
                  <c:v>36.758406768088598</c:v>
                </c:pt>
                <c:pt idx="281">
                  <c:v>36.360419244254047</c:v>
                </c:pt>
                <c:pt idx="282">
                  <c:v>35.962880376533491</c:v>
                </c:pt>
                <c:pt idx="283">
                  <c:v>35.566210404522899</c:v>
                </c:pt>
                <c:pt idx="284">
                  <c:v>35.170829460001499</c:v>
                </c:pt>
                <c:pt idx="285">
                  <c:v>34.777157563864918</c:v>
                </c:pt>
                <c:pt idx="286">
                  <c:v>34.385614621830783</c:v>
                </c:pt>
                <c:pt idx="287">
                  <c:v>33.996620422145369</c:v>
                </c:pt>
                <c:pt idx="288">
                  <c:v>33.608865560050809</c:v>
                </c:pt>
                <c:pt idx="289">
                  <c:v>33.219843073100648</c:v>
                </c:pt>
                <c:pt idx="290">
                  <c:v>32.829818819284633</c:v>
                </c:pt>
                <c:pt idx="291">
                  <c:v>32.439128095888975</c:v>
                </c:pt>
                <c:pt idx="292">
                  <c:v>32.048106922793686</c:v>
                </c:pt>
                <c:pt idx="293">
                  <c:v>31.657091974420094</c:v>
                </c:pt>
                <c:pt idx="294">
                  <c:v>31.266420507682504</c:v>
                </c:pt>
                <c:pt idx="295">
                  <c:v>30.875436265057957</c:v>
                </c:pt>
                <c:pt idx="296">
                  <c:v>30.484611737516676</c:v>
                </c:pt>
                <c:pt idx="297">
                  <c:v>30.094301183499294</c:v>
                </c:pt>
                <c:pt idx="298">
                  <c:v>29.704859760896397</c:v>
                </c:pt>
                <c:pt idx="299">
                  <c:v>29.316642879215049</c:v>
                </c:pt>
                <c:pt idx="300">
                  <c:v>28.930006010906386</c:v>
                </c:pt>
                <c:pt idx="301">
                  <c:v>28.545304499044651</c:v>
                </c:pt>
                <c:pt idx="302">
                  <c:v>28.160974066087967</c:v>
                </c:pt>
                <c:pt idx="303">
                  <c:v>27.77658789624919</c:v>
                </c:pt>
                <c:pt idx="304">
                  <c:v>27.393715737708554</c:v>
                </c:pt>
                <c:pt idx="305">
                  <c:v>27.012877915245326</c:v>
                </c:pt>
                <c:pt idx="306">
                  <c:v>26.634593565524231</c:v>
                </c:pt>
                <c:pt idx="307">
                  <c:v>26.259380643268138</c:v>
                </c:pt>
                <c:pt idx="308">
                  <c:v>25.887755926259771</c:v>
                </c:pt>
                <c:pt idx="309">
                  <c:v>25.521628845526475</c:v>
                </c:pt>
                <c:pt idx="310">
                  <c:v>25.162380586938177</c:v>
                </c:pt>
                <c:pt idx="311">
                  <c:v>24.81047557249893</c:v>
                </c:pt>
                <c:pt idx="312">
                  <c:v>24.466378088951856</c:v>
                </c:pt>
                <c:pt idx="313">
                  <c:v>24.130552570391238</c:v>
                </c:pt>
                <c:pt idx="314">
                  <c:v>23.803463871190345</c:v>
                </c:pt>
                <c:pt idx="315">
                  <c:v>23.485577541630978</c:v>
                </c:pt>
                <c:pt idx="316">
                  <c:v>23.176052722911887</c:v>
                </c:pt>
                <c:pt idx="317">
                  <c:v>22.873854497091394</c:v>
                </c:pt>
                <c:pt idx="318">
                  <c:v>22.578029485801522</c:v>
                </c:pt>
                <c:pt idx="319">
                  <c:v>22.288541610875495</c:v>
                </c:pt>
                <c:pt idx="320">
                  <c:v>22.005356201719852</c:v>
                </c:pt>
                <c:pt idx="321">
                  <c:v>21.7284401208235</c:v>
                </c:pt>
                <c:pt idx="322">
                  <c:v>21.45776188688377</c:v>
                </c:pt>
                <c:pt idx="323">
                  <c:v>21.193020248516</c:v>
                </c:pt>
                <c:pt idx="324">
                  <c:v>20.932935282454586</c:v>
                </c:pt>
                <c:pt idx="325">
                  <c:v>20.677508703063111</c:v>
                </c:pt>
                <c:pt idx="326">
                  <c:v>20.426744520836372</c:v>
                </c:pt>
                <c:pt idx="327">
                  <c:v>20.180645535093063</c:v>
                </c:pt>
                <c:pt idx="328">
                  <c:v>19.939213136896964</c:v>
                </c:pt>
                <c:pt idx="329">
                  <c:v>19.702449003385873</c:v>
                </c:pt>
                <c:pt idx="330">
                  <c:v>19.468091144505699</c:v>
                </c:pt>
                <c:pt idx="331">
                  <c:v>19.234432062358344</c:v>
                </c:pt>
                <c:pt idx="332">
                  <c:v>19.002382099055449</c:v>
                </c:pt>
                <c:pt idx="333">
                  <c:v>18.772993011481272</c:v>
                </c:pt>
                <c:pt idx="334">
                  <c:v>18.547316071091934</c:v>
                </c:pt>
                <c:pt idx="335">
                  <c:v>18.326402040963742</c:v>
                </c:pt>
                <c:pt idx="336">
                  <c:v>18.111301142830094</c:v>
                </c:pt>
                <c:pt idx="337">
                  <c:v>17.902974046255189</c:v>
                </c:pt>
                <c:pt idx="338">
                  <c:v>17.702722486591387</c:v>
                </c:pt>
                <c:pt idx="339">
                  <c:v>17.511593177939922</c:v>
                </c:pt>
                <c:pt idx="340">
                  <c:v>17.330632435577602</c:v>
                </c:pt>
                <c:pt idx="341">
                  <c:v>17.16088617457649</c:v>
                </c:pt>
                <c:pt idx="342">
                  <c:v>17.003399896585943</c:v>
                </c:pt>
                <c:pt idx="343">
                  <c:v>16.859218668627101</c:v>
                </c:pt>
                <c:pt idx="344">
                  <c:v>16.72442945364639</c:v>
                </c:pt>
                <c:pt idx="345">
                  <c:v>16.595146729013539</c:v>
                </c:pt>
                <c:pt idx="346">
                  <c:v>16.472678499398825</c:v>
                </c:pt>
                <c:pt idx="347">
                  <c:v>16.358108561720265</c:v>
                </c:pt>
                <c:pt idx="348">
                  <c:v>16.252520475303847</c:v>
                </c:pt>
                <c:pt idx="349">
                  <c:v>16.156997527138113</c:v>
                </c:pt>
                <c:pt idx="350">
                  <c:v>16.072622729711881</c:v>
                </c:pt>
                <c:pt idx="351">
                  <c:v>16.000564916064103</c:v>
                </c:pt>
                <c:pt idx="352">
                  <c:v>15.941991768058097</c:v>
                </c:pt>
                <c:pt idx="353">
                  <c:v>15.89798471189205</c:v>
                </c:pt>
                <c:pt idx="354">
                  <c:v>15.869624951057361</c:v>
                </c:pt>
                <c:pt idx="355">
                  <c:v>15.857993436240761</c:v>
                </c:pt>
                <c:pt idx="356">
                  <c:v>15.864171460240858</c:v>
                </c:pt>
                <c:pt idx="357">
                  <c:v>15.889239196441583</c:v>
                </c:pt>
                <c:pt idx="358">
                  <c:v>15.935284447106026</c:v>
                </c:pt>
                <c:pt idx="359">
                  <c:v>16.002611925490061</c:v>
                </c:pt>
                <c:pt idx="360">
                  <c:v>16.089543651447148</c:v>
                </c:pt>
                <c:pt idx="361">
                  <c:v>16.19440186371768</c:v>
                </c:pt>
                <c:pt idx="362">
                  <c:v>16.315594600669758</c:v>
                </c:pt>
                <c:pt idx="363">
                  <c:v>16.451530199511133</c:v>
                </c:pt>
                <c:pt idx="364">
                  <c:v>16.600617290002599</c:v>
                </c:pt>
                <c:pt idx="365">
                  <c:v>16.596653304308845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5.717335721149003</c:v>
                </c:pt>
                <c:pt idx="7">
                  <c:v>7.4688861047157866</c:v>
                </c:pt>
                <c:pt idx="8">
                  <c:v>2.2437220710707155</c:v>
                </c:pt>
                <c:pt idx="9">
                  <c:v>1.855513380385758</c:v>
                </c:pt>
                <c:pt idx="10">
                  <c:v>18.620998602298524</c:v>
                </c:pt>
                <c:pt idx="11">
                  <c:v>16.716253438940075</c:v>
                </c:pt>
                <c:pt idx="12">
                  <c:v>5.6795756124308028</c:v>
                </c:pt>
                <c:pt idx="13">
                  <c:v>19.215206391337418</c:v>
                </c:pt>
                <c:pt idx="14">
                  <c:v>19.771328646316888</c:v>
                </c:pt>
                <c:pt idx="15">
                  <c:v>19.500948595024724</c:v>
                </c:pt>
                <c:pt idx="16">
                  <c:v>13.085994528621287</c:v>
                </c:pt>
                <c:pt idx="17">
                  <c:v>4.1515961439804538</c:v>
                </c:pt>
                <c:pt idx="18">
                  <c:v>10.497412794301795</c:v>
                </c:pt>
                <c:pt idx="19">
                  <c:v>6.0766062212854308</c:v>
                </c:pt>
                <c:pt idx="20">
                  <c:v>17.105901565258314</c:v>
                </c:pt>
                <c:pt idx="21">
                  <c:v>21.096378789455773</c:v>
                </c:pt>
                <c:pt idx="22">
                  <c:v>21.166758206653117</c:v>
                </c:pt>
                <c:pt idx="23">
                  <c:v>21.693158401377914</c:v>
                </c:pt>
                <c:pt idx="24">
                  <c:v>20.317805096288666</c:v>
                </c:pt>
                <c:pt idx="25">
                  <c:v>21.866812177227267</c:v>
                </c:pt>
                <c:pt idx="26">
                  <c:v>18.308167587238984</c:v>
                </c:pt>
                <c:pt idx="27">
                  <c:v>4.3673665170865021</c:v>
                </c:pt>
                <c:pt idx="28">
                  <c:v>6.5646273675673328</c:v>
                </c:pt>
                <c:pt idx="29">
                  <c:v>4.7322406232430989</c:v>
                </c:pt>
                <c:pt idx="30">
                  <c:v>10.975223689739755</c:v>
                </c:pt>
                <c:pt idx="31">
                  <c:v>14.153033091012491</c:v>
                </c:pt>
                <c:pt idx="32">
                  <c:v>5.7097367347976586</c:v>
                </c:pt>
                <c:pt idx="33">
                  <c:v>13.199292714787905</c:v>
                </c:pt>
                <c:pt idx="34">
                  <c:v>12.050360270896471</c:v>
                </c:pt>
                <c:pt idx="35">
                  <c:v>9.4672665749280149</c:v>
                </c:pt>
                <c:pt idx="36">
                  <c:v>20.80378240850894</c:v>
                </c:pt>
                <c:pt idx="37">
                  <c:v>14.262878632544389</c:v>
                </c:pt>
                <c:pt idx="38">
                  <c:v>27.656893678292839</c:v>
                </c:pt>
                <c:pt idx="39">
                  <c:v>27.888718615602219</c:v>
                </c:pt>
                <c:pt idx="40">
                  <c:v>26.92935248358404</c:v>
                </c:pt>
                <c:pt idx="41">
                  <c:v>14.084829752465938</c:v>
                </c:pt>
                <c:pt idx="42">
                  <c:v>22.533592099493116</c:v>
                </c:pt>
                <c:pt idx="43">
                  <c:v>24.837868215983082</c:v>
                </c:pt>
                <c:pt idx="44">
                  <c:v>15.953876185565672</c:v>
                </c:pt>
                <c:pt idx="45">
                  <c:v>20.544262219077915</c:v>
                </c:pt>
                <c:pt idx="46">
                  <c:v>9.7602370302641397</c:v>
                </c:pt>
                <c:pt idx="47">
                  <c:v>11.732291997467012</c:v>
                </c:pt>
                <c:pt idx="48">
                  <c:v>27.499015222335128</c:v>
                </c:pt>
                <c:pt idx="49">
                  <c:v>16.603275880726784</c:v>
                </c:pt>
                <c:pt idx="50">
                  <c:v>20.910903460388678</c:v>
                </c:pt>
                <c:pt idx="51">
                  <c:v>18.440554282915116</c:v>
                </c:pt>
                <c:pt idx="52">
                  <c:v>30.138254758146307</c:v>
                </c:pt>
                <c:pt idx="53">
                  <c:v>31.697354099415666</c:v>
                </c:pt>
                <c:pt idx="54">
                  <c:v>22.571945015251352</c:v>
                </c:pt>
                <c:pt idx="55">
                  <c:v>24.921726287940302</c:v>
                </c:pt>
                <c:pt idx="56">
                  <c:v>35.096517115458234</c:v>
                </c:pt>
                <c:pt idx="57">
                  <c:v>22.449210809441258</c:v>
                </c:pt>
                <c:pt idx="58">
                  <c:v>32.739386984127052</c:v>
                </c:pt>
                <c:pt idx="59">
                  <c:v>34.544615438819733</c:v>
                </c:pt>
                <c:pt idx="60">
                  <c:v>15.962833512636955</c:v>
                </c:pt>
                <c:pt idx="61">
                  <c:v>27.536788730985606</c:v>
                </c:pt>
                <c:pt idx="62">
                  <c:v>5.423645421923057</c:v>
                </c:pt>
                <c:pt idx="63">
                  <c:v>14.065867734862495</c:v>
                </c:pt>
                <c:pt idx="64">
                  <c:v>21.534057881300892</c:v>
                </c:pt>
                <c:pt idx="65">
                  <c:v>34.904201148837117</c:v>
                </c:pt>
                <c:pt idx="66">
                  <c:v>31.316524486076961</c:v>
                </c:pt>
                <c:pt idx="67">
                  <c:v>27.953662101007179</c:v>
                </c:pt>
                <c:pt idx="68">
                  <c:v>23.618769922722848</c:v>
                </c:pt>
                <c:pt idx="69">
                  <c:v>17.045707564647227</c:v>
                </c:pt>
                <c:pt idx="70">
                  <c:v>13.340076755130747</c:v>
                </c:pt>
                <c:pt idx="71">
                  <c:v>8.496657314796547</c:v>
                </c:pt>
                <c:pt idx="72">
                  <c:v>12.652307298321173</c:v>
                </c:pt>
                <c:pt idx="73">
                  <c:v>14.994095179782096</c:v>
                </c:pt>
                <c:pt idx="74">
                  <c:v>12.590811168220647</c:v>
                </c:pt>
                <c:pt idx="75">
                  <c:v>12.092480037057211</c:v>
                </c:pt>
                <c:pt idx="76">
                  <c:v>14.273504739859936</c:v>
                </c:pt>
                <c:pt idx="77">
                  <c:v>26.227084833654825</c:v>
                </c:pt>
                <c:pt idx="78">
                  <c:v>31.43835405112506</c:v>
                </c:pt>
                <c:pt idx="79">
                  <c:v>42.285481798292423</c:v>
                </c:pt>
                <c:pt idx="80">
                  <c:v>41.271758249174056</c:v>
                </c:pt>
                <c:pt idx="81">
                  <c:v>44.03002508645443</c:v>
                </c:pt>
                <c:pt idx="82">
                  <c:v>43.741237644372205</c:v>
                </c:pt>
                <c:pt idx="83">
                  <c:v>36.437017096918218</c:v>
                </c:pt>
                <c:pt idx="84">
                  <c:v>40.02060098040851</c:v>
                </c:pt>
                <c:pt idx="85">
                  <c:v>41.880417760776709</c:v>
                </c:pt>
                <c:pt idx="86">
                  <c:v>35.976755235967502</c:v>
                </c:pt>
                <c:pt idx="87">
                  <c:v>27.397617724530697</c:v>
                </c:pt>
                <c:pt idx="88">
                  <c:v>7.6302867588894614</c:v>
                </c:pt>
                <c:pt idx="89">
                  <c:v>26.648654743513504</c:v>
                </c:pt>
                <c:pt idx="90">
                  <c:v>29.311209532796031</c:v>
                </c:pt>
                <c:pt idx="91">
                  <c:v>19.975009903185786</c:v>
                </c:pt>
                <c:pt idx="92">
                  <c:v>27.271836282490494</c:v>
                </c:pt>
                <c:pt idx="93">
                  <c:v>42.3531306849926</c:v>
                </c:pt>
                <c:pt idx="94">
                  <c:v>50.687315483884511</c:v>
                </c:pt>
                <c:pt idx="95">
                  <c:v>12.364110511405592</c:v>
                </c:pt>
                <c:pt idx="96">
                  <c:v>41.909435428511649</c:v>
                </c:pt>
                <c:pt idx="97">
                  <c:v>35.70004650194408</c:v>
                </c:pt>
                <c:pt idx="98">
                  <c:v>33.212490091411389</c:v>
                </c:pt>
                <c:pt idx="99">
                  <c:v>54.41544367729383</c:v>
                </c:pt>
                <c:pt idx="100">
                  <c:v>43.900528474374696</c:v>
                </c:pt>
                <c:pt idx="101">
                  <c:v>36.630210793597186</c:v>
                </c:pt>
                <c:pt idx="102">
                  <c:v>8.4702913995500921</c:v>
                </c:pt>
                <c:pt idx="103">
                  <c:v>39.102501607349183</c:v>
                </c:pt>
                <c:pt idx="104">
                  <c:v>42.848707853448893</c:v>
                </c:pt>
                <c:pt idx="105">
                  <c:v>38.988823429916728</c:v>
                </c:pt>
                <c:pt idx="106">
                  <c:v>53.999089436814963</c:v>
                </c:pt>
                <c:pt idx="107">
                  <c:v>34.449635739031251</c:v>
                </c:pt>
                <c:pt idx="108">
                  <c:v>11.334471675227793</c:v>
                </c:pt>
                <c:pt idx="109">
                  <c:v>11.358398057297986</c:v>
                </c:pt>
                <c:pt idx="110">
                  <c:v>10.902131077017826</c:v>
                </c:pt>
                <c:pt idx="111">
                  <c:v>28.999052326303602</c:v>
                </c:pt>
                <c:pt idx="112">
                  <c:v>9.5206731902865975</c:v>
                </c:pt>
                <c:pt idx="113">
                  <c:v>34.137508094563216</c:v>
                </c:pt>
                <c:pt idx="114">
                  <c:v>45.052390405937615</c:v>
                </c:pt>
                <c:pt idx="115">
                  <c:v>56.251756893569556</c:v>
                </c:pt>
                <c:pt idx="116">
                  <c:v>44.712823759824794</c:v>
                </c:pt>
                <c:pt idx="117">
                  <c:v>23.837716211294179</c:v>
                </c:pt>
                <c:pt idx="118">
                  <c:v>43.204208964896985</c:v>
                </c:pt>
                <c:pt idx="119">
                  <c:v>44.358578975883226</c:v>
                </c:pt>
                <c:pt idx="120">
                  <c:v>50.323158533460969</c:v>
                </c:pt>
                <c:pt idx="121">
                  <c:v>32.345414577488789</c:v>
                </c:pt>
                <c:pt idx="122">
                  <c:v>36.049958960011438</c:v>
                </c:pt>
                <c:pt idx="123">
                  <c:v>20.288923850081805</c:v>
                </c:pt>
                <c:pt idx="124">
                  <c:v>40.838118883506048</c:v>
                </c:pt>
                <c:pt idx="125">
                  <c:v>42.810169152678661</c:v>
                </c:pt>
                <c:pt idx="126">
                  <c:v>49.239142999455041</c:v>
                </c:pt>
                <c:pt idx="127">
                  <c:v>55.848551781477539</c:v>
                </c:pt>
                <c:pt idx="128">
                  <c:v>59.092581600698566</c:v>
                </c:pt>
                <c:pt idx="129">
                  <c:v>57.882650689423343</c:v>
                </c:pt>
                <c:pt idx="130">
                  <c:v>61.745902144464978</c:v>
                </c:pt>
                <c:pt idx="131">
                  <c:v>47.016368879216962</c:v>
                </c:pt>
                <c:pt idx="132">
                  <c:v>49.821598411469203</c:v>
                </c:pt>
                <c:pt idx="133">
                  <c:v>55.776223866124916</c:v>
                </c:pt>
                <c:pt idx="134">
                  <c:v>57.576658340837312</c:v>
                </c:pt>
                <c:pt idx="135">
                  <c:v>56.273045343229583</c:v>
                </c:pt>
                <c:pt idx="136">
                  <c:v>60.096814651728529</c:v>
                </c:pt>
                <c:pt idx="137">
                  <c:v>57.380217952377492</c:v>
                </c:pt>
                <c:pt idx="138">
                  <c:v>56.154508108941471</c:v>
                </c:pt>
                <c:pt idx="139">
                  <c:v>53.368900622753436</c:v>
                </c:pt>
                <c:pt idx="140">
                  <c:v>55.889122565092606</c:v>
                </c:pt>
                <c:pt idx="141">
                  <c:v>43.215632607633225</c:v>
                </c:pt>
                <c:pt idx="142">
                  <c:v>20.562601133109542</c:v>
                </c:pt>
                <c:pt idx="143">
                  <c:v>17.662675540189475</c:v>
                </c:pt>
                <c:pt idx="144">
                  <c:v>43.046867783169411</c:v>
                </c:pt>
                <c:pt idx="145">
                  <c:v>28.721873250822533</c:v>
                </c:pt>
                <c:pt idx="146">
                  <c:v>44.97346095387875</c:v>
                </c:pt>
                <c:pt idx="147">
                  <c:v>59.042949784701513</c:v>
                </c:pt>
                <c:pt idx="148">
                  <c:v>64.208647424717711</c:v>
                </c:pt>
                <c:pt idx="149">
                  <c:v>51.638806626306597</c:v>
                </c:pt>
                <c:pt idx="150">
                  <c:v>61.04042918040858</c:v>
                </c:pt>
                <c:pt idx="151">
                  <c:v>63.64146744588659</c:v>
                </c:pt>
                <c:pt idx="152">
                  <c:v>45.84084709370206</c:v>
                </c:pt>
                <c:pt idx="153">
                  <c:v>60.695086733541153</c:v>
                </c:pt>
                <c:pt idx="154">
                  <c:v>30.848392775594558</c:v>
                </c:pt>
                <c:pt idx="155">
                  <c:v>34.09034771004184</c:v>
                </c:pt>
                <c:pt idx="156">
                  <c:v>54.515472104614851</c:v>
                </c:pt>
                <c:pt idx="157">
                  <c:v>28.467022282277942</c:v>
                </c:pt>
                <c:pt idx="158">
                  <c:v>25.651917820159216</c:v>
                </c:pt>
                <c:pt idx="159">
                  <c:v>52.712719350706799</c:v>
                </c:pt>
                <c:pt idx="160">
                  <c:v>64.854206403212686</c:v>
                </c:pt>
                <c:pt idx="161">
                  <c:v>62.095214235475609</c:v>
                </c:pt>
                <c:pt idx="162">
                  <c:v>50.071810983438915</c:v>
                </c:pt>
                <c:pt idx="163">
                  <c:v>55.978741951360668</c:v>
                </c:pt>
                <c:pt idx="164">
                  <c:v>56.906379678472923</c:v>
                </c:pt>
                <c:pt idx="165">
                  <c:v>60.365027119465132</c:v>
                </c:pt>
                <c:pt idx="166">
                  <c:v>57.201780061099349</c:v>
                </c:pt>
                <c:pt idx="167">
                  <c:v>57.369181758078106</c:v>
                </c:pt>
                <c:pt idx="168">
                  <c:v>61.08608084489731</c:v>
                </c:pt>
                <c:pt idx="169">
                  <c:v>61.574868385629863</c:v>
                </c:pt>
                <c:pt idx="170">
                  <c:v>33.29510621557499</c:v>
                </c:pt>
                <c:pt idx="171">
                  <c:v>22.40500313822211</c:v>
                </c:pt>
                <c:pt idx="172">
                  <c:v>46.479019451569847</c:v>
                </c:pt>
                <c:pt idx="173">
                  <c:v>45.957220634422114</c:v>
                </c:pt>
                <c:pt idx="174">
                  <c:v>49.435406902794618</c:v>
                </c:pt>
                <c:pt idx="175">
                  <c:v>41.18083451227146</c:v>
                </c:pt>
                <c:pt idx="176">
                  <c:v>12.879291819496904</c:v>
                </c:pt>
                <c:pt idx="177">
                  <c:v>18.947623554139383</c:v>
                </c:pt>
                <c:pt idx="178">
                  <c:v>65.568956311583378</c:v>
                </c:pt>
                <c:pt idx="179">
                  <c:v>63.624320327963133</c:v>
                </c:pt>
                <c:pt idx="180">
                  <c:v>15.628691092685671</c:v>
                </c:pt>
                <c:pt idx="181">
                  <c:v>53.020076383164046</c:v>
                </c:pt>
                <c:pt idx="182">
                  <c:v>58.867091158664586</c:v>
                </c:pt>
                <c:pt idx="183">
                  <c:v>54.745649242092782</c:v>
                </c:pt>
                <c:pt idx="184">
                  <c:v>50.961426957988593</c:v>
                </c:pt>
                <c:pt idx="185">
                  <c:v>61.106728052451842</c:v>
                </c:pt>
                <c:pt idx="186">
                  <c:v>44.986286154256319</c:v>
                </c:pt>
                <c:pt idx="187">
                  <c:v>60.641448633837307</c:v>
                </c:pt>
                <c:pt idx="188">
                  <c:v>63.587688157724848</c:v>
                </c:pt>
                <c:pt idx="189">
                  <c:v>62.605265609238714</c:v>
                </c:pt>
                <c:pt idx="190">
                  <c:v>61.946203147488681</c:v>
                </c:pt>
                <c:pt idx="191">
                  <c:v>60.879993598399331</c:v>
                </c:pt>
                <c:pt idx="192">
                  <c:v>59.925191789789011</c:v>
                </c:pt>
                <c:pt idx="193">
                  <c:v>58.736760713636855</c:v>
                </c:pt>
                <c:pt idx="194">
                  <c:v>58.578509416910713</c:v>
                </c:pt>
                <c:pt idx="195">
                  <c:v>55.993223555312021</c:v>
                </c:pt>
                <c:pt idx="196">
                  <c:v>57.144111484933745</c:v>
                </c:pt>
                <c:pt idx="197">
                  <c:v>57.555640269286457</c:v>
                </c:pt>
                <c:pt idx="198">
                  <c:v>59.311748437641064</c:v>
                </c:pt>
                <c:pt idx="199">
                  <c:v>43.565656382869562</c:v>
                </c:pt>
                <c:pt idx="200">
                  <c:v>40.909639069655832</c:v>
                </c:pt>
                <c:pt idx="201">
                  <c:v>56.449472887181919</c:v>
                </c:pt>
                <c:pt idx="202">
                  <c:v>48.482258001593635</c:v>
                </c:pt>
                <c:pt idx="203">
                  <c:v>45.874567976666235</c:v>
                </c:pt>
                <c:pt idx="204">
                  <c:v>55.851536036684188</c:v>
                </c:pt>
                <c:pt idx="205">
                  <c:v>29.46369627259477</c:v>
                </c:pt>
                <c:pt idx="206">
                  <c:v>52.216215795208498</c:v>
                </c:pt>
                <c:pt idx="207">
                  <c:v>59.098752142449399</c:v>
                </c:pt>
                <c:pt idx="208">
                  <c:v>46.433221892882159</c:v>
                </c:pt>
                <c:pt idx="209">
                  <c:v>28.844533913858395</c:v>
                </c:pt>
                <c:pt idx="210">
                  <c:v>47.440619993499133</c:v>
                </c:pt>
                <c:pt idx="211">
                  <c:v>58.094966734571841</c:v>
                </c:pt>
                <c:pt idx="212">
                  <c:v>57.584780858931722</c:v>
                </c:pt>
                <c:pt idx="213">
                  <c:v>57.595000870815895</c:v>
                </c:pt>
                <c:pt idx="214">
                  <c:v>57.185333926087637</c:v>
                </c:pt>
                <c:pt idx="215">
                  <c:v>54.554111912948706</c:v>
                </c:pt>
                <c:pt idx="216">
                  <c:v>43.546392876275931</c:v>
                </c:pt>
                <c:pt idx="217">
                  <c:v>51.95878659333053</c:v>
                </c:pt>
                <c:pt idx="218">
                  <c:v>54.782794277990767</c:v>
                </c:pt>
                <c:pt idx="219">
                  <c:v>56.202303575829561</c:v>
                </c:pt>
                <c:pt idx="220">
                  <c:v>53.58301447113417</c:v>
                </c:pt>
                <c:pt idx="221">
                  <c:v>52.037028564864407</c:v>
                </c:pt>
                <c:pt idx="222">
                  <c:v>49.109378928178963</c:v>
                </c:pt>
                <c:pt idx="223">
                  <c:v>0</c:v>
                </c:pt>
                <c:pt idx="224">
                  <c:v>36.497745656581159</c:v>
                </c:pt>
                <c:pt idx="225">
                  <c:v>36.56425421311166</c:v>
                </c:pt>
                <c:pt idx="226">
                  <c:v>36.979585576321583</c:v>
                </c:pt>
                <c:pt idx="227">
                  <c:v>38.301487687520826</c:v>
                </c:pt>
                <c:pt idx="228">
                  <c:v>26.641207992145844</c:v>
                </c:pt>
                <c:pt idx="229">
                  <c:v>40.649439772489899</c:v>
                </c:pt>
                <c:pt idx="230">
                  <c:v>40.240751257920913</c:v>
                </c:pt>
                <c:pt idx="231">
                  <c:v>52.515862175947035</c:v>
                </c:pt>
                <c:pt idx="232">
                  <c:v>37.896003912984511</c:v>
                </c:pt>
                <c:pt idx="233">
                  <c:v>27.719599049904602</c:v>
                </c:pt>
                <c:pt idx="234">
                  <c:v>46.891316666969928</c:v>
                </c:pt>
                <c:pt idx="235">
                  <c:v>50.928948960555992</c:v>
                </c:pt>
                <c:pt idx="236">
                  <c:v>32.664705215080716</c:v>
                </c:pt>
                <c:pt idx="237">
                  <c:v>37.646250772113348</c:v>
                </c:pt>
                <c:pt idx="238">
                  <c:v>47.458015290204102</c:v>
                </c:pt>
                <c:pt idx="239">
                  <c:v>49.890187854543363</c:v>
                </c:pt>
                <c:pt idx="240">
                  <c:v>34.867092071977908</c:v>
                </c:pt>
                <c:pt idx="241">
                  <c:v>48.931202970510832</c:v>
                </c:pt>
                <c:pt idx="242">
                  <c:v>24.772919535775685</c:v>
                </c:pt>
                <c:pt idx="243">
                  <c:v>42.596896709559019</c:v>
                </c:pt>
                <c:pt idx="244">
                  <c:v>40.264405398670526</c:v>
                </c:pt>
                <c:pt idx="245">
                  <c:v>37.041559778727496</c:v>
                </c:pt>
                <c:pt idx="246">
                  <c:v>48.569080615973292</c:v>
                </c:pt>
                <c:pt idx="247">
                  <c:v>40.641825269983322</c:v>
                </c:pt>
                <c:pt idx="248">
                  <c:v>44.298832090495488</c:v>
                </c:pt>
                <c:pt idx="249">
                  <c:v>36.323746637357786</c:v>
                </c:pt>
                <c:pt idx="250">
                  <c:v>40.399586666921373</c:v>
                </c:pt>
                <c:pt idx="251">
                  <c:v>19.247243536135283</c:v>
                </c:pt>
                <c:pt idx="252">
                  <c:v>44.86956527762645</c:v>
                </c:pt>
                <c:pt idx="253">
                  <c:v>46.419138623635327</c:v>
                </c:pt>
                <c:pt idx="254">
                  <c:v>36.056818204385578</c:v>
                </c:pt>
                <c:pt idx="255">
                  <c:v>13.820917052316476</c:v>
                </c:pt>
                <c:pt idx="256">
                  <c:v>37.137600708004399</c:v>
                </c:pt>
                <c:pt idx="257">
                  <c:v>42.18796479627882</c:v>
                </c:pt>
                <c:pt idx="258">
                  <c:v>28.349316086433536</c:v>
                </c:pt>
                <c:pt idx="259">
                  <c:v>45.520569343720155</c:v>
                </c:pt>
                <c:pt idx="260">
                  <c:v>44.588835424196695</c:v>
                </c:pt>
                <c:pt idx="261">
                  <c:v>44.941505296955</c:v>
                </c:pt>
                <c:pt idx="262">
                  <c:v>45.297004726755645</c:v>
                </c:pt>
                <c:pt idx="263">
                  <c:v>43.959100346977856</c:v>
                </c:pt>
                <c:pt idx="264">
                  <c:v>42.728454341747437</c:v>
                </c:pt>
                <c:pt idx="265">
                  <c:v>31.310678473664701</c:v>
                </c:pt>
                <c:pt idx="266">
                  <c:v>19.340505315666395</c:v>
                </c:pt>
                <c:pt idx="267">
                  <c:v>30.957044026265507</c:v>
                </c:pt>
                <c:pt idx="268">
                  <c:v>33.387247775066136</c:v>
                </c:pt>
                <c:pt idx="269">
                  <c:v>16.338124864168933</c:v>
                </c:pt>
                <c:pt idx="270">
                  <c:v>18.663994002758255</c:v>
                </c:pt>
                <c:pt idx="271">
                  <c:v>24.15503173668959</c:v>
                </c:pt>
                <c:pt idx="272">
                  <c:v>25.902218597626831</c:v>
                </c:pt>
                <c:pt idx="273">
                  <c:v>35.352248287048596</c:v>
                </c:pt>
                <c:pt idx="274">
                  <c:v>36.763765602542108</c:v>
                </c:pt>
                <c:pt idx="275">
                  <c:v>33.291905259744119</c:v>
                </c:pt>
                <c:pt idx="276">
                  <c:v>38.774840976951076</c:v>
                </c:pt>
                <c:pt idx="277">
                  <c:v>39.026978237618465</c:v>
                </c:pt>
                <c:pt idx="278">
                  <c:v>15.641724885184425</c:v>
                </c:pt>
                <c:pt idx="279">
                  <c:v>30.043376683560343</c:v>
                </c:pt>
                <c:pt idx="280">
                  <c:v>15.193214719260627</c:v>
                </c:pt>
                <c:pt idx="281">
                  <c:v>35.479097956032497</c:v>
                </c:pt>
                <c:pt idx="282">
                  <c:v>31.062257246043078</c:v>
                </c:pt>
                <c:pt idx="283">
                  <c:v>24.980423372705221</c:v>
                </c:pt>
                <c:pt idx="284">
                  <c:v>24.883405934394794</c:v>
                </c:pt>
                <c:pt idx="285">
                  <c:v>22.538490519148464</c:v>
                </c:pt>
                <c:pt idx="286">
                  <c:v>15.148320872993846</c:v>
                </c:pt>
                <c:pt idx="287">
                  <c:v>33.761286704150962</c:v>
                </c:pt>
                <c:pt idx="288">
                  <c:v>29.594702636378781</c:v>
                </c:pt>
                <c:pt idx="289">
                  <c:v>16.677418276314871</c:v>
                </c:pt>
                <c:pt idx="290">
                  <c:v>29.747723836031682</c:v>
                </c:pt>
                <c:pt idx="291">
                  <c:v>16.615037653383929</c:v>
                </c:pt>
                <c:pt idx="292">
                  <c:v>8.7388879106282769</c:v>
                </c:pt>
                <c:pt idx="293">
                  <c:v>16.892346348885745</c:v>
                </c:pt>
                <c:pt idx="294">
                  <c:v>28.949297173058458</c:v>
                </c:pt>
                <c:pt idx="295">
                  <c:v>18.869901282711833</c:v>
                </c:pt>
                <c:pt idx="296">
                  <c:v>24.469521412261606</c:v>
                </c:pt>
                <c:pt idx="297">
                  <c:v>20.556104955989586</c:v>
                </c:pt>
                <c:pt idx="298">
                  <c:v>15.355299875758494</c:v>
                </c:pt>
                <c:pt idx="299">
                  <c:v>14.512660072945636</c:v>
                </c:pt>
                <c:pt idx="300">
                  <c:v>16.68498498350996</c:v>
                </c:pt>
                <c:pt idx="301">
                  <c:v>23.461691950181756</c:v>
                </c:pt>
                <c:pt idx="302">
                  <c:v>20.533458305223125</c:v>
                </c:pt>
                <c:pt idx="303">
                  <c:v>19.68546481133621</c:v>
                </c:pt>
                <c:pt idx="304">
                  <c:v>17.939347727041625</c:v>
                </c:pt>
                <c:pt idx="305">
                  <c:v>24.817720419342105</c:v>
                </c:pt>
                <c:pt idx="306">
                  <c:v>8.9965934490000645</c:v>
                </c:pt>
                <c:pt idx="307">
                  <c:v>12.476731343980552</c:v>
                </c:pt>
                <c:pt idx="308">
                  <c:v>25.124288343770321</c:v>
                </c:pt>
                <c:pt idx="309">
                  <c:v>25.166504449291384</c:v>
                </c:pt>
                <c:pt idx="310">
                  <c:v>24.94991344536594</c:v>
                </c:pt>
                <c:pt idx="311">
                  <c:v>18.041376493812834</c:v>
                </c:pt>
                <c:pt idx="312">
                  <c:v>10.057470343947271</c:v>
                </c:pt>
                <c:pt idx="313">
                  <c:v>18.280697771730171</c:v>
                </c:pt>
                <c:pt idx="314">
                  <c:v>21.740752189660512</c:v>
                </c:pt>
                <c:pt idx="315">
                  <c:v>21.864888897408264</c:v>
                </c:pt>
                <c:pt idx="316">
                  <c:v>20.816036551585263</c:v>
                </c:pt>
                <c:pt idx="317">
                  <c:v>11.247100970500947</c:v>
                </c:pt>
                <c:pt idx="318">
                  <c:v>12.769447826956823</c:v>
                </c:pt>
                <c:pt idx="319">
                  <c:v>21.327085623299709</c:v>
                </c:pt>
                <c:pt idx="320">
                  <c:v>14.01902592487464</c:v>
                </c:pt>
                <c:pt idx="321">
                  <c:v>11.620448489460285</c:v>
                </c:pt>
                <c:pt idx="322">
                  <c:v>8.3398323721306991</c:v>
                </c:pt>
                <c:pt idx="323">
                  <c:v>15.013685297875025</c:v>
                </c:pt>
                <c:pt idx="324">
                  <c:v>3.419191276135678</c:v>
                </c:pt>
                <c:pt idx="325">
                  <c:v>9.5945289423195206</c:v>
                </c:pt>
                <c:pt idx="326">
                  <c:v>12.796698296815336</c:v>
                </c:pt>
                <c:pt idx="327">
                  <c:v>11.898083887459254</c:v>
                </c:pt>
                <c:pt idx="328">
                  <c:v>4.8290291475253557</c:v>
                </c:pt>
                <c:pt idx="329">
                  <c:v>9.6574506310401116</c:v>
                </c:pt>
                <c:pt idx="330">
                  <c:v>13.806711753336907</c:v>
                </c:pt>
                <c:pt idx="331">
                  <c:v>9.4281293663886387</c:v>
                </c:pt>
                <c:pt idx="332">
                  <c:v>10.449547486797222</c:v>
                </c:pt>
                <c:pt idx="333">
                  <c:v>4.4764529691131685</c:v>
                </c:pt>
                <c:pt idx="334">
                  <c:v>4.2242806631773666</c:v>
                </c:pt>
                <c:pt idx="335">
                  <c:v>5.3897529562440791</c:v>
                </c:pt>
                <c:pt idx="336">
                  <c:v>9.6924264226526748</c:v>
                </c:pt>
                <c:pt idx="337">
                  <c:v>12.959386660027235</c:v>
                </c:pt>
                <c:pt idx="338">
                  <c:v>17.957688746495229</c:v>
                </c:pt>
                <c:pt idx="339">
                  <c:v>11.729226113099774</c:v>
                </c:pt>
                <c:pt idx="340">
                  <c:v>14.387375494091275</c:v>
                </c:pt>
                <c:pt idx="341">
                  <c:v>4.6347649789765173</c:v>
                </c:pt>
                <c:pt idx="342">
                  <c:v>7.7162048525811562</c:v>
                </c:pt>
                <c:pt idx="343">
                  <c:v>11.235420856556591</c:v>
                </c:pt>
                <c:pt idx="344">
                  <c:v>12.775019741215795</c:v>
                </c:pt>
                <c:pt idx="345">
                  <c:v>5.8489435544414352</c:v>
                </c:pt>
                <c:pt idx="346">
                  <c:v>5.5094231526681305</c:v>
                </c:pt>
                <c:pt idx="347">
                  <c:v>12.545264692060366</c:v>
                </c:pt>
                <c:pt idx="348">
                  <c:v>6.6999620355699649</c:v>
                </c:pt>
                <c:pt idx="349">
                  <c:v>5.622467924144976</c:v>
                </c:pt>
                <c:pt idx="350">
                  <c:v>3.6302205113785795</c:v>
                </c:pt>
                <c:pt idx="351">
                  <c:v>14.608521778596176</c:v>
                </c:pt>
                <c:pt idx="352">
                  <c:v>13.986568801024829</c:v>
                </c:pt>
                <c:pt idx="353">
                  <c:v>4.222255139375962</c:v>
                </c:pt>
                <c:pt idx="354">
                  <c:v>14.972827230685677</c:v>
                </c:pt>
                <c:pt idx="355">
                  <c:v>14.905086444989353</c:v>
                </c:pt>
                <c:pt idx="356">
                  <c:v>14.624974359073748</c:v>
                </c:pt>
                <c:pt idx="357">
                  <c:v>15.823957209940193</c:v>
                </c:pt>
                <c:pt idx="358">
                  <c:v>8.7753363652290002</c:v>
                </c:pt>
                <c:pt idx="359">
                  <c:v>14.666147500810956</c:v>
                </c:pt>
                <c:pt idx="360">
                  <c:v>6.3124381340569817</c:v>
                </c:pt>
                <c:pt idx="361">
                  <c:v>12.930569820087801</c:v>
                </c:pt>
                <c:pt idx="362">
                  <c:v>9.8533832218122477</c:v>
                </c:pt>
                <c:pt idx="363">
                  <c:v>11.807368245876823</c:v>
                </c:pt>
                <c:pt idx="364">
                  <c:v>10.737912898963623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5.717335721149003</c:v>
                </c:pt>
                <c:pt idx="7">
                  <c:v>7.4688861047157866</c:v>
                </c:pt>
                <c:pt idx="8">
                  <c:v>2.2437220710707155</c:v>
                </c:pt>
                <c:pt idx="9">
                  <c:v>1.855513380385758</c:v>
                </c:pt>
                <c:pt idx="10">
                  <c:v>18.620998602298524</c:v>
                </c:pt>
                <c:pt idx="11">
                  <c:v>16.716253438940075</c:v>
                </c:pt>
                <c:pt idx="12">
                  <c:v>5.6795756124308028</c:v>
                </c:pt>
                <c:pt idx="13">
                  <c:v>19.215206391337418</c:v>
                </c:pt>
                <c:pt idx="14">
                  <c:v>19.771328646316888</c:v>
                </c:pt>
                <c:pt idx="15">
                  <c:v>19.500948595024724</c:v>
                </c:pt>
                <c:pt idx="16">
                  <c:v>13.085994528621287</c:v>
                </c:pt>
                <c:pt idx="17">
                  <c:v>4.1515961439804538</c:v>
                </c:pt>
                <c:pt idx="18">
                  <c:v>10.497412794301795</c:v>
                </c:pt>
                <c:pt idx="19">
                  <c:v>6.0766062212854308</c:v>
                </c:pt>
                <c:pt idx="20">
                  <c:v>17.105901565258314</c:v>
                </c:pt>
                <c:pt idx="21">
                  <c:v>21.096378789455773</c:v>
                </c:pt>
                <c:pt idx="22">
                  <c:v>21.166758206653117</c:v>
                </c:pt>
                <c:pt idx="23">
                  <c:v>21.693158401377914</c:v>
                </c:pt>
                <c:pt idx="24">
                  <c:v>20.317805096288666</c:v>
                </c:pt>
                <c:pt idx="25">
                  <c:v>21.866812177227267</c:v>
                </c:pt>
                <c:pt idx="26">
                  <c:v>18.308167587238984</c:v>
                </c:pt>
                <c:pt idx="27">
                  <c:v>4.3673665170865021</c:v>
                </c:pt>
                <c:pt idx="28">
                  <c:v>6.5646273675673328</c:v>
                </c:pt>
                <c:pt idx="29">
                  <c:v>4.7322406232430989</c:v>
                </c:pt>
                <c:pt idx="30">
                  <c:v>10.975223689739755</c:v>
                </c:pt>
                <c:pt idx="31">
                  <c:v>14.153033091012491</c:v>
                </c:pt>
                <c:pt idx="32">
                  <c:v>5.7097367347976586</c:v>
                </c:pt>
                <c:pt idx="33">
                  <c:v>13.199292714787905</c:v>
                </c:pt>
                <c:pt idx="34">
                  <c:v>12.050360270896471</c:v>
                </c:pt>
                <c:pt idx="35">
                  <c:v>9.4672665749280149</c:v>
                </c:pt>
                <c:pt idx="36">
                  <c:v>20.80378240850894</c:v>
                </c:pt>
                <c:pt idx="37">
                  <c:v>14.262878632544389</c:v>
                </c:pt>
                <c:pt idx="38">
                  <c:v>27.656893678292839</c:v>
                </c:pt>
                <c:pt idx="39">
                  <c:v>27.888718615602219</c:v>
                </c:pt>
                <c:pt idx="40">
                  <c:v>26.92935248358404</c:v>
                </c:pt>
                <c:pt idx="41">
                  <c:v>14.084829752465938</c:v>
                </c:pt>
                <c:pt idx="42">
                  <c:v>22.533592099493116</c:v>
                </c:pt>
                <c:pt idx="43">
                  <c:v>24.837868215983082</c:v>
                </c:pt>
                <c:pt idx="44">
                  <c:v>15.953876185565672</c:v>
                </c:pt>
                <c:pt idx="45">
                  <c:v>20.544262219077915</c:v>
                </c:pt>
                <c:pt idx="46">
                  <c:v>9.7602370302641397</c:v>
                </c:pt>
                <c:pt idx="47">
                  <c:v>11.732291997467012</c:v>
                </c:pt>
                <c:pt idx="48">
                  <c:v>27.499015222335128</c:v>
                </c:pt>
                <c:pt idx="49">
                  <c:v>16.603275880726784</c:v>
                </c:pt>
                <c:pt idx="50">
                  <c:v>20.910903460388678</c:v>
                </c:pt>
                <c:pt idx="51">
                  <c:v>18.440554282915116</c:v>
                </c:pt>
                <c:pt idx="52">
                  <c:v>30.138254758146307</c:v>
                </c:pt>
                <c:pt idx="53">
                  <c:v>31.697354099415666</c:v>
                </c:pt>
                <c:pt idx="54">
                  <c:v>22.571945015251352</c:v>
                </c:pt>
                <c:pt idx="55">
                  <c:v>24.921726287940302</c:v>
                </c:pt>
                <c:pt idx="56">
                  <c:v>35.096517115458234</c:v>
                </c:pt>
                <c:pt idx="57">
                  <c:v>22.449210809441258</c:v>
                </c:pt>
                <c:pt idx="58">
                  <c:v>32.739386984127052</c:v>
                </c:pt>
                <c:pt idx="59">
                  <c:v>34.544615438819733</c:v>
                </c:pt>
                <c:pt idx="60">
                  <c:v>15.962833512636955</c:v>
                </c:pt>
                <c:pt idx="61">
                  <c:v>27.536788730985606</c:v>
                </c:pt>
                <c:pt idx="62">
                  <c:v>5.423645421923057</c:v>
                </c:pt>
                <c:pt idx="63">
                  <c:v>14.065867734862495</c:v>
                </c:pt>
                <c:pt idx="64">
                  <c:v>21.534057881300892</c:v>
                </c:pt>
                <c:pt idx="65">
                  <c:v>34.904201148837117</c:v>
                </c:pt>
                <c:pt idx="66">
                  <c:v>31.316524486076961</c:v>
                </c:pt>
                <c:pt idx="67">
                  <c:v>27.953662101007179</c:v>
                </c:pt>
                <c:pt idx="68">
                  <c:v>23.618769922722848</c:v>
                </c:pt>
                <c:pt idx="69">
                  <c:v>17.045707564647227</c:v>
                </c:pt>
                <c:pt idx="70">
                  <c:v>13.340076755130747</c:v>
                </c:pt>
                <c:pt idx="71">
                  <c:v>8.496657314796547</c:v>
                </c:pt>
                <c:pt idx="72">
                  <c:v>12.652307298321173</c:v>
                </c:pt>
                <c:pt idx="73">
                  <c:v>14.994095179782096</c:v>
                </c:pt>
                <c:pt idx="74">
                  <c:v>12.590811168220647</c:v>
                </c:pt>
                <c:pt idx="75">
                  <c:v>12.092480037057211</c:v>
                </c:pt>
                <c:pt idx="76">
                  <c:v>14.273504739859936</c:v>
                </c:pt>
                <c:pt idx="77">
                  <c:v>26.227084833654825</c:v>
                </c:pt>
                <c:pt idx="78">
                  <c:v>31.43835405112506</c:v>
                </c:pt>
                <c:pt idx="79">
                  <c:v>42.285481798292423</c:v>
                </c:pt>
                <c:pt idx="80">
                  <c:v>41.271758249174056</c:v>
                </c:pt>
                <c:pt idx="81">
                  <c:v>44.03002508645443</c:v>
                </c:pt>
                <c:pt idx="82">
                  <c:v>43.741237644372205</c:v>
                </c:pt>
                <c:pt idx="83">
                  <c:v>36.437017096918218</c:v>
                </c:pt>
                <c:pt idx="84">
                  <c:v>40.02060098040851</c:v>
                </c:pt>
                <c:pt idx="85">
                  <c:v>41.880417760776709</c:v>
                </c:pt>
                <c:pt idx="86">
                  <c:v>35.976755235967502</c:v>
                </c:pt>
                <c:pt idx="87">
                  <c:v>27.397617724530697</c:v>
                </c:pt>
                <c:pt idx="88">
                  <c:v>7.6302867588894614</c:v>
                </c:pt>
                <c:pt idx="89">
                  <c:v>26.648654743513504</c:v>
                </c:pt>
                <c:pt idx="90">
                  <c:v>29.311209532796031</c:v>
                </c:pt>
                <c:pt idx="91">
                  <c:v>19.975009903185786</c:v>
                </c:pt>
                <c:pt idx="92">
                  <c:v>27.271836282490494</c:v>
                </c:pt>
                <c:pt idx="93">
                  <c:v>42.3531306849926</c:v>
                </c:pt>
                <c:pt idx="94">
                  <c:v>50.687315483884511</c:v>
                </c:pt>
                <c:pt idx="95">
                  <c:v>12.364110511405592</c:v>
                </c:pt>
                <c:pt idx="96">
                  <c:v>41.909435428511649</c:v>
                </c:pt>
                <c:pt idx="97">
                  <c:v>35.70004650194408</c:v>
                </c:pt>
                <c:pt idx="98">
                  <c:v>33.212490091411389</c:v>
                </c:pt>
                <c:pt idx="99">
                  <c:v>54.41544367729383</c:v>
                </c:pt>
                <c:pt idx="100">
                  <c:v>43.900528474374696</c:v>
                </c:pt>
                <c:pt idx="101">
                  <c:v>36.630210793597186</c:v>
                </c:pt>
                <c:pt idx="102">
                  <c:v>8.4702913995500921</c:v>
                </c:pt>
                <c:pt idx="103">
                  <c:v>39.102501607349183</c:v>
                </c:pt>
                <c:pt idx="104">
                  <c:v>42.848707853448893</c:v>
                </c:pt>
                <c:pt idx="105">
                  <c:v>38.988823429916728</c:v>
                </c:pt>
                <c:pt idx="106">
                  <c:v>53.999089436814963</c:v>
                </c:pt>
                <c:pt idx="107">
                  <c:v>34.449635739031251</c:v>
                </c:pt>
                <c:pt idx="108">
                  <c:v>11.334471675227793</c:v>
                </c:pt>
                <c:pt idx="109">
                  <c:v>11.358398057297986</c:v>
                </c:pt>
                <c:pt idx="110">
                  <c:v>10.902131077017826</c:v>
                </c:pt>
                <c:pt idx="111">
                  <c:v>28.999052326303602</c:v>
                </c:pt>
                <c:pt idx="112">
                  <c:v>9.5206731902865975</c:v>
                </c:pt>
                <c:pt idx="113">
                  <c:v>34.137508094563216</c:v>
                </c:pt>
                <c:pt idx="114">
                  <c:v>45.052390405937615</c:v>
                </c:pt>
                <c:pt idx="115">
                  <c:v>56.251756893569556</c:v>
                </c:pt>
                <c:pt idx="116">
                  <c:v>44.712823759824794</c:v>
                </c:pt>
                <c:pt idx="117">
                  <c:v>23.837716211294179</c:v>
                </c:pt>
                <c:pt idx="118">
                  <c:v>43.204208964896985</c:v>
                </c:pt>
                <c:pt idx="119">
                  <c:v>44.358578975883226</c:v>
                </c:pt>
                <c:pt idx="120">
                  <c:v>50.323158533460969</c:v>
                </c:pt>
                <c:pt idx="121">
                  <c:v>32.345414577488789</c:v>
                </c:pt>
                <c:pt idx="122">
                  <c:v>36.049958960011438</c:v>
                </c:pt>
                <c:pt idx="123">
                  <c:v>20.288923850081805</c:v>
                </c:pt>
                <c:pt idx="124">
                  <c:v>40.838118883506048</c:v>
                </c:pt>
                <c:pt idx="125">
                  <c:v>42.810169152678661</c:v>
                </c:pt>
                <c:pt idx="126">
                  <c:v>49.239142999455041</c:v>
                </c:pt>
                <c:pt idx="127">
                  <c:v>55.848551781477539</c:v>
                </c:pt>
                <c:pt idx="128">
                  <c:v>59.092581600698566</c:v>
                </c:pt>
                <c:pt idx="129">
                  <c:v>57.882650689423343</c:v>
                </c:pt>
                <c:pt idx="130">
                  <c:v>61.745902144464978</c:v>
                </c:pt>
                <c:pt idx="131">
                  <c:v>47.016368879216962</c:v>
                </c:pt>
                <c:pt idx="132">
                  <c:v>49.821598411469203</c:v>
                </c:pt>
                <c:pt idx="133">
                  <c:v>55.776223866124916</c:v>
                </c:pt>
                <c:pt idx="134">
                  <c:v>57.576658340837312</c:v>
                </c:pt>
                <c:pt idx="135">
                  <c:v>56.273045343229583</c:v>
                </c:pt>
                <c:pt idx="136">
                  <c:v>60.096814651728529</c:v>
                </c:pt>
                <c:pt idx="137">
                  <c:v>57.380217952377492</c:v>
                </c:pt>
                <c:pt idx="138">
                  <c:v>56.154508108941471</c:v>
                </c:pt>
                <c:pt idx="139">
                  <c:v>53.368900622753436</c:v>
                </c:pt>
                <c:pt idx="140">
                  <c:v>55.889122565092606</c:v>
                </c:pt>
                <c:pt idx="141">
                  <c:v>43.215632607633225</c:v>
                </c:pt>
                <c:pt idx="142">
                  <c:v>20.562601133109542</c:v>
                </c:pt>
                <c:pt idx="143">
                  <c:v>17.662675540189475</c:v>
                </c:pt>
                <c:pt idx="144">
                  <c:v>43.046867783169411</c:v>
                </c:pt>
                <c:pt idx="145">
                  <c:v>28.721873250822533</c:v>
                </c:pt>
                <c:pt idx="146">
                  <c:v>44.97346095387875</c:v>
                </c:pt>
                <c:pt idx="147">
                  <c:v>59.042949784701513</c:v>
                </c:pt>
                <c:pt idx="148">
                  <c:v>64.208647424717711</c:v>
                </c:pt>
                <c:pt idx="149">
                  <c:v>51.638806626306597</c:v>
                </c:pt>
                <c:pt idx="150">
                  <c:v>61.04042918040858</c:v>
                </c:pt>
                <c:pt idx="151">
                  <c:v>63.64146744588659</c:v>
                </c:pt>
                <c:pt idx="152">
                  <c:v>45.84084709370206</c:v>
                </c:pt>
                <c:pt idx="153">
                  <c:v>60.695086733541153</c:v>
                </c:pt>
                <c:pt idx="154">
                  <c:v>30.848392775594558</c:v>
                </c:pt>
                <c:pt idx="155">
                  <c:v>34.09034771004184</c:v>
                </c:pt>
                <c:pt idx="156">
                  <c:v>54.515472104614851</c:v>
                </c:pt>
                <c:pt idx="157">
                  <c:v>28.467022282277942</c:v>
                </c:pt>
                <c:pt idx="158">
                  <c:v>25.651917820159216</c:v>
                </c:pt>
                <c:pt idx="159">
                  <c:v>52.712719350706799</c:v>
                </c:pt>
                <c:pt idx="160">
                  <c:v>64.854206403212686</c:v>
                </c:pt>
                <c:pt idx="161">
                  <c:v>62.095214235475609</c:v>
                </c:pt>
                <c:pt idx="162">
                  <c:v>50.071810983438915</c:v>
                </c:pt>
                <c:pt idx="163">
                  <c:v>55.978741951360668</c:v>
                </c:pt>
                <c:pt idx="164">
                  <c:v>56.906379678472923</c:v>
                </c:pt>
                <c:pt idx="165">
                  <c:v>60.365027119465132</c:v>
                </c:pt>
                <c:pt idx="166">
                  <c:v>57.201780061099349</c:v>
                </c:pt>
                <c:pt idx="167">
                  <c:v>57.369181758078106</c:v>
                </c:pt>
                <c:pt idx="168">
                  <c:v>61.08608084489731</c:v>
                </c:pt>
                <c:pt idx="169">
                  <c:v>61.574868385629863</c:v>
                </c:pt>
                <c:pt idx="170">
                  <c:v>33.29510621557499</c:v>
                </c:pt>
                <c:pt idx="171">
                  <c:v>22.40500313822211</c:v>
                </c:pt>
                <c:pt idx="172">
                  <c:v>46.479019451569847</c:v>
                </c:pt>
                <c:pt idx="173">
                  <c:v>45.957220634422114</c:v>
                </c:pt>
                <c:pt idx="174">
                  <c:v>49.435406902794618</c:v>
                </c:pt>
                <c:pt idx="175">
                  <c:v>41.18083451227146</c:v>
                </c:pt>
                <c:pt idx="176">
                  <c:v>12.879291819496904</c:v>
                </c:pt>
                <c:pt idx="177">
                  <c:v>18.947623554139383</c:v>
                </c:pt>
                <c:pt idx="178">
                  <c:v>65.568956311583378</c:v>
                </c:pt>
                <c:pt idx="179">
                  <c:v>63.624320327963133</c:v>
                </c:pt>
                <c:pt idx="180">
                  <c:v>15.628691092685671</c:v>
                </c:pt>
                <c:pt idx="181">
                  <c:v>53.020076383164046</c:v>
                </c:pt>
                <c:pt idx="182">
                  <c:v>58.867091158664586</c:v>
                </c:pt>
                <c:pt idx="183">
                  <c:v>54.745649242092782</c:v>
                </c:pt>
                <c:pt idx="184">
                  <c:v>50.961426957988593</c:v>
                </c:pt>
                <c:pt idx="185">
                  <c:v>61.106728052451842</c:v>
                </c:pt>
                <c:pt idx="186">
                  <c:v>44.986286154256319</c:v>
                </c:pt>
                <c:pt idx="187">
                  <c:v>60.641448633837307</c:v>
                </c:pt>
                <c:pt idx="188">
                  <c:v>63.587688157724848</c:v>
                </c:pt>
                <c:pt idx="189">
                  <c:v>62.605265609238714</c:v>
                </c:pt>
                <c:pt idx="190">
                  <c:v>61.946203147488681</c:v>
                </c:pt>
                <c:pt idx="191">
                  <c:v>60.879993598399331</c:v>
                </c:pt>
                <c:pt idx="192">
                  <c:v>59.925191789789011</c:v>
                </c:pt>
                <c:pt idx="193">
                  <c:v>58.736760713636855</c:v>
                </c:pt>
                <c:pt idx="194">
                  <c:v>58.578509416910713</c:v>
                </c:pt>
                <c:pt idx="195">
                  <c:v>55.993223555312021</c:v>
                </c:pt>
                <c:pt idx="196">
                  <c:v>57.144111484933745</c:v>
                </c:pt>
                <c:pt idx="197">
                  <c:v>57.555640269286457</c:v>
                </c:pt>
                <c:pt idx="198">
                  <c:v>59.311748437641064</c:v>
                </c:pt>
                <c:pt idx="199">
                  <c:v>43.565656382869562</c:v>
                </c:pt>
                <c:pt idx="200">
                  <c:v>40.909639069655832</c:v>
                </c:pt>
                <c:pt idx="201">
                  <c:v>56.449472887181919</c:v>
                </c:pt>
                <c:pt idx="202">
                  <c:v>48.482258001593635</c:v>
                </c:pt>
                <c:pt idx="203">
                  <c:v>45.874567976666235</c:v>
                </c:pt>
                <c:pt idx="204">
                  <c:v>55.851536036684188</c:v>
                </c:pt>
                <c:pt idx="205">
                  <c:v>29.46369627259477</c:v>
                </c:pt>
                <c:pt idx="206">
                  <c:v>52.216215795208498</c:v>
                </c:pt>
                <c:pt idx="207">
                  <c:v>59.098752142449399</c:v>
                </c:pt>
                <c:pt idx="208">
                  <c:v>46.433221892882159</c:v>
                </c:pt>
                <c:pt idx="209">
                  <c:v>28.844533913858395</c:v>
                </c:pt>
                <c:pt idx="210">
                  <c:v>47.440619993499133</c:v>
                </c:pt>
                <c:pt idx="211">
                  <c:v>58.094966734571841</c:v>
                </c:pt>
                <c:pt idx="212">
                  <c:v>57.584780858931722</c:v>
                </c:pt>
                <c:pt idx="213">
                  <c:v>57.595000870815895</c:v>
                </c:pt>
                <c:pt idx="214">
                  <c:v>57.185333926087637</c:v>
                </c:pt>
                <c:pt idx="215">
                  <c:v>54.554111912948706</c:v>
                </c:pt>
                <c:pt idx="216">
                  <c:v>43.546392876275931</c:v>
                </c:pt>
                <c:pt idx="217">
                  <c:v>51.95878659333053</c:v>
                </c:pt>
                <c:pt idx="218">
                  <c:v>54.782794277990767</c:v>
                </c:pt>
                <c:pt idx="219">
                  <c:v>56.202303575829561</c:v>
                </c:pt>
                <c:pt idx="220">
                  <c:v>53.58301447113417</c:v>
                </c:pt>
                <c:pt idx="221">
                  <c:v>52.037028564864407</c:v>
                </c:pt>
                <c:pt idx="222">
                  <c:v>49.109378928178963</c:v>
                </c:pt>
                <c:pt idx="223">
                  <c:v>0</c:v>
                </c:pt>
                <c:pt idx="224">
                  <c:v>36.497745656581159</c:v>
                </c:pt>
                <c:pt idx="225">
                  <c:v>36.56425421311166</c:v>
                </c:pt>
                <c:pt idx="226">
                  <c:v>36.979585576321583</c:v>
                </c:pt>
                <c:pt idx="227">
                  <c:v>38.301487687520826</c:v>
                </c:pt>
                <c:pt idx="228">
                  <c:v>26.641207992145844</c:v>
                </c:pt>
                <c:pt idx="229">
                  <c:v>40.649439772489899</c:v>
                </c:pt>
                <c:pt idx="230">
                  <c:v>40.240751257920913</c:v>
                </c:pt>
                <c:pt idx="231">
                  <c:v>52.515862175947035</c:v>
                </c:pt>
                <c:pt idx="232">
                  <c:v>37.896003912984511</c:v>
                </c:pt>
                <c:pt idx="233">
                  <c:v>27.719599049904602</c:v>
                </c:pt>
                <c:pt idx="234">
                  <c:v>46.891316666969928</c:v>
                </c:pt>
                <c:pt idx="235">
                  <c:v>50.928948960555992</c:v>
                </c:pt>
                <c:pt idx="236">
                  <c:v>32.664705215080716</c:v>
                </c:pt>
                <c:pt idx="237">
                  <c:v>37.646250772113348</c:v>
                </c:pt>
                <c:pt idx="238">
                  <c:v>47.458015290204102</c:v>
                </c:pt>
                <c:pt idx="239">
                  <c:v>49.890187854543363</c:v>
                </c:pt>
                <c:pt idx="240">
                  <c:v>34.867092071977908</c:v>
                </c:pt>
                <c:pt idx="241">
                  <c:v>48.931202970510832</c:v>
                </c:pt>
                <c:pt idx="242">
                  <c:v>24.772919535775685</c:v>
                </c:pt>
                <c:pt idx="243">
                  <c:v>42.596896709559019</c:v>
                </c:pt>
                <c:pt idx="244">
                  <c:v>40.264405398670526</c:v>
                </c:pt>
                <c:pt idx="245">
                  <c:v>37.041559778727496</c:v>
                </c:pt>
                <c:pt idx="246">
                  <c:v>48.569080615973292</c:v>
                </c:pt>
                <c:pt idx="247">
                  <c:v>40.641825269983322</c:v>
                </c:pt>
                <c:pt idx="248">
                  <c:v>44.298832090495488</c:v>
                </c:pt>
                <c:pt idx="249">
                  <c:v>36.323746637357786</c:v>
                </c:pt>
                <c:pt idx="250">
                  <c:v>40.399586666921373</c:v>
                </c:pt>
                <c:pt idx="251">
                  <c:v>19.247243536135283</c:v>
                </c:pt>
                <c:pt idx="252">
                  <c:v>44.86956527762645</c:v>
                </c:pt>
                <c:pt idx="253">
                  <c:v>46.419138623635327</c:v>
                </c:pt>
                <c:pt idx="254">
                  <c:v>36.056818204385578</c:v>
                </c:pt>
                <c:pt idx="255">
                  <c:v>13.820917052316476</c:v>
                </c:pt>
                <c:pt idx="256">
                  <c:v>37.137600708004399</c:v>
                </c:pt>
                <c:pt idx="257">
                  <c:v>42.18796479627882</c:v>
                </c:pt>
                <c:pt idx="258">
                  <c:v>28.349316086433536</c:v>
                </c:pt>
                <c:pt idx="259">
                  <c:v>45.520569343720155</c:v>
                </c:pt>
                <c:pt idx="260">
                  <c:v>44.588835424196695</c:v>
                </c:pt>
                <c:pt idx="261">
                  <c:v>44.941505296955</c:v>
                </c:pt>
                <c:pt idx="262">
                  <c:v>45.297004726755645</c:v>
                </c:pt>
                <c:pt idx="263">
                  <c:v>43.959100346977856</c:v>
                </c:pt>
                <c:pt idx="264">
                  <c:v>42.728454341747437</c:v>
                </c:pt>
                <c:pt idx="265">
                  <c:v>31.310678473664701</c:v>
                </c:pt>
                <c:pt idx="266">
                  <c:v>19.340505315666395</c:v>
                </c:pt>
                <c:pt idx="267">
                  <c:v>30.957044026265507</c:v>
                </c:pt>
                <c:pt idx="268">
                  <c:v>33.387247775066136</c:v>
                </c:pt>
                <c:pt idx="269">
                  <c:v>16.338124864168933</c:v>
                </c:pt>
                <c:pt idx="270">
                  <c:v>18.663994002758255</c:v>
                </c:pt>
                <c:pt idx="271">
                  <c:v>24.15503173668959</c:v>
                </c:pt>
                <c:pt idx="272">
                  <c:v>25.902218597626831</c:v>
                </c:pt>
                <c:pt idx="273">
                  <c:v>35.352248287048596</c:v>
                </c:pt>
                <c:pt idx="274">
                  <c:v>36.763765602542108</c:v>
                </c:pt>
                <c:pt idx="275">
                  <c:v>33.291905259744119</c:v>
                </c:pt>
                <c:pt idx="276">
                  <c:v>38.774840976951076</c:v>
                </c:pt>
                <c:pt idx="277">
                  <c:v>39.026978237618465</c:v>
                </c:pt>
                <c:pt idx="278">
                  <c:v>15.641724885184425</c:v>
                </c:pt>
                <c:pt idx="279">
                  <c:v>30.043376683560343</c:v>
                </c:pt>
                <c:pt idx="280">
                  <c:v>15.193214719260627</c:v>
                </c:pt>
                <c:pt idx="281">
                  <c:v>35.479097956032497</c:v>
                </c:pt>
                <c:pt idx="282">
                  <c:v>31.062257246043078</c:v>
                </c:pt>
                <c:pt idx="283">
                  <c:v>24.980423372705221</c:v>
                </c:pt>
                <c:pt idx="284">
                  <c:v>24.883405934394794</c:v>
                </c:pt>
                <c:pt idx="285">
                  <c:v>22.538490519148464</c:v>
                </c:pt>
                <c:pt idx="286">
                  <c:v>15.148320872993846</c:v>
                </c:pt>
                <c:pt idx="287">
                  <c:v>33.761286704150962</c:v>
                </c:pt>
                <c:pt idx="288">
                  <c:v>29.594702636378781</c:v>
                </c:pt>
                <c:pt idx="289">
                  <c:v>16.677418276314871</c:v>
                </c:pt>
                <c:pt idx="290">
                  <c:v>29.747723836031682</c:v>
                </c:pt>
                <c:pt idx="291">
                  <c:v>16.615037653383929</c:v>
                </c:pt>
                <c:pt idx="292">
                  <c:v>8.7388879106282769</c:v>
                </c:pt>
                <c:pt idx="293">
                  <c:v>16.892346348885745</c:v>
                </c:pt>
                <c:pt idx="294">
                  <c:v>28.949297173058458</c:v>
                </c:pt>
                <c:pt idx="295">
                  <c:v>18.869901282711833</c:v>
                </c:pt>
                <c:pt idx="296">
                  <c:v>24.469521412261606</c:v>
                </c:pt>
                <c:pt idx="297">
                  <c:v>20.556104955989586</c:v>
                </c:pt>
                <c:pt idx="298">
                  <c:v>15.355299875758494</c:v>
                </c:pt>
                <c:pt idx="299">
                  <c:v>14.512660072945636</c:v>
                </c:pt>
                <c:pt idx="300">
                  <c:v>16.68498498350996</c:v>
                </c:pt>
                <c:pt idx="301">
                  <c:v>23.461691950181756</c:v>
                </c:pt>
                <c:pt idx="302">
                  <c:v>20.533458305223125</c:v>
                </c:pt>
                <c:pt idx="303">
                  <c:v>19.68546481133621</c:v>
                </c:pt>
                <c:pt idx="304">
                  <c:v>17.939347727041625</c:v>
                </c:pt>
                <c:pt idx="305">
                  <c:v>24.817720419342105</c:v>
                </c:pt>
                <c:pt idx="306">
                  <c:v>8.9965934490000645</c:v>
                </c:pt>
                <c:pt idx="307">
                  <c:v>12.476731343980552</c:v>
                </c:pt>
                <c:pt idx="308">
                  <c:v>25.124288343770321</c:v>
                </c:pt>
                <c:pt idx="309">
                  <c:v>25.166504449291384</c:v>
                </c:pt>
                <c:pt idx="310">
                  <c:v>24.94991344536594</c:v>
                </c:pt>
                <c:pt idx="311">
                  <c:v>18.041376493812834</c:v>
                </c:pt>
                <c:pt idx="312">
                  <c:v>10.057470343947271</c:v>
                </c:pt>
                <c:pt idx="313">
                  <c:v>18.280697771730171</c:v>
                </c:pt>
                <c:pt idx="314">
                  <c:v>21.740752189660512</c:v>
                </c:pt>
                <c:pt idx="315">
                  <c:v>21.864888897408264</c:v>
                </c:pt>
                <c:pt idx="316">
                  <c:v>20.816036551585263</c:v>
                </c:pt>
                <c:pt idx="317">
                  <c:v>11.247100970500947</c:v>
                </c:pt>
                <c:pt idx="318">
                  <c:v>12.769447826956823</c:v>
                </c:pt>
                <c:pt idx="319">
                  <c:v>21.327085623299709</c:v>
                </c:pt>
                <c:pt idx="320">
                  <c:v>14.01902592487464</c:v>
                </c:pt>
                <c:pt idx="321">
                  <c:v>11.620448489460285</c:v>
                </c:pt>
                <c:pt idx="322">
                  <c:v>8.3398323721306991</c:v>
                </c:pt>
                <c:pt idx="323">
                  <c:v>15.013685297875025</c:v>
                </c:pt>
                <c:pt idx="324">
                  <c:v>3.419191276135678</c:v>
                </c:pt>
                <c:pt idx="325">
                  <c:v>9.5945289423195206</c:v>
                </c:pt>
                <c:pt idx="326">
                  <c:v>12.796698296815336</c:v>
                </c:pt>
                <c:pt idx="327">
                  <c:v>11.898083887459254</c:v>
                </c:pt>
                <c:pt idx="328">
                  <c:v>4.8290291475253557</c:v>
                </c:pt>
                <c:pt idx="329">
                  <c:v>9.6574506310401116</c:v>
                </c:pt>
                <c:pt idx="330">
                  <c:v>13.806711753336907</c:v>
                </c:pt>
                <c:pt idx="331">
                  <c:v>9.4281293663886387</c:v>
                </c:pt>
                <c:pt idx="332">
                  <c:v>10.449547486797222</c:v>
                </c:pt>
                <c:pt idx="333">
                  <c:v>4.4764529691131685</c:v>
                </c:pt>
                <c:pt idx="334">
                  <c:v>4.2242806631773666</c:v>
                </c:pt>
                <c:pt idx="335">
                  <c:v>5.3897529562440791</c:v>
                </c:pt>
                <c:pt idx="336">
                  <c:v>9.6924264226526748</c:v>
                </c:pt>
                <c:pt idx="337">
                  <c:v>12.959386660027235</c:v>
                </c:pt>
                <c:pt idx="338">
                  <c:v>17.957688746495229</c:v>
                </c:pt>
                <c:pt idx="339">
                  <c:v>11.729226113099774</c:v>
                </c:pt>
                <c:pt idx="340">
                  <c:v>14.387375494091275</c:v>
                </c:pt>
                <c:pt idx="341">
                  <c:v>4.6347649789765173</c:v>
                </c:pt>
                <c:pt idx="342">
                  <c:v>7.7162048525811562</c:v>
                </c:pt>
                <c:pt idx="343">
                  <c:v>11.235420856556591</c:v>
                </c:pt>
                <c:pt idx="344">
                  <c:v>12.775019741215795</c:v>
                </c:pt>
                <c:pt idx="345">
                  <c:v>5.8489435544414352</c:v>
                </c:pt>
                <c:pt idx="346">
                  <c:v>5.5094231526681305</c:v>
                </c:pt>
                <c:pt idx="347">
                  <c:v>12.545264692060366</c:v>
                </c:pt>
                <c:pt idx="348">
                  <c:v>6.6999620355699649</c:v>
                </c:pt>
                <c:pt idx="349">
                  <c:v>5.622467924144976</c:v>
                </c:pt>
                <c:pt idx="350">
                  <c:v>3.6302205113785795</c:v>
                </c:pt>
                <c:pt idx="351">
                  <c:v>14.608521778596176</c:v>
                </c:pt>
                <c:pt idx="352">
                  <c:v>13.986568801024829</c:v>
                </c:pt>
                <c:pt idx="353">
                  <c:v>4.222255139375962</c:v>
                </c:pt>
                <c:pt idx="354">
                  <c:v>14.972827230685677</c:v>
                </c:pt>
                <c:pt idx="355">
                  <c:v>14.905086444989353</c:v>
                </c:pt>
                <c:pt idx="356">
                  <c:v>14.624974359073748</c:v>
                </c:pt>
                <c:pt idx="357">
                  <c:v>15.823957209940193</c:v>
                </c:pt>
                <c:pt idx="358">
                  <c:v>8.7753363652290002</c:v>
                </c:pt>
                <c:pt idx="359">
                  <c:v>14.666147500810956</c:v>
                </c:pt>
                <c:pt idx="360">
                  <c:v>6.3124381340569817</c:v>
                </c:pt>
                <c:pt idx="361">
                  <c:v>12.930569820087801</c:v>
                </c:pt>
                <c:pt idx="362">
                  <c:v>9.8533832218122477</c:v>
                </c:pt>
                <c:pt idx="363">
                  <c:v>11.807368245876823</c:v>
                </c:pt>
                <c:pt idx="364">
                  <c:v>10.737912898963623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7784"/>
        <c:axId val="232818176"/>
      </c:lineChart>
      <c:dateAx>
        <c:axId val="232817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8176"/>
        <c:crosses val="autoZero"/>
        <c:auto val="1"/>
        <c:lblOffset val="100"/>
        <c:baseTimeUnit val="days"/>
        <c:majorUnit val="1"/>
        <c:majorTimeUnit val="months"/>
      </c:dateAx>
      <c:valAx>
        <c:axId val="2328181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77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2.5220656390551044E-2</c:v>
                </c:pt>
                <c:pt idx="1">
                  <c:v>2.5234000301182724E-2</c:v>
                </c:pt>
                <c:pt idx="2">
                  <c:v>2.5247344029147301E-2</c:v>
                </c:pt>
                <c:pt idx="3">
                  <c:v>2.5260687574447549E-2</c:v>
                </c:pt>
                <c:pt idx="4">
                  <c:v>2.5274030937085912E-2</c:v>
                </c:pt>
                <c:pt idx="5">
                  <c:v>2.5287374117064831E-2</c:v>
                </c:pt>
                <c:pt idx="6">
                  <c:v>2.530071711438675E-2</c:v>
                </c:pt>
                <c:pt idx="7">
                  <c:v>2.5314059929054333E-2</c:v>
                </c:pt>
                <c:pt idx="8">
                  <c:v>2.5327402561069912E-2</c:v>
                </c:pt>
                <c:pt idx="9">
                  <c:v>2.5340745010436039E-2</c:v>
                </c:pt>
                <c:pt idx="10">
                  <c:v>2.5354087277155268E-2</c:v>
                </c:pt>
                <c:pt idx="11">
                  <c:v>2.5367429361230154E-2</c:v>
                </c:pt>
                <c:pt idx="12">
                  <c:v>2.5380771262663027E-2</c:v>
                </c:pt>
                <c:pt idx="13">
                  <c:v>2.539411298145644E-2</c:v>
                </c:pt>
                <c:pt idx="14">
                  <c:v>2.540745451761306E-2</c:v>
                </c:pt>
                <c:pt idx="15">
                  <c:v>2.5420795871135105E-2</c:v>
                </c:pt>
                <c:pt idx="16">
                  <c:v>2.5434137042025351E-2</c:v>
                </c:pt>
                <c:pt idx="17">
                  <c:v>2.544747803028613E-2</c:v>
                </c:pt>
                <c:pt idx="18">
                  <c:v>2.5460818835919885E-2</c:v>
                </c:pt>
                <c:pt idx="19">
                  <c:v>2.547415945892928E-2</c:v>
                </c:pt>
                <c:pt idx="20">
                  <c:v>2.5487499899316868E-2</c:v>
                </c:pt>
                <c:pt idx="21">
                  <c:v>2.550084015708487E-2</c:v>
                </c:pt>
                <c:pt idx="22">
                  <c:v>2.5514180232236061E-2</c:v>
                </c:pt>
                <c:pt idx="23">
                  <c:v>2.5527520124772662E-2</c:v>
                </c:pt>
                <c:pt idx="24">
                  <c:v>2.5540859834697449E-2</c:v>
                </c:pt>
                <c:pt idx="25">
                  <c:v>2.5554199362012864E-2</c:v>
                </c:pt>
                <c:pt idx="26">
                  <c:v>2.5567538706721238E-2</c:v>
                </c:pt>
                <c:pt idx="27">
                  <c:v>2.5580877868825236E-2</c:v>
                </c:pt>
                <c:pt idx="28">
                  <c:v>2.55942168483273E-2</c:v>
                </c:pt>
                <c:pt idx="29">
                  <c:v>2.5607555645229985E-2</c:v>
                </c:pt>
                <c:pt idx="30">
                  <c:v>2.5620894259535731E-2</c:v>
                </c:pt>
                <c:pt idx="31">
                  <c:v>2.5634232691246983E-2</c:v>
                </c:pt>
                <c:pt idx="32">
                  <c:v>2.5647570940366293E-2</c:v>
                </c:pt>
                <c:pt idx="33">
                  <c:v>2.5660909006896215E-2</c:v>
                </c:pt>
                <c:pt idx="34">
                  <c:v>2.5674246890839303E-2</c:v>
                </c:pt>
                <c:pt idx="35">
                  <c:v>2.5687584592197776E-2</c:v>
                </c:pt>
                <c:pt idx="36">
                  <c:v>2.5700922110974411E-2</c:v>
                </c:pt>
                <c:pt idx="37">
                  <c:v>2.571425944717165E-2</c:v>
                </c:pt>
                <c:pt idx="38">
                  <c:v>2.5727596600791935E-2</c:v>
                </c:pt>
                <c:pt idx="39">
                  <c:v>2.5740933571837821E-2</c:v>
                </c:pt>
                <c:pt idx="40">
                  <c:v>2.5754270360311637E-2</c:v>
                </c:pt>
                <c:pt idx="41">
                  <c:v>2.5767606966216161E-2</c:v>
                </c:pt>
                <c:pt idx="42">
                  <c:v>2.5780943389553723E-2</c:v>
                </c:pt>
                <c:pt idx="43">
                  <c:v>2.5794279630326766E-2</c:v>
                </c:pt>
                <c:pt idx="44">
                  <c:v>2.5807615688537955E-2</c:v>
                </c:pt>
                <c:pt idx="45">
                  <c:v>2.582095156418962E-2</c:v>
                </c:pt>
                <c:pt idx="46">
                  <c:v>2.5834287257284427E-2</c:v>
                </c:pt>
                <c:pt idx="47">
                  <c:v>2.5847622767824818E-2</c:v>
                </c:pt>
                <c:pt idx="48">
                  <c:v>2.5860958095813236E-2</c:v>
                </c:pt>
                <c:pt idx="49">
                  <c:v>2.5874293241252122E-2</c:v>
                </c:pt>
                <c:pt idx="50">
                  <c:v>2.5887628204144142E-2</c:v>
                </c:pt>
                <c:pt idx="51">
                  <c:v>2.5900962984491738E-2</c:v>
                </c:pt>
                <c:pt idx="52">
                  <c:v>2.5914297582297352E-2</c:v>
                </c:pt>
                <c:pt idx="53">
                  <c:v>2.5927631997563538E-2</c:v>
                </c:pt>
                <c:pt idx="54">
                  <c:v>2.594096623029285E-2</c:v>
                </c:pt>
                <c:pt idx="55">
                  <c:v>2.5954300280487619E-2</c:v>
                </c:pt>
                <c:pt idx="56">
                  <c:v>2.5967634148150398E-2</c:v>
                </c:pt>
                <c:pt idx="57">
                  <c:v>2.5980967833283852E-2</c:v>
                </c:pt>
                <c:pt idx="58">
                  <c:v>2.5994301335890313E-2</c:v>
                </c:pt>
                <c:pt idx="59">
                  <c:v>2.6007634655972223E-2</c:v>
                </c:pt>
                <c:pt idx="60">
                  <c:v>2.6020967793532246E-2</c:v>
                </c:pt>
                <c:pt idx="61">
                  <c:v>2.6034300748572825E-2</c:v>
                </c:pt>
                <c:pt idx="62">
                  <c:v>2.6047633521096514E-2</c:v>
                </c:pt>
                <c:pt idx="63">
                  <c:v>2.6060966111105643E-2</c:v>
                </c:pt>
                <c:pt idx="64">
                  <c:v>2.6074298518602768E-2</c:v>
                </c:pt>
                <c:pt idx="65">
                  <c:v>2.6087630743590551E-2</c:v>
                </c:pt>
                <c:pt idx="66">
                  <c:v>2.6100962786071324E-2</c:v>
                </c:pt>
                <c:pt idx="67">
                  <c:v>2.6114294646047642E-2</c:v>
                </c:pt>
                <c:pt idx="68">
                  <c:v>2.6127626323521946E-2</c:v>
                </c:pt>
                <c:pt idx="69">
                  <c:v>2.6140957818496791E-2</c:v>
                </c:pt>
                <c:pt idx="70">
                  <c:v>2.6154289130974728E-2</c:v>
                </c:pt>
                <c:pt idx="71">
                  <c:v>2.6167620260958091E-2</c:v>
                </c:pt>
                <c:pt idx="72">
                  <c:v>2.6180951208449543E-2</c:v>
                </c:pt>
                <c:pt idx="73">
                  <c:v>2.6194281973451528E-2</c:v>
                </c:pt>
                <c:pt idx="74">
                  <c:v>2.6207612555966486E-2</c:v>
                </c:pt>
                <c:pt idx="75">
                  <c:v>2.6220942955997084E-2</c:v>
                </c:pt>
                <c:pt idx="76">
                  <c:v>2.6234273173545541E-2</c:v>
                </c:pt>
                <c:pt idx="77">
                  <c:v>2.6247603208614634E-2</c:v>
                </c:pt>
                <c:pt idx="78">
                  <c:v>2.6260933061206693E-2</c:v>
                </c:pt>
                <c:pt idx="79">
                  <c:v>2.6274262731324272E-2</c:v>
                </c:pt>
                <c:pt idx="80">
                  <c:v>2.6287592218969813E-2</c:v>
                </c:pt>
                <c:pt idx="81">
                  <c:v>2.630092152414587E-2</c:v>
                </c:pt>
                <c:pt idx="82">
                  <c:v>2.6314250646854997E-2</c:v>
                </c:pt>
                <c:pt idx="83">
                  <c:v>2.6327579587099637E-2</c:v>
                </c:pt>
                <c:pt idx="84">
                  <c:v>2.634090834488223E-2</c:v>
                </c:pt>
                <c:pt idx="85">
                  <c:v>2.6354236920205332E-2</c:v>
                </c:pt>
                <c:pt idx="86">
                  <c:v>2.6367565313071384E-2</c:v>
                </c:pt>
                <c:pt idx="87">
                  <c:v>2.638089352348294E-2</c:v>
                </c:pt>
                <c:pt idx="88">
                  <c:v>2.6394221551442554E-2</c:v>
                </c:pt>
                <c:pt idx="89">
                  <c:v>2.6407549396952668E-2</c:v>
                </c:pt>
                <c:pt idx="90">
                  <c:v>2.6420877060015724E-2</c:v>
                </c:pt>
                <c:pt idx="91">
                  <c:v>2.6434204540634276E-2</c:v>
                </c:pt>
                <c:pt idx="92">
                  <c:v>2.6447531838810767E-2</c:v>
                </c:pt>
                <c:pt idx="93">
                  <c:v>2.646085895454775E-2</c:v>
                </c:pt>
                <c:pt idx="94">
                  <c:v>2.6474185887847779E-2</c:v>
                </c:pt>
                <c:pt idx="95">
                  <c:v>2.6487512638713184E-2</c:v>
                </c:pt>
                <c:pt idx="96">
                  <c:v>2.6500839207146631E-2</c:v>
                </c:pt>
                <c:pt idx="97">
                  <c:v>2.6514165593150563E-2</c:v>
                </c:pt>
                <c:pt idx="98">
                  <c:v>2.652749179672742E-2</c:v>
                </c:pt>
                <c:pt idx="99">
                  <c:v>2.6540817817879647E-2</c:v>
                </c:pt>
                <c:pt idx="100">
                  <c:v>2.6554143656610019E-2</c:v>
                </c:pt>
                <c:pt idx="101">
                  <c:v>2.6567469312920755E-2</c:v>
                </c:pt>
                <c:pt idx="102">
                  <c:v>2.658079478681441E-2</c:v>
                </c:pt>
                <c:pt idx="103">
                  <c:v>2.6594120078293537E-2</c:v>
                </c:pt>
                <c:pt idx="104">
                  <c:v>2.660744518736069E-2</c:v>
                </c:pt>
                <c:pt idx="105">
                  <c:v>2.66207701140182E-2</c:v>
                </c:pt>
                <c:pt idx="106">
                  <c:v>2.6634094858268731E-2</c:v>
                </c:pt>
                <c:pt idx="107">
                  <c:v>2.6647419420114726E-2</c:v>
                </c:pt>
                <c:pt idx="108">
                  <c:v>2.6660743799558517E-2</c:v>
                </c:pt>
                <c:pt idx="109">
                  <c:v>2.6674067996602879E-2</c:v>
                </c:pt>
                <c:pt idx="110">
                  <c:v>2.6687392011250144E-2</c:v>
                </c:pt>
                <c:pt idx="111">
                  <c:v>2.6700715843502754E-2</c:v>
                </c:pt>
                <c:pt idx="112">
                  <c:v>2.6714039493363373E-2</c:v>
                </c:pt>
                <c:pt idx="113">
                  <c:v>2.6727362960834333E-2</c:v>
                </c:pt>
                <c:pt idx="114">
                  <c:v>2.6740686245918299E-2</c:v>
                </c:pt>
                <c:pt idx="115">
                  <c:v>2.6754009348617713E-2</c:v>
                </c:pt>
                <c:pt idx="116">
                  <c:v>2.6767332268934907E-2</c:v>
                </c:pt>
                <c:pt idx="117">
                  <c:v>2.6780655006872545E-2</c:v>
                </c:pt>
                <c:pt idx="118">
                  <c:v>2.679397756243318E-2</c:v>
                </c:pt>
                <c:pt idx="119">
                  <c:v>2.6807299935619144E-2</c:v>
                </c:pt>
                <c:pt idx="120">
                  <c:v>2.6820622126432991E-2</c:v>
                </c:pt>
                <c:pt idx="121">
                  <c:v>2.6833944134877274E-2</c:v>
                </c:pt>
                <c:pt idx="122">
                  <c:v>2.6847265960954436E-2</c:v>
                </c:pt>
                <c:pt idx="123">
                  <c:v>2.686058760466703E-2</c:v>
                </c:pt>
                <c:pt idx="124">
                  <c:v>2.6873909066017498E-2</c:v>
                </c:pt>
                <c:pt idx="125">
                  <c:v>2.6887230345008284E-2</c:v>
                </c:pt>
                <c:pt idx="126">
                  <c:v>2.690055144164194E-2</c:v>
                </c:pt>
                <c:pt idx="127">
                  <c:v>2.691387235592102E-2</c:v>
                </c:pt>
                <c:pt idx="128">
                  <c:v>2.6927193087847967E-2</c:v>
                </c:pt>
                <c:pt idx="129">
                  <c:v>2.6940513637425334E-2</c:v>
                </c:pt>
                <c:pt idx="130">
                  <c:v>2.6953834004655453E-2</c:v>
                </c:pt>
                <c:pt idx="131">
                  <c:v>2.6967154189540987E-2</c:v>
                </c:pt>
                <c:pt idx="132">
                  <c:v>2.698047419208438E-2</c:v>
                </c:pt>
                <c:pt idx="133">
                  <c:v>2.6993794012288075E-2</c:v>
                </c:pt>
                <c:pt idx="134">
                  <c:v>2.7007113650154624E-2</c:v>
                </c:pt>
                <c:pt idx="135">
                  <c:v>2.7020433105686581E-2</c:v>
                </c:pt>
                <c:pt idx="136">
                  <c:v>2.7033752378886389E-2</c:v>
                </c:pt>
                <c:pt idx="137">
                  <c:v>2.704707146975649E-2</c:v>
                </c:pt>
                <c:pt idx="138">
                  <c:v>2.7060390378299326E-2</c:v>
                </c:pt>
                <c:pt idx="139">
                  <c:v>2.7073709104517674E-2</c:v>
                </c:pt>
                <c:pt idx="140">
                  <c:v>2.7087027648413753E-2</c:v>
                </c:pt>
                <c:pt idx="141">
                  <c:v>2.7100346009990117E-2</c:v>
                </c:pt>
                <c:pt idx="142">
                  <c:v>2.711366418924932E-2</c:v>
                </c:pt>
                <c:pt idx="143">
                  <c:v>2.7126982186193804E-2</c:v>
                </c:pt>
                <c:pt idx="144">
                  <c:v>2.7140300000826123E-2</c:v>
                </c:pt>
                <c:pt idx="145">
                  <c:v>2.715361763314883E-2</c:v>
                </c:pt>
                <c:pt idx="146">
                  <c:v>2.7166935083164145E-2</c:v>
                </c:pt>
                <c:pt idx="147">
                  <c:v>2.7180252350874956E-2</c:v>
                </c:pt>
                <c:pt idx="148">
                  <c:v>2.7193569436283371E-2</c:v>
                </c:pt>
                <c:pt idx="149">
                  <c:v>2.7206886339392167E-2</c:v>
                </c:pt>
                <c:pt idx="150">
                  <c:v>2.7220203060203785E-2</c:v>
                </c:pt>
                <c:pt idx="151">
                  <c:v>2.7233519598720668E-2</c:v>
                </c:pt>
                <c:pt idx="152">
                  <c:v>2.7246835954945259E-2</c:v>
                </c:pt>
                <c:pt idx="153">
                  <c:v>2.7260152128880111E-2</c:v>
                </c:pt>
                <c:pt idx="154">
                  <c:v>2.7273468120527777E-2</c:v>
                </c:pt>
                <c:pt idx="155">
                  <c:v>2.728678392989059E-2</c:v>
                </c:pt>
                <c:pt idx="156">
                  <c:v>2.7300099556971325E-2</c:v>
                </c:pt>
                <c:pt idx="157">
                  <c:v>2.7313415001772201E-2</c:v>
                </c:pt>
                <c:pt idx="158">
                  <c:v>2.7326730264295884E-2</c:v>
                </c:pt>
                <c:pt idx="159">
                  <c:v>2.7340045344544706E-2</c:v>
                </c:pt>
                <c:pt idx="160">
                  <c:v>2.735336024252133E-2</c:v>
                </c:pt>
                <c:pt idx="161">
                  <c:v>2.7366674958228199E-2</c:v>
                </c:pt>
                <c:pt idx="162">
                  <c:v>2.7379989491667756E-2</c:v>
                </c:pt>
                <c:pt idx="163">
                  <c:v>2.7393303842842442E-2</c:v>
                </c:pt>
                <c:pt idx="164">
                  <c:v>2.7406618011755035E-2</c:v>
                </c:pt>
                <c:pt idx="165">
                  <c:v>2.7419931998407643E-2</c:v>
                </c:pt>
                <c:pt idx="166">
                  <c:v>2.7433245802803041E-2</c:v>
                </c:pt>
                <c:pt idx="167">
                  <c:v>2.7446559424943673E-2</c:v>
                </c:pt>
                <c:pt idx="168">
                  <c:v>2.745987286483198E-2</c:v>
                </c:pt>
                <c:pt idx="169">
                  <c:v>2.7473186122470517E-2</c:v>
                </c:pt>
                <c:pt idx="170">
                  <c:v>2.7486499197861614E-2</c:v>
                </c:pt>
                <c:pt idx="171">
                  <c:v>2.7499812091007936E-2</c:v>
                </c:pt>
                <c:pt idx="172">
                  <c:v>2.7513124801912037E-2</c:v>
                </c:pt>
                <c:pt idx="173">
                  <c:v>2.7526437330576137E-2</c:v>
                </c:pt>
                <c:pt idx="174">
                  <c:v>2.7539749677003011E-2</c:v>
                </c:pt>
                <c:pt idx="175">
                  <c:v>2.7553061841194992E-2</c:v>
                </c:pt>
                <c:pt idx="176">
                  <c:v>2.7566373823154633E-2</c:v>
                </c:pt>
                <c:pt idx="177">
                  <c:v>2.7579685622884487E-2</c:v>
                </c:pt>
                <c:pt idx="178">
                  <c:v>2.7592997240386885E-2</c:v>
                </c:pt>
                <c:pt idx="179">
                  <c:v>2.7606308675664493E-2</c:v>
                </c:pt>
                <c:pt idx="180">
                  <c:v>2.7619619928719641E-2</c:v>
                </c:pt>
                <c:pt idx="181">
                  <c:v>2.7632930999554994E-2</c:v>
                </c:pt>
                <c:pt idx="182">
                  <c:v>2.7646241888172995E-2</c:v>
                </c:pt>
                <c:pt idx="183">
                  <c:v>2.7659552594575976E-2</c:v>
                </c:pt>
                <c:pt idx="184">
                  <c:v>2.7672863118766711E-2</c:v>
                </c:pt>
                <c:pt idx="185">
                  <c:v>2.7686173460747421E-2</c:v>
                </c:pt>
                <c:pt idx="186">
                  <c:v>2.7699483620520771E-2</c:v>
                </c:pt>
                <c:pt idx="187">
                  <c:v>2.7712793598089314E-2</c:v>
                </c:pt>
                <c:pt idx="188">
                  <c:v>2.772610339345527E-2</c:v>
                </c:pt>
                <c:pt idx="189">
                  <c:v>2.7739413006621416E-2</c:v>
                </c:pt>
                <c:pt idx="190">
                  <c:v>2.7752722437590083E-2</c:v>
                </c:pt>
                <c:pt idx="191">
                  <c:v>2.7766031686363823E-2</c:v>
                </c:pt>
                <c:pt idx="192">
                  <c:v>2.7779340752945192E-2</c:v>
                </c:pt>
                <c:pt idx="193">
                  <c:v>2.7792649637336519E-2</c:v>
                </c:pt>
                <c:pt idx="194">
                  <c:v>2.7805958339540471E-2</c:v>
                </c:pt>
                <c:pt idx="195">
                  <c:v>2.7819266859559488E-2</c:v>
                </c:pt>
                <c:pt idx="196">
                  <c:v>2.7832575197395903E-2</c:v>
                </c:pt>
                <c:pt idx="197">
                  <c:v>2.7845883353052492E-2</c:v>
                </c:pt>
                <c:pt idx="198">
                  <c:v>2.7859191326531474E-2</c:v>
                </c:pt>
                <c:pt idx="199">
                  <c:v>2.7872499117835625E-2</c:v>
                </c:pt>
                <c:pt idx="200">
                  <c:v>2.7885806726967166E-2</c:v>
                </c:pt>
                <c:pt idx="201">
                  <c:v>2.7899114153928761E-2</c:v>
                </c:pt>
                <c:pt idx="202">
                  <c:v>2.7912421398722853E-2</c:v>
                </c:pt>
                <c:pt idx="203">
                  <c:v>2.7925728461351995E-2</c:v>
                </c:pt>
                <c:pt idx="204">
                  <c:v>2.7939035341818519E-2</c:v>
                </c:pt>
                <c:pt idx="205">
                  <c:v>2.7952342040125089E-2</c:v>
                </c:pt>
                <c:pt idx="206">
                  <c:v>2.7965648556274147E-2</c:v>
                </c:pt>
                <c:pt idx="207">
                  <c:v>2.7978954890268137E-2</c:v>
                </c:pt>
                <c:pt idx="208">
                  <c:v>2.7992261042109612E-2</c:v>
                </c:pt>
                <c:pt idx="209">
                  <c:v>2.8005567011801014E-2</c:v>
                </c:pt>
                <c:pt idx="210">
                  <c:v>2.8018872799344896E-2</c:v>
                </c:pt>
                <c:pt idx="211">
                  <c:v>2.8032178404743702E-2</c:v>
                </c:pt>
                <c:pt idx="212">
                  <c:v>2.8045483827999873E-2</c:v>
                </c:pt>
                <c:pt idx="213">
                  <c:v>2.8058789069116075E-2</c:v>
                </c:pt>
                <c:pt idx="214">
                  <c:v>2.8072094128094638E-2</c:v>
                </c:pt>
                <c:pt idx="215">
                  <c:v>2.8085399004938227E-2</c:v>
                </c:pt>
                <c:pt idx="216">
                  <c:v>2.8098703699649064E-2</c:v>
                </c:pt>
                <c:pt idx="217">
                  <c:v>2.8112008212229922E-2</c:v>
                </c:pt>
                <c:pt idx="218">
                  <c:v>2.8125312542683134E-2</c:v>
                </c:pt>
                <c:pt idx="219">
                  <c:v>2.8138616691011253E-2</c:v>
                </c:pt>
                <c:pt idx="220">
                  <c:v>2.8151920657216722E-2</c:v>
                </c:pt>
                <c:pt idx="221">
                  <c:v>2.8165224441302095E-2</c:v>
                </c:pt>
                <c:pt idx="222">
                  <c:v>2.8178528043269813E-2</c:v>
                </c:pt>
                <c:pt idx="223">
                  <c:v>2.819183146312243E-2</c:v>
                </c:pt>
                <c:pt idx="224">
                  <c:v>2.8205134700862389E-2</c:v>
                </c:pt>
                <c:pt idx="225">
                  <c:v>2.8218437756492132E-2</c:v>
                </c:pt>
                <c:pt idx="226">
                  <c:v>2.8231740630014213E-2</c:v>
                </c:pt>
                <c:pt idx="227">
                  <c:v>2.8245043321431185E-2</c:v>
                </c:pt>
                <c:pt idx="228">
                  <c:v>2.825834583074549E-2</c:v>
                </c:pt>
                <c:pt idx="229">
                  <c:v>2.8271648157959572E-2</c:v>
                </c:pt>
                <c:pt idx="230">
                  <c:v>2.8284950303075984E-2</c:v>
                </c:pt>
                <c:pt idx="231">
                  <c:v>2.8298252266097279E-2</c:v>
                </c:pt>
                <c:pt idx="232">
                  <c:v>2.8311554047025789E-2</c:v>
                </c:pt>
                <c:pt idx="233">
                  <c:v>2.8324855645864067E-2</c:v>
                </c:pt>
                <c:pt idx="234">
                  <c:v>2.8338157062614666E-2</c:v>
                </c:pt>
                <c:pt idx="235">
                  <c:v>2.835145829728003E-2</c:v>
                </c:pt>
                <c:pt idx="236">
                  <c:v>2.8364759349862712E-2</c:v>
                </c:pt>
                <c:pt idx="237">
                  <c:v>2.8378060220365042E-2</c:v>
                </c:pt>
                <c:pt idx="238">
                  <c:v>2.8391360908789687E-2</c:v>
                </c:pt>
                <c:pt idx="239">
                  <c:v>2.8404661415139087E-2</c:v>
                </c:pt>
                <c:pt idx="240">
                  <c:v>2.8417961739415687E-2</c:v>
                </c:pt>
                <c:pt idx="241">
                  <c:v>2.8431261881622039E-2</c:v>
                </c:pt>
                <c:pt idx="242">
                  <c:v>2.8444561841760696E-2</c:v>
                </c:pt>
                <c:pt idx="243">
                  <c:v>2.8457861619833991E-2</c:v>
                </c:pt>
                <c:pt idx="244">
                  <c:v>2.8471161215844476E-2</c:v>
                </c:pt>
                <c:pt idx="245">
                  <c:v>2.8484460629794595E-2</c:v>
                </c:pt>
                <c:pt idx="246">
                  <c:v>2.8497759861687011E-2</c:v>
                </c:pt>
                <c:pt idx="247">
                  <c:v>2.8511058911524056E-2</c:v>
                </c:pt>
                <c:pt idx="248">
                  <c:v>2.8524357779308396E-2</c:v>
                </c:pt>
                <c:pt idx="249">
                  <c:v>2.8537656465042249E-2</c:v>
                </c:pt>
                <c:pt idx="250">
                  <c:v>2.8550954968728393E-2</c:v>
                </c:pt>
                <c:pt idx="251">
                  <c:v>2.8564253290369046E-2</c:v>
                </c:pt>
                <c:pt idx="252">
                  <c:v>2.8577551429966985E-2</c:v>
                </c:pt>
                <c:pt idx="253">
                  <c:v>2.8590849387524431E-2</c:v>
                </c:pt>
                <c:pt idx="254">
                  <c:v>2.8604147163044047E-2</c:v>
                </c:pt>
                <c:pt idx="255">
                  <c:v>2.8617444756528387E-2</c:v>
                </c:pt>
                <c:pt idx="256">
                  <c:v>2.8630742167979673E-2</c:v>
                </c:pt>
                <c:pt idx="257">
                  <c:v>2.8644039397400678E-2</c:v>
                </c:pt>
                <c:pt idx="258">
                  <c:v>2.8657336444793735E-2</c:v>
                </c:pt>
                <c:pt idx="259">
                  <c:v>2.8670633310161397E-2</c:v>
                </c:pt>
                <c:pt idx="260">
                  <c:v>2.8683929993506108E-2</c:v>
                </c:pt>
                <c:pt idx="261">
                  <c:v>2.8697226494830419E-2</c:v>
                </c:pt>
                <c:pt idx="262">
                  <c:v>2.8710522814136885E-2</c:v>
                </c:pt>
                <c:pt idx="263">
                  <c:v>2.8723818951427726E-2</c:v>
                </c:pt>
                <c:pt idx="264">
                  <c:v>2.8737114906705719E-2</c:v>
                </c:pt>
                <c:pt idx="265">
                  <c:v>2.8750410679973193E-2</c:v>
                </c:pt>
                <c:pt idx="266">
                  <c:v>2.8763706271232814E-2</c:v>
                </c:pt>
                <c:pt idx="267">
                  <c:v>2.8777001680486802E-2</c:v>
                </c:pt>
                <c:pt idx="268">
                  <c:v>2.8790296907737933E-2</c:v>
                </c:pt>
                <c:pt idx="269">
                  <c:v>2.8803591952988539E-2</c:v>
                </c:pt>
                <c:pt idx="270">
                  <c:v>2.8816886816241061E-2</c:v>
                </c:pt>
                <c:pt idx="271">
                  <c:v>2.8830181497498164E-2</c:v>
                </c:pt>
                <c:pt idx="272">
                  <c:v>2.884347599676218E-2</c:v>
                </c:pt>
                <c:pt idx="273">
                  <c:v>2.8856770314035662E-2</c:v>
                </c:pt>
                <c:pt idx="274">
                  <c:v>2.8870064449321164E-2</c:v>
                </c:pt>
                <c:pt idx="275">
                  <c:v>2.8883358402621018E-2</c:v>
                </c:pt>
                <c:pt idx="276">
                  <c:v>2.8896652173937887E-2</c:v>
                </c:pt>
                <c:pt idx="277">
                  <c:v>2.8909945763274214E-2</c:v>
                </c:pt>
                <c:pt idx="278">
                  <c:v>2.8923239170632442E-2</c:v>
                </c:pt>
                <c:pt idx="279">
                  <c:v>2.8936532396015013E-2</c:v>
                </c:pt>
                <c:pt idx="280">
                  <c:v>2.8949825439424592E-2</c:v>
                </c:pt>
                <c:pt idx="281">
                  <c:v>2.8963118300863511E-2</c:v>
                </c:pt>
                <c:pt idx="282">
                  <c:v>2.8976410980334322E-2</c:v>
                </c:pt>
                <c:pt idx="283">
                  <c:v>2.8989703477839579E-2</c:v>
                </c:pt>
                <c:pt idx="284">
                  <c:v>2.9002995793381614E-2</c:v>
                </c:pt>
                <c:pt idx="285">
                  <c:v>2.9016287926963091E-2</c:v>
                </c:pt>
                <c:pt idx="286">
                  <c:v>2.9029579878586342E-2</c:v>
                </c:pt>
                <c:pt idx="287">
                  <c:v>2.9042871648254032E-2</c:v>
                </c:pt>
                <c:pt idx="288">
                  <c:v>2.9056163235968491E-2</c:v>
                </c:pt>
                <c:pt idx="289">
                  <c:v>2.9069454641732273E-2</c:v>
                </c:pt>
                <c:pt idx="290">
                  <c:v>2.9082745865547932E-2</c:v>
                </c:pt>
                <c:pt idx="291">
                  <c:v>2.909603690741791E-2</c:v>
                </c:pt>
                <c:pt idx="292">
                  <c:v>2.910932776734465E-2</c:v>
                </c:pt>
                <c:pt idx="293">
                  <c:v>2.9122618445330595E-2</c:v>
                </c:pt>
                <c:pt idx="294">
                  <c:v>2.9135908941378408E-2</c:v>
                </c:pt>
                <c:pt idx="295">
                  <c:v>2.9149199255490532E-2</c:v>
                </c:pt>
                <c:pt idx="296">
                  <c:v>2.9162489387669299E-2</c:v>
                </c:pt>
                <c:pt idx="297">
                  <c:v>2.9175779337917374E-2</c:v>
                </c:pt>
                <c:pt idx="298">
                  <c:v>2.9189069106237198E-2</c:v>
                </c:pt>
                <c:pt idx="299">
                  <c:v>2.9202358692631214E-2</c:v>
                </c:pt>
                <c:pt idx="300">
                  <c:v>2.9215648097101976E-2</c:v>
                </c:pt>
                <c:pt idx="301">
                  <c:v>2.9228937319652037E-2</c:v>
                </c:pt>
                <c:pt idx="302">
                  <c:v>2.924222636028373E-2</c:v>
                </c:pt>
                <c:pt idx="303">
                  <c:v>2.9255515218999606E-2</c:v>
                </c:pt>
                <c:pt idx="304">
                  <c:v>2.9268803895802109E-2</c:v>
                </c:pt>
                <c:pt idx="305">
                  <c:v>2.9282092390693903E-2</c:v>
                </c:pt>
                <c:pt idx="306">
                  <c:v>2.9295380703677321E-2</c:v>
                </c:pt>
                <c:pt idx="307">
                  <c:v>2.9308668834754803E-2</c:v>
                </c:pt>
                <c:pt idx="308">
                  <c:v>2.9321956783929015E-2</c:v>
                </c:pt>
                <c:pt idx="309">
                  <c:v>2.93352445512024E-2</c:v>
                </c:pt>
                <c:pt idx="310">
                  <c:v>2.9348532136577399E-2</c:v>
                </c:pt>
                <c:pt idx="311">
                  <c:v>2.9361819540056455E-2</c:v>
                </c:pt>
                <c:pt idx="312">
                  <c:v>2.9375106761642122E-2</c:v>
                </c:pt>
                <c:pt idx="313">
                  <c:v>2.9388393801336843E-2</c:v>
                </c:pt>
                <c:pt idx="314">
                  <c:v>2.9401680659143281E-2</c:v>
                </c:pt>
                <c:pt idx="315">
                  <c:v>2.9414967335063658E-2</c:v>
                </c:pt>
                <c:pt idx="316">
                  <c:v>2.9428253829100637E-2</c:v>
                </c:pt>
                <c:pt idx="317">
                  <c:v>2.9441540141256772E-2</c:v>
                </c:pt>
                <c:pt idx="318">
                  <c:v>2.9454826271534285E-2</c:v>
                </c:pt>
                <c:pt idx="319">
                  <c:v>2.9468112219935949E-2</c:v>
                </c:pt>
                <c:pt idx="320">
                  <c:v>2.9481397986464097E-2</c:v>
                </c:pt>
                <c:pt idx="321">
                  <c:v>2.9494683571121283E-2</c:v>
                </c:pt>
                <c:pt idx="322">
                  <c:v>2.9507968973909948E-2</c:v>
                </c:pt>
                <c:pt idx="323">
                  <c:v>2.9521254194832647E-2</c:v>
                </c:pt>
                <c:pt idx="324">
                  <c:v>2.953453923389171E-2</c:v>
                </c:pt>
                <c:pt idx="325">
                  <c:v>2.9547824091089914E-2</c:v>
                </c:pt>
                <c:pt idx="326">
                  <c:v>2.9561108766429478E-2</c:v>
                </c:pt>
                <c:pt idx="327">
                  <c:v>2.9574393259912957E-2</c:v>
                </c:pt>
                <c:pt idx="328">
                  <c:v>2.9587677571542903E-2</c:v>
                </c:pt>
                <c:pt idx="329">
                  <c:v>2.9600961701321871E-2</c:v>
                </c:pt>
                <c:pt idx="330">
                  <c:v>2.9614245649252191E-2</c:v>
                </c:pt>
                <c:pt idx="331">
                  <c:v>2.9627529415336418E-2</c:v>
                </c:pt>
                <c:pt idx="332">
                  <c:v>2.9640812999576993E-2</c:v>
                </c:pt>
                <c:pt idx="333">
                  <c:v>2.9654096401976471E-2</c:v>
                </c:pt>
                <c:pt idx="334">
                  <c:v>2.9667379622537404E-2</c:v>
                </c:pt>
                <c:pt idx="335">
                  <c:v>2.9680662661262125E-2</c:v>
                </c:pt>
                <c:pt idx="336">
                  <c:v>2.9693945518153297E-2</c:v>
                </c:pt>
                <c:pt idx="337">
                  <c:v>2.9707228193213142E-2</c:v>
                </c:pt>
                <c:pt idx="338">
                  <c:v>2.9720510686444435E-2</c:v>
                </c:pt>
                <c:pt idx="339">
                  <c:v>2.9733792997849617E-2</c:v>
                </c:pt>
                <c:pt idx="340">
                  <c:v>2.9747075127431022E-2</c:v>
                </c:pt>
                <c:pt idx="341">
                  <c:v>2.9760357075191202E-2</c:v>
                </c:pt>
                <c:pt idx="342">
                  <c:v>2.977363884113271E-2</c:v>
                </c:pt>
                <c:pt idx="343">
                  <c:v>2.978692042525799E-2</c:v>
                </c:pt>
                <c:pt idx="344">
                  <c:v>2.9800201827569484E-2</c:v>
                </c:pt>
                <c:pt idx="345">
                  <c:v>2.9813483048069855E-2</c:v>
                </c:pt>
                <c:pt idx="346">
                  <c:v>2.9826764086761326E-2</c:v>
                </c:pt>
                <c:pt idx="347">
                  <c:v>2.9840044943646671E-2</c:v>
                </c:pt>
                <c:pt idx="348">
                  <c:v>2.985332561872811E-2</c:v>
                </c:pt>
                <c:pt idx="349">
                  <c:v>2.986660611200842E-2</c:v>
                </c:pt>
                <c:pt idx="350">
                  <c:v>2.9879886423489821E-2</c:v>
                </c:pt>
                <c:pt idx="351">
                  <c:v>2.9893166553174866E-2</c:v>
                </c:pt>
                <c:pt idx="352">
                  <c:v>2.9906446501066108E-2</c:v>
                </c:pt>
                <c:pt idx="353">
                  <c:v>2.9919726267166102E-2</c:v>
                </c:pt>
                <c:pt idx="354">
                  <c:v>2.9933005851477179E-2</c:v>
                </c:pt>
                <c:pt idx="355">
                  <c:v>2.9946285254001892E-2</c:v>
                </c:pt>
                <c:pt idx="356">
                  <c:v>2.9959564474742795E-2</c:v>
                </c:pt>
                <c:pt idx="357">
                  <c:v>2.997284351370233E-2</c:v>
                </c:pt>
                <c:pt idx="358">
                  <c:v>2.9986122370882939E-2</c:v>
                </c:pt>
                <c:pt idx="359">
                  <c:v>2.9999401046287066E-2</c:v>
                </c:pt>
                <c:pt idx="360">
                  <c:v>3.0012679539917375E-2</c:v>
                </c:pt>
                <c:pt idx="361">
                  <c:v>3.0025957851776197E-2</c:v>
                </c:pt>
                <c:pt idx="362">
                  <c:v>3.0039235981866086E-2</c:v>
                </c:pt>
                <c:pt idx="363">
                  <c:v>3.0052513930189595E-2</c:v>
                </c:pt>
                <c:pt idx="364">
                  <c:v>3.0065791696749056E-2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3.4230950566402636E-2</c:v>
                </c:pt>
                <c:pt idx="1">
                  <c:v>3.4271401169756723E-2</c:v>
                </c:pt>
                <c:pt idx="2">
                  <c:v>3.4311887457647086E-2</c:v>
                </c:pt>
                <c:pt idx="3">
                  <c:v>3.4352401712064815E-2</c:v>
                </c:pt>
                <c:pt idx="4">
                  <c:v>3.4392937213689787E-2</c:v>
                </c:pt>
                <c:pt idx="5">
                  <c:v>3.4433488214578464E-2</c:v>
                </c:pt>
                <c:pt idx="6">
                  <c:v>3.4474049903005836E-2</c:v>
                </c:pt>
                <c:pt idx="7">
                  <c:v>3.451461836105843E-2</c:v>
                </c:pt>
                <c:pt idx="8">
                  <c:v>3.4555190515629948E-2</c:v>
                </c:pt>
                <c:pt idx="9">
                  <c:v>3.4595764083520129E-2</c:v>
                </c:pt>
                <c:pt idx="10">
                  <c:v>3.4636337511378221E-2</c:v>
                </c:pt>
                <c:pt idx="11">
                  <c:v>3.4676909911265222E-2</c:v>
                </c:pt>
                <c:pt idx="12">
                  <c:v>3.4717480992634948E-2</c:v>
                </c:pt>
                <c:pt idx="13">
                  <c:v>3.4758050991550146E-2</c:v>
                </c:pt>
                <c:pt idx="14">
                  <c:v>3.4798620597959143E-2</c:v>
                </c:pt>
                <c:pt idx="15">
                  <c:v>3.4839190881858925E-2</c:v>
                </c:pt>
                <c:pt idx="16">
                  <c:v>3.4879763219163071E-2</c:v>
                </c:pt>
                <c:pt idx="17">
                  <c:v>3.4920339218077474E-2</c:v>
                </c:pt>
                <c:pt idx="18">
                  <c:v>3.4960920646764128E-2</c:v>
                </c:pt>
                <c:pt idx="19">
                  <c:v>3.5001509363042416E-2</c:v>
                </c:pt>
                <c:pt idx="20">
                  <c:v>3.5042107246840766E-2</c:v>
                </c:pt>
                <c:pt idx="21">
                  <c:v>3.5082716136067511E-2</c:v>
                </c:pt>
                <c:pt idx="22">
                  <c:v>3.5123337766520657E-2</c:v>
                </c:pt>
                <c:pt idx="23">
                  <c:v>3.5163973716401516E-2</c:v>
                </c:pt>
                <c:pt idx="24">
                  <c:v>3.5204625355937498E-2</c:v>
                </c:pt>
                <c:pt idx="25">
                  <c:v>3.5245293802556643E-2</c:v>
                </c:pt>
                <c:pt idx="26">
                  <c:v>3.5285979881989019E-2</c:v>
                </c:pt>
                <c:pt idx="27">
                  <c:v>3.5326684095601711E-2</c:v>
                </c:pt>
                <c:pt idx="28">
                  <c:v>3.5367406594202642E-2</c:v>
                </c:pt>
                <c:pt idx="29">
                  <c:v>3.5408147158476622E-2</c:v>
                </c:pt>
                <c:pt idx="30">
                  <c:v>3.5448905186144665E-2</c:v>
                </c:pt>
                <c:pt idx="31">
                  <c:v>3.5489679685865624E-2</c:v>
                </c:pt>
                <c:pt idx="32">
                  <c:v>3.5530469277828561E-2</c:v>
                </c:pt>
                <c:pt idx="33">
                  <c:v>3.5571272200915438E-2</c:v>
                </c:pt>
                <c:pt idx="34">
                  <c:v>3.561208632624728E-2</c:v>
                </c:pt>
                <c:pt idx="35">
                  <c:v>3.5652909176864006E-2</c:v>
                </c:pt>
                <c:pt idx="36">
                  <c:v>3.569373795322893E-2</c:v>
                </c:pt>
                <c:pt idx="37">
                  <c:v>3.5734569564193686E-2</c:v>
                </c:pt>
                <c:pt idx="38">
                  <c:v>3.5775400663009618E-2</c:v>
                </c:pt>
                <c:pt idx="39">
                  <c:v>3.581622768792668E-2</c:v>
                </c:pt>
                <c:pt idx="40">
                  <c:v>3.5857046906881851E-2</c:v>
                </c:pt>
                <c:pt idx="41">
                  <c:v>3.5897854465745775E-2</c:v>
                </c:pt>
                <c:pt idx="42">
                  <c:v>3.5938646439569524E-2</c:v>
                </c:pt>
                <c:pt idx="43">
                  <c:v>3.5979418886253008E-2</c:v>
                </c:pt>
                <c:pt idx="44">
                  <c:v>3.6020167902041739E-2</c:v>
                </c:pt>
                <c:pt idx="45">
                  <c:v>3.6060889678252175E-2</c:v>
                </c:pt>
                <c:pt idx="46">
                  <c:v>3.6101580558623683E-2</c:v>
                </c:pt>
                <c:pt idx="47">
                  <c:v>3.6142237096701037E-2</c:v>
                </c:pt>
                <c:pt idx="48">
                  <c:v>3.6182856112662677E-2</c:v>
                </c:pt>
                <c:pt idx="49">
                  <c:v>3.6223434749026839E-2</c:v>
                </c:pt>
                <c:pt idx="50">
                  <c:v>3.6263970524691276E-2</c:v>
                </c:pt>
                <c:pt idx="51">
                  <c:v>3.6304461386789694E-2</c:v>
                </c:pt>
                <c:pt idx="52">
                  <c:v>3.6344905759881606E-2</c:v>
                </c:pt>
                <c:pt idx="53">
                  <c:v>3.6385302592029434E-2</c:v>
                </c:pt>
                <c:pt idx="54">
                  <c:v>3.6425651397357699E-2</c:v>
                </c:pt>
                <c:pt idx="55">
                  <c:v>3.6465952294734039E-2</c:v>
                </c:pt>
                <c:pt idx="56">
                  <c:v>3.6506206042258717E-2</c:v>
                </c:pt>
                <c:pt idx="57">
                  <c:v>3.6546414067298943E-2</c:v>
                </c:pt>
                <c:pt idx="58">
                  <c:v>3.6586578491855176E-2</c:v>
                </c:pt>
                <c:pt idx="59">
                  <c:v>3.6626702153098309E-2</c:v>
                </c:pt>
                <c:pt idx="60">
                  <c:v>3.666678861896952E-2</c:v>
                </c:pt>
                <c:pt idx="61">
                  <c:v>3.6706842198785422E-2</c:v>
                </c:pt>
                <c:pt idx="62">
                  <c:v>3.6746867948843354E-2</c:v>
                </c:pt>
                <c:pt idx="63">
                  <c:v>3.6786871673070327E-2</c:v>
                </c:pt>
                <c:pt idx="64">
                  <c:v>3.6826859918807409E-2</c:v>
                </c:pt>
                <c:pt idx="65">
                  <c:v>3.6866839967865897E-2</c:v>
                </c:pt>
                <c:pt idx="66">
                  <c:v>3.6906819823034044E-2</c:v>
                </c:pt>
                <c:pt idx="67">
                  <c:v>3.6946808190251673E-2</c:v>
                </c:pt>
                <c:pt idx="68">
                  <c:v>3.6986814456704653E-2</c:v>
                </c:pt>
                <c:pt idx="69">
                  <c:v>3.7026848665122354E-2</c:v>
                </c:pt>
                <c:pt idx="70">
                  <c:v>3.7066921484586825E-2</c:v>
                </c:pt>
                <c:pt idx="71">
                  <c:v>3.7107044178184813E-2</c:v>
                </c:pt>
                <c:pt idx="72">
                  <c:v>3.7147228567849834E-2</c:v>
                </c:pt>
                <c:pt idx="73">
                  <c:v>3.7187486996754053E-2</c:v>
                </c:pt>
                <c:pt idx="74">
                  <c:v>3.7227832289616243E-2</c:v>
                </c:pt>
                <c:pt idx="75">
                  <c:v>3.7268277711294449E-2</c:v>
                </c:pt>
                <c:pt idx="76">
                  <c:v>3.7308836924029344E-2</c:v>
                </c:pt>
                <c:pt idx="77">
                  <c:v>3.7349523943696492E-2</c:v>
                </c:pt>
                <c:pt idx="78">
                  <c:v>3.7390353095414129E-2</c:v>
                </c:pt>
                <c:pt idx="79">
                  <c:v>3.7431338968837199E-2</c:v>
                </c:pt>
                <c:pt idx="80">
                  <c:v>3.7472496373447947E-2</c:v>
                </c:pt>
                <c:pt idx="81">
                  <c:v>3.7513840294130261E-2</c:v>
                </c:pt>
                <c:pt idx="82">
                  <c:v>3.7555385847288257E-2</c:v>
                </c:pt>
                <c:pt idx="83">
                  <c:v>3.7597148237740227E-2</c:v>
                </c:pt>
                <c:pt idx="84">
                  <c:v>3.7639142716587463E-2</c:v>
                </c:pt>
                <c:pt idx="85">
                  <c:v>3.7681384540224426E-2</c:v>
                </c:pt>
                <c:pt idx="86">
                  <c:v>3.7723888930621986E-2</c:v>
                </c:pt>
                <c:pt idx="87">
                  <c:v>3.7766671036980268E-2</c:v>
                </c:pt>
                <c:pt idx="88">
                  <c:v>3.7809745898812447E-2</c:v>
                </c:pt>
                <c:pt idx="89">
                  <c:v>3.7853128410485631E-2</c:v>
                </c:pt>
                <c:pt idx="90">
                  <c:v>3.7896833287210829E-2</c:v>
                </c:pt>
                <c:pt idx="91">
                  <c:v>3.7940875032441264E-2</c:v>
                </c:pt>
                <c:pt idx="92">
                  <c:v>3.7985267906607625E-2</c:v>
                </c:pt>
                <c:pt idx="93">
                  <c:v>3.8030025897089773E-2</c:v>
                </c:pt>
                <c:pt idx="94">
                  <c:v>3.807516268929912E-2</c:v>
                </c:pt>
                <c:pt idx="95">
                  <c:v>3.812069163872301E-2</c:v>
                </c:pt>
                <c:pt idx="96">
                  <c:v>3.8166625743763352E-2</c:v>
                </c:pt>
                <c:pt idx="97">
                  <c:v>3.821297761918617E-2</c:v>
                </c:pt>
                <c:pt idx="98">
                  <c:v>3.8259759469987838E-2</c:v>
                </c:pt>
                <c:pt idx="99">
                  <c:v>3.8306983065476204E-2</c:v>
                </c:pt>
                <c:pt idx="100">
                  <c:v>3.8354659713362521E-2</c:v>
                </c:pt>
                <c:pt idx="101">
                  <c:v>3.8402800233661438E-2</c:v>
                </c:pt>
                <c:pt idx="102">
                  <c:v>3.8451414932202915E-2</c:v>
                </c:pt>
                <c:pt idx="103">
                  <c:v>3.8500513573570143E-2</c:v>
                </c:pt>
                <c:pt idx="104">
                  <c:v>3.8550105353292979E-2</c:v>
                </c:pt>
                <c:pt idx="105">
                  <c:v>3.8600198869144953E-2</c:v>
                </c:pt>
                <c:pt idx="106">
                  <c:v>3.865080209141545E-2</c:v>
                </c:pt>
                <c:pt idx="107">
                  <c:v>3.8701922332055126E-2</c:v>
                </c:pt>
                <c:pt idx="108">
                  <c:v>3.8753566212622659E-2</c:v>
                </c:pt>
                <c:pt idx="109">
                  <c:v>3.8805739630994027E-2</c:v>
                </c:pt>
                <c:pt idx="110">
                  <c:v>3.885844772683085E-2</c:v>
                </c:pt>
                <c:pt idx="111">
                  <c:v>3.8911694845842164E-2</c:v>
                </c:pt>
                <c:pt idx="112">
                  <c:v>3.8965484502912887E-2</c:v>
                </c:pt>
                <c:pt idx="113">
                  <c:v>3.90198193442126E-2</c:v>
                </c:pt>
                <c:pt idx="114">
                  <c:v>3.9074701108438921E-2</c:v>
                </c:pt>
                <c:pt idx="115">
                  <c:v>3.9130130587390295E-2</c:v>
                </c:pt>
                <c:pt idx="116">
                  <c:v>3.9186107586103233E-2</c:v>
                </c:pt>
                <c:pt idx="117">
                  <c:v>3.9242630882827527E-2</c:v>
                </c:pt>
                <c:pt idx="118">
                  <c:v>3.9299698189150085E-2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1.5306001364137347E-2</c:v>
                </c:pt>
                <c:pt idx="1">
                  <c:v>1.5133514960142404E-2</c:v>
                </c:pt>
                <c:pt idx="2">
                  <c:v>1.497057950067099E-2</c:v>
                </c:pt>
                <c:pt idx="3">
                  <c:v>1.481839278634639E-2</c:v>
                </c:pt>
                <c:pt idx="4">
                  <c:v>1.4678030707577748E-2</c:v>
                </c:pt>
                <c:pt idx="5">
                  <c:v>1.4550459090290405E-2</c:v>
                </c:pt>
                <c:pt idx="6">
                  <c:v>1.4436547105920357E-2</c:v>
                </c:pt>
                <c:pt idx="7">
                  <c:v>1.433708173722195E-2</c:v>
                </c:pt>
                <c:pt idx="8">
                  <c:v>1.4249700437869495E-2</c:v>
                </c:pt>
                <c:pt idx="9">
                  <c:v>1.4181087260726883E-2</c:v>
                </c:pt>
                <c:pt idx="10">
                  <c:v>1.4124569921226305E-2</c:v>
                </c:pt>
                <c:pt idx="11">
                  <c:v>1.4079697415782149E-2</c:v>
                </c:pt>
                <c:pt idx="12">
                  <c:v>1.4046018326781293E-2</c:v>
                </c:pt>
                <c:pt idx="13">
                  <c:v>1.4023081195595992E-2</c:v>
                </c:pt>
                <c:pt idx="14">
                  <c:v>1.401043494138611E-2</c:v>
                </c:pt>
                <c:pt idx="15">
                  <c:v>1.3999234794589234E-2</c:v>
                </c:pt>
                <c:pt idx="16">
                  <c:v>1.3983979793547832E-2</c:v>
                </c:pt>
                <c:pt idx="17">
                  <c:v>1.3964743721026469E-2</c:v>
                </c:pt>
                <c:pt idx="18">
                  <c:v>1.3941605282808564E-2</c:v>
                </c:pt>
                <c:pt idx="19">
                  <c:v>1.3914712617878617E-2</c:v>
                </c:pt>
                <c:pt idx="20">
                  <c:v>1.3884246196425412E-2</c:v>
                </c:pt>
                <c:pt idx="21">
                  <c:v>1.3850337992480997E-2</c:v>
                </c:pt>
                <c:pt idx="22">
                  <c:v>1.3812010391810556E-2</c:v>
                </c:pt>
                <c:pt idx="23">
                  <c:v>1.3724344261152314E-2</c:v>
                </c:pt>
                <c:pt idx="24">
                  <c:v>1.3582023432179128E-2</c:v>
                </c:pt>
                <c:pt idx="25">
                  <c:v>1.3388086254675868E-2</c:v>
                </c:pt>
                <c:pt idx="26">
                  <c:v>1.3145489323450055E-2</c:v>
                </c:pt>
                <c:pt idx="27">
                  <c:v>1.2857082159340937E-2</c:v>
                </c:pt>
                <c:pt idx="28">
                  <c:v>1.2525586910632963E-2</c:v>
                </c:pt>
                <c:pt idx="29">
                  <c:v>1.2131838172022054E-2</c:v>
                </c:pt>
                <c:pt idx="30">
                  <c:v>1.1686015530578705E-2</c:v>
                </c:pt>
                <c:pt idx="31">
                  <c:v>1.1190987070844023E-2</c:v>
                </c:pt>
                <c:pt idx="32">
                  <c:v>1.0649420155200966E-2</c:v>
                </c:pt>
                <c:pt idx="33">
                  <c:v>1.006377530572254E-2</c:v>
                </c:pt>
                <c:pt idx="34">
                  <c:v>9.4363028294460489E-3</c:v>
                </c:pt>
                <c:pt idx="35">
                  <c:v>8.7690416528343664E-3</c:v>
                </c:pt>
                <c:pt idx="36">
                  <c:v>8.0629192676739021E-3</c:v>
                </c:pt>
                <c:pt idx="37">
                  <c:v>7.3443478456220465E-3</c:v>
                </c:pt>
                <c:pt idx="38">
                  <c:v>6.65006516341193E-3</c:v>
                </c:pt>
                <c:pt idx="39">
                  <c:v>5.9794116653930553E-3</c:v>
                </c:pt>
                <c:pt idx="40">
                  <c:v>5.3317160530445126E-3</c:v>
                </c:pt>
                <c:pt idx="41">
                  <c:v>4.7062995139085561E-3</c:v>
                </c:pt>
                <c:pt idx="42">
                  <c:v>4.102479424364802E-3</c:v>
                </c:pt>
                <c:pt idx="43">
                  <c:v>3.540154934552728E-3</c:v>
                </c:pt>
                <c:pt idx="44">
                  <c:v>3.035573334353199E-3</c:v>
                </c:pt>
                <c:pt idx="45">
                  <c:v>2.5866304127863497E-3</c:v>
                </c:pt>
                <c:pt idx="46">
                  <c:v>2.1912961237824302E-3</c:v>
                </c:pt>
                <c:pt idx="47">
                  <c:v>1.8476160836873982E-3</c:v>
                </c:pt>
                <c:pt idx="48">
                  <c:v>1.5537125264102696E-3</c:v>
                </c:pt>
                <c:pt idx="49">
                  <c:v>1.3077848064637035E-3</c:v>
                </c:pt>
                <c:pt idx="50">
                  <c:v>1.1080982880057708E-3</c:v>
                </c:pt>
                <c:pt idx="51">
                  <c:v>9.5406231698452737E-4</c:v>
                </c:pt>
                <c:pt idx="52">
                  <c:v>8.2307885133149443E-4</c:v>
                </c:pt>
                <c:pt idx="53">
                  <c:v>7.1434698864735889E-4</c:v>
                </c:pt>
                <c:pt idx="54">
                  <c:v>6.2710733756014077E-4</c:v>
                </c:pt>
                <c:pt idx="55">
                  <c:v>5.6063406717492411E-4</c:v>
                </c:pt>
                <c:pt idx="56">
                  <c:v>5.1423192916606752E-4</c:v>
                </c:pt>
                <c:pt idx="57">
                  <c:v>4.8618691774330241E-4</c:v>
                </c:pt>
                <c:pt idx="58">
                  <c:v>4.5868868606918211E-4</c:v>
                </c:pt>
                <c:pt idx="59">
                  <c:v>4.3172260602228124E-4</c:v>
                </c:pt>
                <c:pt idx="60">
                  <c:v>4.0527528174781499E-4</c:v>
                </c:pt>
                <c:pt idx="61">
                  <c:v>3.7933444140002151E-4</c:v>
                </c:pt>
                <c:pt idx="62">
                  <c:v>3.5388883568244567E-4</c:v>
                </c:pt>
                <c:pt idx="63">
                  <c:v>3.2892814305614043E-4</c:v>
                </c:pt>
                <c:pt idx="64">
                  <c:v>3.044380451278771E-4</c:v>
                </c:pt>
                <c:pt idx="65">
                  <c:v>2.8133108045156518E-4</c:v>
                </c:pt>
                <c:pt idx="66">
                  <c:v>2.5866081514701794E-4</c:v>
                </c:pt>
                <c:pt idx="67">
                  <c:v>2.3642196120986889E-4</c:v>
                </c:pt>
                <c:pt idx="68">
                  <c:v>2.1460788225182489E-4</c:v>
                </c:pt>
                <c:pt idx="69">
                  <c:v>1.9321069986288198E-4</c:v>
                </c:pt>
                <c:pt idx="70">
                  <c:v>1.7222139329216334E-4</c:v>
                </c:pt>
                <c:pt idx="71">
                  <c:v>1.5286201983479429E-4</c:v>
                </c:pt>
                <c:pt idx="72">
                  <c:v>1.3597508314394159E-4</c:v>
                </c:pt>
                <c:pt idx="73">
                  <c:v>1.2148652869390586E-4</c:v>
                </c:pt>
                <c:pt idx="74">
                  <c:v>1.0932490455987626E-4</c:v>
                </c:pt>
                <c:pt idx="75">
                  <c:v>9.9421588658411074E-5</c:v>
                </c:pt>
                <c:pt idx="76">
                  <c:v>9.1710991234898037E-5</c:v>
                </c:pt>
                <c:pt idx="77">
                  <c:v>8.6130735038150697E-5</c:v>
                </c:pt>
                <c:pt idx="78">
                  <c:v>8.2613946325356147E-5</c:v>
                </c:pt>
                <c:pt idx="79">
                  <c:v>8.1579107386930551E-5</c:v>
                </c:pt>
                <c:pt idx="80">
                  <c:v>8.2169312906973694E-5</c:v>
                </c:pt>
                <c:pt idx="81">
                  <c:v>8.4344535780966391E-5</c:v>
                </c:pt>
                <c:pt idx="82">
                  <c:v>8.8066913071321412E-5</c:v>
                </c:pt>
                <c:pt idx="83">
                  <c:v>9.3301190237853946E-5</c:v>
                </c:pt>
                <c:pt idx="84">
                  <c:v>1.0001511852906106E-4</c:v>
                </c:pt>
                <c:pt idx="85">
                  <c:v>1.0759689518374208E-4</c:v>
                </c:pt>
                <c:pt idx="86">
                  <c:v>1.1495948251484025E-4</c:v>
                </c:pt>
                <c:pt idx="87">
                  <c:v>1.2211784035561662E-4</c:v>
                </c:pt>
                <c:pt idx="88">
                  <c:v>1.290871716850027E-4</c:v>
                </c:pt>
                <c:pt idx="89">
                  <c:v>1.3588287266630612E-4</c:v>
                </c:pt>
                <c:pt idx="90">
                  <c:v>1.4252049393913426E-4</c:v>
                </c:pt>
                <c:pt idx="91">
                  <c:v>1.4901571258372467E-4</c:v>
                </c:pt>
                <c:pt idx="92">
                  <c:v>1.5537184070113863E-4</c:v>
                </c:pt>
                <c:pt idx="93">
                  <c:v>1.6057416990984905E-4</c:v>
                </c:pt>
                <c:pt idx="94">
                  <c:v>1.6421490896918254E-4</c:v>
                </c:pt>
                <c:pt idx="95">
                  <c:v>1.6632143359706806E-4</c:v>
                </c:pt>
                <c:pt idx="96">
                  <c:v>1.6691796971183382E-4</c:v>
                </c:pt>
                <c:pt idx="97">
                  <c:v>1.6602557147168203E-4</c:v>
                </c:pt>
                <c:pt idx="98">
                  <c:v>1.6366209999430173E-4</c:v>
                </c:pt>
                <c:pt idx="99">
                  <c:v>1.6003943319234222E-4</c:v>
                </c:pt>
                <c:pt idx="100">
                  <c:v>1.5570331912921363E-4</c:v>
                </c:pt>
                <c:pt idx="101">
                  <c:v>1.5065555851444753E-4</c:v>
                </c:pt>
                <c:pt idx="102">
                  <c:v>1.4489617972861696E-4</c:v>
                </c:pt>
                <c:pt idx="103">
                  <c:v>1.3842341996878773E-4</c:v>
                </c:pt>
                <c:pt idx="104">
                  <c:v>1.3123370482254798E-4</c:v>
                </c:pt>
                <c:pt idx="105">
                  <c:v>1.2332162594465491E-4</c:v>
                </c:pt>
                <c:pt idx="106">
                  <c:v>1.1467923475618043E-4</c:v>
                </c:pt>
                <c:pt idx="107">
                  <c:v>1.0571312323785151E-4</c:v>
                </c:pt>
                <c:pt idx="108">
                  <c:v>9.7394245101285076E-5</c:v>
                </c:pt>
                <c:pt idx="109">
                  <c:v>8.9713317256523325E-5</c:v>
                </c:pt>
                <c:pt idx="110">
                  <c:v>8.2662718781149782E-5</c:v>
                </c:pt>
                <c:pt idx="111">
                  <c:v>7.6236187044213878E-5</c:v>
                </c:pt>
                <c:pt idx="112">
                  <c:v>7.0428614335586224E-5</c:v>
                </c:pt>
                <c:pt idx="113">
                  <c:v>6.520359988408451E-5</c:v>
                </c:pt>
                <c:pt idx="114">
                  <c:v>6.0364843146404156E-5</c:v>
                </c:pt>
                <c:pt idx="115">
                  <c:v>5.591019162934771E-5</c:v>
                </c:pt>
                <c:pt idx="116">
                  <c:v>5.1838352529693623E-5</c:v>
                </c:pt>
                <c:pt idx="117">
                  <c:v>4.8148872238189099E-5</c:v>
                </c:pt>
                <c:pt idx="118">
                  <c:v>4.4842116469444503E-5</c:v>
                </c:pt>
                <c:pt idx="119">
                  <c:v>4.1919250797380513E-5</c:v>
                </c:pt>
                <c:pt idx="120">
                  <c:v>3.9383174911611147E-5</c:v>
                </c:pt>
                <c:pt idx="121">
                  <c:v>3.7316798493959321E-5</c:v>
                </c:pt>
                <c:pt idx="122">
                  <c:v>3.5289655210630896E-5</c:v>
                </c:pt>
                <c:pt idx="123">
                  <c:v>3.3299974816051665E-5</c:v>
                </c:pt>
                <c:pt idx="124">
                  <c:v>3.1346141741109587E-5</c:v>
                </c:pt>
                <c:pt idx="125">
                  <c:v>2.942669085662196E-5</c:v>
                </c:pt>
                <c:pt idx="126">
                  <c:v>2.7540303713961035E-5</c:v>
                </c:pt>
                <c:pt idx="127">
                  <c:v>2.5765378838436914E-5</c:v>
                </c:pt>
                <c:pt idx="128">
                  <c:v>2.4136965659659722E-5</c:v>
                </c:pt>
                <c:pt idx="129">
                  <c:v>2.2656333485226533E-5</c:v>
                </c:pt>
                <c:pt idx="130">
                  <c:v>2.1325031439873898E-5</c:v>
                </c:pt>
                <c:pt idx="131">
                  <c:v>2.0144872437911329E-5</c:v>
                </c:pt>
                <c:pt idx="132">
                  <c:v>1.9117916460424331E-5</c:v>
                </c:pt>
                <c:pt idx="133">
                  <c:v>1.8246453017723379E-5</c:v>
                </c:pt>
                <c:pt idx="134">
                  <c:v>1.7533413231708928E-5</c:v>
                </c:pt>
                <c:pt idx="135">
                  <c:v>1.695857872831652E-5</c:v>
                </c:pt>
                <c:pt idx="136">
                  <c:v>1.6437962982306454E-5</c:v>
                </c:pt>
                <c:pt idx="137">
                  <c:v>1.5972347818396516E-5</c:v>
                </c:pt>
                <c:pt idx="138">
                  <c:v>1.5562596778950321E-5</c:v>
                </c:pt>
                <c:pt idx="139">
                  <c:v>1.520965009408839E-5</c:v>
                </c:pt>
                <c:pt idx="140">
                  <c:v>1.4914519351095729E-5</c:v>
                </c:pt>
                <c:pt idx="141">
                  <c:v>1.4664888116533124E-5</c:v>
                </c:pt>
                <c:pt idx="142">
                  <c:v>1.4373086183417082E-5</c:v>
                </c:pt>
                <c:pt idx="143">
                  <c:v>1.4037849432138053E-5</c:v>
                </c:pt>
                <c:pt idx="144">
                  <c:v>1.3657978408335893E-5</c:v>
                </c:pt>
                <c:pt idx="145">
                  <c:v>1.3232267958417976E-5</c:v>
                </c:pt>
                <c:pt idx="146">
                  <c:v>1.275951237083127E-5</c:v>
                </c:pt>
                <c:pt idx="147">
                  <c:v>1.2238510666214416E-5</c:v>
                </c:pt>
                <c:pt idx="148">
                  <c:v>1.1668255315695034E-5</c:v>
                </c:pt>
                <c:pt idx="149">
                  <c:v>1.1079219745944762E-5</c:v>
                </c:pt>
                <c:pt idx="150">
                  <c:v>1.0497277143219194E-5</c:v>
                </c:pt>
                <c:pt idx="151">
                  <c:v>9.9226481024959012E-6</c:v>
                </c:pt>
                <c:pt idx="152">
                  <c:v>9.3555861487099466E-6</c:v>
                </c:pt>
                <c:pt idx="153">
                  <c:v>8.7963764069033762E-6</c:v>
                </c:pt>
                <c:pt idx="154">
                  <c:v>8.245334147347751E-6</c:v>
                </c:pt>
                <c:pt idx="155">
                  <c:v>7.7178743145741893E-6</c:v>
                </c:pt>
                <c:pt idx="156">
                  <c:v>7.2297201361680545E-6</c:v>
                </c:pt>
                <c:pt idx="157">
                  <c:v>6.7819346791467886E-6</c:v>
                </c:pt>
                <c:pt idx="158">
                  <c:v>6.3755967727050729E-6</c:v>
                </c:pt>
                <c:pt idx="159">
                  <c:v>6.0117959032409434E-6</c:v>
                </c:pt>
                <c:pt idx="160">
                  <c:v>5.6916270863371581E-6</c:v>
                </c:pt>
                <c:pt idx="161">
                  <c:v>5.4161857486283988E-6</c:v>
                </c:pt>
                <c:pt idx="162">
                  <c:v>5.1865120018892245E-6</c:v>
                </c:pt>
                <c:pt idx="163">
                  <c:v>5.0118522135235608E-6</c:v>
                </c:pt>
                <c:pt idx="164">
                  <c:v>4.858196263039941E-6</c:v>
                </c:pt>
                <c:pt idx="165">
                  <c:v>4.7260918703650025E-6</c:v>
                </c:pt>
                <c:pt idx="166">
                  <c:v>4.6160745981405508E-6</c:v>
                </c:pt>
                <c:pt idx="167">
                  <c:v>4.528668373570463E-6</c:v>
                </c:pt>
                <c:pt idx="168">
                  <c:v>4.4643862158164835E-6</c:v>
                </c:pt>
                <c:pt idx="169">
                  <c:v>4.4322217401978213E-6</c:v>
                </c:pt>
                <c:pt idx="170">
                  <c:v>4.4161538276670017E-6</c:v>
                </c:pt>
                <c:pt idx="171">
                  <c:v>4.4165287464858597E-6</c:v>
                </c:pt>
                <c:pt idx="172">
                  <c:v>4.4336894364758951E-6</c:v>
                </c:pt>
                <c:pt idx="173">
                  <c:v>4.4679385411280087E-6</c:v>
                </c:pt>
                <c:pt idx="174">
                  <c:v>4.519574226315675E-6</c:v>
                </c:pt>
                <c:pt idx="175">
                  <c:v>4.5889303743189423E-6</c:v>
                </c:pt>
                <c:pt idx="176">
                  <c:v>4.6762942424028299E-6</c:v>
                </c:pt>
                <c:pt idx="177">
                  <c:v>4.7992444568916928E-6</c:v>
                </c:pt>
                <c:pt idx="178">
                  <c:v>4.9493813234519451E-6</c:v>
                </c:pt>
                <c:pt idx="179">
                  <c:v>5.1270904091862607E-6</c:v>
                </c:pt>
                <c:pt idx="180">
                  <c:v>5.3327486307494888E-6</c:v>
                </c:pt>
                <c:pt idx="181">
                  <c:v>5.5667236001865942E-6</c:v>
                </c:pt>
                <c:pt idx="182">
                  <c:v>5.8293730627897553E-6</c:v>
                </c:pt>
                <c:pt idx="183">
                  <c:v>6.1604966149074835E-6</c:v>
                </c:pt>
                <c:pt idx="184">
                  <c:v>6.5518044399571551E-6</c:v>
                </c:pt>
                <c:pt idx="185">
                  <c:v>7.004064563300473E-6</c:v>
                </c:pt>
                <c:pt idx="186">
                  <c:v>7.5180206793564662E-6</c:v>
                </c:pt>
                <c:pt idx="187">
                  <c:v>8.0943914811117836E-6</c:v>
                </c:pt>
                <c:pt idx="188">
                  <c:v>8.733870075790144E-6</c:v>
                </c:pt>
                <c:pt idx="189">
                  <c:v>9.4371234593031407E-6</c:v>
                </c:pt>
                <c:pt idx="190">
                  <c:v>1.0204847496624176E-5</c:v>
                </c:pt>
                <c:pt idx="191">
                  <c:v>1.1019537873380757E-5</c:v>
                </c:pt>
                <c:pt idx="192">
                  <c:v>1.1863099818585572E-5</c:v>
                </c:pt>
                <c:pt idx="193">
                  <c:v>1.2735833531535685E-5</c:v>
                </c:pt>
                <c:pt idx="194">
                  <c:v>1.3638063330418531E-5</c:v>
                </c:pt>
                <c:pt idx="195">
                  <c:v>1.4570140183769799E-5</c:v>
                </c:pt>
                <c:pt idx="196">
                  <c:v>1.5532444217437462E-5</c:v>
                </c:pt>
                <c:pt idx="197">
                  <c:v>1.6490293833270286E-5</c:v>
                </c:pt>
                <c:pt idx="198">
                  <c:v>1.7401525757207222E-5</c:v>
                </c:pt>
                <c:pt idx="199">
                  <c:v>1.8265659505105857E-5</c:v>
                </c:pt>
                <c:pt idx="200">
                  <c:v>1.9082241788889855E-5</c:v>
                </c:pt>
                <c:pt idx="201">
                  <c:v>1.9850841704292438E-5</c:v>
                </c:pt>
                <c:pt idx="202">
                  <c:v>2.0571045832610226E-5</c:v>
                </c:pt>
                <c:pt idx="203">
                  <c:v>2.1242453282127379E-5</c:v>
                </c:pt>
                <c:pt idx="204">
                  <c:v>2.1864867915145531E-5</c:v>
                </c:pt>
                <c:pt idx="205">
                  <c:v>2.2565703859210443E-5</c:v>
                </c:pt>
                <c:pt idx="206">
                  <c:v>2.3365300507362796E-5</c:v>
                </c:pt>
                <c:pt idx="207">
                  <c:v>2.4264880110546216E-5</c:v>
                </c:pt>
                <c:pt idx="208">
                  <c:v>2.5265684898371296E-5</c:v>
                </c:pt>
                <c:pt idx="209">
                  <c:v>2.6368971111635187E-5</c:v>
                </c:pt>
                <c:pt idx="210">
                  <c:v>2.7576002455483921E-5</c:v>
                </c:pt>
                <c:pt idx="211">
                  <c:v>2.9015698945436863E-5</c:v>
                </c:pt>
                <c:pt idx="212">
                  <c:v>3.0728417934701388E-5</c:v>
                </c:pt>
                <c:pt idx="213">
                  <c:v>3.271758421773672E-5</c:v>
                </c:pt>
                <c:pt idx="214">
                  <c:v>3.4986630966884393E-5</c:v>
                </c:pt>
                <c:pt idx="215">
                  <c:v>3.75389777784911E-5</c:v>
                </c:pt>
                <c:pt idx="216">
                  <c:v>4.0378006887397606E-5</c:v>
                </c:pt>
                <c:pt idx="217">
                  <c:v>4.3507037533616693E-5</c:v>
                </c:pt>
                <c:pt idx="218">
                  <c:v>4.6930968909685922E-5</c:v>
                </c:pt>
                <c:pt idx="219">
                  <c:v>5.0597714021996175E-5</c:v>
                </c:pt>
                <c:pt idx="220">
                  <c:v>5.4373951573910905E-5</c:v>
                </c:pt>
                <c:pt idx="221">
                  <c:v>5.8261134465421155E-5</c:v>
                </c:pt>
                <c:pt idx="222">
                  <c:v>6.2260674182787549E-5</c:v>
                </c:pt>
                <c:pt idx="223">
                  <c:v>6.6373932188340065E-5</c:v>
                </c:pt>
                <c:pt idx="224">
                  <c:v>7.0602210931613389E-5</c:v>
                </c:pt>
                <c:pt idx="225">
                  <c:v>7.5763886479525175E-5</c:v>
                </c:pt>
                <c:pt idx="226">
                  <c:v>8.1735765025186337E-5</c:v>
                </c:pt>
                <c:pt idx="227">
                  <c:v>8.8529186386734679E-5</c:v>
                </c:pt>
                <c:pt idx="228">
                  <c:v>9.6155458122123899E-5</c:v>
                </c:pt>
                <c:pt idx="229">
                  <c:v>1.0462580338286651E-4</c:v>
                </c:pt>
                <c:pt idx="230">
                  <c:v>1.1395130513783249E-4</c:v>
                </c:pt>
                <c:pt idx="231">
                  <c:v>1.2414284672696449E-4</c:v>
                </c:pt>
                <c:pt idx="232">
                  <c:v>1.3521014847192787E-4</c:v>
                </c:pt>
                <c:pt idx="233">
                  <c:v>1.4746754753370981E-4</c:v>
                </c:pt>
                <c:pt idx="234">
                  <c:v>1.6099301751441782E-4</c:v>
                </c:pt>
                <c:pt idx="235">
                  <c:v>1.7580425446580978E-4</c:v>
                </c:pt>
                <c:pt idx="236">
                  <c:v>1.919196628011447E-4</c:v>
                </c:pt>
                <c:pt idx="237">
                  <c:v>2.0935835165275564E-4</c:v>
                </c:pt>
                <c:pt idx="238">
                  <c:v>2.2814035986370646E-4</c:v>
                </c:pt>
                <c:pt idx="239">
                  <c:v>2.4627056150158003E-4</c:v>
                </c:pt>
                <c:pt idx="240">
                  <c:v>2.6286387686597372E-4</c:v>
                </c:pt>
                <c:pt idx="241">
                  <c:v>2.7790134225275662E-4</c:v>
                </c:pt>
                <c:pt idx="242">
                  <c:v>2.9136406839858563E-4</c:v>
                </c:pt>
                <c:pt idx="243">
                  <c:v>3.0323307186077365E-4</c:v>
                </c:pt>
                <c:pt idx="244">
                  <c:v>3.1348909832094483E-4</c:v>
                </c:pt>
                <c:pt idx="245">
                  <c:v>3.2211243720716635E-4</c:v>
                </c:pt>
                <c:pt idx="246">
                  <c:v>3.2906929765637278E-4</c:v>
                </c:pt>
                <c:pt idx="247">
                  <c:v>3.3337062574593504E-4</c:v>
                </c:pt>
                <c:pt idx="248">
                  <c:v>3.3465169445211527E-4</c:v>
                </c:pt>
                <c:pt idx="249">
                  <c:v>3.3286706125481679E-4</c:v>
                </c:pt>
                <c:pt idx="250">
                  <c:v>3.2796997060849928E-4</c:v>
                </c:pt>
                <c:pt idx="251">
                  <c:v>3.1991212862198345E-4</c:v>
                </c:pt>
                <c:pt idx="252">
                  <c:v>3.0864346600465212E-4</c:v>
                </c:pt>
                <c:pt idx="253">
                  <c:v>2.9503616934111279E-4</c:v>
                </c:pt>
                <c:pt idx="254">
                  <c:v>2.8123147521084057E-4</c:v>
                </c:pt>
                <c:pt idx="255">
                  <c:v>2.6722612546139292E-4</c:v>
                </c:pt>
                <c:pt idx="256">
                  <c:v>2.5301635557844728E-4</c:v>
                </c:pt>
                <c:pt idx="257">
                  <c:v>2.3859787070363943E-4</c:v>
                </c:pt>
                <c:pt idx="258">
                  <c:v>2.2396581909722816E-4</c:v>
                </c:pt>
                <c:pt idx="259">
                  <c:v>2.0911476263013742E-4</c:v>
                </c:pt>
                <c:pt idx="260">
                  <c:v>1.9404314555060393E-4</c:v>
                </c:pt>
                <c:pt idx="261">
                  <c:v>1.8091412132266181E-4</c:v>
                </c:pt>
                <c:pt idx="262">
                  <c:v>1.7079370179521849E-4</c:v>
                </c:pt>
                <c:pt idx="263">
                  <c:v>1.6373504194301046E-4</c:v>
                </c:pt>
                <c:pt idx="264">
                  <c:v>1.5979496213870177E-4</c:v>
                </c:pt>
                <c:pt idx="265">
                  <c:v>1.590341958019372E-4</c:v>
                </c:pt>
                <c:pt idx="266">
                  <c:v>1.6151586951397649E-4</c:v>
                </c:pt>
                <c:pt idx="267">
                  <c:v>1.6895509341299236E-4</c:v>
                </c:pt>
                <c:pt idx="268">
                  <c:v>1.8043622725341356E-4</c:v>
                </c:pt>
                <c:pt idx="269">
                  <c:v>1.9604078262608679E-4</c:v>
                </c:pt>
                <c:pt idx="270">
                  <c:v>2.1585051453596588E-4</c:v>
                </c:pt>
                <c:pt idx="271">
                  <c:v>2.3994644618855011E-4</c:v>
                </c:pt>
                <c:pt idx="272">
                  <c:v>2.6840781219048812E-4</c:v>
                </c:pt>
                <c:pt idx="273">
                  <c:v>3.0131091766621586E-4</c:v>
                </c:pt>
                <c:pt idx="274">
                  <c:v>3.3875393279649468E-4</c:v>
                </c:pt>
                <c:pt idx="275">
                  <c:v>3.7898644950357547E-4</c:v>
                </c:pt>
                <c:pt idx="276">
                  <c:v>4.1965404741778437E-4</c:v>
                </c:pt>
                <c:pt idx="277">
                  <c:v>4.6075759440032552E-4</c:v>
                </c:pt>
                <c:pt idx="278">
                  <c:v>5.0229615554059825E-4</c:v>
                </c:pt>
                <c:pt idx="279">
                  <c:v>5.4426692307109109E-4</c:v>
                </c:pt>
                <c:pt idx="280">
                  <c:v>5.86665146143512E-4</c:v>
                </c:pt>
                <c:pt idx="281">
                  <c:v>6.3294522807936268E-4</c:v>
                </c:pt>
                <c:pt idx="282">
                  <c:v>6.8133905520600913E-4</c:v>
                </c:pt>
                <c:pt idx="283">
                  <c:v>7.3187026815025517E-4</c:v>
                </c:pt>
                <c:pt idx="284">
                  <c:v>7.8455982643351612E-4</c:v>
                </c:pt>
                <c:pt idx="285">
                  <c:v>8.3942571898168428E-4</c:v>
                </c:pt>
                <c:pt idx="286">
                  <c:v>8.9648266533736028E-4</c:v>
                </c:pt>
                <c:pt idx="287">
                  <c:v>9.5574180789518908E-4</c:v>
                </c:pt>
                <c:pt idx="288">
                  <c:v>1.0172626748167532E-3</c:v>
                </c:pt>
                <c:pt idx="289">
                  <c:v>1.1150384661243779E-3</c:v>
                </c:pt>
                <c:pt idx="290">
                  <c:v>1.2517988095265289E-3</c:v>
                </c:pt>
                <c:pt idx="291">
                  <c:v>1.4282560653115213E-3</c:v>
                </c:pt>
                <c:pt idx="292">
                  <c:v>1.6451210310072378E-3</c:v>
                </c:pt>
                <c:pt idx="293">
                  <c:v>1.9031008510518442E-3</c:v>
                </c:pt>
                <c:pt idx="294">
                  <c:v>2.2028969239023099E-3</c:v>
                </c:pt>
                <c:pt idx="295">
                  <c:v>2.5773141424222331E-3</c:v>
                </c:pt>
                <c:pt idx="296">
                  <c:v>3.0238344074998624E-3</c:v>
                </c:pt>
                <c:pt idx="297">
                  <c:v>3.543677954028491E-3</c:v>
                </c:pt>
                <c:pt idx="298">
                  <c:v>4.1380376199879731E-3</c:v>
                </c:pt>
                <c:pt idx="299">
                  <c:v>4.8080904657326435E-3</c:v>
                </c:pt>
                <c:pt idx="300">
                  <c:v>5.5549939641340402E-3</c:v>
                </c:pt>
                <c:pt idx="301">
                  <c:v>6.3798819593748387E-3</c:v>
                </c:pt>
                <c:pt idx="302">
                  <c:v>7.2843531408978961E-3</c:v>
                </c:pt>
                <c:pt idx="303">
                  <c:v>8.2345975338288403E-3</c:v>
                </c:pt>
                <c:pt idx="304">
                  <c:v>9.1943009682373365E-3</c:v>
                </c:pt>
                <c:pt idx="305">
                  <c:v>1.0163609064585485E-2</c:v>
                </c:pt>
                <c:pt idx="306">
                  <c:v>1.1142636020994674E-2</c:v>
                </c:pt>
                <c:pt idx="307">
                  <c:v>1.2131460503942929E-2</c:v>
                </c:pt>
                <c:pt idx="308">
                  <c:v>1.3130120922371858E-2</c:v>
                </c:pt>
                <c:pt idx="309">
                  <c:v>1.4084766641575923E-2</c:v>
                </c:pt>
                <c:pt idx="310">
                  <c:v>1.4959249332744368E-2</c:v>
                </c:pt>
                <c:pt idx="311">
                  <c:v>1.5751818807475365E-2</c:v>
                </c:pt>
                <c:pt idx="312">
                  <c:v>1.6460654047210362E-2</c:v>
                </c:pt>
                <c:pt idx="313">
                  <c:v>1.7083868387650355E-2</c:v>
                </c:pt>
                <c:pt idx="314">
                  <c:v>1.7619516216505773E-2</c:v>
                </c:pt>
                <c:pt idx="315">
                  <c:v>1.8065601451724287E-2</c:v>
                </c:pt>
                <c:pt idx="316">
                  <c:v>1.8421108033603188E-2</c:v>
                </c:pt>
                <c:pt idx="317">
                  <c:v>1.8678820286610848E-2</c:v>
                </c:pt>
                <c:pt idx="318">
                  <c:v>1.8876099897987456E-2</c:v>
                </c:pt>
                <c:pt idx="319">
                  <c:v>1.9011983279703014E-2</c:v>
                </c:pt>
                <c:pt idx="320">
                  <c:v>1.9085475687743755E-2</c:v>
                </c:pt>
                <c:pt idx="321">
                  <c:v>1.9095545300348255E-2</c:v>
                </c:pt>
                <c:pt idx="322">
                  <c:v>1.9041117593403697E-2</c:v>
                </c:pt>
                <c:pt idx="323">
                  <c:v>1.8933639700955959E-2</c:v>
                </c:pt>
                <c:pt idx="324">
                  <c:v>1.8831095095366013E-2</c:v>
                </c:pt>
                <c:pt idx="325">
                  <c:v>1.8733609884882957E-2</c:v>
                </c:pt>
                <c:pt idx="326">
                  <c:v>1.864120017423793E-2</c:v>
                </c:pt>
                <c:pt idx="327">
                  <c:v>1.8553935400960338E-2</c:v>
                </c:pt>
                <c:pt idx="328">
                  <c:v>1.8471951599473662E-2</c:v>
                </c:pt>
                <c:pt idx="329">
                  <c:v>1.8395370393290887E-2</c:v>
                </c:pt>
                <c:pt idx="330">
                  <c:v>1.8326390938298395E-2</c:v>
                </c:pt>
                <c:pt idx="331">
                  <c:v>1.8273914611000485E-2</c:v>
                </c:pt>
                <c:pt idx="332">
                  <c:v>1.8244512458804454E-2</c:v>
                </c:pt>
                <c:pt idx="333">
                  <c:v>1.823766576932281E-2</c:v>
                </c:pt>
                <c:pt idx="334">
                  <c:v>1.8252822930761237E-2</c:v>
                </c:pt>
                <c:pt idx="335">
                  <c:v>1.8289387244697627E-2</c:v>
                </c:pt>
                <c:pt idx="336">
                  <c:v>1.8346704451506254E-2</c:v>
                </c:pt>
                <c:pt idx="337">
                  <c:v>1.8428929829195643E-2</c:v>
                </c:pt>
                <c:pt idx="338">
                  <c:v>1.8521413555274653E-2</c:v>
                </c:pt>
                <c:pt idx="339">
                  <c:v>1.8623056235292861E-2</c:v>
                </c:pt>
                <c:pt idx="340">
                  <c:v>1.8732663155262903E-2</c:v>
                </c:pt>
                <c:pt idx="341">
                  <c:v>1.8848941320729052E-2</c:v>
                </c:pt>
                <c:pt idx="342">
                  <c:v>1.8970498632957192E-2</c:v>
                </c:pt>
                <c:pt idx="343">
                  <c:v>1.9095845580910039E-2</c:v>
                </c:pt>
                <c:pt idx="344">
                  <c:v>1.9228988652733234E-2</c:v>
                </c:pt>
                <c:pt idx="345">
                  <c:v>1.9374138164473441E-2</c:v>
                </c:pt>
                <c:pt idx="346">
                  <c:v>1.9516738992844906E-2</c:v>
                </c:pt>
                <c:pt idx="347">
                  <c:v>1.9655185680793108E-2</c:v>
                </c:pt>
                <c:pt idx="348">
                  <c:v>1.9787798641754811E-2</c:v>
                </c:pt>
                <c:pt idx="349">
                  <c:v>1.9912834631764909E-2</c:v>
                </c:pt>
                <c:pt idx="350">
                  <c:v>2.0028500367240385E-2</c:v>
                </c:pt>
                <c:pt idx="351">
                  <c:v>2.0127695056625313E-2</c:v>
                </c:pt>
                <c:pt idx="352">
                  <c:v>2.0203279883164074E-2</c:v>
                </c:pt>
                <c:pt idx="353">
                  <c:v>2.0253392487641412E-2</c:v>
                </c:pt>
                <c:pt idx="354">
                  <c:v>2.0276261001391582E-2</c:v>
                </c:pt>
                <c:pt idx="355">
                  <c:v>2.0270240766194814E-2</c:v>
                </c:pt>
                <c:pt idx="356">
                  <c:v>2.0233814403217577E-2</c:v>
                </c:pt>
                <c:pt idx="357">
                  <c:v>2.0165717547853932E-2</c:v>
                </c:pt>
                <c:pt idx="358">
                  <c:v>2.0063590434374726E-2</c:v>
                </c:pt>
                <c:pt idx="359">
                  <c:v>1.9927575578415343E-2</c:v>
                </c:pt>
                <c:pt idx="360">
                  <c:v>1.9765553263321512E-2</c:v>
                </c:pt>
                <c:pt idx="361">
                  <c:v>1.9585401132814553E-2</c:v>
                </c:pt>
                <c:pt idx="362">
                  <c:v>1.9389740404734429E-2</c:v>
                </c:pt>
                <c:pt idx="363">
                  <c:v>1.918115073906625E-2</c:v>
                </c:pt>
                <c:pt idx="364">
                  <c:v>1.8962134657198551E-2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818960"/>
        <c:axId val="232819352"/>
      </c:lineChart>
      <c:dateAx>
        <c:axId val="232818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9352"/>
        <c:crosses val="autoZero"/>
        <c:auto val="1"/>
        <c:lblOffset val="100"/>
        <c:baseTimeUnit val="days"/>
        <c:majorUnit val="1"/>
        <c:majorTimeUnit val="months"/>
      </c:dateAx>
      <c:valAx>
        <c:axId val="2328193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818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16.761264673757367</c:v>
                </c:pt>
                <c:pt idx="1">
                  <c:v>16.931660509995609</c:v>
                </c:pt>
                <c:pt idx="2">
                  <c:v>17.110217604509245</c:v>
                </c:pt>
                <c:pt idx="3">
                  <c:v>17.295345884242185</c:v>
                </c:pt>
                <c:pt idx="4">
                  <c:v>17.485455559900238</c:v>
                </c:pt>
                <c:pt idx="5">
                  <c:v>17.678957142225528</c:v>
                </c:pt>
                <c:pt idx="6">
                  <c:v>17.874261451704875</c:v>
                </c:pt>
                <c:pt idx="7">
                  <c:v>18.069779639426333</c:v>
                </c:pt>
                <c:pt idx="8">
                  <c:v>18.267943570221917</c:v>
                </c:pt>
                <c:pt idx="9">
                  <c:v>18.472070331031627</c:v>
                </c:pt>
                <c:pt idx="10">
                  <c:v>18.682345089813374</c:v>
                </c:pt>
                <c:pt idx="11">
                  <c:v>18.898868091554093</c:v>
                </c:pt>
                <c:pt idx="12">
                  <c:v>19.121739487150389</c:v>
                </c:pt>
                <c:pt idx="13">
                  <c:v>19.351059353474298</c:v>
                </c:pt>
                <c:pt idx="14">
                  <c:v>19.586927699759684</c:v>
                </c:pt>
                <c:pt idx="15">
                  <c:v>19.829574666222197</c:v>
                </c:pt>
                <c:pt idx="16">
                  <c:v>20.079232742134359</c:v>
                </c:pt>
                <c:pt idx="17">
                  <c:v>20.336001762457396</c:v>
                </c:pt>
                <c:pt idx="18">
                  <c:v>20.599981536257246</c:v>
                </c:pt>
                <c:pt idx="19">
                  <c:v>20.871270203220025</c:v>
                </c:pt>
                <c:pt idx="20">
                  <c:v>21.14996505903521</c:v>
                </c:pt>
                <c:pt idx="21">
                  <c:v>21.436164613002049</c:v>
                </c:pt>
                <c:pt idx="22">
                  <c:v>21.731744785088576</c:v>
                </c:pt>
                <c:pt idx="23">
                  <c:v>22.039009958693946</c:v>
                </c:pt>
                <c:pt idx="24">
                  <c:v>22.357261052568798</c:v>
                </c:pt>
                <c:pt idx="25">
                  <c:v>22.685558651797457</c:v>
                </c:pt>
                <c:pt idx="26">
                  <c:v>23.022963673711171</c:v>
                </c:pt>
                <c:pt idx="27">
                  <c:v>23.36853740240721</c:v>
                </c:pt>
                <c:pt idx="28">
                  <c:v>23.721341501400886</c:v>
                </c:pt>
                <c:pt idx="29">
                  <c:v>24.081207180614641</c:v>
                </c:pt>
                <c:pt idx="30">
                  <c:v>24.44706698249389</c:v>
                </c:pt>
                <c:pt idx="31">
                  <c:v>24.817983856272896</c:v>
                </c:pt>
                <c:pt idx="32">
                  <c:v>25.193021218294081</c:v>
                </c:pt>
                <c:pt idx="33">
                  <c:v>25.571242958415599</c:v>
                </c:pt>
                <c:pt idx="34">
                  <c:v>25.951713435035753</c:v>
                </c:pt>
                <c:pt idx="35">
                  <c:v>26.333497471774823</c:v>
                </c:pt>
                <c:pt idx="36">
                  <c:v>26.718675165301367</c:v>
                </c:pt>
                <c:pt idx="37">
                  <c:v>27.109016625234897</c:v>
                </c:pt>
                <c:pt idx="38">
                  <c:v>27.503090321176312</c:v>
                </c:pt>
                <c:pt idx="39">
                  <c:v>27.900584637693417</c:v>
                </c:pt>
                <c:pt idx="40">
                  <c:v>28.30118806126265</c:v>
                </c:pt>
                <c:pt idx="41">
                  <c:v>28.704589169816984</c:v>
                </c:pt>
                <c:pt idx="42">
                  <c:v>29.110476630428735</c:v>
                </c:pt>
                <c:pt idx="43">
                  <c:v>29.517741988556324</c:v>
                </c:pt>
                <c:pt idx="44">
                  <c:v>29.925303640184431</c:v>
                </c:pt>
                <c:pt idx="45">
                  <c:v>30.332849672312491</c:v>
                </c:pt>
                <c:pt idx="46">
                  <c:v>30.740068152307369</c:v>
                </c:pt>
                <c:pt idx="47">
                  <c:v>31.146647132628029</c:v>
                </c:pt>
                <c:pt idx="48">
                  <c:v>31.552274656551091</c:v>
                </c:pt>
                <c:pt idx="49">
                  <c:v>31.956638766176237</c:v>
                </c:pt>
                <c:pt idx="50">
                  <c:v>32.359756378362768</c:v>
                </c:pt>
                <c:pt idx="51">
                  <c:v>32.761904103556262</c:v>
                </c:pt>
                <c:pt idx="52">
                  <c:v>33.164015363109279</c:v>
                </c:pt>
                <c:pt idx="53">
                  <c:v>33.566297375610823</c:v>
                </c:pt>
                <c:pt idx="54">
                  <c:v>33.968957047621558</c:v>
                </c:pt>
                <c:pt idx="55">
                  <c:v>34.372201190620871</c:v>
                </c:pt>
                <c:pt idx="56">
                  <c:v>34.776236522662387</c:v>
                </c:pt>
                <c:pt idx="57">
                  <c:v>35.181316726147529</c:v>
                </c:pt>
                <c:pt idx="58">
                  <c:v>35.588449669932679</c:v>
                </c:pt>
                <c:pt idx="59">
                  <c:v>35.997842342903603</c:v>
                </c:pt>
                <c:pt idx="60">
                  <c:v>36.409701642524674</c:v>
                </c:pt>
                <c:pt idx="61">
                  <c:v>36.824234377395484</c:v>
                </c:pt>
                <c:pt idx="62">
                  <c:v>37.241647269940252</c:v>
                </c:pt>
                <c:pt idx="63">
                  <c:v>37.662146947731799</c:v>
                </c:pt>
                <c:pt idx="64">
                  <c:v>38.086545178077785</c:v>
                </c:pt>
                <c:pt idx="65">
                  <c:v>38.515124033209382</c:v>
                </c:pt>
                <c:pt idx="66">
                  <c:v>38.947450883806901</c:v>
                </c:pt>
                <c:pt idx="67">
                  <c:v>39.383006122184014</c:v>
                </c:pt>
                <c:pt idx="68">
                  <c:v>39.821270269615049</c:v>
                </c:pt>
                <c:pt idx="69">
                  <c:v>40.261723978952389</c:v>
                </c:pt>
                <c:pt idx="70">
                  <c:v>40.703848032288846</c:v>
                </c:pt>
                <c:pt idx="71">
                  <c:v>41.147061301333892</c:v>
                </c:pt>
                <c:pt idx="72">
                  <c:v>41.590796423283855</c:v>
                </c:pt>
                <c:pt idx="73">
                  <c:v>42.034534424052602</c:v>
                </c:pt>
                <c:pt idx="74">
                  <c:v>42.477756432644981</c:v>
                </c:pt>
                <c:pt idx="75">
                  <c:v>42.919943678313921</c:v>
                </c:pt>
                <c:pt idx="76">
                  <c:v>43.36057748659767</c:v>
                </c:pt>
                <c:pt idx="77">
                  <c:v>43.799139274802769</c:v>
                </c:pt>
                <c:pt idx="78">
                  <c:v>44.2393257173403</c:v>
                </c:pt>
                <c:pt idx="79">
                  <c:v>44.684251663383684</c:v>
                </c:pt>
                <c:pt idx="80">
                  <c:v>45.132613636068108</c:v>
                </c:pt>
                <c:pt idx="81">
                  <c:v>45.583062902175406</c:v>
                </c:pt>
                <c:pt idx="82">
                  <c:v>46.034251037132563</c:v>
                </c:pt>
                <c:pt idx="83">
                  <c:v>46.484829920200269</c:v>
                </c:pt>
                <c:pt idx="84">
                  <c:v>46.933451734995842</c:v>
                </c:pt>
                <c:pt idx="85">
                  <c:v>47.378798570744053</c:v>
                </c:pt>
                <c:pt idx="86">
                  <c:v>47.819586173180284</c:v>
                </c:pt>
                <c:pt idx="87">
                  <c:v>48.25446805222073</c:v>
                </c:pt>
                <c:pt idx="88">
                  <c:v>48.682098078970036</c:v>
                </c:pt>
                <c:pt idx="89">
                  <c:v>49.101130489345906</c:v>
                </c:pt>
                <c:pt idx="90">
                  <c:v>49.510219887993969</c:v>
                </c:pt>
                <c:pt idx="91">
                  <c:v>49.908021253882652</c:v>
                </c:pt>
                <c:pt idx="92">
                  <c:v>50.297228336201208</c:v>
                </c:pt>
                <c:pt idx="93">
                  <c:v>50.681291522508886</c:v>
                </c:pt>
                <c:pt idx="94">
                  <c:v>51.059929587027582</c:v>
                </c:pt>
                <c:pt idx="95">
                  <c:v>51.432833014572424</c:v>
                </c:pt>
                <c:pt idx="96">
                  <c:v>51.799692459087574</c:v>
                </c:pt>
                <c:pt idx="97">
                  <c:v>52.160198765392906</c:v>
                </c:pt>
                <c:pt idx="98">
                  <c:v>52.51404296903366</c:v>
                </c:pt>
                <c:pt idx="99">
                  <c:v>52.860906063702984</c:v>
                </c:pt>
                <c:pt idx="100">
                  <c:v>53.200448823249658</c:v>
                </c:pt>
                <c:pt idx="101">
                  <c:v>53.532362501607174</c:v>
                </c:pt>
                <c:pt idx="102">
                  <c:v>53.856338533687094</c:v>
                </c:pt>
                <c:pt idx="103">
                  <c:v>54.17206854127209</c:v>
                </c:pt>
                <c:pt idx="104">
                  <c:v>54.479244324726324</c:v>
                </c:pt>
                <c:pt idx="105">
                  <c:v>54.777557887095405</c:v>
                </c:pt>
                <c:pt idx="106">
                  <c:v>55.067028987805529</c:v>
                </c:pt>
                <c:pt idx="107">
                  <c:v>55.347991511800103</c:v>
                </c:pt>
                <c:pt idx="108">
                  <c:v>55.620583407524499</c:v>
                </c:pt>
                <c:pt idx="109">
                  <c:v>55.885012616579687</c:v>
                </c:pt>
                <c:pt idx="110">
                  <c:v>56.141487001607388</c:v>
                </c:pt>
                <c:pt idx="111">
                  <c:v>56.390214363177975</c:v>
                </c:pt>
                <c:pt idx="112">
                  <c:v>56.631402440167932</c:v>
                </c:pt>
                <c:pt idx="113">
                  <c:v>56.865261180887117</c:v>
                </c:pt>
                <c:pt idx="114">
                  <c:v>57.092009046714125</c:v>
                </c:pt>
                <c:pt idx="115">
                  <c:v>57.311853771924895</c:v>
                </c:pt>
                <c:pt idx="116">
                  <c:v>57.525003041170073</c:v>
                </c:pt>
                <c:pt idx="117">
                  <c:v>57.731664474895076</c:v>
                </c:pt>
                <c:pt idx="118">
                  <c:v>57.932045652768544</c:v>
                </c:pt>
                <c:pt idx="119">
                  <c:v>58.126354096495774</c:v>
                </c:pt>
                <c:pt idx="120">
                  <c:v>58.313385114180619</c:v>
                </c:pt>
                <c:pt idx="121">
                  <c:v>58.492066763616414</c:v>
                </c:pt>
                <c:pt idx="122">
                  <c:v>58.662847390292022</c:v>
                </c:pt>
                <c:pt idx="123">
                  <c:v>58.826142197847609</c:v>
                </c:pt>
                <c:pt idx="124">
                  <c:v>58.982366313645414</c:v>
                </c:pt>
                <c:pt idx="125">
                  <c:v>59.131934794364639</c:v>
                </c:pt>
                <c:pt idx="126">
                  <c:v>59.275262622341899</c:v>
                </c:pt>
                <c:pt idx="127">
                  <c:v>59.412758704290006</c:v>
                </c:pt>
                <c:pt idx="128">
                  <c:v>59.544835210860171</c:v>
                </c:pt>
                <c:pt idx="129">
                  <c:v>59.671906695386312</c:v>
                </c:pt>
                <c:pt idx="130">
                  <c:v>59.79438762351591</c:v>
                </c:pt>
                <c:pt idx="131">
                  <c:v>59.912692382762188</c:v>
                </c:pt>
                <c:pt idx="132">
                  <c:v>60.027235273104935</c:v>
                </c:pt>
                <c:pt idx="133">
                  <c:v>60.138430512444714</c:v>
                </c:pt>
                <c:pt idx="134">
                  <c:v>60.245212886895366</c:v>
                </c:pt>
                <c:pt idx="135">
                  <c:v>60.346381820047007</c:v>
                </c:pt>
                <c:pt idx="136">
                  <c:v>60.442151760013246</c:v>
                </c:pt>
                <c:pt idx="137">
                  <c:v>60.532731241908245</c:v>
                </c:pt>
                <c:pt idx="138">
                  <c:v>60.618328790269828</c:v>
                </c:pt>
                <c:pt idx="139">
                  <c:v>60.699152907182757</c:v>
                </c:pt>
                <c:pt idx="140">
                  <c:v>60.775412080181475</c:v>
                </c:pt>
                <c:pt idx="141">
                  <c:v>60.847315785244845</c:v>
                </c:pt>
                <c:pt idx="142">
                  <c:v>60.915079333401621</c:v>
                </c:pt>
                <c:pt idx="143">
                  <c:v>60.978911351500898</c:v>
                </c:pt>
                <c:pt idx="144">
                  <c:v>61.039020430143673</c:v>
                </c:pt>
                <c:pt idx="145">
                  <c:v>61.095615125401395</c:v>
                </c:pt>
                <c:pt idx="146">
                  <c:v>61.148903950479564</c:v>
                </c:pt>
                <c:pt idx="147">
                  <c:v>61.199095379030403</c:v>
                </c:pt>
                <c:pt idx="148">
                  <c:v>61.245435681677513</c:v>
                </c:pt>
                <c:pt idx="149">
                  <c:v>61.287168915297052</c:v>
                </c:pt>
                <c:pt idx="150">
                  <c:v>61.324501732163554</c:v>
                </c:pt>
                <c:pt idx="151">
                  <c:v>61.357642743408064</c:v>
                </c:pt>
                <c:pt idx="152">
                  <c:v>61.386800486792474</c:v>
                </c:pt>
                <c:pt idx="153">
                  <c:v>61.41218342225983</c:v>
                </c:pt>
                <c:pt idx="154">
                  <c:v>61.43399992453039</c:v>
                </c:pt>
                <c:pt idx="155">
                  <c:v>61.452457107723461</c:v>
                </c:pt>
                <c:pt idx="156">
                  <c:v>61.467761994175063</c:v>
                </c:pt>
                <c:pt idx="157">
                  <c:v>61.480122616478511</c:v>
                </c:pt>
                <c:pt idx="158">
                  <c:v>61.489746903305466</c:v>
                </c:pt>
                <c:pt idx="159">
                  <c:v>61.496842670430766</c:v>
                </c:pt>
                <c:pt idx="160">
                  <c:v>61.501617619659584</c:v>
                </c:pt>
                <c:pt idx="161">
                  <c:v>61.504279332864151</c:v>
                </c:pt>
                <c:pt idx="162">
                  <c:v>61.505635907683597</c:v>
                </c:pt>
                <c:pt idx="163">
                  <c:v>61.506014000748856</c:v>
                </c:pt>
                <c:pt idx="164">
                  <c:v>61.504902756774761</c:v>
                </c:pt>
                <c:pt idx="165">
                  <c:v>61.501788694907511</c:v>
                </c:pt>
                <c:pt idx="166">
                  <c:v>61.496158432539708</c:v>
                </c:pt>
                <c:pt idx="167">
                  <c:v>61.487498674796612</c:v>
                </c:pt>
                <c:pt idx="168">
                  <c:v>61.475296212763865</c:v>
                </c:pt>
                <c:pt idx="169">
                  <c:v>61.459037251698639</c:v>
                </c:pt>
                <c:pt idx="170">
                  <c:v>61.438210016951402</c:v>
                </c:pt>
                <c:pt idx="171">
                  <c:v>61.412301540390935</c:v>
                </c:pt>
                <c:pt idx="172">
                  <c:v>61.38079892375525</c:v>
                </c:pt>
                <c:pt idx="173">
                  <c:v>61.343189334562666</c:v>
                </c:pt>
                <c:pt idx="174">
                  <c:v>61.298960006919401</c:v>
                </c:pt>
                <c:pt idx="175">
                  <c:v>61.247598234360041</c:v>
                </c:pt>
                <c:pt idx="176">
                  <c:v>61.189208481756886</c:v>
                </c:pt>
                <c:pt idx="177">
                  <c:v>61.124442260417673</c:v>
                </c:pt>
                <c:pt idx="178">
                  <c:v>61.053610017359276</c:v>
                </c:pt>
                <c:pt idx="179">
                  <c:v>60.977021328915114</c:v>
                </c:pt>
                <c:pt idx="180">
                  <c:v>60.89498559689212</c:v>
                </c:pt>
                <c:pt idx="181">
                  <c:v>60.807812046105354</c:v>
                </c:pt>
                <c:pt idx="182">
                  <c:v>60.715809742083636</c:v>
                </c:pt>
                <c:pt idx="183">
                  <c:v>60.619284530086006</c:v>
                </c:pt>
                <c:pt idx="184">
                  <c:v>60.518545845496448</c:v>
                </c:pt>
                <c:pt idx="185">
                  <c:v>60.413902266888208</c:v>
                </c:pt>
                <c:pt idx="186">
                  <c:v>60.305662235546187</c:v>
                </c:pt>
                <c:pt idx="187">
                  <c:v>60.194134057481769</c:v>
                </c:pt>
                <c:pt idx="188">
                  <c:v>60.079625916088055</c:v>
                </c:pt>
                <c:pt idx="189">
                  <c:v>59.962445869095454</c:v>
                </c:pt>
                <c:pt idx="190">
                  <c:v>59.842576501443844</c:v>
                </c:pt>
                <c:pt idx="191">
                  <c:v>59.719659246455087</c:v>
                </c:pt>
                <c:pt idx="192">
                  <c:v>59.59348979546013</c:v>
                </c:pt>
                <c:pt idx="193">
                  <c:v>59.46386249099475</c:v>
                </c:pt>
                <c:pt idx="194">
                  <c:v>59.330571729527605</c:v>
                </c:pt>
                <c:pt idx="195">
                  <c:v>59.193411957781841</c:v>
                </c:pt>
                <c:pt idx="196">
                  <c:v>59.05217768469231</c:v>
                </c:pt>
                <c:pt idx="197">
                  <c:v>58.906666092509177</c:v>
                </c:pt>
                <c:pt idx="198">
                  <c:v>58.756674990459324</c:v>
                </c:pt>
                <c:pt idx="199">
                  <c:v>58.601999109101406</c:v>
                </c:pt>
                <c:pt idx="200">
                  <c:v>58.442433247406598</c:v>
                </c:pt>
                <c:pt idx="201">
                  <c:v>58.277772283422252</c:v>
                </c:pt>
                <c:pt idx="202">
                  <c:v>58.107811175059162</c:v>
                </c:pt>
                <c:pt idx="203">
                  <c:v>57.93234495483668</c:v>
                </c:pt>
                <c:pt idx="204">
                  <c:v>57.750569958913772</c:v>
                </c:pt>
                <c:pt idx="205">
                  <c:v>57.562152439477408</c:v>
                </c:pt>
                <c:pt idx="206">
                  <c:v>57.367604896424552</c:v>
                </c:pt>
                <c:pt idx="207">
                  <c:v>57.167441091967277</c:v>
                </c:pt>
                <c:pt idx="208">
                  <c:v>56.962174693975697</c:v>
                </c:pt>
                <c:pt idx="209">
                  <c:v>56.752319272593226</c:v>
                </c:pt>
                <c:pt idx="210">
                  <c:v>56.538388306258639</c:v>
                </c:pt>
                <c:pt idx="211">
                  <c:v>56.320887047875097</c:v>
                </c:pt>
                <c:pt idx="212">
                  <c:v>56.100326133151732</c:v>
                </c:pt>
                <c:pt idx="213">
                  <c:v>55.877218754094677</c:v>
                </c:pt>
                <c:pt idx="214">
                  <c:v>55.652078013145292</c:v>
                </c:pt>
                <c:pt idx="215">
                  <c:v>55.425416917848828</c:v>
                </c:pt>
                <c:pt idx="216">
                  <c:v>55.19774838301533</c:v>
                </c:pt>
                <c:pt idx="217">
                  <c:v>54.969585230263988</c:v>
                </c:pt>
                <c:pt idx="218">
                  <c:v>54.739491633939998</c:v>
                </c:pt>
                <c:pt idx="219">
                  <c:v>54.505899174983483</c:v>
                </c:pt>
                <c:pt idx="220">
                  <c:v>54.269125486143651</c:v>
                </c:pt>
                <c:pt idx="221">
                  <c:v>54.029478745186587</c:v>
                </c:pt>
                <c:pt idx="222">
                  <c:v>53.787267077301877</c:v>
                </c:pt>
                <c:pt idx="223">
                  <c:v>53.542798550113005</c:v>
                </c:pt>
                <c:pt idx="224">
                  <c:v>53.296381172873666</c:v>
                </c:pt>
                <c:pt idx="225">
                  <c:v>53.048267940653048</c:v>
                </c:pt>
                <c:pt idx="226">
                  <c:v>52.79877486238945</c:v>
                </c:pt>
                <c:pt idx="227">
                  <c:v>52.548209755999814</c:v>
                </c:pt>
                <c:pt idx="228">
                  <c:v>52.296880386898373</c:v>
                </c:pt>
                <c:pt idx="229">
                  <c:v>52.045094463311159</c:v>
                </c:pt>
                <c:pt idx="230">
                  <c:v>51.79315963775786</c:v>
                </c:pt>
                <c:pt idx="231">
                  <c:v>51.541383507367669</c:v>
                </c:pt>
                <c:pt idx="232">
                  <c:v>51.290415156592729</c:v>
                </c:pt>
                <c:pt idx="233">
                  <c:v>51.040342702107978</c:v>
                </c:pt>
                <c:pt idx="234">
                  <c:v>50.790650239262625</c:v>
                </c:pt>
                <c:pt idx="235">
                  <c:v>50.540825741148673</c:v>
                </c:pt>
                <c:pt idx="236">
                  <c:v>50.290357324728511</c:v>
                </c:pt>
                <c:pt idx="237">
                  <c:v>50.038733260690229</c:v>
                </c:pt>
                <c:pt idx="238">
                  <c:v>49.785441968229186</c:v>
                </c:pt>
                <c:pt idx="239">
                  <c:v>49.530096157267849</c:v>
                </c:pt>
                <c:pt idx="240">
                  <c:v>49.272239172606703</c:v>
                </c:pt>
                <c:pt idx="241">
                  <c:v>49.011359589546018</c:v>
                </c:pt>
                <c:pt idx="242">
                  <c:v>48.746946085599276</c:v>
                </c:pt>
                <c:pt idx="243">
                  <c:v>48.478487440123089</c:v>
                </c:pt>
                <c:pt idx="244">
                  <c:v>48.205472530026739</c:v>
                </c:pt>
                <c:pt idx="245">
                  <c:v>47.92739033226438</c:v>
                </c:pt>
                <c:pt idx="246">
                  <c:v>47.645675051353358</c:v>
                </c:pt>
                <c:pt idx="247">
                  <c:v>47.361944870163732</c:v>
                </c:pt>
                <c:pt idx="248">
                  <c:v>47.075907100402731</c:v>
                </c:pt>
                <c:pt idx="249">
                  <c:v>46.787254843185437</c:v>
                </c:pt>
                <c:pt idx="250">
                  <c:v>46.495681227172483</c:v>
                </c:pt>
                <c:pt idx="251">
                  <c:v>46.200879401240456</c:v>
                </c:pt>
                <c:pt idx="252">
                  <c:v>45.90254253654529</c:v>
                </c:pt>
                <c:pt idx="253">
                  <c:v>45.600312092140037</c:v>
                </c:pt>
                <c:pt idx="254">
                  <c:v>45.293758785719668</c:v>
                </c:pt>
                <c:pt idx="255">
                  <c:v>44.982576468945908</c:v>
                </c:pt>
                <c:pt idx="256">
                  <c:v>44.666459057753933</c:v>
                </c:pt>
                <c:pt idx="257">
                  <c:v>44.345100527306911</c:v>
                </c:pt>
                <c:pt idx="258">
                  <c:v>44.018194911752559</c:v>
                </c:pt>
                <c:pt idx="259">
                  <c:v>43.685436300410046</c:v>
                </c:pt>
                <c:pt idx="260">
                  <c:v>43.345512960939416</c:v>
                </c:pt>
                <c:pt idx="261">
                  <c:v>42.997756100515652</c:v>
                </c:pt>
                <c:pt idx="262">
                  <c:v>42.642938937199069</c:v>
                </c:pt>
                <c:pt idx="263">
                  <c:v>42.281881683639952</c:v>
                </c:pt>
                <c:pt idx="264">
                  <c:v>41.915404409222795</c:v>
                </c:pt>
                <c:pt idx="265">
                  <c:v>41.544327023349574</c:v>
                </c:pt>
                <c:pt idx="266">
                  <c:v>41.169469321788057</c:v>
                </c:pt>
                <c:pt idx="267">
                  <c:v>40.791566099138237</c:v>
                </c:pt>
                <c:pt idx="268">
                  <c:v>40.411487921266662</c:v>
                </c:pt>
                <c:pt idx="269">
                  <c:v>40.03005451194862</c:v>
                </c:pt>
                <c:pt idx="270">
                  <c:v>39.648085506081472</c:v>
                </c:pt>
                <c:pt idx="271">
                  <c:v>39.266400457490064</c:v>
                </c:pt>
                <c:pt idx="272">
                  <c:v>38.885818845641502</c:v>
                </c:pt>
                <c:pt idx="273">
                  <c:v>38.507160082584896</c:v>
                </c:pt>
                <c:pt idx="274">
                  <c:v>38.128313342043462</c:v>
                </c:pt>
                <c:pt idx="275">
                  <c:v>37.746973004541886</c:v>
                </c:pt>
                <c:pt idx="276">
                  <c:v>37.363653160315657</c:v>
                </c:pt>
                <c:pt idx="277">
                  <c:v>36.97876328355381</c:v>
                </c:pt>
                <c:pt idx="278">
                  <c:v>36.592712731045303</c:v>
                </c:pt>
                <c:pt idx="279">
                  <c:v>36.20591073862019</c:v>
                </c:pt>
                <c:pt idx="280">
                  <c:v>35.818766418698175</c:v>
                </c:pt>
                <c:pt idx="281">
                  <c:v>35.431413655171831</c:v>
                </c:pt>
                <c:pt idx="282">
                  <c:v>35.044345594651361</c:v>
                </c:pt>
                <c:pt idx="283">
                  <c:v>34.657973457972915</c:v>
                </c:pt>
                <c:pt idx="284">
                  <c:v>34.272708498052957</c:v>
                </c:pt>
                <c:pt idx="285">
                  <c:v>33.888961996431433</c:v>
                </c:pt>
                <c:pt idx="286">
                  <c:v>33.507145257772819</c:v>
                </c:pt>
                <c:pt idx="287">
                  <c:v>33.127669605425901</c:v>
                </c:pt>
                <c:pt idx="288">
                  <c:v>32.749260906084274</c:v>
                </c:pt>
                <c:pt idx="289">
                  <c:v>32.369261257841423</c:v>
                </c:pt>
                <c:pt idx="290">
                  <c:v>31.987928866785229</c:v>
                </c:pt>
                <c:pt idx="291">
                  <c:v>31.605596518629532</c:v>
                </c:pt>
                <c:pt idx="292">
                  <c:v>31.222597946522548</c:v>
                </c:pt>
                <c:pt idx="293">
                  <c:v>30.839267746621907</c:v>
                </c:pt>
                <c:pt idx="294">
                  <c:v>30.455941287258049</c:v>
                </c:pt>
                <c:pt idx="295">
                  <c:v>30.072100247713319</c:v>
                </c:pt>
                <c:pt idx="296">
                  <c:v>29.688350830336116</c:v>
                </c:pt>
                <c:pt idx="297">
                  <c:v>29.305040183454359</c:v>
                </c:pt>
                <c:pt idx="298">
                  <c:v>28.922516479778711</c:v>
                </c:pt>
                <c:pt idx="299">
                  <c:v>28.54112808405046</c:v>
                </c:pt>
                <c:pt idx="300">
                  <c:v>28.161223359377342</c:v>
                </c:pt>
                <c:pt idx="301">
                  <c:v>27.783150470129488</c:v>
                </c:pt>
                <c:pt idx="302">
                  <c:v>27.405385473569297</c:v>
                </c:pt>
                <c:pt idx="303">
                  <c:v>27.027750737881309</c:v>
                </c:pt>
                <c:pt idx="304">
                  <c:v>26.651970061540087</c:v>
                </c:pt>
                <c:pt idx="305">
                  <c:v>26.278542855520332</c:v>
                </c:pt>
                <c:pt idx="306">
                  <c:v>25.907967290910705</c:v>
                </c:pt>
                <c:pt idx="307">
                  <c:v>25.540740341885609</c:v>
                </c:pt>
                <c:pt idx="308">
                  <c:v>25.177357828753539</c:v>
                </c:pt>
                <c:pt idx="309">
                  <c:v>24.8197526280536</c:v>
                </c:pt>
                <c:pt idx="310">
                  <c:v>24.469158410925637</c:v>
                </c:pt>
                <c:pt idx="311">
                  <c:v>24.126020863578969</c:v>
                </c:pt>
                <c:pt idx="312">
                  <c:v>23.790785682938338</c:v>
                </c:pt>
                <c:pt idx="313">
                  <c:v>23.463898887602546</c:v>
                </c:pt>
                <c:pt idx="314">
                  <c:v>23.145807118459988</c:v>
                </c:pt>
                <c:pt idx="315">
                  <c:v>22.83695794069293</c:v>
                </c:pt>
                <c:pt idx="316">
                  <c:v>22.536524623270584</c:v>
                </c:pt>
                <c:pt idx="317">
                  <c:v>22.2434677940733</c:v>
                </c:pt>
                <c:pt idx="318">
                  <c:v>21.956638434048024</c:v>
                </c:pt>
                <c:pt idx="319">
                  <c:v>21.676000389015542</c:v>
                </c:pt>
                <c:pt idx="320">
                  <c:v>21.401519004971298</c:v>
                </c:pt>
                <c:pt idx="321">
                  <c:v>21.13316125450373</c:v>
                </c:pt>
                <c:pt idx="322">
                  <c:v>20.87089585992959</c:v>
                </c:pt>
                <c:pt idx="323">
                  <c:v>20.614350939747219</c:v>
                </c:pt>
                <c:pt idx="324">
                  <c:v>20.362207758420574</c:v>
                </c:pt>
                <c:pt idx="325">
                  <c:v>20.114470372727126</c:v>
                </c:pt>
                <c:pt idx="326">
                  <c:v>19.87114538716375</c:v>
                </c:pt>
                <c:pt idx="327">
                  <c:v>19.632237959653615</c:v>
                </c:pt>
                <c:pt idx="328">
                  <c:v>19.397751568598963</c:v>
                </c:pt>
                <c:pt idx="329">
                  <c:v>19.16768993863106</c:v>
                </c:pt>
                <c:pt idx="330">
                  <c:v>18.939847396547602</c:v>
                </c:pt>
                <c:pt idx="331">
                  <c:v>18.712551653294909</c:v>
                </c:pt>
                <c:pt idx="332">
                  <c:v>18.486714454513411</c:v>
                </c:pt>
                <c:pt idx="333">
                  <c:v>18.263363874070013</c:v>
                </c:pt>
                <c:pt idx="334">
                  <c:v>18.043527570432058</c:v>
                </c:pt>
                <c:pt idx="335">
                  <c:v>17.828232756808521</c:v>
                </c:pt>
                <c:pt idx="336">
                  <c:v>17.618506162243861</c:v>
                </c:pt>
                <c:pt idx="337">
                  <c:v>17.415351258352668</c:v>
                </c:pt>
                <c:pt idx="338">
                  <c:v>17.220111477284362</c:v>
                </c:pt>
                <c:pt idx="339">
                  <c:v>17.033808821559024</c:v>
                </c:pt>
                <c:pt idx="340">
                  <c:v>16.857465092595074</c:v>
                </c:pt>
                <c:pt idx="341">
                  <c:v>16.69210188050609</c:v>
                </c:pt>
                <c:pt idx="342">
                  <c:v>16.538740542027725</c:v>
                </c:pt>
                <c:pt idx="343">
                  <c:v>16.398402170438665</c:v>
                </c:pt>
                <c:pt idx="344">
                  <c:v>16.267267338313388</c:v>
                </c:pt>
                <c:pt idx="345">
                  <c:v>16.141543235697846</c:v>
                </c:pt>
                <c:pt idx="346">
                  <c:v>16.022488311524349</c:v>
                </c:pt>
                <c:pt idx="347">
                  <c:v>15.911161605423796</c:v>
                </c:pt>
                <c:pt idx="348">
                  <c:v>15.808622036903657</c:v>
                </c:pt>
                <c:pt idx="349">
                  <c:v>15.715928362769358</c:v>
                </c:pt>
                <c:pt idx="350">
                  <c:v>15.634139166794178</c:v>
                </c:pt>
                <c:pt idx="351">
                  <c:v>15.564370786967432</c:v>
                </c:pt>
                <c:pt idx="352">
                  <c:v>15.507703008825327</c:v>
                </c:pt>
                <c:pt idx="353">
                  <c:v>15.465193437493731</c:v>
                </c:pt>
                <c:pt idx="354">
                  <c:v>15.437899461952689</c:v>
                </c:pt>
                <c:pt idx="355">
                  <c:v>15.426878225567998</c:v>
                </c:pt>
                <c:pt idx="356">
                  <c:v>15.433187178911174</c:v>
                </c:pt>
                <c:pt idx="357">
                  <c:v>15.457882816756191</c:v>
                </c:pt>
                <c:pt idx="358">
                  <c:v>15.503005780523161</c:v>
                </c:pt>
                <c:pt idx="359">
                  <c:v>15.568855445996036</c:v>
                </c:pt>
                <c:pt idx="360">
                  <c:v>15.653856168598754</c:v>
                </c:pt>
                <c:pt idx="361">
                  <c:v>15.756396838681489</c:v>
                </c:pt>
                <c:pt idx="362">
                  <c:v>15.874924064698648</c:v>
                </c:pt>
                <c:pt idx="363">
                  <c:v>16.007884620132657</c:v>
                </c:pt>
                <c:pt idx="364">
                  <c:v>16.15372543607744</c:v>
                </c:pt>
                <c:pt idx="365">
                  <c:v>16.310893620862281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5.776578891566861</c:v>
                </c:pt>
                <c:pt idx="7">
                  <c:v>7.5465260203663682</c:v>
                </c:pt>
                <c:pt idx="8">
                  <c:v>2.2671195243635149</c:v>
                </c:pt>
                <c:pt idx="9">
                  <c:v>1.8749183199951494</c:v>
                </c:pt>
                <c:pt idx="10">
                  <c:v>18.816215191762339</c:v>
                </c:pt>
                <c:pt idx="11">
                  <c:v>16.89186039871797</c:v>
                </c:pt>
                <c:pt idx="12">
                  <c:v>5.739339323107906</c:v>
                </c:pt>
                <c:pt idx="13">
                  <c:v>19.417658211734057</c:v>
                </c:pt>
                <c:pt idx="14">
                  <c:v>19.979830324688756</c:v>
                </c:pt>
                <c:pt idx="15">
                  <c:v>19.706676595369032</c:v>
                </c:pt>
                <c:pt idx="16">
                  <c:v>13.224043231411168</c:v>
                </c:pt>
                <c:pt idx="17">
                  <c:v>4.1953744827078356</c:v>
                </c:pt>
                <c:pt idx="18">
                  <c:v>10.608019694318438</c:v>
                </c:pt>
                <c:pt idx="19">
                  <c:v>6.1405590589199051</c:v>
                </c:pt>
                <c:pt idx="20">
                  <c:v>17.285661094004109</c:v>
                </c:pt>
                <c:pt idx="21">
                  <c:v>21.317665467060561</c:v>
                </c:pt>
                <c:pt idx="22">
                  <c:v>21.388308608891357</c:v>
                </c:pt>
                <c:pt idx="23">
                  <c:v>21.9197977081439</c:v>
                </c:pt>
                <c:pt idx="24">
                  <c:v>20.529790762059804</c:v>
                </c:pt>
                <c:pt idx="25">
                  <c:v>22.094763289737759</c:v>
                </c:pt>
                <c:pt idx="26">
                  <c:v>18.498943329789693</c:v>
                </c:pt>
                <c:pt idx="27">
                  <c:v>4.4128759892506606</c:v>
                </c:pt>
                <c:pt idx="28">
                  <c:v>6.6330602170288557</c:v>
                </c:pt>
                <c:pt idx="29">
                  <c:v>4.7816565304747813</c:v>
                </c:pt>
                <c:pt idx="30">
                  <c:v>11.090188302216015</c:v>
                </c:pt>
                <c:pt idx="31">
                  <c:v>14.301941321240266</c:v>
                </c:pt>
                <c:pt idx="32">
                  <c:v>5.7701501246754088</c:v>
                </c:pt>
                <c:pt idx="33">
                  <c:v>13.339899994587174</c:v>
                </c:pt>
                <c:pt idx="34">
                  <c:v>12.179735993123954</c:v>
                </c:pt>
                <c:pt idx="35">
                  <c:v>9.5698065999685031</c:v>
                </c:pt>
                <c:pt idx="36">
                  <c:v>21.031304639711763</c:v>
                </c:pt>
                <c:pt idx="37">
                  <c:v>14.420505006663729</c:v>
                </c:pt>
                <c:pt idx="38">
                  <c:v>27.965839838655651</c:v>
                </c:pt>
                <c:pt idx="39">
                  <c:v>28.20368886142078</c:v>
                </c:pt>
                <c:pt idx="40">
                  <c:v>27.236905305255871</c:v>
                </c:pt>
                <c:pt idx="41">
                  <c:v>14.247526157084092</c:v>
                </c:pt>
                <c:pt idx="42">
                  <c:v>22.796896719791771</c:v>
                </c:pt>
                <c:pt idx="43">
                  <c:v>25.131340727061929</c:v>
                </c:pt>
                <c:pt idx="44">
                  <c:v>16.144283540872443</c:v>
                </c:pt>
                <c:pt idx="45">
                  <c:v>20.791685528607164</c:v>
                </c:pt>
                <c:pt idx="46">
                  <c:v>9.8787421820267038</c:v>
                </c:pt>
                <c:pt idx="47">
                  <c:v>11.875776307527877</c:v>
                </c:pt>
                <c:pt idx="48">
                  <c:v>27.837487190102774</c:v>
                </c:pt>
                <c:pt idx="49">
                  <c:v>16.808790244946042</c:v>
                </c:pt>
                <c:pt idx="50">
                  <c:v>21.171003685197199</c:v>
                </c:pt>
                <c:pt idx="51">
                  <c:v>18.670857150461938</c:v>
                </c:pt>
                <c:pt idx="52">
                  <c:v>30.5159030997117</c:v>
                </c:pt>
                <c:pt idx="53">
                  <c:v>32.095587142062335</c:v>
                </c:pt>
                <c:pt idx="54">
                  <c:v>22.856090932311197</c:v>
                </c:pt>
                <c:pt idx="55">
                  <c:v>25.235873773212898</c:v>
                </c:pt>
                <c:pt idx="56">
                  <c:v>35.539246022185814</c:v>
                </c:pt>
                <c:pt idx="57">
                  <c:v>22.732446765759022</c:v>
                </c:pt>
                <c:pt idx="58">
                  <c:v>33.152472243683135</c:v>
                </c:pt>
                <c:pt idx="59">
                  <c:v>34.980449750552985</c:v>
                </c:pt>
                <c:pt idx="60">
                  <c:v>16.164194146771145</c:v>
                </c:pt>
                <c:pt idx="61">
                  <c:v>27.884048559987232</c:v>
                </c:pt>
                <c:pt idx="62">
                  <c:v>5.4920151409368021</c:v>
                </c:pt>
                <c:pt idx="63">
                  <c:v>14.243093254379867</c:v>
                </c:pt>
                <c:pt idx="64">
                  <c:v>21.805220725935808</c:v>
                </c:pt>
                <c:pt idx="65">
                  <c:v>35.343415301387878</c:v>
                </c:pt>
                <c:pt idx="66">
                  <c:v>31.710314014225254</c:v>
                </c:pt>
                <c:pt idx="67">
                  <c:v>28.304914338698126</c:v>
                </c:pt>
                <c:pt idx="68">
                  <c:v>23.915338688491069</c:v>
                </c:pt>
                <c:pt idx="69">
                  <c:v>17.259587014826991</c:v>
                </c:pt>
                <c:pt idx="70">
                  <c:v>13.507338489354913</c:v>
                </c:pt>
                <c:pt idx="71">
                  <c:v>8.6031107097489556</c:v>
                </c:pt>
                <c:pt idx="72">
                  <c:v>12.810699651882206</c:v>
                </c:pt>
                <c:pt idx="73">
                  <c:v>15.181645819923286</c:v>
                </c:pt>
                <c:pt idx="74">
                  <c:v>12.748161386315749</c:v>
                </c:pt>
                <c:pt idx="75">
                  <c:v>12.243462567583185</c:v>
                </c:pt>
                <c:pt idx="76">
                  <c:v>14.451546846936527</c:v>
                </c:pt>
                <c:pt idx="77">
                  <c:v>26.553903420414322</c:v>
                </c:pt>
                <c:pt idx="78">
                  <c:v>31.829704450237685</c:v>
                </c:pt>
                <c:pt idx="79">
                  <c:v>42.811289250087228</c:v>
                </c:pt>
                <c:pt idx="80">
                  <c:v>41.784391353791406</c:v>
                </c:pt>
                <c:pt idx="81">
                  <c:v>44.576298628305956</c:v>
                </c:pt>
                <c:pt idx="82">
                  <c:v>44.283300633463291</c:v>
                </c:pt>
                <c:pt idx="83">
                  <c:v>36.888030456989021</c:v>
                </c:pt>
                <c:pt idx="84">
                  <c:v>40.515377488166564</c:v>
                </c:pt>
                <c:pt idx="85">
                  <c:v>42.397557970999507</c:v>
                </c:pt>
                <c:pt idx="86">
                  <c:v>36.420458918415449</c:v>
                </c:pt>
                <c:pt idx="87">
                  <c:v>27.735106797443958</c:v>
                </c:pt>
                <c:pt idx="88">
                  <c:v>7.7241652278886805</c:v>
                </c:pt>
                <c:pt idx="89">
                  <c:v>26.976132048613419</c:v>
                </c:pt>
                <c:pt idx="90">
                  <c:v>29.670978068250161</c:v>
                </c:pt>
                <c:pt idx="91">
                  <c:v>20.219895291979476</c:v>
                </c:pt>
                <c:pt idx="92">
                  <c:v>27.605785050802908</c:v>
                </c:pt>
                <c:pt idx="93">
                  <c:v>42.871160989560686</c:v>
                </c:pt>
                <c:pt idx="94">
                  <c:v>51.306603134367016</c:v>
                </c:pt>
                <c:pt idx="95">
                  <c:v>12.515013824407811</c:v>
                </c:pt>
                <c:pt idx="96">
                  <c:v>42.420422325920256</c:v>
                </c:pt>
                <c:pt idx="97">
                  <c:v>36.134905139044911</c:v>
                </c:pt>
                <c:pt idx="98">
                  <c:v>33.616676271163286</c:v>
                </c:pt>
                <c:pt idx="99">
                  <c:v>55.077084681226026</c:v>
                </c:pt>
                <c:pt idx="100">
                  <c:v>44.433873669505807</c:v>
                </c:pt>
                <c:pt idx="101">
                  <c:v>37.074877617924116</c:v>
                </c:pt>
                <c:pt idx="102">
                  <c:v>8.573038293587592</c:v>
                </c:pt>
                <c:pt idx="103">
                  <c:v>39.57649076582905</c:v>
                </c:pt>
                <c:pt idx="104">
                  <c:v>43.367763240305258</c:v>
                </c:pt>
                <c:pt idx="105">
                  <c:v>39.460828788922178</c:v>
                </c:pt>
                <c:pt idx="106">
                  <c:v>54.652434972300313</c:v>
                </c:pt>
                <c:pt idx="107">
                  <c:v>34.866221854586925</c:v>
                </c:pt>
                <c:pt idx="108">
                  <c:v>11.471461547991938</c:v>
                </c:pt>
                <c:pt idx="109">
                  <c:v>11.495604594136541</c:v>
                </c:pt>
                <c:pt idx="110">
                  <c:v>11.033757566226571</c:v>
                </c:pt>
                <c:pt idx="111">
                  <c:v>29.348992363272721</c:v>
                </c:pt>
                <c:pt idx="112">
                  <c:v>9.6355042167493128</c:v>
                </c:pt>
                <c:pt idx="113">
                  <c:v>34.549045508664015</c:v>
                </c:pt>
                <c:pt idx="114">
                  <c:v>45.59524723644784</c:v>
                </c:pt>
                <c:pt idx="115">
                  <c:v>56.929238584747687</c:v>
                </c:pt>
                <c:pt idx="116">
                  <c:v>45.251083126701737</c:v>
                </c:pt>
                <c:pt idx="117">
                  <c:v>24.124547249889321</c:v>
                </c:pt>
                <c:pt idx="118">
                  <c:v>43.723838062585585</c:v>
                </c:pt>
                <c:pt idx="119">
                  <c:v>43.125035679863565</c:v>
                </c:pt>
                <c:pt idx="120">
                  <c:v>48.924152809632041</c:v>
                </c:pt>
                <c:pt idx="121">
                  <c:v>31.446442872280617</c:v>
                </c:pt>
                <c:pt idx="122">
                  <c:v>35.048289511785804</c:v>
                </c:pt>
                <c:pt idx="123">
                  <c:v>19.725325689374355</c:v>
                </c:pt>
                <c:pt idx="124">
                  <c:v>39.703965940926871</c:v>
                </c:pt>
                <c:pt idx="125">
                  <c:v>41.621523261784176</c:v>
                </c:pt>
                <c:pt idx="126">
                  <c:v>47.872296104252669</c:v>
                </c:pt>
                <c:pt idx="127">
                  <c:v>54.298559628212431</c:v>
                </c:pt>
                <c:pt idx="128">
                  <c:v>57.452886592386612</c:v>
                </c:pt>
                <c:pt idx="129">
                  <c:v>56.276836768915068</c:v>
                </c:pt>
                <c:pt idx="130">
                  <c:v>60.033224443866665</c:v>
                </c:pt>
                <c:pt idx="131">
                  <c:v>45.712478436678374</c:v>
                </c:pt>
                <c:pt idx="132">
                  <c:v>48.440139999802717</c:v>
                </c:pt>
                <c:pt idx="133">
                  <c:v>54.229898662337156</c:v>
                </c:pt>
                <c:pt idx="134">
                  <c:v>55.980658051627209</c:v>
                </c:pt>
                <c:pt idx="135">
                  <c:v>54.713404486174944</c:v>
                </c:pt>
                <c:pt idx="136">
                  <c:v>58.431425379446594</c:v>
                </c:pt>
                <c:pt idx="137">
                  <c:v>55.790321528091333</c:v>
                </c:pt>
                <c:pt idx="138">
                  <c:v>54.598773372320998</c:v>
                </c:pt>
                <c:pt idx="139">
                  <c:v>51.890523775902828</c:v>
                </c:pt>
                <c:pt idx="140">
                  <c:v>54.34112032310253</c:v>
                </c:pt>
                <c:pt idx="141">
                  <c:v>42.018799298953887</c:v>
                </c:pt>
                <c:pt idx="142">
                  <c:v>19.993198072337382</c:v>
                </c:pt>
                <c:pt idx="143">
                  <c:v>17.173632199388258</c:v>
                </c:pt>
                <c:pt idx="144">
                  <c:v>41.855128139399874</c:v>
                </c:pt>
                <c:pt idx="145">
                  <c:v>27.926811026839687</c:v>
                </c:pt>
                <c:pt idx="146">
                  <c:v>43.728681401276681</c:v>
                </c:pt>
                <c:pt idx="147">
                  <c:v>57.408954109964426</c:v>
                </c:pt>
                <c:pt idx="148">
                  <c:v>62.431916206701423</c:v>
                </c:pt>
                <c:pt idx="149">
                  <c:v>50.210082988953353</c:v>
                </c:pt>
                <c:pt idx="150">
                  <c:v>59.351810025613631</c:v>
                </c:pt>
                <c:pt idx="151">
                  <c:v>61.88113619457868</c:v>
                </c:pt>
                <c:pt idx="152">
                  <c:v>44.573064990424989</c:v>
                </c:pt>
                <c:pt idx="153">
                  <c:v>59.016743874124316</c:v>
                </c:pt>
                <c:pt idx="154">
                  <c:v>29.995504837623503</c:v>
                </c:pt>
                <c:pt idx="155">
                  <c:v>33.14798076843654</c:v>
                </c:pt>
                <c:pt idx="156">
                  <c:v>53.008746191990888</c:v>
                </c:pt>
                <c:pt idx="157">
                  <c:v>27.680377220556355</c:v>
                </c:pt>
                <c:pt idx="158">
                  <c:v>24.943197141584328</c:v>
                </c:pt>
                <c:pt idx="159">
                  <c:v>51.256639733792596</c:v>
                </c:pt>
                <c:pt idx="160">
                  <c:v>63.063113899545094</c:v>
                </c:pt>
                <c:pt idx="161">
                  <c:v>60.380689788645363</c:v>
                </c:pt>
                <c:pt idx="162">
                  <c:v>48.689582429204776</c:v>
                </c:pt>
                <c:pt idx="163">
                  <c:v>54.433822354466855</c:v>
                </c:pt>
                <c:pt idx="164">
                  <c:v>55.336252783467906</c:v>
                </c:pt>
                <c:pt idx="165">
                  <c:v>58.699909365131539</c:v>
                </c:pt>
                <c:pt idx="166">
                  <c:v>55.624352506271691</c:v>
                </c:pt>
                <c:pt idx="167">
                  <c:v>55.787593928090402</c:v>
                </c:pt>
                <c:pt idx="168">
                  <c:v>59.402530724145976</c:v>
                </c:pt>
                <c:pt idx="169">
                  <c:v>59.878380711277785</c:v>
                </c:pt>
                <c:pt idx="170">
                  <c:v>32.378072684751466</c:v>
                </c:pt>
                <c:pt idx="171">
                  <c:v>21.78812194699616</c:v>
                </c:pt>
                <c:pt idx="172">
                  <c:v>45.199758140910689</c:v>
                </c:pt>
                <c:pt idx="173">
                  <c:v>44.692787362968083</c:v>
                </c:pt>
                <c:pt idx="174">
                  <c:v>48.075797417817085</c:v>
                </c:pt>
                <c:pt idx="175">
                  <c:v>40.048696928879309</c:v>
                </c:pt>
                <c:pt idx="176">
                  <c:v>12.525361187171269</c:v>
                </c:pt>
                <c:pt idx="177">
                  <c:v>18.427151699786624</c:v>
                </c:pt>
                <c:pt idx="178">
                  <c:v>63.768629454074166</c:v>
                </c:pt>
                <c:pt idx="179">
                  <c:v>61.878171858499627</c:v>
                </c:pt>
                <c:pt idx="180">
                  <c:v>15.199964949001608</c:v>
                </c:pt>
                <c:pt idx="181">
                  <c:v>51.566320148602472</c:v>
                </c:pt>
                <c:pt idx="182">
                  <c:v>57.253801505569058</c:v>
                </c:pt>
                <c:pt idx="183">
                  <c:v>53.246058116158864</c:v>
                </c:pt>
                <c:pt idx="184">
                  <c:v>49.566204814656764</c:v>
                </c:pt>
                <c:pt idx="185">
                  <c:v>59.434619223090529</c:v>
                </c:pt>
                <c:pt idx="186">
                  <c:v>43.755947294501013</c:v>
                </c:pt>
                <c:pt idx="187">
                  <c:v>58.983852277148102</c:v>
                </c:pt>
                <c:pt idx="188">
                  <c:v>61.850517171185814</c:v>
                </c:pt>
                <c:pt idx="189">
                  <c:v>60.895893606113937</c:v>
                </c:pt>
                <c:pt idx="190">
                  <c:v>60.255790753228837</c:v>
                </c:pt>
                <c:pt idx="191">
                  <c:v>59.219638400081628</c:v>
                </c:pt>
                <c:pt idx="192">
                  <c:v>58.291836869532496</c:v>
                </c:pt>
                <c:pt idx="193">
                  <c:v>57.136752075393339</c:v>
                </c:pt>
                <c:pt idx="194">
                  <c:v>56.983774437108266</c:v>
                </c:pt>
                <c:pt idx="195">
                  <c:v>54.46980095532075</c:v>
                </c:pt>
                <c:pt idx="196">
                  <c:v>55.590336368763445</c:v>
                </c:pt>
                <c:pt idx="197">
                  <c:v>55.991652356166483</c:v>
                </c:pt>
                <c:pt idx="198">
                  <c:v>57.701057848005505</c:v>
                </c:pt>
                <c:pt idx="199">
                  <c:v>42.383326180938177</c:v>
                </c:pt>
                <c:pt idx="200">
                  <c:v>39.80010486318259</c:v>
                </c:pt>
                <c:pt idx="201">
                  <c:v>54.919467281743231</c:v>
                </c:pt>
                <c:pt idx="202">
                  <c:v>47.169055321578803</c:v>
                </c:pt>
                <c:pt idx="203">
                  <c:v>44.632816879411187</c:v>
                </c:pt>
                <c:pt idx="204">
                  <c:v>54.340727885647375</c:v>
                </c:pt>
                <c:pt idx="205">
                  <c:v>28.667222071725131</c:v>
                </c:pt>
                <c:pt idx="206">
                  <c:v>50.805631599955127</c:v>
                </c:pt>
                <c:pt idx="207">
                  <c:v>57.503313770653016</c:v>
                </c:pt>
                <c:pt idx="208">
                  <c:v>45.180548874932242</c:v>
                </c:pt>
                <c:pt idx="209">
                  <c:v>28.06689355675439</c:v>
                </c:pt>
                <c:pt idx="210">
                  <c:v>46.162501096586752</c:v>
                </c:pt>
                <c:pt idx="211">
                  <c:v>56.530866210771229</c:v>
                </c:pt>
                <c:pt idx="212">
                  <c:v>56.035468524781159</c:v>
                </c:pt>
                <c:pt idx="213">
                  <c:v>56.04646568507178</c:v>
                </c:pt>
                <c:pt idx="214">
                  <c:v>55.648857274895136</c:v>
                </c:pt>
                <c:pt idx="215">
                  <c:v>53.089327028889819</c:v>
                </c:pt>
                <c:pt idx="216">
                  <c:v>42.37796021237174</c:v>
                </c:pt>
                <c:pt idx="217">
                  <c:v>50.565579190455914</c:v>
                </c:pt>
                <c:pt idx="218">
                  <c:v>53.314860753947819</c:v>
                </c:pt>
                <c:pt idx="219">
                  <c:v>54.697354562934045</c:v>
                </c:pt>
                <c:pt idx="220">
                  <c:v>52.149177612493055</c:v>
                </c:pt>
                <c:pt idx="221">
                  <c:v>50.645508460884848</c:v>
                </c:pt>
                <c:pt idx="222">
                  <c:v>47.797042139051591</c:v>
                </c:pt>
                <c:pt idx="223">
                  <c:v>0</c:v>
                </c:pt>
                <c:pt idx="224">
                  <c:v>35.523759007375752</c:v>
                </c:pt>
                <c:pt idx="225">
                  <c:v>35.589153765538526</c:v>
                </c:pt>
                <c:pt idx="226">
                  <c:v>35.994071124460902</c:v>
                </c:pt>
                <c:pt idx="227">
                  <c:v>37.28142327855744</c:v>
                </c:pt>
                <c:pt idx="228">
                  <c:v>25.932153596474201</c:v>
                </c:pt>
                <c:pt idx="229">
                  <c:v>39.568263250731412</c:v>
                </c:pt>
                <c:pt idx="230">
                  <c:v>39.171136834170753</c:v>
                </c:pt>
                <c:pt idx="231">
                  <c:v>51.120864319376992</c:v>
                </c:pt>
                <c:pt idx="232">
                  <c:v>36.889996748897168</c:v>
                </c:pt>
                <c:pt idx="233">
                  <c:v>26.984202438986177</c:v>
                </c:pt>
                <c:pt idx="234">
                  <c:v>45.648071643439081</c:v>
                </c:pt>
                <c:pt idx="235">
                  <c:v>49.57948513656072</c:v>
                </c:pt>
                <c:pt idx="236">
                  <c:v>31.799717125425808</c:v>
                </c:pt>
                <c:pt idx="237">
                  <c:v>36.649949696948354</c:v>
                </c:pt>
                <c:pt idx="238">
                  <c:v>46.202798989559263</c:v>
                </c:pt>
                <c:pt idx="239">
                  <c:v>48.571448099427336</c:v>
                </c:pt>
                <c:pt idx="240">
                  <c:v>33.946036916714185</c:v>
                </c:pt>
                <c:pt idx="241">
                  <c:v>47.639470494143914</c:v>
                </c:pt>
                <c:pt idx="242">
                  <c:v>24.119380827828415</c:v>
                </c:pt>
                <c:pt idx="243">
                  <c:v>41.473921907548409</c:v>
                </c:pt>
                <c:pt idx="244">
                  <c:v>39.203683388309713</c:v>
                </c:pt>
                <c:pt idx="245">
                  <c:v>36.066462544479791</c:v>
                </c:pt>
                <c:pt idx="246">
                  <c:v>47.291504464014487</c:v>
                </c:pt>
                <c:pt idx="247">
                  <c:v>39.573614202235504</c:v>
                </c:pt>
                <c:pt idx="248">
                  <c:v>43.135451133890058</c:v>
                </c:pt>
                <c:pt idx="249">
                  <c:v>35.370610946841722</c:v>
                </c:pt>
                <c:pt idx="250">
                  <c:v>39.340421210575478</c:v>
                </c:pt>
                <c:pt idx="251">
                  <c:v>18.743085913470136</c:v>
                </c:pt>
                <c:pt idx="252">
                  <c:v>43.695348120457076</c:v>
                </c:pt>
                <c:pt idx="253">
                  <c:v>45.205516823272397</c:v>
                </c:pt>
                <c:pt idx="254">
                  <c:v>35.115009480775363</c:v>
                </c:pt>
                <c:pt idx="255">
                  <c:v>13.460255039089892</c:v>
                </c:pt>
                <c:pt idx="256">
                  <c:v>36.169401409533727</c:v>
                </c:pt>
                <c:pt idx="257">
                  <c:v>41.089146337415052</c:v>
                </c:pt>
                <c:pt idx="258">
                  <c:v>27.611640513465286</c:v>
                </c:pt>
                <c:pt idx="259">
                  <c:v>44.337214855513473</c:v>
                </c:pt>
                <c:pt idx="260">
                  <c:v>43.430814208305698</c:v>
                </c:pt>
                <c:pt idx="261">
                  <c:v>43.775433387457689</c:v>
                </c:pt>
                <c:pt idx="262">
                  <c:v>44.122811147237414</c:v>
                </c:pt>
                <c:pt idx="263">
                  <c:v>42.820643102692024</c:v>
                </c:pt>
                <c:pt idx="264">
                  <c:v>41.622879617802056</c:v>
                </c:pt>
                <c:pt idx="265">
                  <c:v>30.501262568418415</c:v>
                </c:pt>
                <c:pt idx="266">
                  <c:v>18.840976162485592</c:v>
                </c:pt>
                <c:pt idx="267">
                  <c:v>30.158168983600039</c:v>
                </c:pt>
                <c:pt idx="268">
                  <c:v>32.526382074458049</c:v>
                </c:pt>
                <c:pt idx="269">
                  <c:v>15.917202826339988</c:v>
                </c:pt>
                <c:pt idx="270">
                  <c:v>18.183532990262155</c:v>
                </c:pt>
                <c:pt idx="271">
                  <c:v>23.533698011160087</c:v>
                </c:pt>
                <c:pt idx="272">
                  <c:v>25.236443022022556</c:v>
                </c:pt>
                <c:pt idx="273">
                  <c:v>34.444236398121092</c:v>
                </c:pt>
                <c:pt idx="274">
                  <c:v>35.820164626757929</c:v>
                </c:pt>
                <c:pt idx="275">
                  <c:v>32.438002353368248</c:v>
                </c:pt>
                <c:pt idx="276">
                  <c:v>37.780985878243676</c:v>
                </c:pt>
                <c:pt idx="277">
                  <c:v>38.027339673631168</c:v>
                </c:pt>
                <c:pt idx="278">
                  <c:v>15.241347389907087</c:v>
                </c:pt>
                <c:pt idx="279">
                  <c:v>29.274878767358185</c:v>
                </c:pt>
                <c:pt idx="280">
                  <c:v>14.804836689787287</c:v>
                </c:pt>
                <c:pt idx="281">
                  <c:v>34.572610050177062</c:v>
                </c:pt>
                <c:pt idx="282">
                  <c:v>30.268890213549255</c:v>
                </c:pt>
                <c:pt idx="283">
                  <c:v>24.342510500079733</c:v>
                </c:pt>
                <c:pt idx="284">
                  <c:v>24.247984227898773</c:v>
                </c:pt>
                <c:pt idx="285">
                  <c:v>21.96286592018614</c:v>
                </c:pt>
                <c:pt idx="286">
                  <c:v>14.761317879148963</c:v>
                </c:pt>
                <c:pt idx="287">
                  <c:v>32.898350997872285</c:v>
                </c:pt>
                <c:pt idx="288">
                  <c:v>28.83776711668585</c:v>
                </c:pt>
                <c:pt idx="289">
                  <c:v>16.250399139587167</c:v>
                </c:pt>
                <c:pt idx="290">
                  <c:v>28.984871322432955</c:v>
                </c:pt>
                <c:pt idx="291">
                  <c:v>16.188110070727809</c:v>
                </c:pt>
                <c:pt idx="292">
                  <c:v>8.5137878624341621</c:v>
                </c:pt>
                <c:pt idx="293">
                  <c:v>16.455952187361373</c:v>
                </c:pt>
                <c:pt idx="294">
                  <c:v>28.198881761774288</c:v>
                </c:pt>
                <c:pt idx="295">
                  <c:v>18.378932630026085</c:v>
                </c:pt>
                <c:pt idx="296">
                  <c:v>23.830375226449341</c:v>
                </c:pt>
                <c:pt idx="297">
                  <c:v>20.01699518049865</c:v>
                </c:pt>
                <c:pt idx="298">
                  <c:v>14.950884039964478</c:v>
                </c:pt>
                <c:pt idx="299">
                  <c:v>14.128755863649449</c:v>
                </c:pt>
                <c:pt idx="300">
                  <c:v>16.241600112054719</c:v>
                </c:pt>
                <c:pt idx="301">
                  <c:v>22.835269378805933</c:v>
                </c:pt>
                <c:pt idx="302">
                  <c:v>19.98252399364803</c:v>
                </c:pt>
                <c:pt idx="303">
                  <c:v>19.154758607048876</c:v>
                </c:pt>
                <c:pt idx="304">
                  <c:v>17.453600056399818</c:v>
                </c:pt>
                <c:pt idx="305">
                  <c:v>24.143059901364108</c:v>
                </c:pt>
                <c:pt idx="306">
                  <c:v>8.7511547053610013</c:v>
                </c:pt>
                <c:pt idx="307">
                  <c:v>12.135280717436334</c:v>
                </c:pt>
                <c:pt idx="308">
                  <c:v>24.434840919611485</c:v>
                </c:pt>
                <c:pt idx="309">
                  <c:v>24.47439458997184</c:v>
                </c:pt>
                <c:pt idx="310">
                  <c:v>24.262544727205011</c:v>
                </c:pt>
                <c:pt idx="311">
                  <c:v>17.543663136384257</c:v>
                </c:pt>
                <c:pt idx="312">
                  <c:v>9.7797524666475155</c:v>
                </c:pt>
                <c:pt idx="313">
                  <c:v>17.77565776247549</c:v>
                </c:pt>
                <c:pt idx="314">
                  <c:v>21.140085305028123</c:v>
                </c:pt>
                <c:pt idx="315">
                  <c:v>21.261029124913744</c:v>
                </c:pt>
                <c:pt idx="316">
                  <c:v>20.241631563080102</c:v>
                </c:pt>
                <c:pt idx="317">
                  <c:v>10.937139092400898</c:v>
                </c:pt>
                <c:pt idx="318">
                  <c:v>12.418007918505378</c:v>
                </c:pt>
                <c:pt idx="319">
                  <c:v>20.740967459335426</c:v>
                </c:pt>
                <c:pt idx="320">
                  <c:v>13.634337340967054</c:v>
                </c:pt>
                <c:pt idx="321">
                  <c:v>11.30209119531178</c:v>
                </c:pt>
                <c:pt idx="322">
                  <c:v>8.1117394183782423</c:v>
                </c:pt>
                <c:pt idx="323">
                  <c:v>14.603740948673465</c:v>
                </c:pt>
                <c:pt idx="324">
                  <c:v>3.3259684889395009</c:v>
                </c:pt>
                <c:pt idx="325">
                  <c:v>9.3332746667866271</c:v>
                </c:pt>
                <c:pt idx="326">
                  <c:v>12.448633313659155</c:v>
                </c:pt>
                <c:pt idx="327">
                  <c:v>11.57475432271614</c:v>
                </c:pt>
                <c:pt idx="328">
                  <c:v>4.6978938977226772</c:v>
                </c:pt>
                <c:pt idx="329">
                  <c:v>9.39533046179195</c:v>
                </c:pt>
                <c:pt idx="330">
                  <c:v>13.432082874243227</c:v>
                </c:pt>
                <c:pt idx="331">
                  <c:v>9.1723195772312565</c:v>
                </c:pt>
                <c:pt idx="332">
                  <c:v>10.165978115812164</c:v>
                </c:pt>
                <c:pt idx="333">
                  <c:v>4.3549310112710709</c:v>
                </c:pt>
                <c:pt idx="334">
                  <c:v>4.1095393165851455</c:v>
                </c:pt>
                <c:pt idx="335">
                  <c:v>5.2432425083130569</c:v>
                </c:pt>
                <c:pt idx="336">
                  <c:v>9.4287027369209362</c:v>
                </c:pt>
                <c:pt idx="337">
                  <c:v>12.606412219225259</c:v>
                </c:pt>
                <c:pt idx="338">
                  <c:v>17.468126855812493</c:v>
                </c:pt>
                <c:pt idx="339">
                  <c:v>11.409207215198867</c:v>
                </c:pt>
                <c:pt idx="340">
                  <c:v>13.994566041791318</c:v>
                </c:pt>
                <c:pt idx="341">
                  <c:v>4.5081570050788446</c:v>
                </c:pt>
                <c:pt idx="342">
                  <c:v>7.5053407437414146</c:v>
                </c:pt>
                <c:pt idx="343">
                  <c:v>10.928320782908079</c:v>
                </c:pt>
                <c:pt idx="344">
                  <c:v>12.425814701695494</c:v>
                </c:pt>
                <c:pt idx="345">
                  <c:v>5.6890714381038023</c:v>
                </c:pt>
                <c:pt idx="346">
                  <c:v>5.3588533322063174</c:v>
                </c:pt>
                <c:pt idx="347">
                  <c:v>12.202494753293051</c:v>
                </c:pt>
                <c:pt idx="348">
                  <c:v>6.5169687152754729</c:v>
                </c:pt>
                <c:pt idx="349">
                  <c:v>5.468980419747739</c:v>
                </c:pt>
                <c:pt idx="350">
                  <c:v>3.531183033129083</c:v>
                </c:pt>
                <c:pt idx="351">
                  <c:v>14.210276374885018</c:v>
                </c:pt>
                <c:pt idx="352">
                  <c:v>13.605549308674361</c:v>
                </c:pt>
                <c:pt idx="353">
                  <c:v>4.1073125717662151</c:v>
                </c:pt>
                <c:pt idx="354">
                  <c:v>14.565498690825205</c:v>
                </c:pt>
                <c:pt idx="355">
                  <c:v>14.499876951829757</c:v>
                </c:pt>
                <c:pt idx="356">
                  <c:v>14.227655527806228</c:v>
                </c:pt>
                <c:pt idx="357">
                  <c:v>15.394373086371521</c:v>
                </c:pt>
                <c:pt idx="358">
                  <c:v>8.5372866011743511</c:v>
                </c:pt>
                <c:pt idx="359">
                  <c:v>14.268616364187018</c:v>
                </c:pt>
                <c:pt idx="360">
                  <c:v>6.1415041199641625</c:v>
                </c:pt>
                <c:pt idx="361">
                  <c:v>12.580840660255801</c:v>
                </c:pt>
                <c:pt idx="362">
                  <c:v>9.5872515991678302</c:v>
                </c:pt>
                <c:pt idx="363">
                  <c:v>11.48896098145514</c:v>
                </c:pt>
                <c:pt idx="364">
                  <c:v>10.448846190245829</c:v>
                </c:pt>
                <c:pt idx="365">
                  <c:v>11.690274930614889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5.776578891566861</c:v>
                </c:pt>
                <c:pt idx="7">
                  <c:v>7.5465260203663682</c:v>
                </c:pt>
                <c:pt idx="8">
                  <c:v>2.2671195243635149</c:v>
                </c:pt>
                <c:pt idx="9">
                  <c:v>1.8749183199951494</c:v>
                </c:pt>
                <c:pt idx="10">
                  <c:v>18.816215191762339</c:v>
                </c:pt>
                <c:pt idx="11">
                  <c:v>16.89186039871797</c:v>
                </c:pt>
                <c:pt idx="12">
                  <c:v>5.739339323107906</c:v>
                </c:pt>
                <c:pt idx="13">
                  <c:v>19.417658211734057</c:v>
                </c:pt>
                <c:pt idx="14">
                  <c:v>19.979830324688756</c:v>
                </c:pt>
                <c:pt idx="15">
                  <c:v>19.706676595369032</c:v>
                </c:pt>
                <c:pt idx="16">
                  <c:v>13.224043231411168</c:v>
                </c:pt>
                <c:pt idx="17">
                  <c:v>4.1953744827078356</c:v>
                </c:pt>
                <c:pt idx="18">
                  <c:v>10.608019694318438</c:v>
                </c:pt>
                <c:pt idx="19">
                  <c:v>6.1405590589199051</c:v>
                </c:pt>
                <c:pt idx="20">
                  <c:v>17.285661094004109</c:v>
                </c:pt>
                <c:pt idx="21">
                  <c:v>21.317665467060561</c:v>
                </c:pt>
                <c:pt idx="22">
                  <c:v>21.388308608891357</c:v>
                </c:pt>
                <c:pt idx="23">
                  <c:v>21.9197977081439</c:v>
                </c:pt>
                <c:pt idx="24">
                  <c:v>20.529790762059804</c:v>
                </c:pt>
                <c:pt idx="25">
                  <c:v>22.094763289737759</c:v>
                </c:pt>
                <c:pt idx="26">
                  <c:v>18.498943329789693</c:v>
                </c:pt>
                <c:pt idx="27">
                  <c:v>4.4128759892506606</c:v>
                </c:pt>
                <c:pt idx="28">
                  <c:v>6.6330602170288557</c:v>
                </c:pt>
                <c:pt idx="29">
                  <c:v>4.7816565304747813</c:v>
                </c:pt>
                <c:pt idx="30">
                  <c:v>11.090188302216015</c:v>
                </c:pt>
                <c:pt idx="31">
                  <c:v>14.301941321240266</c:v>
                </c:pt>
                <c:pt idx="32">
                  <c:v>5.7701501246754088</c:v>
                </c:pt>
                <c:pt idx="33">
                  <c:v>13.339899994587174</c:v>
                </c:pt>
                <c:pt idx="34">
                  <c:v>12.179735993123954</c:v>
                </c:pt>
                <c:pt idx="35">
                  <c:v>9.5698065999685031</c:v>
                </c:pt>
                <c:pt idx="36">
                  <c:v>21.031304639711763</c:v>
                </c:pt>
                <c:pt idx="37">
                  <c:v>14.420505006663729</c:v>
                </c:pt>
                <c:pt idx="38">
                  <c:v>27.965839838655651</c:v>
                </c:pt>
                <c:pt idx="39">
                  <c:v>28.20368886142078</c:v>
                </c:pt>
                <c:pt idx="40">
                  <c:v>27.236905305255871</c:v>
                </c:pt>
                <c:pt idx="41">
                  <c:v>14.247526157084092</c:v>
                </c:pt>
                <c:pt idx="42">
                  <c:v>22.796896719791771</c:v>
                </c:pt>
                <c:pt idx="43">
                  <c:v>25.131340727061929</c:v>
                </c:pt>
                <c:pt idx="44">
                  <c:v>16.144283540872443</c:v>
                </c:pt>
                <c:pt idx="45">
                  <c:v>20.791685528607164</c:v>
                </c:pt>
                <c:pt idx="46">
                  <c:v>9.8787421820267038</c:v>
                </c:pt>
                <c:pt idx="47">
                  <c:v>11.875776307527877</c:v>
                </c:pt>
                <c:pt idx="48">
                  <c:v>27.837487190102774</c:v>
                </c:pt>
                <c:pt idx="49">
                  <c:v>16.808790244946042</c:v>
                </c:pt>
                <c:pt idx="50">
                  <c:v>21.171003685197199</c:v>
                </c:pt>
                <c:pt idx="51">
                  <c:v>18.670857150461938</c:v>
                </c:pt>
                <c:pt idx="52">
                  <c:v>30.5159030997117</c:v>
                </c:pt>
                <c:pt idx="53">
                  <c:v>32.095587142062335</c:v>
                </c:pt>
                <c:pt idx="54">
                  <c:v>22.856090932311197</c:v>
                </c:pt>
                <c:pt idx="55">
                  <c:v>25.235873773212898</c:v>
                </c:pt>
                <c:pt idx="56">
                  <c:v>35.539246022185814</c:v>
                </c:pt>
                <c:pt idx="57">
                  <c:v>22.732446765759022</c:v>
                </c:pt>
                <c:pt idx="58">
                  <c:v>33.152472243683135</c:v>
                </c:pt>
                <c:pt idx="59">
                  <c:v>34.980449750552985</c:v>
                </c:pt>
                <c:pt idx="60">
                  <c:v>16.164194146771145</c:v>
                </c:pt>
                <c:pt idx="61">
                  <c:v>27.884048559987232</c:v>
                </c:pt>
                <c:pt idx="62">
                  <c:v>5.4920151409368021</c:v>
                </c:pt>
                <c:pt idx="63">
                  <c:v>14.243093254379867</c:v>
                </c:pt>
                <c:pt idx="64">
                  <c:v>21.805220725935808</c:v>
                </c:pt>
                <c:pt idx="65">
                  <c:v>35.343415301387878</c:v>
                </c:pt>
                <c:pt idx="66">
                  <c:v>31.710314014225254</c:v>
                </c:pt>
                <c:pt idx="67">
                  <c:v>28.304914338698126</c:v>
                </c:pt>
                <c:pt idx="68">
                  <c:v>23.915338688491069</c:v>
                </c:pt>
                <c:pt idx="69">
                  <c:v>17.259587014826991</c:v>
                </c:pt>
                <c:pt idx="70">
                  <c:v>13.507338489354913</c:v>
                </c:pt>
                <c:pt idx="71">
                  <c:v>8.6031107097489556</c:v>
                </c:pt>
                <c:pt idx="72">
                  <c:v>12.810699651882206</c:v>
                </c:pt>
                <c:pt idx="73">
                  <c:v>15.181645819923286</c:v>
                </c:pt>
                <c:pt idx="74">
                  <c:v>12.748161386315749</c:v>
                </c:pt>
                <c:pt idx="75">
                  <c:v>12.243462567583185</c:v>
                </c:pt>
                <c:pt idx="76">
                  <c:v>14.451546846936527</c:v>
                </c:pt>
                <c:pt idx="77">
                  <c:v>26.553903420414322</c:v>
                </c:pt>
                <c:pt idx="78">
                  <c:v>31.829704450237685</c:v>
                </c:pt>
                <c:pt idx="79">
                  <c:v>42.811289250087228</c:v>
                </c:pt>
                <c:pt idx="80">
                  <c:v>41.784391353791406</c:v>
                </c:pt>
                <c:pt idx="81">
                  <c:v>44.576298628305956</c:v>
                </c:pt>
                <c:pt idx="82">
                  <c:v>44.283300633463291</c:v>
                </c:pt>
                <c:pt idx="83">
                  <c:v>36.888030456989021</c:v>
                </c:pt>
                <c:pt idx="84">
                  <c:v>40.515377488166564</c:v>
                </c:pt>
                <c:pt idx="85">
                  <c:v>42.397557970999507</c:v>
                </c:pt>
                <c:pt idx="86">
                  <c:v>36.420458918415449</c:v>
                </c:pt>
                <c:pt idx="87">
                  <c:v>27.735106797443958</c:v>
                </c:pt>
                <c:pt idx="88">
                  <c:v>7.7241652278886805</c:v>
                </c:pt>
                <c:pt idx="89">
                  <c:v>26.976132048613419</c:v>
                </c:pt>
                <c:pt idx="90">
                  <c:v>29.670978068250161</c:v>
                </c:pt>
                <c:pt idx="91">
                  <c:v>20.219895291979476</c:v>
                </c:pt>
                <c:pt idx="92">
                  <c:v>27.605785050802908</c:v>
                </c:pt>
                <c:pt idx="93">
                  <c:v>42.871160989560686</c:v>
                </c:pt>
                <c:pt idx="94">
                  <c:v>51.306603134367016</c:v>
                </c:pt>
                <c:pt idx="95">
                  <c:v>12.515013824407811</c:v>
                </c:pt>
                <c:pt idx="96">
                  <c:v>42.420422325920256</c:v>
                </c:pt>
                <c:pt idx="97">
                  <c:v>36.134905139044911</c:v>
                </c:pt>
                <c:pt idx="98">
                  <c:v>33.616676271163286</c:v>
                </c:pt>
                <c:pt idx="99">
                  <c:v>55.077084681226026</c:v>
                </c:pt>
                <c:pt idx="100">
                  <c:v>44.433873669505807</c:v>
                </c:pt>
                <c:pt idx="101">
                  <c:v>37.074877617924116</c:v>
                </c:pt>
                <c:pt idx="102">
                  <c:v>8.573038293587592</c:v>
                </c:pt>
                <c:pt idx="103">
                  <c:v>39.57649076582905</c:v>
                </c:pt>
                <c:pt idx="104">
                  <c:v>43.367763240305258</c:v>
                </c:pt>
                <c:pt idx="105">
                  <c:v>39.460828788922178</c:v>
                </c:pt>
                <c:pt idx="106">
                  <c:v>54.652434972300313</c:v>
                </c:pt>
                <c:pt idx="107">
                  <c:v>34.866221854586925</c:v>
                </c:pt>
                <c:pt idx="108">
                  <c:v>11.471461547991938</c:v>
                </c:pt>
                <c:pt idx="109">
                  <c:v>11.495604594136541</c:v>
                </c:pt>
                <c:pt idx="110">
                  <c:v>11.033757566226571</c:v>
                </c:pt>
                <c:pt idx="111">
                  <c:v>29.348992363272721</c:v>
                </c:pt>
                <c:pt idx="112">
                  <c:v>9.6355042167493128</c:v>
                </c:pt>
                <c:pt idx="113">
                  <c:v>34.549045508664015</c:v>
                </c:pt>
                <c:pt idx="114">
                  <c:v>45.59524723644784</c:v>
                </c:pt>
                <c:pt idx="115">
                  <c:v>56.929238584747687</c:v>
                </c:pt>
                <c:pt idx="116">
                  <c:v>45.251083126701737</c:v>
                </c:pt>
                <c:pt idx="117">
                  <c:v>24.124547249889321</c:v>
                </c:pt>
                <c:pt idx="118">
                  <c:v>43.723838062585585</c:v>
                </c:pt>
                <c:pt idx="119">
                  <c:v>43.125035679863565</c:v>
                </c:pt>
                <c:pt idx="120">
                  <c:v>48.924152809632041</c:v>
                </c:pt>
                <c:pt idx="121">
                  <c:v>31.446442872280617</c:v>
                </c:pt>
                <c:pt idx="122">
                  <c:v>35.048289511785804</c:v>
                </c:pt>
                <c:pt idx="123">
                  <c:v>19.725325689374355</c:v>
                </c:pt>
                <c:pt idx="124">
                  <c:v>39.703965940926871</c:v>
                </c:pt>
                <c:pt idx="125">
                  <c:v>41.621523261784176</c:v>
                </c:pt>
                <c:pt idx="126">
                  <c:v>47.872296104252669</c:v>
                </c:pt>
                <c:pt idx="127">
                  <c:v>54.298559628212431</c:v>
                </c:pt>
                <c:pt idx="128">
                  <c:v>57.452886592386612</c:v>
                </c:pt>
                <c:pt idx="129">
                  <c:v>56.276836768915068</c:v>
                </c:pt>
                <c:pt idx="130">
                  <c:v>60.033224443866665</c:v>
                </c:pt>
                <c:pt idx="131">
                  <c:v>45.712478436678374</c:v>
                </c:pt>
                <c:pt idx="132">
                  <c:v>48.440139999802717</c:v>
                </c:pt>
                <c:pt idx="133">
                  <c:v>54.229898662337156</c:v>
                </c:pt>
                <c:pt idx="134">
                  <c:v>55.980658051627209</c:v>
                </c:pt>
                <c:pt idx="135">
                  <c:v>54.713404486174944</c:v>
                </c:pt>
                <c:pt idx="136">
                  <c:v>58.431425379446594</c:v>
                </c:pt>
                <c:pt idx="137">
                  <c:v>55.790321528091333</c:v>
                </c:pt>
                <c:pt idx="138">
                  <c:v>54.598773372320998</c:v>
                </c:pt>
                <c:pt idx="139">
                  <c:v>51.890523775902828</c:v>
                </c:pt>
                <c:pt idx="140">
                  <c:v>54.34112032310253</c:v>
                </c:pt>
                <c:pt idx="141">
                  <c:v>42.018799298953887</c:v>
                </c:pt>
                <c:pt idx="142">
                  <c:v>19.993198072337382</c:v>
                </c:pt>
                <c:pt idx="143">
                  <c:v>17.173632199388258</c:v>
                </c:pt>
                <c:pt idx="144">
                  <c:v>41.855128139399874</c:v>
                </c:pt>
                <c:pt idx="145">
                  <c:v>27.926811026839687</c:v>
                </c:pt>
                <c:pt idx="146">
                  <c:v>43.728681401276681</c:v>
                </c:pt>
                <c:pt idx="147">
                  <c:v>57.408954109964426</c:v>
                </c:pt>
                <c:pt idx="148">
                  <c:v>62.431916206701423</c:v>
                </c:pt>
                <c:pt idx="149">
                  <c:v>50.210082988953353</c:v>
                </c:pt>
                <c:pt idx="150">
                  <c:v>59.351810025613631</c:v>
                </c:pt>
                <c:pt idx="151">
                  <c:v>61.88113619457868</c:v>
                </c:pt>
                <c:pt idx="152">
                  <c:v>44.573064990424989</c:v>
                </c:pt>
                <c:pt idx="153">
                  <c:v>59.016743874124316</c:v>
                </c:pt>
                <c:pt idx="154">
                  <c:v>29.995504837623503</c:v>
                </c:pt>
                <c:pt idx="155">
                  <c:v>33.14798076843654</c:v>
                </c:pt>
                <c:pt idx="156">
                  <c:v>53.008746191990888</c:v>
                </c:pt>
                <c:pt idx="157">
                  <c:v>27.680377220556355</c:v>
                </c:pt>
                <c:pt idx="158">
                  <c:v>24.943197141584328</c:v>
                </c:pt>
                <c:pt idx="159">
                  <c:v>51.256639733792596</c:v>
                </c:pt>
                <c:pt idx="160">
                  <c:v>63.063113899545094</c:v>
                </c:pt>
                <c:pt idx="161">
                  <c:v>60.380689788645363</c:v>
                </c:pt>
                <c:pt idx="162">
                  <c:v>48.689582429204776</c:v>
                </c:pt>
                <c:pt idx="163">
                  <c:v>54.433822354466855</c:v>
                </c:pt>
                <c:pt idx="164">
                  <c:v>55.336252783467906</c:v>
                </c:pt>
                <c:pt idx="165">
                  <c:v>58.699909365131539</c:v>
                </c:pt>
                <c:pt idx="166">
                  <c:v>55.624352506271691</c:v>
                </c:pt>
                <c:pt idx="167">
                  <c:v>55.787593928090402</c:v>
                </c:pt>
                <c:pt idx="168">
                  <c:v>59.402530724145976</c:v>
                </c:pt>
                <c:pt idx="169">
                  <c:v>59.878380711277785</c:v>
                </c:pt>
                <c:pt idx="170">
                  <c:v>32.378072684751466</c:v>
                </c:pt>
                <c:pt idx="171">
                  <c:v>21.78812194699616</c:v>
                </c:pt>
                <c:pt idx="172">
                  <c:v>45.199758140910689</c:v>
                </c:pt>
                <c:pt idx="173">
                  <c:v>44.692787362968083</c:v>
                </c:pt>
                <c:pt idx="174">
                  <c:v>48.075797417817085</c:v>
                </c:pt>
                <c:pt idx="175">
                  <c:v>40.048696928879309</c:v>
                </c:pt>
                <c:pt idx="176">
                  <c:v>12.525361187171269</c:v>
                </c:pt>
                <c:pt idx="177">
                  <c:v>18.427151699786624</c:v>
                </c:pt>
                <c:pt idx="178">
                  <c:v>63.768629454074166</c:v>
                </c:pt>
                <c:pt idx="179">
                  <c:v>61.878171858499627</c:v>
                </c:pt>
                <c:pt idx="180">
                  <c:v>15.199964949001608</c:v>
                </c:pt>
                <c:pt idx="181">
                  <c:v>51.566320148602472</c:v>
                </c:pt>
                <c:pt idx="182">
                  <c:v>57.253801505569058</c:v>
                </c:pt>
                <c:pt idx="183">
                  <c:v>53.246058116158864</c:v>
                </c:pt>
                <c:pt idx="184">
                  <c:v>49.566204814656764</c:v>
                </c:pt>
                <c:pt idx="185">
                  <c:v>59.434619223090529</c:v>
                </c:pt>
                <c:pt idx="186">
                  <c:v>43.755947294501013</c:v>
                </c:pt>
                <c:pt idx="187">
                  <c:v>58.983852277148102</c:v>
                </c:pt>
                <c:pt idx="188">
                  <c:v>61.850517171185814</c:v>
                </c:pt>
                <c:pt idx="189">
                  <c:v>60.895893606113937</c:v>
                </c:pt>
                <c:pt idx="190">
                  <c:v>60.255790753228837</c:v>
                </c:pt>
                <c:pt idx="191">
                  <c:v>59.219638400081628</c:v>
                </c:pt>
                <c:pt idx="192">
                  <c:v>58.291836869532496</c:v>
                </c:pt>
                <c:pt idx="193">
                  <c:v>57.136752075393339</c:v>
                </c:pt>
                <c:pt idx="194">
                  <c:v>56.983774437108266</c:v>
                </c:pt>
                <c:pt idx="195">
                  <c:v>54.46980095532075</c:v>
                </c:pt>
                <c:pt idx="196">
                  <c:v>55.590336368763445</c:v>
                </c:pt>
                <c:pt idx="197">
                  <c:v>55.991652356166483</c:v>
                </c:pt>
                <c:pt idx="198">
                  <c:v>57.701057848005505</c:v>
                </c:pt>
                <c:pt idx="199">
                  <c:v>42.383326180938177</c:v>
                </c:pt>
                <c:pt idx="200">
                  <c:v>39.80010486318259</c:v>
                </c:pt>
                <c:pt idx="201">
                  <c:v>54.919467281743231</c:v>
                </c:pt>
                <c:pt idx="202">
                  <c:v>47.169055321578803</c:v>
                </c:pt>
                <c:pt idx="203">
                  <c:v>44.632816879411187</c:v>
                </c:pt>
                <c:pt idx="204">
                  <c:v>54.340727885647375</c:v>
                </c:pt>
                <c:pt idx="205">
                  <c:v>28.667222071725131</c:v>
                </c:pt>
                <c:pt idx="206">
                  <c:v>50.805631599955127</c:v>
                </c:pt>
                <c:pt idx="207">
                  <c:v>57.503313770653016</c:v>
                </c:pt>
                <c:pt idx="208">
                  <c:v>45.180548874932242</c:v>
                </c:pt>
                <c:pt idx="209">
                  <c:v>28.06689355675439</c:v>
                </c:pt>
                <c:pt idx="210">
                  <c:v>46.162501096586752</c:v>
                </c:pt>
                <c:pt idx="211">
                  <c:v>56.530866210771229</c:v>
                </c:pt>
                <c:pt idx="212">
                  <c:v>56.035468524781159</c:v>
                </c:pt>
                <c:pt idx="213">
                  <c:v>56.04646568507178</c:v>
                </c:pt>
                <c:pt idx="214">
                  <c:v>55.648857274895136</c:v>
                </c:pt>
                <c:pt idx="215">
                  <c:v>53.089327028889819</c:v>
                </c:pt>
                <c:pt idx="216">
                  <c:v>42.37796021237174</c:v>
                </c:pt>
                <c:pt idx="217">
                  <c:v>50.565579190455914</c:v>
                </c:pt>
                <c:pt idx="218">
                  <c:v>53.314860753947819</c:v>
                </c:pt>
                <c:pt idx="219">
                  <c:v>54.697354562934045</c:v>
                </c:pt>
                <c:pt idx="220">
                  <c:v>52.149177612493055</c:v>
                </c:pt>
                <c:pt idx="221">
                  <c:v>50.645508460884848</c:v>
                </c:pt>
                <c:pt idx="222">
                  <c:v>47.797042139051591</c:v>
                </c:pt>
                <c:pt idx="223">
                  <c:v>0</c:v>
                </c:pt>
                <c:pt idx="224">
                  <c:v>35.523759007375752</c:v>
                </c:pt>
                <c:pt idx="225">
                  <c:v>35.589153765538526</c:v>
                </c:pt>
                <c:pt idx="226">
                  <c:v>35.994071124460902</c:v>
                </c:pt>
                <c:pt idx="227">
                  <c:v>37.28142327855744</c:v>
                </c:pt>
                <c:pt idx="228">
                  <c:v>25.932153596474201</c:v>
                </c:pt>
                <c:pt idx="229">
                  <c:v>39.568263250731412</c:v>
                </c:pt>
                <c:pt idx="230">
                  <c:v>39.171136834170753</c:v>
                </c:pt>
                <c:pt idx="231">
                  <c:v>51.120864319376992</c:v>
                </c:pt>
                <c:pt idx="232">
                  <c:v>36.889996748897168</c:v>
                </c:pt>
                <c:pt idx="233">
                  <c:v>26.984202438986177</c:v>
                </c:pt>
                <c:pt idx="234">
                  <c:v>45.648071643439081</c:v>
                </c:pt>
                <c:pt idx="235">
                  <c:v>49.57948513656072</c:v>
                </c:pt>
                <c:pt idx="236">
                  <c:v>31.799717125425808</c:v>
                </c:pt>
                <c:pt idx="237">
                  <c:v>36.649949696948354</c:v>
                </c:pt>
                <c:pt idx="238">
                  <c:v>46.202798989559263</c:v>
                </c:pt>
                <c:pt idx="239">
                  <c:v>48.571448099427336</c:v>
                </c:pt>
                <c:pt idx="240">
                  <c:v>33.946036916714185</c:v>
                </c:pt>
                <c:pt idx="241">
                  <c:v>47.639470494143914</c:v>
                </c:pt>
                <c:pt idx="242">
                  <c:v>24.119380827828415</c:v>
                </c:pt>
                <c:pt idx="243">
                  <c:v>41.473921907548409</c:v>
                </c:pt>
                <c:pt idx="244">
                  <c:v>39.203683388309713</c:v>
                </c:pt>
                <c:pt idx="245">
                  <c:v>36.066462544479791</c:v>
                </c:pt>
                <c:pt idx="246">
                  <c:v>47.291504464014487</c:v>
                </c:pt>
                <c:pt idx="247">
                  <c:v>39.573614202235504</c:v>
                </c:pt>
                <c:pt idx="248">
                  <c:v>43.135451133890058</c:v>
                </c:pt>
                <c:pt idx="249">
                  <c:v>35.370610946841722</c:v>
                </c:pt>
                <c:pt idx="250">
                  <c:v>39.340421210575478</c:v>
                </c:pt>
                <c:pt idx="251">
                  <c:v>18.743085913470136</c:v>
                </c:pt>
                <c:pt idx="252">
                  <c:v>43.695348120457076</c:v>
                </c:pt>
                <c:pt idx="253">
                  <c:v>45.205516823272397</c:v>
                </c:pt>
                <c:pt idx="254">
                  <c:v>35.115009480775363</c:v>
                </c:pt>
                <c:pt idx="255">
                  <c:v>13.460255039089892</c:v>
                </c:pt>
                <c:pt idx="256">
                  <c:v>36.169401409533727</c:v>
                </c:pt>
                <c:pt idx="257">
                  <c:v>41.089146337415052</c:v>
                </c:pt>
                <c:pt idx="258">
                  <c:v>27.611640513465286</c:v>
                </c:pt>
                <c:pt idx="259">
                  <c:v>44.337214855513473</c:v>
                </c:pt>
                <c:pt idx="260">
                  <c:v>43.430814208305698</c:v>
                </c:pt>
                <c:pt idx="261">
                  <c:v>43.775433387457689</c:v>
                </c:pt>
                <c:pt idx="262">
                  <c:v>44.122811147237414</c:v>
                </c:pt>
                <c:pt idx="263">
                  <c:v>42.820643102692024</c:v>
                </c:pt>
                <c:pt idx="264">
                  <c:v>41.622879617802056</c:v>
                </c:pt>
                <c:pt idx="265">
                  <c:v>30.501262568418415</c:v>
                </c:pt>
                <c:pt idx="266">
                  <c:v>18.840976162485592</c:v>
                </c:pt>
                <c:pt idx="267">
                  <c:v>30.158168983600039</c:v>
                </c:pt>
                <c:pt idx="268">
                  <c:v>32.526382074458049</c:v>
                </c:pt>
                <c:pt idx="269">
                  <c:v>15.917202826339988</c:v>
                </c:pt>
                <c:pt idx="270">
                  <c:v>18.183532990262155</c:v>
                </c:pt>
                <c:pt idx="271">
                  <c:v>23.533698011160087</c:v>
                </c:pt>
                <c:pt idx="272">
                  <c:v>25.236443022022556</c:v>
                </c:pt>
                <c:pt idx="273">
                  <c:v>34.444236398121092</c:v>
                </c:pt>
                <c:pt idx="274">
                  <c:v>35.820164626757929</c:v>
                </c:pt>
                <c:pt idx="275">
                  <c:v>32.438002353368248</c:v>
                </c:pt>
                <c:pt idx="276">
                  <c:v>37.780985878243676</c:v>
                </c:pt>
                <c:pt idx="277">
                  <c:v>38.027339673631168</c:v>
                </c:pt>
                <c:pt idx="278">
                  <c:v>15.241347389907087</c:v>
                </c:pt>
                <c:pt idx="279">
                  <c:v>29.274878767358185</c:v>
                </c:pt>
                <c:pt idx="280">
                  <c:v>14.804836689787287</c:v>
                </c:pt>
                <c:pt idx="281">
                  <c:v>34.572610050177062</c:v>
                </c:pt>
                <c:pt idx="282">
                  <c:v>30.268890213549255</c:v>
                </c:pt>
                <c:pt idx="283">
                  <c:v>24.342510500079733</c:v>
                </c:pt>
                <c:pt idx="284">
                  <c:v>24.247984227898773</c:v>
                </c:pt>
                <c:pt idx="285">
                  <c:v>21.96286592018614</c:v>
                </c:pt>
                <c:pt idx="286">
                  <c:v>14.761317879148963</c:v>
                </c:pt>
                <c:pt idx="287">
                  <c:v>32.898350997872285</c:v>
                </c:pt>
                <c:pt idx="288">
                  <c:v>28.83776711668585</c:v>
                </c:pt>
                <c:pt idx="289">
                  <c:v>16.250399139587167</c:v>
                </c:pt>
                <c:pt idx="290">
                  <c:v>28.984871322432955</c:v>
                </c:pt>
                <c:pt idx="291">
                  <c:v>16.188110070727809</c:v>
                </c:pt>
                <c:pt idx="292">
                  <c:v>8.5137878624341621</c:v>
                </c:pt>
                <c:pt idx="293">
                  <c:v>16.455952187361373</c:v>
                </c:pt>
                <c:pt idx="294">
                  <c:v>28.198881761774288</c:v>
                </c:pt>
                <c:pt idx="295">
                  <c:v>18.378932630026085</c:v>
                </c:pt>
                <c:pt idx="296">
                  <c:v>23.830375226449341</c:v>
                </c:pt>
                <c:pt idx="297">
                  <c:v>20.01699518049865</c:v>
                </c:pt>
                <c:pt idx="298">
                  <c:v>14.950884039964478</c:v>
                </c:pt>
                <c:pt idx="299">
                  <c:v>14.128755863649449</c:v>
                </c:pt>
                <c:pt idx="300">
                  <c:v>16.241600112054719</c:v>
                </c:pt>
                <c:pt idx="301">
                  <c:v>22.835269378805933</c:v>
                </c:pt>
                <c:pt idx="302">
                  <c:v>19.98252399364803</c:v>
                </c:pt>
                <c:pt idx="303">
                  <c:v>19.154758607048876</c:v>
                </c:pt>
                <c:pt idx="304">
                  <c:v>17.453600056399818</c:v>
                </c:pt>
                <c:pt idx="305">
                  <c:v>24.143059901364108</c:v>
                </c:pt>
                <c:pt idx="306">
                  <c:v>8.7511547053610013</c:v>
                </c:pt>
                <c:pt idx="307">
                  <c:v>12.135280717436334</c:v>
                </c:pt>
                <c:pt idx="308">
                  <c:v>24.434840919611485</c:v>
                </c:pt>
                <c:pt idx="309">
                  <c:v>24.47439458997184</c:v>
                </c:pt>
                <c:pt idx="310">
                  <c:v>24.262544727205011</c:v>
                </c:pt>
                <c:pt idx="311">
                  <c:v>17.543663136384257</c:v>
                </c:pt>
                <c:pt idx="312">
                  <c:v>9.7797524666475155</c:v>
                </c:pt>
                <c:pt idx="313">
                  <c:v>17.77565776247549</c:v>
                </c:pt>
                <c:pt idx="314">
                  <c:v>21.140085305028123</c:v>
                </c:pt>
                <c:pt idx="315">
                  <c:v>21.261029124913744</c:v>
                </c:pt>
                <c:pt idx="316">
                  <c:v>20.241631563080102</c:v>
                </c:pt>
                <c:pt idx="317">
                  <c:v>10.937139092400898</c:v>
                </c:pt>
                <c:pt idx="318">
                  <c:v>12.418007918505378</c:v>
                </c:pt>
                <c:pt idx="319">
                  <c:v>20.740967459335426</c:v>
                </c:pt>
                <c:pt idx="320">
                  <c:v>13.634337340967054</c:v>
                </c:pt>
                <c:pt idx="321">
                  <c:v>11.30209119531178</c:v>
                </c:pt>
                <c:pt idx="322">
                  <c:v>8.1117394183782423</c:v>
                </c:pt>
                <c:pt idx="323">
                  <c:v>14.603740948673465</c:v>
                </c:pt>
                <c:pt idx="324">
                  <c:v>3.3259684889395009</c:v>
                </c:pt>
                <c:pt idx="325">
                  <c:v>9.3332746667866271</c:v>
                </c:pt>
                <c:pt idx="326">
                  <c:v>12.448633313659155</c:v>
                </c:pt>
                <c:pt idx="327">
                  <c:v>11.57475432271614</c:v>
                </c:pt>
                <c:pt idx="328">
                  <c:v>4.6978938977226772</c:v>
                </c:pt>
                <c:pt idx="329">
                  <c:v>9.39533046179195</c:v>
                </c:pt>
                <c:pt idx="330">
                  <c:v>13.432082874243227</c:v>
                </c:pt>
                <c:pt idx="331">
                  <c:v>9.1723195772312565</c:v>
                </c:pt>
                <c:pt idx="332">
                  <c:v>10.165978115812164</c:v>
                </c:pt>
                <c:pt idx="333">
                  <c:v>4.3549310112710709</c:v>
                </c:pt>
                <c:pt idx="334">
                  <c:v>4.1095393165851455</c:v>
                </c:pt>
                <c:pt idx="335">
                  <c:v>5.2432425083130569</c:v>
                </c:pt>
                <c:pt idx="336">
                  <c:v>9.4287027369209362</c:v>
                </c:pt>
                <c:pt idx="337">
                  <c:v>12.606412219225259</c:v>
                </c:pt>
                <c:pt idx="338">
                  <c:v>17.468126855812493</c:v>
                </c:pt>
                <c:pt idx="339">
                  <c:v>11.409207215198867</c:v>
                </c:pt>
                <c:pt idx="340">
                  <c:v>13.994566041791318</c:v>
                </c:pt>
                <c:pt idx="341">
                  <c:v>4.5081570050788446</c:v>
                </c:pt>
                <c:pt idx="342">
                  <c:v>7.5053407437414146</c:v>
                </c:pt>
                <c:pt idx="343">
                  <c:v>10.928320782908079</c:v>
                </c:pt>
                <c:pt idx="344">
                  <c:v>12.425814701695494</c:v>
                </c:pt>
                <c:pt idx="345">
                  <c:v>5.6890714381038023</c:v>
                </c:pt>
                <c:pt idx="346">
                  <c:v>5.3588533322063174</c:v>
                </c:pt>
                <c:pt idx="347">
                  <c:v>12.202494753293051</c:v>
                </c:pt>
                <c:pt idx="348">
                  <c:v>6.5169687152754729</c:v>
                </c:pt>
                <c:pt idx="349">
                  <c:v>5.468980419747739</c:v>
                </c:pt>
                <c:pt idx="350">
                  <c:v>3.531183033129083</c:v>
                </c:pt>
                <c:pt idx="351">
                  <c:v>14.210276374885018</c:v>
                </c:pt>
                <c:pt idx="352">
                  <c:v>13.605549308674361</c:v>
                </c:pt>
                <c:pt idx="353">
                  <c:v>4.1073125717662151</c:v>
                </c:pt>
                <c:pt idx="354">
                  <c:v>14.565498690825205</c:v>
                </c:pt>
                <c:pt idx="355">
                  <c:v>14.499876951829757</c:v>
                </c:pt>
                <c:pt idx="356">
                  <c:v>14.227655527806228</c:v>
                </c:pt>
                <c:pt idx="357">
                  <c:v>15.394373086371521</c:v>
                </c:pt>
                <c:pt idx="358">
                  <c:v>8.5372866011743511</c:v>
                </c:pt>
                <c:pt idx="359">
                  <c:v>14.268616364187018</c:v>
                </c:pt>
                <c:pt idx="360">
                  <c:v>6.1415041199641625</c:v>
                </c:pt>
                <c:pt idx="361">
                  <c:v>12.580840660255801</c:v>
                </c:pt>
                <c:pt idx="362">
                  <c:v>9.5872515991678302</c:v>
                </c:pt>
                <c:pt idx="363">
                  <c:v>11.48896098145514</c:v>
                </c:pt>
                <c:pt idx="364">
                  <c:v>10.448846190245829</c:v>
                </c:pt>
                <c:pt idx="365">
                  <c:v>11.690274930614889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407088"/>
        <c:axId val="321407480"/>
      </c:lineChart>
      <c:dateAx>
        <c:axId val="321407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07480"/>
        <c:crosses val="autoZero"/>
        <c:auto val="1"/>
        <c:lblOffset val="100"/>
        <c:baseTimeUnit val="days"/>
        <c:majorUnit val="1"/>
        <c:majorTimeUnit val="months"/>
      </c:dateAx>
      <c:valAx>
        <c:axId val="3214074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070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3.0079069281547133E-2</c:v>
                </c:pt>
                <c:pt idx="1">
                  <c:v>3.0092346684586158E-2</c:v>
                </c:pt>
                <c:pt idx="2">
                  <c:v>3.0105623905868684E-2</c:v>
                </c:pt>
                <c:pt idx="3">
                  <c:v>3.0118900945397264E-2</c:v>
                </c:pt>
                <c:pt idx="4">
                  <c:v>3.0132177803174232E-2</c:v>
                </c:pt>
                <c:pt idx="5">
                  <c:v>3.0145454479202249E-2</c:v>
                </c:pt>
                <c:pt idx="6">
                  <c:v>3.015873097348365E-2</c:v>
                </c:pt>
                <c:pt idx="7">
                  <c:v>3.0172007286020985E-2</c:v>
                </c:pt>
                <c:pt idx="8">
                  <c:v>3.018528341681681E-2</c:v>
                </c:pt>
                <c:pt idx="9">
                  <c:v>3.0198559365873567E-2</c:v>
                </c:pt>
                <c:pt idx="10">
                  <c:v>3.0211835133193699E-2</c:v>
                </c:pt>
                <c:pt idx="11">
                  <c:v>3.0225110718779646E-2</c:v>
                </c:pt>
                <c:pt idx="12">
                  <c:v>3.0238386122634076E-2</c:v>
                </c:pt>
                <c:pt idx="13">
                  <c:v>3.0251661344759317E-2</c:v>
                </c:pt>
                <c:pt idx="14">
                  <c:v>3.0264936385157926E-2</c:v>
                </c:pt>
                <c:pt idx="15">
                  <c:v>3.0278211243832454E-2</c:v>
                </c:pt>
                <c:pt idx="16">
                  <c:v>3.0291485920785233E-2</c:v>
                </c:pt>
                <c:pt idx="17">
                  <c:v>3.0304760416018928E-2</c:v>
                </c:pt>
                <c:pt idx="18">
                  <c:v>3.031803472953587E-2</c:v>
                </c:pt>
                <c:pt idx="19">
                  <c:v>3.0331308861338502E-2</c:v>
                </c:pt>
                <c:pt idx="20">
                  <c:v>3.0344582811429599E-2</c:v>
                </c:pt>
                <c:pt idx="21">
                  <c:v>3.0357856579811382E-2</c:v>
                </c:pt>
                <c:pt idx="22">
                  <c:v>3.0371130166486404E-2</c:v>
                </c:pt>
                <c:pt idx="23">
                  <c:v>3.0384403571457219E-2</c:v>
                </c:pt>
                <c:pt idx="24">
                  <c:v>3.0397676794726158E-2</c:v>
                </c:pt>
                <c:pt idx="25">
                  <c:v>3.0410949836295886E-2</c:v>
                </c:pt>
                <c:pt idx="26">
                  <c:v>3.0424222696168846E-2</c:v>
                </c:pt>
                <c:pt idx="27">
                  <c:v>3.0437495374347479E-2</c:v>
                </c:pt>
                <c:pt idx="28">
                  <c:v>3.0450767870834339E-2</c:v>
                </c:pt>
                <c:pt idx="29">
                  <c:v>3.0464040185631869E-2</c:v>
                </c:pt>
                <c:pt idx="30">
                  <c:v>3.0477312318742511E-2</c:v>
                </c:pt>
                <c:pt idx="31">
                  <c:v>3.0490584270168708E-2</c:v>
                </c:pt>
                <c:pt idx="32">
                  <c:v>3.0503856039913235E-2</c:v>
                </c:pt>
                <c:pt idx="33">
                  <c:v>3.0517127627978202E-2</c:v>
                </c:pt>
                <c:pt idx="34">
                  <c:v>3.0530399034366384E-2</c:v>
                </c:pt>
                <c:pt idx="35">
                  <c:v>3.0543670259080113E-2</c:v>
                </c:pt>
                <c:pt idx="36">
                  <c:v>3.0556941302121943E-2</c:v>
                </c:pt>
                <c:pt idx="37">
                  <c:v>3.0570212163494315E-2</c:v>
                </c:pt>
                <c:pt idx="38">
                  <c:v>3.0583482843199672E-2</c:v>
                </c:pt>
                <c:pt idx="39">
                  <c:v>3.0596753341240679E-2</c:v>
                </c:pt>
                <c:pt idx="40">
                  <c:v>3.0610023657619667E-2</c:v>
                </c:pt>
                <c:pt idx="41">
                  <c:v>3.062329379233919E-2</c:v>
                </c:pt>
                <c:pt idx="42">
                  <c:v>3.063656374540169E-2</c:v>
                </c:pt>
                <c:pt idx="43">
                  <c:v>3.0649833516809721E-2</c:v>
                </c:pt>
                <c:pt idx="44">
                  <c:v>3.0663103106565615E-2</c:v>
                </c:pt>
                <c:pt idx="45">
                  <c:v>3.0676372514672035E-2</c:v>
                </c:pt>
                <c:pt idx="46">
                  <c:v>3.0689641741131424E-2</c:v>
                </c:pt>
                <c:pt idx="47">
                  <c:v>3.0702910785946225E-2</c:v>
                </c:pt>
                <c:pt idx="48">
                  <c:v>3.0716179649118991E-2</c:v>
                </c:pt>
                <c:pt idx="49">
                  <c:v>3.0729448330652054E-2</c:v>
                </c:pt>
                <c:pt idx="50">
                  <c:v>3.0742716830548078E-2</c:v>
                </c:pt>
                <c:pt idx="51">
                  <c:v>3.0755985148809506E-2</c:v>
                </c:pt>
                <c:pt idx="52">
                  <c:v>3.076925328543878E-2</c:v>
                </c:pt>
                <c:pt idx="53">
                  <c:v>3.0782521240438343E-2</c:v>
                </c:pt>
                <c:pt idx="54">
                  <c:v>3.0795789013810859E-2</c:v>
                </c:pt>
                <c:pt idx="55">
                  <c:v>3.0809056605558549E-2</c:v>
                </c:pt>
                <c:pt idx="56">
                  <c:v>3.0822324015684188E-2</c:v>
                </c:pt>
                <c:pt idx="57">
                  <c:v>3.0835591244190108E-2</c:v>
                </c:pt>
                <c:pt idx="58">
                  <c:v>3.0848858291078751E-2</c:v>
                </c:pt>
                <c:pt idx="59">
                  <c:v>3.0862125156352671E-2</c:v>
                </c:pt>
                <c:pt idx="60">
                  <c:v>3.0875391840014421E-2</c:v>
                </c:pt>
                <c:pt idx="61">
                  <c:v>3.0888658342066333E-2</c:v>
                </c:pt>
                <c:pt idx="62">
                  <c:v>3.090192466251096E-2</c:v>
                </c:pt>
                <c:pt idx="63">
                  <c:v>3.0915190801350856E-2</c:v>
                </c:pt>
                <c:pt idx="64">
                  <c:v>3.0928456758588463E-2</c:v>
                </c:pt>
                <c:pt idx="65">
                  <c:v>3.0941722534226224E-2</c:v>
                </c:pt>
                <c:pt idx="66">
                  <c:v>3.0954988128266581E-2</c:v>
                </c:pt>
                <c:pt idx="67">
                  <c:v>3.0968253540712198E-2</c:v>
                </c:pt>
                <c:pt idx="68">
                  <c:v>3.0981518771565408E-2</c:v>
                </c:pt>
                <c:pt idx="69">
                  <c:v>3.0994783820828764E-2</c:v>
                </c:pt>
                <c:pt idx="70">
                  <c:v>3.1008048688504819E-2</c:v>
                </c:pt>
                <c:pt idx="71">
                  <c:v>3.1021313374595905E-2</c:v>
                </c:pt>
                <c:pt idx="72">
                  <c:v>3.1034577879104575E-2</c:v>
                </c:pt>
                <c:pt idx="73">
                  <c:v>3.1047842202033271E-2</c:v>
                </c:pt>
                <c:pt idx="74">
                  <c:v>3.1061106343384548E-2</c:v>
                </c:pt>
                <c:pt idx="75">
                  <c:v>3.1074370303160848E-2</c:v>
                </c:pt>
                <c:pt idx="76">
                  <c:v>3.1087634081364723E-2</c:v>
                </c:pt>
                <c:pt idx="77">
                  <c:v>3.1100897677998618E-2</c:v>
                </c:pt>
                <c:pt idx="78">
                  <c:v>3.1114161093065085E-2</c:v>
                </c:pt>
                <c:pt idx="79">
                  <c:v>3.1127424326566455E-2</c:v>
                </c:pt>
                <c:pt idx="80">
                  <c:v>3.1140687378505283E-2</c:v>
                </c:pt>
                <c:pt idx="81">
                  <c:v>3.115395024888401E-2</c:v>
                </c:pt>
                <c:pt idx="82">
                  <c:v>3.1167212937705302E-2</c:v>
                </c:pt>
                <c:pt idx="83">
                  <c:v>3.1180475444971489E-2</c:v>
                </c:pt>
                <c:pt idx="84">
                  <c:v>3.1193737770685015E-2</c:v>
                </c:pt>
                <c:pt idx="85">
                  <c:v>3.1206999914848543E-2</c:v>
                </c:pt>
                <c:pt idx="86">
                  <c:v>3.1220261877464406E-2</c:v>
                </c:pt>
                <c:pt idx="87">
                  <c:v>3.1233523658535156E-2</c:v>
                </c:pt>
                <c:pt idx="88">
                  <c:v>3.1246785258063237E-2</c:v>
                </c:pt>
                <c:pt idx="89">
                  <c:v>3.126004667605109E-2</c:v>
                </c:pt>
                <c:pt idx="90">
                  <c:v>3.127330791250138E-2</c:v>
                </c:pt>
                <c:pt idx="91">
                  <c:v>3.1286568967416439E-2</c:v>
                </c:pt>
                <c:pt idx="92">
                  <c:v>3.1299829840798821E-2</c:v>
                </c:pt>
                <c:pt idx="93">
                  <c:v>3.1313090532650856E-2</c:v>
                </c:pt>
                <c:pt idx="94">
                  <c:v>3.132635104297532E-2</c:v>
                </c:pt>
                <c:pt idx="95">
                  <c:v>3.1339611371774434E-2</c:v>
                </c:pt>
                <c:pt idx="96">
                  <c:v>3.1352871519050862E-2</c:v>
                </c:pt>
                <c:pt idx="97">
                  <c:v>3.1366131484806936E-2</c:v>
                </c:pt>
                <c:pt idx="98">
                  <c:v>3.1379391269045209E-2</c:v>
                </c:pt>
                <c:pt idx="99">
                  <c:v>3.1392650871768235E-2</c:v>
                </c:pt>
                <c:pt idx="100">
                  <c:v>3.1405910292978345E-2</c:v>
                </c:pt>
                <c:pt idx="101">
                  <c:v>3.1419169532678204E-2</c:v>
                </c:pt>
                <c:pt idx="102">
                  <c:v>3.1432428590870143E-2</c:v>
                </c:pt>
                <c:pt idx="103">
                  <c:v>3.1445687467556716E-2</c:v>
                </c:pt>
                <c:pt idx="104">
                  <c:v>3.1458946162740475E-2</c:v>
                </c:pt>
                <c:pt idx="105">
                  <c:v>3.1472204676423754E-2</c:v>
                </c:pt>
                <c:pt idx="106">
                  <c:v>3.1485463008609105E-2</c:v>
                </c:pt>
                <c:pt idx="107">
                  <c:v>3.1498721159299081E-2</c:v>
                </c:pt>
                <c:pt idx="108">
                  <c:v>3.1511979128496126E-2</c:v>
                </c:pt>
                <c:pt idx="109">
                  <c:v>3.1525236916202681E-2</c:v>
                </c:pt>
                <c:pt idx="110">
                  <c:v>3.153849452242119E-2</c:v>
                </c:pt>
                <c:pt idx="111">
                  <c:v>3.1551751947154316E-2</c:v>
                </c:pt>
                <c:pt idx="112">
                  <c:v>3.1565009190404281E-2</c:v>
                </c:pt>
                <c:pt idx="113">
                  <c:v>3.1578266252173859E-2</c:v>
                </c:pt>
                <c:pt idx="114">
                  <c:v>3.1591523132465271E-2</c:v>
                </c:pt>
                <c:pt idx="115">
                  <c:v>3.1604779831281182E-2</c:v>
                </c:pt>
                <c:pt idx="116">
                  <c:v>3.1618036348624035E-2</c:v>
                </c:pt>
                <c:pt idx="117">
                  <c:v>3.1631292684496382E-2</c:v>
                </c:pt>
                <c:pt idx="118">
                  <c:v>3.1644548838900444E-2</c:v>
                </c:pt>
                <c:pt idx="119">
                  <c:v>3.1657804811838997E-2</c:v>
                </c:pt>
                <c:pt idx="120">
                  <c:v>3.1671060603314372E-2</c:v>
                </c:pt>
                <c:pt idx="121">
                  <c:v>3.1684316213329122E-2</c:v>
                </c:pt>
                <c:pt idx="122">
                  <c:v>3.1697571641885691E-2</c:v>
                </c:pt>
                <c:pt idx="123">
                  <c:v>3.1710826888986632E-2</c:v>
                </c:pt>
                <c:pt idx="124">
                  <c:v>3.1724081954634276E-2</c:v>
                </c:pt>
                <c:pt idx="125">
                  <c:v>3.1737336838831287E-2</c:v>
                </c:pt>
                <c:pt idx="126">
                  <c:v>3.1750591541579998E-2</c:v>
                </c:pt>
                <c:pt idx="127">
                  <c:v>3.1763846062882961E-2</c:v>
                </c:pt>
                <c:pt idx="128">
                  <c:v>3.177710040274262E-2</c:v>
                </c:pt>
                <c:pt idx="129">
                  <c:v>3.1790354561161638E-2</c:v>
                </c:pt>
                <c:pt idx="130">
                  <c:v>3.1803608538142236E-2</c:v>
                </c:pt>
                <c:pt idx="131">
                  <c:v>3.1816862333687079E-2</c:v>
                </c:pt>
                <c:pt idx="132">
                  <c:v>3.1830115947798499E-2</c:v>
                </c:pt>
                <c:pt idx="133">
                  <c:v>3.1843369380479158E-2</c:v>
                </c:pt>
                <c:pt idx="134">
                  <c:v>3.1856622631731391E-2</c:v>
                </c:pt>
                <c:pt idx="135">
                  <c:v>3.1869875701557859E-2</c:v>
                </c:pt>
                <c:pt idx="136">
                  <c:v>3.1883128589960785E-2</c:v>
                </c:pt>
                <c:pt idx="137">
                  <c:v>3.1896381296942944E-2</c:v>
                </c:pt>
                <c:pt idx="138">
                  <c:v>3.1909633822506556E-2</c:v>
                </c:pt>
                <c:pt idx="139">
                  <c:v>3.1922886166654285E-2</c:v>
                </c:pt>
                <c:pt idx="140">
                  <c:v>3.1936138329388575E-2</c:v>
                </c:pt>
                <c:pt idx="141">
                  <c:v>3.1949390310711756E-2</c:v>
                </c:pt>
                <c:pt idx="142">
                  <c:v>3.1962642110626605E-2</c:v>
                </c:pt>
                <c:pt idx="143">
                  <c:v>3.1975893729135341E-2</c:v>
                </c:pt>
                <c:pt idx="144">
                  <c:v>3.1989145166240629E-2</c:v>
                </c:pt>
                <c:pt idx="145">
                  <c:v>3.2002396421944801E-2</c:v>
                </c:pt>
                <c:pt idx="146">
                  <c:v>3.201564749625041E-2</c:v>
                </c:pt>
                <c:pt idx="147">
                  <c:v>3.2028898389159899E-2</c:v>
                </c:pt>
                <c:pt idx="148">
                  <c:v>3.2042149100675821E-2</c:v>
                </c:pt>
                <c:pt idx="149">
                  <c:v>3.2055399630800729E-2</c:v>
                </c:pt>
                <c:pt idx="150">
                  <c:v>3.2068649979536956E-2</c:v>
                </c:pt>
                <c:pt idx="151">
                  <c:v>3.2081900146886944E-2</c:v>
                </c:pt>
                <c:pt idx="152">
                  <c:v>3.2095150132853356E-2</c:v>
                </c:pt>
                <c:pt idx="153">
                  <c:v>3.2108399937438525E-2</c:v>
                </c:pt>
                <c:pt idx="154">
                  <c:v>3.2121649560645116E-2</c:v>
                </c:pt>
                <c:pt idx="155">
                  <c:v>3.2134899002475348E-2</c:v>
                </c:pt>
                <c:pt idx="156">
                  <c:v>3.2148148262931997E-2</c:v>
                </c:pt>
                <c:pt idx="157">
                  <c:v>3.2161397342017284E-2</c:v>
                </c:pt>
                <c:pt idx="158">
                  <c:v>3.2174646239733873E-2</c:v>
                </c:pt>
                <c:pt idx="159">
                  <c:v>3.2187894956084095E-2</c:v>
                </c:pt>
                <c:pt idx="160">
                  <c:v>3.2201143491070505E-2</c:v>
                </c:pt>
                <c:pt idx="161">
                  <c:v>3.2214391844695656E-2</c:v>
                </c:pt>
                <c:pt idx="162">
                  <c:v>3.2227640016961989E-2</c:v>
                </c:pt>
                <c:pt idx="163">
                  <c:v>3.2240888007871948E-2</c:v>
                </c:pt>
                <c:pt idx="164">
                  <c:v>3.2254135817428087E-2</c:v>
                </c:pt>
                <c:pt idx="165">
                  <c:v>3.2267383445632736E-2</c:v>
                </c:pt>
                <c:pt idx="166">
                  <c:v>3.228063089248856E-2</c:v>
                </c:pt>
                <c:pt idx="167">
                  <c:v>3.2293878157997891E-2</c:v>
                </c:pt>
                <c:pt idx="168">
                  <c:v>3.2307125242163393E-2</c:v>
                </c:pt>
                <c:pt idx="169">
                  <c:v>3.2320372144987286E-2</c:v>
                </c:pt>
                <c:pt idx="170">
                  <c:v>3.2333618866472347E-2</c:v>
                </c:pt>
                <c:pt idx="171">
                  <c:v>3.2346865406620795E-2</c:v>
                </c:pt>
                <c:pt idx="172">
                  <c:v>3.2360111765435295E-2</c:v>
                </c:pt>
                <c:pt idx="173">
                  <c:v>3.237335794291829E-2</c:v>
                </c:pt>
                <c:pt idx="174">
                  <c:v>3.2386603939072223E-2</c:v>
                </c:pt>
                <c:pt idx="175">
                  <c:v>3.2399849753899534E-2</c:v>
                </c:pt>
                <c:pt idx="176">
                  <c:v>3.241309538740289E-2</c:v>
                </c:pt>
                <c:pt idx="177">
                  <c:v>3.2426340839584511E-2</c:v>
                </c:pt>
                <c:pt idx="178">
                  <c:v>3.2439586110447061E-2</c:v>
                </c:pt>
                <c:pt idx="179">
                  <c:v>3.2452831199992982E-2</c:v>
                </c:pt>
                <c:pt idx="180">
                  <c:v>3.2466076108224828E-2</c:v>
                </c:pt>
                <c:pt idx="181">
                  <c:v>3.2479320835144931E-2</c:v>
                </c:pt>
                <c:pt idx="182">
                  <c:v>3.2492565380755734E-2</c:v>
                </c:pt>
                <c:pt idx="183">
                  <c:v>3.250580974506001E-2</c:v>
                </c:pt>
                <c:pt idx="184">
                  <c:v>3.2519053928059982E-2</c:v>
                </c:pt>
                <c:pt idx="185">
                  <c:v>3.2532297929758203E-2</c:v>
                </c:pt>
                <c:pt idx="186">
                  <c:v>3.2545541750157225E-2</c:v>
                </c:pt>
                <c:pt idx="187">
                  <c:v>3.2558785389259381E-2</c:v>
                </c:pt>
                <c:pt idx="188">
                  <c:v>3.2572028847067225E-2</c:v>
                </c:pt>
                <c:pt idx="189">
                  <c:v>3.2585272123583309E-2</c:v>
                </c:pt>
                <c:pt idx="190">
                  <c:v>3.2598515218810076E-2</c:v>
                </c:pt>
                <c:pt idx="191">
                  <c:v>3.2611758132749968E-2</c:v>
                </c:pt>
                <c:pt idx="192">
                  <c:v>3.262500086540554E-2</c:v>
                </c:pt>
                <c:pt idx="193">
                  <c:v>3.2638243416779122E-2</c:v>
                </c:pt>
                <c:pt idx="194">
                  <c:v>3.265148578687338E-2</c:v>
                </c:pt>
                <c:pt idx="195">
                  <c:v>3.2664727975690644E-2</c:v>
                </c:pt>
                <c:pt idx="196">
                  <c:v>3.2677969983233468E-2</c:v>
                </c:pt>
                <c:pt idx="197">
                  <c:v>3.2691211809504406E-2</c:v>
                </c:pt>
                <c:pt idx="198">
                  <c:v>3.2704453454505789E-2</c:v>
                </c:pt>
                <c:pt idx="199">
                  <c:v>3.271769491824017E-2</c:v>
                </c:pt>
                <c:pt idx="200">
                  <c:v>3.2730936200710103E-2</c:v>
                </c:pt>
                <c:pt idx="201">
                  <c:v>3.2744177301917921E-2</c:v>
                </c:pt>
                <c:pt idx="202">
                  <c:v>3.2757418221866286E-2</c:v>
                </c:pt>
                <c:pt idx="203">
                  <c:v>3.2770658960557419E-2</c:v>
                </c:pt>
                <c:pt idx="204">
                  <c:v>3.2783899517994097E-2</c:v>
                </c:pt>
                <c:pt idx="205">
                  <c:v>3.2797139894178651E-2</c:v>
                </c:pt>
                <c:pt idx="206">
                  <c:v>3.2810380089113522E-2</c:v>
                </c:pt>
                <c:pt idx="207">
                  <c:v>3.2823620102801265E-2</c:v>
                </c:pt>
                <c:pt idx="208">
                  <c:v>3.2836859935244322E-2</c:v>
                </c:pt>
                <c:pt idx="209">
                  <c:v>3.2850099586445136E-2</c:v>
                </c:pt>
                <c:pt idx="210">
                  <c:v>3.2863339056406371E-2</c:v>
                </c:pt>
                <c:pt idx="211">
                  <c:v>3.2876578345130247E-2</c:v>
                </c:pt>
                <c:pt idx="212">
                  <c:v>3.2889817452619541E-2</c:v>
                </c:pt>
                <c:pt idx="213">
                  <c:v>3.2903056378876472E-2</c:v>
                </c:pt>
                <c:pt idx="214">
                  <c:v>3.2916295123903594E-2</c:v>
                </c:pt>
                <c:pt idx="215">
                  <c:v>3.2929533687703461E-2</c:v>
                </c:pt>
                <c:pt idx="216">
                  <c:v>3.2942772070278403E-2</c:v>
                </c:pt>
                <c:pt idx="217">
                  <c:v>3.2956010271631087E-2</c:v>
                </c:pt>
                <c:pt idx="218">
                  <c:v>3.2969248291763953E-2</c:v>
                </c:pt>
                <c:pt idx="219">
                  <c:v>3.2982486130679445E-2</c:v>
                </c:pt>
                <c:pt idx="220">
                  <c:v>3.2995723788380005E-2</c:v>
                </c:pt>
                <c:pt idx="221">
                  <c:v>3.3008961264868075E-2</c:v>
                </c:pt>
                <c:pt idx="222">
                  <c:v>3.3022198560146321E-2</c:v>
                </c:pt>
                <c:pt idx="223">
                  <c:v>3.3035435674217073E-2</c:v>
                </c:pt>
                <c:pt idx="224">
                  <c:v>3.3048672607082774E-2</c:v>
                </c:pt>
                <c:pt idx="225">
                  <c:v>3.3061909358746089E-2</c:v>
                </c:pt>
                <c:pt idx="226">
                  <c:v>3.3075145929209349E-2</c:v>
                </c:pt>
                <c:pt idx="227">
                  <c:v>3.3088382318475107E-2</c:v>
                </c:pt>
                <c:pt idx="228">
                  <c:v>3.3101618526545695E-2</c:v>
                </c:pt>
                <c:pt idx="229">
                  <c:v>3.3114854553423778E-2</c:v>
                </c:pt>
                <c:pt idx="230">
                  <c:v>3.3128090399111798E-2</c:v>
                </c:pt>
                <c:pt idx="231">
                  <c:v>3.3141326063612198E-2</c:v>
                </c:pt>
                <c:pt idx="232">
                  <c:v>3.315456154692753E-2</c:v>
                </c:pt>
                <c:pt idx="233">
                  <c:v>3.3167796849060127E-2</c:v>
                </c:pt>
                <c:pt idx="234">
                  <c:v>3.3181031970012542E-2</c:v>
                </c:pt>
                <c:pt idx="235">
                  <c:v>3.3194266909787218E-2</c:v>
                </c:pt>
                <c:pt idx="236">
                  <c:v>3.3207501668386818E-2</c:v>
                </c:pt>
                <c:pt idx="237">
                  <c:v>3.3220736245813565E-2</c:v>
                </c:pt>
                <c:pt idx="238">
                  <c:v>3.3233970642070121E-2</c:v>
                </c:pt>
                <c:pt idx="239">
                  <c:v>3.324720485715893E-2</c:v>
                </c:pt>
                <c:pt idx="240">
                  <c:v>3.3260438891082433E-2</c:v>
                </c:pt>
                <c:pt idx="241">
                  <c:v>3.3273672743843075E-2</c:v>
                </c:pt>
                <c:pt idx="242">
                  <c:v>3.3286906415443407E-2</c:v>
                </c:pt>
                <c:pt idx="243">
                  <c:v>3.3300139905885984E-2</c:v>
                </c:pt>
                <c:pt idx="244">
                  <c:v>3.3313373215173026E-2</c:v>
                </c:pt>
                <c:pt idx="245">
                  <c:v>3.3326606343307308E-2</c:v>
                </c:pt>
                <c:pt idx="246">
                  <c:v>3.3339839290291162E-2</c:v>
                </c:pt>
                <c:pt idx="247">
                  <c:v>3.3353072056127031E-2</c:v>
                </c:pt>
                <c:pt idx="248">
                  <c:v>3.3366304640817468E-2</c:v>
                </c:pt>
                <c:pt idx="249">
                  <c:v>3.3379537044364915E-2</c:v>
                </c:pt>
                <c:pt idx="250">
                  <c:v>3.3392769266771927E-2</c:v>
                </c:pt>
                <c:pt idx="251">
                  <c:v>3.3406001308040834E-2</c:v>
                </c:pt>
                <c:pt idx="252">
                  <c:v>3.34192331681743E-2</c:v>
                </c:pt>
                <c:pt idx="253">
                  <c:v>3.3432464847174659E-2</c:v>
                </c:pt>
                <c:pt idx="254">
                  <c:v>3.3445696345044462E-2</c:v>
                </c:pt>
                <c:pt idx="255">
                  <c:v>3.3458927661786153E-2</c:v>
                </c:pt>
                <c:pt idx="256">
                  <c:v>3.3472158797402285E-2</c:v>
                </c:pt>
                <c:pt idx="257">
                  <c:v>3.3485389751895189E-2</c:v>
                </c:pt>
                <c:pt idx="258">
                  <c:v>3.3498620525267531E-2</c:v>
                </c:pt>
                <c:pt idx="259">
                  <c:v>3.351185111752164E-2</c:v>
                </c:pt>
                <c:pt idx="260">
                  <c:v>3.3525081528660072E-2</c:v>
                </c:pt>
                <c:pt idx="261">
                  <c:v>3.3538311758685269E-2</c:v>
                </c:pt>
                <c:pt idx="262">
                  <c:v>3.3551541807599672E-2</c:v>
                </c:pt>
                <c:pt idx="263">
                  <c:v>3.3564771675405947E-2</c:v>
                </c:pt>
                <c:pt idx="264">
                  <c:v>3.3578001362106313E-2</c:v>
                </c:pt>
                <c:pt idx="265">
                  <c:v>3.3591230867703437E-2</c:v>
                </c:pt>
                <c:pt idx="266">
                  <c:v>3.3604460192199759E-2</c:v>
                </c:pt>
                <c:pt idx="267">
                  <c:v>3.3617689335597722E-2</c:v>
                </c:pt>
                <c:pt idx="268">
                  <c:v>3.363091829789977E-2</c:v>
                </c:pt>
                <c:pt idx="269">
                  <c:v>3.3644147079108566E-2</c:v>
                </c:pt>
                <c:pt idx="270">
                  <c:v>3.3657375679226331E-2</c:v>
                </c:pt>
                <c:pt idx="271">
                  <c:v>3.367060409825573E-2</c:v>
                </c:pt>
                <c:pt idx="272">
                  <c:v>3.3683832336199093E-2</c:v>
                </c:pt>
                <c:pt idx="273">
                  <c:v>3.3697060393059086E-2</c:v>
                </c:pt>
                <c:pt idx="274">
                  <c:v>3.371028826883804E-2</c:v>
                </c:pt>
                <c:pt idx="275">
                  <c:v>3.3723515963538508E-2</c:v>
                </c:pt>
                <c:pt idx="276">
                  <c:v>3.3736743477162934E-2</c:v>
                </c:pt>
                <c:pt idx="277">
                  <c:v>3.374997080971387E-2</c:v>
                </c:pt>
                <c:pt idx="278">
                  <c:v>3.3763197961193647E-2</c:v>
                </c:pt>
                <c:pt idx="279">
                  <c:v>3.377642493160482E-2</c:v>
                </c:pt>
                <c:pt idx="280">
                  <c:v>3.3789651720949943E-2</c:v>
                </c:pt>
                <c:pt idx="281">
                  <c:v>3.3802878329231345E-2</c:v>
                </c:pt>
                <c:pt idx="282">
                  <c:v>3.3816104756451693E-2</c:v>
                </c:pt>
                <c:pt idx="283">
                  <c:v>3.3829331002613316E-2</c:v>
                </c:pt>
                <c:pt idx="284">
                  <c:v>3.3842557067718659E-2</c:v>
                </c:pt>
                <c:pt idx="285">
                  <c:v>3.3855782951770386E-2</c:v>
                </c:pt>
                <c:pt idx="286">
                  <c:v>3.3869008654770827E-2</c:v>
                </c:pt>
                <c:pt idx="287">
                  <c:v>3.3882234176722426E-2</c:v>
                </c:pt>
                <c:pt idx="288">
                  <c:v>3.3895459517627846E-2</c:v>
                </c:pt>
                <c:pt idx="289">
                  <c:v>3.390868467748942E-2</c:v>
                </c:pt>
                <c:pt idx="290">
                  <c:v>3.392190965630959E-2</c:v>
                </c:pt>
                <c:pt idx="291">
                  <c:v>3.393513445409102E-2</c:v>
                </c:pt>
                <c:pt idx="292">
                  <c:v>3.3948359070836043E-2</c:v>
                </c:pt>
                <c:pt idx="293">
                  <c:v>3.3961583506547099E-2</c:v>
                </c:pt>
                <c:pt idx="294">
                  <c:v>3.3974807761226855E-2</c:v>
                </c:pt>
                <c:pt idx="295">
                  <c:v>3.398803183487753E-2</c:v>
                </c:pt>
                <c:pt idx="296">
                  <c:v>3.4001255727501789E-2</c:v>
                </c:pt>
                <c:pt idx="297">
                  <c:v>3.4014479439102074E-2</c:v>
                </c:pt>
                <c:pt idx="298">
                  <c:v>3.402770296968094E-2</c:v>
                </c:pt>
                <c:pt idx="299">
                  <c:v>3.4040926319240716E-2</c:v>
                </c:pt>
                <c:pt idx="300">
                  <c:v>3.4054149487783847E-2</c:v>
                </c:pt>
                <c:pt idx="301">
                  <c:v>3.4067372475312996E-2</c:v>
                </c:pt>
                <c:pt idx="302">
                  <c:v>3.4080595281830606E-2</c:v>
                </c:pt>
                <c:pt idx="303">
                  <c:v>3.4093817907339008E-2</c:v>
                </c:pt>
                <c:pt idx="304">
                  <c:v>3.4107040351840756E-2</c:v>
                </c:pt>
                <c:pt idx="305">
                  <c:v>3.4120262615338404E-2</c:v>
                </c:pt>
                <c:pt idx="306">
                  <c:v>3.4133484697834282E-2</c:v>
                </c:pt>
                <c:pt idx="307">
                  <c:v>3.4146706599331056E-2</c:v>
                </c:pt>
                <c:pt idx="308">
                  <c:v>3.4159928319831057E-2</c:v>
                </c:pt>
                <c:pt idx="309">
                  <c:v>3.4173149859336838E-2</c:v>
                </c:pt>
                <c:pt idx="310">
                  <c:v>3.4186371217850842E-2</c:v>
                </c:pt>
                <c:pt idx="311">
                  <c:v>3.4199592395375511E-2</c:v>
                </c:pt>
                <c:pt idx="312">
                  <c:v>3.4212813391913399E-2</c:v>
                </c:pt>
                <c:pt idx="313">
                  <c:v>3.4226034207466838E-2</c:v>
                </c:pt>
                <c:pt idx="314">
                  <c:v>3.4239254842038602E-2</c:v>
                </c:pt>
                <c:pt idx="315">
                  <c:v>3.4252475295630802E-2</c:v>
                </c:pt>
                <c:pt idx="316">
                  <c:v>3.4265695568246213E-2</c:v>
                </c:pt>
                <c:pt idx="317">
                  <c:v>3.4278915659887166E-2</c:v>
                </c:pt>
                <c:pt idx="318">
                  <c:v>3.4292135570556104E-2</c:v>
                </c:pt>
                <c:pt idx="319">
                  <c:v>3.4305355300255691E-2</c:v>
                </c:pt>
                <c:pt idx="320">
                  <c:v>3.4318574848988148E-2</c:v>
                </c:pt>
                <c:pt idx="321">
                  <c:v>3.433179421675614E-2</c:v>
                </c:pt>
                <c:pt idx="322">
                  <c:v>3.4345013403562108E-2</c:v>
                </c:pt>
                <c:pt idx="323">
                  <c:v>3.4358232409408496E-2</c:v>
                </c:pt>
                <c:pt idx="324">
                  <c:v>3.4371451234297856E-2</c:v>
                </c:pt>
                <c:pt idx="325">
                  <c:v>3.4384669878232521E-2</c:v>
                </c:pt>
                <c:pt idx="326">
                  <c:v>3.4397888341215044E-2</c:v>
                </c:pt>
                <c:pt idx="327">
                  <c:v>3.4411106623247867E-2</c:v>
                </c:pt>
                <c:pt idx="328">
                  <c:v>3.4424324724333655E-2</c:v>
                </c:pt>
                <c:pt idx="329">
                  <c:v>3.4437542644474628E-2</c:v>
                </c:pt>
                <c:pt idx="330">
                  <c:v>3.4450760383673451E-2</c:v>
                </c:pt>
                <c:pt idx="331">
                  <c:v>3.4463977941932455E-2</c:v>
                </c:pt>
                <c:pt idx="332">
                  <c:v>3.4477195319254195E-2</c:v>
                </c:pt>
                <c:pt idx="333">
                  <c:v>3.4490412515641111E-2</c:v>
                </c:pt>
                <c:pt idx="334">
                  <c:v>3.4503629531095759E-2</c:v>
                </c:pt>
                <c:pt idx="335">
                  <c:v>3.4516846365620579E-2</c:v>
                </c:pt>
                <c:pt idx="336">
                  <c:v>3.4530063019218016E-2</c:v>
                </c:pt>
                <c:pt idx="337">
                  <c:v>3.4543279491890622E-2</c:v>
                </c:pt>
                <c:pt idx="338">
                  <c:v>3.4556495783640728E-2</c:v>
                </c:pt>
                <c:pt idx="339">
                  <c:v>3.4569711894470889E-2</c:v>
                </c:pt>
                <c:pt idx="340">
                  <c:v>3.4582927824383658E-2</c:v>
                </c:pt>
                <c:pt idx="341">
                  <c:v>3.4596143573381366E-2</c:v>
                </c:pt>
                <c:pt idx="342">
                  <c:v>3.4609359141466678E-2</c:v>
                </c:pt>
                <c:pt idx="343">
                  <c:v>3.4622574528641925E-2</c:v>
                </c:pt>
                <c:pt idx="344">
                  <c:v>3.463578973490955E-2</c:v>
                </c:pt>
                <c:pt idx="345">
                  <c:v>3.4649004760272106E-2</c:v>
                </c:pt>
                <c:pt idx="346">
                  <c:v>3.4662219604732147E-2</c:v>
                </c:pt>
                <c:pt idx="347">
                  <c:v>3.4675434268292005E-2</c:v>
                </c:pt>
                <c:pt idx="348">
                  <c:v>3.4688648750954232E-2</c:v>
                </c:pt>
                <c:pt idx="349">
                  <c:v>3.4701863052721271E-2</c:v>
                </c:pt>
                <c:pt idx="350">
                  <c:v>3.4715077173595676E-2</c:v>
                </c:pt>
                <c:pt idx="351">
                  <c:v>3.4728291113579779E-2</c:v>
                </c:pt>
                <c:pt idx="352">
                  <c:v>3.4741504872676132E-2</c:v>
                </c:pt>
                <c:pt idx="353">
                  <c:v>3.475471845088729E-2</c:v>
                </c:pt>
                <c:pt idx="354">
                  <c:v>3.4767931848215583E-2</c:v>
                </c:pt>
                <c:pt idx="355">
                  <c:v>3.4781145064663677E-2</c:v>
                </c:pt>
                <c:pt idx="356">
                  <c:v>3.4794358100233902E-2</c:v>
                </c:pt>
                <c:pt idx="357">
                  <c:v>3.4807570954928702E-2</c:v>
                </c:pt>
                <c:pt idx="358">
                  <c:v>3.4820783628750629E-2</c:v>
                </c:pt>
                <c:pt idx="359">
                  <c:v>3.4833996121702127E-2</c:v>
                </c:pt>
                <c:pt idx="360">
                  <c:v>3.4847208433785748E-2</c:v>
                </c:pt>
                <c:pt idx="361">
                  <c:v>3.4860420565003936E-2</c:v>
                </c:pt>
                <c:pt idx="362">
                  <c:v>3.4873632515359021E-2</c:v>
                </c:pt>
                <c:pt idx="363">
                  <c:v>3.488684428485378E-2</c:v>
                </c:pt>
                <c:pt idx="364">
                  <c:v>3.4900055873490321E-2</c:v>
                </c:pt>
                <c:pt idx="365">
                  <c:v>3.4913267281271421E-2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  <c:pt idx="365">
                  <c:v>3.4230950566402636E-2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1.8735097380331692E-2</c:v>
                </c:pt>
                <c:pt idx="1">
                  <c:v>1.8515124846312993E-2</c:v>
                </c:pt>
                <c:pt idx="2">
                  <c:v>1.8303765131632895E-2</c:v>
                </c:pt>
                <c:pt idx="3">
                  <c:v>1.8102592167735618E-2</c:v>
                </c:pt>
                <c:pt idx="4">
                  <c:v>1.7913027993825256E-2</c:v>
                </c:pt>
                <c:pt idx="5">
                  <c:v>1.7736354587548801E-2</c:v>
                </c:pt>
                <c:pt idx="6">
                  <c:v>1.7573727960120848E-2</c:v>
                </c:pt>
                <c:pt idx="7">
                  <c:v>1.7426193861962608E-2</c:v>
                </c:pt>
                <c:pt idx="8">
                  <c:v>1.729096422735879E-2</c:v>
                </c:pt>
                <c:pt idx="9">
                  <c:v>1.7177220161397538E-2</c:v>
                </c:pt>
                <c:pt idx="10">
                  <c:v>1.7079779996051585E-2</c:v>
                </c:pt>
                <c:pt idx="11">
                  <c:v>1.6998071981028502E-2</c:v>
                </c:pt>
                <c:pt idx="12">
                  <c:v>1.6931522487558734E-2</c:v>
                </c:pt>
                <c:pt idx="13">
                  <c:v>1.6879556494730521E-2</c:v>
                </c:pt>
                <c:pt idx="14">
                  <c:v>1.6841598145842192E-2</c:v>
                </c:pt>
                <c:pt idx="15">
                  <c:v>1.6810617137041739E-2</c:v>
                </c:pt>
                <c:pt idx="16">
                  <c:v>1.677978697537123E-2</c:v>
                </c:pt>
                <c:pt idx="17">
                  <c:v>1.674902368441036E-2</c:v>
                </c:pt>
                <c:pt idx="18">
                  <c:v>1.6718247578454401E-2</c:v>
                </c:pt>
                <c:pt idx="19">
                  <c:v>1.6687461030046556E-2</c:v>
                </c:pt>
                <c:pt idx="20">
                  <c:v>1.6656704493499475E-2</c:v>
                </c:pt>
                <c:pt idx="21">
                  <c:v>1.6625960169085803E-2</c:v>
                </c:pt>
                <c:pt idx="22">
                  <c:v>1.6593877582765724E-2</c:v>
                </c:pt>
                <c:pt idx="23">
                  <c:v>1.6509701491953591E-2</c:v>
                </c:pt>
                <c:pt idx="24">
                  <c:v>1.6365818018385082E-2</c:v>
                </c:pt>
                <c:pt idx="25">
                  <c:v>1.6165596507738963E-2</c:v>
                </c:pt>
                <c:pt idx="26">
                  <c:v>1.5912315984849927E-2</c:v>
                </c:pt>
                <c:pt idx="27">
                  <c:v>1.5609137395364377E-2</c:v>
                </c:pt>
                <c:pt idx="28">
                  <c:v>1.5259081384568225E-2</c:v>
                </c:pt>
                <c:pt idx="29">
                  <c:v>1.483354471558875E-2</c:v>
                </c:pt>
                <c:pt idx="30">
                  <c:v>1.4341824423797037E-2</c:v>
                </c:pt>
                <c:pt idx="31">
                  <c:v>1.378751598332238E-2</c:v>
                </c:pt>
                <c:pt idx="32">
                  <c:v>1.3173974101988379E-2</c:v>
                </c:pt>
                <c:pt idx="33">
                  <c:v>1.2504303926709077E-2</c:v>
                </c:pt>
                <c:pt idx="34">
                  <c:v>1.1781355779946424E-2</c:v>
                </c:pt>
                <c:pt idx="35">
                  <c:v>1.1007722762772201E-2</c:v>
                </c:pt>
                <c:pt idx="36">
                  <c:v>1.018460301815941E-2</c:v>
                </c:pt>
                <c:pt idx="37">
                  <c:v>9.3397497702671431E-3</c:v>
                </c:pt>
                <c:pt idx="38">
                  <c:v>8.5148329235481008E-3</c:v>
                </c:pt>
                <c:pt idx="39">
                  <c:v>7.7094335343307089E-3</c:v>
                </c:pt>
                <c:pt idx="40">
                  <c:v>6.9231049212778303E-3</c:v>
                </c:pt>
                <c:pt idx="41">
                  <c:v>6.1553773441019978E-3</c:v>
                </c:pt>
                <c:pt idx="42">
                  <c:v>5.4057621849069688E-3</c:v>
                </c:pt>
                <c:pt idx="43">
                  <c:v>4.7006362495795916E-3</c:v>
                </c:pt>
                <c:pt idx="44">
                  <c:v>4.0640769665622615E-3</c:v>
                </c:pt>
                <c:pt idx="45">
                  <c:v>3.4935950755549056E-3</c:v>
                </c:pt>
                <c:pt idx="46">
                  <c:v>2.986787352069753E-3</c:v>
                </c:pt>
                <c:pt idx="47">
                  <c:v>2.5413385064711755E-3</c:v>
                </c:pt>
                <c:pt idx="48">
                  <c:v>2.1550224269064324E-3</c:v>
                </c:pt>
                <c:pt idx="49">
                  <c:v>1.8257028732568215E-3</c:v>
                </c:pt>
                <c:pt idx="50">
                  <c:v>1.551317978310726E-3</c:v>
                </c:pt>
                <c:pt idx="51">
                  <c:v>1.3325245058484869E-3</c:v>
                </c:pt>
                <c:pt idx="52">
                  <c:v>1.1454809332440354E-3</c:v>
                </c:pt>
                <c:pt idx="53">
                  <c:v>9.8908176227655107E-4</c:v>
                </c:pt>
                <c:pt idx="54">
                  <c:v>8.6227880761162055E-4</c:v>
                </c:pt>
                <c:pt idx="55">
                  <c:v>7.6407011695593815E-4</c:v>
                </c:pt>
                <c:pt idx="56">
                  <c:v>6.9349584471167889E-4</c:v>
                </c:pt>
                <c:pt idx="57">
                  <c:v>6.4829793063409533E-4</c:v>
                </c:pt>
                <c:pt idx="58">
                  <c:v>6.0513268224853282E-4</c:v>
                </c:pt>
                <c:pt idx="59">
                  <c:v>5.639398722071939E-4</c:v>
                </c:pt>
                <c:pt idx="60">
                  <c:v>5.2466259554862882E-4</c:v>
                </c:pt>
                <c:pt idx="61">
                  <c:v>4.8724694024490119E-4</c:v>
                </c:pt>
                <c:pt idx="62">
                  <c:v>4.5164174902471001E-4</c:v>
                </c:pt>
                <c:pt idx="63">
                  <c:v>4.177984044001021E-4</c:v>
                </c:pt>
                <c:pt idx="64">
                  <c:v>3.8566450883462117E-4</c:v>
                </c:pt>
                <c:pt idx="65">
                  <c:v>3.5637176848647749E-4</c:v>
                </c:pt>
                <c:pt idx="66">
                  <c:v>3.2760499727465094E-4</c:v>
                </c:pt>
                <c:pt idx="67">
                  <c:v>2.9935900768518069E-4</c:v>
                </c:pt>
                <c:pt idx="68">
                  <c:v>2.7162689370858415E-4</c:v>
                </c:pt>
                <c:pt idx="69">
                  <c:v>2.4440016412827383E-4</c:v>
                </c:pt>
                <c:pt idx="70">
                  <c:v>2.1766886796384984E-4</c:v>
                </c:pt>
                <c:pt idx="71">
                  <c:v>1.9292922679920989E-4</c:v>
                </c:pt>
                <c:pt idx="72">
                  <c:v>1.7128428579185324E-4</c:v>
                </c:pt>
                <c:pt idx="73">
                  <c:v>1.526411014149742E-4</c:v>
                </c:pt>
                <c:pt idx="74">
                  <c:v>1.3690994019822318E-4</c:v>
                </c:pt>
                <c:pt idx="75">
                  <c:v>1.2400456303478702E-4</c:v>
                </c:pt>
                <c:pt idx="76">
                  <c:v>1.1384247833156817E-4</c:v>
                </c:pt>
                <c:pt idx="77">
                  <c:v>1.063451670448516E-4</c:v>
                </c:pt>
                <c:pt idx="78">
                  <c:v>1.0142862117388504E-4</c:v>
                </c:pt>
                <c:pt idx="79">
                  <c:v>9.9641197544870914E-5</c:v>
                </c:pt>
                <c:pt idx="80">
                  <c:v>9.9889777369256658E-5</c:v>
                </c:pt>
                <c:pt idx="81">
                  <c:v>1.0212349796178285E-4</c:v>
                </c:pt>
                <c:pt idx="82">
                  <c:v>1.0629411613890413E-4</c:v>
                </c:pt>
                <c:pt idx="83">
                  <c:v>1.1235656527089043E-4</c:v>
                </c:pt>
                <c:pt idx="84">
                  <c:v>1.2026945295143256E-4</c:v>
                </c:pt>
                <c:pt idx="85">
                  <c:v>1.293706960955985E-4</c:v>
                </c:pt>
                <c:pt idx="86">
                  <c:v>1.3832832571018824E-4</c:v>
                </c:pt>
                <c:pt idx="87">
                  <c:v>1.4715737282425742E-4</c:v>
                </c:pt>
                <c:pt idx="88">
                  <c:v>1.5587343475626105E-4</c:v>
                </c:pt>
                <c:pt idx="89">
                  <c:v>1.6449263546489359E-4</c:v>
                </c:pt>
                <c:pt idx="90">
                  <c:v>1.7303159742078415E-4</c:v>
                </c:pt>
                <c:pt idx="91">
                  <c:v>1.8150742473996783E-4</c:v>
                </c:pt>
                <c:pt idx="92">
                  <c:v>1.8992245006184597E-4</c:v>
                </c:pt>
                <c:pt idx="93">
                  <c:v>1.9695003731319265E-4</c:v>
                </c:pt>
                <c:pt idx="94">
                  <c:v>2.0205833137199904E-4</c:v>
                </c:pt>
                <c:pt idx="95">
                  <c:v>2.0528195133094135E-4</c:v>
                </c:pt>
                <c:pt idx="96">
                  <c:v>2.066516895907268E-4</c:v>
                </c:pt>
                <c:pt idx="97">
                  <c:v>2.0619448747556787E-4</c:v>
                </c:pt>
                <c:pt idx="98">
                  <c:v>2.0393341192859887E-4</c:v>
                </c:pt>
                <c:pt idx="99">
                  <c:v>2.0008128643246543E-4</c:v>
                </c:pt>
                <c:pt idx="100">
                  <c:v>1.9522594675551753E-4</c:v>
                </c:pt>
                <c:pt idx="101">
                  <c:v>1.893718697505476E-4</c:v>
                </c:pt>
                <c:pt idx="102">
                  <c:v>1.8252113420959713E-4</c:v>
                </c:pt>
                <c:pt idx="103">
                  <c:v>1.746733998057715E-4</c:v>
                </c:pt>
                <c:pt idx="104">
                  <c:v>1.6582588426414103E-4</c:v>
                </c:pt>
                <c:pt idx="105">
                  <c:v>1.5597333833342536E-4</c:v>
                </c:pt>
                <c:pt idx="106">
                  <c:v>1.4510715548575546E-4</c:v>
                </c:pt>
                <c:pt idx="107">
                  <c:v>1.3377135100322971E-4</c:v>
                </c:pt>
                <c:pt idx="108">
                  <c:v>1.2323108542523829E-4</c:v>
                </c:pt>
                <c:pt idx="109">
                  <c:v>1.1347433945571808E-4</c:v>
                </c:pt>
                <c:pt idx="110">
                  <c:v>1.0449112665270826E-4</c:v>
                </c:pt>
                <c:pt idx="111">
                  <c:v>9.6273107887088143E-5</c:v>
                </c:pt>
                <c:pt idx="112">
                  <c:v>8.8813333552803967E-5</c:v>
                </c:pt>
                <c:pt idx="113">
                  <c:v>8.2066540458182558E-5</c:v>
                </c:pt>
                <c:pt idx="114">
                  <c:v>7.5839287632732346E-5</c:v>
                </c:pt>
                <c:pt idx="115">
                  <c:v>7.0128546272621014E-5</c:v>
                </c:pt>
                <c:pt idx="116">
                  <c:v>6.4932403727215702E-5</c:v>
                </c:pt>
                <c:pt idx="117">
                  <c:v>6.0250033461949832E-5</c:v>
                </c:pt>
                <c:pt idx="118">
                  <c:v>5.6081665780648007E-5</c:v>
                </c:pt>
                <c:pt idx="119">
                  <c:v>5.2428559019895194E-5</c:v>
                </c:pt>
                <c:pt idx="120">
                  <c:v>4.9294164428903184E-5</c:v>
                </c:pt>
                <c:pt idx="121">
                  <c:v>4.6775108757007833E-5</c:v>
                </c:pt>
                <c:pt idx="122">
                  <c:v>4.4299992477345815E-5</c:v>
                </c:pt>
                <c:pt idx="123">
                  <c:v>4.1866554279035195E-5</c:v>
                </c:pt>
                <c:pt idx="124">
                  <c:v>3.9472711854240489E-5</c:v>
                </c:pt>
                <c:pt idx="125">
                  <c:v>3.7116556962868134E-5</c:v>
                </c:pt>
                <c:pt idx="126">
                  <c:v>3.4796351104625209E-5</c:v>
                </c:pt>
                <c:pt idx="127">
                  <c:v>3.2611604820385124E-5</c:v>
                </c:pt>
                <c:pt idx="128">
                  <c:v>3.0604984751351223E-5</c:v>
                </c:pt>
                <c:pt idx="129">
                  <c:v>2.8777920197197651E-5</c:v>
                </c:pt>
                <c:pt idx="130">
                  <c:v>2.7132176406945665E-5</c:v>
                </c:pt>
                <c:pt idx="131">
                  <c:v>2.5669834910544913E-5</c:v>
                </c:pt>
                <c:pt idx="132">
                  <c:v>2.4393273044147261E-5</c:v>
                </c:pt>
                <c:pt idx="133">
                  <c:v>2.330514252691941E-5</c:v>
                </c:pt>
                <c:pt idx="134">
                  <c:v>2.2408897223990358E-5</c:v>
                </c:pt>
                <c:pt idx="135">
                  <c:v>2.1677886208732923E-5</c:v>
                </c:pt>
                <c:pt idx="136">
                  <c:v>2.1014786636482538E-5</c:v>
                </c:pt>
                <c:pt idx="137">
                  <c:v>2.0420595470353952E-5</c:v>
                </c:pt>
                <c:pt idx="138">
                  <c:v>1.9896414586105007E-5</c:v>
                </c:pt>
                <c:pt idx="139">
                  <c:v>1.9443444537916026E-5</c:v>
                </c:pt>
                <c:pt idx="140">
                  <c:v>1.9062977936086526E-5</c:v>
                </c:pt>
                <c:pt idx="141">
                  <c:v>1.8739816161195093E-5</c:v>
                </c:pt>
                <c:pt idx="142">
                  <c:v>1.8362657312394006E-5</c:v>
                </c:pt>
                <c:pt idx="143">
                  <c:v>1.7929937010586286E-5</c:v>
                </c:pt>
                <c:pt idx="144">
                  <c:v>1.744017664471142E-5</c:v>
                </c:pt>
                <c:pt idx="145">
                  <c:v>1.6891893410427867E-5</c:v>
                </c:pt>
                <c:pt idx="146">
                  <c:v>1.6283606830837309E-5</c:v>
                </c:pt>
                <c:pt idx="147">
                  <c:v>1.5613845440979375E-5</c:v>
                </c:pt>
                <c:pt idx="148">
                  <c:v>1.4881387384903607E-5</c:v>
                </c:pt>
                <c:pt idx="149">
                  <c:v>1.412542990887364E-5</c:v>
                </c:pt>
                <c:pt idx="150">
                  <c:v>1.337941493910328E-5</c:v>
                </c:pt>
                <c:pt idx="151">
                  <c:v>1.2643636712613356E-5</c:v>
                </c:pt>
                <c:pt idx="152">
                  <c:v>1.1918431261130224E-5</c:v>
                </c:pt>
                <c:pt idx="153">
                  <c:v>1.1204174622806954E-5</c:v>
                </c:pt>
                <c:pt idx="154">
                  <c:v>1.0501280897574203E-5</c:v>
                </c:pt>
                <c:pt idx="155">
                  <c:v>9.8291917584290398E-6</c:v>
                </c:pt>
                <c:pt idx="156">
                  <c:v>9.2073451756230495E-6</c:v>
                </c:pt>
                <c:pt idx="157">
                  <c:v>8.6370771717218823E-6</c:v>
                </c:pt>
                <c:pt idx="158">
                  <c:v>8.119743092098584E-6</c:v>
                </c:pt>
                <c:pt idx="159">
                  <c:v>7.6567111548623519E-6</c:v>
                </c:pt>
                <c:pt idx="160">
                  <c:v>7.2493559787281466E-6</c:v>
                </c:pt>
                <c:pt idx="161">
                  <c:v>6.8990521302387578E-6</c:v>
                </c:pt>
                <c:pt idx="162">
                  <c:v>6.6071032078148932E-6</c:v>
                </c:pt>
                <c:pt idx="163">
                  <c:v>6.3853265427086536E-6</c:v>
                </c:pt>
                <c:pt idx="164">
                  <c:v>6.1901400302166727E-6</c:v>
                </c:pt>
                <c:pt idx="165">
                  <c:v>6.0222390152248681E-6</c:v>
                </c:pt>
                <c:pt idx="166">
                  <c:v>5.8823034901224422E-6</c:v>
                </c:pt>
                <c:pt idx="167">
                  <c:v>5.7709987496150839E-6</c:v>
                </c:pt>
                <c:pt idx="168">
                  <c:v>5.6889763058264467E-6</c:v>
                </c:pt>
                <c:pt idx="169">
                  <c:v>5.6477569392424794E-6</c:v>
                </c:pt>
                <c:pt idx="170">
                  <c:v>5.6271634548898918E-6</c:v>
                </c:pt>
                <c:pt idx="171">
                  <c:v>5.627642268317632E-6</c:v>
                </c:pt>
                <c:pt idx="172">
                  <c:v>5.6496355192581204E-6</c:v>
                </c:pt>
                <c:pt idx="173">
                  <c:v>5.6935339627914116E-6</c:v>
                </c:pt>
                <c:pt idx="174">
                  <c:v>5.7597226017669411E-6</c:v>
                </c:pt>
                <c:pt idx="175">
                  <c:v>5.8486319053745463E-6</c:v>
                </c:pt>
                <c:pt idx="176">
                  <c:v>5.9606328724148521E-6</c:v>
                </c:pt>
                <c:pt idx="177">
                  <c:v>6.1178826369231935E-6</c:v>
                </c:pt>
                <c:pt idx="178">
                  <c:v>6.3096078298106436E-6</c:v>
                </c:pt>
                <c:pt idx="179">
                  <c:v>6.5362977527077391E-6</c:v>
                </c:pt>
                <c:pt idx="180">
                  <c:v>6.7984307132627301E-6</c:v>
                </c:pt>
                <c:pt idx="181">
                  <c:v>7.0964731955149918E-6</c:v>
                </c:pt>
                <c:pt idx="182">
                  <c:v>7.4308791469147869E-6</c:v>
                </c:pt>
                <c:pt idx="183">
                  <c:v>7.8524751537951164E-6</c:v>
                </c:pt>
                <c:pt idx="184">
                  <c:v>8.3506041734809706E-6</c:v>
                </c:pt>
                <c:pt idx="185">
                  <c:v>8.9262247227328003E-6</c:v>
                </c:pt>
                <c:pt idx="186">
                  <c:v>9.5802648732921158E-6</c:v>
                </c:pt>
                <c:pt idx="187">
                  <c:v>1.0313621432002485E-5</c:v>
                </c:pt>
                <c:pt idx="188">
                  <c:v>1.1127159226454089E-5</c:v>
                </c:pt>
                <c:pt idx="189">
                  <c:v>1.202171046136079E-5</c:v>
                </c:pt>
                <c:pt idx="190">
                  <c:v>1.2998144770082161E-5</c:v>
                </c:pt>
                <c:pt idx="191">
                  <c:v>1.4035005894073433E-5</c:v>
                </c:pt>
                <c:pt idx="192">
                  <c:v>1.510950605186337E-5</c:v>
                </c:pt>
                <c:pt idx="193">
                  <c:v>1.6222034049374944E-5</c:v>
                </c:pt>
                <c:pt idx="194">
                  <c:v>1.7373009534470345E-5</c:v>
                </c:pt>
                <c:pt idx="195">
                  <c:v>1.8562886292183829E-5</c:v>
                </c:pt>
                <c:pt idx="196">
                  <c:v>1.9792155509408312E-5</c:v>
                </c:pt>
                <c:pt idx="197">
                  <c:v>2.1016957193653956E-5</c:v>
                </c:pt>
                <c:pt idx="198">
                  <c:v>2.218356978514208E-5</c:v>
                </c:pt>
                <c:pt idx="199">
                  <c:v>2.3291437882332527E-5</c:v>
                </c:pt>
                <c:pt idx="200">
                  <c:v>2.4340039359651495E-5</c:v>
                </c:pt>
                <c:pt idx="201">
                  <c:v>2.5328879376052599E-5</c:v>
                </c:pt>
                <c:pt idx="202">
                  <c:v>2.6257484287222211E-5</c:v>
                </c:pt>
                <c:pt idx="203">
                  <c:v>2.7125395492858683E-5</c:v>
                </c:pt>
                <c:pt idx="204">
                  <c:v>2.793241519990574E-5</c:v>
                </c:pt>
                <c:pt idx="205">
                  <c:v>2.8840187643469852E-5</c:v>
                </c:pt>
                <c:pt idx="206">
                  <c:v>2.9873712353447626E-5</c:v>
                </c:pt>
                <c:pt idx="207">
                  <c:v>3.1034563124476873E-5</c:v>
                </c:pt>
                <c:pt idx="208">
                  <c:v>3.232433788076644E-5</c:v>
                </c:pt>
                <c:pt idx="209">
                  <c:v>3.3744651093668977E-5</c:v>
                </c:pt>
                <c:pt idx="210">
                  <c:v>3.5297125459034957E-5</c:v>
                </c:pt>
                <c:pt idx="211">
                  <c:v>3.7127789865051571E-5</c:v>
                </c:pt>
                <c:pt idx="212">
                  <c:v>3.928729334036043E-5</c:v>
                </c:pt>
                <c:pt idx="213">
                  <c:v>4.1779684203292859E-5</c:v>
                </c:pt>
                <c:pt idx="214">
                  <c:v>4.4609020304432695E-5</c:v>
                </c:pt>
                <c:pt idx="215">
                  <c:v>4.7779342326028131E-5</c:v>
                </c:pt>
                <c:pt idx="216">
                  <c:v>5.1294644887227522E-5</c:v>
                </c:pt>
                <c:pt idx="217">
                  <c:v>5.5158845438138981E-5</c:v>
                </c:pt>
                <c:pt idx="218">
                  <c:v>5.9377864399717058E-5</c:v>
                </c:pt>
                <c:pt idx="219">
                  <c:v>6.3889827652890665E-5</c:v>
                </c:pt>
                <c:pt idx="220">
                  <c:v>6.8525434526564035E-5</c:v>
                </c:pt>
                <c:pt idx="221">
                  <c:v>7.3286294609527423E-5</c:v>
                </c:pt>
                <c:pt idx="222">
                  <c:v>7.8173963396226047E-5</c:v>
                </c:pt>
                <c:pt idx="223">
                  <c:v>8.3189932126623086E-5</c:v>
                </c:pt>
                <c:pt idx="224">
                  <c:v>8.8335617212818778E-5</c:v>
                </c:pt>
                <c:pt idx="225">
                  <c:v>9.4648177002625738E-5</c:v>
                </c:pt>
                <c:pt idx="226">
                  <c:v>1.0198970719429995E-4</c:v>
                </c:pt>
                <c:pt idx="227">
                  <c:v>1.1037430506957687E-4</c:v>
                </c:pt>
                <c:pt idx="228">
                  <c:v>1.1981605116805533E-4</c:v>
                </c:pt>
                <c:pt idx="229">
                  <c:v>1.303289424556495E-4</c:v>
                </c:pt>
                <c:pt idx="230">
                  <c:v>1.4192682093202484E-4</c:v>
                </c:pt>
                <c:pt idx="231">
                  <c:v>1.5462329762564307E-4</c:v>
                </c:pt>
                <c:pt idx="232">
                  <c:v>1.6843055050954717E-4</c:v>
                </c:pt>
                <c:pt idx="233">
                  <c:v>1.8364374885813521E-4</c:v>
                </c:pt>
                <c:pt idx="234">
                  <c:v>2.0035527247843976E-4</c:v>
                </c:pt>
                <c:pt idx="235">
                  <c:v>2.185858687950875E-4</c:v>
                </c:pt>
                <c:pt idx="236">
                  <c:v>2.3835716798243107E-4</c:v>
                </c:pt>
                <c:pt idx="237">
                  <c:v>2.5969166958301262E-4</c:v>
                </c:pt>
                <c:pt idx="238">
                  <c:v>2.8261301332652524E-4</c:v>
                </c:pt>
                <c:pt idx="239">
                  <c:v>3.046405144568775E-4</c:v>
                </c:pt>
                <c:pt idx="240">
                  <c:v>3.2465309131841474E-4</c:v>
                </c:pt>
                <c:pt idx="241">
                  <c:v>3.4262619334659666E-4</c:v>
                </c:pt>
                <c:pt idx="242">
                  <c:v>3.5853525815372799E-4</c:v>
                </c:pt>
                <c:pt idx="243">
                  <c:v>3.7235549061731538E-4</c:v>
                </c:pt>
                <c:pt idx="244">
                  <c:v>3.8406163120721979E-4</c:v>
                </c:pt>
                <c:pt idx="245">
                  <c:v>3.9362771271649483E-4</c:v>
                </c:pt>
                <c:pt idx="246">
                  <c:v>4.0101043924327672E-4</c:v>
                </c:pt>
                <c:pt idx="247">
                  <c:v>4.0515274863287519E-4</c:v>
                </c:pt>
                <c:pt idx="248">
                  <c:v>4.0570531271919713E-4</c:v>
                </c:pt>
                <c:pt idx="249">
                  <c:v>4.0261442036885971E-4</c:v>
                </c:pt>
                <c:pt idx="250">
                  <c:v>3.9582475919466647E-4</c:v>
                </c:pt>
                <c:pt idx="251">
                  <c:v>3.8527914845655644E-4</c:v>
                </c:pt>
                <c:pt idx="252">
                  <c:v>3.7091825795898016E-4</c:v>
                </c:pt>
                <c:pt idx="253">
                  <c:v>3.5381409800775869E-4</c:v>
                </c:pt>
                <c:pt idx="254">
                  <c:v>3.3662828309582478E-4</c:v>
                </c:pt>
                <c:pt idx="255">
                  <c:v>3.1935918839868968E-4</c:v>
                </c:pt>
                <c:pt idx="256">
                  <c:v>3.0200468808737265E-4</c:v>
                </c:pt>
                <c:pt idx="257">
                  <c:v>2.8456213953639712E-4</c:v>
                </c:pt>
                <c:pt idx="258">
                  <c:v>2.670283653680952E-4</c:v>
                </c:pt>
                <c:pt idx="259">
                  <c:v>2.4939963295736E-4</c:v>
                </c:pt>
                <c:pt idx="260">
                  <c:v>2.3167700578247651E-4</c:v>
                </c:pt>
                <c:pt idx="261">
                  <c:v>2.1635375634002115E-4</c:v>
                </c:pt>
                <c:pt idx="262">
                  <c:v>2.0456574686740709E-4</c:v>
                </c:pt>
                <c:pt idx="263">
                  <c:v>1.9637503077633454E-4</c:v>
                </c:pt>
                <c:pt idx="264">
                  <c:v>1.9184797711904432E-4</c:v>
                </c:pt>
                <c:pt idx="265">
                  <c:v>1.9105557843889293E-4</c:v>
                </c:pt>
                <c:pt idx="266">
                  <c:v>1.940716369855502E-4</c:v>
                </c:pt>
                <c:pt idx="267">
                  <c:v>2.0305286688872027E-4</c:v>
                </c:pt>
                <c:pt idx="268">
                  <c:v>2.168740602646928E-4</c:v>
                </c:pt>
                <c:pt idx="269">
                  <c:v>2.3563263820465383E-4</c:v>
                </c:pt>
                <c:pt idx="270">
                  <c:v>2.5942631597112301E-4</c:v>
                </c:pt>
                <c:pt idx="271">
                  <c:v>2.8835193445889818E-4</c:v>
                </c:pt>
                <c:pt idx="272">
                  <c:v>3.2250419406426405E-4</c:v>
                </c:pt>
                <c:pt idx="273">
                  <c:v>3.6197428797212226E-4</c:v>
                </c:pt>
                <c:pt idx="274">
                  <c:v>4.0687968707578582E-4</c:v>
                </c:pt>
                <c:pt idx="275">
                  <c:v>4.55306152046836E-4</c:v>
                </c:pt>
                <c:pt idx="276">
                  <c:v>5.0455049462423164E-4</c:v>
                </c:pt>
                <c:pt idx="277">
                  <c:v>5.5462028792249251E-4</c:v>
                </c:pt>
                <c:pt idx="278">
                  <c:v>6.0552100444543559E-4</c:v>
                </c:pt>
                <c:pt idx="279">
                  <c:v>6.5725590003766173E-4</c:v>
                </c:pt>
                <c:pt idx="280">
                  <c:v>7.0982589565646509E-4</c:v>
                </c:pt>
                <c:pt idx="281">
                  <c:v>7.7098786753605959E-4</c:v>
                </c:pt>
                <c:pt idx="282">
                  <c:v>8.3859007156448053E-4</c:v>
                </c:pt>
                <c:pt idx="283">
                  <c:v>9.1273973263032596E-4</c:v>
                </c:pt>
                <c:pt idx="284">
                  <c:v>9.9353998347039636E-4</c:v>
                </c:pt>
                <c:pt idx="285">
                  <c:v>1.0810890047494878E-3</c:v>
                </c:pt>
                <c:pt idx="286">
                  <c:v>1.1754791294256686E-3</c:v>
                </c:pt>
                <c:pt idx="287">
                  <c:v>1.2767959119617525E-3</c:v>
                </c:pt>
                <c:pt idx="288">
                  <c:v>1.3851883508687363E-3</c:v>
                </c:pt>
                <c:pt idx="289">
                  <c:v>1.5414190581236082E-3</c:v>
                </c:pt>
                <c:pt idx="290">
                  <c:v>1.7486295751031054E-3</c:v>
                </c:pt>
                <c:pt idx="291">
                  <c:v>2.0077437334788174E-3</c:v>
                </c:pt>
                <c:pt idx="292">
                  <c:v>2.3196827597393873E-3</c:v>
                </c:pt>
                <c:pt idx="293">
                  <c:v>2.6853625599004213E-3</c:v>
                </c:pt>
                <c:pt idx="294">
                  <c:v>3.1056909997209951E-3</c:v>
                </c:pt>
                <c:pt idx="295">
                  <c:v>3.6098728986958301E-3</c:v>
                </c:pt>
                <c:pt idx="296">
                  <c:v>4.1907960266916126E-3</c:v>
                </c:pt>
                <c:pt idx="297">
                  <c:v>4.8497332130373492E-3</c:v>
                </c:pt>
                <c:pt idx="298">
                  <c:v>5.5879210495682619E-3</c:v>
                </c:pt>
                <c:pt idx="299">
                  <c:v>6.4065775245012871E-3</c:v>
                </c:pt>
                <c:pt idx="300">
                  <c:v>7.3068979464148993E-3</c:v>
                </c:pt>
                <c:pt idx="301">
                  <c:v>8.2900506019262035E-3</c:v>
                </c:pt>
                <c:pt idx="302">
                  <c:v>9.3578051634290726E-3</c:v>
                </c:pt>
                <c:pt idx="303">
                  <c:v>1.0467870988797878E-2</c:v>
                </c:pt>
                <c:pt idx="304">
                  <c:v>1.1576569976356716E-2</c:v>
                </c:pt>
                <c:pt idx="305">
                  <c:v>1.2683843143999528E-2</c:v>
                </c:pt>
                <c:pt idx="306">
                  <c:v>1.3789588561204538E-2</c:v>
                </c:pt>
                <c:pt idx="307">
                  <c:v>1.4893657454588006E-2</c:v>
                </c:pt>
                <c:pt idx="308">
                  <c:v>1.5995849754287739E-2</c:v>
                </c:pt>
                <c:pt idx="309">
                  <c:v>1.703895282338266E-2</c:v>
                </c:pt>
                <c:pt idx="310">
                  <c:v>1.7990671153803123E-2</c:v>
                </c:pt>
                <c:pt idx="311">
                  <c:v>1.8849006372898769E-2</c:v>
                </c:pt>
                <c:pt idx="312">
                  <c:v>1.9611880599425934E-2</c:v>
                </c:pt>
                <c:pt idx="313">
                  <c:v>2.0277142519580571E-2</c:v>
                </c:pt>
                <c:pt idx="314">
                  <c:v>2.0842575212664336E-2</c:v>
                </c:pt>
                <c:pt idx="315">
                  <c:v>2.1305906029985354E-2</c:v>
                </c:pt>
                <c:pt idx="316">
                  <c:v>2.1666018465126859E-2</c:v>
                </c:pt>
                <c:pt idx="317">
                  <c:v>2.1916682199163911E-2</c:v>
                </c:pt>
                <c:pt idx="318">
                  <c:v>2.2104575026034332E-2</c:v>
                </c:pt>
                <c:pt idx="319">
                  <c:v>2.2228712140040286E-2</c:v>
                </c:pt>
                <c:pt idx="320">
                  <c:v>2.2288074860878897E-2</c:v>
                </c:pt>
                <c:pt idx="321">
                  <c:v>2.2281604367034729E-2</c:v>
                </c:pt>
                <c:pt idx="322">
                  <c:v>2.2208195747219342E-2</c:v>
                </c:pt>
                <c:pt idx="323">
                  <c:v>2.2082938098148795E-2</c:v>
                </c:pt>
                <c:pt idx="324">
                  <c:v>2.1967248651337451E-2</c:v>
                </c:pt>
                <c:pt idx="325">
                  <c:v>2.1861346274432709E-2</c:v>
                </c:pt>
                <c:pt idx="326">
                  <c:v>2.1765323931589278E-2</c:v>
                </c:pt>
                <c:pt idx="327">
                  <c:v>2.1679339234214064E-2</c:v>
                </c:pt>
                <c:pt idx="328">
                  <c:v>2.1603630162027404E-2</c:v>
                </c:pt>
                <c:pt idx="329">
                  <c:v>2.1538420683215882E-2</c:v>
                </c:pt>
                <c:pt idx="330">
                  <c:v>2.1486373474227976E-2</c:v>
                </c:pt>
                <c:pt idx="331">
                  <c:v>2.1457163313132202E-2</c:v>
                </c:pt>
                <c:pt idx="332">
                  <c:v>2.1456207556034588E-2</c:v>
                </c:pt>
                <c:pt idx="333">
                  <c:v>2.1482936059316338E-2</c:v>
                </c:pt>
                <c:pt idx="334">
                  <c:v>2.1536734230843138E-2</c:v>
                </c:pt>
                <c:pt idx="335">
                  <c:v>2.1616927480083873E-2</c:v>
                </c:pt>
                <c:pt idx="336">
                  <c:v>2.1722765228060072E-2</c:v>
                </c:pt>
                <c:pt idx="337">
                  <c:v>2.185468289282376E-2</c:v>
                </c:pt>
                <c:pt idx="338">
                  <c:v>2.1993726811323364E-2</c:v>
                </c:pt>
                <c:pt idx="339">
                  <c:v>2.2138459677621167E-2</c:v>
                </c:pt>
                <c:pt idx="340">
                  <c:v>2.228732802646783E-2</c:v>
                </c:pt>
                <c:pt idx="341">
                  <c:v>2.2438662591656475E-2</c:v>
                </c:pt>
                <c:pt idx="342">
                  <c:v>2.2590681656199211E-2</c:v>
                </c:pt>
                <c:pt idx="343">
                  <c:v>2.2741497806516943E-2</c:v>
                </c:pt>
                <c:pt idx="344">
                  <c:v>2.2895783039542181E-2</c:v>
                </c:pt>
                <c:pt idx="345">
                  <c:v>2.3058460889394922E-2</c:v>
                </c:pt>
                <c:pt idx="346">
                  <c:v>2.3215810271182715E-2</c:v>
                </c:pt>
                <c:pt idx="347">
                  <c:v>2.3365895943623653E-2</c:v>
                </c:pt>
                <c:pt idx="348">
                  <c:v>2.3506702017518255E-2</c:v>
                </c:pt>
                <c:pt idx="349">
                  <c:v>2.3636146444322128E-2</c:v>
                </c:pt>
                <c:pt idx="350">
                  <c:v>2.3752099262907805E-2</c:v>
                </c:pt>
                <c:pt idx="351">
                  <c:v>2.384876929191047E-2</c:v>
                </c:pt>
                <c:pt idx="352">
                  <c:v>2.3922599218562646E-2</c:v>
                </c:pt>
                <c:pt idx="353">
                  <c:v>2.3971449936058424E-2</c:v>
                </c:pt>
                <c:pt idx="354">
                  <c:v>2.3993270613210355E-2</c:v>
                </c:pt>
                <c:pt idx="355">
                  <c:v>2.3986137674799495E-2</c:v>
                </c:pt>
                <c:pt idx="356">
                  <c:v>2.394825931889652E-2</c:v>
                </c:pt>
                <c:pt idx="357">
                  <c:v>2.3878093904413002E-2</c:v>
                </c:pt>
                <c:pt idx="358">
                  <c:v>2.3772776001991285E-2</c:v>
                </c:pt>
                <c:pt idx="359">
                  <c:v>2.363236430268633E-2</c:v>
                </c:pt>
                <c:pt idx="360">
                  <c:v>2.3461270553610095E-2</c:v>
                </c:pt>
                <c:pt idx="361">
                  <c:v>2.3266201503275775E-2</c:v>
                </c:pt>
                <c:pt idx="362">
                  <c:v>2.3050264072332974E-2</c:v>
                </c:pt>
                <c:pt idx="363">
                  <c:v>2.2816535651623868E-2</c:v>
                </c:pt>
                <c:pt idx="364">
                  <c:v>2.2568018909731723E-2</c:v>
                </c:pt>
                <c:pt idx="365">
                  <c:v>2.2307605112938673E-2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408264"/>
        <c:axId val="321408656"/>
      </c:lineChart>
      <c:dateAx>
        <c:axId val="3214082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08656"/>
        <c:crosses val="autoZero"/>
        <c:auto val="1"/>
        <c:lblOffset val="100"/>
        <c:baseTimeUnit val="days"/>
        <c:majorUnit val="1"/>
        <c:majorTimeUnit val="months"/>
      </c:dateAx>
      <c:valAx>
        <c:axId val="3214086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082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'2029'!$V$14</c:f>
              <c:strCache>
                <c:ptCount val="1"/>
                <c:pt idx="0">
                  <c:v>Enveloppe 2029</c:v>
                </c:pt>
              </c:strCache>
            </c:strRef>
          </c:tx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'2029'!Env_an</c:f>
              <c:numCache>
                <c:formatCode>0.00</c:formatCode>
                <c:ptCount val="366"/>
                <c:pt idx="0">
                  <c:v>16.309963889109223</c:v>
                </c:pt>
                <c:pt idx="1">
                  <c:v>16.476700356659837</c:v>
                </c:pt>
                <c:pt idx="2">
                  <c:v>16.651464382794259</c:v>
                </c:pt>
                <c:pt idx="3">
                  <c:v>16.832703724672175</c:v>
                </c:pt>
                <c:pt idx="4">
                  <c:v>17.018866287913859</c:v>
                </c:pt>
                <c:pt idx="5">
                  <c:v>17.208400141841285</c:v>
                </c:pt>
                <c:pt idx="6">
                  <c:v>17.39975352871436</c:v>
                </c:pt>
                <c:pt idx="7">
                  <c:v>17.591374884262102</c:v>
                </c:pt>
                <c:pt idx="8">
                  <c:v>17.785639789662174</c:v>
                </c:pt>
                <c:pt idx="9">
                  <c:v>17.985719836321739</c:v>
                </c:pt>
                <c:pt idx="10">
                  <c:v>18.191735165366214</c:v>
                </c:pt>
                <c:pt idx="11">
                  <c:v>18.403784139086206</c:v>
                </c:pt>
                <c:pt idx="12">
                  <c:v>18.621965011321088</c:v>
                </c:pt>
                <c:pt idx="13">
                  <c:v>18.846375951105014</c:v>
                </c:pt>
                <c:pt idx="14">
                  <c:v>19.077115052760288</c:v>
                </c:pt>
                <c:pt idx="15">
                  <c:v>19.314387570082911</c:v>
                </c:pt>
                <c:pt idx="16">
                  <c:v>19.558428005985235</c:v>
                </c:pt>
                <c:pt idx="17">
                  <c:v>19.809334297350244</c:v>
                </c:pt>
                <c:pt idx="18">
                  <c:v>20.067204362220188</c:v>
                </c:pt>
                <c:pt idx="19">
                  <c:v>20.332134226906302</c:v>
                </c:pt>
                <c:pt idx="20">
                  <c:v>20.604218973326958</c:v>
                </c:pt>
                <c:pt idx="21">
                  <c:v>20.88355508038644</c:v>
                </c:pt>
                <c:pt idx="22">
                  <c:v>21.171975531095626</c:v>
                </c:pt>
                <c:pt idx="23">
                  <c:v>21.47179505280716</c:v>
                </c:pt>
                <c:pt idx="24">
                  <c:v>21.782399758840903</c:v>
                </c:pt>
                <c:pt idx="25">
                  <c:v>22.102872158699189</c:v>
                </c:pt>
                <c:pt idx="26">
                  <c:v>22.432295031917754</c:v>
                </c:pt>
                <c:pt idx="27">
                  <c:v>22.769751464330799</c:v>
                </c:pt>
                <c:pt idx="28">
                  <c:v>23.114324862738716</c:v>
                </c:pt>
                <c:pt idx="29">
                  <c:v>23.466033188808492</c:v>
                </c:pt>
                <c:pt idx="30">
                  <c:v>23.823853458170138</c:v>
                </c:pt>
                <c:pt idx="31">
                  <c:v>24.186870160397227</c:v>
                </c:pt>
                <c:pt idx="32">
                  <c:v>24.554168207210786</c:v>
                </c:pt>
                <c:pt idx="33">
                  <c:v>24.92483293972986</c:v>
                </c:pt>
                <c:pt idx="34">
                  <c:v>25.297950123818811</c:v>
                </c:pt>
                <c:pt idx="35">
                  <c:v>25.672605946308359</c:v>
                </c:pt>
                <c:pt idx="36">
                  <c:v>26.050833074315122</c:v>
                </c:pt>
                <c:pt idx="37">
                  <c:v>26.434446308843178</c:v>
                </c:pt>
                <c:pt idx="38">
                  <c:v>26.821984229660341</c:v>
                </c:pt>
                <c:pt idx="39">
                  <c:v>27.213142627150646</c:v>
                </c:pt>
                <c:pt idx="40">
                  <c:v>27.607617395839178</c:v>
                </c:pt>
                <c:pt idx="41">
                  <c:v>28.005104521444771</c:v>
                </c:pt>
                <c:pt idx="42">
                  <c:v>28.405300075867387</c:v>
                </c:pt>
                <c:pt idx="43">
                  <c:v>28.806968602236577</c:v>
                </c:pt>
                <c:pt idx="44">
                  <c:v>29.20887078539711</c:v>
                </c:pt>
                <c:pt idx="45">
                  <c:v>29.61070203571493</c:v>
                </c:pt>
                <c:pt idx="46">
                  <c:v>30.012157728017684</c:v>
                </c:pt>
                <c:pt idx="47">
                  <c:v>30.412933206622395</c:v>
                </c:pt>
                <c:pt idx="48">
                  <c:v>30.812723791632077</c:v>
                </c:pt>
                <c:pt idx="49">
                  <c:v>31.211224787733997</c:v>
                </c:pt>
                <c:pt idx="50">
                  <c:v>31.6084529305102</c:v>
                </c:pt>
                <c:pt idx="51">
                  <c:v>32.004574093968444</c:v>
                </c:pt>
                <c:pt idx="52">
                  <c:v>32.400415179554336</c:v>
                </c:pt>
                <c:pt idx="53">
                  <c:v>32.796178722003553</c:v>
                </c:pt>
                <c:pt idx="54">
                  <c:v>33.192066863875141</c:v>
                </c:pt>
                <c:pt idx="55">
                  <c:v>33.588281653518905</c:v>
                </c:pt>
                <c:pt idx="56">
                  <c:v>33.985025048044612</c:v>
                </c:pt>
                <c:pt idx="57">
                  <c:v>34.3825505319776</c:v>
                </c:pt>
                <c:pt idx="58">
                  <c:v>34.781994180056714</c:v>
                </c:pt>
                <c:pt idx="59">
                  <c:v>35.183558315776537</c:v>
                </c:pt>
                <c:pt idx="60">
                  <c:v>35.587445174774729</c:v>
                </c:pt>
                <c:pt idx="61">
                  <c:v>35.993856904325433</c:v>
                </c:pt>
                <c:pt idx="62">
                  <c:v>36.402995564921824</c:v>
                </c:pt>
                <c:pt idx="63">
                  <c:v>36.815063120430395</c:v>
                </c:pt>
                <c:pt idx="64">
                  <c:v>37.230853120828449</c:v>
                </c:pt>
                <c:pt idx="65">
                  <c:v>37.650629779444301</c:v>
                </c:pt>
                <c:pt idx="66">
                  <c:v>38.074075138511461</c:v>
                </c:pt>
                <c:pt idx="67">
                  <c:v>38.500681166573962</c:v>
                </c:pt>
                <c:pt idx="68">
                  <c:v>38.929939909844542</c:v>
                </c:pt>
                <c:pt idx="69">
                  <c:v>39.361343494846544</c:v>
                </c:pt>
                <c:pt idx="70">
                  <c:v>39.794384126312842</c:v>
                </c:pt>
                <c:pt idx="71">
                  <c:v>40.228484371632973</c:v>
                </c:pt>
                <c:pt idx="72">
                  <c:v>40.663084711851603</c:v>
                </c:pt>
                <c:pt idx="73">
                  <c:v>41.09767742905634</c:v>
                </c:pt>
                <c:pt idx="74">
                  <c:v>41.531754856491659</c:v>
                </c:pt>
                <c:pt idx="75">
                  <c:v>41.964809375919458</c:v>
                </c:pt>
                <c:pt idx="76">
                  <c:v>42.396333413966936</c:v>
                </c:pt>
                <c:pt idx="77">
                  <c:v>42.825819438017419</c:v>
                </c:pt>
                <c:pt idx="78">
                  <c:v>43.256881597411876</c:v>
                </c:pt>
                <c:pt idx="79">
                  <c:v>43.692559192552793</c:v>
                </c:pt>
                <c:pt idx="80">
                  <c:v>44.131588934601716</c:v>
                </c:pt>
                <c:pt idx="81">
                  <c:v>44.572651628278535</c:v>
                </c:pt>
                <c:pt idx="82">
                  <c:v>45.01442828580759</c:v>
                </c:pt>
                <c:pt idx="83">
                  <c:v>45.455600123892694</c:v>
                </c:pt>
                <c:pt idx="84">
                  <c:v>45.894848566105601</c:v>
                </c:pt>
                <c:pt idx="85">
                  <c:v>46.330885935664952</c:v>
                </c:pt>
                <c:pt idx="86">
                  <c:v>46.762464797620787</c:v>
                </c:pt>
                <c:pt idx="87">
                  <c:v>47.188267660436388</c:v>
                </c:pt>
                <c:pt idx="88">
                  <c:v>47.606977311480911</c:v>
                </c:pt>
                <c:pt idx="89">
                  <c:v>48.026703427962602</c:v>
                </c:pt>
                <c:pt idx="90">
                  <c:v>48.427860878715947</c:v>
                </c:pt>
                <c:pt idx="91">
                  <c:v>48.817981840340778</c:v>
                </c:pt>
                <c:pt idx="92">
                  <c:v>49.1997001746347</c:v>
                </c:pt>
                <c:pt idx="93">
                  <c:v>49.576324235751024</c:v>
                </c:pt>
                <c:pt idx="94">
                  <c:v>49.947550069226018</c:v>
                </c:pt>
                <c:pt idx="95">
                  <c:v>50.313073637508595</c:v>
                </c:pt>
                <c:pt idx="96">
                  <c:v>50.672591076534424</c:v>
                </c:pt>
                <c:pt idx="97">
                  <c:v>51.025798924769589</c:v>
                </c:pt>
                <c:pt idx="98">
                  <c:v>51.372393605448238</c:v>
                </c:pt>
                <c:pt idx="99">
                  <c:v>51.712071572892455</c:v>
                </c:pt>
                <c:pt idx="100">
                  <c:v>52.044529256131057</c:v>
                </c:pt>
                <c:pt idx="101">
                  <c:v>52.369463314444424</c:v>
                </c:pt>
                <c:pt idx="102">
                  <c:v>52.686570522143079</c:v>
                </c:pt>
                <c:pt idx="103">
                  <c:v>52.995547774132696</c:v>
                </c:pt>
                <c:pt idx="104">
                  <c:v>53.296092077765657</c:v>
                </c:pt>
                <c:pt idx="105">
                  <c:v>53.58790057654155</c:v>
                </c:pt>
                <c:pt idx="106">
                  <c:v>53.870990943444859</c:v>
                </c:pt>
                <c:pt idx="107">
                  <c:v>54.145718143900929</c:v>
                </c:pt>
                <c:pt idx="108">
                  <c:v>54.412285242600859</c:v>
                </c:pt>
                <c:pt idx="109">
                  <c:v>54.670895391484144</c:v>
                </c:pt>
                <c:pt idx="110">
                  <c:v>54.921751752832314</c:v>
                </c:pt>
                <c:pt idx="111">
                  <c:v>55.165057500164764</c:v>
                </c:pt>
                <c:pt idx="112">
                  <c:v>55.401015809242324</c:v>
                </c:pt>
                <c:pt idx="113">
                  <c:v>55.629829897172833</c:v>
                </c:pt>
                <c:pt idx="114">
                  <c:v>55.85170322103378</c:v>
                </c:pt>
                <c:pt idx="115">
                  <c:v>56.066839056689936</c:v>
                </c:pt>
                <c:pt idx="116">
                  <c:v>56.275440707609597</c:v>
                </c:pt>
                <c:pt idx="117">
                  <c:v>56.477711491967952</c:v>
                </c:pt>
                <c:pt idx="118">
                  <c:v>56.673854766792068</c:v>
                </c:pt>
                <c:pt idx="119">
                  <c:v>59.19611761754922</c:v>
                </c:pt>
                <c:pt idx="120">
                  <c:v>59.385950992293253</c:v>
                </c:pt>
                <c:pt idx="121">
                  <c:v>59.567332605787101</c:v>
                </c:pt>
                <c:pt idx="122">
                  <c:v>59.740685346323986</c:v>
                </c:pt>
                <c:pt idx="123">
                  <c:v>59.906431935889501</c:v>
                </c:pt>
                <c:pt idx="124">
                  <c:v>60.064994949161687</c:v>
                </c:pt>
                <c:pt idx="125">
                  <c:v>60.216796819912716</c:v>
                </c:pt>
                <c:pt idx="126">
                  <c:v>60.362259838118092</c:v>
                </c:pt>
                <c:pt idx="127">
                  <c:v>60.501806051650213</c:v>
                </c:pt>
                <c:pt idx="128">
                  <c:v>60.63585739602388</c:v>
                </c:pt>
                <c:pt idx="129">
                  <c:v>60.764835717983118</c:v>
                </c:pt>
                <c:pt idx="130">
                  <c:v>60.889162718279913</c:v>
                </c:pt>
                <c:pt idx="131">
                  <c:v>61.009259962508736</c:v>
                </c:pt>
                <c:pt idx="132">
                  <c:v>61.125548872753249</c:v>
                </c:pt>
                <c:pt idx="133">
                  <c:v>61.238450734469531</c:v>
                </c:pt>
                <c:pt idx="134">
                  <c:v>61.346880329266149</c:v>
                </c:pt>
                <c:pt idx="135">
                  <c:v>61.449612726589613</c:v>
                </c:pt>
                <c:pt idx="136">
                  <c:v>61.546859706634045</c:v>
                </c:pt>
                <c:pt idx="137">
                  <c:v>61.638832793533879</c:v>
                </c:pt>
                <c:pt idx="138">
                  <c:v>61.725743454789757</c:v>
                </c:pt>
                <c:pt idx="139">
                  <c:v>61.807803092166203</c:v>
                </c:pt>
                <c:pt idx="140">
                  <c:v>61.885223052945094</c:v>
                </c:pt>
                <c:pt idx="141">
                  <c:v>61.958214659201708</c:v>
                </c:pt>
                <c:pt idx="142">
                  <c:v>62.026989351131355</c:v>
                </c:pt>
                <c:pt idx="143">
                  <c:v>62.091758333061932</c:v>
                </c:pt>
                <c:pt idx="144">
                  <c:v>62.152732752320858</c:v>
                </c:pt>
                <c:pt idx="145">
                  <c:v>62.21012369994628</c:v>
                </c:pt>
                <c:pt idx="146">
                  <c:v>62.264142207102246</c:v>
                </c:pt>
                <c:pt idx="147">
                  <c:v>62.314999253467029</c:v>
                </c:pt>
                <c:pt idx="148">
                  <c:v>62.361926082927361</c:v>
                </c:pt>
                <c:pt idx="149">
                  <c:v>62.404154157871254</c:v>
                </c:pt>
                <c:pt idx="150">
                  <c:v>62.441894780894174</c:v>
                </c:pt>
                <c:pt idx="151">
                  <c:v>62.47535920920317</c:v>
                </c:pt>
                <c:pt idx="152">
                  <c:v>62.504758640653854</c:v>
                </c:pt>
                <c:pt idx="153">
                  <c:v>62.530304214229403</c:v>
                </c:pt>
                <c:pt idx="154">
                  <c:v>62.552207007390933</c:v>
                </c:pt>
                <c:pt idx="155">
                  <c:v>62.570677977758329</c:v>
                </c:pt>
                <c:pt idx="156">
                  <c:v>62.585928017724143</c:v>
                </c:pt>
                <c:pt idx="157">
                  <c:v>62.598168002127004</c:v>
                </c:pt>
                <c:pt idx="158">
                  <c:v>62.607608741640057</c:v>
                </c:pt>
                <c:pt idx="159">
                  <c:v>62.614460977307338</c:v>
                </c:pt>
                <c:pt idx="160">
                  <c:v>62.61893538283671</c:v>
                </c:pt>
                <c:pt idx="161">
                  <c:v>62.621242561601115</c:v>
                </c:pt>
                <c:pt idx="162">
                  <c:v>62.62220458513687</c:v>
                </c:pt>
                <c:pt idx="163">
                  <c:v>62.622154014011528</c:v>
                </c:pt>
                <c:pt idx="164">
                  <c:v>62.620567421681564</c:v>
                </c:pt>
                <c:pt idx="165">
                  <c:v>62.616921470919578</c:v>
                </c:pt>
                <c:pt idx="166">
                  <c:v>62.610693010746914</c:v>
                </c:pt>
                <c:pt idx="167">
                  <c:v>62.601359069358821</c:v>
                </c:pt>
                <c:pt idx="168">
                  <c:v>62.588396855630641</c:v>
                </c:pt>
                <c:pt idx="169">
                  <c:v>62.571283721817146</c:v>
                </c:pt>
                <c:pt idx="170">
                  <c:v>62.549497308109537</c:v>
                </c:pt>
                <c:pt idx="171">
                  <c:v>62.522515356807276</c:v>
                </c:pt>
                <c:pt idx="172">
                  <c:v>62.489815784464781</c:v>
                </c:pt>
                <c:pt idx="173">
                  <c:v>62.450876676186681</c:v>
                </c:pt>
                <c:pt idx="174">
                  <c:v>62.405176289893326</c:v>
                </c:pt>
                <c:pt idx="175">
                  <c:v>62.352193052295497</c:v>
                </c:pt>
                <c:pt idx="176">
                  <c:v>62.292033786767028</c:v>
                </c:pt>
                <c:pt idx="177">
                  <c:v>62.225363554516967</c:v>
                </c:pt>
                <c:pt idx="178">
                  <c:v>62.152498336783324</c:v>
                </c:pt>
                <c:pt idx="179">
                  <c:v>62.073753944440178</c:v>
                </c:pt>
                <c:pt idx="180">
                  <c:v>61.989446060973812</c:v>
                </c:pt>
                <c:pt idx="181">
                  <c:v>61.899890234835418</c:v>
                </c:pt>
                <c:pt idx="182">
                  <c:v>61.805401892088298</c:v>
                </c:pt>
                <c:pt idx="183">
                  <c:v>61.706296178553259</c:v>
                </c:pt>
                <c:pt idx="184">
                  <c:v>61.602888303557698</c:v>
                </c:pt>
                <c:pt idx="185">
                  <c:v>61.495493299390503</c:v>
                </c:pt>
                <c:pt idx="186">
                  <c:v>61.384426073510831</c:v>
                </c:pt>
                <c:pt idx="187">
                  <c:v>61.270001404783407</c:v>
                </c:pt>
                <c:pt idx="188">
                  <c:v>61.152533950579844</c:v>
                </c:pt>
                <c:pt idx="189">
                  <c:v>61.03233823797499</c:v>
                </c:pt>
                <c:pt idx="190">
                  <c:v>60.909397515027081</c:v>
                </c:pt>
                <c:pt idx="191">
                  <c:v>60.783346562722429</c:v>
                </c:pt>
                <c:pt idx="192">
                  <c:v>60.653977128482346</c:v>
                </c:pt>
                <c:pt idx="193">
                  <c:v>60.52108090517973</c:v>
                </c:pt>
                <c:pt idx="194">
                  <c:v>60.384449651123681</c:v>
                </c:pt>
                <c:pt idx="195">
                  <c:v>60.243875182514202</c:v>
                </c:pt>
                <c:pt idx="196">
                  <c:v>60.099149381978577</c:v>
                </c:pt>
                <c:pt idx="197">
                  <c:v>59.950064243120458</c:v>
                </c:pt>
                <c:pt idx="198">
                  <c:v>59.796411948518667</c:v>
                </c:pt>
                <c:pt idx="199">
                  <c:v>59.637984577942127</c:v>
                </c:pt>
                <c:pt idx="200">
                  <c:v>59.47457427394189</c:v>
                </c:pt>
                <c:pt idx="201">
                  <c:v>59.305973250002275</c:v>
                </c:pt>
                <c:pt idx="202">
                  <c:v>59.131973788938204</c:v>
                </c:pt>
                <c:pt idx="203">
                  <c:v>58.952368235453484</c:v>
                </c:pt>
                <c:pt idx="204">
                  <c:v>58.766339705396803</c:v>
                </c:pt>
                <c:pt idx="205">
                  <c:v>58.573558238264134</c:v>
                </c:pt>
                <c:pt idx="206">
                  <c:v>58.374547482992028</c:v>
                </c:pt>
                <c:pt idx="207">
                  <c:v>58.169831034150462</c:v>
                </c:pt>
                <c:pt idx="208">
                  <c:v>57.959932312881328</c:v>
                </c:pt>
                <c:pt idx="209">
                  <c:v>57.745374563070357</c:v>
                </c:pt>
                <c:pt idx="210">
                  <c:v>57.526680857445648</c:v>
                </c:pt>
                <c:pt idx="211">
                  <c:v>57.304373009301919</c:v>
                </c:pt>
                <c:pt idx="212">
                  <c:v>57.078973675220439</c:v>
                </c:pt>
                <c:pt idx="213">
                  <c:v>56.851005398887899</c:v>
                </c:pt>
                <c:pt idx="214">
                  <c:v>56.620990557018118</c:v>
                </c:pt>
                <c:pt idx="215">
                  <c:v>56.389451355281516</c:v>
                </c:pt>
                <c:pt idx="216">
                  <c:v>56.156909831991719</c:v>
                </c:pt>
                <c:pt idx="217">
                  <c:v>55.923887859232551</c:v>
                </c:pt>
                <c:pt idx="218">
                  <c:v>55.688924900837804</c:v>
                </c:pt>
                <c:pt idx="219">
                  <c:v>55.450422228327007</c:v>
                </c:pt>
                <c:pt idx="220">
                  <c:v>55.208694434802212</c:v>
                </c:pt>
                <c:pt idx="221">
                  <c:v>54.964055210324936</c:v>
                </c:pt>
                <c:pt idx="222">
                  <c:v>54.716818147281948</c:v>
                </c:pt>
                <c:pt idx="223">
                  <c:v>54.467296737025855</c:v>
                </c:pt>
                <c:pt idx="224">
                  <c:v>54.215804370728812</c:v>
                </c:pt>
                <c:pt idx="225">
                  <c:v>53.962653929674872</c:v>
                </c:pt>
                <c:pt idx="226">
                  <c:v>53.708159744455351</c:v>
                </c:pt>
                <c:pt idx="227">
                  <c:v>53.45263490903799</c:v>
                </c:pt>
                <c:pt idx="228">
                  <c:v>53.196392418220213</c:v>
                </c:pt>
                <c:pt idx="229">
                  <c:v>52.939745163783151</c:v>
                </c:pt>
                <c:pt idx="230">
                  <c:v>52.683005936719354</c:v>
                </c:pt>
                <c:pt idx="231">
                  <c:v>52.426487428072562</c:v>
                </c:pt>
                <c:pt idx="232">
                  <c:v>52.170849580991636</c:v>
                </c:pt>
                <c:pt idx="233">
                  <c:v>51.9161923382391</c:v>
                </c:pt>
                <c:pt idx="234">
                  <c:v>51.661994104363004</c:v>
                </c:pt>
                <c:pt idx="235">
                  <c:v>51.40773387754038</c:v>
                </c:pt>
                <c:pt idx="236">
                  <c:v>51.152890831461079</c:v>
                </c:pt>
                <c:pt idx="237">
                  <c:v>50.896944316707511</c:v>
                </c:pt>
                <c:pt idx="238">
                  <c:v>50.63937385983531</c:v>
                </c:pt>
                <c:pt idx="239">
                  <c:v>50.379662628376828</c:v>
                </c:pt>
                <c:pt idx="240">
                  <c:v>50.117290926467696</c:v>
                </c:pt>
                <c:pt idx="241">
                  <c:v>49.851738811853856</c:v>
                </c:pt>
                <c:pt idx="242">
                  <c:v>49.582486513388631</c:v>
                </c:pt>
                <c:pt idx="243">
                  <c:v>49.309014431606954</c:v>
                </c:pt>
                <c:pt idx="244">
                  <c:v>49.030803135420435</c:v>
                </c:pt>
                <c:pt idx="245">
                  <c:v>48.747333365845293</c:v>
                </c:pt>
                <c:pt idx="246">
                  <c:v>48.46006367927734</c:v>
                </c:pt>
                <c:pt idx="247">
                  <c:v>48.170600512623807</c:v>
                </c:pt>
                <c:pt idx="248">
                  <c:v>47.878636367724667</c:v>
                </c:pt>
                <c:pt idx="249">
                  <c:v>47.58385973334638</c:v>
                </c:pt>
                <c:pt idx="250">
                  <c:v>47.285959195084743</c:v>
                </c:pt>
                <c:pt idx="251">
                  <c:v>46.984623431279424</c:v>
                </c:pt>
                <c:pt idx="252">
                  <c:v>46.679541218843234</c:v>
                </c:pt>
                <c:pt idx="253">
                  <c:v>46.370400233427652</c:v>
                </c:pt>
                <c:pt idx="254">
                  <c:v>46.056885962713771</c:v>
                </c:pt>
                <c:pt idx="255">
                  <c:v>45.738687466949877</c:v>
                </c:pt>
                <c:pt idx="256">
                  <c:v>45.415493900343861</c:v>
                </c:pt>
                <c:pt idx="257">
                  <c:v>45.086994507708411</c:v>
                </c:pt>
                <c:pt idx="258">
                  <c:v>44.752878626142071</c:v>
                </c:pt>
                <c:pt idx="259">
                  <c:v>44.412835683229048</c:v>
                </c:pt>
                <c:pt idx="260">
                  <c:v>44.065532823130887</c:v>
                </c:pt>
                <c:pt idx="261">
                  <c:v>43.710387271770848</c:v>
                </c:pt>
                <c:pt idx="262">
                  <c:v>43.348223045215995</c:v>
                </c:pt>
                <c:pt idx="263">
                  <c:v>42.979873434595703</c:v>
                </c:pt>
                <c:pt idx="264">
                  <c:v>42.606171459209065</c:v>
                </c:pt>
                <c:pt idx="265">
                  <c:v>42.227949877580265</c:v>
                </c:pt>
                <c:pt idx="266">
                  <c:v>41.846041184285689</c:v>
                </c:pt>
                <c:pt idx="267">
                  <c:v>41.46127013537383</c:v>
                </c:pt>
                <c:pt idx="268">
                  <c:v>41.074469914199597</c:v>
                </c:pt>
                <c:pt idx="269">
                  <c:v>40.686472272858929</c:v>
                </c:pt>
                <c:pt idx="270">
                  <c:v>40.298108707545133</c:v>
                </c:pt>
                <c:pt idx="271">
                  <c:v>39.91021046026917</c:v>
                </c:pt>
                <c:pt idx="272">
                  <c:v>39.52360851972346</c:v>
                </c:pt>
                <c:pt idx="273">
                  <c:v>39.139133622705877</c:v>
                </c:pt>
                <c:pt idx="274">
                  <c:v>38.754639036309186</c:v>
                </c:pt>
                <c:pt idx="275">
                  <c:v>38.3677086365348</c:v>
                </c:pt>
                <c:pt idx="276">
                  <c:v>37.978770734544895</c:v>
                </c:pt>
                <c:pt idx="277">
                  <c:v>37.588241058859943</c:v>
                </c:pt>
                <c:pt idx="278">
                  <c:v>37.196535192660967</c:v>
                </c:pt>
                <c:pt idx="279">
                  <c:v>36.804068572496028</c:v>
                </c:pt>
                <c:pt idx="280">
                  <c:v>36.411256488114027</c:v>
                </c:pt>
                <c:pt idx="281">
                  <c:v>36.018518577883789</c:v>
                </c:pt>
                <c:pt idx="282">
                  <c:v>35.626276953465016</c:v>
                </c:pt>
                <c:pt idx="283">
                  <c:v>35.234946323961815</c:v>
                </c:pt>
                <c:pt idx="284">
                  <c:v>34.844941243557486</c:v>
                </c:pt>
                <c:pt idx="285">
                  <c:v>34.456676112565532</c:v>
                </c:pt>
                <c:pt idx="286">
                  <c:v>34.070565177791998</c:v>
                </c:pt>
                <c:pt idx="287">
                  <c:v>33.687022535396103</c:v>
                </c:pt>
                <c:pt idx="288">
                  <c:v>33.304750277296343</c:v>
                </c:pt>
                <c:pt idx="289">
                  <c:v>32.922277673483038</c:v>
                </c:pt>
                <c:pt idx="290">
                  <c:v>32.539910529527553</c:v>
                </c:pt>
                <c:pt idx="291">
                  <c:v>32.157961192589717</c:v>
                </c:pt>
                <c:pt idx="292">
                  <c:v>31.776741976106887</c:v>
                </c:pt>
                <c:pt idx="293">
                  <c:v>31.396565153367025</c:v>
                </c:pt>
                <c:pt idx="294">
                  <c:v>31.017742955410078</c:v>
                </c:pt>
                <c:pt idx="295">
                  <c:v>30.640347989668943</c:v>
                </c:pt>
                <c:pt idx="296">
                  <c:v>30.264692515543825</c:v>
                </c:pt>
                <c:pt idx="297">
                  <c:v>29.891093091561721</c:v>
                </c:pt>
                <c:pt idx="298">
                  <c:v>29.519866344835432</c:v>
                </c:pt>
                <c:pt idx="299">
                  <c:v>29.151328910757154</c:v>
                </c:pt>
                <c:pt idx="300">
                  <c:v>28.785797401431921</c:v>
                </c:pt>
                <c:pt idx="301">
                  <c:v>28.423588377118246</c:v>
                </c:pt>
                <c:pt idx="302">
                  <c:v>28.063118134268858</c:v>
                </c:pt>
                <c:pt idx="303">
                  <c:v>27.702964560204762</c:v>
                </c:pt>
                <c:pt idx="304">
                  <c:v>27.343746263523169</c:v>
                </c:pt>
                <c:pt idx="305">
                  <c:v>26.985984798817391</c:v>
                </c:pt>
                <c:pt idx="306">
                  <c:v>26.630201448521298</c:v>
                </c:pt>
                <c:pt idx="307">
                  <c:v>26.276917206033865</c:v>
                </c:pt>
                <c:pt idx="308">
                  <c:v>25.926652750967918</c:v>
                </c:pt>
                <c:pt idx="309">
                  <c:v>25.580229991701721</c:v>
                </c:pt>
                <c:pt idx="310">
                  <c:v>25.238379037280037</c:v>
                </c:pt>
                <c:pt idx="311">
                  <c:v>24.901608579045782</c:v>
                </c:pt>
                <c:pt idx="312">
                  <c:v>24.570427127670701</c:v>
                </c:pt>
                <c:pt idx="313">
                  <c:v>24.245343058157331</c:v>
                </c:pt>
                <c:pt idx="314">
                  <c:v>23.926864647084088</c:v>
                </c:pt>
                <c:pt idx="315">
                  <c:v>23.615500116714827</c:v>
                </c:pt>
                <c:pt idx="316">
                  <c:v>23.310463322500418</c:v>
                </c:pt>
                <c:pt idx="317">
                  <c:v>23.010714470463679</c:v>
                </c:pt>
                <c:pt idx="318">
                  <c:v>22.716222213787308</c:v>
                </c:pt>
                <c:pt idx="319">
                  <c:v>22.426976616805831</c:v>
                </c:pt>
                <c:pt idx="320">
                  <c:v>22.142968076568113</c:v>
                </c:pt>
                <c:pt idx="321">
                  <c:v>21.864187349318303</c:v>
                </c:pt>
                <c:pt idx="322">
                  <c:v>21.590625585336209</c:v>
                </c:pt>
                <c:pt idx="323">
                  <c:v>21.322225244907511</c:v>
                </c:pt>
                <c:pt idx="324">
                  <c:v>21.058707014534782</c:v>
                </c:pt>
                <c:pt idx="325">
                  <c:v>20.800069151699226</c:v>
                </c:pt>
                <c:pt idx="326">
                  <c:v>20.546310358300104</c:v>
                </c:pt>
                <c:pt idx="327">
                  <c:v>20.297429223416934</c:v>
                </c:pt>
                <c:pt idx="328">
                  <c:v>20.05342420130486</c:v>
                </c:pt>
                <c:pt idx="329">
                  <c:v>19.814293874003621</c:v>
                </c:pt>
                <c:pt idx="330">
                  <c:v>19.577795562768909</c:v>
                </c:pt>
                <c:pt idx="331">
                  <c:v>19.342355253985176</c:v>
                </c:pt>
                <c:pt idx="332">
                  <c:v>19.108924068744361</c:v>
                </c:pt>
                <c:pt idx="333">
                  <c:v>18.878537390810305</c:v>
                </c:pt>
                <c:pt idx="334">
                  <c:v>18.652230295491993</c:v>
                </c:pt>
                <c:pt idx="335">
                  <c:v>18.431037544556371</c:v>
                </c:pt>
                <c:pt idx="336">
                  <c:v>18.215993568350093</c:v>
                </c:pt>
                <c:pt idx="337">
                  <c:v>18.008090323103531</c:v>
                </c:pt>
                <c:pt idx="338">
                  <c:v>17.808407574756085</c:v>
                </c:pt>
                <c:pt idx="339">
                  <c:v>17.61797868098347</c:v>
                </c:pt>
                <c:pt idx="340">
                  <c:v>17.437836649075098</c:v>
                </c:pt>
                <c:pt idx="341">
                  <c:v>17.269014143316749</c:v>
                </c:pt>
                <c:pt idx="342">
                  <c:v>17.112543479891276</c:v>
                </c:pt>
                <c:pt idx="343">
                  <c:v>16.969456613162613</c:v>
                </c:pt>
                <c:pt idx="344">
                  <c:v>16.835876836098201</c:v>
                </c:pt>
                <c:pt idx="345">
                  <c:v>16.707954763306233</c:v>
                </c:pt>
                <c:pt idx="346">
                  <c:v>16.586800579267315</c:v>
                </c:pt>
                <c:pt idx="347">
                  <c:v>16.473486098707436</c:v>
                </c:pt>
                <c:pt idx="348">
                  <c:v>16.369082817921552</c:v>
                </c:pt>
                <c:pt idx="349">
                  <c:v>16.274661896674527</c:v>
                </c:pt>
                <c:pt idx="350">
                  <c:v>16.191294172226691</c:v>
                </c:pt>
                <c:pt idx="351">
                  <c:v>16.120067194541686</c:v>
                </c:pt>
                <c:pt idx="352">
                  <c:v>16.062091634789613</c:v>
                </c:pt>
                <c:pt idx="353">
                  <c:v>16.018437110480331</c:v>
                </c:pt>
                <c:pt idx="354">
                  <c:v>15.990172944288036</c:v>
                </c:pt>
                <c:pt idx="355">
                  <c:v>15.978368154579458</c:v>
                </c:pt>
                <c:pt idx="356">
                  <c:v>15.984092088723639</c:v>
                </c:pt>
                <c:pt idx="357">
                  <c:v>16.008412563729678</c:v>
                </c:pt>
                <c:pt idx="358">
                  <c:v>16.053394295439315</c:v>
                </c:pt>
                <c:pt idx="359">
                  <c:v>16.119336691365898</c:v>
                </c:pt>
                <c:pt idx="360">
                  <c:v>16.204620162944781</c:v>
                </c:pt>
                <c:pt idx="361">
                  <c:v>16.307649030143015</c:v>
                </c:pt>
                <c:pt idx="362">
                  <c:v>16.426844959983679</c:v>
                </c:pt>
                <c:pt idx="363">
                  <c:v>16.560630038240845</c:v>
                </c:pt>
                <c:pt idx="364">
                  <c:v>16.707426765515432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5.6232280826825702</c:v>
                </c:pt>
                <c:pt idx="7">
                  <c:v>7.3467286788848707</c:v>
                </c:pt>
                <c:pt idx="8">
                  <c:v>2.207263837083874</c:v>
                </c:pt>
                <c:pt idx="9">
                  <c:v>1.8255536610192462</c:v>
                </c:pt>
                <c:pt idx="10">
                  <c:v>18.322089755729927</c:v>
                </c:pt>
                <c:pt idx="11">
                  <c:v>16.449352997204837</c:v>
                </c:pt>
                <c:pt idx="12">
                  <c:v>5.5893333415004136</c:v>
                </c:pt>
                <c:pt idx="13">
                  <c:v>18.911237884384775</c:v>
                </c:pt>
                <c:pt idx="14">
                  <c:v>19.459791126067863</c:v>
                </c:pt>
                <c:pt idx="15">
                  <c:v>19.194682482503957</c:v>
                </c:pt>
                <c:pt idx="16">
                  <c:v>12.88104484923157</c:v>
                </c:pt>
                <c:pt idx="17">
                  <c:v>4.0867215001898032</c:v>
                </c:pt>
                <c:pt idx="18">
                  <c:v>10.333664557401393</c:v>
                </c:pt>
                <c:pt idx="19">
                  <c:v>5.9819392781826455</c:v>
                </c:pt>
                <c:pt idx="20">
                  <c:v>16.839628116899867</c:v>
                </c:pt>
                <c:pt idx="21">
                  <c:v>20.768110760662061</c:v>
                </c:pt>
                <c:pt idx="22">
                  <c:v>20.83738563088983</c:v>
                </c:pt>
                <c:pt idx="23">
                  <c:v>21.355650951216756</c:v>
                </c:pt>
                <c:pt idx="24">
                  <c:v>20.001918316070508</c:v>
                </c:pt>
                <c:pt idx="25">
                  <c:v>21.527251581750193</c:v>
                </c:pt>
                <c:pt idx="26">
                  <c:v>18.02434128089288</c:v>
                </c:pt>
                <c:pt idx="27">
                  <c:v>4.2998022421291937</c:v>
                </c:pt>
                <c:pt idx="28">
                  <c:v>6.4633236986811538</c:v>
                </c:pt>
                <c:pt idx="29">
                  <c:v>4.6595052316119041</c:v>
                </c:pt>
                <c:pt idx="30">
                  <c:v>10.807473187875823</c:v>
                </c:pt>
                <c:pt idx="31">
                  <c:v>13.938247352474809</c:v>
                </c:pt>
                <c:pt idx="32">
                  <c:v>5.6238287387006807</c:v>
                </c:pt>
                <c:pt idx="33">
                  <c:v>13.002683496398568</c:v>
                </c:pt>
                <c:pt idx="34">
                  <c:v>11.872909834899541</c:v>
                </c:pt>
                <c:pt idx="35">
                  <c:v>9.3296332584269486</c:v>
                </c:pt>
                <c:pt idx="36">
                  <c:v>20.505620249304776</c:v>
                </c:pt>
                <c:pt idx="37">
                  <c:v>14.061670720663907</c:v>
                </c:pt>
                <c:pt idx="38">
                  <c:v>27.273273888937542</c:v>
                </c:pt>
                <c:pt idx="39">
                  <c:v>27.508778671280023</c:v>
                </c:pt>
                <c:pt idx="40">
                  <c:v>26.569416771002455</c:v>
                </c:pt>
                <c:pt idx="41">
                  <c:v>13.900336870897021</c:v>
                </c:pt>
                <c:pt idx="42">
                  <c:v>22.244661272476907</c:v>
                </c:pt>
                <c:pt idx="43">
                  <c:v>24.526189826350947</c:v>
                </c:pt>
                <c:pt idx="44">
                  <c:v>15.757778017494839</c:v>
                </c:pt>
                <c:pt idx="45">
                  <c:v>20.296688628297183</c:v>
                </c:pt>
                <c:pt idx="46">
                  <c:v>9.6448181914376416</c:v>
                </c:pt>
                <c:pt idx="47">
                  <c:v>11.596021558265214</c:v>
                </c:pt>
                <c:pt idx="48">
                  <c:v>27.185006887091149</c:v>
                </c:pt>
                <c:pt idx="49">
                  <c:v>16.416711863331393</c:v>
                </c:pt>
                <c:pt idx="50">
                  <c:v>20.679471923424622</c:v>
                </c:pt>
                <c:pt idx="51">
                  <c:v>18.239258291614252</c:v>
                </c:pt>
                <c:pt idx="52">
                  <c:v>29.813275599598878</c:v>
                </c:pt>
                <c:pt idx="53">
                  <c:v>31.359211304120215</c:v>
                </c:pt>
                <c:pt idx="54">
                  <c:v>22.333358584090004</c:v>
                </c:pt>
                <c:pt idx="55">
                  <c:v>24.660324526979029</c:v>
                </c:pt>
                <c:pt idx="56">
                  <c:v>34.730674938489244</c:v>
                </c:pt>
                <c:pt idx="57">
                  <c:v>22.216323104765955</c:v>
                </c:pt>
                <c:pt idx="58">
                  <c:v>32.40121745478833</c:v>
                </c:pt>
                <c:pt idx="59">
                  <c:v>34.189179506568173</c:v>
                </c:pt>
                <c:pt idx="60">
                  <c:v>15.799150969168585</c:v>
                </c:pt>
                <c:pt idx="61">
                  <c:v>27.255270089132775</c:v>
                </c:pt>
                <c:pt idx="62">
                  <c:v>5.3683394122949242</c:v>
                </c:pt>
                <c:pt idx="63">
                  <c:v>13.922742586021128</c:v>
                </c:pt>
                <c:pt idx="64">
                  <c:v>21.315321889102176</c:v>
                </c:pt>
                <c:pt idx="65">
                  <c:v>34.550111886081787</c:v>
                </c:pt>
                <c:pt idx="66">
                  <c:v>30.999227190639552</c:v>
                </c:pt>
                <c:pt idx="67">
                  <c:v>27.670779600228517</c:v>
                </c:pt>
                <c:pt idx="68">
                  <c:v>23.380035136069953</c:v>
                </c:pt>
                <c:pt idx="69">
                  <c:v>16.873607633516823</c:v>
                </c:pt>
                <c:pt idx="70">
                  <c:v>13.205538108906264</c:v>
                </c:pt>
                <c:pt idx="71">
                  <c:v>8.4110527894089167</c:v>
                </c:pt>
                <c:pt idx="72">
                  <c:v>12.524948064494021</c:v>
                </c:pt>
                <c:pt idx="73">
                  <c:v>14.843280443053255</c:v>
                </c:pt>
                <c:pt idx="74">
                  <c:v>12.464253247625933</c:v>
                </c:pt>
                <c:pt idx="75">
                  <c:v>11.970998298617008</c:v>
                </c:pt>
                <c:pt idx="76">
                  <c:v>14.130176164274124</c:v>
                </c:pt>
                <c:pt idx="77">
                  <c:v>25.963813264052728</c:v>
                </c:pt>
                <c:pt idx="78">
                  <c:v>31.122846796574613</c:v>
                </c:pt>
                <c:pt idx="79">
                  <c:v>41.861164057531639</c:v>
                </c:pt>
                <c:pt idx="80">
                  <c:v>40.857628985935598</c:v>
                </c:pt>
                <c:pt idx="81">
                  <c:v>43.58820366901606</c:v>
                </c:pt>
                <c:pt idx="82">
                  <c:v>43.302267674909423</c:v>
                </c:pt>
                <c:pt idx="83">
                  <c:v>36.071285292198475</c:v>
                </c:pt>
                <c:pt idx="84">
                  <c:v>39.618801636776169</c:v>
                </c:pt>
                <c:pt idx="85">
                  <c:v>41.45981919258854</c:v>
                </c:pt>
                <c:pt idx="86">
                  <c:v>35.615331799771816</c:v>
                </c:pt>
                <c:pt idx="87">
                  <c:v>27.122289312820286</c:v>
                </c:pt>
                <c:pt idx="88">
                  <c:v>7.5535807466169524</c:v>
                </c:pt>
                <c:pt idx="89">
                  <c:v>26.385842456589288</c:v>
                </c:pt>
                <c:pt idx="90">
                  <c:v>29.022331172742255</c:v>
                </c:pt>
                <c:pt idx="91">
                  <c:v>19.778273239006722</c:v>
                </c:pt>
                <c:pt idx="92">
                  <c:v>27.003403418302476</c:v>
                </c:pt>
                <c:pt idx="93">
                  <c:v>41.936472290521607</c:v>
                </c:pt>
                <c:pt idx="94">
                  <c:v>50.188849645158456</c:v>
                </c:pt>
                <c:pt idx="95">
                  <c:v>12.242545767281859</c:v>
                </c:pt>
                <c:pt idx="96">
                  <c:v>41.497403010896406</c:v>
                </c:pt>
                <c:pt idx="97">
                  <c:v>35.349029479041327</c:v>
                </c:pt>
                <c:pt idx="98">
                  <c:v>32.885853525455786</c:v>
                </c:pt>
                <c:pt idx="99">
                  <c:v>53.880085627542911</c:v>
                </c:pt>
                <c:pt idx="100">
                  <c:v>43.468430987093484</c:v>
                </c:pt>
                <c:pt idx="101">
                  <c:v>36.269489194337389</c:v>
                </c:pt>
                <c:pt idx="102">
                  <c:v>8.3868305744848932</c:v>
                </c:pt>
                <c:pt idx="103">
                  <c:v>38.716959931391301</c:v>
                </c:pt>
                <c:pt idx="104">
                  <c:v>42.425924432527644</c:v>
                </c:pt>
                <c:pt idx="105">
                  <c:v>38.603819727911912</c:v>
                </c:pt>
                <c:pt idx="106">
                  <c:v>53.4654017757519</c:v>
                </c:pt>
                <c:pt idx="107">
                  <c:v>34.108855077039145</c:v>
                </c:pt>
                <c:pt idx="108">
                  <c:v>11.222256216291738</c:v>
                </c:pt>
                <c:pt idx="109">
                  <c:v>11.245859431754885</c:v>
                </c:pt>
                <c:pt idx="110">
                  <c:v>10.794037107280054</c:v>
                </c:pt>
                <c:pt idx="111">
                  <c:v>28.711344150325591</c:v>
                </c:pt>
                <c:pt idx="112">
                  <c:v>9.4261610774364364</c:v>
                </c:pt>
                <c:pt idx="113">
                  <c:v>33.798447151116719</c:v>
                </c:pt>
                <c:pt idx="114">
                  <c:v>44.604704922120987</c:v>
                </c:pt>
                <c:pt idx="115">
                  <c:v>55.692535614936354</c:v>
                </c:pt>
                <c:pt idx="116">
                  <c:v>44.268135781397426</c:v>
                </c:pt>
                <c:pt idx="117">
                  <c:v>23.600553211939491</c:v>
                </c:pt>
                <c:pt idx="118">
                  <c:v>42.774226600908719</c:v>
                </c:pt>
                <c:pt idx="119">
                  <c:v>43.918713362414579</c:v>
                </c:pt>
                <c:pt idx="120">
                  <c:v>49.82402128436442</c:v>
                </c:pt>
                <c:pt idx="121">
                  <c:v>32.024526153471285</c:v>
                </c:pt>
                <c:pt idx="122">
                  <c:v>35.692246946692912</c:v>
                </c:pt>
                <c:pt idx="123">
                  <c:v>20.087563737385345</c:v>
                </c:pt>
                <c:pt idx="124">
                  <c:v>40.432737150997255</c:v>
                </c:pt>
                <c:pt idx="125">
                  <c:v>42.385131119183065</c:v>
                </c:pt>
                <c:pt idx="126">
                  <c:v>48.750184286877477</c:v>
                </c:pt>
                <c:pt idx="127">
                  <c:v>55.293862718292893</c:v>
                </c:pt>
                <c:pt idx="128">
                  <c:v>58.505578629437643</c:v>
                </c:pt>
                <c:pt idx="129">
                  <c:v>57.307582920846663</c:v>
                </c:pt>
                <c:pt idx="130">
                  <c:v>61.132372400583513</c:v>
                </c:pt>
                <c:pt idx="131">
                  <c:v>46.54914292044554</c:v>
                </c:pt>
                <c:pt idx="132">
                  <c:v>49.326445429139866</c:v>
                </c:pt>
                <c:pt idx="133">
                  <c:v>55.221843158703471</c:v>
                </c:pt>
                <c:pt idx="134">
                  <c:v>57.004342182244407</c:v>
                </c:pt>
                <c:pt idx="135">
                  <c:v>55.713655321615477</c:v>
                </c:pt>
                <c:pt idx="136">
                  <c:v>59.499383055826989</c:v>
                </c:pt>
                <c:pt idx="137">
                  <c:v>56.809766049127447</c:v>
                </c:pt>
                <c:pt idx="138">
                  <c:v>55.596218922271788</c:v>
                </c:pt>
                <c:pt idx="139">
                  <c:v>52.838287229389756</c:v>
                </c:pt>
                <c:pt idx="140">
                  <c:v>55.333435628629083</c:v>
                </c:pt>
                <c:pt idx="141">
                  <c:v>42.785943029516716</c:v>
                </c:pt>
                <c:pt idx="142">
                  <c:v>20.35814280304049</c:v>
                </c:pt>
                <c:pt idx="143">
                  <c:v>17.487045875230443</c:v>
                </c:pt>
                <c:pt idx="144">
                  <c:v>42.618812936873034</c:v>
                </c:pt>
                <c:pt idx="145">
                  <c:v>28.436252993914128</c:v>
                </c:pt>
                <c:pt idx="146">
                  <c:v>44.526208343866898</c:v>
                </c:pt>
                <c:pt idx="147">
                  <c:v>58.455748575175015</c:v>
                </c:pt>
                <c:pt idx="148">
                  <c:v>63.570035878813904</c:v>
                </c:pt>
                <c:pt idx="149">
                  <c:v>51.125183534788619</c:v>
                </c:pt>
                <c:pt idx="150">
                  <c:v>60.433258681191013</c:v>
                </c:pt>
                <c:pt idx="151">
                  <c:v>63.008388835884247</c:v>
                </c:pt>
                <c:pt idx="152">
                  <c:v>45.384816393877919</c:v>
                </c:pt>
                <c:pt idx="153">
                  <c:v>60.091251320737634</c:v>
                </c:pt>
                <c:pt idx="154">
                  <c:v>30.541475896070168</c:v>
                </c:pt>
                <c:pt idx="155">
                  <c:v>33.751158666267436</c:v>
                </c:pt>
                <c:pt idx="156">
                  <c:v>53.973033438180813</c:v>
                </c:pt>
                <c:pt idx="157">
                  <c:v>28.183758097291268</c:v>
                </c:pt>
                <c:pt idx="158">
                  <c:v>25.396655638567257</c:v>
                </c:pt>
                <c:pt idx="159">
                  <c:v>52.188156807318848</c:v>
                </c:pt>
                <c:pt idx="160">
                  <c:v>64.208799819498864</c:v>
                </c:pt>
                <c:pt idx="161">
                  <c:v>61.477247799750337</c:v>
                </c:pt>
                <c:pt idx="162">
                  <c:v>49.573489437992208</c:v>
                </c:pt>
                <c:pt idx="163">
                  <c:v>55.421624412391026</c:v>
                </c:pt>
                <c:pt idx="164">
                  <c:v>56.340021575087782</c:v>
                </c:pt>
                <c:pt idx="165">
                  <c:v>59.764239269530172</c:v>
                </c:pt>
                <c:pt idx="166">
                  <c:v>56.632468555124305</c:v>
                </c:pt>
                <c:pt idx="167">
                  <c:v>56.798199217355318</c:v>
                </c:pt>
                <c:pt idx="168">
                  <c:v>60.478100899653839</c:v>
                </c:pt>
                <c:pt idx="169">
                  <c:v>60.962021467148723</c:v>
                </c:pt>
                <c:pt idx="170">
                  <c:v>32.96372354724943</c:v>
                </c:pt>
                <c:pt idx="171">
                  <c:v>22.182008406428231</c:v>
                </c:pt>
                <c:pt idx="172">
                  <c:v>46.016418965748251</c:v>
                </c:pt>
                <c:pt idx="173">
                  <c:v>45.499814766676302</c:v>
                </c:pt>
                <c:pt idx="174">
                  <c:v>48.943385218891386</c:v>
                </c:pt>
                <c:pt idx="175">
                  <c:v>40.770971505646145</c:v>
                </c:pt>
                <c:pt idx="176">
                  <c:v>12.751108269284984</c:v>
                </c:pt>
                <c:pt idx="177">
                  <c:v>18.759045831588463</c:v>
                </c:pt>
                <c:pt idx="178">
                  <c:v>64.916384714292818</c:v>
                </c:pt>
                <c:pt idx="179">
                  <c:v>62.991112566118296</c:v>
                </c:pt>
                <c:pt idx="180">
                  <c:v>15.473152643013622</c:v>
                </c:pt>
                <c:pt idx="181">
                  <c:v>52.492425719785693</c:v>
                </c:pt>
                <c:pt idx="182">
                  <c:v>58.281265241017749</c:v>
                </c:pt>
                <c:pt idx="183">
                  <c:v>54.200854693781011</c:v>
                </c:pt>
                <c:pt idx="184">
                  <c:v>50.454308446603029</c:v>
                </c:pt>
                <c:pt idx="185">
                  <c:v>60.498678136019187</c:v>
                </c:pt>
                <c:pt idx="186">
                  <c:v>44.53866539902706</c:v>
                </c:pt>
                <c:pt idx="187">
                  <c:v>60.038087904534116</c:v>
                </c:pt>
                <c:pt idx="188">
                  <c:v>62.955049960772776</c:v>
                </c:pt>
                <c:pt idx="189">
                  <c:v>61.982441209717621</c:v>
                </c:pt>
                <c:pt idx="190">
                  <c:v>61.329978188391621</c:v>
                </c:pt>
                <c:pt idx="191">
                  <c:v>60.274419673701246</c:v>
                </c:pt>
                <c:pt idx="192">
                  <c:v>59.329160826073903</c:v>
                </c:pt>
                <c:pt idx="193">
                  <c:v>58.152596386380971</c:v>
                </c:pt>
                <c:pt idx="194">
                  <c:v>57.995966634450461</c:v>
                </c:pt>
                <c:pt idx="195">
                  <c:v>55.436437627706951</c:v>
                </c:pt>
                <c:pt idx="196">
                  <c:v>56.575930992072415</c:v>
                </c:pt>
                <c:pt idx="197">
                  <c:v>56.983417641717466</c:v>
                </c:pt>
                <c:pt idx="198">
                  <c:v>58.72211498531685</c:v>
                </c:pt>
                <c:pt idx="199">
                  <c:v>43.132592600379645</c:v>
                </c:pt>
                <c:pt idx="200">
                  <c:v>40.503007169043045</c:v>
                </c:pt>
                <c:pt idx="201">
                  <c:v>55.888417314159128</c:v>
                </c:pt>
                <c:pt idx="202">
                  <c:v>48.000420021357549</c:v>
                </c:pt>
                <c:pt idx="203">
                  <c:v>45.418673421762406</c:v>
                </c:pt>
                <c:pt idx="204">
                  <c:v>55.296522216809429</c:v>
                </c:pt>
                <c:pt idx="205">
                  <c:v>29.170924477032766</c:v>
                </c:pt>
                <c:pt idx="206">
                  <c:v>51.697395413135375</c:v>
                </c:pt>
                <c:pt idx="207">
                  <c:v>58.511592998564893</c:v>
                </c:pt>
                <c:pt idx="208">
                  <c:v>45.971937846797978</c:v>
                </c:pt>
                <c:pt idx="209">
                  <c:v>28.558009646652295</c:v>
                </c:pt>
                <c:pt idx="210">
                  <c:v>46.969422859739815</c:v>
                </c:pt>
                <c:pt idx="211">
                  <c:v>57.518018867978697</c:v>
                </c:pt>
                <c:pt idx="212">
                  <c:v>57.012984652054421</c:v>
                </c:pt>
                <c:pt idx="213">
                  <c:v>57.023201839606763</c:v>
                </c:pt>
                <c:pt idx="214">
                  <c:v>56.617713745144073</c:v>
                </c:pt>
                <c:pt idx="215">
                  <c:v>54.012729005131767</c:v>
                </c:pt>
                <c:pt idx="216">
                  <c:v>43.114354484107466</c:v>
                </c:pt>
                <c:pt idx="217">
                  <c:v>51.443425820635738</c:v>
                </c:pt>
                <c:pt idx="218">
                  <c:v>54.239584402430467</c:v>
                </c:pt>
                <c:pt idx="219">
                  <c:v>55.64519531271673</c:v>
                </c:pt>
                <c:pt idx="220">
                  <c:v>53.052043607547446</c:v>
                </c:pt>
                <c:pt idx="221">
                  <c:v>51.521550602541168</c:v>
                </c:pt>
                <c:pt idx="222">
                  <c:v>48.623070195066866</c:v>
                </c:pt>
                <c:pt idx="223">
                  <c:v>0</c:v>
                </c:pt>
                <c:pt idx="224">
                  <c:v>36.13658425718878</c:v>
                </c:pt>
                <c:pt idx="225">
                  <c:v>36.202599309147189</c:v>
                </c:pt>
                <c:pt idx="226">
                  <c:v>36.614018541989068</c:v>
                </c:pt>
                <c:pt idx="227">
                  <c:v>37.923086564723732</c:v>
                </c:pt>
                <c:pt idx="228">
                  <c:v>26.378189459140273</c:v>
                </c:pt>
                <c:pt idx="229">
                  <c:v>40.248438295061128</c:v>
                </c:pt>
                <c:pt idx="230">
                  <c:v>39.844127078090736</c:v>
                </c:pt>
                <c:pt idx="231">
                  <c:v>51.998746796715523</c:v>
                </c:pt>
                <c:pt idx="232">
                  <c:v>37.523238319559674</c:v>
                </c:pt>
                <c:pt idx="233">
                  <c:v>27.447249954662407</c:v>
                </c:pt>
                <c:pt idx="234">
                  <c:v>46.431191508863165</c:v>
                </c:pt>
                <c:pt idx="235">
                  <c:v>50.42990375225822</c:v>
                </c:pt>
                <c:pt idx="236">
                  <c:v>32.34511634277856</c:v>
                </c:pt>
                <c:pt idx="237">
                  <c:v>37.278530597838341</c:v>
                </c:pt>
                <c:pt idx="238">
                  <c:v>46.995280525905365</c:v>
                </c:pt>
                <c:pt idx="239">
                  <c:v>49.404571330754401</c:v>
                </c:pt>
                <c:pt idx="240">
                  <c:v>34.528234083208041</c:v>
                </c:pt>
                <c:pt idx="241">
                  <c:v>48.45632645366652</c:v>
                </c:pt>
                <c:pt idx="242">
                  <c:v>24.532795808523005</c:v>
                </c:pt>
                <c:pt idx="243">
                  <c:v>42.184447615048192</c:v>
                </c:pt>
                <c:pt idx="244">
                  <c:v>39.874893482233844</c:v>
                </c:pt>
                <c:pt idx="245">
                  <c:v>36.683488518651082</c:v>
                </c:pt>
                <c:pt idx="246">
                  <c:v>48.099839394549079</c:v>
                </c:pt>
                <c:pt idx="247">
                  <c:v>40.249292249344919</c:v>
                </c:pt>
                <c:pt idx="248">
                  <c:v>43.870988507826553</c:v>
                </c:pt>
                <c:pt idx="249">
                  <c:v>35.972834816198279</c:v>
                </c:pt>
                <c:pt idx="250">
                  <c:v>40.00908262837909</c:v>
                </c:pt>
                <c:pt idx="251">
                  <c:v>19.06104050393612</c:v>
                </c:pt>
                <c:pt idx="252">
                  <c:v>44.434985317789121</c:v>
                </c:pt>
                <c:pt idx="253">
                  <c:v>45.9689377480248</c:v>
                </c:pt>
                <c:pt idx="254">
                  <c:v>35.706641060348176</c:v>
                </c:pt>
                <c:pt idx="255">
                  <c:v>13.686508127950205</c:v>
                </c:pt>
                <c:pt idx="256">
                  <c:v>36.775944718828327</c:v>
                </c:pt>
                <c:pt idx="257">
                  <c:v>41.776568171283557</c:v>
                </c:pt>
                <c:pt idx="258">
                  <c:v>28.072491365107194</c:v>
                </c:pt>
                <c:pt idx="259">
                  <c:v>45.075466901344853</c:v>
                </c:pt>
                <c:pt idx="260">
                  <c:v>44.152251024368006</c:v>
                </c:pt>
                <c:pt idx="261">
                  <c:v>44.500953535397073</c:v>
                </c:pt>
                <c:pt idx="262">
                  <c:v>44.852571296954302</c:v>
                </c:pt>
                <c:pt idx="263">
                  <c:v>43.527528758347792</c:v>
                </c:pt>
                <c:pt idx="264">
                  <c:v>42.308825850953426</c:v>
                </c:pt>
                <c:pt idx="265">
                  <c:v>31.003168885565941</c:v>
                </c:pt>
                <c:pt idx="266">
                  <c:v>19.150605471376881</c:v>
                </c:pt>
                <c:pt idx="267">
                  <c:v>30.653297006993551</c:v>
                </c:pt>
                <c:pt idx="268">
                  <c:v>33.06000275312833</c:v>
                </c:pt>
                <c:pt idx="269">
                  <c:v>16.178215077425047</c:v>
                </c:pt>
                <c:pt idx="270">
                  <c:v>18.481648729707814</c:v>
                </c:pt>
                <c:pt idx="271">
                  <c:v>23.919555385542299</c:v>
                </c:pt>
                <c:pt idx="272">
                  <c:v>25.650361083871669</c:v>
                </c:pt>
                <c:pt idx="273">
                  <c:v>35.009529864754306</c:v>
                </c:pt>
                <c:pt idx="274">
                  <c:v>36.408574852967121</c:v>
                </c:pt>
                <c:pt idx="275">
                  <c:v>32.971433839092491</c:v>
                </c:pt>
                <c:pt idx="276">
                  <c:v>38.402973998240931</c:v>
                </c:pt>
                <c:pt idx="277">
                  <c:v>38.654099909158113</c:v>
                </c:pt>
                <c:pt idx="278">
                  <c:v>15.492847407600644</c:v>
                </c:pt>
                <c:pt idx="279">
                  <c:v>29.758529025374816</c:v>
                </c:pt>
                <c:pt idx="280">
                  <c:v>15.049728393077308</c:v>
                </c:pt>
                <c:pt idx="281">
                  <c:v>35.145484442065658</c:v>
                </c:pt>
                <c:pt idx="282">
                  <c:v>30.771522410351938</c:v>
                </c:pt>
                <c:pt idx="283">
                  <c:v>24.74775543067636</c:v>
                </c:pt>
                <c:pt idx="284">
                  <c:v>24.652839612715216</c:v>
                </c:pt>
                <c:pt idx="285">
                  <c:v>22.330791884249695</c:v>
                </c:pt>
                <c:pt idx="286">
                  <c:v>15.009528237711768</c:v>
                </c:pt>
                <c:pt idx="287">
                  <c:v>33.453831936949086</c:v>
                </c:pt>
                <c:pt idx="288">
                  <c:v>29.326910159295149</c:v>
                </c:pt>
                <c:pt idx="289">
                  <c:v>16.528030977191833</c:v>
                </c:pt>
                <c:pt idx="290">
                  <c:v>29.485032415498956</c:v>
                </c:pt>
                <c:pt idx="291">
                  <c:v>16.471026424987361</c:v>
                </c:pt>
                <c:pt idx="292">
                  <c:v>8.6648920313183844</c:v>
                </c:pt>
                <c:pt idx="293">
                  <c:v>16.753328232567331</c:v>
                </c:pt>
                <c:pt idx="294">
                  <c:v>28.719048866916911</c:v>
                </c:pt>
                <c:pt idx="295">
                  <c:v>18.726224201966126</c:v>
                </c:pt>
                <c:pt idx="296">
                  <c:v>24.292995689796523</c:v>
                </c:pt>
                <c:pt idx="297">
                  <c:v>20.41730236873877</c:v>
                </c:pt>
                <c:pt idx="298">
                  <c:v>15.259671436455221</c:v>
                </c:pt>
                <c:pt idx="299">
                  <c:v>14.430824460340755</c:v>
                </c:pt>
                <c:pt idx="300">
                  <c:v>16.601814641869961</c:v>
                </c:pt>
                <c:pt idx="301">
                  <c:v>23.361652164019951</c:v>
                </c:pt>
                <c:pt idx="302">
                  <c:v>20.462107055397361</c:v>
                </c:pt>
                <c:pt idx="303">
                  <c:v>19.633287431003925</c:v>
                </c:pt>
                <c:pt idx="304">
                  <c:v>17.90662417169294</c:v>
                </c:pt>
                <c:pt idx="305">
                  <c:v>24.793012728188003</c:v>
                </c:pt>
                <c:pt idx="306">
                  <c:v>8.9951098862432843</c:v>
                </c:pt>
                <c:pt idx="307">
                  <c:v>12.485063565722458</c:v>
                </c:pt>
                <c:pt idx="308">
                  <c:v>25.162038044532654</c:v>
                </c:pt>
                <c:pt idx="309">
                  <c:v>25.224290181341608</c:v>
                </c:pt>
                <c:pt idx="310">
                  <c:v>25.025270176874706</c:v>
                </c:pt>
                <c:pt idx="311">
                  <c:v>18.107645472709283</c:v>
                </c:pt>
                <c:pt idx="312">
                  <c:v>10.100242106789583</c:v>
                </c:pt>
                <c:pt idx="313">
                  <c:v>18.367660148899116</c:v>
                </c:pt>
                <c:pt idx="314">
                  <c:v>21.853459554573259</c:v>
                </c:pt>
                <c:pt idx="315">
                  <c:v>21.985845798060932</c:v>
                </c:pt>
                <c:pt idx="316">
                  <c:v>20.936760127226311</c:v>
                </c:pt>
                <c:pt idx="317">
                  <c:v>11.314395179246302</c:v>
                </c:pt>
                <c:pt idx="318">
                  <c:v>12.847605437265068</c:v>
                </c:pt>
                <c:pt idx="319">
                  <c:v>21.459548988390299</c:v>
                </c:pt>
                <c:pt idx="320">
                  <c:v>14.106694782555643</c:v>
                </c:pt>
                <c:pt idx="321">
                  <c:v>11.693046599013448</c:v>
                </c:pt>
                <c:pt idx="322">
                  <c:v>8.3914715402450568</c:v>
                </c:pt>
                <c:pt idx="323">
                  <c:v>15.105217468938328</c:v>
                </c:pt>
                <c:pt idx="324">
                  <c:v>3.4397348646630608</c:v>
                </c:pt>
                <c:pt idx="325">
                  <c:v>9.6513979679119846</c:v>
                </c:pt>
                <c:pt idx="326">
                  <c:v>12.871602447453178</c:v>
                </c:pt>
                <c:pt idx="327">
                  <c:v>11.966937092276119</c:v>
                </c:pt>
                <c:pt idx="328">
                  <c:v>4.8566896452194719</c:v>
                </c:pt>
                <c:pt idx="329">
                  <c:v>9.7122730704302782</c:v>
                </c:pt>
                <c:pt idx="330">
                  <c:v>13.884513797193433</c:v>
                </c:pt>
                <c:pt idx="331">
                  <c:v>9.4810300087882968</c:v>
                </c:pt>
                <c:pt idx="332">
                  <c:v>10.50813568725534</c:v>
                </c:pt>
                <c:pt idx="333">
                  <c:v>4.5016202106889631</c:v>
                </c:pt>
                <c:pt idx="334">
                  <c:v>4.2481756099031722</c:v>
                </c:pt>
                <c:pt idx="335">
                  <c:v>5.4205260187118718</c:v>
                </c:pt>
                <c:pt idx="336">
                  <c:v>9.7484535199528253</c:v>
                </c:pt>
                <c:pt idx="337">
                  <c:v>13.035476949407121</c:v>
                </c:pt>
                <c:pt idx="338">
                  <c:v>18.064895980853958</c:v>
                </c:pt>
                <c:pt idx="339">
                  <c:v>11.800482886122891</c:v>
                </c:pt>
                <c:pt idx="340">
                  <c:v>14.476373243011903</c:v>
                </c:pt>
                <c:pt idx="341">
                  <c:v>4.6639678836323188</c:v>
                </c:pt>
                <c:pt idx="342">
                  <c:v>7.7657346085270715</c:v>
                </c:pt>
                <c:pt idx="343">
                  <c:v>11.308886283725114</c:v>
                </c:pt>
                <c:pt idx="344">
                  <c:v>12.860149252800914</c:v>
                </c:pt>
                <c:pt idx="345">
                  <c:v>5.8887026379758955</c:v>
                </c:pt>
                <c:pt idx="346">
                  <c:v>5.5475922232950508</c:v>
                </c:pt>
                <c:pt idx="347">
                  <c:v>12.633749356137557</c:v>
                </c:pt>
                <c:pt idx="348">
                  <c:v>6.7480138606085749</c:v>
                </c:pt>
                <c:pt idx="349">
                  <c:v>5.66341390698752</c:v>
                </c:pt>
                <c:pt idx="350">
                  <c:v>3.6570240711943502</c:v>
                </c:pt>
                <c:pt idx="351">
                  <c:v>14.717627403734381</c:v>
                </c:pt>
                <c:pt idx="352">
                  <c:v>14.09193738190692</c:v>
                </c:pt>
                <c:pt idx="353">
                  <c:v>4.2542454053251495</c:v>
                </c:pt>
                <c:pt idx="354">
                  <c:v>15.086563017209636</c:v>
                </c:pt>
                <c:pt idx="355">
                  <c:v>15.018227845245528</c:v>
                </c:pt>
                <c:pt idx="356">
                  <c:v>14.735527634489371</c:v>
                </c:pt>
                <c:pt idx="357">
                  <c:v>15.942640945594047</c:v>
                </c:pt>
                <c:pt idx="358">
                  <c:v>8.8403777926733049</c:v>
                </c:pt>
                <c:pt idx="359">
                  <c:v>14.773123951986769</c:v>
                </c:pt>
                <c:pt idx="360">
                  <c:v>6.3575862983087736</c:v>
                </c:pt>
                <c:pt idx="361">
                  <c:v>13.020993066633922</c:v>
                </c:pt>
                <c:pt idx="362">
                  <c:v>9.9205700115501703</c:v>
                </c:pt>
                <c:pt idx="363">
                  <c:v>11.885669896594138</c:v>
                </c:pt>
                <c:pt idx="364">
                  <c:v>10.807001344580129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'2029'!$W$14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5.6232280826825702</c:v>
                </c:pt>
                <c:pt idx="7">
                  <c:v>7.3467286788848707</c:v>
                </c:pt>
                <c:pt idx="8">
                  <c:v>2.207263837083874</c:v>
                </c:pt>
                <c:pt idx="9">
                  <c:v>1.8255536610192462</c:v>
                </c:pt>
                <c:pt idx="10">
                  <c:v>18.322089755729927</c:v>
                </c:pt>
                <c:pt idx="11">
                  <c:v>16.449352997204837</c:v>
                </c:pt>
                <c:pt idx="12">
                  <c:v>5.5893333415004136</c:v>
                </c:pt>
                <c:pt idx="13">
                  <c:v>18.911237884384775</c:v>
                </c:pt>
                <c:pt idx="14">
                  <c:v>19.459791126067863</c:v>
                </c:pt>
                <c:pt idx="15">
                  <c:v>19.194682482503957</c:v>
                </c:pt>
                <c:pt idx="16">
                  <c:v>12.88104484923157</c:v>
                </c:pt>
                <c:pt idx="17">
                  <c:v>4.0867215001898032</c:v>
                </c:pt>
                <c:pt idx="18">
                  <c:v>10.333664557401393</c:v>
                </c:pt>
                <c:pt idx="19">
                  <c:v>5.9819392781826455</c:v>
                </c:pt>
                <c:pt idx="20">
                  <c:v>16.839628116899867</c:v>
                </c:pt>
                <c:pt idx="21">
                  <c:v>20.768110760662061</c:v>
                </c:pt>
                <c:pt idx="22">
                  <c:v>20.83738563088983</c:v>
                </c:pt>
                <c:pt idx="23">
                  <c:v>21.355650951216756</c:v>
                </c:pt>
                <c:pt idx="24">
                  <c:v>20.001918316070508</c:v>
                </c:pt>
                <c:pt idx="25">
                  <c:v>21.527251581750193</c:v>
                </c:pt>
                <c:pt idx="26">
                  <c:v>18.02434128089288</c:v>
                </c:pt>
                <c:pt idx="27">
                  <c:v>4.2998022421291937</c:v>
                </c:pt>
                <c:pt idx="28">
                  <c:v>6.4633236986811538</c:v>
                </c:pt>
                <c:pt idx="29">
                  <c:v>4.6595052316119041</c:v>
                </c:pt>
                <c:pt idx="30">
                  <c:v>10.807473187875823</c:v>
                </c:pt>
                <c:pt idx="31">
                  <c:v>13.938247352474809</c:v>
                </c:pt>
                <c:pt idx="32">
                  <c:v>5.6238287387006807</c:v>
                </c:pt>
                <c:pt idx="33">
                  <c:v>13.002683496398568</c:v>
                </c:pt>
                <c:pt idx="34">
                  <c:v>11.872909834899541</c:v>
                </c:pt>
                <c:pt idx="35">
                  <c:v>9.3296332584269486</c:v>
                </c:pt>
                <c:pt idx="36">
                  <c:v>20.505620249304776</c:v>
                </c:pt>
                <c:pt idx="37">
                  <c:v>14.061670720663907</c:v>
                </c:pt>
                <c:pt idx="38">
                  <c:v>27.273273888937542</c:v>
                </c:pt>
                <c:pt idx="39">
                  <c:v>27.508778671280023</c:v>
                </c:pt>
                <c:pt idx="40">
                  <c:v>26.569416771002455</c:v>
                </c:pt>
                <c:pt idx="41">
                  <c:v>13.900336870897021</c:v>
                </c:pt>
                <c:pt idx="42">
                  <c:v>22.244661272476907</c:v>
                </c:pt>
                <c:pt idx="43">
                  <c:v>24.526189826350947</c:v>
                </c:pt>
                <c:pt idx="44">
                  <c:v>15.757778017494839</c:v>
                </c:pt>
                <c:pt idx="45">
                  <c:v>20.296688628297183</c:v>
                </c:pt>
                <c:pt idx="46">
                  <c:v>9.6448181914376416</c:v>
                </c:pt>
                <c:pt idx="47">
                  <c:v>11.596021558265214</c:v>
                </c:pt>
                <c:pt idx="48">
                  <c:v>27.185006887091149</c:v>
                </c:pt>
                <c:pt idx="49">
                  <c:v>16.416711863331393</c:v>
                </c:pt>
                <c:pt idx="50">
                  <c:v>20.679471923424622</c:v>
                </c:pt>
                <c:pt idx="51">
                  <c:v>18.239258291614252</c:v>
                </c:pt>
                <c:pt idx="52">
                  <c:v>29.813275599598878</c:v>
                </c:pt>
                <c:pt idx="53">
                  <c:v>31.359211304120215</c:v>
                </c:pt>
                <c:pt idx="54">
                  <c:v>22.333358584090004</c:v>
                </c:pt>
                <c:pt idx="55">
                  <c:v>24.660324526979029</c:v>
                </c:pt>
                <c:pt idx="56">
                  <c:v>34.730674938489244</c:v>
                </c:pt>
                <c:pt idx="57">
                  <c:v>22.216323104765955</c:v>
                </c:pt>
                <c:pt idx="58">
                  <c:v>32.40121745478833</c:v>
                </c:pt>
                <c:pt idx="59">
                  <c:v>34.189179506568173</c:v>
                </c:pt>
                <c:pt idx="60">
                  <c:v>15.799150969168585</c:v>
                </c:pt>
                <c:pt idx="61">
                  <c:v>27.255270089132775</c:v>
                </c:pt>
                <c:pt idx="62">
                  <c:v>5.3683394122949242</c:v>
                </c:pt>
                <c:pt idx="63">
                  <c:v>13.922742586021128</c:v>
                </c:pt>
                <c:pt idx="64">
                  <c:v>21.315321889102176</c:v>
                </c:pt>
                <c:pt idx="65">
                  <c:v>34.550111886081787</c:v>
                </c:pt>
                <c:pt idx="66">
                  <c:v>30.999227190639552</c:v>
                </c:pt>
                <c:pt idx="67">
                  <c:v>27.670779600228517</c:v>
                </c:pt>
                <c:pt idx="68">
                  <c:v>23.380035136069953</c:v>
                </c:pt>
                <c:pt idx="69">
                  <c:v>16.873607633516823</c:v>
                </c:pt>
                <c:pt idx="70">
                  <c:v>13.205538108906264</c:v>
                </c:pt>
                <c:pt idx="71">
                  <c:v>8.4110527894089167</c:v>
                </c:pt>
                <c:pt idx="72">
                  <c:v>12.524948064494021</c:v>
                </c:pt>
                <c:pt idx="73">
                  <c:v>14.843280443053255</c:v>
                </c:pt>
                <c:pt idx="74">
                  <c:v>12.464253247625933</c:v>
                </c:pt>
                <c:pt idx="75">
                  <c:v>11.970998298617008</c:v>
                </c:pt>
                <c:pt idx="76">
                  <c:v>14.130176164274124</c:v>
                </c:pt>
                <c:pt idx="77">
                  <c:v>25.963813264052728</c:v>
                </c:pt>
                <c:pt idx="78">
                  <c:v>31.122846796574613</c:v>
                </c:pt>
                <c:pt idx="79">
                  <c:v>41.861164057531639</c:v>
                </c:pt>
                <c:pt idx="80">
                  <c:v>40.857628985935598</c:v>
                </c:pt>
                <c:pt idx="81">
                  <c:v>43.58820366901606</c:v>
                </c:pt>
                <c:pt idx="82">
                  <c:v>43.302267674909423</c:v>
                </c:pt>
                <c:pt idx="83">
                  <c:v>36.071285292198475</c:v>
                </c:pt>
                <c:pt idx="84">
                  <c:v>39.618801636776169</c:v>
                </c:pt>
                <c:pt idx="85">
                  <c:v>41.45981919258854</c:v>
                </c:pt>
                <c:pt idx="86">
                  <c:v>35.615331799771816</c:v>
                </c:pt>
                <c:pt idx="87">
                  <c:v>27.122289312820286</c:v>
                </c:pt>
                <c:pt idx="88">
                  <c:v>7.5535807466169524</c:v>
                </c:pt>
                <c:pt idx="89">
                  <c:v>26.385842456589288</c:v>
                </c:pt>
                <c:pt idx="90">
                  <c:v>29.022331172742255</c:v>
                </c:pt>
                <c:pt idx="91">
                  <c:v>19.778273239006722</c:v>
                </c:pt>
                <c:pt idx="92">
                  <c:v>27.003403418302476</c:v>
                </c:pt>
                <c:pt idx="93">
                  <c:v>41.936472290521607</c:v>
                </c:pt>
                <c:pt idx="94">
                  <c:v>50.188849645158456</c:v>
                </c:pt>
                <c:pt idx="95">
                  <c:v>12.242545767281859</c:v>
                </c:pt>
                <c:pt idx="96">
                  <c:v>41.497403010896406</c:v>
                </c:pt>
                <c:pt idx="97">
                  <c:v>35.349029479041327</c:v>
                </c:pt>
                <c:pt idx="98">
                  <c:v>32.885853525455786</c:v>
                </c:pt>
                <c:pt idx="99">
                  <c:v>53.880085627542911</c:v>
                </c:pt>
                <c:pt idx="100">
                  <c:v>43.468430987093484</c:v>
                </c:pt>
                <c:pt idx="101">
                  <c:v>36.269489194337389</c:v>
                </c:pt>
                <c:pt idx="102">
                  <c:v>8.3868305744848932</c:v>
                </c:pt>
                <c:pt idx="103">
                  <c:v>38.716959931391301</c:v>
                </c:pt>
                <c:pt idx="104">
                  <c:v>42.425924432527644</c:v>
                </c:pt>
                <c:pt idx="105">
                  <c:v>38.603819727911912</c:v>
                </c:pt>
                <c:pt idx="106">
                  <c:v>53.4654017757519</c:v>
                </c:pt>
                <c:pt idx="107">
                  <c:v>34.108855077039145</c:v>
                </c:pt>
                <c:pt idx="108">
                  <c:v>11.222256216291738</c:v>
                </c:pt>
                <c:pt idx="109">
                  <c:v>11.245859431754885</c:v>
                </c:pt>
                <c:pt idx="110">
                  <c:v>10.794037107280054</c:v>
                </c:pt>
                <c:pt idx="111">
                  <c:v>28.711344150325591</c:v>
                </c:pt>
                <c:pt idx="112">
                  <c:v>9.4261610774364364</c:v>
                </c:pt>
                <c:pt idx="113">
                  <c:v>33.798447151116719</c:v>
                </c:pt>
                <c:pt idx="114">
                  <c:v>44.604704922120987</c:v>
                </c:pt>
                <c:pt idx="115">
                  <c:v>55.692535614936354</c:v>
                </c:pt>
                <c:pt idx="116">
                  <c:v>44.268135781397426</c:v>
                </c:pt>
                <c:pt idx="117">
                  <c:v>23.600553211939491</c:v>
                </c:pt>
                <c:pt idx="118">
                  <c:v>42.774226600908719</c:v>
                </c:pt>
                <c:pt idx="119">
                  <c:v>43.918713362414579</c:v>
                </c:pt>
                <c:pt idx="120">
                  <c:v>49.82402128436442</c:v>
                </c:pt>
                <c:pt idx="121">
                  <c:v>32.024526153471285</c:v>
                </c:pt>
                <c:pt idx="122">
                  <c:v>35.692246946692912</c:v>
                </c:pt>
                <c:pt idx="123">
                  <c:v>20.087563737385345</c:v>
                </c:pt>
                <c:pt idx="124">
                  <c:v>40.432737150997255</c:v>
                </c:pt>
                <c:pt idx="125">
                  <c:v>42.385131119183065</c:v>
                </c:pt>
                <c:pt idx="126">
                  <c:v>48.750184286877477</c:v>
                </c:pt>
                <c:pt idx="127">
                  <c:v>55.293862718292893</c:v>
                </c:pt>
                <c:pt idx="128">
                  <c:v>58.505578629437643</c:v>
                </c:pt>
                <c:pt idx="129">
                  <c:v>57.307582920846663</c:v>
                </c:pt>
                <c:pt idx="130">
                  <c:v>61.132372400583513</c:v>
                </c:pt>
                <c:pt idx="131">
                  <c:v>46.54914292044554</c:v>
                </c:pt>
                <c:pt idx="132">
                  <c:v>49.326445429139866</c:v>
                </c:pt>
                <c:pt idx="133">
                  <c:v>55.221843158703471</c:v>
                </c:pt>
                <c:pt idx="134">
                  <c:v>57.004342182244407</c:v>
                </c:pt>
                <c:pt idx="135">
                  <c:v>55.713655321615477</c:v>
                </c:pt>
                <c:pt idx="136">
                  <c:v>59.499383055826989</c:v>
                </c:pt>
                <c:pt idx="137">
                  <c:v>56.809766049127447</c:v>
                </c:pt>
                <c:pt idx="138">
                  <c:v>55.596218922271788</c:v>
                </c:pt>
                <c:pt idx="139">
                  <c:v>52.838287229389756</c:v>
                </c:pt>
                <c:pt idx="140">
                  <c:v>55.333435628629083</c:v>
                </c:pt>
                <c:pt idx="141">
                  <c:v>42.785943029516716</c:v>
                </c:pt>
                <c:pt idx="142">
                  <c:v>20.35814280304049</c:v>
                </c:pt>
                <c:pt idx="143">
                  <c:v>17.487045875230443</c:v>
                </c:pt>
                <c:pt idx="144">
                  <c:v>42.618812936873034</c:v>
                </c:pt>
                <c:pt idx="145">
                  <c:v>28.436252993914128</c:v>
                </c:pt>
                <c:pt idx="146">
                  <c:v>44.526208343866898</c:v>
                </c:pt>
                <c:pt idx="147">
                  <c:v>58.455748575175015</c:v>
                </c:pt>
                <c:pt idx="148">
                  <c:v>63.570035878813904</c:v>
                </c:pt>
                <c:pt idx="149">
                  <c:v>51.125183534788619</c:v>
                </c:pt>
                <c:pt idx="150">
                  <c:v>60.433258681191013</c:v>
                </c:pt>
                <c:pt idx="151">
                  <c:v>63.008388835884247</c:v>
                </c:pt>
                <c:pt idx="152">
                  <c:v>45.384816393877919</c:v>
                </c:pt>
                <c:pt idx="153">
                  <c:v>60.091251320737634</c:v>
                </c:pt>
                <c:pt idx="154">
                  <c:v>30.541475896070168</c:v>
                </c:pt>
                <c:pt idx="155">
                  <c:v>33.751158666267436</c:v>
                </c:pt>
                <c:pt idx="156">
                  <c:v>53.973033438180813</c:v>
                </c:pt>
                <c:pt idx="157">
                  <c:v>28.183758097291268</c:v>
                </c:pt>
                <c:pt idx="158">
                  <c:v>25.396655638567257</c:v>
                </c:pt>
                <c:pt idx="159">
                  <c:v>52.188156807318848</c:v>
                </c:pt>
                <c:pt idx="160">
                  <c:v>64.208799819498864</c:v>
                </c:pt>
                <c:pt idx="161">
                  <c:v>61.477247799750337</c:v>
                </c:pt>
                <c:pt idx="162">
                  <c:v>49.573489437992208</c:v>
                </c:pt>
                <c:pt idx="163">
                  <c:v>55.421624412391026</c:v>
                </c:pt>
                <c:pt idx="164">
                  <c:v>56.340021575087782</c:v>
                </c:pt>
                <c:pt idx="165">
                  <c:v>59.764239269530172</c:v>
                </c:pt>
                <c:pt idx="166">
                  <c:v>56.632468555124305</c:v>
                </c:pt>
                <c:pt idx="167">
                  <c:v>56.798199217355318</c:v>
                </c:pt>
                <c:pt idx="168">
                  <c:v>60.478100899653839</c:v>
                </c:pt>
                <c:pt idx="169">
                  <c:v>60.962021467148723</c:v>
                </c:pt>
                <c:pt idx="170">
                  <c:v>32.96372354724943</c:v>
                </c:pt>
                <c:pt idx="171">
                  <c:v>22.182008406428231</c:v>
                </c:pt>
                <c:pt idx="172">
                  <c:v>46.016418965748251</c:v>
                </c:pt>
                <c:pt idx="173">
                  <c:v>45.499814766676302</c:v>
                </c:pt>
                <c:pt idx="174">
                  <c:v>48.943385218891386</c:v>
                </c:pt>
                <c:pt idx="175">
                  <c:v>40.770971505646145</c:v>
                </c:pt>
                <c:pt idx="176">
                  <c:v>12.751108269284984</c:v>
                </c:pt>
                <c:pt idx="177">
                  <c:v>18.759045831588463</c:v>
                </c:pt>
                <c:pt idx="178">
                  <c:v>64.916384714292818</c:v>
                </c:pt>
                <c:pt idx="179">
                  <c:v>62.991112566118296</c:v>
                </c:pt>
                <c:pt idx="180">
                  <c:v>15.473152643013622</c:v>
                </c:pt>
                <c:pt idx="181">
                  <c:v>52.492425719785693</c:v>
                </c:pt>
                <c:pt idx="182">
                  <c:v>58.281265241017749</c:v>
                </c:pt>
                <c:pt idx="183">
                  <c:v>54.200854693781011</c:v>
                </c:pt>
                <c:pt idx="184">
                  <c:v>50.454308446603029</c:v>
                </c:pt>
                <c:pt idx="185">
                  <c:v>60.498678136019187</c:v>
                </c:pt>
                <c:pt idx="186">
                  <c:v>44.53866539902706</c:v>
                </c:pt>
                <c:pt idx="187">
                  <c:v>60.038087904534116</c:v>
                </c:pt>
                <c:pt idx="188">
                  <c:v>62.955049960772776</c:v>
                </c:pt>
                <c:pt idx="189">
                  <c:v>61.982441209717621</c:v>
                </c:pt>
                <c:pt idx="190">
                  <c:v>61.329978188391621</c:v>
                </c:pt>
                <c:pt idx="191">
                  <c:v>60.274419673701246</c:v>
                </c:pt>
                <c:pt idx="192">
                  <c:v>59.329160826073903</c:v>
                </c:pt>
                <c:pt idx="193">
                  <c:v>58.152596386380971</c:v>
                </c:pt>
                <c:pt idx="194">
                  <c:v>57.995966634450461</c:v>
                </c:pt>
                <c:pt idx="195">
                  <c:v>55.436437627706951</c:v>
                </c:pt>
                <c:pt idx="196">
                  <c:v>56.575930992072415</c:v>
                </c:pt>
                <c:pt idx="197">
                  <c:v>56.983417641717466</c:v>
                </c:pt>
                <c:pt idx="198">
                  <c:v>58.72211498531685</c:v>
                </c:pt>
                <c:pt idx="199">
                  <c:v>43.132592600379645</c:v>
                </c:pt>
                <c:pt idx="200">
                  <c:v>40.503007169043045</c:v>
                </c:pt>
                <c:pt idx="201">
                  <c:v>55.888417314159128</c:v>
                </c:pt>
                <c:pt idx="202">
                  <c:v>48.000420021357549</c:v>
                </c:pt>
                <c:pt idx="203">
                  <c:v>45.418673421762406</c:v>
                </c:pt>
                <c:pt idx="204">
                  <c:v>55.296522216809429</c:v>
                </c:pt>
                <c:pt idx="205">
                  <c:v>29.170924477032766</c:v>
                </c:pt>
                <c:pt idx="206">
                  <c:v>51.697395413135375</c:v>
                </c:pt>
                <c:pt idx="207">
                  <c:v>58.511592998564893</c:v>
                </c:pt>
                <c:pt idx="208">
                  <c:v>45.971937846797978</c:v>
                </c:pt>
                <c:pt idx="209">
                  <c:v>28.558009646652295</c:v>
                </c:pt>
                <c:pt idx="210">
                  <c:v>46.969422859739815</c:v>
                </c:pt>
                <c:pt idx="211">
                  <c:v>57.518018867978697</c:v>
                </c:pt>
                <c:pt idx="212">
                  <c:v>57.012984652054421</c:v>
                </c:pt>
                <c:pt idx="213">
                  <c:v>57.023201839606763</c:v>
                </c:pt>
                <c:pt idx="214">
                  <c:v>56.617713745144073</c:v>
                </c:pt>
                <c:pt idx="215">
                  <c:v>54.012729005131767</c:v>
                </c:pt>
                <c:pt idx="216">
                  <c:v>43.114354484107466</c:v>
                </c:pt>
                <c:pt idx="217">
                  <c:v>51.443425820635738</c:v>
                </c:pt>
                <c:pt idx="218">
                  <c:v>54.239584402430467</c:v>
                </c:pt>
                <c:pt idx="219">
                  <c:v>55.64519531271673</c:v>
                </c:pt>
                <c:pt idx="220">
                  <c:v>53.052043607547446</c:v>
                </c:pt>
                <c:pt idx="221">
                  <c:v>51.521550602541168</c:v>
                </c:pt>
                <c:pt idx="222">
                  <c:v>48.623070195066866</c:v>
                </c:pt>
                <c:pt idx="223">
                  <c:v>0</c:v>
                </c:pt>
                <c:pt idx="224">
                  <c:v>36.13658425718878</c:v>
                </c:pt>
                <c:pt idx="225">
                  <c:v>36.202599309147189</c:v>
                </c:pt>
                <c:pt idx="226">
                  <c:v>36.614018541989068</c:v>
                </c:pt>
                <c:pt idx="227">
                  <c:v>37.923086564723732</c:v>
                </c:pt>
                <c:pt idx="228">
                  <c:v>26.378189459140273</c:v>
                </c:pt>
                <c:pt idx="229">
                  <c:v>40.248438295061128</c:v>
                </c:pt>
                <c:pt idx="230">
                  <c:v>39.844127078090736</c:v>
                </c:pt>
                <c:pt idx="231">
                  <c:v>51.998746796715523</c:v>
                </c:pt>
                <c:pt idx="232">
                  <c:v>37.523238319559674</c:v>
                </c:pt>
                <c:pt idx="233">
                  <c:v>27.447249954662407</c:v>
                </c:pt>
                <c:pt idx="234">
                  <c:v>46.431191508863165</c:v>
                </c:pt>
                <c:pt idx="235">
                  <c:v>50.42990375225822</c:v>
                </c:pt>
                <c:pt idx="236">
                  <c:v>32.34511634277856</c:v>
                </c:pt>
                <c:pt idx="237">
                  <c:v>37.278530597838341</c:v>
                </c:pt>
                <c:pt idx="238">
                  <c:v>46.995280525905365</c:v>
                </c:pt>
                <c:pt idx="239">
                  <c:v>49.404571330754401</c:v>
                </c:pt>
                <c:pt idx="240">
                  <c:v>34.528234083208041</c:v>
                </c:pt>
                <c:pt idx="241">
                  <c:v>48.45632645366652</c:v>
                </c:pt>
                <c:pt idx="242">
                  <c:v>24.532795808523005</c:v>
                </c:pt>
                <c:pt idx="243">
                  <c:v>42.184447615048192</c:v>
                </c:pt>
                <c:pt idx="244">
                  <c:v>39.874893482233844</c:v>
                </c:pt>
                <c:pt idx="245">
                  <c:v>36.683488518651082</c:v>
                </c:pt>
                <c:pt idx="246">
                  <c:v>48.099839394549079</c:v>
                </c:pt>
                <c:pt idx="247">
                  <c:v>40.249292249344919</c:v>
                </c:pt>
                <c:pt idx="248">
                  <c:v>43.870988507826553</c:v>
                </c:pt>
                <c:pt idx="249">
                  <c:v>35.972834816198279</c:v>
                </c:pt>
                <c:pt idx="250">
                  <c:v>40.00908262837909</c:v>
                </c:pt>
                <c:pt idx="251">
                  <c:v>19.06104050393612</c:v>
                </c:pt>
                <c:pt idx="252">
                  <c:v>44.434985317789121</c:v>
                </c:pt>
                <c:pt idx="253">
                  <c:v>45.9689377480248</c:v>
                </c:pt>
                <c:pt idx="254">
                  <c:v>35.706641060348176</c:v>
                </c:pt>
                <c:pt idx="255">
                  <c:v>13.686508127950205</c:v>
                </c:pt>
                <c:pt idx="256">
                  <c:v>36.775944718828327</c:v>
                </c:pt>
                <c:pt idx="257">
                  <c:v>41.776568171283557</c:v>
                </c:pt>
                <c:pt idx="258">
                  <c:v>28.072491365107194</c:v>
                </c:pt>
                <c:pt idx="259">
                  <c:v>45.075466901344853</c:v>
                </c:pt>
                <c:pt idx="260">
                  <c:v>44.152251024368006</c:v>
                </c:pt>
                <c:pt idx="261">
                  <c:v>44.500953535397073</c:v>
                </c:pt>
                <c:pt idx="262">
                  <c:v>44.852571296954302</c:v>
                </c:pt>
                <c:pt idx="263">
                  <c:v>43.527528758347792</c:v>
                </c:pt>
                <c:pt idx="264">
                  <c:v>42.308825850953426</c:v>
                </c:pt>
                <c:pt idx="265">
                  <c:v>31.003168885565941</c:v>
                </c:pt>
                <c:pt idx="266">
                  <c:v>19.150605471376881</c:v>
                </c:pt>
                <c:pt idx="267">
                  <c:v>30.653297006993551</c:v>
                </c:pt>
                <c:pt idx="268">
                  <c:v>33.06000275312833</c:v>
                </c:pt>
                <c:pt idx="269">
                  <c:v>16.178215077425047</c:v>
                </c:pt>
                <c:pt idx="270">
                  <c:v>18.481648729707814</c:v>
                </c:pt>
                <c:pt idx="271">
                  <c:v>23.919555385542299</c:v>
                </c:pt>
                <c:pt idx="272">
                  <c:v>25.650361083871669</c:v>
                </c:pt>
                <c:pt idx="273">
                  <c:v>35.009529864754306</c:v>
                </c:pt>
                <c:pt idx="274">
                  <c:v>36.408574852967121</c:v>
                </c:pt>
                <c:pt idx="275">
                  <c:v>32.971433839092491</c:v>
                </c:pt>
                <c:pt idx="276">
                  <c:v>38.402973998240931</c:v>
                </c:pt>
                <c:pt idx="277">
                  <c:v>38.654099909158113</c:v>
                </c:pt>
                <c:pt idx="278">
                  <c:v>15.492847407600644</c:v>
                </c:pt>
                <c:pt idx="279">
                  <c:v>29.758529025374816</c:v>
                </c:pt>
                <c:pt idx="280">
                  <c:v>15.049728393077308</c:v>
                </c:pt>
                <c:pt idx="281">
                  <c:v>35.145484442065658</c:v>
                </c:pt>
                <c:pt idx="282">
                  <c:v>30.771522410351938</c:v>
                </c:pt>
                <c:pt idx="283">
                  <c:v>24.74775543067636</c:v>
                </c:pt>
                <c:pt idx="284">
                  <c:v>24.652839612715216</c:v>
                </c:pt>
                <c:pt idx="285">
                  <c:v>22.330791884249695</c:v>
                </c:pt>
                <c:pt idx="286">
                  <c:v>15.009528237711768</c:v>
                </c:pt>
                <c:pt idx="287">
                  <c:v>33.453831936949086</c:v>
                </c:pt>
                <c:pt idx="288">
                  <c:v>29.326910159295149</c:v>
                </c:pt>
                <c:pt idx="289">
                  <c:v>16.528030977191833</c:v>
                </c:pt>
                <c:pt idx="290">
                  <c:v>29.485032415498956</c:v>
                </c:pt>
                <c:pt idx="291">
                  <c:v>16.471026424987361</c:v>
                </c:pt>
                <c:pt idx="292">
                  <c:v>8.6648920313183844</c:v>
                </c:pt>
                <c:pt idx="293">
                  <c:v>16.753328232567331</c:v>
                </c:pt>
                <c:pt idx="294">
                  <c:v>28.719048866916911</c:v>
                </c:pt>
                <c:pt idx="295">
                  <c:v>18.726224201966126</c:v>
                </c:pt>
                <c:pt idx="296">
                  <c:v>24.292995689796523</c:v>
                </c:pt>
                <c:pt idx="297">
                  <c:v>20.41730236873877</c:v>
                </c:pt>
                <c:pt idx="298">
                  <c:v>15.259671436455221</c:v>
                </c:pt>
                <c:pt idx="299">
                  <c:v>14.430824460340755</c:v>
                </c:pt>
                <c:pt idx="300">
                  <c:v>16.601814641869961</c:v>
                </c:pt>
                <c:pt idx="301">
                  <c:v>23.361652164019951</c:v>
                </c:pt>
                <c:pt idx="302">
                  <c:v>20.462107055397361</c:v>
                </c:pt>
                <c:pt idx="303">
                  <c:v>19.633287431003925</c:v>
                </c:pt>
                <c:pt idx="304">
                  <c:v>17.90662417169294</c:v>
                </c:pt>
                <c:pt idx="305">
                  <c:v>24.793012728188003</c:v>
                </c:pt>
                <c:pt idx="306">
                  <c:v>8.9951098862432843</c:v>
                </c:pt>
                <c:pt idx="307">
                  <c:v>12.485063565722458</c:v>
                </c:pt>
                <c:pt idx="308">
                  <c:v>25.162038044532654</c:v>
                </c:pt>
                <c:pt idx="309">
                  <c:v>25.224290181341608</c:v>
                </c:pt>
                <c:pt idx="310">
                  <c:v>25.025270176874706</c:v>
                </c:pt>
                <c:pt idx="311">
                  <c:v>18.107645472709283</c:v>
                </c:pt>
                <c:pt idx="312">
                  <c:v>10.100242106789583</c:v>
                </c:pt>
                <c:pt idx="313">
                  <c:v>18.367660148899116</c:v>
                </c:pt>
                <c:pt idx="314">
                  <c:v>21.853459554573259</c:v>
                </c:pt>
                <c:pt idx="315">
                  <c:v>21.985845798060932</c:v>
                </c:pt>
                <c:pt idx="316">
                  <c:v>20.936760127226311</c:v>
                </c:pt>
                <c:pt idx="317">
                  <c:v>11.314395179246302</c:v>
                </c:pt>
                <c:pt idx="318">
                  <c:v>12.847605437265068</c:v>
                </c:pt>
                <c:pt idx="319">
                  <c:v>21.459548988390299</c:v>
                </c:pt>
                <c:pt idx="320">
                  <c:v>14.106694782555643</c:v>
                </c:pt>
                <c:pt idx="321">
                  <c:v>11.693046599013448</c:v>
                </c:pt>
                <c:pt idx="322">
                  <c:v>8.3914715402450568</c:v>
                </c:pt>
                <c:pt idx="323">
                  <c:v>15.105217468938328</c:v>
                </c:pt>
                <c:pt idx="324">
                  <c:v>3.4397348646630608</c:v>
                </c:pt>
                <c:pt idx="325">
                  <c:v>9.6513979679119846</c:v>
                </c:pt>
                <c:pt idx="326">
                  <c:v>12.871602447453178</c:v>
                </c:pt>
                <c:pt idx="327">
                  <c:v>11.966937092276119</c:v>
                </c:pt>
                <c:pt idx="328">
                  <c:v>4.8566896452194719</c:v>
                </c:pt>
                <c:pt idx="329">
                  <c:v>9.7122730704302782</c:v>
                </c:pt>
                <c:pt idx="330">
                  <c:v>13.884513797193433</c:v>
                </c:pt>
                <c:pt idx="331">
                  <c:v>9.4810300087882968</c:v>
                </c:pt>
                <c:pt idx="332">
                  <c:v>10.50813568725534</c:v>
                </c:pt>
                <c:pt idx="333">
                  <c:v>4.5016202106889631</c:v>
                </c:pt>
                <c:pt idx="334">
                  <c:v>4.2481756099031722</c:v>
                </c:pt>
                <c:pt idx="335">
                  <c:v>5.4205260187118718</c:v>
                </c:pt>
                <c:pt idx="336">
                  <c:v>9.7484535199528253</c:v>
                </c:pt>
                <c:pt idx="337">
                  <c:v>13.035476949407121</c:v>
                </c:pt>
                <c:pt idx="338">
                  <c:v>18.064895980853958</c:v>
                </c:pt>
                <c:pt idx="339">
                  <c:v>11.800482886122891</c:v>
                </c:pt>
                <c:pt idx="340">
                  <c:v>14.476373243011903</c:v>
                </c:pt>
                <c:pt idx="341">
                  <c:v>4.6639678836323188</c:v>
                </c:pt>
                <c:pt idx="342">
                  <c:v>7.7657346085270715</c:v>
                </c:pt>
                <c:pt idx="343">
                  <c:v>11.308886283725114</c:v>
                </c:pt>
                <c:pt idx="344">
                  <c:v>12.860149252800914</c:v>
                </c:pt>
                <c:pt idx="345">
                  <c:v>5.8887026379758955</c:v>
                </c:pt>
                <c:pt idx="346">
                  <c:v>5.5475922232950508</c:v>
                </c:pt>
                <c:pt idx="347">
                  <c:v>12.633749356137557</c:v>
                </c:pt>
                <c:pt idx="348">
                  <c:v>6.7480138606085749</c:v>
                </c:pt>
                <c:pt idx="349">
                  <c:v>5.66341390698752</c:v>
                </c:pt>
                <c:pt idx="350">
                  <c:v>3.6570240711943502</c:v>
                </c:pt>
                <c:pt idx="351">
                  <c:v>14.717627403734381</c:v>
                </c:pt>
                <c:pt idx="352">
                  <c:v>14.09193738190692</c:v>
                </c:pt>
                <c:pt idx="353">
                  <c:v>4.2542454053251495</c:v>
                </c:pt>
                <c:pt idx="354">
                  <c:v>15.086563017209636</c:v>
                </c:pt>
                <c:pt idx="355">
                  <c:v>15.018227845245528</c:v>
                </c:pt>
                <c:pt idx="356">
                  <c:v>14.735527634489371</c:v>
                </c:pt>
                <c:pt idx="357">
                  <c:v>15.942640945594047</c:v>
                </c:pt>
                <c:pt idx="358">
                  <c:v>8.8403777926733049</c:v>
                </c:pt>
                <c:pt idx="359">
                  <c:v>14.773123951986769</c:v>
                </c:pt>
                <c:pt idx="360">
                  <c:v>6.3575862983087736</c:v>
                </c:pt>
                <c:pt idx="361">
                  <c:v>13.020993066633922</c:v>
                </c:pt>
                <c:pt idx="362">
                  <c:v>9.9205700115501703</c:v>
                </c:pt>
                <c:pt idx="363">
                  <c:v>11.885669896594138</c:v>
                </c:pt>
                <c:pt idx="364">
                  <c:v>10.807001344580129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409440"/>
        <c:axId val="321409832"/>
      </c:lineChart>
      <c:dateAx>
        <c:axId val="321409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09832"/>
        <c:crosses val="autoZero"/>
        <c:auto val="1"/>
        <c:lblOffset val="100"/>
        <c:baseTimeUnit val="days"/>
        <c:majorUnit val="1"/>
        <c:majorTimeUnit val="months"/>
      </c:dateAx>
      <c:valAx>
        <c:axId val="3214098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094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'2029'!$L$15:$L$380</c:f>
              <c:numCache>
                <c:formatCode>0.00%</c:formatCode>
                <c:ptCount val="366"/>
                <c:pt idx="0">
                  <c:v>3.492647850819941E-2</c:v>
                </c:pt>
                <c:pt idx="1">
                  <c:v>3.4939689554276843E-2</c:v>
                </c:pt>
                <c:pt idx="2">
                  <c:v>3.495290041950605E-2</c:v>
                </c:pt>
                <c:pt idx="3">
                  <c:v>3.4966111103889697E-2</c:v>
                </c:pt>
                <c:pt idx="4">
                  <c:v>3.4979321607430114E-2</c:v>
                </c:pt>
                <c:pt idx="5">
                  <c:v>3.4992531930129855E-2</c:v>
                </c:pt>
                <c:pt idx="6">
                  <c:v>3.5005742071991475E-2</c:v>
                </c:pt>
                <c:pt idx="7">
                  <c:v>3.5018952033017192E-2</c:v>
                </c:pt>
                <c:pt idx="8">
                  <c:v>3.5032161813209672E-2</c:v>
                </c:pt>
                <c:pt idx="9">
                  <c:v>3.5045371412571358E-2</c:v>
                </c:pt>
                <c:pt idx="10">
                  <c:v>3.5058580831104802E-2</c:v>
                </c:pt>
                <c:pt idx="11">
                  <c:v>3.5071790068812336E-2</c:v>
                </c:pt>
                <c:pt idx="12">
                  <c:v>3.5084999125696403E-2</c:v>
                </c:pt>
                <c:pt idx="13">
                  <c:v>3.5098208001759668E-2</c:v>
                </c:pt>
                <c:pt idx="14">
                  <c:v>3.5111416697004572E-2</c:v>
                </c:pt>
                <c:pt idx="15">
                  <c:v>3.5124625211433447E-2</c:v>
                </c:pt>
                <c:pt idx="16">
                  <c:v>3.5137833545048847E-2</c:v>
                </c:pt>
                <c:pt idx="17">
                  <c:v>3.5151041697853325E-2</c:v>
                </c:pt>
                <c:pt idx="18">
                  <c:v>3.5164249669849212E-2</c:v>
                </c:pt>
                <c:pt idx="19">
                  <c:v>3.5177457461039063E-2</c:v>
                </c:pt>
                <c:pt idx="20">
                  <c:v>3.519066507142532E-2</c:v>
                </c:pt>
                <c:pt idx="21">
                  <c:v>3.5203872501010536E-2</c:v>
                </c:pt>
                <c:pt idx="22">
                  <c:v>3.5217079749797153E-2</c:v>
                </c:pt>
                <c:pt idx="23">
                  <c:v>3.5230286817787615E-2</c:v>
                </c:pt>
                <c:pt idx="24">
                  <c:v>3.5243493704984363E-2</c:v>
                </c:pt>
                <c:pt idx="25">
                  <c:v>3.5256700411389841E-2</c:v>
                </c:pt>
                <c:pt idx="26">
                  <c:v>3.5269906937006712E-2</c:v>
                </c:pt>
                <c:pt idx="27">
                  <c:v>3.5283113281837308E-2</c:v>
                </c:pt>
                <c:pt idx="28">
                  <c:v>3.5296319445884183E-2</c:v>
                </c:pt>
                <c:pt idx="29">
                  <c:v>3.5309525429149669E-2</c:v>
                </c:pt>
                <c:pt idx="30">
                  <c:v>3.5322731231636428E-2</c:v>
                </c:pt>
                <c:pt idx="31">
                  <c:v>3.5335936853346794E-2</c:v>
                </c:pt>
                <c:pt idx="32">
                  <c:v>3.534914229428332E-2</c:v>
                </c:pt>
                <c:pt idx="33">
                  <c:v>3.5362347554448448E-2</c:v>
                </c:pt>
                <c:pt idx="34">
                  <c:v>3.537555263384462E-2</c:v>
                </c:pt>
                <c:pt idx="35">
                  <c:v>3.538875753247428E-2</c:v>
                </c:pt>
                <c:pt idx="36">
                  <c:v>3.5401962250340091E-2</c:v>
                </c:pt>
                <c:pt idx="37">
                  <c:v>3.5415166787444274E-2</c:v>
                </c:pt>
                <c:pt idx="38">
                  <c:v>3.5428371143789605E-2</c:v>
                </c:pt>
                <c:pt idx="39">
                  <c:v>3.5441575319378193E-2</c:v>
                </c:pt>
                <c:pt idx="40">
                  <c:v>3.5454779314212814E-2</c:v>
                </c:pt>
                <c:pt idx="41">
                  <c:v>3.5467983128295799E-2</c:v>
                </c:pt>
                <c:pt idx="42">
                  <c:v>3.5481186761629702E-2</c:v>
                </c:pt>
                <c:pt idx="43">
                  <c:v>3.5494390214216964E-2</c:v>
                </c:pt>
                <c:pt idx="44">
                  <c:v>3.550759348606003E-2</c:v>
                </c:pt>
                <c:pt idx="45">
                  <c:v>3.552079657716134E-2</c:v>
                </c:pt>
                <c:pt idx="46">
                  <c:v>3.5533999487523449E-2</c:v>
                </c:pt>
                <c:pt idx="47">
                  <c:v>3.5547202217148799E-2</c:v>
                </c:pt>
                <c:pt idx="48">
                  <c:v>3.5560404766039944E-2</c:v>
                </c:pt>
                <c:pt idx="49">
                  <c:v>3.5573607134199214E-2</c:v>
                </c:pt>
                <c:pt idx="50">
                  <c:v>3.5586809321629165E-2</c:v>
                </c:pt>
                <c:pt idx="51">
                  <c:v>3.5600011328332237E-2</c:v>
                </c:pt>
                <c:pt idx="52">
                  <c:v>3.5613213154310874E-2</c:v>
                </c:pt>
                <c:pt idx="53">
                  <c:v>3.5626414799567629E-2</c:v>
                </c:pt>
                <c:pt idx="54">
                  <c:v>3.5639616264105056E-2</c:v>
                </c:pt>
                <c:pt idx="55">
                  <c:v>3.5652817547925375E-2</c:v>
                </c:pt>
                <c:pt idx="56">
                  <c:v>3.566601865103125E-2</c:v>
                </c:pt>
                <c:pt idx="57">
                  <c:v>3.5679219573425125E-2</c:v>
                </c:pt>
                <c:pt idx="58">
                  <c:v>3.5692420315109552E-2</c:v>
                </c:pt>
                <c:pt idx="59">
                  <c:v>3.5705620876086752E-2</c:v>
                </c:pt>
                <c:pt idx="60">
                  <c:v>3.5718821256359501E-2</c:v>
                </c:pt>
                <c:pt idx="61">
                  <c:v>3.5732021455930019E-2</c:v>
                </c:pt>
                <c:pt idx="62">
                  <c:v>3.5745221474800859E-2</c:v>
                </c:pt>
                <c:pt idx="63">
                  <c:v>3.5758421312974686E-2</c:v>
                </c:pt>
                <c:pt idx="64">
                  <c:v>3.5771620970453721E-2</c:v>
                </c:pt>
                <c:pt idx="65">
                  <c:v>3.5784820447240517E-2</c:v>
                </c:pt>
                <c:pt idx="66">
                  <c:v>3.5798019743337517E-2</c:v>
                </c:pt>
                <c:pt idx="67">
                  <c:v>3.5811218858747274E-2</c:v>
                </c:pt>
                <c:pt idx="68">
                  <c:v>3.582441779347223E-2</c:v>
                </c:pt>
                <c:pt idx="69">
                  <c:v>3.5837616547514939E-2</c:v>
                </c:pt>
                <c:pt idx="70">
                  <c:v>3.5850815120877622E-2</c:v>
                </c:pt>
                <c:pt idx="71">
                  <c:v>3.5864013513563053E-2</c:v>
                </c:pt>
                <c:pt idx="72">
                  <c:v>3.5877211725573566E-2</c:v>
                </c:pt>
                <c:pt idx="73">
                  <c:v>3.5890409756911601E-2</c:v>
                </c:pt>
                <c:pt idx="74">
                  <c:v>3.5903607607579602E-2</c:v>
                </c:pt>
                <c:pt idx="75">
                  <c:v>3.5916805277580233E-2</c:v>
                </c:pt>
                <c:pt idx="76">
                  <c:v>3.5930002766915825E-2</c:v>
                </c:pt>
                <c:pt idx="77">
                  <c:v>3.5943200075588821E-2</c:v>
                </c:pt>
                <c:pt idx="78">
                  <c:v>3.5956397203601775E-2</c:v>
                </c:pt>
                <c:pt idx="79">
                  <c:v>3.5969594150957129E-2</c:v>
                </c:pt>
                <c:pt idx="80">
                  <c:v>3.5982790917657326E-2</c:v>
                </c:pt>
                <c:pt idx="81">
                  <c:v>3.5995987503704918E-2</c:v>
                </c:pt>
                <c:pt idx="82">
                  <c:v>3.6009183909102238E-2</c:v>
                </c:pt>
                <c:pt idx="83">
                  <c:v>3.602238013385195E-2</c:v>
                </c:pt>
                <c:pt idx="84">
                  <c:v>3.6035576177956385E-2</c:v>
                </c:pt>
                <c:pt idx="85">
                  <c:v>3.6048772041417987E-2</c:v>
                </c:pt>
                <c:pt idx="86">
                  <c:v>3.6061967724239419E-2</c:v>
                </c:pt>
                <c:pt idx="87">
                  <c:v>3.6075163226423013E-2</c:v>
                </c:pt>
                <c:pt idx="88">
                  <c:v>3.6088358547971211E-2</c:v>
                </c:pt>
                <c:pt idx="89">
                  <c:v>3.6101553688886567E-2</c:v>
                </c:pt>
                <c:pt idx="90">
                  <c:v>3.6114748649171524E-2</c:v>
                </c:pt>
                <c:pt idx="91">
                  <c:v>3.6127943428828524E-2</c:v>
                </c:pt>
                <c:pt idx="92">
                  <c:v>3.614113802786012E-2</c:v>
                </c:pt>
                <c:pt idx="93">
                  <c:v>3.6154332446268755E-2</c:v>
                </c:pt>
                <c:pt idx="94">
                  <c:v>3.6167526684056761E-2</c:v>
                </c:pt>
                <c:pt idx="95">
                  <c:v>3.6180720741226802E-2</c:v>
                </c:pt>
                <c:pt idx="96">
                  <c:v>3.619391461778132E-2</c:v>
                </c:pt>
                <c:pt idx="97">
                  <c:v>3.6207108313722758E-2</c:v>
                </c:pt>
                <c:pt idx="98">
                  <c:v>3.6220301829053558E-2</c:v>
                </c:pt>
                <c:pt idx="99">
                  <c:v>3.6233495163776164E-2</c:v>
                </c:pt>
                <c:pt idx="100">
                  <c:v>3.6246688317893128E-2</c:v>
                </c:pt>
                <c:pt idx="101">
                  <c:v>3.6259881291406892E-2</c:v>
                </c:pt>
                <c:pt idx="102">
                  <c:v>3.6273074084319901E-2</c:v>
                </c:pt>
                <c:pt idx="103">
                  <c:v>3.6286266696634706E-2</c:v>
                </c:pt>
                <c:pt idx="104">
                  <c:v>3.6299459128353639E-2</c:v>
                </c:pt>
                <c:pt idx="105">
                  <c:v>3.6312651379479366E-2</c:v>
                </c:pt>
                <c:pt idx="106">
                  <c:v>3.6325843450014217E-2</c:v>
                </c:pt>
                <c:pt idx="107">
                  <c:v>3.6339035339960635E-2</c:v>
                </c:pt>
                <c:pt idx="108">
                  <c:v>3.6352227049321284E-2</c:v>
                </c:pt>
                <c:pt idx="109">
                  <c:v>3.6365418578098385E-2</c:v>
                </c:pt>
                <c:pt idx="110">
                  <c:v>3.6378609926294603E-2</c:v>
                </c:pt>
                <c:pt idx="111">
                  <c:v>3.6391801093912379E-2</c:v>
                </c:pt>
                <c:pt idx="112">
                  <c:v>3.6404992080954046E-2</c:v>
                </c:pt>
                <c:pt idx="113">
                  <c:v>3.6418182887422268E-2</c:v>
                </c:pt>
                <c:pt idx="114">
                  <c:v>3.6431373513319376E-2</c:v>
                </c:pt>
                <c:pt idx="115">
                  <c:v>3.6444563958647924E-2</c:v>
                </c:pt>
                <c:pt idx="116">
                  <c:v>3.6457754223410355E-2</c:v>
                </c:pt>
                <c:pt idx="117">
                  <c:v>3.647094430760911E-2</c:v>
                </c:pt>
                <c:pt idx="118">
                  <c:v>3.6484134211246633E-2</c:v>
                </c:pt>
                <c:pt idx="119">
                  <c:v>3.6497323934325476E-2</c:v>
                </c:pt>
                <c:pt idx="120">
                  <c:v>3.6510513476848194E-2</c:v>
                </c:pt>
                <c:pt idx="121">
                  <c:v>3.6523702838817007E-2</c:v>
                </c:pt>
                <c:pt idx="122">
                  <c:v>3.653689202023469E-2</c:v>
                </c:pt>
                <c:pt idx="123">
                  <c:v>3.6550081021103464E-2</c:v>
                </c:pt>
                <c:pt idx="124">
                  <c:v>3.6563269841425883E-2</c:v>
                </c:pt>
                <c:pt idx="125">
                  <c:v>3.6576458481204388E-2</c:v>
                </c:pt>
                <c:pt idx="126">
                  <c:v>3.6589646940441534E-2</c:v>
                </c:pt>
                <c:pt idx="127">
                  <c:v>3.6602835219139762E-2</c:v>
                </c:pt>
                <c:pt idx="128">
                  <c:v>3.6616023317301516E-2</c:v>
                </c:pt>
                <c:pt idx="129">
                  <c:v>3.6629211234929349E-2</c:v>
                </c:pt>
                <c:pt idx="130">
                  <c:v>3.6642398972025592E-2</c:v>
                </c:pt>
                <c:pt idx="131">
                  <c:v>3.6655586528592798E-2</c:v>
                </c:pt>
                <c:pt idx="132">
                  <c:v>3.6668773904633412E-2</c:v>
                </c:pt>
                <c:pt idx="133">
                  <c:v>3.6681961100149985E-2</c:v>
                </c:pt>
                <c:pt idx="134">
                  <c:v>3.6695148115144849E-2</c:v>
                </c:pt>
                <c:pt idx="135">
                  <c:v>3.6708334949620558E-2</c:v>
                </c:pt>
                <c:pt idx="136">
                  <c:v>3.6721521603579665E-2</c:v>
                </c:pt>
                <c:pt idx="137">
                  <c:v>3.6734708077024503E-2</c:v>
                </c:pt>
                <c:pt idx="138">
                  <c:v>3.6747894369957512E-2</c:v>
                </c:pt>
                <c:pt idx="139">
                  <c:v>3.6761080482381359E-2</c:v>
                </c:pt>
                <c:pt idx="140">
                  <c:v>3.6774266414298373E-2</c:v>
                </c:pt>
                <c:pt idx="141">
                  <c:v>3.6787452165710999E-2</c:v>
                </c:pt>
                <c:pt idx="142">
                  <c:v>3.6800637736621788E-2</c:v>
                </c:pt>
                <c:pt idx="143">
                  <c:v>3.6813823127033185E-2</c:v>
                </c:pt>
                <c:pt idx="144">
                  <c:v>3.6827008336947742E-2</c:v>
                </c:pt>
                <c:pt idx="145">
                  <c:v>3.6840193366367679E-2</c:v>
                </c:pt>
                <c:pt idx="146">
                  <c:v>3.6853378215295773E-2</c:v>
                </c:pt>
                <c:pt idx="147">
                  <c:v>3.6866562883734355E-2</c:v>
                </c:pt>
                <c:pt idx="148">
                  <c:v>3.6879747371685867E-2</c:v>
                </c:pt>
                <c:pt idx="149">
                  <c:v>3.6892931679152752E-2</c:v>
                </c:pt>
                <c:pt idx="150">
                  <c:v>3.6906115806137563E-2</c:v>
                </c:pt>
                <c:pt idx="151">
                  <c:v>3.6919299752642853E-2</c:v>
                </c:pt>
                <c:pt idx="152">
                  <c:v>3.6932483518670844E-2</c:v>
                </c:pt>
                <c:pt idx="153">
                  <c:v>3.69456671042242E-2</c:v>
                </c:pt>
                <c:pt idx="154">
                  <c:v>3.6958850509305363E-2</c:v>
                </c:pt>
                <c:pt idx="155">
                  <c:v>3.6972033733916776E-2</c:v>
                </c:pt>
                <c:pt idx="156">
                  <c:v>3.6985216778060881E-2</c:v>
                </c:pt>
                <c:pt idx="157">
                  <c:v>3.6998399641740232E-2</c:v>
                </c:pt>
                <c:pt idx="158">
                  <c:v>3.7011582324957271E-2</c:v>
                </c:pt>
                <c:pt idx="159">
                  <c:v>3.7024764827714329E-2</c:v>
                </c:pt>
                <c:pt idx="160">
                  <c:v>3.7037947150014072E-2</c:v>
                </c:pt>
                <c:pt idx="161">
                  <c:v>3.7051129291858942E-2</c:v>
                </c:pt>
                <c:pt idx="162">
                  <c:v>3.706431125325127E-2</c:v>
                </c:pt>
                <c:pt idx="163">
                  <c:v>3.707749303419372E-2</c:v>
                </c:pt>
                <c:pt idx="164">
                  <c:v>3.7090674634688625E-2</c:v>
                </c:pt>
                <c:pt idx="165">
                  <c:v>3.7103856054738427E-2</c:v>
                </c:pt>
                <c:pt idx="166">
                  <c:v>3.7117037294345678E-2</c:v>
                </c:pt>
                <c:pt idx="167">
                  <c:v>3.7130218353512823E-2</c:v>
                </c:pt>
                <c:pt idx="168">
                  <c:v>3.7143399232242302E-2</c:v>
                </c:pt>
                <c:pt idx="169">
                  <c:v>3.7156579930536671E-2</c:v>
                </c:pt>
                <c:pt idx="170">
                  <c:v>3.716976044839837E-2</c:v>
                </c:pt>
                <c:pt idx="171">
                  <c:v>3.7182940785829843E-2</c:v>
                </c:pt>
                <c:pt idx="172">
                  <c:v>3.7196120942833533E-2</c:v>
                </c:pt>
                <c:pt idx="173">
                  <c:v>3.7209300919411992E-2</c:v>
                </c:pt>
                <c:pt idx="174">
                  <c:v>3.7222480715567552E-2</c:v>
                </c:pt>
                <c:pt idx="175">
                  <c:v>3.7235660331302878E-2</c:v>
                </c:pt>
                <c:pt idx="176">
                  <c:v>3.7248839766620301E-2</c:v>
                </c:pt>
                <c:pt idx="177">
                  <c:v>3.7262019021522264E-2</c:v>
                </c:pt>
                <c:pt idx="178">
                  <c:v>3.7275198096011319E-2</c:v>
                </c:pt>
                <c:pt idx="179">
                  <c:v>3.7288376990089911E-2</c:v>
                </c:pt>
                <c:pt idx="180">
                  <c:v>3.7301555703760592E-2</c:v>
                </c:pt>
                <c:pt idx="181">
                  <c:v>3.7314734237025582E-2</c:v>
                </c:pt>
                <c:pt idx="182">
                  <c:v>3.7327912589887657E-2</c:v>
                </c:pt>
                <c:pt idx="183">
                  <c:v>3.7341090762349149E-2</c:v>
                </c:pt>
                <c:pt idx="184">
                  <c:v>3.735426875441239E-2</c:v>
                </c:pt>
                <c:pt idx="185">
                  <c:v>3.7367446566080154E-2</c:v>
                </c:pt>
                <c:pt idx="186">
                  <c:v>3.7380624197354662E-2</c:v>
                </c:pt>
                <c:pt idx="187">
                  <c:v>3.7393801648238467E-2</c:v>
                </c:pt>
                <c:pt idx="188">
                  <c:v>3.7406978918734013E-2</c:v>
                </c:pt>
                <c:pt idx="189">
                  <c:v>3.7420156008843852E-2</c:v>
                </c:pt>
                <c:pt idx="190">
                  <c:v>3.7433332918570317E-2</c:v>
                </c:pt>
                <c:pt idx="191">
                  <c:v>3.744650964791596E-2</c:v>
                </c:pt>
                <c:pt idx="192">
                  <c:v>3.7459686196883335E-2</c:v>
                </c:pt>
                <c:pt idx="193">
                  <c:v>3.7472862565474774E-2</c:v>
                </c:pt>
                <c:pt idx="194">
                  <c:v>3.7486038753692719E-2</c:v>
                </c:pt>
                <c:pt idx="195">
                  <c:v>3.7499214761539834E-2</c:v>
                </c:pt>
                <c:pt idx="196">
                  <c:v>3.7512390589018341E-2</c:v>
                </c:pt>
                <c:pt idx="197">
                  <c:v>3.7525566236130903E-2</c:v>
                </c:pt>
                <c:pt idx="198">
                  <c:v>3.7538741702879963E-2</c:v>
                </c:pt>
                <c:pt idx="199">
                  <c:v>3.7551916989267853E-2</c:v>
                </c:pt>
                <c:pt idx="200">
                  <c:v>3.7565092095297237E-2</c:v>
                </c:pt>
                <c:pt idx="201">
                  <c:v>3.7578267020970446E-2</c:v>
                </c:pt>
                <c:pt idx="202">
                  <c:v>3.7591441766289924E-2</c:v>
                </c:pt>
                <c:pt idx="203">
                  <c:v>3.7604616331258223E-2</c:v>
                </c:pt>
                <c:pt idx="204">
                  <c:v>3.7617790715877897E-2</c:v>
                </c:pt>
                <c:pt idx="205">
                  <c:v>3.7630964920151166E-2</c:v>
                </c:pt>
                <c:pt idx="206">
                  <c:v>3.7644138944080696E-2</c:v>
                </c:pt>
                <c:pt idx="207">
                  <c:v>3.7657312787668928E-2</c:v>
                </c:pt>
                <c:pt idx="208">
                  <c:v>3.7670486450918306E-2</c:v>
                </c:pt>
                <c:pt idx="209">
                  <c:v>3.7683659933831271E-2</c:v>
                </c:pt>
                <c:pt idx="210">
                  <c:v>3.7696833236410376E-2</c:v>
                </c:pt>
                <c:pt idx="211">
                  <c:v>3.7710006358657955E-2</c:v>
                </c:pt>
                <c:pt idx="212">
                  <c:v>3.7723179300576559E-2</c:v>
                </c:pt>
                <c:pt idx="213">
                  <c:v>3.7736352062168632E-2</c:v>
                </c:pt>
                <c:pt idx="214">
                  <c:v>3.7749524643436727E-2</c:v>
                </c:pt>
                <c:pt idx="215">
                  <c:v>3.7762697044383287E-2</c:v>
                </c:pt>
                <c:pt idx="216">
                  <c:v>3.7775869265010642E-2</c:v>
                </c:pt>
                <c:pt idx="217">
                  <c:v>3.7789041305321347E-2</c:v>
                </c:pt>
                <c:pt idx="218">
                  <c:v>3.7802213165317955E-2</c:v>
                </c:pt>
                <c:pt idx="219">
                  <c:v>3.7815384845002797E-2</c:v>
                </c:pt>
                <c:pt idx="220">
                  <c:v>3.7828556344378428E-2</c:v>
                </c:pt>
                <c:pt idx="221">
                  <c:v>3.7841727663447289E-2</c:v>
                </c:pt>
                <c:pt idx="222">
                  <c:v>3.7854898802211934E-2</c:v>
                </c:pt>
                <c:pt idx="223">
                  <c:v>3.7868069760674583E-2</c:v>
                </c:pt>
                <c:pt idx="224">
                  <c:v>3.7881240538838012E-2</c:v>
                </c:pt>
                <c:pt idx="225">
                  <c:v>3.7894411136704553E-2</c:v>
                </c:pt>
                <c:pt idx="226">
                  <c:v>3.7907581554276537E-2</c:v>
                </c:pt>
                <c:pt idx="227">
                  <c:v>3.7920751791556739E-2</c:v>
                </c:pt>
                <c:pt idx="228">
                  <c:v>3.793392184854727E-2</c:v>
                </c:pt>
                <c:pt idx="229">
                  <c:v>3.7947091725250903E-2</c:v>
                </c:pt>
                <c:pt idx="230">
                  <c:v>3.7960261421669972E-2</c:v>
                </c:pt>
                <c:pt idx="231">
                  <c:v>3.7973430937806918E-2</c:v>
                </c:pt>
                <c:pt idx="232">
                  <c:v>3.7986600273664295E-2</c:v>
                </c:pt>
                <c:pt idx="233">
                  <c:v>3.7999769429244434E-2</c:v>
                </c:pt>
                <c:pt idx="234">
                  <c:v>3.8012938404550001E-2</c:v>
                </c:pt>
                <c:pt idx="235">
                  <c:v>3.8026107199583326E-2</c:v>
                </c:pt>
                <c:pt idx="236">
                  <c:v>3.8039275814346851E-2</c:v>
                </c:pt>
                <c:pt idx="237">
                  <c:v>3.8052444248843131E-2</c:v>
                </c:pt>
                <c:pt idx="238">
                  <c:v>3.8065612503074608E-2</c:v>
                </c:pt>
                <c:pt idx="239">
                  <c:v>3.8078780577043725E-2</c:v>
                </c:pt>
                <c:pt idx="240">
                  <c:v>3.8091948470753034E-2</c:v>
                </c:pt>
                <c:pt idx="241">
                  <c:v>3.8105116184204868E-2</c:v>
                </c:pt>
                <c:pt idx="242">
                  <c:v>3.811828371740178E-2</c:v>
                </c:pt>
                <c:pt idx="243">
                  <c:v>3.8131451070346212E-2</c:v>
                </c:pt>
                <c:pt idx="244">
                  <c:v>3.8144618243040607E-2</c:v>
                </c:pt>
                <c:pt idx="245">
                  <c:v>3.8157785235487518E-2</c:v>
                </c:pt>
                <c:pt idx="246">
                  <c:v>3.8170952047689388E-2</c:v>
                </c:pt>
                <c:pt idx="247">
                  <c:v>3.8184118679648549E-2</c:v>
                </c:pt>
                <c:pt idx="248">
                  <c:v>3.8197285131367664E-2</c:v>
                </c:pt>
                <c:pt idx="249">
                  <c:v>3.8210451402849066E-2</c:v>
                </c:pt>
                <c:pt idx="250">
                  <c:v>3.8223617494095308E-2</c:v>
                </c:pt>
                <c:pt idx="251">
                  <c:v>3.8236783405108832E-2</c:v>
                </c:pt>
                <c:pt idx="252">
                  <c:v>3.824994913589197E-2</c:v>
                </c:pt>
                <c:pt idx="253">
                  <c:v>3.8263114686447386E-2</c:v>
                </c:pt>
                <c:pt idx="254">
                  <c:v>3.8276280056777523E-2</c:v>
                </c:pt>
                <c:pt idx="255">
                  <c:v>3.8289445246884712E-2</c:v>
                </c:pt>
                <c:pt idx="256">
                  <c:v>3.8302610256771619E-2</c:v>
                </c:pt>
                <c:pt idx="257">
                  <c:v>3.8315775086440462E-2</c:v>
                </c:pt>
                <c:pt idx="258">
                  <c:v>3.8328939735893908E-2</c:v>
                </c:pt>
                <c:pt idx="259">
                  <c:v>3.8342104205134397E-2</c:v>
                </c:pt>
                <c:pt idx="260">
                  <c:v>3.8355268494164263E-2</c:v>
                </c:pt>
                <c:pt idx="261">
                  <c:v>3.8368432602986169E-2</c:v>
                </c:pt>
                <c:pt idx="262">
                  <c:v>3.8381596531602447E-2</c:v>
                </c:pt>
                <c:pt idx="263">
                  <c:v>3.8394760280015539E-2</c:v>
                </c:pt>
                <c:pt idx="264">
                  <c:v>3.8407923848227998E-2</c:v>
                </c:pt>
                <c:pt idx="265">
                  <c:v>3.8421087236242268E-2</c:v>
                </c:pt>
                <c:pt idx="266">
                  <c:v>3.8434250444060791E-2</c:v>
                </c:pt>
                <c:pt idx="267">
                  <c:v>3.844741347168612E-2</c:v>
                </c:pt>
                <c:pt idx="268">
                  <c:v>3.8460576319120587E-2</c:v>
                </c:pt>
                <c:pt idx="269">
                  <c:v>3.8473738986366746E-2</c:v>
                </c:pt>
                <c:pt idx="270">
                  <c:v>3.8486901473427038E-2</c:v>
                </c:pt>
                <c:pt idx="271">
                  <c:v>3.8500063780304017E-2</c:v>
                </c:pt>
                <c:pt idx="272">
                  <c:v>3.8513225906999904E-2</c:v>
                </c:pt>
                <c:pt idx="273">
                  <c:v>3.8526387853517474E-2</c:v>
                </c:pt>
                <c:pt idx="274">
                  <c:v>3.8539549619858948E-2</c:v>
                </c:pt>
                <c:pt idx="275">
                  <c:v>3.8552711206026991E-2</c:v>
                </c:pt>
                <c:pt idx="276">
                  <c:v>3.8565872612023933E-2</c:v>
                </c:pt>
                <c:pt idx="277">
                  <c:v>3.8579033837852217E-2</c:v>
                </c:pt>
                <c:pt idx="278">
                  <c:v>3.8592194883514508E-2</c:v>
                </c:pt>
                <c:pt idx="279">
                  <c:v>3.8605355749013026E-2</c:v>
                </c:pt>
                <c:pt idx="280">
                  <c:v>3.8618516434350325E-2</c:v>
                </c:pt>
                <c:pt idx="281">
                  <c:v>3.8631676939528958E-2</c:v>
                </c:pt>
                <c:pt idx="282">
                  <c:v>3.8644837264551368E-2</c:v>
                </c:pt>
                <c:pt idx="283">
                  <c:v>3.8657997409419886E-2</c:v>
                </c:pt>
                <c:pt idx="284">
                  <c:v>3.8671157374137066E-2</c:v>
                </c:pt>
                <c:pt idx="285">
                  <c:v>3.8684317158705461E-2</c:v>
                </c:pt>
                <c:pt idx="286">
                  <c:v>3.8697476763127403E-2</c:v>
                </c:pt>
                <c:pt idx="287">
                  <c:v>3.8710636187405445E-2</c:v>
                </c:pt>
                <c:pt idx="288">
                  <c:v>3.872379543154203E-2</c:v>
                </c:pt>
                <c:pt idx="289">
                  <c:v>3.8736954495539599E-2</c:v>
                </c:pt>
                <c:pt idx="290">
                  <c:v>3.8750113379400597E-2</c:v>
                </c:pt>
                <c:pt idx="291">
                  <c:v>3.8763272083127576E-2</c:v>
                </c:pt>
                <c:pt idx="292">
                  <c:v>3.8776430606722867E-2</c:v>
                </c:pt>
                <c:pt idx="293">
                  <c:v>3.8789588950189136E-2</c:v>
                </c:pt>
                <c:pt idx="294">
                  <c:v>3.8802747113528602E-2</c:v>
                </c:pt>
                <c:pt idx="295">
                  <c:v>3.881590509674393E-2</c:v>
                </c:pt>
                <c:pt idx="296">
                  <c:v>3.8829062899837563E-2</c:v>
                </c:pt>
                <c:pt idx="297">
                  <c:v>3.8842220522811832E-2</c:v>
                </c:pt>
                <c:pt idx="298">
                  <c:v>3.8855377965669402E-2</c:v>
                </c:pt>
                <c:pt idx="299">
                  <c:v>3.8868535228412493E-2</c:v>
                </c:pt>
                <c:pt idx="300">
                  <c:v>3.888169231104377E-2</c:v>
                </c:pt>
                <c:pt idx="301">
                  <c:v>3.8894849213565674E-2</c:v>
                </c:pt>
                <c:pt idx="302">
                  <c:v>3.890800593598065E-2</c:v>
                </c:pt>
                <c:pt idx="303">
                  <c:v>3.8921162478291027E-2</c:v>
                </c:pt>
                <c:pt idx="304">
                  <c:v>3.8934318840499471E-2</c:v>
                </c:pt>
                <c:pt idx="305">
                  <c:v>3.8947475022608313E-2</c:v>
                </c:pt>
                <c:pt idx="306">
                  <c:v>3.8960631024620107E-2</c:v>
                </c:pt>
                <c:pt idx="307">
                  <c:v>3.8973786846537295E-2</c:v>
                </c:pt>
                <c:pt idx="308">
                  <c:v>3.8986942488362319E-2</c:v>
                </c:pt>
                <c:pt idx="309">
                  <c:v>3.9000097950097623E-2</c:v>
                </c:pt>
                <c:pt idx="310">
                  <c:v>3.9013253231745759E-2</c:v>
                </c:pt>
                <c:pt idx="311">
                  <c:v>3.902640833330917E-2</c:v>
                </c:pt>
                <c:pt idx="312">
                  <c:v>3.9039563254790188E-2</c:v>
                </c:pt>
                <c:pt idx="313">
                  <c:v>3.9052717996191366E-2</c:v>
                </c:pt>
                <c:pt idx="314">
                  <c:v>3.9065872557515258E-2</c:v>
                </c:pt>
                <c:pt idx="315">
                  <c:v>3.9079026938764194E-2</c:v>
                </c:pt>
                <c:pt idx="316">
                  <c:v>3.9092181139940729E-2</c:v>
                </c:pt>
                <c:pt idx="317">
                  <c:v>3.9105335161047305E-2</c:v>
                </c:pt>
                <c:pt idx="318">
                  <c:v>3.9118489002086365E-2</c:v>
                </c:pt>
                <c:pt idx="319">
                  <c:v>3.9131642663060351E-2</c:v>
                </c:pt>
                <c:pt idx="320">
                  <c:v>3.9144796143971816E-2</c:v>
                </c:pt>
                <c:pt idx="321">
                  <c:v>3.9157949444823203E-2</c:v>
                </c:pt>
                <c:pt idx="322">
                  <c:v>3.9171102565616844E-2</c:v>
                </c:pt>
                <c:pt idx="323">
                  <c:v>3.9184255506355403E-2</c:v>
                </c:pt>
                <c:pt idx="324">
                  <c:v>3.9197408267041212E-2</c:v>
                </c:pt>
                <c:pt idx="325">
                  <c:v>3.9210560847676823E-2</c:v>
                </c:pt>
                <c:pt idx="326">
                  <c:v>3.9223713248264569E-2</c:v>
                </c:pt>
                <c:pt idx="327">
                  <c:v>3.9236865468807003E-2</c:v>
                </c:pt>
                <c:pt idx="328">
                  <c:v>3.9250017509306567E-2</c:v>
                </c:pt>
                <c:pt idx="329">
                  <c:v>3.9263169369765816E-2</c:v>
                </c:pt>
                <c:pt idx="330">
                  <c:v>3.927632105018708E-2</c:v>
                </c:pt>
                <c:pt idx="331">
                  <c:v>3.9289472550572913E-2</c:v>
                </c:pt>
                <c:pt idx="332">
                  <c:v>3.9302623870925757E-2</c:v>
                </c:pt>
                <c:pt idx="333">
                  <c:v>3.9315775011248055E-2</c:v>
                </c:pt>
                <c:pt idx="334">
                  <c:v>3.9328925971542361E-2</c:v>
                </c:pt>
                <c:pt idx="335">
                  <c:v>3.9342076751810895E-2</c:v>
                </c:pt>
                <c:pt idx="336">
                  <c:v>3.9355227352056432E-2</c:v>
                </c:pt>
                <c:pt idx="337">
                  <c:v>3.9368377772281193E-2</c:v>
                </c:pt>
                <c:pt idx="338">
                  <c:v>3.9381528012487843E-2</c:v>
                </c:pt>
                <c:pt idx="339">
                  <c:v>3.9394678072678713E-2</c:v>
                </c:pt>
                <c:pt idx="340">
                  <c:v>3.9407827952856245E-2</c:v>
                </c:pt>
                <c:pt idx="341">
                  <c:v>3.9420977653023104E-2</c:v>
                </c:pt>
                <c:pt idx="342">
                  <c:v>3.943412717318151E-2</c:v>
                </c:pt>
                <c:pt idx="343">
                  <c:v>3.9447276513334018E-2</c:v>
                </c:pt>
                <c:pt idx="344">
                  <c:v>3.9460425673483068E-2</c:v>
                </c:pt>
                <c:pt idx="345">
                  <c:v>3.9473574653631216E-2</c:v>
                </c:pt>
                <c:pt idx="346">
                  <c:v>3.9486723453780903E-2</c:v>
                </c:pt>
                <c:pt idx="347">
                  <c:v>3.9499872073934461E-2</c:v>
                </c:pt>
                <c:pt idx="348">
                  <c:v>3.9513020514094555E-2</c:v>
                </c:pt>
                <c:pt idx="349">
                  <c:v>3.9526168774263404E-2</c:v>
                </c:pt>
                <c:pt idx="350">
                  <c:v>3.9539316854443785E-2</c:v>
                </c:pt>
                <c:pt idx="351">
                  <c:v>3.9552464754637917E-2</c:v>
                </c:pt>
                <c:pt idx="352">
                  <c:v>3.9565612474848244E-2</c:v>
                </c:pt>
                <c:pt idx="353">
                  <c:v>3.957876001507743E-2</c:v>
                </c:pt>
                <c:pt idx="354">
                  <c:v>3.9591907375327806E-2</c:v>
                </c:pt>
                <c:pt idx="355">
                  <c:v>3.9605054555601815E-2</c:v>
                </c:pt>
                <c:pt idx="356">
                  <c:v>3.9618201555902011E-2</c:v>
                </c:pt>
                <c:pt idx="357">
                  <c:v>3.9631348376230835E-2</c:v>
                </c:pt>
                <c:pt idx="358">
                  <c:v>3.9644495016590731E-2</c:v>
                </c:pt>
                <c:pt idx="359">
                  <c:v>3.965764147698414E-2</c:v>
                </c:pt>
                <c:pt idx="360">
                  <c:v>3.9670787757413506E-2</c:v>
                </c:pt>
                <c:pt idx="361">
                  <c:v>3.9683933857881382E-2</c:v>
                </c:pt>
                <c:pt idx="362">
                  <c:v>3.969707977839021E-2</c:v>
                </c:pt>
                <c:pt idx="363">
                  <c:v>3.9710225518942321E-2</c:v>
                </c:pt>
                <c:pt idx="364">
                  <c:v>3.9723371079540382E-2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'2029'!$O$15:$O$380</c:f>
              <c:numCache>
                <c:formatCode>0.00%</c:formatCode>
                <c:ptCount val="366"/>
                <c:pt idx="0">
                  <c:v>3.42727714967953E-2</c:v>
                </c:pt>
                <c:pt idx="1">
                  <c:v>3.4313182254354681E-2</c:v>
                </c:pt>
                <c:pt idx="2">
                  <c:v>3.4353628828264648E-2</c:v>
                </c:pt>
                <c:pt idx="3">
                  <c:v>3.4394103490463984E-2</c:v>
                </c:pt>
                <c:pt idx="4">
                  <c:v>3.4434599512874225E-2</c:v>
                </c:pt>
                <c:pt idx="5">
                  <c:v>3.4475111140040704E-2</c:v>
                </c:pt>
                <c:pt idx="6">
                  <c:v>3.451563355391922E-2</c:v>
                </c:pt>
                <c:pt idx="7">
                  <c:v>3.4556162831405411E-2</c:v>
                </c:pt>
                <c:pt idx="8">
                  <c:v>3.459669589525978E-2</c:v>
                </c:pt>
                <c:pt idx="9">
                  <c:v>3.4637230459129732E-2</c:v>
                </c:pt>
                <c:pt idx="10">
                  <c:v>3.4677764967410804E-2</c:v>
                </c:pt>
                <c:pt idx="11">
                  <c:v>3.4718298530722731E-2</c:v>
                </c:pt>
                <c:pt idx="12">
                  <c:v>3.4758830857800953E-2</c:v>
                </c:pt>
                <c:pt idx="13">
                  <c:v>3.4799362184621013E-2</c:v>
                </c:pt>
                <c:pt idx="14">
                  <c:v>3.4839893201582345E-2</c:v>
                </c:pt>
                <c:pt idx="15">
                  <c:v>3.4880424979578335E-2</c:v>
                </c:pt>
                <c:pt idx="16">
                  <c:v>3.4920958895772014E-2</c:v>
                </c:pt>
                <c:pt idx="17">
                  <c:v>3.496149655988133E-2</c:v>
                </c:pt>
                <c:pt idx="18">
                  <c:v>3.5002039741755017E-2</c:v>
                </c:pt>
                <c:pt idx="19">
                  <c:v>3.5042590300989621E-2</c:v>
                </c:pt>
                <c:pt idx="20">
                  <c:v>3.5083150119300952E-2</c:v>
                </c:pt>
                <c:pt idx="21">
                  <c:v>3.512372103631993E-2</c:v>
                </c:pt>
                <c:pt idx="22">
                  <c:v>3.5164304789432908E-2</c:v>
                </c:pt>
                <c:pt idx="23">
                  <c:v>3.5204902958231997E-2</c:v>
                </c:pt>
                <c:pt idx="24">
                  <c:v>3.5245516914081475E-2</c:v>
                </c:pt>
                <c:pt idx="25">
                  <c:v>3.5286147775242853E-2</c:v>
                </c:pt>
                <c:pt idx="26">
                  <c:v>3.5326796367934482E-2</c:v>
                </c:pt>
                <c:pt idx="27">
                  <c:v>3.536746319363232E-2</c:v>
                </c:pt>
                <c:pt idx="28">
                  <c:v>3.5408148402847527E-2</c:v>
                </c:pt>
                <c:pt idx="29">
                  <c:v>3.5448851775544202E-2</c:v>
                </c:pt>
                <c:pt idx="30">
                  <c:v>3.5489572708288314E-2</c:v>
                </c:pt>
                <c:pt idx="31">
                  <c:v>3.5530310208146829E-2</c:v>
                </c:pt>
                <c:pt idx="32">
                  <c:v>3.5571062893285314E-2</c:v>
                </c:pt>
                <c:pt idx="33">
                  <c:v>3.5611829000143216E-2</c:v>
                </c:pt>
                <c:pt idx="34">
                  <c:v>3.5652606396999756E-2</c:v>
                </c:pt>
                <c:pt idx="35">
                  <c:v>3.5693392603680318E-2</c:v>
                </c:pt>
                <c:pt idx="36">
                  <c:v>3.5734184817093596E-2</c:v>
                </c:pt>
                <c:pt idx="37">
                  <c:v>3.577497994223517E-2</c:v>
                </c:pt>
                <c:pt idx="38">
                  <c:v>3.5815774628242654E-2</c:v>
                </c:pt>
                <c:pt idx="39">
                  <c:v>3.5856565309042972E-2</c:v>
                </c:pt>
                <c:pt idx="40">
                  <c:v>3.5897348248093264E-2</c:v>
                </c:pt>
                <c:pt idx="41">
                  <c:v>3.5938119586683276E-2</c:v>
                </c:pt>
                <c:pt idx="42">
                  <c:v>3.5978875395240667E-2</c:v>
                </c:pt>
                <c:pt idx="43">
                  <c:v>3.6019611727059746E-2</c:v>
                </c:pt>
                <c:pt idx="44">
                  <c:v>3.6060324673860174E-2</c:v>
                </c:pt>
                <c:pt idx="45">
                  <c:v>3.6101010422574603E-2</c:v>
                </c:pt>
                <c:pt idx="46">
                  <c:v>3.6141665312762944E-2</c:v>
                </c:pt>
                <c:pt idx="47">
                  <c:v>3.6182285894056587E-2</c:v>
                </c:pt>
                <c:pt idx="48">
                  <c:v>3.6222868983046712E-2</c:v>
                </c:pt>
                <c:pt idx="49">
                  <c:v>3.6263411719048885E-2</c:v>
                </c:pt>
                <c:pt idx="50">
                  <c:v>3.6303911618198313E-2</c:v>
                </c:pt>
                <c:pt idx="51">
                  <c:v>3.634436662535899E-2</c:v>
                </c:pt>
                <c:pt idx="52">
                  <c:v>3.6384775163362658E-2</c:v>
                </c:pt>
                <c:pt idx="53">
                  <c:v>3.6425136179130846E-2</c:v>
                </c:pt>
                <c:pt idx="54">
                  <c:v>3.6465449186274784E-2</c:v>
                </c:pt>
                <c:pt idx="55">
                  <c:v>3.6505714303812296E-2</c:v>
                </c:pt>
                <c:pt idx="56">
                  <c:v>3.6545932290688254E-2</c:v>
                </c:pt>
                <c:pt idx="57">
                  <c:v>3.658610457583452E-2</c:v>
                </c:pt>
                <c:pt idx="58">
                  <c:v>3.6626233283556534E-2</c:v>
                </c:pt>
                <c:pt idx="59">
                  <c:v>3.6666321254085407E-2</c:v>
                </c:pt>
                <c:pt idx="60">
                  <c:v>3.6706372059186906E-2</c:v>
                </c:pt>
                <c:pt idx="61">
                  <c:v>3.6746390012770462E-2</c:v>
                </c:pt>
                <c:pt idx="62">
                  <c:v>3.6786380176492744E-2</c:v>
                </c:pt>
                <c:pt idx="63">
                  <c:v>3.6826348360399622E-2</c:v>
                </c:pt>
                <c:pt idx="64">
                  <c:v>3.6866301118698395E-2</c:v>
                </c:pt>
                <c:pt idx="65">
                  <c:v>3.6906245740796893E-2</c:v>
                </c:pt>
                <c:pt idx="66">
                  <c:v>3.6946190237788459E-2</c:v>
                </c:pt>
                <c:pt idx="67">
                  <c:v>3.6986143324600408E-2</c:v>
                </c:pt>
                <c:pt idx="68">
                  <c:v>3.7026114398058439E-2</c:v>
                </c:pt>
                <c:pt idx="69">
                  <c:v>3.7066113511150078E-2</c:v>
                </c:pt>
                <c:pt idx="70">
                  <c:v>3.7106151343796849E-2</c:v>
                </c:pt>
                <c:pt idx="71">
                  <c:v>3.7146239170466076E-2</c:v>
                </c:pt>
                <c:pt idx="72">
                  <c:v>3.7186388824970523E-2</c:v>
                </c:pt>
                <c:pt idx="73">
                  <c:v>3.7226612662815461E-2</c:v>
                </c:pt>
                <c:pt idx="74">
                  <c:v>3.7266923521460341E-2</c:v>
                </c:pt>
                <c:pt idx="75">
                  <c:v>3.7307334678863859E-2</c:v>
                </c:pt>
                <c:pt idx="76">
                  <c:v>3.7347859810678848E-2</c:v>
                </c:pt>
                <c:pt idx="77">
                  <c:v>3.7388512946455489E-2</c:v>
                </c:pt>
                <c:pt idx="78">
                  <c:v>3.7429308425200147E-2</c:v>
                </c:pt>
                <c:pt idx="79">
                  <c:v>3.7470260850620565E-2</c:v>
                </c:pt>
                <c:pt idx="80">
                  <c:v>3.7511385046368154E-2</c:v>
                </c:pt>
                <c:pt idx="81">
                  <c:v>3.7552696011564961E-2</c:v>
                </c:pt>
                <c:pt idx="82">
                  <c:v>3.7594208876876013E-2</c:v>
                </c:pt>
                <c:pt idx="83">
                  <c:v>3.7635938861358201E-2</c:v>
                </c:pt>
                <c:pt idx="84">
                  <c:v>3.767790123028579E-2</c:v>
                </c:pt>
                <c:pt idx="85">
                  <c:v>3.7720111254118796E-2</c:v>
                </c:pt>
                <c:pt idx="86">
                  <c:v>3.7762584168746269E-2</c:v>
                </c:pt>
                <c:pt idx="87">
                  <c:v>3.7805335137101034E-2</c:v>
                </c:pt>
                <c:pt idx="88">
                  <c:v>3.7848379212207378E-2</c:v>
                </c:pt>
                <c:pt idx="89">
                  <c:v>3.7891731301687617E-2</c:v>
                </c:pt>
                <c:pt idx="90">
                  <c:v>3.793540613371963E-2</c:v>
                </c:pt>
                <c:pt idx="91">
                  <c:v>3.797941822440469E-2</c:v>
                </c:pt>
                <c:pt idx="92">
                  <c:v>3.8023781846473828E-2</c:v>
                </c:pt>
                <c:pt idx="93">
                  <c:v>3.806851099923219E-2</c:v>
                </c:pt>
                <c:pt idx="94">
                  <c:v>3.8113619379615681E-2</c:v>
                </c:pt>
                <c:pt idx="95">
                  <c:v>3.815912035421077E-2</c:v>
                </c:pt>
                <c:pt idx="96">
                  <c:v>3.8205026932069688E-2</c:v>
                </c:pt>
                <c:pt idx="97">
                  <c:v>3.8251351738137367E-2</c:v>
                </c:pt>
                <c:pt idx="98">
                  <c:v>3.8298106987095813E-2</c:v>
                </c:pt>
                <c:pt idx="99">
                  <c:v>3.8345304457423929E-2</c:v>
                </c:pt>
                <c:pt idx="100">
                  <c:v>3.8392955465468163E-2</c:v>
                </c:pt>
                <c:pt idx="101">
                  <c:v>3.8441070839321557E-2</c:v>
                </c:pt>
                <c:pt idx="102">
                  <c:v>3.8489660892314412E-2</c:v>
                </c:pt>
                <c:pt idx="103">
                  <c:v>3.8538735395930751E-2</c:v>
                </c:pt>
                <c:pt idx="104">
                  <c:v>3.8588303551979716E-2</c:v>
                </c:pt>
                <c:pt idx="105">
                  <c:v>3.8638373963869974E-2</c:v>
                </c:pt>
                <c:pt idx="106">
                  <c:v>3.8688954606858603E-2</c:v>
                </c:pt>
                <c:pt idx="107">
                  <c:v>3.8740052797172304E-2</c:v>
                </c:pt>
                <c:pt idx="108">
                  <c:v>3.8791675159929095E-2</c:v>
                </c:pt>
                <c:pt idx="109">
                  <c:v>3.8843827595821633E-2</c:v>
                </c:pt>
                <c:pt idx="110">
                  <c:v>3.8896515246558662E-2</c:v>
                </c:pt>
                <c:pt idx="111">
                  <c:v>3.8949742459099101E-2</c:v>
                </c:pt>
                <c:pt idx="112">
                  <c:v>3.900351274875196E-2</c:v>
                </c:pt>
                <c:pt idx="113">
                  <c:v>3.9057828761256026E-2</c:v>
                </c:pt>
                <c:pt idx="114">
                  <c:v>3.9112692233993544E-2</c:v>
                </c:pt>
                <c:pt idx="115">
                  <c:v>3.9168103956533119E-2</c:v>
                </c:pt>
                <c:pt idx="116">
                  <c:v>3.9224063730736926E-2</c:v>
                </c:pt>
                <c:pt idx="117">
                  <c:v>3.9280570330706151E-2</c:v>
                </c:pt>
                <c:pt idx="118">
                  <c:v>3.9337621462875547E-2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'2029'!$P$15:$P$380</c:f>
              <c:numCache>
                <c:formatCode>0.00%</c:formatCode>
                <c:ptCount val="366"/>
                <c:pt idx="0">
                  <c:v>2.2307613661583146E-2</c:v>
                </c:pt>
                <c:pt idx="1">
                  <c:v>2.204977629505523E-2</c:v>
                </c:pt>
                <c:pt idx="2">
                  <c:v>2.1796545184621357E-2</c:v>
                </c:pt>
                <c:pt idx="3">
                  <c:v>2.1549969851770198E-2</c:v>
                </c:pt>
                <c:pt idx="4">
                  <c:v>2.1311921921919105E-2</c:v>
                </c:pt>
                <c:pt idx="5">
                  <c:v>2.1084103948695702E-2</c:v>
                </c:pt>
                <c:pt idx="6">
                  <c:v>2.0868061547947892E-2</c:v>
                </c:pt>
                <c:pt idx="7">
                  <c:v>2.0665198030428256E-2</c:v>
                </c:pt>
                <c:pt idx="8">
                  <c:v>2.0472362314553981E-2</c:v>
                </c:pt>
                <c:pt idx="9">
                  <c:v>2.0301979941277665E-2</c:v>
                </c:pt>
                <c:pt idx="10">
                  <c:v>2.0152165512297749E-2</c:v>
                </c:pt>
                <c:pt idx="11">
                  <c:v>2.0022235327381281E-2</c:v>
                </c:pt>
                <c:pt idx="12">
                  <c:v>1.9911502167360335E-2</c:v>
                </c:pt>
                <c:pt idx="13">
                  <c:v>1.9819275859894295E-2</c:v>
                </c:pt>
                <c:pt idx="14">
                  <c:v>1.9744863943171879E-2</c:v>
                </c:pt>
                <c:pt idx="15">
                  <c:v>1.9682131111427695E-2</c:v>
                </c:pt>
                <c:pt idx="16">
                  <c:v>1.9623743615067864E-2</c:v>
                </c:pt>
                <c:pt idx="17">
                  <c:v>1.9569472412873736E-2</c:v>
                </c:pt>
                <c:pt idx="18">
                  <c:v>1.9519091796129633E-2</c:v>
                </c:pt>
                <c:pt idx="19">
                  <c:v>1.9472470447816987E-2</c:v>
                </c:pt>
                <c:pt idx="20">
                  <c:v>1.9429520292557134E-2</c:v>
                </c:pt>
                <c:pt idx="21">
                  <c:v>1.9390084579913994E-2</c:v>
                </c:pt>
                <c:pt idx="22">
                  <c:v>1.9352452132193318E-2</c:v>
                </c:pt>
                <c:pt idx="23">
                  <c:v>1.9262727082087483E-2</c:v>
                </c:pt>
                <c:pt idx="24">
                  <c:v>1.9110326355997381E-2</c:v>
                </c:pt>
                <c:pt idx="25">
                  <c:v>1.8898870396113522E-2</c:v>
                </c:pt>
                <c:pt idx="26">
                  <c:v>1.8631879783485312E-2</c:v>
                </c:pt>
                <c:pt idx="27">
                  <c:v>1.8312746198141511E-2</c:v>
                </c:pt>
                <c:pt idx="28">
                  <c:v>1.7944709270535424E-2</c:v>
                </c:pt>
                <c:pt idx="29">
                  <c:v>1.7491723430229839E-2</c:v>
                </c:pt>
                <c:pt idx="30">
                  <c:v>1.6962793760967595E-2</c:v>
                </c:pt>
                <c:pt idx="31">
                  <c:v>1.6362053907832436E-2</c:v>
                </c:pt>
                <c:pt idx="32">
                  <c:v>1.5693366361936044E-2</c:v>
                </c:pt>
                <c:pt idx="33">
                  <c:v>1.4960312000543059E-2</c:v>
                </c:pt>
                <c:pt idx="34">
                  <c:v>1.4166183716170327E-2</c:v>
                </c:pt>
                <c:pt idx="35">
                  <c:v>1.3313983375300483E-2</c:v>
                </c:pt>
                <c:pt idx="36">
                  <c:v>1.240503579488386E-2</c:v>
                </c:pt>
                <c:pt idx="37">
                  <c:v>1.1464033302834532E-2</c:v>
                </c:pt>
                <c:pt idx="38">
                  <c:v>1.0535439201252859E-2</c:v>
                </c:pt>
                <c:pt idx="39">
                  <c:v>9.6191933350187279E-3</c:v>
                </c:pt>
                <c:pt idx="40">
                  <c:v>8.715188577617692E-3</c:v>
                </c:pt>
                <c:pt idx="41">
                  <c:v>7.8232757161156956E-3</c:v>
                </c:pt>
                <c:pt idx="42">
                  <c:v>6.9432679197992224E-3</c:v>
                </c:pt>
                <c:pt idx="43">
                  <c:v>6.1070868181993272E-3</c:v>
                </c:pt>
                <c:pt idx="44">
                  <c:v>5.345086175252217E-3</c:v>
                </c:pt>
                <c:pt idx="45">
                  <c:v>4.654588263771805E-3</c:v>
                </c:pt>
                <c:pt idx="46">
                  <c:v>4.033004333409731E-3</c:v>
                </c:pt>
                <c:pt idx="47">
                  <c:v>3.4778368933965362E-3</c:v>
                </c:pt>
                <c:pt idx="48">
                  <c:v>2.9866812608530828E-3</c:v>
                </c:pt>
                <c:pt idx="49">
                  <c:v>2.5572264904561749E-3</c:v>
                </c:pt>
                <c:pt idx="50">
                  <c:v>2.1872335970962594E-3</c:v>
                </c:pt>
                <c:pt idx="51">
                  <c:v>1.8804498412234743E-3</c:v>
                </c:pt>
                <c:pt idx="52">
                  <c:v>1.6153958049175987E-3</c:v>
                </c:pt>
                <c:pt idx="53">
                  <c:v>1.390616378979732E-3</c:v>
                </c:pt>
                <c:pt idx="54">
                  <c:v>1.2047328267486201E-3</c:v>
                </c:pt>
                <c:pt idx="55">
                  <c:v>1.0564275522827653E-3</c:v>
                </c:pt>
                <c:pt idx="56">
                  <c:v>9.4443862543478353E-4</c:v>
                </c:pt>
                <c:pt idx="57">
                  <c:v>8.6605498027129231E-4</c:v>
                </c:pt>
                <c:pt idx="58">
                  <c:v>7.9332302408907532E-4</c:v>
                </c:pt>
                <c:pt idx="59">
                  <c:v>7.2606563866297442E-4</c:v>
                </c:pt>
                <c:pt idx="60">
                  <c:v>6.6411344306307985E-4</c:v>
                </c:pt>
                <c:pt idx="61">
                  <c:v>6.0730415896305466E-4</c:v>
                </c:pt>
                <c:pt idx="62">
                  <c:v>5.5548204361395169E-4</c:v>
                </c:pt>
                <c:pt idx="63">
                  <c:v>5.0849738585745038E-4</c:v>
                </c:pt>
                <c:pt idx="64">
                  <c:v>4.661986546213205E-4</c:v>
                </c:pt>
                <c:pt idx="65">
                  <c:v>4.2992873457306199E-4</c:v>
                </c:pt>
                <c:pt idx="66">
                  <c:v>3.9451408387945904E-4</c:v>
                </c:pt>
                <c:pt idx="67">
                  <c:v>3.5994144192354221E-4</c:v>
                </c:pt>
                <c:pt idx="68">
                  <c:v>3.2619565117622751E-4</c:v>
                </c:pt>
                <c:pt idx="69">
                  <c:v>2.9325984566282983E-4</c:v>
                </c:pt>
                <c:pt idx="70">
                  <c:v>2.611156269019227E-4</c:v>
                </c:pt>
                <c:pt idx="71">
                  <c:v>2.3147587552986085E-4</c:v>
                </c:pt>
                <c:pt idx="72">
                  <c:v>2.0553992429246694E-4</c:v>
                </c:pt>
                <c:pt idx="73">
                  <c:v>1.8319631948527024E-4</c:v>
                </c:pt>
                <c:pt idx="74">
                  <c:v>1.6433743598077825E-4</c:v>
                </c:pt>
                <c:pt idx="75">
                  <c:v>1.488598166205676E-4</c:v>
                </c:pt>
                <c:pt idx="76">
                  <c:v>1.3666447421073277E-4</c:v>
                </c:pt>
                <c:pt idx="77">
                  <c:v>1.276571597561223E-4</c:v>
                </c:pt>
                <c:pt idx="78">
                  <c:v>1.217370046463513E-4</c:v>
                </c:pt>
                <c:pt idx="79">
                  <c:v>1.1957666560772011E-4</c:v>
                </c:pt>
                <c:pt idx="80">
                  <c:v>1.1980387943811466E-4</c:v>
                </c:pt>
                <c:pt idx="81">
                  <c:v>1.2235883585878129E-4</c:v>
                </c:pt>
                <c:pt idx="82">
                  <c:v>1.2718477353725348E-4</c:v>
                </c:pt>
                <c:pt idx="83">
                  <c:v>1.3422863286606404E-4</c:v>
                </c:pt>
                <c:pt idx="84">
                  <c:v>1.4344163892440802E-4</c:v>
                </c:pt>
                <c:pt idx="85">
                  <c:v>1.5411738794255921E-4</c:v>
                </c:pt>
                <c:pt idx="86">
                  <c:v>1.6472322865369244E-4</c:v>
                </c:pt>
                <c:pt idx="87">
                  <c:v>1.7527442922592195E-4</c:v>
                </c:pt>
                <c:pt idx="88">
                  <c:v>1.857871454699916E-4</c:v>
                </c:pt>
                <c:pt idx="89">
                  <c:v>0</c:v>
                </c:pt>
                <c:pt idx="90">
                  <c:v>3.9678833252318585E-8</c:v>
                </c:pt>
                <c:pt idx="91">
                  <c:v>8.1539889156434037E-8</c:v>
                </c:pt>
                <c:pt idx="92">
                  <c:v>1.2490839078148338E-7</c:v>
                </c:pt>
                <c:pt idx="93">
                  <c:v>1.6884287604643329E-7</c:v>
                </c:pt>
                <c:pt idx="94">
                  <c:v>2.1227140964258491E-7</c:v>
                </c:pt>
                <c:pt idx="95">
                  <c:v>2.5754819630083153E-7</c:v>
                </c:pt>
                <c:pt idx="96">
                  <c:v>3.0506110315376865E-7</c:v>
                </c:pt>
                <c:pt idx="97">
                  <c:v>3.4918101083833224E-7</c:v>
                </c:pt>
                <c:pt idx="98">
                  <c:v>3.8849543957812761E-7</c:v>
                </c:pt>
                <c:pt idx="99">
                  <c:v>4.2290869269855515E-7</c:v>
                </c:pt>
                <c:pt idx="100">
                  <c:v>4.5482119410617133E-7</c:v>
                </c:pt>
                <c:pt idx="101">
                  <c:v>4.8416047537745053E-7</c:v>
                </c:pt>
                <c:pt idx="102">
                  <c:v>5.1084673272343766E-7</c:v>
                </c:pt>
                <c:pt idx="103">
                  <c:v>5.3479248069642888E-7</c:v>
                </c:pt>
                <c:pt idx="104">
                  <c:v>5.5590220312453088E-7</c:v>
                </c:pt>
                <c:pt idx="105">
                  <c:v>5.7407200146222557E-7</c:v>
                </c:pt>
                <c:pt idx="106">
                  <c:v>5.8918573776825395E-7</c:v>
                </c:pt>
                <c:pt idx="107">
                  <c:v>6.0123095737217296E-7</c:v>
                </c:pt>
                <c:pt idx="108">
                  <c:v>6.1239033354634878E-7</c:v>
                </c:pt>
                <c:pt idx="109">
                  <c:v>6.231351065327313E-7</c:v>
                </c:pt>
                <c:pt idx="110">
                  <c:v>6.3397298153995652E-7</c:v>
                </c:pt>
                <c:pt idx="111">
                  <c:v>6.4544993744702522E-7</c:v>
                </c:pt>
                <c:pt idx="112">
                  <c:v>6.5815193249767973E-7</c:v>
                </c:pt>
                <c:pt idx="113">
                  <c:v>6.7231508595617821E-7</c:v>
                </c:pt>
                <c:pt idx="114">
                  <c:v>6.841063472285425E-7</c:v>
                </c:pt>
                <c:pt idx="115">
                  <c:v>6.9337413250212862E-7</c:v>
                </c:pt>
                <c:pt idx="116">
                  <c:v>6.9995666951136556E-7</c:v>
                </c:pt>
                <c:pt idx="117">
                  <c:v>7.0368183527533769E-7</c:v>
                </c:pt>
                <c:pt idx="118">
                  <c:v>7.0436702537497165E-7</c:v>
                </c:pt>
                <c:pt idx="119">
                  <c:v>7.018190613681958E-7</c:v>
                </c:pt>
                <c:pt idx="120">
                  <c:v>6.9585099148153058E-7</c:v>
                </c:pt>
                <c:pt idx="121">
                  <c:v>6.881119549888075E-7</c:v>
                </c:pt>
                <c:pt idx="122">
                  <c:v>6.7812375368839849E-7</c:v>
                </c:pt>
                <c:pt idx="123">
                  <c:v>6.6584862365356949E-7</c:v>
                </c:pt>
                <c:pt idx="124">
                  <c:v>6.5125220416989476E-7</c:v>
                </c:pt>
                <c:pt idx="125">
                  <c:v>6.343043563592968E-7</c:v>
                </c:pt>
                <c:pt idx="126">
                  <c:v>6.1498002381188065E-7</c:v>
                </c:pt>
                <c:pt idx="127">
                  <c:v>5.9497753652802452E-7</c:v>
                </c:pt>
                <c:pt idx="128">
                  <c:v>5.7545422051686627E-7</c:v>
                </c:pt>
                <c:pt idx="129">
                  <c:v>5.5681796652549518E-7</c:v>
                </c:pt>
                <c:pt idx="130">
                  <c:v>5.3951228562049184E-7</c:v>
                </c:pt>
                <c:pt idx="131">
                  <c:v>5.2401780515690553E-7</c:v>
                </c:pt>
                <c:pt idx="132">
                  <c:v>5.1085361602605382E-7</c:v>
                </c:pt>
                <c:pt idx="133">
                  <c:v>5.0057844224481694E-7</c:v>
                </c:pt>
                <c:pt idx="134">
                  <c:v>4.9380372825329876E-7</c:v>
                </c:pt>
                <c:pt idx="135">
                  <c:v>4.9100450709307948E-7</c:v>
                </c:pt>
                <c:pt idx="136">
                  <c:v>4.8911618628377834E-7</c:v>
                </c:pt>
                <c:pt idx="137">
                  <c:v>4.8836533964048841E-7</c:v>
                </c:pt>
                <c:pt idx="138">
                  <c:v>4.8899465223724586E-7</c:v>
                </c:pt>
                <c:pt idx="139">
                  <c:v>4.912631829895794E-7</c:v>
                </c:pt>
                <c:pt idx="140">
                  <c:v>4.9544652933645955E-7</c:v>
                </c:pt>
                <c:pt idx="141">
                  <c:v>5.0132664097501003E-7</c:v>
                </c:pt>
                <c:pt idx="142">
                  <c:v>5.0580699877060142E-7</c:v>
                </c:pt>
                <c:pt idx="143">
                  <c:v>5.0874464440111737E-7</c:v>
                </c:pt>
                <c:pt idx="144">
                  <c:v>5.0999425222408584E-7</c:v>
                </c:pt>
                <c:pt idx="145">
                  <c:v>5.0940597444446742E-7</c:v>
                </c:pt>
                <c:pt idx="146">
                  <c:v>5.0682584017493601E-7</c:v>
                </c:pt>
                <c:pt idx="147">
                  <c:v>5.0209620532584577E-7</c:v>
                </c:pt>
                <c:pt idx="148">
                  <c:v>4.9506402946837554E-7</c:v>
                </c:pt>
                <c:pt idx="149">
                  <c:v>4.8660357897543466E-7</c:v>
                </c:pt>
                <c:pt idx="150">
                  <c:v>4.7697943115178711E-7</c:v>
                </c:pt>
                <c:pt idx="151">
                  <c:v>4.661681093681478E-7</c:v>
                </c:pt>
                <c:pt idx="152">
                  <c:v>4.5414901723340989E-7</c:v>
                </c:pt>
                <c:pt idx="153">
                  <c:v>4.4090465765311644E-7</c:v>
                </c:pt>
                <c:pt idx="154">
                  <c:v>4.2642083795103842E-7</c:v>
                </c:pt>
                <c:pt idx="155">
                  <c:v>4.115597766416715E-7</c:v>
                </c:pt>
                <c:pt idx="156">
                  <c:v>3.9726881954150013E-7</c:v>
                </c:pt>
                <c:pt idx="157">
                  <c:v>3.8370861718412087E-7</c:v>
                </c:pt>
                <c:pt idx="158">
                  <c:v>3.7104632757672403E-7</c:v>
                </c:pt>
                <c:pt idx="159">
                  <c:v>3.5945510532305084E-7</c:v>
                </c:pt>
                <c:pt idx="160">
                  <c:v>3.4911353639071454E-7</c:v>
                </c:pt>
                <c:pt idx="161">
                  <c:v>3.4020502279867541E-7</c:v>
                </c:pt>
                <c:pt idx="162">
                  <c:v>3.3291387096876348E-7</c:v>
                </c:pt>
                <c:pt idx="163">
                  <c:v>3.2794511210360539E-7</c:v>
                </c:pt>
                <c:pt idx="164">
                  <c:v>3.2392274009525684E-7</c:v>
                </c:pt>
                <c:pt idx="165">
                  <c:v>3.2096465404917696E-7</c:v>
                </c:pt>
                <c:pt idx="166">
                  <c:v>3.1919001092148124E-7</c:v>
                </c:pt>
                <c:pt idx="167">
                  <c:v>3.187189166447912E-7</c:v>
                </c:pt>
                <c:pt idx="168">
                  <c:v>3.1967213757093295E-7</c:v>
                </c:pt>
                <c:pt idx="169">
                  <c:v>3.2276553280803615E-7</c:v>
                </c:pt>
                <c:pt idx="170">
                  <c:v>3.2686898309841705E-7</c:v>
                </c:pt>
                <c:pt idx="171">
                  <c:v>3.3205981561462959E-7</c:v>
                </c:pt>
                <c:pt idx="172">
                  <c:v>3.3841544760852195E-7</c:v>
                </c:pt>
                <c:pt idx="173">
                  <c:v>3.460103482906088E-7</c:v>
                </c:pt>
                <c:pt idx="174">
                  <c:v>3.5491848128755318E-7</c:v>
                </c:pt>
                <c:pt idx="175">
                  <c:v>3.6521634537390243E-7</c:v>
                </c:pt>
                <c:pt idx="176">
                  <c:v>3.7697639344018738E-7</c:v>
                </c:pt>
                <c:pt idx="177">
                  <c:v>3.917503982428361E-7</c:v>
                </c:pt>
                <c:pt idx="178">
                  <c:v>4.0897562056988207E-7</c:v>
                </c:pt>
                <c:pt idx="179">
                  <c:v>4.2876086269586122E-7</c:v>
                </c:pt>
                <c:pt idx="180">
                  <c:v>4.5121258945548805E-7</c:v>
                </c:pt>
                <c:pt idx="181">
                  <c:v>4.7643469926642218E-7</c:v>
                </c:pt>
                <c:pt idx="182">
                  <c:v>5.0452831674522923E-7</c:v>
                </c:pt>
                <c:pt idx="183">
                  <c:v>5.3795043859967378E-7</c:v>
                </c:pt>
                <c:pt idx="184">
                  <c:v>5.7611871410704505E-7</c:v>
                </c:pt>
                <c:pt idx="185">
                  <c:v>6.1919528270514516E-7</c:v>
                </c:pt>
                <c:pt idx="186">
                  <c:v>6.6733685444880889E-7</c:v>
                </c:pt>
                <c:pt idx="187">
                  <c:v>7.2069450031491446E-7</c:v>
                </c:pt>
                <c:pt idx="188">
                  <c:v>7.7941347299632363E-7</c:v>
                </c:pt>
                <c:pt idx="189">
                  <c:v>8.4363305567021822E-7</c:v>
                </c:pt>
                <c:pt idx="190">
                  <c:v>9.1349140176028434E-7</c:v>
                </c:pt>
                <c:pt idx="191">
                  <c:v>9.8732929768219518E-7</c:v>
                </c:pt>
                <c:pt idx="192">
                  <c:v>1.0633599552747664E-6</c:v>
                </c:pt>
                <c:pt idx="193">
                  <c:v>1.1415844507497941E-6</c:v>
                </c:pt>
                <c:pt idx="194">
                  <c:v>1.2220055796231341E-6</c:v>
                </c:pt>
                <c:pt idx="195">
                  <c:v>1.3046281236720057E-6</c:v>
                </c:pt>
                <c:pt idx="196">
                  <c:v>1.3894591083779606E-6</c:v>
                </c:pt>
                <c:pt idx="197">
                  <c:v>1.4756409381462072E-6</c:v>
                </c:pt>
                <c:pt idx="198">
                  <c:v>1.5603084087470976E-6</c:v>
                </c:pt>
                <c:pt idx="199">
                  <c:v>1.6433622052802743E-6</c:v>
                </c:pt>
                <c:pt idx="200">
                  <c:v>1.7247086001744749E-6</c:v>
                </c:pt>
                <c:pt idx="201">
                  <c:v>1.8042592600553907E-6</c:v>
                </c:pt>
                <c:pt idx="202">
                  <c:v>1.8819310222626543E-6</c:v>
                </c:pt>
                <c:pt idx="203">
                  <c:v>1.9576456448857081E-6</c:v>
                </c:pt>
                <c:pt idx="204">
                  <c:v>2.0313478570583485E-6</c:v>
                </c:pt>
                <c:pt idx="205">
                  <c:v>2.1158840688570815E-6</c:v>
                </c:pt>
                <c:pt idx="206">
                  <c:v>2.2136203801799916E-6</c:v>
                </c:pt>
                <c:pt idx="207">
                  <c:v>2.3248728333475118E-6</c:v>
                </c:pt>
                <c:pt idx="208">
                  <c:v>2.4499530773400619E-6</c:v>
                </c:pt>
                <c:pt idx="209">
                  <c:v>2.5891678854908217E-6</c:v>
                </c:pt>
                <c:pt idx="210">
                  <c:v>2.7428185825208991E-6</c:v>
                </c:pt>
                <c:pt idx="211">
                  <c:v>2.9301896345021061E-6</c:v>
                </c:pt>
                <c:pt idx="212">
                  <c:v>3.1530431986078236E-6</c:v>
                </c:pt>
                <c:pt idx="213">
                  <c:v>3.4121548638469076E-6</c:v>
                </c:pt>
                <c:pt idx="214">
                  <c:v>3.7082839362671638E-6</c:v>
                </c:pt>
                <c:pt idx="215">
                  <c:v>4.0421712591720485E-6</c:v>
                </c:pt>
                <c:pt idx="216">
                  <c:v>4.4145367509250239E-6</c:v>
                </c:pt>
                <c:pt idx="217">
                  <c:v>4.8260766556750717E-6</c:v>
                </c:pt>
                <c:pt idx="218">
                  <c:v>5.2776483539509949E-6</c:v>
                </c:pt>
                <c:pt idx="219">
                  <c:v>5.7629068787936098E-6</c:v>
                </c:pt>
                <c:pt idx="220">
                  <c:v>6.2678339882549124E-6</c:v>
                </c:pt>
                <c:pt idx="221">
                  <c:v>6.7926925388581588E-6</c:v>
                </c:pt>
                <c:pt idx="222">
                  <c:v>7.3377388455599111E-6</c:v>
                </c:pt>
                <c:pt idx="223">
                  <c:v>7.9032215277315703E-6</c:v>
                </c:pt>
                <c:pt idx="224">
                  <c:v>8.4893802722135014E-6</c:v>
                </c:pt>
                <c:pt idx="225">
                  <c:v>9.1040336893206436E-6</c:v>
                </c:pt>
                <c:pt idx="226">
                  <c:v>9.7262831517255853E-6</c:v>
                </c:pt>
                <c:pt idx="227">
                  <c:v>1.0356049844818069E-5</c:v>
                </c:pt>
                <c:pt idx="228">
                  <c:v>1.0993242737844471E-5</c:v>
                </c:pt>
                <c:pt idx="229">
                  <c:v>1.1637757518398087E-5</c:v>
                </c:pt>
                <c:pt idx="230">
                  <c:v>1.2289475517225402E-5</c:v>
                </c:pt>
                <c:pt idx="231">
                  <c:v>1.294826262447747E-5</c:v>
                </c:pt>
                <c:pt idx="232">
                  <c:v>1.3613877556899564E-5</c:v>
                </c:pt>
                <c:pt idx="233">
                  <c:v>1.4364483939211807E-5</c:v>
                </c:pt>
                <c:pt idx="234">
                  <c:v>1.5209671932378923E-5</c:v>
                </c:pt>
                <c:pt idx="235">
                  <c:v>1.6151148818697052E-5</c:v>
                </c:pt>
                <c:pt idx="236">
                  <c:v>1.719064854362523E-5</c:v>
                </c:pt>
                <c:pt idx="237">
                  <c:v>1.8329930067556747E-5</c:v>
                </c:pt>
                <c:pt idx="238">
                  <c:v>1.9570797020164582E-5</c:v>
                </c:pt>
                <c:pt idx="239">
                  <c:v>2.0846314976186629E-5</c:v>
                </c:pt>
                <c:pt idx="240">
                  <c:v>2.2148793756479614E-5</c:v>
                </c:pt>
                <c:pt idx="241">
                  <c:v>2.3478829581476432E-5</c:v>
                </c:pt>
                <c:pt idx="242">
                  <c:v>2.4837091725024196E-5</c:v>
                </c:pt>
                <c:pt idx="243">
                  <c:v>2.6224327192888202E-5</c:v>
                </c:pt>
                <c:pt idx="244">
                  <c:v>2.7641365742065748E-5</c:v>
                </c:pt>
                <c:pt idx="245">
                  <c:v>2.9089125286518179E-5</c:v>
                </c:pt>
                <c:pt idx="246">
                  <c:v>3.056737029405755E-5</c:v>
                </c:pt>
                <c:pt idx="247">
                  <c:v>3.1876629295142672E-5</c:v>
                </c:pt>
                <c:pt idx="248">
                  <c:v>3.2928006579187106E-5</c:v>
                </c:pt>
                <c:pt idx="249">
                  <c:v>3.3716834147546453E-5</c:v>
                </c:pt>
                <c:pt idx="250">
                  <c:v>3.4238401478470138E-5</c:v>
                </c:pt>
                <c:pt idx="251">
                  <c:v>3.44879338655081E-5</c:v>
                </c:pt>
                <c:pt idx="252">
                  <c:v>3.4460569838809581E-5</c:v>
                </c:pt>
                <c:pt idx="253">
                  <c:v>3.4176969934059257E-5</c:v>
                </c:pt>
                <c:pt idx="254">
                  <c:v>3.3707979332155824E-5</c:v>
                </c:pt>
                <c:pt idx="255">
                  <c:v>3.3050285500663398E-5</c:v>
                </c:pt>
                <c:pt idx="256">
                  <c:v>3.2200453014200469E-5</c:v>
                </c:pt>
                <c:pt idx="257">
                  <c:v>3.1154905162973688E-5</c:v>
                </c:pt>
                <c:pt idx="258">
                  <c:v>2.990990443233734E-5</c:v>
                </c:pt>
                <c:pt idx="259">
                  <c:v>2.8461531686930805E-5</c:v>
                </c:pt>
                <c:pt idx="260">
                  <c:v>2.6806285757982171E-5</c:v>
                </c:pt>
                <c:pt idx="261">
                  <c:v>2.5230739230863453E-5</c:v>
                </c:pt>
                <c:pt idx="262">
                  <c:v>2.3954958332728066E-5</c:v>
                </c:pt>
                <c:pt idx="263">
                  <c:v>2.2984666331495435E-5</c:v>
                </c:pt>
                <c:pt idx="264">
                  <c:v>2.2325937944649331E-5</c:v>
                </c:pt>
                <c:pt idx="265">
                  <c:v>2.1985253845333612E-5</c:v>
                </c:pt>
                <c:pt idx="266">
                  <c:v>2.1969306583122417E-5</c:v>
                </c:pt>
                <c:pt idx="267">
                  <c:v>2.2465307735916057E-5</c:v>
                </c:pt>
                <c:pt idx="268">
                  <c:v>2.3455871718384923E-5</c:v>
                </c:pt>
                <c:pt idx="269">
                  <c:v>2.4951568961564262E-5</c:v>
                </c:pt>
                <c:pt idx="270">
                  <c:v>2.6963006028708575E-5</c:v>
                </c:pt>
                <c:pt idx="271">
                  <c:v>2.9500709200985087E-5</c:v>
                </c:pt>
                <c:pt idx="272">
                  <c:v>3.2574997755009429E-5</c:v>
                </c:pt>
                <c:pt idx="273">
                  <c:v>3.6195846610930064E-5</c:v>
                </c:pt>
                <c:pt idx="274">
                  <c:v>4.0375839574252235E-5</c:v>
                </c:pt>
                <c:pt idx="275">
                  <c:v>4.4949446081248823E-5</c:v>
                </c:pt>
                <c:pt idx="276">
                  <c:v>4.9599683634527504E-5</c:v>
                </c:pt>
                <c:pt idx="277">
                  <c:v>5.4327072515476984E-5</c:v>
                </c:pt>
                <c:pt idx="278">
                  <c:v>5.9131938970718256E-5</c:v>
                </c:pt>
                <c:pt idx="279">
                  <c:v>6.4014404112384358E-5</c:v>
                </c:pt>
                <c:pt idx="280">
                  <c:v>6.8974372661456389E-5</c:v>
                </c:pt>
                <c:pt idx="281">
                  <c:v>7.3886742113773418E-5</c:v>
                </c:pt>
                <c:pt idx="282">
                  <c:v>7.8547160266007122E-5</c:v>
                </c:pt>
                <c:pt idx="283">
                  <c:v>8.2947936890150425E-5</c:v>
                </c:pt>
                <c:pt idx="284">
                  <c:v>8.7081182442178242E-5</c:v>
                </c:pt>
                <c:pt idx="285">
                  <c:v>9.0938839163836417E-5</c:v>
                </c:pt>
                <c:pt idx="286">
                  <c:v>9.4512714342345183E-5</c:v>
                </c:pt>
                <c:pt idx="287">
                  <c:v>9.7794515739719925E-5</c:v>
                </c:pt>
                <c:pt idx="288">
                  <c:v>1.0078106854955648E-4</c:v>
                </c:pt>
                <c:pt idx="289">
                  <c:v>1.0662902475224288E-4</c:v>
                </c:pt>
                <c:pt idx="290">
                  <c:v>1.1559216592267566E-4</c:v>
                </c:pt>
                <c:pt idx="291">
                  <c:v>1.2772910915251378E-4</c:v>
                </c:pt>
                <c:pt idx="292">
                  <c:v>1.4309831784287895E-4</c:v>
                </c:pt>
                <c:pt idx="293">
                  <c:v>1.6175793688714171E-4</c:v>
                </c:pt>
                <c:pt idx="294">
                  <c:v>1.8376562738489709E-4</c:v>
                </c:pt>
                <c:pt idx="295">
                  <c:v>2.1699567788405183E-4</c:v>
                </c:pt>
                <c:pt idx="296">
                  <c:v>2.6179007493716669E-4</c:v>
                </c:pt>
                <c:pt idx="297">
                  <c:v>3.1835461474902298E-4</c:v>
                </c:pt>
                <c:pt idx="298">
                  <c:v>3.8689212916392083E-4</c:v>
                </c:pt>
                <c:pt idx="299">
                  <c:v>4.676031857766364E-4</c:v>
                </c:pt>
                <c:pt idx="300">
                  <c:v>5.6068549122145306E-4</c:v>
                </c:pt>
                <c:pt idx="301">
                  <c:v>6.6633326167200217E-4</c:v>
                </c:pt>
                <c:pt idx="302">
                  <c:v>7.8478964441112422E-4</c:v>
                </c:pt>
                <c:pt idx="303">
                  <c:v>9.1549773652472395E-4</c:v>
                </c:pt>
                <c:pt idx="304">
                  <c:v>1.0552152159966498E-3</c:v>
                </c:pt>
                <c:pt idx="305">
                  <c:v>1.2041034595790666E-3</c:v>
                </c:pt>
                <c:pt idx="306">
                  <c:v>1.3623231167459197E-3</c:v>
                </c:pt>
                <c:pt idx="307">
                  <c:v>1.5300329649066001E-3</c:v>
                </c:pt>
                <c:pt idx="308">
                  <c:v>1.7073885785608605E-3</c:v>
                </c:pt>
                <c:pt idx="309">
                  <c:v>1.8827745148550733E-3</c:v>
                </c:pt>
                <c:pt idx="310">
                  <c:v>2.0475553419524793E-3</c:v>
                </c:pt>
                <c:pt idx="311">
                  <c:v>2.2014887553188796E-3</c:v>
                </c:pt>
                <c:pt idx="312">
                  <c:v>2.3443207093344597E-3</c:v>
                </c:pt>
                <c:pt idx="313">
                  <c:v>2.475785827698895E-3</c:v>
                </c:pt>
                <c:pt idx="314">
                  <c:v>2.5956079937959936E-3</c:v>
                </c:pt>
                <c:pt idx="315">
                  <c:v>2.7035011589836145E-3</c:v>
                </c:pt>
                <c:pt idx="316">
                  <c:v>2.7993254044286929E-3</c:v>
                </c:pt>
                <c:pt idx="317">
                  <c:v>2.8790548832119045E-3</c:v>
                </c:pt>
                <c:pt idx="318">
                  <c:v>2.9433254314525491E-3</c:v>
                </c:pt>
                <c:pt idx="319">
                  <c:v>2.9918754239251976E-3</c:v>
                </c:pt>
                <c:pt idx="320">
                  <c:v>3.0244365945259087E-3</c:v>
                </c:pt>
                <c:pt idx="321">
                  <c:v>3.0407325954837747E-3</c:v>
                </c:pt>
                <c:pt idx="322">
                  <c:v>3.040477625439571E-3</c:v>
                </c:pt>
                <c:pt idx="323">
                  <c:v>3.0256713837014961E-3</c:v>
                </c:pt>
                <c:pt idx="324">
                  <c:v>3.0089373598126581E-3</c:v>
                </c:pt>
                <c:pt idx="325">
                  <c:v>2.9902445587288488E-3</c:v>
                </c:pt>
                <c:pt idx="326">
                  <c:v>2.9695427034458315E-3</c:v>
                </c:pt>
                <c:pt idx="327">
                  <c:v>2.9467883136758831E-3</c:v>
                </c:pt>
                <c:pt idx="328">
                  <c:v>2.9219466874194225E-3</c:v>
                </c:pt>
                <c:pt idx="329">
                  <c:v>2.8949788598636537E-3</c:v>
                </c:pt>
                <c:pt idx="330">
                  <c:v>2.8661687138524508E-3</c:v>
                </c:pt>
                <c:pt idx="331">
                  <c:v>2.8368143835960421E-3</c:v>
                </c:pt>
                <c:pt idx="332">
                  <c:v>2.8110831248175975E-3</c:v>
                </c:pt>
                <c:pt idx="333">
                  <c:v>2.7888873375272651E-3</c:v>
                </c:pt>
                <c:pt idx="334">
                  <c:v>2.7701389341490573E-3</c:v>
                </c:pt>
                <c:pt idx="335">
                  <c:v>2.7547478099430953E-3</c:v>
                </c:pt>
                <c:pt idx="336">
                  <c:v>2.7426202700096452E-3</c:v>
                </c:pt>
                <c:pt idx="337">
                  <c:v>2.7359914118109973E-3</c:v>
                </c:pt>
                <c:pt idx="338">
                  <c:v>2.7322577309906466E-3</c:v>
                </c:pt>
                <c:pt idx="339">
                  <c:v>2.7312996686310702E-3</c:v>
                </c:pt>
                <c:pt idx="340">
                  <c:v>2.7329871769637237E-3</c:v>
                </c:pt>
                <c:pt idx="341">
                  <c:v>2.7371783381512954E-3</c:v>
                </c:pt>
                <c:pt idx="342">
                  <c:v>2.7437181382080227E-3</c:v>
                </c:pt>
                <c:pt idx="343">
                  <c:v>2.752437452311306E-3</c:v>
                </c:pt>
                <c:pt idx="344">
                  <c:v>2.763955637100377E-3</c:v>
                </c:pt>
                <c:pt idx="345">
                  <c:v>2.7789114112786754E-3</c:v>
                </c:pt>
                <c:pt idx="346">
                  <c:v>2.7948745187362945E-3</c:v>
                </c:pt>
                <c:pt idx="347">
                  <c:v>2.8116387085689843E-3</c:v>
                </c:pt>
                <c:pt idx="348">
                  <c:v>2.8289863215310777E-3</c:v>
                </c:pt>
                <c:pt idx="349">
                  <c:v>2.8466886301866112E-3</c:v>
                </c:pt>
                <c:pt idx="350">
                  <c:v>2.8645065682957999E-3</c:v>
                </c:pt>
                <c:pt idx="351">
                  <c:v>2.881137198379952E-3</c:v>
                </c:pt>
                <c:pt idx="352">
                  <c:v>2.8937983495610129E-3</c:v>
                </c:pt>
                <c:pt idx="353">
                  <c:v>2.9022155720062962E-3</c:v>
                </c:pt>
                <c:pt idx="354">
                  <c:v>2.9061295391547251E-3</c:v>
                </c:pt>
                <c:pt idx="355">
                  <c:v>2.9053018247991009E-3</c:v>
                </c:pt>
                <c:pt idx="356">
                  <c:v>2.8994817394297268E-3</c:v>
                </c:pt>
                <c:pt idx="357">
                  <c:v>2.8885273947326017E-3</c:v>
                </c:pt>
                <c:pt idx="358">
                  <c:v>2.8721089479013043E-3</c:v>
                </c:pt>
                <c:pt idx="359">
                  <c:v>2.8502594320255628E-3</c:v>
                </c:pt>
                <c:pt idx="360">
                  <c:v>2.8258611879364926E-3</c:v>
                </c:pt>
                <c:pt idx="361">
                  <c:v>2.8003190124832981E-3</c:v>
                </c:pt>
                <c:pt idx="362">
                  <c:v>2.7739780346902015E-3</c:v>
                </c:pt>
                <c:pt idx="363">
                  <c:v>2.7471708187573312E-3</c:v>
                </c:pt>
                <c:pt idx="364">
                  <c:v>2.7202140630856421E-3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410616"/>
        <c:axId val="321411008"/>
      </c:lineChart>
      <c:dateAx>
        <c:axId val="321410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11008"/>
        <c:crosses val="autoZero"/>
        <c:auto val="1"/>
        <c:lblOffset val="100"/>
        <c:baseTimeUnit val="days"/>
        <c:majorUnit val="1"/>
        <c:majorTimeUnit val="months"/>
      </c:dateAx>
      <c:valAx>
        <c:axId val="3214110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10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'2030'!$V$14</c:f>
              <c:strCache>
                <c:ptCount val="1"/>
                <c:pt idx="0">
                  <c:v>Enveloppe 2030</c:v>
                </c:pt>
              </c:strCache>
            </c:strRef>
          </c:tx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'2030'!Env_an</c:f>
              <c:numCache>
                <c:formatCode>0.00</c:formatCode>
                <c:ptCount val="366"/>
                <c:pt idx="0">
                  <c:v>16.865657962927397</c:v>
                </c:pt>
                <c:pt idx="1">
                  <c:v>17.03370739732275</c:v>
                </c:pt>
                <c:pt idx="2">
                  <c:v>17.21000142567145</c:v>
                </c:pt>
                <c:pt idx="3">
                  <c:v>17.392964259178544</c:v>
                </c:pt>
                <c:pt idx="4">
                  <c:v>17.581020531735785</c:v>
                </c:pt>
                <c:pt idx="5">
                  <c:v>17.772595304428485</c:v>
                </c:pt>
                <c:pt idx="6">
                  <c:v>17.966114063695471</c:v>
                </c:pt>
                <c:pt idx="7">
                  <c:v>18.160002730681931</c:v>
                </c:pt>
                <c:pt idx="8">
                  <c:v>18.356668002529954</c:v>
                </c:pt>
                <c:pt idx="9">
                  <c:v>18.559587872484066</c:v>
                </c:pt>
                <c:pt idx="10">
                  <c:v>18.768901105689874</c:v>
                </c:pt>
                <c:pt idx="11">
                  <c:v>18.984706218064595</c:v>
                </c:pt>
                <c:pt idx="12">
                  <c:v>19.207101684185506</c:v>
                </c:pt>
                <c:pt idx="13">
                  <c:v>19.436185943961547</c:v>
                </c:pt>
                <c:pt idx="14">
                  <c:v>19.672057396244867</c:v>
                </c:pt>
                <c:pt idx="15">
                  <c:v>19.91489219499687</c:v>
                </c:pt>
                <c:pt idx="16">
                  <c:v>20.164808839107611</c:v>
                </c:pt>
                <c:pt idx="17">
                  <c:v>20.421905646372718</c:v>
                </c:pt>
                <c:pt idx="18">
                  <c:v>20.686280902390237</c:v>
                </c:pt>
                <c:pt idx="19">
                  <c:v>20.958032605411926</c:v>
                </c:pt>
                <c:pt idx="20">
                  <c:v>21.237258586142588</c:v>
                </c:pt>
                <c:pt idx="21">
                  <c:v>21.524056846697711</c:v>
                </c:pt>
                <c:pt idx="22">
                  <c:v>21.820285114244626</c:v>
                </c:pt>
                <c:pt idx="23">
                  <c:v>22.127359338461254</c:v>
                </c:pt>
                <c:pt idx="24">
                  <c:v>22.444393680175821</c:v>
                </c:pt>
                <c:pt idx="25">
                  <c:v>22.770458967484309</c:v>
                </c:pt>
                <c:pt idx="26">
                  <c:v>23.104626317758381</c:v>
                </c:pt>
                <c:pt idx="27">
                  <c:v>23.445967156599124</c:v>
                </c:pt>
                <c:pt idx="28">
                  <c:v>23.793553217665515</c:v>
                </c:pt>
                <c:pt idx="29">
                  <c:v>24.146474353702857</c:v>
                </c:pt>
                <c:pt idx="30">
                  <c:v>24.50372509183978</c:v>
                </c:pt>
                <c:pt idx="31">
                  <c:v>24.864378088010263</c:v>
                </c:pt>
                <c:pt idx="32">
                  <c:v>25.227506309037167</c:v>
                </c:pt>
                <c:pt idx="33">
                  <c:v>25.592183037428338</c:v>
                </c:pt>
                <c:pt idx="34">
                  <c:v>25.957481868742182</c:v>
                </c:pt>
                <c:pt idx="35">
                  <c:v>26.322476714056961</c:v>
                </c:pt>
                <c:pt idx="36">
                  <c:v>26.689226598272615</c:v>
                </c:pt>
                <c:pt idx="37">
                  <c:v>27.060025326790075</c:v>
                </c:pt>
                <c:pt idx="38">
                  <c:v>27.434319761056621</c:v>
                </c:pt>
                <c:pt idx="39">
                  <c:v>27.811800561621279</c:v>
                </c:pt>
                <c:pt idx="40">
                  <c:v>28.192158466375687</c:v>
                </c:pt>
                <c:pt idx="41">
                  <c:v>28.575084286696903</c:v>
                </c:pt>
                <c:pt idx="42">
                  <c:v>28.960268910008615</c:v>
                </c:pt>
                <c:pt idx="43">
                  <c:v>29.347329095443428</c:v>
                </c:pt>
                <c:pt idx="44">
                  <c:v>29.735937886841832</c:v>
                </c:pt>
                <c:pt idx="45">
                  <c:v>30.125786253788672</c:v>
                </c:pt>
                <c:pt idx="46">
                  <c:v>30.516565223393144</c:v>
                </c:pt>
                <c:pt idx="47">
                  <c:v>30.907965877720994</c:v>
                </c:pt>
                <c:pt idx="48">
                  <c:v>31.299679352152708</c:v>
                </c:pt>
                <c:pt idx="49">
                  <c:v>31.691396836491194</c:v>
                </c:pt>
                <c:pt idx="50">
                  <c:v>32.083135170527008</c:v>
                </c:pt>
                <c:pt idx="51">
                  <c:v>32.475256971977906</c:v>
                </c:pt>
                <c:pt idx="52">
                  <c:v>32.868144944618848</c:v>
                </c:pt>
                <c:pt idx="53">
                  <c:v>33.262004495747725</c:v>
                </c:pt>
                <c:pt idx="54">
                  <c:v>33.657040939132479</c:v>
                </c:pt>
                <c:pt idx="55">
                  <c:v>34.053459512819444</c:v>
                </c:pt>
                <c:pt idx="56">
                  <c:v>34.451465376057676</c:v>
                </c:pt>
                <c:pt idx="57">
                  <c:v>34.851268292515968</c:v>
                </c:pt>
                <c:pt idx="58">
                  <c:v>35.253148118263319</c:v>
                </c:pt>
                <c:pt idx="59">
                  <c:v>35.657309949203409</c:v>
                </c:pt>
                <c:pt idx="60">
                  <c:v>36.063958806690273</c:v>
                </c:pt>
                <c:pt idx="61">
                  <c:v>36.473299637658414</c:v>
                </c:pt>
                <c:pt idx="62">
                  <c:v>36.885537317373348</c:v>
                </c:pt>
                <c:pt idx="63">
                  <c:v>37.300876641140796</c:v>
                </c:pt>
                <c:pt idx="64">
                  <c:v>37.720121533133657</c:v>
                </c:pt>
                <c:pt idx="65">
                  <c:v>38.143591318707095</c:v>
                </c:pt>
                <c:pt idx="66">
                  <c:v>38.570768315934679</c:v>
                </c:pt>
                <c:pt idx="67">
                  <c:v>39.001138097076499</c:v>
                </c:pt>
                <c:pt idx="68">
                  <c:v>39.434186355482069</c:v>
                </c:pt>
                <c:pt idx="69">
                  <c:v>39.869398907082406</c:v>
                </c:pt>
                <c:pt idx="70">
                  <c:v>40.306261687015052</c:v>
                </c:pt>
                <c:pt idx="71">
                  <c:v>40.744252227503459</c:v>
                </c:pt>
                <c:pt idx="72">
                  <c:v>41.182851916864415</c:v>
                </c:pt>
                <c:pt idx="73">
                  <c:v>41.621546992954251</c:v>
                </c:pt>
                <c:pt idx="74">
                  <c:v>42.059823806517187</c:v>
                </c:pt>
                <c:pt idx="75">
                  <c:v>42.497168821722781</c:v>
                </c:pt>
                <c:pt idx="76">
                  <c:v>42.933068615842515</c:v>
                </c:pt>
                <c:pt idx="77">
                  <c:v>43.367009878595944</c:v>
                </c:pt>
                <c:pt idx="78">
                  <c:v>43.802652611440344</c:v>
                </c:pt>
                <c:pt idx="79">
                  <c:v>44.243107684037021</c:v>
                </c:pt>
                <c:pt idx="80">
                  <c:v>44.687044764373617</c:v>
                </c:pt>
                <c:pt idx="81">
                  <c:v>45.133128760646265</c:v>
                </c:pt>
                <c:pt idx="82">
                  <c:v>45.580024926488271</c:v>
                </c:pt>
                <c:pt idx="83">
                  <c:v>46.026398860092968</c:v>
                </c:pt>
                <c:pt idx="84">
                  <c:v>46.470916508623738</c:v>
                </c:pt>
                <c:pt idx="85">
                  <c:v>46.912250722809084</c:v>
                </c:pt>
                <c:pt idx="86">
                  <c:v>47.349076997793077</c:v>
                </c:pt>
                <c:pt idx="87">
                  <c:v>47.780062481349312</c:v>
                </c:pt>
                <c:pt idx="88">
                  <c:v>48.20387469387466</c:v>
                </c:pt>
                <c:pt idx="89">
                  <c:v>48.619181532310215</c:v>
                </c:pt>
                <c:pt idx="90">
                  <c:v>49.024651274340741</c:v>
                </c:pt>
                <c:pt idx="91">
                  <c:v>49.418952584250285</c:v>
                </c:pt>
                <c:pt idx="92">
                  <c:v>49.804752699053751</c:v>
                </c:pt>
                <c:pt idx="93">
                  <c:v>50.185403954011377</c:v>
                </c:pt>
                <c:pt idx="94">
                  <c:v>50.560600210303647</c:v>
                </c:pt>
                <c:pt idx="95">
                  <c:v>50.930034605945309</c:v>
                </c:pt>
                <c:pt idx="96">
                  <c:v>51.293400374785428</c:v>
                </c:pt>
                <c:pt idx="97">
                  <c:v>51.650390864363814</c:v>
                </c:pt>
                <c:pt idx="98">
                  <c:v>52.000699532260576</c:v>
                </c:pt>
                <c:pt idx="99">
                  <c:v>52.344016968769303</c:v>
                </c:pt>
                <c:pt idx="100">
                  <c:v>52.680029818875099</c:v>
                </c:pt>
                <c:pt idx="101">
                  <c:v>53.008431706001069</c:v>
                </c:pt>
                <c:pt idx="102">
                  <c:v>53.328916363657271</c:v>
                </c:pt>
                <c:pt idx="103">
                  <c:v>53.641177639074414</c:v>
                </c:pt>
                <c:pt idx="104">
                  <c:v>53.944909482935891</c:v>
                </c:pt>
                <c:pt idx="105">
                  <c:v>54.239805971327705</c:v>
                </c:pt>
                <c:pt idx="106">
                  <c:v>54.525885596257119</c:v>
                </c:pt>
                <c:pt idx="107">
                  <c:v>54.803507899067668</c:v>
                </c:pt>
                <c:pt idx="108">
                  <c:v>55.072876385781086</c:v>
                </c:pt>
                <c:pt idx="109">
                  <c:v>55.334197141745605</c:v>
                </c:pt>
                <c:pt idx="110">
                  <c:v>55.587676221299326</c:v>
                </c:pt>
                <c:pt idx="111">
                  <c:v>55.833519649475512</c:v>
                </c:pt>
                <c:pt idx="112">
                  <c:v>56.071933413318561</c:v>
                </c:pt>
                <c:pt idx="113">
                  <c:v>56.303123815136985</c:v>
                </c:pt>
                <c:pt idx="114">
                  <c:v>56.527300129533195</c:v>
                </c:pt>
                <c:pt idx="115">
                  <c:v>56.744668367140129</c:v>
                </c:pt>
                <c:pt idx="116">
                  <c:v>56.955434525010283</c:v>
                </c:pt>
                <c:pt idx="117">
                  <c:v>57.159804572851598</c:v>
                </c:pt>
                <c:pt idx="118">
                  <c:v>57.357984476783848</c:v>
                </c:pt>
                <c:pt idx="119">
                  <c:v>57.550180182765857</c:v>
                </c:pt>
                <c:pt idx="120">
                  <c:v>57.735199522024473</c:v>
                </c:pt>
                <c:pt idx="121">
                  <c:v>57.911986132831295</c:v>
                </c:pt>
                <c:pt idx="122">
                  <c:v>58.080951480944243</c:v>
                </c:pt>
                <c:pt idx="123">
                  <c:v>58.242506604714222</c:v>
                </c:pt>
                <c:pt idx="124">
                  <c:v>58.397062469108327</c:v>
                </c:pt>
                <c:pt idx="125">
                  <c:v>58.545029971361842</c:v>
                </c:pt>
                <c:pt idx="126">
                  <c:v>58.686819937463191</c:v>
                </c:pt>
                <c:pt idx="127">
                  <c:v>58.822842340497289</c:v>
                </c:pt>
                <c:pt idx="128">
                  <c:v>58.95350743821345</c:v>
                </c:pt>
                <c:pt idx="129">
                  <c:v>59.079225805092598</c:v>
                </c:pt>
                <c:pt idx="130">
                  <c:v>59.200407937328322</c:v>
                </c:pt>
                <c:pt idx="131">
                  <c:v>59.317464261954832</c:v>
                </c:pt>
                <c:pt idx="132">
                  <c:v>59.430805127158692</c:v>
                </c:pt>
                <c:pt idx="133">
                  <c:v>59.540840807242112</c:v>
                </c:pt>
                <c:pt idx="134">
                  <c:v>59.64651688222483</c:v>
                </c:pt>
                <c:pt idx="135">
                  <c:v>59.746643176256278</c:v>
                </c:pt>
                <c:pt idx="136">
                  <c:v>59.841427401276235</c:v>
                </c:pt>
                <c:pt idx="137">
                  <c:v>59.931076084344859</c:v>
                </c:pt>
                <c:pt idx="138">
                  <c:v>60.015795744708974</c:v>
                </c:pt>
                <c:pt idx="139">
                  <c:v>60.095792881834072</c:v>
                </c:pt>
                <c:pt idx="140">
                  <c:v>60.171273982998883</c:v>
                </c:pt>
                <c:pt idx="141">
                  <c:v>60.24244567055441</c:v>
                </c:pt>
                <c:pt idx="142">
                  <c:v>60.309515353438535</c:v>
                </c:pt>
                <c:pt idx="143">
                  <c:v>60.37268949806738</c:v>
                </c:pt>
                <c:pt idx="144">
                  <c:v>60.43217454014782</c:v>
                </c:pt>
                <c:pt idx="145">
                  <c:v>60.488176881611039</c:v>
                </c:pt>
                <c:pt idx="146">
                  <c:v>60.540902882643977</c:v>
                </c:pt>
                <c:pt idx="147">
                  <c:v>60.59055886525779</c:v>
                </c:pt>
                <c:pt idx="148">
                  <c:v>60.636398530309293</c:v>
                </c:pt>
                <c:pt idx="149">
                  <c:v>60.67767559406721</c:v>
                </c:pt>
                <c:pt idx="150">
                  <c:v>60.714596617340149</c:v>
                </c:pt>
                <c:pt idx="151">
                  <c:v>60.747368165466227</c:v>
                </c:pt>
                <c:pt idx="152">
                  <c:v>60.776196732546097</c:v>
                </c:pt>
                <c:pt idx="153">
                  <c:v>60.801288736936669</c:v>
                </c:pt>
                <c:pt idx="154">
                  <c:v>60.82285051381097</c:v>
                </c:pt>
                <c:pt idx="155">
                  <c:v>60.841088119810806</c:v>
                </c:pt>
                <c:pt idx="156">
                  <c:v>60.856207513184415</c:v>
                </c:pt>
                <c:pt idx="157">
                  <c:v>60.868414730192555</c:v>
                </c:pt>
                <c:pt idx="158">
                  <c:v>60.877915703784758</c:v>
                </c:pt>
                <c:pt idx="159">
                  <c:v>60.884916254447532</c:v>
                </c:pt>
                <c:pt idx="160">
                  <c:v>60.889622088881559</c:v>
                </c:pt>
                <c:pt idx="161">
                  <c:v>60.892238793844577</c:v>
                </c:pt>
                <c:pt idx="162">
                  <c:v>60.893566491112658</c:v>
                </c:pt>
                <c:pt idx="163">
                  <c:v>60.893929193217787</c:v>
                </c:pt>
                <c:pt idx="164">
                  <c:v>60.892818754454801</c:v>
                </c:pt>
                <c:pt idx="165">
                  <c:v>60.889726836574887</c:v>
                </c:pt>
                <c:pt idx="166">
                  <c:v>60.884145197763203</c:v>
                </c:pt>
                <c:pt idx="167">
                  <c:v>60.875565682148526</c:v>
                </c:pt>
                <c:pt idx="168">
                  <c:v>60.863480217975692</c:v>
                </c:pt>
                <c:pt idx="169">
                  <c:v>60.847380710517641</c:v>
                </c:pt>
                <c:pt idx="170">
                  <c:v>60.826759458124954</c:v>
                </c:pt>
                <c:pt idx="171">
                  <c:v>60.801108617634846</c:v>
                </c:pt>
                <c:pt idx="172">
                  <c:v>60.7699204142802</c:v>
                </c:pt>
                <c:pt idx="173">
                  <c:v>60.732687135154606</c:v>
                </c:pt>
                <c:pt idx="174">
                  <c:v>60.68890113223371</c:v>
                </c:pt>
                <c:pt idx="175">
                  <c:v>60.638054817769273</c:v>
                </c:pt>
                <c:pt idx="176">
                  <c:v>60.580251629262335</c:v>
                </c:pt>
                <c:pt idx="177">
                  <c:v>60.516137689160452</c:v>
                </c:pt>
                <c:pt idx="178">
                  <c:v>60.446019795046929</c:v>
                </c:pt>
                <c:pt idx="179">
                  <c:v>60.370204454726363</c:v>
                </c:pt>
                <c:pt idx="180">
                  <c:v>60.288998001861515</c:v>
                </c:pt>
                <c:pt idx="181">
                  <c:v>60.202706593571484</c:v>
                </c:pt>
                <c:pt idx="182">
                  <c:v>60.11163622800823</c:v>
                </c:pt>
                <c:pt idx="183">
                  <c:v>60.016092384294431</c:v>
                </c:pt>
                <c:pt idx="184">
                  <c:v>59.916380855896257</c:v>
                </c:pt>
                <c:pt idx="185">
                  <c:v>59.81280717113988</c:v>
                </c:pt>
                <c:pt idx="186">
                  <c:v>59.705676719730548</c:v>
                </c:pt>
                <c:pt idx="187">
                  <c:v>59.595294754900799</c:v>
                </c:pt>
                <c:pt idx="188">
                  <c:v>59.481966406103616</c:v>
                </c:pt>
                <c:pt idx="189">
                  <c:v>59.365996676170354</c:v>
                </c:pt>
                <c:pt idx="190">
                  <c:v>59.247368333823587</c:v>
                </c:pt>
                <c:pt idx="191">
                  <c:v>59.125725321122133</c:v>
                </c:pt>
                <c:pt idx="192">
                  <c:v>59.000864241481132</c:v>
                </c:pt>
                <c:pt idx="193">
                  <c:v>58.872581482726453</c:v>
                </c:pt>
                <c:pt idx="194">
                  <c:v>58.740673485960897</c:v>
                </c:pt>
                <c:pt idx="195">
                  <c:v>58.604936741992915</c:v>
                </c:pt>
                <c:pt idx="196">
                  <c:v>58.465167803238636</c:v>
                </c:pt>
                <c:pt idx="197">
                  <c:v>58.321163396995459</c:v>
                </c:pt>
                <c:pt idx="198">
                  <c:v>58.172720585568499</c:v>
                </c:pt>
                <c:pt idx="199">
                  <c:v>58.019636123704757</c:v>
                </c:pt>
                <c:pt idx="200">
                  <c:v>57.861706836356703</c:v>
                </c:pt>
                <c:pt idx="201">
                  <c:v>57.698729629036144</c:v>
                </c:pt>
                <c:pt idx="202">
                  <c:v>57.530501488391579</c:v>
                </c:pt>
                <c:pt idx="203">
                  <c:v>57.356819476806507</c:v>
                </c:pt>
                <c:pt idx="204">
                  <c:v>57.176887921363125</c:v>
                </c:pt>
                <c:pt idx="205">
                  <c:v>56.990383975889081</c:v>
                </c:pt>
                <c:pt idx="206">
                  <c:v>56.797816122589538</c:v>
                </c:pt>
                <c:pt idx="207">
                  <c:v>56.599693012380328</c:v>
                </c:pt>
                <c:pt idx="208">
                  <c:v>56.396523201724243</c:v>
                </c:pt>
                <c:pt idx="209">
                  <c:v>56.188815149354738</c:v>
                </c:pt>
                <c:pt idx="210">
                  <c:v>55.977077222298718</c:v>
                </c:pt>
                <c:pt idx="211">
                  <c:v>55.761815378239042</c:v>
                </c:pt>
                <c:pt idx="212">
                  <c:v>55.543537662479828</c:v>
                </c:pt>
                <c:pt idx="213">
                  <c:v>55.322752150291507</c:v>
                </c:pt>
                <c:pt idx="214">
                  <c:v>55.099966826760735</c:v>
                </c:pt>
                <c:pt idx="215">
                  <c:v>54.875689581571102</c:v>
                </c:pt>
                <c:pt idx="216">
                  <c:v>54.650428211168318</c:v>
                </c:pt>
                <c:pt idx="217">
                  <c:v>54.424690418304067</c:v>
                </c:pt>
                <c:pt idx="218">
                  <c:v>54.197054659560763</c:v>
                </c:pt>
                <c:pt idx="219">
                  <c:v>53.965965265596829</c:v>
                </c:pt>
                <c:pt idx="220">
                  <c:v>53.731729070490516</c:v>
                </c:pt>
                <c:pt idx="221">
                  <c:v>53.4946511657174</c:v>
                </c:pt>
                <c:pt idx="222">
                  <c:v>53.255036590347196</c:v>
                </c:pt>
                <c:pt idx="223">
                  <c:v>53.013190325987473</c:v>
                </c:pt>
                <c:pt idx="224">
                  <c:v>52.769417295876906</c:v>
                </c:pt>
                <c:pt idx="225">
                  <c:v>52.524021498311456</c:v>
                </c:pt>
                <c:pt idx="226">
                  <c:v>52.277310096561742</c:v>
                </c:pt>
                <c:pt idx="227">
                  <c:v>52.029587831368005</c:v>
                </c:pt>
                <c:pt idx="228">
                  <c:v>51.781159379955241</c:v>
                </c:pt>
                <c:pt idx="229">
                  <c:v>51.532329351070828</c:v>
                </c:pt>
                <c:pt idx="230">
                  <c:v>51.283402286077312</c:v>
                </c:pt>
                <c:pt idx="231">
                  <c:v>51.034682658845405</c:v>
                </c:pt>
                <c:pt idx="232">
                  <c:v>50.786813017283308</c:v>
                </c:pt>
                <c:pt idx="233">
                  <c:v>50.539886424679779</c:v>
                </c:pt>
                <c:pt idx="234">
                  <c:v>50.293394807005612</c:v>
                </c:pt>
                <c:pt idx="235">
                  <c:v>50.04683108156064</c:v>
                </c:pt>
                <c:pt idx="236">
                  <c:v>49.799688298400916</c:v>
                </c:pt>
                <c:pt idx="237">
                  <c:v>49.551459641922037</c:v>
                </c:pt>
                <c:pt idx="238">
                  <c:v>49.301638429136318</c:v>
                </c:pt>
                <c:pt idx="239">
                  <c:v>49.04972520371372</c:v>
                </c:pt>
                <c:pt idx="240">
                  <c:v>48.79521441521382</c:v>
                </c:pt>
                <c:pt idx="241">
                  <c:v>48.5375997699945</c:v>
                </c:pt>
                <c:pt idx="242">
                  <c:v>48.276375100500104</c:v>
                </c:pt>
                <c:pt idx="243">
                  <c:v>48.011034365586632</c:v>
                </c:pt>
                <c:pt idx="244">
                  <c:v>47.741071647057929</c:v>
                </c:pt>
                <c:pt idx="245">
                  <c:v>47.465981153018866</c:v>
                </c:pt>
                <c:pt idx="246">
                  <c:v>47.187182978868023</c:v>
                </c:pt>
                <c:pt idx="247">
                  <c:v>46.906251453409034</c:v>
                </c:pt>
                <c:pt idx="248">
                  <c:v>46.622891421189948</c:v>
                </c:pt>
                <c:pt idx="249">
                  <c:v>46.336799454632555</c:v>
                </c:pt>
                <c:pt idx="250">
                  <c:v>46.047672193032028</c:v>
                </c:pt>
                <c:pt idx="251">
                  <c:v>45.755206337864877</c:v>
                </c:pt>
                <c:pt idx="252">
                  <c:v>45.459098657602247</c:v>
                </c:pt>
                <c:pt idx="253">
                  <c:v>45.159043568024742</c:v>
                </c:pt>
                <c:pt idx="254">
                  <c:v>44.854730913665335</c:v>
                </c:pt>
                <c:pt idx="255">
                  <c:v>44.54585766556324</c:v>
                </c:pt>
                <c:pt idx="256">
                  <c:v>44.23212085377844</c:v>
                </c:pt>
                <c:pt idx="257">
                  <c:v>43.913217562473072</c:v>
                </c:pt>
                <c:pt idx="258">
                  <c:v>43.588844929707776</c:v>
                </c:pt>
                <c:pt idx="259">
                  <c:v>43.258700143659794</c:v>
                </c:pt>
                <c:pt idx="260">
                  <c:v>42.921484581196104</c:v>
                </c:pt>
                <c:pt idx="261">
                  <c:v>42.576616773736525</c:v>
                </c:pt>
                <c:pt idx="262">
                  <c:v>42.224889088159017</c:v>
                </c:pt>
                <c:pt idx="263">
                  <c:v>41.867112940086884</c:v>
                </c:pt>
                <c:pt idx="264">
                  <c:v>41.50409954635056</c:v>
                </c:pt>
                <c:pt idx="265">
                  <c:v>41.136659931464443</c:v>
                </c:pt>
                <c:pt idx="266">
                  <c:v>40.76560493119171</c:v>
                </c:pt>
                <c:pt idx="267">
                  <c:v>40.391730108554505</c:v>
                </c:pt>
                <c:pt idx="268">
                  <c:v>40.015848377256681</c:v>
                </c:pt>
                <c:pt idx="269">
                  <c:v>39.638770102079455</c:v>
                </c:pt>
                <c:pt idx="270">
                  <c:v>39.261305469486828</c:v>
                </c:pt>
                <c:pt idx="271">
                  <c:v>38.884264490270276</c:v>
                </c:pt>
                <c:pt idx="272">
                  <c:v>38.508457001472891</c:v>
                </c:pt>
                <c:pt idx="273">
                  <c:v>38.134692668972775</c:v>
                </c:pt>
                <c:pt idx="274">
                  <c:v>37.76087998834646</c:v>
                </c:pt>
                <c:pt idx="275">
                  <c:v>37.384672038283895</c:v>
                </c:pt>
                <c:pt idx="276">
                  <c:v>37.006498871574848</c:v>
                </c:pt>
                <c:pt idx="277">
                  <c:v>36.626765312021327</c:v>
                </c:pt>
                <c:pt idx="278">
                  <c:v>36.245876054364118</c:v>
                </c:pt>
                <c:pt idx="279">
                  <c:v>35.864235663233494</c:v>
                </c:pt>
                <c:pt idx="280">
                  <c:v>35.482248573406473</c:v>
                </c:pt>
                <c:pt idx="281">
                  <c:v>35.100328136768425</c:v>
                </c:pt>
                <c:pt idx="282">
                  <c:v>34.718892843206532</c:v>
                </c:pt>
                <c:pt idx="283">
                  <c:v>34.338346449575276</c:v>
                </c:pt>
                <c:pt idx="284">
                  <c:v>33.959092569198425</c:v>
                </c:pt>
                <c:pt idx="285">
                  <c:v>33.581534674410911</c:v>
                </c:pt>
                <c:pt idx="286">
                  <c:v>33.2060760986977</c:v>
                </c:pt>
                <c:pt idx="287">
                  <c:v>32.833120041524644</c:v>
                </c:pt>
                <c:pt idx="288">
                  <c:v>32.461400886058591</c:v>
                </c:pt>
                <c:pt idx="289">
                  <c:v>32.089375618752356</c:v>
                </c:pt>
                <c:pt idx="290">
                  <c:v>31.717336500531459</c:v>
                </c:pt>
                <c:pt idx="291">
                  <c:v>31.345589222847963</c:v>
                </c:pt>
                <c:pt idx="292">
                  <c:v>30.974439534098302</c:v>
                </c:pt>
                <c:pt idx="293">
                  <c:v>30.604193231210225</c:v>
                </c:pt>
                <c:pt idx="294">
                  <c:v>30.235156154761167</c:v>
                </c:pt>
                <c:pt idx="295">
                  <c:v>29.867152966776725</c:v>
                </c:pt>
                <c:pt idx="296">
                  <c:v>29.500489897740433</c:v>
                </c:pt>
                <c:pt idx="297">
                  <c:v>29.135481939540782</c:v>
                </c:pt>
                <c:pt idx="298">
                  <c:v>28.772444346364498</c:v>
                </c:pt>
                <c:pt idx="299">
                  <c:v>28.411692509956509</c:v>
                </c:pt>
                <c:pt idx="300">
                  <c:v>28.053541901926916</c:v>
                </c:pt>
                <c:pt idx="301">
                  <c:v>27.698308017273167</c:v>
                </c:pt>
                <c:pt idx="302">
                  <c:v>27.344453246511353</c:v>
                </c:pt>
                <c:pt idx="303">
                  <c:v>26.990623576479198</c:v>
                </c:pt>
                <c:pt idx="304">
                  <c:v>26.637527200003998</c:v>
                </c:pt>
                <c:pt idx="305">
                  <c:v>26.285676585845941</c:v>
                </c:pt>
                <c:pt idx="306">
                  <c:v>25.935583879529595</c:v>
                </c:pt>
                <c:pt idx="307">
                  <c:v>25.58776086707827</c:v>
                </c:pt>
                <c:pt idx="308">
                  <c:v>25.242718931542939</c:v>
                </c:pt>
                <c:pt idx="309">
                  <c:v>24.901574848081694</c:v>
                </c:pt>
                <c:pt idx="310">
                  <c:v>24.565260853512918</c:v>
                </c:pt>
                <c:pt idx="311">
                  <c:v>24.234264873269389</c:v>
                </c:pt>
                <c:pt idx="312">
                  <c:v>23.909074703161345</c:v>
                </c:pt>
                <c:pt idx="313">
                  <c:v>23.590178093349369</c:v>
                </c:pt>
                <c:pt idx="314">
                  <c:v>23.278062824468311</c:v>
                </c:pt>
                <c:pt idx="315">
                  <c:v>22.973216789770362</c:v>
                </c:pt>
                <c:pt idx="316">
                  <c:v>22.674865261905406</c:v>
                </c:pt>
                <c:pt idx="317">
                  <c:v>22.38207864538402</c:v>
                </c:pt>
                <c:pt idx="318">
                  <c:v>22.094793371612219</c:v>
                </c:pt>
                <c:pt idx="319">
                  <c:v>21.81299114983667</c:v>
                </c:pt>
                <c:pt idx="320">
                  <c:v>21.536654361208768</c:v>
                </c:pt>
                <c:pt idx="321">
                  <c:v>21.265766118880155</c:v>
                </c:pt>
                <c:pt idx="322">
                  <c:v>21.000310332646304</c:v>
                </c:pt>
                <c:pt idx="323">
                  <c:v>20.74017301098025</c:v>
                </c:pt>
                <c:pt idx="324">
                  <c:v>20.484794763673374</c:v>
                </c:pt>
                <c:pt idx="325">
                  <c:v>20.234173785391203</c:v>
                </c:pt>
                <c:pt idx="326">
                  <c:v>19.988309159960977</c:v>
                </c:pt>
                <c:pt idx="327">
                  <c:v>19.747199744953114</c:v>
                </c:pt>
                <c:pt idx="328">
                  <c:v>19.51084411867733</c:v>
                </c:pt>
                <c:pt idx="329">
                  <c:v>19.27924111443048</c:v>
                </c:pt>
                <c:pt idx="330">
                  <c:v>19.050202203084357</c:v>
                </c:pt>
                <c:pt idx="331">
                  <c:v>18.822169127843129</c:v>
                </c:pt>
                <c:pt idx="332">
                  <c:v>18.595986327416867</c:v>
                </c:pt>
                <c:pt idx="333">
                  <c:v>18.372666409462781</c:v>
                </c:pt>
                <c:pt idx="334">
                  <c:v>18.153221749678075</c:v>
                </c:pt>
                <c:pt idx="335">
                  <c:v>17.938664475687318</c:v>
                </c:pt>
                <c:pt idx="336">
                  <c:v>17.730006439276199</c:v>
                </c:pt>
                <c:pt idx="337">
                  <c:v>17.528174192020359</c:v>
                </c:pt>
                <c:pt idx="338">
                  <c:v>17.334271515448453</c:v>
                </c:pt>
                <c:pt idx="339">
                  <c:v>17.149309240933071</c:v>
                </c:pt>
                <c:pt idx="340">
                  <c:v>16.974297877914879</c:v>
                </c:pt>
                <c:pt idx="341">
                  <c:v>16.810247615283192</c:v>
                </c:pt>
                <c:pt idx="342">
                  <c:v>16.658168311427701</c:v>
                </c:pt>
                <c:pt idx="343">
                  <c:v>16.519069476708427</c:v>
                </c:pt>
                <c:pt idx="344">
                  <c:v>16.389168222896821</c:v>
                </c:pt>
                <c:pt idx="345">
                  <c:v>16.264707952249179</c:v>
                </c:pt>
                <c:pt idx="346">
                  <c:v>16.146813056281648</c:v>
                </c:pt>
                <c:pt idx="347">
                  <c:v>16.036531164649052</c:v>
                </c:pt>
                <c:pt idx="348">
                  <c:v>15.934909646377251</c:v>
                </c:pt>
                <c:pt idx="349">
                  <c:v>15.84299558821326</c:v>
                </c:pt>
                <c:pt idx="350">
                  <c:v>15.761835804779954</c:v>
                </c:pt>
                <c:pt idx="351">
                  <c:v>15.692511269998406</c:v>
                </c:pt>
                <c:pt idx="352">
                  <c:v>15.636149947268509</c:v>
                </c:pt>
                <c:pt idx="353">
                  <c:v>15.593797353724437</c:v>
                </c:pt>
                <c:pt idx="354">
                  <c:v>15.566498796419621</c:v>
                </c:pt>
                <c:pt idx="355">
                  <c:v>15.555299357829346</c:v>
                </c:pt>
                <c:pt idx="356">
                  <c:v>15.561244481853809</c:v>
                </c:pt>
                <c:pt idx="357">
                  <c:v>15.585378298631817</c:v>
                </c:pt>
                <c:pt idx="358">
                  <c:v>15.629718634035328</c:v>
                </c:pt>
                <c:pt idx="359">
                  <c:v>15.694559459348618</c:v>
                </c:pt>
                <c:pt idx="360">
                  <c:v>15.778278689681173</c:v>
                </c:pt>
                <c:pt idx="361">
                  <c:v>15.879301824647758</c:v>
                </c:pt>
                <c:pt idx="362">
                  <c:v>15.996088820857276</c:v>
                </c:pt>
                <c:pt idx="363">
                  <c:v>16.127099891779856</c:v>
                </c:pt>
                <c:pt idx="364">
                  <c:v>16.270795507503344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5.8062636906280023</c:v>
                </c:pt>
                <c:pt idx="7">
                  <c:v>7.5842061094092177</c:v>
                </c:pt>
                <c:pt idx="8">
                  <c:v>2.2781305553534237</c:v>
                </c:pt>
                <c:pt idx="9">
                  <c:v>1.8838013655254846</c:v>
                </c:pt>
                <c:pt idx="10">
                  <c:v>18.903391432916447</c:v>
                </c:pt>
                <c:pt idx="11">
                  <c:v>16.968582752822918</c:v>
                </c:pt>
                <c:pt idx="12">
                  <c:v>5.7649605598410893</c:v>
                </c:pt>
                <c:pt idx="13">
                  <c:v>19.503077775005401</c:v>
                </c:pt>
                <c:pt idx="14">
                  <c:v>20.06666767444765</c:v>
                </c:pt>
                <c:pt idx="15">
                  <c:v>19.791465350336257</c:v>
                </c:pt>
                <c:pt idx="16">
                  <c:v>13.28040305454201</c:v>
                </c:pt>
                <c:pt idx="17">
                  <c:v>4.2130966960884999</c:v>
                </c:pt>
                <c:pt idx="18">
                  <c:v>10.652459800924101</c:v>
                </c:pt>
                <c:pt idx="19">
                  <c:v>6.1660855194355157</c:v>
                </c:pt>
                <c:pt idx="20">
                  <c:v>17.3570052461607</c:v>
                </c:pt>
                <c:pt idx="21">
                  <c:v>21.405071832373711</c:v>
                </c:pt>
                <c:pt idx="22">
                  <c:v>21.475449696873479</c:v>
                </c:pt>
                <c:pt idx="23">
                  <c:v>22.007669193104842</c:v>
                </c:pt>
                <c:pt idx="24">
                  <c:v>20.609801216341953</c:v>
                </c:pt>
                <c:pt idx="25">
                  <c:v>22.177452563875441</c:v>
                </c:pt>
                <c:pt idx="26">
                  <c:v>18.564559235969277</c:v>
                </c:pt>
                <c:pt idx="27">
                  <c:v>4.4274976960884995</c:v>
                </c:pt>
                <c:pt idx="28">
                  <c:v>6.6532523576095217</c:v>
                </c:pt>
                <c:pt idx="29">
                  <c:v>4.7946162297989128</c:v>
                </c:pt>
                <c:pt idx="30">
                  <c:v>11.11589073522949</c:v>
                </c:pt>
                <c:pt idx="31">
                  <c:v>14.328677078012229</c:v>
                </c:pt>
                <c:pt idx="32">
                  <c:v>5.7780485084748952</c:v>
                </c:pt>
                <c:pt idx="33">
                  <c:v>13.350823928177848</c:v>
                </c:pt>
                <c:pt idx="34">
                  <c:v>12.182443251733833</c:v>
                </c:pt>
                <c:pt idx="35">
                  <c:v>9.565801567212862</c:v>
                </c:pt>
                <c:pt idx="36">
                  <c:v>21.008124531396032</c:v>
                </c:pt>
                <c:pt idx="37">
                  <c:v>14.394444331934244</c:v>
                </c:pt>
                <c:pt idx="38">
                  <c:v>27.895912188800203</c:v>
                </c:pt>
                <c:pt idx="39">
                  <c:v>28.113940259737202</c:v>
                </c:pt>
                <c:pt idx="40">
                  <c:v>27.131975832154659</c:v>
                </c:pt>
                <c:pt idx="41">
                  <c:v>14.183246393356848</c:v>
                </c:pt>
                <c:pt idx="42">
                  <c:v>22.679266564421745</c:v>
                </c:pt>
                <c:pt idx="43">
                  <c:v>24.986251563982822</c:v>
                </c:pt>
                <c:pt idx="44">
                  <c:v>16.042123360589809</c:v>
                </c:pt>
                <c:pt idx="45">
                  <c:v>20.649753678189718</c:v>
                </c:pt>
                <c:pt idx="46">
                  <c:v>9.8069164527950097</c:v>
                </c:pt>
                <c:pt idx="47">
                  <c:v>11.784770518686269</c:v>
                </c:pt>
                <c:pt idx="48">
                  <c:v>27.614631037035846</c:v>
                </c:pt>
                <c:pt idx="49">
                  <c:v>16.669276324447008</c:v>
                </c:pt>
                <c:pt idx="50">
                  <c:v>20.99002739656202</c:v>
                </c:pt>
                <c:pt idx="51">
                  <c:v>18.507498280068681</c:v>
                </c:pt>
                <c:pt idx="52">
                  <c:v>30.243657627567561</c:v>
                </c:pt>
                <c:pt idx="53">
                  <c:v>31.804626881147428</c:v>
                </c:pt>
                <c:pt idx="54">
                  <c:v>22.646217460809421</c:v>
                </c:pt>
                <c:pt idx="55">
                  <c:v>25.001855454087796</c:v>
                </c:pt>
                <c:pt idx="56">
                  <c:v>35.207349220397887</c:v>
                </c:pt>
                <c:pt idx="57">
                  <c:v>22.51918560484075</c:v>
                </c:pt>
                <c:pt idx="58">
                  <c:v>32.840121593736903</c:v>
                </c:pt>
                <c:pt idx="59">
                  <c:v>34.649541687430883</c:v>
                </c:pt>
                <c:pt idx="60">
                  <c:v>16.010700597767293</c:v>
                </c:pt>
                <c:pt idx="61">
                  <c:v>27.618313739164407</c:v>
                </c:pt>
                <c:pt idx="62">
                  <c:v>5.4394997074179869</c:v>
                </c:pt>
                <c:pt idx="63">
                  <c:v>14.106467833796298</c:v>
                </c:pt>
                <c:pt idx="64">
                  <c:v>21.595436708513098</c:v>
                </c:pt>
                <c:pt idx="65">
                  <c:v>35.002478192750139</c:v>
                </c:pt>
                <c:pt idx="66">
                  <c:v>31.403625842345971</c:v>
                </c:pt>
                <c:pt idx="67">
                  <c:v>28.030462416317636</c:v>
                </c:pt>
                <c:pt idx="68">
                  <c:v>23.682868884170922</c:v>
                </c:pt>
                <c:pt idx="69">
                  <c:v>17.091403240093996</c:v>
                </c:pt>
                <c:pt idx="70">
                  <c:v>13.375401741259287</c:v>
                </c:pt>
                <c:pt idx="71">
                  <c:v>8.5188905747634642</c:v>
                </c:pt>
                <c:pt idx="72">
                  <c:v>12.685045540977779</c:v>
                </c:pt>
                <c:pt idx="73">
                  <c:v>15.03248682499393</c:v>
                </c:pt>
                <c:pt idx="74">
                  <c:v>12.622734032944766</c:v>
                </c:pt>
                <c:pt idx="75">
                  <c:v>12.122860635530689</c:v>
                </c:pt>
                <c:pt idx="76">
                  <c:v>14.309063401574004</c:v>
                </c:pt>
                <c:pt idx="77">
                  <c:v>26.291918311985508</c:v>
                </c:pt>
                <c:pt idx="78">
                  <c:v>31.515522991167323</c:v>
                </c:pt>
                <c:pt idx="79">
                  <c:v>42.388636037876893</c:v>
                </c:pt>
                <c:pt idx="80">
                  <c:v>41.371877594670863</c:v>
                </c:pt>
                <c:pt idx="81">
                  <c:v>44.136301897526458</c:v>
                </c:pt>
                <c:pt idx="82">
                  <c:v>43.846351384587599</c:v>
                </c:pt>
                <c:pt idx="83">
                  <c:v>36.524242551629399</c:v>
                </c:pt>
                <c:pt idx="84">
                  <c:v>40.116093212127112</c:v>
                </c:pt>
                <c:pt idx="85">
                  <c:v>41.980061326386782</c:v>
                </c:pt>
                <c:pt idx="86">
                  <c:v>36.062108680275195</c:v>
                </c:pt>
                <c:pt idx="87">
                  <c:v>27.46243382632796</c:v>
                </c:pt>
                <c:pt idx="88">
                  <c:v>7.6482877166868235</c:v>
                </c:pt>
                <c:pt idx="89">
                  <c:v>26.711349576680163</c:v>
                </c:pt>
                <c:pt idx="90">
                  <c:v>29.37998166954846</c:v>
                </c:pt>
                <c:pt idx="91">
                  <c:v>20.021752447560758</c:v>
                </c:pt>
                <c:pt idx="92">
                  <c:v>27.335488316140399</c:v>
                </c:pt>
                <c:pt idx="93">
                  <c:v>42.451691099525696</c:v>
                </c:pt>
                <c:pt idx="94">
                  <c:v>50.804861467817311</c:v>
                </c:pt>
                <c:pt idx="95">
                  <c:v>12.392669231157898</c:v>
                </c:pt>
                <c:pt idx="96">
                  <c:v>42.00580357015582</c:v>
                </c:pt>
                <c:pt idx="97">
                  <c:v>35.781726650870816</c:v>
                </c:pt>
                <c:pt idx="98">
                  <c:v>33.288061311159097</c:v>
                </c:pt>
                <c:pt idx="99">
                  <c:v>54.538525156382534</c:v>
                </c:pt>
                <c:pt idx="100">
                  <c:v>43.99921131595282</c:v>
                </c:pt>
                <c:pt idx="101">
                  <c:v>36.712019167080008</c:v>
                </c:pt>
                <c:pt idx="102">
                  <c:v>8.4890814078493513</c:v>
                </c:pt>
                <c:pt idx="103">
                  <c:v>39.188637773424269</c:v>
                </c:pt>
                <c:pt idx="104">
                  <c:v>42.942410297234126</c:v>
                </c:pt>
                <c:pt idx="105">
                  <c:v>39.073441378867102</c:v>
                </c:pt>
                <c:pt idx="106">
                  <c:v>54.115365793866175</c:v>
                </c:pt>
                <c:pt idx="107">
                  <c:v>34.523226816841635</c:v>
                </c:pt>
                <c:pt idx="108">
                  <c:v>11.358499769193969</c:v>
                </c:pt>
                <c:pt idx="109">
                  <c:v>11.382301284240793</c:v>
                </c:pt>
                <c:pt idx="110">
                  <c:v>10.924914459037284</c:v>
                </c:pt>
                <c:pt idx="111">
                  <c:v>29.059253636693295</c:v>
                </c:pt>
                <c:pt idx="112">
                  <c:v>9.5403138111604147</c:v>
                </c:pt>
                <c:pt idx="113">
                  <c:v>34.207513455032135</c:v>
                </c:pt>
                <c:pt idx="114">
                  <c:v>45.144255177744434</c:v>
                </c:pt>
                <c:pt idx="115">
                  <c:v>56.365839722109676</c:v>
                </c:pt>
                <c:pt idx="116">
                  <c:v>44.803041563754697</c:v>
                </c:pt>
                <c:pt idx="117">
                  <c:v>23.885582006939085</c:v>
                </c:pt>
                <c:pt idx="118">
                  <c:v>43.290569090051505</c:v>
                </c:pt>
                <c:pt idx="119">
                  <c:v>42.697561413265667</c:v>
                </c:pt>
                <c:pt idx="120">
                  <c:v>48.439062804865777</c:v>
                </c:pt>
                <c:pt idx="121">
                  <c:v>31.1345805390343</c:v>
                </c:pt>
                <c:pt idx="122">
                  <c:v>34.700634101183965</c:v>
                </c:pt>
                <c:pt idx="123">
                  <c:v>19.529623545253667</c:v>
                </c:pt>
                <c:pt idx="124">
                  <c:v>39.309968796339305</c:v>
                </c:pt>
                <c:pt idx="125">
                  <c:v>41.208415305347202</c:v>
                </c:pt>
                <c:pt idx="126">
                  <c:v>47.397053967741627</c:v>
                </c:pt>
                <c:pt idx="127">
                  <c:v>53.759422756711729</c:v>
                </c:pt>
                <c:pt idx="128">
                  <c:v>56.882333540379776</c:v>
                </c:pt>
                <c:pt idx="129">
                  <c:v>55.717876823334962</c:v>
                </c:pt>
                <c:pt idx="130">
                  <c:v>59.436872223646361</c:v>
                </c:pt>
                <c:pt idx="131">
                  <c:v>45.258328380068008</c:v>
                </c:pt>
                <c:pt idx="132">
                  <c:v>47.95883914297842</c:v>
                </c:pt>
                <c:pt idx="133">
                  <c:v>53.691021460543759</c:v>
                </c:pt>
                <c:pt idx="134">
                  <c:v>55.424341711982784</c:v>
                </c:pt>
                <c:pt idx="135">
                  <c:v>54.169647892754604</c:v>
                </c:pt>
                <c:pt idx="136">
                  <c:v>57.850685291295406</c:v>
                </c:pt>
                <c:pt idx="137">
                  <c:v>55.235802774338872</c:v>
                </c:pt>
                <c:pt idx="138">
                  <c:v>54.05607340251926</c:v>
                </c:pt>
                <c:pt idx="139">
                  <c:v>51.374723039957459</c:v>
                </c:pt>
                <c:pt idx="140">
                  <c:v>53.800942315136794</c:v>
                </c:pt>
                <c:pt idx="141">
                  <c:v>41.60109942800451</c:v>
                </c:pt>
                <c:pt idx="142">
                  <c:v>19.794443334933039</c:v>
                </c:pt>
                <c:pt idx="143">
                  <c:v>17.002900533122748</c:v>
                </c:pt>
                <c:pt idx="144">
                  <c:v>41.439007233335964</c:v>
                </c:pt>
                <c:pt idx="145">
                  <c:v>27.649150952381156</c:v>
                </c:pt>
                <c:pt idx="146">
                  <c:v>43.293888898559878</c:v>
                </c:pt>
                <c:pt idx="147">
                  <c:v>56.838105070823559</c:v>
                </c:pt>
                <c:pt idx="148">
                  <c:v>61.81108045008088</c:v>
                </c:pt>
                <c:pt idx="149">
                  <c:v>49.710749918397291</c:v>
                </c:pt>
                <c:pt idx="150">
                  <c:v>58.761524389592502</c:v>
                </c:pt>
                <c:pt idx="151">
                  <c:v>61.265654852969199</c:v>
                </c:pt>
                <c:pt idx="152">
                  <c:v>44.12970451870148</c:v>
                </c:pt>
                <c:pt idx="153">
                  <c:v>58.429677706326856</c:v>
                </c:pt>
                <c:pt idx="154">
                  <c:v>29.697107612499547</c:v>
                </c:pt>
                <c:pt idx="155">
                  <c:v>32.818203109290664</c:v>
                </c:pt>
                <c:pt idx="156">
                  <c:v>52.481352071663558</c:v>
                </c:pt>
                <c:pt idx="157">
                  <c:v>27.404966171902299</c:v>
                </c:pt>
                <c:pt idx="158">
                  <c:v>24.695008996477544</c:v>
                </c:pt>
                <c:pt idx="159">
                  <c:v>50.746608803981552</c:v>
                </c:pt>
                <c:pt idx="160">
                  <c:v>62.435580098692192</c:v>
                </c:pt>
                <c:pt idx="161">
                  <c:v>59.779830298452623</c:v>
                </c:pt>
                <c:pt idx="162">
                  <c:v>48.205051152180737</c:v>
                </c:pt>
                <c:pt idx="163">
                  <c:v>53.892117348536729</c:v>
                </c:pt>
                <c:pt idx="164">
                  <c:v>54.785557902914448</c:v>
                </c:pt>
                <c:pt idx="165">
                  <c:v>58.115731630265856</c:v>
                </c:pt>
                <c:pt idx="166">
                  <c:v>55.070775815021022</c:v>
                </c:pt>
                <c:pt idx="167">
                  <c:v>55.232387259404661</c:v>
                </c:pt>
                <c:pt idx="168">
                  <c:v>58.811343358376398</c:v>
                </c:pt>
                <c:pt idx="169">
                  <c:v>59.2824552806957</c:v>
                </c:pt>
                <c:pt idx="170">
                  <c:v>32.055836886681305</c:v>
                </c:pt>
                <c:pt idx="171">
                  <c:v>21.571280278468361</c:v>
                </c:pt>
                <c:pt idx="172">
                  <c:v>44.749917777704432</c:v>
                </c:pt>
                <c:pt idx="173">
                  <c:v>44.247993975490992</c:v>
                </c:pt>
                <c:pt idx="174">
                  <c:v>47.597337964850503</c:v>
                </c:pt>
                <c:pt idx="175">
                  <c:v>39.650127511305925</c:v>
                </c:pt>
                <c:pt idx="176">
                  <c:v>12.400708414008314</c:v>
                </c:pt>
                <c:pt idx="177">
                  <c:v>18.243766458143455</c:v>
                </c:pt>
                <c:pt idx="178">
                  <c:v>63.134020038913654</c:v>
                </c:pt>
                <c:pt idx="179">
                  <c:v>61.26238712501538</c:v>
                </c:pt>
                <c:pt idx="180">
                  <c:v>15.04870470788801</c:v>
                </c:pt>
                <c:pt idx="181">
                  <c:v>51.053177832852519</c:v>
                </c:pt>
                <c:pt idx="182">
                  <c:v>56.684077893272089</c:v>
                </c:pt>
                <c:pt idx="183">
                  <c:v>52.716233254334767</c:v>
                </c:pt>
                <c:pt idx="184">
                  <c:v>49.073016606153899</c:v>
                </c:pt>
                <c:pt idx="185">
                  <c:v>58.843267617050508</c:v>
                </c:pt>
                <c:pt idx="186">
                  <c:v>43.320616122695746</c:v>
                </c:pt>
                <c:pt idx="187">
                  <c:v>58.397053421840113</c:v>
                </c:pt>
                <c:pt idx="188">
                  <c:v>61.235241206644289</c:v>
                </c:pt>
                <c:pt idx="189">
                  <c:v>60.290159365834398</c:v>
                </c:pt>
                <c:pt idx="190">
                  <c:v>59.656472660668541</c:v>
                </c:pt>
                <c:pt idx="191">
                  <c:v>58.630677365548493</c:v>
                </c:pt>
                <c:pt idx="192">
                  <c:v>57.712155561459618</c:v>
                </c:pt>
                <c:pt idx="193">
                  <c:v>56.568610771396635</c:v>
                </c:pt>
                <c:pt idx="194">
                  <c:v>56.417209385190482</c:v>
                </c:pt>
                <c:pt idx="195">
                  <c:v>53.928285830393939</c:v>
                </c:pt>
                <c:pt idx="196">
                  <c:v>55.037739021108699</c:v>
                </c:pt>
                <c:pt idx="197">
                  <c:v>55.435123434137203</c:v>
                </c:pt>
                <c:pt idx="198">
                  <c:v>57.127594715473336</c:v>
                </c:pt>
                <c:pt idx="199">
                  <c:v>41.962137812947205</c:v>
                </c:pt>
                <c:pt idx="200">
                  <c:v>39.40462215015522</c:v>
                </c:pt>
                <c:pt idx="201">
                  <c:v>54.373792440954269</c:v>
                </c:pt>
                <c:pt idx="202">
                  <c:v>46.700423789992314</c:v>
                </c:pt>
                <c:pt idx="203">
                  <c:v>44.189414781837165</c:v>
                </c:pt>
                <c:pt idx="204">
                  <c:v>53.800918503374575</c:v>
                </c:pt>
                <c:pt idx="205">
                  <c:v>28.382468760310488</c:v>
                </c:pt>
                <c:pt idx="206">
                  <c:v>50.301017914487218</c:v>
                </c:pt>
                <c:pt idx="207">
                  <c:v>56.932230032434738</c:v>
                </c:pt>
                <c:pt idx="208">
                  <c:v>44.73189246338994</c:v>
                </c:pt>
                <c:pt idx="209">
                  <c:v>27.788212254413949</c:v>
                </c:pt>
                <c:pt idx="210">
                  <c:v>45.704201447356077</c:v>
                </c:pt>
                <c:pt idx="211">
                  <c:v>55.969710174085179</c:v>
                </c:pt>
                <c:pt idx="212">
                  <c:v>55.479323757471882</c:v>
                </c:pt>
                <c:pt idx="213">
                  <c:v>55.490319653174019</c:v>
                </c:pt>
                <c:pt idx="214">
                  <c:v>55.096778040697806</c:v>
                </c:pt>
                <c:pt idx="215">
                  <c:v>52.562769792962733</c:v>
                </c:pt>
                <c:pt idx="216">
                  <c:v>41.957756252148279</c:v>
                </c:pt>
                <c:pt idx="217">
                  <c:v>50.064339793265439</c:v>
                </c:pt>
                <c:pt idx="218">
                  <c:v>52.786541054703655</c:v>
                </c:pt>
                <c:pt idx="219">
                  <c:v>54.155524101840989</c:v>
                </c:pt>
                <c:pt idx="220">
                  <c:v>51.632773840050326</c:v>
                </c:pt>
                <c:pt idx="221">
                  <c:v>50.14417816249594</c:v>
                </c:pt>
                <c:pt idx="222">
                  <c:v>47.324085538075742</c:v>
                </c:pt>
                <c:pt idx="223">
                  <c:v>0</c:v>
                </c:pt>
                <c:pt idx="224">
                  <c:v>35.172520567540495</c:v>
                </c:pt>
                <c:pt idx="225">
                  <c:v>35.237446010095802</c:v>
                </c:pt>
                <c:pt idx="226">
                  <c:v>35.638577272207272</c:v>
                </c:pt>
                <c:pt idx="227">
                  <c:v>36.913476138521311</c:v>
                </c:pt>
                <c:pt idx="228">
                  <c:v>25.676425983927583</c:v>
                </c:pt>
                <c:pt idx="229">
                  <c:v>39.178423917050907</c:v>
                </c:pt>
                <c:pt idx="230">
                  <c:v>38.785607642390254</c:v>
                </c:pt>
                <c:pt idx="231">
                  <c:v>50.618297574653937</c:v>
                </c:pt>
                <c:pt idx="232">
                  <c:v>36.527787138677738</c:v>
                </c:pt>
                <c:pt idx="233">
                  <c:v>26.719619311462893</c:v>
                </c:pt>
                <c:pt idx="234">
                  <c:v>45.201163570992101</c:v>
                </c:pt>
                <c:pt idx="235">
                  <c:v>49.094886784170825</c:v>
                </c:pt>
                <c:pt idx="236">
                  <c:v>31.489456131679528</c:v>
                </c:pt>
                <c:pt idx="237">
                  <c:v>36.293055098448725</c:v>
                </c:pt>
                <c:pt idx="238">
                  <c:v>45.75381075558095</c:v>
                </c:pt>
                <c:pt idx="239">
                  <c:v>48.100374658242359</c:v>
                </c:pt>
                <c:pt idx="240">
                  <c:v>33.617391409699188</c:v>
                </c:pt>
                <c:pt idx="241">
                  <c:v>47.178971802945611</c:v>
                </c:pt>
                <c:pt idx="242">
                  <c:v>23.886548174554036</c:v>
                </c:pt>
                <c:pt idx="243">
                  <c:v>41.074010249151186</c:v>
                </c:pt>
                <c:pt idx="244">
                  <c:v>38.826003755155611</c:v>
                </c:pt>
                <c:pt idx="245">
                  <c:v>35.719241534415019</c:v>
                </c:pt>
                <c:pt idx="246">
                  <c:v>46.836420558302464</c:v>
                </c:pt>
                <c:pt idx="247">
                  <c:v>39.192856285334393</c:v>
                </c:pt>
                <c:pt idx="248">
                  <c:v>42.720354816109236</c:v>
                </c:pt>
                <c:pt idx="249">
                  <c:v>35.030072004114402</c:v>
                </c:pt>
                <c:pt idx="250">
                  <c:v>38.961356668578219</c:v>
                </c:pt>
                <c:pt idx="251">
                  <c:v>18.56228224426674</c:v>
                </c:pt>
                <c:pt idx="252">
                  <c:v>43.273226956975222</c:v>
                </c:pt>
                <c:pt idx="253">
                  <c:v>44.768068683659486</c:v>
                </c:pt>
                <c:pt idx="254">
                  <c:v>34.774643207301651</c:v>
                </c:pt>
                <c:pt idx="255">
                  <c:v>13.329574519312306</c:v>
                </c:pt>
                <c:pt idx="256">
                  <c:v>35.817688890151501</c:v>
                </c:pt>
                <c:pt idx="257">
                  <c:v>40.688973553236409</c:v>
                </c:pt>
                <c:pt idx="258">
                  <c:v>27.342318761802133</c:v>
                </c:pt>
                <c:pt idx="259">
                  <c:v>43.90411187496079</c:v>
                </c:pt>
                <c:pt idx="260">
                  <c:v>43.005951367340451</c:v>
                </c:pt>
                <c:pt idx="261">
                  <c:v>43.346677140197677</c:v>
                </c:pt>
                <c:pt idx="262">
                  <c:v>43.690253378025247</c:v>
                </c:pt>
                <c:pt idx="263">
                  <c:v>42.400589320064135</c:v>
                </c:pt>
                <c:pt idx="264">
                  <c:v>41.214445223935613</c:v>
                </c:pt>
                <c:pt idx="265">
                  <c:v>30.201959103877918</c:v>
                </c:pt>
                <c:pt idx="266">
                  <c:v>18.656149894830119</c:v>
                </c:pt>
                <c:pt idx="267">
                  <c:v>29.862560785070883</c:v>
                </c:pt>
                <c:pt idx="268">
                  <c:v>32.20793987808792</c:v>
                </c:pt>
                <c:pt idx="269">
                  <c:v>15.761615895704827</c:v>
                </c:pt>
                <c:pt idx="270">
                  <c:v>18.00614668104642</c:v>
                </c:pt>
                <c:pt idx="271">
                  <c:v>23.30467084424447</c:v>
                </c:pt>
                <c:pt idx="272">
                  <c:v>24.991539585197696</c:v>
                </c:pt>
                <c:pt idx="273">
                  <c:v>34.111068342685741</c:v>
                </c:pt>
                <c:pt idx="274">
                  <c:v>35.474974345175887</c:v>
                </c:pt>
                <c:pt idx="275">
                  <c:v>32.126657663697628</c:v>
                </c:pt>
                <c:pt idx="276">
                  <c:v>37.419842360467889</c:v>
                </c:pt>
                <c:pt idx="277">
                  <c:v>37.665360384998543</c:v>
                </c:pt>
                <c:pt idx="278">
                  <c:v>15.096885340435309</c:v>
                </c:pt>
                <c:pt idx="279">
                  <c:v>28.998611820726623</c:v>
                </c:pt>
                <c:pt idx="280">
                  <c:v>14.665745028044798</c:v>
                </c:pt>
                <c:pt idx="281">
                  <c:v>34.249549541431293</c:v>
                </c:pt>
                <c:pt idx="282">
                  <c:v>29.987786559421252</c:v>
                </c:pt>
                <c:pt idx="283">
                  <c:v>24.118016017808188</c:v>
                </c:pt>
                <c:pt idx="284">
                  <c:v>24.026100565073744</c:v>
                </c:pt>
                <c:pt idx="285">
                  <c:v>21.763627446772595</c:v>
                </c:pt>
                <c:pt idx="286">
                  <c:v>14.62868415202818</c:v>
                </c:pt>
                <c:pt idx="287">
                  <c:v>32.605840384994565</c:v>
                </c:pt>
                <c:pt idx="288">
                  <c:v>28.584288412433231</c:v>
                </c:pt>
                <c:pt idx="289">
                  <c:v>16.109887642818485</c:v>
                </c:pt>
                <c:pt idx="290">
                  <c:v>28.739682427917121</c:v>
                </c:pt>
                <c:pt idx="291">
                  <c:v>16.054936608210706</c:v>
                </c:pt>
                <c:pt idx="292">
                  <c:v>8.446119948211356</c:v>
                </c:pt>
                <c:pt idx="293">
                  <c:v>16.33051551947857</c:v>
                </c:pt>
                <c:pt idx="294">
                  <c:v>27.994458795913044</c:v>
                </c:pt>
                <c:pt idx="295">
                  <c:v>18.253676587447977</c:v>
                </c:pt>
                <c:pt idx="296">
                  <c:v>23.679582191843615</c:v>
                </c:pt>
                <c:pt idx="297">
                  <c:v>19.901177337220343</c:v>
                </c:pt>
                <c:pt idx="298">
                  <c:v>14.873307420175026</c:v>
                </c:pt>
                <c:pt idx="299">
                  <c:v>14.064681184433573</c:v>
                </c:pt>
                <c:pt idx="300">
                  <c:v>16.179496305374364</c:v>
                </c:pt>
                <c:pt idx="301">
                  <c:v>22.765536456766881</c:v>
                </c:pt>
                <c:pt idx="302">
                  <c:v>19.93809551113878</c:v>
                </c:pt>
                <c:pt idx="303">
                  <c:v>19.128446324487175</c:v>
                </c:pt>
                <c:pt idx="304">
                  <c:v>17.444141846431144</c:v>
                </c:pt>
                <c:pt idx="305">
                  <c:v>24.149613920721965</c:v>
                </c:pt>
                <c:pt idx="306">
                  <c:v>8.7604829956403805</c:v>
                </c:pt>
                <c:pt idx="307">
                  <c:v>12.157621779796161</c:v>
                </c:pt>
                <c:pt idx="308">
                  <c:v>24.498274428395533</c:v>
                </c:pt>
                <c:pt idx="309">
                  <c:v>24.555078282883894</c:v>
                </c:pt>
                <c:pt idx="310">
                  <c:v>24.357835696044642</c:v>
                </c:pt>
                <c:pt idx="311">
                  <c:v>17.622374684106038</c:v>
                </c:pt>
                <c:pt idx="312">
                  <c:v>9.828377903096758</c:v>
                </c:pt>
                <c:pt idx="313">
                  <c:v>17.871323702506398</c:v>
                </c:pt>
                <c:pt idx="314">
                  <c:v>21.260880267708977</c:v>
                </c:pt>
                <c:pt idx="315">
                  <c:v>21.387885047067911</c:v>
                </c:pt>
                <c:pt idx="316">
                  <c:v>20.365884982107978</c:v>
                </c:pt>
                <c:pt idx="317">
                  <c:v>11.005294209873425</c:v>
                </c:pt>
                <c:pt idx="318">
                  <c:v>12.496144155698792</c:v>
                </c:pt>
                <c:pt idx="319">
                  <c:v>20.872048879404989</c:v>
                </c:pt>
                <c:pt idx="320">
                  <c:v>13.720428474648052</c:v>
                </c:pt>
                <c:pt idx="321">
                  <c:v>11.373008757150991</c:v>
                </c:pt>
                <c:pt idx="322">
                  <c:v>8.1620380009925277</c:v>
                </c:pt>
                <c:pt idx="323">
                  <c:v>14.692876567800326</c:v>
                </c:pt>
                <c:pt idx="324">
                  <c:v>3.3459918833307927</c:v>
                </c:pt>
                <c:pt idx="325">
                  <c:v>9.3888180049030705</c:v>
                </c:pt>
                <c:pt idx="326">
                  <c:v>12.522032648059865</c:v>
                </c:pt>
                <c:pt idx="327">
                  <c:v>11.642533371853441</c:v>
                </c:pt>
                <c:pt idx="328">
                  <c:v>4.725283505173425</c:v>
                </c:pt>
                <c:pt idx="329">
                  <c:v>9.4500089422657343</c:v>
                </c:pt>
                <c:pt idx="330">
                  <c:v>13.510346171509442</c:v>
                </c:pt>
                <c:pt idx="331">
                  <c:v>9.2260507052160534</c:v>
                </c:pt>
                <c:pt idx="332">
                  <c:v>10.226067509811493</c:v>
                </c:pt>
                <c:pt idx="333">
                  <c:v>4.3809943917235818</c:v>
                </c:pt>
                <c:pt idx="334">
                  <c:v>4.1345229313828842</c:v>
                </c:pt>
                <c:pt idx="335">
                  <c:v>5.2757202244495742</c:v>
                </c:pt>
                <c:pt idx="336">
                  <c:v>9.4883731174595063</c:v>
                </c:pt>
                <c:pt idx="337">
                  <c:v>12.68808110941862</c:v>
                </c:pt>
                <c:pt idx="338">
                  <c:v>17.583931101978106</c:v>
                </c:pt>
                <c:pt idx="339">
                  <c:v>11.486569138881668</c:v>
                </c:pt>
                <c:pt idx="340">
                  <c:v>14.091557144606808</c:v>
                </c:pt>
                <c:pt idx="341">
                  <c:v>4.5400654804565077</c:v>
                </c:pt>
                <c:pt idx="342">
                  <c:v>7.5595375008242183</c:v>
                </c:pt>
                <c:pt idx="343">
                  <c:v>11.008736607402406</c:v>
                </c:pt>
                <c:pt idx="344">
                  <c:v>12.518929161076079</c:v>
                </c:pt>
                <c:pt idx="345">
                  <c:v>5.732480724371098</c:v>
                </c:pt>
                <c:pt idx="346">
                  <c:v>5.4004347682332767</c:v>
                </c:pt>
                <c:pt idx="347">
                  <c:v>12.298642440470545</c:v>
                </c:pt>
                <c:pt idx="348">
                  <c:v>6.5690296980825202</c:v>
                </c:pt>
                <c:pt idx="349">
                  <c:v>5.5131984991321321</c:v>
                </c:pt>
                <c:pt idx="350">
                  <c:v>3.5600250561296662</c:v>
                </c:pt>
                <c:pt idx="351">
                  <c:v>14.327268684025206</c:v>
                </c:pt>
                <c:pt idx="352">
                  <c:v>13.718241120836511</c:v>
                </c:pt>
                <c:pt idx="353">
                  <c:v>4.1414677528215096</c:v>
                </c:pt>
                <c:pt idx="354">
                  <c:v>14.686830834646678</c:v>
                </c:pt>
                <c:pt idx="355">
                  <c:v>14.62058125691191</c:v>
                </c:pt>
                <c:pt idx="356">
                  <c:v>14.345709898103593</c:v>
                </c:pt>
                <c:pt idx="357">
                  <c:v>15.521344744656609</c:v>
                </c:pt>
                <c:pt idx="358">
                  <c:v>8.6070655822184694</c:v>
                </c:pt>
                <c:pt idx="359">
                  <c:v>14.38382215745732</c:v>
                </c:pt>
                <c:pt idx="360">
                  <c:v>6.1903190201148899</c:v>
                </c:pt>
                <c:pt idx="361">
                  <c:v>12.678975282062012</c:v>
                </c:pt>
                <c:pt idx="362">
                  <c:v>9.6604259335778906</c:v>
                </c:pt>
                <c:pt idx="363">
                  <c:v>11.574522542951259</c:v>
                </c:pt>
                <c:pt idx="364">
                  <c:v>10.524571580939817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'2030'!$W$14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5.8062636906280023</c:v>
                </c:pt>
                <c:pt idx="7">
                  <c:v>7.5842061094092177</c:v>
                </c:pt>
                <c:pt idx="8">
                  <c:v>2.2781305553534237</c:v>
                </c:pt>
                <c:pt idx="9">
                  <c:v>1.8838013655254846</c:v>
                </c:pt>
                <c:pt idx="10">
                  <c:v>18.903391432916447</c:v>
                </c:pt>
                <c:pt idx="11">
                  <c:v>16.968582752822918</c:v>
                </c:pt>
                <c:pt idx="12">
                  <c:v>5.7649605598410893</c:v>
                </c:pt>
                <c:pt idx="13">
                  <c:v>19.503077775005401</c:v>
                </c:pt>
                <c:pt idx="14">
                  <c:v>20.06666767444765</c:v>
                </c:pt>
                <c:pt idx="15">
                  <c:v>19.791465350336257</c:v>
                </c:pt>
                <c:pt idx="16">
                  <c:v>13.28040305454201</c:v>
                </c:pt>
                <c:pt idx="17">
                  <c:v>4.2130966960884999</c:v>
                </c:pt>
                <c:pt idx="18">
                  <c:v>10.652459800924101</c:v>
                </c:pt>
                <c:pt idx="19">
                  <c:v>6.1660855194355157</c:v>
                </c:pt>
                <c:pt idx="20">
                  <c:v>17.3570052461607</c:v>
                </c:pt>
                <c:pt idx="21">
                  <c:v>21.405071832373711</c:v>
                </c:pt>
                <c:pt idx="22">
                  <c:v>21.475449696873479</c:v>
                </c:pt>
                <c:pt idx="23">
                  <c:v>22.007669193104842</c:v>
                </c:pt>
                <c:pt idx="24">
                  <c:v>20.609801216341953</c:v>
                </c:pt>
                <c:pt idx="25">
                  <c:v>22.177452563875441</c:v>
                </c:pt>
                <c:pt idx="26">
                  <c:v>18.564559235969277</c:v>
                </c:pt>
                <c:pt idx="27">
                  <c:v>4.4274976960884995</c:v>
                </c:pt>
                <c:pt idx="28">
                  <c:v>6.6532523576095217</c:v>
                </c:pt>
                <c:pt idx="29">
                  <c:v>4.7946162297989128</c:v>
                </c:pt>
                <c:pt idx="30">
                  <c:v>11.11589073522949</c:v>
                </c:pt>
                <c:pt idx="31">
                  <c:v>14.328677078012229</c:v>
                </c:pt>
                <c:pt idx="32">
                  <c:v>5.7780485084748952</c:v>
                </c:pt>
                <c:pt idx="33">
                  <c:v>13.350823928177848</c:v>
                </c:pt>
                <c:pt idx="34">
                  <c:v>12.182443251733833</c:v>
                </c:pt>
                <c:pt idx="35">
                  <c:v>9.565801567212862</c:v>
                </c:pt>
                <c:pt idx="36">
                  <c:v>21.008124531396032</c:v>
                </c:pt>
                <c:pt idx="37">
                  <c:v>14.394444331934244</c:v>
                </c:pt>
                <c:pt idx="38">
                  <c:v>27.895912188800203</c:v>
                </c:pt>
                <c:pt idx="39">
                  <c:v>28.113940259737202</c:v>
                </c:pt>
                <c:pt idx="40">
                  <c:v>27.131975832154659</c:v>
                </c:pt>
                <c:pt idx="41">
                  <c:v>14.183246393356848</c:v>
                </c:pt>
                <c:pt idx="42">
                  <c:v>22.679266564421745</c:v>
                </c:pt>
                <c:pt idx="43">
                  <c:v>24.986251563982822</c:v>
                </c:pt>
                <c:pt idx="44">
                  <c:v>16.042123360589809</c:v>
                </c:pt>
                <c:pt idx="45">
                  <c:v>20.649753678189718</c:v>
                </c:pt>
                <c:pt idx="46">
                  <c:v>9.8069164527950097</c:v>
                </c:pt>
                <c:pt idx="47">
                  <c:v>11.784770518686269</c:v>
                </c:pt>
                <c:pt idx="48">
                  <c:v>27.614631037035846</c:v>
                </c:pt>
                <c:pt idx="49">
                  <c:v>16.669276324447008</c:v>
                </c:pt>
                <c:pt idx="50">
                  <c:v>20.99002739656202</c:v>
                </c:pt>
                <c:pt idx="51">
                  <c:v>18.507498280068681</c:v>
                </c:pt>
                <c:pt idx="52">
                  <c:v>30.243657627567561</c:v>
                </c:pt>
                <c:pt idx="53">
                  <c:v>31.804626881147428</c:v>
                </c:pt>
                <c:pt idx="54">
                  <c:v>22.646217460809421</c:v>
                </c:pt>
                <c:pt idx="55">
                  <c:v>25.001855454087796</c:v>
                </c:pt>
                <c:pt idx="56">
                  <c:v>35.207349220397887</c:v>
                </c:pt>
                <c:pt idx="57">
                  <c:v>22.51918560484075</c:v>
                </c:pt>
                <c:pt idx="58">
                  <c:v>32.840121593736903</c:v>
                </c:pt>
                <c:pt idx="59">
                  <c:v>34.649541687430883</c:v>
                </c:pt>
                <c:pt idx="60">
                  <c:v>16.010700597767293</c:v>
                </c:pt>
                <c:pt idx="61">
                  <c:v>27.618313739164407</c:v>
                </c:pt>
                <c:pt idx="62">
                  <c:v>5.4394997074179869</c:v>
                </c:pt>
                <c:pt idx="63">
                  <c:v>14.106467833796298</c:v>
                </c:pt>
                <c:pt idx="64">
                  <c:v>21.595436708513098</c:v>
                </c:pt>
                <c:pt idx="65">
                  <c:v>35.002478192750139</c:v>
                </c:pt>
                <c:pt idx="66">
                  <c:v>31.403625842345971</c:v>
                </c:pt>
                <c:pt idx="67">
                  <c:v>28.030462416317636</c:v>
                </c:pt>
                <c:pt idx="68">
                  <c:v>23.682868884170922</c:v>
                </c:pt>
                <c:pt idx="69">
                  <c:v>17.091403240093996</c:v>
                </c:pt>
                <c:pt idx="70">
                  <c:v>13.375401741259287</c:v>
                </c:pt>
                <c:pt idx="71">
                  <c:v>8.5188905747634642</c:v>
                </c:pt>
                <c:pt idx="72">
                  <c:v>12.685045540977779</c:v>
                </c:pt>
                <c:pt idx="73">
                  <c:v>15.03248682499393</c:v>
                </c:pt>
                <c:pt idx="74">
                  <c:v>12.622734032944766</c:v>
                </c:pt>
                <c:pt idx="75">
                  <c:v>12.122860635530689</c:v>
                </c:pt>
                <c:pt idx="76">
                  <c:v>14.309063401574004</c:v>
                </c:pt>
                <c:pt idx="77">
                  <c:v>26.291918311985508</c:v>
                </c:pt>
                <c:pt idx="78">
                  <c:v>31.515522991167323</c:v>
                </c:pt>
                <c:pt idx="79">
                  <c:v>42.388636037876893</c:v>
                </c:pt>
                <c:pt idx="80">
                  <c:v>41.371877594670863</c:v>
                </c:pt>
                <c:pt idx="81">
                  <c:v>44.136301897526458</c:v>
                </c:pt>
                <c:pt idx="82">
                  <c:v>43.846351384587599</c:v>
                </c:pt>
                <c:pt idx="83">
                  <c:v>36.524242551629399</c:v>
                </c:pt>
                <c:pt idx="84">
                  <c:v>40.116093212127112</c:v>
                </c:pt>
                <c:pt idx="85">
                  <c:v>41.980061326386782</c:v>
                </c:pt>
                <c:pt idx="86">
                  <c:v>36.062108680275195</c:v>
                </c:pt>
                <c:pt idx="87">
                  <c:v>27.46243382632796</c:v>
                </c:pt>
                <c:pt idx="88">
                  <c:v>7.6482877166868235</c:v>
                </c:pt>
                <c:pt idx="89">
                  <c:v>26.711349576680163</c:v>
                </c:pt>
                <c:pt idx="90">
                  <c:v>29.37998166954846</c:v>
                </c:pt>
                <c:pt idx="91">
                  <c:v>20.021752447560758</c:v>
                </c:pt>
                <c:pt idx="92">
                  <c:v>27.335488316140399</c:v>
                </c:pt>
                <c:pt idx="93">
                  <c:v>42.451691099525696</c:v>
                </c:pt>
                <c:pt idx="94">
                  <c:v>50.804861467817311</c:v>
                </c:pt>
                <c:pt idx="95">
                  <c:v>12.392669231157898</c:v>
                </c:pt>
                <c:pt idx="96">
                  <c:v>42.00580357015582</c:v>
                </c:pt>
                <c:pt idx="97">
                  <c:v>35.781726650870816</c:v>
                </c:pt>
                <c:pt idx="98">
                  <c:v>33.288061311159097</c:v>
                </c:pt>
                <c:pt idx="99">
                  <c:v>54.538525156382534</c:v>
                </c:pt>
                <c:pt idx="100">
                  <c:v>43.99921131595282</c:v>
                </c:pt>
                <c:pt idx="101">
                  <c:v>36.712019167080008</c:v>
                </c:pt>
                <c:pt idx="102">
                  <c:v>8.4890814078493513</c:v>
                </c:pt>
                <c:pt idx="103">
                  <c:v>39.188637773424269</c:v>
                </c:pt>
                <c:pt idx="104">
                  <c:v>42.942410297234126</c:v>
                </c:pt>
                <c:pt idx="105">
                  <c:v>39.073441378867102</c:v>
                </c:pt>
                <c:pt idx="106">
                  <c:v>54.115365793866175</c:v>
                </c:pt>
                <c:pt idx="107">
                  <c:v>34.523226816841635</c:v>
                </c:pt>
                <c:pt idx="108">
                  <c:v>11.358499769193969</c:v>
                </c:pt>
                <c:pt idx="109">
                  <c:v>11.382301284240793</c:v>
                </c:pt>
                <c:pt idx="110">
                  <c:v>10.924914459037284</c:v>
                </c:pt>
                <c:pt idx="111">
                  <c:v>29.059253636693295</c:v>
                </c:pt>
                <c:pt idx="112">
                  <c:v>9.5403138111604147</c:v>
                </c:pt>
                <c:pt idx="113">
                  <c:v>34.207513455032135</c:v>
                </c:pt>
                <c:pt idx="114">
                  <c:v>45.144255177744434</c:v>
                </c:pt>
                <c:pt idx="115">
                  <c:v>56.365839722109676</c:v>
                </c:pt>
                <c:pt idx="116">
                  <c:v>44.803041563754697</c:v>
                </c:pt>
                <c:pt idx="117">
                  <c:v>23.885582006939085</c:v>
                </c:pt>
                <c:pt idx="118">
                  <c:v>43.290569090051505</c:v>
                </c:pt>
                <c:pt idx="119">
                  <c:v>42.697561413265667</c:v>
                </c:pt>
                <c:pt idx="120">
                  <c:v>48.439062804865777</c:v>
                </c:pt>
                <c:pt idx="121">
                  <c:v>31.1345805390343</c:v>
                </c:pt>
                <c:pt idx="122">
                  <c:v>34.700634101183965</c:v>
                </c:pt>
                <c:pt idx="123">
                  <c:v>19.529623545253667</c:v>
                </c:pt>
                <c:pt idx="124">
                  <c:v>39.309968796339305</c:v>
                </c:pt>
                <c:pt idx="125">
                  <c:v>41.208415305347202</c:v>
                </c:pt>
                <c:pt idx="126">
                  <c:v>47.397053967741627</c:v>
                </c:pt>
                <c:pt idx="127">
                  <c:v>53.759422756711729</c:v>
                </c:pt>
                <c:pt idx="128">
                  <c:v>56.882333540379776</c:v>
                </c:pt>
                <c:pt idx="129">
                  <c:v>55.717876823334962</c:v>
                </c:pt>
                <c:pt idx="130">
                  <c:v>59.436872223646361</c:v>
                </c:pt>
                <c:pt idx="131">
                  <c:v>45.258328380068008</c:v>
                </c:pt>
                <c:pt idx="132">
                  <c:v>47.95883914297842</c:v>
                </c:pt>
                <c:pt idx="133">
                  <c:v>53.691021460543759</c:v>
                </c:pt>
                <c:pt idx="134">
                  <c:v>55.424341711982784</c:v>
                </c:pt>
                <c:pt idx="135">
                  <c:v>54.169647892754604</c:v>
                </c:pt>
                <c:pt idx="136">
                  <c:v>57.850685291295406</c:v>
                </c:pt>
                <c:pt idx="137">
                  <c:v>55.235802774338872</c:v>
                </c:pt>
                <c:pt idx="138">
                  <c:v>54.05607340251926</c:v>
                </c:pt>
                <c:pt idx="139">
                  <c:v>51.374723039957459</c:v>
                </c:pt>
                <c:pt idx="140">
                  <c:v>53.800942315136794</c:v>
                </c:pt>
                <c:pt idx="141">
                  <c:v>41.60109942800451</c:v>
                </c:pt>
                <c:pt idx="142">
                  <c:v>19.794443334933039</c:v>
                </c:pt>
                <c:pt idx="143">
                  <c:v>17.002900533122748</c:v>
                </c:pt>
                <c:pt idx="144">
                  <c:v>41.439007233335964</c:v>
                </c:pt>
                <c:pt idx="145">
                  <c:v>27.649150952381156</c:v>
                </c:pt>
                <c:pt idx="146">
                  <c:v>43.293888898559878</c:v>
                </c:pt>
                <c:pt idx="147">
                  <c:v>56.838105070823559</c:v>
                </c:pt>
                <c:pt idx="148">
                  <c:v>61.81108045008088</c:v>
                </c:pt>
                <c:pt idx="149">
                  <c:v>49.710749918397291</c:v>
                </c:pt>
                <c:pt idx="150">
                  <c:v>58.761524389592502</c:v>
                </c:pt>
                <c:pt idx="151">
                  <c:v>61.265654852969199</c:v>
                </c:pt>
                <c:pt idx="152">
                  <c:v>44.12970451870148</c:v>
                </c:pt>
                <c:pt idx="153">
                  <c:v>58.429677706326856</c:v>
                </c:pt>
                <c:pt idx="154">
                  <c:v>29.697107612499547</c:v>
                </c:pt>
                <c:pt idx="155">
                  <c:v>32.818203109290664</c:v>
                </c:pt>
                <c:pt idx="156">
                  <c:v>52.481352071663558</c:v>
                </c:pt>
                <c:pt idx="157">
                  <c:v>27.404966171902299</c:v>
                </c:pt>
                <c:pt idx="158">
                  <c:v>24.695008996477544</c:v>
                </c:pt>
                <c:pt idx="159">
                  <c:v>50.746608803981552</c:v>
                </c:pt>
                <c:pt idx="160">
                  <c:v>62.435580098692192</c:v>
                </c:pt>
                <c:pt idx="161">
                  <c:v>59.779830298452623</c:v>
                </c:pt>
                <c:pt idx="162">
                  <c:v>48.205051152180737</c:v>
                </c:pt>
                <c:pt idx="163">
                  <c:v>53.892117348536729</c:v>
                </c:pt>
                <c:pt idx="164">
                  <c:v>54.785557902914448</c:v>
                </c:pt>
                <c:pt idx="165">
                  <c:v>58.115731630265856</c:v>
                </c:pt>
                <c:pt idx="166">
                  <c:v>55.070775815021022</c:v>
                </c:pt>
                <c:pt idx="167">
                  <c:v>55.232387259404661</c:v>
                </c:pt>
                <c:pt idx="168">
                  <c:v>58.811343358376398</c:v>
                </c:pt>
                <c:pt idx="169">
                  <c:v>59.2824552806957</c:v>
                </c:pt>
                <c:pt idx="170">
                  <c:v>32.055836886681305</c:v>
                </c:pt>
                <c:pt idx="171">
                  <c:v>21.571280278468361</c:v>
                </c:pt>
                <c:pt idx="172">
                  <c:v>44.749917777704432</c:v>
                </c:pt>
                <c:pt idx="173">
                  <c:v>44.247993975490992</c:v>
                </c:pt>
                <c:pt idx="174">
                  <c:v>47.597337964850503</c:v>
                </c:pt>
                <c:pt idx="175">
                  <c:v>39.650127511305925</c:v>
                </c:pt>
                <c:pt idx="176">
                  <c:v>12.400708414008314</c:v>
                </c:pt>
                <c:pt idx="177">
                  <c:v>18.243766458143455</c:v>
                </c:pt>
                <c:pt idx="178">
                  <c:v>63.134020038913654</c:v>
                </c:pt>
                <c:pt idx="179">
                  <c:v>61.26238712501538</c:v>
                </c:pt>
                <c:pt idx="180">
                  <c:v>15.04870470788801</c:v>
                </c:pt>
                <c:pt idx="181">
                  <c:v>51.053177832852519</c:v>
                </c:pt>
                <c:pt idx="182">
                  <c:v>56.684077893272089</c:v>
                </c:pt>
                <c:pt idx="183">
                  <c:v>52.716233254334767</c:v>
                </c:pt>
                <c:pt idx="184">
                  <c:v>49.073016606153899</c:v>
                </c:pt>
                <c:pt idx="185">
                  <c:v>58.843267617050508</c:v>
                </c:pt>
                <c:pt idx="186">
                  <c:v>43.320616122695746</c:v>
                </c:pt>
                <c:pt idx="187">
                  <c:v>58.397053421840113</c:v>
                </c:pt>
                <c:pt idx="188">
                  <c:v>61.235241206644289</c:v>
                </c:pt>
                <c:pt idx="189">
                  <c:v>60.290159365834398</c:v>
                </c:pt>
                <c:pt idx="190">
                  <c:v>59.656472660668541</c:v>
                </c:pt>
                <c:pt idx="191">
                  <c:v>58.630677365548493</c:v>
                </c:pt>
                <c:pt idx="192">
                  <c:v>57.712155561459618</c:v>
                </c:pt>
                <c:pt idx="193">
                  <c:v>56.568610771396635</c:v>
                </c:pt>
                <c:pt idx="194">
                  <c:v>56.417209385190482</c:v>
                </c:pt>
                <c:pt idx="195">
                  <c:v>53.928285830393939</c:v>
                </c:pt>
                <c:pt idx="196">
                  <c:v>55.037739021108699</c:v>
                </c:pt>
                <c:pt idx="197">
                  <c:v>55.435123434137203</c:v>
                </c:pt>
                <c:pt idx="198">
                  <c:v>57.127594715473336</c:v>
                </c:pt>
                <c:pt idx="199">
                  <c:v>41.962137812947205</c:v>
                </c:pt>
                <c:pt idx="200">
                  <c:v>39.40462215015522</c:v>
                </c:pt>
                <c:pt idx="201">
                  <c:v>54.373792440954269</c:v>
                </c:pt>
                <c:pt idx="202">
                  <c:v>46.700423789992314</c:v>
                </c:pt>
                <c:pt idx="203">
                  <c:v>44.189414781837165</c:v>
                </c:pt>
                <c:pt idx="204">
                  <c:v>53.800918503374575</c:v>
                </c:pt>
                <c:pt idx="205">
                  <c:v>28.382468760310488</c:v>
                </c:pt>
                <c:pt idx="206">
                  <c:v>50.301017914487218</c:v>
                </c:pt>
                <c:pt idx="207">
                  <c:v>56.932230032434738</c:v>
                </c:pt>
                <c:pt idx="208">
                  <c:v>44.73189246338994</c:v>
                </c:pt>
                <c:pt idx="209">
                  <c:v>27.788212254413949</c:v>
                </c:pt>
                <c:pt idx="210">
                  <c:v>45.704201447356077</c:v>
                </c:pt>
                <c:pt idx="211">
                  <c:v>55.969710174085179</c:v>
                </c:pt>
                <c:pt idx="212">
                  <c:v>55.479323757471882</c:v>
                </c:pt>
                <c:pt idx="213">
                  <c:v>55.490319653174019</c:v>
                </c:pt>
                <c:pt idx="214">
                  <c:v>55.096778040697806</c:v>
                </c:pt>
                <c:pt idx="215">
                  <c:v>52.562769792962733</c:v>
                </c:pt>
                <c:pt idx="216">
                  <c:v>41.957756252148279</c:v>
                </c:pt>
                <c:pt idx="217">
                  <c:v>50.064339793265439</c:v>
                </c:pt>
                <c:pt idx="218">
                  <c:v>52.786541054703655</c:v>
                </c:pt>
                <c:pt idx="219">
                  <c:v>54.155524101840989</c:v>
                </c:pt>
                <c:pt idx="220">
                  <c:v>51.632773840050326</c:v>
                </c:pt>
                <c:pt idx="221">
                  <c:v>50.14417816249594</c:v>
                </c:pt>
                <c:pt idx="222">
                  <c:v>47.324085538075742</c:v>
                </c:pt>
                <c:pt idx="223">
                  <c:v>0</c:v>
                </c:pt>
                <c:pt idx="224">
                  <c:v>35.172520567540495</c:v>
                </c:pt>
                <c:pt idx="225">
                  <c:v>35.237446010095802</c:v>
                </c:pt>
                <c:pt idx="226">
                  <c:v>35.638577272207272</c:v>
                </c:pt>
                <c:pt idx="227">
                  <c:v>36.913476138521311</c:v>
                </c:pt>
                <c:pt idx="228">
                  <c:v>25.676425983927583</c:v>
                </c:pt>
                <c:pt idx="229">
                  <c:v>39.178423917050907</c:v>
                </c:pt>
                <c:pt idx="230">
                  <c:v>38.785607642390254</c:v>
                </c:pt>
                <c:pt idx="231">
                  <c:v>50.618297574653937</c:v>
                </c:pt>
                <c:pt idx="232">
                  <c:v>36.527787138677738</c:v>
                </c:pt>
                <c:pt idx="233">
                  <c:v>26.719619311462893</c:v>
                </c:pt>
                <c:pt idx="234">
                  <c:v>45.201163570992101</c:v>
                </c:pt>
                <c:pt idx="235">
                  <c:v>49.094886784170825</c:v>
                </c:pt>
                <c:pt idx="236">
                  <c:v>31.489456131679528</c:v>
                </c:pt>
                <c:pt idx="237">
                  <c:v>36.293055098448725</c:v>
                </c:pt>
                <c:pt idx="238">
                  <c:v>45.75381075558095</c:v>
                </c:pt>
                <c:pt idx="239">
                  <c:v>48.100374658242359</c:v>
                </c:pt>
                <c:pt idx="240">
                  <c:v>33.617391409699188</c:v>
                </c:pt>
                <c:pt idx="241">
                  <c:v>47.178971802945611</c:v>
                </c:pt>
                <c:pt idx="242">
                  <c:v>23.886548174554036</c:v>
                </c:pt>
                <c:pt idx="243">
                  <c:v>41.074010249151186</c:v>
                </c:pt>
                <c:pt idx="244">
                  <c:v>38.826003755155611</c:v>
                </c:pt>
                <c:pt idx="245">
                  <c:v>35.719241534415019</c:v>
                </c:pt>
                <c:pt idx="246">
                  <c:v>46.836420558302464</c:v>
                </c:pt>
                <c:pt idx="247">
                  <c:v>39.192856285334393</c:v>
                </c:pt>
                <c:pt idx="248">
                  <c:v>42.720354816109236</c:v>
                </c:pt>
                <c:pt idx="249">
                  <c:v>35.030072004114402</c:v>
                </c:pt>
                <c:pt idx="250">
                  <c:v>38.961356668578219</c:v>
                </c:pt>
                <c:pt idx="251">
                  <c:v>18.56228224426674</c:v>
                </c:pt>
                <c:pt idx="252">
                  <c:v>43.273226956975222</c:v>
                </c:pt>
                <c:pt idx="253">
                  <c:v>44.768068683659486</c:v>
                </c:pt>
                <c:pt idx="254">
                  <c:v>34.774643207301651</c:v>
                </c:pt>
                <c:pt idx="255">
                  <c:v>13.329574519312306</c:v>
                </c:pt>
                <c:pt idx="256">
                  <c:v>35.817688890151501</c:v>
                </c:pt>
                <c:pt idx="257">
                  <c:v>40.688973553236409</c:v>
                </c:pt>
                <c:pt idx="258">
                  <c:v>27.342318761802133</c:v>
                </c:pt>
                <c:pt idx="259">
                  <c:v>43.90411187496079</c:v>
                </c:pt>
                <c:pt idx="260">
                  <c:v>43.005951367340451</c:v>
                </c:pt>
                <c:pt idx="261">
                  <c:v>43.346677140197677</c:v>
                </c:pt>
                <c:pt idx="262">
                  <c:v>43.690253378025247</c:v>
                </c:pt>
                <c:pt idx="263">
                  <c:v>42.400589320064135</c:v>
                </c:pt>
                <c:pt idx="264">
                  <c:v>41.214445223935613</c:v>
                </c:pt>
                <c:pt idx="265">
                  <c:v>30.201959103877918</c:v>
                </c:pt>
                <c:pt idx="266">
                  <c:v>18.656149894830119</c:v>
                </c:pt>
                <c:pt idx="267">
                  <c:v>29.862560785070883</c:v>
                </c:pt>
                <c:pt idx="268">
                  <c:v>32.20793987808792</c:v>
                </c:pt>
                <c:pt idx="269">
                  <c:v>15.761615895704827</c:v>
                </c:pt>
                <c:pt idx="270">
                  <c:v>18.00614668104642</c:v>
                </c:pt>
                <c:pt idx="271">
                  <c:v>23.30467084424447</c:v>
                </c:pt>
                <c:pt idx="272">
                  <c:v>24.991539585197696</c:v>
                </c:pt>
                <c:pt idx="273">
                  <c:v>34.111068342685741</c:v>
                </c:pt>
                <c:pt idx="274">
                  <c:v>35.474974345175887</c:v>
                </c:pt>
                <c:pt idx="275">
                  <c:v>32.126657663697628</c:v>
                </c:pt>
                <c:pt idx="276">
                  <c:v>37.419842360467889</c:v>
                </c:pt>
                <c:pt idx="277">
                  <c:v>37.665360384998543</c:v>
                </c:pt>
                <c:pt idx="278">
                  <c:v>15.096885340435309</c:v>
                </c:pt>
                <c:pt idx="279">
                  <c:v>28.998611820726623</c:v>
                </c:pt>
                <c:pt idx="280">
                  <c:v>14.665745028044798</c:v>
                </c:pt>
                <c:pt idx="281">
                  <c:v>34.249549541431293</c:v>
                </c:pt>
                <c:pt idx="282">
                  <c:v>29.987786559421252</c:v>
                </c:pt>
                <c:pt idx="283">
                  <c:v>24.118016017808188</c:v>
                </c:pt>
                <c:pt idx="284">
                  <c:v>24.026100565073744</c:v>
                </c:pt>
                <c:pt idx="285">
                  <c:v>21.763627446772595</c:v>
                </c:pt>
                <c:pt idx="286">
                  <c:v>14.62868415202818</c:v>
                </c:pt>
                <c:pt idx="287">
                  <c:v>32.605840384994565</c:v>
                </c:pt>
                <c:pt idx="288">
                  <c:v>28.584288412433231</c:v>
                </c:pt>
                <c:pt idx="289">
                  <c:v>16.109887642818485</c:v>
                </c:pt>
                <c:pt idx="290">
                  <c:v>28.739682427917121</c:v>
                </c:pt>
                <c:pt idx="291">
                  <c:v>16.054936608210706</c:v>
                </c:pt>
                <c:pt idx="292">
                  <c:v>8.446119948211356</c:v>
                </c:pt>
                <c:pt idx="293">
                  <c:v>16.33051551947857</c:v>
                </c:pt>
                <c:pt idx="294">
                  <c:v>27.994458795913044</c:v>
                </c:pt>
                <c:pt idx="295">
                  <c:v>18.253676587447977</c:v>
                </c:pt>
                <c:pt idx="296">
                  <c:v>23.679582191843615</c:v>
                </c:pt>
                <c:pt idx="297">
                  <c:v>19.901177337220343</c:v>
                </c:pt>
                <c:pt idx="298">
                  <c:v>14.873307420175026</c:v>
                </c:pt>
                <c:pt idx="299">
                  <c:v>14.064681184433573</c:v>
                </c:pt>
                <c:pt idx="300">
                  <c:v>16.179496305374364</c:v>
                </c:pt>
                <c:pt idx="301">
                  <c:v>22.765536456766881</c:v>
                </c:pt>
                <c:pt idx="302">
                  <c:v>19.93809551113878</c:v>
                </c:pt>
                <c:pt idx="303">
                  <c:v>19.128446324487175</c:v>
                </c:pt>
                <c:pt idx="304">
                  <c:v>17.444141846431144</c:v>
                </c:pt>
                <c:pt idx="305">
                  <c:v>24.149613920721965</c:v>
                </c:pt>
                <c:pt idx="306">
                  <c:v>8.7604829956403805</c:v>
                </c:pt>
                <c:pt idx="307">
                  <c:v>12.157621779796161</c:v>
                </c:pt>
                <c:pt idx="308">
                  <c:v>24.498274428395533</c:v>
                </c:pt>
                <c:pt idx="309">
                  <c:v>24.555078282883894</c:v>
                </c:pt>
                <c:pt idx="310">
                  <c:v>24.357835696044642</c:v>
                </c:pt>
                <c:pt idx="311">
                  <c:v>17.622374684106038</c:v>
                </c:pt>
                <c:pt idx="312">
                  <c:v>9.828377903096758</c:v>
                </c:pt>
                <c:pt idx="313">
                  <c:v>17.871323702506398</c:v>
                </c:pt>
                <c:pt idx="314">
                  <c:v>21.260880267708977</c:v>
                </c:pt>
                <c:pt idx="315">
                  <c:v>21.387885047067911</c:v>
                </c:pt>
                <c:pt idx="316">
                  <c:v>20.365884982107978</c:v>
                </c:pt>
                <c:pt idx="317">
                  <c:v>11.005294209873425</c:v>
                </c:pt>
                <c:pt idx="318">
                  <c:v>12.496144155698792</c:v>
                </c:pt>
                <c:pt idx="319">
                  <c:v>20.872048879404989</c:v>
                </c:pt>
                <c:pt idx="320">
                  <c:v>13.720428474648052</c:v>
                </c:pt>
                <c:pt idx="321">
                  <c:v>11.373008757150991</c:v>
                </c:pt>
                <c:pt idx="322">
                  <c:v>8.1620380009925277</c:v>
                </c:pt>
                <c:pt idx="323">
                  <c:v>14.692876567800326</c:v>
                </c:pt>
                <c:pt idx="324">
                  <c:v>3.3459918833307927</c:v>
                </c:pt>
                <c:pt idx="325">
                  <c:v>9.3888180049030705</c:v>
                </c:pt>
                <c:pt idx="326">
                  <c:v>12.522032648059865</c:v>
                </c:pt>
                <c:pt idx="327">
                  <c:v>11.642533371853441</c:v>
                </c:pt>
                <c:pt idx="328">
                  <c:v>4.725283505173425</c:v>
                </c:pt>
                <c:pt idx="329">
                  <c:v>9.4500089422657343</c:v>
                </c:pt>
                <c:pt idx="330">
                  <c:v>13.510346171509442</c:v>
                </c:pt>
                <c:pt idx="331">
                  <c:v>9.2260507052160534</c:v>
                </c:pt>
                <c:pt idx="332">
                  <c:v>10.226067509811493</c:v>
                </c:pt>
                <c:pt idx="333">
                  <c:v>4.3809943917235818</c:v>
                </c:pt>
                <c:pt idx="334">
                  <c:v>4.1345229313828842</c:v>
                </c:pt>
                <c:pt idx="335">
                  <c:v>5.2757202244495742</c:v>
                </c:pt>
                <c:pt idx="336">
                  <c:v>9.4883731174595063</c:v>
                </c:pt>
                <c:pt idx="337">
                  <c:v>12.68808110941862</c:v>
                </c:pt>
                <c:pt idx="338">
                  <c:v>17.583931101978106</c:v>
                </c:pt>
                <c:pt idx="339">
                  <c:v>11.486569138881668</c:v>
                </c:pt>
                <c:pt idx="340">
                  <c:v>14.091557144606808</c:v>
                </c:pt>
                <c:pt idx="341">
                  <c:v>4.5400654804565077</c:v>
                </c:pt>
                <c:pt idx="342">
                  <c:v>7.5595375008242183</c:v>
                </c:pt>
                <c:pt idx="343">
                  <c:v>11.008736607402406</c:v>
                </c:pt>
                <c:pt idx="344">
                  <c:v>12.518929161076079</c:v>
                </c:pt>
                <c:pt idx="345">
                  <c:v>5.732480724371098</c:v>
                </c:pt>
                <c:pt idx="346">
                  <c:v>5.4004347682332767</c:v>
                </c:pt>
                <c:pt idx="347">
                  <c:v>12.298642440470545</c:v>
                </c:pt>
                <c:pt idx="348">
                  <c:v>6.5690296980825202</c:v>
                </c:pt>
                <c:pt idx="349">
                  <c:v>5.5131984991321321</c:v>
                </c:pt>
                <c:pt idx="350">
                  <c:v>3.5600250561296662</c:v>
                </c:pt>
                <c:pt idx="351">
                  <c:v>14.327268684025206</c:v>
                </c:pt>
                <c:pt idx="352">
                  <c:v>13.718241120836511</c:v>
                </c:pt>
                <c:pt idx="353">
                  <c:v>4.1414677528215096</c:v>
                </c:pt>
                <c:pt idx="354">
                  <c:v>14.686830834646678</c:v>
                </c:pt>
                <c:pt idx="355">
                  <c:v>14.62058125691191</c:v>
                </c:pt>
                <c:pt idx="356">
                  <c:v>14.345709898103593</c:v>
                </c:pt>
                <c:pt idx="357">
                  <c:v>15.521344744656609</c:v>
                </c:pt>
                <c:pt idx="358">
                  <c:v>8.6070655822184694</c:v>
                </c:pt>
                <c:pt idx="359">
                  <c:v>14.38382215745732</c:v>
                </c:pt>
                <c:pt idx="360">
                  <c:v>6.1903190201148899</c:v>
                </c:pt>
                <c:pt idx="361">
                  <c:v>12.678975282062012</c:v>
                </c:pt>
                <c:pt idx="362">
                  <c:v>9.6604259335778906</c:v>
                </c:pt>
                <c:pt idx="363">
                  <c:v>11.574522542951259</c:v>
                </c:pt>
                <c:pt idx="364">
                  <c:v>10.524571580939817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411792"/>
        <c:axId val="321412184"/>
      </c:lineChart>
      <c:dateAx>
        <c:axId val="32141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12184"/>
        <c:crosses val="autoZero"/>
        <c:auto val="1"/>
        <c:lblOffset val="100"/>
        <c:baseTimeUnit val="days"/>
        <c:majorUnit val="1"/>
        <c:majorTimeUnit val="months"/>
      </c:dateAx>
      <c:valAx>
        <c:axId val="3214121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117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'2030'!$L$15:$L$380</c:f>
              <c:numCache>
                <c:formatCode>0.00%</c:formatCode>
                <c:ptCount val="366"/>
                <c:pt idx="0">
                  <c:v>3.9736516460186722E-2</c:v>
                </c:pt>
                <c:pt idx="1">
                  <c:v>3.9749661660883895E-2</c:v>
                </c:pt>
                <c:pt idx="2">
                  <c:v>3.9762806681634233E-2</c:v>
                </c:pt>
                <c:pt idx="3">
                  <c:v>3.9775951522440289E-2</c:v>
                </c:pt>
                <c:pt idx="4">
                  <c:v>3.9789096183304506E-2</c:v>
                </c:pt>
                <c:pt idx="5">
                  <c:v>3.9802240664229327E-2</c:v>
                </c:pt>
                <c:pt idx="6">
                  <c:v>3.9815384965217304E-2</c:v>
                </c:pt>
                <c:pt idx="7">
                  <c:v>3.9828529086270881E-2</c:v>
                </c:pt>
                <c:pt idx="8">
                  <c:v>3.9841673027392388E-2</c:v>
                </c:pt>
                <c:pt idx="9">
                  <c:v>3.985481678858438E-2</c:v>
                </c:pt>
                <c:pt idx="10">
                  <c:v>3.9867960369849409E-2</c:v>
                </c:pt>
                <c:pt idx="11">
                  <c:v>3.9881103771189697E-2</c:v>
                </c:pt>
                <c:pt idx="12">
                  <c:v>3.9894246992608018E-2</c:v>
                </c:pt>
                <c:pt idx="13">
                  <c:v>3.9907390034106593E-2</c:v>
                </c:pt>
                <c:pt idx="14">
                  <c:v>3.9920532895687977E-2</c:v>
                </c:pt>
                <c:pt idx="15">
                  <c:v>3.993367557735461E-2</c:v>
                </c:pt>
                <c:pt idx="16">
                  <c:v>3.9946818079108937E-2</c:v>
                </c:pt>
                <c:pt idx="17">
                  <c:v>3.9959960400953509E-2</c:v>
                </c:pt>
                <c:pt idx="18">
                  <c:v>3.997310254289077E-2</c:v>
                </c:pt>
                <c:pt idx="19">
                  <c:v>3.9986244504923052E-2</c:v>
                </c:pt>
                <c:pt idx="20">
                  <c:v>3.9999386287052907E-2</c:v>
                </c:pt>
                <c:pt idx="21">
                  <c:v>4.001252788928289E-2</c:v>
                </c:pt>
                <c:pt idx="22">
                  <c:v>4.0025669311615331E-2</c:v>
                </c:pt>
                <c:pt idx="23">
                  <c:v>4.0038810554052673E-2</c:v>
                </c:pt>
                <c:pt idx="24">
                  <c:v>4.0051951616597581E-2</c:v>
                </c:pt>
                <c:pt idx="25">
                  <c:v>4.0065092499252275E-2</c:v>
                </c:pt>
                <c:pt idx="26">
                  <c:v>4.0078233202019309E-2</c:v>
                </c:pt>
                <c:pt idx="27">
                  <c:v>4.0091373724901236E-2</c:v>
                </c:pt>
                <c:pt idx="28">
                  <c:v>4.0104514067900388E-2</c:v>
                </c:pt>
                <c:pt idx="29">
                  <c:v>4.0117654231019317E-2</c:v>
                </c:pt>
                <c:pt idx="30">
                  <c:v>4.0130794214260357E-2</c:v>
                </c:pt>
                <c:pt idx="31">
                  <c:v>4.0143934017626171E-2</c:v>
                </c:pt>
                <c:pt idx="32">
                  <c:v>4.015707364111909E-2</c:v>
                </c:pt>
                <c:pt idx="33">
                  <c:v>4.0170213084741557E-2</c:v>
                </c:pt>
                <c:pt idx="34">
                  <c:v>4.0183352348496015E-2</c:v>
                </c:pt>
                <c:pt idx="35">
                  <c:v>4.0196491432385129E-2</c:v>
                </c:pt>
                <c:pt idx="36">
                  <c:v>4.0209630336411117E-2</c:v>
                </c:pt>
                <c:pt idx="37">
                  <c:v>4.0222769060576535E-2</c:v>
                </c:pt>
                <c:pt idx="38">
                  <c:v>4.0235907604883936E-2</c:v>
                </c:pt>
                <c:pt idx="39">
                  <c:v>4.0249045969335651E-2</c:v>
                </c:pt>
                <c:pt idx="40">
                  <c:v>4.0262184153934122E-2</c:v>
                </c:pt>
                <c:pt idx="41">
                  <c:v>4.0275322158682014E-2</c:v>
                </c:pt>
                <c:pt idx="42">
                  <c:v>4.0288459983581548E-2</c:v>
                </c:pt>
                <c:pt idx="43">
                  <c:v>4.0301597628635388E-2</c:v>
                </c:pt>
                <c:pt idx="44">
                  <c:v>4.0314735093845755E-2</c:v>
                </c:pt>
                <c:pt idx="45">
                  <c:v>4.0327872379215424E-2</c:v>
                </c:pt>
                <c:pt idx="46">
                  <c:v>4.0341009484746615E-2</c:v>
                </c:pt>
                <c:pt idx="47">
                  <c:v>4.0354146410441882E-2</c:v>
                </c:pt>
                <c:pt idx="48">
                  <c:v>4.0367283156303557E-2</c:v>
                </c:pt>
                <c:pt idx="49">
                  <c:v>4.0380419722334304E-2</c:v>
                </c:pt>
                <c:pt idx="50">
                  <c:v>4.0393556108536566E-2</c:v>
                </c:pt>
                <c:pt idx="51">
                  <c:v>4.0406692314912562E-2</c:v>
                </c:pt>
                <c:pt idx="52">
                  <c:v>4.0419828341465069E-2</c:v>
                </c:pt>
                <c:pt idx="53">
                  <c:v>4.0432964188196308E-2</c:v>
                </c:pt>
                <c:pt idx="54">
                  <c:v>4.0446099855108941E-2</c:v>
                </c:pt>
                <c:pt idx="55">
                  <c:v>4.0459235342205191E-2</c:v>
                </c:pt>
                <c:pt idx="56">
                  <c:v>4.0472370649487721E-2</c:v>
                </c:pt>
                <c:pt idx="57">
                  <c:v>4.0485505776958974E-2</c:v>
                </c:pt>
                <c:pt idx="58">
                  <c:v>4.0498640724621282E-2</c:v>
                </c:pt>
                <c:pt idx="59">
                  <c:v>4.0511775492477309E-2</c:v>
                </c:pt>
                <c:pt idx="60">
                  <c:v>4.0524910080529275E-2</c:v>
                </c:pt>
                <c:pt idx="61">
                  <c:v>4.0538044488779734E-2</c:v>
                </c:pt>
                <c:pt idx="62">
                  <c:v>4.055117871723124E-2</c:v>
                </c:pt>
                <c:pt idx="63">
                  <c:v>4.0564312765886235E-2</c:v>
                </c:pt>
                <c:pt idx="64">
                  <c:v>4.057744663474705E-2</c:v>
                </c:pt>
                <c:pt idx="65">
                  <c:v>4.0590580323816239E-2</c:v>
                </c:pt>
                <c:pt idx="66">
                  <c:v>4.0603713833096355E-2</c:v>
                </c:pt>
                <c:pt idx="67">
                  <c:v>4.061684716258962E-2</c:v>
                </c:pt>
                <c:pt idx="68">
                  <c:v>4.0629980312298697E-2</c:v>
                </c:pt>
                <c:pt idx="69">
                  <c:v>4.0643113282226029E-2</c:v>
                </c:pt>
                <c:pt idx="70">
                  <c:v>4.0656246072373947E-2</c:v>
                </c:pt>
                <c:pt idx="71">
                  <c:v>4.0669378682745005E-2</c:v>
                </c:pt>
                <c:pt idx="72">
                  <c:v>4.0682511113341646E-2</c:v>
                </c:pt>
                <c:pt idx="73">
                  <c:v>4.0695643364166423E-2</c:v>
                </c:pt>
                <c:pt idx="74">
                  <c:v>4.0708775435221667E-2</c:v>
                </c:pt>
                <c:pt idx="75">
                  <c:v>4.0721907326509821E-2</c:v>
                </c:pt>
                <c:pt idx="76">
                  <c:v>4.0735039038033549E-2</c:v>
                </c:pt>
                <c:pt idx="77">
                  <c:v>4.0748170569795072E-2</c:v>
                </c:pt>
                <c:pt idx="78">
                  <c:v>4.0761301921796944E-2</c:v>
                </c:pt>
                <c:pt idx="79">
                  <c:v>4.0774433094041718E-2</c:v>
                </c:pt>
                <c:pt idx="80">
                  <c:v>4.0787564086531725E-2</c:v>
                </c:pt>
                <c:pt idx="81">
                  <c:v>4.0800694899269407E-2</c:v>
                </c:pt>
                <c:pt idx="82">
                  <c:v>4.0813825532257431E-2</c:v>
                </c:pt>
                <c:pt idx="83">
                  <c:v>4.0826955985498015E-2</c:v>
                </c:pt>
                <c:pt idx="84">
                  <c:v>4.0840086258993713E-2</c:v>
                </c:pt>
                <c:pt idx="85">
                  <c:v>4.0853216352747079E-2</c:v>
                </c:pt>
                <c:pt idx="86">
                  <c:v>4.0866346266760334E-2</c:v>
                </c:pt>
                <c:pt idx="87">
                  <c:v>4.0879476001036252E-2</c:v>
                </c:pt>
                <c:pt idx="88">
                  <c:v>4.0892605555577055E-2</c:v>
                </c:pt>
                <c:pt idx="89">
                  <c:v>4.0905734930385296E-2</c:v>
                </c:pt>
                <c:pt idx="90">
                  <c:v>4.0918864125463417E-2</c:v>
                </c:pt>
                <c:pt idx="91">
                  <c:v>4.093199314081386E-2</c:v>
                </c:pt>
                <c:pt idx="92">
                  <c:v>4.0945121976439181E-2</c:v>
                </c:pt>
                <c:pt idx="93">
                  <c:v>4.0958250632341708E-2</c:v>
                </c:pt>
                <c:pt idx="94">
                  <c:v>4.0971379108523998E-2</c:v>
                </c:pt>
                <c:pt idx="95">
                  <c:v>4.098450740498838E-2</c:v>
                </c:pt>
                <c:pt idx="96">
                  <c:v>4.0997635521737519E-2</c:v>
                </c:pt>
                <c:pt idx="97">
                  <c:v>4.1010763458773747E-2</c:v>
                </c:pt>
                <c:pt idx="98">
                  <c:v>4.1023891216099506E-2</c:v>
                </c:pt>
                <c:pt idx="99">
                  <c:v>4.103701879371735E-2</c:v>
                </c:pt>
                <c:pt idx="100">
                  <c:v>4.1050146191629611E-2</c:v>
                </c:pt>
                <c:pt idx="101">
                  <c:v>4.1063273409838841E-2</c:v>
                </c:pt>
                <c:pt idx="102">
                  <c:v>4.1076400448347483E-2</c:v>
                </c:pt>
                <c:pt idx="103">
                  <c:v>4.108952730715798E-2</c:v>
                </c:pt>
                <c:pt idx="104">
                  <c:v>4.1102653986272775E-2</c:v>
                </c:pt>
                <c:pt idx="105">
                  <c:v>4.111578048569442E-2</c:v>
                </c:pt>
                <c:pt idx="106">
                  <c:v>4.1128906805425247E-2</c:v>
                </c:pt>
                <c:pt idx="107">
                  <c:v>4.114203294546781E-2</c:v>
                </c:pt>
                <c:pt idx="108">
                  <c:v>4.1155158905824551E-2</c:v>
                </c:pt>
                <c:pt idx="109">
                  <c:v>4.1168284686497914E-2</c:v>
                </c:pt>
                <c:pt idx="110">
                  <c:v>4.1181410287490339E-2</c:v>
                </c:pt>
                <c:pt idx="111">
                  <c:v>4.1194535708804381E-2</c:v>
                </c:pt>
                <c:pt idx="112">
                  <c:v>4.1207660950442371E-2</c:v>
                </c:pt>
                <c:pt idx="113">
                  <c:v>4.1220786012406752E-2</c:v>
                </c:pt>
                <c:pt idx="114">
                  <c:v>4.1233910894700188E-2</c:v>
                </c:pt>
                <c:pt idx="115">
                  <c:v>4.1247035597324899E-2</c:v>
                </c:pt>
                <c:pt idx="116">
                  <c:v>4.1260160120283551E-2</c:v>
                </c:pt>
                <c:pt idx="117">
                  <c:v>4.1273284463578475E-2</c:v>
                </c:pt>
                <c:pt idx="118">
                  <c:v>4.1286408627212112E-2</c:v>
                </c:pt>
                <c:pt idx="119">
                  <c:v>4.1299532611187018E-2</c:v>
                </c:pt>
                <c:pt idx="120">
                  <c:v>4.1312656415505633E-2</c:v>
                </c:pt>
                <c:pt idx="121">
                  <c:v>4.132578004017029E-2</c:v>
                </c:pt>
                <c:pt idx="122">
                  <c:v>4.1338903485183653E-2</c:v>
                </c:pt>
                <c:pt idx="123">
                  <c:v>4.1352026750547943E-2</c:v>
                </c:pt>
                <c:pt idx="124">
                  <c:v>4.1365149836265824E-2</c:v>
                </c:pt>
                <c:pt idx="125">
                  <c:v>4.1378272742339739E-2</c:v>
                </c:pt>
                <c:pt idx="126">
                  <c:v>4.1391395468772019E-2</c:v>
                </c:pt>
                <c:pt idx="127">
                  <c:v>4.1404518015565217E-2</c:v>
                </c:pt>
                <c:pt idx="128">
                  <c:v>4.1417640382721777E-2</c:v>
                </c:pt>
                <c:pt idx="129">
                  <c:v>4.143076257024414E-2</c:v>
                </c:pt>
                <c:pt idx="130">
                  <c:v>4.1443884578134749E-2</c:v>
                </c:pt>
                <c:pt idx="131">
                  <c:v>4.1457006406396157E-2</c:v>
                </c:pt>
                <c:pt idx="132">
                  <c:v>4.1470128055030697E-2</c:v>
                </c:pt>
                <c:pt idx="133">
                  <c:v>4.1483249524040922E-2</c:v>
                </c:pt>
                <c:pt idx="134">
                  <c:v>4.1496370813429162E-2</c:v>
                </c:pt>
                <c:pt idx="135">
                  <c:v>4.1509491923198083E-2</c:v>
                </c:pt>
                <c:pt idx="136">
                  <c:v>4.1522612853350016E-2</c:v>
                </c:pt>
                <c:pt idx="137">
                  <c:v>4.1535733603887404E-2</c:v>
                </c:pt>
                <c:pt idx="138">
                  <c:v>4.1548854174812688E-2</c:v>
                </c:pt>
                <c:pt idx="139">
                  <c:v>4.1561974566128423E-2</c:v>
                </c:pt>
                <c:pt idx="140">
                  <c:v>4.1575094777837052E-2</c:v>
                </c:pt>
                <c:pt idx="141">
                  <c:v>4.1588214809941015E-2</c:v>
                </c:pt>
                <c:pt idx="142">
                  <c:v>4.1601334662442646E-2</c:v>
                </c:pt>
                <c:pt idx="143">
                  <c:v>4.1614454335344608E-2</c:v>
                </c:pt>
                <c:pt idx="144">
                  <c:v>4.1627573828649234E-2</c:v>
                </c:pt>
                <c:pt idx="145">
                  <c:v>4.1640693142358964E-2</c:v>
                </c:pt>
                <c:pt idx="146">
                  <c:v>4.1653812276476354E-2</c:v>
                </c:pt>
                <c:pt idx="147">
                  <c:v>4.1666931231003845E-2</c:v>
                </c:pt>
                <c:pt idx="148">
                  <c:v>4.1680050005943881E-2</c:v>
                </c:pt>
                <c:pt idx="149">
                  <c:v>4.1693168601298902E-2</c:v>
                </c:pt>
                <c:pt idx="150">
                  <c:v>4.1706287017071242E-2</c:v>
                </c:pt>
                <c:pt idx="151">
                  <c:v>4.1719405253263564E-2</c:v>
                </c:pt>
                <c:pt idx="152">
                  <c:v>4.1732523309878311E-2</c:v>
                </c:pt>
                <c:pt idx="153">
                  <c:v>4.1745641186917815E-2</c:v>
                </c:pt>
                <c:pt idx="154">
                  <c:v>4.1758758884384628E-2</c:v>
                </c:pt>
                <c:pt idx="155">
                  <c:v>4.1771876402281194E-2</c:v>
                </c:pt>
                <c:pt idx="156">
                  <c:v>4.1784993740609844E-2</c:v>
                </c:pt>
                <c:pt idx="157">
                  <c:v>4.1798110899373242E-2</c:v>
                </c:pt>
                <c:pt idx="158">
                  <c:v>4.181122787857372E-2</c:v>
                </c:pt>
                <c:pt idx="159">
                  <c:v>4.1824344678213832E-2</c:v>
                </c:pt>
                <c:pt idx="160">
                  <c:v>4.1837461298295908E-2</c:v>
                </c:pt>
                <c:pt idx="161">
                  <c:v>4.1850577738822503E-2</c:v>
                </c:pt>
                <c:pt idx="162">
                  <c:v>4.1863693999796059E-2</c:v>
                </c:pt>
                <c:pt idx="163">
                  <c:v>4.1876810081218907E-2</c:v>
                </c:pt>
                <c:pt idx="164">
                  <c:v>4.1889925983093712E-2</c:v>
                </c:pt>
                <c:pt idx="165">
                  <c:v>4.1903041705422805E-2</c:v>
                </c:pt>
                <c:pt idx="166">
                  <c:v>4.1916157248208741E-2</c:v>
                </c:pt>
                <c:pt idx="167">
                  <c:v>4.1929272611453738E-2</c:v>
                </c:pt>
                <c:pt idx="168">
                  <c:v>4.1942387795160574E-2</c:v>
                </c:pt>
                <c:pt idx="169">
                  <c:v>4.1955502799331579E-2</c:v>
                </c:pt>
                <c:pt idx="170">
                  <c:v>4.1968617623969084E-2</c:v>
                </c:pt>
                <c:pt idx="171">
                  <c:v>4.1981732269075756E-2</c:v>
                </c:pt>
                <c:pt idx="172">
                  <c:v>4.1994846734653812E-2</c:v>
                </c:pt>
                <c:pt idx="173">
                  <c:v>4.2007961020706031E-2</c:v>
                </c:pt>
                <c:pt idx="174">
                  <c:v>4.202107512723452E-2</c:v>
                </c:pt>
                <c:pt idx="175">
                  <c:v>4.2034189054241944E-2</c:v>
                </c:pt>
                <c:pt idx="176">
                  <c:v>4.2047302801730746E-2</c:v>
                </c:pt>
                <c:pt idx="177">
                  <c:v>4.2060416369703368E-2</c:v>
                </c:pt>
                <c:pt idx="178">
                  <c:v>4.2073529758162254E-2</c:v>
                </c:pt>
                <c:pt idx="179">
                  <c:v>4.2086642967109844E-2</c:v>
                </c:pt>
                <c:pt idx="180">
                  <c:v>4.2099755996548693E-2</c:v>
                </c:pt>
                <c:pt idx="181">
                  <c:v>4.2112868846481133E-2</c:v>
                </c:pt>
                <c:pt idx="182">
                  <c:v>4.2125981516909605E-2</c:v>
                </c:pt>
                <c:pt idx="183">
                  <c:v>4.2139094007836664E-2</c:v>
                </c:pt>
                <c:pt idx="184">
                  <c:v>4.2152206319264751E-2</c:v>
                </c:pt>
                <c:pt idx="185">
                  <c:v>4.216531845119631E-2</c:v>
                </c:pt>
                <c:pt idx="186">
                  <c:v>4.2178430403633782E-2</c:v>
                </c:pt>
                <c:pt idx="187">
                  <c:v>4.2191542176579611E-2</c:v>
                </c:pt>
                <c:pt idx="188">
                  <c:v>4.2204653770036349E-2</c:v>
                </c:pt>
                <c:pt idx="189">
                  <c:v>4.2217765184006328E-2</c:v>
                </c:pt>
                <c:pt idx="190">
                  <c:v>4.2230876418492103E-2</c:v>
                </c:pt>
                <c:pt idx="191">
                  <c:v>4.2243987473496003E-2</c:v>
                </c:pt>
                <c:pt idx="192">
                  <c:v>4.2257098349020694E-2</c:v>
                </c:pt>
                <c:pt idx="193">
                  <c:v>4.2270209045068396E-2</c:v>
                </c:pt>
                <c:pt idx="194">
                  <c:v>4.2283319561641775E-2</c:v>
                </c:pt>
                <c:pt idx="195">
                  <c:v>4.229642989874316E-2</c:v>
                </c:pt>
                <c:pt idx="196">
                  <c:v>4.2309540056374995E-2</c:v>
                </c:pt>
                <c:pt idx="197">
                  <c:v>4.2322650034539833E-2</c:v>
                </c:pt>
                <c:pt idx="198">
                  <c:v>4.2335759833240005E-2</c:v>
                </c:pt>
                <c:pt idx="199">
                  <c:v>4.2348869452478066E-2</c:v>
                </c:pt>
                <c:pt idx="200">
                  <c:v>4.2361978892256458E-2</c:v>
                </c:pt>
                <c:pt idx="201">
                  <c:v>4.2375088152577733E-2</c:v>
                </c:pt>
                <c:pt idx="202">
                  <c:v>4.2388197233444114E-2</c:v>
                </c:pt>
                <c:pt idx="203">
                  <c:v>4.2401306134858263E-2</c:v>
                </c:pt>
                <c:pt idx="204">
                  <c:v>4.2414414856822513E-2</c:v>
                </c:pt>
                <c:pt idx="205">
                  <c:v>4.2427523399339306E-2</c:v>
                </c:pt>
                <c:pt idx="206">
                  <c:v>4.2440631762411307E-2</c:v>
                </c:pt>
                <c:pt idx="207">
                  <c:v>4.2453739946040736E-2</c:v>
                </c:pt>
                <c:pt idx="208">
                  <c:v>4.2466847950230147E-2</c:v>
                </c:pt>
                <c:pt idx="209">
                  <c:v>4.2479955774981981E-2</c:v>
                </c:pt>
                <c:pt idx="210">
                  <c:v>4.2493063420298682E-2</c:v>
                </c:pt>
                <c:pt idx="211">
                  <c:v>4.2506170886182804E-2</c:v>
                </c:pt>
                <c:pt idx="212">
                  <c:v>4.2519278172636676E-2</c:v>
                </c:pt>
                <c:pt idx="213">
                  <c:v>4.2532385279662743E-2</c:v>
                </c:pt>
                <c:pt idx="214">
                  <c:v>4.2545492207263669E-2</c:v>
                </c:pt>
                <c:pt idx="215">
                  <c:v>4.2558598955441673E-2</c:v>
                </c:pt>
                <c:pt idx="216">
                  <c:v>4.257170552419931E-2</c:v>
                </c:pt>
                <c:pt idx="217">
                  <c:v>4.2584811913539022E-2</c:v>
                </c:pt>
                <c:pt idx="218">
                  <c:v>4.2597918123463252E-2</c:v>
                </c:pt>
                <c:pt idx="219">
                  <c:v>4.2611024153974442E-2</c:v>
                </c:pt>
                <c:pt idx="220">
                  <c:v>4.2624130005075145E-2</c:v>
                </c:pt>
                <c:pt idx="221">
                  <c:v>4.2637235676767804E-2</c:v>
                </c:pt>
                <c:pt idx="222">
                  <c:v>4.2650341169054751E-2</c:v>
                </c:pt>
                <c:pt idx="223">
                  <c:v>4.2663446481938538E-2</c:v>
                </c:pt>
                <c:pt idx="224">
                  <c:v>4.267655161542161E-2</c:v>
                </c:pt>
                <c:pt idx="225">
                  <c:v>4.2689656569506296E-2</c:v>
                </c:pt>
                <c:pt idx="226">
                  <c:v>4.2702761344195261E-2</c:v>
                </c:pt>
                <c:pt idx="227">
                  <c:v>4.2715865939490838E-2</c:v>
                </c:pt>
                <c:pt idx="228">
                  <c:v>4.2728970355395579E-2</c:v>
                </c:pt>
                <c:pt idx="229">
                  <c:v>4.2742074591911816E-2</c:v>
                </c:pt>
                <c:pt idx="230">
                  <c:v>4.2755178649042103E-2</c:v>
                </c:pt>
                <c:pt idx="231">
                  <c:v>4.276828252678877E-2</c:v>
                </c:pt>
                <c:pt idx="232">
                  <c:v>4.2781386225154372E-2</c:v>
                </c:pt>
                <c:pt idx="233">
                  <c:v>4.2794489744141351E-2</c:v>
                </c:pt>
                <c:pt idx="234">
                  <c:v>4.280759308375226E-2</c:v>
                </c:pt>
                <c:pt idx="235">
                  <c:v>4.282069624398932E-2</c:v>
                </c:pt>
                <c:pt idx="236">
                  <c:v>4.2833799224855196E-2</c:v>
                </c:pt>
                <c:pt idx="237">
                  <c:v>4.2846902026352218E-2</c:v>
                </c:pt>
                <c:pt idx="238">
                  <c:v>4.2860004648482941E-2</c:v>
                </c:pt>
                <c:pt idx="239">
                  <c:v>4.2873107091249696E-2</c:v>
                </c:pt>
                <c:pt idx="240">
                  <c:v>4.2886209354655147E-2</c:v>
                </c:pt>
                <c:pt idx="241">
                  <c:v>4.2899311438701515E-2</c:v>
                </c:pt>
                <c:pt idx="242">
                  <c:v>4.2912413343391353E-2</c:v>
                </c:pt>
                <c:pt idx="243">
                  <c:v>4.2925515068727105E-2</c:v>
                </c:pt>
                <c:pt idx="244">
                  <c:v>4.2938616614711322E-2</c:v>
                </c:pt>
                <c:pt idx="245">
                  <c:v>4.2951717981346338E-2</c:v>
                </c:pt>
                <c:pt idx="246">
                  <c:v>4.2964819168634594E-2</c:v>
                </c:pt>
                <c:pt idx="247">
                  <c:v>4.2977920176578643E-2</c:v>
                </c:pt>
                <c:pt idx="248">
                  <c:v>4.2991021005180929E-2</c:v>
                </c:pt>
                <c:pt idx="249">
                  <c:v>4.3004121654443783E-2</c:v>
                </c:pt>
                <c:pt idx="250">
                  <c:v>4.3017222124369869E-2</c:v>
                </c:pt>
                <c:pt idx="251">
                  <c:v>4.3030322414961408E-2</c:v>
                </c:pt>
                <c:pt idx="252">
                  <c:v>4.3043422526221065E-2</c:v>
                </c:pt>
                <c:pt idx="253">
                  <c:v>4.3056522458151059E-2</c:v>
                </c:pt>
                <c:pt idx="254">
                  <c:v>4.3069622210754166E-2</c:v>
                </c:pt>
                <c:pt idx="255">
                  <c:v>4.3082721784032496E-2</c:v>
                </c:pt>
                <c:pt idx="256">
                  <c:v>4.3095821177988825E-2</c:v>
                </c:pt>
                <c:pt idx="257">
                  <c:v>4.3108920392625372E-2</c:v>
                </c:pt>
                <c:pt idx="258">
                  <c:v>4.312201942794458E-2</c:v>
                </c:pt>
                <c:pt idx="259">
                  <c:v>4.3135118283949114E-2</c:v>
                </c:pt>
                <c:pt idx="260">
                  <c:v>4.3148216960641306E-2</c:v>
                </c:pt>
                <c:pt idx="261">
                  <c:v>4.3161315458023597E-2</c:v>
                </c:pt>
                <c:pt idx="262">
                  <c:v>4.317441377609843E-2</c:v>
                </c:pt>
                <c:pt idx="263">
                  <c:v>4.3187511914868359E-2</c:v>
                </c:pt>
                <c:pt idx="264">
                  <c:v>4.3200609874335716E-2</c:v>
                </c:pt>
                <c:pt idx="265">
                  <c:v>4.3213707654502942E-2</c:v>
                </c:pt>
                <c:pt idx="266">
                  <c:v>4.3226805255372591E-2</c:v>
                </c:pt>
                <c:pt idx="267">
                  <c:v>4.3239902676947217E-2</c:v>
                </c:pt>
                <c:pt idx="268">
                  <c:v>4.325299991922904E-2</c:v>
                </c:pt>
                <c:pt idx="269">
                  <c:v>4.3266096982220614E-2</c:v>
                </c:pt>
                <c:pt idx="270">
                  <c:v>4.3279193865924381E-2</c:v>
                </c:pt>
                <c:pt idx="271">
                  <c:v>4.3292290570342784E-2</c:v>
                </c:pt>
                <c:pt idx="272">
                  <c:v>4.3305387095478376E-2</c:v>
                </c:pt>
                <c:pt idx="273">
                  <c:v>4.3318483441333488E-2</c:v>
                </c:pt>
                <c:pt idx="274">
                  <c:v>4.3331579607910564E-2</c:v>
                </c:pt>
                <c:pt idx="275">
                  <c:v>4.3344675595212268E-2</c:v>
                </c:pt>
                <c:pt idx="276">
                  <c:v>4.3357771403240819E-2</c:v>
                </c:pt>
                <c:pt idx="277">
                  <c:v>4.3370867031998661E-2</c:v>
                </c:pt>
                <c:pt idx="278">
                  <c:v>4.3383962481488458E-2</c:v>
                </c:pt>
                <c:pt idx="279">
                  <c:v>4.3397057751712542E-2</c:v>
                </c:pt>
                <c:pt idx="280">
                  <c:v>4.3410152842673355E-2</c:v>
                </c:pt>
                <c:pt idx="281">
                  <c:v>4.3423247754373451E-2</c:v>
                </c:pt>
                <c:pt idx="282">
                  <c:v>4.3436342486815049E-2</c:v>
                </c:pt>
                <c:pt idx="283">
                  <c:v>4.3449437040000816E-2</c:v>
                </c:pt>
                <c:pt idx="284">
                  <c:v>4.3462531413933192E-2</c:v>
                </c:pt>
                <c:pt idx="285">
                  <c:v>4.3475625608614621E-2</c:v>
                </c:pt>
                <c:pt idx="286">
                  <c:v>4.3488719624047434E-2</c:v>
                </c:pt>
                <c:pt idx="287">
                  <c:v>4.3501813460234184E-2</c:v>
                </c:pt>
                <c:pt idx="288">
                  <c:v>4.3514907117177315E-2</c:v>
                </c:pt>
                <c:pt idx="289">
                  <c:v>4.3528000594879268E-2</c:v>
                </c:pt>
                <c:pt idx="290">
                  <c:v>4.3541093893342597E-2</c:v>
                </c:pt>
                <c:pt idx="291">
                  <c:v>4.3554187012569523E-2</c:v>
                </c:pt>
                <c:pt idx="292">
                  <c:v>4.356727995256271E-2</c:v>
                </c:pt>
                <c:pt idx="293">
                  <c:v>4.35803727133246E-2</c:v>
                </c:pt>
                <c:pt idx="294">
                  <c:v>4.3593465294857525E-2</c:v>
                </c:pt>
                <c:pt idx="295">
                  <c:v>4.3606557697164039E-2</c:v>
                </c:pt>
                <c:pt idx="296">
                  <c:v>4.3619649920246473E-2</c:v>
                </c:pt>
                <c:pt idx="297">
                  <c:v>4.3632741964107491E-2</c:v>
                </c:pt>
                <c:pt idx="298">
                  <c:v>4.3645833828749314E-2</c:v>
                </c:pt>
                <c:pt idx="299">
                  <c:v>4.3658925514174607E-2</c:v>
                </c:pt>
                <c:pt idx="300">
                  <c:v>4.367201702038559E-2</c:v>
                </c:pt>
                <c:pt idx="301">
                  <c:v>4.3685108347384927E-2</c:v>
                </c:pt>
                <c:pt idx="302">
                  <c:v>4.369819949517495E-2</c:v>
                </c:pt>
                <c:pt idx="303">
                  <c:v>4.3711290463758212E-2</c:v>
                </c:pt>
                <c:pt idx="304">
                  <c:v>4.3724381253137157E-2</c:v>
                </c:pt>
                <c:pt idx="305">
                  <c:v>4.3737471863314115E-2</c:v>
                </c:pt>
                <c:pt idx="306">
                  <c:v>4.3750562294291528E-2</c:v>
                </c:pt>
                <c:pt idx="307">
                  <c:v>4.3763652546072063E-2</c:v>
                </c:pt>
                <c:pt idx="308">
                  <c:v>4.3776742618658049E-2</c:v>
                </c:pt>
                <c:pt idx="309">
                  <c:v>4.3789832512051818E-2</c:v>
                </c:pt>
                <c:pt idx="310">
                  <c:v>4.3802922226256036E-2</c:v>
                </c:pt>
                <c:pt idx="311">
                  <c:v>4.3816011761273033E-2</c:v>
                </c:pt>
                <c:pt idx="312">
                  <c:v>4.3829101117105251E-2</c:v>
                </c:pt>
                <c:pt idx="313">
                  <c:v>4.3842190293755245E-2</c:v>
                </c:pt>
                <c:pt idx="314">
                  <c:v>4.3855279291225346E-2</c:v>
                </c:pt>
                <c:pt idx="315">
                  <c:v>4.3868368109518108E-2</c:v>
                </c:pt>
                <c:pt idx="316">
                  <c:v>4.3881456748635861E-2</c:v>
                </c:pt>
                <c:pt idx="317">
                  <c:v>4.389454520858127E-2</c:v>
                </c:pt>
                <c:pt idx="318">
                  <c:v>4.3907633489356557E-2</c:v>
                </c:pt>
                <c:pt idx="319">
                  <c:v>4.3920721590964273E-2</c:v>
                </c:pt>
                <c:pt idx="320">
                  <c:v>4.3933809513406863E-2</c:v>
                </c:pt>
                <c:pt idx="321">
                  <c:v>4.3946897256686879E-2</c:v>
                </c:pt>
                <c:pt idx="322">
                  <c:v>4.3959984820806541E-2</c:v>
                </c:pt>
                <c:pt idx="323">
                  <c:v>4.3973072205768515E-2</c:v>
                </c:pt>
                <c:pt idx="324">
                  <c:v>4.3986159411575132E-2</c:v>
                </c:pt>
                <c:pt idx="325">
                  <c:v>4.3999246438228945E-2</c:v>
                </c:pt>
                <c:pt idx="326">
                  <c:v>4.4012333285732397E-2</c:v>
                </c:pt>
                <c:pt idx="327">
                  <c:v>4.4025419954087819E-2</c:v>
                </c:pt>
                <c:pt idx="328">
                  <c:v>4.4038506443297765E-2</c:v>
                </c:pt>
                <c:pt idx="329">
                  <c:v>4.4051592753364677E-2</c:v>
                </c:pt>
                <c:pt idx="330">
                  <c:v>4.4064678884290998E-2</c:v>
                </c:pt>
                <c:pt idx="331">
                  <c:v>4.407776483607917E-2</c:v>
                </c:pt>
                <c:pt idx="332">
                  <c:v>4.4090850608731635E-2</c:v>
                </c:pt>
                <c:pt idx="333">
                  <c:v>4.4103936202250837E-2</c:v>
                </c:pt>
                <c:pt idx="334">
                  <c:v>4.4117021616639218E-2</c:v>
                </c:pt>
                <c:pt idx="335">
                  <c:v>4.4130106851899331E-2</c:v>
                </c:pt>
                <c:pt idx="336">
                  <c:v>4.4143191908033619E-2</c:v>
                </c:pt>
                <c:pt idx="337">
                  <c:v>4.4156276785044413E-2</c:v>
                </c:pt>
                <c:pt idx="338">
                  <c:v>4.4169361482934155E-2</c:v>
                </c:pt>
                <c:pt idx="339">
                  <c:v>4.4182446001705511E-2</c:v>
                </c:pt>
                <c:pt idx="340">
                  <c:v>4.41955303413607E-2</c:v>
                </c:pt>
                <c:pt idx="341">
                  <c:v>4.4208614501902277E-2</c:v>
                </c:pt>
                <c:pt idx="342">
                  <c:v>4.4221698483332683E-2</c:v>
                </c:pt>
                <c:pt idx="343">
                  <c:v>4.4234782285654473E-2</c:v>
                </c:pt>
                <c:pt idx="344">
                  <c:v>4.4247865908869866E-2</c:v>
                </c:pt>
                <c:pt idx="345">
                  <c:v>4.4260949352981527E-2</c:v>
                </c:pt>
                <c:pt idx="346">
                  <c:v>4.4274032617991788E-2</c:v>
                </c:pt>
                <c:pt idx="347">
                  <c:v>4.428711570390309E-2</c:v>
                </c:pt>
                <c:pt idx="348">
                  <c:v>4.4300198610717989E-2</c:v>
                </c:pt>
                <c:pt idx="349">
                  <c:v>4.4313281338438926E-2</c:v>
                </c:pt>
                <c:pt idx="350">
                  <c:v>4.4326363887068232E-2</c:v>
                </c:pt>
                <c:pt idx="351">
                  <c:v>4.4339446256608461E-2</c:v>
                </c:pt>
                <c:pt idx="352">
                  <c:v>4.4352528447061945E-2</c:v>
                </c:pt>
                <c:pt idx="353">
                  <c:v>4.4365610458431348E-2</c:v>
                </c:pt>
                <c:pt idx="354">
                  <c:v>4.4378692290719002E-2</c:v>
                </c:pt>
                <c:pt idx="355">
                  <c:v>4.4391773943927348E-2</c:v>
                </c:pt>
                <c:pt idx="356">
                  <c:v>4.4404855418058831E-2</c:v>
                </c:pt>
                <c:pt idx="357">
                  <c:v>4.4417936713115891E-2</c:v>
                </c:pt>
                <c:pt idx="358">
                  <c:v>4.4431017829100972E-2</c:v>
                </c:pt>
                <c:pt idx="359">
                  <c:v>4.4444098766016626E-2</c:v>
                </c:pt>
                <c:pt idx="360">
                  <c:v>4.4457179523865187E-2</c:v>
                </c:pt>
                <c:pt idx="361">
                  <c:v>4.4470260102649206E-2</c:v>
                </c:pt>
                <c:pt idx="362">
                  <c:v>4.4483340502371127E-2</c:v>
                </c:pt>
                <c:pt idx="363">
                  <c:v>4.4496420723033281E-2</c:v>
                </c:pt>
                <c:pt idx="364">
                  <c:v>4.4509500764638221E-2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'2030'!$P$15:$P$380</c:f>
              <c:numCache>
                <c:formatCode>0.00%</c:formatCode>
                <c:ptCount val="366"/>
                <c:pt idx="0">
                  <c:v>2.6934130287521773E-3</c:v>
                </c:pt>
                <c:pt idx="1">
                  <c:v>2.6693648324977049E-3</c:v>
                </c:pt>
                <c:pt idx="2">
                  <c:v>2.6481072762397852E-3</c:v>
                </c:pt>
                <c:pt idx="3">
                  <c:v>2.6298098608299337E-3</c:v>
                </c:pt>
                <c:pt idx="4">
                  <c:v>2.6146228345681052E-3</c:v>
                </c:pt>
                <c:pt idx="5">
                  <c:v>2.6026801857073722E-3</c:v>
                </c:pt>
                <c:pt idx="6">
                  <c:v>2.5941027816246635E-3</c:v>
                </c:pt>
                <c:pt idx="7">
                  <c:v>2.5890015804543452E-3</c:v>
                </c:pt>
                <c:pt idx="8">
                  <c:v>2.5869212659911751E-3</c:v>
                </c:pt>
                <c:pt idx="9">
                  <c:v>2.589614136871623E-3</c:v>
                </c:pt>
                <c:pt idx="10">
                  <c:v>2.5947663965225224E-3</c:v>
                </c:pt>
                <c:pt idx="11">
                  <c:v>2.6022728464199364E-3</c:v>
                </c:pt>
                <c:pt idx="12">
                  <c:v>2.6120283903024858E-3</c:v>
                </c:pt>
                <c:pt idx="13">
                  <c:v>2.6239281672476638E-3</c:v>
                </c:pt>
                <c:pt idx="14">
                  <c:v>2.6378676890773329E-3</c:v>
                </c:pt>
                <c:pt idx="15">
                  <c:v>2.6498475875431525E-3</c:v>
                </c:pt>
                <c:pt idx="16">
                  <c:v>2.6589123189412803E-3</c:v>
                </c:pt>
                <c:pt idx="17">
                  <c:v>2.6651424678338816E-3</c:v>
                </c:pt>
                <c:pt idx="18">
                  <c:v>2.668620400394321E-3</c:v>
                </c:pt>
                <c:pt idx="19">
                  <c:v>2.6694424798535355E-3</c:v>
                </c:pt>
                <c:pt idx="20">
                  <c:v>2.6677118739299147E-3</c:v>
                </c:pt>
                <c:pt idx="21">
                  <c:v>2.6635227930172354E-3</c:v>
                </c:pt>
                <c:pt idx="22">
                  <c:v>2.656756107579939E-3</c:v>
                </c:pt>
                <c:pt idx="23">
                  <c:v>2.6364204460142203E-3</c:v>
                </c:pt>
                <c:pt idx="24">
                  <c:v>2.6012728342576811E-3</c:v>
                </c:pt>
                <c:pt idx="25">
                  <c:v>2.5520812381658836E-3</c:v>
                </c:pt>
                <c:pt idx="26">
                  <c:v>2.4895947704371992E-3</c:v>
                </c:pt>
                <c:pt idx="27">
                  <c:v>2.4145367314131836E-3</c:v>
                </c:pt>
                <c:pt idx="28">
                  <c:v>2.3275989591101027E-3</c:v>
                </c:pt>
                <c:pt idx="29">
                  <c:v>2.2287013956467164E-3</c:v>
                </c:pt>
                <c:pt idx="30">
                  <c:v>2.1216622109127116E-3</c:v>
                </c:pt>
                <c:pt idx="31">
                  <c:v>2.006950869518514E-3</c:v>
                </c:pt>
                <c:pt idx="32">
                  <c:v>1.8849981071624837E-3</c:v>
                </c:pt>
                <c:pt idx="33">
                  <c:v>1.756195470463481E-3</c:v>
                </c:pt>
                <c:pt idx="34">
                  <c:v>1.6208952604668671E-3</c:v>
                </c:pt>
                <c:pt idx="35">
                  <c:v>1.4794107890327255E-3</c:v>
                </c:pt>
                <c:pt idx="36">
                  <c:v>1.3318680996981763E-3</c:v>
                </c:pt>
                <c:pt idx="37">
                  <c:v>1.1849221736128172E-3</c:v>
                </c:pt>
                <c:pt idx="38">
                  <c:v>1.047495622289091E-3</c:v>
                </c:pt>
                <c:pt idx="39">
                  <c:v>9.1926952878119766E-4</c:v>
                </c:pt>
                <c:pt idx="40">
                  <c:v>7.9993007837800105E-4</c:v>
                </c:pt>
                <c:pt idx="41">
                  <c:v>6.8916959393610961E-4</c:v>
                </c:pt>
                <c:pt idx="42">
                  <c:v>5.8668740097549458E-4</c:v>
                </c:pt>
                <c:pt idx="43">
                  <c:v>4.9471757408723065E-4</c:v>
                </c:pt>
                <c:pt idx="44">
                  <c:v>4.134815630760156E-4</c:v>
                </c:pt>
                <c:pt idx="45">
                  <c:v>3.4259027684951649E-4</c:v>
                </c:pt>
                <c:pt idx="46">
                  <c:v>2.8166930951650695E-4</c:v>
                </c:pt>
                <c:pt idx="47">
                  <c:v>2.3035919777077989E-4</c:v>
                </c:pt>
                <c:pt idx="48">
                  <c:v>1.8831558311952436E-4</c:v>
                </c:pt>
                <c:pt idx="49">
                  <c:v>1.5520929580785741E-4</c:v>
                </c:pt>
                <c:pt idx="50">
                  <c:v>1.3072504926617582E-4</c:v>
                </c:pt>
                <c:pt idx="51">
                  <c:v>1.1446660001040582E-4</c:v>
                </c:pt>
                <c:pt idx="52">
                  <c:v>1.0075133567766389E-4</c:v>
                </c:pt>
                <c:pt idx="53">
                  <c:v>8.9492461391870351E-5</c:v>
                </c:pt>
                <c:pt idx="54">
                  <c:v>8.0607855663595258E-5</c:v>
                </c:pt>
                <c:pt idx="55">
                  <c:v>7.4019165170635006E-5</c:v>
                </c:pt>
                <c:pt idx="56">
                  <c:v>6.9651483403689108E-5</c:v>
                </c:pt>
                <c:pt idx="57">
                  <c:v>6.7298699934566732E-5</c:v>
                </c:pt>
                <c:pt idx="58">
                  <c:v>6.4773273741187715E-5</c:v>
                </c:pt>
                <c:pt idx="59">
                  <c:v>6.2080628256126107E-5</c:v>
                </c:pt>
                <c:pt idx="60">
                  <c:v>5.9226040526531416E-5</c:v>
                </c:pt>
                <c:pt idx="61">
                  <c:v>5.6214648218034683E-5</c:v>
                </c:pt>
                <c:pt idx="62">
                  <c:v>5.3051454607801942E-5</c:v>
                </c:pt>
                <c:pt idx="63">
                  <c:v>4.9741331773573651E-5</c:v>
                </c:pt>
                <c:pt idx="64">
                  <c:v>4.628828683161504E-5</c:v>
                </c:pt>
                <c:pt idx="65">
                  <c:v>4.2828711015766098E-5</c:v>
                </c:pt>
                <c:pt idx="66">
                  <c:v>3.9445521494680473E-5</c:v>
                </c:pt>
                <c:pt idx="67">
                  <c:v>3.6137428665234131E-5</c:v>
                </c:pt>
                <c:pt idx="68">
                  <c:v>3.290295221282159E-5</c:v>
                </c:pt>
                <c:pt idx="69">
                  <c:v>2.9740438129739929E-5</c:v>
                </c:pt>
                <c:pt idx="70">
                  <c:v>2.6648074539972972E-5</c:v>
                </c:pt>
                <c:pt idx="71">
                  <c:v>2.383309001887492E-5</c:v>
                </c:pt>
                <c:pt idx="72">
                  <c:v>2.1402962141055371E-5</c:v>
                </c:pt>
                <c:pt idx="73">
                  <c:v>1.934681695777891E-5</c:v>
                </c:pt>
                <c:pt idx="74">
                  <c:v>1.7654227989418208E-5</c:v>
                </c:pt>
                <c:pt idx="75">
                  <c:v>1.6315253799479882E-5</c:v>
                </c:pt>
                <c:pt idx="76">
                  <c:v>1.5320472025915373E-5</c:v>
                </c:pt>
                <c:pt idx="77">
                  <c:v>1.4661010265332144E-5</c:v>
                </c:pt>
                <c:pt idx="78">
                  <c:v>1.4327209487122685E-5</c:v>
                </c:pt>
                <c:pt idx="79">
                  <c:v>1.4328424979866989E-5</c:v>
                </c:pt>
                <c:pt idx="80">
                  <c:v>1.4542380425235033E-5</c:v>
                </c:pt>
                <c:pt idx="81">
                  <c:v>1.4964744043931157E-5</c:v>
                </c:pt>
                <c:pt idx="82">
                  <c:v>1.5591511385128441E-5</c:v>
                </c:pt>
                <c:pt idx="83">
                  <c:v>1.6419065652728313E-5</c:v>
                </c:pt>
                <c:pt idx="84">
                  <c:v>1.744423260217111E-5</c:v>
                </c:pt>
                <c:pt idx="85">
                  <c:v>1.8524583186650777E-5</c:v>
                </c:pt>
                <c:pt idx="86">
                  <c:v>1.9474966825260825E-5</c:v>
                </c:pt>
                <c:pt idx="87">
                  <c:v>2.0299399619874799E-5</c:v>
                </c:pt>
                <c:pt idx="88">
                  <c:v>2.1001665659097834E-5</c:v>
                </c:pt>
                <c:pt idx="89">
                  <c:v>2.1585289403237819E-5</c:v>
                </c:pt>
                <c:pt idx="90">
                  <c:v>2.2053510784756146E-5</c:v>
                </c:pt>
                <c:pt idx="91">
                  <c:v>2.2409262540073247E-5</c:v>
                </c:pt>
                <c:pt idx="92">
                  <c:v>2.2653330647353008E-5</c:v>
                </c:pt>
                <c:pt idx="93">
                  <c:v>2.2737015649055561E-5</c:v>
                </c:pt>
                <c:pt idx="94">
                  <c:v>2.2645636539549695E-5</c:v>
                </c:pt>
                <c:pt idx="95">
                  <c:v>2.2380904318931824E-5</c:v>
                </c:pt>
                <c:pt idx="96">
                  <c:v>2.1944105909685375E-5</c:v>
                </c:pt>
                <c:pt idx="97">
                  <c:v>2.1336096366087853E-5</c:v>
                </c:pt>
                <c:pt idx="98">
                  <c:v>2.0557290748191615E-5</c:v>
                </c:pt>
                <c:pt idx="99">
                  <c:v>1.9664588177375359E-5</c:v>
                </c:pt>
                <c:pt idx="100">
                  <c:v>1.8790128785137727E-5</c:v>
                </c:pt>
                <c:pt idx="101">
                  <c:v>1.793291561225514E-5</c:v>
                </c:pt>
                <c:pt idx="102">
                  <c:v>1.7091958911217282E-5</c:v>
                </c:pt>
                <c:pt idx="103">
                  <c:v>1.6266276007857208E-5</c:v>
                </c:pt>
                <c:pt idx="104">
                  <c:v>1.5454891101000326E-5</c:v>
                </c:pt>
                <c:pt idx="105">
                  <c:v>1.4656834991121598E-5</c:v>
                </c:pt>
                <c:pt idx="106">
                  <c:v>1.3871062264797418E-5</c:v>
                </c:pt>
                <c:pt idx="107">
                  <c:v>1.3102371006941658E-5</c:v>
                </c:pt>
                <c:pt idx="108">
                  <c:v>1.2398536701768855E-5</c:v>
                </c:pt>
                <c:pt idx="109">
                  <c:v>1.1759117291975242E-5</c:v>
                </c:pt>
                <c:pt idx="110">
                  <c:v>1.1183869017273443E-5</c:v>
                </c:pt>
                <c:pt idx="111">
                  <c:v>1.0672712989645694E-5</c:v>
                </c:pt>
                <c:pt idx="112">
                  <c:v>1.0225709789422957E-5</c:v>
                </c:pt>
                <c:pt idx="113">
                  <c:v>9.8370800194604326E-6</c:v>
                </c:pt>
                <c:pt idx="114">
                  <c:v>9.4481300801255244E-6</c:v>
                </c:pt>
                <c:pt idx="115">
                  <c:v>9.0583031147106846E-6</c:v>
                </c:pt>
                <c:pt idx="116">
                  <c:v>8.6670440828851662E-6</c:v>
                </c:pt>
                <c:pt idx="117">
                  <c:v>8.2737994033873735E-6</c:v>
                </c:pt>
                <c:pt idx="118">
                  <c:v>7.8780167016414548E-6</c:v>
                </c:pt>
                <c:pt idx="119">
                  <c:v>7.4791446765753259E-6</c:v>
                </c:pt>
                <c:pt idx="120">
                  <c:v>7.0768044439276661E-6</c:v>
                </c:pt>
                <c:pt idx="121">
                  <c:v>6.6881784963915263E-6</c:v>
                </c:pt>
                <c:pt idx="122">
                  <c:v>6.3066459003044981E-6</c:v>
                </c:pt>
                <c:pt idx="123">
                  <c:v>5.9318974889192494E-6</c:v>
                </c:pt>
                <c:pt idx="124">
                  <c:v>5.5636593603132393E-6</c:v>
                </c:pt>
                <c:pt idx="125">
                  <c:v>5.201692633926679E-6</c:v>
                </c:pt>
                <c:pt idx="126">
                  <c:v>4.8457933153840285E-6</c:v>
                </c:pt>
                <c:pt idx="127">
                  <c:v>4.5091586960641865E-6</c:v>
                </c:pt>
                <c:pt idx="128">
                  <c:v>4.1988199047043017E-6</c:v>
                </c:pt>
                <c:pt idx="129">
                  <c:v>3.9153284725410232E-6</c:v>
                </c:pt>
                <c:pt idx="130">
                  <c:v>3.6593139636683613E-6</c:v>
                </c:pt>
                <c:pt idx="131">
                  <c:v>3.4314823108655504E-6</c:v>
                </c:pt>
                <c:pt idx="132">
                  <c:v>3.2326139088525461E-6</c:v>
                </c:pt>
                <c:pt idx="133">
                  <c:v>3.0635614211877858E-6</c:v>
                </c:pt>
                <c:pt idx="134">
                  <c:v>2.9253190910908884E-6</c:v>
                </c:pt>
                <c:pt idx="135">
                  <c:v>2.8178818355552144E-6</c:v>
                </c:pt>
                <c:pt idx="136">
                  <c:v>2.7217234853170763E-6</c:v>
                </c:pt>
                <c:pt idx="137">
                  <c:v>2.6371826228554027E-6</c:v>
                </c:pt>
                <c:pt idx="138">
                  <c:v>2.5646256873468957E-6</c:v>
                </c:pt>
                <c:pt idx="139">
                  <c:v>2.5044461670403725E-6</c:v>
                </c:pt>
                <c:pt idx="140">
                  <c:v>2.4570636570545793E-6</c:v>
                </c:pt>
                <c:pt idx="141">
                  <c:v>2.4203814270319562E-6</c:v>
                </c:pt>
                <c:pt idx="142">
                  <c:v>2.3788571127023301E-6</c:v>
                </c:pt>
                <c:pt idx="143">
                  <c:v>2.332261510772414E-6</c:v>
                </c:pt>
                <c:pt idx="144">
                  <c:v>2.2803743320152371E-6</c:v>
                </c:pt>
                <c:pt idx="145">
                  <c:v>2.222972508909278E-6</c:v>
                </c:pt>
                <c:pt idx="146">
                  <c:v>2.1598309644451846E-6</c:v>
                </c:pt>
                <c:pt idx="147">
                  <c:v>2.0907234285302693E-6</c:v>
                </c:pt>
                <c:pt idx="148">
                  <c:v>2.0154549606991894E-6</c:v>
                </c:pt>
                <c:pt idx="149">
                  <c:v>1.9379244679619732E-6</c:v>
                </c:pt>
                <c:pt idx="150">
                  <c:v>1.8593390484416602E-6</c:v>
                </c:pt>
                <c:pt idx="151">
                  <c:v>1.7796776671124503E-6</c:v>
                </c:pt>
                <c:pt idx="152">
                  <c:v>1.698925111982725E-6</c:v>
                </c:pt>
                <c:pt idx="153">
                  <c:v>1.6170721219342834E-6</c:v>
                </c:pt>
                <c:pt idx="154">
                  <c:v>1.5341154915125371E-6</c:v>
                </c:pt>
                <c:pt idx="155">
                  <c:v>1.4531321560072251E-6</c:v>
                </c:pt>
                <c:pt idx="156">
                  <c:v>1.377322828789964E-6</c:v>
                </c:pt>
                <c:pt idx="157">
                  <c:v>1.3069330690587542E-6</c:v>
                </c:pt>
                <c:pt idx="158">
                  <c:v>1.2422153772062668E-6</c:v>
                </c:pt>
                <c:pt idx="159">
                  <c:v>1.1834281988848138E-6</c:v>
                </c:pt>
                <c:pt idx="160">
                  <c:v>1.1308348857418669E-6</c:v>
                </c:pt>
                <c:pt idx="161">
                  <c:v>1.0847026199557145E-6</c:v>
                </c:pt>
                <c:pt idx="162">
                  <c:v>1.0452911020225919E-6</c:v>
                </c:pt>
                <c:pt idx="163">
                  <c:v>1.0144744280398082E-6</c:v>
                </c:pt>
                <c:pt idx="164">
                  <c:v>9.8767228073825625E-7</c:v>
                </c:pt>
                <c:pt idx="165">
                  <c:v>9.6505763053164395E-7</c:v>
                </c:pt>
                <c:pt idx="166">
                  <c:v>9.4680245231444307E-7</c:v>
                </c:pt>
                <c:pt idx="167">
                  <c:v>9.330775812959261E-7</c:v>
                </c:pt>
                <c:pt idx="168">
                  <c:v>9.2405261628271962E-7</c:v>
                </c:pt>
                <c:pt idx="169">
                  <c:v>9.2160601885742658E-7</c:v>
                </c:pt>
                <c:pt idx="170">
                  <c:v>9.2231515233150821E-7</c:v>
                </c:pt>
                <c:pt idx="171">
                  <c:v>9.2628839226510179E-7</c:v>
                </c:pt>
                <c:pt idx="172">
                  <c:v>9.3363369369883265E-7</c:v>
                </c:pt>
                <c:pt idx="173">
                  <c:v>9.4445064421873569E-7</c:v>
                </c:pt>
                <c:pt idx="174">
                  <c:v>9.5883779188501667E-7</c:v>
                </c:pt>
                <c:pt idx="175">
                  <c:v>9.7690108744975029E-7</c:v>
                </c:pt>
                <c:pt idx="176">
                  <c:v>9.9873632913696208E-7</c:v>
                </c:pt>
                <c:pt idx="177">
                  <c:v>1.0283211452155842E-6</c:v>
                </c:pt>
                <c:pt idx="178">
                  <c:v>1.0639863583686314E-6</c:v>
                </c:pt>
                <c:pt idx="179">
                  <c:v>1.1058730162546467E-6</c:v>
                </c:pt>
                <c:pt idx="180">
                  <c:v>1.1541190862245407E-6</c:v>
                </c:pt>
                <c:pt idx="181">
                  <c:v>1.2088591828084287E-6</c:v>
                </c:pt>
                <c:pt idx="182">
                  <c:v>1.2702243256825694E-6</c:v>
                </c:pt>
                <c:pt idx="183">
                  <c:v>1.344233023225354E-6</c:v>
                </c:pt>
                <c:pt idx="184">
                  <c:v>1.4291903016983434E-6</c:v>
                </c:pt>
                <c:pt idx="185">
                  <c:v>1.5253061135305108E-6</c:v>
                </c:pt>
                <c:pt idx="186">
                  <c:v>1.6327834681300086E-6</c:v>
                </c:pt>
                <c:pt idx="187">
                  <c:v>1.7518182013611231E-6</c:v>
                </c:pt>
                <c:pt idx="188">
                  <c:v>1.8825987762800873E-6</c:v>
                </c:pt>
                <c:pt idx="189">
                  <c:v>2.0253061099856689E-6</c:v>
                </c:pt>
                <c:pt idx="190">
                  <c:v>2.180125272608469E-6</c:v>
                </c:pt>
                <c:pt idx="191">
                  <c:v>2.3429517814292629E-6</c:v>
                </c:pt>
                <c:pt idx="192">
                  <c:v>2.5095162512601167E-6</c:v>
                </c:pt>
                <c:pt idx="193">
                  <c:v>2.6798373592647065E-6</c:v>
                </c:pt>
                <c:pt idx="194">
                  <c:v>2.853938664815068E-6</c:v>
                </c:pt>
                <c:pt idx="195">
                  <c:v>3.0318489892301787E-6</c:v>
                </c:pt>
                <c:pt idx="196">
                  <c:v>3.2136027802142065E-6</c:v>
                </c:pt>
                <c:pt idx="197">
                  <c:v>3.3972325783186094E-6</c:v>
                </c:pt>
                <c:pt idx="198">
                  <c:v>3.5762181911657751E-6</c:v>
                </c:pt>
                <c:pt idx="199">
                  <c:v>3.7504590248190168E-6</c:v>
                </c:pt>
                <c:pt idx="200">
                  <c:v>3.9198622663647837E-6</c:v>
                </c:pt>
                <c:pt idx="201">
                  <c:v>4.0843423520356545E-6</c:v>
                </c:pt>
                <c:pt idx="202">
                  <c:v>4.243820406431773E-6</c:v>
                </c:pt>
                <c:pt idx="203">
                  <c:v>4.3982236584946255E-6</c:v>
                </c:pt>
                <c:pt idx="204">
                  <c:v>4.5475258587503836E-6</c:v>
                </c:pt>
                <c:pt idx="205">
                  <c:v>4.7205695450108896E-6</c:v>
                </c:pt>
                <c:pt idx="206">
                  <c:v>4.9224569802860796E-6</c:v>
                </c:pt>
                <c:pt idx="207">
                  <c:v>5.1536639544493067E-6</c:v>
                </c:pt>
                <c:pt idx="208">
                  <c:v>5.4146676376728748E-6</c:v>
                </c:pt>
                <c:pt idx="209">
                  <c:v>5.7059451255377287E-6</c:v>
                </c:pt>
                <c:pt idx="210">
                  <c:v>6.0279718043016279E-6</c:v>
                </c:pt>
                <c:pt idx="211">
                  <c:v>6.4227762581316414E-6</c:v>
                </c:pt>
                <c:pt idx="212">
                  <c:v>6.8937416795710102E-6</c:v>
                </c:pt>
                <c:pt idx="213">
                  <c:v>7.4420904008098238E-6</c:v>
                </c:pt>
                <c:pt idx="214">
                  <c:v>8.0690339981700563E-6</c:v>
                </c:pt>
                <c:pt idx="215">
                  <c:v>8.7757677073906497E-6</c:v>
                </c:pt>
                <c:pt idx="216">
                  <c:v>9.5634642909856303E-6</c:v>
                </c:pt>
                <c:pt idx="217">
                  <c:v>1.0433267350836454E-5</c:v>
                </c:pt>
                <c:pt idx="218">
                  <c:v>1.1386689374146647E-5</c:v>
                </c:pt>
                <c:pt idx="219">
                  <c:v>1.2409719504914413E-5</c:v>
                </c:pt>
                <c:pt idx="220">
                  <c:v>1.3471929396469202E-5</c:v>
                </c:pt>
                <c:pt idx="221">
                  <c:v>1.4573856345034989E-5</c:v>
                </c:pt>
                <c:pt idx="222">
                  <c:v>1.5716026646537221E-5</c:v>
                </c:pt>
                <c:pt idx="223">
                  <c:v>1.6898952998782827E-5</c:v>
                </c:pt>
                <c:pt idx="224">
                  <c:v>1.8123131750550542E-5</c:v>
                </c:pt>
                <c:pt idx="225">
                  <c:v>1.9405503377886955E-5</c:v>
                </c:pt>
                <c:pt idx="226">
                  <c:v>2.0701577875435258E-5</c:v>
                </c:pt>
                <c:pt idx="227">
                  <c:v>2.2011308427732176E-5</c:v>
                </c:pt>
                <c:pt idx="228">
                  <c:v>2.3334618107532812E-5</c:v>
                </c:pt>
                <c:pt idx="229">
                  <c:v>2.467139786998853E-5</c:v>
                </c:pt>
                <c:pt idx="230">
                  <c:v>2.6021504523356202E-5</c:v>
                </c:pt>
                <c:pt idx="231">
                  <c:v>2.7384758677923288E-5</c:v>
                </c:pt>
                <c:pt idx="232">
                  <c:v>2.8760751184909092E-5</c:v>
                </c:pt>
                <c:pt idx="233">
                  <c:v>3.0314202699881119E-5</c:v>
                </c:pt>
                <c:pt idx="234">
                  <c:v>3.2064923189605284E-5</c:v>
                </c:pt>
                <c:pt idx="235">
                  <c:v>3.4016048798896457E-5</c:v>
                </c:pt>
                <c:pt idx="236">
                  <c:v>3.6170798210097921E-5</c:v>
                </c:pt>
                <c:pt idx="237">
                  <c:v>3.8532467464406874E-5</c:v>
                </c:pt>
                <c:pt idx="238">
                  <c:v>4.1104469637497346E-5</c:v>
                </c:pt>
                <c:pt idx="239">
                  <c:v>4.3745710783736097E-5</c:v>
                </c:pt>
                <c:pt idx="240">
                  <c:v>4.6439810037456328E-5</c:v>
                </c:pt>
                <c:pt idx="241">
                  <c:v>4.918808739832411E-5</c:v>
                </c:pt>
                <c:pt idx="242">
                  <c:v>5.1992010140795673E-5</c:v>
                </c:pt>
                <c:pt idx="243">
                  <c:v>5.4853202268963424E-5</c:v>
                </c:pt>
                <c:pt idx="244">
                  <c:v>5.7773454687111161E-5</c:v>
                </c:pt>
                <c:pt idx="245">
                  <c:v>6.075473617813143E-5</c:v>
                </c:pt>
                <c:pt idx="246">
                  <c:v>6.3796601770629431E-5</c:v>
                </c:pt>
                <c:pt idx="247">
                  <c:v>6.6483592211350509E-5</c:v>
                </c:pt>
                <c:pt idx="248">
                  <c:v>6.8631537551498906E-5</c:v>
                </c:pt>
                <c:pt idx="249">
                  <c:v>7.0231783869427849E-5</c:v>
                </c:pt>
                <c:pt idx="250">
                  <c:v>7.1275526786256785E-5</c:v>
                </c:pt>
                <c:pt idx="251">
                  <c:v>7.1753769981627884E-5</c:v>
                </c:pt>
                <c:pt idx="252">
                  <c:v>7.1657281756092655E-5</c:v>
                </c:pt>
                <c:pt idx="253">
                  <c:v>7.1029862586366552E-5</c:v>
                </c:pt>
                <c:pt idx="254">
                  <c:v>7.0019757363779284E-5</c:v>
                </c:pt>
                <c:pt idx="255">
                  <c:v>6.8620526593564642E-5</c:v>
                </c:pt>
                <c:pt idx="256">
                  <c:v>6.6825449900392722E-5</c:v>
                </c:pt>
                <c:pt idx="257">
                  <c:v>6.4627489893903536E-5</c:v>
                </c:pt>
                <c:pt idx="258">
                  <c:v>6.2019253655666706E-5</c:v>
                </c:pt>
                <c:pt idx="259">
                  <c:v>5.8992951504900146E-5</c:v>
                </c:pt>
                <c:pt idx="260">
                  <c:v>5.5541641182707855E-5</c:v>
                </c:pt>
                <c:pt idx="261">
                  <c:v>5.2261246068359428E-5</c:v>
                </c:pt>
                <c:pt idx="262">
                  <c:v>4.9606712816687938E-5</c:v>
                </c:pt>
                <c:pt idx="263">
                  <c:v>4.7589150555969941E-5</c:v>
                </c:pt>
                <c:pt idx="264">
                  <c:v>4.6220440561524824E-5</c:v>
                </c:pt>
                <c:pt idx="265">
                  <c:v>4.5513345459875105E-5</c:v>
                </c:pt>
                <c:pt idx="266">
                  <c:v>4.5481104196125693E-5</c:v>
                </c:pt>
                <c:pt idx="267">
                  <c:v>4.6510832015927719E-5</c:v>
                </c:pt>
                <c:pt idx="268">
                  <c:v>4.8565732228554144E-5</c:v>
                </c:pt>
                <c:pt idx="269">
                  <c:v>5.1666930882152282E-5</c:v>
                </c:pt>
                <c:pt idx="270">
                  <c:v>5.5835668999370851E-5</c:v>
                </c:pt>
                <c:pt idx="271">
                  <c:v>6.1093059235896996E-5</c:v>
                </c:pt>
                <c:pt idx="272">
                  <c:v>6.7459821613516526E-5</c:v>
                </c:pt>
                <c:pt idx="273">
                  <c:v>7.4955997646259661E-5</c:v>
                </c:pt>
                <c:pt idx="274">
                  <c:v>8.3607064609796436E-5</c:v>
                </c:pt>
                <c:pt idx="275">
                  <c:v>9.306618218736687E-5</c:v>
                </c:pt>
                <c:pt idx="276">
                  <c:v>1.026767702768239E-4</c:v>
                </c:pt>
                <c:pt idx="277">
                  <c:v>1.124399302599651E-4</c:v>
                </c:pt>
                <c:pt idx="278">
                  <c:v>1.223563556882121E-4</c:v>
                </c:pt>
                <c:pt idx="279">
                  <c:v>1.324263102942538E-4</c:v>
                </c:pt>
                <c:pt idx="280">
                  <c:v>1.4264960568029759E-4</c:v>
                </c:pt>
                <c:pt idx="281">
                  <c:v>1.5276791015699775E-4</c:v>
                </c:pt>
                <c:pt idx="282">
                  <c:v>1.6235943978787324E-4</c:v>
                </c:pt>
                <c:pt idx="283">
                  <c:v>1.7140860790732158E-4</c:v>
                </c:pt>
                <c:pt idx="284">
                  <c:v>1.7989939904518935E-4</c:v>
                </c:pt>
                <c:pt idx="285">
                  <c:v>1.8781543476214274E-4</c:v>
                </c:pt>
                <c:pt idx="286">
                  <c:v>1.9514004385713993E-4</c:v>
                </c:pt>
                <c:pt idx="287">
                  <c:v>2.0185633697753679E-4</c:v>
                </c:pt>
                <c:pt idx="288">
                  <c:v>2.0795797304931152E-4</c:v>
                </c:pt>
                <c:pt idx="289">
                  <c:v>2.1998755958495597E-4</c:v>
                </c:pt>
                <c:pt idx="290">
                  <c:v>2.3847171370491394E-4</c:v>
                </c:pt>
                <c:pt idx="291">
                  <c:v>2.6352999269526635E-4</c:v>
                </c:pt>
                <c:pt idx="292">
                  <c:v>2.9528174578436655E-4</c:v>
                </c:pt>
                <c:pt idx="293">
                  <c:v>3.3384576700325045E-4</c:v>
                </c:pt>
                <c:pt idx="294">
                  <c:v>3.7933994750705954E-4</c:v>
                </c:pt>
                <c:pt idx="295">
                  <c:v>4.4798550646784984E-4</c:v>
                </c:pt>
                <c:pt idx="296">
                  <c:v>5.4048230494774458E-4</c:v>
                </c:pt>
                <c:pt idx="297">
                  <c:v>6.5724970285208041E-4</c:v>
                </c:pt>
                <c:pt idx="298">
                  <c:v>7.9870124508889001E-4</c:v>
                </c:pt>
                <c:pt idx="299">
                  <c:v>9.6524609234959478E-4</c:v>
                </c:pt>
                <c:pt idx="300">
                  <c:v>1.1572877760412312E-3</c:v>
                </c:pt>
                <c:pt idx="301">
                  <c:v>1.3752228866123698E-3</c:v>
                </c:pt>
                <c:pt idx="302">
                  <c:v>1.6195492429626772E-3</c:v>
                </c:pt>
                <c:pt idx="303">
                  <c:v>1.8890259701723E-3</c:v>
                </c:pt>
                <c:pt idx="304">
                  <c:v>2.1769354000329652E-3</c:v>
                </c:pt>
                <c:pt idx="305">
                  <c:v>2.4836067793819264E-3</c:v>
                </c:pt>
                <c:pt idx="306">
                  <c:v>2.8093678858660698E-3</c:v>
                </c:pt>
                <c:pt idx="307">
                  <c:v>3.1545426721665774E-3</c:v>
                </c:pt>
                <c:pt idx="308">
                  <c:v>3.5194485290319807E-3</c:v>
                </c:pt>
                <c:pt idx="309">
                  <c:v>3.8801588282987927E-3</c:v>
                </c:pt>
                <c:pt idx="310">
                  <c:v>4.2189012296701533E-3</c:v>
                </c:pt>
                <c:pt idx="311">
                  <c:v>4.5351797850375448E-3</c:v>
                </c:pt>
                <c:pt idx="312">
                  <c:v>4.82847411704454E-3</c:v>
                </c:pt>
                <c:pt idx="313">
                  <c:v>5.0982402978893508E-3</c:v>
                </c:pt>
                <c:pt idx="314">
                  <c:v>5.3439120998001605E-3</c:v>
                </c:pt>
                <c:pt idx="315">
                  <c:v>5.5649026955904559E-3</c:v>
                </c:pt>
                <c:pt idx="316">
                  <c:v>5.7609258680894615E-3</c:v>
                </c:pt>
                <c:pt idx="317">
                  <c:v>5.9237658747323795E-3</c:v>
                </c:pt>
                <c:pt idx="318">
                  <c:v>6.0548340572253488E-3</c:v>
                </c:pt>
                <c:pt idx="319">
                  <c:v>6.1535963004817028E-3</c:v>
                </c:pt>
                <c:pt idx="320">
                  <c:v>6.2195046132337136E-3</c:v>
                </c:pt>
                <c:pt idx="321">
                  <c:v>6.2519941824287434E-3</c:v>
                </c:pt>
                <c:pt idx="322">
                  <c:v>6.2504805691689976E-3</c:v>
                </c:pt>
                <c:pt idx="323">
                  <c:v>6.2190887551742628E-3</c:v>
                </c:pt>
                <c:pt idx="324">
                  <c:v>6.1838076523673463E-3</c:v>
                </c:pt>
                <c:pt idx="325">
                  <c:v>6.1445746169091512E-3</c:v>
                </c:pt>
                <c:pt idx="326">
                  <c:v>6.101287420403897E-3</c:v>
                </c:pt>
                <c:pt idx="327">
                  <c:v>6.0538578497754281E-3</c:v>
                </c:pt>
                <c:pt idx="328">
                  <c:v>6.0022157687816494E-3</c:v>
                </c:pt>
                <c:pt idx="329">
                  <c:v>5.9462823234055157E-3</c:v>
                </c:pt>
                <c:pt idx="330">
                  <c:v>5.8866417791086506E-3</c:v>
                </c:pt>
                <c:pt idx="331">
                  <c:v>5.8259595213123547E-3</c:v>
                </c:pt>
                <c:pt idx="332">
                  <c:v>5.7727351335660447E-3</c:v>
                </c:pt>
                <c:pt idx="333">
                  <c:v>5.7267880827451285E-3</c:v>
                </c:pt>
                <c:pt idx="334">
                  <c:v>5.6879369670426406E-3</c:v>
                </c:pt>
                <c:pt idx="335">
                  <c:v>5.6559963700647687E-3</c:v>
                </c:pt>
                <c:pt idx="336">
                  <c:v>5.6307736255769734E-3</c:v>
                </c:pt>
                <c:pt idx="337">
                  <c:v>5.6168886357170628E-3</c:v>
                </c:pt>
                <c:pt idx="338">
                  <c:v>5.6089789943376822E-3</c:v>
                </c:pt>
                <c:pt idx="339">
                  <c:v>5.6067995622135882E-3</c:v>
                </c:pt>
                <c:pt idx="340">
                  <c:v>5.6100837262188352E-3</c:v>
                </c:pt>
                <c:pt idx="341">
                  <c:v>5.6185405409190023E-3</c:v>
                </c:pt>
                <c:pt idx="342">
                  <c:v>5.6318521863787619E-3</c:v>
                </c:pt>
                <c:pt idx="343">
                  <c:v>5.6496718578111851E-3</c:v>
                </c:pt>
                <c:pt idx="344">
                  <c:v>5.6732711301381005E-3</c:v>
                </c:pt>
                <c:pt idx="345">
                  <c:v>5.7039612302642543E-3</c:v>
                </c:pt>
                <c:pt idx="346">
                  <c:v>5.7367378587327884E-3</c:v>
                </c:pt>
                <c:pt idx="347">
                  <c:v>5.7711777427448532E-3</c:v>
                </c:pt>
                <c:pt idx="348">
                  <c:v>5.8068341675242188E-3</c:v>
                </c:pt>
                <c:pt idx="349">
                  <c:v>5.8432376585717833E-3</c:v>
                </c:pt>
                <c:pt idx="350">
                  <c:v>5.8798974626188627E-3</c:v>
                </c:pt>
                <c:pt idx="351">
                  <c:v>5.9141215969019442E-3</c:v>
                </c:pt>
                <c:pt idx="352">
                  <c:v>5.9401650764824869E-3</c:v>
                </c:pt>
                <c:pt idx="353">
                  <c:v>5.9574642513044807E-3</c:v>
                </c:pt>
                <c:pt idx="354">
                  <c:v>5.9654866427509435E-3</c:v>
                </c:pt>
                <c:pt idx="355">
                  <c:v>5.9637428300351467E-3</c:v>
                </c:pt>
                <c:pt idx="356">
                  <c:v>5.9517612553726205E-3</c:v>
                </c:pt>
                <c:pt idx="357">
                  <c:v>5.9292061494454753E-3</c:v>
                </c:pt>
                <c:pt idx="358">
                  <c:v>5.8954009247616634E-3</c:v>
                </c:pt>
                <c:pt idx="359">
                  <c:v>5.8504141172320912E-3</c:v>
                </c:pt>
                <c:pt idx="360">
                  <c:v>5.8001963517731936E-3</c:v>
                </c:pt>
                <c:pt idx="361">
                  <c:v>5.747648567173907E-3</c:v>
                </c:pt>
                <c:pt idx="362">
                  <c:v>5.6934791421878045E-3</c:v>
                </c:pt>
                <c:pt idx="363">
                  <c:v>5.6383705281024318E-3</c:v>
                </c:pt>
                <c:pt idx="364">
                  <c:v>5.5829724950349525E-3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412968"/>
        <c:axId val="321413360"/>
      </c:lineChart>
      <c:dateAx>
        <c:axId val="3214129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13360"/>
        <c:crosses val="autoZero"/>
        <c:auto val="1"/>
        <c:lblOffset val="100"/>
        <c:baseTimeUnit val="days"/>
        <c:majorUnit val="1"/>
        <c:majorTimeUnit val="months"/>
      </c:dateAx>
      <c:valAx>
        <c:axId val="3214133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4129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'2031'!$V$14</c:f>
              <c:strCache>
                <c:ptCount val="1"/>
                <c:pt idx="0">
                  <c:v>Enveloppe 2031</c:v>
                </c:pt>
              </c:strCache>
            </c:strRef>
          </c:tx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'2031'!Env_an</c:f>
              <c:numCache>
                <c:formatCode>0.00</c:formatCode>
                <c:ptCount val="366"/>
                <c:pt idx="0">
                  <c:v>16.425636305959351</c:v>
                </c:pt>
                <c:pt idx="1">
                  <c:v>16.590006323733874</c:v>
                </c:pt>
                <c:pt idx="2">
                  <c:v>16.76236938681275</c:v>
                </c:pt>
                <c:pt idx="3">
                  <c:v>16.941187082366053</c:v>
                </c:pt>
                <c:pt idx="4">
                  <c:v>17.124921271746253</c:v>
                </c:pt>
                <c:pt idx="5">
                  <c:v>17.312034099041878</c:v>
                </c:pt>
                <c:pt idx="6">
                  <c:v>17.500987993157633</c:v>
                </c:pt>
                <c:pt idx="7">
                  <c:v>17.690245680599698</c:v>
                </c:pt>
                <c:pt idx="8">
                  <c:v>17.882158249441876</c:v>
                </c:pt>
                <c:pt idx="9">
                  <c:v>18.080078292417895</c:v>
                </c:pt>
                <c:pt idx="10">
                  <c:v>18.284183650181085</c:v>
                </c:pt>
                <c:pt idx="11">
                  <c:v>18.4945709856657</c:v>
                </c:pt>
                <c:pt idx="12">
                  <c:v>18.71133691554413</c:v>
                </c:pt>
                <c:pt idx="13">
                  <c:v>18.934578019321222</c:v>
                </c:pt>
                <c:pt idx="14">
                  <c:v>19.164390835670368</c:v>
                </c:pt>
                <c:pt idx="15">
                  <c:v>19.401026750522643</c:v>
                </c:pt>
                <c:pt idx="16">
                  <c:v>19.644622609599384</c:v>
                </c:pt>
                <c:pt idx="17">
                  <c:v>19.895274866105503</c:v>
                </c:pt>
                <c:pt idx="18">
                  <c:v>20.153079944000087</c:v>
                </c:pt>
                <c:pt idx="19">
                  <c:v>20.41813371978353</c:v>
                </c:pt>
                <c:pt idx="20">
                  <c:v>20.69053177390041</c:v>
                </c:pt>
                <c:pt idx="21">
                  <c:v>20.970370057351872</c:v>
                </c:pt>
                <c:pt idx="22">
                  <c:v>21.259463840264051</c:v>
                </c:pt>
                <c:pt idx="23">
                  <c:v>21.559447737061543</c:v>
                </c:pt>
                <c:pt idx="24">
                  <c:v>21.869501561545508</c:v>
                </c:pt>
                <c:pt idx="25">
                  <c:v>22.188717670628701</c:v>
                </c:pt>
                <c:pt idx="26">
                  <c:v>22.516188662743644</c:v>
                </c:pt>
                <c:pt idx="27">
                  <c:v>22.851007402101128</c:v>
                </c:pt>
                <c:pt idx="28">
                  <c:v>23.192267023435633</c:v>
                </c:pt>
                <c:pt idx="29">
                  <c:v>23.539098561409766</c:v>
                </c:pt>
                <c:pt idx="30">
                  <c:v>23.89044087085275</c:v>
                </c:pt>
                <c:pt idx="31">
                  <c:v>24.245387922476695</c:v>
                </c:pt>
                <c:pt idx="32">
                  <c:v>24.603033967180473</c:v>
                </c:pt>
                <c:pt idx="33">
                  <c:v>24.962473540840787</c:v>
                </c:pt>
                <c:pt idx="34">
                  <c:v>25.322801461114903</c:v>
                </c:pt>
                <c:pt idx="35">
                  <c:v>25.683112828573545</c:v>
                </c:pt>
                <c:pt idx="36">
                  <c:v>26.045419922463076</c:v>
                </c:pt>
                <c:pt idx="37">
                  <c:v>26.411783549009712</c:v>
                </c:pt>
                <c:pt idx="38">
                  <c:v>26.781412745448559</c:v>
                </c:pt>
                <c:pt idx="39">
                  <c:v>27.154005473833667</c:v>
                </c:pt>
                <c:pt idx="40">
                  <c:v>27.529259744877482</c:v>
                </c:pt>
                <c:pt idx="41">
                  <c:v>27.906873613091655</c:v>
                </c:pt>
                <c:pt idx="42">
                  <c:v>28.28654517852322</c:v>
                </c:pt>
                <c:pt idx="43">
                  <c:v>28.667823216850813</c:v>
                </c:pt>
                <c:pt idx="44">
                  <c:v>29.050368081096121</c:v>
                </c:pt>
                <c:pt idx="45">
                  <c:v>29.433877831424812</c:v>
                </c:pt>
                <c:pt idx="46">
                  <c:v>29.818050550667923</c:v>
                </c:pt>
                <c:pt idx="47">
                  <c:v>30.202584342156989</c:v>
                </c:pt>
                <c:pt idx="48">
                  <c:v>30.587177328316667</c:v>
                </c:pt>
                <c:pt idx="49">
                  <c:v>30.9715276516953</c:v>
                </c:pt>
                <c:pt idx="50">
                  <c:v>31.355651730940188</c:v>
                </c:pt>
                <c:pt idx="51">
                  <c:v>31.739907136724835</c:v>
                </c:pt>
                <c:pt idx="52">
                  <c:v>32.124849218019719</c:v>
                </c:pt>
                <c:pt idx="53">
                  <c:v>32.510678793844036</c:v>
                </c:pt>
                <c:pt idx="54">
                  <c:v>32.89759657642518</c:v>
                </c:pt>
                <c:pt idx="55">
                  <c:v>33.285803206092773</c:v>
                </c:pt>
                <c:pt idx="56">
                  <c:v>33.675499247649796</c:v>
                </c:pt>
                <c:pt idx="57">
                  <c:v>34.066894645574799</c:v>
                </c:pt>
                <c:pt idx="58">
                  <c:v>34.460339968673239</c:v>
                </c:pt>
                <c:pt idx="59">
                  <c:v>34.85603575153668</c:v>
                </c:pt>
                <c:pt idx="60">
                  <c:v>35.254182452792321</c:v>
                </c:pt>
                <c:pt idx="61">
                  <c:v>35.654980454567621</c:v>
                </c:pt>
                <c:pt idx="62">
                  <c:v>36.058630064617837</c:v>
                </c:pt>
                <c:pt idx="63">
                  <c:v>36.465331507761853</c:v>
                </c:pt>
                <c:pt idx="64">
                  <c:v>36.875870751105268</c:v>
                </c:pt>
                <c:pt idx="65">
                  <c:v>37.29055491333078</c:v>
                </c:pt>
                <c:pt idx="66">
                  <c:v>37.708874685814557</c:v>
                </c:pt>
                <c:pt idx="67">
                  <c:v>38.130327076173671</c:v>
                </c:pt>
                <c:pt idx="68">
                  <c:v>38.554409162232304</c:v>
                </c:pt>
                <c:pt idx="69">
                  <c:v>38.980618093643145</c:v>
                </c:pt>
                <c:pt idx="70">
                  <c:v>39.408451088877442</c:v>
                </c:pt>
                <c:pt idx="71">
                  <c:v>39.837388478930535</c:v>
                </c:pt>
                <c:pt idx="72">
                  <c:v>40.266918044608566</c:v>
                </c:pt>
                <c:pt idx="73">
                  <c:v>40.69653714574536</c:v>
                </c:pt>
                <c:pt idx="74">
                  <c:v>41.12574320398214</c:v>
                </c:pt>
                <c:pt idx="75">
                  <c:v>41.554033703649949</c:v>
                </c:pt>
                <c:pt idx="76">
                  <c:v>41.98090619190986</c:v>
                </c:pt>
                <c:pt idx="77">
                  <c:v>42.405858278670415</c:v>
                </c:pt>
                <c:pt idx="78">
                  <c:v>42.832468464144213</c:v>
                </c:pt>
                <c:pt idx="79">
                  <c:v>43.263777645834992</c:v>
                </c:pt>
                <c:pt idx="80">
                  <c:v>43.698489774446102</c:v>
                </c:pt>
                <c:pt idx="81">
                  <c:v>44.135298941774259</c:v>
                </c:pt>
                <c:pt idx="82">
                  <c:v>44.572899486675347</c:v>
                </c:pt>
                <c:pt idx="83">
                  <c:v>45.009985996123817</c:v>
                </c:pt>
                <c:pt idx="84">
                  <c:v>45.445253311638005</c:v>
                </c:pt>
                <c:pt idx="85">
                  <c:v>45.877409399534869</c:v>
                </c:pt>
                <c:pt idx="86">
                  <c:v>46.305167007617484</c:v>
                </c:pt>
                <c:pt idx="87">
                  <c:v>46.727221968272708</c:v>
                </c:pt>
                <c:pt idx="88">
                  <c:v>47.14227041183446</c:v>
                </c:pt>
                <c:pt idx="89">
                  <c:v>47.54900877411864</c:v>
                </c:pt>
                <c:pt idx="90">
                  <c:v>47.946133804374497</c:v>
                </c:pt>
                <c:pt idx="91">
                  <c:v>48.332342574988949</c:v>
                </c:pt>
                <c:pt idx="92">
                  <c:v>48.710242895700084</c:v>
                </c:pt>
                <c:pt idx="93">
                  <c:v>49.083115173304712</c:v>
                </c:pt>
                <c:pt idx="94">
                  <c:v>49.45066018334883</c:v>
                </c:pt>
                <c:pt idx="95">
                  <c:v>49.812576202997114</c:v>
                </c:pt>
                <c:pt idx="96">
                  <c:v>50.168562048696586</c:v>
                </c:pt>
                <c:pt idx="97">
                  <c:v>50.518318444771047</c:v>
                </c:pt>
                <c:pt idx="98">
                  <c:v>50.861545053421104</c:v>
                </c:pt>
                <c:pt idx="99">
                  <c:v>51.197935912395415</c:v>
                </c:pt>
                <c:pt idx="100">
                  <c:v>51.527177386111852</c:v>
                </c:pt>
                <c:pt idx="101">
                  <c:v>51.848969276645434</c:v>
                </c:pt>
                <c:pt idx="102">
                  <c:v>52.163011510023075</c:v>
                </c:pt>
                <c:pt idx="103">
                  <c:v>52.469004142334882</c:v>
                </c:pt>
                <c:pt idx="104">
                  <c:v>52.766647352301582</c:v>
                </c:pt>
                <c:pt idx="105">
                  <c:v>53.055641465409217</c:v>
                </c:pt>
                <c:pt idx="106">
                  <c:v>53.336004174741646</c:v>
                </c:pt>
                <c:pt idx="107">
                  <c:v>53.608086269793908</c:v>
                </c:pt>
                <c:pt idx="108">
                  <c:v>53.872083397227627</c:v>
                </c:pt>
                <c:pt idx="109">
                  <c:v>54.128196619286733</c:v>
                </c:pt>
                <c:pt idx="110">
                  <c:v>54.376626995902001</c:v>
                </c:pt>
                <c:pt idx="111">
                  <c:v>54.617575588380319</c:v>
                </c:pt>
                <c:pt idx="112">
                  <c:v>54.851243452517849</c:v>
                </c:pt>
                <c:pt idx="113">
                  <c:v>55.077832295572016</c:v>
                </c:pt>
                <c:pt idx="114">
                  <c:v>55.297549431459423</c:v>
                </c:pt>
                <c:pt idx="115">
                  <c:v>55.510596074043129</c:v>
                </c:pt>
                <c:pt idx="116">
                  <c:v>55.717173457768752</c:v>
                </c:pt>
                <c:pt idx="117">
                  <c:v>55.917482824388095</c:v>
                </c:pt>
                <c:pt idx="118">
                  <c:v>56.111725446345787</c:v>
                </c:pt>
                <c:pt idx="119">
                  <c:v>58.606704624715903</c:v>
                </c:pt>
                <c:pt idx="120">
                  <c:v>58.794694846470634</c:v>
                </c:pt>
                <c:pt idx="121">
                  <c:v>58.974315259932162</c:v>
                </c:pt>
                <c:pt idx="122">
                  <c:v>59.145985905192376</c:v>
                </c:pt>
                <c:pt idx="123">
                  <c:v>59.310125303180087</c:v>
                </c:pt>
                <c:pt idx="124">
                  <c:v>59.467151827725765</c:v>
                </c:pt>
                <c:pt idx="125">
                  <c:v>59.617483711866178</c:v>
                </c:pt>
                <c:pt idx="126">
                  <c:v>59.761539044953068</c:v>
                </c:pt>
                <c:pt idx="127">
                  <c:v>59.899734243808851</c:v>
                </c:pt>
                <c:pt idx="128">
                  <c:v>60.032486299709923</c:v>
                </c:pt>
                <c:pt idx="129">
                  <c:v>60.160212809389492</c:v>
                </c:pt>
                <c:pt idx="130">
                  <c:v>60.28333122187405</c:v>
                </c:pt>
                <c:pt idx="131">
                  <c:v>60.402258849324831</c:v>
                </c:pt>
                <c:pt idx="132">
                  <c:v>60.517412858901722</c:v>
                </c:pt>
                <c:pt idx="133">
                  <c:v>60.629210279732497</c:v>
                </c:pt>
                <c:pt idx="134">
                  <c:v>60.736576614263697</c:v>
                </c:pt>
                <c:pt idx="135">
                  <c:v>60.838299215126511</c:v>
                </c:pt>
                <c:pt idx="136">
                  <c:v>60.934589749629829</c:v>
                </c:pt>
                <c:pt idx="137">
                  <c:v>61.025657617387246</c:v>
                </c:pt>
                <c:pt idx="138">
                  <c:v>61.111712161392013</c:v>
                </c:pt>
                <c:pt idx="139">
                  <c:v>61.192962659094214</c:v>
                </c:pt>
                <c:pt idx="140">
                  <c:v>61.269618333636693</c:v>
                </c:pt>
                <c:pt idx="141">
                  <c:v>61.3418886419785</c:v>
                </c:pt>
                <c:pt idx="142">
                  <c:v>61.409984522169005</c:v>
                </c:pt>
                <c:pt idx="143">
                  <c:v>61.474115102416576</c:v>
                </c:pt>
                <c:pt idx="144">
                  <c:v>61.534489453599086</c:v>
                </c:pt>
                <c:pt idx="145">
                  <c:v>61.591316591197995</c:v>
                </c:pt>
                <c:pt idx="146">
                  <c:v>61.644805471682318</c:v>
                </c:pt>
                <c:pt idx="147">
                  <c:v>61.6951650007423</c:v>
                </c:pt>
                <c:pt idx="148">
                  <c:v>61.741634090291519</c:v>
                </c:pt>
                <c:pt idx="149">
                  <c:v>61.783451411393784</c:v>
                </c:pt>
                <c:pt idx="150">
                  <c:v>61.8208259297773</c:v>
                </c:pt>
                <c:pt idx="151">
                  <c:v>61.853966794773356</c:v>
                </c:pt>
                <c:pt idx="152">
                  <c:v>61.883083096372928</c:v>
                </c:pt>
                <c:pt idx="153">
                  <c:v>61.908383865718399</c:v>
                </c:pt>
                <c:pt idx="154">
                  <c:v>61.930078072502191</c:v>
                </c:pt>
                <c:pt idx="155">
                  <c:v>61.948374280428133</c:v>
                </c:pt>
                <c:pt idx="156">
                  <c:v>61.96348097911298</c:v>
                </c:pt>
                <c:pt idx="157">
                  <c:v>61.97560692470968</c:v>
                </c:pt>
                <c:pt idx="158">
                  <c:v>61.984960809753623</c:v>
                </c:pt>
                <c:pt idx="159">
                  <c:v>61.991751257831282</c:v>
                </c:pt>
                <c:pt idx="160">
                  <c:v>61.996186825928625</c:v>
                </c:pt>
                <c:pt idx="161">
                  <c:v>61.998476001540048</c:v>
                </c:pt>
                <c:pt idx="162">
                  <c:v>61.999432660477694</c:v>
                </c:pt>
                <c:pt idx="163">
                  <c:v>61.999385888645605</c:v>
                </c:pt>
                <c:pt idx="164">
                  <c:v>61.9978179743566</c:v>
                </c:pt>
                <c:pt idx="165">
                  <c:v>61.994210775665813</c:v>
                </c:pt>
                <c:pt idx="166">
                  <c:v>61.988046335270276</c:v>
                </c:pt>
                <c:pt idx="167">
                  <c:v>61.978806873527198</c:v>
                </c:pt>
                <c:pt idx="168">
                  <c:v>61.965974789965664</c:v>
                </c:pt>
                <c:pt idx="169">
                  <c:v>61.949032474779571</c:v>
                </c:pt>
                <c:pt idx="170">
                  <c:v>61.927463065047107</c:v>
                </c:pt>
                <c:pt idx="171">
                  <c:v>61.900749491370718</c:v>
                </c:pt>
                <c:pt idx="172">
                  <c:v>61.868374857086145</c:v>
                </c:pt>
                <c:pt idx="173">
                  <c:v>61.829822433311136</c:v>
                </c:pt>
                <c:pt idx="174">
                  <c:v>61.784575662545144</c:v>
                </c:pt>
                <c:pt idx="175">
                  <c:v>61.732118153987656</c:v>
                </c:pt>
                <c:pt idx="176">
                  <c:v>61.672555665365806</c:v>
                </c:pt>
                <c:pt idx="177">
                  <c:v>61.606546320892527</c:v>
                </c:pt>
                <c:pt idx="178">
                  <c:v>61.534403111388087</c:v>
                </c:pt>
                <c:pt idx="179">
                  <c:v>61.456438703598202</c:v>
                </c:pt>
                <c:pt idx="180">
                  <c:v>61.372965638535867</c:v>
                </c:pt>
                <c:pt idx="181">
                  <c:v>61.284296323898609</c:v>
                </c:pt>
                <c:pt idx="182">
                  <c:v>61.190743046576088</c:v>
                </c:pt>
                <c:pt idx="183">
                  <c:v>61.092617205196767</c:v>
                </c:pt>
                <c:pt idx="184">
                  <c:v>60.99023102407687</c:v>
                </c:pt>
                <c:pt idx="185">
                  <c:v>60.883896393935231</c:v>
                </c:pt>
                <c:pt idx="186">
                  <c:v>60.77392508269844</c:v>
                </c:pt>
                <c:pt idx="187">
                  <c:v>60.660628731742712</c:v>
                </c:pt>
                <c:pt idx="188">
                  <c:v>60.544318862889718</c:v>
                </c:pt>
                <c:pt idx="189">
                  <c:v>60.425306869652339</c:v>
                </c:pt>
                <c:pt idx="190">
                  <c:v>60.303576161214828</c:v>
                </c:pt>
                <c:pt idx="191">
                  <c:v>60.178765480285456</c:v>
                </c:pt>
                <c:pt idx="192">
                  <c:v>60.050668974013433</c:v>
                </c:pt>
                <c:pt idx="193">
                  <c:v>59.919080405346264</c:v>
                </c:pt>
                <c:pt idx="194">
                  <c:v>59.783793602119303</c:v>
                </c:pt>
                <c:pt idx="195">
                  <c:v>59.644602449572247</c:v>
                </c:pt>
                <c:pt idx="196">
                  <c:v>59.501300898788145</c:v>
                </c:pt>
                <c:pt idx="197">
                  <c:v>59.353683470929838</c:v>
                </c:pt>
                <c:pt idx="198">
                  <c:v>59.201545068414987</c:v>
                </c:pt>
                <c:pt idx="199">
                  <c:v>59.044679849893562</c:v>
                </c:pt>
                <c:pt idx="200">
                  <c:v>58.882882035257687</c:v>
                </c:pt>
                <c:pt idx="201">
                  <c:v>58.715945913759988</c:v>
                </c:pt>
                <c:pt idx="202">
                  <c:v>58.5436658424765</c:v>
                </c:pt>
                <c:pt idx="203">
                  <c:v>58.365836238989665</c:v>
                </c:pt>
                <c:pt idx="204">
                  <c:v>58.181648349588713</c:v>
                </c:pt>
                <c:pt idx="205">
                  <c:v>57.99077337742127</c:v>
                </c:pt>
                <c:pt idx="206">
                  <c:v>57.793729427647953</c:v>
                </c:pt>
                <c:pt idx="207">
                  <c:v>57.591034890884508</c:v>
                </c:pt>
                <c:pt idx="208">
                  <c:v>57.383207986142999</c:v>
                </c:pt>
                <c:pt idx="209">
                  <c:v>57.170766757023763</c:v>
                </c:pt>
                <c:pt idx="210">
                  <c:v>56.954229077739903</c:v>
                </c:pt>
                <c:pt idx="211">
                  <c:v>56.734108984048845</c:v>
                </c:pt>
                <c:pt idx="212">
                  <c:v>56.510923449288576</c:v>
                </c:pt>
                <c:pt idx="213">
                  <c:v>56.285189821708592</c:v>
                </c:pt>
                <c:pt idx="214">
                  <c:v>56.057425284879955</c:v>
                </c:pt>
                <c:pt idx="215">
                  <c:v>55.828146853639076</c:v>
                </c:pt>
                <c:pt idx="216">
                  <c:v>55.597871377723521</c:v>
                </c:pt>
                <c:pt idx="217">
                  <c:v>55.367115542884484</c:v>
                </c:pt>
                <c:pt idx="218">
                  <c:v>55.134433339078534</c:v>
                </c:pt>
                <c:pt idx="219">
                  <c:v>54.898242932516226</c:v>
                </c:pt>
                <c:pt idx="220">
                  <c:v>54.658857927013237</c:v>
                </c:pt>
                <c:pt idx="221">
                  <c:v>54.416588898710927</c:v>
                </c:pt>
                <c:pt idx="222">
                  <c:v>54.171746327284239</c:v>
                </c:pt>
                <c:pt idx="223">
                  <c:v>53.924640592655393</c:v>
                </c:pt>
                <c:pt idx="224">
                  <c:v>53.675581975878153</c:v>
                </c:pt>
                <c:pt idx="225">
                  <c:v>53.424870600389816</c:v>
                </c:pt>
                <c:pt idx="226">
                  <c:v>53.172820197047692</c:v>
                </c:pt>
                <c:pt idx="227">
                  <c:v>52.919740696851136</c:v>
                </c:pt>
                <c:pt idx="228">
                  <c:v>52.665941938822733</c:v>
                </c:pt>
                <c:pt idx="229">
                  <c:v>52.411733666061266</c:v>
                </c:pt>
                <c:pt idx="230">
                  <c:v>52.157425527822014</c:v>
                </c:pt>
                <c:pt idx="231">
                  <c:v>51.903327080237091</c:v>
                </c:pt>
                <c:pt idx="232">
                  <c:v>51.650091684414882</c:v>
                </c:pt>
                <c:pt idx="233">
                  <c:v>51.397810179401752</c:v>
                </c:pt>
                <c:pt idx="234">
                  <c:v>51.14596517785332</c:v>
                </c:pt>
                <c:pt idx="235">
                  <c:v>50.894040875816167</c:v>
                </c:pt>
                <c:pt idx="236">
                  <c:v>50.641521648427087</c:v>
                </c:pt>
                <c:pt idx="237">
                  <c:v>50.387892053372425</c:v>
                </c:pt>
                <c:pt idx="238">
                  <c:v>50.132636828891115</c:v>
                </c:pt>
                <c:pt idx="239">
                  <c:v>49.875269197631773</c:v>
                </c:pt>
                <c:pt idx="240">
                  <c:v>49.615284556451222</c:v>
                </c:pt>
                <c:pt idx="241">
                  <c:v>49.35216822148714</c:v>
                </c:pt>
                <c:pt idx="242">
                  <c:v>49.085405668991257</c:v>
                </c:pt>
                <c:pt idx="243">
                  <c:v>48.814482536148923</c:v>
                </c:pt>
                <c:pt idx="244">
                  <c:v>48.538884618032924</c:v>
                </c:pt>
                <c:pt idx="245">
                  <c:v>48.258097871493682</c:v>
                </c:pt>
                <c:pt idx="246">
                  <c:v>47.973566394127545</c:v>
                </c:pt>
                <c:pt idx="247">
                  <c:v>47.686900402317804</c:v>
                </c:pt>
                <c:pt idx="248">
                  <c:v>47.397803394367109</c:v>
                </c:pt>
                <c:pt idx="249">
                  <c:v>47.105966875792674</c:v>
                </c:pt>
                <c:pt idx="250">
                  <c:v>46.811082432801769</c:v>
                </c:pt>
                <c:pt idx="251">
                  <c:v>46.512841727681703</c:v>
                </c:pt>
                <c:pt idx="252">
                  <c:v>46.210936503932594</c:v>
                </c:pt>
                <c:pt idx="253">
                  <c:v>45.90504676378464</c:v>
                </c:pt>
                <c:pt idx="254">
                  <c:v>45.594836173593031</c:v>
                </c:pt>
                <c:pt idx="255">
                  <c:v>45.27999678977789</c:v>
                </c:pt>
                <c:pt idx="256">
                  <c:v>44.9602207600919</c:v>
                </c:pt>
                <c:pt idx="257">
                  <c:v>44.635200319848821</c:v>
                </c:pt>
                <c:pt idx="258">
                  <c:v>44.304627793133079</c:v>
                </c:pt>
                <c:pt idx="259">
                  <c:v>43.968195590560406</c:v>
                </c:pt>
                <c:pt idx="260">
                  <c:v>43.624584000774988</c:v>
                </c:pt>
                <c:pt idx="261">
                  <c:v>43.273186291814476</c:v>
                </c:pt>
                <c:pt idx="262">
                  <c:v>42.914799050631267</c:v>
                </c:pt>
                <c:pt idx="263">
                  <c:v>42.550247455445067</c:v>
                </c:pt>
                <c:pt idx="264">
                  <c:v>42.180356434215533</c:v>
                </c:pt>
                <c:pt idx="265">
                  <c:v>41.80595066724463</c:v>
                </c:pt>
                <c:pt idx="266">
                  <c:v>41.427854599352159</c:v>
                </c:pt>
                <c:pt idx="267">
                  <c:v>41.04686602399989</c:v>
                </c:pt>
                <c:pt idx="268">
                  <c:v>40.663820676862869</c:v>
                </c:pt>
                <c:pt idx="269">
                  <c:v>40.279542417567079</c:v>
                </c:pt>
                <c:pt idx="270">
                  <c:v>39.894854881432124</c:v>
                </c:pt>
                <c:pt idx="271">
                  <c:v>39.510581482828037</c:v>
                </c:pt>
                <c:pt idx="272">
                  <c:v>39.127545417573998</c:v>
                </c:pt>
                <c:pt idx="273">
                  <c:v>38.746569665756248</c:v>
                </c:pt>
                <c:pt idx="274">
                  <c:v>38.365529378801902</c:v>
                </c:pt>
                <c:pt idx="275">
                  <c:v>37.982051605011414</c:v>
                </c:pt>
                <c:pt idx="276">
                  <c:v>37.596589368706326</c:v>
                </c:pt>
                <c:pt idx="277">
                  <c:v>37.209554424700322</c:v>
                </c:pt>
                <c:pt idx="278">
                  <c:v>36.82135838617657</c:v>
                </c:pt>
                <c:pt idx="279">
                  <c:v>36.432412722663493</c:v>
                </c:pt>
                <c:pt idx="280">
                  <c:v>36.043128759071209</c:v>
                </c:pt>
                <c:pt idx="281">
                  <c:v>35.653933532153495</c:v>
                </c:pt>
                <c:pt idx="282">
                  <c:v>35.265263112144851</c:v>
                </c:pt>
                <c:pt idx="283">
                  <c:v>34.877527863655445</c:v>
                </c:pt>
                <c:pt idx="284">
                  <c:v>34.491137971297775</c:v>
                </c:pt>
                <c:pt idx="285">
                  <c:v>34.106503439939473</c:v>
                </c:pt>
                <c:pt idx="286">
                  <c:v>33.724034094462354</c:v>
                </c:pt>
                <c:pt idx="287">
                  <c:v>33.344139582198594</c:v>
                </c:pt>
                <c:pt idx="288">
                  <c:v>32.96553454078466</c:v>
                </c:pt>
                <c:pt idx="289">
                  <c:v>32.586472117326942</c:v>
                </c:pt>
                <c:pt idx="290">
                  <c:v>32.207241890384459</c:v>
                </c:pt>
                <c:pt idx="291">
                  <c:v>31.828157807821473</c:v>
                </c:pt>
                <c:pt idx="292">
                  <c:v>31.449533973344565</c:v>
                </c:pt>
                <c:pt idx="293">
                  <c:v>31.071684625775578</c:v>
                </c:pt>
                <c:pt idx="294">
                  <c:v>30.694924120564629</c:v>
                </c:pt>
                <c:pt idx="295">
                  <c:v>30.318879345808803</c:v>
                </c:pt>
                <c:pt idx="296">
                  <c:v>29.943862669643433</c:v>
                </c:pt>
                <c:pt idx="297">
                  <c:v>29.570201732401213</c:v>
                </c:pt>
                <c:pt idx="298">
                  <c:v>29.198224564813337</c:v>
                </c:pt>
                <c:pt idx="299">
                  <c:v>28.828259369314999</c:v>
                </c:pt>
                <c:pt idx="300">
                  <c:v>28.460634425799888</c:v>
                </c:pt>
                <c:pt idx="301">
                  <c:v>28.095677997172704</c:v>
                </c:pt>
                <c:pt idx="302">
                  <c:v>27.731836943169764</c:v>
                </c:pt>
                <c:pt idx="303">
                  <c:v>27.367898806283382</c:v>
                </c:pt>
                <c:pt idx="304">
                  <c:v>27.004751114484698</c:v>
                </c:pt>
                <c:pt idx="305">
                  <c:v>26.642915192271051</c:v>
                </c:pt>
                <c:pt idx="306">
                  <c:v>26.282911773231795</c:v>
                </c:pt>
                <c:pt idx="307">
                  <c:v>25.92526095709793</c:v>
                </c:pt>
                <c:pt idx="308">
                  <c:v>25.570482161017829</c:v>
                </c:pt>
                <c:pt idx="309">
                  <c:v>25.21993012606228</c:v>
                </c:pt>
                <c:pt idx="310">
                  <c:v>24.874725354348236</c:v>
                </c:pt>
                <c:pt idx="311">
                  <c:v>24.535353910426451</c:v>
                </c:pt>
                <c:pt idx="312">
                  <c:v>24.20230162068437</c:v>
                </c:pt>
                <c:pt idx="313">
                  <c:v>23.876054202555178</c:v>
                </c:pt>
                <c:pt idx="314">
                  <c:v>23.557097385962368</c:v>
                </c:pt>
                <c:pt idx="315">
                  <c:v>23.245917040626399</c:v>
                </c:pt>
                <c:pt idx="316">
                  <c:v>22.941717815284296</c:v>
                </c:pt>
                <c:pt idx="317">
                  <c:v>22.643576553768249</c:v>
                </c:pt>
                <c:pt idx="318">
                  <c:v>22.351280791717148</c:v>
                </c:pt>
                <c:pt idx="319">
                  <c:v>22.064805798281579</c:v>
                </c:pt>
                <c:pt idx="320">
                  <c:v>21.784127713863665</c:v>
                </c:pt>
                <c:pt idx="321">
                  <c:v>21.509223634005497</c:v>
                </c:pt>
                <c:pt idx="322">
                  <c:v>21.240071695799308</c:v>
                </c:pt>
                <c:pt idx="323">
                  <c:v>20.976530628994343</c:v>
                </c:pt>
                <c:pt idx="324">
                  <c:v>20.717828952937051</c:v>
                </c:pt>
                <c:pt idx="325">
                  <c:v>20.463964161737419</c:v>
                </c:pt>
                <c:pt idx="326">
                  <c:v>20.214935024626744</c:v>
                </c:pt>
                <c:pt idx="327">
                  <c:v>19.970739889371021</c:v>
                </c:pt>
                <c:pt idx="328">
                  <c:v>19.731376595282395</c:v>
                </c:pt>
                <c:pt idx="329">
                  <c:v>19.496843294982863</c:v>
                </c:pt>
                <c:pt idx="330">
                  <c:v>19.264919347696587</c:v>
                </c:pt>
                <c:pt idx="331">
                  <c:v>19.0340005956586</c:v>
                </c:pt>
                <c:pt idx="332">
                  <c:v>18.804917181388642</c:v>
                </c:pt>
                <c:pt idx="333">
                  <c:v>18.578696660846294</c:v>
                </c:pt>
                <c:pt idx="334">
                  <c:v>18.356366235808689</c:v>
                </c:pt>
                <c:pt idx="335">
                  <c:v>18.138952739768296</c:v>
                </c:pt>
                <c:pt idx="336">
                  <c:v>17.927482612250763</c:v>
                </c:pt>
                <c:pt idx="337">
                  <c:v>17.722865360326296</c:v>
                </c:pt>
                <c:pt idx="338">
                  <c:v>17.526239610192338</c:v>
                </c:pt>
                <c:pt idx="339">
                  <c:v>17.338630542401045</c:v>
                </c:pt>
                <c:pt idx="340">
                  <c:v>17.161062894764559</c:v>
                </c:pt>
                <c:pt idx="341">
                  <c:v>16.994560967195525</c:v>
                </c:pt>
                <c:pt idx="342">
                  <c:v>16.840148615069928</c:v>
                </c:pt>
                <c:pt idx="343">
                  <c:v>16.698849234860244</c:v>
                </c:pt>
                <c:pt idx="344">
                  <c:v>16.566826269619053</c:v>
                </c:pt>
                <c:pt idx="345">
                  <c:v>16.440270112164207</c:v>
                </c:pt>
                <c:pt idx="346">
                  <c:v>16.320364322652139</c:v>
                </c:pt>
                <c:pt idx="347">
                  <c:v>16.208170826689916</c:v>
                </c:pt>
                <c:pt idx="348">
                  <c:v>16.104751220668238</c:v>
                </c:pt>
                <c:pt idx="349">
                  <c:v>16.011166750553372</c:v>
                </c:pt>
                <c:pt idx="350">
                  <c:v>15.928478322595009</c:v>
                </c:pt>
                <c:pt idx="351">
                  <c:v>15.857802717041281</c:v>
                </c:pt>
                <c:pt idx="352">
                  <c:v>15.800312068530507</c:v>
                </c:pt>
                <c:pt idx="353">
                  <c:v>15.757065583119505</c:v>
                </c:pt>
                <c:pt idx="354">
                  <c:v>15.729122226893544</c:v>
                </c:pt>
                <c:pt idx="355">
                  <c:v>15.717540707305565</c:v>
                </c:pt>
                <c:pt idx="356">
                  <c:v>15.723380101969113</c:v>
                </c:pt>
                <c:pt idx="357">
                  <c:v>15.747698106042471</c:v>
                </c:pt>
                <c:pt idx="358">
                  <c:v>15.792539694307587</c:v>
                </c:pt>
                <c:pt idx="359">
                  <c:v>15.858202091167497</c:v>
                </c:pt>
                <c:pt idx="360">
                  <c:v>15.943011105809942</c:v>
                </c:pt>
                <c:pt idx="361">
                  <c:v>16.045348805198763</c:v>
                </c:pt>
                <c:pt idx="362">
                  <c:v>16.163653429568619</c:v>
                </c:pt>
                <c:pt idx="363">
                  <c:v>16.29636357162908</c:v>
                </c:pt>
                <c:pt idx="364">
                  <c:v>16.441918174850468</c:v>
                </c:pt>
                <c:pt idx="365">
                  <c:v>16.433777240404908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5.6559448957370364</c:v>
                </c:pt>
                <c:pt idx="7">
                  <c:v>7.388020330034176</c:v>
                </c:pt>
                <c:pt idx="8">
                  <c:v>2.2192421357789032</c:v>
                </c:pt>
                <c:pt idx="9">
                  <c:v>1.8351310605641113</c:v>
                </c:pt>
                <c:pt idx="10">
                  <c:v>18.415200688863127</c:v>
                </c:pt>
                <c:pt idx="11">
                  <c:v>16.530498530949579</c:v>
                </c:pt>
                <c:pt idx="12">
                  <c:v>5.6161580811969785</c:v>
                </c:pt>
                <c:pt idx="13">
                  <c:v>18.999743509989344</c:v>
                </c:pt>
                <c:pt idx="14">
                  <c:v>19.548817611524242</c:v>
                </c:pt>
                <c:pt idx="15">
                  <c:v>19.280784697914658</c:v>
                </c:pt>
                <c:pt idx="16">
                  <c:v>12.937812016540507</c:v>
                </c:pt>
                <c:pt idx="17">
                  <c:v>4.1044512817563463</c:v>
                </c:pt>
                <c:pt idx="18">
                  <c:v>10.377886435036521</c:v>
                </c:pt>
                <c:pt idx="19">
                  <c:v>6.0072412823207699</c:v>
                </c:pt>
                <c:pt idx="20">
                  <c:v>16.91017073078233</c:v>
                </c:pt>
                <c:pt idx="21">
                  <c:v>20.854445824321591</c:v>
                </c:pt>
                <c:pt idx="22">
                  <c:v>20.923491324411888</c:v>
                </c:pt>
                <c:pt idx="23">
                  <c:v>21.442829509193405</c:v>
                </c:pt>
                <c:pt idx="24">
                  <c:v>20.081900465060905</c:v>
                </c:pt>
                <c:pt idx="25">
                  <c:v>21.610861436578194</c:v>
                </c:pt>
                <c:pt idx="26">
                  <c:v>18.091749784175651</c:v>
                </c:pt>
                <c:pt idx="27">
                  <c:v>4.3151464791516529</c:v>
                </c:pt>
                <c:pt idx="28">
                  <c:v>6.4851182099788165</c:v>
                </c:pt>
                <c:pt idx="29">
                  <c:v>4.6740133712342269</c:v>
                </c:pt>
                <c:pt idx="30">
                  <c:v>10.837679958517732</c:v>
                </c:pt>
                <c:pt idx="31">
                  <c:v>13.971969576018738</c:v>
                </c:pt>
                <c:pt idx="32">
                  <c:v>5.6350208370416572</c:v>
                </c:pt>
                <c:pt idx="33">
                  <c:v>13.022319689108185</c:v>
                </c:pt>
                <c:pt idx="34">
                  <c:v>11.884573139062489</c:v>
                </c:pt>
                <c:pt idx="35">
                  <c:v>9.333451544674503</c:v>
                </c:pt>
                <c:pt idx="36">
                  <c:v>20.501359347708533</c:v>
                </c:pt>
                <c:pt idx="37">
                  <c:v>14.049615379588232</c:v>
                </c:pt>
                <c:pt idx="38">
                  <c:v>27.232019774718616</c:v>
                </c:pt>
                <c:pt idx="39">
                  <c:v>27.448999068308947</c:v>
                </c:pt>
                <c:pt idx="40">
                  <c:v>26.49400580540744</c:v>
                </c:pt>
                <c:pt idx="41">
                  <c:v>13.851579948165419</c:v>
                </c:pt>
                <c:pt idx="42">
                  <c:v>22.151662344149688</c:v>
                </c:pt>
                <c:pt idx="43">
                  <c:v>24.407721750707367</c:v>
                </c:pt>
                <c:pt idx="44">
                  <c:v>15.672268021305726</c:v>
                </c:pt>
                <c:pt idx="45">
                  <c:v>20.175484280892853</c:v>
                </c:pt>
                <c:pt idx="46">
                  <c:v>9.5824391898291079</c:v>
                </c:pt>
                <c:pt idx="47">
                  <c:v>11.515818509433137</c:v>
                </c:pt>
                <c:pt idx="48">
                  <c:v>26.986014996596428</c:v>
                </c:pt>
                <c:pt idx="49">
                  <c:v>16.290634183151425</c:v>
                </c:pt>
                <c:pt idx="50">
                  <c:v>20.514079605103657</c:v>
                </c:pt>
                <c:pt idx="51">
                  <c:v>18.08842582059782</c:v>
                </c:pt>
                <c:pt idx="52">
                  <c:v>29.559713294561369</c:v>
                </c:pt>
                <c:pt idx="53">
                  <c:v>31.086220580098498</c:v>
                </c:pt>
                <c:pt idx="54">
                  <c:v>22.135223573427631</c:v>
                </c:pt>
                <c:pt idx="55">
                  <c:v>24.438246578696621</c:v>
                </c:pt>
                <c:pt idx="56">
                  <c:v>34.414357974079451</c:v>
                </c:pt>
                <c:pt idx="57">
                  <c:v>22.012361704179234</c:v>
                </c:pt>
                <c:pt idx="58">
                  <c:v>32.101580004608422</c:v>
                </c:pt>
                <c:pt idx="59">
                  <c:v>33.870913581309935</c:v>
                </c:pt>
                <c:pt idx="60">
                  <c:v>15.651198003420756</c:v>
                </c:pt>
                <c:pt idx="61">
                  <c:v>26.998666047239013</c:v>
                </c:pt>
                <c:pt idx="62">
                  <c:v>5.3175559298142145</c:v>
                </c:pt>
                <c:pt idx="63">
                  <c:v>13.790480875605208</c:v>
                </c:pt>
                <c:pt idx="64">
                  <c:v>21.112088204097713</c:v>
                </c:pt>
                <c:pt idx="65">
                  <c:v>34.219689075508242</c:v>
                </c:pt>
                <c:pt idx="66">
                  <c:v>30.701887550422665</c:v>
                </c:pt>
                <c:pt idx="67">
                  <c:v>27.404602844415511</c:v>
                </c:pt>
                <c:pt idx="68">
                  <c:v>23.154503781688682</c:v>
                </c:pt>
                <c:pt idx="69">
                  <c:v>16.710396460685274</c:v>
                </c:pt>
                <c:pt idx="70">
                  <c:v>13.077468444172609</c:v>
                </c:pt>
                <c:pt idx="71">
                  <c:v>8.3292816699987906</c:v>
                </c:pt>
                <c:pt idx="72">
                  <c:v>12.402921736012933</c:v>
                </c:pt>
                <c:pt idx="73">
                  <c:v>14.698400291797286</c:v>
                </c:pt>
                <c:pt idx="74">
                  <c:v>12.342403543084139</c:v>
                </c:pt>
                <c:pt idx="75">
                  <c:v>11.853819287274394</c:v>
                </c:pt>
                <c:pt idx="76">
                  <c:v>13.991719383736406</c:v>
                </c:pt>
                <c:pt idx="77">
                  <c:v>25.709205336813369</c:v>
                </c:pt>
                <c:pt idx="78">
                  <c:v>30.817486251908491</c:v>
                </c:pt>
                <c:pt idx="79">
                  <c:v>41.450355100498626</c:v>
                </c:pt>
                <c:pt idx="80">
                  <c:v>40.456659856408429</c:v>
                </c:pt>
                <c:pt idx="81">
                  <c:v>43.160510514623482</c:v>
                </c:pt>
                <c:pt idx="82">
                  <c:v>42.877532784913413</c:v>
                </c:pt>
                <c:pt idx="83">
                  <c:v>35.717668261751733</c:v>
                </c:pt>
                <c:pt idx="84">
                  <c:v>39.230687812238074</c:v>
                </c:pt>
                <c:pt idx="85">
                  <c:v>41.054019587932977</c:v>
                </c:pt>
                <c:pt idx="86">
                  <c:v>35.267043646169213</c:v>
                </c:pt>
                <c:pt idx="87">
                  <c:v>26.857295167680753</c:v>
                </c:pt>
                <c:pt idx="88">
                  <c:v>7.4798478341696217</c:v>
                </c:pt>
                <c:pt idx="89">
                  <c:v>26.123397296313239</c:v>
                </c:pt>
                <c:pt idx="90">
                  <c:v>28.733636970009911</c:v>
                </c:pt>
                <c:pt idx="91">
                  <c:v>19.581519794402386</c:v>
                </c:pt>
                <c:pt idx="92">
                  <c:v>26.734763318623369</c:v>
                </c:pt>
                <c:pt idx="93">
                  <c:v>41.519268141170855</c:v>
                </c:pt>
                <c:pt idx="94">
                  <c:v>49.689559254780427</c:v>
                </c:pt>
                <c:pt idx="95">
                  <c:v>12.120761063915099</c:v>
                </c:pt>
                <c:pt idx="96">
                  <c:v>41.084637544339024</c:v>
                </c:pt>
                <c:pt idx="97">
                  <c:v>34.997463353169294</c:v>
                </c:pt>
                <c:pt idx="98">
                  <c:v>32.558835656974104</c:v>
                </c:pt>
                <c:pt idx="99">
                  <c:v>53.344394974100297</c:v>
                </c:pt>
                <c:pt idx="100">
                  <c:v>43.036330353666692</c:v>
                </c:pt>
                <c:pt idx="101">
                  <c:v>35.909010936878126</c:v>
                </c:pt>
                <c:pt idx="102">
                  <c:v>8.3034886395880356</c:v>
                </c:pt>
                <c:pt idx="103">
                  <c:v>38.332282924535342</c:v>
                </c:pt>
                <c:pt idx="104">
                  <c:v>42.004464227134648</c:v>
                </c:pt>
                <c:pt idx="105">
                  <c:v>38.220389241671029</c:v>
                </c:pt>
                <c:pt idx="106">
                  <c:v>52.934442867580763</c:v>
                </c:pt>
                <c:pt idx="107">
                  <c:v>33.770176261662144</c:v>
                </c:pt>
                <c:pt idx="108">
                  <c:v>11.110842341828224</c:v>
                </c:pt>
                <c:pt idx="109">
                  <c:v>11.134225735942602</c:v>
                </c:pt>
                <c:pt idx="110">
                  <c:v>10.686901106212874</c:v>
                </c:pt>
                <c:pt idx="111">
                  <c:v>28.426400341733089</c:v>
                </c:pt>
                <c:pt idx="112">
                  <c:v>9.3326205039521835</c:v>
                </c:pt>
                <c:pt idx="113">
                  <c:v>33.463075610349229</c:v>
                </c:pt>
                <c:pt idx="114">
                  <c:v>44.16214247836492</c:v>
                </c:pt>
                <c:pt idx="115">
                  <c:v>55.140006122587174</c:v>
                </c:pt>
                <c:pt idx="116">
                  <c:v>43.828984170898885</c:v>
                </c:pt>
                <c:pt idx="117">
                  <c:v>23.366448356576281</c:v>
                </c:pt>
                <c:pt idx="118">
                  <c:v>42.349963119436957</c:v>
                </c:pt>
                <c:pt idx="119">
                  <c:v>43.481416773952922</c:v>
                </c:pt>
                <c:pt idx="120">
                  <c:v>49.327965259298821</c:v>
                </c:pt>
                <c:pt idx="121">
                  <c:v>31.705708797195232</c:v>
                </c:pt>
                <c:pt idx="122">
                  <c:v>35.336942028631142</c:v>
                </c:pt>
                <c:pt idx="123">
                  <c:v>19.887612795483232</c:v>
                </c:pt>
                <c:pt idx="124">
                  <c:v>40.030299195129459</c:v>
                </c:pt>
                <c:pt idx="125">
                  <c:v>41.963289274257868</c:v>
                </c:pt>
                <c:pt idx="126">
                  <c:v>48.26502601993564</c:v>
                </c:pt>
                <c:pt idx="127">
                  <c:v>54.743616732893479</c:v>
                </c:pt>
                <c:pt idx="128">
                  <c:v>57.923405363748145</c:v>
                </c:pt>
                <c:pt idx="129">
                  <c:v>56.73736040546153</c:v>
                </c:pt>
                <c:pt idx="130">
                  <c:v>60.524121030439986</c:v>
                </c:pt>
                <c:pt idx="131">
                  <c:v>46.086010248653906</c:v>
                </c:pt>
                <c:pt idx="132">
                  <c:v>48.835698295511868</c:v>
                </c:pt>
                <c:pt idx="133">
                  <c:v>54.672459880159998</c:v>
                </c:pt>
                <c:pt idx="134">
                  <c:v>56.437239802818311</c:v>
                </c:pt>
                <c:pt idx="135">
                  <c:v>55.159404305866367</c:v>
                </c:pt>
                <c:pt idx="136">
                  <c:v>58.907481456313832</c:v>
                </c:pt>
                <c:pt idx="137">
                  <c:v>56.244629807487307</c:v>
                </c:pt>
                <c:pt idx="138">
                  <c:v>55.043162510114186</c:v>
                </c:pt>
                <c:pt idx="139">
                  <c:v>52.312672116449143</c:v>
                </c:pt>
                <c:pt idx="140">
                  <c:v>54.783004969610708</c:v>
                </c:pt>
                <c:pt idx="141">
                  <c:v>42.360332156034183</c:v>
                </c:pt>
                <c:pt idx="142">
                  <c:v>20.155633015775567</c:v>
                </c:pt>
                <c:pt idx="143">
                  <c:v>17.313097580017327</c:v>
                </c:pt>
                <c:pt idx="144">
                  <c:v>42.194876702199352</c:v>
                </c:pt>
                <c:pt idx="145">
                  <c:v>28.153396210287223</c:v>
                </c:pt>
                <c:pt idx="146">
                  <c:v>44.08330950131009</c:v>
                </c:pt>
                <c:pt idx="147">
                  <c:v>57.874301481062396</c:v>
                </c:pt>
                <c:pt idx="148">
                  <c:v>62.937727245902764</c:v>
                </c:pt>
                <c:pt idx="149">
                  <c:v>50.616667038371929</c:v>
                </c:pt>
                <c:pt idx="150">
                  <c:v>59.832168424880265</c:v>
                </c:pt>
                <c:pt idx="151">
                  <c:v>62.381694802210006</c:v>
                </c:pt>
                <c:pt idx="152">
                  <c:v>44.933416675722661</c:v>
                </c:pt>
                <c:pt idx="153">
                  <c:v>59.493589556038415</c:v>
                </c:pt>
                <c:pt idx="154">
                  <c:v>30.237717854936509</c:v>
                </c:pt>
                <c:pt idx="155">
                  <c:v>33.415482731372464</c:v>
                </c:pt>
                <c:pt idx="156">
                  <c:v>53.436245762540011</c:v>
                </c:pt>
                <c:pt idx="157">
                  <c:v>27.903460584333338</c:v>
                </c:pt>
                <c:pt idx="158">
                  <c:v>25.144079706855166</c:v>
                </c:pt>
                <c:pt idx="159">
                  <c:v>51.669138165646984</c:v>
                </c:pt>
                <c:pt idx="160">
                  <c:v>63.570239978391228</c:v>
                </c:pt>
                <c:pt idx="161">
                  <c:v>60.865858236590348</c:v>
                </c:pt>
                <c:pt idx="162">
                  <c:v>49.080485756088983</c:v>
                </c:pt>
                <c:pt idx="163">
                  <c:v>54.870464496487841</c:v>
                </c:pt>
                <c:pt idx="164">
                  <c:v>55.779730943067506</c:v>
                </c:pt>
                <c:pt idx="165">
                  <c:v>59.169897834138382</c:v>
                </c:pt>
                <c:pt idx="166">
                  <c:v>56.069273730498566</c:v>
                </c:pt>
                <c:pt idx="167">
                  <c:v>56.233357747973322</c:v>
                </c:pt>
                <c:pt idx="168">
                  <c:v>59.876665068404058</c:v>
                </c:pt>
                <c:pt idx="169">
                  <c:v>60.355773814495272</c:v>
                </c:pt>
                <c:pt idx="170">
                  <c:v>32.635910124157796</c:v>
                </c:pt>
                <c:pt idx="171">
                  <c:v>21.961415623568573</c:v>
                </c:pt>
                <c:pt idx="172">
                  <c:v>45.558800620779031</c:v>
                </c:pt>
                <c:pt idx="173">
                  <c:v>45.047333480346005</c:v>
                </c:pt>
                <c:pt idx="174">
                  <c:v>48.456658037314511</c:v>
                </c:pt>
                <c:pt idx="175">
                  <c:v>40.365515742621547</c:v>
                </c:pt>
                <c:pt idx="176">
                  <c:v>12.624301804376813</c:v>
                </c:pt>
                <c:pt idx="177">
                  <c:v>18.572491343453294</c:v>
                </c:pt>
                <c:pt idx="178">
                  <c:v>64.270803144515796</c:v>
                </c:pt>
                <c:pt idx="179">
                  <c:v>62.364674315590349</c:v>
                </c:pt>
                <c:pt idx="180">
                  <c:v>15.319273292834733</c:v>
                </c:pt>
                <c:pt idx="181">
                  <c:v>51.970388967849466</c:v>
                </c:pt>
                <c:pt idx="182">
                  <c:v>57.701654169633052</c:v>
                </c:pt>
                <c:pt idx="183">
                  <c:v>53.661818535018909</c:v>
                </c:pt>
                <c:pt idx="184">
                  <c:v>49.95252678989462</c:v>
                </c:pt>
                <c:pt idx="185">
                  <c:v>59.896994950033736</c:v>
                </c:pt>
                <c:pt idx="186">
                  <c:v>44.095704519617598</c:v>
                </c:pt>
                <c:pt idx="187">
                  <c:v>59.440967465953847</c:v>
                </c:pt>
                <c:pt idx="188">
                  <c:v>62.328907285092782</c:v>
                </c:pt>
                <c:pt idx="189">
                  <c:v>61.365960059137976</c:v>
                </c:pt>
                <c:pt idx="190">
                  <c:v>60.719973625365029</c:v>
                </c:pt>
                <c:pt idx="191">
                  <c:v>59.674900628595964</c:v>
                </c:pt>
                <c:pt idx="192">
                  <c:v>58.739030249008088</c:v>
                </c:pt>
                <c:pt idx="193">
                  <c:v>57.574155096707656</c:v>
                </c:pt>
                <c:pt idx="194">
                  <c:v>57.419069297833097</c:v>
                </c:pt>
                <c:pt idx="195">
                  <c:v>54.88498662325091</c:v>
                </c:pt>
                <c:pt idx="196">
                  <c:v>56.013130438711514</c:v>
                </c:pt>
                <c:pt idx="197">
                  <c:v>56.416548947842323</c:v>
                </c:pt>
                <c:pt idx="198">
                  <c:v>58.137935430120805</c:v>
                </c:pt>
                <c:pt idx="199">
                  <c:v>42.703490723381229</c:v>
                </c:pt>
                <c:pt idx="200">
                  <c:v>40.100056575821334</c:v>
                </c:pt>
                <c:pt idx="201">
                  <c:v>55.33239079292386</c:v>
                </c:pt>
                <c:pt idx="202">
                  <c:v>47.522860644887913</c:v>
                </c:pt>
                <c:pt idx="203">
                  <c:v>44.966791572123945</c:v>
                </c:pt>
                <c:pt idx="204">
                  <c:v>54.746353553787365</c:v>
                </c:pt>
                <c:pt idx="205">
                  <c:v>28.880684756699377</c:v>
                </c:pt>
                <c:pt idx="206">
                  <c:v>51.183014026642233</c:v>
                </c:pt>
                <c:pt idx="207">
                  <c:v>57.929396286595171</c:v>
                </c:pt>
                <c:pt idx="208">
                  <c:v>45.514498822189971</c:v>
                </c:pt>
                <c:pt idx="209">
                  <c:v>28.273837011315116</c:v>
                </c:pt>
                <c:pt idx="210">
                  <c:v>46.502027047795806</c:v>
                </c:pt>
                <c:pt idx="211">
                  <c:v>56.945628747613682</c:v>
                </c:pt>
                <c:pt idx="212">
                  <c:v>56.445591149204724</c:v>
                </c:pt>
                <c:pt idx="213">
                  <c:v>56.455672459341478</c:v>
                </c:pt>
                <c:pt idx="214">
                  <c:v>56.054181088072468</c:v>
                </c:pt>
                <c:pt idx="215">
                  <c:v>53.475082562261491</c:v>
                </c:pt>
                <c:pt idx="216">
                  <c:v>42.685153836143108</c:v>
                </c:pt>
                <c:pt idx="217">
                  <c:v>50.931260510757227</c:v>
                </c:pt>
                <c:pt idx="218">
                  <c:v>53.699523844284826</c:v>
                </c:pt>
                <c:pt idx="219">
                  <c:v>55.091076452512041</c:v>
                </c:pt>
                <c:pt idx="220">
                  <c:v>52.523685697858241</c:v>
                </c:pt>
                <c:pt idx="221">
                  <c:v>51.008373160136792</c:v>
                </c:pt>
                <c:pt idx="222">
                  <c:v>48.138702385269099</c:v>
                </c:pt>
                <c:pt idx="223">
                  <c:v>0</c:v>
                </c:pt>
                <c:pt idx="224">
                  <c:v>35.776508587082503</c:v>
                </c:pt>
                <c:pt idx="225">
                  <c:v>35.841809893366808</c:v>
                </c:pt>
                <c:pt idx="226">
                  <c:v>36.249065949900533</c:v>
                </c:pt>
                <c:pt idx="227">
                  <c:v>37.545013652640108</c:v>
                </c:pt>
                <c:pt idx="228">
                  <c:v>26.115158027718504</c:v>
                </c:pt>
                <c:pt idx="229">
                  <c:v>39.84700760967732</c:v>
                </c:pt>
                <c:pt idx="230">
                  <c:v>39.446630917241173</c:v>
                </c:pt>
                <c:pt idx="231">
                  <c:v>51.479854843511504</c:v>
                </c:pt>
                <c:pt idx="232">
                  <c:v>37.148689643105655</c:v>
                </c:pt>
                <c:pt idx="233">
                  <c:v>27.17318970400018</c:v>
                </c:pt>
                <c:pt idx="234">
                  <c:v>45.967410767792998</c:v>
                </c:pt>
                <c:pt idx="235">
                  <c:v>49.925981741284716</c:v>
                </c:pt>
                <c:pt idx="236">
                  <c:v>32.0217661772162</c:v>
                </c:pt>
                <c:pt idx="237">
                  <c:v>36.905684631751406</c:v>
                </c:pt>
                <c:pt idx="238">
                  <c:v>46.525009132187066</c:v>
                </c:pt>
                <c:pt idx="239">
                  <c:v>48.90994036405214</c:v>
                </c:pt>
                <c:pt idx="240">
                  <c:v>34.182377530813341</c:v>
                </c:pt>
                <c:pt idx="241">
                  <c:v>47.970739467326446</c:v>
                </c:pt>
                <c:pt idx="242">
                  <c:v>24.286846407565957</c:v>
                </c:pt>
                <c:pt idx="243">
                  <c:v>41.761369703668407</c:v>
                </c:pt>
                <c:pt idx="244">
                  <c:v>39.474834800172509</c:v>
                </c:pt>
                <c:pt idx="245">
                  <c:v>36.315327567050431</c:v>
                </c:pt>
                <c:pt idx="246">
                  <c:v>47.616958450841281</c:v>
                </c:pt>
                <c:pt idx="247">
                  <c:v>39.845133137904227</c:v>
                </c:pt>
                <c:pt idx="248">
                  <c:v>43.430403323103675</c:v>
                </c:pt>
                <c:pt idx="249">
                  <c:v>35.611553471621413</c:v>
                </c:pt>
                <c:pt idx="250">
                  <c:v>39.607285055825002</c:v>
                </c:pt>
                <c:pt idx="251">
                  <c:v>18.869644904598289</c:v>
                </c:pt>
                <c:pt idx="252">
                  <c:v>43.98891316105388</c:v>
                </c:pt>
                <c:pt idx="253">
                  <c:v>45.507613183881269</c:v>
                </c:pt>
                <c:pt idx="254">
                  <c:v>35.348426525707239</c:v>
                </c:pt>
                <c:pt idx="255">
                  <c:v>13.549252906407924</c:v>
                </c:pt>
                <c:pt idx="256">
                  <c:v>36.407279789748991</c:v>
                </c:pt>
                <c:pt idx="257">
                  <c:v>41.357946107546773</c:v>
                </c:pt>
                <c:pt idx="258">
                  <c:v>27.791313527494388</c:v>
                </c:pt>
                <c:pt idx="259">
                  <c:v>44.624192861491899</c:v>
                </c:pt>
                <c:pt idx="260">
                  <c:v>43.710434442421729</c:v>
                </c:pt>
                <c:pt idx="261">
                  <c:v>44.055845136478048</c:v>
                </c:pt>
                <c:pt idx="262">
                  <c:v>44.404105840858342</c:v>
                </c:pt>
                <c:pt idx="263">
                  <c:v>43.092428427229549</c:v>
                </c:pt>
                <c:pt idx="264">
                  <c:v>41.885982560412316</c:v>
                </c:pt>
                <c:pt idx="265">
                  <c:v>30.693342980554217</c:v>
                </c:pt>
                <c:pt idx="266">
                  <c:v>18.959224732008593</c:v>
                </c:pt>
                <c:pt idx="267">
                  <c:v>30.346918252425997</c:v>
                </c:pt>
                <c:pt idx="268">
                  <c:v>32.729479560856312</c:v>
                </c:pt>
                <c:pt idx="269">
                  <c:v>16.016407027904652</c:v>
                </c:pt>
                <c:pt idx="270">
                  <c:v>18.296707157952714</c:v>
                </c:pt>
                <c:pt idx="271">
                  <c:v>23.680044058758224</c:v>
                </c:pt>
                <c:pt idx="272">
                  <c:v>25.393320748673979</c:v>
                </c:pt>
                <c:pt idx="273">
                  <c:v>34.658385669608379</c:v>
                </c:pt>
                <c:pt idx="274">
                  <c:v>36.04302047177179</c:v>
                </c:pt>
                <c:pt idx="275">
                  <c:v>32.640018027428773</c:v>
                </c:pt>
                <c:pt idx="276">
                  <c:v>38.016523863835694</c:v>
                </c:pt>
                <c:pt idx="277">
                  <c:v>38.264675169433069</c:v>
                </c:pt>
                <c:pt idx="278">
                  <c:v>15.336581320352805</c:v>
                </c:pt>
                <c:pt idx="279">
                  <c:v>29.458020635306305</c:v>
                </c:pt>
                <c:pt idx="280">
                  <c:v>14.897571536368359</c:v>
                </c:pt>
                <c:pt idx="281">
                  <c:v>34.789736383610204</c:v>
                </c:pt>
                <c:pt idx="282">
                  <c:v>30.459703537918504</c:v>
                </c:pt>
                <c:pt idx="283">
                  <c:v>24.4967175956604</c:v>
                </c:pt>
                <c:pt idx="284">
                  <c:v>24.402523354050693</c:v>
                </c:pt>
                <c:pt idx="285">
                  <c:v>22.103850868511024</c:v>
                </c:pt>
                <c:pt idx="286">
                  <c:v>14.856866605791689</c:v>
                </c:pt>
                <c:pt idx="287">
                  <c:v>33.113322511449653</c:v>
                </c:pt>
                <c:pt idx="288">
                  <c:v>29.028209543122724</c:v>
                </c:pt>
                <c:pt idx="289">
                  <c:v>16.359445902686751</c:v>
                </c:pt>
                <c:pt idx="290">
                  <c:v>29.183595028329336</c:v>
                </c:pt>
                <c:pt idx="291">
                  <c:v>16.302104016224092</c:v>
                </c:pt>
                <c:pt idx="292">
                  <c:v>8.5756688498528124</c:v>
                </c:pt>
                <c:pt idx="293">
                  <c:v>16.57997073028892</c:v>
                </c:pt>
                <c:pt idx="294">
                  <c:v>28.420153814932782</c:v>
                </c:pt>
                <c:pt idx="295">
                  <c:v>18.529754700351564</c:v>
                </c:pt>
                <c:pt idx="296">
                  <c:v>24.035470586588772</c:v>
                </c:pt>
                <c:pt idx="297">
                  <c:v>20.198115472915774</c:v>
                </c:pt>
                <c:pt idx="298">
                  <c:v>15.093405511466287</c:v>
                </c:pt>
                <c:pt idx="299">
                  <c:v>14.270894878560552</c:v>
                </c:pt>
                <c:pt idx="300">
                  <c:v>16.414281346385383</c:v>
                </c:pt>
                <c:pt idx="301">
                  <c:v>23.092139105513013</c:v>
                </c:pt>
                <c:pt idx="302">
                  <c:v>20.220554738749001</c:v>
                </c:pt>
                <c:pt idx="303">
                  <c:v>19.395823955182479</c:v>
                </c:pt>
                <c:pt idx="304">
                  <c:v>17.684626107808157</c:v>
                </c:pt>
                <c:pt idx="305">
                  <c:v>24.477822114053716</c:v>
                </c:pt>
                <c:pt idx="306">
                  <c:v>8.8778028956211674</c:v>
                </c:pt>
                <c:pt idx="307">
                  <c:v>12.31797963472615</c:v>
                </c:pt>
                <c:pt idx="308">
                  <c:v>24.816371443419509</c:v>
                </c:pt>
                <c:pt idx="309">
                  <c:v>24.869003760299424</c:v>
                </c:pt>
                <c:pt idx="310">
                  <c:v>24.664687127830973</c:v>
                </c:pt>
                <c:pt idx="311">
                  <c:v>17.841316907185846</c:v>
                </c:pt>
                <c:pt idx="312">
                  <c:v>9.9489156065652828</c:v>
                </c:pt>
                <c:pt idx="313">
                  <c:v>18.08789622969179</c:v>
                </c:pt>
                <c:pt idx="314">
                  <c:v>21.515734825290203</c:v>
                </c:pt>
                <c:pt idx="315">
                  <c:v>21.641766846512411</c:v>
                </c:pt>
                <c:pt idx="316">
                  <c:v>20.605563954685017</c:v>
                </c:pt>
                <c:pt idx="317">
                  <c:v>11.133873036828287</c:v>
                </c:pt>
                <c:pt idx="318">
                  <c:v>12.6412056514932</c:v>
                </c:pt>
                <c:pt idx="319">
                  <c:v>21.11300105395037</c:v>
                </c:pt>
                <c:pt idx="320">
                  <c:v>13.878087151689304</c:v>
                </c:pt>
                <c:pt idx="321">
                  <c:v>11.503210718182459</c:v>
                </c:pt>
                <c:pt idx="322">
                  <c:v>8.2552243075864062</c:v>
                </c:pt>
                <c:pt idx="323">
                  <c:v>14.860318435594861</c:v>
                </c:pt>
                <c:pt idx="324">
                  <c:v>3.3840557504483466</c:v>
                </c:pt>
                <c:pt idx="325">
                  <c:v>9.4954425721167048</c:v>
                </c:pt>
                <c:pt idx="326">
                  <c:v>12.664006461528992</c:v>
                </c:pt>
                <c:pt idx="327">
                  <c:v>11.774327936396679</c:v>
                </c:pt>
                <c:pt idx="328">
                  <c:v>4.7786937250346657</c:v>
                </c:pt>
                <c:pt idx="329">
                  <c:v>9.5566699119517953</c:v>
                </c:pt>
                <c:pt idx="330">
                  <c:v>13.662622925411803</c:v>
                </c:pt>
                <c:pt idx="331">
                  <c:v>9.3298840014611102</c:v>
                </c:pt>
                <c:pt idx="332">
                  <c:v>10.340960098996071</c:v>
                </c:pt>
                <c:pt idx="333">
                  <c:v>4.4301226649812779</c:v>
                </c:pt>
                <c:pt idx="334">
                  <c:v>4.1807905056940893</c:v>
                </c:pt>
                <c:pt idx="335">
                  <c:v>5.334624545167765</c:v>
                </c:pt>
                <c:pt idx="336">
                  <c:v>9.594054275411029</c:v>
                </c:pt>
                <c:pt idx="337">
                  <c:v>12.82901177953244</c:v>
                </c:pt>
                <c:pt idx="338">
                  <c:v>17.778664047562014</c:v>
                </c:pt>
                <c:pt idx="339">
                  <c:v>11.613376124995391</c:v>
                </c:pt>
                <c:pt idx="340">
                  <c:v>14.246603905685213</c:v>
                </c:pt>
                <c:pt idx="341">
                  <c:v>4.5898443240378262</c:v>
                </c:pt>
                <c:pt idx="342">
                  <c:v>7.6421208259579343</c:v>
                </c:pt>
                <c:pt idx="343">
                  <c:v>11.128546503936011</c:v>
                </c:pt>
                <c:pt idx="344">
                  <c:v>12.654633943134728</c:v>
                </c:pt>
                <c:pt idx="345">
                  <c:v>5.7943574393171344</c:v>
                </c:pt>
                <c:pt idx="346">
                  <c:v>5.4584804203202371</c:v>
                </c:pt>
                <c:pt idx="347">
                  <c:v>12.430275323565434</c:v>
                </c:pt>
                <c:pt idx="348">
                  <c:v>6.6390454289680871</c:v>
                </c:pt>
                <c:pt idx="349">
                  <c:v>5.5717203231551471</c:v>
                </c:pt>
                <c:pt idx="350">
                  <c:v>3.5976635359480018</c:v>
                </c:pt>
                <c:pt idx="351">
                  <c:v>14.478179837263131</c:v>
                </c:pt>
                <c:pt idx="352">
                  <c:v>13.862267340204758</c:v>
                </c:pt>
                <c:pt idx="353">
                  <c:v>4.1848292312197426</c:v>
                </c:pt>
                <c:pt idx="354">
                  <c:v>14.840264361630265</c:v>
                </c:pt>
                <c:pt idx="355">
                  <c:v>14.773073522003175</c:v>
                </c:pt>
                <c:pt idx="356">
                  <c:v>14.495180627969422</c:v>
                </c:pt>
                <c:pt idx="357">
                  <c:v>15.682997650439987</c:v>
                </c:pt>
                <c:pt idx="358">
                  <c:v>8.6967288433905523</c:v>
                </c:pt>
                <c:pt idx="359">
                  <c:v>14.533798110561181</c:v>
                </c:pt>
                <c:pt idx="360">
                  <c:v>6.254948770219273</c:v>
                </c:pt>
                <c:pt idx="361">
                  <c:v>12.81155702811834</c:v>
                </c:pt>
                <c:pt idx="362">
                  <c:v>9.7616222641105281</c:v>
                </c:pt>
                <c:pt idx="363">
                  <c:v>11.696004166508159</c:v>
                </c:pt>
                <c:pt idx="364">
                  <c:v>10.635260253831417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'2031'!$W$14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5.6559448957370364</c:v>
                </c:pt>
                <c:pt idx="7">
                  <c:v>7.388020330034176</c:v>
                </c:pt>
                <c:pt idx="8">
                  <c:v>2.2192421357789032</c:v>
                </c:pt>
                <c:pt idx="9">
                  <c:v>1.8351310605641113</c:v>
                </c:pt>
                <c:pt idx="10">
                  <c:v>18.415200688863127</c:v>
                </c:pt>
                <c:pt idx="11">
                  <c:v>16.530498530949579</c:v>
                </c:pt>
                <c:pt idx="12">
                  <c:v>5.6161580811969785</c:v>
                </c:pt>
                <c:pt idx="13">
                  <c:v>18.999743509989344</c:v>
                </c:pt>
                <c:pt idx="14">
                  <c:v>19.548817611524242</c:v>
                </c:pt>
                <c:pt idx="15">
                  <c:v>19.280784697914658</c:v>
                </c:pt>
                <c:pt idx="16">
                  <c:v>12.937812016540507</c:v>
                </c:pt>
                <c:pt idx="17">
                  <c:v>4.1044512817563463</c:v>
                </c:pt>
                <c:pt idx="18">
                  <c:v>10.377886435036521</c:v>
                </c:pt>
                <c:pt idx="19">
                  <c:v>6.0072412823207699</c:v>
                </c:pt>
                <c:pt idx="20">
                  <c:v>16.91017073078233</c:v>
                </c:pt>
                <c:pt idx="21">
                  <c:v>20.854445824321591</c:v>
                </c:pt>
                <c:pt idx="22">
                  <c:v>20.923491324411888</c:v>
                </c:pt>
                <c:pt idx="23">
                  <c:v>21.442829509193405</c:v>
                </c:pt>
                <c:pt idx="24">
                  <c:v>20.081900465060905</c:v>
                </c:pt>
                <c:pt idx="25">
                  <c:v>21.610861436578194</c:v>
                </c:pt>
                <c:pt idx="26">
                  <c:v>18.091749784175651</c:v>
                </c:pt>
                <c:pt idx="27">
                  <c:v>4.3151464791516529</c:v>
                </c:pt>
                <c:pt idx="28">
                  <c:v>6.4851182099788165</c:v>
                </c:pt>
                <c:pt idx="29">
                  <c:v>4.6740133712342269</c:v>
                </c:pt>
                <c:pt idx="30">
                  <c:v>10.837679958517732</c:v>
                </c:pt>
                <c:pt idx="31">
                  <c:v>13.971969576018738</c:v>
                </c:pt>
                <c:pt idx="32">
                  <c:v>5.6350208370416572</c:v>
                </c:pt>
                <c:pt idx="33">
                  <c:v>13.022319689108185</c:v>
                </c:pt>
                <c:pt idx="34">
                  <c:v>11.884573139062489</c:v>
                </c:pt>
                <c:pt idx="35">
                  <c:v>9.333451544674503</c:v>
                </c:pt>
                <c:pt idx="36">
                  <c:v>20.501359347708533</c:v>
                </c:pt>
                <c:pt idx="37">
                  <c:v>14.049615379588232</c:v>
                </c:pt>
                <c:pt idx="38">
                  <c:v>27.232019774718616</c:v>
                </c:pt>
                <c:pt idx="39">
                  <c:v>27.448999068308947</c:v>
                </c:pt>
                <c:pt idx="40">
                  <c:v>26.49400580540744</c:v>
                </c:pt>
                <c:pt idx="41">
                  <c:v>13.851579948165419</c:v>
                </c:pt>
                <c:pt idx="42">
                  <c:v>22.151662344149688</c:v>
                </c:pt>
                <c:pt idx="43">
                  <c:v>24.407721750707367</c:v>
                </c:pt>
                <c:pt idx="44">
                  <c:v>15.672268021305726</c:v>
                </c:pt>
                <c:pt idx="45">
                  <c:v>20.175484280892853</c:v>
                </c:pt>
                <c:pt idx="46">
                  <c:v>9.5824391898291079</c:v>
                </c:pt>
                <c:pt idx="47">
                  <c:v>11.515818509433137</c:v>
                </c:pt>
                <c:pt idx="48">
                  <c:v>26.986014996596428</c:v>
                </c:pt>
                <c:pt idx="49">
                  <c:v>16.290634183151425</c:v>
                </c:pt>
                <c:pt idx="50">
                  <c:v>20.514079605103657</c:v>
                </c:pt>
                <c:pt idx="51">
                  <c:v>18.08842582059782</c:v>
                </c:pt>
                <c:pt idx="52">
                  <c:v>29.559713294561369</c:v>
                </c:pt>
                <c:pt idx="53">
                  <c:v>31.086220580098498</c:v>
                </c:pt>
                <c:pt idx="54">
                  <c:v>22.135223573427631</c:v>
                </c:pt>
                <c:pt idx="55">
                  <c:v>24.438246578696621</c:v>
                </c:pt>
                <c:pt idx="56">
                  <c:v>34.414357974079451</c:v>
                </c:pt>
                <c:pt idx="57">
                  <c:v>22.012361704179234</c:v>
                </c:pt>
                <c:pt idx="58">
                  <c:v>32.101580004608422</c:v>
                </c:pt>
                <c:pt idx="59">
                  <c:v>33.870913581309935</c:v>
                </c:pt>
                <c:pt idx="60">
                  <c:v>15.651198003420756</c:v>
                </c:pt>
                <c:pt idx="61">
                  <c:v>26.998666047239013</c:v>
                </c:pt>
                <c:pt idx="62">
                  <c:v>5.3175559298142145</c:v>
                </c:pt>
                <c:pt idx="63">
                  <c:v>13.790480875605208</c:v>
                </c:pt>
                <c:pt idx="64">
                  <c:v>21.112088204097713</c:v>
                </c:pt>
                <c:pt idx="65">
                  <c:v>34.219689075508242</c:v>
                </c:pt>
                <c:pt idx="66">
                  <c:v>30.701887550422665</c:v>
                </c:pt>
                <c:pt idx="67">
                  <c:v>27.404602844415511</c:v>
                </c:pt>
                <c:pt idx="68">
                  <c:v>23.154503781688682</c:v>
                </c:pt>
                <c:pt idx="69">
                  <c:v>16.710396460685274</c:v>
                </c:pt>
                <c:pt idx="70">
                  <c:v>13.077468444172609</c:v>
                </c:pt>
                <c:pt idx="71">
                  <c:v>8.3292816699987906</c:v>
                </c:pt>
                <c:pt idx="72">
                  <c:v>12.402921736012933</c:v>
                </c:pt>
                <c:pt idx="73">
                  <c:v>14.698400291797286</c:v>
                </c:pt>
                <c:pt idx="74">
                  <c:v>12.342403543084139</c:v>
                </c:pt>
                <c:pt idx="75">
                  <c:v>11.853819287274394</c:v>
                </c:pt>
                <c:pt idx="76">
                  <c:v>13.991719383736406</c:v>
                </c:pt>
                <c:pt idx="77">
                  <c:v>25.709205336813369</c:v>
                </c:pt>
                <c:pt idx="78">
                  <c:v>30.817486251908491</c:v>
                </c:pt>
                <c:pt idx="79">
                  <c:v>41.450355100498626</c:v>
                </c:pt>
                <c:pt idx="80">
                  <c:v>40.456659856408429</c:v>
                </c:pt>
                <c:pt idx="81">
                  <c:v>43.160510514623482</c:v>
                </c:pt>
                <c:pt idx="82">
                  <c:v>42.877532784913413</c:v>
                </c:pt>
                <c:pt idx="83">
                  <c:v>35.717668261751733</c:v>
                </c:pt>
                <c:pt idx="84">
                  <c:v>39.230687812238074</c:v>
                </c:pt>
                <c:pt idx="85">
                  <c:v>41.054019587932977</c:v>
                </c:pt>
                <c:pt idx="86">
                  <c:v>35.267043646169213</c:v>
                </c:pt>
                <c:pt idx="87">
                  <c:v>26.857295167680753</c:v>
                </c:pt>
                <c:pt idx="88">
                  <c:v>7.4798478341696217</c:v>
                </c:pt>
                <c:pt idx="89">
                  <c:v>26.123397296313239</c:v>
                </c:pt>
                <c:pt idx="90">
                  <c:v>28.733636970009911</c:v>
                </c:pt>
                <c:pt idx="91">
                  <c:v>19.581519794402386</c:v>
                </c:pt>
                <c:pt idx="92">
                  <c:v>26.734763318623369</c:v>
                </c:pt>
                <c:pt idx="93">
                  <c:v>41.519268141170855</c:v>
                </c:pt>
                <c:pt idx="94">
                  <c:v>49.689559254780427</c:v>
                </c:pt>
                <c:pt idx="95">
                  <c:v>12.120761063915099</c:v>
                </c:pt>
                <c:pt idx="96">
                  <c:v>41.084637544339024</c:v>
                </c:pt>
                <c:pt idx="97">
                  <c:v>34.997463353169294</c:v>
                </c:pt>
                <c:pt idx="98">
                  <c:v>32.558835656974104</c:v>
                </c:pt>
                <c:pt idx="99">
                  <c:v>53.344394974100297</c:v>
                </c:pt>
                <c:pt idx="100">
                  <c:v>43.036330353666692</c:v>
                </c:pt>
                <c:pt idx="101">
                  <c:v>35.909010936878126</c:v>
                </c:pt>
                <c:pt idx="102">
                  <c:v>8.3034886395880356</c:v>
                </c:pt>
                <c:pt idx="103">
                  <c:v>38.332282924535342</c:v>
                </c:pt>
                <c:pt idx="104">
                  <c:v>42.004464227134648</c:v>
                </c:pt>
                <c:pt idx="105">
                  <c:v>38.220389241671029</c:v>
                </c:pt>
                <c:pt idx="106">
                  <c:v>52.934442867580763</c:v>
                </c:pt>
                <c:pt idx="107">
                  <c:v>33.770176261662144</c:v>
                </c:pt>
                <c:pt idx="108">
                  <c:v>11.110842341828224</c:v>
                </c:pt>
                <c:pt idx="109">
                  <c:v>11.134225735942602</c:v>
                </c:pt>
                <c:pt idx="110">
                  <c:v>10.686901106212874</c:v>
                </c:pt>
                <c:pt idx="111">
                  <c:v>28.426400341733089</c:v>
                </c:pt>
                <c:pt idx="112">
                  <c:v>9.3326205039521835</c:v>
                </c:pt>
                <c:pt idx="113">
                  <c:v>33.463075610349229</c:v>
                </c:pt>
                <c:pt idx="114">
                  <c:v>44.16214247836492</c:v>
                </c:pt>
                <c:pt idx="115">
                  <c:v>55.140006122587174</c:v>
                </c:pt>
                <c:pt idx="116">
                  <c:v>43.828984170898885</c:v>
                </c:pt>
                <c:pt idx="117">
                  <c:v>23.366448356576281</c:v>
                </c:pt>
                <c:pt idx="118">
                  <c:v>42.349963119436957</c:v>
                </c:pt>
                <c:pt idx="119">
                  <c:v>43.481416773952922</c:v>
                </c:pt>
                <c:pt idx="120">
                  <c:v>49.327965259298821</c:v>
                </c:pt>
                <c:pt idx="121">
                  <c:v>31.705708797195232</c:v>
                </c:pt>
                <c:pt idx="122">
                  <c:v>35.336942028631142</c:v>
                </c:pt>
                <c:pt idx="123">
                  <c:v>19.887612795483232</c:v>
                </c:pt>
                <c:pt idx="124">
                  <c:v>40.030299195129459</c:v>
                </c:pt>
                <c:pt idx="125">
                  <c:v>41.963289274257868</c:v>
                </c:pt>
                <c:pt idx="126">
                  <c:v>48.26502601993564</c:v>
                </c:pt>
                <c:pt idx="127">
                  <c:v>54.743616732893479</c:v>
                </c:pt>
                <c:pt idx="128">
                  <c:v>57.923405363748145</c:v>
                </c:pt>
                <c:pt idx="129">
                  <c:v>56.73736040546153</c:v>
                </c:pt>
                <c:pt idx="130">
                  <c:v>60.524121030439986</c:v>
                </c:pt>
                <c:pt idx="131">
                  <c:v>46.086010248653906</c:v>
                </c:pt>
                <c:pt idx="132">
                  <c:v>48.835698295511868</c:v>
                </c:pt>
                <c:pt idx="133">
                  <c:v>54.672459880159998</c:v>
                </c:pt>
                <c:pt idx="134">
                  <c:v>56.437239802818311</c:v>
                </c:pt>
                <c:pt idx="135">
                  <c:v>55.159404305866367</c:v>
                </c:pt>
                <c:pt idx="136">
                  <c:v>58.907481456313832</c:v>
                </c:pt>
                <c:pt idx="137">
                  <c:v>56.244629807487307</c:v>
                </c:pt>
                <c:pt idx="138">
                  <c:v>55.043162510114186</c:v>
                </c:pt>
                <c:pt idx="139">
                  <c:v>52.312672116449143</c:v>
                </c:pt>
                <c:pt idx="140">
                  <c:v>54.783004969610708</c:v>
                </c:pt>
                <c:pt idx="141">
                  <c:v>42.360332156034183</c:v>
                </c:pt>
                <c:pt idx="142">
                  <c:v>20.155633015775567</c:v>
                </c:pt>
                <c:pt idx="143">
                  <c:v>17.313097580017327</c:v>
                </c:pt>
                <c:pt idx="144">
                  <c:v>42.194876702199352</c:v>
                </c:pt>
                <c:pt idx="145">
                  <c:v>28.153396210287223</c:v>
                </c:pt>
                <c:pt idx="146">
                  <c:v>44.08330950131009</c:v>
                </c:pt>
                <c:pt idx="147">
                  <c:v>57.874301481062396</c:v>
                </c:pt>
                <c:pt idx="148">
                  <c:v>62.937727245902764</c:v>
                </c:pt>
                <c:pt idx="149">
                  <c:v>50.616667038371929</c:v>
                </c:pt>
                <c:pt idx="150">
                  <c:v>59.832168424880265</c:v>
                </c:pt>
                <c:pt idx="151">
                  <c:v>62.381694802210006</c:v>
                </c:pt>
                <c:pt idx="152">
                  <c:v>44.933416675722661</c:v>
                </c:pt>
                <c:pt idx="153">
                  <c:v>59.493589556038415</c:v>
                </c:pt>
                <c:pt idx="154">
                  <c:v>30.237717854936509</c:v>
                </c:pt>
                <c:pt idx="155">
                  <c:v>33.415482731372464</c:v>
                </c:pt>
                <c:pt idx="156">
                  <c:v>53.436245762540011</c:v>
                </c:pt>
                <c:pt idx="157">
                  <c:v>27.903460584333338</c:v>
                </c:pt>
                <c:pt idx="158">
                  <c:v>25.144079706855166</c:v>
                </c:pt>
                <c:pt idx="159">
                  <c:v>51.669138165646984</c:v>
                </c:pt>
                <c:pt idx="160">
                  <c:v>63.570239978391228</c:v>
                </c:pt>
                <c:pt idx="161">
                  <c:v>60.865858236590348</c:v>
                </c:pt>
                <c:pt idx="162">
                  <c:v>49.080485756088983</c:v>
                </c:pt>
                <c:pt idx="163">
                  <c:v>54.870464496487841</c:v>
                </c:pt>
                <c:pt idx="164">
                  <c:v>55.779730943067506</c:v>
                </c:pt>
                <c:pt idx="165">
                  <c:v>59.169897834138382</c:v>
                </c:pt>
                <c:pt idx="166">
                  <c:v>56.069273730498566</c:v>
                </c:pt>
                <c:pt idx="167">
                  <c:v>56.233357747973322</c:v>
                </c:pt>
                <c:pt idx="168">
                  <c:v>59.876665068404058</c:v>
                </c:pt>
                <c:pt idx="169">
                  <c:v>60.355773814495272</c:v>
                </c:pt>
                <c:pt idx="170">
                  <c:v>32.635910124157796</c:v>
                </c:pt>
                <c:pt idx="171">
                  <c:v>21.961415623568573</c:v>
                </c:pt>
                <c:pt idx="172">
                  <c:v>45.558800620779031</c:v>
                </c:pt>
                <c:pt idx="173">
                  <c:v>45.047333480346005</c:v>
                </c:pt>
                <c:pt idx="174">
                  <c:v>48.456658037314511</c:v>
                </c:pt>
                <c:pt idx="175">
                  <c:v>40.365515742621547</c:v>
                </c:pt>
                <c:pt idx="176">
                  <c:v>12.624301804376813</c:v>
                </c:pt>
                <c:pt idx="177">
                  <c:v>18.572491343453294</c:v>
                </c:pt>
                <c:pt idx="178">
                  <c:v>64.270803144515796</c:v>
                </c:pt>
                <c:pt idx="179">
                  <c:v>62.364674315590349</c:v>
                </c:pt>
                <c:pt idx="180">
                  <c:v>15.319273292834733</c:v>
                </c:pt>
                <c:pt idx="181">
                  <c:v>51.970388967849466</c:v>
                </c:pt>
                <c:pt idx="182">
                  <c:v>57.701654169633052</c:v>
                </c:pt>
                <c:pt idx="183">
                  <c:v>53.661818535018909</c:v>
                </c:pt>
                <c:pt idx="184">
                  <c:v>49.95252678989462</c:v>
                </c:pt>
                <c:pt idx="185">
                  <c:v>59.896994950033736</c:v>
                </c:pt>
                <c:pt idx="186">
                  <c:v>44.095704519617598</c:v>
                </c:pt>
                <c:pt idx="187">
                  <c:v>59.440967465953847</c:v>
                </c:pt>
                <c:pt idx="188">
                  <c:v>62.328907285092782</c:v>
                </c:pt>
                <c:pt idx="189">
                  <c:v>61.365960059137976</c:v>
                </c:pt>
                <c:pt idx="190">
                  <c:v>60.719973625365029</c:v>
                </c:pt>
                <c:pt idx="191">
                  <c:v>59.674900628595964</c:v>
                </c:pt>
                <c:pt idx="192">
                  <c:v>58.739030249008088</c:v>
                </c:pt>
                <c:pt idx="193">
                  <c:v>57.574155096707656</c:v>
                </c:pt>
                <c:pt idx="194">
                  <c:v>57.419069297833097</c:v>
                </c:pt>
                <c:pt idx="195">
                  <c:v>54.88498662325091</c:v>
                </c:pt>
                <c:pt idx="196">
                  <c:v>56.013130438711514</c:v>
                </c:pt>
                <c:pt idx="197">
                  <c:v>56.416548947842323</c:v>
                </c:pt>
                <c:pt idx="198">
                  <c:v>58.137935430120805</c:v>
                </c:pt>
                <c:pt idx="199">
                  <c:v>42.703490723381229</c:v>
                </c:pt>
                <c:pt idx="200">
                  <c:v>40.100056575821334</c:v>
                </c:pt>
                <c:pt idx="201">
                  <c:v>55.33239079292386</c:v>
                </c:pt>
                <c:pt idx="202">
                  <c:v>47.522860644887913</c:v>
                </c:pt>
                <c:pt idx="203">
                  <c:v>44.966791572123945</c:v>
                </c:pt>
                <c:pt idx="204">
                  <c:v>54.746353553787365</c:v>
                </c:pt>
                <c:pt idx="205">
                  <c:v>28.880684756699377</c:v>
                </c:pt>
                <c:pt idx="206">
                  <c:v>51.183014026642233</c:v>
                </c:pt>
                <c:pt idx="207">
                  <c:v>57.929396286595171</c:v>
                </c:pt>
                <c:pt idx="208">
                  <c:v>45.514498822189971</c:v>
                </c:pt>
                <c:pt idx="209">
                  <c:v>28.273837011315116</c:v>
                </c:pt>
                <c:pt idx="210">
                  <c:v>46.502027047795806</c:v>
                </c:pt>
                <c:pt idx="211">
                  <c:v>56.945628747613682</c:v>
                </c:pt>
                <c:pt idx="212">
                  <c:v>56.445591149204724</c:v>
                </c:pt>
                <c:pt idx="213">
                  <c:v>56.455672459341478</c:v>
                </c:pt>
                <c:pt idx="214">
                  <c:v>56.054181088072468</c:v>
                </c:pt>
                <c:pt idx="215">
                  <c:v>53.475082562261491</c:v>
                </c:pt>
                <c:pt idx="216">
                  <c:v>42.685153836143108</c:v>
                </c:pt>
                <c:pt idx="217">
                  <c:v>50.931260510757227</c:v>
                </c:pt>
                <c:pt idx="218">
                  <c:v>53.699523844284826</c:v>
                </c:pt>
                <c:pt idx="219">
                  <c:v>55.091076452512041</c:v>
                </c:pt>
                <c:pt idx="220">
                  <c:v>52.523685697858241</c:v>
                </c:pt>
                <c:pt idx="221">
                  <c:v>51.008373160136792</c:v>
                </c:pt>
                <c:pt idx="222">
                  <c:v>48.138702385269099</c:v>
                </c:pt>
                <c:pt idx="223">
                  <c:v>0</c:v>
                </c:pt>
                <c:pt idx="224">
                  <c:v>35.776508587082503</c:v>
                </c:pt>
                <c:pt idx="225">
                  <c:v>35.841809893366808</c:v>
                </c:pt>
                <c:pt idx="226">
                  <c:v>36.249065949900533</c:v>
                </c:pt>
                <c:pt idx="227">
                  <c:v>37.545013652640108</c:v>
                </c:pt>
                <c:pt idx="228">
                  <c:v>26.115158027718504</c:v>
                </c:pt>
                <c:pt idx="229">
                  <c:v>39.84700760967732</c:v>
                </c:pt>
                <c:pt idx="230">
                  <c:v>39.446630917241173</c:v>
                </c:pt>
                <c:pt idx="231">
                  <c:v>51.479854843511504</c:v>
                </c:pt>
                <c:pt idx="232">
                  <c:v>37.148689643105655</c:v>
                </c:pt>
                <c:pt idx="233">
                  <c:v>27.17318970400018</c:v>
                </c:pt>
                <c:pt idx="234">
                  <c:v>45.967410767792998</c:v>
                </c:pt>
                <c:pt idx="235">
                  <c:v>49.925981741284716</c:v>
                </c:pt>
                <c:pt idx="236">
                  <c:v>32.0217661772162</c:v>
                </c:pt>
                <c:pt idx="237">
                  <c:v>36.905684631751406</c:v>
                </c:pt>
                <c:pt idx="238">
                  <c:v>46.525009132187066</c:v>
                </c:pt>
                <c:pt idx="239">
                  <c:v>48.90994036405214</c:v>
                </c:pt>
                <c:pt idx="240">
                  <c:v>34.182377530813341</c:v>
                </c:pt>
                <c:pt idx="241">
                  <c:v>47.970739467326446</c:v>
                </c:pt>
                <c:pt idx="242">
                  <c:v>24.286846407565957</c:v>
                </c:pt>
                <c:pt idx="243">
                  <c:v>41.761369703668407</c:v>
                </c:pt>
                <c:pt idx="244">
                  <c:v>39.474834800172509</c:v>
                </c:pt>
                <c:pt idx="245">
                  <c:v>36.315327567050431</c:v>
                </c:pt>
                <c:pt idx="246">
                  <c:v>47.616958450841281</c:v>
                </c:pt>
                <c:pt idx="247">
                  <c:v>39.845133137904227</c:v>
                </c:pt>
                <c:pt idx="248">
                  <c:v>43.430403323103675</c:v>
                </c:pt>
                <c:pt idx="249">
                  <c:v>35.611553471621413</c:v>
                </c:pt>
                <c:pt idx="250">
                  <c:v>39.607285055825002</c:v>
                </c:pt>
                <c:pt idx="251">
                  <c:v>18.869644904598289</c:v>
                </c:pt>
                <c:pt idx="252">
                  <c:v>43.98891316105388</c:v>
                </c:pt>
                <c:pt idx="253">
                  <c:v>45.507613183881269</c:v>
                </c:pt>
                <c:pt idx="254">
                  <c:v>35.348426525707239</c:v>
                </c:pt>
                <c:pt idx="255">
                  <c:v>13.549252906407924</c:v>
                </c:pt>
                <c:pt idx="256">
                  <c:v>36.407279789748991</c:v>
                </c:pt>
                <c:pt idx="257">
                  <c:v>41.357946107546773</c:v>
                </c:pt>
                <c:pt idx="258">
                  <c:v>27.791313527494388</c:v>
                </c:pt>
                <c:pt idx="259">
                  <c:v>44.624192861491899</c:v>
                </c:pt>
                <c:pt idx="260">
                  <c:v>43.710434442421729</c:v>
                </c:pt>
                <c:pt idx="261">
                  <c:v>44.055845136478048</c:v>
                </c:pt>
                <c:pt idx="262">
                  <c:v>44.404105840858342</c:v>
                </c:pt>
                <c:pt idx="263">
                  <c:v>43.092428427229549</c:v>
                </c:pt>
                <c:pt idx="264">
                  <c:v>41.885982560412316</c:v>
                </c:pt>
                <c:pt idx="265">
                  <c:v>30.693342980554217</c:v>
                </c:pt>
                <c:pt idx="266">
                  <c:v>18.959224732008593</c:v>
                </c:pt>
                <c:pt idx="267">
                  <c:v>30.346918252425997</c:v>
                </c:pt>
                <c:pt idx="268">
                  <c:v>32.729479560856312</c:v>
                </c:pt>
                <c:pt idx="269">
                  <c:v>16.016407027904652</c:v>
                </c:pt>
                <c:pt idx="270">
                  <c:v>18.296707157952714</c:v>
                </c:pt>
                <c:pt idx="271">
                  <c:v>23.680044058758224</c:v>
                </c:pt>
                <c:pt idx="272">
                  <c:v>25.393320748673979</c:v>
                </c:pt>
                <c:pt idx="273">
                  <c:v>34.658385669608379</c:v>
                </c:pt>
                <c:pt idx="274">
                  <c:v>36.04302047177179</c:v>
                </c:pt>
                <c:pt idx="275">
                  <c:v>32.640018027428773</c:v>
                </c:pt>
                <c:pt idx="276">
                  <c:v>38.016523863835694</c:v>
                </c:pt>
                <c:pt idx="277">
                  <c:v>38.264675169433069</c:v>
                </c:pt>
                <c:pt idx="278">
                  <c:v>15.336581320352805</c:v>
                </c:pt>
                <c:pt idx="279">
                  <c:v>29.458020635306305</c:v>
                </c:pt>
                <c:pt idx="280">
                  <c:v>14.897571536368359</c:v>
                </c:pt>
                <c:pt idx="281">
                  <c:v>34.789736383610204</c:v>
                </c:pt>
                <c:pt idx="282">
                  <c:v>30.459703537918504</c:v>
                </c:pt>
                <c:pt idx="283">
                  <c:v>24.4967175956604</c:v>
                </c:pt>
                <c:pt idx="284">
                  <c:v>24.402523354050693</c:v>
                </c:pt>
                <c:pt idx="285">
                  <c:v>22.103850868511024</c:v>
                </c:pt>
                <c:pt idx="286">
                  <c:v>14.856866605791689</c:v>
                </c:pt>
                <c:pt idx="287">
                  <c:v>33.113322511449653</c:v>
                </c:pt>
                <c:pt idx="288">
                  <c:v>29.028209543122724</c:v>
                </c:pt>
                <c:pt idx="289">
                  <c:v>16.359445902686751</c:v>
                </c:pt>
                <c:pt idx="290">
                  <c:v>29.183595028329336</c:v>
                </c:pt>
                <c:pt idx="291">
                  <c:v>16.302104016224092</c:v>
                </c:pt>
                <c:pt idx="292">
                  <c:v>8.5756688498528124</c:v>
                </c:pt>
                <c:pt idx="293">
                  <c:v>16.57997073028892</c:v>
                </c:pt>
                <c:pt idx="294">
                  <c:v>28.420153814932782</c:v>
                </c:pt>
                <c:pt idx="295">
                  <c:v>18.529754700351564</c:v>
                </c:pt>
                <c:pt idx="296">
                  <c:v>24.035470586588772</c:v>
                </c:pt>
                <c:pt idx="297">
                  <c:v>20.198115472915774</c:v>
                </c:pt>
                <c:pt idx="298">
                  <c:v>15.093405511466287</c:v>
                </c:pt>
                <c:pt idx="299">
                  <c:v>14.270894878560552</c:v>
                </c:pt>
                <c:pt idx="300">
                  <c:v>16.414281346385383</c:v>
                </c:pt>
                <c:pt idx="301">
                  <c:v>23.092139105513013</c:v>
                </c:pt>
                <c:pt idx="302">
                  <c:v>20.220554738749001</c:v>
                </c:pt>
                <c:pt idx="303">
                  <c:v>19.395823955182479</c:v>
                </c:pt>
                <c:pt idx="304">
                  <c:v>17.684626107808157</c:v>
                </c:pt>
                <c:pt idx="305">
                  <c:v>24.477822114053716</c:v>
                </c:pt>
                <c:pt idx="306">
                  <c:v>8.8778028956211674</c:v>
                </c:pt>
                <c:pt idx="307">
                  <c:v>12.31797963472615</c:v>
                </c:pt>
                <c:pt idx="308">
                  <c:v>24.816371443419509</c:v>
                </c:pt>
                <c:pt idx="309">
                  <c:v>24.869003760299424</c:v>
                </c:pt>
                <c:pt idx="310">
                  <c:v>24.664687127830973</c:v>
                </c:pt>
                <c:pt idx="311">
                  <c:v>17.841316907185846</c:v>
                </c:pt>
                <c:pt idx="312">
                  <c:v>9.9489156065652828</c:v>
                </c:pt>
                <c:pt idx="313">
                  <c:v>18.08789622969179</c:v>
                </c:pt>
                <c:pt idx="314">
                  <c:v>21.515734825290203</c:v>
                </c:pt>
                <c:pt idx="315">
                  <c:v>21.641766846512411</c:v>
                </c:pt>
                <c:pt idx="316">
                  <c:v>20.605563954685017</c:v>
                </c:pt>
                <c:pt idx="317">
                  <c:v>11.133873036828287</c:v>
                </c:pt>
                <c:pt idx="318">
                  <c:v>12.6412056514932</c:v>
                </c:pt>
                <c:pt idx="319">
                  <c:v>21.11300105395037</c:v>
                </c:pt>
                <c:pt idx="320">
                  <c:v>13.878087151689304</c:v>
                </c:pt>
                <c:pt idx="321">
                  <c:v>11.503210718182459</c:v>
                </c:pt>
                <c:pt idx="322">
                  <c:v>8.2552243075864062</c:v>
                </c:pt>
                <c:pt idx="323">
                  <c:v>14.860318435594861</c:v>
                </c:pt>
                <c:pt idx="324">
                  <c:v>3.3840557504483466</c:v>
                </c:pt>
                <c:pt idx="325">
                  <c:v>9.4954425721167048</c:v>
                </c:pt>
                <c:pt idx="326">
                  <c:v>12.664006461528992</c:v>
                </c:pt>
                <c:pt idx="327">
                  <c:v>11.774327936396679</c:v>
                </c:pt>
                <c:pt idx="328">
                  <c:v>4.7786937250346657</c:v>
                </c:pt>
                <c:pt idx="329">
                  <c:v>9.5566699119517953</c:v>
                </c:pt>
                <c:pt idx="330">
                  <c:v>13.662622925411803</c:v>
                </c:pt>
                <c:pt idx="331">
                  <c:v>9.3298840014611102</c:v>
                </c:pt>
                <c:pt idx="332">
                  <c:v>10.340960098996071</c:v>
                </c:pt>
                <c:pt idx="333">
                  <c:v>4.4301226649812779</c:v>
                </c:pt>
                <c:pt idx="334">
                  <c:v>4.1807905056940893</c:v>
                </c:pt>
                <c:pt idx="335">
                  <c:v>5.334624545167765</c:v>
                </c:pt>
                <c:pt idx="336">
                  <c:v>9.594054275411029</c:v>
                </c:pt>
                <c:pt idx="337">
                  <c:v>12.82901177953244</c:v>
                </c:pt>
                <c:pt idx="338">
                  <c:v>17.778664047562014</c:v>
                </c:pt>
                <c:pt idx="339">
                  <c:v>11.613376124995391</c:v>
                </c:pt>
                <c:pt idx="340">
                  <c:v>14.246603905685213</c:v>
                </c:pt>
                <c:pt idx="341">
                  <c:v>4.5898443240378262</c:v>
                </c:pt>
                <c:pt idx="342">
                  <c:v>7.6421208259579343</c:v>
                </c:pt>
                <c:pt idx="343">
                  <c:v>11.128546503936011</c:v>
                </c:pt>
                <c:pt idx="344">
                  <c:v>12.654633943134728</c:v>
                </c:pt>
                <c:pt idx="345">
                  <c:v>5.7943574393171344</c:v>
                </c:pt>
                <c:pt idx="346">
                  <c:v>5.4584804203202371</c:v>
                </c:pt>
                <c:pt idx="347">
                  <c:v>12.430275323565434</c:v>
                </c:pt>
                <c:pt idx="348">
                  <c:v>6.6390454289680871</c:v>
                </c:pt>
                <c:pt idx="349">
                  <c:v>5.5717203231551471</c:v>
                </c:pt>
                <c:pt idx="350">
                  <c:v>3.5976635359480018</c:v>
                </c:pt>
                <c:pt idx="351">
                  <c:v>14.478179837263131</c:v>
                </c:pt>
                <c:pt idx="352">
                  <c:v>13.862267340204758</c:v>
                </c:pt>
                <c:pt idx="353">
                  <c:v>4.1848292312197426</c:v>
                </c:pt>
                <c:pt idx="354">
                  <c:v>14.840264361630265</c:v>
                </c:pt>
                <c:pt idx="355">
                  <c:v>14.773073522003175</c:v>
                </c:pt>
                <c:pt idx="356">
                  <c:v>14.495180627969422</c:v>
                </c:pt>
                <c:pt idx="357">
                  <c:v>15.682997650439987</c:v>
                </c:pt>
                <c:pt idx="358">
                  <c:v>8.6967288433905523</c:v>
                </c:pt>
                <c:pt idx="359">
                  <c:v>14.533798110561181</c:v>
                </c:pt>
                <c:pt idx="360">
                  <c:v>6.254948770219273</c:v>
                </c:pt>
                <c:pt idx="361">
                  <c:v>12.81155702811834</c:v>
                </c:pt>
                <c:pt idx="362">
                  <c:v>9.7616222641105281</c:v>
                </c:pt>
                <c:pt idx="363">
                  <c:v>11.696004166508159</c:v>
                </c:pt>
                <c:pt idx="364">
                  <c:v>10.635260253831417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260832"/>
        <c:axId val="365261224"/>
      </c:lineChart>
      <c:dateAx>
        <c:axId val="365260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261224"/>
        <c:crosses val="autoZero"/>
        <c:auto val="1"/>
        <c:lblOffset val="100"/>
        <c:baseTimeUnit val="days"/>
        <c:majorUnit val="1"/>
        <c:majorTimeUnit val="months"/>
      </c:dateAx>
      <c:valAx>
        <c:axId val="3652612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2608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'2031'!$L$15:$L$380</c:f>
              <c:numCache>
                <c:formatCode>0.00%</c:formatCode>
                <c:ptCount val="366"/>
                <c:pt idx="0">
                  <c:v>4.4522580627188391E-2</c:v>
                </c:pt>
                <c:pt idx="1">
                  <c:v>4.4535660310686231E-2</c:v>
                </c:pt>
                <c:pt idx="2">
                  <c:v>4.4548739815134186E-2</c:v>
                </c:pt>
                <c:pt idx="3">
                  <c:v>4.4561819140534698E-2</c:v>
                </c:pt>
                <c:pt idx="4">
                  <c:v>4.4574898286890208E-2</c:v>
                </c:pt>
                <c:pt idx="5">
                  <c:v>4.4587977254203159E-2</c:v>
                </c:pt>
                <c:pt idx="6">
                  <c:v>4.4601056042476106E-2</c:v>
                </c:pt>
                <c:pt idx="7">
                  <c:v>4.4614134651711379E-2</c:v>
                </c:pt>
                <c:pt idx="8">
                  <c:v>4.4627213081911532E-2</c:v>
                </c:pt>
                <c:pt idx="9">
                  <c:v>4.4640291333078896E-2</c:v>
                </c:pt>
                <c:pt idx="10">
                  <c:v>4.4653369405216026E-2</c:v>
                </c:pt>
                <c:pt idx="11">
                  <c:v>4.4666447298325251E-2</c:v>
                </c:pt>
                <c:pt idx="12">
                  <c:v>4.4679525012409238E-2</c:v>
                </c:pt>
                <c:pt idx="13">
                  <c:v>4.4692602547470206E-2</c:v>
                </c:pt>
                <c:pt idx="14">
                  <c:v>4.4705679903510709E-2</c:v>
                </c:pt>
                <c:pt idx="15">
                  <c:v>4.4718757080533189E-2</c:v>
                </c:pt>
                <c:pt idx="16">
                  <c:v>4.4731834078540089E-2</c:v>
                </c:pt>
                <c:pt idx="17">
                  <c:v>4.4744910897533963E-2</c:v>
                </c:pt>
                <c:pt idx="18">
                  <c:v>4.475798753751703E-2</c:v>
                </c:pt>
                <c:pt idx="19">
                  <c:v>4.4771063998491956E-2</c:v>
                </c:pt>
                <c:pt idx="20">
                  <c:v>4.4784140280461071E-2</c:v>
                </c:pt>
                <c:pt idx="21">
                  <c:v>4.479721638342693E-2</c:v>
                </c:pt>
                <c:pt idx="22">
                  <c:v>4.4810292307391864E-2</c:v>
                </c:pt>
                <c:pt idx="23">
                  <c:v>4.4823368052358425E-2</c:v>
                </c:pt>
                <c:pt idx="24">
                  <c:v>4.4836443618328947E-2</c:v>
                </c:pt>
                <c:pt idx="25">
                  <c:v>4.4849519005305982E-2</c:v>
                </c:pt>
                <c:pt idx="26">
                  <c:v>4.4862594213291973E-2</c:v>
                </c:pt>
                <c:pt idx="27">
                  <c:v>4.4875669242289362E-2</c:v>
                </c:pt>
                <c:pt idx="28">
                  <c:v>4.4888744092300592E-2</c:v>
                </c:pt>
                <c:pt idx="29">
                  <c:v>4.4901818763327994E-2</c:v>
                </c:pt>
                <c:pt idx="30">
                  <c:v>4.4914893255374233E-2</c:v>
                </c:pt>
                <c:pt idx="31">
                  <c:v>4.492796756844164E-2</c:v>
                </c:pt>
                <c:pt idx="32">
                  <c:v>4.4941041702532658E-2</c:v>
                </c:pt>
                <c:pt idx="33">
                  <c:v>4.4954115657649729E-2</c:v>
                </c:pt>
                <c:pt idx="34">
                  <c:v>4.4967189433795407E-2</c:v>
                </c:pt>
                <c:pt idx="35">
                  <c:v>4.4980263030972023E-2</c:v>
                </c:pt>
                <c:pt idx="36">
                  <c:v>4.4993336449182131E-2</c:v>
                </c:pt>
                <c:pt idx="37">
                  <c:v>4.5006409688428062E-2</c:v>
                </c:pt>
                <c:pt idx="38">
                  <c:v>4.5019482748712369E-2</c:v>
                </c:pt>
                <c:pt idx="39">
                  <c:v>4.5032555630037385E-2</c:v>
                </c:pt>
                <c:pt idx="40">
                  <c:v>4.5045628332405663E-2</c:v>
                </c:pt>
                <c:pt idx="41">
                  <c:v>4.5058700855819644E-2</c:v>
                </c:pt>
                <c:pt idx="42">
                  <c:v>4.5071773200281773E-2</c:v>
                </c:pt>
                <c:pt idx="43">
                  <c:v>4.508484536579449E-2</c:v>
                </c:pt>
                <c:pt idx="44">
                  <c:v>4.5097917352360239E-2</c:v>
                </c:pt>
                <c:pt idx="45">
                  <c:v>4.5110989159981352E-2</c:v>
                </c:pt>
                <c:pt idx="46">
                  <c:v>4.5124060788660492E-2</c:v>
                </c:pt>
                <c:pt idx="47">
                  <c:v>4.5137132238399991E-2</c:v>
                </c:pt>
                <c:pt idx="48">
                  <c:v>4.5150203509202402E-2</c:v>
                </c:pt>
                <c:pt idx="49">
                  <c:v>4.5163274601070058E-2</c:v>
                </c:pt>
                <c:pt idx="50">
                  <c:v>4.51763455140054E-2</c:v>
                </c:pt>
                <c:pt idx="51">
                  <c:v>4.5189416248010872E-2</c:v>
                </c:pt>
                <c:pt idx="52">
                  <c:v>4.5202486803089026E-2</c:v>
                </c:pt>
                <c:pt idx="53">
                  <c:v>4.5215557179242305E-2</c:v>
                </c:pt>
                <c:pt idx="54">
                  <c:v>4.5228627376473041E-2</c:v>
                </c:pt>
                <c:pt idx="55">
                  <c:v>4.5241697394783786E-2</c:v>
                </c:pt>
                <c:pt idx="56">
                  <c:v>4.5254767234176985E-2</c:v>
                </c:pt>
                <c:pt idx="57">
                  <c:v>4.5267836894654967E-2</c:v>
                </c:pt>
                <c:pt idx="58">
                  <c:v>4.5280906376220398E-2</c:v>
                </c:pt>
                <c:pt idx="59">
                  <c:v>4.5293975678875498E-2</c:v>
                </c:pt>
                <c:pt idx="60">
                  <c:v>4.530704480262282E-2</c:v>
                </c:pt>
                <c:pt idx="61">
                  <c:v>4.5320113747464918E-2</c:v>
                </c:pt>
                <c:pt idx="62">
                  <c:v>4.5333182513404013E-2</c:v>
                </c:pt>
                <c:pt idx="63">
                  <c:v>4.5346251100442769E-2</c:v>
                </c:pt>
                <c:pt idx="64">
                  <c:v>4.5359319508583518E-2</c:v>
                </c:pt>
                <c:pt idx="65">
                  <c:v>4.5372387737828701E-2</c:v>
                </c:pt>
                <c:pt idx="66">
                  <c:v>4.5385455788180762E-2</c:v>
                </c:pt>
                <c:pt idx="67">
                  <c:v>4.5398523659642254E-2</c:v>
                </c:pt>
                <c:pt idx="68">
                  <c:v>4.5411591352215508E-2</c:v>
                </c:pt>
                <c:pt idx="69">
                  <c:v>4.5424658865903078E-2</c:v>
                </c:pt>
                <c:pt idx="70">
                  <c:v>4.5437726200707407E-2</c:v>
                </c:pt>
                <c:pt idx="71">
                  <c:v>4.5450793356630825E-2</c:v>
                </c:pt>
                <c:pt idx="72">
                  <c:v>4.5463860333675887E-2</c:v>
                </c:pt>
                <c:pt idx="73">
                  <c:v>4.5476927131844924E-2</c:v>
                </c:pt>
                <c:pt idx="74">
                  <c:v>4.5489993751140601E-2</c:v>
                </c:pt>
                <c:pt idx="75">
                  <c:v>4.5503060191565137E-2</c:v>
                </c:pt>
                <c:pt idx="76">
                  <c:v>4.5516126453121086E-2</c:v>
                </c:pt>
                <c:pt idx="77">
                  <c:v>4.5529192535810892E-2</c:v>
                </c:pt>
                <c:pt idx="78">
                  <c:v>4.5542258439636996E-2</c:v>
                </c:pt>
                <c:pt idx="79">
                  <c:v>4.555532416460184E-2</c:v>
                </c:pt>
                <c:pt idx="80">
                  <c:v>4.5568389710707868E-2</c:v>
                </c:pt>
                <c:pt idx="81">
                  <c:v>4.5581455077957633E-2</c:v>
                </c:pt>
                <c:pt idx="82">
                  <c:v>4.5594520266353356E-2</c:v>
                </c:pt>
                <c:pt idx="83">
                  <c:v>4.56075852758977E-2</c:v>
                </c:pt>
                <c:pt idx="84">
                  <c:v>4.5620650106593108E-2</c:v>
                </c:pt>
                <c:pt idx="85">
                  <c:v>4.5633714758441801E-2</c:v>
                </c:pt>
                <c:pt idx="86">
                  <c:v>4.5646779231446444E-2</c:v>
                </c:pt>
                <c:pt idx="87">
                  <c:v>4.5659843525609478E-2</c:v>
                </c:pt>
                <c:pt idx="88">
                  <c:v>4.5672907640933236E-2</c:v>
                </c:pt>
                <c:pt idx="89">
                  <c:v>4.568597157742027E-2</c:v>
                </c:pt>
                <c:pt idx="90">
                  <c:v>4.5699035335072913E-2</c:v>
                </c:pt>
                <c:pt idx="91">
                  <c:v>4.5712098913893717E-2</c:v>
                </c:pt>
                <c:pt idx="92">
                  <c:v>4.5725162313885126E-2</c:v>
                </c:pt>
                <c:pt idx="93">
                  <c:v>4.5738225535049581E-2</c:v>
                </c:pt>
                <c:pt idx="94">
                  <c:v>4.5751288577389415E-2</c:v>
                </c:pt>
                <c:pt idx="95">
                  <c:v>4.5764351440907292E-2</c:v>
                </c:pt>
                <c:pt idx="96">
                  <c:v>4.5777414125605431E-2</c:v>
                </c:pt>
                <c:pt idx="97">
                  <c:v>4.5790476631486388E-2</c:v>
                </c:pt>
                <c:pt idx="98">
                  <c:v>4.5803538958552714E-2</c:v>
                </c:pt>
                <c:pt idx="99">
                  <c:v>4.5816601106806631E-2</c:v>
                </c:pt>
                <c:pt idx="100">
                  <c:v>4.5829663076250804E-2</c:v>
                </c:pt>
                <c:pt idx="101">
                  <c:v>4.5842724866887563E-2</c:v>
                </c:pt>
                <c:pt idx="102">
                  <c:v>4.5855786478719351E-2</c:v>
                </c:pt>
                <c:pt idx="103">
                  <c:v>4.5868847911748611E-2</c:v>
                </c:pt>
                <c:pt idx="104">
                  <c:v>4.5881909165977897E-2</c:v>
                </c:pt>
                <c:pt idx="105">
                  <c:v>4.5894970241409538E-2</c:v>
                </c:pt>
                <c:pt idx="106">
                  <c:v>4.5908031138045979E-2</c:v>
                </c:pt>
                <c:pt idx="107">
                  <c:v>4.5921091855889773E-2</c:v>
                </c:pt>
                <c:pt idx="108">
                  <c:v>4.5934152394943251E-2</c:v>
                </c:pt>
                <c:pt idx="109">
                  <c:v>4.5947212755208966E-2</c:v>
                </c:pt>
                <c:pt idx="110">
                  <c:v>4.5960272936689361E-2</c:v>
                </c:pt>
                <c:pt idx="111">
                  <c:v>4.5973332939386768E-2</c:v>
                </c:pt>
                <c:pt idx="112">
                  <c:v>4.5986392763303741E-2</c:v>
                </c:pt>
                <c:pt idx="113">
                  <c:v>4.5999452408442609E-2</c:v>
                </c:pt>
                <c:pt idx="114">
                  <c:v>4.6012511874806039E-2</c:v>
                </c:pt>
                <c:pt idx="115">
                  <c:v>4.602557116239625E-2</c:v>
                </c:pt>
                <c:pt idx="116">
                  <c:v>4.6038630271215797E-2</c:v>
                </c:pt>
                <c:pt idx="117">
                  <c:v>4.6051689201267121E-2</c:v>
                </c:pt>
                <c:pt idx="118">
                  <c:v>4.6064747952552665E-2</c:v>
                </c:pt>
                <c:pt idx="119">
                  <c:v>4.6077806525074871E-2</c:v>
                </c:pt>
                <c:pt idx="120">
                  <c:v>4.6090864918836183E-2</c:v>
                </c:pt>
                <c:pt idx="121">
                  <c:v>4.6103923133839042E-2</c:v>
                </c:pt>
                <c:pt idx="122">
                  <c:v>4.6116981170085891E-2</c:v>
                </c:pt>
                <c:pt idx="123">
                  <c:v>4.6130039027579173E-2</c:v>
                </c:pt>
                <c:pt idx="124">
                  <c:v>4.614309670632144E-2</c:v>
                </c:pt>
                <c:pt idx="125">
                  <c:v>4.6156154206314914E-2</c:v>
                </c:pt>
                <c:pt idx="126">
                  <c:v>4.6169211527562259E-2</c:v>
                </c:pt>
                <c:pt idx="127">
                  <c:v>4.6182268670065807E-2</c:v>
                </c:pt>
                <c:pt idx="128">
                  <c:v>4.619532563382811E-2</c:v>
                </c:pt>
                <c:pt idx="129">
                  <c:v>4.6208382418851501E-2</c:v>
                </c:pt>
                <c:pt idx="130">
                  <c:v>4.6221439025138533E-2</c:v>
                </c:pt>
                <c:pt idx="131">
                  <c:v>4.6234495452691426E-2</c:v>
                </c:pt>
                <c:pt idx="132">
                  <c:v>4.6247551701512957E-2</c:v>
                </c:pt>
                <c:pt idx="133">
                  <c:v>4.6260607771605344E-2</c:v>
                </c:pt>
                <c:pt idx="134">
                  <c:v>4.6273663662971032E-2</c:v>
                </c:pt>
                <c:pt idx="135">
                  <c:v>4.6286719375612573E-2</c:v>
                </c:pt>
                <c:pt idx="136">
                  <c:v>4.629977490953241E-2</c:v>
                </c:pt>
                <c:pt idx="137">
                  <c:v>4.6312830264732985E-2</c:v>
                </c:pt>
                <c:pt idx="138">
                  <c:v>4.632588544121663E-2</c:v>
                </c:pt>
                <c:pt idx="139">
                  <c:v>4.6338940438985898E-2</c:v>
                </c:pt>
                <c:pt idx="140">
                  <c:v>4.6351995258043233E-2</c:v>
                </c:pt>
                <c:pt idx="141">
                  <c:v>4.6365049898390964E-2</c:v>
                </c:pt>
                <c:pt idx="142">
                  <c:v>4.6378104360031758E-2</c:v>
                </c:pt>
                <c:pt idx="143">
                  <c:v>4.6391158642967834E-2</c:v>
                </c:pt>
                <c:pt idx="144">
                  <c:v>4.6404212747201856E-2</c:v>
                </c:pt>
                <c:pt idx="145">
                  <c:v>4.6417266672736046E-2</c:v>
                </c:pt>
                <c:pt idx="146">
                  <c:v>4.6430320419572957E-2</c:v>
                </c:pt>
                <c:pt idx="147">
                  <c:v>4.6443373987715142E-2</c:v>
                </c:pt>
                <c:pt idx="148">
                  <c:v>4.6456427377164822E-2</c:v>
                </c:pt>
                <c:pt idx="149">
                  <c:v>4.6469480587924661E-2</c:v>
                </c:pt>
                <c:pt idx="150">
                  <c:v>4.648253361999688E-2</c:v>
                </c:pt>
                <c:pt idx="151">
                  <c:v>4.6495586473384143E-2</c:v>
                </c:pt>
                <c:pt idx="152">
                  <c:v>4.6508639148088782E-2</c:v>
                </c:pt>
                <c:pt idx="153">
                  <c:v>4.652169164411335E-2</c:v>
                </c:pt>
                <c:pt idx="154">
                  <c:v>4.6534743961460068E-2</c:v>
                </c:pt>
                <c:pt idx="155">
                  <c:v>4.65477961001316E-2</c:v>
                </c:pt>
                <c:pt idx="156">
                  <c:v>4.6560848060130278E-2</c:v>
                </c:pt>
                <c:pt idx="157">
                  <c:v>4.6573899841458655E-2</c:v>
                </c:pt>
                <c:pt idx="158">
                  <c:v>4.6586951444119062E-2</c:v>
                </c:pt>
                <c:pt idx="159">
                  <c:v>4.6600002868113943E-2</c:v>
                </c:pt>
                <c:pt idx="160">
                  <c:v>4.6613054113445851E-2</c:v>
                </c:pt>
                <c:pt idx="161">
                  <c:v>4.6626105180117117E-2</c:v>
                </c:pt>
                <c:pt idx="162">
                  <c:v>4.6639156068130294E-2</c:v>
                </c:pt>
                <c:pt idx="163">
                  <c:v>4.6652206777487715E-2</c:v>
                </c:pt>
                <c:pt idx="164">
                  <c:v>4.6665257308191932E-2</c:v>
                </c:pt>
                <c:pt idx="165">
                  <c:v>4.6678307660245388E-2</c:v>
                </c:pt>
                <c:pt idx="166">
                  <c:v>4.6691357833650415E-2</c:v>
                </c:pt>
                <c:pt idx="167">
                  <c:v>4.6704407828409567E-2</c:v>
                </c:pt>
                <c:pt idx="168">
                  <c:v>4.6717457644525173E-2</c:v>
                </c:pt>
                <c:pt idx="169">
                  <c:v>4.6730507281999789E-2</c:v>
                </c:pt>
                <c:pt idx="170">
                  <c:v>4.6743556740835857E-2</c:v>
                </c:pt>
                <c:pt idx="171">
                  <c:v>4.6756606021035818E-2</c:v>
                </c:pt>
                <c:pt idx="172">
                  <c:v>4.6769655122602005E-2</c:v>
                </c:pt>
                <c:pt idx="173">
                  <c:v>4.6782704045536971E-2</c:v>
                </c:pt>
                <c:pt idx="174">
                  <c:v>4.6795752789843159E-2</c:v>
                </c:pt>
                <c:pt idx="175">
                  <c:v>4.6808801355523011E-2</c:v>
                </c:pt>
                <c:pt idx="176">
                  <c:v>4.6821849742578969E-2</c:v>
                </c:pt>
                <c:pt idx="177">
                  <c:v>4.6834897951013477E-2</c:v>
                </c:pt>
                <c:pt idx="178">
                  <c:v>4.6847945980828865E-2</c:v>
                </c:pt>
                <c:pt idx="179">
                  <c:v>4.6860993832027797E-2</c:v>
                </c:pt>
                <c:pt idx="180">
                  <c:v>4.6874041504612607E-2</c:v>
                </c:pt>
                <c:pt idx="181">
                  <c:v>4.6887088998585624E-2</c:v>
                </c:pt>
                <c:pt idx="182">
                  <c:v>4.6900136313949514E-2</c:v>
                </c:pt>
                <c:pt idx="183">
                  <c:v>4.6913183450706497E-2</c:v>
                </c:pt>
                <c:pt idx="184">
                  <c:v>4.6926230408859237E-2</c:v>
                </c:pt>
                <c:pt idx="185">
                  <c:v>4.6939277188410067E-2</c:v>
                </c:pt>
                <c:pt idx="186">
                  <c:v>4.6952323789361428E-2</c:v>
                </c:pt>
                <c:pt idx="187">
                  <c:v>4.6965370211715762E-2</c:v>
                </c:pt>
                <c:pt idx="188">
                  <c:v>4.6978416455475513E-2</c:v>
                </c:pt>
                <c:pt idx="189">
                  <c:v>4.6991462520643124E-2</c:v>
                </c:pt>
                <c:pt idx="190">
                  <c:v>4.7004508407221146E-2</c:v>
                </c:pt>
                <c:pt idx="191">
                  <c:v>4.7017554115211913E-2</c:v>
                </c:pt>
                <c:pt idx="192">
                  <c:v>4.7030599644617865E-2</c:v>
                </c:pt>
                <c:pt idx="193">
                  <c:v>4.7043644995441447E-2</c:v>
                </c:pt>
                <c:pt idx="194">
                  <c:v>4.7056690167685211E-2</c:v>
                </c:pt>
                <c:pt idx="195">
                  <c:v>4.7069735161351489E-2</c:v>
                </c:pt>
                <c:pt idx="196">
                  <c:v>4.7082779976442724E-2</c:v>
                </c:pt>
                <c:pt idx="197">
                  <c:v>4.7095824612961357E-2</c:v>
                </c:pt>
                <c:pt idx="198">
                  <c:v>4.7108869070909942E-2</c:v>
                </c:pt>
                <c:pt idx="199">
                  <c:v>4.7121913350290812E-2</c:v>
                </c:pt>
                <c:pt idx="200">
                  <c:v>4.7134957451106518E-2</c:v>
                </c:pt>
                <c:pt idx="201">
                  <c:v>4.7148001373359394E-2</c:v>
                </c:pt>
                <c:pt idx="202">
                  <c:v>4.7161045117051992E-2</c:v>
                </c:pt>
                <c:pt idx="203">
                  <c:v>4.7174088682186532E-2</c:v>
                </c:pt>
                <c:pt idx="204">
                  <c:v>4.7187132068765791E-2</c:v>
                </c:pt>
                <c:pt idx="205">
                  <c:v>4.7200175276791989E-2</c:v>
                </c:pt>
                <c:pt idx="206">
                  <c:v>4.7213218306267568E-2</c:v>
                </c:pt>
                <c:pt idx="207">
                  <c:v>4.7226261157195082E-2</c:v>
                </c:pt>
                <c:pt idx="208">
                  <c:v>4.7239303829576862E-2</c:v>
                </c:pt>
                <c:pt idx="209">
                  <c:v>4.7252346323415462E-2</c:v>
                </c:pt>
                <c:pt idx="210">
                  <c:v>4.7265388638713213E-2</c:v>
                </c:pt>
                <c:pt idx="211">
                  <c:v>4.7278430775472668E-2</c:v>
                </c:pt>
                <c:pt idx="212">
                  <c:v>4.7291472733696271E-2</c:v>
                </c:pt>
                <c:pt idx="213">
                  <c:v>4.7304514513386353E-2</c:v>
                </c:pt>
                <c:pt idx="214">
                  <c:v>4.7317556114545467E-2</c:v>
                </c:pt>
                <c:pt idx="215">
                  <c:v>4.7330597537175945E-2</c:v>
                </c:pt>
                <c:pt idx="216">
                  <c:v>4.7343638781280339E-2</c:v>
                </c:pt>
                <c:pt idx="217">
                  <c:v>4.7356679846861094E-2</c:v>
                </c:pt>
                <c:pt idx="218">
                  <c:v>4.736972073392054E-2</c:v>
                </c:pt>
                <c:pt idx="219">
                  <c:v>4.738276144246123E-2</c:v>
                </c:pt>
                <c:pt idx="220">
                  <c:v>4.7395801972485607E-2</c:v>
                </c:pt>
                <c:pt idx="221">
                  <c:v>4.7408842323996003E-2</c:v>
                </c:pt>
                <c:pt idx="222">
                  <c:v>4.7421882496994971E-2</c:v>
                </c:pt>
                <c:pt idx="223">
                  <c:v>4.7434922491484954E-2</c:v>
                </c:pt>
                <c:pt idx="224">
                  <c:v>4.7447962307468283E-2</c:v>
                </c:pt>
                <c:pt idx="225">
                  <c:v>4.7461001944947512E-2</c:v>
                </c:pt>
                <c:pt idx="226">
                  <c:v>4.7474041403925082E-2</c:v>
                </c:pt>
                <c:pt idx="227">
                  <c:v>4.7487080684403438E-2</c:v>
                </c:pt>
                <c:pt idx="228">
                  <c:v>4.7500119786384909E-2</c:v>
                </c:pt>
                <c:pt idx="229">
                  <c:v>4.751315870987205E-2</c:v>
                </c:pt>
                <c:pt idx="230">
                  <c:v>4.7526197454867303E-2</c:v>
                </c:pt>
                <c:pt idx="231">
                  <c:v>4.753923602137311E-2</c:v>
                </c:pt>
                <c:pt idx="232">
                  <c:v>4.7552274409391804E-2</c:v>
                </c:pt>
                <c:pt idx="233">
                  <c:v>4.7565312618926048E-2</c:v>
                </c:pt>
                <c:pt idx="234">
                  <c:v>4.7578350649978063E-2</c:v>
                </c:pt>
                <c:pt idx="235">
                  <c:v>4.7591388502550402E-2</c:v>
                </c:pt>
                <c:pt idx="236">
                  <c:v>4.7604426176645509E-2</c:v>
                </c:pt>
                <c:pt idx="237">
                  <c:v>4.7617463672265714E-2</c:v>
                </c:pt>
                <c:pt idx="238">
                  <c:v>4.7630500989413682E-2</c:v>
                </c:pt>
                <c:pt idx="239">
                  <c:v>4.7643538128091634E-2</c:v>
                </c:pt>
                <c:pt idx="240">
                  <c:v>4.7656575088302122E-2</c:v>
                </c:pt>
                <c:pt idx="241">
                  <c:v>4.766961187004759E-2</c:v>
                </c:pt>
                <c:pt idx="242">
                  <c:v>4.768264847333048E-2</c:v>
                </c:pt>
                <c:pt idx="243">
                  <c:v>4.7695684898153123E-2</c:v>
                </c:pt>
                <c:pt idx="244">
                  <c:v>4.7708721144518185E-2</c:v>
                </c:pt>
                <c:pt idx="245">
                  <c:v>4.7721757212427884E-2</c:v>
                </c:pt>
                <c:pt idx="246">
                  <c:v>4.7734793101884776E-2</c:v>
                </c:pt>
                <c:pt idx="247">
                  <c:v>4.7747828812891413E-2</c:v>
                </c:pt>
                <c:pt idx="248">
                  <c:v>4.7760864345450016E-2</c:v>
                </c:pt>
                <c:pt idx="249">
                  <c:v>4.7773899699563027E-2</c:v>
                </c:pt>
                <c:pt idx="250">
                  <c:v>4.7786934875233111E-2</c:v>
                </c:pt>
                <c:pt idx="251">
                  <c:v>4.77999698724626E-2</c:v>
                </c:pt>
                <c:pt idx="252">
                  <c:v>4.7813004691253824E-2</c:v>
                </c:pt>
                <c:pt idx="253">
                  <c:v>4.7826039331609449E-2</c:v>
                </c:pt>
                <c:pt idx="254">
                  <c:v>4.7839073793531695E-2</c:v>
                </c:pt>
                <c:pt idx="255">
                  <c:v>4.7852108077023114E-2</c:v>
                </c:pt>
                <c:pt idx="256">
                  <c:v>4.7865142182086151E-2</c:v>
                </c:pt>
                <c:pt idx="257">
                  <c:v>4.7878176108723247E-2</c:v>
                </c:pt>
                <c:pt idx="258">
                  <c:v>4.7891209856936845E-2</c:v>
                </c:pt>
                <c:pt idx="259">
                  <c:v>4.7904243426729387E-2</c:v>
                </c:pt>
                <c:pt idx="260">
                  <c:v>4.7917276818103316E-2</c:v>
                </c:pt>
                <c:pt idx="261">
                  <c:v>4.7930310031060963E-2</c:v>
                </c:pt>
                <c:pt idx="262">
                  <c:v>4.7943343065604993E-2</c:v>
                </c:pt>
                <c:pt idx="263">
                  <c:v>4.7956375921737626E-2</c:v>
                </c:pt>
                <c:pt idx="264">
                  <c:v>4.7969408599461416E-2</c:v>
                </c:pt>
                <c:pt idx="265">
                  <c:v>4.7982441098778805E-2</c:v>
                </c:pt>
                <c:pt idx="266">
                  <c:v>4.7995473419692236E-2</c:v>
                </c:pt>
                <c:pt idx="267">
                  <c:v>4.8008505562204151E-2</c:v>
                </c:pt>
                <c:pt idx="268">
                  <c:v>4.8021537526316993E-2</c:v>
                </c:pt>
                <c:pt idx="269">
                  <c:v>4.8034569312033093E-2</c:v>
                </c:pt>
                <c:pt idx="270">
                  <c:v>4.8047600919355116E-2</c:v>
                </c:pt>
                <c:pt idx="271">
                  <c:v>4.8060632348285282E-2</c:v>
                </c:pt>
                <c:pt idx="272">
                  <c:v>4.8073663598826144E-2</c:v>
                </c:pt>
                <c:pt idx="273">
                  <c:v>4.8086694670980146E-2</c:v>
                </c:pt>
                <c:pt idx="274">
                  <c:v>4.8099725564749729E-2</c:v>
                </c:pt>
                <c:pt idx="275">
                  <c:v>4.8112756280137337E-2</c:v>
                </c:pt>
                <c:pt idx="276">
                  <c:v>4.8125786817145411E-2</c:v>
                </c:pt>
                <c:pt idx="277">
                  <c:v>4.8138817175776283E-2</c:v>
                </c:pt>
                <c:pt idx="278">
                  <c:v>4.8151847356032507E-2</c:v>
                </c:pt>
                <c:pt idx="279">
                  <c:v>4.8164877357916636E-2</c:v>
                </c:pt>
                <c:pt idx="280">
                  <c:v>4.8177907181430779E-2</c:v>
                </c:pt>
                <c:pt idx="281">
                  <c:v>4.8190936826577713E-2</c:v>
                </c:pt>
                <c:pt idx="282">
                  <c:v>4.8203966293359768E-2</c:v>
                </c:pt>
                <c:pt idx="283">
                  <c:v>4.8216995581779276E-2</c:v>
                </c:pt>
                <c:pt idx="284">
                  <c:v>4.8230024691838791E-2</c:v>
                </c:pt>
                <c:pt idx="285">
                  <c:v>4.8243053623540755E-2</c:v>
                </c:pt>
                <c:pt idx="286">
                  <c:v>4.825608237688761E-2</c:v>
                </c:pt>
                <c:pt idx="287">
                  <c:v>4.8269110951881689E-2</c:v>
                </c:pt>
                <c:pt idx="288">
                  <c:v>4.8282139348525543E-2</c:v>
                </c:pt>
                <c:pt idx="289">
                  <c:v>4.8295167566821617E-2</c:v>
                </c:pt>
                <c:pt idx="290">
                  <c:v>4.8308195606772353E-2</c:v>
                </c:pt>
                <c:pt idx="291">
                  <c:v>4.8321223468380081E-2</c:v>
                </c:pt>
                <c:pt idx="292">
                  <c:v>4.8334251151647356E-2</c:v>
                </c:pt>
                <c:pt idx="293">
                  <c:v>4.834727865657662E-2</c:v>
                </c:pt>
                <c:pt idx="294">
                  <c:v>4.8360305983170204E-2</c:v>
                </c:pt>
                <c:pt idx="295">
                  <c:v>4.8373333131430774E-2</c:v>
                </c:pt>
                <c:pt idx="296">
                  <c:v>4.8386360101360437E-2</c:v>
                </c:pt>
                <c:pt idx="297">
                  <c:v>4.8399386892961971E-2</c:v>
                </c:pt>
                <c:pt idx="298">
                  <c:v>4.8412413506237595E-2</c:v>
                </c:pt>
                <c:pt idx="299">
                  <c:v>4.8425439941189863E-2</c:v>
                </c:pt>
                <c:pt idx="300">
                  <c:v>4.8438466197821106E-2</c:v>
                </c:pt>
                <c:pt idx="301">
                  <c:v>4.8451492276133878E-2</c:v>
                </c:pt>
                <c:pt idx="302">
                  <c:v>4.8464518176130622E-2</c:v>
                </c:pt>
                <c:pt idx="303">
                  <c:v>4.8477543897813669E-2</c:v>
                </c:pt>
                <c:pt idx="304">
                  <c:v>4.8490569441185571E-2</c:v>
                </c:pt>
                <c:pt idx="305">
                  <c:v>4.8503594806248662E-2</c:v>
                </c:pt>
                <c:pt idx="306">
                  <c:v>4.8516619993005494E-2</c:v>
                </c:pt>
                <c:pt idx="307">
                  <c:v>4.8529645001458399E-2</c:v>
                </c:pt>
                <c:pt idx="308">
                  <c:v>4.854266983160993E-2</c:v>
                </c:pt>
                <c:pt idx="309">
                  <c:v>4.855569448346253E-2</c:v>
                </c:pt>
                <c:pt idx="310">
                  <c:v>4.8568718957018531E-2</c:v>
                </c:pt>
                <c:pt idx="311">
                  <c:v>4.8581743252280374E-2</c:v>
                </c:pt>
                <c:pt idx="312">
                  <c:v>4.8594767369250613E-2</c:v>
                </c:pt>
                <c:pt idx="313">
                  <c:v>4.860779130793158E-2</c:v>
                </c:pt>
                <c:pt idx="314">
                  <c:v>4.8620815068325829E-2</c:v>
                </c:pt>
                <c:pt idx="315">
                  <c:v>4.863383865043569E-2</c:v>
                </c:pt>
                <c:pt idx="316">
                  <c:v>4.8646862054263607E-2</c:v>
                </c:pt>
                <c:pt idx="317">
                  <c:v>4.8659885279812132E-2</c:v>
                </c:pt>
                <c:pt idx="318">
                  <c:v>4.8672908327083597E-2</c:v>
                </c:pt>
                <c:pt idx="319">
                  <c:v>4.8685931196080556E-2</c:v>
                </c:pt>
                <c:pt idx="320">
                  <c:v>4.869895388680523E-2</c:v>
                </c:pt>
                <c:pt idx="321">
                  <c:v>4.8711976399260282E-2</c:v>
                </c:pt>
                <c:pt idx="322">
                  <c:v>4.8724998733448155E-2</c:v>
                </c:pt>
                <c:pt idx="323">
                  <c:v>4.873802088937107E-2</c:v>
                </c:pt>
                <c:pt idx="324">
                  <c:v>4.8751042867031691E-2</c:v>
                </c:pt>
                <c:pt idx="325">
                  <c:v>4.876406466643235E-2</c:v>
                </c:pt>
                <c:pt idx="326">
                  <c:v>4.8777086287575488E-2</c:v>
                </c:pt>
                <c:pt idx="327">
                  <c:v>4.8790107730463661E-2</c:v>
                </c:pt>
                <c:pt idx="328">
                  <c:v>4.8803128995099088E-2</c:v>
                </c:pt>
                <c:pt idx="329">
                  <c:v>4.8816150081484433E-2</c:v>
                </c:pt>
                <c:pt idx="330">
                  <c:v>4.8829170989622028E-2</c:v>
                </c:pt>
                <c:pt idx="331">
                  <c:v>4.8842191719514316E-2</c:v>
                </c:pt>
                <c:pt idx="332">
                  <c:v>4.8855212271163739E-2</c:v>
                </c:pt>
                <c:pt idx="333">
                  <c:v>4.886823264457274E-2</c:v>
                </c:pt>
                <c:pt idx="334">
                  <c:v>4.8881252839743761E-2</c:v>
                </c:pt>
                <c:pt idx="335">
                  <c:v>4.8894272856679244E-2</c:v>
                </c:pt>
                <c:pt idx="336">
                  <c:v>4.8907292695381632E-2</c:v>
                </c:pt>
                <c:pt idx="337">
                  <c:v>4.8920312355853257E-2</c:v>
                </c:pt>
                <c:pt idx="338">
                  <c:v>4.8933331838096783E-2</c:v>
                </c:pt>
                <c:pt idx="339">
                  <c:v>4.8946351142114541E-2</c:v>
                </c:pt>
                <c:pt idx="340">
                  <c:v>4.8959370267908975E-2</c:v>
                </c:pt>
                <c:pt idx="341">
                  <c:v>4.8972389215482415E-2</c:v>
                </c:pt>
                <c:pt idx="342">
                  <c:v>4.8985407984837415E-2</c:v>
                </c:pt>
                <c:pt idx="343">
                  <c:v>4.8998426575976417E-2</c:v>
                </c:pt>
                <c:pt idx="344">
                  <c:v>4.9011444988901864E-2</c:v>
                </c:pt>
                <c:pt idx="345">
                  <c:v>4.9024463223616199E-2</c:v>
                </c:pt>
                <c:pt idx="346">
                  <c:v>4.9037481280121753E-2</c:v>
                </c:pt>
                <c:pt idx="347">
                  <c:v>4.9050499158421079E-2</c:v>
                </c:pt>
                <c:pt idx="348">
                  <c:v>4.906351685851662E-2</c:v>
                </c:pt>
                <c:pt idx="349">
                  <c:v>4.9076534380410708E-2</c:v>
                </c:pt>
                <c:pt idx="350">
                  <c:v>4.9089551724105895E-2</c:v>
                </c:pt>
                <c:pt idx="351">
                  <c:v>4.9102568889604625E-2</c:v>
                </c:pt>
                <c:pt idx="352">
                  <c:v>4.9115585876909229E-2</c:v>
                </c:pt>
                <c:pt idx="353">
                  <c:v>4.9128602686022149E-2</c:v>
                </c:pt>
                <c:pt idx="354">
                  <c:v>4.9141619316945939E-2</c:v>
                </c:pt>
                <c:pt idx="355">
                  <c:v>4.9154635769683042E-2</c:v>
                </c:pt>
                <c:pt idx="356">
                  <c:v>4.9167652044235788E-2</c:v>
                </c:pt>
                <c:pt idx="357">
                  <c:v>4.918066814060662E-2</c:v>
                </c:pt>
                <c:pt idx="358">
                  <c:v>4.9193684058798093E-2</c:v>
                </c:pt>
                <c:pt idx="359">
                  <c:v>4.9206699798812537E-2</c:v>
                </c:pt>
                <c:pt idx="360">
                  <c:v>4.9219715360652505E-2</c:v>
                </c:pt>
                <c:pt idx="361">
                  <c:v>4.923273074432033E-2</c:v>
                </c:pt>
                <c:pt idx="362">
                  <c:v>4.9245745949818454E-2</c:v>
                </c:pt>
                <c:pt idx="363">
                  <c:v>4.9258760977149318E-2</c:v>
                </c:pt>
                <c:pt idx="364">
                  <c:v>4.9271775826315367E-2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'2031'!$O$15:$O$380</c:f>
              <c:numCache>
                <c:formatCode>0.00%</c:formatCode>
                <c:ptCount val="366"/>
                <c:pt idx="0">
                  <c:v>3.4230950566402636E-2</c:v>
                </c:pt>
                <c:pt idx="1">
                  <c:v>3.4271401169756723E-2</c:v>
                </c:pt>
                <c:pt idx="2">
                  <c:v>3.4311887457647086E-2</c:v>
                </c:pt>
                <c:pt idx="3">
                  <c:v>3.4352401712064815E-2</c:v>
                </c:pt>
                <c:pt idx="4">
                  <c:v>3.4392937213689787E-2</c:v>
                </c:pt>
                <c:pt idx="5">
                  <c:v>3.4433488214578464E-2</c:v>
                </c:pt>
                <c:pt idx="6">
                  <c:v>3.4474049903005836E-2</c:v>
                </c:pt>
                <c:pt idx="7">
                  <c:v>3.451461836105843E-2</c:v>
                </c:pt>
                <c:pt idx="8">
                  <c:v>3.4555190515629948E-2</c:v>
                </c:pt>
                <c:pt idx="9">
                  <c:v>3.4595764083520129E-2</c:v>
                </c:pt>
                <c:pt idx="10">
                  <c:v>3.4636337511378221E-2</c:v>
                </c:pt>
                <c:pt idx="11">
                  <c:v>3.4676909911265222E-2</c:v>
                </c:pt>
                <c:pt idx="12">
                  <c:v>3.4717480992634948E-2</c:v>
                </c:pt>
                <c:pt idx="13">
                  <c:v>3.4758050991550146E-2</c:v>
                </c:pt>
                <c:pt idx="14">
                  <c:v>3.4798620597959143E-2</c:v>
                </c:pt>
                <c:pt idx="15">
                  <c:v>3.4839190881858925E-2</c:v>
                </c:pt>
                <c:pt idx="16">
                  <c:v>3.4879763219163071E-2</c:v>
                </c:pt>
                <c:pt idx="17">
                  <c:v>3.4920339218077474E-2</c:v>
                </c:pt>
                <c:pt idx="18">
                  <c:v>3.4960920646764128E-2</c:v>
                </c:pt>
                <c:pt idx="19">
                  <c:v>3.5001509363042416E-2</c:v>
                </c:pt>
                <c:pt idx="20">
                  <c:v>3.5042107246840766E-2</c:v>
                </c:pt>
                <c:pt idx="21">
                  <c:v>3.5082716136067511E-2</c:v>
                </c:pt>
                <c:pt idx="22">
                  <c:v>3.5123337766520657E-2</c:v>
                </c:pt>
                <c:pt idx="23">
                  <c:v>3.5163973716401516E-2</c:v>
                </c:pt>
                <c:pt idx="24">
                  <c:v>3.5204625355937498E-2</c:v>
                </c:pt>
                <c:pt idx="25">
                  <c:v>3.5245293802556643E-2</c:v>
                </c:pt>
                <c:pt idx="26">
                  <c:v>3.5285979881989019E-2</c:v>
                </c:pt>
                <c:pt idx="27">
                  <c:v>3.5326684095601711E-2</c:v>
                </c:pt>
                <c:pt idx="28">
                  <c:v>3.5367406594202642E-2</c:v>
                </c:pt>
                <c:pt idx="29">
                  <c:v>3.5408147158476622E-2</c:v>
                </c:pt>
                <c:pt idx="30">
                  <c:v>3.5448905186144665E-2</c:v>
                </c:pt>
                <c:pt idx="31">
                  <c:v>3.5489679685865624E-2</c:v>
                </c:pt>
                <c:pt idx="32">
                  <c:v>3.5530469277828561E-2</c:v>
                </c:pt>
                <c:pt idx="33">
                  <c:v>3.5571272200915438E-2</c:v>
                </c:pt>
                <c:pt idx="34">
                  <c:v>3.561208632624728E-2</c:v>
                </c:pt>
                <c:pt idx="35">
                  <c:v>3.5652909176864006E-2</c:v>
                </c:pt>
                <c:pt idx="36">
                  <c:v>3.569373795322893E-2</c:v>
                </c:pt>
                <c:pt idx="37">
                  <c:v>3.5734569564193686E-2</c:v>
                </c:pt>
                <c:pt idx="38">
                  <c:v>3.5775400663009618E-2</c:v>
                </c:pt>
                <c:pt idx="39">
                  <c:v>3.581622768792668E-2</c:v>
                </c:pt>
                <c:pt idx="40">
                  <c:v>3.5857046906881851E-2</c:v>
                </c:pt>
                <c:pt idx="41">
                  <c:v>3.5897854465745775E-2</c:v>
                </c:pt>
                <c:pt idx="42">
                  <c:v>3.5938646439569524E-2</c:v>
                </c:pt>
                <c:pt idx="43">
                  <c:v>3.5979418886253008E-2</c:v>
                </c:pt>
                <c:pt idx="44">
                  <c:v>3.6020167902041739E-2</c:v>
                </c:pt>
                <c:pt idx="45">
                  <c:v>3.6060889678252175E-2</c:v>
                </c:pt>
                <c:pt idx="46">
                  <c:v>3.6101580558623683E-2</c:v>
                </c:pt>
                <c:pt idx="47">
                  <c:v>3.6142237096701037E-2</c:v>
                </c:pt>
                <c:pt idx="48">
                  <c:v>3.6182856112662677E-2</c:v>
                </c:pt>
                <c:pt idx="49">
                  <c:v>3.6223434749026839E-2</c:v>
                </c:pt>
                <c:pt idx="50">
                  <c:v>3.6263970524691276E-2</c:v>
                </c:pt>
                <c:pt idx="51">
                  <c:v>3.6304461386789694E-2</c:v>
                </c:pt>
                <c:pt idx="52">
                  <c:v>3.6344905759881606E-2</c:v>
                </c:pt>
                <c:pt idx="53">
                  <c:v>3.6385302592029434E-2</c:v>
                </c:pt>
                <c:pt idx="54">
                  <c:v>3.6425651397357699E-2</c:v>
                </c:pt>
                <c:pt idx="55">
                  <c:v>3.6465952294734039E-2</c:v>
                </c:pt>
                <c:pt idx="56">
                  <c:v>3.6506206042258717E-2</c:v>
                </c:pt>
                <c:pt idx="57">
                  <c:v>3.6546414067298943E-2</c:v>
                </c:pt>
                <c:pt idx="58">
                  <c:v>3.6586578491855176E-2</c:v>
                </c:pt>
                <c:pt idx="59">
                  <c:v>3.6626702153098309E-2</c:v>
                </c:pt>
                <c:pt idx="60">
                  <c:v>3.666678861896952E-2</c:v>
                </c:pt>
                <c:pt idx="61">
                  <c:v>3.6706842198785422E-2</c:v>
                </c:pt>
                <c:pt idx="62">
                  <c:v>3.6746867948843354E-2</c:v>
                </c:pt>
                <c:pt idx="63">
                  <c:v>3.6786871673070327E-2</c:v>
                </c:pt>
                <c:pt idx="64">
                  <c:v>3.6826859918807409E-2</c:v>
                </c:pt>
                <c:pt idx="65">
                  <c:v>3.6866839967865897E-2</c:v>
                </c:pt>
                <c:pt idx="66">
                  <c:v>3.6906819823034044E-2</c:v>
                </c:pt>
                <c:pt idx="67">
                  <c:v>3.6946808190251673E-2</c:v>
                </c:pt>
                <c:pt idx="68">
                  <c:v>3.6986814456704653E-2</c:v>
                </c:pt>
                <c:pt idx="69">
                  <c:v>3.7026848665122354E-2</c:v>
                </c:pt>
                <c:pt idx="70">
                  <c:v>3.7066921484586825E-2</c:v>
                </c:pt>
                <c:pt idx="71">
                  <c:v>3.7107044178184813E-2</c:v>
                </c:pt>
                <c:pt idx="72">
                  <c:v>3.7147228567849834E-2</c:v>
                </c:pt>
                <c:pt idx="73">
                  <c:v>3.7187486996754053E-2</c:v>
                </c:pt>
                <c:pt idx="74">
                  <c:v>3.7227832289616243E-2</c:v>
                </c:pt>
                <c:pt idx="75">
                  <c:v>3.7268277711294449E-2</c:v>
                </c:pt>
                <c:pt idx="76">
                  <c:v>3.7308836924029344E-2</c:v>
                </c:pt>
                <c:pt idx="77">
                  <c:v>3.7349523943696492E-2</c:v>
                </c:pt>
                <c:pt idx="78">
                  <c:v>3.7390353095414129E-2</c:v>
                </c:pt>
                <c:pt idx="79">
                  <c:v>3.7431338968837199E-2</c:v>
                </c:pt>
                <c:pt idx="80">
                  <c:v>3.7472496373447947E-2</c:v>
                </c:pt>
                <c:pt idx="81">
                  <c:v>3.7513840294130261E-2</c:v>
                </c:pt>
                <c:pt idx="82">
                  <c:v>3.7555385847288257E-2</c:v>
                </c:pt>
                <c:pt idx="83">
                  <c:v>3.7597148237740227E-2</c:v>
                </c:pt>
                <c:pt idx="84">
                  <c:v>3.7639142716587463E-2</c:v>
                </c:pt>
                <c:pt idx="85">
                  <c:v>3.7681384540224426E-2</c:v>
                </c:pt>
                <c:pt idx="86">
                  <c:v>3.7723888930621986E-2</c:v>
                </c:pt>
                <c:pt idx="87">
                  <c:v>3.7766671036980268E-2</c:v>
                </c:pt>
                <c:pt idx="88">
                  <c:v>3.7809745898812447E-2</c:v>
                </c:pt>
                <c:pt idx="89">
                  <c:v>3.7853128410485631E-2</c:v>
                </c:pt>
                <c:pt idx="90">
                  <c:v>3.7896833287210829E-2</c:v>
                </c:pt>
                <c:pt idx="91">
                  <c:v>3.7940875032441264E-2</c:v>
                </c:pt>
                <c:pt idx="92">
                  <c:v>3.7985267906607625E-2</c:v>
                </c:pt>
                <c:pt idx="93">
                  <c:v>3.8030025897089773E-2</c:v>
                </c:pt>
                <c:pt idx="94">
                  <c:v>3.807516268929912E-2</c:v>
                </c:pt>
                <c:pt idx="95">
                  <c:v>3.812069163872301E-2</c:v>
                </c:pt>
                <c:pt idx="96">
                  <c:v>3.8166625743763352E-2</c:v>
                </c:pt>
                <c:pt idx="97">
                  <c:v>3.821297761918617E-2</c:v>
                </c:pt>
                <c:pt idx="98">
                  <c:v>3.8259759469987838E-2</c:v>
                </c:pt>
                <c:pt idx="99">
                  <c:v>3.8306983065476204E-2</c:v>
                </c:pt>
                <c:pt idx="100">
                  <c:v>3.8354659713362521E-2</c:v>
                </c:pt>
                <c:pt idx="101">
                  <c:v>3.8402800233661438E-2</c:v>
                </c:pt>
                <c:pt idx="102">
                  <c:v>3.8451414932202915E-2</c:v>
                </c:pt>
                <c:pt idx="103">
                  <c:v>3.8500513573570143E-2</c:v>
                </c:pt>
                <c:pt idx="104">
                  <c:v>3.8550105353292979E-2</c:v>
                </c:pt>
                <c:pt idx="105">
                  <c:v>3.8600198869144953E-2</c:v>
                </c:pt>
                <c:pt idx="106">
                  <c:v>3.865080209141545E-2</c:v>
                </c:pt>
                <c:pt idx="107">
                  <c:v>3.8701922332055126E-2</c:v>
                </c:pt>
                <c:pt idx="108">
                  <c:v>3.8753566212622659E-2</c:v>
                </c:pt>
                <c:pt idx="109">
                  <c:v>3.8805739630994027E-2</c:v>
                </c:pt>
                <c:pt idx="110">
                  <c:v>3.885844772683085E-2</c:v>
                </c:pt>
                <c:pt idx="111">
                  <c:v>3.8911694845842164E-2</c:v>
                </c:pt>
                <c:pt idx="112">
                  <c:v>3.8965484502912887E-2</c:v>
                </c:pt>
                <c:pt idx="113">
                  <c:v>3.90198193442126E-2</c:v>
                </c:pt>
                <c:pt idx="114">
                  <c:v>3.9074701108438921E-2</c:v>
                </c:pt>
                <c:pt idx="115">
                  <c:v>3.9130130587390295E-2</c:v>
                </c:pt>
                <c:pt idx="116">
                  <c:v>3.9186107586103233E-2</c:v>
                </c:pt>
                <c:pt idx="117">
                  <c:v>3.9242630882827527E-2</c:v>
                </c:pt>
                <c:pt idx="118">
                  <c:v>3.9299698189150085E-2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'2031'!$P$15:$P$380</c:f>
              <c:numCache>
                <c:formatCode>0.00%</c:formatCode>
                <c:ptCount val="366"/>
                <c:pt idx="0">
                  <c:v>5.5279041101452906E-3</c:v>
                </c:pt>
                <c:pt idx="1">
                  <c:v>5.4783523817034776E-3</c:v>
                </c:pt>
                <c:pt idx="2">
                  <c:v>5.4345550915442077E-3</c:v>
                </c:pt>
                <c:pt idx="3">
                  <c:v>5.3968584162070949E-3</c:v>
                </c:pt>
                <c:pt idx="4">
                  <c:v>5.3655689073894234E-3</c:v>
                </c:pt>
                <c:pt idx="5">
                  <c:v>5.340959660743794E-3</c:v>
                </c:pt>
                <c:pt idx="6">
                  <c:v>5.3232767810695242E-3</c:v>
                </c:pt>
                <c:pt idx="7">
                  <c:v>5.3127459915773383E-3</c:v>
                </c:pt>
                <c:pt idx="8">
                  <c:v>5.3084309723316165E-3</c:v>
                </c:pt>
                <c:pt idx="9">
                  <c:v>5.3139416079594085E-3</c:v>
                </c:pt>
                <c:pt idx="10">
                  <c:v>5.3244984451383086E-3</c:v>
                </c:pt>
                <c:pt idx="11">
                  <c:v>5.3398839186689613E-3</c:v>
                </c:pt>
                <c:pt idx="12">
                  <c:v>5.3598806371429374E-3</c:v>
                </c:pt>
                <c:pt idx="13">
                  <c:v>5.3842716569631969E-3</c:v>
                </c:pt>
                <c:pt idx="14">
                  <c:v>5.4128407652025423E-3</c:v>
                </c:pt>
                <c:pt idx="15">
                  <c:v>5.4374334930291923E-3</c:v>
                </c:pt>
                <c:pt idx="16">
                  <c:v>5.4560884069850338E-3</c:v>
                </c:pt>
                <c:pt idx="17">
                  <c:v>5.4689686256378404E-3</c:v>
                </c:pt>
                <c:pt idx="18">
                  <c:v>5.4762409360064497E-3</c:v>
                </c:pt>
                <c:pt idx="19">
                  <c:v>5.4781008667361452E-3</c:v>
                </c:pt>
                <c:pt idx="20">
                  <c:v>5.4747579372726148E-3</c:v>
                </c:pt>
                <c:pt idx="21">
                  <c:v>5.4664033186414837E-3</c:v>
                </c:pt>
                <c:pt idx="22">
                  <c:v>5.4527903554489028E-3</c:v>
                </c:pt>
                <c:pt idx="23">
                  <c:v>5.4113283861629852E-3</c:v>
                </c:pt>
                <c:pt idx="24">
                  <c:v>5.3394619464476765E-3</c:v>
                </c:pt>
                <c:pt idx="25">
                  <c:v>5.2387733237806338E-3</c:v>
                </c:pt>
                <c:pt idx="26">
                  <c:v>5.1108063613595107E-3</c:v>
                </c:pt>
                <c:pt idx="27">
                  <c:v>4.957052175799513E-3</c:v>
                </c:pt>
                <c:pt idx="28">
                  <c:v>4.778937568146558E-3</c:v>
                </c:pt>
                <c:pt idx="29">
                  <c:v>4.5762247741796642E-3</c:v>
                </c:pt>
                <c:pt idx="30">
                  <c:v>4.3567089327893709E-3</c:v>
                </c:pt>
                <c:pt idx="31">
                  <c:v>4.1213654642075943E-3</c:v>
                </c:pt>
                <c:pt idx="32">
                  <c:v>3.8710903352825385E-3</c:v>
                </c:pt>
                <c:pt idx="33">
                  <c:v>3.6066991151427344E-3</c:v>
                </c:pt>
                <c:pt idx="34">
                  <c:v>3.3289268705878491E-3</c:v>
                </c:pt>
                <c:pt idx="35">
                  <c:v>3.0384287139190664E-3</c:v>
                </c:pt>
                <c:pt idx="36">
                  <c:v>2.7354752881877725E-3</c:v>
                </c:pt>
                <c:pt idx="37">
                  <c:v>2.4337259917538863E-3</c:v>
                </c:pt>
                <c:pt idx="38">
                  <c:v>2.1514952094320219E-3</c:v>
                </c:pt>
                <c:pt idx="39">
                  <c:v>1.8881280525372556E-3</c:v>
                </c:pt>
                <c:pt idx="40">
                  <c:v>1.6429799281095377E-3</c:v>
                </c:pt>
                <c:pt idx="41">
                  <c:v>1.4154186567655151E-3</c:v>
                </c:pt>
                <c:pt idx="42">
                  <c:v>1.2048262406879418E-3</c:v>
                </c:pt>
                <c:pt idx="43">
                  <c:v>1.0158051742563776E-3</c:v>
                </c:pt>
                <c:pt idx="44">
                  <c:v>8.4886786762117087E-4</c:v>
                </c:pt>
                <c:pt idx="45">
                  <c:v>7.0320748256273203E-4</c:v>
                </c:pt>
                <c:pt idx="46">
                  <c:v>5.7804711897924566E-4</c:v>
                </c:pt>
                <c:pt idx="47">
                  <c:v>4.7264031939818967E-4</c:v>
                </c:pt>
                <c:pt idx="48">
                  <c:v>3.8627137573991172E-4</c:v>
                </c:pt>
                <c:pt idx="49">
                  <c:v>3.1825547291869849E-4</c:v>
                </c:pt>
                <c:pt idx="50">
                  <c:v>2.6793598189152969E-4</c:v>
                </c:pt>
                <c:pt idx="51">
                  <c:v>2.3449032392813083E-4</c:v>
                </c:pt>
                <c:pt idx="52">
                  <c:v>2.0628656958503712E-4</c:v>
                </c:pt>
                <c:pt idx="53">
                  <c:v>1.8314315009976075E-4</c:v>
                </c:pt>
                <c:pt idx="54">
                  <c:v>1.6488800691941599E-4</c:v>
                </c:pt>
                <c:pt idx="55">
                  <c:v>1.5135672360609681E-4</c:v>
                </c:pt>
                <c:pt idx="56">
                  <c:v>1.4239185495432309E-4</c:v>
                </c:pt>
                <c:pt idx="57">
                  <c:v>1.3756479952688563E-4</c:v>
                </c:pt>
                <c:pt idx="58">
                  <c:v>1.3238290910429706E-4</c:v>
                </c:pt>
                <c:pt idx="59">
                  <c:v>1.2685783892272461E-4</c:v>
                </c:pt>
                <c:pt idx="60">
                  <c:v>1.2100096039990737E-4</c:v>
                </c:pt>
                <c:pt idx="61">
                  <c:v>1.1482337678235165E-4</c:v>
                </c:pt>
                <c:pt idx="62">
                  <c:v>1.0833593465403871E-4</c:v>
                </c:pt>
                <c:pt idx="63">
                  <c:v>1.0154923173895852E-4</c:v>
                </c:pt>
                <c:pt idx="64">
                  <c:v>9.4472120608318349E-5</c:v>
                </c:pt>
                <c:pt idx="65">
                  <c:v>8.738318768397024E-5</c:v>
                </c:pt>
                <c:pt idx="66">
                  <c:v>8.0451694707432672E-5</c:v>
                </c:pt>
                <c:pt idx="67">
                  <c:v>7.3675201043295024E-5</c:v>
                </c:pt>
                <c:pt idx="68">
                  <c:v>6.7050878722353755E-5</c:v>
                </c:pt>
                <c:pt idx="69">
                  <c:v>6.0575547763400239E-5</c:v>
                </c:pt>
                <c:pt idx="70">
                  <c:v>5.4245709109227541E-5</c:v>
                </c:pt>
                <c:pt idx="71">
                  <c:v>4.8483230145498182E-5</c:v>
                </c:pt>
                <c:pt idx="72">
                  <c:v>4.3508319786248545E-5</c:v>
                </c:pt>
                <c:pt idx="73">
                  <c:v>3.9297879566321801E-5</c:v>
                </c:pt>
                <c:pt idx="74">
                  <c:v>3.5829686819752952E-5</c:v>
                </c:pt>
                <c:pt idx="75">
                  <c:v>3.3082468122805669E-5</c:v>
                </c:pt>
                <c:pt idx="76">
                  <c:v>3.1035965100240647E-5</c:v>
                </c:pt>
                <c:pt idx="77">
                  <c:v>2.9670993385215597E-5</c:v>
                </c:pt>
                <c:pt idx="78">
                  <c:v>2.8966736334051739E-5</c:v>
                </c:pt>
                <c:pt idx="79">
                  <c:v>2.894075186223385E-5</c:v>
                </c:pt>
                <c:pt idx="80">
                  <c:v>2.9344566030199968E-5</c:v>
                </c:pt>
                <c:pt idx="81">
                  <c:v>3.0168423269503011E-5</c:v>
                </c:pt>
                <c:pt idx="82">
                  <c:v>3.1403186245772938E-5</c:v>
                </c:pt>
                <c:pt idx="83">
                  <c:v>3.3040454194506897E-5</c:v>
                </c:pt>
                <c:pt idx="84">
                  <c:v>3.5072669501737048E-5</c:v>
                </c:pt>
                <c:pt idx="85">
                  <c:v>3.7212709083060432E-5</c:v>
                </c:pt>
                <c:pt idx="86">
                  <c:v>3.9087248212285883E-5</c:v>
                </c:pt>
                <c:pt idx="87">
                  <c:v>4.0704827228796871E-5</c:v>
                </c:pt>
                <c:pt idx="88">
                  <c:v>4.2073533728830028E-5</c:v>
                </c:pt>
                <c:pt idx="89">
                  <c:v>4.3200949145781725E-5</c:v>
                </c:pt>
                <c:pt idx="90">
                  <c:v>4.409410121633781E-5</c:v>
                </c:pt>
                <c:pt idx="91">
                  <c:v>4.4759421370593755E-5</c:v>
                </c:pt>
                <c:pt idx="92">
                  <c:v>4.5199077444105272E-5</c:v>
                </c:pt>
                <c:pt idx="93">
                  <c:v>4.5316442598092682E-5</c:v>
                </c:pt>
                <c:pt idx="94">
                  <c:v>4.5083300686745944E-5</c:v>
                </c:pt>
                <c:pt idx="95">
                  <c:v>4.4523942764028303E-5</c:v>
                </c:pt>
                <c:pt idx="96">
                  <c:v>4.3652498729662638E-5</c:v>
                </c:pt>
                <c:pt idx="97">
                  <c:v>4.244657537639561E-5</c:v>
                </c:pt>
                <c:pt idx="98">
                  <c:v>4.0906830144239887E-5</c:v>
                </c:pt>
                <c:pt idx="99">
                  <c:v>3.9145349334686326E-5</c:v>
                </c:pt>
                <c:pt idx="100">
                  <c:v>3.7421972239611864E-5</c:v>
                </c:pt>
                <c:pt idx="101">
                  <c:v>3.5732688906522143E-5</c:v>
                </c:pt>
                <c:pt idx="102">
                  <c:v>3.4073378443009546E-5</c:v>
                </c:pt>
                <c:pt idx="103">
                  <c:v>3.243979644181518E-5</c:v>
                </c:pt>
                <c:pt idx="104">
                  <c:v>3.0827561488486004E-5</c:v>
                </c:pt>
                <c:pt idx="105">
                  <c:v>2.923214070320162E-5</c:v>
                </c:pt>
                <c:pt idx="106">
                  <c:v>2.7648669895694858E-5</c:v>
                </c:pt>
                <c:pt idx="107">
                  <c:v>2.6088303098609618E-5</c:v>
                </c:pt>
                <c:pt idx="108">
                  <c:v>2.4652396468157909E-5</c:v>
                </c:pt>
                <c:pt idx="109">
                  <c:v>2.3340310507494361E-5</c:v>
                </c:pt>
                <c:pt idx="110">
                  <c:v>2.2151821197059922E-5</c:v>
                </c:pt>
                <c:pt idx="111">
                  <c:v>2.1087055969328578E-5</c:v>
                </c:pt>
                <c:pt idx="112">
                  <c:v>2.0146446356523659E-5</c:v>
                </c:pt>
                <c:pt idx="113">
                  <c:v>1.9319102780557173E-5</c:v>
                </c:pt>
                <c:pt idx="114">
                  <c:v>1.8493256627628403E-5</c:v>
                </c:pt>
                <c:pt idx="115">
                  <c:v>1.7669226015951095E-5</c:v>
                </c:pt>
                <c:pt idx="116">
                  <c:v>1.6847446148489067E-5</c:v>
                </c:pt>
                <c:pt idx="117">
                  <c:v>1.6028476312365885E-5</c:v>
                </c:pt>
                <c:pt idx="118">
                  <c:v>1.5213007133017458E-5</c:v>
                </c:pt>
                <c:pt idx="119">
                  <c:v>1.4401868061737788E-5</c:v>
                </c:pt>
                <c:pt idx="120">
                  <c:v>1.3596364261500506E-5</c:v>
                </c:pt>
                <c:pt idx="121">
                  <c:v>1.2831276745874177E-5</c:v>
                </c:pt>
                <c:pt idx="122">
                  <c:v>1.2082402140464585E-5</c:v>
                </c:pt>
                <c:pt idx="123">
                  <c:v>1.1349132287528626E-5</c:v>
                </c:pt>
                <c:pt idx="124">
                  <c:v>1.0630924160760695E-5</c:v>
                </c:pt>
                <c:pt idx="125">
                  <c:v>9.9272985201052146E-6</c:v>
                </c:pt>
                <c:pt idx="126">
                  <c:v>9.2378387500814482E-6</c:v>
                </c:pt>
                <c:pt idx="127">
                  <c:v>8.5878051602580912E-6</c:v>
                </c:pt>
                <c:pt idx="128">
                  <c:v>7.9903148678190751E-6</c:v>
                </c:pt>
                <c:pt idx="129">
                  <c:v>7.4461478458454926E-6</c:v>
                </c:pt>
                <c:pt idx="130">
                  <c:v>6.9562105087686858E-6</c:v>
                </c:pt>
                <c:pt idx="131">
                  <c:v>6.5215310706932698E-6</c:v>
                </c:pt>
                <c:pt idx="132">
                  <c:v>6.1432545356470926E-6</c:v>
                </c:pt>
                <c:pt idx="133">
                  <c:v>5.8226372562724935E-6</c:v>
                </c:pt>
                <c:pt idx="134">
                  <c:v>5.5611775588410134E-6</c:v>
                </c:pt>
                <c:pt idx="135">
                  <c:v>5.357400622791618E-6</c:v>
                </c:pt>
                <c:pt idx="136">
                  <c:v>5.1751950352195627E-6</c:v>
                </c:pt>
                <c:pt idx="137">
                  <c:v>5.0149741841970696E-6</c:v>
                </c:pt>
                <c:pt idx="138">
                  <c:v>4.8771884388492093E-6</c:v>
                </c:pt>
                <c:pt idx="139">
                  <c:v>4.7623232554400653E-6</c:v>
                </c:pt>
                <c:pt idx="140">
                  <c:v>4.6708971291776479E-6</c:v>
                </c:pt>
                <c:pt idx="141">
                  <c:v>4.5987262782101713E-6</c:v>
                </c:pt>
                <c:pt idx="142">
                  <c:v>4.516562790053823E-6</c:v>
                </c:pt>
                <c:pt idx="143">
                  <c:v>4.4238714126768811E-6</c:v>
                </c:pt>
                <c:pt idx="144">
                  <c:v>4.3201285553199284E-6</c:v>
                </c:pt>
                <c:pt idx="145">
                  <c:v>4.204800166377802E-6</c:v>
                </c:pt>
                <c:pt idx="146">
                  <c:v>4.0773433424863E-6</c:v>
                </c:pt>
                <c:pt idx="147">
                  <c:v>3.9372080719393709E-6</c:v>
                </c:pt>
                <c:pt idx="148">
                  <c:v>3.7838985507106411E-6</c:v>
                </c:pt>
                <c:pt idx="149">
                  <c:v>3.6253359484085331E-6</c:v>
                </c:pt>
                <c:pt idx="150">
                  <c:v>3.4655629023200105E-6</c:v>
                </c:pt>
                <c:pt idx="151">
                  <c:v>3.3046314885815042E-6</c:v>
                </c:pt>
                <c:pt idx="152">
                  <c:v>3.1426078936049403E-6</c:v>
                </c:pt>
                <c:pt idx="153">
                  <c:v>2.9795723715772861E-6</c:v>
                </c:pt>
                <c:pt idx="154">
                  <c:v>2.8156191292971824E-6</c:v>
                </c:pt>
                <c:pt idx="155">
                  <c:v>2.6563591015114214E-6</c:v>
                </c:pt>
                <c:pt idx="156">
                  <c:v>2.507639294848422E-6</c:v>
                </c:pt>
                <c:pt idx="157">
                  <c:v>2.369938592763165E-6</c:v>
                </c:pt>
                <c:pt idx="158">
                  <c:v>2.243748270439507E-6</c:v>
                </c:pt>
                <c:pt idx="159">
                  <c:v>2.1295700176810017E-6</c:v>
                </c:pt>
                <c:pt idx="160">
                  <c:v>2.0279138858558378E-6</c:v>
                </c:pt>
                <c:pt idx="161">
                  <c:v>1.9392961730822009E-6</c:v>
                </c:pt>
                <c:pt idx="162">
                  <c:v>1.8642190570026011E-6</c:v>
                </c:pt>
                <c:pt idx="163">
                  <c:v>1.8060826465802317E-6</c:v>
                </c:pt>
                <c:pt idx="164">
                  <c:v>1.7552907612671205E-6</c:v>
                </c:pt>
                <c:pt idx="165">
                  <c:v>1.712106490245073E-6</c:v>
                </c:pt>
                <c:pt idx="166">
                  <c:v>1.6767900866797732E-6</c:v>
                </c:pt>
                <c:pt idx="167">
                  <c:v>1.6495988946989522E-6</c:v>
                </c:pt>
                <c:pt idx="168">
                  <c:v>1.6307873567109474E-6</c:v>
                </c:pt>
                <c:pt idx="169">
                  <c:v>1.6236488918620303E-6</c:v>
                </c:pt>
                <c:pt idx="170">
                  <c:v>1.6221794778293161E-6</c:v>
                </c:pt>
                <c:pt idx="171">
                  <c:v>1.6265469455483856E-6</c:v>
                </c:pt>
                <c:pt idx="172">
                  <c:v>1.6369182073140464E-6</c:v>
                </c:pt>
                <c:pt idx="173">
                  <c:v>1.6534454251226625E-6</c:v>
                </c:pt>
                <c:pt idx="174">
                  <c:v>1.6762789964187055E-6</c:v>
                </c:pt>
                <c:pt idx="175">
                  <c:v>1.7055823637985063E-6</c:v>
                </c:pt>
                <c:pt idx="176">
                  <c:v>1.7415013758839866E-6</c:v>
                </c:pt>
                <c:pt idx="177">
                  <c:v>1.7908559241370303E-6</c:v>
                </c:pt>
                <c:pt idx="178">
                  <c:v>1.8506581885818816E-6</c:v>
                </c:pt>
                <c:pt idx="179">
                  <c:v>1.9211137090753014E-6</c:v>
                </c:pt>
                <c:pt idx="180">
                  <c:v>2.0024234905412642E-6</c:v>
                </c:pt>
                <c:pt idx="181">
                  <c:v>2.0947836198916989E-6</c:v>
                </c:pt>
                <c:pt idx="182">
                  <c:v>2.1983849287293711E-6</c:v>
                </c:pt>
                <c:pt idx="183">
                  <c:v>2.3257752131485861E-6</c:v>
                </c:pt>
                <c:pt idx="184">
                  <c:v>2.4740257123812703E-6</c:v>
                </c:pt>
                <c:pt idx="185">
                  <c:v>2.6435417436420468E-6</c:v>
                </c:pt>
                <c:pt idx="186">
                  <c:v>2.8347157102327585E-6</c:v>
                </c:pt>
                <c:pt idx="187">
                  <c:v>3.0479266390146751E-6</c:v>
                </c:pt>
                <c:pt idx="188">
                  <c:v>3.2835397788278354E-6</c:v>
                </c:pt>
                <c:pt idx="189">
                  <c:v>3.5419062500960713E-6</c:v>
                </c:pt>
                <c:pt idx="190">
                  <c:v>3.8233835197233116E-6</c:v>
                </c:pt>
                <c:pt idx="191">
                  <c:v>4.1209788417527334E-6</c:v>
                </c:pt>
                <c:pt idx="192">
                  <c:v>4.427548560520663E-6</c:v>
                </c:pt>
                <c:pt idx="193">
                  <c:v>4.7432076561450828E-6</c:v>
                </c:pt>
                <c:pt idx="194">
                  <c:v>5.0680777482933512E-6</c:v>
                </c:pt>
                <c:pt idx="195">
                  <c:v>5.402287950636317E-6</c:v>
                </c:pt>
                <c:pt idx="196">
                  <c:v>5.745975722327692E-6</c:v>
                </c:pt>
                <c:pt idx="197">
                  <c:v>6.0906681145561781E-6</c:v>
                </c:pt>
                <c:pt idx="198">
                  <c:v>6.4225335245219705E-6</c:v>
                </c:pt>
                <c:pt idx="199">
                  <c:v>6.7412658654673778E-6</c:v>
                </c:pt>
                <c:pt idx="200">
                  <c:v>7.0465758378049946E-6</c:v>
                </c:pt>
                <c:pt idx="201">
                  <c:v>7.3381894963475329E-6</c:v>
                </c:pt>
                <c:pt idx="202">
                  <c:v>7.6158467392890511E-6</c:v>
                </c:pt>
                <c:pt idx="203">
                  <c:v>7.879299732043061E-6</c:v>
                </c:pt>
                <c:pt idx="204">
                  <c:v>8.1283845970100643E-6</c:v>
                </c:pt>
                <c:pt idx="205">
                  <c:v>8.412433132567283E-6</c:v>
                </c:pt>
                <c:pt idx="206">
                  <c:v>8.7398910555669228E-6</c:v>
                </c:pt>
                <c:pt idx="207">
                  <c:v>9.1113563483070547E-6</c:v>
                </c:pt>
                <c:pt idx="208">
                  <c:v>9.5274339566130591E-6</c:v>
                </c:pt>
                <c:pt idx="209">
                  <c:v>9.9887333294938887E-6</c:v>
                </c:pt>
                <c:pt idx="210">
                  <c:v>1.0495865698108483E-5</c:v>
                </c:pt>
                <c:pt idx="211">
                  <c:v>1.1114109681144865E-5</c:v>
                </c:pt>
                <c:pt idx="212">
                  <c:v>1.1854738547394064E-5</c:v>
                </c:pt>
                <c:pt idx="213">
                  <c:v>1.2719552902901502E-5</c:v>
                </c:pt>
                <c:pt idx="214">
                  <c:v>1.3710345364025414E-5</c:v>
                </c:pt>
                <c:pt idx="215">
                  <c:v>1.4828891250305544E-5</c:v>
                </c:pt>
                <c:pt idx="216">
                  <c:v>1.6076938420122036E-5</c:v>
                </c:pt>
                <c:pt idx="217">
                  <c:v>1.7456196239144702E-5</c:v>
                </c:pt>
                <c:pt idx="218">
                  <c:v>1.8968998848748106E-5</c:v>
                </c:pt>
                <c:pt idx="219">
                  <c:v>2.0592552273327671E-5</c:v>
                </c:pt>
                <c:pt idx="220">
                  <c:v>2.2274834803064252E-5</c:v>
                </c:pt>
                <c:pt idx="221">
                  <c:v>2.4016637522296952E-5</c:v>
                </c:pt>
                <c:pt idx="222">
                  <c:v>2.5818735196149683E-5</c:v>
                </c:pt>
                <c:pt idx="223">
                  <c:v>2.7681882140992318E-5</c:v>
                </c:pt>
                <c:pt idx="224">
                  <c:v>2.9606807875003112E-5</c:v>
                </c:pt>
                <c:pt idx="225">
                  <c:v>3.1782482474961243E-5</c:v>
                </c:pt>
                <c:pt idx="226">
                  <c:v>3.4143651802769047E-5</c:v>
                </c:pt>
                <c:pt idx="227">
                  <c:v>3.6693694712421998E-5</c:v>
                </c:pt>
                <c:pt idx="228">
                  <c:v>3.9435904294315249E-5</c:v>
                </c:pt>
                <c:pt idx="229">
                  <c:v>4.2373477452391339E-5</c:v>
                </c:pt>
                <c:pt idx="230">
                  <c:v>4.5509503516288804E-5</c:v>
                </c:pt>
                <c:pt idx="231">
                  <c:v>4.8846951881777074E-5</c:v>
                </c:pt>
                <c:pt idx="232">
                  <c:v>5.2388309870624623E-5</c:v>
                </c:pt>
                <c:pt idx="233">
                  <c:v>5.6372200737692461E-5</c:v>
                </c:pt>
                <c:pt idx="234">
                  <c:v>6.0832903047505151E-5</c:v>
                </c:pt>
                <c:pt idx="235">
                  <c:v>6.5777857476037526E-5</c:v>
                </c:pt>
                <c:pt idx="236">
                  <c:v>7.1214697972612635E-5</c:v>
                </c:pt>
                <c:pt idx="237">
                  <c:v>7.7151253038314647E-5</c:v>
                </c:pt>
                <c:pt idx="238">
                  <c:v>8.3595633065816242E-5</c:v>
                </c:pt>
                <c:pt idx="239">
                  <c:v>8.9988831554643333E-5</c:v>
                </c:pt>
                <c:pt idx="240">
                  <c:v>9.6123225922554713E-5</c:v>
                </c:pt>
                <c:pt idx="241">
                  <c:v>1.019947028123752E-4</c:v>
                </c:pt>
                <c:pt idx="242">
                  <c:v>1.0759939537258616E-4</c:v>
                </c:pt>
                <c:pt idx="243">
                  <c:v>1.129336533672917E-4</c:v>
                </c:pt>
                <c:pt idx="244">
                  <c:v>1.1799401224803476E-4</c:v>
                </c:pt>
                <c:pt idx="245">
                  <c:v>1.2277716116964452E-4</c:v>
                </c:pt>
                <c:pt idx="246">
                  <c:v>1.2727471586355599E-4</c:v>
                </c:pt>
                <c:pt idx="247">
                  <c:v>1.3086480391303148E-4</c:v>
                </c:pt>
                <c:pt idx="248">
                  <c:v>1.3327863502811759E-4</c:v>
                </c:pt>
                <c:pt idx="249">
                  <c:v>1.3449722863000804E-4</c:v>
                </c:pt>
                <c:pt idx="250">
                  <c:v>1.3450121944885615E-4</c:v>
                </c:pt>
                <c:pt idx="251">
                  <c:v>1.3327076566948273E-4</c:v>
                </c:pt>
                <c:pt idx="252">
                  <c:v>1.3078545268249936E-4</c:v>
                </c:pt>
                <c:pt idx="253">
                  <c:v>1.2728144409163486E-4</c:v>
                </c:pt>
                <c:pt idx="254">
                  <c:v>1.2336109295160664E-4</c:v>
                </c:pt>
                <c:pt idx="255">
                  <c:v>1.1901804130758893E-4</c:v>
                </c:pt>
                <c:pt idx="256">
                  <c:v>1.1424551822839908E-4</c:v>
                </c:pt>
                <c:pt idx="257">
                  <c:v>1.090363014624486E-4</c:v>
                </c:pt>
                <c:pt idx="258">
                  <c:v>1.0338267620449689E-4</c:v>
                </c:pt>
                <c:pt idx="259">
                  <c:v>9.7276390550364288E-5</c:v>
                </c:pt>
                <c:pt idx="260">
                  <c:v>9.071071159630089E-5</c:v>
                </c:pt>
                <c:pt idx="261">
                  <c:v>8.4652003338786809E-5</c:v>
                </c:pt>
                <c:pt idx="262">
                  <c:v>7.9775531264535444E-5</c:v>
                </c:pt>
                <c:pt idx="263">
                  <c:v>7.6102478787680534E-5</c:v>
                </c:pt>
                <c:pt idx="264">
                  <c:v>7.3655490377645864E-5</c:v>
                </c:pt>
                <c:pt idx="265">
                  <c:v>7.2458817633184766E-5</c:v>
                </c:pt>
                <c:pt idx="266">
                  <c:v>7.2537646135388683E-5</c:v>
                </c:pt>
                <c:pt idx="267">
                  <c:v>7.4561496129424984E-5</c:v>
                </c:pt>
                <c:pt idx="268">
                  <c:v>7.8285974285768463E-5</c:v>
                </c:pt>
                <c:pt idx="269">
                  <c:v>8.3745866023205478E-5</c:v>
                </c:pt>
                <c:pt idx="270">
                  <c:v>9.0976134471671433E-5</c:v>
                </c:pt>
                <c:pt idx="271">
                  <c:v>1.0001151505172901E-4</c:v>
                </c:pt>
                <c:pt idx="272">
                  <c:v>1.1088607548293916E-4</c:v>
                </c:pt>
                <c:pt idx="273">
                  <c:v>1.2363274010528477E-4</c:v>
                </c:pt>
                <c:pt idx="274">
                  <c:v>1.3829340066535658E-4</c:v>
                </c:pt>
                <c:pt idx="275">
                  <c:v>1.5424612258682884E-4</c:v>
                </c:pt>
                <c:pt idx="276">
                  <c:v>1.7043174766823868E-4</c:v>
                </c:pt>
                <c:pt idx="277">
                  <c:v>1.8685172802097446E-4</c:v>
                </c:pt>
                <c:pt idx="278">
                  <c:v>2.0350682112732775E-4</c:v>
                </c:pt>
                <c:pt idx="279">
                  <c:v>2.203970552532504E-4</c:v>
                </c:pt>
                <c:pt idx="280">
                  <c:v>2.3752169445025016E-4</c:v>
                </c:pt>
                <c:pt idx="281">
                  <c:v>2.5443457994982384E-4</c:v>
                </c:pt>
                <c:pt idx="282">
                  <c:v>2.7040892761176391E-4</c:v>
                </c:pt>
                <c:pt idx="283">
                  <c:v>2.8541760956423399E-4</c:v>
                </c:pt>
                <c:pt idx="284">
                  <c:v>2.9943278495257416E-4</c:v>
                </c:pt>
                <c:pt idx="285">
                  <c:v>3.1242601776941846E-4</c:v>
                </c:pt>
                <c:pt idx="286">
                  <c:v>3.2436840233176383E-4</c:v>
                </c:pt>
                <c:pt idx="287">
                  <c:v>3.3523069645580703E-4</c:v>
                </c:pt>
                <c:pt idx="288">
                  <c:v>3.4500119269780107E-4</c:v>
                </c:pt>
                <c:pt idx="289">
                  <c:v>3.6573746722279467E-4</c:v>
                </c:pt>
                <c:pt idx="290">
                  <c:v>3.9838563963545638E-4</c:v>
                </c:pt>
                <c:pt idx="291">
                  <c:v>4.4316656777115289E-4</c:v>
                </c:pt>
                <c:pt idx="292">
                  <c:v>5.0030076808829486E-4</c:v>
                </c:pt>
                <c:pt idx="293">
                  <c:v>5.700077733859102E-4</c:v>
                </c:pt>
                <c:pt idx="294">
                  <c:v>6.5250548975853955E-4</c:v>
                </c:pt>
                <c:pt idx="295">
                  <c:v>7.7066970544082216E-4</c:v>
                </c:pt>
                <c:pt idx="296">
                  <c:v>9.2562552150580427E-4</c:v>
                </c:pt>
                <c:pt idx="297">
                  <c:v>1.1180145477995924E-3</c:v>
                </c:pt>
                <c:pt idx="298">
                  <c:v>1.3484688731323447E-3</c:v>
                </c:pt>
                <c:pt idx="299">
                  <c:v>1.6176137325620264E-3</c:v>
                </c:pt>
                <c:pt idx="300">
                  <c:v>1.9260655790872213E-3</c:v>
                </c:pt>
                <c:pt idx="301">
                  <c:v>2.2744300507683275E-3</c:v>
                </c:pt>
                <c:pt idx="302">
                  <c:v>2.6634799951449242E-3</c:v>
                </c:pt>
                <c:pt idx="303">
                  <c:v>3.0866692503342722E-3</c:v>
                </c:pt>
                <c:pt idx="304">
                  <c:v>3.5313960592509141E-3</c:v>
                </c:pt>
                <c:pt idx="305">
                  <c:v>3.9980409547832911E-3</c:v>
                </c:pt>
                <c:pt idx="306">
                  <c:v>4.4869788175955199E-3</c:v>
                </c:pt>
                <c:pt idx="307">
                  <c:v>4.9985757367473904E-3</c:v>
                </c:pt>
                <c:pt idx="308">
                  <c:v>5.5331853695966115E-3</c:v>
                </c:pt>
                <c:pt idx="309">
                  <c:v>6.0581956971426489E-3</c:v>
                </c:pt>
                <c:pt idx="310">
                  <c:v>6.5485350312957831E-3</c:v>
                </c:pt>
                <c:pt idx="311">
                  <c:v>7.0034298971755017E-3</c:v>
                </c:pt>
                <c:pt idx="312">
                  <c:v>7.4220705056908349E-3</c:v>
                </c:pt>
                <c:pt idx="313">
                  <c:v>7.8036123902685429E-3</c:v>
                </c:pt>
                <c:pt idx="314">
                  <c:v>8.1471786486077401E-3</c:v>
                </c:pt>
                <c:pt idx="315">
                  <c:v>8.4518629107810592E-3</c:v>
                </c:pt>
                <c:pt idx="316">
                  <c:v>8.7172158236386941E-3</c:v>
                </c:pt>
                <c:pt idx="317">
                  <c:v>8.9336458283078256E-3</c:v>
                </c:pt>
                <c:pt idx="318">
                  <c:v>9.1084532654370724E-3</c:v>
                </c:pt>
                <c:pt idx="319">
                  <c:v>9.2409483849865397E-3</c:v>
                </c:pt>
                <c:pt idx="320">
                  <c:v>9.3304226805961191E-3</c:v>
                </c:pt>
                <c:pt idx="321">
                  <c:v>9.376144958755956E-3</c:v>
                </c:pt>
                <c:pt idx="322">
                  <c:v>9.377357593427128E-3</c:v>
                </c:pt>
                <c:pt idx="323">
                  <c:v>9.3389648371391652E-3</c:v>
                </c:pt>
                <c:pt idx="324">
                  <c:v>9.2963153806150094E-3</c:v>
                </c:pt>
                <c:pt idx="325">
                  <c:v>9.2493458461574297E-3</c:v>
                </c:pt>
                <c:pt idx="326">
                  <c:v>9.1979343242521456E-3</c:v>
                </c:pt>
                <c:pt idx="327">
                  <c:v>9.1419809229947562E-3</c:v>
                </c:pt>
                <c:pt idx="328">
                  <c:v>9.0814141219100475E-3</c:v>
                </c:pt>
                <c:pt idx="329">
                  <c:v>9.0161505021602809E-3</c:v>
                </c:pt>
                <c:pt idx="330">
                  <c:v>8.9471158629267859E-3</c:v>
                </c:pt>
                <c:pt idx="331">
                  <c:v>8.8784215152499062E-3</c:v>
                </c:pt>
                <c:pt idx="332">
                  <c:v>8.8198281883785975E-3</c:v>
                </c:pt>
                <c:pt idx="333">
                  <c:v>8.7710416673234728E-3</c:v>
                </c:pt>
                <c:pt idx="334">
                  <c:v>8.73175996821394E-3</c:v>
                </c:pt>
                <c:pt idx="335">
                  <c:v>8.7016688230719171E-3</c:v>
                </c:pt>
                <c:pt idx="336">
                  <c:v>8.6804371263329884E-3</c:v>
                </c:pt>
                <c:pt idx="337">
                  <c:v>8.6742307414489836E-3</c:v>
                </c:pt>
                <c:pt idx="338">
                  <c:v>8.6764990198503165E-3</c:v>
                </c:pt>
                <c:pt idx="339">
                  <c:v>8.6868357793185042E-3</c:v>
                </c:pt>
                <c:pt idx="340">
                  <c:v>8.7047982054709733E-3</c:v>
                </c:pt>
                <c:pt idx="341">
                  <c:v>8.7299028960866661E-3</c:v>
                </c:pt>
                <c:pt idx="342">
                  <c:v>8.7616225020190879E-3</c:v>
                </c:pt>
                <c:pt idx="343">
                  <c:v>8.7993831484203429E-3</c:v>
                </c:pt>
                <c:pt idx="344">
                  <c:v>8.8451336402310798E-3</c:v>
                </c:pt>
                <c:pt idx="345">
                  <c:v>8.9008942513980477E-3</c:v>
                </c:pt>
                <c:pt idx="346">
                  <c:v>8.9588208233351927E-3</c:v>
                </c:pt>
                <c:pt idx="347">
                  <c:v>9.0182312642968498E-3</c:v>
                </c:pt>
                <c:pt idx="348">
                  <c:v>9.0784065014938003E-3</c:v>
                </c:pt>
                <c:pt idx="349">
                  <c:v>9.1385924547702571E-3</c:v>
                </c:pt>
                <c:pt idx="350">
                  <c:v>9.1980033202196908E-3</c:v>
                </c:pt>
                <c:pt idx="351">
                  <c:v>9.2523130685509009E-3</c:v>
                </c:pt>
                <c:pt idx="352">
                  <c:v>9.2936306796071646E-3</c:v>
                </c:pt>
                <c:pt idx="353">
                  <c:v>9.3210718608057117E-3</c:v>
                </c:pt>
                <c:pt idx="354">
                  <c:v>9.3338018049722929E-3</c:v>
                </c:pt>
                <c:pt idx="355">
                  <c:v>9.3310539566049747E-3</c:v>
                </c:pt>
                <c:pt idx="356">
                  <c:v>9.3121093537425707E-3</c:v>
                </c:pt>
                <c:pt idx="357">
                  <c:v>9.2764245942917479E-3</c:v>
                </c:pt>
                <c:pt idx="358">
                  <c:v>9.2229438358342498E-3</c:v>
                </c:pt>
                <c:pt idx="359">
                  <c:v>9.1517784749694277E-3</c:v>
                </c:pt>
                <c:pt idx="360">
                  <c:v>9.0711514914972487E-3</c:v>
                </c:pt>
                <c:pt idx="361">
                  <c:v>8.9857266250981827E-3</c:v>
                </c:pt>
                <c:pt idx="362">
                  <c:v>8.8966441190189826E-3</c:v>
                </c:pt>
                <c:pt idx="363">
                  <c:v>8.8050075692310444E-3</c:v>
                </c:pt>
                <c:pt idx="364">
                  <c:v>8.7118719277282444E-3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261616"/>
        <c:axId val="365262008"/>
      </c:lineChart>
      <c:dateAx>
        <c:axId val="365261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262008"/>
        <c:crosses val="autoZero"/>
        <c:auto val="1"/>
        <c:lblOffset val="100"/>
        <c:baseTimeUnit val="days"/>
        <c:majorUnit val="1"/>
        <c:majorTimeUnit val="months"/>
      </c:dateAx>
      <c:valAx>
        <c:axId val="3652620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261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S.D.I.S. Montgiscard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-51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85.426078740099143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11.992698301712759</c:v>
                </c:pt>
                <c:pt idx="3">
                  <c:v>13.398767024035505</c:v>
                </c:pt>
                <c:pt idx="4">
                  <c:v>18.2564485981156</c:v>
                </c:pt>
                <c:pt idx="5">
                  <c:v>21.221585131937385</c:v>
                </c:pt>
                <c:pt idx="6">
                  <c:v>23.54327894385294</c:v>
                </c:pt>
                <c:pt idx="7">
                  <c:v>25.504072082979306</c:v>
                </c:pt>
                <c:pt idx="8">
                  <c:v>27.404865454363787</c:v>
                </c:pt>
                <c:pt idx="9">
                  <c:v>28.515487683955755</c:v>
                </c:pt>
                <c:pt idx="10">
                  <c:v>7.3985820472130968</c:v>
                </c:pt>
                <c:pt idx="11">
                  <c:v>12.875556005893205</c:v>
                </c:pt>
                <c:pt idx="12">
                  <c:v>11.975129686966049</c:v>
                </c:pt>
                <c:pt idx="13">
                  <c:v>5.8852932047366204</c:v>
                </c:pt>
                <c:pt idx="14">
                  <c:v>11.363913764438864</c:v>
                </c:pt>
                <c:pt idx="15">
                  <c:v>10.059564818409648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11.587345929569791</c:v>
                </c:pt>
                <c:pt idx="3">
                  <c:v>12.900851113110612</c:v>
                </c:pt>
                <c:pt idx="4">
                  <c:v>17.640186016441621</c:v>
                </c:pt>
                <c:pt idx="5">
                  <c:v>20.499465960715185</c:v>
                </c:pt>
                <c:pt idx="6">
                  <c:v>22.777377768983126</c:v>
                </c:pt>
                <c:pt idx="7">
                  <c:v>24.684125165680424</c:v>
                </c:pt>
                <c:pt idx="8">
                  <c:v>26.556447904377432</c:v>
                </c:pt>
                <c:pt idx="9">
                  <c:v>27.65052003734186</c:v>
                </c:pt>
                <c:pt idx="10">
                  <c:v>6.4731236800020922</c:v>
                </c:pt>
                <c:pt idx="11">
                  <c:v>12.129178718800171</c:v>
                </c:pt>
                <c:pt idx="12">
                  <c:v>11.308162490965756</c:v>
                </c:pt>
                <c:pt idx="13">
                  <c:v>5.253058307278212</c:v>
                </c:pt>
                <c:pt idx="14">
                  <c:v>10.801181983674113</c:v>
                </c:pt>
                <c:pt idx="15">
                  <c:v>9.5918810251399176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11.180814142280997</c:v>
                </c:pt>
                <c:pt idx="3">
                  <c:v>12.4009451529916</c:v>
                </c:pt>
                <c:pt idx="4">
                  <c:v>17.019679022564514</c:v>
                </c:pt>
                <c:pt idx="5">
                  <c:v>19.770477065856646</c:v>
                </c:pt>
                <c:pt idx="6">
                  <c:v>22.002781548916985</c:v>
                </c:pt>
                <c:pt idx="7">
                  <c:v>23.853248965853769</c:v>
                </c:pt>
                <c:pt idx="8">
                  <c:v>25.69528425103487</c:v>
                </c:pt>
                <c:pt idx="9">
                  <c:v>26.771651103681528</c:v>
                </c:pt>
                <c:pt idx="10">
                  <c:v>5.5442610554279241</c:v>
                </c:pt>
                <c:pt idx="11">
                  <c:v>11.378598978101408</c:v>
                </c:pt>
                <c:pt idx="12">
                  <c:v>10.638075806797534</c:v>
                </c:pt>
                <c:pt idx="13">
                  <c:v>4.6195380120484213</c:v>
                </c:pt>
                <c:pt idx="14">
                  <c:v>10.236333483871645</c:v>
                </c:pt>
                <c:pt idx="15">
                  <c:v>9.1229034317451152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10.773138892501064</c:v>
                </c:pt>
                <c:pt idx="3">
                  <c:v>11.899113747296322</c:v>
                </c:pt>
                <c:pt idx="4">
                  <c:v>16.395030651226243</c:v>
                </c:pt>
                <c:pt idx="5">
                  <c:v>19.034759295087891</c:v>
                </c:pt>
                <c:pt idx="6">
                  <c:v>21.219629296002864</c:v>
                </c:pt>
                <c:pt idx="7">
                  <c:v>23.011579900424287</c:v>
                </c:pt>
                <c:pt idx="8">
                  <c:v>24.821482909624233</c:v>
                </c:pt>
                <c:pt idx="9">
                  <c:v>25.878966582042132</c:v>
                </c:pt>
                <c:pt idx="10">
                  <c:v>4.6124660485600222</c:v>
                </c:pt>
                <c:pt idx="11">
                  <c:v>10.624040908828851</c:v>
                </c:pt>
                <c:pt idx="12">
                  <c:v>9.9650322465848724</c:v>
                </c:pt>
                <c:pt idx="13">
                  <c:v>3.98488373583089</c:v>
                </c:pt>
                <c:pt idx="14">
                  <c:v>9.669466694648186</c:v>
                </c:pt>
                <c:pt idx="15">
                  <c:v>8.6526897558665432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10.364356798456079</c:v>
                </c:pt>
                <c:pt idx="3">
                  <c:v>11.395423179595216</c:v>
                </c:pt>
                <c:pt idx="4">
                  <c:v>15.766349253516745</c:v>
                </c:pt>
                <c:pt idx="5">
                  <c:v>18.292464980093033</c:v>
                </c:pt>
                <c:pt idx="6">
                  <c:v>20.42807589287797</c:v>
                </c:pt>
                <c:pt idx="7">
                  <c:v>22.159276576846356</c:v>
                </c:pt>
                <c:pt idx="8">
                  <c:v>23.935179005265528</c:v>
                </c:pt>
                <c:pt idx="9">
                  <c:v>24.972581705575365</c:v>
                </c:pt>
                <c:pt idx="10">
                  <c:v>3.6782197166507258</c:v>
                </c:pt>
                <c:pt idx="11">
                  <c:v>9.8657365346393195</c:v>
                </c:pt>
                <c:pt idx="12">
                  <c:v>9.2891991231890696</c:v>
                </c:pt>
                <c:pt idx="13">
                  <c:v>3.3492485504963714</c:v>
                </c:pt>
                <c:pt idx="14">
                  <c:v>9.1006823302004669</c:v>
                </c:pt>
                <c:pt idx="15">
                  <c:v>8.1812986856437835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9.9545051281248487</c:v>
                </c:pt>
                <c:pt idx="3">
                  <c:v>10.889941374628975</c:v>
                </c:pt>
                <c:pt idx="4">
                  <c:v>15.133748467210168</c:v>
                </c:pt>
                <c:pt idx="5">
                  <c:v>17.543758014545595</c:v>
                </c:pt>
                <c:pt idx="6">
                  <c:v>19.628292384218174</c:v>
                </c:pt>
                <c:pt idx="7">
                  <c:v>21.296520451440923</c:v>
                </c:pt>
                <c:pt idx="8">
                  <c:v>23.036535479706945</c:v>
                </c:pt>
                <c:pt idx="9">
                  <c:v>24.052642687617144</c:v>
                </c:pt>
                <c:pt idx="10">
                  <c:v>2.7420108598986195</c:v>
                </c:pt>
                <c:pt idx="11">
                  <c:v>9.1039254352090015</c:v>
                </c:pt>
                <c:pt idx="12">
                  <c:v>8.6107482426615505</c:v>
                </c:pt>
                <c:pt idx="13">
                  <c:v>2.7127869667867266</c:v>
                </c:pt>
                <c:pt idx="14">
                  <c:v>8.530083298502289</c:v>
                </c:pt>
                <c:pt idx="15">
                  <c:v>7.708789840898878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9.5436217825163983</c:v>
                </c:pt>
                <c:pt idx="3">
                  <c:v>10.382737856140094</c:v>
                </c:pt>
                <c:pt idx="4">
                  <c:v>14.497347172175846</c:v>
                </c:pt>
                <c:pt idx="5">
                  <c:v>16.788813891713648</c:v>
                </c:pt>
                <c:pt idx="6">
                  <c:v>18.820466212393356</c:v>
                </c:pt>
                <c:pt idx="7">
                  <c:v>20.423516408841447</c:v>
                </c:pt>
                <c:pt idx="8">
                  <c:v>22.125744114598742</c:v>
                </c:pt>
                <c:pt idx="9">
                  <c:v>23.119328086304524</c:v>
                </c:pt>
                <c:pt idx="10">
                  <c:v>1.8043345216828877</c:v>
                </c:pt>
                <c:pt idx="11">
                  <c:v>8.3388543674727558</c:v>
                </c:pt>
                <c:pt idx="12">
                  <c:v>7.9298556794056365</c:v>
                </c:pt>
                <c:pt idx="13">
                  <c:v>2.0756547128598859</c:v>
                </c:pt>
                <c:pt idx="14">
                  <c:v>7.95777460448722</c:v>
                </c:pt>
                <c:pt idx="15">
                  <c:v>7.2352237325375865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9.1317452780557105</c:v>
                </c:pt>
                <c:pt idx="3">
                  <c:v>9.8738837013468768</c:v>
                </c:pt>
                <c:pt idx="4">
                  <c:v>13.857269430464783</c:v>
                </c:pt>
                <c:pt idx="5">
                  <c:v>16.027819699246741</c:v>
                </c:pt>
                <c:pt idx="6">
                  <c:v>18.004801391793045</c:v>
                </c:pt>
                <c:pt idx="7">
                  <c:v>19.540493251807476</c:v>
                </c:pt>
                <c:pt idx="8">
                  <c:v>21.203026454715879</c:v>
                </c:pt>
                <c:pt idx="9">
                  <c:v>22.172850066919565</c:v>
                </c:pt>
                <c:pt idx="10">
                  <c:v>1</c:v>
                </c:pt>
                <c:pt idx="11">
                  <c:v>7.5707768517387235</c:v>
                </c:pt>
                <c:pt idx="12">
                  <c:v>7.2467015346040027</c:v>
                </c:pt>
                <c:pt idx="13">
                  <c:v>1.4380085083745087</c:v>
                </c:pt>
                <c:pt idx="14">
                  <c:v>7.3838632473941077</c:v>
                </c:pt>
                <c:pt idx="15">
                  <c:v>6.760661720226242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8.7189147280919919</c:v>
                </c:pt>
                <c:pt idx="3">
                  <c:v>9.3634514921007259</c:v>
                </c:pt>
                <c:pt idx="4">
                  <c:v>13.21364441074077</c:v>
                </c:pt>
                <c:pt idx="5">
                  <c:v>15.26097406895151</c:v>
                </c:pt>
                <c:pt idx="6">
                  <c:v>17.181518616780405</c:v>
                </c:pt>
                <c:pt idx="7">
                  <c:v>18.647704090733988</c:v>
                </c:pt>
                <c:pt idx="8">
                  <c:v>20.268634614203865</c:v>
                </c:pt>
                <c:pt idx="9">
                  <c:v>21.213455540296305</c:v>
                </c:pt>
                <c:pt idx="10">
                  <c:v>1</c:v>
                </c:pt>
                <c:pt idx="11">
                  <c:v>6.7999527240138731</c:v>
                </c:pt>
                <c:pt idx="12">
                  <c:v>6.5614696785852971</c:v>
                </c:pt>
                <c:pt idx="13">
                  <c:v>1</c:v>
                </c:pt>
                <c:pt idx="14">
                  <c:v>6.8084581124817438</c:v>
                </c:pt>
                <c:pt idx="15">
                  <c:v>6.2851659684088643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8.3051698235460059</c:v>
                </c:pt>
                <c:pt idx="3">
                  <c:v>8.851515262779925</c:v>
                </c:pt>
                <c:pt idx="4">
                  <c:v>12.566606296799311</c:v>
                </c:pt>
                <c:pt idx="5">
                  <c:v>14.488487079600308</c:v>
                </c:pt>
                <c:pt idx="6">
                  <c:v>16.350855298506566</c:v>
                </c:pt>
                <c:pt idx="7">
                  <c:v>17.745426622425299</c:v>
                </c:pt>
                <c:pt idx="8">
                  <c:v>19.322851948771504</c:v>
                </c:pt>
                <c:pt idx="9">
                  <c:v>20.241427155043652</c:v>
                </c:pt>
                <c:pt idx="10">
                  <c:v>1</c:v>
                </c:pt>
                <c:pt idx="11">
                  <c:v>6.0266476561780733</c:v>
                </c:pt>
                <c:pt idx="12">
                  <c:v>5.8743474779186657</c:v>
                </c:pt>
                <c:pt idx="13">
                  <c:v>1</c:v>
                </c:pt>
                <c:pt idx="14">
                  <c:v>6.231669857347593</c:v>
                </c:pt>
                <c:pt idx="15">
                  <c:v>5.8087994007350261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-231</c:v>
                </c:pt>
                <c:pt idx="1">
                  <c:v>-141</c:v>
                </c:pt>
                <c:pt idx="2">
                  <c:v>-29.430144930209568</c:v>
                </c:pt>
                <c:pt idx="3">
                  <c:v>-21.929144930209567</c:v>
                </c:pt>
                <c:pt idx="4">
                  <c:v>-12.589370926773928</c:v>
                </c:pt>
                <c:pt idx="5">
                  <c:v>-3.0022244933871307</c:v>
                </c:pt>
                <c:pt idx="6">
                  <c:v>4.4987755066128692</c:v>
                </c:pt>
                <c:pt idx="7">
                  <c:v>12.814015445654496</c:v>
                </c:pt>
                <c:pt idx="8">
                  <c:v>21.378840935048146</c:v>
                </c:pt>
                <c:pt idx="9">
                  <c:v>32.364655077236733</c:v>
                </c:pt>
                <c:pt idx="10">
                  <c:v>46.660474780039074</c:v>
                </c:pt>
                <c:pt idx="11">
                  <c:v>56.681329027205194</c:v>
                </c:pt>
                <c:pt idx="12">
                  <c:v>71.615280930708849</c:v>
                </c:pt>
                <c:pt idx="13">
                  <c:v>79.116280930708854</c:v>
                </c:pt>
                <c:pt idx="14">
                  <c:v>86.617280930708858</c:v>
                </c:pt>
                <c:pt idx="15">
                  <c:v>94.276783903481061</c:v>
                </c:pt>
                <c:pt idx="16">
                  <c:v>129</c:v>
                </c:pt>
                <c:pt idx="17">
                  <c:v>129</c:v>
                </c:pt>
                <c:pt idx="18">
                  <c:v>129</c:v>
                </c:pt>
                <c:pt idx="19">
                  <c:v>129</c:v>
                </c:pt>
                <c:pt idx="20">
                  <c:v>129</c:v>
                </c:pt>
                <c:pt idx="21">
                  <c:v>129</c:v>
                </c:pt>
                <c:pt idx="22">
                  <c:v>129</c:v>
                </c:pt>
                <c:pt idx="23">
                  <c:v>129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4.5739212599008612</c:v>
                </c:pt>
                <c:pt idx="1">
                  <c:v>1</c:v>
                </c:pt>
                <c:pt idx="2">
                  <c:v>7.8905508127151691</c:v>
                </c:pt>
                <c:pt idx="3">
                  <c:v>8.3381504449855406</c:v>
                </c:pt>
                <c:pt idx="4">
                  <c:v>11.916294179997086</c:v>
                </c:pt>
                <c:pt idx="5">
                  <c:v>13.710580111091097</c:v>
                </c:pt>
                <c:pt idx="6">
                  <c:v>15.513065526175557</c:v>
                </c:pt>
                <c:pt idx="7">
                  <c:v>16.833963288128405</c:v>
                </c:pt>
                <c:pt idx="8">
                  <c:v>18.365993576884396</c:v>
                </c:pt>
                <c:pt idx="9">
                  <c:v>19.257084121098991</c:v>
                </c:pt>
                <c:pt idx="10">
                  <c:v>1</c:v>
                </c:pt>
                <c:pt idx="11">
                  <c:v>5.2511326459396619</c:v>
                </c:pt>
                <c:pt idx="12">
                  <c:v>5.1855255081369993</c:v>
                </c:pt>
                <c:pt idx="13">
                  <c:v>1</c:v>
                </c:pt>
                <c:pt idx="14">
                  <c:v>5.6536107931134909</c:v>
                </c:pt>
                <c:pt idx="15">
                  <c:v>5.3316256529746964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-231</c:v>
                </c:pt>
                <c:pt idx="1">
                  <c:v>129</c:v>
                </c:pt>
                <c:pt idx="2">
                  <c:v>130</c:v>
                </c:pt>
                <c:pt idx="3">
                  <c:v>130</c:v>
                </c:pt>
                <c:pt idx="4">
                  <c:v>130</c:v>
                </c:pt>
                <c:pt idx="5">
                  <c:v>130</c:v>
                </c:pt>
                <c:pt idx="6">
                  <c:v>130</c:v>
                </c:pt>
                <c:pt idx="7">
                  <c:v>130</c:v>
                </c:pt>
                <c:pt idx="8">
                  <c:v>130</c:v>
                </c:pt>
                <c:pt idx="9">
                  <c:v>130</c:v>
                </c:pt>
                <c:pt idx="10">
                  <c:v>130</c:v>
                </c:pt>
                <c:pt idx="11">
                  <c:v>130</c:v>
                </c:pt>
                <c:pt idx="12">
                  <c:v>130</c:v>
                </c:pt>
                <c:pt idx="13">
                  <c:v>130</c:v>
                </c:pt>
                <c:pt idx="14">
                  <c:v>130</c:v>
                </c:pt>
                <c:pt idx="15">
                  <c:v>130</c:v>
                </c:pt>
                <c:pt idx="16">
                  <c:v>130</c:v>
                </c:pt>
                <c:pt idx="17">
                  <c:v>130</c:v>
                </c:pt>
                <c:pt idx="18">
                  <c:v>130</c:v>
                </c:pt>
                <c:pt idx="19">
                  <c:v>130</c:v>
                </c:pt>
                <c:pt idx="20">
                  <c:v>130</c:v>
                </c:pt>
                <c:pt idx="21">
                  <c:v>130</c:v>
                </c:pt>
                <c:pt idx="22">
                  <c:v>130</c:v>
                </c:pt>
                <c:pt idx="23">
                  <c:v>130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4.5739212599008612</c:v>
                </c:pt>
                <c:pt idx="3">
                  <c:v>4.5739212599008612</c:v>
                </c:pt>
                <c:pt idx="4">
                  <c:v>4.5739212599008612</c:v>
                </c:pt>
                <c:pt idx="5">
                  <c:v>4.5739212599008612</c:v>
                </c:pt>
                <c:pt idx="6">
                  <c:v>4.5739212599008612</c:v>
                </c:pt>
                <c:pt idx="7">
                  <c:v>4.5739212599008612</c:v>
                </c:pt>
                <c:pt idx="8">
                  <c:v>4.5739212599008612</c:v>
                </c:pt>
                <c:pt idx="9">
                  <c:v>4.5739212599008612</c:v>
                </c:pt>
                <c:pt idx="10">
                  <c:v>4.5739212599008612</c:v>
                </c:pt>
                <c:pt idx="11">
                  <c:v>4.5739212599008612</c:v>
                </c:pt>
                <c:pt idx="12">
                  <c:v>4.5739212599008612</c:v>
                </c:pt>
                <c:pt idx="13">
                  <c:v>4.5739212599008612</c:v>
                </c:pt>
                <c:pt idx="14">
                  <c:v>4.5739212599008612</c:v>
                </c:pt>
                <c:pt idx="15">
                  <c:v>4.5739212599008612</c:v>
                </c:pt>
                <c:pt idx="16">
                  <c:v>4.5739212599008612</c:v>
                </c:pt>
                <c:pt idx="17">
                  <c:v>4.5739212599008612</c:v>
                </c:pt>
                <c:pt idx="18">
                  <c:v>4.5739212599008612</c:v>
                </c:pt>
                <c:pt idx="19">
                  <c:v>4.5739212599008612</c:v>
                </c:pt>
                <c:pt idx="20">
                  <c:v>4.5739212599008612</c:v>
                </c:pt>
                <c:pt idx="21">
                  <c:v>4.5739212599008612</c:v>
                </c:pt>
                <c:pt idx="22">
                  <c:v>4.5739212599008612</c:v>
                </c:pt>
                <c:pt idx="23">
                  <c:v>4.5739212599008612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75864"/>
        <c:axId val="372776256"/>
      </c:scatterChart>
      <c:valAx>
        <c:axId val="37277586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72776256"/>
        <c:crosses val="autoZero"/>
        <c:crossBetween val="midCat"/>
        <c:majorUnit val="30"/>
      </c:valAx>
      <c:valAx>
        <c:axId val="37277625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586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775472"/>
        <c:axId val="372774688"/>
      </c:lineChart>
      <c:dateAx>
        <c:axId val="37277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468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277468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8.3393959891786676E-2</c:v>
                </c:pt>
                <c:pt idx="1">
                  <c:v>8.0417677947837371E-2</c:v>
                </c:pt>
                <c:pt idx="2">
                  <c:v>7.7189826707080675E-2</c:v>
                </c:pt>
                <c:pt idx="3">
                  <c:v>7.3709898828144799E-2</c:v>
                </c:pt>
                <c:pt idx="4">
                  <c:v>6.9977411632045822E-2</c:v>
                </c:pt>
                <c:pt idx="5">
                  <c:v>6.5991912448390797E-2</c:v>
                </c:pt>
                <c:pt idx="6">
                  <c:v>6.1752983962294943E-2</c:v>
                </c:pt>
                <c:pt idx="7">
                  <c:v>5.7260249559987757E-2</c:v>
                </c:pt>
                <c:pt idx="8">
                  <c:v>5.2513378675299309E-2</c:v>
                </c:pt>
                <c:pt idx="9">
                  <c:v>4.7724039725808722E-2</c:v>
                </c:pt>
                <c:pt idx="10">
                  <c:v>4.3076477044035257E-2</c:v>
                </c:pt>
                <c:pt idx="11">
                  <c:v>3.8570935939190719E-2</c:v>
                </c:pt>
                <c:pt idx="12">
                  <c:v>3.4207688519083755E-2</c:v>
                </c:pt>
                <c:pt idx="13">
                  <c:v>2.9987030574433051E-2</c:v>
                </c:pt>
                <c:pt idx="14">
                  <c:v>2.5909278462774032E-2</c:v>
                </c:pt>
                <c:pt idx="15">
                  <c:v>2.2122824504024023E-2</c:v>
                </c:pt>
                <c:pt idx="16">
                  <c:v>1.8694366985257813E-2</c:v>
                </c:pt>
                <c:pt idx="17">
                  <c:v>1.5624393746277993E-2</c:v>
                </c:pt>
                <c:pt idx="18">
                  <c:v>1.2913362058838763E-2</c:v>
                </c:pt>
                <c:pt idx="19">
                  <c:v>1.0561740462216142E-2</c:v>
                </c:pt>
                <c:pt idx="20">
                  <c:v>8.5699323580420688E-3</c:v>
                </c:pt>
                <c:pt idx="21">
                  <c:v>6.9382280452081196E-3</c:v>
                </c:pt>
                <c:pt idx="22">
                  <c:v>5.6668652175747899E-3</c:v>
                </c:pt>
                <c:pt idx="23">
                  <c:v>4.7533749988184553E-3</c:v>
                </c:pt>
                <c:pt idx="24">
                  <c:v>3.9852644399738582E-3</c:v>
                </c:pt>
                <c:pt idx="25">
                  <c:v>3.3626056586945831E-3</c:v>
                </c:pt>
                <c:pt idx="26">
                  <c:v>2.8854533739893717E-3</c:v>
                </c:pt>
                <c:pt idx="27">
                  <c:v>2.5538464364674696E-3</c:v>
                </c:pt>
                <c:pt idx="28">
                  <c:v>2.367809358644547E-3</c:v>
                </c:pt>
                <c:pt idx="29">
                  <c:v>2.3280826349821935E-3</c:v>
                </c:pt>
                <c:pt idx="30">
                  <c:v>2.2864013369518609E-3</c:v>
                </c:pt>
                <c:pt idx="31">
                  <c:v>2.2427693483030699E-3</c:v>
                </c:pt>
                <c:pt idx="32">
                  <c:v>2.1971904924916758E-3</c:v>
                </c:pt>
                <c:pt idx="33">
                  <c:v>2.1496685123995195E-3</c:v>
                </c:pt>
                <c:pt idx="34">
                  <c:v>2.1002070500626023E-3</c:v>
                </c:pt>
                <c:pt idx="35">
                  <c:v>2.048809626397273E-3</c:v>
                </c:pt>
                <c:pt idx="36">
                  <c:v>1.9954796209225058E-3</c:v>
                </c:pt>
                <c:pt idx="37">
                  <c:v>1.9409249191227056E-3</c:v>
                </c:pt>
                <c:pt idx="38">
                  <c:v>1.8878053616323697E-3</c:v>
                </c:pt>
                <c:pt idx="39">
                  <c:v>1.8361230301502786E-3</c:v>
                </c:pt>
                <c:pt idx="40">
                  <c:v>1.7858797706193205E-3</c:v>
                </c:pt>
                <c:pt idx="41">
                  <c:v>1.737077208303653E-3</c:v>
                </c:pt>
                <c:pt idx="42">
                  <c:v>1.6897167628545416E-3</c:v>
                </c:pt>
                <c:pt idx="43">
                  <c:v>1.6436693501451513E-3</c:v>
                </c:pt>
                <c:pt idx="44">
                  <c:v>1.5982079117247308E-3</c:v>
                </c:pt>
                <c:pt idx="45">
                  <c:v>1.5533335019602208E-3</c:v>
                </c:pt>
                <c:pt idx="46">
                  <c:v>1.5090470009543131E-3</c:v>
                </c:pt>
                <c:pt idx="47">
                  <c:v>1.4653491205930459E-3</c:v>
                </c:pt>
                <c:pt idx="48">
                  <c:v>1.4222404105761544E-3</c:v>
                </c:pt>
                <c:pt idx="49">
                  <c:v>1.3797212644591614E-3</c:v>
                </c:pt>
                <c:pt idx="50">
                  <c:v>1.3377919256878667E-3</c:v>
                </c:pt>
                <c:pt idx="51">
                  <c:v>1.2971917507763426E-3</c:v>
                </c:pt>
                <c:pt idx="52">
                  <c:v>1.257210783595239E-3</c:v>
                </c:pt>
                <c:pt idx="53">
                  <c:v>1.2178426953000927E-3</c:v>
                </c:pt>
                <c:pt idx="54">
                  <c:v>1.1790867892046688E-3</c:v>
                </c:pt>
                <c:pt idx="55">
                  <c:v>1.1409424260240841E-3</c:v>
                </c:pt>
                <c:pt idx="56">
                  <c:v>1.1034090219808508E-3</c:v>
                </c:pt>
                <c:pt idx="57">
                  <c:v>1.067359934325828E-3</c:v>
                </c:pt>
                <c:pt idx="58">
                  <c:v>1.0329249623133418E-3</c:v>
                </c:pt>
                <c:pt idx="59">
                  <c:v>1.0001036955902044E-3</c:v>
                </c:pt>
                <c:pt idx="60">
                  <c:v>9.6889577395503797E-4</c:v>
                </c:pt>
                <c:pt idx="61">
                  <c:v>9.3930088234257651E-4</c:v>
                </c:pt>
                <c:pt idx="62">
                  <c:v>9.1131874580676882E-4</c:v>
                </c:pt>
                <c:pt idx="63">
                  <c:v>8.8494912450627595E-4</c:v>
                </c:pt>
                <c:pt idx="64">
                  <c:v>8.601918086868375E-4</c:v>
                </c:pt>
                <c:pt idx="65">
                  <c:v>8.3785749809893906E-4</c:v>
                </c:pt>
                <c:pt idx="66">
                  <c:v>8.1720675061741556E-4</c:v>
                </c:pt>
                <c:pt idx="67">
                  <c:v>7.9823941290972796E-4</c:v>
                </c:pt>
                <c:pt idx="68">
                  <c:v>7.8095533982728595E-4</c:v>
                </c:pt>
                <c:pt idx="69">
                  <c:v>7.6535438916463714E-4</c:v>
                </c:pt>
                <c:pt idx="70">
                  <c:v>7.5143641642187666E-4</c:v>
                </c:pt>
                <c:pt idx="71">
                  <c:v>7.3795131861619922E-4</c:v>
                </c:pt>
                <c:pt idx="72">
                  <c:v>7.2402507417154108E-4</c:v>
                </c:pt>
                <c:pt idx="73">
                  <c:v>7.0965761085988713E-4</c:v>
                </c:pt>
                <c:pt idx="74">
                  <c:v>6.9484888323956165E-4</c:v>
                </c:pt>
                <c:pt idx="75">
                  <c:v>6.795988740213862E-4</c:v>
                </c:pt>
                <c:pt idx="76">
                  <c:v>6.6390759543298811E-4</c:v>
                </c:pt>
                <c:pt idx="77">
                  <c:v>6.4777509058500332E-4</c:v>
                </c:pt>
                <c:pt idx="78">
                  <c:v>6.3120145244842981E-4</c:v>
                </c:pt>
                <c:pt idx="79">
                  <c:v>6.1340618427811928E-4</c:v>
                </c:pt>
                <c:pt idx="80">
                  <c:v>5.9358004602456927E-4</c:v>
                </c:pt>
                <c:pt idx="81">
                  <c:v>5.7172312722842289E-4</c:v>
                </c:pt>
                <c:pt idx="82">
                  <c:v>5.4783554369067092E-4</c:v>
                </c:pt>
                <c:pt idx="83">
                  <c:v>5.2191744294381975E-4</c:v>
                </c:pt>
                <c:pt idx="84">
                  <c:v>4.9396900972455712E-4</c:v>
                </c:pt>
                <c:pt idx="85">
                  <c:v>4.6592351302466065E-4</c:v>
                </c:pt>
                <c:pt idx="86">
                  <c:v>4.3903029256025876E-4</c:v>
                </c:pt>
                <c:pt idx="87">
                  <c:v>4.1328921416407992E-4</c:v>
                </c:pt>
                <c:pt idx="88">
                  <c:v>3.887001586669818E-4</c:v>
                </c:pt>
                <c:pt idx="89">
                  <c:v>3.6526301879963362E-4</c:v>
                </c:pt>
                <c:pt idx="90">
                  <c:v>3.4297769609353953E-4</c:v>
                </c:pt>
                <c:pt idx="91">
                  <c:v>3.2184409778326294E-4</c:v>
                </c:pt>
                <c:pt idx="92">
                  <c:v>3.0186213370772872E-4</c:v>
                </c:pt>
                <c:pt idx="93">
                  <c:v>2.8348653106243801E-4</c:v>
                </c:pt>
                <c:pt idx="94">
                  <c:v>2.6749914875274838E-4</c:v>
                </c:pt>
                <c:pt idx="95">
                  <c:v>2.5389961111982139E-4</c:v>
                </c:pt>
                <c:pt idx="96">
                  <c:v>2.4268749989395024E-4</c:v>
                </c:pt>
                <c:pt idx="97">
                  <c:v>2.3386234776495176E-4</c:v>
                </c:pt>
                <c:pt idx="98">
                  <c:v>2.2742363195057817E-4</c:v>
                </c:pt>
                <c:pt idx="99">
                  <c:v>2.2258446222116272E-4</c:v>
                </c:pt>
                <c:pt idx="100">
                  <c:v>2.1741331886451234E-4</c:v>
                </c:pt>
                <c:pt idx="101">
                  <c:v>2.1191032532444216E-4</c:v>
                </c:pt>
                <c:pt idx="102">
                  <c:v>2.0607562213305361E-4</c:v>
                </c:pt>
                <c:pt idx="103">
                  <c:v>1.9990936780303742E-4</c:v>
                </c:pt>
                <c:pt idx="104">
                  <c:v>1.9341173972409011E-4</c:v>
                </c:pt>
                <c:pt idx="105">
                  <c:v>1.8658293505551294E-4</c:v>
                </c:pt>
                <c:pt idx="106">
                  <c:v>1.7942317162089291E-4</c:v>
                </c:pt>
                <c:pt idx="107">
                  <c:v>1.7246263984473426E-4</c:v>
                </c:pt>
                <c:pt idx="108">
                  <c:v>1.6524726247723158E-4</c:v>
                </c:pt>
                <c:pt idx="109">
                  <c:v>1.5777727620591605E-4</c:v>
                </c:pt>
                <c:pt idx="110">
                  <c:v>1.5005329668182931E-4</c:v>
                </c:pt>
                <c:pt idx="111">
                  <c:v>1.4207589228059603E-4</c:v>
                </c:pt>
                <c:pt idx="112">
                  <c:v>1.3384525213320286E-4</c:v>
                </c:pt>
                <c:pt idx="113">
                  <c:v>1.2569051887557686E-4</c:v>
                </c:pt>
                <c:pt idx="114">
                  <c:v>1.1839636969200396E-4</c:v>
                </c:pt>
                <c:pt idx="115">
                  <c:v>1.1196241158942905E-4</c:v>
                </c:pt>
                <c:pt idx="116">
                  <c:v>1.0638823441777213E-4</c:v>
                </c:pt>
                <c:pt idx="117">
                  <c:v>1.0167340929427298E-4</c:v>
                </c:pt>
                <c:pt idx="118">
                  <c:v>9.7817487026809807E-5</c:v>
                </c:pt>
                <c:pt idx="119">
                  <c:v>9.4819996537515473E-5</c:v>
                </c:pt>
                <c:pt idx="120">
                  <c:v>9.268044328626593E-5</c:v>
                </c:pt>
                <c:pt idx="121">
                  <c:v>9.1029588429317166E-5</c:v>
                </c:pt>
                <c:pt idx="122">
                  <c:v>8.933864637993912E-5</c:v>
                </c:pt>
                <c:pt idx="123">
                  <c:v>8.7607655637671585E-5</c:v>
                </c:pt>
                <c:pt idx="124">
                  <c:v>8.5836657344959602E-5</c:v>
                </c:pt>
                <c:pt idx="125">
                  <c:v>8.4025695361881082E-5</c:v>
                </c:pt>
                <c:pt idx="126">
                  <c:v>8.2174816339835319E-5</c:v>
                </c:pt>
                <c:pt idx="127">
                  <c:v>8.0275404089268814E-5</c:v>
                </c:pt>
                <c:pt idx="128">
                  <c:v>7.7999638194275905E-5</c:v>
                </c:pt>
                <c:pt idx="129">
                  <c:v>7.5347841161276194E-5</c:v>
                </c:pt>
                <c:pt idx="130">
                  <c:v>7.2320352897976384E-5</c:v>
                </c:pt>
                <c:pt idx="131">
                  <c:v>6.8917531406840438E-5</c:v>
                </c:pt>
                <c:pt idx="132">
                  <c:v>6.5139753479247082E-5</c:v>
                </c:pt>
                <c:pt idx="133">
                  <c:v>6.0987415389997319E-5</c:v>
                </c:pt>
                <c:pt idx="134">
                  <c:v>5.6460933591468054E-5</c:v>
                </c:pt>
                <c:pt idx="135">
                  <c:v>5.1859835203697719E-5</c:v>
                </c:pt>
                <c:pt idx="136">
                  <c:v>4.7551543763496706E-5</c:v>
                </c:pt>
                <c:pt idx="137">
                  <c:v>4.3535879484493813E-5</c:v>
                </c:pt>
                <c:pt idx="138">
                  <c:v>3.9812651019492978E-5</c:v>
                </c:pt>
                <c:pt idx="139">
                  <c:v>3.6381654925136709E-5</c:v>
                </c:pt>
                <c:pt idx="140">
                  <c:v>3.3242675124582451E-5</c:v>
                </c:pt>
                <c:pt idx="141">
                  <c:v>3.050369351682119E-5</c:v>
                </c:pt>
                <c:pt idx="142">
                  <c:v>2.8172841462986059E-5</c:v>
                </c:pt>
                <c:pt idx="143">
                  <c:v>2.6249653065256742E-5</c:v>
                </c:pt>
                <c:pt idx="144">
                  <c:v>2.4733777172458748E-5</c:v>
                </c:pt>
                <c:pt idx="145">
                  <c:v>2.3624814057590427E-5</c:v>
                </c:pt>
                <c:pt idx="146">
                  <c:v>2.2922319999222953E-5</c:v>
                </c:pt>
                <c:pt idx="147">
                  <c:v>2.2625811863601121E-5</c:v>
                </c:pt>
                <c:pt idx="148">
                  <c:v>2.2734771686243812E-5</c:v>
                </c:pt>
                <c:pt idx="149">
                  <c:v>2.3165451575610187E-5</c:v>
                </c:pt>
                <c:pt idx="150">
                  <c:v>2.3620096654038276E-5</c:v>
                </c:pt>
                <c:pt idx="151">
                  <c:v>2.4098683950088895E-5</c:v>
                </c:pt>
                <c:pt idx="152">
                  <c:v>2.4601191341671308E-5</c:v>
                </c:pt>
                <c:pt idx="153">
                  <c:v>2.5127597834491711E-5</c:v>
                </c:pt>
                <c:pt idx="154">
                  <c:v>2.5677883840609721E-5</c:v>
                </c:pt>
                <c:pt idx="155">
                  <c:v>2.6249564900085719E-5</c:v>
                </c:pt>
                <c:pt idx="156">
                  <c:v>2.6735177253618061E-5</c:v>
                </c:pt>
                <c:pt idx="157">
                  <c:v>2.7134882141425219E-5</c:v>
                </c:pt>
                <c:pt idx="158">
                  <c:v>2.7448843961548561E-5</c:v>
                </c:pt>
                <c:pt idx="159">
                  <c:v>2.7677229301190109E-5</c:v>
                </c:pt>
                <c:pt idx="160">
                  <c:v>2.782020596833153E-5</c:v>
                </c:pt>
                <c:pt idx="161">
                  <c:v>2.7877942023094439E-5</c:v>
                </c:pt>
                <c:pt idx="162">
                  <c:v>2.7850604809223241E-5</c:v>
                </c:pt>
                <c:pt idx="163">
                  <c:v>2.7745858082712628E-5</c:v>
                </c:pt>
                <c:pt idx="164">
                  <c:v>2.7646406448190882E-5</c:v>
                </c:pt>
                <c:pt idx="165">
                  <c:v>2.7552272022889677E-5</c:v>
                </c:pt>
                <c:pt idx="166">
                  <c:v>2.7463476758899979E-5</c:v>
                </c:pt>
                <c:pt idx="167">
                  <c:v>2.7380042500221342E-5</c:v>
                </c:pt>
                <c:pt idx="168">
                  <c:v>2.7301991040547639E-5</c:v>
                </c:pt>
                <c:pt idx="169">
                  <c:v>2.7236820045536984E-5</c:v>
                </c:pt>
                <c:pt idx="170">
                  <c:v>2.7186988856525743E-5</c:v>
                </c:pt>
                <c:pt idx="171">
                  <c:v>2.7152506553092211E-5</c:v>
                </c:pt>
                <c:pt idx="172">
                  <c:v>2.7133383321463634E-5</c:v>
                </c:pt>
                <c:pt idx="173">
                  <c:v>2.7129398619404789E-5</c:v>
                </c:pt>
                <c:pt idx="174">
                  <c:v>2.7140320744961235E-5</c:v>
                </c:pt>
                <c:pt idx="175">
                  <c:v>2.7166144094661659E-5</c:v>
                </c:pt>
                <c:pt idx="176">
                  <c:v>2.720686314747214E-5</c:v>
                </c:pt>
                <c:pt idx="177">
                  <c:v>2.7260032083970595E-5</c:v>
                </c:pt>
                <c:pt idx="178">
                  <c:v>2.7318201768638843E-5</c:v>
                </c:pt>
                <c:pt idx="179">
                  <c:v>2.7381379716036559E-5</c:v>
                </c:pt>
                <c:pt idx="180">
                  <c:v>2.7449573649368182E-5</c:v>
                </c:pt>
                <c:pt idx="181">
                  <c:v>2.7522791524941414E-5</c:v>
                </c:pt>
                <c:pt idx="182">
                  <c:v>2.7601041556825271E-5</c:v>
                </c:pt>
                <c:pt idx="183">
                  <c:v>2.7602466999033988E-5</c:v>
                </c:pt>
                <c:pt idx="184">
                  <c:v>2.7519745898806105E-5</c:v>
                </c:pt>
                <c:pt idx="185">
                  <c:v>2.7352991686351996E-5</c:v>
                </c:pt>
                <c:pt idx="186">
                  <c:v>2.7102314944643785E-5</c:v>
                </c:pt>
                <c:pt idx="187">
                  <c:v>2.676782299478301E-5</c:v>
                </c:pt>
                <c:pt idx="188">
                  <c:v>2.6349619481491991E-5</c:v>
                </c:pt>
                <c:pt idx="189">
                  <c:v>2.5847803957921803E-5</c:v>
                </c:pt>
                <c:pt idx="190">
                  <c:v>2.5262471471411089E-5</c:v>
                </c:pt>
                <c:pt idx="191">
                  <c:v>2.4699499487090762E-5</c:v>
                </c:pt>
                <c:pt idx="192">
                  <c:v>2.4161289524309283E-5</c:v>
                </c:pt>
                <c:pt idx="193">
                  <c:v>2.3647814482854671E-5</c:v>
                </c:pt>
                <c:pt idx="194">
                  <c:v>2.3159047567036715E-5</c:v>
                </c:pt>
                <c:pt idx="195">
                  <c:v>2.2694962405405572E-5</c:v>
                </c:pt>
                <c:pt idx="196">
                  <c:v>2.2255533169700829E-5</c:v>
                </c:pt>
                <c:pt idx="197">
                  <c:v>2.213196757012565E-5</c:v>
                </c:pt>
                <c:pt idx="198">
                  <c:v>2.2405431577753176E-5</c:v>
                </c:pt>
                <c:pt idx="199">
                  <c:v>2.3075609139153382E-5</c:v>
                </c:pt>
                <c:pt idx="200">
                  <c:v>2.4142214035400992E-5</c:v>
                </c:pt>
                <c:pt idx="201">
                  <c:v>2.5604991843840831E-5</c:v>
                </c:pt>
                <c:pt idx="202">
                  <c:v>2.7463721899933326E-5</c:v>
                </c:pt>
                <c:pt idx="203">
                  <c:v>2.9718219259599588E-5</c:v>
                </c:pt>
                <c:pt idx="204">
                  <c:v>3.236829304253975E-5</c:v>
                </c:pt>
                <c:pt idx="205">
                  <c:v>3.5405354816360569E-5</c:v>
                </c:pt>
                <c:pt idx="206">
                  <c:v>3.8723915455503099E-5</c:v>
                </c:pt>
                <c:pt idx="207">
                  <c:v>4.232392699828281E-5</c:v>
                </c:pt>
                <c:pt idx="208">
                  <c:v>4.6205357223305626E-5</c:v>
                </c:pt>
                <c:pt idx="209">
                  <c:v>5.0368188918418902E-5</c:v>
                </c:pt>
                <c:pt idx="210">
                  <c:v>5.4812419150931082E-5</c:v>
                </c:pt>
                <c:pt idx="211">
                  <c:v>5.9181352007208743E-5</c:v>
                </c:pt>
                <c:pt idx="212">
                  <c:v>6.3184759341305719E-5</c:v>
                </c:pt>
                <c:pt idx="213">
                  <c:v>6.6822873541500655E-5</c:v>
                </c:pt>
                <c:pt idx="214">
                  <c:v>7.0095901409997818E-5</c:v>
                </c:pt>
                <c:pt idx="215">
                  <c:v>7.3004025108915836E-5</c:v>
                </c:pt>
                <c:pt idx="216">
                  <c:v>7.5547403106105665E-5</c:v>
                </c:pt>
                <c:pt idx="217">
                  <c:v>7.7726171121214767E-5</c:v>
                </c:pt>
                <c:pt idx="218">
                  <c:v>7.9540443071413869E-5</c:v>
                </c:pt>
                <c:pt idx="219">
                  <c:v>8.1307824758477618E-5</c:v>
                </c:pt>
                <c:pt idx="220">
                  <c:v>8.3036735599006887E-5</c:v>
                </c:pt>
                <c:pt idx="221">
                  <c:v>8.4727200791843863E-5</c:v>
                </c:pt>
                <c:pt idx="222">
                  <c:v>8.6379241935131767E-5</c:v>
                </c:pt>
                <c:pt idx="223">
                  <c:v>8.7992877128520946E-5</c:v>
                </c:pt>
                <c:pt idx="224">
                  <c:v>8.9568121073698085E-5</c:v>
                </c:pt>
                <c:pt idx="225">
                  <c:v>9.1615937302576072E-5</c:v>
                </c:pt>
                <c:pt idx="226">
                  <c:v>9.4492740371142665E-5</c:v>
                </c:pt>
                <c:pt idx="227">
                  <c:v>9.8198555685936146E-5</c:v>
                </c:pt>
                <c:pt idx="228">
                  <c:v>1.027334362922141E-4</c:v>
                </c:pt>
                <c:pt idx="229">
                  <c:v>1.0809746072513817E-4</c:v>
                </c:pt>
                <c:pt idx="230">
                  <c:v>1.1429073086218122E-4</c:v>
                </c:pt>
                <c:pt idx="231">
                  <c:v>1.213133697759736E-4</c:v>
                </c:pt>
                <c:pt idx="232">
                  <c:v>1.2916551958513318E-4</c:v>
                </c:pt>
                <c:pt idx="233">
                  <c:v>1.3708983566613315E-4</c:v>
                </c:pt>
                <c:pt idx="234">
                  <c:v>1.4476887873036252E-4</c:v>
                </c:pt>
                <c:pt idx="235">
                  <c:v>1.5220278379077405E-4</c:v>
                </c:pt>
                <c:pt idx="236">
                  <c:v>1.5939173438695762E-4</c:v>
                </c:pt>
                <c:pt idx="237">
                  <c:v>1.6633583646396627E-4</c:v>
                </c:pt>
                <c:pt idx="238">
                  <c:v>1.7303519172578381E-4</c:v>
                </c:pt>
                <c:pt idx="239">
                  <c:v>1.7992798838024644E-4</c:v>
                </c:pt>
                <c:pt idx="240">
                  <c:v>1.8650318720222678E-4</c:v>
                </c:pt>
                <c:pt idx="241">
                  <c:v>1.9276086551547777E-4</c:v>
                </c:pt>
                <c:pt idx="242">
                  <c:v>1.9870109239652575E-4</c:v>
                </c:pt>
                <c:pt idx="243">
                  <c:v>2.0432392820547485E-4</c:v>
                </c:pt>
                <c:pt idx="244">
                  <c:v>2.0962942411605892E-4</c:v>
                </c:pt>
                <c:pt idx="245">
                  <c:v>2.1461762164388338E-4</c:v>
                </c:pt>
                <c:pt idx="246">
                  <c:v>2.1928855217420322E-4</c:v>
                </c:pt>
                <c:pt idx="247">
                  <c:v>2.2550483310439134E-4</c:v>
                </c:pt>
                <c:pt idx="248">
                  <c:v>2.3402563115796537E-4</c:v>
                </c:pt>
                <c:pt idx="249">
                  <c:v>2.4485205627291042E-4</c:v>
                </c:pt>
                <c:pt idx="250">
                  <c:v>2.5798532673414025E-4</c:v>
                </c:pt>
                <c:pt idx="251">
                  <c:v>2.7342677256388586E-4</c:v>
                </c:pt>
                <c:pt idx="252">
                  <c:v>2.9117783890367146E-4</c:v>
                </c:pt>
                <c:pt idx="253">
                  <c:v>3.1048549655145511E-4</c:v>
                </c:pt>
                <c:pt idx="254">
                  <c:v>3.3091213569217548E-4</c:v>
                </c:pt>
                <c:pt idx="255">
                  <c:v>3.5245889077975317E-4</c:v>
                </c:pt>
                <c:pt idx="256">
                  <c:v>3.7512696391327915E-4</c:v>
                </c:pt>
                <c:pt idx="257">
                  <c:v>3.98917626465532E-4</c:v>
                </c:pt>
                <c:pt idx="258">
                  <c:v>4.2383222071389607E-4</c:v>
                </c:pt>
                <c:pt idx="259">
                  <c:v>4.4987216147653736E-4</c:v>
                </c:pt>
                <c:pt idx="260">
                  <c:v>4.7703893773839442E-4</c:v>
                </c:pt>
                <c:pt idx="261">
                  <c:v>5.0412721284719944E-4</c:v>
                </c:pt>
                <c:pt idx="262">
                  <c:v>5.2926996920158343E-4</c:v>
                </c:pt>
                <c:pt idx="263">
                  <c:v>5.5246654174618604E-4</c:v>
                </c:pt>
                <c:pt idx="264">
                  <c:v>5.7371619097612938E-4</c:v>
                </c:pt>
                <c:pt idx="265">
                  <c:v>5.9302073342879088E-4</c:v>
                </c:pt>
                <c:pt idx="266">
                  <c:v>6.1038085531763735E-4</c:v>
                </c:pt>
                <c:pt idx="267">
                  <c:v>6.2657934233393891E-4</c:v>
                </c:pt>
                <c:pt idx="268">
                  <c:v>6.4237259096560533E-4</c:v>
                </c:pt>
                <c:pt idx="269">
                  <c:v>6.577602790114117E-4</c:v>
                </c:pt>
                <c:pt idx="270">
                  <c:v>6.7274199201310786E-4</c:v>
                </c:pt>
                <c:pt idx="271">
                  <c:v>6.8731722715138191E-4</c:v>
                </c:pt>
                <c:pt idx="272">
                  <c:v>7.014853971564598E-4</c:v>
                </c:pt>
                <c:pt idx="273">
                  <c:v>7.1524583421165373E-4</c:v>
                </c:pt>
                <c:pt idx="274">
                  <c:v>7.285977938644838E-4</c:v>
                </c:pt>
                <c:pt idx="275">
                  <c:v>7.4238815874906117E-4</c:v>
                </c:pt>
                <c:pt idx="276">
                  <c:v>7.5783004788800945E-4</c:v>
                </c:pt>
                <c:pt idx="277">
                  <c:v>7.7492510967002229E-4</c:v>
                </c:pt>
                <c:pt idx="278">
                  <c:v>7.9367499898233866E-4</c:v>
                </c:pt>
                <c:pt idx="279">
                  <c:v>8.140813622172509E-4</c:v>
                </c:pt>
                <c:pt idx="280">
                  <c:v>8.3614582228484942E-4</c:v>
                </c:pt>
                <c:pt idx="281">
                  <c:v>8.6058888875031967E-4</c:v>
                </c:pt>
                <c:pt idx="282">
                  <c:v>8.8662413330133658E-4</c:v>
                </c:pt>
                <c:pt idx="283">
                  <c:v>9.1425292952885932E-4</c:v>
                </c:pt>
                <c:pt idx="284">
                  <c:v>9.4347656485543386E-4</c:v>
                </c:pt>
                <c:pt idx="285">
                  <c:v>9.7429622617844407E-4</c:v>
                </c:pt>
                <c:pt idx="286">
                  <c:v>1.0067129855208835E-3</c:v>
                </c:pt>
                <c:pt idx="287">
                  <c:v>1.0407277856745291E-3</c:v>
                </c:pt>
                <c:pt idx="288">
                  <c:v>1.076341425845972E-3</c:v>
                </c:pt>
                <c:pt idx="289">
                  <c:v>1.1134274239942127E-3</c:v>
                </c:pt>
                <c:pt idx="290">
                  <c:v>1.1511329247788722E-3</c:v>
                </c:pt>
                <c:pt idx="291">
                  <c:v>1.189457002088167E-3</c:v>
                </c:pt>
                <c:pt idx="292">
                  <c:v>1.2283985709370926E-3</c:v>
                </c:pt>
                <c:pt idx="293">
                  <c:v>1.2679563820519294E-3</c:v>
                </c:pt>
                <c:pt idx="294">
                  <c:v>1.3081290164512183E-3</c:v>
                </c:pt>
                <c:pt idx="295">
                  <c:v>1.3496037581997326E-3</c:v>
                </c:pt>
                <c:pt idx="296">
                  <c:v>1.391670291857868E-3</c:v>
                </c:pt>
                <c:pt idx="297">
                  <c:v>1.4343380050477364E-3</c:v>
                </c:pt>
                <c:pt idx="298">
                  <c:v>1.4776071158729236E-3</c:v>
                </c:pt>
                <c:pt idx="299">
                  <c:v>1.5214777277870082E-3</c:v>
                </c:pt>
                <c:pt idx="300">
                  <c:v>1.565949825254175E-3</c:v>
                </c:pt>
                <c:pt idx="301">
                  <c:v>1.6110232694061316E-3</c:v>
                </c:pt>
                <c:pt idx="302">
                  <c:v>1.6566977937018518E-3</c:v>
                </c:pt>
                <c:pt idx="303">
                  <c:v>1.7036872935237161E-3</c:v>
                </c:pt>
                <c:pt idx="304">
                  <c:v>1.7521199671804199E-3</c:v>
                </c:pt>
                <c:pt idx="305">
                  <c:v>1.8019961450633744E-3</c:v>
                </c:pt>
                <c:pt idx="306">
                  <c:v>1.8533160037982181E-3</c:v>
                </c:pt>
                <c:pt idx="307">
                  <c:v>1.9060795554134656E-3</c:v>
                </c:pt>
                <c:pt idx="308">
                  <c:v>1.9602866364958941E-3</c:v>
                </c:pt>
                <c:pt idx="309">
                  <c:v>2.0133254157736194E-3</c:v>
                </c:pt>
                <c:pt idx="310">
                  <c:v>2.0644995191742006E-3</c:v>
                </c:pt>
                <c:pt idx="311">
                  <c:v>2.113804481118451E-3</c:v>
                </c:pt>
                <c:pt idx="312">
                  <c:v>2.1612357423121818E-3</c:v>
                </c:pt>
                <c:pt idx="313">
                  <c:v>2.2067886643335152E-3</c:v>
                </c:pt>
                <c:pt idx="314">
                  <c:v>2.2504585442039344E-3</c:v>
                </c:pt>
                <c:pt idx="315">
                  <c:v>2.2922406289823966E-3</c:v>
                </c:pt>
                <c:pt idx="316">
                  <c:v>2.3321301303308103E-3</c:v>
                </c:pt>
                <c:pt idx="317">
                  <c:v>2.5162057853113998E-3</c:v>
                </c:pt>
                <c:pt idx="318">
                  <c:v>2.8438847533887807E-3</c:v>
                </c:pt>
                <c:pt idx="319">
                  <c:v>3.3152919531900223E-3</c:v>
                </c:pt>
                <c:pt idx="320">
                  <c:v>3.9305413924386155E-3</c:v>
                </c:pt>
                <c:pt idx="321">
                  <c:v>4.6897350676041389E-3</c:v>
                </c:pt>
                <c:pt idx="322">
                  <c:v>5.5929618635785529E-3</c:v>
                </c:pt>
                <c:pt idx="323">
                  <c:v>6.8501827840275718E-3</c:v>
                </c:pt>
                <c:pt idx="324">
                  <c:v>8.4642328595490434E-3</c:v>
                </c:pt>
                <c:pt idx="325">
                  <c:v>1.0435287846904564E-2</c:v>
                </c:pt>
                <c:pt idx="326">
                  <c:v>1.2763417154624174E-2</c:v>
                </c:pt>
                <c:pt idx="327">
                  <c:v>1.5448645229343361E-2</c:v>
                </c:pt>
                <c:pt idx="328">
                  <c:v>1.8490998125814645E-2</c:v>
                </c:pt>
                <c:pt idx="329">
                  <c:v>2.1890473311601988E-2</c:v>
                </c:pt>
                <c:pt idx="330">
                  <c:v>2.5647045890507893E-2</c:v>
                </c:pt>
                <c:pt idx="331">
                  <c:v>2.9695131543651065E-2</c:v>
                </c:pt>
                <c:pt idx="332">
                  <c:v>3.3888116455379522E-2</c:v>
                </c:pt>
                <c:pt idx="333">
                  <c:v>3.8225905398283667E-2</c:v>
                </c:pt>
                <c:pt idx="334">
                  <c:v>4.2708420771846729E-2</c:v>
                </c:pt>
                <c:pt idx="335">
                  <c:v>4.733560512602987E-2</c:v>
                </c:pt>
                <c:pt idx="336">
                  <c:v>5.2107423684471507E-2</c:v>
                </c:pt>
                <c:pt idx="337">
                  <c:v>5.6841184764150933E-2</c:v>
                </c:pt>
                <c:pt idx="338">
                  <c:v>6.132665153322564E-2</c:v>
                </c:pt>
                <c:pt idx="339">
                  <c:v>6.5563849627918169E-2</c:v>
                </c:pt>
                <c:pt idx="340">
                  <c:v>6.9552840312834777E-2</c:v>
                </c:pt>
                <c:pt idx="341">
                  <c:v>7.3293716151277694E-2</c:v>
                </c:pt>
                <c:pt idx="342">
                  <c:v>7.6786596675585211E-2</c:v>
                </c:pt>
                <c:pt idx="343">
                  <c:v>8.0031624056710327E-2</c:v>
                </c:pt>
                <c:pt idx="344">
                  <c:v>8.3028958774746101E-2</c:v>
                </c:pt>
                <c:pt idx="345">
                  <c:v>8.5778775288800721E-2</c:v>
                </c:pt>
                <c:pt idx="346">
                  <c:v>8.8236800947458296E-2</c:v>
                </c:pt>
                <c:pt idx="347">
                  <c:v>9.040321774768996E-2</c:v>
                </c:pt>
                <c:pt idx="348">
                  <c:v>9.2278205423036844E-2</c:v>
                </c:pt>
                <c:pt idx="349">
                  <c:v>9.3861936337882548E-2</c:v>
                </c:pt>
                <c:pt idx="350">
                  <c:v>9.5154570383525344E-2</c:v>
                </c:pt>
                <c:pt idx="351">
                  <c:v>9.6046167246637296E-2</c:v>
                </c:pt>
                <c:pt idx="352">
                  <c:v>9.6719629177628788E-2</c:v>
                </c:pt>
                <c:pt idx="353">
                  <c:v>9.7175074921031196E-2</c:v>
                </c:pt>
                <c:pt idx="354">
                  <c:v>9.7412599443775727E-2</c:v>
                </c:pt>
                <c:pt idx="355">
                  <c:v>9.7432270093553111E-2</c:v>
                </c:pt>
                <c:pt idx="356">
                  <c:v>9.7234179143134342E-2</c:v>
                </c:pt>
                <c:pt idx="357">
                  <c:v>9.681814543578332E-2</c:v>
                </c:pt>
                <c:pt idx="358">
                  <c:v>9.6183758494879132E-2</c:v>
                </c:pt>
                <c:pt idx="359">
                  <c:v>9.5330580302465703E-2</c:v>
                </c:pt>
                <c:pt idx="360">
                  <c:v>9.4074971664610749E-2</c:v>
                </c:pt>
                <c:pt idx="361">
                  <c:v>9.2526613640476679E-2</c:v>
                </c:pt>
                <c:pt idx="362">
                  <c:v>9.0684927684165417E-2</c:v>
                </c:pt>
                <c:pt idx="363">
                  <c:v>8.8549322269807273E-2</c:v>
                </c:pt>
                <c:pt idx="364">
                  <c:v>8.6119199196429519E-2</c:v>
                </c:pt>
                <c:pt idx="365" formatCode="0.0000">
                  <c:v>8.3393959891786676E-2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0.12112832353850785</c:v>
                </c:pt>
                <c:pt idx="1">
                  <c:v>0.11846674510038424</c:v>
                </c:pt>
                <c:pt idx="2">
                  <c:v>0.11551031818427897</c:v>
                </c:pt>
                <c:pt idx="3">
                  <c:v>0.11225840420316839</c:v>
                </c:pt>
                <c:pt idx="4">
                  <c:v>0.10871038646433347</c:v>
                </c:pt>
                <c:pt idx="5">
                  <c:v>0.10486567645182755</c:v>
                </c:pt>
                <c:pt idx="6">
                  <c:v>0.10072372011007569</c:v>
                </c:pt>
                <c:pt idx="7">
                  <c:v>9.628400412542952E-2</c:v>
                </c:pt>
                <c:pt idx="8">
                  <c:v>9.1546062209056714E-2</c:v>
                </c:pt>
                <c:pt idx="9">
                  <c:v>8.6538799172191039E-2</c:v>
                </c:pt>
                <c:pt idx="10">
                  <c:v>8.1403859386899688E-2</c:v>
                </c:pt>
                <c:pt idx="11">
                  <c:v>7.6141133344359985E-2</c:v>
                </c:pt>
                <c:pt idx="12">
                  <c:v>7.0750566658489666E-2</c:v>
                </c:pt>
                <c:pt idx="13">
                  <c:v>6.5232162690734535E-2</c:v>
                </c:pt>
                <c:pt idx="14">
                  <c:v>5.9585985173948336E-2</c:v>
                </c:pt>
                <c:pt idx="15">
                  <c:v>5.4047551278664639E-2</c:v>
                </c:pt>
                <c:pt idx="16">
                  <c:v>4.8769740240878712E-2</c:v>
                </c:pt>
                <c:pt idx="17">
                  <c:v>4.3753047843910903E-2</c:v>
                </c:pt>
                <c:pt idx="18">
                  <c:v>3.8997971020538182E-2</c:v>
                </c:pt>
                <c:pt idx="19">
                  <c:v>3.4505163989601531E-2</c:v>
                </c:pt>
                <c:pt idx="20">
                  <c:v>3.0275255634980885E-2</c:v>
                </c:pt>
                <c:pt idx="21">
                  <c:v>2.6308662968160087E-2</c:v>
                </c:pt>
                <c:pt idx="22">
                  <c:v>2.2605752705036342E-2</c:v>
                </c:pt>
                <c:pt idx="23">
                  <c:v>1.9299476986374939E-2</c:v>
                </c:pt>
                <c:pt idx="24">
                  <c:v>1.6360722713454689E-2</c:v>
                </c:pt>
                <c:pt idx="25">
                  <c:v>1.3789730535426661E-2</c:v>
                </c:pt>
                <c:pt idx="26">
                  <c:v>1.1586692897518439E-2</c:v>
                </c:pt>
                <c:pt idx="27">
                  <c:v>9.7517579123416308E-3</c:v>
                </c:pt>
                <c:pt idx="28">
                  <c:v>8.2850332314453462E-3</c:v>
                </c:pt>
                <c:pt idx="29">
                  <c:v>7.1825326785061698E-3</c:v>
                </c:pt>
                <c:pt idx="30">
                  <c:v>6.2085756120044341E-3</c:v>
                </c:pt>
                <c:pt idx="31">
                  <c:v>5.3631931490530672E-3</c:v>
                </c:pt>
                <c:pt idx="32">
                  <c:v>4.6464046656166042E-3</c:v>
                </c:pt>
                <c:pt idx="33">
                  <c:v>4.0582191479786546E-3</c:v>
                </c:pt>
                <c:pt idx="34">
                  <c:v>3.5986365442275173E-3</c:v>
                </c:pt>
                <c:pt idx="35">
                  <c:v>3.2676491157317355E-3</c:v>
                </c:pt>
                <c:pt idx="36">
                  <c:v>3.0652427886090502E-3</c:v>
                </c:pt>
                <c:pt idx="37">
                  <c:v>2.9924217078445858E-3</c:v>
                </c:pt>
                <c:pt idx="38">
                  <c:v>2.9165699685385336E-3</c:v>
                </c:pt>
                <c:pt idx="39">
                  <c:v>2.8376918718842794E-3</c:v>
                </c:pt>
                <c:pt idx="40">
                  <c:v>2.7557914283398645E-3</c:v>
                </c:pt>
                <c:pt idx="41">
                  <c:v>2.6708723257609572E-3</c:v>
                </c:pt>
                <c:pt idx="42">
                  <c:v>2.582937897516264E-3</c:v>
                </c:pt>
                <c:pt idx="43">
                  <c:v>2.493669166705815E-3</c:v>
                </c:pt>
                <c:pt idx="44">
                  <c:v>2.4071219338279767E-3</c:v>
                </c:pt>
                <c:pt idx="45">
                  <c:v>2.323297212303635E-3</c:v>
                </c:pt>
                <c:pt idx="46">
                  <c:v>2.2421957299851893E-3</c:v>
                </c:pt>
                <c:pt idx="47">
                  <c:v>2.1638179575787534E-3</c:v>
                </c:pt>
                <c:pt idx="48">
                  <c:v>2.088164137040481E-3</c:v>
                </c:pt>
                <c:pt idx="49">
                  <c:v>2.0152343099904394E-3</c:v>
                </c:pt>
                <c:pt idx="50">
                  <c:v>1.9450283461152323E-3</c:v>
                </c:pt>
                <c:pt idx="51">
                  <c:v>1.8776852792711581E-3</c:v>
                </c:pt>
                <c:pt idx="52">
                  <c:v>1.8121739638732063E-3</c:v>
                </c:pt>
                <c:pt idx="53">
                  <c:v>1.7484851177872955E-3</c:v>
                </c:pt>
                <c:pt idx="54">
                  <c:v>1.6866176713598235E-3</c:v>
                </c:pt>
                <c:pt idx="55">
                  <c:v>1.6265706593298604E-3</c:v>
                </c:pt>
                <c:pt idx="56">
                  <c:v>1.5683432151795019E-3</c:v>
                </c:pt>
                <c:pt idx="57">
                  <c:v>1.5134613120330502E-3</c:v>
                </c:pt>
                <c:pt idx="58">
                  <c:v>1.4602468161085647E-3</c:v>
                </c:pt>
                <c:pt idx="59">
                  <c:v>1.4086991247579974E-3</c:v>
                </c:pt>
                <c:pt idx="60">
                  <c:v>1.3588177090850661E-3</c:v>
                </c:pt>
                <c:pt idx="61">
                  <c:v>1.3106021087651288E-3</c:v>
                </c:pt>
                <c:pt idx="62">
                  <c:v>1.2640519268633805E-3</c:v>
                </c:pt>
                <c:pt idx="63">
                  <c:v>1.2191668246563966E-3</c:v>
                </c:pt>
                <c:pt idx="64">
                  <c:v>1.175946516449313E-3</c:v>
                </c:pt>
                <c:pt idx="65">
                  <c:v>1.1359982670669309E-3</c:v>
                </c:pt>
                <c:pt idx="66">
                  <c:v>1.0991825812607288E-3</c:v>
                </c:pt>
                <c:pt idx="67">
                  <c:v>1.0654992978822945E-3</c:v>
                </c:pt>
                <c:pt idx="68">
                  <c:v>1.0349482690139844E-3</c:v>
                </c:pt>
                <c:pt idx="69">
                  <c:v>1.0075293502203825E-3</c:v>
                </c:pt>
                <c:pt idx="70">
                  <c:v>9.832423908040875E-4</c:v>
                </c:pt>
                <c:pt idx="71">
                  <c:v>9.6143271215967457E-4</c:v>
                </c:pt>
                <c:pt idx="72">
                  <c:v>9.4057337465031901E-4</c:v>
                </c:pt>
                <c:pt idx="73">
                  <c:v>9.2066425730182326E-4</c:v>
                </c:pt>
                <c:pt idx="74">
                  <c:v>9.0170524450128037E-4</c:v>
                </c:pt>
                <c:pt idx="75">
                  <c:v>8.8369622303512629E-4</c:v>
                </c:pt>
                <c:pt idx="76">
                  <c:v>8.6663707912478969E-4</c:v>
                </c:pt>
                <c:pt idx="77">
                  <c:v>8.5052769546480566E-4</c:v>
                </c:pt>
                <c:pt idx="78">
                  <c:v>8.3536797156856741E-4</c:v>
                </c:pt>
                <c:pt idx="79">
                  <c:v>8.2040430637575978E-4</c:v>
                </c:pt>
                <c:pt idx="80">
                  <c:v>8.0403128356919056E-4</c:v>
                </c:pt>
                <c:pt idx="81">
                  <c:v>7.8624886079544428E-4</c:v>
                </c:pt>
                <c:pt idx="82">
                  <c:v>7.6705701672421557E-4</c:v>
                </c:pt>
                <c:pt idx="83">
                  <c:v>7.4645575484534783E-4</c:v>
                </c:pt>
                <c:pt idx="84">
                  <c:v>7.2444510726799591E-4</c:v>
                </c:pt>
                <c:pt idx="85">
                  <c:v>7.0186432580682928E-4</c:v>
                </c:pt>
                <c:pt idx="86">
                  <c:v>6.7936758232687298E-4</c:v>
                </c:pt>
                <c:pt idx="87">
                  <c:v>6.5695480053902424E-4</c:v>
                </c:pt>
                <c:pt idx="88">
                  <c:v>6.3462592734507149E-4</c:v>
                </c:pt>
                <c:pt idx="89">
                  <c:v>6.1238093261393198E-4</c:v>
                </c:pt>
                <c:pt idx="90">
                  <c:v>5.9021980895680422E-4</c:v>
                </c:pt>
                <c:pt idx="91">
                  <c:v>5.6814257150430839E-4</c:v>
                </c:pt>
                <c:pt idx="92">
                  <c:v>5.4614925768215665E-4</c:v>
                </c:pt>
                <c:pt idx="93">
                  <c:v>5.2458292220540926E-4</c:v>
                </c:pt>
                <c:pt idx="94">
                  <c:v>5.0419918790537376E-4</c:v>
                </c:pt>
                <c:pt idx="95">
                  <c:v>4.8499791448408978E-4</c:v>
                </c:pt>
                <c:pt idx="96">
                  <c:v>4.6697895395484047E-4</c:v>
                </c:pt>
                <c:pt idx="97">
                  <c:v>4.501421474606046E-4</c:v>
                </c:pt>
                <c:pt idx="98">
                  <c:v>4.3448732208876853E-4</c:v>
                </c:pt>
                <c:pt idx="99">
                  <c:v>4.1957910711123216E-4</c:v>
                </c:pt>
                <c:pt idx="100">
                  <c:v>4.0457907615935618E-4</c:v>
                </c:pt>
                <c:pt idx="101">
                  <c:v>3.8948739512183038E-4</c:v>
                </c:pt>
                <c:pt idx="102">
                  <c:v>3.7430424922986683E-4</c:v>
                </c:pt>
                <c:pt idx="103">
                  <c:v>3.590298433028797E-4</c:v>
                </c:pt>
                <c:pt idx="104">
                  <c:v>3.436644020016874E-4</c:v>
                </c:pt>
                <c:pt idx="105">
                  <c:v>3.2820817007472538E-4</c:v>
                </c:pt>
                <c:pt idx="106">
                  <c:v>3.1266141260805563E-4</c:v>
                </c:pt>
                <c:pt idx="107">
                  <c:v>2.9771170631441921E-4</c:v>
                </c:pt>
                <c:pt idx="108">
                  <c:v>2.8301659376576141E-4</c:v>
                </c:pt>
                <c:pt idx="109">
                  <c:v>2.6857622262756723E-4</c:v>
                </c:pt>
                <c:pt idx="110">
                  <c:v>2.5439135293840151E-4</c:v>
                </c:pt>
                <c:pt idx="111">
                  <c:v>2.4046262874645612E-4</c:v>
                </c:pt>
                <c:pt idx="112">
                  <c:v>2.2679003023897578E-4</c:v>
                </c:pt>
                <c:pt idx="113">
                  <c:v>2.1394110694228602E-4</c:v>
                </c:pt>
                <c:pt idx="114">
                  <c:v>2.0234980123212516E-4</c:v>
                </c:pt>
                <c:pt idx="115">
                  <c:v>1.9201554516385752E-4</c:v>
                </c:pt>
                <c:pt idx="116">
                  <c:v>1.8293774640635923E-4</c:v>
                </c:pt>
                <c:pt idx="117">
                  <c:v>1.7511578593998526E-4</c:v>
                </c:pt>
                <c:pt idx="118">
                  <c:v>1.685490157527844E-4</c:v>
                </c:pt>
                <c:pt idx="119">
                  <c:v>1.6323675653722214E-4</c:v>
                </c:pt>
                <c:pt idx="120">
                  <c:v>1.5917829538668421E-4</c:v>
                </c:pt>
                <c:pt idx="121">
                  <c:v>1.5585714695256535E-4</c:v>
                </c:pt>
                <c:pt idx="122">
                  <c:v>1.525874777355459E-4</c:v>
                </c:pt>
                <c:pt idx="123">
                  <c:v>1.4936928108840307E-4</c:v>
                </c:pt>
                <c:pt idx="124">
                  <c:v>1.4620255095735546E-4</c:v>
                </c:pt>
                <c:pt idx="125">
                  <c:v>1.4308728178941406E-4</c:v>
                </c:pt>
                <c:pt idx="126">
                  <c:v>1.4002346843795991E-4</c:v>
                </c:pt>
                <c:pt idx="127">
                  <c:v>1.3694088683440661E-4</c:v>
                </c:pt>
                <c:pt idx="128">
                  <c:v>1.3327385449547183E-4</c:v>
                </c:pt>
                <c:pt idx="129">
                  <c:v>1.2902287263899409E-4</c:v>
                </c:pt>
                <c:pt idx="130">
                  <c:v>1.2418846960081742E-4</c:v>
                </c:pt>
                <c:pt idx="131">
                  <c:v>1.1877120191156275E-4</c:v>
                </c:pt>
                <c:pt idx="132">
                  <c:v>1.1277165537456879E-4</c:v>
                </c:pt>
                <c:pt idx="133">
                  <c:v>1.0619044614443655E-4</c:v>
                </c:pt>
                <c:pt idx="134">
                  <c:v>9.9028221804971824E-5</c:v>
                </c:pt>
                <c:pt idx="135">
                  <c:v>9.1721273614716115E-5</c:v>
                </c:pt>
                <c:pt idx="136">
                  <c:v>8.4783581068293462E-5</c:v>
                </c:pt>
                <c:pt idx="137">
                  <c:v>7.821495067332822E-5</c:v>
                </c:pt>
                <c:pt idx="138">
                  <c:v>7.2015175500029623E-5</c:v>
                </c:pt>
                <c:pt idx="139">
                  <c:v>6.6184034507890552E-5</c:v>
                </c:pt>
                <c:pt idx="140">
                  <c:v>6.0721291868806484E-5</c:v>
                </c:pt>
                <c:pt idx="141">
                  <c:v>5.5785940564981086E-5</c:v>
                </c:pt>
                <c:pt idx="142">
                  <c:v>5.1447189195419433E-5</c:v>
                </c:pt>
                <c:pt idx="143">
                  <c:v>4.7704359464590373E-5</c:v>
                </c:pt>
                <c:pt idx="144">
                  <c:v>4.4556997941991608E-5</c:v>
                </c:pt>
                <c:pt idx="145">
                  <c:v>4.2004576058761476E-5</c:v>
                </c:pt>
                <c:pt idx="146">
                  <c:v>4.0046496798637075E-5</c:v>
                </c:pt>
                <c:pt idx="147">
                  <c:v>3.8682101390174814E-5</c:v>
                </c:pt>
                <c:pt idx="148">
                  <c:v>3.7910675998065807E-5</c:v>
                </c:pt>
                <c:pt idx="149">
                  <c:v>3.7668529786734907E-5</c:v>
                </c:pt>
                <c:pt idx="150">
                  <c:v>3.7521942147486955E-5</c:v>
                </c:pt>
                <c:pt idx="151">
                  <c:v>3.7470818545396922E-5</c:v>
                </c:pt>
                <c:pt idx="152">
                  <c:v>3.751505897243989E-5</c:v>
                </c:pt>
                <c:pt idx="153">
                  <c:v>3.7654559029992527E-5</c:v>
                </c:pt>
                <c:pt idx="154">
                  <c:v>3.7889211011506942E-5</c:v>
                </c:pt>
                <c:pt idx="155">
                  <c:v>3.8283696956399602E-5</c:v>
                </c:pt>
                <c:pt idx="156">
                  <c:v>3.8679676438644214E-5</c:v>
                </c:pt>
                <c:pt idx="157">
                  <c:v>3.9077186499953561E-5</c:v>
                </c:pt>
                <c:pt idx="158">
                  <c:v>3.9476266049452467E-5</c:v>
                </c:pt>
                <c:pt idx="159">
                  <c:v>3.9876955886805957E-5</c:v>
                </c:pt>
                <c:pt idx="160">
                  <c:v>4.0279298725752588E-5</c:v>
                </c:pt>
                <c:pt idx="161">
                  <c:v>4.0683339217265737E-5</c:v>
                </c:pt>
                <c:pt idx="162">
                  <c:v>4.108912397289138E-5</c:v>
                </c:pt>
                <c:pt idx="163">
                  <c:v>4.1442295165479861E-5</c:v>
                </c:pt>
                <c:pt idx="164">
                  <c:v>4.1805427180609154E-5</c:v>
                </c:pt>
                <c:pt idx="165">
                  <c:v>4.2178559208847463E-5</c:v>
                </c:pt>
                <c:pt idx="166">
                  <c:v>4.2561732640071313E-5</c:v>
                </c:pt>
                <c:pt idx="167">
                  <c:v>4.2954991178057682E-5</c:v>
                </c:pt>
                <c:pt idx="168">
                  <c:v>4.3358380956203697E-5</c:v>
                </c:pt>
                <c:pt idx="169">
                  <c:v>4.3717705546604405E-5</c:v>
                </c:pt>
                <c:pt idx="170">
                  <c:v>4.3968793007847996E-5</c:v>
                </c:pt>
                <c:pt idx="171">
                  <c:v>4.4111853114267074E-5</c:v>
                </c:pt>
                <c:pt idx="172">
                  <c:v>4.4147087610788351E-5</c:v>
                </c:pt>
                <c:pt idx="173">
                  <c:v>4.4074312057989236E-5</c:v>
                </c:pt>
                <c:pt idx="174">
                  <c:v>4.3893317913924367E-5</c:v>
                </c:pt>
                <c:pt idx="175">
                  <c:v>4.3604263874469839E-5</c:v>
                </c:pt>
                <c:pt idx="176">
                  <c:v>4.3207308039162505E-5</c:v>
                </c:pt>
                <c:pt idx="177">
                  <c:v>4.2766713662736678E-5</c:v>
                </c:pt>
                <c:pt idx="178">
                  <c:v>4.233659161553664E-5</c:v>
                </c:pt>
                <c:pt idx="179">
                  <c:v>4.1916947706284186E-5</c:v>
                </c:pt>
                <c:pt idx="180">
                  <c:v>4.1507787078509153E-5</c:v>
                </c:pt>
                <c:pt idx="181">
                  <c:v>4.1109114259661651E-5</c:v>
                </c:pt>
                <c:pt idx="182">
                  <c:v>4.0720933210532704E-5</c:v>
                </c:pt>
                <c:pt idx="183">
                  <c:v>4.0281328055880458E-5</c:v>
                </c:pt>
                <c:pt idx="184">
                  <c:v>3.9844279628145929E-5</c:v>
                </c:pt>
                <c:pt idx="185">
                  <c:v>3.9409798971529522E-5</c:v>
                </c:pt>
                <c:pt idx="186">
                  <c:v>3.8977896366403109E-5</c:v>
                </c:pt>
                <c:pt idx="187">
                  <c:v>3.854858133944123E-5</c:v>
                </c:pt>
                <c:pt idx="188">
                  <c:v>3.8121862673926322E-5</c:v>
                </c:pt>
                <c:pt idx="189">
                  <c:v>3.7697748419070866E-5</c:v>
                </c:pt>
                <c:pt idx="190">
                  <c:v>3.7276245900711299E-5</c:v>
                </c:pt>
                <c:pt idx="191">
                  <c:v>3.7013039112369349E-5</c:v>
                </c:pt>
                <c:pt idx="192">
                  <c:v>3.6844240133172293E-5</c:v>
                </c:pt>
                <c:pt idx="193">
                  <c:v>3.676976582279249E-5</c:v>
                </c:pt>
                <c:pt idx="194">
                  <c:v>3.6789537982380944E-5</c:v>
                </c:pt>
                <c:pt idx="195">
                  <c:v>3.6903483818848492E-5</c:v>
                </c:pt>
                <c:pt idx="196">
                  <c:v>3.711153640796172E-5</c:v>
                </c:pt>
                <c:pt idx="197">
                  <c:v>3.7837803066369287E-5</c:v>
                </c:pt>
                <c:pt idx="198">
                  <c:v>3.9143465582061112E-5</c:v>
                </c:pt>
                <c:pt idx="199">
                  <c:v>4.1028097695287414E-5</c:v>
                </c:pt>
                <c:pt idx="200">
                  <c:v>4.3491318515163478E-5</c:v>
                </c:pt>
                <c:pt idx="201">
                  <c:v>4.653279538475839E-5</c:v>
                </c:pt>
                <c:pt idx="202">
                  <c:v>5.0152246746306598E-5</c:v>
                </c:pt>
                <c:pt idx="203">
                  <c:v>5.4349445007335808E-5</c:v>
                </c:pt>
                <c:pt idx="204">
                  <c:v>5.912413973199463E-5</c:v>
                </c:pt>
                <c:pt idx="205">
                  <c:v>6.4407988854600236E-5</c:v>
                </c:pt>
                <c:pt idx="206">
                  <c:v>7.004581448773565E-5</c:v>
                </c:pt>
                <c:pt idx="207">
                  <c:v>7.6037601667178621E-5</c:v>
                </c:pt>
                <c:pt idx="208">
                  <c:v>8.2383353722762954E-5</c:v>
                </c:pt>
                <c:pt idx="209">
                  <c:v>8.9083091358042077E-5</c:v>
                </c:pt>
                <c:pt idx="210">
                  <c:v>9.6136851732216537E-5</c:v>
                </c:pt>
                <c:pt idx="211">
                  <c:v>1.0304575350322479E-4</c:v>
                </c:pt>
                <c:pt idx="212">
                  <c:v>1.093871180773335E-4</c:v>
                </c:pt>
                <c:pt idx="213">
                  <c:v>1.1516130719854319E-4</c:v>
                </c:pt>
                <c:pt idx="214">
                  <c:v>1.2036864274816046E-4</c:v>
                </c:pt>
                <c:pt idx="215">
                  <c:v>1.2500940821384034E-4</c:v>
                </c:pt>
                <c:pt idx="216">
                  <c:v>1.2908385015833021E-4</c:v>
                </c:pt>
                <c:pt idx="217">
                  <c:v>1.3259217968863347E-4</c:v>
                </c:pt>
                <c:pt idx="218">
                  <c:v>1.3553457392459552E-4</c:v>
                </c:pt>
                <c:pt idx="219">
                  <c:v>1.3845902235970652E-4</c:v>
                </c:pt>
                <c:pt idx="220">
                  <c:v>1.4143354300199967E-4</c:v>
                </c:pt>
                <c:pt idx="221">
                  <c:v>1.4445816383047377E-4</c:v>
                </c:pt>
                <c:pt idx="222">
                  <c:v>1.475329120114124E-4</c:v>
                </c:pt>
                <c:pt idx="223">
                  <c:v>1.5065781377280238E-4</c:v>
                </c:pt>
                <c:pt idx="224">
                  <c:v>1.5383289427589695E-4</c:v>
                </c:pt>
                <c:pt idx="225">
                  <c:v>1.5772082892318023E-4</c:v>
                </c:pt>
                <c:pt idx="226">
                  <c:v>1.6282015485609758E-4</c:v>
                </c:pt>
                <c:pt idx="227">
                  <c:v>1.691309200357731E-4</c:v>
                </c:pt>
                <c:pt idx="228">
                  <c:v>1.7665321187752901E-4</c:v>
                </c:pt>
                <c:pt idx="229">
                  <c:v>1.8538715411097663E-4</c:v>
                </c:pt>
                <c:pt idx="230">
                  <c:v>1.9533290364221845E-4</c:v>
                </c:pt>
                <c:pt idx="231">
                  <c:v>2.0649064741679423E-4</c:v>
                </c:pt>
                <c:pt idx="232">
                  <c:v>2.1886059927917739E-4</c:v>
                </c:pt>
                <c:pt idx="233">
                  <c:v>2.3202375666656454E-4</c:v>
                </c:pt>
                <c:pt idx="234">
                  <c:v>2.4543246791626115E-4</c:v>
                </c:pt>
                <c:pt idx="235">
                  <c:v>2.5908704806499667E-4</c:v>
                </c:pt>
                <c:pt idx="236">
                  <c:v>2.7298791559000391E-4</c:v>
                </c:pt>
                <c:pt idx="237">
                  <c:v>2.871353803902449E-4</c:v>
                </c:pt>
                <c:pt idx="238">
                  <c:v>3.0152976890967777E-4</c:v>
                </c:pt>
                <c:pt idx="239">
                  <c:v>3.1650180545148552E-4</c:v>
                </c:pt>
                <c:pt idx="240">
                  <c:v>3.3138891358247156E-4</c:v>
                </c:pt>
                <c:pt idx="241">
                  <c:v>3.4619139713920849E-4</c:v>
                </c:pt>
                <c:pt idx="242">
                  <c:v>3.6090956533721218E-4</c:v>
                </c:pt>
                <c:pt idx="243">
                  <c:v>3.7554373264241868E-4</c:v>
                </c:pt>
                <c:pt idx="244">
                  <c:v>3.9009421864143434E-4</c:v>
                </c:pt>
                <c:pt idx="245">
                  <c:v>4.0456134790847596E-4</c:v>
                </c:pt>
                <c:pt idx="246">
                  <c:v>4.1894544987126843E-4</c:v>
                </c:pt>
                <c:pt idx="247">
                  <c:v>4.3405546385081152E-4</c:v>
                </c:pt>
                <c:pt idx="248">
                  <c:v>4.503117980304854E-4</c:v>
                </c:pt>
                <c:pt idx="249">
                  <c:v>4.6771531522141739E-4</c:v>
                </c:pt>
                <c:pt idx="250">
                  <c:v>4.8626693893178059E-4</c:v>
                </c:pt>
                <c:pt idx="251">
                  <c:v>5.059676550529501E-4</c:v>
                </c:pt>
                <c:pt idx="252">
                  <c:v>5.2681851352945331E-4</c:v>
                </c:pt>
                <c:pt idx="253">
                  <c:v>5.4809154382668703E-4</c:v>
                </c:pt>
                <c:pt idx="254">
                  <c:v>5.6945655573025129E-4</c:v>
                </c:pt>
                <c:pt idx="255">
                  <c:v>5.9091419917924048E-4</c:v>
                </c:pt>
                <c:pt idx="256">
                  <c:v>6.124651406421677E-4</c:v>
                </c:pt>
                <c:pt idx="257">
                  <c:v>6.3411006323073262E-4</c:v>
                </c:pt>
                <c:pt idx="258">
                  <c:v>6.558496668179417E-4</c:v>
                </c:pt>
                <c:pt idx="259">
                  <c:v>6.7768466816414739E-4</c:v>
                </c:pt>
                <c:pt idx="260">
                  <c:v>6.9961580102688263E-4</c:v>
                </c:pt>
                <c:pt idx="261">
                  <c:v>7.2101184639740857E-4</c:v>
                </c:pt>
                <c:pt idx="262">
                  <c:v>7.4106225543977492E-4</c:v>
                </c:pt>
                <c:pt idx="263">
                  <c:v>7.5976669193231607E-4</c:v>
                </c:pt>
                <c:pt idx="264">
                  <c:v>7.7712478464255982E-4</c:v>
                </c:pt>
                <c:pt idx="265">
                  <c:v>7.931396453846382E-4</c:v>
                </c:pt>
                <c:pt idx="266">
                  <c:v>8.0781280685129735E-4</c:v>
                </c:pt>
                <c:pt idx="267">
                  <c:v>8.226977106820481E-4</c:v>
                </c:pt>
                <c:pt idx="268">
                  <c:v>8.3852618914712594E-4</c:v>
                </c:pt>
                <c:pt idx="269">
                  <c:v>8.5529905425744382E-4</c:v>
                </c:pt>
                <c:pt idx="270">
                  <c:v>8.7301713656970251E-4</c:v>
                </c:pt>
                <c:pt idx="271">
                  <c:v>8.9168127669247445E-4</c:v>
                </c:pt>
                <c:pt idx="272">
                  <c:v>9.1129231681145691E-4</c:v>
                </c:pt>
                <c:pt idx="273">
                  <c:v>9.3185109220553415E-4</c:v>
                </c:pt>
                <c:pt idx="274">
                  <c:v>9.5335842277265853E-4</c:v>
                </c:pt>
                <c:pt idx="275">
                  <c:v>9.7729609940846443E-4</c:v>
                </c:pt>
                <c:pt idx="276">
                  <c:v>1.0043018547538677E-3</c:v>
                </c:pt>
                <c:pt idx="277">
                  <c:v>1.0343790934288838E-3</c:v>
                </c:pt>
                <c:pt idx="278">
                  <c:v>1.0675312378469746E-3</c:v>
                </c:pt>
                <c:pt idx="279">
                  <c:v>1.1037617003232666E-3</c:v>
                </c:pt>
                <c:pt idx="280">
                  <c:v>1.1430738551911541E-3</c:v>
                </c:pt>
                <c:pt idx="281">
                  <c:v>1.1856064871725439E-3</c:v>
                </c:pt>
                <c:pt idx="282">
                  <c:v>1.2297990678453185E-3</c:v>
                </c:pt>
                <c:pt idx="283">
                  <c:v>1.2756528178669495E-3</c:v>
                </c:pt>
                <c:pt idx="284">
                  <c:v>1.3231688060720149E-3</c:v>
                </c:pt>
                <c:pt idx="285">
                  <c:v>1.3723479346435452E-3</c:v>
                </c:pt>
                <c:pt idx="286">
                  <c:v>1.4231909242949173E-3</c:v>
                </c:pt>
                <c:pt idx="287">
                  <c:v>1.4756982994411332E-3</c:v>
                </c:pt>
                <c:pt idx="288">
                  <c:v>1.5298703733740697E-3</c:v>
                </c:pt>
                <c:pt idx="289">
                  <c:v>1.5873442321479466E-3</c:v>
                </c:pt>
                <c:pt idx="290">
                  <c:v>1.6466312325709137E-3</c:v>
                </c:pt>
                <c:pt idx="291">
                  <c:v>1.7077311170196525E-3</c:v>
                </c:pt>
                <c:pt idx="292">
                  <c:v>1.7706433452196197E-3</c:v>
                </c:pt>
                <c:pt idx="293">
                  <c:v>1.8353670780838303E-3</c:v>
                </c:pt>
                <c:pt idx="294">
                  <c:v>1.9019011615466319E-3</c:v>
                </c:pt>
                <c:pt idx="295">
                  <c:v>1.9712443871641476E-3</c:v>
                </c:pt>
                <c:pt idx="296">
                  <c:v>2.0432804274384347E-3</c:v>
                </c:pt>
                <c:pt idx="297">
                  <c:v>2.1180251783983676E-3</c:v>
                </c:pt>
                <c:pt idx="298">
                  <c:v>2.1954812300152508E-3</c:v>
                </c:pt>
                <c:pt idx="299">
                  <c:v>2.2756510170474312E-3</c:v>
                </c:pt>
                <c:pt idx="300">
                  <c:v>2.3585367986168775E-3</c:v>
                </c:pt>
                <c:pt idx="301">
                  <c:v>2.4441406377802778E-3</c:v>
                </c:pt>
                <c:pt idx="302">
                  <c:v>2.5324643811043637E-3</c:v>
                </c:pt>
                <c:pt idx="303">
                  <c:v>2.6195330997789757E-3</c:v>
                </c:pt>
                <c:pt idx="304">
                  <c:v>2.703696668955756E-3</c:v>
                </c:pt>
                <c:pt idx="305">
                  <c:v>2.7849494451331093E-3</c:v>
                </c:pt>
                <c:pt idx="306">
                  <c:v>2.8632855424331398E-3</c:v>
                </c:pt>
                <c:pt idx="307">
                  <c:v>2.9386988555312661E-3</c:v>
                </c:pt>
                <c:pt idx="308">
                  <c:v>3.0111830825653315E-3</c:v>
                </c:pt>
                <c:pt idx="309">
                  <c:v>3.2110553024399108E-3</c:v>
                </c:pt>
                <c:pt idx="310">
                  <c:v>3.5374528501934907E-3</c:v>
                </c:pt>
                <c:pt idx="311">
                  <c:v>3.9905137796258025E-3</c:v>
                </c:pt>
                <c:pt idx="312">
                  <c:v>4.5703710583549833E-3</c:v>
                </c:pt>
                <c:pt idx="313">
                  <c:v>5.2771515960463936E-3</c:v>
                </c:pt>
                <c:pt idx="314">
                  <c:v>6.1109752726083736E-3</c:v>
                </c:pt>
                <c:pt idx="315">
                  <c:v>7.0719539664413703E-3</c:v>
                </c:pt>
                <c:pt idx="316">
                  <c:v>8.1601905826178892E-3</c:v>
                </c:pt>
                <c:pt idx="317">
                  <c:v>9.6080286291335831E-3</c:v>
                </c:pt>
                <c:pt idx="318">
                  <c:v>1.141977187033629E-2</c:v>
                </c:pt>
                <c:pt idx="319">
                  <c:v>1.3595701465186611E-2</c:v>
                </c:pt>
                <c:pt idx="320">
                  <c:v>1.6136067958357644E-2</c:v>
                </c:pt>
                <c:pt idx="321">
                  <c:v>1.9041088496472403E-2</c:v>
                </c:pt>
                <c:pt idx="322">
                  <c:v>2.2310944044450869E-2</c:v>
                </c:pt>
                <c:pt idx="323">
                  <c:v>2.5974809268447464E-2</c:v>
                </c:pt>
                <c:pt idx="324">
                  <c:v>2.9901847864222619E-2</c:v>
                </c:pt>
                <c:pt idx="325">
                  <c:v>3.4092043799435028E-2</c:v>
                </c:pt>
                <c:pt idx="326">
                  <c:v>3.8545141850056162E-2</c:v>
                </c:pt>
                <c:pt idx="327">
                  <c:v>4.3260898619127748E-2</c:v>
                </c:pt>
                <c:pt idx="328">
                  <c:v>4.8239192913122252E-2</c:v>
                </c:pt>
                <c:pt idx="329">
                  <c:v>5.3479901655769289E-2</c:v>
                </c:pt>
                <c:pt idx="330">
                  <c:v>5.8982904459615591E-2</c:v>
                </c:pt>
                <c:pt idx="331">
                  <c:v>6.4597181343782728E-2</c:v>
                </c:pt>
                <c:pt idx="332">
                  <c:v>7.0089606927677003E-2</c:v>
                </c:pt>
                <c:pt idx="333">
                  <c:v>7.5460024219486832E-2</c:v>
                </c:pt>
                <c:pt idx="334">
                  <c:v>8.0708324304096274E-2</c:v>
                </c:pt>
                <c:pt idx="335">
                  <c:v>8.583444421785523E-2</c:v>
                </c:pt>
                <c:pt idx="336">
                  <c:v>9.0838364822564244E-2</c:v>
                </c:pt>
                <c:pt idx="337">
                  <c:v>9.5579340124814158E-2</c:v>
                </c:pt>
                <c:pt idx="338">
                  <c:v>0.1000283401380626</c:v>
                </c:pt>
                <c:pt idx="339">
                  <c:v>0.10418545526157423</c:v>
                </c:pt>
                <c:pt idx="340">
                  <c:v>0.10805081202285799</c:v>
                </c:pt>
                <c:pt idx="341">
                  <c:v>0.11162456798978497</c:v>
                </c:pt>
                <c:pt idx="342">
                  <c:v>0.11490690668270576</c:v>
                </c:pt>
                <c:pt idx="343">
                  <c:v>0.11789803248541886</c:v>
                </c:pt>
                <c:pt idx="344">
                  <c:v>0.12059816555759199</c:v>
                </c:pt>
                <c:pt idx="345">
                  <c:v>0.12300753674619443</c:v>
                </c:pt>
                <c:pt idx="346">
                  <c:v>0.12517335646109295</c:v>
                </c:pt>
                <c:pt idx="347">
                  <c:v>0.1270958695108951</c:v>
                </c:pt>
                <c:pt idx="348">
                  <c:v>0.12877531956493413</c:v>
                </c:pt>
                <c:pt idx="349">
                  <c:v>0.1302119448832986</c:v>
                </c:pt>
                <c:pt idx="350">
                  <c:v>0.13140597404938015</c:v>
                </c:pt>
                <c:pt idx="351">
                  <c:v>0.13225356108674582</c:v>
                </c:pt>
                <c:pt idx="352">
                  <c:v>0.13289574068983923</c:v>
                </c:pt>
                <c:pt idx="353">
                  <c:v>0.13333269737613762</c:v>
                </c:pt>
                <c:pt idx="354">
                  <c:v>0.13356459318707348</c:v>
                </c:pt>
                <c:pt idx="355">
                  <c:v>0.13359156405480763</c:v>
                </c:pt>
                <c:pt idx="356">
                  <c:v>0.13341379353547408</c:v>
                </c:pt>
                <c:pt idx="357">
                  <c:v>0.13303110505391666</c:v>
                </c:pt>
                <c:pt idx="358">
                  <c:v>0.13244302135440675</c:v>
                </c:pt>
                <c:pt idx="359">
                  <c:v>0.13164903914596449</c:v>
                </c:pt>
                <c:pt idx="360">
                  <c:v>0.13050748261994052</c:v>
                </c:pt>
                <c:pt idx="361">
                  <c:v>0.12912197615016704</c:v>
                </c:pt>
                <c:pt idx="362">
                  <c:v>0.12749191923366199</c:v>
                </c:pt>
                <c:pt idx="363">
                  <c:v>0.12561670144259762</c:v>
                </c:pt>
                <c:pt idx="364">
                  <c:v>0.12349570769741108</c:v>
                </c:pt>
                <c:pt idx="365">
                  <c:v>0.12112832353850785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0.1568818132998695</c:v>
                </c:pt>
                <c:pt idx="1">
                  <c:v>0.15458804640064627</c:v>
                </c:pt>
                <c:pt idx="2">
                  <c:v>0.15199884185462989</c:v>
                </c:pt>
                <c:pt idx="3">
                  <c:v>0.14911348622512521</c:v>
                </c:pt>
                <c:pt idx="4">
                  <c:v>0.14593128493345833</c:v>
                </c:pt>
                <c:pt idx="5">
                  <c:v>0.1424515685639339</c:v>
                </c:pt>
                <c:pt idx="6">
                  <c:v>0.13867369917032793</c:v>
                </c:pt>
                <c:pt idx="7">
                  <c:v>0.13459707657963069</c:v>
                </c:pt>
                <c:pt idx="8">
                  <c:v>0.13022114469755683</c:v>
                </c:pt>
                <c:pt idx="9">
                  <c:v>0.12542337134779935</c:v>
                </c:pt>
                <c:pt idx="10">
                  <c:v>0.12031136781507794</c:v>
                </c:pt>
                <c:pt idx="11">
                  <c:v>0.11488473874889647</c:v>
                </c:pt>
                <c:pt idx="12">
                  <c:v>0.10914316050107309</c:v>
                </c:pt>
                <c:pt idx="13">
                  <c:v>0.10308638772743521</c:v>
                </c:pt>
                <c:pt idx="14">
                  <c:v>9.6714259988064002E-2</c:v>
                </c:pt>
                <c:pt idx="15">
                  <c:v>9.0229120056370113E-2</c:v>
                </c:pt>
                <c:pt idx="16">
                  <c:v>8.3818551719991488E-2</c:v>
                </c:pt>
                <c:pt idx="17">
                  <c:v>7.7482927967041981E-2</c:v>
                </c:pt>
                <c:pt idx="18">
                  <c:v>7.1222663324051541E-2</c:v>
                </c:pt>
                <c:pt idx="19">
                  <c:v>6.5038517088091496E-2</c:v>
                </c:pt>
                <c:pt idx="20">
                  <c:v>5.8931296979866384E-2</c:v>
                </c:pt>
                <c:pt idx="21">
                  <c:v>5.2901493115431741E-2</c:v>
                </c:pt>
                <c:pt idx="22">
                  <c:v>4.6949560054110641E-2</c:v>
                </c:pt>
                <c:pt idx="23">
                  <c:v>4.1324550227764149E-2</c:v>
                </c:pt>
                <c:pt idx="24">
                  <c:v>3.614932035408893E-2</c:v>
                </c:pt>
                <c:pt idx="25">
                  <c:v>3.142426384890934E-2</c:v>
                </c:pt>
                <c:pt idx="26">
                  <c:v>2.7149708440471515E-2</c:v>
                </c:pt>
                <c:pt idx="27">
                  <c:v>2.3325920912797393E-2</c:v>
                </c:pt>
                <c:pt idx="28">
                  <c:v>1.9953111849598953E-2</c:v>
                </c:pt>
                <c:pt idx="29">
                  <c:v>1.7085072926941877E-2</c:v>
                </c:pt>
                <c:pt idx="30">
                  <c:v>1.4519218976075632E-2</c:v>
                </c:pt>
                <c:pt idx="31">
                  <c:v>1.2255632153244794E-2</c:v>
                </c:pt>
                <c:pt idx="32">
                  <c:v>1.02943658522277E-2</c:v>
                </c:pt>
                <c:pt idx="33">
                  <c:v>8.6354478813626557E-3</c:v>
                </c:pt>
                <c:pt idx="34">
                  <c:v>7.2788836406151372E-3</c:v>
                </c:pt>
                <c:pt idx="35">
                  <c:v>6.2246592986188454E-3</c:v>
                </c:pt>
                <c:pt idx="36">
                  <c:v>5.4727449697018968E-3</c:v>
                </c:pt>
                <c:pt idx="37">
                  <c:v>5.0235249403987776E-3</c:v>
                </c:pt>
                <c:pt idx="38">
                  <c:v>4.6283889422565712E-3</c:v>
                </c:pt>
                <c:pt idx="39">
                  <c:v>4.2873332020094551E-3</c:v>
                </c:pt>
                <c:pt idx="40">
                  <c:v>4.0003517983156793E-3</c:v>
                </c:pt>
                <c:pt idx="41">
                  <c:v>3.7674372299167421E-3</c:v>
                </c:pt>
                <c:pt idx="42">
                  <c:v>3.5885809837678194E-3</c:v>
                </c:pt>
                <c:pt idx="43">
                  <c:v>3.466140312939557E-3</c:v>
                </c:pt>
                <c:pt idx="44">
                  <c:v>3.3465212814366685E-3</c:v>
                </c:pt>
                <c:pt idx="45">
                  <c:v>3.2297255004403122E-3</c:v>
                </c:pt>
                <c:pt idx="46">
                  <c:v>3.1157541593467846E-3</c:v>
                </c:pt>
                <c:pt idx="47">
                  <c:v>3.0046080551656522E-3</c:v>
                </c:pt>
                <c:pt idx="48">
                  <c:v>2.8962876218819236E-3</c:v>
                </c:pt>
                <c:pt idx="49">
                  <c:v>2.7907929598426015E-3</c:v>
                </c:pt>
                <c:pt idx="50">
                  <c:v>2.6881238651276103E-3</c:v>
                </c:pt>
                <c:pt idx="51">
                  <c:v>2.5881888345093747E-3</c:v>
                </c:pt>
                <c:pt idx="52">
                  <c:v>2.4905489301898197E-3</c:v>
                </c:pt>
                <c:pt idx="53">
                  <c:v>2.3951912708913468E-3</c:v>
                </c:pt>
                <c:pt idx="54">
                  <c:v>2.3021143304944505E-3</c:v>
                </c:pt>
                <c:pt idx="55">
                  <c:v>2.2113167330011477E-3</c:v>
                </c:pt>
                <c:pt idx="56">
                  <c:v>2.1227972454624226E-3</c:v>
                </c:pt>
                <c:pt idx="57">
                  <c:v>2.0391299268817339E-3</c:v>
                </c:pt>
                <c:pt idx="58">
                  <c:v>1.9579484910161819E-3</c:v>
                </c:pt>
                <c:pt idx="59">
                  <c:v>1.8792521016200373E-3</c:v>
                </c:pt>
                <c:pt idx="60">
                  <c:v>1.8030400346972927E-3</c:v>
                </c:pt>
                <c:pt idx="61">
                  <c:v>1.7293116707778854E-3</c:v>
                </c:pt>
                <c:pt idx="62">
                  <c:v>1.6580664871916988E-3</c:v>
                </c:pt>
                <c:pt idx="63">
                  <c:v>1.5893040503469867E-3</c:v>
                </c:pt>
                <c:pt idx="64">
                  <c:v>1.5230240080030516E-3</c:v>
                </c:pt>
                <c:pt idx="65">
                  <c:v>1.4616983907609175E-3</c:v>
                </c:pt>
                <c:pt idx="66">
                  <c:v>1.4054180331007048E-3</c:v>
                </c:pt>
                <c:pt idx="67">
                  <c:v>1.3541827760859936E-3</c:v>
                </c:pt>
                <c:pt idx="68">
                  <c:v>1.3079924783439484E-3</c:v>
                </c:pt>
                <c:pt idx="69">
                  <c:v>1.2668470003670167E-3</c:v>
                </c:pt>
                <c:pt idx="70">
                  <c:v>1.2307461888201624E-3</c:v>
                </c:pt>
                <c:pt idx="71">
                  <c:v>1.199588419927811E-3</c:v>
                </c:pt>
                <c:pt idx="72">
                  <c:v>1.1707982730681089E-3</c:v>
                </c:pt>
                <c:pt idx="73">
                  <c:v>1.1443755831801958E-3</c:v>
                </c:pt>
                <c:pt idx="74">
                  <c:v>1.1203201698228879E-3</c:v>
                </c:pt>
                <c:pt idx="75">
                  <c:v>1.0986318298043601E-3</c:v>
                </c:pt>
                <c:pt idx="76">
                  <c:v>1.0793103298088406E-3</c:v>
                </c:pt>
                <c:pt idx="77">
                  <c:v>1.0623553990263695E-3</c:v>
                </c:pt>
                <c:pt idx="78">
                  <c:v>1.0477667510163647E-3</c:v>
                </c:pt>
                <c:pt idx="79">
                  <c:v>1.0348784835299285E-3</c:v>
                </c:pt>
                <c:pt idx="80">
                  <c:v>1.0212208413260778E-3</c:v>
                </c:pt>
                <c:pt idx="81">
                  <c:v>1.0067936464566367E-3</c:v>
                </c:pt>
                <c:pt idx="82">
                  <c:v>9.91596737508786E-4</c:v>
                </c:pt>
                <c:pt idx="83">
                  <c:v>9.7562997167840125E-4</c:v>
                </c:pt>
                <c:pt idx="84">
                  <c:v>9.5889322684614749E-4</c:v>
                </c:pt>
                <c:pt idx="85">
                  <c:v>9.4127248427914451E-4</c:v>
                </c:pt>
                <c:pt idx="86">
                  <c:v>9.2286907529930205E-4</c:v>
                </c:pt>
                <c:pt idx="87">
                  <c:v>9.0368295471948419E-4</c:v>
                </c:pt>
                <c:pt idx="88">
                  <c:v>8.8371410661972625E-4</c:v>
                </c:pt>
                <c:pt idx="89">
                  <c:v>8.6296254645539319E-4</c:v>
                </c:pt>
                <c:pt idx="90">
                  <c:v>8.4142832316381675E-4</c:v>
                </c:pt>
                <c:pt idx="91">
                  <c:v>8.1911152127372544E-4</c:v>
                </c:pt>
                <c:pt idx="92">
                  <c:v>7.9601226301264153E-4</c:v>
                </c:pt>
                <c:pt idx="93">
                  <c:v>7.7224549547755868E-4</c:v>
                </c:pt>
                <c:pt idx="94">
                  <c:v>7.484798506278206E-4</c:v>
                </c:pt>
                <c:pt idx="95">
                  <c:v>7.2471540459079643E-4</c:v>
                </c:pt>
                <c:pt idx="96">
                  <c:v>7.0095225902448753E-4</c:v>
                </c:pt>
                <c:pt idx="97">
                  <c:v>6.7719054111861382E-4</c:v>
                </c:pt>
                <c:pt idx="98">
                  <c:v>6.5343040359013916E-4</c:v>
                </c:pt>
                <c:pt idx="99">
                  <c:v>6.2957482045753941E-4</c:v>
                </c:pt>
                <c:pt idx="100">
                  <c:v>6.0573782847798659E-4</c:v>
                </c:pt>
                <c:pt idx="101">
                  <c:v>5.8191965347940283E-4</c:v>
                </c:pt>
                <c:pt idx="102">
                  <c:v>5.5812054631834012E-4</c:v>
                </c:pt>
                <c:pt idx="103">
                  <c:v>5.3434078282790928E-4</c:v>
                </c:pt>
                <c:pt idx="104">
                  <c:v>5.1058066377693745E-4</c:v>
                </c:pt>
                <c:pt idx="105">
                  <c:v>4.8684051481869038E-4</c:v>
                </c:pt>
                <c:pt idx="106">
                  <c:v>4.631206864452603E-4</c:v>
                </c:pt>
                <c:pt idx="107">
                  <c:v>4.4030319075721961E-4</c:v>
                </c:pt>
                <c:pt idx="108">
                  <c:v>4.1827342611989901E-4</c:v>
                </c:pt>
                <c:pt idx="109">
                  <c:v>3.9703143227442215E-4</c:v>
                </c:pt>
                <c:pt idx="110">
                  <c:v>3.7657813614749212E-4</c:v>
                </c:pt>
                <c:pt idx="111">
                  <c:v>3.5691428173492196E-4</c:v>
                </c:pt>
                <c:pt idx="112">
                  <c:v>3.3803962257048171E-4</c:v>
                </c:pt>
                <c:pt idx="113">
                  <c:v>3.2069311170849547E-4</c:v>
                </c:pt>
                <c:pt idx="114">
                  <c:v>3.0497109442066765E-4</c:v>
                </c:pt>
                <c:pt idx="115">
                  <c:v>2.9087283842484492E-4</c:v>
                </c:pt>
                <c:pt idx="116">
                  <c:v>2.7839758048487268E-4</c:v>
                </c:pt>
                <c:pt idx="117">
                  <c:v>2.6754452343742186E-4</c:v>
                </c:pt>
                <c:pt idx="118">
                  <c:v>2.5831283321618058E-4</c:v>
                </c:pt>
                <c:pt idx="119">
                  <c:v>2.5070163587680725E-4</c:v>
                </c:pt>
                <c:pt idx="120">
                  <c:v>2.4471001462154739E-4</c:v>
                </c:pt>
                <c:pt idx="121">
                  <c:v>2.3965705487961471E-4</c:v>
                </c:pt>
                <c:pt idx="122">
                  <c:v>2.346629997580865E-4</c:v>
                </c:pt>
                <c:pt idx="123">
                  <c:v>2.2972785178700114E-4</c:v>
                </c:pt>
                <c:pt idx="124">
                  <c:v>2.2485161509403664E-4</c:v>
                </c:pt>
                <c:pt idx="125">
                  <c:v>2.2003429529926573E-4</c:v>
                </c:pt>
                <c:pt idx="126">
                  <c:v>2.1527589940718473E-4</c:v>
                </c:pt>
                <c:pt idx="127">
                  <c:v>2.1043565038430571E-4</c:v>
                </c:pt>
                <c:pt idx="128">
                  <c:v>2.0477685040820809E-4</c:v>
                </c:pt>
                <c:pt idx="129">
                  <c:v>1.9830020876208834E-4</c:v>
                </c:pt>
                <c:pt idx="130">
                  <c:v>1.9100647309695109E-4</c:v>
                </c:pt>
                <c:pt idx="131">
                  <c:v>1.8289643093976962E-4</c:v>
                </c:pt>
                <c:pt idx="132">
                  <c:v>1.7397091120344087E-4</c:v>
                </c:pt>
                <c:pt idx="133">
                  <c:v>1.6423078569766981E-4</c:v>
                </c:pt>
                <c:pt idx="134">
                  <c:v>1.5367697063893159E-4</c:v>
                </c:pt>
                <c:pt idx="135">
                  <c:v>1.4289718004847381E-4</c:v>
                </c:pt>
                <c:pt idx="136">
                  <c:v>1.3256910612736444E-4</c:v>
                </c:pt>
                <c:pt idx="137">
                  <c:v>1.2269255314494498E-4</c:v>
                </c:pt>
                <c:pt idx="138">
                  <c:v>1.1326731033055764E-4</c:v>
                </c:pt>
                <c:pt idx="139">
                  <c:v>1.0429315105208673E-4</c:v>
                </c:pt>
                <c:pt idx="140">
                  <c:v>9.5769831988877895E-5</c:v>
                </c:pt>
                <c:pt idx="141">
                  <c:v>8.7921375147746053E-5</c:v>
                </c:pt>
                <c:pt idx="142">
                  <c:v>8.0887005468624455E-5</c:v>
                </c:pt>
                <c:pt idx="143">
                  <c:v>7.4665806970525319E-5</c:v>
                </c:pt>
                <c:pt idx="144">
                  <c:v>6.9257230799488778E-5</c:v>
                </c:pt>
                <c:pt idx="145">
                  <c:v>6.4660620631771596E-5</c:v>
                </c:pt>
                <c:pt idx="146">
                  <c:v>6.087522179644341E-5</c:v>
                </c:pt>
                <c:pt idx="147">
                  <c:v>5.7900190399945245E-5</c:v>
                </c:pt>
                <c:pt idx="148">
                  <c:v>5.573460244923717E-5</c:v>
                </c:pt>
                <c:pt idx="149">
                  <c:v>5.4374394972036886E-5</c:v>
                </c:pt>
                <c:pt idx="150">
                  <c:v>5.3235268473095258E-5</c:v>
                </c:pt>
                <c:pt idx="151">
                  <c:v>5.231699153954536E-5</c:v>
                </c:pt>
                <c:pt idx="152">
                  <c:v>5.1619316461361404E-5</c:v>
                </c:pt>
                <c:pt idx="153">
                  <c:v>5.1141981723250514E-5</c:v>
                </c:pt>
                <c:pt idx="154">
                  <c:v>5.0884714496790051E-5</c:v>
                </c:pt>
                <c:pt idx="155">
                  <c:v>5.0991567807693977E-5</c:v>
                </c:pt>
                <c:pt idx="156">
                  <c:v>5.1239316182734503E-5</c:v>
                </c:pt>
                <c:pt idx="157">
                  <c:v>5.1627791736249226E-5</c:v>
                </c:pt>
                <c:pt idx="158">
                  <c:v>5.2156826355354024E-5</c:v>
                </c:pt>
                <c:pt idx="159">
                  <c:v>5.2826253301714333E-5</c:v>
                </c:pt>
                <c:pt idx="160">
                  <c:v>5.3635908813851768E-5</c:v>
                </c:pt>
                <c:pt idx="161">
                  <c:v>5.4585633708960022E-5</c:v>
                </c:pt>
                <c:pt idx="162">
                  <c:v>5.5675274984953649E-5</c:v>
                </c:pt>
                <c:pt idx="163">
                  <c:v>5.6763302580244841E-5</c:v>
                </c:pt>
                <c:pt idx="164">
                  <c:v>5.7852843445750235E-5</c:v>
                </c:pt>
                <c:pt idx="165">
                  <c:v>5.8943980784343838E-5</c:v>
                </c:pt>
                <c:pt idx="166">
                  <c:v>6.003680300144912E-5</c:v>
                </c:pt>
                <c:pt idx="167">
                  <c:v>6.1131403730910961E-5</c:v>
                </c:pt>
                <c:pt idx="168">
                  <c:v>6.2227881862443393E-5</c:v>
                </c:pt>
                <c:pt idx="169">
                  <c:v>6.3185375936281453E-5</c:v>
                </c:pt>
                <c:pt idx="170">
                  <c:v>6.3860955253193727E-5</c:v>
                </c:pt>
                <c:pt idx="171">
                  <c:v>6.4255107358981664E-5</c:v>
                </c:pt>
                <c:pt idx="172">
                  <c:v>6.4368298933497345E-5</c:v>
                </c:pt>
                <c:pt idx="173">
                  <c:v>6.4200423539753916E-5</c:v>
                </c:pt>
                <c:pt idx="174">
                  <c:v>6.3751334059022516E-5</c:v>
                </c:pt>
                <c:pt idx="175">
                  <c:v>6.3021418230563793E-5</c:v>
                </c:pt>
                <c:pt idx="176">
                  <c:v>6.201106224356165E-5</c:v>
                </c:pt>
                <c:pt idx="177">
                  <c:v>6.0863456549759637E-5</c:v>
                </c:pt>
                <c:pt idx="178">
                  <c:v>5.9719223182698825E-5</c:v>
                </c:pt>
                <c:pt idx="179">
                  <c:v>5.8578382156289734E-5</c:v>
                </c:pt>
                <c:pt idx="180">
                  <c:v>5.7440951320941252E-5</c:v>
                </c:pt>
                <c:pt idx="181">
                  <c:v>5.6306946374696836E-5</c:v>
                </c:pt>
                <c:pt idx="182">
                  <c:v>5.5176380874805099E-5</c:v>
                </c:pt>
                <c:pt idx="183">
                  <c:v>5.404624745344397E-5</c:v>
                </c:pt>
                <c:pt idx="184">
                  <c:v>5.3056637441468189E-5</c:v>
                </c:pt>
                <c:pt idx="185">
                  <c:v>5.2207395894240916E-5</c:v>
                </c:pt>
                <c:pt idx="186">
                  <c:v>5.1498370436878465E-5</c:v>
                </c:pt>
                <c:pt idx="187">
                  <c:v>5.0929411950445822E-5</c:v>
                </c:pt>
                <c:pt idx="188">
                  <c:v>5.0500375258375949E-5</c:v>
                </c:pt>
                <c:pt idx="189">
                  <c:v>5.0211119811591493E-5</c:v>
                </c:pt>
                <c:pt idx="190">
                  <c:v>5.0061510375441183E-5</c:v>
                </c:pt>
                <c:pt idx="191">
                  <c:v>5.0270676873390174E-5</c:v>
                </c:pt>
                <c:pt idx="192">
                  <c:v>5.0696294856148534E-5</c:v>
                </c:pt>
                <c:pt idx="193">
                  <c:v>5.1338177337426023E-5</c:v>
                </c:pt>
                <c:pt idx="194">
                  <c:v>5.2196150289740681E-5</c:v>
                </c:pt>
                <c:pt idx="195">
                  <c:v>5.3270053712499078E-5</c:v>
                </c:pt>
                <c:pt idx="196">
                  <c:v>5.4559742698433214E-5</c:v>
                </c:pt>
                <c:pt idx="197">
                  <c:v>5.6636426748389567E-5</c:v>
                </c:pt>
                <c:pt idx="198">
                  <c:v>5.9502511821970813E-5</c:v>
                </c:pt>
                <c:pt idx="199">
                  <c:v>6.3157458287568883E-5</c:v>
                </c:pt>
                <c:pt idx="200">
                  <c:v>6.76007905222917E-5</c:v>
                </c:pt>
                <c:pt idx="201">
                  <c:v>7.2832100818296891E-5</c:v>
                </c:pt>
                <c:pt idx="202">
                  <c:v>7.8851053289291973E-5</c:v>
                </c:pt>
                <c:pt idx="203">
                  <c:v>8.5657387778478975E-5</c:v>
                </c:pt>
                <c:pt idx="204">
                  <c:v>9.3250798103142551E-5</c:v>
                </c:pt>
                <c:pt idx="205">
                  <c:v>1.0149444893349758E-4</c:v>
                </c:pt>
                <c:pt idx="206">
                  <c:v>1.1016984894990309E-4</c:v>
                </c:pt>
                <c:pt idx="207">
                  <c:v>1.1927703595350859E-4</c:v>
                </c:pt>
                <c:pt idx="208">
                  <c:v>1.2881606821966944E-4</c:v>
                </c:pt>
                <c:pt idx="209">
                  <c:v>1.3878702337406681E-4</c:v>
                </c:pt>
                <c:pt idx="210">
                  <c:v>1.4918999727236762E-4</c:v>
                </c:pt>
                <c:pt idx="211">
                  <c:v>1.5936730351075613E-4</c:v>
                </c:pt>
                <c:pt idx="212">
                  <c:v>1.6874964318492743E-4</c:v>
                </c:pt>
                <c:pt idx="213">
                  <c:v>1.7733753409900822E-4</c:v>
                </c:pt>
                <c:pt idx="214">
                  <c:v>1.8513143769863881E-4</c:v>
                </c:pt>
                <c:pt idx="215">
                  <c:v>1.9213176112882217E-4</c:v>
                </c:pt>
                <c:pt idx="216">
                  <c:v>1.9833885929131017E-4</c:v>
                </c:pt>
                <c:pt idx="217">
                  <c:v>2.0375303690263425E-4</c:v>
                </c:pt>
                <c:pt idx="218">
                  <c:v>2.0837455055124876E-4</c:v>
                </c:pt>
                <c:pt idx="219">
                  <c:v>2.1291713024208995E-4</c:v>
                </c:pt>
                <c:pt idx="220">
                  <c:v>2.1751713882028933E-4</c:v>
                </c:pt>
                <c:pt idx="221">
                  <c:v>2.2217462257335561E-4</c:v>
                </c:pt>
                <c:pt idx="222">
                  <c:v>2.2688962560640628E-4</c:v>
                </c:pt>
                <c:pt idx="223">
                  <c:v>2.3166218969977734E-4</c:v>
                </c:pt>
                <c:pt idx="224">
                  <c:v>2.3649235416224197E-4</c:v>
                </c:pt>
                <c:pt idx="225">
                  <c:v>2.4223018553956024E-4</c:v>
                </c:pt>
                <c:pt idx="226">
                  <c:v>2.4953296415129641E-4</c:v>
                </c:pt>
                <c:pt idx="227">
                  <c:v>2.5840075557215318E-4</c:v>
                </c:pt>
                <c:pt idx="228">
                  <c:v>2.6883367559553623E-4</c:v>
                </c:pt>
                <c:pt idx="229">
                  <c:v>2.8083188617748382E-4</c:v>
                </c:pt>
                <c:pt idx="230">
                  <c:v>2.9439559138384107E-4</c:v>
                </c:pt>
                <c:pt idx="231">
                  <c:v>3.0952503333853208E-4</c:v>
                </c:pt>
                <c:pt idx="232">
                  <c:v>3.26220488166626E-4</c:v>
                </c:pt>
                <c:pt idx="233">
                  <c:v>3.4438861825553287E-4</c:v>
                </c:pt>
                <c:pt idx="234">
                  <c:v>3.6331620650787024E-4</c:v>
                </c:pt>
                <c:pt idx="235">
                  <c:v>3.8300375502577831E-4</c:v>
                </c:pt>
                <c:pt idx="236">
                  <c:v>4.0345192917438873E-4</c:v>
                </c:pt>
                <c:pt idx="237">
                  <c:v>4.2466124604314745E-4</c:v>
                </c:pt>
                <c:pt idx="238">
                  <c:v>4.46632260745862E-4</c:v>
                </c:pt>
                <c:pt idx="239">
                  <c:v>4.6947613117602889E-4</c:v>
                </c:pt>
                <c:pt idx="240">
                  <c:v>4.9234302557884851E-4</c:v>
                </c:pt>
                <c:pt idx="241">
                  <c:v>5.1523344258487883E-4</c:v>
                </c:pt>
                <c:pt idx="242">
                  <c:v>5.381478949062563E-4</c:v>
                </c:pt>
                <c:pt idx="243">
                  <c:v>5.6108690936527061E-4</c:v>
                </c:pt>
                <c:pt idx="244">
                  <c:v>5.8405102692114319E-4</c:v>
                </c:pt>
                <c:pt idx="245">
                  <c:v>6.0704080269186609E-4</c:v>
                </c:pt>
                <c:pt idx="246">
                  <c:v>6.3005680597443556E-4</c:v>
                </c:pt>
                <c:pt idx="247">
                  <c:v>6.5298985242510943E-4</c:v>
                </c:pt>
                <c:pt idx="248">
                  <c:v>6.7593425661185676E-4</c:v>
                </c:pt>
                <c:pt idx="249">
                  <c:v>6.9889062154950953E-4</c:v>
                </c:pt>
                <c:pt idx="250">
                  <c:v>7.2185956373498484E-4</c:v>
                </c:pt>
                <c:pt idx="251">
                  <c:v>7.4484171316386595E-4</c:v>
                </c:pt>
                <c:pt idx="252">
                  <c:v>7.6783771332266119E-4</c:v>
                </c:pt>
                <c:pt idx="253">
                  <c:v>7.9020323555834395E-4</c:v>
                </c:pt>
                <c:pt idx="254">
                  <c:v>8.118278436802101E-4</c:v>
                </c:pt>
                <c:pt idx="255">
                  <c:v>8.3271178918604581E-4</c:v>
                </c:pt>
                <c:pt idx="256">
                  <c:v>8.5285529833706612E-4</c:v>
                </c:pt>
                <c:pt idx="257">
                  <c:v>8.7225857104254181E-4</c:v>
                </c:pt>
                <c:pt idx="258">
                  <c:v>8.9092177975076106E-4</c:v>
                </c:pt>
                <c:pt idx="259">
                  <c:v>9.0884506835059908E-4</c:v>
                </c:pt>
                <c:pt idx="260">
                  <c:v>9.2602855105079469E-4</c:v>
                </c:pt>
                <c:pt idx="261">
                  <c:v>9.4237436407230285E-4</c:v>
                </c:pt>
                <c:pt idx="262">
                  <c:v>9.5799255956638114E-4</c:v>
                </c:pt>
                <c:pt idx="263">
                  <c:v>9.7288316253070094E-4</c:v>
                </c:pt>
                <c:pt idx="264">
                  <c:v>9.8704620405448153E-4</c:v>
                </c:pt>
                <c:pt idx="265">
                  <c:v>1.0004861591586735E-3</c:v>
                </c:pt>
                <c:pt idx="266">
                  <c:v>1.0132054721642165E-3</c:v>
                </c:pt>
                <c:pt idx="267">
                  <c:v>1.0275942328157534E-3</c:v>
                </c:pt>
                <c:pt idx="268">
                  <c:v>1.0443010108403367E-3</c:v>
                </c:pt>
                <c:pt idx="269">
                  <c:v>1.0633278048665406E-3</c:v>
                </c:pt>
                <c:pt idx="270">
                  <c:v>1.0846767418337573E-3</c:v>
                </c:pt>
                <c:pt idx="271">
                  <c:v>1.1083500558784984E-3</c:v>
                </c:pt>
                <c:pt idx="272">
                  <c:v>1.1343500672446212E-3</c:v>
                </c:pt>
                <c:pt idx="273">
                  <c:v>1.1626791611820998E-3</c:v>
                </c:pt>
                <c:pt idx="274">
                  <c:v>1.1933397668579982E-3</c:v>
                </c:pt>
                <c:pt idx="275">
                  <c:v>1.228832323083378E-3</c:v>
                </c:pt>
                <c:pt idx="276">
                  <c:v>1.2692608039785861E-3</c:v>
                </c:pt>
                <c:pt idx="277">
                  <c:v>1.3146309481844242E-3</c:v>
                </c:pt>
                <c:pt idx="278">
                  <c:v>1.3649485337073168E-3</c:v>
                </c:pt>
                <c:pt idx="279">
                  <c:v>1.4202193330027292E-3</c:v>
                </c:pt>
                <c:pt idx="280">
                  <c:v>1.4804490680693048E-3</c:v>
                </c:pt>
                <c:pt idx="281">
                  <c:v>1.5455548445652996E-3</c:v>
                </c:pt>
                <c:pt idx="282">
                  <c:v>1.6131367525649906E-3</c:v>
                </c:pt>
                <c:pt idx="283">
                  <c:v>1.6831968230819824E-3</c:v>
                </c:pt>
                <c:pt idx="284">
                  <c:v>1.7557368542222222E-3</c:v>
                </c:pt>
                <c:pt idx="285">
                  <c:v>1.8307583890746347E-3</c:v>
                </c:pt>
                <c:pt idx="286">
                  <c:v>1.9082626936157542E-3</c:v>
                </c:pt>
                <c:pt idx="287">
                  <c:v>1.9882507346003337E-3</c:v>
                </c:pt>
                <c:pt idx="288">
                  <c:v>2.0707231574571797E-3</c:v>
                </c:pt>
                <c:pt idx="289">
                  <c:v>2.1579885518331963E-3</c:v>
                </c:pt>
                <c:pt idx="290">
                  <c:v>2.247535657850061E-3</c:v>
                </c:pt>
                <c:pt idx="291">
                  <c:v>2.3393637285808425E-3</c:v>
                </c:pt>
                <c:pt idx="292">
                  <c:v>2.4334716076370006E-3</c:v>
                </c:pt>
                <c:pt idx="293">
                  <c:v>2.5298577089375336E-3</c:v>
                </c:pt>
                <c:pt idx="294">
                  <c:v>2.6285199964713167E-3</c:v>
                </c:pt>
                <c:pt idx="295">
                  <c:v>2.7298736085200163E-3</c:v>
                </c:pt>
                <c:pt idx="296">
                  <c:v>2.8340338314644755E-3</c:v>
                </c:pt>
                <c:pt idx="297">
                  <c:v>2.9410216741062368E-3</c:v>
                </c:pt>
                <c:pt idx="298">
                  <c:v>3.0508397115861954E-3</c:v>
                </c:pt>
                <c:pt idx="299">
                  <c:v>3.1634902675983906E-3</c:v>
                </c:pt>
                <c:pt idx="300">
                  <c:v>3.2789753932701907E-3</c:v>
                </c:pt>
                <c:pt idx="301">
                  <c:v>3.3972968460348522E-3</c:v>
                </c:pt>
                <c:pt idx="302">
                  <c:v>3.5184560685099608E-3</c:v>
                </c:pt>
                <c:pt idx="303">
                  <c:v>3.6950199490702993E-3</c:v>
                </c:pt>
                <c:pt idx="304">
                  <c:v>3.9247301956639195E-3</c:v>
                </c:pt>
                <c:pt idx="305">
                  <c:v>4.2076471869049717E-3</c:v>
                </c:pt>
                <c:pt idx="306">
                  <c:v>4.5438303507463274E-3</c:v>
                </c:pt>
                <c:pt idx="307">
                  <c:v>4.9333377559662361E-3</c:v>
                </c:pt>
                <c:pt idx="308">
                  <c:v>5.3762257036216463E-3</c:v>
                </c:pt>
                <c:pt idx="309">
                  <c:v>6.116851760638327E-3</c:v>
                </c:pt>
                <c:pt idx="310">
                  <c:v>7.1551287172981247E-3</c:v>
                </c:pt>
                <c:pt idx="311">
                  <c:v>8.4913782393891014E-3</c:v>
                </c:pt>
                <c:pt idx="312">
                  <c:v>1.0125909201000602E-2</c:v>
                </c:pt>
                <c:pt idx="313">
                  <c:v>1.20590154000835E-2</c:v>
                </c:pt>
                <c:pt idx="314">
                  <c:v>1.4290973273938939E-2</c:v>
                </c:pt>
                <c:pt idx="315">
                  <c:v>1.6822039614827894E-2</c:v>
                </c:pt>
                <c:pt idx="316">
                  <c:v>1.9652449285422379E-2</c:v>
                </c:pt>
                <c:pt idx="317">
                  <c:v>2.2982124653384409E-2</c:v>
                </c:pt>
                <c:pt idx="318">
                  <c:v>2.6758582408163367E-2</c:v>
                </c:pt>
                <c:pt idx="319">
                  <c:v>3.0982107225042198E-2</c:v>
                </c:pt>
                <c:pt idx="320">
                  <c:v>3.5652941504981363E-2</c:v>
                </c:pt>
                <c:pt idx="321">
                  <c:v>4.0771281963717848E-2</c:v>
                </c:pt>
                <c:pt idx="322">
                  <c:v>4.6337276221086764E-2</c:v>
                </c:pt>
                <c:pt idx="323">
                  <c:v>5.2230179669427924E-2</c:v>
                </c:pt>
                <c:pt idx="324">
                  <c:v>5.820445244060115E-2</c:v>
                </c:pt>
                <c:pt idx="325">
                  <c:v>6.4259830032563317E-2</c:v>
                </c:pt>
                <c:pt idx="326">
                  <c:v>7.0395653643584702E-2</c:v>
                </c:pt>
                <c:pt idx="327">
                  <c:v>7.6611373531132759E-2</c:v>
                </c:pt>
                <c:pt idx="328">
                  <c:v>8.2906721794061666E-2</c:v>
                </c:pt>
                <c:pt idx="329">
                  <c:v>8.9281463321468316E-2</c:v>
                </c:pt>
                <c:pt idx="330">
                  <c:v>9.5735397176121007E-2</c:v>
                </c:pt>
                <c:pt idx="331">
                  <c:v>0.10208292669484768</c:v>
                </c:pt>
                <c:pt idx="332">
                  <c:v>0.1081235328515442</c:v>
                </c:pt>
                <c:pt idx="333">
                  <c:v>0.11385705449422891</c:v>
                </c:pt>
                <c:pt idx="334">
                  <c:v>0.11928339717823466</c:v>
                </c:pt>
                <c:pt idx="335">
                  <c:v>0.12440252782046378</c:v>
                </c:pt>
                <c:pt idx="336">
                  <c:v>0.1292144693524386</c:v>
                </c:pt>
                <c:pt idx="337">
                  <c:v>0.13361201457150962</c:v>
                </c:pt>
                <c:pt idx="338">
                  <c:v>0.13771631879416005</c:v>
                </c:pt>
                <c:pt idx="339">
                  <c:v>0.14152754290748829</c:v>
                </c:pt>
                <c:pt idx="340">
                  <c:v>0.14504588153379913</c:v>
                </c:pt>
                <c:pt idx="341">
                  <c:v>0.14827155792457428</c:v>
                </c:pt>
                <c:pt idx="342">
                  <c:v>0.1512048188544112</c:v>
                </c:pt>
                <c:pt idx="343">
                  <c:v>0.15384592951344386</c:v>
                </c:pt>
                <c:pt idx="344">
                  <c:v>0.15619516840170047</c:v>
                </c:pt>
                <c:pt idx="345">
                  <c:v>0.15825282222214929</c:v>
                </c:pt>
                <c:pt idx="346">
                  <c:v>0.16011083576390711</c:v>
                </c:pt>
                <c:pt idx="347">
                  <c:v>0.16176951213626897</c:v>
                </c:pt>
                <c:pt idx="348">
                  <c:v>0.16322915403988658</c:v>
                </c:pt>
                <c:pt idx="349">
                  <c:v>0.16449006025741317</c:v>
                </c:pt>
                <c:pt idx="350">
                  <c:v>0.1655525221473447</c:v>
                </c:pt>
                <c:pt idx="351">
                  <c:v>0.16632290108076941</c:v>
                </c:pt>
                <c:pt idx="352">
                  <c:v>0.16690879109763371</c:v>
                </c:pt>
                <c:pt idx="353">
                  <c:v>0.16731044058289643</c:v>
                </c:pt>
                <c:pt idx="354">
                  <c:v>0.16752807763686858</c:v>
                </c:pt>
                <c:pt idx="355">
                  <c:v>0.16756190679410174</c:v>
                </c:pt>
                <c:pt idx="356">
                  <c:v>0.16741220282438088</c:v>
                </c:pt>
                <c:pt idx="357">
                  <c:v>0.16707880032628608</c:v>
                </c:pt>
                <c:pt idx="358">
                  <c:v>0.1665611674918813</c:v>
                </c:pt>
                <c:pt idx="359">
                  <c:v>0.16585874901470463</c:v>
                </c:pt>
                <c:pt idx="360">
                  <c:v>0.16486339789669149</c:v>
                </c:pt>
                <c:pt idx="361">
                  <c:v>0.16366855858837534</c:v>
                </c:pt>
                <c:pt idx="362">
                  <c:v>0.16227361011113048</c:v>
                </c:pt>
                <c:pt idx="363">
                  <c:v>0.1606779239808194</c:v>
                </c:pt>
                <c:pt idx="364">
                  <c:v>0.15888086854191508</c:v>
                </c:pt>
                <c:pt idx="365">
                  <c:v>0.1568818132998695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0.19117953315024538</c:v>
                </c:pt>
                <c:pt idx="1">
                  <c:v>0.18924377830812511</c:v>
                </c:pt>
                <c:pt idx="2">
                  <c:v>0.18702968138135453</c:v>
                </c:pt>
                <c:pt idx="3">
                  <c:v>0.18453647856788702</c:v>
                </c:pt>
                <c:pt idx="4">
                  <c:v>0.1817634220468736</c:v>
                </c:pt>
                <c:pt idx="5">
                  <c:v>0.17870978592696163</c:v>
                </c:pt>
                <c:pt idx="6">
                  <c:v>0.17537487219651737</c:v>
                </c:pt>
                <c:pt idx="7">
                  <c:v>0.17175801667042012</c:v>
                </c:pt>
                <c:pt idx="8">
                  <c:v>0.16785859493903868</c:v>
                </c:pt>
                <c:pt idx="9">
                  <c:v>0.16343417063740281</c:v>
                </c:pt>
                <c:pt idx="10">
                  <c:v>0.158569160991514</c:v>
                </c:pt>
                <c:pt idx="11">
                  <c:v>0.15326294288921913</c:v>
                </c:pt>
                <c:pt idx="12">
                  <c:v>0.14751497421178231</c:v>
                </c:pt>
                <c:pt idx="13">
                  <c:v>0.14132480312978687</c:v>
                </c:pt>
                <c:pt idx="14">
                  <c:v>0.13469207739703673</c:v>
                </c:pt>
                <c:pt idx="15">
                  <c:v>0.12771767330116182</c:v>
                </c:pt>
                <c:pt idx="16">
                  <c:v>0.1205952441950927</c:v>
                </c:pt>
                <c:pt idx="17">
                  <c:v>0.11332497739366358</c:v>
                </c:pt>
                <c:pt idx="18">
                  <c:v>0.10590714465366029</c:v>
                </c:pt>
                <c:pt idx="19">
                  <c:v>9.8342566275515034E-2</c:v>
                </c:pt>
                <c:pt idx="20">
                  <c:v>9.0632200415179276E-2</c:v>
                </c:pt>
                <c:pt idx="21">
                  <c:v>8.2776580272092407E-2</c:v>
                </c:pt>
                <c:pt idx="22">
                  <c:v>7.4776223887169799E-2</c:v>
                </c:pt>
                <c:pt idx="23">
                  <c:v>6.6977865605285999E-2</c:v>
                </c:pt>
                <c:pt idx="24">
                  <c:v>5.962469877811797E-2</c:v>
                </c:pt>
                <c:pt idx="25">
                  <c:v>5.2717253678154656E-2</c:v>
                </c:pt>
                <c:pt idx="26">
                  <c:v>4.6255986098785402E-2</c:v>
                </c:pt>
                <c:pt idx="27">
                  <c:v>4.0241282057324322E-2</c:v>
                </c:pt>
                <c:pt idx="28">
                  <c:v>3.4673462498974052E-2</c:v>
                </c:pt>
                <c:pt idx="29">
                  <c:v>2.9700167954485573E-2</c:v>
                </c:pt>
                <c:pt idx="30">
                  <c:v>2.5220333768525366E-2</c:v>
                </c:pt>
                <c:pt idx="31">
                  <c:v>2.1234105218849903E-2</c:v>
                </c:pt>
                <c:pt idx="32">
                  <c:v>1.7741579395731583E-2</c:v>
                </c:pt>
                <c:pt idx="33">
                  <c:v>1.4742810390089718E-2</c:v>
                </c:pt>
                <c:pt idx="34">
                  <c:v>1.2237814481692763E-2</c:v>
                </c:pt>
                <c:pt idx="35">
                  <c:v>1.0226575327314259E-2</c:v>
                </c:pt>
                <c:pt idx="36">
                  <c:v>8.7090491488623165E-3</c:v>
                </c:pt>
                <c:pt idx="37">
                  <c:v>7.6845563403318213E-3</c:v>
                </c:pt>
                <c:pt idx="38">
                  <c:v>6.8068852671358789E-3</c:v>
                </c:pt>
                <c:pt idx="39">
                  <c:v>6.0760181379804377E-3</c:v>
                </c:pt>
                <c:pt idx="40">
                  <c:v>5.49193214843385E-3</c:v>
                </c:pt>
                <c:pt idx="41">
                  <c:v>5.0546010233856456E-3</c:v>
                </c:pt>
                <c:pt idx="42">
                  <c:v>4.7639965594621055E-3</c:v>
                </c:pt>
                <c:pt idx="43">
                  <c:v>4.6213866415192768E-3</c:v>
                </c:pt>
                <c:pt idx="44">
                  <c:v>4.47949531787063E-3</c:v>
                </c:pt>
                <c:pt idx="45">
                  <c:v>4.3383255678122283E-3</c:v>
                </c:pt>
                <c:pt idx="46">
                  <c:v>4.1978797946308185E-3</c:v>
                </c:pt>
                <c:pt idx="47">
                  <c:v>4.0581598328166824E-3</c:v>
                </c:pt>
                <c:pt idx="48">
                  <c:v>3.9191669552282636E-3</c:v>
                </c:pt>
                <c:pt idx="49">
                  <c:v>3.7809018802895506E-3</c:v>
                </c:pt>
                <c:pt idx="50">
                  <c:v>3.6433647791663804E-3</c:v>
                </c:pt>
                <c:pt idx="51">
                  <c:v>3.5061575072436991E-3</c:v>
                </c:pt>
                <c:pt idx="52">
                  <c:v>3.3698766859759821E-3</c:v>
                </c:pt>
                <c:pt idx="53">
                  <c:v>3.2345048717953573E-3</c:v>
                </c:pt>
                <c:pt idx="54">
                  <c:v>3.1000399819629478E-3</c:v>
                </c:pt>
                <c:pt idx="55">
                  <c:v>2.9664801145473777E-3</c:v>
                </c:pt>
                <c:pt idx="56">
                  <c:v>2.8338235456308691E-3</c:v>
                </c:pt>
                <c:pt idx="57">
                  <c:v>2.7065153893401396E-3</c:v>
                </c:pt>
                <c:pt idx="58">
                  <c:v>2.5832583244096013E-3</c:v>
                </c:pt>
                <c:pt idx="59">
                  <c:v>2.4640512059048961E-3</c:v>
                </c:pt>
                <c:pt idx="60">
                  <c:v>2.3488930605747977E-3</c:v>
                </c:pt>
                <c:pt idx="61">
                  <c:v>2.2377830742620493E-3</c:v>
                </c:pt>
                <c:pt idx="62">
                  <c:v>2.1307205793113155E-3</c:v>
                </c:pt>
                <c:pt idx="63">
                  <c:v>2.0277050419828736E-3</c:v>
                </c:pt>
                <c:pt idx="64">
                  <c:v>1.9287360498588778E-3</c:v>
                </c:pt>
                <c:pt idx="65">
                  <c:v>1.8374142180507199E-3</c:v>
                </c:pt>
                <c:pt idx="66">
                  <c:v>1.75413715748667E-3</c:v>
                </c:pt>
                <c:pt idx="67">
                  <c:v>1.678904738554904E-3</c:v>
                </c:pt>
                <c:pt idx="68">
                  <c:v>1.6117168516155049E-3</c:v>
                </c:pt>
                <c:pt idx="69">
                  <c:v>1.5525733819726532E-3</c:v>
                </c:pt>
                <c:pt idx="70">
                  <c:v>1.5014741848537383E-3</c:v>
                </c:pt>
                <c:pt idx="71">
                  <c:v>1.4589847402207746E-3</c:v>
                </c:pt>
                <c:pt idx="72">
                  <c:v>1.4206580158608502E-3</c:v>
                </c:pt>
                <c:pt idx="73">
                  <c:v>1.3864937988488557E-3</c:v>
                </c:pt>
                <c:pt idx="74">
                  <c:v>1.356491833979437E-3</c:v>
                </c:pt>
                <c:pt idx="75">
                  <c:v>1.3306518108134626E-3</c:v>
                </c:pt>
                <c:pt idx="76">
                  <c:v>1.3089733507208685E-3</c:v>
                </c:pt>
                <c:pt idx="77">
                  <c:v>1.2914559939272159E-3</c:v>
                </c:pt>
                <c:pt idx="78">
                  <c:v>1.2780992222206E-3</c:v>
                </c:pt>
                <c:pt idx="79">
                  <c:v>1.2684340327547754E-3</c:v>
                </c:pt>
                <c:pt idx="80">
                  <c:v>1.2588625736027026E-3</c:v>
                </c:pt>
                <c:pt idx="81">
                  <c:v>1.2493844986532388E-3</c:v>
                </c:pt>
                <c:pt idx="82">
                  <c:v>1.2399994718237676E-3</c:v>
                </c:pt>
                <c:pt idx="83">
                  <c:v>1.2307071668088436E-3</c:v>
                </c:pt>
                <c:pt idx="84">
                  <c:v>1.2215072668323021E-3</c:v>
                </c:pt>
                <c:pt idx="85">
                  <c:v>1.2111818308024665E-3</c:v>
                </c:pt>
                <c:pt idx="86">
                  <c:v>1.1991653284553741E-3</c:v>
                </c:pt>
                <c:pt idx="87">
                  <c:v>1.1854577304749956E-3</c:v>
                </c:pt>
                <c:pt idx="88">
                  <c:v>1.1700590409189297E-3</c:v>
                </c:pt>
                <c:pt idx="89">
                  <c:v>1.1529693017700863E-3</c:v>
                </c:pt>
                <c:pt idx="90">
                  <c:v>1.134188597486347E-3</c:v>
                </c:pt>
                <c:pt idx="91">
                  <c:v>1.1137170595539425E-3</c:v>
                </c:pt>
                <c:pt idx="92">
                  <c:v>1.0915548710381604E-3</c:v>
                </c:pt>
                <c:pt idx="93">
                  <c:v>1.0675747444944123E-3</c:v>
                </c:pt>
                <c:pt idx="94">
                  <c:v>1.0422491826734398E-3</c:v>
                </c:pt>
                <c:pt idx="95">
                  <c:v>1.0155784772485083E-3</c:v>
                </c:pt>
                <c:pt idx="96">
                  <c:v>9.8756298080166231E-4</c:v>
                </c:pt>
                <c:pt idx="97">
                  <c:v>9.5820311045125039E-4</c:v>
                </c:pt>
                <c:pt idx="98">
                  <c:v>9.2749935147169564E-4</c:v>
                </c:pt>
                <c:pt idx="99">
                  <c:v>8.9577905875422011E-4</c:v>
                </c:pt>
                <c:pt idx="100">
                  <c:v>8.6425917743319306E-4</c:v>
                </c:pt>
                <c:pt idx="101">
                  <c:v>8.3293993762437342E-4</c:v>
                </c:pt>
                <c:pt idx="102">
                  <c:v>8.0182159640671197E-4</c:v>
                </c:pt>
                <c:pt idx="103">
                  <c:v>7.7090443727814652E-4</c:v>
                </c:pt>
                <c:pt idx="104">
                  <c:v>7.4018876962749175E-4</c:v>
                </c:pt>
                <c:pt idx="105">
                  <c:v>7.0967492819138181E-4</c:v>
                </c:pt>
                <c:pt idx="106">
                  <c:v>6.793632725193427E-4</c:v>
                </c:pt>
                <c:pt idx="107">
                  <c:v>6.4992438577325402E-4</c:v>
                </c:pt>
                <c:pt idx="108">
                  <c:v>6.2148569849619639E-4</c:v>
                </c:pt>
                <c:pt idx="109">
                  <c:v>5.9404724696513866E-4</c:v>
                </c:pt>
                <c:pt idx="110">
                  <c:v>5.6761040843012736E-4</c:v>
                </c:pt>
                <c:pt idx="111">
                  <c:v>5.4217632913510329E-4</c:v>
                </c:pt>
                <c:pt idx="112">
                  <c:v>5.1774468443766171E-4</c:v>
                </c:pt>
                <c:pt idx="113">
                  <c:v>4.9516030008264528E-4</c:v>
                </c:pt>
                <c:pt idx="114">
                  <c:v>4.7409627971538656E-4</c:v>
                </c:pt>
                <c:pt idx="115">
                  <c:v>4.5455198340683262E-4</c:v>
                </c:pt>
                <c:pt idx="116">
                  <c:v>4.3652674693464409E-4</c:v>
                </c:pt>
                <c:pt idx="117">
                  <c:v>4.2001987900440956E-4</c:v>
                </c:pt>
                <c:pt idx="118">
                  <c:v>4.0503065846677055E-4</c:v>
                </c:pt>
                <c:pt idx="119">
                  <c:v>3.9155833153572543E-4</c:v>
                </c:pt>
                <c:pt idx="120">
                  <c:v>3.7960210900641472E-4</c:v>
                </c:pt>
                <c:pt idx="121">
                  <c:v>3.6862490132030221E-4</c:v>
                </c:pt>
                <c:pt idx="122">
                  <c:v>3.579578514518358E-4</c:v>
                </c:pt>
                <c:pt idx="123">
                  <c:v>3.4760087083392574E-4</c:v>
                </c:pt>
                <c:pt idx="124">
                  <c:v>3.3755386789865858E-4</c:v>
                </c:pt>
                <c:pt idx="125">
                  <c:v>3.2781674751401209E-4</c:v>
                </c:pt>
                <c:pt idx="126">
                  <c:v>3.1838941041642511E-4</c:v>
                </c:pt>
                <c:pt idx="127">
                  <c:v>3.0904690682695911E-4</c:v>
                </c:pt>
                <c:pt idx="128">
                  <c:v>2.9894687578749897E-4</c:v>
                </c:pt>
                <c:pt idx="129">
                  <c:v>2.8809005313081329E-4</c:v>
                </c:pt>
                <c:pt idx="130">
                  <c:v>2.7647721383072175E-4</c:v>
                </c:pt>
                <c:pt idx="131">
                  <c:v>2.6410917339992859E-4</c:v>
                </c:pt>
                <c:pt idx="132">
                  <c:v>2.5098678929050283E-4</c:v>
                </c:pt>
                <c:pt idx="133">
                  <c:v>2.3711096229568599E-4</c:v>
                </c:pt>
                <c:pt idx="134">
                  <c:v>2.2248263795036579E-4</c:v>
                </c:pt>
                <c:pt idx="135">
                  <c:v>2.0781020604891253E-4</c:v>
                </c:pt>
                <c:pt idx="136">
                  <c:v>1.9362815584975679E-4</c:v>
                </c:pt>
                <c:pt idx="137">
                  <c:v>1.7993634032655655E-4</c:v>
                </c:pt>
                <c:pt idx="138">
                  <c:v>1.6673459837903041E-4</c:v>
                </c:pt>
                <c:pt idx="139">
                  <c:v>1.5402275394475368E-4</c:v>
                </c:pt>
                <c:pt idx="140">
                  <c:v>1.4180061510269738E-4</c:v>
                </c:pt>
                <c:pt idx="141">
                  <c:v>1.3038155794462905E-4</c:v>
                </c:pt>
                <c:pt idx="142">
                  <c:v>1.1998824806550023E-4</c:v>
                </c:pt>
                <c:pt idx="143">
                  <c:v>1.1061953104820079E-4</c:v>
                </c:pt>
                <c:pt idx="144">
                  <c:v>1.0227481500947473E-4</c:v>
                </c:pt>
                <c:pt idx="145">
                  <c:v>9.495336587037524E-5</c:v>
                </c:pt>
                <c:pt idx="146">
                  <c:v>8.8654318840883459E-5</c:v>
                </c:pt>
                <c:pt idx="147">
                  <c:v>8.3376689907424141E-5</c:v>
                </c:pt>
                <c:pt idx="148">
                  <c:v>7.9119387318294773E-5</c:v>
                </c:pt>
                <c:pt idx="149">
                  <c:v>7.5967143658314926E-5</c:v>
                </c:pt>
                <c:pt idx="150">
                  <c:v>7.3215387052691556E-5</c:v>
                </c:pt>
                <c:pt idx="151">
                  <c:v>7.0863693610859804E-5</c:v>
                </c:pt>
                <c:pt idx="152">
                  <c:v>6.8911606802529114E-5</c:v>
                </c:pt>
                <c:pt idx="153">
                  <c:v>6.7358641961591891E-5</c:v>
                </c:pt>
                <c:pt idx="154">
                  <c:v>6.6204290790371171E-5</c:v>
                </c:pt>
                <c:pt idx="155">
                  <c:v>6.5671899220443117E-5</c:v>
                </c:pt>
                <c:pt idx="156">
                  <c:v>6.5449186494268138E-5</c:v>
                </c:pt>
                <c:pt idx="157">
                  <c:v>6.5535738475777519E-5</c:v>
                </c:pt>
                <c:pt idx="158">
                  <c:v>6.5931136946521224E-5</c:v>
                </c:pt>
                <c:pt idx="159">
                  <c:v>6.6634963115320934E-5</c:v>
                </c:pt>
                <c:pt idx="160">
                  <c:v>6.7646801128602024E-5</c:v>
                </c:pt>
                <c:pt idx="161">
                  <c:v>6.8966241580103839E-5</c:v>
                </c:pt>
                <c:pt idx="162">
                  <c:v>7.0592885020885588E-5</c:v>
                </c:pt>
                <c:pt idx="163">
                  <c:v>7.2305824750945496E-5</c:v>
                </c:pt>
                <c:pt idx="164">
                  <c:v>7.401977979223111E-5</c:v>
                </c:pt>
                <c:pt idx="165">
                  <c:v>7.5734863480723681E-5</c:v>
                </c:pt>
                <c:pt idx="166">
                  <c:v>7.7451197240223246E-5</c:v>
                </c:pt>
                <c:pt idx="167">
                  <c:v>7.9168910608762126E-5</c:v>
                </c:pt>
                <c:pt idx="168">
                  <c:v>8.0888141267043313E-5</c:v>
                </c:pt>
                <c:pt idx="169">
                  <c:v>8.2389168198083228E-5</c:v>
                </c:pt>
                <c:pt idx="170">
                  <c:v>8.3450281621205152E-5</c:v>
                </c:pt>
                <c:pt idx="171">
                  <c:v>8.4072223511446727E-5</c:v>
                </c:pt>
                <c:pt idx="172">
                  <c:v>8.4255703298782438E-5</c:v>
                </c:pt>
                <c:pt idx="173">
                  <c:v>8.4000674486605967E-5</c:v>
                </c:pt>
                <c:pt idx="174">
                  <c:v>8.330703416289561E-5</c:v>
                </c:pt>
                <c:pt idx="175">
                  <c:v>8.2175379187674117E-5</c:v>
                </c:pt>
                <c:pt idx="176">
                  <c:v>8.0606304003156667E-5</c:v>
                </c:pt>
                <c:pt idx="177">
                  <c:v>7.8821902604074134E-5</c:v>
                </c:pt>
                <c:pt idx="178">
                  <c:v>7.7041499588918435E-5</c:v>
                </c:pt>
                <c:pt idx="179">
                  <c:v>7.5265119805186746E-5</c:v>
                </c:pt>
                <c:pt idx="180">
                  <c:v>7.3492784703301666E-5</c:v>
                </c:pt>
                <c:pt idx="181">
                  <c:v>7.1724512347994427E-5</c:v>
                </c:pt>
                <c:pt idx="182">
                  <c:v>6.9960317430248076E-5</c:v>
                </c:pt>
                <c:pt idx="183">
                  <c:v>6.8284753791554063E-5</c:v>
                </c:pt>
                <c:pt idx="184">
                  <c:v>6.691621119000096E-5</c:v>
                </c:pt>
                <c:pt idx="185">
                  <c:v>6.5854337234376692E-5</c:v>
                </c:pt>
                <c:pt idx="186">
                  <c:v>6.509878669885697E-5</c:v>
                </c:pt>
                <c:pt idx="187">
                  <c:v>6.464922302624985E-5</c:v>
                </c:pt>
                <c:pt idx="188">
                  <c:v>6.4505319831525935E-5</c:v>
                </c:pt>
                <c:pt idx="189">
                  <c:v>6.4666762403702501E-5</c:v>
                </c:pt>
                <c:pt idx="190">
                  <c:v>6.5133249210034703E-5</c:v>
                </c:pt>
                <c:pt idx="191">
                  <c:v>6.6211054217754845E-5</c:v>
                </c:pt>
                <c:pt idx="192">
                  <c:v>6.7679376190248901E-5</c:v>
                </c:pt>
                <c:pt idx="193">
                  <c:v>6.9537883626764812E-5</c:v>
                </c:pt>
                <c:pt idx="194">
                  <c:v>7.1786269811999044E-5</c:v>
                </c:pt>
                <c:pt idx="195">
                  <c:v>7.4424254746093338E-5</c:v>
                </c:pt>
                <c:pt idx="196">
                  <c:v>7.7451587072420666E-5</c:v>
                </c:pt>
                <c:pt idx="197">
                  <c:v>8.1556861175183386E-5</c:v>
                </c:pt>
                <c:pt idx="198">
                  <c:v>8.6655202219019026E-5</c:v>
                </c:pt>
                <c:pt idx="199">
                  <c:v>9.2745989531622353E-5</c:v>
                </c:pt>
                <c:pt idx="200">
                  <c:v>9.9828685977618791E-5</c:v>
                </c:pt>
                <c:pt idx="201">
                  <c:v>1.0790284287633405E-4</c:v>
                </c:pt>
                <c:pt idx="202">
                  <c:v>1.1696810491978814E-4</c:v>
                </c:pt>
                <c:pt idx="203">
                  <c:v>1.2702421509283706E-4</c:v>
                </c:pt>
                <c:pt idx="204">
                  <c:v>1.3807083353115516E-4</c:v>
                </c:pt>
                <c:pt idx="205">
                  <c:v>1.4988956012111678E-4</c:v>
                </c:pt>
                <c:pt idx="206">
                  <c:v>1.6217499527915297E-4</c:v>
                </c:pt>
                <c:pt idx="207">
                  <c:v>1.7492726970249465E-4</c:v>
                </c:pt>
                <c:pt idx="208">
                  <c:v>1.8814653324453946E-4</c:v>
                </c:pt>
                <c:pt idx="209">
                  <c:v>2.0183295369787178E-4</c:v>
                </c:pt>
                <c:pt idx="210">
                  <c:v>2.159867155824551E-4</c:v>
                </c:pt>
                <c:pt idx="211">
                  <c:v>2.3008922799326408E-4</c:v>
                </c:pt>
                <c:pt idx="212">
                  <c:v>2.4345409726212451E-4</c:v>
                </c:pt>
                <c:pt idx="213">
                  <c:v>2.5608192189980255E-4</c:v>
                </c:pt>
                <c:pt idx="214">
                  <c:v>2.6797324330162989E-4</c:v>
                </c:pt>
                <c:pt idx="215">
                  <c:v>2.7912854765638212E-4</c:v>
                </c:pt>
                <c:pt idx="216">
                  <c:v>2.8954826785448446E-4</c:v>
                </c:pt>
                <c:pt idx="217">
                  <c:v>2.9923278539715825E-4</c:v>
                </c:pt>
                <c:pt idx="218">
                  <c:v>3.081824323042891E-4</c:v>
                </c:pt>
                <c:pt idx="219">
                  <c:v>3.172132827341674E-4</c:v>
                </c:pt>
                <c:pt idx="220">
                  <c:v>3.2654313606922999E-4</c:v>
                </c:pt>
                <c:pt idx="221">
                  <c:v>3.3617209094568759E-4</c:v>
                </c:pt>
                <c:pt idx="222">
                  <c:v>3.4610025007140869E-4</c:v>
                </c:pt>
                <c:pt idx="223">
                  <c:v>3.5632771945988488E-4</c:v>
                </c:pt>
                <c:pt idx="224">
                  <c:v>3.6685460765762328E-4</c:v>
                </c:pt>
                <c:pt idx="225">
                  <c:v>3.7832719745022552E-4</c:v>
                </c:pt>
                <c:pt idx="226">
                  <c:v>3.9126395510818832E-4</c:v>
                </c:pt>
                <c:pt idx="227">
                  <c:v>4.0566501865043595E-4</c:v>
                </c:pt>
                <c:pt idx="228">
                  <c:v>4.2153056671618395E-4</c:v>
                </c:pt>
                <c:pt idx="229">
                  <c:v>4.3886081477091833E-4</c:v>
                </c:pt>
                <c:pt idx="230">
                  <c:v>4.5765601131748267E-4</c:v>
                </c:pt>
                <c:pt idx="231">
                  <c:v>4.7791643410885959E-4</c:v>
                </c:pt>
                <c:pt idx="232">
                  <c:v>4.9964238635284274E-4</c:v>
                </c:pt>
                <c:pt idx="233">
                  <c:v>5.2314902035881694E-4</c:v>
                </c:pt>
                <c:pt idx="234">
                  <c:v>5.4762090671256318E-4</c:v>
                </c:pt>
                <c:pt idx="235">
                  <c:v>5.7305872471354871E-4</c:v>
                </c:pt>
                <c:pt idx="236">
                  <c:v>5.9946338532323572E-4</c:v>
                </c:pt>
                <c:pt idx="237">
                  <c:v>6.2683556533316305E-4</c:v>
                </c:pt>
                <c:pt idx="238">
                  <c:v>6.5517599009018868E-4</c:v>
                </c:pt>
                <c:pt idx="239">
                  <c:v>6.843625983018229E-4</c:v>
                </c:pt>
                <c:pt idx="240">
                  <c:v>7.1374966619788696E-4</c:v>
                </c:pt>
                <c:pt idx="241">
                  <c:v>7.4333788452508908E-4</c:v>
                </c:pt>
                <c:pt idx="242">
                  <c:v>7.7312796857782794E-4</c:v>
                </c:pt>
                <c:pt idx="243">
                  <c:v>8.0312065848640879E-4</c:v>
                </c:pt>
                <c:pt idx="244">
                  <c:v>8.3331671950255765E-4</c:v>
                </c:pt>
                <c:pt idx="245">
                  <c:v>8.6371694227787199E-4</c:v>
                </c:pt>
                <c:pt idx="246">
                  <c:v>8.9432214314007447E-4</c:v>
                </c:pt>
                <c:pt idx="247">
                  <c:v>9.239599044801902E-4</c:v>
                </c:pt>
                <c:pt idx="248">
                  <c:v>9.5231542618117327E-4</c:v>
                </c:pt>
                <c:pt idx="249">
                  <c:v>9.7938896938072357E-4</c:v>
                </c:pt>
                <c:pt idx="250">
                  <c:v>1.0051807535990725E-3</c:v>
                </c:pt>
                <c:pt idx="251">
                  <c:v>1.0296909548536204E-3</c:v>
                </c:pt>
                <c:pt idx="252">
                  <c:v>1.0529197037393416E-3</c:v>
                </c:pt>
                <c:pt idx="253">
                  <c:v>1.0744114825628934E-3</c:v>
                </c:pt>
                <c:pt idx="254">
                  <c:v>1.0942891486726912E-3</c:v>
                </c:pt>
                <c:pt idx="255">
                  <c:v>1.1125524903683431E-3</c:v>
                </c:pt>
                <c:pt idx="256">
                  <c:v>1.1292012257582995E-3</c:v>
                </c:pt>
                <c:pt idx="257">
                  <c:v>1.1442350003563256E-3</c:v>
                </c:pt>
                <c:pt idx="258">
                  <c:v>1.1576533846866409E-3</c:v>
                </c:pt>
                <c:pt idx="259">
                  <c:v>1.1694558719026827E-3</c:v>
                </c:pt>
                <c:pt idx="260">
                  <c:v>1.1796418753766251E-3</c:v>
                </c:pt>
                <c:pt idx="261">
                  <c:v>1.1887569235757474E-3</c:v>
                </c:pt>
                <c:pt idx="262">
                  <c:v>1.1979771846142104E-3</c:v>
                </c:pt>
                <c:pt idx="263">
                  <c:v>1.2073031514893951E-3</c:v>
                </c:pt>
                <c:pt idx="264">
                  <c:v>1.21673537634359E-3</c:v>
                </c:pt>
                <c:pt idx="265">
                  <c:v>1.2262799099352145E-3</c:v>
                </c:pt>
                <c:pt idx="266">
                  <c:v>1.2359402745568846E-3</c:v>
                </c:pt>
                <c:pt idx="267">
                  <c:v>1.2491984626907355E-3</c:v>
                </c:pt>
                <c:pt idx="268">
                  <c:v>1.2665145098379367E-3</c:v>
                </c:pt>
                <c:pt idx="269">
                  <c:v>1.2878919312632054E-3</c:v>
                </c:pt>
                <c:pt idx="270">
                  <c:v>1.3133345113634086E-3</c:v>
                </c:pt>
                <c:pt idx="271">
                  <c:v>1.3428462665716851E-3</c:v>
                </c:pt>
                <c:pt idx="272">
                  <c:v>1.3764314082906227E-3</c:v>
                </c:pt>
                <c:pt idx="273">
                  <c:v>1.4140943058115352E-3</c:v>
                </c:pt>
                <c:pt idx="274">
                  <c:v>1.4558394492485223E-3</c:v>
                </c:pt>
                <c:pt idx="275">
                  <c:v>1.5059848230876739E-3</c:v>
                </c:pt>
                <c:pt idx="276">
                  <c:v>1.5639914301780863E-3</c:v>
                </c:pt>
                <c:pt idx="277">
                  <c:v>1.6298687055650446E-3</c:v>
                </c:pt>
                <c:pt idx="278">
                  <c:v>1.7036261700374726E-3</c:v>
                </c:pt>
                <c:pt idx="279">
                  <c:v>1.785273358515008E-3</c:v>
                </c:pt>
                <c:pt idx="280">
                  <c:v>1.874819748448461E-3</c:v>
                </c:pt>
                <c:pt idx="281">
                  <c:v>1.9718878526119002E-3</c:v>
                </c:pt>
                <c:pt idx="282">
                  <c:v>2.0729830211786084E-3</c:v>
                </c:pt>
                <c:pt idx="283">
                  <c:v>2.1781090274202533E-3</c:v>
                </c:pt>
                <c:pt idx="284">
                  <c:v>2.2872692972512815E-3</c:v>
                </c:pt>
                <c:pt idx="285">
                  <c:v>2.4004668731944013E-3</c:v>
                </c:pt>
                <c:pt idx="286">
                  <c:v>2.5177043783642847E-3</c:v>
                </c:pt>
                <c:pt idx="287">
                  <c:v>2.6389839804331124E-3</c:v>
                </c:pt>
                <c:pt idx="288">
                  <c:v>2.7643073556028546E-3</c:v>
                </c:pt>
                <c:pt idx="289">
                  <c:v>2.8949403904459797E-3</c:v>
                </c:pt>
                <c:pt idx="290">
                  <c:v>3.0265440373355005E-3</c:v>
                </c:pt>
                <c:pt idx="291">
                  <c:v>3.1591144594394845E-3</c:v>
                </c:pt>
                <c:pt idx="292">
                  <c:v>3.2926473104607553E-3</c:v>
                </c:pt>
                <c:pt idx="293">
                  <c:v>3.4271377266532088E-3</c:v>
                </c:pt>
                <c:pt idx="294">
                  <c:v>3.5625803188289889E-3</c:v>
                </c:pt>
                <c:pt idx="295">
                  <c:v>3.6983697493590735E-3</c:v>
                </c:pt>
                <c:pt idx="296">
                  <c:v>3.8349270488051458E-3</c:v>
                </c:pt>
                <c:pt idx="297">
                  <c:v>3.9722771843008937E-3</c:v>
                </c:pt>
                <c:pt idx="298">
                  <c:v>4.1104200546457715E-3</c:v>
                </c:pt>
                <c:pt idx="299">
                  <c:v>4.2493551571414359E-3</c:v>
                </c:pt>
                <c:pt idx="300">
                  <c:v>4.3890815824309268E-3</c:v>
                </c:pt>
                <c:pt idx="301">
                  <c:v>4.5295980093275632E-3</c:v>
                </c:pt>
                <c:pt idx="302">
                  <c:v>4.6709026996517447E-3</c:v>
                </c:pt>
                <c:pt idx="303">
                  <c:v>4.9574420159387384E-3</c:v>
                </c:pt>
                <c:pt idx="304">
                  <c:v>5.3881141015075405E-3</c:v>
                </c:pt>
                <c:pt idx="305">
                  <c:v>5.963086940355934E-3</c:v>
                </c:pt>
                <c:pt idx="306">
                  <c:v>6.6825265241819629E-3</c:v>
                </c:pt>
                <c:pt idx="307">
                  <c:v>7.54659574330675E-3</c:v>
                </c:pt>
                <c:pt idx="308">
                  <c:v>8.5554532775475242E-3</c:v>
                </c:pt>
                <c:pt idx="309">
                  <c:v>1.004945689317688E-2</c:v>
                </c:pt>
                <c:pt idx="310">
                  <c:v>1.2029748263365126E-2</c:v>
                </c:pt>
                <c:pt idx="311">
                  <c:v>1.4496848461563889E-2</c:v>
                </c:pt>
                <c:pt idx="312">
                  <c:v>1.7451256796419862E-2</c:v>
                </c:pt>
                <c:pt idx="313">
                  <c:v>2.0893447081251498E-2</c:v>
                </c:pt>
                <c:pt idx="314">
                  <c:v>2.4823863903403545E-2</c:v>
                </c:pt>
                <c:pt idx="315">
                  <c:v>2.9242918893810466E-2</c:v>
                </c:pt>
                <c:pt idx="316">
                  <c:v>3.4150986996285417E-2</c:v>
                </c:pt>
                <c:pt idx="317">
                  <c:v>3.9648173545252643E-2</c:v>
                </c:pt>
                <c:pt idx="318">
                  <c:v>4.5589609870363389E-2</c:v>
                </c:pt>
                <c:pt idx="319">
                  <c:v>5.1975493011366912E-2</c:v>
                </c:pt>
                <c:pt idx="320">
                  <c:v>5.8805971370023857E-2</c:v>
                </c:pt>
                <c:pt idx="321">
                  <c:v>6.608114132810157E-2</c:v>
                </c:pt>
                <c:pt idx="322">
                  <c:v>7.3801043865718688E-2</c:v>
                </c:pt>
                <c:pt idx="323">
                  <c:v>8.1726155641739961E-2</c:v>
                </c:pt>
                <c:pt idx="324">
                  <c:v>8.9514364505749511E-2</c:v>
                </c:pt>
                <c:pt idx="325">
                  <c:v>9.7165139624436195E-2</c:v>
                </c:pt>
                <c:pt idx="326">
                  <c:v>0.10467739235612716</c:v>
                </c:pt>
                <c:pt idx="327">
                  <c:v>0.11205025934495004</c:v>
                </c:pt>
                <c:pt idx="328">
                  <c:v>0.11928333471532444</c:v>
                </c:pt>
                <c:pt idx="329">
                  <c:v>0.12637628248194274</c:v>
                </c:pt>
                <c:pt idx="330">
                  <c:v>0.13332883411064259</c:v>
                </c:pt>
                <c:pt idx="331">
                  <c:v>0.13994912263495951</c:v>
                </c:pt>
                <c:pt idx="332">
                  <c:v>0.14613687277386039</c:v>
                </c:pt>
                <c:pt idx="333">
                  <c:v>0.15189195214713702</c:v>
                </c:pt>
                <c:pt idx="334">
                  <c:v>0.15721430613142554</c:v>
                </c:pt>
                <c:pt idx="335">
                  <c:v>0.16210395033278349</c:v>
                </c:pt>
                <c:pt idx="336">
                  <c:v>0.16656096305764356</c:v>
                </c:pt>
                <c:pt idx="337">
                  <c:v>0.17050098864936827</c:v>
                </c:pt>
                <c:pt idx="338">
                  <c:v>0.17416411296734535</c:v>
                </c:pt>
                <c:pt idx="339">
                  <c:v>0.17755056789293691</c:v>
                </c:pt>
                <c:pt idx="340">
                  <c:v>0.18066061566860195</c:v>
                </c:pt>
                <c:pt idx="341">
                  <c:v>0.18349454408078267</c:v>
                </c:pt>
                <c:pt idx="342">
                  <c:v>0.18605266164272785</c:v>
                </c:pt>
                <c:pt idx="343">
                  <c:v>0.18833529277544381</c:v>
                </c:pt>
                <c:pt idx="344">
                  <c:v>0.19034277299104815</c:v>
                </c:pt>
                <c:pt idx="345">
                  <c:v>0.19207544407449981</c:v>
                </c:pt>
                <c:pt idx="346">
                  <c:v>0.19364417076011878</c:v>
                </c:pt>
                <c:pt idx="347">
                  <c:v>0.19504931139886003</c:v>
                </c:pt>
                <c:pt idx="348">
                  <c:v>0.19629122425008716</c:v>
                </c:pt>
                <c:pt idx="349">
                  <c:v>0.19737026458976439</c:v>
                </c:pt>
                <c:pt idx="350">
                  <c:v>0.19828678182249515</c:v>
                </c:pt>
                <c:pt idx="351">
                  <c:v>0.19895983367801606</c:v>
                </c:pt>
                <c:pt idx="352">
                  <c:v>0.19947427255080061</c:v>
                </c:pt>
                <c:pt idx="353">
                  <c:v>0.19983040929940066</c:v>
                </c:pt>
                <c:pt idx="354">
                  <c:v>0.20002853722795608</c:v>
                </c:pt>
                <c:pt idx="355">
                  <c:v>0.20006892924422257</c:v>
                </c:pt>
                <c:pt idx="356">
                  <c:v>0.19995195096946153</c:v>
                </c:pt>
                <c:pt idx="357">
                  <c:v>0.19967745218555399</c:v>
                </c:pt>
                <c:pt idx="358">
                  <c:v>0.1992448542327192</c:v>
                </c:pt>
                <c:pt idx="359">
                  <c:v>0.19865355811347998</c:v>
                </c:pt>
                <c:pt idx="360">
                  <c:v>0.19781822933930837</c:v>
                </c:pt>
                <c:pt idx="361">
                  <c:v>0.19681963020349205</c:v>
                </c:pt>
                <c:pt idx="362">
                  <c:v>0.19565711420159995</c:v>
                </c:pt>
                <c:pt idx="363">
                  <c:v>0.19433002894696719</c:v>
                </c:pt>
                <c:pt idx="364">
                  <c:v>0.19283771974247518</c:v>
                </c:pt>
                <c:pt idx="365">
                  <c:v>0.19117953315024538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0.22714293691556375</c:v>
                </c:pt>
                <c:pt idx="1">
                  <c:v>0.22541939211840034</c:v>
                </c:pt>
                <c:pt idx="2">
                  <c:v>0.22345368524636808</c:v>
                </c:pt>
                <c:pt idx="3">
                  <c:v>0.22124502054036196</c:v>
                </c:pt>
                <c:pt idx="4">
                  <c:v>0.21879261668832228</c:v>
                </c:pt>
                <c:pt idx="5">
                  <c:v>0.21609571200571598</c:v>
                </c:pt>
                <c:pt idx="6">
                  <c:v>0.21315356961834339</c:v>
                </c:pt>
                <c:pt idx="7">
                  <c:v>0.20996548264101492</c:v>
                </c:pt>
                <c:pt idx="8">
                  <c:v>0.20653077935884032</c:v>
                </c:pt>
                <c:pt idx="9">
                  <c:v>0.20258944093591538</c:v>
                </c:pt>
                <c:pt idx="10">
                  <c:v>0.1982228929329668</c:v>
                </c:pt>
                <c:pt idx="11">
                  <c:v>0.19343042585696332</c:v>
                </c:pt>
                <c:pt idx="12">
                  <c:v>0.18821140568559078</c:v>
                </c:pt>
                <c:pt idx="13">
                  <c:v>0.18256528283217324</c:v>
                </c:pt>
                <c:pt idx="14">
                  <c:v>0.17649160110799722</c:v>
                </c:pt>
                <c:pt idx="15">
                  <c:v>0.16991936978209235</c:v>
                </c:pt>
                <c:pt idx="16">
                  <c:v>0.16300890053232772</c:v>
                </c:pt>
                <c:pt idx="17">
                  <c:v>0.15576013581858619</c:v>
                </c:pt>
                <c:pt idx="18">
                  <c:v>0.14817313225987122</c:v>
                </c:pt>
                <c:pt idx="19">
                  <c:v>0.14024872525449447</c:v>
                </c:pt>
                <c:pt idx="20">
                  <c:v>0.13198800313308257</c:v>
                </c:pt>
                <c:pt idx="21">
                  <c:v>0.12339149814493362</c:v>
                </c:pt>
                <c:pt idx="22">
                  <c:v>0.11445974827135301</c:v>
                </c:pt>
                <c:pt idx="23">
                  <c:v>0.1054821569886189</c:v>
                </c:pt>
                <c:pt idx="24">
                  <c:v>9.6719549125555138E-2</c:v>
                </c:pt>
                <c:pt idx="25">
                  <c:v>8.8172522796561237E-2</c:v>
                </c:pt>
                <c:pt idx="26">
                  <c:v>7.9841618020153715E-2</c:v>
                </c:pt>
                <c:pt idx="27">
                  <c:v>7.1727319011052407E-2</c:v>
                </c:pt>
                <c:pt idx="28">
                  <c:v>6.383005647384242E-2</c:v>
                </c:pt>
                <c:pt idx="29">
                  <c:v>5.6427050491217122E-2</c:v>
                </c:pt>
                <c:pt idx="30">
                  <c:v>4.9589350902187079E-2</c:v>
                </c:pt>
                <c:pt idx="31">
                  <c:v>4.3317201955296127E-2</c:v>
                </c:pt>
                <c:pt idx="32">
                  <c:v>3.7610785515127212E-2</c:v>
                </c:pt>
                <c:pt idx="33">
                  <c:v>3.247022700794417E-2</c:v>
                </c:pt>
                <c:pt idx="34">
                  <c:v>2.7895601367485482E-2</c:v>
                </c:pt>
                <c:pt idx="35">
                  <c:v>2.388693898067519E-2</c:v>
                </c:pt>
                <c:pt idx="36">
                  <c:v>2.0444231633270995E-2</c:v>
                </c:pt>
                <c:pt idx="37">
                  <c:v>1.763682855695935E-2</c:v>
                </c:pt>
                <c:pt idx="38">
                  <c:v>1.5175870863294688E-2</c:v>
                </c:pt>
                <c:pt idx="39">
                  <c:v>1.3061318642679462E-2</c:v>
                </c:pt>
                <c:pt idx="40">
                  <c:v>1.1293118516598413E-2</c:v>
                </c:pt>
                <c:pt idx="41">
                  <c:v>9.871207276654104E-3</c:v>
                </c:pt>
                <c:pt idx="42">
                  <c:v>8.7955155235030381E-3</c:v>
                </c:pt>
                <c:pt idx="43">
                  <c:v>8.06507180845587E-3</c:v>
                </c:pt>
                <c:pt idx="44">
                  <c:v>7.4032122387423021E-3</c:v>
                </c:pt>
                <c:pt idx="45">
                  <c:v>6.8099233204590853E-3</c:v>
                </c:pt>
                <c:pt idx="46">
                  <c:v>6.2851907512238778E-3</c:v>
                </c:pt>
                <c:pt idx="47">
                  <c:v>5.829000140288222E-3</c:v>
                </c:pt>
                <c:pt idx="48">
                  <c:v>5.4413377285731515E-3</c:v>
                </c:pt>
                <c:pt idx="49">
                  <c:v>5.1221911087561169E-3</c:v>
                </c:pt>
                <c:pt idx="50">
                  <c:v>4.8715499453268083E-3</c:v>
                </c:pt>
                <c:pt idx="51">
                  <c:v>4.6883740452953902E-3</c:v>
                </c:pt>
                <c:pt idx="52">
                  <c:v>4.503304067321654E-3</c:v>
                </c:pt>
                <c:pt idx="53">
                  <c:v>4.3163167322635707E-3</c:v>
                </c:pt>
                <c:pt idx="54">
                  <c:v>4.1274092542374916E-3</c:v>
                </c:pt>
                <c:pt idx="55">
                  <c:v>3.936579053124019E-3</c:v>
                </c:pt>
                <c:pt idx="56">
                  <c:v>3.7438237605736586E-3</c:v>
                </c:pt>
                <c:pt idx="57">
                  <c:v>3.5564076154930928E-3</c:v>
                </c:pt>
                <c:pt idx="58">
                  <c:v>3.3752279596750653E-3</c:v>
                </c:pt>
                <c:pt idx="59">
                  <c:v>3.2002832450463681E-3</c:v>
                </c:pt>
                <c:pt idx="60">
                  <c:v>3.0315721771739198E-3</c:v>
                </c:pt>
                <c:pt idx="61">
                  <c:v>2.8690936958820847E-3</c:v>
                </c:pt>
                <c:pt idx="62">
                  <c:v>2.7128469558662786E-3</c:v>
                </c:pt>
                <c:pt idx="63">
                  <c:v>2.5628313073139566E-3</c:v>
                </c:pt>
                <c:pt idx="64">
                  <c:v>2.4190462765160785E-3</c:v>
                </c:pt>
                <c:pt idx="65">
                  <c:v>2.2866824633085126E-3</c:v>
                </c:pt>
                <c:pt idx="66">
                  <c:v>2.166772415659976E-3</c:v>
                </c:pt>
                <c:pt idx="67">
                  <c:v>2.059316065140974E-3</c:v>
                </c:pt>
                <c:pt idx="68">
                  <c:v>1.9643133630422019E-3</c:v>
                </c:pt>
                <c:pt idx="69">
                  <c:v>1.8817642416340142E-3</c:v>
                </c:pt>
                <c:pt idx="70">
                  <c:v>1.8116685754344501E-3</c:v>
                </c:pt>
                <c:pt idx="71">
                  <c:v>1.755653604018243E-3</c:v>
                </c:pt>
                <c:pt idx="72">
                  <c:v>1.7064524097319914E-3</c:v>
                </c:pt>
                <c:pt idx="73">
                  <c:v>1.6640647032112939E-3</c:v>
                </c:pt>
                <c:pt idx="74">
                  <c:v>1.6284901090989267E-3</c:v>
                </c:pt>
                <c:pt idx="75">
                  <c:v>1.5997281448463941E-3</c:v>
                </c:pt>
                <c:pt idx="76">
                  <c:v>1.5777781995111285E-3</c:v>
                </c:pt>
                <c:pt idx="77">
                  <c:v>1.5626395125581487E-3</c:v>
                </c:pt>
                <c:pt idx="78">
                  <c:v>1.5543111960287339E-3</c:v>
                </c:pt>
                <c:pt idx="79">
                  <c:v>1.552682361780104E-3</c:v>
                </c:pt>
                <c:pt idx="80">
                  <c:v>1.5525657555585163E-3</c:v>
                </c:pt>
                <c:pt idx="81">
                  <c:v>1.553960779820959E-3</c:v>
                </c:pt>
                <c:pt idx="82">
                  <c:v>1.5568668334127085E-3</c:v>
                </c:pt>
                <c:pt idx="83">
                  <c:v>1.5612833074948758E-3</c:v>
                </c:pt>
                <c:pt idx="84">
                  <c:v>1.5672095814763358E-3</c:v>
                </c:pt>
                <c:pt idx="85">
                  <c:v>1.571435558642307E-3</c:v>
                </c:pt>
                <c:pt idx="86">
                  <c:v>1.5723343701390391E-3</c:v>
                </c:pt>
                <c:pt idx="87">
                  <c:v>1.5699060413768811E-3</c:v>
                </c:pt>
                <c:pt idx="88">
                  <c:v>1.5641506370220274E-3</c:v>
                </c:pt>
                <c:pt idx="89">
                  <c:v>1.5550682699493571E-3</c:v>
                </c:pt>
                <c:pt idx="90">
                  <c:v>1.5426591101925541E-3</c:v>
                </c:pt>
                <c:pt idx="91">
                  <c:v>1.5269233938992261E-3</c:v>
                </c:pt>
                <c:pt idx="92">
                  <c:v>1.5078614322824771E-3</c:v>
                </c:pt>
                <c:pt idx="93">
                  <c:v>1.484800529333195E-3</c:v>
                </c:pt>
                <c:pt idx="94">
                  <c:v>1.4578561163572732E-3</c:v>
                </c:pt>
                <c:pt idx="95">
                  <c:v>1.427028913207338E-3</c:v>
                </c:pt>
                <c:pt idx="96">
                  <c:v>1.3923197659232473E-3</c:v>
                </c:pt>
                <c:pt idx="97">
                  <c:v>1.353729657195251E-3</c:v>
                </c:pt>
                <c:pt idx="98">
                  <c:v>1.3112597168162994E-3</c:v>
                </c:pt>
                <c:pt idx="99">
                  <c:v>1.2661536736692104E-3</c:v>
                </c:pt>
                <c:pt idx="100">
                  <c:v>1.2216188507844776E-3</c:v>
                </c:pt>
                <c:pt idx="101">
                  <c:v>1.1776554892201612E-3</c:v>
                </c:pt>
                <c:pt idx="102">
                  <c:v>1.1342638581144145E-3</c:v>
                </c:pt>
                <c:pt idx="103">
                  <c:v>1.091444253140202E-3</c:v>
                </c:pt>
                <c:pt idx="104">
                  <c:v>1.0491969949827766E-3</c:v>
                </c:pt>
                <c:pt idx="105">
                  <c:v>1.0075224277960196E-3</c:v>
                </c:pt>
                <c:pt idx="106">
                  <c:v>9.6642091767028661E-4</c:v>
                </c:pt>
                <c:pt idx="107">
                  <c:v>9.2629311214409915E-4</c:v>
                </c:pt>
                <c:pt idx="108">
                  <c:v>8.8781126484430031E-4</c:v>
                </c:pt>
                <c:pt idx="109">
                  <c:v>8.5097527984881374E-4</c:v>
                </c:pt>
                <c:pt idx="110">
                  <c:v>8.157869759592792E-4</c:v>
                </c:pt>
                <c:pt idx="111">
                  <c:v>7.8224785587711031E-4</c:v>
                </c:pt>
                <c:pt idx="112">
                  <c:v>7.5035731446239514E-4</c:v>
                </c:pt>
                <c:pt idx="113">
                  <c:v>7.2090922042546319E-4</c:v>
                </c:pt>
                <c:pt idx="114">
                  <c:v>6.9266269953258532E-4</c:v>
                </c:pt>
                <c:pt idx="115">
                  <c:v>6.6561733401417458E-4</c:v>
                </c:pt>
                <c:pt idx="116">
                  <c:v>6.3977269545049031E-4</c:v>
                </c:pt>
                <c:pt idx="117">
                  <c:v>6.1512834258250864E-4</c:v>
                </c:pt>
                <c:pt idx="118">
                  <c:v>5.9168381911682045E-4</c:v>
                </c:pt>
                <c:pt idx="119">
                  <c:v>5.6943865153225102E-4</c:v>
                </c:pt>
                <c:pt idx="120">
                  <c:v>5.4839234688573203E-4</c:v>
                </c:pt>
                <c:pt idx="121">
                  <c:v>5.2837403538621064E-4</c:v>
                </c:pt>
                <c:pt idx="122">
                  <c:v>5.0898413918317646E-4</c:v>
                </c:pt>
                <c:pt idx="123">
                  <c:v>4.902224818491809E-4</c:v>
                </c:pt>
                <c:pt idx="124">
                  <c:v>4.7208887928694557E-4</c:v>
                </c:pt>
                <c:pt idx="125">
                  <c:v>4.5458313858711156E-4</c:v>
                </c:pt>
                <c:pt idx="126">
                  <c:v>4.377050568801141E-4</c:v>
                </c:pt>
                <c:pt idx="127">
                  <c:v>4.2126493071583765E-4</c:v>
                </c:pt>
                <c:pt idx="128">
                  <c:v>4.0447075891995545E-4</c:v>
                </c:pt>
                <c:pt idx="129">
                  <c:v>3.87323083947243E-4</c:v>
                </c:pt>
                <c:pt idx="130">
                  <c:v>3.6982247557027268E-4</c:v>
                </c:pt>
                <c:pt idx="131">
                  <c:v>3.519695315381021E-4</c:v>
                </c:pt>
                <c:pt idx="132">
                  <c:v>3.3376487823858755E-4</c:v>
                </c:pt>
                <c:pt idx="133">
                  <c:v>3.1520917136244355E-4</c:v>
                </c:pt>
                <c:pt idx="134">
                  <c:v>2.9630309656551642E-4</c:v>
                </c:pt>
                <c:pt idx="135">
                  <c:v>2.7782148079731871E-4</c:v>
                </c:pt>
                <c:pt idx="136">
                  <c:v>2.5993400873328842E-4</c:v>
                </c:pt>
                <c:pt idx="137">
                  <c:v>2.4264051504970581E-4</c:v>
                </c:pt>
                <c:pt idx="138">
                  <c:v>2.2594081789649434E-4</c:v>
                </c:pt>
                <c:pt idx="139">
                  <c:v>2.0983471782199325E-4</c:v>
                </c:pt>
                <c:pt idx="140">
                  <c:v>1.9432199668657527E-4</c:v>
                </c:pt>
                <c:pt idx="141">
                  <c:v>1.7977055921252088E-4</c:v>
                </c:pt>
                <c:pt idx="142">
                  <c:v>1.6636757218872785E-4</c:v>
                </c:pt>
                <c:pt idx="143">
                  <c:v>1.5411169855736098E-4</c:v>
                </c:pt>
                <c:pt idx="144">
                  <c:v>1.4300240287016405E-4</c:v>
                </c:pt>
                <c:pt idx="145">
                  <c:v>1.3303898264527543E-4</c:v>
                </c:pt>
                <c:pt idx="146">
                  <c:v>1.2422058121596267E-4</c:v>
                </c:pt>
                <c:pt idx="147">
                  <c:v>1.1654620058340819E-4</c:v>
                </c:pt>
                <c:pt idx="148">
                  <c:v>1.1001471426657608E-4</c:v>
                </c:pt>
                <c:pt idx="149">
                  <c:v>1.0479799710803865E-4</c:v>
                </c:pt>
                <c:pt idx="150">
                  <c:v>1.0012496284467311E-4</c:v>
                </c:pt>
                <c:pt idx="151">
                  <c:v>9.5995065277038811E-5</c:v>
                </c:pt>
                <c:pt idx="152">
                  <c:v>9.240770970389366E-5</c:v>
                </c:pt>
                <c:pt idx="153">
                  <c:v>8.9362259026411935E-5</c:v>
                </c:pt>
                <c:pt idx="154">
                  <c:v>8.6858039852867358E-5</c:v>
                </c:pt>
                <c:pt idx="155">
                  <c:v>8.5190285460608198E-5</c:v>
                </c:pt>
                <c:pt idx="156">
                  <c:v>8.3992240329926456E-5</c:v>
                </c:pt>
                <c:pt idx="157">
                  <c:v>8.3263267984231884E-5</c:v>
                </c:pt>
                <c:pt idx="158">
                  <c:v>8.3002721826402242E-5</c:v>
                </c:pt>
                <c:pt idx="159">
                  <c:v>8.3209950451274903E-5</c:v>
                </c:pt>
                <c:pt idx="160">
                  <c:v>8.3884302958998124E-5</c:v>
                </c:pt>
                <c:pt idx="161">
                  <c:v>8.5025134267595746E-5</c:v>
                </c:pt>
                <c:pt idx="162">
                  <c:v>8.6631810425906659E-5</c:v>
                </c:pt>
                <c:pt idx="163">
                  <c:v>8.8444702835217091E-5</c:v>
                </c:pt>
                <c:pt idx="164">
                  <c:v>9.0291844461571233E-5</c:v>
                </c:pt>
                <c:pt idx="165">
                  <c:v>9.2173318419020616E-5</c:v>
                </c:pt>
                <c:pt idx="166">
                  <c:v>9.4089218024375951E-5</c:v>
                </c:pt>
                <c:pt idx="167">
                  <c:v>9.6039647202256489E-5</c:v>
                </c:pt>
                <c:pt idx="168">
                  <c:v>9.8024720892604124E-5</c:v>
                </c:pt>
                <c:pt idx="169">
                  <c:v>9.9786322341361688E-5</c:v>
                </c:pt>
                <c:pt idx="170">
                  <c:v>1.0103126476859212E-4</c:v>
                </c:pt>
                <c:pt idx="171">
                  <c:v>1.017604231014739E-4</c:v>
                </c:pt>
                <c:pt idx="172">
                  <c:v>1.0197463404161158E-4</c:v>
                </c:pt>
                <c:pt idx="173">
                  <c:v>1.0167382066922939E-4</c:v>
                </c:pt>
                <c:pt idx="174">
                  <c:v>1.008578384888152E-4</c:v>
                </c:pt>
                <c:pt idx="175">
                  <c:v>9.952739001357757E-5</c:v>
                </c:pt>
                <c:pt idx="176">
                  <c:v>9.7683174916928685E-5</c:v>
                </c:pt>
                <c:pt idx="177">
                  <c:v>9.5618692485432269E-5</c:v>
                </c:pt>
                <c:pt idx="178">
                  <c:v>9.3591509363809573E-5</c:v>
                </c:pt>
                <c:pt idx="179">
                  <c:v>9.1601615620723404E-5</c:v>
                </c:pt>
                <c:pt idx="180">
                  <c:v>8.9648997931424893E-5</c:v>
                </c:pt>
                <c:pt idx="181">
                  <c:v>8.7733639751288141E-5</c:v>
                </c:pt>
                <c:pt idx="182">
                  <c:v>8.5855521490024974E-5</c:v>
                </c:pt>
                <c:pt idx="183">
                  <c:v>8.4184961026374927E-5</c:v>
                </c:pt>
                <c:pt idx="184">
                  <c:v>8.2978346923739347E-5</c:v>
                </c:pt>
                <c:pt idx="185">
                  <c:v>8.2235149268269241E-5</c:v>
                </c:pt>
                <c:pt idx="186">
                  <c:v>8.1954850679798923E-5</c:v>
                </c:pt>
                <c:pt idx="187">
                  <c:v>8.2136948587167855E-5</c:v>
                </c:pt>
                <c:pt idx="188">
                  <c:v>8.2780957503922318E-5</c:v>
                </c:pt>
                <c:pt idx="189">
                  <c:v>8.3886411301926263E-5</c:v>
                </c:pt>
                <c:pt idx="190">
                  <c:v>8.5452865487908034E-5</c:v>
                </c:pt>
                <c:pt idx="191">
                  <c:v>8.783979612879624E-5</c:v>
                </c:pt>
                <c:pt idx="192">
                  <c:v>9.0755337716194495E-5</c:v>
                </c:pt>
                <c:pt idx="193">
                  <c:v>9.4199064963153926E-5</c:v>
                </c:pt>
                <c:pt idx="194">
                  <c:v>9.8170588001007548E-5</c:v>
                </c:pt>
                <c:pt idx="195">
                  <c:v>1.0266955499511307E-4</c:v>
                </c:pt>
                <c:pt idx="196">
                  <c:v>1.0769565475761624E-4</c:v>
                </c:pt>
                <c:pt idx="197">
                  <c:v>1.1400239457850826E-4</c:v>
                </c:pt>
                <c:pt idx="198">
                  <c:v>1.214194607298621E-4</c:v>
                </c:pt>
                <c:pt idx="199">
                  <c:v>1.2994623180141555E-4</c:v>
                </c:pt>
                <c:pt idx="200">
                  <c:v>1.3958218324665791E-4</c:v>
                </c:pt>
                <c:pt idx="201">
                  <c:v>1.5032689288471134E-4</c:v>
                </c:pt>
                <c:pt idx="202">
                  <c:v>1.6218004640253364E-4</c:v>
                </c:pt>
                <c:pt idx="203">
                  <c:v>1.75141442860106E-4</c:v>
                </c:pt>
                <c:pt idx="204">
                  <c:v>1.8921074521801172E-4</c:v>
                </c:pt>
                <c:pt idx="205">
                  <c:v>2.0420381240396951E-4</c:v>
                </c:pt>
                <c:pt idx="206">
                  <c:v>2.1976213354612463E-4</c:v>
                </c:pt>
                <c:pt idx="207">
                  <c:v>2.3588588464021226E-4</c:v>
                </c:pt>
                <c:pt idx="208">
                  <c:v>2.5257526417527709E-4</c:v>
                </c:pt>
                <c:pt idx="209">
                  <c:v>2.6983049165949679E-4</c:v>
                </c:pt>
                <c:pt idx="210">
                  <c:v>2.8765180615295606E-4</c:v>
                </c:pt>
                <c:pt idx="211">
                  <c:v>3.0587465966562213E-4</c:v>
                </c:pt>
                <c:pt idx="212">
                  <c:v>3.2374782497149112E-4</c:v>
                </c:pt>
                <c:pt idx="213">
                  <c:v>3.4127187982965659E-4</c:v>
                </c:pt>
                <c:pt idx="214">
                  <c:v>3.5844736298985239E-4</c:v>
                </c:pt>
                <c:pt idx="215">
                  <c:v>3.7527477509573709E-4</c:v>
                </c:pt>
                <c:pt idx="216">
                  <c:v>3.9175457958727798E-4</c:v>
                </c:pt>
                <c:pt idx="217">
                  <c:v>4.0788720360440998E-4</c:v>
                </c:pt>
                <c:pt idx="218">
                  <c:v>4.2367303888899023E-4</c:v>
                </c:pt>
                <c:pt idx="219">
                  <c:v>4.3987932514233413E-4</c:v>
                </c:pt>
                <c:pt idx="220">
                  <c:v>4.5668972512573586E-4</c:v>
                </c:pt>
                <c:pt idx="221">
                  <c:v>4.7410444155808815E-4</c:v>
                </c:pt>
                <c:pt idx="222">
                  <c:v>4.9212368757716948E-4</c:v>
                </c:pt>
                <c:pt idx="223">
                  <c:v>5.1074768518524825E-4</c:v>
                </c:pt>
                <c:pt idx="224">
                  <c:v>5.2997666368552454E-4</c:v>
                </c:pt>
                <c:pt idx="225">
                  <c:v>5.5019676968455988E-4</c:v>
                </c:pt>
                <c:pt idx="226">
                  <c:v>5.7157290788188101E-4</c:v>
                </c:pt>
                <c:pt idx="227">
                  <c:v>5.9410533415139952E-4</c:v>
                </c:pt>
                <c:pt idx="228">
                  <c:v>6.1779432480723185E-4</c:v>
                </c:pt>
                <c:pt idx="229">
                  <c:v>6.4264017360949482E-4</c:v>
                </c:pt>
                <c:pt idx="230">
                  <c:v>6.6864318877757876E-4</c:v>
                </c:pt>
                <c:pt idx="231">
                  <c:v>6.9580369000590391E-4</c:v>
                </c:pt>
                <c:pt idx="232">
                  <c:v>7.2412200546781685E-4</c:v>
                </c:pt>
                <c:pt idx="233">
                  <c:v>7.547954004792414E-4</c:v>
                </c:pt>
                <c:pt idx="234">
                  <c:v>7.8705745494466958E-4</c:v>
                </c:pt>
                <c:pt idx="235">
                  <c:v>8.2090912991224479E-4</c:v>
                </c:pt>
                <c:pt idx="236">
                  <c:v>8.5635171917785538E-4</c:v>
                </c:pt>
                <c:pt idx="237">
                  <c:v>8.9338618357002705E-4</c:v>
                </c:pt>
                <c:pt idx="238">
                  <c:v>9.3201355915287752E-4</c:v>
                </c:pt>
                <c:pt idx="239">
                  <c:v>9.7158662247104311E-4</c:v>
                </c:pt>
                <c:pt idx="240">
                  <c:v>1.0117203011897316E-3</c:v>
                </c:pt>
                <c:pt idx="241">
                  <c:v>1.0524156081794323E-3</c:v>
                </c:pt>
                <c:pt idx="242">
                  <c:v>1.0936736006926372E-3</c:v>
                </c:pt>
                <c:pt idx="243">
                  <c:v>1.1354953811797558E-3</c:v>
                </c:pt>
                <c:pt idx="244">
                  <c:v>1.1778820981011757E-3</c:v>
                </c:pt>
                <c:pt idx="245">
                  <c:v>1.220834946729338E-3</c:v>
                </c:pt>
                <c:pt idx="246">
                  <c:v>1.2643551699477245E-3</c:v>
                </c:pt>
                <c:pt idx="247">
                  <c:v>1.3053515597179436E-3</c:v>
                </c:pt>
                <c:pt idx="248">
                  <c:v>1.3426258547979755E-3</c:v>
                </c:pt>
                <c:pt idx="249">
                  <c:v>1.3761776247653167E-3</c:v>
                </c:pt>
                <c:pt idx="250">
                  <c:v>1.406006292967434E-3</c:v>
                </c:pt>
                <c:pt idx="251">
                  <c:v>1.4321111310480808E-3</c:v>
                </c:pt>
                <c:pt idx="252">
                  <c:v>1.4544912534253543E-3</c:v>
                </c:pt>
                <c:pt idx="253">
                  <c:v>1.4730348371033222E-3</c:v>
                </c:pt>
                <c:pt idx="254">
                  <c:v>1.488390139105681E-3</c:v>
                </c:pt>
                <c:pt idx="255">
                  <c:v>1.5005560631743051E-3</c:v>
                </c:pt>
                <c:pt idx="256">
                  <c:v>1.5095313610916123E-3</c:v>
                </c:pt>
                <c:pt idx="257">
                  <c:v>1.51531462795768E-3</c:v>
                </c:pt>
                <c:pt idx="258">
                  <c:v>1.5179042974793066E-3</c:v>
                </c:pt>
                <c:pt idx="259">
                  <c:v>1.5172986372767308E-3</c:v>
                </c:pt>
                <c:pt idx="260">
                  <c:v>1.5134957441516148E-3</c:v>
                </c:pt>
                <c:pt idx="261">
                  <c:v>1.5080649495689922E-3</c:v>
                </c:pt>
                <c:pt idx="262">
                  <c:v>1.5041062422130366E-3</c:v>
                </c:pt>
                <c:pt idx="263">
                  <c:v>1.5016207971133677E-3</c:v>
                </c:pt>
                <c:pt idx="264">
                  <c:v>1.5006099303448272E-3</c:v>
                </c:pt>
                <c:pt idx="265">
                  <c:v>1.5010817571857158E-3</c:v>
                </c:pt>
                <c:pt idx="266">
                  <c:v>1.5030412138338839E-3</c:v>
                </c:pt>
                <c:pt idx="267">
                  <c:v>1.5115086274766661E-3</c:v>
                </c:pt>
                <c:pt idx="268">
                  <c:v>1.5266002030418276E-3</c:v>
                </c:pt>
                <c:pt idx="269">
                  <c:v>1.5483216219446809E-3</c:v>
                </c:pt>
                <c:pt idx="270">
                  <c:v>1.5766790541003764E-3</c:v>
                </c:pt>
                <c:pt idx="271">
                  <c:v>1.6116790972280444E-3</c:v>
                </c:pt>
                <c:pt idx="272">
                  <c:v>1.653328716190056E-3</c:v>
                </c:pt>
                <c:pt idx="273">
                  <c:v>1.7016351823145315E-3</c:v>
                </c:pt>
                <c:pt idx="274">
                  <c:v>1.7566060127355895E-3</c:v>
                </c:pt>
                <c:pt idx="275">
                  <c:v>1.8252975488535258E-3</c:v>
                </c:pt>
                <c:pt idx="276">
                  <c:v>1.9061470151552423E-3</c:v>
                </c:pt>
                <c:pt idx="277">
                  <c:v>1.999169299104851E-3</c:v>
                </c:pt>
                <c:pt idx="278">
                  <c:v>2.1043794529286681E-3</c:v>
                </c:pt>
                <c:pt idx="279">
                  <c:v>2.2217925827628872E-3</c:v>
                </c:pt>
                <c:pt idx="280">
                  <c:v>2.3514237378177791E-3</c:v>
                </c:pt>
                <c:pt idx="281">
                  <c:v>2.4922835513808183E-3</c:v>
                </c:pt>
                <c:pt idx="282">
                  <c:v>2.6393351306460561E-3</c:v>
                </c:pt>
                <c:pt idx="283">
                  <c:v>2.7925847466587425E-3</c:v>
                </c:pt>
                <c:pt idx="284">
                  <c:v>2.9520381662476816E-3</c:v>
                </c:pt>
                <c:pt idx="285">
                  <c:v>3.1177005965473408E-3</c:v>
                </c:pt>
                <c:pt idx="286">
                  <c:v>3.2895766295434766E-3</c:v>
                </c:pt>
                <c:pt idx="287">
                  <c:v>3.4676701865954569E-3</c:v>
                </c:pt>
                <c:pt idx="288">
                  <c:v>3.6519844629671824E-3</c:v>
                </c:pt>
                <c:pt idx="289">
                  <c:v>3.8416443936996106E-3</c:v>
                </c:pt>
                <c:pt idx="290">
                  <c:v>4.0295563737039403E-3</c:v>
                </c:pt>
                <c:pt idx="291">
                  <c:v>4.2157112574839712E-3</c:v>
                </c:pt>
                <c:pt idx="292">
                  <c:v>4.4000992935915723E-3</c:v>
                </c:pt>
                <c:pt idx="293">
                  <c:v>4.5827101418284208E-3</c:v>
                </c:pt>
                <c:pt idx="294">
                  <c:v>4.7635328904356089E-3</c:v>
                </c:pt>
                <c:pt idx="295">
                  <c:v>5.0103803925239327E-3</c:v>
                </c:pt>
                <c:pt idx="296">
                  <c:v>5.3243797662541198E-3</c:v>
                </c:pt>
                <c:pt idx="297">
                  <c:v>5.7056412803934897E-3</c:v>
                </c:pt>
                <c:pt idx="298">
                  <c:v>6.1542434216787243E-3</c:v>
                </c:pt>
                <c:pt idx="299">
                  <c:v>6.6702653660277418E-3</c:v>
                </c:pt>
                <c:pt idx="300">
                  <c:v>7.2537864607785914E-3</c:v>
                </c:pt>
                <c:pt idx="301">
                  <c:v>7.9048857069132505E-3</c:v>
                </c:pt>
                <c:pt idx="302">
                  <c:v>8.623641241293797E-3</c:v>
                </c:pt>
                <c:pt idx="303">
                  <c:v>9.6814639721153044E-3</c:v>
                </c:pt>
                <c:pt idx="304">
                  <c:v>1.1079636361973663E-2</c:v>
                </c:pt>
                <c:pt idx="305">
                  <c:v>1.2818555977497014E-2</c:v>
                </c:pt>
                <c:pt idx="306">
                  <c:v>1.4898614504516012E-2</c:v>
                </c:pt>
                <c:pt idx="307">
                  <c:v>1.7320195131477579E-2</c:v>
                </c:pt>
                <c:pt idx="308">
                  <c:v>2.0083669932745518E-2</c:v>
                </c:pt>
                <c:pt idx="309">
                  <c:v>2.3473230863032699E-2</c:v>
                </c:pt>
                <c:pt idx="310">
                  <c:v>2.7421322868396391E-2</c:v>
                </c:pt>
                <c:pt idx="311">
                  <c:v>3.1928509422000456E-2</c:v>
                </c:pt>
                <c:pt idx="312">
                  <c:v>3.6995323905461584E-2</c:v>
                </c:pt>
                <c:pt idx="313">
                  <c:v>4.2622265333668863E-2</c:v>
                </c:pt>
                <c:pt idx="314">
                  <c:v>4.8809794079342612E-2</c:v>
                </c:pt>
                <c:pt idx="315">
                  <c:v>5.5558327598022865E-2</c:v>
                </c:pt>
                <c:pt idx="316">
                  <c:v>6.286823615250009E-2</c:v>
                </c:pt>
                <c:pt idx="317">
                  <c:v>7.0670143859601367E-2</c:v>
                </c:pt>
                <c:pt idx="318">
                  <c:v>7.8691398107562163E-2</c:v>
                </c:pt>
                <c:pt idx="319">
                  <c:v>8.6931887051360499E-2</c:v>
                </c:pt>
                <c:pt idx="320">
                  <c:v>9.5391459468242512E-2</c:v>
                </c:pt>
                <c:pt idx="321">
                  <c:v>0.10406992310916231</c:v>
                </c:pt>
                <c:pt idx="322">
                  <c:v>0.11296704305073409</c:v>
                </c:pt>
                <c:pt idx="323">
                  <c:v>0.12182567519837702</c:v>
                </c:pt>
                <c:pt idx="324">
                  <c:v>0.130360094632128</c:v>
                </c:pt>
                <c:pt idx="325">
                  <c:v>0.13856956847479604</c:v>
                </c:pt>
                <c:pt idx="326">
                  <c:v>0.14645260386280093</c:v>
                </c:pt>
                <c:pt idx="327">
                  <c:v>0.15400809261536272</c:v>
                </c:pt>
                <c:pt idx="328">
                  <c:v>0.16123558912753469</c:v>
                </c:pt>
                <c:pt idx="329">
                  <c:v>0.16813474376486348</c:v>
                </c:pt>
                <c:pt idx="330">
                  <c:v>0.17470529715482405</c:v>
                </c:pt>
                <c:pt idx="331">
                  <c:v>0.18078816025310115</c:v>
                </c:pt>
                <c:pt idx="332">
                  <c:v>0.18645311361934777</c:v>
                </c:pt>
                <c:pt idx="333">
                  <c:v>0.19170012290122151</c:v>
                </c:pt>
                <c:pt idx="334">
                  <c:v>0.19652922659714381</c:v>
                </c:pt>
                <c:pt idx="335">
                  <c:v>0.20094052879726401</c:v>
                </c:pt>
                <c:pt idx="336">
                  <c:v>0.20493419192235696</c:v>
                </c:pt>
                <c:pt idx="337">
                  <c:v>0.20842882950394548</c:v>
                </c:pt>
                <c:pt idx="338">
                  <c:v>0.21168199248523409</c:v>
                </c:pt>
                <c:pt idx="339">
                  <c:v>0.21469398660420488</c:v>
                </c:pt>
                <c:pt idx="340">
                  <c:v>0.21746514446929463</c:v>
                </c:pt>
                <c:pt idx="341">
                  <c:v>0.21999582136418769</c:v>
                </c:pt>
                <c:pt idx="342">
                  <c:v>0.22228639105251538</c:v>
                </c:pt>
                <c:pt idx="343">
                  <c:v>0.22433724158031529</c:v>
                </c:pt>
                <c:pt idx="344">
                  <c:v>0.22614877108137574</c:v>
                </c:pt>
                <c:pt idx="345">
                  <c:v>0.22772138358063296</c:v>
                </c:pt>
                <c:pt idx="346">
                  <c:v>0.22914284116643147</c:v>
                </c:pt>
                <c:pt idx="347">
                  <c:v>0.23041356165980983</c:v>
                </c:pt>
                <c:pt idx="348">
                  <c:v>0.23153396257888312</c:v>
                </c:pt>
                <c:pt idx="349">
                  <c:v>0.23250445846462098</c:v>
                </c:pt>
                <c:pt idx="350">
                  <c:v>0.23332545821116543</c:v>
                </c:pt>
                <c:pt idx="351">
                  <c:v>0.233925685867334</c:v>
                </c:pt>
                <c:pt idx="352">
                  <c:v>0.23438716681745145</c:v>
                </c:pt>
                <c:pt idx="353">
                  <c:v>0.23471027711360373</c:v>
                </c:pt>
                <c:pt idx="354">
                  <c:v>0.23489537732927421</c:v>
                </c:pt>
                <c:pt idx="355">
                  <c:v>0.23494281005079232</c:v>
                </c:pt>
                <c:pt idx="356">
                  <c:v>0.23485303355973652</c:v>
                </c:pt>
                <c:pt idx="357">
                  <c:v>0.23462590787581394</c:v>
                </c:pt>
                <c:pt idx="358">
                  <c:v>0.23426079686693968</c:v>
                </c:pt>
                <c:pt idx="359">
                  <c:v>0.23375704646615877</c:v>
                </c:pt>
                <c:pt idx="360">
                  <c:v>0.23303216612980773</c:v>
                </c:pt>
                <c:pt idx="361">
                  <c:v>0.23215724018443837</c:v>
                </c:pt>
                <c:pt idx="362">
                  <c:v>0.23113156475124211</c:v>
                </c:pt>
                <c:pt idx="363">
                  <c:v>0.22995443024218207</c:v>
                </c:pt>
                <c:pt idx="364">
                  <c:v>0.22862512466329768</c:v>
                </c:pt>
                <c:pt idx="365">
                  <c:v>0.22714293691556375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0.26504910692015876</c:v>
                </c:pt>
                <c:pt idx="1">
                  <c:v>0.26340421724937807</c:v>
                </c:pt>
                <c:pt idx="2">
                  <c:v>0.26153620033261843</c:v>
                </c:pt>
                <c:pt idx="3">
                  <c:v>0.25944420246652133</c:v>
                </c:pt>
                <c:pt idx="4">
                  <c:v>0.25712738393462264</c:v>
                </c:pt>
                <c:pt idx="5">
                  <c:v>0.25458492378519471</c:v>
                </c:pt>
                <c:pt idx="6">
                  <c:v>0.25181602461182634</c:v>
                </c:pt>
                <c:pt idx="7">
                  <c:v>0.24881991732914807</c:v>
                </c:pt>
                <c:pt idx="8">
                  <c:v>0.24559586595161717</c:v>
                </c:pt>
                <c:pt idx="9">
                  <c:v>0.24190156238221303</c:v>
                </c:pt>
                <c:pt idx="10">
                  <c:v>0.23781736193504413</c:v>
                </c:pt>
                <c:pt idx="11">
                  <c:v>0.23334249900598925</c:v>
                </c:pt>
                <c:pt idx="12">
                  <c:v>0.22847627798667869</c:v>
                </c:pt>
                <c:pt idx="13">
                  <c:v>0.22321808146892097</c:v>
                </c:pt>
                <c:pt idx="14">
                  <c:v>0.21756737844594501</c:v>
                </c:pt>
                <c:pt idx="15">
                  <c:v>0.21132810110446132</c:v>
                </c:pt>
                <c:pt idx="16">
                  <c:v>0.20464251441162271</c:v>
                </c:pt>
                <c:pt idx="17">
                  <c:v>0.19751037693611204</c:v>
                </c:pt>
                <c:pt idx="18">
                  <c:v>0.18993157737214683</c:v>
                </c:pt>
                <c:pt idx="19">
                  <c:v>0.18190699676461211</c:v>
                </c:pt>
                <c:pt idx="20">
                  <c:v>0.17343787352659398</c:v>
                </c:pt>
                <c:pt idx="21">
                  <c:v>0.16452475184654386</c:v>
                </c:pt>
                <c:pt idx="22">
                  <c:v>0.15516819389568465</c:v>
                </c:pt>
                <c:pt idx="23">
                  <c:v>0.14552857273728256</c:v>
                </c:pt>
                <c:pt idx="24">
                  <c:v>0.13584889846439938</c:v>
                </c:pt>
                <c:pt idx="25">
                  <c:v>0.12612980886324457</c:v>
                </c:pt>
                <c:pt idx="26">
                  <c:v>0.11637190449774097</c:v>
                </c:pt>
                <c:pt idx="27">
                  <c:v>0.10657574832918959</c:v>
                </c:pt>
                <c:pt idx="28">
                  <c:v>9.6741865338192137E-2</c:v>
                </c:pt>
                <c:pt idx="29">
                  <c:v>8.7253015865755332E-2</c:v>
                </c:pt>
                <c:pt idx="30">
                  <c:v>7.8305529958642081E-2</c:v>
                </c:pt>
                <c:pt idx="31">
                  <c:v>6.9899752778007931E-2</c:v>
                </c:pt>
                <c:pt idx="32">
                  <c:v>6.2035959640947456E-2</c:v>
                </c:pt>
                <c:pt idx="33">
                  <c:v>5.4714361717522399E-2</c:v>
                </c:pt>
                <c:pt idx="34">
                  <c:v>4.7935111728041289E-2</c:v>
                </c:pt>
                <c:pt idx="35">
                  <c:v>4.169830964021623E-2</c:v>
                </c:pt>
                <c:pt idx="36">
                  <c:v>3.6004008366211045E-2</c:v>
                </c:pt>
                <c:pt idx="37">
                  <c:v>3.1029677946397837E-2</c:v>
                </c:pt>
                <c:pt idx="38">
                  <c:v>2.6615506376176979E-2</c:v>
                </c:pt>
                <c:pt idx="39">
                  <c:v>2.2761434658255975E-2</c:v>
                </c:pt>
                <c:pt idx="40">
                  <c:v>1.9467380189096186E-2</c:v>
                </c:pt>
                <c:pt idx="41">
                  <c:v>1.673324264221732E-2</c:v>
                </c:pt>
                <c:pt idx="42">
                  <c:v>1.4558909851326083E-2</c:v>
                </c:pt>
                <c:pt idx="43">
                  <c:v>1.2939942989633959E-2</c:v>
                </c:pt>
                <c:pt idx="44">
                  <c:v>1.1494292617049895E-2</c:v>
                </c:pt>
                <c:pt idx="45">
                  <c:v>1.0221919583749487E-2</c:v>
                </c:pt>
                <c:pt idx="46">
                  <c:v>9.1227836511014026E-3</c:v>
                </c:pt>
                <c:pt idx="47">
                  <c:v>8.1968453119915814E-3</c:v>
                </c:pt>
                <c:pt idx="48">
                  <c:v>7.4440676110295893E-3</c:v>
                </c:pt>
                <c:pt idx="49">
                  <c:v>6.8644179648318406E-3</c:v>
                </c:pt>
                <c:pt idx="50">
                  <c:v>6.4578699822602564E-3</c:v>
                </c:pt>
                <c:pt idx="51">
                  <c:v>6.2217490133495172E-3</c:v>
                </c:pt>
                <c:pt idx="52">
                  <c:v>5.9787025892170491E-3</c:v>
                </c:pt>
                <c:pt idx="53">
                  <c:v>5.7286999648366215E-3</c:v>
                </c:pt>
                <c:pt idx="54">
                  <c:v>5.4717374893643519E-3</c:v>
                </c:pt>
                <c:pt idx="55">
                  <c:v>5.2078117261660801E-3</c:v>
                </c:pt>
                <c:pt idx="56">
                  <c:v>4.9369194745053149E-3</c:v>
                </c:pt>
                <c:pt idx="57">
                  <c:v>4.6701377326093911E-3</c:v>
                </c:pt>
                <c:pt idx="58">
                  <c:v>4.4117831232501565E-3</c:v>
                </c:pt>
                <c:pt idx="59">
                  <c:v>4.1618535576062434E-3</c:v>
                </c:pt>
                <c:pt idx="60">
                  <c:v>3.9203473064235309E-3</c:v>
                </c:pt>
                <c:pt idx="61">
                  <c:v>3.6872629738231685E-3</c:v>
                </c:pt>
                <c:pt idx="62">
                  <c:v>3.4625994711048476E-3</c:v>
                </c:pt>
                <c:pt idx="63">
                  <c:v>3.2463559905595539E-3</c:v>
                </c:pt>
                <c:pt idx="64">
                  <c:v>3.0385319792701165E-3</c:v>
                </c:pt>
                <c:pt idx="65">
                  <c:v>2.8469463604069065E-3</c:v>
                </c:pt>
                <c:pt idx="66">
                  <c:v>2.6742554410980938E-3</c:v>
                </c:pt>
                <c:pt idx="67">
                  <c:v>2.5204592687972371E-3</c:v>
                </c:pt>
                <c:pt idx="68">
                  <c:v>2.3855579093972645E-3</c:v>
                </c:pt>
                <c:pt idx="69">
                  <c:v>2.2695513884582069E-3</c:v>
                </c:pt>
                <c:pt idx="70">
                  <c:v>2.1724396324455E-3</c:v>
                </c:pt>
                <c:pt idx="71">
                  <c:v>2.0985714743253126E-3</c:v>
                </c:pt>
                <c:pt idx="72">
                  <c:v>2.0368661978365688E-3</c:v>
                </c:pt>
                <c:pt idx="73">
                  <c:v>1.9873233429550147E-3</c:v>
                </c:pt>
                <c:pt idx="74">
                  <c:v>1.9499422637427797E-3</c:v>
                </c:pt>
                <c:pt idx="75">
                  <c:v>1.9247220905155799E-3</c:v>
                </c:pt>
                <c:pt idx="76">
                  <c:v>1.9116616920047123E-3</c:v>
                </c:pt>
                <c:pt idx="77">
                  <c:v>1.9107596375243958E-3</c:v>
                </c:pt>
                <c:pt idx="78">
                  <c:v>1.9220142127655982E-3</c:v>
                </c:pt>
                <c:pt idx="79">
                  <c:v>1.9458026703957122E-3</c:v>
                </c:pt>
                <c:pt idx="80">
                  <c:v>1.9743101076037596E-3</c:v>
                </c:pt>
                <c:pt idx="81">
                  <c:v>2.0075354206496557E-3</c:v>
                </c:pt>
                <c:pt idx="82">
                  <c:v>2.0454774635470935E-3</c:v>
                </c:pt>
                <c:pt idx="83">
                  <c:v>2.088135035351523E-3</c:v>
                </c:pt>
                <c:pt idx="84">
                  <c:v>2.1355068674539473E-3</c:v>
                </c:pt>
                <c:pt idx="85">
                  <c:v>2.1791522114231383E-3</c:v>
                </c:pt>
                <c:pt idx="86">
                  <c:v>2.2147238798391447E-3</c:v>
                </c:pt>
                <c:pt idx="87">
                  <c:v>2.2422221903600006E-3</c:v>
                </c:pt>
                <c:pt idx="88">
                  <c:v>2.2616475200097738E-3</c:v>
                </c:pt>
                <c:pt idx="89">
                  <c:v>2.2730003269020951E-3</c:v>
                </c:pt>
                <c:pt idx="90">
                  <c:v>2.2762811719597548E-3</c:v>
                </c:pt>
                <c:pt idx="91">
                  <c:v>2.2714907406415578E-3</c:v>
                </c:pt>
                <c:pt idx="92">
                  <c:v>2.2586298646641184E-3</c:v>
                </c:pt>
                <c:pt idx="93">
                  <c:v>2.2360472683381222E-3</c:v>
                </c:pt>
                <c:pt idx="94">
                  <c:v>2.2033717878347588E-3</c:v>
                </c:pt>
                <c:pt idx="95">
                  <c:v>2.1606052848608752E-3</c:v>
                </c:pt>
                <c:pt idx="96">
                  <c:v>2.1077499089741346E-3</c:v>
                </c:pt>
                <c:pt idx="97">
                  <c:v>2.0448081247716153E-3</c:v>
                </c:pt>
                <c:pt idx="98">
                  <c:v>1.9717827390619961E-3</c:v>
                </c:pt>
                <c:pt idx="99">
                  <c:v>1.8923212066546697E-3</c:v>
                </c:pt>
                <c:pt idx="100">
                  <c:v>1.8148569429549527E-3</c:v>
                </c:pt>
                <c:pt idx="101">
                  <c:v>1.7393901593547214E-3</c:v>
                </c:pt>
                <c:pt idx="102">
                  <c:v>1.665921081278705E-3</c:v>
                </c:pt>
                <c:pt idx="103">
                  <c:v>1.5944499427987021E-3</c:v>
                </c:pt>
                <c:pt idx="104">
                  <c:v>1.5249769812813359E-3</c:v>
                </c:pt>
                <c:pt idx="105">
                  <c:v>1.457502432004645E-3</c:v>
                </c:pt>
                <c:pt idx="106">
                  <c:v>1.3920265227916062E-3</c:v>
                </c:pt>
                <c:pt idx="107">
                  <c:v>1.3286121694862554E-3</c:v>
                </c:pt>
                <c:pt idx="108">
                  <c:v>1.2689092080953503E-3</c:v>
                </c:pt>
                <c:pt idx="109">
                  <c:v>1.2129169972384735E-3</c:v>
                </c:pt>
                <c:pt idx="110">
                  <c:v>1.1606375596607845E-3</c:v>
                </c:pt>
                <c:pt idx="111">
                  <c:v>1.1120723965324078E-3</c:v>
                </c:pt>
                <c:pt idx="112">
                  <c:v>1.0672199682717472E-3</c:v>
                </c:pt>
                <c:pt idx="113">
                  <c:v>1.0267412507118788E-3</c:v>
                </c:pt>
                <c:pt idx="114">
                  <c:v>9.8699767624426857E-4</c:v>
                </c:pt>
                <c:pt idx="115">
                  <c:v>9.4798916952932872E-4</c:v>
                </c:pt>
                <c:pt idx="116">
                  <c:v>9.0971566528014441E-4</c:v>
                </c:pt>
                <c:pt idx="117">
                  <c:v>8.7217710693675841E-4</c:v>
                </c:pt>
                <c:pt idx="118">
                  <c:v>8.3537344533194671E-4</c:v>
                </c:pt>
                <c:pt idx="119">
                  <c:v>7.9930463735944661E-4</c:v>
                </c:pt>
                <c:pt idx="120">
                  <c:v>7.6397064464114959E-4</c:v>
                </c:pt>
                <c:pt idx="121">
                  <c:v>7.2986178443884065E-4</c:v>
                </c:pt>
                <c:pt idx="122">
                  <c:v>6.9691517385695768E-4</c:v>
                </c:pt>
                <c:pt idx="123">
                  <c:v>6.6513048305378013E-4</c:v>
                </c:pt>
                <c:pt idx="124">
                  <c:v>6.3450736590316289E-4</c:v>
                </c:pt>
                <c:pt idx="125">
                  <c:v>6.0504545788053494E-4</c:v>
                </c:pt>
                <c:pt idx="126">
                  <c:v>5.7674437394088923E-4</c:v>
                </c:pt>
                <c:pt idx="127">
                  <c:v>5.4963008795472104E-4</c:v>
                </c:pt>
                <c:pt idx="128">
                  <c:v>5.2304172210150492E-4</c:v>
                </c:pt>
                <c:pt idx="129">
                  <c:v>4.9697931927854537E-4</c:v>
                </c:pt>
                <c:pt idx="130">
                  <c:v>4.7144292032648763E-4</c:v>
                </c:pt>
                <c:pt idx="131">
                  <c:v>4.4643256307396947E-4</c:v>
                </c:pt>
                <c:pt idx="132">
                  <c:v>4.2194828138703515E-4</c:v>
                </c:pt>
                <c:pt idx="133">
                  <c:v>3.9799010422072832E-4</c:v>
                </c:pt>
                <c:pt idx="134">
                  <c:v>3.7455805466839811E-4</c:v>
                </c:pt>
                <c:pt idx="135">
                  <c:v>3.5242146662337162E-4</c:v>
                </c:pt>
                <c:pt idx="136">
                  <c:v>3.3109121495438713E-4</c:v>
                </c:pt>
                <c:pt idx="137">
                  <c:v>3.1056700483098531E-4</c:v>
                </c:pt>
                <c:pt idx="138">
                  <c:v>2.908485167407419E-4</c:v>
                </c:pt>
                <c:pt idx="139">
                  <c:v>2.7193540502663485E-4</c:v>
                </c:pt>
                <c:pt idx="140">
                  <c:v>2.5382729641010472E-4</c:v>
                </c:pt>
                <c:pt idx="141">
                  <c:v>2.368903698973327E-4</c:v>
                </c:pt>
                <c:pt idx="142">
                  <c:v>2.2109650389151762E-4</c:v>
                </c:pt>
                <c:pt idx="143">
                  <c:v>2.0644426207542299E-4</c:v>
                </c:pt>
                <c:pt idx="144">
                  <c:v>1.9293330027976056E-4</c:v>
                </c:pt>
                <c:pt idx="145">
                  <c:v>1.8056309721540815E-4</c:v>
                </c:pt>
                <c:pt idx="146">
                  <c:v>1.6933296724996256E-4</c:v>
                </c:pt>
                <c:pt idx="147">
                  <c:v>1.5924207318975857E-4</c:v>
                </c:pt>
                <c:pt idx="148">
                  <c:v>1.5028943905795201E-4</c:v>
                </c:pt>
                <c:pt idx="149">
                  <c:v>1.4273256833614888E-4</c:v>
                </c:pt>
                <c:pt idx="150">
                  <c:v>1.3580514319054223E-4</c:v>
                </c:pt>
                <c:pt idx="151">
                  <c:v>1.2950659921451274E-4</c:v>
                </c:pt>
                <c:pt idx="152">
                  <c:v>1.2383630909565621E-4</c:v>
                </c:pt>
                <c:pt idx="153">
                  <c:v>1.1879358966874077E-4</c:v>
                </c:pt>
                <c:pt idx="154">
                  <c:v>1.1437770896929686E-4</c:v>
                </c:pt>
                <c:pt idx="155">
                  <c:v>1.1094677014474536E-4</c:v>
                </c:pt>
                <c:pt idx="156">
                  <c:v>1.0813538752542646E-4</c:v>
                </c:pt>
                <c:pt idx="157">
                  <c:v>1.0594273125934561E-4</c:v>
                </c:pt>
                <c:pt idx="158">
                  <c:v>1.0436795256832007E-4</c:v>
                </c:pt>
                <c:pt idx="159">
                  <c:v>1.0341019074052288E-4</c:v>
                </c:pt>
                <c:pt idx="160">
                  <c:v>1.0306858012411687E-4</c:v>
                </c:pt>
                <c:pt idx="161">
                  <c:v>1.0334225711989143E-4</c:v>
                </c:pt>
                <c:pt idx="162">
                  <c:v>1.0423036717437621E-4</c:v>
                </c:pt>
                <c:pt idx="163">
                  <c:v>1.0548539293267054E-4</c:v>
                </c:pt>
                <c:pt idx="164">
                  <c:v>1.0685030432167617E-4</c:v>
                </c:pt>
                <c:pt idx="165">
                  <c:v>1.0832507857841917E-4</c:v>
                </c:pt>
                <c:pt idx="166">
                  <c:v>1.0990970429917812E-4</c:v>
                </c:pt>
                <c:pt idx="167">
                  <c:v>1.1160418269846497E-4</c:v>
                </c:pt>
                <c:pt idx="168">
                  <c:v>1.1340852887090234E-4</c:v>
                </c:pt>
                <c:pt idx="169">
                  <c:v>1.1507682562143994E-4</c:v>
                </c:pt>
                <c:pt idx="170">
                  <c:v>1.1625331779607137E-4</c:v>
                </c:pt>
                <c:pt idx="171">
                  <c:v>1.169388615546922E-4</c:v>
                </c:pt>
                <c:pt idx="172">
                  <c:v>1.1713427665169106E-4</c:v>
                </c:pt>
                <c:pt idx="173">
                  <c:v>1.1683934162812464E-4</c:v>
                </c:pt>
                <c:pt idx="174">
                  <c:v>1.1605376194112611E-4</c:v>
                </c:pt>
                <c:pt idx="175">
                  <c:v>1.1477821645704733E-4</c:v>
                </c:pt>
                <c:pt idx="176">
                  <c:v>1.1301338133780641E-4</c:v>
                </c:pt>
                <c:pt idx="177">
                  <c:v>1.111150065249489E-4</c:v>
                </c:pt>
                <c:pt idx="178">
                  <c:v>1.0932830918442845E-4</c:v>
                </c:pt>
                <c:pt idx="179">
                  <c:v>1.0765319487485632E-4</c:v>
                </c:pt>
                <c:pt idx="180">
                  <c:v>1.0608956731615955E-4</c:v>
                </c:pt>
                <c:pt idx="181">
                  <c:v>1.0463732892879332E-4</c:v>
                </c:pt>
                <c:pt idx="182">
                  <c:v>1.0329638137374982E-4</c:v>
                </c:pt>
                <c:pt idx="183">
                  <c:v>1.0232108379429305E-4</c:v>
                </c:pt>
                <c:pt idx="184">
                  <c:v>1.0195543262315192E-4</c:v>
                </c:pt>
                <c:pt idx="185">
                  <c:v>1.0219874456465082E-4</c:v>
                </c:pt>
                <c:pt idx="186">
                  <c:v>1.0305035522066755E-4</c:v>
                </c:pt>
                <c:pt idx="187">
                  <c:v>1.0450962208546667E-4</c:v>
                </c:pt>
                <c:pt idx="188">
                  <c:v>1.0657592754104762E-4</c:v>
                </c:pt>
                <c:pt idx="189">
                  <c:v>1.0924868184983233E-4</c:v>
                </c:pt>
                <c:pt idx="190">
                  <c:v>1.1252732615109502E-4</c:v>
                </c:pt>
                <c:pt idx="191">
                  <c:v>1.1676970581983555E-4</c:v>
                </c:pt>
                <c:pt idx="192">
                  <c:v>1.2162195221065816E-4</c:v>
                </c:pt>
                <c:pt idx="193">
                  <c:v>1.2708362161490205E-4</c:v>
                </c:pt>
                <c:pt idx="194">
                  <c:v>1.331543141869526E-4</c:v>
                </c:pt>
                <c:pt idx="195">
                  <c:v>1.398336769668845E-4</c:v>
                </c:pt>
                <c:pt idx="196">
                  <c:v>1.4712140689909862E-4</c:v>
                </c:pt>
                <c:pt idx="197">
                  <c:v>1.5576636192688549E-4</c:v>
                </c:pt>
                <c:pt idx="198">
                  <c:v>1.6551458193174028E-4</c:v>
                </c:pt>
                <c:pt idx="199">
                  <c:v>1.7636555556123089E-4</c:v>
                </c:pt>
                <c:pt idx="200">
                  <c:v>1.8831887250511846E-4</c:v>
                </c:pt>
                <c:pt idx="201">
                  <c:v>2.0137422896629982E-4</c:v>
                </c:pt>
                <c:pt idx="202">
                  <c:v>2.1553143313221825E-4</c:v>
                </c:pt>
                <c:pt idx="203">
                  <c:v>2.3079041065025171E-4</c:v>
                </c:pt>
                <c:pt idx="204">
                  <c:v>2.471508770460622E-4</c:v>
                </c:pt>
                <c:pt idx="205">
                  <c:v>2.6463803040049726E-4</c:v>
                </c:pt>
                <c:pt idx="206">
                  <c:v>2.8289483579258521E-4</c:v>
                </c:pt>
                <c:pt idx="207">
                  <c:v>3.0192143574872809E-4</c:v>
                </c:pt>
                <c:pt idx="208">
                  <c:v>3.2171800639224445E-4</c:v>
                </c:pt>
                <c:pt idx="209">
                  <c:v>3.4228475543876335E-4</c:v>
                </c:pt>
                <c:pt idx="210">
                  <c:v>3.6362192020048347E-4</c:v>
                </c:pt>
                <c:pt idx="211">
                  <c:v>3.8620414232434742E-4</c:v>
                </c:pt>
                <c:pt idx="212">
                  <c:v>4.0928464094373986E-4</c:v>
                </c:pt>
                <c:pt idx="213">
                  <c:v>4.3286383156984214E-4</c:v>
                </c:pt>
                <c:pt idx="214">
                  <c:v>4.5694213508976962E-4</c:v>
                </c:pt>
                <c:pt idx="215">
                  <c:v>4.8151997647238675E-4</c:v>
                </c:pt>
                <c:pt idx="216">
                  <c:v>5.065977834729738E-4</c:v>
                </c:pt>
                <c:pt idx="217">
                  <c:v>5.3217598533954744E-4</c:v>
                </c:pt>
                <c:pt idx="218">
                  <c:v>5.5825501151701706E-4</c:v>
                </c:pt>
                <c:pt idx="219">
                  <c:v>5.8547483419674315E-4</c:v>
                </c:pt>
                <c:pt idx="220">
                  <c:v>6.138102531926833E-4</c:v>
                </c:pt>
                <c:pt idx="221">
                  <c:v>6.4326163712844582E-4</c:v>
                </c:pt>
                <c:pt idx="222">
                  <c:v>6.738293767608747E-4</c:v>
                </c:pt>
                <c:pt idx="223">
                  <c:v>7.0551388210216557E-4</c:v>
                </c:pt>
                <c:pt idx="224">
                  <c:v>7.3831557952970799E-4</c:v>
                </c:pt>
                <c:pt idx="225">
                  <c:v>7.7229536190721469E-4</c:v>
                </c:pt>
                <c:pt idx="226">
                  <c:v>8.0697969741405846E-4</c:v>
                </c:pt>
                <c:pt idx="227">
                  <c:v>8.4236904022409135E-4</c:v>
                </c:pt>
                <c:pt idx="228">
                  <c:v>8.7846383441320347E-4</c:v>
                </c:pt>
                <c:pt idx="229">
                  <c:v>9.1526451213675135E-4</c:v>
                </c:pt>
                <c:pt idx="230">
                  <c:v>9.5277149181754311E-4</c:v>
                </c:pt>
                <c:pt idx="231">
                  <c:v>9.9098517633742361E-4</c:v>
                </c:pt>
                <c:pt idx="232">
                  <c:v>1.0299059512119499E-3</c:v>
                </c:pt>
                <c:pt idx="233">
                  <c:v>1.0730449736566037E-3</c:v>
                </c:pt>
                <c:pt idx="234">
                  <c:v>1.1197634563185363E-3</c:v>
                </c:pt>
                <c:pt idx="235">
                  <c:v>1.1700629388854934E-3</c:v>
                </c:pt>
                <c:pt idx="236">
                  <c:v>1.2239454767716111E-3</c:v>
                </c:pt>
                <c:pt idx="237">
                  <c:v>1.281412697536467E-3</c:v>
                </c:pt>
                <c:pt idx="238">
                  <c:v>1.3424663831467672E-3</c:v>
                </c:pt>
                <c:pt idx="239">
                  <c:v>1.4055169652674195E-3</c:v>
                </c:pt>
                <c:pt idx="240">
                  <c:v>1.4705057088299116E-3</c:v>
                </c:pt>
                <c:pt idx="241">
                  <c:v>1.5374344602890183E-3</c:v>
                </c:pt>
                <c:pt idx="242">
                  <c:v>1.6063051770517298E-3</c:v>
                </c:pt>
                <c:pt idx="243">
                  <c:v>1.6771199303156892E-3</c:v>
                </c:pt>
                <c:pt idx="244">
                  <c:v>1.7498809079022663E-3</c:v>
                </c:pt>
                <c:pt idx="245">
                  <c:v>1.8245904170749231E-3</c:v>
                </c:pt>
                <c:pt idx="246">
                  <c:v>1.9012508873526089E-3</c:v>
                </c:pt>
                <c:pt idx="247">
                  <c:v>1.9717330272018773E-3</c:v>
                </c:pt>
                <c:pt idx="248">
                  <c:v>2.0325212587643132E-3</c:v>
                </c:pt>
                <c:pt idx="249">
                  <c:v>2.0836134583232628E-3</c:v>
                </c:pt>
                <c:pt idx="250">
                  <c:v>2.1250071009637061E-3</c:v>
                </c:pt>
                <c:pt idx="251">
                  <c:v>2.1566992463120799E-3</c:v>
                </c:pt>
                <c:pt idx="252">
                  <c:v>2.17868652420299E-3</c:v>
                </c:pt>
                <c:pt idx="253">
                  <c:v>2.1913247295125729E-3</c:v>
                </c:pt>
                <c:pt idx="254">
                  <c:v>2.1962042215236603E-3</c:v>
                </c:pt>
                <c:pt idx="255">
                  <c:v>2.1933213403172278E-3</c:v>
                </c:pt>
                <c:pt idx="256">
                  <c:v>2.1826720383464854E-3</c:v>
                </c:pt>
                <c:pt idx="257">
                  <c:v>2.1642518689869495E-3</c:v>
                </c:pt>
                <c:pt idx="258">
                  <c:v>2.1380559751044601E-3</c:v>
                </c:pt>
                <c:pt idx="259">
                  <c:v>2.1040790776476986E-3</c:v>
                </c:pt>
                <c:pt idx="260">
                  <c:v>2.0623154641853489E-3</c:v>
                </c:pt>
                <c:pt idx="261">
                  <c:v>2.0169582558551597E-3</c:v>
                </c:pt>
                <c:pt idx="262">
                  <c:v>1.9761583683321326E-3</c:v>
                </c:pt>
                <c:pt idx="263">
                  <c:v>1.9399182899175749E-3</c:v>
                </c:pt>
                <c:pt idx="264">
                  <c:v>1.9082408216485379E-3</c:v>
                </c:pt>
                <c:pt idx="265">
                  <c:v>1.881137419675222E-3</c:v>
                </c:pt>
                <c:pt idx="266">
                  <c:v>1.8586153035133742E-3</c:v>
                </c:pt>
                <c:pt idx="267">
                  <c:v>1.8482379678370251E-3</c:v>
                </c:pt>
                <c:pt idx="268">
                  <c:v>1.8496536002753246E-3</c:v>
                </c:pt>
                <c:pt idx="269">
                  <c:v>1.8628720377148762E-3</c:v>
                </c:pt>
                <c:pt idx="270">
                  <c:v>1.8879040816830337E-3</c:v>
                </c:pt>
                <c:pt idx="271">
                  <c:v>1.9247613900426959E-3</c:v>
                </c:pt>
                <c:pt idx="272">
                  <c:v>1.9734563687298836E-3</c:v>
                </c:pt>
                <c:pt idx="273">
                  <c:v>2.0340020634711273E-3</c:v>
                </c:pt>
                <c:pt idx="274">
                  <c:v>2.1064120515220217E-3</c:v>
                </c:pt>
                <c:pt idx="275">
                  <c:v>2.2014482445222162E-3</c:v>
                </c:pt>
                <c:pt idx="276">
                  <c:v>2.3149178608830156E-3</c:v>
                </c:pt>
                <c:pt idx="277">
                  <c:v>2.4468438211687313E-3</c:v>
                </c:pt>
                <c:pt idx="278">
                  <c:v>2.5972493287512153E-3</c:v>
                </c:pt>
                <c:pt idx="279">
                  <c:v>2.7661577016355799E-3</c:v>
                </c:pt>
                <c:pt idx="280">
                  <c:v>2.9535922043063493E-3</c:v>
                </c:pt>
                <c:pt idx="281">
                  <c:v>3.156992664366184E-3</c:v>
                </c:pt>
                <c:pt idx="282">
                  <c:v>3.3687711014000719E-3</c:v>
                </c:pt>
                <c:pt idx="283">
                  <c:v>3.5889362387840698E-3</c:v>
                </c:pt>
                <c:pt idx="284">
                  <c:v>3.8174960704043357E-3</c:v>
                </c:pt>
                <c:pt idx="285">
                  <c:v>4.0544577856900486E-3</c:v>
                </c:pt>
                <c:pt idx="286">
                  <c:v>4.2998276946767189E-3</c:v>
                </c:pt>
                <c:pt idx="287">
                  <c:v>4.5536111530395376E-3</c:v>
                </c:pt>
                <c:pt idx="288">
                  <c:v>4.8158124871377182E-3</c:v>
                </c:pt>
                <c:pt idx="289">
                  <c:v>5.0822199811768201E-3</c:v>
                </c:pt>
                <c:pt idx="290">
                  <c:v>5.3420131897185122E-3</c:v>
                </c:pt>
                <c:pt idx="291">
                  <c:v>5.5951744115508182E-3</c:v>
                </c:pt>
                <c:pt idx="292">
                  <c:v>5.8416852706670748E-3</c:v>
                </c:pt>
                <c:pt idx="293">
                  <c:v>6.0815267783505917E-3</c:v>
                </c:pt>
                <c:pt idx="294">
                  <c:v>6.3146793952432471E-3</c:v>
                </c:pt>
                <c:pt idx="295">
                  <c:v>6.7145767205539983E-3</c:v>
                </c:pt>
                <c:pt idx="296">
                  <c:v>7.2840622920104679E-3</c:v>
                </c:pt>
                <c:pt idx="297">
                  <c:v>8.0233758544371071E-3</c:v>
                </c:pt>
                <c:pt idx="298">
                  <c:v>8.9327171591819191E-3</c:v>
                </c:pt>
                <c:pt idx="299">
                  <c:v>1.0012288386414376E-2</c:v>
                </c:pt>
                <c:pt idx="300">
                  <c:v>1.126229283627136E-2</c:v>
                </c:pt>
                <c:pt idx="301">
                  <c:v>1.2682933619981481E-2</c:v>
                </c:pt>
                <c:pt idx="302">
                  <c:v>1.4274412351007975E-2</c:v>
                </c:pt>
                <c:pt idx="303">
                  <c:v>1.6411598018049315E-2</c:v>
                </c:pt>
                <c:pt idx="304">
                  <c:v>1.9099373932758835E-2</c:v>
                </c:pt>
                <c:pt idx="305">
                  <c:v>2.2338381925819092E-2</c:v>
                </c:pt>
                <c:pt idx="306">
                  <c:v>2.6129253003874139E-2</c:v>
                </c:pt>
                <c:pt idx="307">
                  <c:v>3.0472603119252262E-2</c:v>
                </c:pt>
                <c:pt idx="308">
                  <c:v>3.5369028939489615E-2</c:v>
                </c:pt>
                <c:pt idx="309">
                  <c:v>4.0976118772475326E-2</c:v>
                </c:pt>
                <c:pt idx="310">
                  <c:v>4.7120123280775104E-2</c:v>
                </c:pt>
                <c:pt idx="311">
                  <c:v>5.3801533730862015E-2</c:v>
                </c:pt>
                <c:pt idx="312">
                  <c:v>6.1020805316068676E-2</c:v>
                </c:pt>
                <c:pt idx="313">
                  <c:v>6.8778353060217776E-2</c:v>
                </c:pt>
                <c:pt idx="314">
                  <c:v>7.7074547720820161E-2</c:v>
                </c:pt>
                <c:pt idx="315">
                  <c:v>8.5909711692969945E-2</c:v>
                </c:pt>
                <c:pt idx="316">
                  <c:v>9.5284114912341164E-2</c:v>
                </c:pt>
                <c:pt idx="317">
                  <c:v>0.10500494888437058</c:v>
                </c:pt>
                <c:pt idx="318">
                  <c:v>0.1146954194121592</c:v>
                </c:pt>
                <c:pt idx="319">
                  <c:v>0.12435509328918615</c:v>
                </c:pt>
                <c:pt idx="320">
                  <c:v>0.13398351014694898</c:v>
                </c:pt>
                <c:pt idx="321">
                  <c:v>0.14358018272786396</c:v>
                </c:pt>
                <c:pt idx="322">
                  <c:v>0.15314459715883891</c:v>
                </c:pt>
                <c:pt idx="323">
                  <c:v>0.16243695296581984</c:v>
                </c:pt>
                <c:pt idx="324">
                  <c:v>0.1712987322258748</c:v>
                </c:pt>
                <c:pt idx="325">
                  <c:v>0.17972907774012462</c:v>
                </c:pt>
                <c:pt idx="326">
                  <c:v>0.18772616626025909</c:v>
                </c:pt>
                <c:pt idx="327">
                  <c:v>0.19528871276216661</c:v>
                </c:pt>
                <c:pt idx="328">
                  <c:v>0.20241628686498825</c:v>
                </c:pt>
                <c:pt idx="329">
                  <c:v>0.20910856822903778</c:v>
                </c:pt>
                <c:pt idx="330">
                  <c:v>0.21536533899613741</c:v>
                </c:pt>
                <c:pt idx="331">
                  <c:v>0.22104523739647905</c:v>
                </c:pt>
                <c:pt idx="332">
                  <c:v>0.22634182696632021</c:v>
                </c:pt>
                <c:pt idx="333">
                  <c:v>0.23125516856693615</c:v>
                </c:pt>
                <c:pt idx="334">
                  <c:v>0.23578539048097083</c:v>
                </c:pt>
                <c:pt idx="335">
                  <c:v>0.23993268176963989</c:v>
                </c:pt>
                <c:pt idx="336">
                  <c:v>0.24369728562742579</c:v>
                </c:pt>
                <c:pt idx="337">
                  <c:v>0.2469989041715572</c:v>
                </c:pt>
                <c:pt idx="338">
                  <c:v>0.25007752825808116</c:v>
                </c:pt>
                <c:pt idx="339">
                  <c:v>0.25293353444850097</c:v>
                </c:pt>
                <c:pt idx="340">
                  <c:v>0.25556732462324883</c:v>
                </c:pt>
                <c:pt idx="341">
                  <c:v>0.25797932211263674</c:v>
                </c:pt>
                <c:pt idx="342">
                  <c:v>0.26016996782768592</c:v>
                </c:pt>
                <c:pt idx="343">
                  <c:v>0.26213971638833161</c:v>
                </c:pt>
                <c:pt idx="344">
                  <c:v>0.2638890322550152</c:v>
                </c:pt>
                <c:pt idx="345">
                  <c:v>0.26541838585799171</c:v>
                </c:pt>
                <c:pt idx="346">
                  <c:v>0.26680049222128566</c:v>
                </c:pt>
                <c:pt idx="347">
                  <c:v>0.26803583418054794</c:v>
                </c:pt>
                <c:pt idx="348">
                  <c:v>0.26912489421945779</c:v>
                </c:pt>
                <c:pt idx="349">
                  <c:v>0.2700681518577146</c:v>
                </c:pt>
                <c:pt idx="350">
                  <c:v>0.27086608104430954</c:v>
                </c:pt>
                <c:pt idx="351">
                  <c:v>0.2714500434791523</c:v>
                </c:pt>
                <c:pt idx="352">
                  <c:v>0.27190111877993989</c:v>
                </c:pt>
                <c:pt idx="353">
                  <c:v>0.27221974954218225</c:v>
                </c:pt>
                <c:pt idx="354">
                  <c:v>0.27240636343921293</c:v>
                </c:pt>
                <c:pt idx="355">
                  <c:v>0.27246137080174043</c:v>
                </c:pt>
                <c:pt idx="356">
                  <c:v>0.27238532015327649</c:v>
                </c:pt>
                <c:pt idx="357">
                  <c:v>0.27217807063591765</c:v>
                </c:pt>
                <c:pt idx="358">
                  <c:v>0.27183891011889755</c:v>
                </c:pt>
                <c:pt idx="359">
                  <c:v>0.27136710917964924</c:v>
                </c:pt>
                <c:pt idx="360">
                  <c:v>0.27068111659309774</c:v>
                </c:pt>
                <c:pt idx="361">
                  <c:v>0.26984936469366422</c:v>
                </c:pt>
                <c:pt idx="362">
                  <c:v>0.26887107389547588</c:v>
                </c:pt>
                <c:pt idx="363">
                  <c:v>0.26774545896687291</c:v>
                </c:pt>
                <c:pt idx="364">
                  <c:v>0.26647173225709914</c:v>
                </c:pt>
                <c:pt idx="365">
                  <c:v>0.26504910692015876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0.30234628542901959</c:v>
                </c:pt>
                <c:pt idx="1">
                  <c:v>0.30075567088900362</c:v>
                </c:pt>
                <c:pt idx="2">
                  <c:v>0.29899204770259785</c:v>
                </c:pt>
                <c:pt idx="3">
                  <c:v>0.29705454300411044</c:v>
                </c:pt>
                <c:pt idx="4">
                  <c:v>0.29494229780281511</c:v>
                </c:pt>
                <c:pt idx="5">
                  <c:v>0.29265447069181016</c:v>
                </c:pt>
                <c:pt idx="6">
                  <c:v>0.2901902415600221</c:v>
                </c:pt>
                <c:pt idx="7">
                  <c:v>0.28754881529863979</c:v>
                </c:pt>
                <c:pt idx="8">
                  <c:v>0.28472942551104896</c:v>
                </c:pt>
                <c:pt idx="9">
                  <c:v>0.28152582169566925</c:v>
                </c:pt>
                <c:pt idx="10">
                  <c:v>0.27798485612922641</c:v>
                </c:pt>
                <c:pt idx="11">
                  <c:v>0.27410571441084858</c:v>
                </c:pt>
                <c:pt idx="12">
                  <c:v>0.26988764290845879</c:v>
                </c:pt>
                <c:pt idx="13">
                  <c:v>0.26532995583869062</c:v>
                </c:pt>
                <c:pt idx="14">
                  <c:v>0.26043204234301121</c:v>
                </c:pt>
                <c:pt idx="15">
                  <c:v>0.25493448354085296</c:v>
                </c:pt>
                <c:pt idx="16">
                  <c:v>0.24896280670477169</c:v>
                </c:pt>
                <c:pt idx="17">
                  <c:v>0.24251660216293433</c:v>
                </c:pt>
                <c:pt idx="18">
                  <c:v>0.23559558887183596</c:v>
                </c:pt>
                <c:pt idx="19">
                  <c:v>0.22820069427249431</c:v>
                </c:pt>
                <c:pt idx="20">
                  <c:v>0.22033331346083493</c:v>
                </c:pt>
                <c:pt idx="21">
                  <c:v>0.21199399008317174</c:v>
                </c:pt>
                <c:pt idx="22">
                  <c:v>0.20318329159739626</c:v>
                </c:pt>
                <c:pt idx="23">
                  <c:v>0.19386002715078121</c:v>
                </c:pt>
                <c:pt idx="24">
                  <c:v>0.1842309734564935</c:v>
                </c:pt>
                <c:pt idx="25">
                  <c:v>0.17429676552485174</c:v>
                </c:pt>
                <c:pt idx="26">
                  <c:v>0.1640580271244356</c:v>
                </c:pt>
                <c:pt idx="27">
                  <c:v>0.15351536761682308</c:v>
                </c:pt>
                <c:pt idx="28">
                  <c:v>0.14266937879445632</c:v>
                </c:pt>
                <c:pt idx="29">
                  <c:v>0.1318866468739669</c:v>
                </c:pt>
                <c:pt idx="30">
                  <c:v>0.12142694911245834</c:v>
                </c:pt>
                <c:pt idx="31">
                  <c:v>0.11129073828890747</c:v>
                </c:pt>
                <c:pt idx="32">
                  <c:v>0.10147840394077684</c:v>
                </c:pt>
                <c:pt idx="33">
                  <c:v>9.1990275771348148E-2</c:v>
                </c:pt>
                <c:pt idx="34">
                  <c:v>8.2826627057465005E-2</c:v>
                </c:pt>
                <c:pt idx="35">
                  <c:v>7.3987678057104489E-2</c:v>
                </c:pt>
                <c:pt idx="36">
                  <c:v>6.5473599416764408E-2</c:v>
                </c:pt>
                <c:pt idx="37">
                  <c:v>5.7607521784186343E-2</c:v>
                </c:pt>
                <c:pt idx="38">
                  <c:v>5.0431221373964302E-2</c:v>
                </c:pt>
                <c:pt idx="39">
                  <c:v>4.3944657479656285E-2</c:v>
                </c:pt>
                <c:pt idx="40">
                  <c:v>3.8147753012878705E-2</c:v>
                </c:pt>
                <c:pt idx="41">
                  <c:v>3.3040401746072721E-2</c:v>
                </c:pt>
                <c:pt idx="42">
                  <c:v>2.8622475554939065E-2</c:v>
                </c:pt>
                <c:pt idx="43">
                  <c:v>2.4951235910693027E-2</c:v>
                </c:pt>
                <c:pt idx="44">
                  <c:v>2.1660832876537264E-2</c:v>
                </c:pt>
                <c:pt idx="45">
                  <c:v>1.8751175360365843E-2</c:v>
                </c:pt>
                <c:pt idx="46">
                  <c:v>1.6222169397647267E-2</c:v>
                </c:pt>
                <c:pt idx="47">
                  <c:v>1.4073722151245393E-2</c:v>
                </c:pt>
                <c:pt idx="48">
                  <c:v>1.230574591102176E-2</c:v>
                </c:pt>
                <c:pt idx="49">
                  <c:v>1.0918162093578444E-2</c:v>
                </c:pt>
                <c:pt idx="50">
                  <c:v>9.9109052419230279E-3</c:v>
                </c:pt>
                <c:pt idx="51">
                  <c:v>9.2787209928495724E-3</c:v>
                </c:pt>
                <c:pt idx="52">
                  <c:v>8.6987945534908583E-3</c:v>
                </c:pt>
                <c:pt idx="53">
                  <c:v>8.1710756832294538E-3</c:v>
                </c:pt>
                <c:pt idx="54">
                  <c:v>7.6955569694245008E-3</c:v>
                </c:pt>
                <c:pt idx="55">
                  <c:v>7.2722323791376275E-3</c:v>
                </c:pt>
                <c:pt idx="56">
                  <c:v>6.9010970968883464E-3</c:v>
                </c:pt>
                <c:pt idx="57">
                  <c:v>6.5893170149878182E-3</c:v>
                </c:pt>
                <c:pt idx="58">
                  <c:v>6.2795059074842426E-3</c:v>
                </c:pt>
                <c:pt idx="59">
                  <c:v>5.9716608557545264E-3</c:v>
                </c:pt>
                <c:pt idx="60">
                  <c:v>5.6657793354535036E-3</c:v>
                </c:pt>
                <c:pt idx="61">
                  <c:v>5.3618592104095917E-3</c:v>
                </c:pt>
                <c:pt idx="62">
                  <c:v>5.0598987265135058E-3</c:v>
                </c:pt>
                <c:pt idx="63">
                  <c:v>4.7598965056207592E-3</c:v>
                </c:pt>
                <c:pt idx="64">
                  <c:v>4.4618515394364072E-3</c:v>
                </c:pt>
                <c:pt idx="65">
                  <c:v>4.1776633123809656E-3</c:v>
                </c:pt>
                <c:pt idx="66">
                  <c:v>3.9125378519743953E-3</c:v>
                </c:pt>
                <c:pt idx="67">
                  <c:v>3.6664752158944033E-3</c:v>
                </c:pt>
                <c:pt idx="68">
                  <c:v>3.4394755934568874E-3</c:v>
                </c:pt>
                <c:pt idx="69">
                  <c:v>3.2315392463104012E-3</c:v>
                </c:pt>
                <c:pt idx="70">
                  <c:v>3.0426664491460761E-3</c:v>
                </c:pt>
                <c:pt idx="71">
                  <c:v>2.8841048493672161E-3</c:v>
                </c:pt>
                <c:pt idx="72">
                  <c:v>2.7486844070762147E-3</c:v>
                </c:pt>
                <c:pt idx="73">
                  <c:v>2.6364047752765948E-3</c:v>
                </c:pt>
                <c:pt idx="74">
                  <c:v>2.5472652757649651E-3</c:v>
                </c:pt>
                <c:pt idx="75">
                  <c:v>2.4812648271608268E-3</c:v>
                </c:pt>
                <c:pt idx="76">
                  <c:v>2.4384018729294841E-3</c:v>
                </c:pt>
                <c:pt idx="77">
                  <c:v>2.4186743094119383E-3</c:v>
                </c:pt>
                <c:pt idx="78">
                  <c:v>2.4220794814335217E-3</c:v>
                </c:pt>
                <c:pt idx="79">
                  <c:v>2.4496325495180081E-3</c:v>
                </c:pt>
                <c:pt idx="80">
                  <c:v>2.4894384266381762E-3</c:v>
                </c:pt>
                <c:pt idx="81">
                  <c:v>2.5414949711574271E-3</c:v>
                </c:pt>
                <c:pt idx="82">
                  <c:v>2.6057999687101791E-3</c:v>
                </c:pt>
                <c:pt idx="83">
                  <c:v>2.6823510992046748E-3</c:v>
                </c:pt>
                <c:pt idx="84">
                  <c:v>2.7711459038332383E-3</c:v>
                </c:pt>
                <c:pt idx="85">
                  <c:v>2.8586246248500286E-3</c:v>
                </c:pt>
                <c:pt idx="86">
                  <c:v>2.9335444647308716E-3</c:v>
                </c:pt>
                <c:pt idx="87">
                  <c:v>2.9959059524636549E-3</c:v>
                </c:pt>
                <c:pt idx="88">
                  <c:v>3.0457096882984037E-3</c:v>
                </c:pt>
                <c:pt idx="89">
                  <c:v>3.0829563775364496E-3</c:v>
                </c:pt>
                <c:pt idx="90">
                  <c:v>3.1076468643142768E-3</c:v>
                </c:pt>
                <c:pt idx="91">
                  <c:v>3.1197821653972013E-3</c:v>
                </c:pt>
                <c:pt idx="92">
                  <c:v>3.1193635039662628E-3</c:v>
                </c:pt>
                <c:pt idx="93">
                  <c:v>3.1028702626491032E-3</c:v>
                </c:pt>
                <c:pt idx="94">
                  <c:v>3.069295169071415E-3</c:v>
                </c:pt>
                <c:pt idx="95">
                  <c:v>3.01864129767483E-3</c:v>
                </c:pt>
                <c:pt idx="96">
                  <c:v>2.9509121867078571E-3</c:v>
                </c:pt>
                <c:pt idx="97">
                  <c:v>2.8661118842377375E-3</c:v>
                </c:pt>
                <c:pt idx="98">
                  <c:v>2.7642449941394239E-3</c:v>
                </c:pt>
                <c:pt idx="99">
                  <c:v>2.6511507532784809E-3</c:v>
                </c:pt>
                <c:pt idx="100">
                  <c:v>2.5403767960950952E-3</c:v>
                </c:pt>
                <c:pt idx="101">
                  <c:v>2.4319235959823476E-3</c:v>
                </c:pt>
                <c:pt idx="102">
                  <c:v>2.3257916650477202E-3</c:v>
                </c:pt>
                <c:pt idx="103">
                  <c:v>2.2219815478567908E-3</c:v>
                </c:pt>
                <c:pt idx="104">
                  <c:v>2.1204938152237954E-3</c:v>
                </c:pt>
                <c:pt idx="105">
                  <c:v>2.0213290579586276E-3</c:v>
                </c:pt>
                <c:pt idx="106">
                  <c:v>1.9244878806374875E-3</c:v>
                </c:pt>
                <c:pt idx="107">
                  <c:v>1.830265636278934E-3</c:v>
                </c:pt>
                <c:pt idx="108">
                  <c:v>1.7421793269427263E-3</c:v>
                </c:pt>
                <c:pt idx="109">
                  <c:v>1.6602277443423345E-3</c:v>
                </c:pt>
                <c:pt idx="110">
                  <c:v>1.5844132731739518E-3</c:v>
                </c:pt>
                <c:pt idx="111">
                  <c:v>1.5147375068325884E-3</c:v>
                </c:pt>
                <c:pt idx="112">
                  <c:v>1.4511978441855819E-3</c:v>
                </c:pt>
                <c:pt idx="113">
                  <c:v>1.394229113153511E-3</c:v>
                </c:pt>
                <c:pt idx="114">
                  <c:v>1.3380066033472178E-3</c:v>
                </c:pt>
                <c:pt idx="115">
                  <c:v>1.2825303774070046E-3</c:v>
                </c:pt>
                <c:pt idx="116">
                  <c:v>1.227800519906208E-3</c:v>
                </c:pt>
                <c:pt idx="117">
                  <c:v>1.1738171360152424E-3</c:v>
                </c:pt>
                <c:pt idx="118">
                  <c:v>1.1205803501540964E-3</c:v>
                </c:pt>
                <c:pt idx="119">
                  <c:v>1.0680903046481653E-3</c:v>
                </c:pt>
                <c:pt idx="120">
                  <c:v>1.0163471583826994E-3</c:v>
                </c:pt>
                <c:pt idx="121">
                  <c:v>9.6646321470927974E-4</c:v>
                </c:pt>
                <c:pt idx="122">
                  <c:v>9.1814400523053256E-4</c:v>
                </c:pt>
                <c:pt idx="123">
                  <c:v>8.7138915818034803E-4</c:v>
                </c:pt>
                <c:pt idx="124">
                  <c:v>8.2619828285172305E-4</c:v>
                </c:pt>
                <c:pt idx="125">
                  <c:v>7.8257096675386469E-4</c:v>
                </c:pt>
                <c:pt idx="126">
                  <c:v>7.4050677275877205E-4</c:v>
                </c:pt>
                <c:pt idx="127">
                  <c:v>7.0048056570464346E-4</c:v>
                </c:pt>
                <c:pt idx="128">
                  <c:v>6.6205537836173088E-4</c:v>
                </c:pt>
                <c:pt idx="129">
                  <c:v>6.2523064175420767E-4</c:v>
                </c:pt>
                <c:pt idx="130">
                  <c:v>5.90005748866104E-4</c:v>
                </c:pt>
                <c:pt idx="131">
                  <c:v>5.5638005171401576E-4</c:v>
                </c:pt>
                <c:pt idx="132">
                  <c:v>5.2435285842591191E-4</c:v>
                </c:pt>
                <c:pt idx="133">
                  <c:v>4.9392343032262211E-4</c:v>
                </c:pt>
                <c:pt idx="134">
                  <c:v>4.6509097899645376E-4</c:v>
                </c:pt>
                <c:pt idx="135">
                  <c:v>4.3859127547414355E-4</c:v>
                </c:pt>
                <c:pt idx="136">
                  <c:v>4.1331502076603693E-4</c:v>
                </c:pt>
                <c:pt idx="137">
                  <c:v>3.892616053704041E-4</c:v>
                </c:pt>
                <c:pt idx="138">
                  <c:v>3.6643037693799411E-4</c:v>
                </c:pt>
                <c:pt idx="139">
                  <c:v>3.4482063804442808E-4</c:v>
                </c:pt>
                <c:pt idx="140">
                  <c:v>3.2443164394462562E-4</c:v>
                </c:pt>
                <c:pt idx="141">
                  <c:v>3.0555650629869639E-4</c:v>
                </c:pt>
                <c:pt idx="142">
                  <c:v>2.8771961186143627E-4</c:v>
                </c:pt>
                <c:pt idx="143">
                  <c:v>2.7091947450907298E-4</c:v>
                </c:pt>
                <c:pt idx="144">
                  <c:v>2.5515605884338734E-4</c:v>
                </c:pt>
                <c:pt idx="145">
                  <c:v>2.4042915312459806E-4</c:v>
                </c:pt>
                <c:pt idx="146">
                  <c:v>2.2673838086057372E-4</c:v>
                </c:pt>
                <c:pt idx="147">
                  <c:v>2.1408321240327501E-4</c:v>
                </c:pt>
                <c:pt idx="148">
                  <c:v>2.0246297653999547E-4</c:v>
                </c:pt>
                <c:pt idx="149">
                  <c:v>1.9224013175094426E-4</c:v>
                </c:pt>
                <c:pt idx="150">
                  <c:v>1.8268101215987106E-4</c:v>
                </c:pt>
                <c:pt idx="151">
                  <c:v>1.7378513453020781E-4</c:v>
                </c:pt>
                <c:pt idx="152">
                  <c:v>1.6555193927623456E-4</c:v>
                </c:pt>
                <c:pt idx="153">
                  <c:v>1.579807978802395E-4</c:v>
                </c:pt>
                <c:pt idx="154">
                  <c:v>1.510710203105326E-4</c:v>
                </c:pt>
                <c:pt idx="155">
                  <c:v>1.4525323693898907E-4</c:v>
                </c:pt>
                <c:pt idx="156">
                  <c:v>1.4023413022536327E-4</c:v>
                </c:pt>
                <c:pt idx="157">
                  <c:v>1.3601264567582864E-4</c:v>
                </c:pt>
                <c:pt idx="158">
                  <c:v>1.3258769808871765E-4</c:v>
                </c:pt>
                <c:pt idx="159">
                  <c:v>1.2995818055213187E-4</c:v>
                </c:pt>
                <c:pt idx="160">
                  <c:v>1.2812297344294609E-4</c:v>
                </c:pt>
                <c:pt idx="161">
                  <c:v>1.2708095342453695E-4</c:v>
                </c:pt>
                <c:pt idx="162">
                  <c:v>1.2683100244512363E-4</c:v>
                </c:pt>
                <c:pt idx="163">
                  <c:v>1.271597222452162E-4</c:v>
                </c:pt>
                <c:pt idx="164">
                  <c:v>1.2770592356879697E-4</c:v>
                </c:pt>
                <c:pt idx="165">
                  <c:v>1.2846942764980677E-4</c:v>
                </c:pt>
                <c:pt idx="166">
                  <c:v>1.2945006811022851E-4</c:v>
                </c:pt>
                <c:pt idx="167">
                  <c:v>1.3064769343244635E-4</c:v>
                </c:pt>
                <c:pt idx="168">
                  <c:v>1.3206216943503993E-4</c:v>
                </c:pt>
                <c:pt idx="169">
                  <c:v>1.3348171671519134E-4</c:v>
                </c:pt>
                <c:pt idx="170">
                  <c:v>1.3447844963660662E-4</c:v>
                </c:pt>
                <c:pt idx="171">
                  <c:v>1.3505314436146427E-4</c:v>
                </c:pt>
                <c:pt idx="172">
                  <c:v>1.3520654572103536E-4</c:v>
                </c:pt>
                <c:pt idx="173">
                  <c:v>1.349382084126199E-4</c:v>
                </c:pt>
                <c:pt idx="174">
                  <c:v>1.3424760923998224E-4</c:v>
                </c:pt>
                <c:pt idx="175">
                  <c:v>1.3313534928912824E-4</c:v>
                </c:pt>
                <c:pt idx="176">
                  <c:v>1.3160202731885961E-4</c:v>
                </c:pt>
                <c:pt idx="177">
                  <c:v>1.3007504698491442E-4</c:v>
                </c:pt>
                <c:pt idx="178">
                  <c:v>1.2876530931041919E-4</c:v>
                </c:pt>
                <c:pt idx="179">
                  <c:v>1.2767259910394547E-4</c:v>
                </c:pt>
                <c:pt idx="180">
                  <c:v>1.2679670180757496E-4</c:v>
                </c:pt>
                <c:pt idx="181">
                  <c:v>1.2613740455571371E-4</c:v>
                </c:pt>
                <c:pt idx="182">
                  <c:v>1.2569449723484478E-4</c:v>
                </c:pt>
                <c:pt idx="183">
                  <c:v>1.2582520690374827E-4</c:v>
                </c:pt>
                <c:pt idx="184">
                  <c:v>1.2673923683250216E-4</c:v>
                </c:pt>
                <c:pt idx="185">
                  <c:v>1.2843572575608361E-4</c:v>
                </c:pt>
                <c:pt idx="186">
                  <c:v>1.3091383944692156E-4</c:v>
                </c:pt>
                <c:pt idx="187">
                  <c:v>1.3417277456844316E-4</c:v>
                </c:pt>
                <c:pt idx="188">
                  <c:v>1.3821176252931924E-4</c:v>
                </c:pt>
                <c:pt idx="189">
                  <c:v>1.4303007333429346E-4</c:v>
                </c:pt>
                <c:pt idx="190">
                  <c:v>1.4862701943982215E-4</c:v>
                </c:pt>
                <c:pt idx="191">
                  <c:v>1.5528928240235413E-4</c:v>
                </c:pt>
                <c:pt idx="192">
                  <c:v>1.6259165178673951E-4</c:v>
                </c:pt>
                <c:pt idx="193">
                  <c:v>1.705337366040329E-4</c:v>
                </c:pt>
                <c:pt idx="194">
                  <c:v>1.791151963589256E-4</c:v>
                </c:pt>
                <c:pt idx="195">
                  <c:v>1.8833574422919379E-4</c:v>
                </c:pt>
                <c:pt idx="196">
                  <c:v>1.9819515023978177E-4</c:v>
                </c:pt>
                <c:pt idx="197">
                  <c:v>2.0941050614143534E-4</c:v>
                </c:pt>
                <c:pt idx="198">
                  <c:v>2.2162552824471255E-4</c:v>
                </c:pt>
                <c:pt idx="199">
                  <c:v>2.3483990814219115E-4</c:v>
                </c:pt>
                <c:pt idx="200">
                  <c:v>2.4905343579652165E-4</c:v>
                </c:pt>
                <c:pt idx="201">
                  <c:v>2.6426600450289082E-4</c:v>
                </c:pt>
                <c:pt idx="202">
                  <c:v>2.8047761585216126E-4</c:v>
                </c:pt>
                <c:pt idx="203">
                  <c:v>2.9768838469919752E-4</c:v>
                </c:pt>
                <c:pt idx="204">
                  <c:v>3.1589811843111903E-4</c:v>
                </c:pt>
                <c:pt idx="205">
                  <c:v>3.3556739139790361E-4</c:v>
                </c:pt>
                <c:pt idx="206">
                  <c:v>3.5640979873275775E-4</c:v>
                </c:pt>
                <c:pt idx="207">
                  <c:v>3.7842533478160901E-4</c:v>
                </c:pt>
                <c:pt idx="208">
                  <c:v>4.016140522216432E-4</c:v>
                </c:pt>
                <c:pt idx="209">
                  <c:v>4.2597605901140275E-4</c:v>
                </c:pt>
                <c:pt idx="210">
                  <c:v>4.5151151535196676E-4</c:v>
                </c:pt>
                <c:pt idx="211">
                  <c:v>4.792965271213214E-4</c:v>
                </c:pt>
                <c:pt idx="212">
                  <c:v>5.0861582060058403E-4</c:v>
                </c:pt>
                <c:pt idx="213">
                  <c:v>5.3946961067454998E-4</c:v>
                </c:pt>
                <c:pt idx="214">
                  <c:v>5.7185817196154186E-4</c:v>
                </c:pt>
                <c:pt idx="215">
                  <c:v>6.0578183483438598E-4</c:v>
                </c:pt>
                <c:pt idx="216">
                  <c:v>6.4124098143995617E-4</c:v>
                </c:pt>
                <c:pt idx="217">
                  <c:v>6.7823604172081271E-4</c:v>
                </c:pt>
                <c:pt idx="218">
                  <c:v>7.1676748943414251E-4</c:v>
                </c:pt>
                <c:pt idx="219">
                  <c:v>7.5725815480441117E-4</c:v>
                </c:pt>
                <c:pt idx="220">
                  <c:v>7.9924836879194426E-4</c:v>
                </c:pt>
                <c:pt idx="221">
                  <c:v>8.4273872683376363E-4</c:v>
                </c:pt>
                <c:pt idx="222">
                  <c:v>8.8772985010110558E-4</c:v>
                </c:pt>
                <c:pt idx="223">
                  <c:v>9.3422238162905091E-4</c:v>
                </c:pt>
                <c:pt idx="224">
                  <c:v>9.8221698243021308E-4</c:v>
                </c:pt>
                <c:pt idx="225">
                  <c:v>1.0319985019765293E-3</c:v>
                </c:pt>
                <c:pt idx="226">
                  <c:v>1.0824926228486503E-3</c:v>
                </c:pt>
                <c:pt idx="227">
                  <c:v>1.1337000322521058E-3</c:v>
                </c:pt>
                <c:pt idx="228">
                  <c:v>1.1856213911400407E-3</c:v>
                </c:pt>
                <c:pt idx="229">
                  <c:v>1.2382573323709994E-3</c:v>
                </c:pt>
                <c:pt idx="230">
                  <c:v>1.2916084588808629E-3</c:v>
                </c:pt>
                <c:pt idx="231">
                  <c:v>1.3456753418597371E-3</c:v>
                </c:pt>
                <c:pt idx="232">
                  <c:v>1.4004585189059283E-3</c:v>
                </c:pt>
                <c:pt idx="233">
                  <c:v>1.4615788263282168E-3</c:v>
                </c:pt>
                <c:pt idx="234">
                  <c:v>1.5286150859401446E-3</c:v>
                </c:pt>
                <c:pt idx="235">
                  <c:v>1.6015695700424693E-3</c:v>
                </c:pt>
                <c:pt idx="236">
                  <c:v>1.680445293747391E-3</c:v>
                </c:pt>
                <c:pt idx="237">
                  <c:v>1.7652447268335441E-3</c:v>
                </c:pt>
                <c:pt idx="238">
                  <c:v>1.8559705883678535E-3</c:v>
                </c:pt>
                <c:pt idx="239">
                  <c:v>1.9492333055261813E-3</c:v>
                </c:pt>
                <c:pt idx="240">
                  <c:v>2.0447510349992939E-3</c:v>
                </c:pt>
                <c:pt idx="241">
                  <c:v>2.1425263409681396E-3</c:v>
                </c:pt>
                <c:pt idx="242">
                  <c:v>2.2425619282291209E-3</c:v>
                </c:pt>
                <c:pt idx="243">
                  <c:v>2.3448606454920286E-3</c:v>
                </c:pt>
                <c:pt idx="244">
                  <c:v>2.4494254886706381E-3</c:v>
                </c:pt>
                <c:pt idx="245">
                  <c:v>2.5562596041527282E-3</c:v>
                </c:pt>
                <c:pt idx="246">
                  <c:v>2.6653662920630449E-3</c:v>
                </c:pt>
                <c:pt idx="247">
                  <c:v>2.7636859387178609E-3</c:v>
                </c:pt>
                <c:pt idx="248">
                  <c:v>2.845589852331958E-3</c:v>
                </c:pt>
                <c:pt idx="249">
                  <c:v>2.9110738910789421E-3</c:v>
                </c:pt>
                <c:pt idx="250">
                  <c:v>2.9601332218380447E-3</c:v>
                </c:pt>
                <c:pt idx="251">
                  <c:v>2.9927622960462248E-3</c:v>
                </c:pt>
                <c:pt idx="252">
                  <c:v>3.0089548254479356E-3</c:v>
                </c:pt>
                <c:pt idx="253">
                  <c:v>3.0096780442064618E-3</c:v>
                </c:pt>
                <c:pt idx="254">
                  <c:v>2.9983234261590813E-3</c:v>
                </c:pt>
                <c:pt idx="255">
                  <c:v>2.9748847521433048E-3</c:v>
                </c:pt>
                <c:pt idx="256">
                  <c:v>2.9393551889735623E-3</c:v>
                </c:pt>
                <c:pt idx="257">
                  <c:v>2.8917272716347392E-3</c:v>
                </c:pt>
                <c:pt idx="258">
                  <c:v>2.83199288550047E-3</c:v>
                </c:pt>
                <c:pt idx="259">
                  <c:v>2.7601432485835319E-3</c:v>
                </c:pt>
                <c:pt idx="260">
                  <c:v>2.6761688937122648E-3</c:v>
                </c:pt>
                <c:pt idx="261">
                  <c:v>2.5909196977446738E-3</c:v>
                </c:pt>
                <c:pt idx="262">
                  <c:v>2.5174921289215523E-3</c:v>
                </c:pt>
                <c:pt idx="263">
                  <c:v>2.4558931949934647E-3</c:v>
                </c:pt>
                <c:pt idx="264">
                  <c:v>2.4061306328706108E-3</c:v>
                </c:pt>
                <c:pt idx="265">
                  <c:v>2.3682234192923617E-3</c:v>
                </c:pt>
                <c:pt idx="266">
                  <c:v>2.3421855887530286E-3</c:v>
                </c:pt>
                <c:pt idx="267">
                  <c:v>2.3395332425374549E-3</c:v>
                </c:pt>
                <c:pt idx="268">
                  <c:v>2.3593080418179962E-3</c:v>
                </c:pt>
                <c:pt idx="269">
                  <c:v>2.4015305313221397E-3</c:v>
                </c:pt>
                <c:pt idx="270">
                  <c:v>2.4662230265298248E-3</c:v>
                </c:pt>
                <c:pt idx="271">
                  <c:v>2.5534094076665043E-3</c:v>
                </c:pt>
                <c:pt idx="272">
                  <c:v>2.6631149137506158E-3</c:v>
                </c:pt>
                <c:pt idx="273">
                  <c:v>2.7953659366145734E-3</c:v>
                </c:pt>
                <c:pt idx="274">
                  <c:v>2.9501898149539483E-3</c:v>
                </c:pt>
                <c:pt idx="275">
                  <c:v>3.1345694294798664E-3</c:v>
                </c:pt>
                <c:pt idx="276">
                  <c:v>3.337627417049903E-3</c:v>
                </c:pt>
                <c:pt idx="277">
                  <c:v>3.5593879014599633E-3</c:v>
                </c:pt>
                <c:pt idx="278">
                  <c:v>3.7998749684067571E-3</c:v>
                </c:pt>
                <c:pt idx="279">
                  <c:v>4.0591124957940327E-3</c:v>
                </c:pt>
                <c:pt idx="280">
                  <c:v>4.3371239840685341E-3</c:v>
                </c:pt>
                <c:pt idx="281">
                  <c:v>4.6288695371319612E-3</c:v>
                </c:pt>
                <c:pt idx="282">
                  <c:v>4.9227872724334461E-3</c:v>
                </c:pt>
                <c:pt idx="283">
                  <c:v>5.2188767018004371E-3</c:v>
                </c:pt>
                <c:pt idx="284">
                  <c:v>5.5171362785721434E-3</c:v>
                </c:pt>
                <c:pt idx="285">
                  <c:v>5.8175633801109223E-3</c:v>
                </c:pt>
                <c:pt idx="286">
                  <c:v>6.1201542903576269E-3</c:v>
                </c:pt>
                <c:pt idx="287">
                  <c:v>6.424904182343383E-3</c:v>
                </c:pt>
                <c:pt idx="288">
                  <c:v>6.7318071007173704E-3</c:v>
                </c:pt>
                <c:pt idx="289">
                  <c:v>7.0968550032862012E-3</c:v>
                </c:pt>
                <c:pt idx="290">
                  <c:v>7.5131102164171237E-3</c:v>
                </c:pt>
                <c:pt idx="291">
                  <c:v>7.9806228041748046E-3</c:v>
                </c:pt>
                <c:pt idx="292">
                  <c:v>8.4994393444717525E-3</c:v>
                </c:pt>
                <c:pt idx="293">
                  <c:v>9.0696024648026889E-3</c:v>
                </c:pt>
                <c:pt idx="294">
                  <c:v>9.6911503779571542E-3</c:v>
                </c:pt>
                <c:pt idx="295">
                  <c:v>1.0679832929808031E-2</c:v>
                </c:pt>
                <c:pt idx="296">
                  <c:v>1.204124202643265E-2</c:v>
                </c:pt>
                <c:pt idx="297">
                  <c:v>1.3775880621434247E-2</c:v>
                </c:pt>
                <c:pt idx="298">
                  <c:v>1.5884192421906741E-2</c:v>
                </c:pt>
                <c:pt idx="299">
                  <c:v>1.8366626126728434E-2</c:v>
                </c:pt>
                <c:pt idx="300">
                  <c:v>2.1223632550578714E-2</c:v>
                </c:pt>
                <c:pt idx="301">
                  <c:v>2.4455661747916996E-2</c:v>
                </c:pt>
                <c:pt idx="302">
                  <c:v>2.8063160136995557E-2</c:v>
                </c:pt>
                <c:pt idx="303">
                  <c:v>3.2405302630545453E-2</c:v>
                </c:pt>
                <c:pt idx="304">
                  <c:v>3.7426617881310541E-2</c:v>
                </c:pt>
                <c:pt idx="305">
                  <c:v>4.3127885263761351E-2</c:v>
                </c:pt>
                <c:pt idx="306">
                  <c:v>4.9509865562962697E-2</c:v>
                </c:pt>
                <c:pt idx="307">
                  <c:v>5.6573295766899068E-2</c:v>
                </c:pt>
                <c:pt idx="308">
                  <c:v>6.4318883858425033E-2</c:v>
                </c:pt>
                <c:pt idx="309">
                  <c:v>7.2706253800840157E-2</c:v>
                </c:pt>
                <c:pt idx="310">
                  <c:v>8.1418416212754058E-2</c:v>
                </c:pt>
                <c:pt idx="311">
                  <c:v>9.04555544369713E-2</c:v>
                </c:pt>
                <c:pt idx="312">
                  <c:v>9.981781480443537E-2</c:v>
                </c:pt>
                <c:pt idx="313">
                  <c:v>0.10950530418435216</c:v>
                </c:pt>
                <c:pt idx="314">
                  <c:v>0.11951808753359812</c:v>
                </c:pt>
                <c:pt idx="315">
                  <c:v>0.12985618544724614</c:v>
                </c:pt>
                <c:pt idx="316">
                  <c:v>0.14051957170766441</c:v>
                </c:pt>
                <c:pt idx="317">
                  <c:v>0.15125273415654597</c:v>
                </c:pt>
                <c:pt idx="318">
                  <c:v>0.16169456287736353</c:v>
                </c:pt>
                <c:pt idx="319">
                  <c:v>0.17184431445818638</c:v>
                </c:pt>
                <c:pt idx="320">
                  <c:v>0.18170123409546132</c:v>
                </c:pt>
                <c:pt idx="321">
                  <c:v>0.19126455786923965</c:v>
                </c:pt>
                <c:pt idx="322">
                  <c:v>0.20053351501924985</c:v>
                </c:pt>
                <c:pt idx="323">
                  <c:v>0.20930381240322796</c:v>
                </c:pt>
                <c:pt idx="324">
                  <c:v>0.21761577500648974</c:v>
                </c:pt>
                <c:pt idx="325">
                  <c:v>0.22546851440972393</c:v>
                </c:pt>
                <c:pt idx="326">
                  <c:v>0.23285994513739983</c:v>
                </c:pt>
                <c:pt idx="327">
                  <c:v>0.23978869259701494</c:v>
                </c:pt>
                <c:pt idx="328">
                  <c:v>0.24625443567069247</c:v>
                </c:pt>
                <c:pt idx="329">
                  <c:v>0.25225696235772199</c:v>
                </c:pt>
                <c:pt idx="330">
                  <c:v>0.25779616174671233</c:v>
                </c:pt>
                <c:pt idx="331">
                  <c:v>0.26274718737302022</c:v>
                </c:pt>
                <c:pt idx="332">
                  <c:v>0.26736632227130408</c:v>
                </c:pt>
                <c:pt idx="333">
                  <c:v>0.27165374272268444</c:v>
                </c:pt>
                <c:pt idx="334">
                  <c:v>0.27560968348529835</c:v>
                </c:pt>
                <c:pt idx="335">
                  <c:v>0.27923443206256082</c:v>
                </c:pt>
                <c:pt idx="336">
                  <c:v>0.28252832296846753</c:v>
                </c:pt>
                <c:pt idx="337">
                  <c:v>0.28544436087341057</c:v>
                </c:pt>
                <c:pt idx="338">
                  <c:v>0.28818681593362588</c:v>
                </c:pt>
                <c:pt idx="339">
                  <c:v>0.29075613961607066</c:v>
                </c:pt>
                <c:pt idx="340">
                  <c:v>0.29315280548595529</c:v>
                </c:pt>
                <c:pt idx="341">
                  <c:v>0.29537730620351149</c:v>
                </c:pt>
                <c:pt idx="342">
                  <c:v>0.29743015052060889</c:v>
                </c:pt>
                <c:pt idx="343">
                  <c:v>0.29931186027437057</c:v>
                </c:pt>
                <c:pt idx="344">
                  <c:v>0.30102296738466888</c:v>
                </c:pt>
                <c:pt idx="345">
                  <c:v>0.30256401084900503</c:v>
                </c:pt>
                <c:pt idx="346">
                  <c:v>0.30397737782542822</c:v>
                </c:pt>
                <c:pt idx="347">
                  <c:v>0.30526361944868768</c:v>
                </c:pt>
                <c:pt idx="348">
                  <c:v>0.30642328798215779</c:v>
                </c:pt>
                <c:pt idx="349">
                  <c:v>0.30745693454118078</c:v>
                </c:pt>
                <c:pt idx="350">
                  <c:v>0.30836510682242141</c:v>
                </c:pt>
                <c:pt idx="351">
                  <c:v>0.30906525788948208</c:v>
                </c:pt>
                <c:pt idx="352">
                  <c:v>0.30960529701820944</c:v>
                </c:pt>
                <c:pt idx="353">
                  <c:v>0.30998572618598752</c:v>
                </c:pt>
                <c:pt idx="354">
                  <c:v>0.31020702942782241</c:v>
                </c:pt>
                <c:pt idx="355">
                  <c:v>0.31026966992678456</c:v>
                </c:pt>
                <c:pt idx="356">
                  <c:v>0.31017426697408768</c:v>
                </c:pt>
                <c:pt idx="357">
                  <c:v>0.30992065343165304</c:v>
                </c:pt>
                <c:pt idx="358">
                  <c:v>0.30950801032656788</c:v>
                </c:pt>
                <c:pt idx="359">
                  <c:v>0.30893549789493729</c:v>
                </c:pt>
                <c:pt idx="360">
                  <c:v>0.30815475935771824</c:v>
                </c:pt>
                <c:pt idx="361">
                  <c:v>0.30724816382798453</c:v>
                </c:pt>
                <c:pt idx="362">
                  <c:v>0.30621486650587942</c:v>
                </c:pt>
                <c:pt idx="363">
                  <c:v>0.30505401944278177</c:v>
                </c:pt>
                <c:pt idx="364">
                  <c:v>0.30376477435412941</c:v>
                </c:pt>
                <c:pt idx="365">
                  <c:v>0.30234628542901959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0.34323380639873236</c:v>
                </c:pt>
                <c:pt idx="1">
                  <c:v>0.34157928060327053</c:v>
                </c:pt>
                <c:pt idx="2">
                  <c:v>0.33979083580414748</c:v>
                </c:pt>
                <c:pt idx="3">
                  <c:v>0.33786755796766749</c:v>
                </c:pt>
                <c:pt idx="4">
                  <c:v>0.33580854779872021</c:v>
                </c:pt>
                <c:pt idx="5">
                  <c:v>0.33361292361524203</c:v>
                </c:pt>
                <c:pt idx="6">
                  <c:v>0.33127982422626007</c:v>
                </c:pt>
                <c:pt idx="7">
                  <c:v>0.32880841180359494</c:v>
                </c:pt>
                <c:pt idx="8">
                  <c:v>0.32619787475754219</c:v>
                </c:pt>
                <c:pt idx="9">
                  <c:v>0.32325466745857201</c:v>
                </c:pt>
                <c:pt idx="10">
                  <c:v>0.32000350304086139</c:v>
                </c:pt>
                <c:pt idx="11">
                  <c:v>0.31644349916376074</c:v>
                </c:pt>
                <c:pt idx="12">
                  <c:v>0.31257382925086952</c:v>
                </c:pt>
                <c:pt idx="13">
                  <c:v>0.30839372893519928</c:v>
                </c:pt>
                <c:pt idx="14">
                  <c:v>0.30390250249992273</c:v>
                </c:pt>
                <c:pt idx="15">
                  <c:v>0.29882400648255003</c:v>
                </c:pt>
                <c:pt idx="16">
                  <c:v>0.29326665675753993</c:v>
                </c:pt>
                <c:pt idx="17">
                  <c:v>0.28722991546756282</c:v>
                </c:pt>
                <c:pt idx="18">
                  <c:v>0.2807133705822476</c:v>
                </c:pt>
                <c:pt idx="19">
                  <c:v>0.27371802924985927</c:v>
                </c:pt>
                <c:pt idx="20">
                  <c:v>0.26624546830137424</c:v>
                </c:pt>
                <c:pt idx="21">
                  <c:v>0.25829625299025</c:v>
                </c:pt>
                <c:pt idx="22">
                  <c:v>0.24987097448891679</c:v>
                </c:pt>
                <c:pt idx="23">
                  <c:v>0.24079173630726922</c:v>
                </c:pt>
                <c:pt idx="24">
                  <c:v>0.23125252188523437</c:v>
                </c:pt>
                <c:pt idx="25">
                  <c:v>0.22125398153112297</c:v>
                </c:pt>
                <c:pt idx="26">
                  <c:v>0.21079676960374241</c:v>
                </c:pt>
                <c:pt idx="27">
                  <c:v>0.1998815397344931</c:v>
                </c:pt>
                <c:pt idx="28">
                  <c:v>0.18850894005344165</c:v>
                </c:pt>
                <c:pt idx="29">
                  <c:v>0.1769460898761992</c:v>
                </c:pt>
                <c:pt idx="30">
                  <c:v>0.1654695040017333</c:v>
                </c:pt>
                <c:pt idx="31">
                  <c:v>0.15407972856966937</c:v>
                </c:pt>
                <c:pt idx="32">
                  <c:v>0.14277725625846452</c:v>
                </c:pt>
                <c:pt idx="33">
                  <c:v>0.13156252720944053</c:v>
                </c:pt>
                <c:pt idx="34">
                  <c:v>0.12043592995139145</c:v>
                </c:pt>
                <c:pt idx="35">
                  <c:v>0.10939780232497394</c:v>
                </c:pt>
                <c:pt idx="36">
                  <c:v>9.844843240683554E-2</c:v>
                </c:pt>
                <c:pt idx="37">
                  <c:v>8.8024053623156129E-2</c:v>
                </c:pt>
                <c:pt idx="38">
                  <c:v>7.8303217592998922E-2</c:v>
                </c:pt>
                <c:pt idx="39">
                  <c:v>6.9285929496177109E-2</c:v>
                </c:pt>
                <c:pt idx="40">
                  <c:v>6.0972147316421636E-2</c:v>
                </c:pt>
                <c:pt idx="41">
                  <c:v>5.3361789226142854E-2</c:v>
                </c:pt>
                <c:pt idx="42">
                  <c:v>4.6454740970680641E-2</c:v>
                </c:pt>
                <c:pt idx="43">
                  <c:v>4.0411601619060759E-2</c:v>
                </c:pt>
                <c:pt idx="44">
                  <c:v>3.4965938231088851E-2</c:v>
                </c:pt>
                <c:pt idx="45">
                  <c:v>3.0117605747811832E-2</c:v>
                </c:pt>
                <c:pt idx="46">
                  <c:v>2.5866453410090095E-2</c:v>
                </c:pt>
                <c:pt idx="47">
                  <c:v>2.2212331033267394E-2</c:v>
                </c:pt>
                <c:pt idx="48">
                  <c:v>1.9155095281488895E-2</c:v>
                </c:pt>
                <c:pt idx="49">
                  <c:v>1.6694615942244504E-2</c:v>
                </c:pt>
                <c:pt idx="50">
                  <c:v>1.4830782200788997E-2</c:v>
                </c:pt>
                <c:pt idx="51">
                  <c:v>1.3554638993783737E-2</c:v>
                </c:pt>
                <c:pt idx="52">
                  <c:v>1.2430430858308743E-2</c:v>
                </c:pt>
                <c:pt idx="53">
                  <c:v>1.1458078917699011E-2</c:v>
                </c:pt>
                <c:pt idx="54">
                  <c:v>1.0637569862191281E-2</c:v>
                </c:pt>
                <c:pt idx="55">
                  <c:v>9.9688936960304342E-3</c:v>
                </c:pt>
                <c:pt idx="56">
                  <c:v>9.4520432654223319E-3</c:v>
                </c:pt>
                <c:pt idx="57">
                  <c:v>9.0881701976069321E-3</c:v>
                </c:pt>
                <c:pt idx="58">
                  <c:v>8.7165914848645453E-3</c:v>
                </c:pt>
                <c:pt idx="59">
                  <c:v>8.3373031267268555E-3</c:v>
                </c:pt>
                <c:pt idx="60">
                  <c:v>7.9503015499506752E-3</c:v>
                </c:pt>
                <c:pt idx="61">
                  <c:v>7.5555836325046687E-3</c:v>
                </c:pt>
                <c:pt idx="62">
                  <c:v>7.1531467275463383E-3</c:v>
                </c:pt>
                <c:pt idx="63">
                  <c:v>6.7429886874183819E-3</c:v>
                </c:pt>
                <c:pt idx="64">
                  <c:v>6.3251078876200434E-3</c:v>
                </c:pt>
                <c:pt idx="65">
                  <c:v>5.9172400923868653E-3</c:v>
                </c:pt>
                <c:pt idx="66">
                  <c:v>5.5282551769821843E-3</c:v>
                </c:pt>
                <c:pt idx="67">
                  <c:v>5.1581532232577963E-3</c:v>
                </c:pt>
                <c:pt idx="68">
                  <c:v>4.8069346005956614E-3</c:v>
                </c:pt>
                <c:pt idx="69">
                  <c:v>4.4745999071476514E-3</c:v>
                </c:pt>
                <c:pt idx="70">
                  <c:v>4.1611499110971633E-3</c:v>
                </c:pt>
                <c:pt idx="71">
                  <c:v>3.8861025614001597E-3</c:v>
                </c:pt>
                <c:pt idx="72">
                  <c:v>3.6483016696203137E-3</c:v>
                </c:pt>
                <c:pt idx="73">
                  <c:v>3.4477471142426741E-3</c:v>
                </c:pt>
                <c:pt idx="74">
                  <c:v>3.2844382654087976E-3</c:v>
                </c:pt>
                <c:pt idx="75">
                  <c:v>3.1583738690860821E-3</c:v>
                </c:pt>
                <c:pt idx="76">
                  <c:v>3.0695519312280988E-3</c:v>
                </c:pt>
                <c:pt idx="77">
                  <c:v>3.0179696019439297E-3</c:v>
                </c:pt>
                <c:pt idx="78">
                  <c:v>3.0036231434717223E-3</c:v>
                </c:pt>
                <c:pt idx="79">
                  <c:v>3.0325947358881534E-3</c:v>
                </c:pt>
                <c:pt idx="80">
                  <c:v>3.08715302219404E-3</c:v>
                </c:pt>
                <c:pt idx="81">
                  <c:v>3.1672941105389215E-3</c:v>
                </c:pt>
                <c:pt idx="82">
                  <c:v>3.2730139880548692E-3</c:v>
                </c:pt>
                <c:pt idx="83">
                  <c:v>3.4043084519585903E-3</c:v>
                </c:pt>
                <c:pt idx="84">
                  <c:v>3.5611730406629725E-3</c:v>
                </c:pt>
                <c:pt idx="85">
                  <c:v>3.7253859937611271E-3</c:v>
                </c:pt>
                <c:pt idx="86">
                  <c:v>3.8774372716669655E-3</c:v>
                </c:pt>
                <c:pt idx="87">
                  <c:v>4.0173266883480946E-3</c:v>
                </c:pt>
                <c:pt idx="88">
                  <c:v>4.1450540409878299E-3</c:v>
                </c:pt>
                <c:pt idx="89">
                  <c:v>4.2606191426827608E-3</c:v>
                </c:pt>
                <c:pt idx="90">
                  <c:v>4.3640218551329801E-3</c:v>
                </c:pt>
                <c:pt idx="91">
                  <c:v>4.4552621213457969E-3</c:v>
                </c:pt>
                <c:pt idx="92">
                  <c:v>4.5343399983303577E-3</c:v>
                </c:pt>
                <c:pt idx="93">
                  <c:v>4.5863659477686598E-3</c:v>
                </c:pt>
                <c:pt idx="94">
                  <c:v>4.6052708590875787E-3</c:v>
                </c:pt>
                <c:pt idx="95">
                  <c:v>4.5910600713559803E-3</c:v>
                </c:pt>
                <c:pt idx="96">
                  <c:v>4.5437397323780391E-3</c:v>
                </c:pt>
                <c:pt idx="97">
                  <c:v>4.4633168878866827E-3</c:v>
                </c:pt>
                <c:pt idx="98">
                  <c:v>4.3497995707026281E-3</c:v>
                </c:pt>
                <c:pt idx="99">
                  <c:v>4.2107749249270044E-3</c:v>
                </c:pt>
                <c:pt idx="100">
                  <c:v>4.0644496511875149E-3</c:v>
                </c:pt>
                <c:pt idx="101">
                  <c:v>3.9108272020112718E-3</c:v>
                </c:pt>
                <c:pt idx="102">
                  <c:v>3.7499114412924499E-3</c:v>
                </c:pt>
                <c:pt idx="103">
                  <c:v>3.5817066639485368E-3</c:v>
                </c:pt>
                <c:pt idx="104">
                  <c:v>3.4062176156520862E-3</c:v>
                </c:pt>
                <c:pt idx="105">
                  <c:v>3.2234495124923018E-3</c:v>
                </c:pt>
                <c:pt idx="106">
                  <c:v>3.033408060674583E-3</c:v>
                </c:pt>
                <c:pt idx="107">
                  <c:v>2.8415053015516945E-3</c:v>
                </c:pt>
                <c:pt idx="108">
                  <c:v>2.6626117822911356E-3</c:v>
                </c:pt>
                <c:pt idx="109">
                  <c:v>2.4967250440322449E-3</c:v>
                </c:pt>
                <c:pt idx="110">
                  <c:v>2.343847808348946E-3</c:v>
                </c:pt>
                <c:pt idx="111">
                  <c:v>2.2039811266444565E-3</c:v>
                </c:pt>
                <c:pt idx="112">
                  <c:v>2.0771195880914077E-3</c:v>
                </c:pt>
                <c:pt idx="113">
                  <c:v>1.9634296453039796E-3</c:v>
                </c:pt>
                <c:pt idx="114">
                  <c:v>1.8553433850441419E-3</c:v>
                </c:pt>
                <c:pt idx="115">
                  <c:v>1.7528588164240112E-3</c:v>
                </c:pt>
                <c:pt idx="116">
                  <c:v>1.6559738816383362E-3</c:v>
                </c:pt>
                <c:pt idx="117">
                  <c:v>1.5646864457420898E-3</c:v>
                </c:pt>
                <c:pt idx="118">
                  <c:v>1.4789942864119707E-3</c:v>
                </c:pt>
                <c:pt idx="119">
                  <c:v>1.3988950837125938E-3</c:v>
                </c:pt>
                <c:pt idx="120">
                  <c:v>1.3243864098608507E-3</c:v>
                </c:pt>
                <c:pt idx="121">
                  <c:v>1.2572177335358247E-3</c:v>
                </c:pt>
                <c:pt idx="122">
                  <c:v>1.1919943844977182E-3</c:v>
                </c:pt>
                <c:pt idx="123">
                  <c:v>1.1287159798492087E-3</c:v>
                </c:pt>
                <c:pt idx="124">
                  <c:v>1.0673821169940477E-3</c:v>
                </c:pt>
                <c:pt idx="125">
                  <c:v>1.007992370106541E-3</c:v>
                </c:pt>
                <c:pt idx="126">
                  <c:v>9.5054628658738504E-4</c:v>
                </c:pt>
                <c:pt idx="127">
                  <c:v>8.9613105214730957E-4</c:v>
                </c:pt>
                <c:pt idx="128">
                  <c:v>8.4457380798549019E-4</c:v>
                </c:pt>
                <c:pt idx="129">
                  <c:v>7.9587325120219663E-4</c:v>
                </c:pt>
                <c:pt idx="130">
                  <c:v>7.5002799824166935E-4</c:v>
                </c:pt>
                <c:pt idx="131">
                  <c:v>7.0703657965822276E-4</c:v>
                </c:pt>
                <c:pt idx="132">
                  <c:v>6.6689743489015737E-4</c:v>
                </c:pt>
                <c:pt idx="133">
                  <c:v>6.2960890703705899E-4</c:v>
                </c:pt>
                <c:pt idx="134">
                  <c:v>5.9516923763345783E-4</c:v>
                </c:pt>
                <c:pt idx="135">
                  <c:v>5.6407362309213996E-4</c:v>
                </c:pt>
                <c:pt idx="136">
                  <c:v>5.3457457650759135E-4</c:v>
                </c:pt>
                <c:pt idx="137">
                  <c:v>5.0667121492537024E-4</c:v>
                </c:pt>
                <c:pt idx="138">
                  <c:v>4.803625967955685E-4</c:v>
                </c:pt>
                <c:pt idx="139">
                  <c:v>4.5564771906192865E-4</c:v>
                </c:pt>
                <c:pt idx="140">
                  <c:v>4.3252551422751448E-4</c:v>
                </c:pt>
                <c:pt idx="141">
                  <c:v>4.1119317092973994E-4</c:v>
                </c:pt>
                <c:pt idx="142">
                  <c:v>3.905648682296578E-4</c:v>
                </c:pt>
                <c:pt idx="143">
                  <c:v>3.7063922177135153E-4</c:v>
                </c:pt>
                <c:pt idx="144">
                  <c:v>3.5141686662503851E-4</c:v>
                </c:pt>
                <c:pt idx="145">
                  <c:v>3.3289828048258023E-4</c:v>
                </c:pt>
                <c:pt idx="146">
                  <c:v>3.150837914752571E-4</c:v>
                </c:pt>
                <c:pt idx="147">
                  <c:v>2.9797358600150344E-4</c:v>
                </c:pt>
                <c:pt idx="148">
                  <c:v>2.8156771654748176E-4</c:v>
                </c:pt>
                <c:pt idx="149">
                  <c:v>2.6646640969631787E-4</c:v>
                </c:pt>
                <c:pt idx="150">
                  <c:v>2.5217449833972965E-4</c:v>
                </c:pt>
                <c:pt idx="151">
                  <c:v>2.3869150553328558E-4</c:v>
                </c:pt>
                <c:pt idx="152">
                  <c:v>2.2601684949082805E-4</c:v>
                </c:pt>
                <c:pt idx="153">
                  <c:v>2.1414985260431667E-4</c:v>
                </c:pt>
                <c:pt idx="154">
                  <c:v>2.0308975046485358E-4</c:v>
                </c:pt>
                <c:pt idx="155">
                  <c:v>1.9335902490534961E-4</c:v>
                </c:pt>
                <c:pt idx="156">
                  <c:v>1.8475900425257293E-4</c:v>
                </c:pt>
                <c:pt idx="157">
                  <c:v>1.7728819551433294E-4</c:v>
                </c:pt>
                <c:pt idx="158">
                  <c:v>1.7094505543037818E-4</c:v>
                </c:pt>
                <c:pt idx="159">
                  <c:v>1.65728003192219E-4</c:v>
                </c:pt>
                <c:pt idx="160">
                  <c:v>1.6163543316476058E-4</c:v>
                </c:pt>
                <c:pt idx="161">
                  <c:v>1.5866572760628043E-4</c:v>
                </c:pt>
                <c:pt idx="162">
                  <c:v>1.5681726938920234E-4</c:v>
                </c:pt>
                <c:pt idx="163">
                  <c:v>1.5592314937902689E-4</c:v>
                </c:pt>
                <c:pt idx="164">
                  <c:v>1.5538640975973762E-4</c:v>
                </c:pt>
                <c:pt idx="165">
                  <c:v>1.5520666926364336E-4</c:v>
                </c:pt>
                <c:pt idx="166">
                  <c:v>1.5538356026513253E-4</c:v>
                </c:pt>
                <c:pt idx="167">
                  <c:v>1.5591673283043702E-4</c:v>
                </c:pt>
                <c:pt idx="168">
                  <c:v>1.5680585877154591E-4</c:v>
                </c:pt>
                <c:pt idx="169">
                  <c:v>1.5788582049089023E-4</c:v>
                </c:pt>
                <c:pt idx="170">
                  <c:v>1.5863723936503931E-4</c:v>
                </c:pt>
                <c:pt idx="171">
                  <c:v>1.5906078137841936E-4</c:v>
                </c:pt>
                <c:pt idx="172">
                  <c:v>1.5915708811942107E-4</c:v>
                </c:pt>
                <c:pt idx="173">
                  <c:v>1.5892541391312936E-4</c:v>
                </c:pt>
                <c:pt idx="174">
                  <c:v>1.5836492894390214E-4</c:v>
                </c:pt>
                <c:pt idx="175">
                  <c:v>1.5747612763855772E-4</c:v>
                </c:pt>
                <c:pt idx="176">
                  <c:v>1.5625950261222125E-4</c:v>
                </c:pt>
                <c:pt idx="177">
                  <c:v>1.552333287777485E-4</c:v>
                </c:pt>
                <c:pt idx="178">
                  <c:v>1.5456161971469072E-4</c:v>
                </c:pt>
                <c:pt idx="179">
                  <c:v>1.542440036175066E-4</c:v>
                </c:pt>
                <c:pt idx="180">
                  <c:v>1.5428011256377703E-4</c:v>
                </c:pt>
                <c:pt idx="181">
                  <c:v>1.5466958424850758E-4</c:v>
                </c:pt>
                <c:pt idx="182">
                  <c:v>1.5541206371955823E-4</c:v>
                </c:pt>
                <c:pt idx="183">
                  <c:v>1.5709787711381225E-4</c:v>
                </c:pt>
                <c:pt idx="184">
                  <c:v>1.5988975976673694E-4</c:v>
                </c:pt>
                <c:pt idx="185">
                  <c:v>1.6378650637972482E-4</c:v>
                </c:pt>
                <c:pt idx="186">
                  <c:v>1.6878695281279601E-4</c:v>
                </c:pt>
                <c:pt idx="187">
                  <c:v>1.7488998153219513E-4</c:v>
                </c:pt>
                <c:pt idx="188">
                  <c:v>1.8209452705894545E-4</c:v>
                </c:pt>
                <c:pt idx="189">
                  <c:v>1.9039958141295042E-4</c:v>
                </c:pt>
                <c:pt idx="190">
                  <c:v>1.9980419956337555E-4</c:v>
                </c:pt>
                <c:pt idx="191">
                  <c:v>2.1050138614127009E-4</c:v>
                </c:pt>
                <c:pt idx="192">
                  <c:v>2.2197536948831125E-4</c:v>
                </c:pt>
                <c:pt idx="193">
                  <c:v>2.3422575494889608E-4</c:v>
                </c:pt>
                <c:pt idx="194">
                  <c:v>2.4725221440806199E-4</c:v>
                </c:pt>
                <c:pt idx="195">
                  <c:v>2.6105449015845656E-4</c:v>
                </c:pt>
                <c:pt idx="196">
                  <c:v>2.7563239875995983E-4</c:v>
                </c:pt>
                <c:pt idx="197">
                  <c:v>2.9146983904469281E-4</c:v>
                </c:pt>
                <c:pt idx="198">
                  <c:v>3.0797878798469077E-4</c:v>
                </c:pt>
                <c:pt idx="199">
                  <c:v>3.2515941013487793E-4</c:v>
                </c:pt>
                <c:pt idx="200">
                  <c:v>3.4301195286737777E-4</c:v>
                </c:pt>
                <c:pt idx="201">
                  <c:v>3.6153674971894906E-4</c:v>
                </c:pt>
                <c:pt idx="202">
                  <c:v>3.8073422373940887E-4</c:v>
                </c:pt>
                <c:pt idx="203">
                  <c:v>4.0060489084711568E-4</c:v>
                </c:pt>
                <c:pt idx="204">
                  <c:v>4.2114879564967731E-4</c:v>
                </c:pt>
                <c:pt idx="205">
                  <c:v>4.4342043257374839E-4</c:v>
                </c:pt>
                <c:pt idx="206">
                  <c:v>4.6722637427961989E-4</c:v>
                </c:pt>
                <c:pt idx="207">
                  <c:v>4.9256649381047781E-4</c:v>
                </c:pt>
                <c:pt idx="208">
                  <c:v>5.1944074398257241E-4</c:v>
                </c:pt>
                <c:pt idx="209">
                  <c:v>5.4784915339985748E-4</c:v>
                </c:pt>
                <c:pt idx="210">
                  <c:v>5.7779182248298637E-4</c:v>
                </c:pt>
                <c:pt idx="211">
                  <c:v>6.1096385403381812E-4</c:v>
                </c:pt>
                <c:pt idx="212">
                  <c:v>6.4688230578418442E-4</c:v>
                </c:pt>
                <c:pt idx="213">
                  <c:v>6.8554713129244697E-4</c:v>
                </c:pt>
                <c:pt idx="214">
                  <c:v>7.2695840814898975E-4</c:v>
                </c:pt>
                <c:pt idx="215">
                  <c:v>7.711163308570043E-4</c:v>
                </c:pt>
                <c:pt idx="216">
                  <c:v>8.1802120371144132E-4</c:v>
                </c:pt>
                <c:pt idx="217">
                  <c:v>8.676734336806307E-4</c:v>
                </c:pt>
                <c:pt idx="218">
                  <c:v>9.2007352328448506E-4</c:v>
                </c:pt>
                <c:pt idx="219">
                  <c:v>9.7538814327606147E-4</c:v>
                </c:pt>
                <c:pt idx="220">
                  <c:v>1.0325649829972963E-3</c:v>
                </c:pt>
                <c:pt idx="221">
                  <c:v>1.0916048918962762E-3</c:v>
                </c:pt>
                <c:pt idx="222">
                  <c:v>1.152508746169756E-3</c:v>
                </c:pt>
                <c:pt idx="223">
                  <c:v>1.2152774439567486E-3</c:v>
                </c:pt>
                <c:pt idx="224">
                  <c:v>1.2799119005115444E-3</c:v>
                </c:pt>
                <c:pt idx="225">
                  <c:v>1.3516250681530877E-3</c:v>
                </c:pt>
                <c:pt idx="226">
                  <c:v>1.428724324905484E-3</c:v>
                </c:pt>
                <c:pt idx="227">
                  <c:v>1.5112107495926055E-3</c:v>
                </c:pt>
                <c:pt idx="228">
                  <c:v>1.5990855398803703E-3</c:v>
                </c:pt>
                <c:pt idx="229">
                  <c:v>1.6923499983185111E-3</c:v>
                </c:pt>
                <c:pt idx="230">
                  <c:v>1.7910055184008676E-3</c:v>
                </c:pt>
                <c:pt idx="231">
                  <c:v>1.895053570632952E-3</c:v>
                </c:pt>
                <c:pt idx="232">
                  <c:v>2.0044956885678692E-3</c:v>
                </c:pt>
                <c:pt idx="233">
                  <c:v>2.1266339110242744E-3</c:v>
                </c:pt>
                <c:pt idx="234">
                  <c:v>2.2613046606285193E-3</c:v>
                </c:pt>
                <c:pt idx="235">
                  <c:v>2.4085122471369028E-3</c:v>
                </c:pt>
                <c:pt idx="236">
                  <c:v>2.5682622732525321E-3</c:v>
                </c:pt>
                <c:pt idx="237">
                  <c:v>2.7405597036895108E-3</c:v>
                </c:pt>
                <c:pt idx="238">
                  <c:v>2.9254100271419131E-3</c:v>
                </c:pt>
                <c:pt idx="239">
                  <c:v>3.1084771297839493E-3</c:v>
                </c:pt>
                <c:pt idx="240">
                  <c:v>3.2845495445608572E-3</c:v>
                </c:pt>
                <c:pt idx="241">
                  <c:v>3.4536294329413808E-3</c:v>
                </c:pt>
                <c:pt idx="242">
                  <c:v>3.6157187932396757E-3</c:v>
                </c:pt>
                <c:pt idx="243">
                  <c:v>3.7708194502762255E-3</c:v>
                </c:pt>
                <c:pt idx="244">
                  <c:v>3.9189330450271178E-3</c:v>
                </c:pt>
                <c:pt idx="245">
                  <c:v>4.0600610242398734E-3</c:v>
                </c:pt>
                <c:pt idx="246">
                  <c:v>4.1942046300387781E-3</c:v>
                </c:pt>
                <c:pt idx="247">
                  <c:v>4.3038117914838562E-3</c:v>
                </c:pt>
                <c:pt idx="248">
                  <c:v>4.3815670735079457E-3</c:v>
                </c:pt>
                <c:pt idx="249">
                  <c:v>4.4274604989980168E-3</c:v>
                </c:pt>
                <c:pt idx="250">
                  <c:v>4.4414807030996846E-3</c:v>
                </c:pt>
                <c:pt idx="251">
                  <c:v>4.4236148863774083E-3</c:v>
                </c:pt>
                <c:pt idx="252">
                  <c:v>4.3738487678174984E-3</c:v>
                </c:pt>
                <c:pt idx="253">
                  <c:v>4.2980259123610856E-3</c:v>
                </c:pt>
                <c:pt idx="254">
                  <c:v>4.210500591547317E-3</c:v>
                </c:pt>
                <c:pt idx="255">
                  <c:v>4.1112650878262292E-3</c:v>
                </c:pt>
                <c:pt idx="256">
                  <c:v>4.0003110443399886E-3</c:v>
                </c:pt>
                <c:pt idx="257">
                  <c:v>3.8776294476831341E-3</c:v>
                </c:pt>
                <c:pt idx="258">
                  <c:v>3.7432106106980744E-3</c:v>
                </c:pt>
                <c:pt idx="259">
                  <c:v>3.5970441553118842E-3</c:v>
                </c:pt>
                <c:pt idx="260">
                  <c:v>3.4391189952741237E-3</c:v>
                </c:pt>
                <c:pt idx="261">
                  <c:v>3.2882682017255061E-3</c:v>
                </c:pt>
                <c:pt idx="262">
                  <c:v>3.1620949619002455E-3</c:v>
                </c:pt>
                <c:pt idx="263">
                  <c:v>3.0606143788956537E-3</c:v>
                </c:pt>
                <c:pt idx="264">
                  <c:v>2.9838430127759048E-3</c:v>
                </c:pt>
                <c:pt idx="265">
                  <c:v>2.9318119063065878E-3</c:v>
                </c:pt>
                <c:pt idx="266">
                  <c:v>2.9045466487007308E-3</c:v>
                </c:pt>
                <c:pt idx="267">
                  <c:v>2.9192190867699066E-3</c:v>
                </c:pt>
                <c:pt idx="268">
                  <c:v>2.9699856436805837E-3</c:v>
                </c:pt>
                <c:pt idx="269">
                  <c:v>3.0568809878384791E-3</c:v>
                </c:pt>
                <c:pt idx="270">
                  <c:v>3.1799425668118954E-3</c:v>
                </c:pt>
                <c:pt idx="271">
                  <c:v>3.3392102757963935E-3</c:v>
                </c:pt>
                <c:pt idx="272">
                  <c:v>3.534726126147711E-3</c:v>
                </c:pt>
                <c:pt idx="273">
                  <c:v>3.7665339138804373E-3</c:v>
                </c:pt>
                <c:pt idx="274">
                  <c:v>4.0346788882036954E-3</c:v>
                </c:pt>
                <c:pt idx="275">
                  <c:v>4.3403291772218288E-3</c:v>
                </c:pt>
                <c:pt idx="276">
                  <c:v>4.6645938542011654E-3</c:v>
                </c:pt>
                <c:pt idx="277">
                  <c:v>5.0074982362213498E-3</c:v>
                </c:pt>
                <c:pt idx="278">
                  <c:v>5.3690671530191095E-3</c:v>
                </c:pt>
                <c:pt idx="279">
                  <c:v>5.7493247788635259E-3</c:v>
                </c:pt>
                <c:pt idx="280">
                  <c:v>6.1482944644731712E-3</c:v>
                </c:pt>
                <c:pt idx="281">
                  <c:v>6.5573725999208106E-3</c:v>
                </c:pt>
                <c:pt idx="282">
                  <c:v>6.9593131348060942E-3</c:v>
                </c:pt>
                <c:pt idx="283">
                  <c:v>7.3541019711278743E-3</c:v>
                </c:pt>
                <c:pt idx="284">
                  <c:v>7.7417235140715733E-3</c:v>
                </c:pt>
                <c:pt idx="285">
                  <c:v>8.1221607406239838E-3</c:v>
                </c:pt>
                <c:pt idx="286">
                  <c:v>8.4953952682498314E-3</c:v>
                </c:pt>
                <c:pt idx="287">
                  <c:v>8.8614074235068823E-3</c:v>
                </c:pt>
                <c:pt idx="288">
                  <c:v>9.220176310683682E-3</c:v>
                </c:pt>
                <c:pt idx="289">
                  <c:v>9.7284835543568569E-3</c:v>
                </c:pt>
                <c:pt idx="290">
                  <c:v>1.038537368081585E-2</c:v>
                </c:pt>
                <c:pt idx="291">
                  <c:v>1.1191011985154252E-2</c:v>
                </c:pt>
                <c:pt idx="292">
                  <c:v>1.2145555623387691E-2</c:v>
                </c:pt>
                <c:pt idx="293">
                  <c:v>1.324915226163915E-2</c:v>
                </c:pt>
                <c:pt idx="294">
                  <c:v>1.4501938725295377E-2</c:v>
                </c:pt>
                <c:pt idx="295">
                  <c:v>1.6330194364429364E-2</c:v>
                </c:pt>
                <c:pt idx="296">
                  <c:v>1.8743369153852021E-2</c:v>
                </c:pt>
                <c:pt idx="297">
                  <c:v>2.1742252500770966E-2</c:v>
                </c:pt>
                <c:pt idx="298">
                  <c:v>2.5327544865716034E-2</c:v>
                </c:pt>
                <c:pt idx="299">
                  <c:v>2.9499953681382186E-2</c:v>
                </c:pt>
                <c:pt idx="300">
                  <c:v>3.4260188840970193E-2</c:v>
                </c:pt>
                <c:pt idx="301">
                  <c:v>3.9608958186467431E-2</c:v>
                </c:pt>
                <c:pt idx="302">
                  <c:v>4.5546962996982972E-2</c:v>
                </c:pt>
                <c:pt idx="303">
                  <c:v>5.2336074545040225E-2</c:v>
                </c:pt>
                <c:pt idx="304">
                  <c:v>5.9819545812941799E-2</c:v>
                </c:pt>
                <c:pt idx="305">
                  <c:v>6.799815470373205E-2</c:v>
                </c:pt>
                <c:pt idx="306">
                  <c:v>7.6872652903429886E-2</c:v>
                </c:pt>
                <c:pt idx="307">
                  <c:v>8.6443760571404862E-2</c:v>
                </c:pt>
                <c:pt idx="308">
                  <c:v>9.6712161030174562E-2</c:v>
                </c:pt>
                <c:pt idx="309">
                  <c:v>0.10750309497420352</c:v>
                </c:pt>
                <c:pt idx="310">
                  <c:v>0.1183882891301284</c:v>
                </c:pt>
                <c:pt idx="311">
                  <c:v>0.12936760154344151</c:v>
                </c:pt>
                <c:pt idx="312">
                  <c:v>0.14044085411325721</c:v>
                </c:pt>
                <c:pt idx="313">
                  <c:v>0.15160783192814686</c:v>
                </c:pt>
                <c:pt idx="314">
                  <c:v>0.16286828260095973</c:v>
                </c:pt>
                <c:pt idx="315">
                  <c:v>0.17422191560519792</c:v>
                </c:pt>
                <c:pt idx="316">
                  <c:v>0.18566840160941869</c:v>
                </c:pt>
                <c:pt idx="317">
                  <c:v>0.19693552418623991</c:v>
                </c:pt>
                <c:pt idx="318">
                  <c:v>0.20775997440944916</c:v>
                </c:pt>
                <c:pt idx="319">
                  <c:v>0.21814081668623322</c:v>
                </c:pt>
                <c:pt idx="320">
                  <c:v>0.2280771133424945</c:v>
                </c:pt>
                <c:pt idx="321">
                  <c:v>0.23756792805747215</c:v>
                </c:pt>
                <c:pt idx="322">
                  <c:v>0.24661232929937374</c:v>
                </c:pt>
                <c:pt idx="323">
                  <c:v>0.25501850528459635</c:v>
                </c:pt>
                <c:pt idx="324">
                  <c:v>0.26296166029685863</c:v>
                </c:pt>
                <c:pt idx="325">
                  <c:v>0.27044088370927355</c:v>
                </c:pt>
                <c:pt idx="326">
                  <c:v>0.27745383683170893</c:v>
                </c:pt>
                <c:pt idx="327">
                  <c:v>0.28399905528300623</c:v>
                </c:pt>
                <c:pt idx="328">
                  <c:v>0.29007632110485243</c:v>
                </c:pt>
                <c:pt idx="329">
                  <c:v>0.29568552322884428</c:v>
                </c:pt>
                <c:pt idx="330">
                  <c:v>0.30082664938177545</c:v>
                </c:pt>
                <c:pt idx="331">
                  <c:v>0.30539177012664104</c:v>
                </c:pt>
                <c:pt idx="332">
                  <c:v>0.30965372947219238</c:v>
                </c:pt>
                <c:pt idx="333">
                  <c:v>0.31361280115178802</c:v>
                </c:pt>
                <c:pt idx="334">
                  <c:v>0.31726931249189677</c:v>
                </c:pt>
                <c:pt idx="335">
                  <c:v>0.32062363919478043</c:v>
                </c:pt>
                <c:pt idx="336">
                  <c:v>0.32367620011775122</c:v>
                </c:pt>
                <c:pt idx="337">
                  <c:v>0.32640199494336891</c:v>
                </c:pt>
                <c:pt idx="338">
                  <c:v>0.32899272288958187</c:v>
                </c:pt>
                <c:pt idx="339">
                  <c:v>0.33144891163664486</c:v>
                </c:pt>
                <c:pt idx="340">
                  <c:v>0.33377110921938358</c:v>
                </c:pt>
                <c:pt idx="341">
                  <c:v>0.33595988169979757</c:v>
                </c:pt>
                <c:pt idx="342">
                  <c:v>0.33801581083948334</c:v>
                </c:pt>
                <c:pt idx="343">
                  <c:v>0.33993949176864641</c:v>
                </c:pt>
                <c:pt idx="344">
                  <c:v>0.34173153065952788</c:v>
                </c:pt>
                <c:pt idx="345">
                  <c:v>0.34339254239685585</c:v>
                </c:pt>
                <c:pt idx="346">
                  <c:v>0.34493149545450197</c:v>
                </c:pt>
                <c:pt idx="347">
                  <c:v>0.34634901655252254</c:v>
                </c:pt>
                <c:pt idx="348">
                  <c:v>0.34764573475054777</c:v>
                </c:pt>
                <c:pt idx="349">
                  <c:v>0.3488222792624272</c:v>
                </c:pt>
                <c:pt idx="350">
                  <c:v>0.34987927727769669</c:v>
                </c:pt>
                <c:pt idx="351">
                  <c:v>0.35071758912930434</c:v>
                </c:pt>
                <c:pt idx="352">
                  <c:v>0.35136326856207956</c:v>
                </c:pt>
                <c:pt idx="353">
                  <c:v>0.35181688278338147</c:v>
                </c:pt>
                <c:pt idx="354">
                  <c:v>0.35207897745723998</c:v>
                </c:pt>
                <c:pt idx="355">
                  <c:v>0.35215007321178393</c:v>
                </c:pt>
                <c:pt idx="356">
                  <c:v>0.35203086628889008</c:v>
                </c:pt>
                <c:pt idx="357">
                  <c:v>0.35172115862809811</c:v>
                </c:pt>
                <c:pt idx="358">
                  <c:v>0.3512200107485321</c:v>
                </c:pt>
                <c:pt idx="359">
                  <c:v>0.35052645820641454</c:v>
                </c:pt>
                <c:pt idx="360">
                  <c:v>0.34961398963121021</c:v>
                </c:pt>
                <c:pt idx="361">
                  <c:v>0.34858157931833117</c:v>
                </c:pt>
                <c:pt idx="362">
                  <c:v>0.34742829184694468</c:v>
                </c:pt>
                <c:pt idx="363">
                  <c:v>0.34615319032468922</c:v>
                </c:pt>
                <c:pt idx="364">
                  <c:v>0.34475533908799244</c:v>
                </c:pt>
                <c:pt idx="365">
                  <c:v>0.34323380639873236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0.38835499484754754</c:v>
                </c:pt>
                <c:pt idx="1">
                  <c:v>0.38654496403120647</c:v>
                </c:pt>
                <c:pt idx="2">
                  <c:v>0.38459601448483199</c:v>
                </c:pt>
                <c:pt idx="3">
                  <c:v>0.38250712776753759</c:v>
                </c:pt>
                <c:pt idx="4">
                  <c:v>0.38027730164013068</c:v>
                </c:pt>
                <c:pt idx="5">
                  <c:v>0.37790555304848888</c:v>
                </c:pt>
                <c:pt idx="6">
                  <c:v>0.37539092111099653</c:v>
                </c:pt>
                <c:pt idx="7">
                  <c:v>0.37273247009879823</c:v>
                </c:pt>
                <c:pt idx="8">
                  <c:v>0.36992929242055705</c:v>
                </c:pt>
                <c:pt idx="9">
                  <c:v>0.36683222861951004</c:v>
                </c:pt>
                <c:pt idx="10">
                  <c:v>0.36348886402467162</c:v>
                </c:pt>
                <c:pt idx="11">
                  <c:v>0.35989829529645939</c:v>
                </c:pt>
                <c:pt idx="12">
                  <c:v>0.35605967020999135</c:v>
                </c:pt>
                <c:pt idx="13">
                  <c:v>0.35197219276974906</c:v>
                </c:pt>
                <c:pt idx="14">
                  <c:v>0.34763512831919935</c:v>
                </c:pt>
                <c:pt idx="15">
                  <c:v>0.34280263808584288</c:v>
                </c:pt>
                <c:pt idx="16">
                  <c:v>0.33756525920282149</c:v>
                </c:pt>
                <c:pt idx="17">
                  <c:v>0.33192239070459045</c:v>
                </c:pt>
                <c:pt idx="18">
                  <c:v>0.32587354237563809</c:v>
                </c:pt>
                <c:pt idx="19">
                  <c:v>0.31941984078302821</c:v>
                </c:pt>
                <c:pt idx="20">
                  <c:v>0.31256307357280272</c:v>
                </c:pt>
                <c:pt idx="21">
                  <c:v>0.30530384719613468</c:v>
                </c:pt>
                <c:pt idx="22">
                  <c:v>0.29764278739453559</c:v>
                </c:pt>
                <c:pt idx="23">
                  <c:v>0.28930518934044053</c:v>
                </c:pt>
                <c:pt idx="24">
                  <c:v>0.28044041684574023</c:v>
                </c:pt>
                <c:pt idx="25">
                  <c:v>0.27104912430270278</c:v>
                </c:pt>
                <c:pt idx="26">
                  <c:v>0.2611319794430586</c:v>
                </c:pt>
                <c:pt idx="27">
                  <c:v>0.25068965786124792</c:v>
                </c:pt>
                <c:pt idx="28">
                  <c:v>0.23972283754254961</c:v>
                </c:pt>
                <c:pt idx="29">
                  <c:v>0.22831383090094923</c:v>
                </c:pt>
                <c:pt idx="30">
                  <c:v>0.21670881249401486</c:v>
                </c:pt>
                <c:pt idx="31">
                  <c:v>0.20490840278756903</c:v>
                </c:pt>
                <c:pt idx="32">
                  <c:v>0.19291318500248358</c:v>
                </c:pt>
                <c:pt idx="33">
                  <c:v>0.18072370307816699</c:v>
                </c:pt>
                <c:pt idx="34">
                  <c:v>0.16834045963682195</c:v>
                </c:pt>
                <c:pt idx="35">
                  <c:v>0.1557639139474436</c:v>
                </c:pt>
                <c:pt idx="36">
                  <c:v>0.14299447988946121</c:v>
                </c:pt>
                <c:pt idx="37">
                  <c:v>0.13049147722999935</c:v>
                </c:pt>
                <c:pt idx="38">
                  <c:v>0.11853038618044121</c:v>
                </c:pt>
                <c:pt idx="39">
                  <c:v>0.10711130630509187</c:v>
                </c:pt>
                <c:pt idx="40">
                  <c:v>9.6234282023737336E-2</c:v>
                </c:pt>
                <c:pt idx="41">
                  <c:v>8.5899308295389165E-2</c:v>
                </c:pt>
                <c:pt idx="42">
                  <c:v>7.6106336301265731E-2</c:v>
                </c:pt>
                <c:pt idx="43">
                  <c:v>6.7161194201342297E-2</c:v>
                </c:pt>
                <c:pt idx="44">
                  <c:v>5.8982135972554507E-2</c:v>
                </c:pt>
                <c:pt idx="45">
                  <c:v>5.1568977081595434E-2</c:v>
                </c:pt>
                <c:pt idx="46">
                  <c:v>4.4921520649580236E-2</c:v>
                </c:pt>
                <c:pt idx="47">
                  <c:v>3.9039565495218982E-2</c:v>
                </c:pt>
                <c:pt idx="48">
                  <c:v>3.3922914177391079E-2</c:v>
                </c:pt>
                <c:pt idx="49">
                  <c:v>2.9571381038105155E-2</c:v>
                </c:pt>
                <c:pt idx="50">
                  <c:v>2.5984800245244938E-2</c:v>
                </c:pt>
                <c:pt idx="51">
                  <c:v>2.319396919362372E-2</c:v>
                </c:pt>
                <c:pt idx="52">
                  <c:v>2.074010412861341E-2</c:v>
                </c:pt>
                <c:pt idx="53">
                  <c:v>1.8623061357956897E-2</c:v>
                </c:pt>
                <c:pt idx="54">
                  <c:v>1.6842813783354092E-2</c:v>
                </c:pt>
                <c:pt idx="55">
                  <c:v>1.5399341608054257E-2</c:v>
                </c:pt>
                <c:pt idx="56">
                  <c:v>1.4292631289781726E-2</c:v>
                </c:pt>
                <c:pt idx="57">
                  <c:v>1.3515047498158975E-2</c:v>
                </c:pt>
                <c:pt idx="58">
                  <c:v>1.2760781704428478E-2</c:v>
                </c:pt>
                <c:pt idx="59">
                  <c:v>1.2029827830640135E-2</c:v>
                </c:pt>
                <c:pt idx="60">
                  <c:v>1.1322180842771416E-2</c:v>
                </c:pt>
                <c:pt idx="61">
                  <c:v>1.0637836678255149E-2</c:v>
                </c:pt>
                <c:pt idx="62">
                  <c:v>9.9767921734935407E-3</c:v>
                </c:pt>
                <c:pt idx="63">
                  <c:v>9.3390449913995869E-3</c:v>
                </c:pt>
                <c:pt idx="64">
                  <c:v>8.724593548903271E-3</c:v>
                </c:pt>
                <c:pt idx="65">
                  <c:v>8.1587635244341344E-3</c:v>
                </c:pt>
                <c:pt idx="66">
                  <c:v>7.610618347524134E-3</c:v>
                </c:pt>
                <c:pt idx="67">
                  <c:v>7.0801581218620582E-3</c:v>
                </c:pt>
                <c:pt idx="68">
                  <c:v>6.5673834490342746E-3</c:v>
                </c:pt>
                <c:pt idx="69">
                  <c:v>6.0722953734714856E-3</c:v>
                </c:pt>
                <c:pt idx="70">
                  <c:v>5.5948953274255753E-3</c:v>
                </c:pt>
                <c:pt idx="71">
                  <c:v>5.1634965152203768E-3</c:v>
                </c:pt>
                <c:pt idx="72">
                  <c:v>4.7857270913381168E-3</c:v>
                </c:pt>
                <c:pt idx="73">
                  <c:v>4.4615873749606601E-3</c:v>
                </c:pt>
                <c:pt idx="74">
                  <c:v>4.1910769973757915E-3</c:v>
                </c:pt>
                <c:pt idx="75">
                  <c:v>3.9741947352041037E-3</c:v>
                </c:pt>
                <c:pt idx="76">
                  <c:v>3.8109383436142363E-3</c:v>
                </c:pt>
                <c:pt idx="77">
                  <c:v>3.7013043895496151E-3</c:v>
                </c:pt>
                <c:pt idx="78">
                  <c:v>3.6452881866621315E-3</c:v>
                </c:pt>
                <c:pt idx="79">
                  <c:v>3.65399306239469E-3</c:v>
                </c:pt>
                <c:pt idx="80">
                  <c:v>3.7020987267973294E-3</c:v>
                </c:pt>
                <c:pt idx="81">
                  <c:v>3.7895994849649907E-3</c:v>
                </c:pt>
                <c:pt idx="82">
                  <c:v>3.9164894943599813E-3</c:v>
                </c:pt>
                <c:pt idx="83">
                  <c:v>4.0827626587250756E-3</c:v>
                </c:pt>
                <c:pt idx="84">
                  <c:v>4.2884125220079491E-3</c:v>
                </c:pt>
                <c:pt idx="85">
                  <c:v>4.5136871537236846E-3</c:v>
                </c:pt>
                <c:pt idx="86">
                  <c:v>4.7302844304541831E-3</c:v>
                </c:pt>
                <c:pt idx="87">
                  <c:v>4.9382031204428549E-3</c:v>
                </c:pt>
                <c:pt idx="88">
                  <c:v>5.1374418632548014E-3</c:v>
                </c:pt>
                <c:pt idx="89">
                  <c:v>5.3279991930730774E-3</c:v>
                </c:pt>
                <c:pt idx="90">
                  <c:v>5.5098735619857966E-3</c:v>
                </c:pt>
                <c:pt idx="91">
                  <c:v>5.6830633632900017E-3</c:v>
                </c:pt>
                <c:pt idx="92">
                  <c:v>5.8475669547843985E-3</c:v>
                </c:pt>
                <c:pt idx="93">
                  <c:v>5.9765910816342626E-3</c:v>
                </c:pt>
                <c:pt idx="94">
                  <c:v>6.0590502900554873E-3</c:v>
                </c:pt>
                <c:pt idx="95">
                  <c:v>6.0949515423530084E-3</c:v>
                </c:pt>
                <c:pt idx="96">
                  <c:v>6.0843028775052878E-3</c:v>
                </c:pt>
                <c:pt idx="97">
                  <c:v>6.0271135365444111E-3</c:v>
                </c:pt>
                <c:pt idx="98">
                  <c:v>5.9233940878908242E-3</c:v>
                </c:pt>
                <c:pt idx="99">
                  <c:v>5.780622449303806E-3</c:v>
                </c:pt>
                <c:pt idx="100">
                  <c:v>5.6185351779964492E-3</c:v>
                </c:pt>
                <c:pt idx="101">
                  <c:v>5.4371390659375312E-3</c:v>
                </c:pt>
                <c:pt idx="102">
                  <c:v>5.2364417508928675E-3</c:v>
                </c:pt>
                <c:pt idx="103">
                  <c:v>5.0164517684358912E-3</c:v>
                </c:pt>
                <c:pt idx="104">
                  <c:v>4.7771786040633939E-3</c:v>
                </c:pt>
                <c:pt idx="105">
                  <c:v>4.5186327452135444E-3</c:v>
                </c:pt>
                <c:pt idx="106">
                  <c:v>4.2408257333367639E-3</c:v>
                </c:pt>
                <c:pt idx="107">
                  <c:v>3.9547316410875688E-3</c:v>
                </c:pt>
                <c:pt idx="108">
                  <c:v>3.6871086422024927E-3</c:v>
                </c:pt>
                <c:pt idx="109">
                  <c:v>3.4379535873447636E-3</c:v>
                </c:pt>
                <c:pt idx="110">
                  <c:v>3.2072704089252022E-3</c:v>
                </c:pt>
                <c:pt idx="111">
                  <c:v>2.99506054462346E-3</c:v>
                </c:pt>
                <c:pt idx="112">
                  <c:v>2.8013164875340148E-3</c:v>
                </c:pt>
                <c:pt idx="113">
                  <c:v>2.6259096686635573E-3</c:v>
                </c:pt>
                <c:pt idx="114">
                  <c:v>2.4613819844594223E-3</c:v>
                </c:pt>
                <c:pt idx="115">
                  <c:v>2.3077292069437886E-3</c:v>
                </c:pt>
                <c:pt idx="116">
                  <c:v>2.1649469447998552E-3</c:v>
                </c:pt>
                <c:pt idx="117">
                  <c:v>2.0330306234982941E-3</c:v>
                </c:pt>
                <c:pt idx="118">
                  <c:v>1.9119754654023096E-3</c:v>
                </c:pt>
                <c:pt idx="119">
                  <c:v>1.8017764698789495E-3</c:v>
                </c:pt>
                <c:pt idx="120">
                  <c:v>1.7024283934080591E-3</c:v>
                </c:pt>
                <c:pt idx="121">
                  <c:v>1.6162025179121229E-3</c:v>
                </c:pt>
                <c:pt idx="122">
                  <c:v>1.5321605111617287E-3</c:v>
                </c:pt>
                <c:pt idx="123">
                  <c:v>1.4503020930480897E-3</c:v>
                </c:pt>
                <c:pt idx="124">
                  <c:v>1.3706269694009436E-3</c:v>
                </c:pt>
                <c:pt idx="125">
                  <c:v>1.2931348280329064E-3</c:v>
                </c:pt>
                <c:pt idx="126">
                  <c:v>1.2178253347662905E-3</c:v>
                </c:pt>
                <c:pt idx="127">
                  <c:v>1.1465759917181943E-3</c:v>
                </c:pt>
                <c:pt idx="128">
                  <c:v>1.0795053650112659E-3</c:v>
                </c:pt>
                <c:pt idx="129">
                  <c:v>1.01661140772311E-3</c:v>
                </c:pt>
                <c:pt idx="130">
                  <c:v>9.5789194877732515E-4</c:v>
                </c:pt>
                <c:pt idx="131">
                  <c:v>9.0334468528665646E-4</c:v>
                </c:pt>
                <c:pt idx="132">
                  <c:v>8.5296717490613346E-4</c:v>
                </c:pt>
                <c:pt idx="133">
                  <c:v>8.0675682819052706E-4</c:v>
                </c:pt>
                <c:pt idx="134">
                  <c:v>7.647109009471714E-4</c:v>
                </c:pt>
                <c:pt idx="135">
                  <c:v>7.2706830850676493E-4</c:v>
                </c:pt>
                <c:pt idx="136">
                  <c:v>6.9155802535956308E-4</c:v>
                </c:pt>
                <c:pt idx="137">
                  <c:v>6.5817877802931007E-4</c:v>
                </c:pt>
                <c:pt idx="138">
                  <c:v>6.269292118040472E-4</c:v>
                </c:pt>
                <c:pt idx="139">
                  <c:v>5.978078868440059E-4</c:v>
                </c:pt>
                <c:pt idx="140">
                  <c:v>5.7081327425899213E-4</c:v>
                </c:pt>
                <c:pt idx="141">
                  <c:v>5.4603237713627079E-4</c:v>
                </c:pt>
                <c:pt idx="142">
                  <c:v>5.2159187380341717E-4</c:v>
                </c:pt>
                <c:pt idx="143">
                  <c:v>4.9749045100739295E-4</c:v>
                </c:pt>
                <c:pt idx="144">
                  <c:v>4.7372953470119737E-4</c:v>
                </c:pt>
                <c:pt idx="145">
                  <c:v>4.5031041066137821E-4</c:v>
                </c:pt>
                <c:pt idx="146">
                  <c:v>4.27234228198578E-4</c:v>
                </c:pt>
                <c:pt idx="147">
                  <c:v>4.0450200388150612E-4</c:v>
                </c:pt>
                <c:pt idx="148">
                  <c:v>3.821146252512623E-4</c:v>
                </c:pt>
                <c:pt idx="149">
                  <c:v>3.6095681052919081E-4</c:v>
                </c:pt>
                <c:pt idx="150">
                  <c:v>3.4078752328023289E-4</c:v>
                </c:pt>
                <c:pt idx="151">
                  <c:v>3.2160629951673427E-4</c:v>
                </c:pt>
                <c:pt idx="152">
                  <c:v>3.0341253512022144E-4</c:v>
                </c:pt>
                <c:pt idx="153">
                  <c:v>2.8620549683181851E-4</c:v>
                </c:pt>
                <c:pt idx="154">
                  <c:v>2.6998433324426548E-4</c:v>
                </c:pt>
                <c:pt idx="155">
                  <c:v>2.5538752930884544E-4</c:v>
                </c:pt>
                <c:pt idx="156">
                  <c:v>2.4232501432292628E-4</c:v>
                </c:pt>
                <c:pt idx="157">
                  <c:v>2.3079476729652424E-4</c:v>
                </c:pt>
                <c:pt idx="158">
                  <c:v>2.2079469270698147E-4</c:v>
                </c:pt>
                <c:pt idx="159">
                  <c:v>2.1232263774200694E-4</c:v>
                </c:pt>
                <c:pt idx="160">
                  <c:v>2.0537640954506695E-4</c:v>
                </c:pt>
                <c:pt idx="161">
                  <c:v>1.9995379245862636E-4</c:v>
                </c:pt>
                <c:pt idx="162">
                  <c:v>1.960525652684275E-4</c:v>
                </c:pt>
                <c:pt idx="163">
                  <c:v>1.9356781403002279E-4</c:v>
                </c:pt>
                <c:pt idx="164">
                  <c:v>1.916204295502969E-4</c:v>
                </c:pt>
                <c:pt idx="165">
                  <c:v>1.9020977045657137E-4</c:v>
                </c:pt>
                <c:pt idx="166">
                  <c:v>1.8933521055292419E-4</c:v>
                </c:pt>
                <c:pt idx="167">
                  <c:v>1.889961448991059E-4</c:v>
                </c:pt>
                <c:pt idx="168">
                  <c:v>1.8919199589454143E-4</c:v>
                </c:pt>
                <c:pt idx="169">
                  <c:v>1.8981981946272387E-4</c:v>
                </c:pt>
                <c:pt idx="170">
                  <c:v>1.9024468531583273E-4</c:v>
                </c:pt>
                <c:pt idx="171">
                  <c:v>1.9046711199448803E-4</c:v>
                </c:pt>
                <c:pt idx="172">
                  <c:v>1.9048760288220163E-4</c:v>
                </c:pt>
                <c:pt idx="173">
                  <c:v>1.9030501641097356E-4</c:v>
                </c:pt>
                <c:pt idx="174">
                  <c:v>1.8991811880102942E-4</c:v>
                </c:pt>
                <c:pt idx="175">
                  <c:v>1.8932726210055457E-4</c:v>
                </c:pt>
                <c:pt idx="176">
                  <c:v>1.8853279723282242E-4</c:v>
                </c:pt>
                <c:pt idx="177">
                  <c:v>1.8816774932525166E-4</c:v>
                </c:pt>
                <c:pt idx="178">
                  <c:v>1.8833367418115906E-4</c:v>
                </c:pt>
                <c:pt idx="179">
                  <c:v>1.890299989142347E-4</c:v>
                </c:pt>
                <c:pt idx="180">
                  <c:v>1.9025615873518483E-4</c:v>
                </c:pt>
                <c:pt idx="181">
                  <c:v>1.9201159955497366E-4</c:v>
                </c:pt>
                <c:pt idx="182">
                  <c:v>1.9429578058944089E-4</c:v>
                </c:pt>
                <c:pt idx="183">
                  <c:v>1.9797795522706577E-4</c:v>
                </c:pt>
                <c:pt idx="184">
                  <c:v>2.031583307011851E-4</c:v>
                </c:pt>
                <c:pt idx="185">
                  <c:v>2.0983528668209995E-4</c:v>
                </c:pt>
                <c:pt idx="186">
                  <c:v>2.1800726137075752E-4</c:v>
                </c:pt>
                <c:pt idx="187">
                  <c:v>2.2767275888344843E-4</c:v>
                </c:pt>
                <c:pt idx="188">
                  <c:v>2.3883035663779272E-4</c:v>
                </c:pt>
                <c:pt idx="189">
                  <c:v>2.5147871273292955E-4</c:v>
                </c:pt>
                <c:pt idx="190">
                  <c:v>2.6561657333789272E-4</c:v>
                </c:pt>
                <c:pt idx="191">
                  <c:v>2.8132941989769217E-4</c:v>
                </c:pt>
                <c:pt idx="192">
                  <c:v>2.9798711796232474E-4</c:v>
                </c:pt>
                <c:pt idx="193">
                  <c:v>3.1558927131624851E-4</c:v>
                </c:pt>
                <c:pt idx="194">
                  <c:v>3.3413557012478245E-4</c:v>
                </c:pt>
                <c:pt idx="195">
                  <c:v>3.5362579564647702E-4</c:v>
                </c:pt>
                <c:pt idx="196">
                  <c:v>3.7405982493560311E-4</c:v>
                </c:pt>
                <c:pt idx="197">
                  <c:v>3.9567310494428664E-4</c:v>
                </c:pt>
                <c:pt idx="198">
                  <c:v>4.1760028077009328E-4</c:v>
                </c:pt>
                <c:pt idx="199">
                  <c:v>4.3984206615903606E-4</c:v>
                </c:pt>
                <c:pt idx="200">
                  <c:v>4.6239924221450025E-4</c:v>
                </c:pt>
                <c:pt idx="201">
                  <c:v>4.8527265898584189E-4</c:v>
                </c:pt>
                <c:pt idx="202">
                  <c:v>5.0846323705837045E-4</c:v>
                </c:pt>
                <c:pt idx="203">
                  <c:v>5.3197196915277388E-4</c:v>
                </c:pt>
                <c:pt idx="204">
                  <c:v>5.557991727363653E-4</c:v>
                </c:pt>
                <c:pt idx="205">
                  <c:v>5.817657385097973E-4</c:v>
                </c:pt>
                <c:pt idx="206">
                  <c:v>6.0978490938969618E-4</c:v>
                </c:pt>
                <c:pt idx="207">
                  <c:v>6.398563870302251E-4</c:v>
                </c:pt>
                <c:pt idx="208">
                  <c:v>6.7197998368481867E-4</c:v>
                </c:pt>
                <c:pt idx="209">
                  <c:v>7.0615561687810456E-4</c:v>
                </c:pt>
                <c:pt idx="210">
                  <c:v>7.4238330409641797E-4</c:v>
                </c:pt>
                <c:pt idx="211">
                  <c:v>7.8286576874995063E-4</c:v>
                </c:pt>
                <c:pt idx="212">
                  <c:v>8.2736766404324473E-4</c:v>
                </c:pt>
                <c:pt idx="213">
                  <c:v>8.7588870984002629E-4</c:v>
                </c:pt>
                <c:pt idx="214">
                  <c:v>9.2842881585005214E-4</c:v>
                </c:pt>
                <c:pt idx="215">
                  <c:v>9.8498807121192872E-4</c:v>
                </c:pt>
                <c:pt idx="216">
                  <c:v>1.0455667340735786E-3</c:v>
                </c:pt>
                <c:pt idx="217">
                  <c:v>1.1101652211761119E-3</c:v>
                </c:pt>
                <c:pt idx="218">
                  <c:v>1.178784097433345E-3</c:v>
                </c:pt>
                <c:pt idx="219">
                  <c:v>1.2513074665310312E-3</c:v>
                </c:pt>
                <c:pt idx="220">
                  <c:v>1.3259182356743697E-3</c:v>
                </c:pt>
                <c:pt idx="221">
                  <c:v>1.4026175652356813E-3</c:v>
                </c:pt>
                <c:pt idx="222">
                  <c:v>1.4814066346410682E-3</c:v>
                </c:pt>
                <c:pt idx="223">
                  <c:v>1.5622866369858896E-3</c:v>
                </c:pt>
                <c:pt idx="224">
                  <c:v>1.6452587736238255E-3</c:v>
                </c:pt>
                <c:pt idx="225">
                  <c:v>1.7408927032851792E-3</c:v>
                </c:pt>
                <c:pt idx="226">
                  <c:v>1.8469887822689381E-3</c:v>
                </c:pt>
                <c:pt idx="227">
                  <c:v>1.9635485057355692E-3</c:v>
                </c:pt>
                <c:pt idx="228">
                  <c:v>2.0905736451667773E-3</c:v>
                </c:pt>
                <c:pt idx="229">
                  <c:v>2.2280662212478923E-3</c:v>
                </c:pt>
                <c:pt idx="230">
                  <c:v>2.3760284767740834E-3</c:v>
                </c:pt>
                <c:pt idx="231">
                  <c:v>2.5344628495665E-3</c:v>
                </c:pt>
                <c:pt idx="232">
                  <c:v>2.7033719453465146E-3</c:v>
                </c:pt>
                <c:pt idx="233">
                  <c:v>2.8899509359521778E-3</c:v>
                </c:pt>
                <c:pt idx="234">
                  <c:v>3.0943201592544462E-3</c:v>
                </c:pt>
                <c:pt idx="235">
                  <c:v>3.3164858661549816E-3</c:v>
                </c:pt>
                <c:pt idx="236">
                  <c:v>3.5564561405957971E-3</c:v>
                </c:pt>
                <c:pt idx="237">
                  <c:v>3.8142382379339388E-3</c:v>
                </c:pt>
                <c:pt idx="238">
                  <c:v>4.0898401650933469E-3</c:v>
                </c:pt>
                <c:pt idx="239">
                  <c:v>4.3574644156684945E-3</c:v>
                </c:pt>
                <c:pt idx="240">
                  <c:v>4.6065406203527094E-3</c:v>
                </c:pt>
                <c:pt idx="241">
                  <c:v>4.8370698948589181E-3</c:v>
                </c:pt>
                <c:pt idx="242">
                  <c:v>5.0490527962661867E-3</c:v>
                </c:pt>
                <c:pt idx="243">
                  <c:v>5.2424892956533277E-3</c:v>
                </c:pt>
                <c:pt idx="244">
                  <c:v>5.4173787507158294E-3</c:v>
                </c:pt>
                <c:pt idx="245">
                  <c:v>5.5737198783359981E-3</c:v>
                </c:pt>
                <c:pt idx="246">
                  <c:v>5.711510727139768E-3</c:v>
                </c:pt>
                <c:pt idx="247">
                  <c:v>5.8117232002036535E-3</c:v>
                </c:pt>
                <c:pt idx="248">
                  <c:v>5.8671452863728437E-3</c:v>
                </c:pt>
                <c:pt idx="249">
                  <c:v>5.8777617320752784E-3</c:v>
                </c:pt>
                <c:pt idx="250">
                  <c:v>5.8435553012670749E-3</c:v>
                </c:pt>
                <c:pt idx="251">
                  <c:v>5.7645067095813312E-3</c:v>
                </c:pt>
                <c:pt idx="252">
                  <c:v>5.6405945582668785E-3</c:v>
                </c:pt>
                <c:pt idx="253">
                  <c:v>5.4824952902281857E-3</c:v>
                </c:pt>
                <c:pt idx="254">
                  <c:v>5.3160425548293188E-3</c:v>
                </c:pt>
                <c:pt idx="255">
                  <c:v>5.141228618865702E-3</c:v>
                </c:pt>
                <c:pt idx="256">
                  <c:v>4.9580452322245446E-3</c:v>
                </c:pt>
                <c:pt idx="257">
                  <c:v>4.7664836155865966E-3</c:v>
                </c:pt>
                <c:pt idx="258">
                  <c:v>4.5665344481727078E-3</c:v>
                </c:pt>
                <c:pt idx="259">
                  <c:v>4.3581878555398815E-3</c:v>
                </c:pt>
                <c:pt idx="260">
                  <c:v>4.1414333972558922E-3</c:v>
                </c:pt>
                <c:pt idx="261">
                  <c:v>3.9435964206339935E-3</c:v>
                </c:pt>
                <c:pt idx="262">
                  <c:v>3.7837637552569242E-3</c:v>
                </c:pt>
                <c:pt idx="263">
                  <c:v>3.661959473654912E-3</c:v>
                </c:pt>
                <c:pt idx="264">
                  <c:v>3.5782098714076858E-3</c:v>
                </c:pt>
                <c:pt idx="265">
                  <c:v>3.5325591774968798E-3</c:v>
                </c:pt>
                <c:pt idx="266">
                  <c:v>3.5250459463033296E-3</c:v>
                </c:pt>
                <c:pt idx="267">
                  <c:v>3.580194582794613E-3</c:v>
                </c:pt>
                <c:pt idx="268">
                  <c:v>3.687323890610232E-3</c:v>
                </c:pt>
                <c:pt idx="269">
                  <c:v>3.846485828331836E-3</c:v>
                </c:pt>
                <c:pt idx="270">
                  <c:v>4.0577362299981231E-3</c:v>
                </c:pt>
                <c:pt idx="271">
                  <c:v>4.3211343277723543E-3</c:v>
                </c:pt>
                <c:pt idx="272">
                  <c:v>4.6367422746941426E-3</c:v>
                </c:pt>
                <c:pt idx="273">
                  <c:v>5.004624667387503E-3</c:v>
                </c:pt>
                <c:pt idx="274">
                  <c:v>5.4248480688169976E-3</c:v>
                </c:pt>
                <c:pt idx="275">
                  <c:v>5.8900820920518874E-3</c:v>
                </c:pt>
                <c:pt idx="276">
                  <c:v>6.3729130974138114E-3</c:v>
                </c:pt>
                <c:pt idx="277">
                  <c:v>6.8733668374822898E-3</c:v>
                </c:pt>
                <c:pt idx="278">
                  <c:v>7.3914679542999122E-3</c:v>
                </c:pt>
                <c:pt idx="279">
                  <c:v>7.9272398218669937E-3</c:v>
                </c:pt>
                <c:pt idx="280">
                  <c:v>8.48070438869368E-3</c:v>
                </c:pt>
                <c:pt idx="281">
                  <c:v>9.081966554429664E-3</c:v>
                </c:pt>
                <c:pt idx="282">
                  <c:v>9.7064443748717255E-3</c:v>
                </c:pt>
                <c:pt idx="283">
                  <c:v>1.0354161834372926E-2</c:v>
                </c:pt>
                <c:pt idx="284">
                  <c:v>1.1025140758541163E-2</c:v>
                </c:pt>
                <c:pt idx="285">
                  <c:v>1.1719400606806339E-2</c:v>
                </c:pt>
                <c:pt idx="286">
                  <c:v>1.2436958265075257E-2</c:v>
                </c:pt>
                <c:pt idx="287">
                  <c:v>1.3177827838300108E-2</c:v>
                </c:pt>
                <c:pt idx="288">
                  <c:v>1.3942020443078629E-2</c:v>
                </c:pt>
                <c:pt idx="289">
                  <c:v>1.5027970620404311E-2</c:v>
                </c:pt>
                <c:pt idx="290">
                  <c:v>1.6443503285297881E-2</c:v>
                </c:pt>
                <c:pt idx="291">
                  <c:v>1.8188991745835464E-2</c:v>
                </c:pt>
                <c:pt idx="292">
                  <c:v>2.0264791397842166E-2</c:v>
                </c:pt>
                <c:pt idx="293">
                  <c:v>2.2671236728548715E-2</c:v>
                </c:pt>
                <c:pt idx="294">
                  <c:v>2.5408638320205051E-2</c:v>
                </c:pt>
                <c:pt idx="295">
                  <c:v>2.8925876560891628E-2</c:v>
                </c:pt>
                <c:pt idx="296">
                  <c:v>3.3193763531718608E-2</c:v>
                </c:pt>
                <c:pt idx="297">
                  <c:v>3.8213372979458003E-2</c:v>
                </c:pt>
                <c:pt idx="298">
                  <c:v>4.3985613785174495E-2</c:v>
                </c:pt>
                <c:pt idx="299">
                  <c:v>5.0511400143879365E-2</c:v>
                </c:pt>
                <c:pt idx="300">
                  <c:v>5.7791645781345637E-2</c:v>
                </c:pt>
                <c:pt idx="301">
                  <c:v>6.582725817081865E-2</c:v>
                </c:pt>
                <c:pt idx="302">
                  <c:v>7.4619132749819392E-2</c:v>
                </c:pt>
                <c:pt idx="303">
                  <c:v>8.4248160856502774E-2</c:v>
                </c:pt>
                <c:pt idx="304">
                  <c:v>9.4415094361357144E-2</c:v>
                </c:pt>
                <c:pt idx="305">
                  <c:v>0.1051204945883613</c:v>
                </c:pt>
                <c:pt idx="306">
                  <c:v>0.11636488915077788</c:v>
                </c:pt>
                <c:pt idx="307">
                  <c:v>0.12814876786487331</c:v>
                </c:pt>
                <c:pt idx="308">
                  <c:v>0.14047257866277033</c:v>
                </c:pt>
                <c:pt idx="309">
                  <c:v>0.15306617206900711</c:v>
                </c:pt>
                <c:pt idx="310">
                  <c:v>0.16547835032142361</c:v>
                </c:pt>
                <c:pt idx="311">
                  <c:v>0.17770859609630452</c:v>
                </c:pt>
                <c:pt idx="312">
                  <c:v>0.18975636023157857</c:v>
                </c:pt>
                <c:pt idx="313">
                  <c:v>0.20162106319155393</c:v>
                </c:pt>
                <c:pt idx="314">
                  <c:v>0.21330209653026996</c:v>
                </c:pt>
                <c:pt idx="315">
                  <c:v>0.22479882435692633</c:v>
                </c:pt>
                <c:pt idx="316">
                  <c:v>0.23611058479869121</c:v>
                </c:pt>
                <c:pt idx="317">
                  <c:v>0.24699479123761411</c:v>
                </c:pt>
                <c:pt idx="318">
                  <c:v>0.25737004162143223</c:v>
                </c:pt>
                <c:pt idx="319">
                  <c:v>0.26723531449382198</c:v>
                </c:pt>
                <c:pt idx="320">
                  <c:v>0.2765895922660912</c:v>
                </c:pt>
                <c:pt idx="321">
                  <c:v>0.285431865154121</c:v>
                </c:pt>
                <c:pt idx="322">
                  <c:v>0.293761135116478</c:v>
                </c:pt>
                <c:pt idx="323">
                  <c:v>0.30142957889727501</c:v>
                </c:pt>
                <c:pt idx="324">
                  <c:v>0.30870799528935738</c:v>
                </c:pt>
                <c:pt idx="325">
                  <c:v>0.31559552088102721</c:v>
                </c:pt>
                <c:pt idx="326">
                  <c:v>0.32208962639195055</c:v>
                </c:pt>
                <c:pt idx="327">
                  <c:v>0.32818881429509755</c:v>
                </c:pt>
                <c:pt idx="328">
                  <c:v>0.33389301601823801</c:v>
                </c:pt>
                <c:pt idx="329">
                  <c:v>0.33920225687275779</c:v>
                </c:pt>
                <c:pt idx="330">
                  <c:v>0.34411664925232027</c:v>
                </c:pt>
                <c:pt idx="331">
                  <c:v>0.34854603352811692</c:v>
                </c:pt>
                <c:pt idx="332">
                  <c:v>0.35273332082665387</c:v>
                </c:pt>
                <c:pt idx="333">
                  <c:v>0.35667887890237887</c:v>
                </c:pt>
                <c:pt idx="334">
                  <c:v>0.36038312359612634</c:v>
                </c:pt>
                <c:pt idx="335">
                  <c:v>0.36384651469570017</c:v>
                </c:pt>
                <c:pt idx="336">
                  <c:v>0.36706955179255285</c:v>
                </c:pt>
                <c:pt idx="337">
                  <c:v>0.37000459067661601</c:v>
                </c:pt>
                <c:pt idx="338">
                  <c:v>0.37279928402758794</c:v>
                </c:pt>
                <c:pt idx="339">
                  <c:v>0.37545423271379313</c:v>
                </c:pt>
                <c:pt idx="340">
                  <c:v>0.37797005946215001</c:v>
                </c:pt>
                <c:pt idx="341">
                  <c:v>0.38034740644264198</c:v>
                </c:pt>
                <c:pt idx="342">
                  <c:v>0.38258693285258216</c:v>
                </c:pt>
                <c:pt idx="343">
                  <c:v>0.3846893124970176</c:v>
                </c:pt>
                <c:pt idx="344">
                  <c:v>0.38665523137413071</c:v>
                </c:pt>
                <c:pt idx="345">
                  <c:v>0.38848538525727355</c:v>
                </c:pt>
                <c:pt idx="346">
                  <c:v>0.39016908302877501</c:v>
                </c:pt>
                <c:pt idx="347">
                  <c:v>0.39170703085826153</c:v>
                </c:pt>
                <c:pt idx="348">
                  <c:v>0.39309993660838255</c:v>
                </c:pt>
                <c:pt idx="349">
                  <c:v>0.39434850721661591</c:v>
                </c:pt>
                <c:pt idx="350">
                  <c:v>0.39545344608478611</c:v>
                </c:pt>
                <c:pt idx="351">
                  <c:v>0.39631361090706507</c:v>
                </c:pt>
                <c:pt idx="352">
                  <c:v>0.39697786684711334</c:v>
                </c:pt>
                <c:pt idx="353">
                  <c:v>0.39744685966942045</c:v>
                </c:pt>
                <c:pt idx="354">
                  <c:v>0.397721213147399</c:v>
                </c:pt>
                <c:pt idx="355">
                  <c:v>0.39780152549649478</c:v>
                </c:pt>
                <c:pt idx="356">
                  <c:v>0.39768859642637366</c:v>
                </c:pt>
                <c:pt idx="357">
                  <c:v>0.39738221883175662</c:v>
                </c:pt>
                <c:pt idx="358">
                  <c:v>0.3968813512550991</c:v>
                </c:pt>
                <c:pt idx="359">
                  <c:v>0.39618492675575673</c:v>
                </c:pt>
                <c:pt idx="360">
                  <c:v>0.39524354695644454</c:v>
                </c:pt>
                <c:pt idx="361">
                  <c:v>0.3941581415667576</c:v>
                </c:pt>
                <c:pt idx="362">
                  <c:v>0.39292764850362055</c:v>
                </c:pt>
                <c:pt idx="363">
                  <c:v>0.39155100255054509</c:v>
                </c:pt>
                <c:pt idx="364">
                  <c:v>0.39002713859264931</c:v>
                </c:pt>
                <c:pt idx="365">
                  <c:v>0.38835499484754754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0.43538698176360818</c:v>
                </c:pt>
                <c:pt idx="1">
                  <c:v>0.43357101581927227</c:v>
                </c:pt>
                <c:pt idx="2">
                  <c:v>0.4315730812475318</c:v>
                </c:pt>
                <c:pt idx="3">
                  <c:v>0.42939200614311873</c:v>
                </c:pt>
                <c:pt idx="4">
                  <c:v>0.42702663481649844</c:v>
                </c:pt>
                <c:pt idx="5">
                  <c:v>0.42447583170401654</c:v>
                </c:pt>
                <c:pt idx="6">
                  <c:v>0.4217384852826071</c:v>
                </c:pt>
                <c:pt idx="7">
                  <c:v>0.41881351197643335</c:v>
                </c:pt>
                <c:pt idx="8">
                  <c:v>0.415699860068587</c:v>
                </c:pt>
                <c:pt idx="9">
                  <c:v>0.41230284468581385</c:v>
                </c:pt>
                <c:pt idx="10">
                  <c:v>0.40871877664953965</c:v>
                </c:pt>
                <c:pt idx="11">
                  <c:v>0.40494673113641516</c:v>
                </c:pt>
                <c:pt idx="12">
                  <c:v>0.40098583126624426</c:v>
                </c:pt>
                <c:pt idx="13">
                  <c:v>0.39683525193477154</c:v>
                </c:pt>
                <c:pt idx="14">
                  <c:v>0.3924942236407829</c:v>
                </c:pt>
                <c:pt idx="15">
                  <c:v>0.38773254707746746</c:v>
                </c:pt>
                <c:pt idx="16">
                  <c:v>0.38263531412404239</c:v>
                </c:pt>
                <c:pt idx="17">
                  <c:v>0.37720186953973783</c:v>
                </c:pt>
                <c:pt idx="18">
                  <c:v>0.37143165604229128</c:v>
                </c:pt>
                <c:pt idx="19">
                  <c:v>0.36532593407548708</c:v>
                </c:pt>
                <c:pt idx="20">
                  <c:v>0.35888671533122601</c:v>
                </c:pt>
                <c:pt idx="21">
                  <c:v>0.35211465832678684</c:v>
                </c:pt>
                <c:pt idx="22">
                  <c:v>0.3450104339615705</c:v>
                </c:pt>
                <c:pt idx="23">
                  <c:v>0.3372497212763334</c:v>
                </c:pt>
                <c:pt idx="24">
                  <c:v>0.32892711658105217</c:v>
                </c:pt>
                <c:pt idx="25">
                  <c:v>0.32004329074157795</c:v>
                </c:pt>
                <c:pt idx="26">
                  <c:v>0.31059893353416229</c:v>
                </c:pt>
                <c:pt idx="27">
                  <c:v>0.3005947478113935</c:v>
                </c:pt>
                <c:pt idx="28">
                  <c:v>0.2900314436739031</c:v>
                </c:pt>
                <c:pt idx="29">
                  <c:v>0.27884630531109011</c:v>
                </c:pt>
                <c:pt idx="30">
                  <c:v>0.26726985334748643</c:v>
                </c:pt>
                <c:pt idx="31">
                  <c:v>0.25530277167184751</c:v>
                </c:pt>
                <c:pt idx="32">
                  <c:v>0.24294571863229017</c:v>
                </c:pt>
                <c:pt idx="33">
                  <c:v>0.23019932295322029</c:v>
                </c:pt>
                <c:pt idx="34">
                  <c:v>0.21706417965322547</c:v>
                </c:pt>
                <c:pt idx="35">
                  <c:v>0.20354084596266922</c:v>
                </c:pt>
                <c:pt idx="36">
                  <c:v>0.18962983724083729</c:v>
                </c:pt>
                <c:pt idx="37">
                  <c:v>0.17572232020850401</c:v>
                </c:pt>
                <c:pt idx="38">
                  <c:v>0.16214353242974319</c:v>
                </c:pt>
                <c:pt idx="39">
                  <c:v>0.14889367774633053</c:v>
                </c:pt>
                <c:pt idx="40">
                  <c:v>0.13597289999061588</c:v>
                </c:pt>
                <c:pt idx="41">
                  <c:v>0.1233812864273371</c:v>
                </c:pt>
                <c:pt idx="42">
                  <c:v>0.11111887119440152</c:v>
                </c:pt>
                <c:pt idx="43">
                  <c:v>9.9612696186511362E-2</c:v>
                </c:pt>
                <c:pt idx="44">
                  <c:v>8.8925983517055149E-2</c:v>
                </c:pt>
                <c:pt idx="45">
                  <c:v>7.9058541239481486E-2</c:v>
                </c:pt>
                <c:pt idx="46">
                  <c:v>7.0010156045641272E-2</c:v>
                </c:pt>
                <c:pt idx="47">
                  <c:v>6.1780601865718154E-2</c:v>
                </c:pt>
                <c:pt idx="48">
                  <c:v>5.4369648467249156E-2</c:v>
                </c:pt>
                <c:pt idx="49">
                  <c:v>4.7777070054735617E-2</c:v>
                </c:pt>
                <c:pt idx="50">
                  <c:v>4.2002653868919992E-2</c:v>
                </c:pt>
                <c:pt idx="51">
                  <c:v>3.7160418565069457E-2</c:v>
                </c:pt>
                <c:pt idx="52">
                  <c:v>3.2859666221182783E-2</c:v>
                </c:pt>
                <c:pt idx="53">
                  <c:v>2.9100161905332284E-2</c:v>
                </c:pt>
                <c:pt idx="54">
                  <c:v>2.588185951708355E-2</c:v>
                </c:pt>
                <c:pt idx="55">
                  <c:v>2.3204725133750714E-2</c:v>
                </c:pt>
                <c:pt idx="56">
                  <c:v>2.1068735327836558E-2</c:v>
                </c:pt>
                <c:pt idx="57">
                  <c:v>1.9462649836701814E-2</c:v>
                </c:pt>
                <c:pt idx="58">
                  <c:v>1.7959558289166112E-2</c:v>
                </c:pt>
                <c:pt idx="59">
                  <c:v>1.6559451633982626E-2</c:v>
                </c:pt>
                <c:pt idx="60">
                  <c:v>1.5262323156610344E-2</c:v>
                </c:pt>
                <c:pt idx="61">
                  <c:v>1.4068168158997385E-2</c:v>
                </c:pt>
                <c:pt idx="62">
                  <c:v>1.2976983639346027E-2</c:v>
                </c:pt>
                <c:pt idx="63">
                  <c:v>1.198876797191418E-2</c:v>
                </c:pt>
                <c:pt idx="64">
                  <c:v>1.1103520586770358E-2</c:v>
                </c:pt>
                <c:pt idx="65">
                  <c:v>1.0355703294058959E-2</c:v>
                </c:pt>
                <c:pt idx="66">
                  <c:v>9.6311030350532678E-3</c:v>
                </c:pt>
                <c:pt idx="67">
                  <c:v>8.9297200791322081E-3</c:v>
                </c:pt>
                <c:pt idx="68">
                  <c:v>8.2515553555263486E-3</c:v>
                </c:pt>
                <c:pt idx="69">
                  <c:v>7.5966103810451548E-3</c:v>
                </c:pt>
                <c:pt idx="70">
                  <c:v>6.9648871878423895E-3</c:v>
                </c:pt>
                <c:pt idx="71">
                  <c:v>6.3918740789340803E-3</c:v>
                </c:pt>
                <c:pt idx="72">
                  <c:v>5.8887984663977188E-3</c:v>
                </c:pt>
                <c:pt idx="73">
                  <c:v>5.4556609789136526E-3</c:v>
                </c:pt>
                <c:pt idx="74">
                  <c:v>5.0924613610936571E-3</c:v>
                </c:pt>
                <c:pt idx="75">
                  <c:v>4.7991982559975411E-3</c:v>
                </c:pt>
                <c:pt idx="76">
                  <c:v>4.5758689876355153E-3</c:v>
                </c:pt>
                <c:pt idx="77">
                  <c:v>4.4224693434845403E-3</c:v>
                </c:pt>
                <c:pt idx="78">
                  <c:v>4.3389934780664356E-3</c:v>
                </c:pt>
                <c:pt idx="79">
                  <c:v>4.3413637012538718E-3</c:v>
                </c:pt>
                <c:pt idx="80">
                  <c:v>4.3951259727446988E-3</c:v>
                </c:pt>
                <c:pt idx="81">
                  <c:v>4.5002729849478694E-3</c:v>
                </c:pt>
                <c:pt idx="82">
                  <c:v>4.6567972474040329E-3</c:v>
                </c:pt>
                <c:pt idx="83">
                  <c:v>4.8646909484143666E-3</c:v>
                </c:pt>
                <c:pt idx="84">
                  <c:v>5.123945816682904E-3</c:v>
                </c:pt>
                <c:pt idx="85">
                  <c:v>5.4134399982192572E-3</c:v>
                </c:pt>
                <c:pt idx="86">
                  <c:v>5.6976986337075701E-3</c:v>
                </c:pt>
                <c:pt idx="87">
                  <c:v>5.9767194041604977E-3</c:v>
                </c:pt>
                <c:pt idx="88">
                  <c:v>6.2504997471666815E-3</c:v>
                </c:pt>
                <c:pt idx="89">
                  <c:v>6.5190368708989838E-3</c:v>
                </c:pt>
                <c:pt idx="90">
                  <c:v>6.7823277681115348E-3</c:v>
                </c:pt>
                <c:pt idx="91">
                  <c:v>7.040369230157213E-3</c:v>
                </c:pt>
                <c:pt idx="92">
                  <c:v>7.2931578609916684E-3</c:v>
                </c:pt>
                <c:pt idx="93">
                  <c:v>7.5018262637994099E-3</c:v>
                </c:pt>
                <c:pt idx="94">
                  <c:v>7.6504746234018961E-3</c:v>
                </c:pt>
                <c:pt idx="95">
                  <c:v>7.7391114593925864E-3</c:v>
                </c:pt>
                <c:pt idx="96">
                  <c:v>7.7677466333867786E-3</c:v>
                </c:pt>
                <c:pt idx="97">
                  <c:v>7.7363915106169563E-3</c:v>
                </c:pt>
                <c:pt idx="98">
                  <c:v>7.6450591214708317E-3</c:v>
                </c:pt>
                <c:pt idx="99">
                  <c:v>7.5006495218751411E-3</c:v>
                </c:pt>
                <c:pt idx="100">
                  <c:v>7.3242692833100885E-3</c:v>
                </c:pt>
                <c:pt idx="101">
                  <c:v>7.1159286578849337E-3</c:v>
                </c:pt>
                <c:pt idx="102">
                  <c:v>6.8756391985528272E-3</c:v>
                </c:pt>
                <c:pt idx="103">
                  <c:v>6.6034138451963693E-3</c:v>
                </c:pt>
                <c:pt idx="104">
                  <c:v>6.2992670108509745E-3</c:v>
                </c:pt>
                <c:pt idx="105">
                  <c:v>5.963214667800215E-3</c:v>
                </c:pt>
                <c:pt idx="106">
                  <c:v>5.5952744337404098E-3</c:v>
                </c:pt>
                <c:pt idx="107">
                  <c:v>5.212158741546939E-3</c:v>
                </c:pt>
                <c:pt idx="108">
                  <c:v>4.8526837129104572E-3</c:v>
                </c:pt>
                <c:pt idx="109">
                  <c:v>4.5168456733440639E-3</c:v>
                </c:pt>
                <c:pt idx="110">
                  <c:v>4.2046502692036306E-3</c:v>
                </c:pt>
                <c:pt idx="111">
                  <c:v>3.9160998150747717E-3</c:v>
                </c:pt>
                <c:pt idx="112">
                  <c:v>3.6511848743144477E-3</c:v>
                </c:pt>
                <c:pt idx="113">
                  <c:v>3.4094818108690423E-3</c:v>
                </c:pt>
                <c:pt idx="114">
                  <c:v>3.1841100847635061E-3</c:v>
                </c:pt>
                <c:pt idx="115">
                  <c:v>2.9750631698464429E-3</c:v>
                </c:pt>
                <c:pt idx="116">
                  <c:v>2.7823342788197425E-3</c:v>
                </c:pt>
                <c:pt idx="117">
                  <c:v>2.6059163333920134E-3</c:v>
                </c:pt>
                <c:pt idx="118">
                  <c:v>2.4458019344043144E-3</c:v>
                </c:pt>
                <c:pt idx="119">
                  <c:v>2.3019833319639833E-3</c:v>
                </c:pt>
                <c:pt idx="120">
                  <c:v>2.1744523955754629E-3</c:v>
                </c:pt>
                <c:pt idx="121">
                  <c:v>2.0659301305025069E-3</c:v>
                </c:pt>
                <c:pt idx="122">
                  <c:v>1.9597589416724247E-3</c:v>
                </c:pt>
                <c:pt idx="123">
                  <c:v>1.8559387391792071E-3</c:v>
                </c:pt>
                <c:pt idx="124">
                  <c:v>1.7544694296482925E-3</c:v>
                </c:pt>
                <c:pt idx="125">
                  <c:v>1.6553509119892611E-3</c:v>
                </c:pt>
                <c:pt idx="126">
                  <c:v>1.5585830731260971E-3</c:v>
                </c:pt>
                <c:pt idx="127">
                  <c:v>1.4670363362307315E-3</c:v>
                </c:pt>
                <c:pt idx="128">
                  <c:v>1.3811208702183039E-3</c:v>
                </c:pt>
                <c:pt idx="129">
                  <c:v>1.3008338383939202E-3</c:v>
                </c:pt>
                <c:pt idx="130">
                  <c:v>1.2261722333996941E-3</c:v>
                </c:pt>
                <c:pt idx="131">
                  <c:v>1.1571328668938041E-3</c:v>
                </c:pt>
                <c:pt idx="132">
                  <c:v>1.0937123592423212E-3</c:v>
                </c:pt>
                <c:pt idx="133">
                  <c:v>1.035907129216568E-3</c:v>
                </c:pt>
                <c:pt idx="134">
                  <c:v>9.8371338368455547E-4</c:v>
                </c:pt>
                <c:pt idx="135">
                  <c:v>9.3709965503069195E-4</c:v>
                </c:pt>
                <c:pt idx="136">
                  <c:v>8.9334304943343814E-4</c:v>
                </c:pt>
                <c:pt idx="137">
                  <c:v>8.5244177008492921E-4</c:v>
                </c:pt>
                <c:pt idx="138">
                  <c:v>8.1439390840578414E-4</c:v>
                </c:pt>
                <c:pt idx="139">
                  <c:v>7.7919743882556012E-4</c:v>
                </c:pt>
                <c:pt idx="140">
                  <c:v>7.468502135236448E-4</c:v>
                </c:pt>
                <c:pt idx="141">
                  <c:v>7.1731500571853974E-4</c:v>
                </c:pt>
                <c:pt idx="142">
                  <c:v>6.8772911935055016E-4</c:v>
                </c:pt>
                <c:pt idx="143">
                  <c:v>6.5809126642767243E-4</c:v>
                </c:pt>
                <c:pt idx="144">
                  <c:v>6.2840380558953684E-4</c:v>
                </c:pt>
                <c:pt idx="145">
                  <c:v>5.9866896916685507E-4</c:v>
                </c:pt>
                <c:pt idx="146">
                  <c:v>5.6888886247014481E-4</c:v>
                </c:pt>
                <c:pt idx="147">
                  <c:v>5.3906546309626536E-4</c:v>
                </c:pt>
                <c:pt idx="148">
                  <c:v>5.0920062022215577E-4</c:v>
                </c:pt>
                <c:pt idx="149">
                  <c:v>4.8052056954559635E-4</c:v>
                </c:pt>
                <c:pt idx="150">
                  <c:v>4.5305238934007999E-4</c:v>
                </c:pt>
                <c:pt idx="151">
                  <c:v>4.2679563285281767E-4</c:v>
                </c:pt>
                <c:pt idx="152">
                  <c:v>4.0174966933449583E-4</c:v>
                </c:pt>
                <c:pt idx="153">
                  <c:v>3.7791369748713935E-4</c:v>
                </c:pt>
                <c:pt idx="154">
                  <c:v>3.552867589141061E-4</c:v>
                </c:pt>
                <c:pt idx="155">
                  <c:v>3.3465316798939726E-4</c:v>
                </c:pt>
                <c:pt idx="156">
                  <c:v>3.1604515440262061E-4</c:v>
                </c:pt>
                <c:pt idx="157">
                  <c:v>2.9946005968489855E-4</c:v>
                </c:pt>
                <c:pt idx="158">
                  <c:v>2.8489512079321735E-4</c:v>
                </c:pt>
                <c:pt idx="159">
                  <c:v>2.7234749285843683E-4</c:v>
                </c:pt>
                <c:pt idx="160">
                  <c:v>2.618142719363431E-4</c:v>
                </c:pt>
                <c:pt idx="161">
                  <c:v>2.5329251775591872E-4</c:v>
                </c:pt>
                <c:pt idx="162">
                  <c:v>2.4677927646895773E-4</c:v>
                </c:pt>
                <c:pt idx="163">
                  <c:v>2.4225070274037038E-4</c:v>
                </c:pt>
                <c:pt idx="164">
                  <c:v>2.3848891531605605E-4</c:v>
                </c:pt>
                <c:pt idx="165">
                  <c:v>2.3549294179216133E-4</c:v>
                </c:pt>
                <c:pt idx="166">
                  <c:v>2.3326182682409849E-4</c:v>
                </c:pt>
                <c:pt idx="167">
                  <c:v>2.3179464079167638E-4</c:v>
                </c:pt>
                <c:pt idx="168">
                  <c:v>2.310904884705263E-4</c:v>
                </c:pt>
                <c:pt idx="169">
                  <c:v>2.3112767901064464E-4</c:v>
                </c:pt>
                <c:pt idx="170">
                  <c:v>2.3112601484144902E-4</c:v>
                </c:pt>
                <c:pt idx="171">
                  <c:v>2.3108582134949838E-4</c:v>
                </c:pt>
                <c:pt idx="172">
                  <c:v>2.3100742083721144E-4</c:v>
                </c:pt>
                <c:pt idx="173">
                  <c:v>2.3088915752307018E-4</c:v>
                </c:pt>
                <c:pt idx="174">
                  <c:v>2.3072927305062393E-4</c:v>
                </c:pt>
                <c:pt idx="175">
                  <c:v>2.3052793320844109E-4</c:v>
                </c:pt>
                <c:pt idx="176">
                  <c:v>2.30285303557626E-4</c:v>
                </c:pt>
                <c:pt idx="177">
                  <c:v>2.3077865364242808E-4</c:v>
                </c:pt>
                <c:pt idx="178">
                  <c:v>2.3202792953142662E-4</c:v>
                </c:pt>
                <c:pt idx="179">
                  <c:v>2.3403230246495611E-4</c:v>
                </c:pt>
                <c:pt idx="180">
                  <c:v>2.3679095718258879E-4</c:v>
                </c:pt>
                <c:pt idx="181">
                  <c:v>2.4030309563386607E-4</c:v>
                </c:pt>
                <c:pt idx="182">
                  <c:v>2.4456794069072665E-4</c:v>
                </c:pt>
                <c:pt idx="183">
                  <c:v>2.5078961555584459E-4</c:v>
                </c:pt>
                <c:pt idx="184">
                  <c:v>2.5898666043561278E-4</c:v>
                </c:pt>
                <c:pt idx="185">
                  <c:v>2.6915695306377021E-4</c:v>
                </c:pt>
                <c:pt idx="186">
                  <c:v>2.8129845106578778E-4</c:v>
                </c:pt>
                <c:pt idx="187">
                  <c:v>2.9540920170112434E-4</c:v>
                </c:pt>
                <c:pt idx="188">
                  <c:v>3.1148735160719594E-4</c:v>
                </c:pt>
                <c:pt idx="189">
                  <c:v>3.2953115653582389E-4</c:v>
                </c:pt>
                <c:pt idx="190">
                  <c:v>3.4953899110031156E-4</c:v>
                </c:pt>
                <c:pt idx="191">
                  <c:v>3.7147518989799172E-4</c:v>
                </c:pt>
                <c:pt idx="192">
                  <c:v>3.9456585424154636E-4</c:v>
                </c:pt>
                <c:pt idx="193">
                  <c:v>4.188105860344609E-4</c:v>
                </c:pt>
                <c:pt idx="194">
                  <c:v>4.4420909824231022E-4</c:v>
                </c:pt>
                <c:pt idx="195">
                  <c:v>4.7076122065943933E-4</c:v>
                </c:pt>
                <c:pt idx="196">
                  <c:v>4.9846690566254619E-4</c:v>
                </c:pt>
                <c:pt idx="197">
                  <c:v>5.2729950285737234E-4</c:v>
                </c:pt>
                <c:pt idx="198">
                  <c:v>5.560606641846355E-4</c:v>
                </c:pt>
                <c:pt idx="199">
                  <c:v>5.8475174037595022E-4</c:v>
                </c:pt>
                <c:pt idx="200">
                  <c:v>6.1337413486914588E-4</c:v>
                </c:pt>
                <c:pt idx="201">
                  <c:v>6.4192930350329667E-4</c:v>
                </c:pt>
                <c:pt idx="202">
                  <c:v>6.7041875421563026E-4</c:v>
                </c:pt>
                <c:pt idx="203">
                  <c:v>6.9884404675089938E-4</c:v>
                </c:pt>
                <c:pt idx="204">
                  <c:v>7.2720581239685549E-4</c:v>
                </c:pt>
                <c:pt idx="205">
                  <c:v>7.5828770984679719E-4</c:v>
                </c:pt>
                <c:pt idx="206">
                  <c:v>7.9212310783176657E-4</c:v>
                </c:pt>
                <c:pt idx="207">
                  <c:v>8.2871148290943975E-4</c:v>
                </c:pt>
                <c:pt idx="208">
                  <c:v>8.6805246381329822E-4</c:v>
                </c:pt>
                <c:pt idx="209">
                  <c:v>9.1014582430847381E-4</c:v>
                </c:pt>
                <c:pt idx="210">
                  <c:v>9.5499147607163327E-4</c:v>
                </c:pt>
                <c:pt idx="211">
                  <c:v>1.0052300801551557E-3</c:v>
                </c:pt>
                <c:pt idx="212">
                  <c:v>1.0608875305208869E-3</c:v>
                </c:pt>
                <c:pt idx="213">
                  <c:v>1.1219633329391725E-3</c:v>
                </c:pt>
                <c:pt idx="214">
                  <c:v>1.1884572535937777E-3</c:v>
                </c:pt>
                <c:pt idx="215">
                  <c:v>1.2603693050391395E-3</c:v>
                </c:pt>
                <c:pt idx="216">
                  <c:v>1.337699732154588E-3</c:v>
                </c:pt>
                <c:pt idx="217">
                  <c:v>1.4204489981029305E-3</c:v>
                </c:pt>
                <c:pt idx="218">
                  <c:v>1.5086177702834651E-3</c:v>
                </c:pt>
                <c:pt idx="219">
                  <c:v>1.6018074148169217E-3</c:v>
                </c:pt>
                <c:pt idx="220">
                  <c:v>1.6972400679673069E-3</c:v>
                </c:pt>
                <c:pt idx="221">
                  <c:v>1.794917271410021E-3</c:v>
                </c:pt>
                <c:pt idx="222">
                  <c:v>1.894840571429032E-3</c:v>
                </c:pt>
                <c:pt idx="223">
                  <c:v>1.9970115131364204E-3</c:v>
                </c:pt>
                <c:pt idx="224">
                  <c:v>2.1014316346581081E-3</c:v>
                </c:pt>
                <c:pt idx="225">
                  <c:v>2.2241970925335947E-3</c:v>
                </c:pt>
                <c:pt idx="226">
                  <c:v>2.3626708701232797E-3</c:v>
                </c:pt>
                <c:pt idx="227">
                  <c:v>2.5168549176593827E-3</c:v>
                </c:pt>
                <c:pt idx="228">
                  <c:v>2.6867516219351993E-3</c:v>
                </c:pt>
                <c:pt idx="229">
                  <c:v>2.8723637655875974E-3</c:v>
                </c:pt>
                <c:pt idx="230">
                  <c:v>3.0736944864099189E-3</c:v>
                </c:pt>
                <c:pt idx="231">
                  <c:v>3.2907472366778706E-3</c:v>
                </c:pt>
                <c:pt idx="232">
                  <c:v>3.5235257424212629E-3</c:v>
                </c:pt>
                <c:pt idx="233">
                  <c:v>3.7786669608978825E-3</c:v>
                </c:pt>
                <c:pt idx="234">
                  <c:v>4.0565753528002107E-3</c:v>
                </c:pt>
                <c:pt idx="235">
                  <c:v>4.3572591818548719E-3</c:v>
                </c:pt>
                <c:pt idx="236">
                  <c:v>4.68072911972573E-3</c:v>
                </c:pt>
                <c:pt idx="237">
                  <c:v>5.0269947441295322E-3</c:v>
                </c:pt>
                <c:pt idx="238">
                  <c:v>5.3960666041860802E-3</c:v>
                </c:pt>
                <c:pt idx="239">
                  <c:v>5.7505217137764674E-3</c:v>
                </c:pt>
                <c:pt idx="240">
                  <c:v>6.0742609328549484E-3</c:v>
                </c:pt>
                <c:pt idx="241">
                  <c:v>6.3672842455840166E-3</c:v>
                </c:pt>
                <c:pt idx="242">
                  <c:v>6.6295906596595322E-3</c:v>
                </c:pt>
                <c:pt idx="243">
                  <c:v>6.861178161011768E-3</c:v>
                </c:pt>
                <c:pt idx="244">
                  <c:v>7.0620436684840499E-3</c:v>
                </c:pt>
                <c:pt idx="245">
                  <c:v>7.2321829884499506E-3</c:v>
                </c:pt>
                <c:pt idx="246">
                  <c:v>7.3715907694141582E-3</c:v>
                </c:pt>
                <c:pt idx="247">
                  <c:v>7.4599168831801293E-3</c:v>
                </c:pt>
                <c:pt idx="248">
                  <c:v>7.4905044938361797E-3</c:v>
                </c:pt>
                <c:pt idx="249">
                  <c:v>7.4633330322954007E-3</c:v>
                </c:pt>
                <c:pt idx="250">
                  <c:v>7.3783793503354412E-3</c:v>
                </c:pt>
                <c:pt idx="251">
                  <c:v>7.2356176357242508E-3</c:v>
                </c:pt>
                <c:pt idx="252">
                  <c:v>7.0350193270780044E-3</c:v>
                </c:pt>
                <c:pt idx="253">
                  <c:v>6.7918987838733146E-3</c:v>
                </c:pt>
                <c:pt idx="254">
                  <c:v>6.5437332872456981E-3</c:v>
                </c:pt>
                <c:pt idx="255">
                  <c:v>6.2905150157831257E-3</c:v>
                </c:pt>
                <c:pt idx="256">
                  <c:v>6.032235749880926E-3</c:v>
                </c:pt>
                <c:pt idx="257">
                  <c:v>5.7688868643245928E-3</c:v>
                </c:pt>
                <c:pt idx="258">
                  <c:v>5.5004593209279744E-3</c:v>
                </c:pt>
                <c:pt idx="259">
                  <c:v>5.2269436612303781E-3</c:v>
                </c:pt>
                <c:pt idx="260">
                  <c:v>4.9483299990468734E-3</c:v>
                </c:pt>
                <c:pt idx="261">
                  <c:v>4.6988716747125804E-3</c:v>
                </c:pt>
                <c:pt idx="262">
                  <c:v>4.4989832516292823E-3</c:v>
                </c:pt>
                <c:pt idx="263">
                  <c:v>4.3486963085797876E-3</c:v>
                </c:pt>
                <c:pt idx="264">
                  <c:v>4.2480453122222582E-3</c:v>
                </c:pt>
                <c:pt idx="265">
                  <c:v>4.1970862899409741E-3</c:v>
                </c:pt>
                <c:pt idx="266">
                  <c:v>4.1958689101340785E-3</c:v>
                </c:pt>
                <c:pt idx="267">
                  <c:v>4.2777624101446145E-3</c:v>
                </c:pt>
                <c:pt idx="268">
                  <c:v>4.4274426708276436E-3</c:v>
                </c:pt>
                <c:pt idx="269">
                  <c:v>4.6449782431462411E-3</c:v>
                </c:pt>
                <c:pt idx="270">
                  <c:v>4.9304426947330707E-3</c:v>
                </c:pt>
                <c:pt idx="271">
                  <c:v>5.2839139874246632E-3</c:v>
                </c:pt>
                <c:pt idx="272">
                  <c:v>5.7054738548966769E-3</c:v>
                </c:pt>
                <c:pt idx="273">
                  <c:v>6.1952071802459617E-3</c:v>
                </c:pt>
                <c:pt idx="274">
                  <c:v>6.7532013736315332E-3</c:v>
                </c:pt>
                <c:pt idx="275">
                  <c:v>7.3686564986889524E-3</c:v>
                </c:pt>
                <c:pt idx="276">
                  <c:v>8.0072140765591691E-3</c:v>
                </c:pt>
                <c:pt idx="277">
                  <c:v>8.6689083497142345E-3</c:v>
                </c:pt>
                <c:pt idx="278">
                  <c:v>9.3537720849338757E-3</c:v>
                </c:pt>
                <c:pt idx="279">
                  <c:v>1.0061836366534108E-2</c:v>
                </c:pt>
                <c:pt idx="280">
                  <c:v>1.079313038966854E-2</c:v>
                </c:pt>
                <c:pt idx="281">
                  <c:v>1.1658749888239341E-2</c:v>
                </c:pt>
                <c:pt idx="282">
                  <c:v>1.2625337649468696E-2</c:v>
                </c:pt>
                <c:pt idx="283">
                  <c:v>1.3693018067215091E-2</c:v>
                </c:pt>
                <c:pt idx="284">
                  <c:v>1.4861912509673605E-2</c:v>
                </c:pt>
                <c:pt idx="285">
                  <c:v>1.6132138402960787E-2</c:v>
                </c:pt>
                <c:pt idx="286">
                  <c:v>1.7503808314817428E-2</c:v>
                </c:pt>
                <c:pt idx="287">
                  <c:v>1.8977029038197122E-2</c:v>
                </c:pt>
                <c:pt idx="288">
                  <c:v>2.0551900674896383E-2</c:v>
                </c:pt>
                <c:pt idx="289">
                  <c:v>2.2645119281084952E-2</c:v>
                </c:pt>
                <c:pt idx="290">
                  <c:v>2.526825074913519E-2</c:v>
                </c:pt>
                <c:pt idx="291">
                  <c:v>2.8421890178244747E-2</c:v>
                </c:pt>
                <c:pt idx="292">
                  <c:v>3.2106602611329721E-2</c:v>
                </c:pt>
                <c:pt idx="293">
                  <c:v>3.6322918220148846E-2</c:v>
                </c:pt>
                <c:pt idx="294">
                  <c:v>4.1071327490364129E-2</c:v>
                </c:pt>
                <c:pt idx="295">
                  <c:v>4.6734159255651331E-2</c:v>
                </c:pt>
                <c:pt idx="296">
                  <c:v>5.3201008766144052E-2</c:v>
                </c:pt>
                <c:pt idx="297">
                  <c:v>6.0473141850905333E-2</c:v>
                </c:pt>
                <c:pt idx="298">
                  <c:v>6.8551545903470026E-2</c:v>
                </c:pt>
                <c:pt idx="299">
                  <c:v>7.74372081303904E-2</c:v>
                </c:pt>
                <c:pt idx="300">
                  <c:v>8.7131109367873494E-2</c:v>
                </c:pt>
                <c:pt idx="301">
                  <c:v>9.7634217898253994E-2</c:v>
                </c:pt>
                <c:pt idx="302">
                  <c:v>0.10894748326660982</c:v>
                </c:pt>
                <c:pt idx="303">
                  <c:v>0.12100966436036471</c:v>
                </c:pt>
                <c:pt idx="304">
                  <c:v>0.13340250390224509</c:v>
                </c:pt>
                <c:pt idx="305">
                  <c:v>0.14612628288924426</c:v>
                </c:pt>
                <c:pt idx="306">
                  <c:v>0.15918124276571385</c:v>
                </c:pt>
                <c:pt idx="307">
                  <c:v>0.17256758294939131</c:v>
                </c:pt>
                <c:pt idx="308">
                  <c:v>0.18628545835624996</c:v>
                </c:pt>
                <c:pt idx="309">
                  <c:v>0.20001563495448185</c:v>
                </c:pt>
                <c:pt idx="310">
                  <c:v>0.21337367404355145</c:v>
                </c:pt>
                <c:pt idx="311">
                  <c:v>0.2263587886235531</c:v>
                </c:pt>
                <c:pt idx="312">
                  <c:v>0.23897016318980516</c:v>
                </c:pt>
                <c:pt idx="313">
                  <c:v>0.25120695666928095</c:v>
                </c:pt>
                <c:pt idx="314">
                  <c:v>0.26306830535528464</c:v>
                </c:pt>
                <c:pt idx="315">
                  <c:v>0.27455332584472431</c:v>
                </c:pt>
                <c:pt idx="316">
                  <c:v>0.2856611179721214</c:v>
                </c:pt>
                <c:pt idx="317">
                  <c:v>0.29616433967089234</c:v>
                </c:pt>
                <c:pt idx="318">
                  <c:v>0.30612436141200772</c:v>
                </c:pt>
                <c:pt idx="319">
                  <c:v>0.31554010614492306</c:v>
                </c:pt>
                <c:pt idx="320">
                  <c:v>0.32441050431920365</c:v>
                </c:pt>
                <c:pt idx="321">
                  <c:v>0.3327344980782041</c:v>
                </c:pt>
                <c:pt idx="322">
                  <c:v>0.3405110454540794</c:v>
                </c:pt>
                <c:pt idx="323">
                  <c:v>0.34764636658776099</c:v>
                </c:pt>
                <c:pt idx="324">
                  <c:v>0.3544602923162623</c:v>
                </c:pt>
                <c:pt idx="325">
                  <c:v>0.36095199400658878</c:v>
                </c:pt>
                <c:pt idx="326">
                  <c:v>0.36711873708023002</c:v>
                </c:pt>
                <c:pt idx="327">
                  <c:v>0.37295897408836237</c:v>
                </c:pt>
                <c:pt idx="328">
                  <c:v>0.37847277107150418</c:v>
                </c:pt>
                <c:pt idx="329">
                  <c:v>0.3836602768464264</c:v>
                </c:pt>
                <c:pt idx="330">
                  <c:v>0.38852171742017161</c:v>
                </c:pt>
                <c:pt idx="331">
                  <c:v>0.39297238778313909</c:v>
                </c:pt>
                <c:pt idx="332">
                  <c:v>0.39723977664631821</c:v>
                </c:pt>
                <c:pt idx="333">
                  <c:v>0.40132434069448203</c:v>
                </c:pt>
                <c:pt idx="334">
                  <c:v>0.40522658045268473</c:v>
                </c:pt>
                <c:pt idx="335">
                  <c:v>0.40894703718537279</c:v>
                </c:pt>
                <c:pt idx="336">
                  <c:v>0.41248628979110191</c:v>
                </c:pt>
                <c:pt idx="337">
                  <c:v>0.4157483838947571</c:v>
                </c:pt>
                <c:pt idx="338">
                  <c:v>0.41882687225071974</c:v>
                </c:pt>
                <c:pt idx="339">
                  <c:v>0.42172242882478056</c:v>
                </c:pt>
                <c:pt idx="340">
                  <c:v>0.42443575216659957</c:v>
                </c:pt>
                <c:pt idx="341">
                  <c:v>0.42696756224368215</c:v>
                </c:pt>
                <c:pt idx="342">
                  <c:v>0.42931859727512417</c:v>
                </c:pt>
                <c:pt idx="343">
                  <c:v>0.43148961056102153</c:v>
                </c:pt>
                <c:pt idx="344">
                  <c:v>0.43348136731749171</c:v>
                </c:pt>
                <c:pt idx="345">
                  <c:v>0.43529464150791469</c:v>
                </c:pt>
                <c:pt idx="346">
                  <c:v>0.4369340652365854</c:v>
                </c:pt>
                <c:pt idx="347">
                  <c:v>0.43840042110390537</c:v>
                </c:pt>
                <c:pt idx="348">
                  <c:v>0.4396944912394089</c:v>
                </c:pt>
                <c:pt idx="349">
                  <c:v>0.44081705419846312</c:v>
                </c:pt>
                <c:pt idx="350">
                  <c:v>0.44176888186759761</c:v>
                </c:pt>
                <c:pt idx="351">
                  <c:v>0.44246950489516185</c:v>
                </c:pt>
                <c:pt idx="352">
                  <c:v>0.44301628419150535</c:v>
                </c:pt>
                <c:pt idx="353">
                  <c:v>0.44340995508305131</c:v>
                </c:pt>
                <c:pt idx="354">
                  <c:v>0.44365123535770556</c:v>
                </c:pt>
                <c:pt idx="355">
                  <c:v>0.44374082241445034</c:v>
                </c:pt>
                <c:pt idx="356">
                  <c:v>0.4436796477021645</c:v>
                </c:pt>
                <c:pt idx="357">
                  <c:v>0.44346752978654297</c:v>
                </c:pt>
                <c:pt idx="358">
                  <c:v>0.44310336601875194</c:v>
                </c:pt>
                <c:pt idx="359">
                  <c:v>0.44258603342190012</c:v>
                </c:pt>
                <c:pt idx="360">
                  <c:v>0.44181756205961015</c:v>
                </c:pt>
                <c:pt idx="361">
                  <c:v>0.44087812635981649</c:v>
                </c:pt>
                <c:pt idx="362">
                  <c:v>0.43976654233119045</c:v>
                </c:pt>
                <c:pt idx="363">
                  <c:v>0.43848161920931333</c:v>
                </c:pt>
                <c:pt idx="364">
                  <c:v>0.43702216329093257</c:v>
                </c:pt>
                <c:pt idx="365">
                  <c:v>0.43538698176360818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0.47888219199237819</c:v>
                </c:pt>
                <c:pt idx="1">
                  <c:v>0.47738020070623655</c:v>
                </c:pt>
                <c:pt idx="2">
                  <c:v>0.47565716747387038</c:v>
                </c:pt>
                <c:pt idx="3">
                  <c:v>0.47371178183093632</c:v>
                </c:pt>
                <c:pt idx="4">
                  <c:v>0.47154274680553582</c:v>
                </c:pt>
                <c:pt idx="5">
                  <c:v>0.46914878367509066</c:v>
                </c:pt>
                <c:pt idx="6">
                  <c:v>0.46652863672825806</c:v>
                </c:pt>
                <c:pt idx="7">
                  <c:v>0.46368107801793762</c:v>
                </c:pt>
                <c:pt idx="8">
                  <c:v>0.46060491211985677</c:v>
                </c:pt>
                <c:pt idx="9">
                  <c:v>0.45723635887033487</c:v>
                </c:pt>
                <c:pt idx="10">
                  <c:v>0.45369793589394747</c:v>
                </c:pt>
                <c:pt idx="11">
                  <c:v>0.44998864044862058</c:v>
                </c:pt>
                <c:pt idx="12">
                  <c:v>0.44610751590054271</c:v>
                </c:pt>
                <c:pt idx="13">
                  <c:v>0.44205365517868911</c:v>
                </c:pt>
                <c:pt idx="14">
                  <c:v>0.43782620422301072</c:v>
                </c:pt>
                <c:pt idx="15">
                  <c:v>0.4332129467855898</c:v>
                </c:pt>
                <c:pt idx="16">
                  <c:v>0.42831226307611658</c:v>
                </c:pt>
                <c:pt idx="17">
                  <c:v>0.42312342239194067</c:v>
                </c:pt>
                <c:pt idx="18">
                  <c:v>0.41764578224174004</c:v>
                </c:pt>
                <c:pt idx="19">
                  <c:v>0.41188072534206077</c:v>
                </c:pt>
                <c:pt idx="20">
                  <c:v>0.40583048055384169</c:v>
                </c:pt>
                <c:pt idx="21">
                  <c:v>0.39949575196025561</c:v>
                </c:pt>
                <c:pt idx="22">
                  <c:v>0.39287725160187958</c:v>
                </c:pt>
                <c:pt idx="23">
                  <c:v>0.3856533847870825</c:v>
                </c:pt>
                <c:pt idx="24">
                  <c:v>0.37788763439347672</c:v>
                </c:pt>
                <c:pt idx="25">
                  <c:v>0.36958069807085903</c:v>
                </c:pt>
                <c:pt idx="26">
                  <c:v>0.36073329268519877</c:v>
                </c:pt>
                <c:pt idx="27">
                  <c:v>0.35134614870259495</c:v>
                </c:pt>
                <c:pt idx="28">
                  <c:v>0.34142000457990457</c:v>
                </c:pt>
                <c:pt idx="29">
                  <c:v>0.33074755043492304</c:v>
                </c:pt>
                <c:pt idx="30">
                  <c:v>0.31954125007397333</c:v>
                </c:pt>
                <c:pt idx="31">
                  <c:v>0.30780183831948704</c:v>
                </c:pt>
                <c:pt idx="32">
                  <c:v>0.29553003445411341</c:v>
                </c:pt>
                <c:pt idx="33">
                  <c:v>0.28272653664591441</c:v>
                </c:pt>
                <c:pt idx="34">
                  <c:v>0.26939201637472615</c:v>
                </c:pt>
                <c:pt idx="35">
                  <c:v>0.2555271128581868</c:v>
                </c:pt>
                <c:pt idx="36">
                  <c:v>0.24113242747722285</c:v>
                </c:pt>
                <c:pt idx="37">
                  <c:v>0.2264387285472193</c:v>
                </c:pt>
                <c:pt idx="38">
                  <c:v>0.21176868983939892</c:v>
                </c:pt>
                <c:pt idx="39">
                  <c:v>0.19712264157131909</c:v>
                </c:pt>
                <c:pt idx="40">
                  <c:v>0.18250085213044229</c:v>
                </c:pt>
                <c:pt idx="41">
                  <c:v>0.16790352830902217</c:v>
                </c:pt>
                <c:pt idx="42">
                  <c:v>0.15333081553765646</c:v>
                </c:pt>
                <c:pt idx="43">
                  <c:v>0.13933066833204594</c:v>
                </c:pt>
                <c:pt idx="44">
                  <c:v>0.12611086362150523</c:v>
                </c:pt>
                <c:pt idx="45">
                  <c:v>0.11367122807651296</c:v>
                </c:pt>
                <c:pt idx="46">
                  <c:v>0.10201155521714982</c:v>
                </c:pt>
                <c:pt idx="47">
                  <c:v>9.1131613596698399E-2</c:v>
                </c:pt>
                <c:pt idx="48">
                  <c:v>8.1031154983942158E-2</c:v>
                </c:pt>
                <c:pt idx="49">
                  <c:v>7.170992254631367E-2</c:v>
                </c:pt>
                <c:pt idx="50">
                  <c:v>6.3167659032554169E-2</c:v>
                </c:pt>
                <c:pt idx="51">
                  <c:v>5.5645449355950595E-2</c:v>
                </c:pt>
                <c:pt idx="52">
                  <c:v>4.891280617805175E-2</c:v>
                </c:pt>
                <c:pt idx="53">
                  <c:v>4.2969374558368932E-2</c:v>
                </c:pt>
                <c:pt idx="54">
                  <c:v>3.781508347915518E-2</c:v>
                </c:pt>
                <c:pt idx="55">
                  <c:v>3.3449880253419773E-2</c:v>
                </c:pt>
                <c:pt idx="56">
                  <c:v>2.9873728071557602E-2</c:v>
                </c:pt>
                <c:pt idx="57">
                  <c:v>2.7071139892590038E-2</c:v>
                </c:pt>
                <c:pt idx="58">
                  <c:v>2.4494431353962676E-2</c:v>
                </c:pt>
                <c:pt idx="59">
                  <c:v>2.2143589540163287E-2</c:v>
                </c:pt>
                <c:pt idx="60">
                  <c:v>2.0018605765125815E-2</c:v>
                </c:pt>
                <c:pt idx="61">
                  <c:v>1.8119474869908669E-2</c:v>
                </c:pt>
                <c:pt idx="62">
                  <c:v>1.6446194520349369E-2</c:v>
                </c:pt>
                <c:pt idx="63">
                  <c:v>1.4998764504766419E-2</c:v>
                </c:pt>
                <c:pt idx="64">
                  <c:v>1.3777186031601336E-2</c:v>
                </c:pt>
                <c:pt idx="65">
                  <c:v>1.2826023737850889E-2</c:v>
                </c:pt>
                <c:pt idx="66">
                  <c:v>1.1903936783868507E-2</c:v>
                </c:pt>
                <c:pt idx="67">
                  <c:v>1.1010925618366857E-2</c:v>
                </c:pt>
                <c:pt idx="68">
                  <c:v>1.0146991534629789E-2</c:v>
                </c:pt>
                <c:pt idx="69">
                  <c:v>9.3121365800038561E-3</c:v>
                </c:pt>
                <c:pt idx="70">
                  <c:v>8.5063634654370113E-3</c:v>
                </c:pt>
                <c:pt idx="71">
                  <c:v>7.7733435401289644E-3</c:v>
                </c:pt>
                <c:pt idx="72">
                  <c:v>7.1285429206925767E-3</c:v>
                </c:pt>
                <c:pt idx="73">
                  <c:v>6.5719625941357577E-3</c:v>
                </c:pt>
                <c:pt idx="74">
                  <c:v>6.1036024450404694E-3</c:v>
                </c:pt>
                <c:pt idx="75">
                  <c:v>5.7234609812318307E-3</c:v>
                </c:pt>
                <c:pt idx="76">
                  <c:v>5.4315350594300905E-3</c:v>
                </c:pt>
                <c:pt idx="77">
                  <c:v>5.2278196109193566E-3</c:v>
                </c:pt>
                <c:pt idx="78">
                  <c:v>5.112307509854014E-3</c:v>
                </c:pt>
                <c:pt idx="79">
                  <c:v>5.1011830152210289E-3</c:v>
                </c:pt>
                <c:pt idx="80">
                  <c:v>5.1498930602639978E-3</c:v>
                </c:pt>
                <c:pt idx="81">
                  <c:v>5.2584291338809118E-3</c:v>
                </c:pt>
                <c:pt idx="82">
                  <c:v>5.4267825270137102E-3</c:v>
                </c:pt>
                <c:pt idx="83">
                  <c:v>5.6549441715489602E-3</c:v>
                </c:pt>
                <c:pt idx="84">
                  <c:v>5.9429044792342327E-3</c:v>
                </c:pt>
                <c:pt idx="85">
                  <c:v>6.2683109916066753E-3</c:v>
                </c:pt>
                <c:pt idx="86">
                  <c:v>6.5875093537478375E-3</c:v>
                </c:pt>
                <c:pt idx="87">
                  <c:v>6.9004969554503021E-3</c:v>
                </c:pt>
                <c:pt idx="88">
                  <c:v>7.2072709171382343E-3</c:v>
                </c:pt>
                <c:pt idx="89">
                  <c:v>7.5078281064828089E-3</c:v>
                </c:pt>
                <c:pt idx="90">
                  <c:v>7.802165155004758E-3</c:v>
                </c:pt>
                <c:pt idx="91">
                  <c:v>8.090278474700445E-3</c:v>
                </c:pt>
                <c:pt idx="92">
                  <c:v>8.3721642746524272E-3</c:v>
                </c:pt>
                <c:pt idx="93">
                  <c:v>8.6056539697867869E-3</c:v>
                </c:pt>
                <c:pt idx="94">
                  <c:v>8.7745869526368453E-3</c:v>
                </c:pt>
                <c:pt idx="95">
                  <c:v>8.8789721325146214E-3</c:v>
                </c:pt>
                <c:pt idx="96">
                  <c:v>8.9188198523170586E-3</c:v>
                </c:pt>
                <c:pt idx="97">
                  <c:v>8.8941420623295433E-3</c:v>
                </c:pt>
                <c:pt idx="98">
                  <c:v>8.8049524939636907E-3</c:v>
                </c:pt>
                <c:pt idx="99">
                  <c:v>8.6572094535311769E-3</c:v>
                </c:pt>
                <c:pt idx="100">
                  <c:v>8.4732487233615018E-3</c:v>
                </c:pt>
                <c:pt idx="101">
                  <c:v>8.2530816058389786E-3</c:v>
                </c:pt>
                <c:pt idx="102">
                  <c:v>7.9967208597574863E-3</c:v>
                </c:pt>
                <c:pt idx="103">
                  <c:v>7.704180797829749E-3</c:v>
                </c:pt>
                <c:pt idx="104">
                  <c:v>7.3754773843565883E-3</c:v>
                </c:pt>
                <c:pt idx="105">
                  <c:v>7.0106283327475904E-3</c:v>
                </c:pt>
                <c:pt idx="106">
                  <c:v>6.6096532031222942E-3</c:v>
                </c:pt>
                <c:pt idx="107">
                  <c:v>6.190502264937019E-3</c:v>
                </c:pt>
                <c:pt idx="108">
                  <c:v>5.7952890323426983E-3</c:v>
                </c:pt>
                <c:pt idx="109">
                  <c:v>5.42401026498876E-3</c:v>
                </c:pt>
                <c:pt idx="110">
                  <c:v>5.0766741540217222E-3</c:v>
                </c:pt>
                <c:pt idx="111">
                  <c:v>4.7532852985574196E-3</c:v>
                </c:pt>
                <c:pt idx="112">
                  <c:v>4.4538343384787999E-3</c:v>
                </c:pt>
                <c:pt idx="113">
                  <c:v>4.1776134606504528E-3</c:v>
                </c:pt>
                <c:pt idx="114">
                  <c:v>3.9186829756506954E-3</c:v>
                </c:pt>
                <c:pt idx="115">
                  <c:v>3.6770361300341339E-3</c:v>
                </c:pt>
                <c:pt idx="116">
                  <c:v>3.4526659088550656E-3</c:v>
                </c:pt>
                <c:pt idx="117">
                  <c:v>3.2455650040804471E-3</c:v>
                </c:pt>
                <c:pt idx="118">
                  <c:v>3.0557257829688222E-3</c:v>
                </c:pt>
                <c:pt idx="119">
                  <c:v>2.8831402564591852E-3</c:v>
                </c:pt>
                <c:pt idx="120">
                  <c:v>2.7278000475560809E-3</c:v>
                </c:pt>
                <c:pt idx="121">
                  <c:v>2.5928439044108445E-3</c:v>
                </c:pt>
                <c:pt idx="122">
                  <c:v>2.4603814337325175E-3</c:v>
                </c:pt>
                <c:pt idx="123">
                  <c:v>2.3304128099278175E-3</c:v>
                </c:pt>
                <c:pt idx="124">
                  <c:v>2.2029382184891311E-3</c:v>
                </c:pt>
                <c:pt idx="125">
                  <c:v>2.0779578515038128E-3</c:v>
                </c:pt>
                <c:pt idx="126">
                  <c:v>1.9554719031353199E-3</c:v>
                </c:pt>
                <c:pt idx="127">
                  <c:v>1.8394875358836485E-3</c:v>
                </c:pt>
                <c:pt idx="128">
                  <c:v>1.7306977302951605E-3</c:v>
                </c:pt>
                <c:pt idx="129">
                  <c:v>1.6290988485432463E-3</c:v>
                </c:pt>
                <c:pt idx="130">
                  <c:v>1.5346870340366419E-3</c:v>
                </c:pt>
                <c:pt idx="131">
                  <c:v>1.4474581982331296E-3</c:v>
                </c:pt>
                <c:pt idx="132">
                  <c:v>1.3674080074692634E-3</c:v>
                </c:pt>
                <c:pt idx="133">
                  <c:v>1.2945318697970035E-3</c:v>
                </c:pt>
                <c:pt idx="134">
                  <c:v>1.2288249218129347E-3</c:v>
                </c:pt>
                <c:pt idx="135">
                  <c:v>1.1701743180188887E-3</c:v>
                </c:pt>
                <c:pt idx="136">
                  <c:v>1.1154397100557772E-3</c:v>
                </c:pt>
                <c:pt idx="137">
                  <c:v>1.0646185240182826E-3</c:v>
                </c:pt>
                <c:pt idx="138">
                  <c:v>1.0177080288456665E-3</c:v>
                </c:pt>
                <c:pt idx="139">
                  <c:v>9.7470532916141305E-4</c:v>
                </c:pt>
                <c:pt idx="140">
                  <c:v>9.3560735806345809E-4</c:v>
                </c:pt>
                <c:pt idx="141">
                  <c:v>9.0024319618003566E-4</c:v>
                </c:pt>
                <c:pt idx="142">
                  <c:v>8.6461734244191644E-4</c:v>
                </c:pt>
                <c:pt idx="143">
                  <c:v>8.2872832898867098E-4</c:v>
                </c:pt>
                <c:pt idx="144">
                  <c:v>7.9257928340515954E-4</c:v>
                </c:pt>
                <c:pt idx="145">
                  <c:v>7.5617319999709675E-4</c:v>
                </c:pt>
                <c:pt idx="146">
                  <c:v>7.1951293668002711E-4</c:v>
                </c:pt>
                <c:pt idx="147">
                  <c:v>6.8260121189076396E-4</c:v>
                </c:pt>
                <c:pt idx="148">
                  <c:v>6.4544060148269292E-4</c:v>
                </c:pt>
                <c:pt idx="149">
                  <c:v>6.0954180727543694E-4</c:v>
                </c:pt>
                <c:pt idx="150">
                  <c:v>5.7501194741561823E-4</c:v>
                </c:pt>
                <c:pt idx="151">
                  <c:v>5.4185069318405819E-4</c:v>
                </c:pt>
                <c:pt idx="152">
                  <c:v>5.1005749246183537E-4</c:v>
                </c:pt>
                <c:pt idx="153">
                  <c:v>4.7963158489036195E-4</c:v>
                </c:pt>
                <c:pt idx="154">
                  <c:v>4.5057201703416563E-4</c:v>
                </c:pt>
                <c:pt idx="155">
                  <c:v>4.238309503111762E-4</c:v>
                </c:pt>
                <c:pt idx="156">
                  <c:v>3.9957207745896324E-4</c:v>
                </c:pt>
                <c:pt idx="157">
                  <c:v>3.7779216949481218E-4</c:v>
                </c:pt>
                <c:pt idx="158">
                  <c:v>3.5848786272831554E-4</c:v>
                </c:pt>
                <c:pt idx="159">
                  <c:v>3.4165568662052021E-4</c:v>
                </c:pt>
                <c:pt idx="160">
                  <c:v>3.2729209164691062E-4</c:v>
                </c:pt>
                <c:pt idx="161">
                  <c:v>3.1539347715688347E-4</c:v>
                </c:pt>
                <c:pt idx="162">
                  <c:v>3.0595621923492001E-4</c:v>
                </c:pt>
                <c:pt idx="163">
                  <c:v>2.990516651765595E-4</c:v>
                </c:pt>
                <c:pt idx="164">
                  <c:v>2.9317956023733842E-4</c:v>
                </c:pt>
                <c:pt idx="165">
                  <c:v>2.8833854901185862E-4</c:v>
                </c:pt>
                <c:pt idx="166">
                  <c:v>2.8452729529208687E-4</c:v>
                </c:pt>
                <c:pt idx="167">
                  <c:v>2.8174449372712451E-4</c:v>
                </c:pt>
                <c:pt idx="168">
                  <c:v>2.7998888149068421E-4</c:v>
                </c:pt>
                <c:pt idx="169">
                  <c:v>2.7933399427915076E-4</c:v>
                </c:pt>
                <c:pt idx="170">
                  <c:v>2.78832564996165E-4</c:v>
                </c:pt>
                <c:pt idx="171">
                  <c:v>2.7848469243565185E-4</c:v>
                </c:pt>
                <c:pt idx="172">
                  <c:v>2.7829048645592073E-4</c:v>
                </c:pt>
                <c:pt idx="173">
                  <c:v>2.7824769016136157E-4</c:v>
                </c:pt>
                <c:pt idx="174">
                  <c:v>2.7835393202508716E-4</c:v>
                </c:pt>
                <c:pt idx="175">
                  <c:v>2.7860915945539103E-4</c:v>
                </c:pt>
                <c:pt idx="176">
                  <c:v>2.7901332068483621E-4</c:v>
                </c:pt>
                <c:pt idx="177">
                  <c:v>2.8050956964078422E-4</c:v>
                </c:pt>
                <c:pt idx="178">
                  <c:v>2.8302221636797764E-4</c:v>
                </c:pt>
                <c:pt idx="179">
                  <c:v>2.865501360724691E-4</c:v>
                </c:pt>
                <c:pt idx="180">
                  <c:v>2.9109222373278166E-4</c:v>
                </c:pt>
                <c:pt idx="181">
                  <c:v>2.966473990930302E-4</c:v>
                </c:pt>
                <c:pt idx="182">
                  <c:v>3.0321461165811191E-4</c:v>
                </c:pt>
                <c:pt idx="183">
                  <c:v>3.1227692624231722E-4</c:v>
                </c:pt>
                <c:pt idx="184">
                  <c:v>3.2375731535074328E-4</c:v>
                </c:pt>
                <c:pt idx="185">
                  <c:v>3.376532041566794E-4</c:v>
                </c:pt>
                <c:pt idx="186">
                  <c:v>3.5396211851782867E-4</c:v>
                </c:pt>
                <c:pt idx="187">
                  <c:v>3.7268169690753041E-4</c:v>
                </c:pt>
                <c:pt idx="188">
                  <c:v>3.9380970234817117E-4</c:v>
                </c:pt>
                <c:pt idx="189">
                  <c:v>4.1734403433510658E-4</c:v>
                </c:pt>
                <c:pt idx="190">
                  <c:v>4.4328274077399534E-4</c:v>
                </c:pt>
                <c:pt idx="191">
                  <c:v>4.7146011182694754E-4</c:v>
                </c:pt>
                <c:pt idx="192">
                  <c:v>5.0093699033749257E-4</c:v>
                </c:pt>
                <c:pt idx="193">
                  <c:v>5.3171304691829646E-4</c:v>
                </c:pt>
                <c:pt idx="194">
                  <c:v>5.6378808422597989E-4</c:v>
                </c:pt>
                <c:pt idx="195">
                  <c:v>5.971620434631924E-4</c:v>
                </c:pt>
                <c:pt idx="196">
                  <c:v>6.3183501086405745E-4</c:v>
                </c:pt>
                <c:pt idx="197">
                  <c:v>6.677023558742868E-4</c:v>
                </c:pt>
                <c:pt idx="198">
                  <c:v>7.0328823053857948E-4</c:v>
                </c:pt>
                <c:pt idx="199">
                  <c:v>7.3859447791207566E-4</c:v>
                </c:pt>
                <c:pt idx="200">
                  <c:v>7.7362299201509145E-4</c:v>
                </c:pt>
                <c:pt idx="201">
                  <c:v>8.0837571650043533E-4</c:v>
                </c:pt>
                <c:pt idx="202">
                  <c:v>8.4285464332313031E-4</c:v>
                </c:pt>
                <c:pt idx="203">
                  <c:v>8.770618114258132E-4</c:v>
                </c:pt>
                <c:pt idx="204">
                  <c:v>9.1099807777382709E-4</c:v>
                </c:pt>
                <c:pt idx="205">
                  <c:v>9.4854915454969989E-4</c:v>
                </c:pt>
                <c:pt idx="206">
                  <c:v>9.8987730427975407E-4</c:v>
                </c:pt>
                <c:pt idx="207">
                  <c:v>1.0349816570862662E-3</c:v>
                </c:pt>
                <c:pt idx="208">
                  <c:v>1.0838615570616271E-3</c:v>
                </c:pt>
                <c:pt idx="209">
                  <c:v>1.136516552471707E-3</c:v>
                </c:pt>
                <c:pt idx="210">
                  <c:v>1.1929463859892469E-3</c:v>
                </c:pt>
                <c:pt idx="211">
                  <c:v>1.2561959837303076E-3</c:v>
                </c:pt>
                <c:pt idx="212">
                  <c:v>1.3263689415227188E-3</c:v>
                </c:pt>
                <c:pt idx="213">
                  <c:v>1.4034646070845845E-3</c:v>
                </c:pt>
                <c:pt idx="214">
                  <c:v>1.4874826618281691E-3</c:v>
                </c:pt>
                <c:pt idx="215">
                  <c:v>1.5784231029180387E-3</c:v>
                </c:pt>
                <c:pt idx="216">
                  <c:v>1.6762862253254123E-3</c:v>
                </c:pt>
                <c:pt idx="217">
                  <c:v>1.781072603887984E-3</c:v>
                </c:pt>
                <c:pt idx="218">
                  <c:v>1.8927830753627693E-3</c:v>
                </c:pt>
                <c:pt idx="219">
                  <c:v>2.0107448336836027E-3</c:v>
                </c:pt>
                <c:pt idx="220">
                  <c:v>2.1310801707304684E-3</c:v>
                </c:pt>
                <c:pt idx="221">
                  <c:v>2.2537910943679607E-3</c:v>
                </c:pt>
                <c:pt idx="222">
                  <c:v>2.3788795972266917E-3</c:v>
                </c:pt>
                <c:pt idx="223">
                  <c:v>2.5063476505929015E-3</c:v>
                </c:pt>
                <c:pt idx="224">
                  <c:v>2.6361971982556127E-3</c:v>
                </c:pt>
                <c:pt idx="225">
                  <c:v>2.7857161634232959E-3</c:v>
                </c:pt>
                <c:pt idx="226">
                  <c:v>2.9518638418541726E-3</c:v>
                </c:pt>
                <c:pt idx="227">
                  <c:v>3.134642557948251E-3</c:v>
                </c:pt>
                <c:pt idx="228">
                  <c:v>3.3340550778649647E-3</c:v>
                </c:pt>
                <c:pt idx="229">
                  <c:v>3.5501045664222443E-3</c:v>
                </c:pt>
                <c:pt idx="230">
                  <c:v>3.7827945440336622E-3</c:v>
                </c:pt>
                <c:pt idx="231">
                  <c:v>4.0321288436613372E-3</c:v>
                </c:pt>
                <c:pt idx="232">
                  <c:v>4.2981115677020896E-3</c:v>
                </c:pt>
                <c:pt idx="233">
                  <c:v>4.5864719903819951E-3</c:v>
                </c:pt>
                <c:pt idx="234">
                  <c:v>4.8978892247565943E-3</c:v>
                </c:pt>
                <c:pt idx="235">
                  <c:v>5.2323723763845042E-3</c:v>
                </c:pt>
                <c:pt idx="236">
                  <c:v>5.5899332690372986E-3</c:v>
                </c:pt>
                <c:pt idx="237">
                  <c:v>5.9705822275328913E-3</c:v>
                </c:pt>
                <c:pt idx="238">
                  <c:v>6.374330577879654E-3</c:v>
                </c:pt>
                <c:pt idx="239">
                  <c:v>6.7605767527321552E-3</c:v>
                </c:pt>
                <c:pt idx="240">
                  <c:v>7.1120297107234807E-3</c:v>
                </c:pt>
                <c:pt idx="241">
                  <c:v>7.4286891854940963E-3</c:v>
                </c:pt>
                <c:pt idx="242">
                  <c:v>7.7105537956254694E-3</c:v>
                </c:pt>
                <c:pt idx="243">
                  <c:v>7.9576209933309282E-3</c:v>
                </c:pt>
                <c:pt idx="244">
                  <c:v>8.1698870131195686E-3</c:v>
                </c:pt>
                <c:pt idx="245">
                  <c:v>8.3473468203889376E-3</c:v>
                </c:pt>
                <c:pt idx="246">
                  <c:v>8.489994059999572E-3</c:v>
                </c:pt>
                <c:pt idx="247">
                  <c:v>8.5762930225442395E-3</c:v>
                </c:pt>
                <c:pt idx="248">
                  <c:v>8.6004942406789457E-3</c:v>
                </c:pt>
                <c:pt idx="249">
                  <c:v>8.5625754787394849E-3</c:v>
                </c:pt>
                <c:pt idx="250">
                  <c:v>8.4625117219550884E-3</c:v>
                </c:pt>
                <c:pt idx="251">
                  <c:v>8.3002750851755291E-3</c:v>
                </c:pt>
                <c:pt idx="252">
                  <c:v>8.0758347212908504E-3</c:v>
                </c:pt>
                <c:pt idx="253">
                  <c:v>7.8047543725611396E-3</c:v>
                </c:pt>
                <c:pt idx="254">
                  <c:v>7.5276939692357162E-3</c:v>
                </c:pt>
                <c:pt idx="255">
                  <c:v>7.2446446269655617E-3</c:v>
                </c:pt>
                <c:pt idx="256">
                  <c:v>6.9555969992872611E-3</c:v>
                </c:pt>
                <c:pt idx="257">
                  <c:v>6.6605412688268304E-3</c:v>
                </c:pt>
                <c:pt idx="258">
                  <c:v>6.3594671385671974E-3</c:v>
                </c:pt>
                <c:pt idx="259">
                  <c:v>6.0523638231839514E-3</c:v>
                </c:pt>
                <c:pt idx="260">
                  <c:v>5.7392200402115743E-3</c:v>
                </c:pt>
                <c:pt idx="261">
                  <c:v>5.4621880961283741E-3</c:v>
                </c:pt>
                <c:pt idx="262">
                  <c:v>5.2428745341832209E-3</c:v>
                </c:pt>
                <c:pt idx="263">
                  <c:v>5.0813164978926774E-3</c:v>
                </c:pt>
                <c:pt idx="264">
                  <c:v>4.9775545021383148E-3</c:v>
                </c:pt>
                <c:pt idx="265">
                  <c:v>4.9316543761307695E-3</c:v>
                </c:pt>
                <c:pt idx="266">
                  <c:v>4.9436746674254833E-3</c:v>
                </c:pt>
                <c:pt idx="267">
                  <c:v>5.0567609364109639E-3</c:v>
                </c:pt>
                <c:pt idx="268">
                  <c:v>5.2553537164627935E-3</c:v>
                </c:pt>
                <c:pt idx="269">
                  <c:v>5.5395402138460658E-3</c:v>
                </c:pt>
                <c:pt idx="270">
                  <c:v>5.9094139263614967E-3</c:v>
                </c:pt>
                <c:pt idx="271">
                  <c:v>6.3650738581817598E-3</c:v>
                </c:pt>
                <c:pt idx="272">
                  <c:v>6.9066237348074664E-3</c:v>
                </c:pt>
                <c:pt idx="273">
                  <c:v>7.5341712179593416E-3</c:v>
                </c:pt>
                <c:pt idx="274">
                  <c:v>8.2478271205414753E-3</c:v>
                </c:pt>
                <c:pt idx="275">
                  <c:v>9.0327043622163445E-3</c:v>
                </c:pt>
                <c:pt idx="276">
                  <c:v>9.846523467408972E-3</c:v>
                </c:pt>
                <c:pt idx="277">
                  <c:v>1.0689327793623171E-2</c:v>
                </c:pt>
                <c:pt idx="278">
                  <c:v>1.156115879816781E-2</c:v>
                </c:pt>
                <c:pt idx="279">
                  <c:v>1.2462055779212541E-2</c:v>
                </c:pt>
                <c:pt idx="280">
                  <c:v>1.3392055616933374E-2</c:v>
                </c:pt>
                <c:pt idx="281">
                  <c:v>1.4585889426113706E-2</c:v>
                </c:pt>
                <c:pt idx="282">
                  <c:v>1.6000541006979074E-2</c:v>
                </c:pt>
                <c:pt idx="283">
                  <c:v>1.7636290237505351E-2</c:v>
                </c:pt>
                <c:pt idx="284">
                  <c:v>1.9493412922402267E-2</c:v>
                </c:pt>
                <c:pt idx="285">
                  <c:v>2.1572178783214636E-2</c:v>
                </c:pt>
                <c:pt idx="286">
                  <c:v>2.3872849448577604E-2</c:v>
                </c:pt>
                <c:pt idx="287">
                  <c:v>2.6395676444325097E-2</c:v>
                </c:pt>
                <c:pt idx="288">
                  <c:v>2.9140899183651207E-2</c:v>
                </c:pt>
                <c:pt idx="289">
                  <c:v>3.264320193023823E-2</c:v>
                </c:pt>
                <c:pt idx="290">
                  <c:v>3.691856108020649E-2</c:v>
                </c:pt>
                <c:pt idx="291">
                  <c:v>4.1967836766641536E-2</c:v>
                </c:pt>
                <c:pt idx="292">
                  <c:v>4.7791843653948507E-2</c:v>
                </c:pt>
                <c:pt idx="293">
                  <c:v>5.439134391719546E-2</c:v>
                </c:pt>
                <c:pt idx="294">
                  <c:v>6.1767040221365886E-2</c:v>
                </c:pt>
                <c:pt idx="295">
                  <c:v>7.0144588955547871E-2</c:v>
                </c:pt>
                <c:pt idx="296">
                  <c:v>7.9289443801136228E-2</c:v>
                </c:pt>
                <c:pt idx="297">
                  <c:v>8.9202999480538878E-2</c:v>
                </c:pt>
                <c:pt idx="298">
                  <c:v>9.9886219444988517E-2</c:v>
                </c:pt>
                <c:pt idx="299">
                  <c:v>0.1113400577470071</c:v>
                </c:pt>
                <c:pt idx="300">
                  <c:v>0.12356545315661224</c:v>
                </c:pt>
                <c:pt idx="301">
                  <c:v>0.13656332327728304</c:v>
                </c:pt>
                <c:pt idx="302">
                  <c:v>0.15033455866213036</c:v>
                </c:pt>
                <c:pt idx="303">
                  <c:v>0.16467610440714292</c:v>
                </c:pt>
                <c:pt idx="304">
                  <c:v>0.17905090382108946</c:v>
                </c:pt>
                <c:pt idx="305">
                  <c:v>0.19345884474154962</c:v>
                </c:pt>
                <c:pt idx="306">
                  <c:v>0.2078997707917144</c:v>
                </c:pt>
                <c:pt idx="307">
                  <c:v>0.22237348121263822</c:v>
                </c:pt>
                <c:pt idx="308">
                  <c:v>0.23687973069396351</c:v>
                </c:pt>
                <c:pt idx="309">
                  <c:v>0.25110152944824449</c:v>
                </c:pt>
                <c:pt idx="310">
                  <c:v>0.26481183760354143</c:v>
                </c:pt>
                <c:pt idx="311">
                  <c:v>0.27800966365095253</c:v>
                </c:pt>
                <c:pt idx="312">
                  <c:v>0.2906939910634081</c:v>
                </c:pt>
                <c:pt idx="313">
                  <c:v>0.3028637823048545</c:v>
                </c:pt>
                <c:pt idx="314">
                  <c:v>0.3145179828372886</c:v>
                </c:pt>
                <c:pt idx="315">
                  <c:v>0.3256555251309341</c:v>
                </c:pt>
                <c:pt idx="316">
                  <c:v>0.33627533267048348</c:v>
                </c:pt>
                <c:pt idx="317">
                  <c:v>0.34616772543113311</c:v>
                </c:pt>
                <c:pt idx="318">
                  <c:v>0.35553647144497164</c:v>
                </c:pt>
                <c:pt idx="319">
                  <c:v>0.3643804949892156</c:v>
                </c:pt>
                <c:pt idx="320">
                  <c:v>0.37269872828916062</c:v>
                </c:pt>
                <c:pt idx="321">
                  <c:v>0.38049011555490148</c:v>
                </c:pt>
                <c:pt idx="322">
                  <c:v>0.38775361701954369</c:v>
                </c:pt>
                <c:pt idx="323">
                  <c:v>0.39442619996619105</c:v>
                </c:pt>
                <c:pt idx="324">
                  <c:v>0.40082506435268922</c:v>
                </c:pt>
                <c:pt idx="325">
                  <c:v>0.40694939843602118</c:v>
                </c:pt>
                <c:pt idx="326">
                  <c:v>0.412796242940625</c:v>
                </c:pt>
                <c:pt idx="327">
                  <c:v>0.41836398563085642</c:v>
                </c:pt>
                <c:pt idx="328">
                  <c:v>0.42365281798787141</c:v>
                </c:pt>
                <c:pt idx="329">
                  <c:v>0.42866300585286732</c:v>
                </c:pt>
                <c:pt idx="330">
                  <c:v>0.43339488468997645</c:v>
                </c:pt>
                <c:pt idx="331">
                  <c:v>0.43775062713528201</c:v>
                </c:pt>
                <c:pt idx="332">
                  <c:v>0.44193992944082716</c:v>
                </c:pt>
                <c:pt idx="333">
                  <c:v>0.44596333434091323</c:v>
                </c:pt>
                <c:pt idx="334">
                  <c:v>0.44982142642883832</c:v>
                </c:pt>
                <c:pt idx="335">
                  <c:v>0.45351482936272097</c:v>
                </c:pt>
                <c:pt idx="336">
                  <c:v>0.45704420306643595</c:v>
                </c:pt>
                <c:pt idx="337">
                  <c:v>0.4602875822196103</c:v>
                </c:pt>
                <c:pt idx="338">
                  <c:v>0.46330779986880849</c:v>
                </c:pt>
                <c:pt idx="339">
                  <c:v>0.46610560544141949</c:v>
                </c:pt>
                <c:pt idx="340">
                  <c:v>0.46868177322268378</c:v>
                </c:pt>
                <c:pt idx="341">
                  <c:v>0.47103709850399855</c:v>
                </c:pt>
                <c:pt idx="342">
                  <c:v>0.47317239373096037</c:v>
                </c:pt>
                <c:pt idx="343">
                  <c:v>0.4750884846466259</c:v>
                </c:pt>
                <c:pt idx="344">
                  <c:v>0.47678620644096797</c:v>
                </c:pt>
                <c:pt idx="345">
                  <c:v>0.47826639989615988</c:v>
                </c:pt>
                <c:pt idx="346">
                  <c:v>0.47957974337431525</c:v>
                </c:pt>
                <c:pt idx="347">
                  <c:v>0.48072708561295957</c:v>
                </c:pt>
                <c:pt idx="348">
                  <c:v>0.48170927303137961</c:v>
                </c:pt>
                <c:pt idx="349">
                  <c:v>0.48252714674304964</c:v>
                </c:pt>
                <c:pt idx="350">
                  <c:v>0.48318153957751081</c:v>
                </c:pt>
                <c:pt idx="351">
                  <c:v>0.48362480611816849</c:v>
                </c:pt>
                <c:pt idx="352">
                  <c:v>0.48398049010312083</c:v>
                </c:pt>
                <c:pt idx="353">
                  <c:v>0.48424941307881891</c:v>
                </c:pt>
                <c:pt idx="354">
                  <c:v>0.48443238613162348</c:v>
                </c:pt>
                <c:pt idx="355">
                  <c:v>0.48453020817787651</c:v>
                </c:pt>
                <c:pt idx="356">
                  <c:v>0.4845439452403551</c:v>
                </c:pt>
                <c:pt idx="357">
                  <c:v>0.48447346084039677</c:v>
                </c:pt>
                <c:pt idx="358">
                  <c:v>0.48431762440193876</c:v>
                </c:pt>
                <c:pt idx="359">
                  <c:v>0.48407529321721243</c:v>
                </c:pt>
                <c:pt idx="360">
                  <c:v>0.48362232261915333</c:v>
                </c:pt>
                <c:pt idx="361">
                  <c:v>0.48300600979917224</c:v>
                </c:pt>
                <c:pt idx="362">
                  <c:v>0.48222510305220628</c:v>
                </c:pt>
                <c:pt idx="363">
                  <c:v>0.48127834184980134</c:v>
                </c:pt>
                <c:pt idx="364">
                  <c:v>0.48016446053169648</c:v>
                </c:pt>
                <c:pt idx="365">
                  <c:v>0.47888219199237819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773904"/>
        <c:axId val="372773512"/>
      </c:lineChart>
      <c:dateAx>
        <c:axId val="372773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3512"/>
        <c:crosses val="autoZero"/>
        <c:auto val="1"/>
        <c:lblOffset val="100"/>
        <c:baseTimeUnit val="days"/>
      </c:dateAx>
      <c:valAx>
        <c:axId val="372773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39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772728"/>
        <c:axId val="372776648"/>
      </c:scatterChart>
      <c:valAx>
        <c:axId val="372772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6648"/>
        <c:crosses val="autoZero"/>
        <c:crossBetween val="midCat"/>
      </c:valAx>
      <c:valAx>
        <c:axId val="37277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27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17.976627485274243</c:v>
                </c:pt>
                <c:pt idx="1">
                  <c:v>18.117372032884383</c:v>
                </c:pt>
                <c:pt idx="2">
                  <c:v>18.268851931958366</c:v>
                </c:pt>
                <c:pt idx="3">
                  <c:v>18.430717299107847</c:v>
                </c:pt>
                <c:pt idx="4">
                  <c:v>18.60261824398205</c:v>
                </c:pt>
                <c:pt idx="5">
                  <c:v>18.784204883398168</c:v>
                </c:pt>
                <c:pt idx="6">
                  <c:v>18.97512732947181</c:v>
                </c:pt>
                <c:pt idx="7">
                  <c:v>19.175035697311678</c:v>
                </c:pt>
                <c:pt idx="8">
                  <c:v>19.385167705114895</c:v>
                </c:pt>
                <c:pt idx="9">
                  <c:v>19.60659972340823</c:v>
                </c:pt>
                <c:pt idx="10">
                  <c:v>19.838739839267316</c:v>
                </c:pt>
                <c:pt idx="11">
                  <c:v>20.080996136673789</c:v>
                </c:pt>
                <c:pt idx="12">
                  <c:v>20.332776702109612</c:v>
                </c:pt>
                <c:pt idx="13">
                  <c:v>20.593489621441094</c:v>
                </c:pt>
                <c:pt idx="14">
                  <c:v>20.862542981436029</c:v>
                </c:pt>
                <c:pt idx="15">
                  <c:v>21.139344867454668</c:v>
                </c:pt>
                <c:pt idx="16">
                  <c:v>21.423303365945504</c:v>
                </c:pt>
                <c:pt idx="17">
                  <c:v>21.713826562880811</c:v>
                </c:pt>
                <c:pt idx="18">
                  <c:v>22.010322542799173</c:v>
                </c:pt>
                <c:pt idx="19">
                  <c:v>22.312199393815817</c:v>
                </c:pt>
                <c:pt idx="20">
                  <c:v>22.618865201814934</c:v>
                </c:pt>
                <c:pt idx="21">
                  <c:v>22.929728051088752</c:v>
                </c:pt>
                <c:pt idx="22">
                  <c:v>23.246701074564562</c:v>
                </c:pt>
                <c:pt idx="23">
                  <c:v>23.571744869596191</c:v>
                </c:pt>
                <c:pt idx="24">
                  <c:v>23.904338719669198</c:v>
                </c:pt>
                <c:pt idx="25">
                  <c:v>24.243961909652818</c:v>
                </c:pt>
                <c:pt idx="26">
                  <c:v>24.590093722280912</c:v>
                </c:pt>
                <c:pt idx="27">
                  <c:v>24.942213442934943</c:v>
                </c:pt>
                <c:pt idx="28">
                  <c:v>25.299800356850028</c:v>
                </c:pt>
                <c:pt idx="29">
                  <c:v>25.662333745881917</c:v>
                </c:pt>
                <c:pt idx="30">
                  <c:v>26.029292894879887</c:v>
                </c:pt>
                <c:pt idx="31">
                  <c:v>26.400157089318547</c:v>
                </c:pt>
                <c:pt idx="32">
                  <c:v>26.774405612510495</c:v>
                </c:pt>
                <c:pt idx="33">
                  <c:v>27.151517747608679</c:v>
                </c:pt>
                <c:pt idx="34">
                  <c:v>27.530972780227398</c:v>
                </c:pt>
                <c:pt idx="35">
                  <c:v>27.91224999465048</c:v>
                </c:pt>
                <c:pt idx="36">
                  <c:v>28.296774296133243</c:v>
                </c:pt>
                <c:pt idx="37">
                  <c:v>28.686089563536058</c:v>
                </c:pt>
                <c:pt idx="38">
                  <c:v>29.079853532120723</c:v>
                </c:pt>
                <c:pt idx="39">
                  <c:v>29.477723939410808</c:v>
                </c:pt>
                <c:pt idx="40">
                  <c:v>29.879358523222617</c:v>
                </c:pt>
                <c:pt idx="41">
                  <c:v>30.284415020653977</c:v>
                </c:pt>
                <c:pt idx="42">
                  <c:v>30.692551169847139</c:v>
                </c:pt>
                <c:pt idx="43">
                  <c:v>31.103424706855524</c:v>
                </c:pt>
                <c:pt idx="44">
                  <c:v>31.516693369116233</c:v>
                </c:pt>
                <c:pt idx="45">
                  <c:v>31.932014895130749</c:v>
                </c:pt>
                <c:pt idx="46">
                  <c:v>32.349047021584454</c:v>
                </c:pt>
                <c:pt idx="47">
                  <c:v>32.767447484643867</c:v>
                </c:pt>
                <c:pt idx="48">
                  <c:v>33.186874023685235</c:v>
                </c:pt>
                <c:pt idx="49">
                  <c:v>33.606984375044703</c:v>
                </c:pt>
                <c:pt idx="50">
                  <c:v>34.029297608403226</c:v>
                </c:pt>
                <c:pt idx="51">
                  <c:v>34.45536983385017</c:v>
                </c:pt>
                <c:pt idx="52">
                  <c:v>34.884914349348819</c:v>
                </c:pt>
                <c:pt idx="53">
                  <c:v>35.317644451239282</c:v>
                </c:pt>
                <c:pt idx="54">
                  <c:v>35.753273437182159</c:v>
                </c:pt>
                <c:pt idx="55">
                  <c:v>36.191514604525366</c:v>
                </c:pt>
                <c:pt idx="56">
                  <c:v>36.632081249752083</c:v>
                </c:pt>
                <c:pt idx="57">
                  <c:v>37.074686670828875</c:v>
                </c:pt>
                <c:pt idx="58">
                  <c:v>37.519044164322054</c:v>
                </c:pt>
                <c:pt idx="59">
                  <c:v>37.964867027809049</c:v>
                </c:pt>
                <c:pt idx="60">
                  <c:v>38.411868558494774</c:v>
                </c:pt>
                <c:pt idx="61">
                  <c:v>38.859762053457757</c:v>
                </c:pt>
                <c:pt idx="62">
                  <c:v>39.308260809693351</c:v>
                </c:pt>
                <c:pt idx="63">
                  <c:v>39.757078124955299</c:v>
                </c:pt>
                <c:pt idx="64">
                  <c:v>40.208177685348446</c:v>
                </c:pt>
                <c:pt idx="65">
                  <c:v>40.663350245775653</c:v>
                </c:pt>
                <c:pt idx="66">
                  <c:v>41.122049706070023</c:v>
                </c:pt>
                <c:pt idx="67">
                  <c:v>41.583729965100069</c:v>
                </c:pt>
                <c:pt idx="68">
                  <c:v>42.047844922835267</c:v>
                </c:pt>
                <c:pt idx="69">
                  <c:v>42.513848478100925</c:v>
                </c:pt>
                <c:pt idx="70">
                  <c:v>42.981194531172513</c:v>
                </c:pt>
                <c:pt idx="71">
                  <c:v>43.449336980436264</c:v>
                </c:pt>
                <c:pt idx="72">
                  <c:v>43.917729726008005</c:v>
                </c:pt>
                <c:pt idx="73">
                  <c:v>44.38582666668642</c:v>
                </c:pt>
                <c:pt idx="74">
                  <c:v>44.85308170306962</c:v>
                </c:pt>
                <c:pt idx="75">
                  <c:v>45.318948733074862</c:v>
                </c:pt>
                <c:pt idx="76">
                  <c:v>45.782881657403365</c:v>
                </c:pt>
                <c:pt idx="77">
                  <c:v>46.244334374507886</c:v>
                </c:pt>
                <c:pt idx="78">
                  <c:v>46.705152250221005</c:v>
                </c:pt>
                <c:pt idx="79">
                  <c:v>47.167062326540638</c:v>
                </c:pt>
                <c:pt idx="80">
                  <c:v>47.629341021133584</c:v>
                </c:pt>
                <c:pt idx="81">
                  <c:v>48.091264750282946</c:v>
                </c:pt>
                <c:pt idx="82">
                  <c:v>48.552109929809482</c:v>
                </c:pt>
                <c:pt idx="83">
                  <c:v>49.011152978833493</c:v>
                </c:pt>
                <c:pt idx="84">
                  <c:v>49.467670311755498</c:v>
                </c:pt>
                <c:pt idx="85">
                  <c:v>49.92093834701393</c:v>
                </c:pt>
                <c:pt idx="86">
                  <c:v>50.370233499711112</c:v>
                </c:pt>
                <c:pt idx="87">
                  <c:v>50.814832188002768</c:v>
                </c:pt>
                <c:pt idx="88">
                  <c:v>51.254010827041093</c:v>
                </c:pt>
                <c:pt idx="89">
                  <c:v>51.687045836116056</c:v>
                </c:pt>
                <c:pt idx="90">
                  <c:v>52.113213628756682</c:v>
                </c:pt>
                <c:pt idx="91">
                  <c:v>52.531790624326092</c:v>
                </c:pt>
                <c:pt idx="92">
                  <c:v>52.944236502297485</c:v>
                </c:pt>
                <c:pt idx="93">
                  <c:v>53.352206632015964</c:v>
                </c:pt>
                <c:pt idx="94">
                  <c:v>53.755270957614165</c:v>
                </c:pt>
                <c:pt idx="95">
                  <c:v>54.152999425479877</c:v>
                </c:pt>
                <c:pt idx="96">
                  <c:v>54.544961981857853</c:v>
                </c:pt>
                <c:pt idx="97">
                  <c:v>54.930728570930654</c:v>
                </c:pt>
                <c:pt idx="98">
                  <c:v>55.309869140363297</c:v>
                </c:pt>
                <c:pt idx="99">
                  <c:v>55.681953634028986</c:v>
                </c:pt>
                <c:pt idx="100">
                  <c:v>56.04655199975906</c:v>
                </c:pt>
                <c:pt idx="101">
                  <c:v>56.403234182364699</c:v>
                </c:pt>
                <c:pt idx="102">
                  <c:v>56.751570128513102</c:v>
                </c:pt>
                <c:pt idx="103">
                  <c:v>57.091129782509853</c:v>
                </c:pt>
                <c:pt idx="104">
                  <c:v>57.421483091494466</c:v>
                </c:pt>
                <c:pt idx="105">
                  <c:v>57.742200000025335</c:v>
                </c:pt>
                <c:pt idx="106">
                  <c:v>58.054010917565655</c:v>
                </c:pt>
                <c:pt idx="107">
                  <c:v>58.357955712026786</c:v>
                </c:pt>
                <c:pt idx="108">
                  <c:v>58.6540685126824</c:v>
                </c:pt>
                <c:pt idx="109">
                  <c:v>58.942383453941773</c:v>
                </c:pt>
                <c:pt idx="110">
                  <c:v>59.222934665424482</c:v>
                </c:pt>
                <c:pt idx="111">
                  <c:v>59.495756276404215</c:v>
                </c:pt>
                <c:pt idx="112">
                  <c:v>59.760882421676072</c:v>
                </c:pt>
                <c:pt idx="113">
                  <c:v>60.018347229941618</c:v>
                </c:pt>
                <c:pt idx="114">
                  <c:v>60.268184833800682</c:v>
                </c:pt>
                <c:pt idx="115">
                  <c:v>60.510429364416211</c:v>
                </c:pt>
                <c:pt idx="116">
                  <c:v>60.745114952245999</c:v>
                </c:pt>
                <c:pt idx="117">
                  <c:v>60.972275728439641</c:v>
                </c:pt>
                <c:pt idx="118">
                  <c:v>61.191945825783264</c:v>
                </c:pt>
                <c:pt idx="119">
                  <c:v>61.404159374348822</c:v>
                </c:pt>
                <c:pt idx="120">
                  <c:v>61.608670629654085</c:v>
                </c:pt>
                <c:pt idx="121">
                  <c:v>61.805388574541681</c:v>
                </c:pt>
                <c:pt idx="122">
                  <c:v>61.994579433623173</c:v>
                </c:pt>
                <c:pt idx="123">
                  <c:v>62.176509429886934</c:v>
                </c:pt>
                <c:pt idx="124">
                  <c:v>62.351444788090888</c:v>
                </c:pt>
                <c:pt idx="125">
                  <c:v>62.519651731529407</c:v>
                </c:pt>
                <c:pt idx="126">
                  <c:v>62.681396484281869</c:v>
                </c:pt>
                <c:pt idx="127">
                  <c:v>62.836945271092866</c:v>
                </c:pt>
                <c:pt idx="128">
                  <c:v>62.986564316161513</c:v>
                </c:pt>
                <c:pt idx="129">
                  <c:v>63.130519843128113</c:v>
                </c:pt>
                <c:pt idx="130">
                  <c:v>63.269078075938992</c:v>
                </c:pt>
                <c:pt idx="131">
                  <c:v>63.402505238939611</c:v>
                </c:pt>
                <c:pt idx="132">
                  <c:v>63.531067555238096</c:v>
                </c:pt>
                <c:pt idx="133">
                  <c:v>63.655031250230962</c:v>
                </c:pt>
                <c:pt idx="134">
                  <c:v>63.773763755695626</c:v>
                </c:pt>
                <c:pt idx="135">
                  <c:v>63.88660520264613</c:v>
                </c:pt>
                <c:pt idx="136">
                  <c:v>63.993780854557244</c:v>
                </c:pt>
                <c:pt idx="137">
                  <c:v>64.0955159796668</c:v>
                </c:pt>
                <c:pt idx="138">
                  <c:v>64.192035845347817</c:v>
                </c:pt>
                <c:pt idx="139">
                  <c:v>64.283565715780213</c:v>
                </c:pt>
                <c:pt idx="140">
                  <c:v>64.370330859255048</c:v>
                </c:pt>
                <c:pt idx="141">
                  <c:v>64.452556541269388</c:v>
                </c:pt>
                <c:pt idx="142">
                  <c:v>64.530468028823719</c:v>
                </c:pt>
                <c:pt idx="143">
                  <c:v>64.60429058825332</c:v>
                </c:pt>
                <c:pt idx="144">
                  <c:v>64.674249485973263</c:v>
                </c:pt>
                <c:pt idx="145">
                  <c:v>64.740569988531732</c:v>
                </c:pt>
                <c:pt idx="146">
                  <c:v>64.80347736319527</c:v>
                </c:pt>
                <c:pt idx="147">
                  <c:v>64.863196874782446</c:v>
                </c:pt>
                <c:pt idx="148">
                  <c:v>64.919350805053753</c:v>
                </c:pt>
                <c:pt idx="149">
                  <c:v>64.97144311208811</c:v>
                </c:pt>
                <c:pt idx="150">
                  <c:v>65.019521579385867</c:v>
                </c:pt>
                <c:pt idx="151">
                  <c:v>65.063633991538424</c:v>
                </c:pt>
                <c:pt idx="152">
                  <c:v>65.103828132658123</c:v>
                </c:pt>
                <c:pt idx="153">
                  <c:v>65.140151785047976</c:v>
                </c:pt>
                <c:pt idx="154">
                  <c:v>65.172652734536683</c:v>
                </c:pt>
                <c:pt idx="155">
                  <c:v>65.201378762642179</c:v>
                </c:pt>
                <c:pt idx="156">
                  <c:v>65.226377653849454</c:v>
                </c:pt>
                <c:pt idx="157">
                  <c:v>65.247697193654517</c:v>
                </c:pt>
                <c:pt idx="158">
                  <c:v>65.265385163961241</c:v>
                </c:pt>
                <c:pt idx="159">
                  <c:v>65.279489349440794</c:v>
                </c:pt>
                <c:pt idx="160">
                  <c:v>65.290057532981564</c:v>
                </c:pt>
                <c:pt idx="161">
                  <c:v>65.297137499973189</c:v>
                </c:pt>
                <c:pt idx="162">
                  <c:v>65.300598411953871</c:v>
                </c:pt>
                <c:pt idx="163">
                  <c:v>65.30023206951364</c:v>
                </c:pt>
                <c:pt idx="164">
                  <c:v>65.295970209860911</c:v>
                </c:pt>
                <c:pt idx="165">
                  <c:v>65.287744569592178</c:v>
                </c:pt>
                <c:pt idx="166">
                  <c:v>65.275486887153235</c:v>
                </c:pt>
                <c:pt idx="167">
                  <c:v>65.259128899047425</c:v>
                </c:pt>
                <c:pt idx="168">
                  <c:v>65.238602343574172</c:v>
                </c:pt>
                <c:pt idx="169">
                  <c:v>65.213838957170296</c:v>
                </c:pt>
                <c:pt idx="170">
                  <c:v>65.184770479173011</c:v>
                </c:pt>
                <c:pt idx="171">
                  <c:v>65.151328643863749</c:v>
                </c:pt>
                <c:pt idx="172">
                  <c:v>65.11344519156431</c:v>
                </c:pt>
                <c:pt idx="173">
                  <c:v>65.071051857992998</c:v>
                </c:pt>
                <c:pt idx="174">
                  <c:v>65.024080382167767</c:v>
                </c:pt>
                <c:pt idx="175">
                  <c:v>64.972462499141699</c:v>
                </c:pt>
                <c:pt idx="176">
                  <c:v>64.916169768691589</c:v>
                </c:pt>
                <c:pt idx="177">
                  <c:v>64.85520560347608</c:v>
                </c:pt>
                <c:pt idx="178">
                  <c:v>64.78954952279372</c:v>
                </c:pt>
                <c:pt idx="179">
                  <c:v>64.719181049615145</c:v>
                </c:pt>
                <c:pt idx="180">
                  <c:v>64.644079704063813</c:v>
                </c:pt>
                <c:pt idx="181">
                  <c:v>64.564225008817658</c:v>
                </c:pt>
                <c:pt idx="182">
                  <c:v>64.479596484173101</c:v>
                </c:pt>
                <c:pt idx="183">
                  <c:v>64.390173651437678</c:v>
                </c:pt>
                <c:pt idx="184">
                  <c:v>64.295936031533131</c:v>
                </c:pt>
                <c:pt idx="185">
                  <c:v>64.196863146578622</c:v>
                </c:pt>
                <c:pt idx="186">
                  <c:v>64.09293451746926</c:v>
                </c:pt>
                <c:pt idx="187">
                  <c:v>63.984129664248655</c:v>
                </c:pt>
                <c:pt idx="188">
                  <c:v>63.870428110339816</c:v>
                </c:pt>
                <c:pt idx="189">
                  <c:v>63.751809374801816</c:v>
                </c:pt>
                <c:pt idx="190">
                  <c:v>63.62799016939077</c:v>
                </c:pt>
                <c:pt idx="191">
                  <c:v>63.498782771014206</c:v>
                </c:pt>
                <c:pt idx="192">
                  <c:v>63.364310053742635</c:v>
                </c:pt>
                <c:pt idx="193">
                  <c:v>63.22469488840018</c:v>
                </c:pt>
                <c:pt idx="194">
                  <c:v>63.080060148930976</c:v>
                </c:pt>
                <c:pt idx="195">
                  <c:v>62.930528707855515</c:v>
                </c:pt>
                <c:pt idx="196">
                  <c:v>62.776223437348378</c:v>
                </c:pt>
                <c:pt idx="197">
                  <c:v>62.617267210089736</c:v>
                </c:pt>
                <c:pt idx="198">
                  <c:v>62.453782898932701</c:v>
                </c:pt>
                <c:pt idx="199">
                  <c:v>62.285893376464287</c:v>
                </c:pt>
                <c:pt idx="200">
                  <c:v>62.113721514899019</c:v>
                </c:pt>
                <c:pt idx="201">
                  <c:v>61.937390187702007</c:v>
                </c:pt>
                <c:pt idx="202">
                  <c:v>61.757022266648704</c:v>
                </c:pt>
                <c:pt idx="203">
                  <c:v>61.572740625031294</c:v>
                </c:pt>
                <c:pt idx="204">
                  <c:v>61.384046945501382</c:v>
                </c:pt>
                <c:pt idx="205">
                  <c:v>61.190506623791791</c:v>
                </c:pt>
                <c:pt idx="206">
                  <c:v>60.992338098618873</c:v>
                </c:pt>
                <c:pt idx="207">
                  <c:v>60.789759812011781</c:v>
                </c:pt>
                <c:pt idx="208">
                  <c:v>60.582990203365426</c:v>
                </c:pt>
                <c:pt idx="209">
                  <c:v>60.3722477130991</c:v>
                </c:pt>
                <c:pt idx="210">
                  <c:v>60.157750780554487</c:v>
                </c:pt>
                <c:pt idx="211">
                  <c:v>59.939717847947037</c:v>
                </c:pt>
                <c:pt idx="212">
                  <c:v>59.718367353454227</c:v>
                </c:pt>
                <c:pt idx="213">
                  <c:v>59.493917738632966</c:v>
                </c:pt>
                <c:pt idx="214">
                  <c:v>59.266587442745063</c:v>
                </c:pt>
                <c:pt idx="215">
                  <c:v>59.036594906981506</c:v>
                </c:pt>
                <c:pt idx="216">
                  <c:v>58.804158570371307</c:v>
                </c:pt>
                <c:pt idx="217">
                  <c:v>58.569496875163168</c:v>
                </c:pt>
                <c:pt idx="218">
                  <c:v>58.332456227964059</c:v>
                </c:pt>
                <c:pt idx="219">
                  <c:v>58.092796574200371</c:v>
                </c:pt>
                <c:pt idx="220">
                  <c:v>57.85060665378613</c:v>
                </c:pt>
                <c:pt idx="221">
                  <c:v>57.605975209376112</c:v>
                </c:pt>
                <c:pt idx="222">
                  <c:v>57.358990981157071</c:v>
                </c:pt>
                <c:pt idx="223">
                  <c:v>57.109742711178427</c:v>
                </c:pt>
                <c:pt idx="224">
                  <c:v>56.858319140179077</c:v>
                </c:pt>
                <c:pt idx="225">
                  <c:v>56.60480901041467</c:v>
                </c:pt>
                <c:pt idx="226">
                  <c:v>56.349301062191707</c:v>
                </c:pt>
                <c:pt idx="227">
                  <c:v>56.091884037865597</c:v>
                </c:pt>
                <c:pt idx="228">
                  <c:v>55.832646677689624</c:v>
                </c:pt>
                <c:pt idx="229">
                  <c:v>55.571677723939388</c:v>
                </c:pt>
                <c:pt idx="230">
                  <c:v>55.309065917087722</c:v>
                </c:pt>
                <c:pt idx="231">
                  <c:v>55.044899999722837</c:v>
                </c:pt>
                <c:pt idx="232">
                  <c:v>54.779107157207491</c:v>
                </c:pt>
                <c:pt idx="233">
                  <c:v>54.511478051942376</c:v>
                </c:pt>
                <c:pt idx="234">
                  <c:v>54.241896636677644</c:v>
                </c:pt>
                <c:pt idx="235">
                  <c:v>53.970246865587043</c:v>
                </c:pt>
                <c:pt idx="236">
                  <c:v>53.69641269221902</c:v>
                </c:pt>
                <c:pt idx="237">
                  <c:v>53.420278070401395</c:v>
                </c:pt>
                <c:pt idx="238">
                  <c:v>53.141726952977479</c:v>
                </c:pt>
                <c:pt idx="239">
                  <c:v>52.860643294400397</c:v>
                </c:pt>
                <c:pt idx="240">
                  <c:v>52.576911047633203</c:v>
                </c:pt>
                <c:pt idx="241">
                  <c:v>52.290414167262085</c:v>
                </c:pt>
                <c:pt idx="242">
                  <c:v>52.001036605817667</c:v>
                </c:pt>
                <c:pt idx="243">
                  <c:v>51.708662317906104</c:v>
                </c:pt>
                <c:pt idx="244">
                  <c:v>51.413175256038087</c:v>
                </c:pt>
                <c:pt idx="245">
                  <c:v>51.114459375478326</c:v>
                </c:pt>
                <c:pt idx="246">
                  <c:v>50.812100548174101</c:v>
                </c:pt>
                <c:pt idx="247">
                  <c:v>50.505766563210635</c:v>
                </c:pt>
                <c:pt idx="248">
                  <c:v>50.195464247987346</c:v>
                </c:pt>
                <c:pt idx="249">
                  <c:v>49.881200428586453</c:v>
                </c:pt>
                <c:pt idx="250">
                  <c:v>49.562981930215443</c:v>
                </c:pt>
                <c:pt idx="251">
                  <c:v>49.240815579758163</c:v>
                </c:pt>
                <c:pt idx="252">
                  <c:v>48.91470820377581</c:v>
                </c:pt>
                <c:pt idx="253">
                  <c:v>48.584666627485831</c:v>
                </c:pt>
                <c:pt idx="254">
                  <c:v>48.250697678626914</c:v>
                </c:pt>
                <c:pt idx="255">
                  <c:v>47.912808181771211</c:v>
                </c:pt>
                <c:pt idx="256">
                  <c:v>47.571004964461153</c:v>
                </c:pt>
                <c:pt idx="257">
                  <c:v>47.225294852576084</c:v>
                </c:pt>
                <c:pt idx="258">
                  <c:v>46.875684672713817</c:v>
                </c:pt>
                <c:pt idx="259">
                  <c:v>46.522181250387803</c:v>
                </c:pt>
                <c:pt idx="260">
                  <c:v>46.164114475483075</c:v>
                </c:pt>
                <c:pt idx="261">
                  <c:v>45.801037227455524</c:v>
                </c:pt>
                <c:pt idx="262">
                  <c:v>45.433290818716131</c:v>
                </c:pt>
                <c:pt idx="263">
                  <c:v>45.061216563664914</c:v>
                </c:pt>
                <c:pt idx="264">
                  <c:v>44.685155774114122</c:v>
                </c:pt>
                <c:pt idx="265">
                  <c:v>44.305449763445978</c:v>
                </c:pt>
                <c:pt idx="266">
                  <c:v>43.922439844370814</c:v>
                </c:pt>
                <c:pt idx="267">
                  <c:v>43.536467329053472</c:v>
                </c:pt>
                <c:pt idx="268">
                  <c:v>43.147873531405018</c:v>
                </c:pt>
                <c:pt idx="269">
                  <c:v>42.756999763340829</c:v>
                </c:pt>
                <c:pt idx="270">
                  <c:v>42.364187338545783</c:v>
                </c:pt>
                <c:pt idx="271">
                  <c:v>41.969777569301158</c:v>
                </c:pt>
                <c:pt idx="272">
                  <c:v>41.574111769115547</c:v>
                </c:pt>
                <c:pt idx="273">
                  <c:v>41.177531250286847</c:v>
                </c:pt>
                <c:pt idx="274">
                  <c:v>40.778870998409445</c:v>
                </c:pt>
                <c:pt idx="275">
                  <c:v>40.377057015556581</c:v>
                </c:pt>
                <c:pt idx="276">
                  <c:v>39.972567139981713</c:v>
                </c:pt>
                <c:pt idx="277">
                  <c:v>39.565879209219872</c:v>
                </c:pt>
                <c:pt idx="278">
                  <c:v>39.157471061950282</c:v>
                </c:pt>
                <c:pt idx="279">
                  <c:v>38.747820535688</c:v>
                </c:pt>
                <c:pt idx="280">
                  <c:v>38.33740546875633</c:v>
                </c:pt>
                <c:pt idx="281">
                  <c:v>37.926703699019605</c:v>
                </c:pt>
                <c:pt idx="282">
                  <c:v>37.516193064315516</c:v>
                </c:pt>
                <c:pt idx="283">
                  <c:v>37.106351402960719</c:v>
                </c:pt>
                <c:pt idx="284">
                  <c:v>36.697656552862775</c:v>
                </c:pt>
                <c:pt idx="285">
                  <c:v>36.290586351902618</c:v>
                </c:pt>
                <c:pt idx="286">
                  <c:v>35.885618638167429</c:v>
                </c:pt>
                <c:pt idx="287">
                  <c:v>35.483231249824165</c:v>
                </c:pt>
                <c:pt idx="288">
                  <c:v>35.081854147331001</c:v>
                </c:pt>
                <c:pt idx="289">
                  <c:v>34.679880885334157</c:v>
                </c:pt>
                <c:pt idx="290">
                  <c:v>34.277734691303749</c:v>
                </c:pt>
                <c:pt idx="291">
                  <c:v>33.875838793188862</c:v>
                </c:pt>
                <c:pt idx="292">
                  <c:v>33.474616419593801</c:v>
                </c:pt>
                <c:pt idx="293">
                  <c:v>33.074490797785771</c:v>
                </c:pt>
                <c:pt idx="294">
                  <c:v>32.675885156029835</c:v>
                </c:pt>
                <c:pt idx="295">
                  <c:v>32.279222721979025</c:v>
                </c:pt>
                <c:pt idx="296">
                  <c:v>31.884926723609013</c:v>
                </c:pt>
                <c:pt idx="297">
                  <c:v>31.493420389680459</c:v>
                </c:pt>
                <c:pt idx="298">
                  <c:v>31.105126946981599</c:v>
                </c:pt>
                <c:pt idx="299">
                  <c:v>30.720469624203229</c:v>
                </c:pt>
                <c:pt idx="300">
                  <c:v>30.339871649131446</c:v>
                </c:pt>
                <c:pt idx="301">
                  <c:v>29.963756249565634</c:v>
                </c:pt>
                <c:pt idx="302">
                  <c:v>29.590564763665732</c:v>
                </c:pt>
                <c:pt idx="303">
                  <c:v>29.218711223706073</c:v>
                </c:pt>
                <c:pt idx="304">
                  <c:v>28.848577901408348</c:v>
                </c:pt>
                <c:pt idx="305">
                  <c:v>28.480547066219152</c:v>
                </c:pt>
                <c:pt idx="306">
                  <c:v>28.115000988230378</c:v>
                </c:pt>
                <c:pt idx="307">
                  <c:v>27.752321938465215</c:v>
                </c:pt>
                <c:pt idx="308">
                  <c:v>27.392892187065446</c:v>
                </c:pt>
                <c:pt idx="309">
                  <c:v>27.037094005277112</c:v>
                </c:pt>
                <c:pt idx="310">
                  <c:v>26.685309661618831</c:v>
                </c:pt>
                <c:pt idx="311">
                  <c:v>26.337921428427631</c:v>
                </c:pt>
                <c:pt idx="312">
                  <c:v>25.995311574857418</c:v>
                </c:pt>
                <c:pt idx="313">
                  <c:v>25.657862372184173</c:v>
                </c:pt>
                <c:pt idx="314">
                  <c:v>25.325956090772525</c:v>
                </c:pt>
                <c:pt idx="315">
                  <c:v>24.999975000321868</c:v>
                </c:pt>
                <c:pt idx="316">
                  <c:v>24.677961337752642</c:v>
                </c:pt>
                <c:pt idx="317">
                  <c:v>24.358039728152967</c:v>
                </c:pt>
                <c:pt idx="318">
                  <c:v>24.040716018707357</c:v>
                </c:pt>
                <c:pt idx="319">
                  <c:v>23.726496059301176</c:v>
                </c:pt>
                <c:pt idx="320">
                  <c:v>23.415885699533725</c:v>
                </c:pt>
                <c:pt idx="321">
                  <c:v>23.109390788312467</c:v>
                </c:pt>
                <c:pt idx="322">
                  <c:v>22.807517174864188</c:v>
                </c:pt>
                <c:pt idx="323">
                  <c:v>22.510770707165022</c:v>
                </c:pt>
                <c:pt idx="324">
                  <c:v>22.219657237621554</c:v>
                </c:pt>
                <c:pt idx="325">
                  <c:v>21.934682611988059</c:v>
                </c:pt>
                <c:pt idx="326">
                  <c:v>21.656352680316196</c:v>
                </c:pt>
                <c:pt idx="327">
                  <c:v>21.385173294373921</c:v>
                </c:pt>
                <c:pt idx="328">
                  <c:v>21.121650300567438</c:v>
                </c:pt>
                <c:pt idx="329">
                  <c:v>20.866289548017086</c:v>
                </c:pt>
                <c:pt idx="330">
                  <c:v>20.617282629398893</c:v>
                </c:pt>
                <c:pt idx="331">
                  <c:v>20.372899702191354</c:v>
                </c:pt>
                <c:pt idx="332">
                  <c:v>20.133764466097844</c:v>
                </c:pt>
                <c:pt idx="333">
                  <c:v>19.900500623615724</c:v>
                </c:pt>
                <c:pt idx="334">
                  <c:v>19.673731872266423</c:v>
                </c:pt>
                <c:pt idx="335">
                  <c:v>19.454081913855457</c:v>
                </c:pt>
                <c:pt idx="336">
                  <c:v>19.24217444853857</c:v>
                </c:pt>
                <c:pt idx="337">
                  <c:v>19.038633174582252</c:v>
                </c:pt>
                <c:pt idx="338">
                  <c:v>18.844081796413022</c:v>
                </c:pt>
                <c:pt idx="339">
                  <c:v>18.659144008558776</c:v>
                </c:pt>
                <c:pt idx="340">
                  <c:v>18.484443515871789</c:v>
                </c:pt>
                <c:pt idx="341">
                  <c:v>18.320604017483333</c:v>
                </c:pt>
                <c:pt idx="342">
                  <c:v>18.168249212937166</c:v>
                </c:pt>
                <c:pt idx="343">
                  <c:v>18.028002802096307</c:v>
                </c:pt>
                <c:pt idx="344">
                  <c:v>17.899212236700148</c:v>
                </c:pt>
                <c:pt idx="345">
                  <c:v>17.780980176441922</c:v>
                </c:pt>
                <c:pt idx="346">
                  <c:v>17.67356313471155</c:v>
                </c:pt>
                <c:pt idx="347">
                  <c:v>17.577217630340989</c:v>
                </c:pt>
                <c:pt idx="348">
                  <c:v>17.492200171072128</c:v>
                </c:pt>
                <c:pt idx="349">
                  <c:v>17.418767278057892</c:v>
                </c:pt>
                <c:pt idx="350">
                  <c:v>17.357175462057107</c:v>
                </c:pt>
                <c:pt idx="351">
                  <c:v>17.307681236242683</c:v>
                </c:pt>
                <c:pt idx="352">
                  <c:v>17.270541118216137</c:v>
                </c:pt>
                <c:pt idx="353">
                  <c:v>17.24601162228678</c:v>
                </c:pt>
                <c:pt idx="354">
                  <c:v>17.234349260140633</c:v>
                </c:pt>
                <c:pt idx="355">
                  <c:v>17.235810547579867</c:v>
                </c:pt>
                <c:pt idx="356">
                  <c:v>17.250652001178345</c:v>
                </c:pt>
                <c:pt idx="357">
                  <c:v>17.279130132239441</c:v>
                </c:pt>
                <c:pt idx="358">
                  <c:v>17.32139595901144</c:v>
                </c:pt>
                <c:pt idx="359">
                  <c:v>17.377196224881658</c:v>
                </c:pt>
                <c:pt idx="360">
                  <c:v>17.446181048722618</c:v>
                </c:pt>
                <c:pt idx="361">
                  <c:v>17.528000542932546</c:v>
                </c:pt>
                <c:pt idx="362">
                  <c:v>17.622304818034173</c:v>
                </c:pt>
                <c:pt idx="363">
                  <c:v>17.728743992694493</c:v>
                </c:pt>
                <c:pt idx="364">
                  <c:v>17.846968177513318</c:v>
                </c:pt>
                <c:pt idx="365">
                  <c:v>17.976627484272267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17.899293515880903</c:v>
                </c:pt>
                <c:pt idx="1">
                  <c:v>18.07851422742009</c:v>
                </c:pt>
                <c:pt idx="2">
                  <c:v>18.266553695499898</c:v>
                </c:pt>
                <c:pt idx="3">
                  <c:v>18.461745281269152</c:v>
                </c:pt>
                <c:pt idx="4">
                  <c:v>18.6624223446846</c:v>
                </c:pt>
                <c:pt idx="5">
                  <c:v>18.866918246597052</c:v>
                </c:pt>
                <c:pt idx="6">
                  <c:v>19.073566344380378</c:v>
                </c:pt>
                <c:pt idx="7">
                  <c:v>19.28069999963045</c:v>
                </c:pt>
                <c:pt idx="8">
                  <c:v>19.490867916973578</c:v>
                </c:pt>
                <c:pt idx="9">
                  <c:v>19.707800370454787</c:v>
                </c:pt>
                <c:pt idx="10">
                  <c:v>19.931603060449874</c:v>
                </c:pt>
                <c:pt idx="11">
                  <c:v>20.162381693295067</c:v>
                </c:pt>
                <c:pt idx="12">
                  <c:v>20.400241973676849</c:v>
                </c:pt>
                <c:pt idx="13">
                  <c:v>20.645289609261919</c:v>
                </c:pt>
                <c:pt idx="14">
                  <c:v>20.897630301490427</c:v>
                </c:pt>
                <c:pt idx="15">
                  <c:v>21.157369757762975</c:v>
                </c:pt>
                <c:pt idx="16">
                  <c:v>21.424613682180642</c:v>
                </c:pt>
                <c:pt idx="17">
                  <c:v>21.699467780121733</c:v>
                </c:pt>
                <c:pt idx="18">
                  <c:v>21.982037754889042</c:v>
                </c:pt>
                <c:pt idx="19">
                  <c:v>22.272429314575028</c:v>
                </c:pt>
                <c:pt idx="20">
                  <c:v>22.57074816035373</c:v>
                </c:pt>
                <c:pt idx="21">
                  <c:v>22.877099999785422</c:v>
                </c:pt>
                <c:pt idx="22">
                  <c:v>23.193456069113957</c:v>
                </c:pt>
                <c:pt idx="23">
                  <c:v>23.521061808296615</c:v>
                </c:pt>
                <c:pt idx="24">
                  <c:v>23.858934237674941</c:v>
                </c:pt>
                <c:pt idx="25">
                  <c:v>24.20609037982566</c:v>
                </c:pt>
                <c:pt idx="26">
                  <c:v>24.561547249209667</c:v>
                </c:pt>
                <c:pt idx="27">
                  <c:v>24.924321866088679</c:v>
                </c:pt>
                <c:pt idx="28">
                  <c:v>25.293431250937282</c:v>
                </c:pt>
                <c:pt idx="29">
                  <c:v>25.667892420291899</c:v>
                </c:pt>
                <c:pt idx="30">
                  <c:v>26.04672239390867</c:v>
                </c:pt>
                <c:pt idx="31">
                  <c:v>26.428938192182351</c:v>
                </c:pt>
                <c:pt idx="32">
                  <c:v>26.81355683276696</c:v>
                </c:pt>
                <c:pt idx="33">
                  <c:v>27.199595335019485</c:v>
                </c:pt>
                <c:pt idx="34">
                  <c:v>27.58607071723257</c:v>
                </c:pt>
                <c:pt idx="35">
                  <c:v>27.97199999988079</c:v>
                </c:pt>
                <c:pt idx="36">
                  <c:v>28.359567584030863</c:v>
                </c:pt>
                <c:pt idx="37">
                  <c:v>28.751394751854242</c:v>
                </c:pt>
                <c:pt idx="38">
                  <c:v>29.147153844471489</c:v>
                </c:pt>
                <c:pt idx="39">
                  <c:v>29.546517200927649</c:v>
                </c:pt>
                <c:pt idx="40">
                  <c:v>29.949157161159178</c:v>
                </c:pt>
                <c:pt idx="41">
                  <c:v>30.354746063665619</c:v>
                </c:pt>
                <c:pt idx="42">
                  <c:v>30.762956249713898</c:v>
                </c:pt>
                <c:pt idx="43">
                  <c:v>31.173460058282522</c:v>
                </c:pt>
                <c:pt idx="44">
                  <c:v>31.585929828722563</c:v>
                </c:pt>
                <c:pt idx="45">
                  <c:v>32.000037900597917</c:v>
                </c:pt>
                <c:pt idx="46">
                  <c:v>32.415456614190973</c:v>
                </c:pt>
                <c:pt idx="47">
                  <c:v>32.831858309092269</c:v>
                </c:pt>
                <c:pt idx="48">
                  <c:v>33.248915324040823</c:v>
                </c:pt>
                <c:pt idx="49">
                  <c:v>33.666300000064076</c:v>
                </c:pt>
                <c:pt idx="50">
                  <c:v>34.084030539356171</c:v>
                </c:pt>
                <c:pt idx="51">
                  <c:v>34.502489212847181</c:v>
                </c:pt>
                <c:pt idx="52">
                  <c:v>34.921894460650428</c:v>
                </c:pt>
                <c:pt idx="53">
                  <c:v>35.342464723225149</c:v>
                </c:pt>
                <c:pt idx="54">
                  <c:v>35.764418440365361</c:v>
                </c:pt>
                <c:pt idx="55">
                  <c:v>36.187974052769796</c:v>
                </c:pt>
                <c:pt idx="56">
                  <c:v>36.613350000232458</c:v>
                </c:pt>
                <c:pt idx="57">
                  <c:v>37.040764723452071</c:v>
                </c:pt>
                <c:pt idx="58">
                  <c:v>37.470436662142831</c:v>
                </c:pt>
                <c:pt idx="59">
                  <c:v>37.902584257189723</c:v>
                </c:pt>
                <c:pt idx="60">
                  <c:v>38.337425948200483</c:v>
                </c:pt>
                <c:pt idx="61">
                  <c:v>38.775180174543387</c:v>
                </c:pt>
                <c:pt idx="62">
                  <c:v>39.216065379072511</c:v>
                </c:pt>
                <c:pt idx="63">
                  <c:v>39.660300000011922</c:v>
                </c:pt>
                <c:pt idx="64">
                  <c:v>40.108739595641552</c:v>
                </c:pt>
                <c:pt idx="65">
                  <c:v>40.561730028986595</c:v>
                </c:pt>
                <c:pt idx="66">
                  <c:v>41.01872520045498</c:v>
                </c:pt>
                <c:pt idx="67">
                  <c:v>41.479179009072581</c:v>
                </c:pt>
                <c:pt idx="68">
                  <c:v>41.942545353492356</c:v>
                </c:pt>
                <c:pt idx="69">
                  <c:v>42.408278134172932</c:v>
                </c:pt>
                <c:pt idx="70">
                  <c:v>42.875831250222106</c:v>
                </c:pt>
                <c:pt idx="71">
                  <c:v>43.344658600849961</c:v>
                </c:pt>
                <c:pt idx="72">
                  <c:v>43.814214085372178</c:v>
                </c:pt>
                <c:pt idx="73">
                  <c:v>44.283951603644113</c:v>
                </c:pt>
                <c:pt idx="74">
                  <c:v>44.753325054791432</c:v>
                </c:pt>
                <c:pt idx="75">
                  <c:v>45.221788338210899</c:v>
                </c:pt>
                <c:pt idx="76">
                  <c:v>45.688795353517555</c:v>
                </c:pt>
                <c:pt idx="77">
                  <c:v>46.153800000000047</c:v>
                </c:pt>
                <c:pt idx="78">
                  <c:v>46.620697795222597</c:v>
                </c:pt>
                <c:pt idx="79">
                  <c:v>47.092801749159122</c:v>
                </c:pt>
                <c:pt idx="80">
                  <c:v>47.568692000460992</c:v>
                </c:pt>
                <c:pt idx="81">
                  <c:v>48.046948687564665</c:v>
                </c:pt>
                <c:pt idx="82">
                  <c:v>48.526151949498413</c:v>
                </c:pt>
                <c:pt idx="83">
                  <c:v>49.004881923795402</c:v>
                </c:pt>
                <c:pt idx="84">
                  <c:v>49.481718749740686</c:v>
                </c:pt>
                <c:pt idx="85">
                  <c:v>49.955242565139109</c:v>
                </c:pt>
                <c:pt idx="86">
                  <c:v>50.424033508799042</c:v>
                </c:pt>
                <c:pt idx="87">
                  <c:v>50.886671719214476</c:v>
                </c:pt>
                <c:pt idx="88">
                  <c:v>51.341737334876541</c:v>
                </c:pt>
                <c:pt idx="89">
                  <c:v>51.787810494275092</c:v>
                </c:pt>
                <c:pt idx="90">
                  <c:v>52.223471335903739</c:v>
                </c:pt>
                <c:pt idx="91">
                  <c:v>52.647299999743701</c:v>
                </c:pt>
                <c:pt idx="92">
                  <c:v>53.062136205498668</c:v>
                </c:pt>
                <c:pt idx="93">
                  <c:v>53.471547812649177</c:v>
                </c:pt>
                <c:pt idx="94">
                  <c:v>53.875207159029586</c:v>
                </c:pt>
                <c:pt idx="95">
                  <c:v>54.272786588753966</c:v>
                </c:pt>
                <c:pt idx="96">
                  <c:v>54.663958436569999</c:v>
                </c:pt>
                <c:pt idx="97">
                  <c:v>55.048395043611528</c:v>
                </c:pt>
                <c:pt idx="98">
                  <c:v>55.425768750160934</c:v>
                </c:pt>
                <c:pt idx="99">
                  <c:v>55.79575189522334</c:v>
                </c:pt>
                <c:pt idx="100">
                  <c:v>56.158016819666535</c:v>
                </c:pt>
                <c:pt idx="101">
                  <c:v>56.51223586073943</c:v>
                </c:pt>
                <c:pt idx="102">
                  <c:v>56.858081358564746</c:v>
                </c:pt>
                <c:pt idx="103">
                  <c:v>57.195225657096934</c:v>
                </c:pt>
                <c:pt idx="104">
                  <c:v>57.523341090178917</c:v>
                </c:pt>
                <c:pt idx="105">
                  <c:v>57.842100001871586</c:v>
                </c:pt>
                <c:pt idx="106">
                  <c:v>58.151520592346785</c:v>
                </c:pt>
                <c:pt idx="107">
                  <c:v>58.451985130991261</c:v>
                </c:pt>
                <c:pt idx="108">
                  <c:v>58.743712063665896</c:v>
                </c:pt>
                <c:pt idx="109">
                  <c:v>59.026919825800825</c:v>
                </c:pt>
                <c:pt idx="110">
                  <c:v>59.301826857935097</c:v>
                </c:pt>
                <c:pt idx="111">
                  <c:v>59.568651604226645</c:v>
                </c:pt>
                <c:pt idx="112">
                  <c:v>59.827612500265239</c:v>
                </c:pt>
                <c:pt idx="113">
                  <c:v>60.078927989304063</c:v>
                </c:pt>
                <c:pt idx="114">
                  <c:v>60.322816509380935</c:v>
                </c:pt>
                <c:pt idx="115">
                  <c:v>60.559496500449519</c:v>
                </c:pt>
                <c:pt idx="116">
                  <c:v>60.789186407412799</c:v>
                </c:pt>
                <c:pt idx="117">
                  <c:v>61.012104663678578</c:v>
                </c:pt>
                <c:pt idx="118">
                  <c:v>61.22846971478846</c:v>
                </c:pt>
                <c:pt idx="119">
                  <c:v>61.438499999046329</c:v>
                </c:pt>
                <c:pt idx="120">
                  <c:v>61.640921282342504</c:v>
                </c:pt>
                <c:pt idx="121">
                  <c:v>61.834604956741849</c:v>
                </c:pt>
                <c:pt idx="122">
                  <c:v>62.019987900768001</c:v>
                </c:pt>
                <c:pt idx="123">
                  <c:v>62.197506997308565</c:v>
                </c:pt>
                <c:pt idx="124">
                  <c:v>62.367599125525786</c:v>
                </c:pt>
                <c:pt idx="125">
                  <c:v>62.530701166604238</c:v>
                </c:pt>
                <c:pt idx="126">
                  <c:v>62.687249999865891</c:v>
                </c:pt>
                <c:pt idx="127">
                  <c:v>62.837682507719308</c:v>
                </c:pt>
                <c:pt idx="128">
                  <c:v>62.982435568102758</c:v>
                </c:pt>
                <c:pt idx="129">
                  <c:v>63.121946064489222</c:v>
                </c:pt>
                <c:pt idx="130">
                  <c:v>63.256650874710509</c:v>
                </c:pt>
                <c:pt idx="131">
                  <c:v>63.386986881494522</c:v>
                </c:pt>
                <c:pt idx="132">
                  <c:v>63.513390963098836</c:v>
                </c:pt>
                <c:pt idx="133">
                  <c:v>63.636299999803306</c:v>
                </c:pt>
                <c:pt idx="134">
                  <c:v>63.75458538585476</c:v>
                </c:pt>
                <c:pt idx="135">
                  <c:v>63.866972887303156</c:v>
                </c:pt>
                <c:pt idx="136">
                  <c:v>63.973680940802602</c:v>
                </c:pt>
                <c:pt idx="137">
                  <c:v>64.074927987477608</c:v>
                </c:pt>
                <c:pt idx="138">
                  <c:v>64.170932471166765</c:v>
                </c:pt>
                <c:pt idx="139">
                  <c:v>64.261912828470969</c:v>
                </c:pt>
                <c:pt idx="140">
                  <c:v>64.34808750003576</c:v>
                </c:pt>
                <c:pt idx="141">
                  <c:v>64.429674927783864</c:v>
                </c:pt>
                <c:pt idx="142">
                  <c:v>64.506893549699868</c:v>
                </c:pt>
                <c:pt idx="143">
                  <c:v>64.579961807174342</c:v>
                </c:pt>
                <c:pt idx="144">
                  <c:v>64.649098140959225</c:v>
                </c:pt>
                <c:pt idx="145">
                  <c:v>64.714520991806481</c:v>
                </c:pt>
                <c:pt idx="146">
                  <c:v>64.776448796902386</c:v>
                </c:pt>
                <c:pt idx="147">
                  <c:v>64.835099998861551</c:v>
                </c:pt>
                <c:pt idx="148">
                  <c:v>64.889673652260427</c:v>
                </c:pt>
                <c:pt idx="149">
                  <c:v>64.939368804384543</c:v>
                </c:pt>
                <c:pt idx="150">
                  <c:v>64.984403899338631</c:v>
                </c:pt>
                <c:pt idx="151">
                  <c:v>65.024997376331257</c:v>
                </c:pt>
                <c:pt idx="152">
                  <c:v>65.061367674810555</c:v>
                </c:pt>
                <c:pt idx="153">
                  <c:v>65.093733235874353</c:v>
                </c:pt>
                <c:pt idx="154">
                  <c:v>65.122312500514084</c:v>
                </c:pt>
                <c:pt idx="155">
                  <c:v>65.147323906847404</c:v>
                </c:pt>
                <c:pt idx="156">
                  <c:v>65.168985896637395</c:v>
                </c:pt>
                <c:pt idx="157">
                  <c:v>65.187516909305529</c:v>
                </c:pt>
                <c:pt idx="158">
                  <c:v>65.203135386322231</c:v>
                </c:pt>
                <c:pt idx="159">
                  <c:v>65.216059766816244</c:v>
                </c:pt>
                <c:pt idx="160">
                  <c:v>65.226508491300052</c:v>
                </c:pt>
                <c:pt idx="161">
                  <c:v>65.234699999913573</c:v>
                </c:pt>
                <c:pt idx="162">
                  <c:v>65.241489850782926</c:v>
                </c:pt>
                <c:pt idx="163">
                  <c:v>65.247223906644763</c:v>
                </c:pt>
                <c:pt idx="164">
                  <c:v>65.251356067934211</c:v>
                </c:pt>
                <c:pt idx="165">
                  <c:v>65.253340232744819</c:v>
                </c:pt>
                <c:pt idx="166">
                  <c:v>65.252630302150322</c:v>
                </c:pt>
                <c:pt idx="167">
                  <c:v>65.248680174563603</c:v>
                </c:pt>
                <c:pt idx="168">
                  <c:v>65.240943749062723</c:v>
                </c:pt>
                <c:pt idx="169">
                  <c:v>65.228874927067324</c:v>
                </c:pt>
                <c:pt idx="170">
                  <c:v>65.211927605580016</c:v>
                </c:pt>
                <c:pt idx="171">
                  <c:v>65.189555684477085</c:v>
                </c:pt>
                <c:pt idx="172">
                  <c:v>65.161213064672694</c:v>
                </c:pt>
                <c:pt idx="173">
                  <c:v>65.126353643674932</c:v>
                </c:pt>
                <c:pt idx="174">
                  <c:v>65.084431321839148</c:v>
                </c:pt>
                <c:pt idx="175">
                  <c:v>65.034899999946362</c:v>
                </c:pt>
                <c:pt idx="176">
                  <c:v>64.977868895339114</c:v>
                </c:pt>
                <c:pt idx="177">
                  <c:v>64.914029737349068</c:v>
                </c:pt>
                <c:pt idx="178">
                  <c:v>64.843710185374533</c:v>
                </c:pt>
                <c:pt idx="179">
                  <c:v>64.767237899771757</c:v>
                </c:pt>
                <c:pt idx="180">
                  <c:v>64.684940543025732</c:v>
                </c:pt>
                <c:pt idx="181">
                  <c:v>64.597145771767416</c:v>
                </c:pt>
                <c:pt idx="182">
                  <c:v>64.504181249812248</c:v>
                </c:pt>
                <c:pt idx="183">
                  <c:v>64.406374635015212</c:v>
                </c:pt>
                <c:pt idx="184">
                  <c:v>64.304053589435554</c:v>
                </c:pt>
                <c:pt idx="185">
                  <c:v>64.197545772152282</c:v>
                </c:pt>
                <c:pt idx="186">
                  <c:v>64.08717884458602</c:v>
                </c:pt>
                <c:pt idx="187">
                  <c:v>63.973280465709308</c:v>
                </c:pt>
                <c:pt idx="188">
                  <c:v>63.856178298486135</c:v>
                </c:pt>
                <c:pt idx="189">
                  <c:v>63.73619999960065</c:v>
                </c:pt>
                <c:pt idx="190">
                  <c:v>63.613327369306774</c:v>
                </c:pt>
                <c:pt idx="191">
                  <c:v>63.48717813374742</c:v>
                </c:pt>
                <c:pt idx="192">
                  <c:v>63.357533855949121</c:v>
                </c:pt>
                <c:pt idx="193">
                  <c:v>63.224176093084473</c:v>
                </c:pt>
                <c:pt idx="194">
                  <c:v>63.086886407062408</c:v>
                </c:pt>
                <c:pt idx="195">
                  <c:v>62.945446355747322</c:v>
                </c:pt>
                <c:pt idx="196">
                  <c:v>62.799637500941756</c:v>
                </c:pt>
                <c:pt idx="197">
                  <c:v>62.649241399658578</c:v>
                </c:pt>
                <c:pt idx="198">
                  <c:v>62.494039613913216</c:v>
                </c:pt>
                <c:pt idx="199">
                  <c:v>62.333813704018077</c:v>
                </c:pt>
                <c:pt idx="200">
                  <c:v>62.168345226879637</c:v>
                </c:pt>
                <c:pt idx="201">
                  <c:v>61.997415743555351</c:v>
                </c:pt>
                <c:pt idx="202">
                  <c:v>61.820806816646027</c:v>
                </c:pt>
                <c:pt idx="203">
                  <c:v>61.638300001621246</c:v>
                </c:pt>
                <c:pt idx="204">
                  <c:v>61.449039742057877</c:v>
                </c:pt>
                <c:pt idx="205">
                  <c:v>61.252680176017542</c:v>
                </c:pt>
                <c:pt idx="206">
                  <c:v>61.049767402559517</c:v>
                </c:pt>
                <c:pt idx="207">
                  <c:v>60.840847522126772</c:v>
                </c:pt>
                <c:pt idx="208">
                  <c:v>60.626466636945089</c:v>
                </c:pt>
                <c:pt idx="209">
                  <c:v>60.407170845887492</c:v>
                </c:pt>
                <c:pt idx="210">
                  <c:v>60.183506249822678</c:v>
                </c:pt>
                <c:pt idx="211">
                  <c:v>59.956018950577288</c:v>
                </c:pt>
                <c:pt idx="212">
                  <c:v>59.725255047662969</c:v>
                </c:pt>
                <c:pt idx="213">
                  <c:v>59.491760641123577</c:v>
                </c:pt>
                <c:pt idx="214">
                  <c:v>59.256081833105</c:v>
                </c:pt>
                <c:pt idx="215">
                  <c:v>59.018764723092318</c:v>
                </c:pt>
                <c:pt idx="216">
                  <c:v>58.780355411342214</c:v>
                </c:pt>
                <c:pt idx="217">
                  <c:v>58.541399999707934</c:v>
                </c:pt>
                <c:pt idx="218">
                  <c:v>58.300369406158907</c:v>
                </c:pt>
                <c:pt idx="219">
                  <c:v>58.055588920707144</c:v>
                </c:pt>
                <c:pt idx="220">
                  <c:v>57.807386206130353</c:v>
                </c:pt>
                <c:pt idx="221">
                  <c:v>57.556088921001979</c:v>
                </c:pt>
                <c:pt idx="222">
                  <c:v>57.302024726436606</c:v>
                </c:pt>
                <c:pt idx="223">
                  <c:v>57.045521282644145</c:v>
                </c:pt>
                <c:pt idx="224">
                  <c:v>56.786906249914317</c:v>
                </c:pt>
                <c:pt idx="225">
                  <c:v>56.526507288536855</c:v>
                </c:pt>
                <c:pt idx="226">
                  <c:v>56.264652059107483</c:v>
                </c:pt>
                <c:pt idx="227">
                  <c:v>56.001668221210799</c:v>
                </c:pt>
                <c:pt idx="228">
                  <c:v>55.737883436453657</c:v>
                </c:pt>
                <c:pt idx="229">
                  <c:v>55.473625364473889</c:v>
                </c:pt>
                <c:pt idx="230">
                  <c:v>55.209221665281802</c:v>
                </c:pt>
                <c:pt idx="231">
                  <c:v>54.945000000111762</c:v>
                </c:pt>
                <c:pt idx="232">
                  <c:v>54.681652095301878</c:v>
                </c:pt>
                <c:pt idx="233">
                  <c:v>54.419287172172758</c:v>
                </c:pt>
                <c:pt idx="234">
                  <c:v>54.157359128871136</c:v>
                </c:pt>
                <c:pt idx="235">
                  <c:v>53.895321865778939</c:v>
                </c:pt>
                <c:pt idx="236">
                  <c:v>53.632629282014179</c:v>
                </c:pt>
                <c:pt idx="237">
                  <c:v>53.368735276854466</c:v>
                </c:pt>
                <c:pt idx="238">
                  <c:v>53.103093749843538</c:v>
                </c:pt>
                <c:pt idx="239">
                  <c:v>52.835158600418687</c:v>
                </c:pt>
                <c:pt idx="240">
                  <c:v>52.564383727950698</c:v>
                </c:pt>
                <c:pt idx="241">
                  <c:v>52.290223031863569</c:v>
                </c:pt>
                <c:pt idx="242">
                  <c:v>52.012130411368389</c:v>
                </c:pt>
                <c:pt idx="243">
                  <c:v>51.729559766607636</c:v>
                </c:pt>
                <c:pt idx="244">
                  <c:v>51.441964995741316</c:v>
                </c:pt>
                <c:pt idx="245">
                  <c:v>51.148799999430778</c:v>
                </c:pt>
                <c:pt idx="246">
                  <c:v>50.85159385904138</c:v>
                </c:pt>
                <c:pt idx="247">
                  <c:v>50.552021282166244</c:v>
                </c:pt>
                <c:pt idx="248">
                  <c:v>50.249754609540105</c:v>
                </c:pt>
                <c:pt idx="249">
                  <c:v>49.944466180035043</c:v>
                </c:pt>
                <c:pt idx="250">
                  <c:v>49.635828334066488</c:v>
                </c:pt>
                <c:pt idx="251">
                  <c:v>49.323513409814659</c:v>
                </c:pt>
                <c:pt idx="252">
                  <c:v>49.007193749956784</c:v>
                </c:pt>
                <c:pt idx="253">
                  <c:v>48.686541690624189</c:v>
                </c:pt>
                <c:pt idx="254">
                  <c:v>48.361229572924124</c:v>
                </c:pt>
                <c:pt idx="255">
                  <c:v>48.030929736580163</c:v>
                </c:pt>
                <c:pt idx="256">
                  <c:v>47.695314521874693</c:v>
                </c:pt>
                <c:pt idx="257">
                  <c:v>47.354056267333888</c:v>
                </c:pt>
                <c:pt idx="258">
                  <c:v>47.006827312840947</c:v>
                </c:pt>
                <c:pt idx="259">
                  <c:v>46.653299999237063</c:v>
                </c:pt>
                <c:pt idx="260">
                  <c:v>46.292072666409823</c:v>
                </c:pt>
                <c:pt idx="261">
                  <c:v>45.922544605072055</c:v>
                </c:pt>
                <c:pt idx="262">
                  <c:v>45.54558957551739</c:v>
                </c:pt>
                <c:pt idx="263">
                  <c:v>45.162081341339011</c:v>
                </c:pt>
                <c:pt idx="264">
                  <c:v>44.772893658586376</c:v>
                </c:pt>
                <c:pt idx="265">
                  <c:v>44.378900291025637</c:v>
                </c:pt>
                <c:pt idx="266">
                  <c:v>43.980974999442694</c:v>
                </c:pt>
                <c:pt idx="267">
                  <c:v>43.579991544676673</c:v>
                </c:pt>
                <c:pt idx="268">
                  <c:v>43.1768236875401</c:v>
                </c:pt>
                <c:pt idx="269">
                  <c:v>42.772345189058356</c:v>
                </c:pt>
                <c:pt idx="270">
                  <c:v>42.36742981005726</c:v>
                </c:pt>
                <c:pt idx="271">
                  <c:v>41.962951311628736</c:v>
                </c:pt>
                <c:pt idx="272">
                  <c:v>41.559783454638506</c:v>
                </c:pt>
                <c:pt idx="273">
                  <c:v>41.158799999766053</c:v>
                </c:pt>
                <c:pt idx="274">
                  <c:v>40.757743731633369</c:v>
                </c:pt>
                <c:pt idx="275">
                  <c:v>40.354066180411195</c:v>
                </c:pt>
                <c:pt idx="276">
                  <c:v>39.948204227470391</c:v>
                </c:pt>
                <c:pt idx="277">
                  <c:v>39.540594752265939</c:v>
                </c:pt>
                <c:pt idx="278">
                  <c:v>39.131674635530047</c:v>
                </c:pt>
                <c:pt idx="279">
                  <c:v>38.721880757941733</c:v>
                </c:pt>
                <c:pt idx="280">
                  <c:v>38.311649999860677</c:v>
                </c:pt>
                <c:pt idx="281">
                  <c:v>37.901419241859443</c:v>
                </c:pt>
                <c:pt idx="282">
                  <c:v>37.491625364377562</c:v>
                </c:pt>
                <c:pt idx="283">
                  <c:v>37.082705247774719</c:v>
                </c:pt>
                <c:pt idx="284">
                  <c:v>36.675095772477135</c:v>
                </c:pt>
                <c:pt idx="285">
                  <c:v>36.2692338191505</c:v>
                </c:pt>
                <c:pt idx="286">
                  <c:v>35.865556267915025</c:v>
                </c:pt>
                <c:pt idx="287">
                  <c:v>35.464499999955294</c:v>
                </c:pt>
                <c:pt idx="288">
                  <c:v>35.064699763086232</c:v>
                </c:pt>
                <c:pt idx="289">
                  <c:v>34.664717492514427</c:v>
                </c:pt>
                <c:pt idx="290">
                  <c:v>34.264880849128325</c:v>
                </c:pt>
                <c:pt idx="291">
                  <c:v>33.86551749243268</c:v>
                </c:pt>
                <c:pt idx="292">
                  <c:v>33.466955083701762</c:v>
                </c:pt>
                <c:pt idx="293">
                  <c:v>33.069521282772932</c:v>
                </c:pt>
                <c:pt idx="294">
                  <c:v>32.673543750029054</c:v>
                </c:pt>
                <c:pt idx="295">
                  <c:v>32.279350145666726</c:v>
                </c:pt>
                <c:pt idx="296">
                  <c:v>31.887268130068797</c:v>
                </c:pt>
                <c:pt idx="297">
                  <c:v>31.49762536452285</c:v>
                </c:pt>
                <c:pt idx="298">
                  <c:v>31.110749507815179</c:v>
                </c:pt>
                <c:pt idx="299">
                  <c:v>30.726968221526068</c:v>
                </c:pt>
                <c:pt idx="300">
                  <c:v>30.346609165812179</c:v>
                </c:pt>
                <c:pt idx="301">
                  <c:v>29.969999999925495</c:v>
                </c:pt>
                <c:pt idx="302">
                  <c:v>29.595466016419238</c:v>
                </c:pt>
                <c:pt idx="303">
                  <c:v>29.221478134180821</c:v>
                </c:pt>
                <c:pt idx="304">
                  <c:v>28.848582452854941</c:v>
                </c:pt>
                <c:pt idx="305">
                  <c:v>28.477325073044216</c:v>
                </c:pt>
                <c:pt idx="306">
                  <c:v>28.10825209505856</c:v>
                </c:pt>
                <c:pt idx="307">
                  <c:v>27.741909621336628</c:v>
                </c:pt>
                <c:pt idx="308">
                  <c:v>27.37884374987334</c:v>
                </c:pt>
                <c:pt idx="309">
                  <c:v>27.019600583133958</c:v>
                </c:pt>
                <c:pt idx="310">
                  <c:v>26.664726220709941</c:v>
                </c:pt>
                <c:pt idx="311">
                  <c:v>26.31476676400219</c:v>
                </c:pt>
                <c:pt idx="312">
                  <c:v>25.970268312522343</c:v>
                </c:pt>
                <c:pt idx="313">
                  <c:v>25.631776967910781</c:v>
                </c:pt>
                <c:pt idx="314">
                  <c:v>25.299838829998457</c:v>
                </c:pt>
                <c:pt idx="315">
                  <c:v>24.975000000745059</c:v>
                </c:pt>
                <c:pt idx="316">
                  <c:v>24.656441327237655</c:v>
                </c:pt>
                <c:pt idx="317">
                  <c:v>24.342979591446266</c:v>
                </c:pt>
                <c:pt idx="318">
                  <c:v>24.034614796776857</c:v>
                </c:pt>
                <c:pt idx="319">
                  <c:v>23.731346939184839</c:v>
                </c:pt>
                <c:pt idx="320">
                  <c:v>23.433176020798939</c:v>
                </c:pt>
                <c:pt idx="321">
                  <c:v>23.140102041086983</c:v>
                </c:pt>
                <c:pt idx="322">
                  <c:v>22.852125000581147</c:v>
                </c:pt>
                <c:pt idx="323">
                  <c:v>22.569244898536375</c:v>
                </c:pt>
                <c:pt idx="324">
                  <c:v>22.291461734952669</c:v>
                </c:pt>
                <c:pt idx="325">
                  <c:v>22.01877551057509</c:v>
                </c:pt>
                <c:pt idx="326">
                  <c:v>21.751186225989034</c:v>
                </c:pt>
                <c:pt idx="327">
                  <c:v>21.488693878480369</c:v>
                </c:pt>
                <c:pt idx="328">
                  <c:v>21.231298470443914</c:v>
                </c:pt>
                <c:pt idx="329">
                  <c:v>20.979000000655653</c:v>
                </c:pt>
                <c:pt idx="330">
                  <c:v>20.72943203486502</c:v>
                </c:pt>
                <c:pt idx="331">
                  <c:v>20.480956268097675</c:v>
                </c:pt>
                <c:pt idx="332">
                  <c:v>20.234664906295279</c:v>
                </c:pt>
                <c:pt idx="333">
                  <c:v>19.991650147523199</c:v>
                </c:pt>
                <c:pt idx="334">
                  <c:v>19.75300419154976</c:v>
                </c:pt>
                <c:pt idx="335">
                  <c:v>19.5198192430394</c:v>
                </c:pt>
                <c:pt idx="336">
                  <c:v>19.29318750053644</c:v>
                </c:pt>
                <c:pt idx="337">
                  <c:v>19.074201167161977</c:v>
                </c:pt>
                <c:pt idx="338">
                  <c:v>18.863952441992502</c:v>
                </c:pt>
                <c:pt idx="339">
                  <c:v>18.663533529639246</c:v>
                </c:pt>
                <c:pt idx="340">
                  <c:v>18.474036627369266</c:v>
                </c:pt>
                <c:pt idx="341">
                  <c:v>18.296553937026431</c:v>
                </c:pt>
                <c:pt idx="342">
                  <c:v>18.132177663062301</c:v>
                </c:pt>
                <c:pt idx="343">
                  <c:v>17.98200000077486</c:v>
                </c:pt>
                <c:pt idx="344">
                  <c:v>17.841925914159845</c:v>
                </c:pt>
                <c:pt idx="345">
                  <c:v>17.707888140422959</c:v>
                </c:pt>
                <c:pt idx="346">
                  <c:v>17.581020564798798</c:v>
                </c:pt>
                <c:pt idx="347">
                  <c:v>17.462457063581262</c:v>
                </c:pt>
                <c:pt idx="348">
                  <c:v>17.353331521259886</c:v>
                </c:pt>
                <c:pt idx="349">
                  <c:v>17.254777814235005</c:v>
                </c:pt>
                <c:pt idx="350">
                  <c:v>17.167929828166962</c:v>
                </c:pt>
                <c:pt idx="351">
                  <c:v>17.093921443607126</c:v>
                </c:pt>
                <c:pt idx="352">
                  <c:v>17.033886534827097</c:v>
                </c:pt>
                <c:pt idx="353">
                  <c:v>16.988958985039165</c:v>
                </c:pt>
                <c:pt idx="354">
                  <c:v>16.960272677242756</c:v>
                </c:pt>
                <c:pt idx="355">
                  <c:v>16.948961488902569</c:v>
                </c:pt>
                <c:pt idx="356">
                  <c:v>16.956159304295266</c:v>
                </c:pt>
                <c:pt idx="357">
                  <c:v>16.983000004291533</c:v>
                </c:pt>
                <c:pt idx="358">
                  <c:v>17.03167158941428</c:v>
                </c:pt>
                <c:pt idx="359">
                  <c:v>17.102495058377585</c:v>
                </c:pt>
                <c:pt idx="360">
                  <c:v>17.193803765773772</c:v>
                </c:pt>
                <c:pt idx="361">
                  <c:v>17.303931073546412</c:v>
                </c:pt>
                <c:pt idx="362">
                  <c:v>17.431210344533127</c:v>
                </c:pt>
                <c:pt idx="363">
                  <c:v>17.573974938988687</c:v>
                </c:pt>
                <c:pt idx="364">
                  <c:v>17.730558208525178</c:v>
                </c:pt>
                <c:pt idx="365">
                  <c:v>17.899293517867726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6.1641621547056991</c:v>
                </c:pt>
                <c:pt idx="7">
                  <c:v>8.052237097122509</c:v>
                </c:pt>
                <c:pt idx="8">
                  <c:v>2.4188853930491918</c:v>
                </c:pt>
                <c:pt idx="9">
                  <c:v>2.0003417507562942</c:v>
                </c:pt>
                <c:pt idx="10">
                  <c:v>20.074424837955927</c:v>
                </c:pt>
                <c:pt idx="11">
                  <c:v>18.021186492350228</c:v>
                </c:pt>
                <c:pt idx="12">
                  <c:v>6.1230639003066996</c:v>
                </c:pt>
                <c:pt idx="13">
                  <c:v>20.71634270725017</c:v>
                </c:pt>
                <c:pt idx="14">
                  <c:v>21.316824874836083</c:v>
                </c:pt>
                <c:pt idx="15">
                  <c:v>21.026241804609086</c:v>
                </c:pt>
                <c:pt idx="16">
                  <c:v>14.110078337543527</c:v>
                </c:pt>
                <c:pt idx="17">
                  <c:v>4.4766449642017561</c:v>
                </c:pt>
                <c:pt idx="18">
                  <c:v>11.319682789711347</c:v>
                </c:pt>
                <c:pt idx="19">
                  <c:v>6.552768311666</c:v>
                </c:pt>
                <c:pt idx="20">
                  <c:v>18.44683212449177</c:v>
                </c:pt>
                <c:pt idx="21">
                  <c:v>22.750634528837967</c:v>
                </c:pt>
                <c:pt idx="22">
                  <c:v>22.826917337644495</c:v>
                </c:pt>
                <c:pt idx="23">
                  <c:v>23.393832011186525</c:v>
                </c:pt>
                <c:pt idx="24">
                  <c:v>21.908704752489474</c:v>
                </c:pt>
                <c:pt idx="25">
                  <c:v>23.575691488486939</c:v>
                </c:pt>
                <c:pt idx="26">
                  <c:v>19.735165141649773</c:v>
                </c:pt>
                <c:pt idx="27">
                  <c:v>4.7066426478923402</c:v>
                </c:pt>
                <c:pt idx="28">
                  <c:v>7.0726171921905499</c:v>
                </c:pt>
                <c:pt idx="29">
                  <c:v>5.0966884891748485</c:v>
                </c:pt>
                <c:pt idx="30">
                  <c:v>11.815810990102225</c:v>
                </c:pt>
                <c:pt idx="31">
                  <c:v>15.230246512611631</c:v>
                </c:pt>
                <c:pt idx="32">
                  <c:v>6.1412851991901132</c:v>
                </c:pt>
                <c:pt idx="33">
                  <c:v>14.189329287709032</c:v>
                </c:pt>
                <c:pt idx="34">
                  <c:v>12.946736780036268</c:v>
                </c:pt>
                <c:pt idx="35">
                  <c:v>10.165216263192344</c:v>
                </c:pt>
                <c:pt idx="36">
                  <c:v>22.322890993589862</c:v>
                </c:pt>
                <c:pt idx="37">
                  <c:v>15.294127889599769</c:v>
                </c:pt>
                <c:pt idx="38">
                  <c:v>29.637565329868831</c:v>
                </c:pt>
                <c:pt idx="39">
                  <c:v>29.867502380139111</c:v>
                </c:pt>
                <c:pt idx="40">
                  <c:v>28.822898257849857</c:v>
                </c:pt>
                <c:pt idx="41">
                  <c:v>15.066561571107581</c:v>
                </c:pt>
                <c:pt idx="42">
                  <c:v>24.090968807798074</c:v>
                </c:pt>
                <c:pt idx="43">
                  <c:v>26.541007451756311</c:v>
                </c:pt>
                <c:pt idx="44">
                  <c:v>17.04015432936102</c:v>
                </c:pt>
                <c:pt idx="45">
                  <c:v>21.934451021953191</c:v>
                </c:pt>
                <c:pt idx="46">
                  <c:v>10.417141926380237</c:v>
                </c:pt>
                <c:pt idx="47">
                  <c:v>12.518314703244648</c:v>
                </c:pt>
                <c:pt idx="48">
                  <c:v>29.334371482242279</c:v>
                </c:pt>
                <c:pt idx="49">
                  <c:v>17.708043029969524</c:v>
                </c:pt>
                <c:pt idx="50">
                  <c:v>22.299083982726547</c:v>
                </c:pt>
                <c:pt idx="51">
                  <c:v>19.662801372105708</c:v>
                </c:pt>
                <c:pt idx="52">
                  <c:v>32.133415210523701</c:v>
                </c:pt>
                <c:pt idx="53">
                  <c:v>33.793930327105848</c:v>
                </c:pt>
                <c:pt idx="54">
                  <c:v>24.064164791213923</c:v>
                </c:pt>
                <c:pt idx="55">
                  <c:v>26.56899815763115</c:v>
                </c:pt>
                <c:pt idx="56">
                  <c:v>37.416666766304843</c:v>
                </c:pt>
                <c:pt idx="57">
                  <c:v>23.933924564086386</c:v>
                </c:pt>
                <c:pt idx="58">
                  <c:v>34.905638121982101</c:v>
                </c:pt>
                <c:pt idx="59">
                  <c:v>36.831357903305943</c:v>
                </c:pt>
                <c:pt idx="60">
                  <c:v>17.020005743772145</c:v>
                </c:pt>
                <c:pt idx="61">
                  <c:v>29.361338384403382</c:v>
                </c:pt>
                <c:pt idx="62">
                  <c:v>5.7831789540560674</c:v>
                </c:pt>
                <c:pt idx="63">
                  <c:v>14.998749007725031</c:v>
                </c:pt>
                <c:pt idx="64">
                  <c:v>22.962955608308192</c:v>
                </c:pt>
                <c:pt idx="65">
                  <c:v>37.221481723491209</c:v>
                </c:pt>
                <c:pt idx="66">
                  <c:v>33.396703977303218</c:v>
                </c:pt>
                <c:pt idx="67">
                  <c:v>29.811446608214982</c:v>
                </c:pt>
                <c:pt idx="68">
                  <c:v>25.189299753187651</c:v>
                </c:pt>
                <c:pt idx="69">
                  <c:v>18.179775420005882</c:v>
                </c:pt>
                <c:pt idx="70">
                  <c:v>14.228092826357823</c:v>
                </c:pt>
                <c:pt idx="71">
                  <c:v>9.0625850333182196</c:v>
                </c:pt>
                <c:pt idx="72">
                  <c:v>13.495546182179719</c:v>
                </c:pt>
                <c:pt idx="73">
                  <c:v>15.994063855850605</c:v>
                </c:pt>
                <c:pt idx="74">
                  <c:v>13.431085760338645</c:v>
                </c:pt>
                <c:pt idx="75">
                  <c:v>12.900088201183433</c:v>
                </c:pt>
                <c:pt idx="76">
                  <c:v>15.227507547270084</c:v>
                </c:pt>
                <c:pt idx="77">
                  <c:v>27.981446472007683</c:v>
                </c:pt>
                <c:pt idx="78">
                  <c:v>33.543069625939346</c:v>
                </c:pt>
                <c:pt idx="79">
                  <c:v>45.118882566979195</c:v>
                </c:pt>
                <c:pt idx="80">
                  <c:v>44.0397438016956</c:v>
                </c:pt>
                <c:pt idx="81">
                  <c:v>46.985765354828146</c:v>
                </c:pt>
                <c:pt idx="82">
                  <c:v>46.68041860984021</c:v>
                </c:pt>
                <c:pt idx="83">
                  <c:v>38.887810174833888</c:v>
                </c:pt>
                <c:pt idx="84">
                  <c:v>42.715167261365842</c:v>
                </c:pt>
                <c:pt idx="85">
                  <c:v>44.703118513444139</c:v>
                </c:pt>
                <c:pt idx="86">
                  <c:v>38.404052832194026</c:v>
                </c:pt>
                <c:pt idx="87">
                  <c:v>29.247996056103595</c:v>
                </c:pt>
                <c:pt idx="88">
                  <c:v>8.146149983745957</c:v>
                </c:pt>
                <c:pt idx="89">
                  <c:v>28.452173225194628</c:v>
                </c:pt>
                <c:pt idx="90">
                  <c:v>31.296982474541696</c:v>
                </c:pt>
                <c:pt idx="91">
                  <c:v>21.329674123347726</c:v>
                </c:pt>
                <c:pt idx="92">
                  <c:v>29.123289882556353</c:v>
                </c:pt>
                <c:pt idx="93">
                  <c:v>45.231418078824802</c:v>
                </c:pt>
                <c:pt idx="94">
                  <c:v>54.135481479246074</c:v>
                </c:pt>
                <c:pt idx="95">
                  <c:v>13.206034136650299</c:v>
                </c:pt>
                <c:pt idx="96">
                  <c:v>44.766045147251283</c:v>
                </c:pt>
                <c:pt idx="97">
                  <c:v>38.135731064829805</c:v>
                </c:pt>
                <c:pt idx="98">
                  <c:v>35.480581616370678</c:v>
                </c:pt>
                <c:pt idx="99">
                  <c:v>58.134973098692676</c:v>
                </c:pt>
                <c:pt idx="100">
                  <c:v>46.904067064445634</c:v>
                </c:pt>
                <c:pt idx="101">
                  <c:v>39.138623490789477</c:v>
                </c:pt>
                <c:pt idx="102">
                  <c:v>9.0508539778178534</c:v>
                </c:pt>
                <c:pt idx="103">
                  <c:v>41.785097562255523</c:v>
                </c:pt>
                <c:pt idx="104">
                  <c:v>45.790974578011351</c:v>
                </c:pt>
                <c:pt idx="105">
                  <c:v>41.668451970182822</c:v>
                </c:pt>
                <c:pt idx="106">
                  <c:v>57.713702978018006</c:v>
                </c:pt>
                <c:pt idx="107">
                  <c:v>36.821545007941346</c:v>
                </c:pt>
                <c:pt idx="108">
                  <c:v>12.115576343034617</c:v>
                </c:pt>
                <c:pt idx="109">
                  <c:v>12.141883816288592</c:v>
                </c:pt>
                <c:pt idx="110">
                  <c:v>11.654860886678643</c:v>
                </c:pt>
                <c:pt idx="111">
                  <c:v>31.003225427552021</c:v>
                </c:pt>
                <c:pt idx="112">
                  <c:v>10.179309228480937</c:v>
                </c:pt>
                <c:pt idx="113">
                  <c:v>36.501517073169801</c:v>
                </c:pt>
                <c:pt idx="114">
                  <c:v>48.17544330333763</c:v>
                </c:pt>
                <c:pt idx="115">
                  <c:v>60.155199341869753</c:v>
                </c:pt>
                <c:pt idx="116">
                  <c:v>47.818782462690812</c:v>
                </c:pt>
                <c:pt idx="117">
                  <c:v>25.495334159248106</c:v>
                </c:pt>
                <c:pt idx="118">
                  <c:v>46.211775667555173</c:v>
                </c:pt>
                <c:pt idx="119">
                  <c:v>45.582361552210081</c:v>
                </c:pt>
                <c:pt idx="120">
                  <c:v>51.715899228512008</c:v>
                </c:pt>
                <c:pt idx="121">
                  <c:v>33.243433014495245</c:v>
                </c:pt>
                <c:pt idx="122">
                  <c:v>37.054002471299164</c:v>
                </c:pt>
                <c:pt idx="123">
                  <c:v>20.855778646437024</c:v>
                </c:pt>
                <c:pt idx="124">
                  <c:v>41.982717028924689</c:v>
                </c:pt>
                <c:pt idx="125">
                  <c:v>44.0138157587295</c:v>
                </c:pt>
                <c:pt idx="126">
                  <c:v>50.627897365958461</c:v>
                </c:pt>
                <c:pt idx="127">
                  <c:v>57.428663358551631</c:v>
                </c:pt>
                <c:pt idx="128">
                  <c:v>60.769713742557045</c:v>
                </c:pt>
                <c:pt idx="129">
                  <c:v>59.530580514371692</c:v>
                </c:pt>
                <c:pt idx="130">
                  <c:v>63.50931701883222</c:v>
                </c:pt>
                <c:pt idx="131">
                  <c:v>48.363301649060638</c:v>
                </c:pt>
                <c:pt idx="132">
                  <c:v>51.253351704584936</c:v>
                </c:pt>
                <c:pt idx="133">
                  <c:v>57.384101419419501</c:v>
                </c:pt>
                <c:pt idx="134">
                  <c:v>59.241610255931469</c:v>
                </c:pt>
                <c:pt idx="135">
                  <c:v>57.905364539166378</c:v>
                </c:pt>
                <c:pt idx="136">
                  <c:v>61.845469570151174</c:v>
                </c:pt>
                <c:pt idx="137">
                  <c:v>59.055002518702814</c:v>
                </c:pt>
                <c:pt idx="138">
                  <c:v>57.798589542149266</c:v>
                </c:pt>
                <c:pt idx="139">
                  <c:v>54.936251111183481</c:v>
                </c:pt>
                <c:pt idx="140">
                  <c:v>57.535551497709676</c:v>
                </c:pt>
                <c:pt idx="141">
                  <c:v>44.49262600996402</c:v>
                </c:pt>
                <c:pt idx="142">
                  <c:v>21.172070560817748</c:v>
                </c:pt>
                <c:pt idx="143">
                  <c:v>18.1877934787436</c:v>
                </c:pt>
                <c:pt idx="144">
                  <c:v>44.330586248471548</c:v>
                </c:pt>
                <c:pt idx="145">
                  <c:v>29.580999563850057</c:v>
                </c:pt>
                <c:pt idx="146">
                  <c:v>46.32279287527755</c:v>
                </c:pt>
                <c:pt idx="147">
                  <c:v>60.819773004939982</c:v>
                </c:pt>
                <c:pt idx="148">
                  <c:v>66.146752375052458</c:v>
                </c:pt>
                <c:pt idx="149">
                  <c:v>53.20217402589779</c:v>
                </c:pt>
                <c:pt idx="150">
                  <c:v>62.893978575156851</c:v>
                </c:pt>
                <c:pt idx="151">
                  <c:v>65.579780102115706</c:v>
                </c:pt>
                <c:pt idx="152">
                  <c:v>47.241165214979837</c:v>
                </c:pt>
                <c:pt idx="153">
                  <c:v>62.554689658440559</c:v>
                </c:pt>
                <c:pt idx="154">
                  <c:v>31.79633352939906</c:v>
                </c:pt>
                <c:pt idx="155">
                  <c:v>35.141012790309702</c:v>
                </c:pt>
                <c:pt idx="156">
                  <c:v>56.200613424709161</c:v>
                </c:pt>
                <c:pt idx="157">
                  <c:v>29.349558396562763</c:v>
                </c:pt>
                <c:pt idx="158">
                  <c:v>26.449516701435005</c:v>
                </c:pt>
                <c:pt idx="159">
                  <c:v>54.356542817414159</c:v>
                </c:pt>
                <c:pt idx="160">
                  <c:v>66.882577946073681</c:v>
                </c:pt>
                <c:pt idx="161">
                  <c:v>64.04296071880799</c:v>
                </c:pt>
                <c:pt idx="162">
                  <c:v>51.646983281304863</c:v>
                </c:pt>
                <c:pt idx="163">
                  <c:v>57.744850509610608</c:v>
                </c:pt>
                <c:pt idx="164">
                  <c:v>58.706951596633296</c:v>
                </c:pt>
                <c:pt idx="165">
                  <c:v>62.280547455261207</c:v>
                </c:pt>
                <c:pt idx="166">
                  <c:v>59.022144290710564</c:v>
                </c:pt>
                <c:pt idx="167">
                  <c:v>59.20011033031976</c:v>
                </c:pt>
                <c:pt idx="168">
                  <c:v>63.041210680811361</c:v>
                </c:pt>
                <c:pt idx="169">
                  <c:v>63.551261625570454</c:v>
                </c:pt>
                <c:pt idx="170">
                  <c:v>34.366821926226663</c:v>
                </c:pt>
                <c:pt idx="171">
                  <c:v>23.128224796765007</c:v>
                </c:pt>
                <c:pt idx="172">
                  <c:v>47.983583041866694</c:v>
                </c:pt>
                <c:pt idx="173">
                  <c:v>47.44907922821023</c:v>
                </c:pt>
                <c:pt idx="174">
                  <c:v>51.044676183708283</c:v>
                </c:pt>
                <c:pt idx="175">
                  <c:v>42.525136744519635</c:v>
                </c:pt>
                <c:pt idx="176">
                  <c:v>13.300890225268683</c:v>
                </c:pt>
                <c:pt idx="177">
                  <c:v>19.569588262631058</c:v>
                </c:pt>
                <c:pt idx="178">
                  <c:v>67.727273228607245</c:v>
                </c:pt>
                <c:pt idx="179">
                  <c:v>65.72440224563708</c:v>
                </c:pt>
                <c:pt idx="180">
                  <c:v>16.145965733793666</c:v>
                </c:pt>
                <c:pt idx="181">
                  <c:v>54.779749779399616</c:v>
                </c:pt>
                <c:pt idx="182">
                  <c:v>60.826157831959122</c:v>
                </c:pt>
                <c:pt idx="183">
                  <c:v>56.572512342917904</c:v>
                </c:pt>
                <c:pt idx="184">
                  <c:v>52.666622044945932</c:v>
                </c:pt>
                <c:pt idx="185">
                  <c:v>63.156930543219005</c:v>
                </c:pt>
                <c:pt idx="186">
                  <c:v>46.499687245486641</c:v>
                </c:pt>
                <c:pt idx="187">
                  <c:v>62.68701261444199</c:v>
                </c:pt>
                <c:pt idx="188">
                  <c:v>65.738386218533648</c:v>
                </c:pt>
                <c:pt idx="189">
                  <c:v>64.728394543927067</c:v>
                </c:pt>
                <c:pt idx="190">
                  <c:v>64.052578735294119</c:v>
                </c:pt>
                <c:pt idx="191">
                  <c:v>62.955611805473744</c:v>
                </c:pt>
                <c:pt idx="192">
                  <c:v>61.973663730586807</c:v>
                </c:pt>
                <c:pt idx="193">
                  <c:v>60.749902162317959</c:v>
                </c:pt>
                <c:pt idx="194">
                  <c:v>60.591505110474671</c:v>
                </c:pt>
                <c:pt idx="195">
                  <c:v>57.922415298819374</c:v>
                </c:pt>
                <c:pt idx="196">
                  <c:v>59.11809989916042</c:v>
                </c:pt>
                <c:pt idx="197">
                  <c:v>59.549018604675425</c:v>
                </c:pt>
                <c:pt idx="198">
                  <c:v>61.371274698126008</c:v>
                </c:pt>
                <c:pt idx="199">
                  <c:v>45.082293640742087</c:v>
                </c:pt>
                <c:pt idx="200">
                  <c:v>42.337467031367346</c:v>
                </c:pt>
                <c:pt idx="201">
                  <c:v>58.424753973984458</c:v>
                </c:pt>
                <c:pt idx="202">
                  <c:v>50.183055073170451</c:v>
                </c:pt>
                <c:pt idx="203">
                  <c:v>47.487963460820495</c:v>
                </c:pt>
                <c:pt idx="204">
                  <c:v>57.820813582801875</c:v>
                </c:pt>
                <c:pt idx="205">
                  <c:v>30.505137185195856</c:v>
                </c:pt>
                <c:pt idx="206">
                  <c:v>54.066590490635548</c:v>
                </c:pt>
                <c:pt idx="207">
                  <c:v>61.198302360762852</c:v>
                </c:pt>
                <c:pt idx="208">
                  <c:v>48.086909443668787</c:v>
                </c:pt>
                <c:pt idx="209">
                  <c:v>29.87434338366489</c:v>
                </c:pt>
                <c:pt idx="210">
                  <c:v>49.138631982876142</c:v>
                </c:pt>
                <c:pt idx="211">
                  <c:v>60.179550846641447</c:v>
                </c:pt>
                <c:pt idx="212">
                  <c:v>59.656206328517612</c:v>
                </c:pt>
                <c:pt idx="213">
                  <c:v>59.671955685390998</c:v>
                </c:pt>
                <c:pt idx="214">
                  <c:v>59.252652502044675</c:v>
                </c:pt>
                <c:pt idx="215">
                  <c:v>56.531206587752195</c:v>
                </c:pt>
                <c:pt idx="216">
                  <c:v>45.128429594310724</c:v>
                </c:pt>
                <c:pt idx="217">
                  <c:v>53.85119889796897</c:v>
                </c:pt>
                <c:pt idx="218">
                  <c:v>56.783052579043542</c:v>
                </c:pt>
                <c:pt idx="219">
                  <c:v>58.259512816427666</c:v>
                </c:pt>
                <c:pt idx="220">
                  <c:v>55.54920055473837</c:v>
                </c:pt>
                <c:pt idx="221">
                  <c:v>53.951205583725304</c:v>
                </c:pt>
                <c:pt idx="222">
                  <c:v>50.920302507199573</c:v>
                </c:pt>
                <c:pt idx="223">
                  <c:v>0</c:v>
                </c:pt>
                <c:pt idx="224">
                  <c:v>37.850144925351806</c:v>
                </c:pt>
                <c:pt idx="225">
                  <c:v>37.922472113762595</c:v>
                </c:pt>
                <c:pt idx="226">
                  <c:v>38.356655660783957</c:v>
                </c:pt>
                <c:pt idx="227">
                  <c:v>39.731371026563743</c:v>
                </c:pt>
                <c:pt idx="228">
                  <c:v>27.638192909314213</c:v>
                </c:pt>
                <c:pt idx="229">
                  <c:v>42.174690936516853</c:v>
                </c:pt>
                <c:pt idx="230">
                  <c:v>41.754513954757151</c:v>
                </c:pt>
                <c:pt idx="231">
                  <c:v>54.496702481805315</c:v>
                </c:pt>
                <c:pt idx="232">
                  <c:v>39.328875280006322</c:v>
                </c:pt>
                <c:pt idx="233">
                  <c:v>28.770301944261828</c:v>
                </c:pt>
                <c:pt idx="234">
                  <c:v>48.673786569897885</c:v>
                </c:pt>
                <c:pt idx="235">
                  <c:v>52.870150667804495</c:v>
                </c:pt>
                <c:pt idx="236">
                  <c:v>33.91278728080961</c:v>
                </c:pt>
                <c:pt idx="237">
                  <c:v>39.08865945369719</c:v>
                </c:pt>
                <c:pt idx="238">
                  <c:v>49.281602441092893</c:v>
                </c:pt>
                <c:pt idx="239">
                  <c:v>51.812510018223612</c:v>
                </c:pt>
                <c:pt idx="240">
                  <c:v>36.213779119220973</c:v>
                </c:pt>
                <c:pt idx="241">
                  <c:v>50.826504126845201</c:v>
                </c:pt>
                <c:pt idx="242">
                  <c:v>25.734466772860397</c:v>
                </c:pt>
                <c:pt idx="243">
                  <c:v>44.255000274929195</c:v>
                </c:pt>
                <c:pt idx="244">
                  <c:v>41.8354747145045</c:v>
                </c:pt>
                <c:pt idx="245">
                  <c:v>38.490229957550994</c:v>
                </c:pt>
                <c:pt idx="246">
                  <c:v>50.473575037917115</c:v>
                </c:pt>
                <c:pt idx="247">
                  <c:v>42.238772053964766</c:v>
                </c:pt>
                <c:pt idx="248">
                  <c:v>46.043442826632116</c:v>
                </c:pt>
                <c:pt idx="249">
                  <c:v>37.756957549064502</c:v>
                </c:pt>
                <c:pt idx="250">
                  <c:v>41.996995184866542</c:v>
                </c:pt>
                <c:pt idx="251">
                  <c:v>20.009279692511022</c:v>
                </c:pt>
                <c:pt idx="252">
                  <c:v>46.650597773955901</c:v>
                </c:pt>
                <c:pt idx="253">
                  <c:v>48.265005171653357</c:v>
                </c:pt>
                <c:pt idx="254">
                  <c:v>37.492707900154691</c:v>
                </c:pt>
                <c:pt idx="255">
                  <c:v>14.371921268140474</c:v>
                </c:pt>
                <c:pt idx="256">
                  <c:v>38.621710894977937</c:v>
                </c:pt>
                <c:pt idx="257">
                  <c:v>43.877024170324354</c:v>
                </c:pt>
                <c:pt idx="258">
                  <c:v>29.485848749759754</c:v>
                </c:pt>
                <c:pt idx="259">
                  <c:v>47.349358526733653</c:v>
                </c:pt>
                <c:pt idx="260">
                  <c:v>46.383172558229617</c:v>
                </c:pt>
                <c:pt idx="261">
                  <c:v>46.753120968509741</c:v>
                </c:pt>
                <c:pt idx="262">
                  <c:v>47.126194805421548</c:v>
                </c:pt>
                <c:pt idx="263">
                  <c:v>45.737542651525196</c:v>
                </c:pt>
                <c:pt idx="264">
                  <c:v>44.460416215759921</c:v>
                </c:pt>
                <c:pt idx="265">
                  <c:v>32.582079960856511</c:v>
                </c:pt>
                <c:pt idx="266">
                  <c:v>20.127284995760309</c:v>
                </c:pt>
                <c:pt idx="267">
                  <c:v>32.219433852063254</c:v>
                </c:pt>
                <c:pt idx="268">
                  <c:v>34.75190503320507</c:v>
                </c:pt>
                <c:pt idx="269">
                  <c:v>17.007238726948835</c:v>
                </c:pt>
                <c:pt idx="270">
                  <c:v>19.430260578992954</c:v>
                </c:pt>
                <c:pt idx="271">
                  <c:v>25.149385845472246</c:v>
                </c:pt>
                <c:pt idx="272">
                  <c:v>26.97135071424043</c:v>
                </c:pt>
                <c:pt idx="273">
                  <c:v>36.815887882487736</c:v>
                </c:pt>
                <c:pt idx="274">
                  <c:v>38.290278052871017</c:v>
                </c:pt>
                <c:pt idx="275">
                  <c:v>34.678087657716873</c:v>
                </c:pt>
                <c:pt idx="276">
                  <c:v>40.394405046621038</c:v>
                </c:pt>
                <c:pt idx="277">
                  <c:v>40.661814891212074</c:v>
                </c:pt>
                <c:pt idx="278">
                  <c:v>16.298012203209971</c:v>
                </c:pt>
                <c:pt idx="279">
                  <c:v>31.308629885145589</c:v>
                </c:pt>
                <c:pt idx="280">
                  <c:v>15.834246656032258</c:v>
                </c:pt>
                <c:pt idx="281">
                  <c:v>36.982646782683823</c:v>
                </c:pt>
                <c:pt idx="282">
                  <c:v>32.382160198719454</c:v>
                </c:pt>
                <c:pt idx="283">
                  <c:v>26.044587044663935</c:v>
                </c:pt>
                <c:pt idx="284">
                  <c:v>25.946681721732432</c:v>
                </c:pt>
                <c:pt idx="285">
                  <c:v>23.504348128002412</c:v>
                </c:pt>
                <c:pt idx="286">
                  <c:v>15.799040866811126</c:v>
                </c:pt>
                <c:pt idx="287">
                  <c:v>35.21896935140299</c:v>
                </c:pt>
                <c:pt idx="288">
                  <c:v>30.876096250256072</c:v>
                </c:pt>
                <c:pt idx="289">
                  <c:v>17.401400956915101</c:v>
                </c:pt>
                <c:pt idx="290">
                  <c:v>31.04755390716814</c:v>
                </c:pt>
                <c:pt idx="291">
                  <c:v>17.343995779122771</c:v>
                </c:pt>
                <c:pt idx="292">
                  <c:v>9.1244045846018054</c:v>
                </c:pt>
                <c:pt idx="293">
                  <c:v>17.644021025065648</c:v>
                </c:pt>
                <c:pt idx="294">
                  <c:v>30.251519935948156</c:v>
                </c:pt>
                <c:pt idx="295">
                  <c:v>19.725415747408835</c:v>
                </c:pt>
                <c:pt idx="296">
                  <c:v>25.593422126687972</c:v>
                </c:pt>
                <c:pt idx="297">
                  <c:v>21.511387732569521</c:v>
                </c:pt>
                <c:pt idx="298">
                  <c:v>16.077522083526727</c:v>
                </c:pt>
                <c:pt idx="299">
                  <c:v>15.20541089305954</c:v>
                </c:pt>
                <c:pt idx="300">
                  <c:v>17.495740847674913</c:v>
                </c:pt>
                <c:pt idx="301">
                  <c:v>24.628264313045676</c:v>
                </c:pt>
                <c:pt idx="302">
                  <c:v>21.572507516990949</c:v>
                </c:pt>
                <c:pt idx="303">
                  <c:v>20.701155143834445</c:v>
                </c:pt>
                <c:pt idx="304">
                  <c:v>18.881740725335344</c:v>
                </c:pt>
                <c:pt idx="305">
                  <c:v>26.159305907233136</c:v>
                </c:pt>
                <c:pt idx="306">
                  <c:v>9.4814767533858237</c:v>
                </c:pt>
                <c:pt idx="307">
                  <c:v>13.165201026271244</c:v>
                </c:pt>
                <c:pt idx="308">
                  <c:v>26.569385595807791</c:v>
                </c:pt>
                <c:pt idx="309">
                  <c:v>26.642580367893142</c:v>
                </c:pt>
                <c:pt idx="310">
                  <c:v>26.438884406158653</c:v>
                </c:pt>
                <c:pt idx="311">
                  <c:v>19.117935070519479</c:v>
                </c:pt>
                <c:pt idx="312">
                  <c:v>10.653499434199968</c:v>
                </c:pt>
                <c:pt idx="313">
                  <c:v>19.400426866804658</c:v>
                </c:pt>
                <c:pt idx="314">
                  <c:v>23.099620779371207</c:v>
                </c:pt>
                <c:pt idx="315">
                  <c:v>23.244988021571906</c:v>
                </c:pt>
                <c:pt idx="316">
                  <c:v>22.136158270343074</c:v>
                </c:pt>
                <c:pt idx="317">
                  <c:v>11.943103695327389</c:v>
                </c:pt>
                <c:pt idx="318">
                  <c:v>13.567075240802856</c:v>
                </c:pt>
                <c:pt idx="319">
                  <c:v>22.703232155133165</c:v>
                </c:pt>
                <c:pt idx="320">
                  <c:v>14.903968962126475</c:v>
                </c:pt>
                <c:pt idx="321">
                  <c:v>12.349054372733571</c:v>
                </c:pt>
                <c:pt idx="322">
                  <c:v>8.8569305429618339</c:v>
                </c:pt>
                <c:pt idx="323">
                  <c:v>15.967385749042172</c:v>
                </c:pt>
                <c:pt idx="324">
                  <c:v>3.629559805133463</c:v>
                </c:pt>
                <c:pt idx="325">
                  <c:v>10.192243033063592</c:v>
                </c:pt>
                <c:pt idx="326">
                  <c:v>13.60365476086419</c:v>
                </c:pt>
                <c:pt idx="327">
                  <c:v>12.646209273203628</c:v>
                </c:pt>
                <c:pt idx="328">
                  <c:v>5.1261400512885871</c:v>
                </c:pt>
                <c:pt idx="329">
                  <c:v>10.260327974722742</c:v>
                </c:pt>
                <c:pt idx="330">
                  <c:v>14.682791656561243</c:v>
                </c:pt>
                <c:pt idx="331">
                  <c:v>10.017285117579057</c:v>
                </c:pt>
                <c:pt idx="332">
                  <c:v>11.10599499175243</c:v>
                </c:pt>
                <c:pt idx="333">
                  <c:v>4.7530492210096416</c:v>
                </c:pt>
                <c:pt idx="334">
                  <c:v>4.4857659812276731</c:v>
                </c:pt>
                <c:pt idx="335">
                  <c:v>5.724087583959065</c:v>
                </c:pt>
                <c:pt idx="336">
                  <c:v>10.305110354856382</c:v>
                </c:pt>
                <c:pt idx="337">
                  <c:v>13.791486870148061</c:v>
                </c:pt>
                <c:pt idx="338">
                  <c:v>19.13564349995163</c:v>
                </c:pt>
                <c:pt idx="339">
                  <c:v>12.483813947652854</c:v>
                </c:pt>
                <c:pt idx="340">
                  <c:v>15.32586816121578</c:v>
                </c:pt>
                <c:pt idx="341">
                  <c:v>4.9272457155162224</c:v>
                </c:pt>
                <c:pt idx="342">
                  <c:v>8.2098937851281431</c:v>
                </c:pt>
                <c:pt idx="343">
                  <c:v>11.96710133124366</c:v>
                </c:pt>
                <c:pt idx="344">
                  <c:v>13.615221721331118</c:v>
                </c:pt>
                <c:pt idx="345">
                  <c:v>6.2242364696996182</c:v>
                </c:pt>
                <c:pt idx="346">
                  <c:v>5.8636677565978781</c:v>
                </c:pt>
                <c:pt idx="347">
                  <c:v>13.378981463837262</c:v>
                </c:pt>
                <c:pt idx="348">
                  <c:v>7.1358666165073297</c:v>
                </c:pt>
                <c:pt idx="349">
                  <c:v>5.9877220322580982</c:v>
                </c:pt>
                <c:pt idx="350">
                  <c:v>3.8659187328041593</c:v>
                </c:pt>
                <c:pt idx="351">
                  <c:v>15.600858513413073</c:v>
                </c:pt>
                <c:pt idx="352">
                  <c:v>14.936536539370893</c:v>
                </c:pt>
                <c:pt idx="353">
                  <c:v>4.4982170424996788</c:v>
                </c:pt>
                <c:pt idx="354">
                  <c:v>15.99787926279242</c:v>
                </c:pt>
                <c:pt idx="355">
                  <c:v>15.926304409611507</c:v>
                </c:pt>
                <c:pt idx="356">
                  <c:v>15.626325591893499</c:v>
                </c:pt>
                <c:pt idx="357">
                  <c:v>16.912921484564905</c:v>
                </c:pt>
                <c:pt idx="358">
                  <c:v>9.3608811966692667</c:v>
                </c:pt>
                <c:pt idx="359">
                  <c:v>15.668548082708286</c:v>
                </c:pt>
                <c:pt idx="360">
                  <c:v>6.728249126275637</c:v>
                </c:pt>
                <c:pt idx="361">
                  <c:v>13.804733458354512</c:v>
                </c:pt>
                <c:pt idx="362">
                  <c:v>10.509716295214137</c:v>
                </c:pt>
                <c:pt idx="363">
                  <c:v>12.598220111558174</c:v>
                </c:pt>
                <c:pt idx="364">
                  <c:v>11.452210730428593</c:v>
                </c:pt>
                <c:pt idx="36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'2025'!$F$14</c:f>
              <c:strCache>
                <c:ptCount val="1"/>
                <c:pt idx="0">
                  <c:v>Hors pertes 2025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'2025'!Wh_hp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6.1142115130407504</c:v>
                </c:pt>
                <c:pt idx="7">
                  <c:v>7.9962398335112157</c:v>
                </c:pt>
                <c:pt idx="8">
                  <c:v>2.3987483092277566</c:v>
                </c:pt>
                <c:pt idx="9">
                  <c:v>1.983707420158713</c:v>
                </c:pt>
                <c:pt idx="10">
                  <c:v>20.074424837955931</c:v>
                </c:pt>
                <c:pt idx="11">
                  <c:v>17.998286999407735</c:v>
                </c:pt>
                <c:pt idx="12">
                  <c:v>6.0720919323254838</c:v>
                </c:pt>
                <c:pt idx="13">
                  <c:v>20.71634270725017</c:v>
                </c:pt>
                <c:pt idx="14">
                  <c:v>21.31682487483608</c:v>
                </c:pt>
                <c:pt idx="15">
                  <c:v>21.024668849085081</c:v>
                </c:pt>
                <c:pt idx="16">
                  <c:v>14.052099825750647</c:v>
                </c:pt>
                <c:pt idx="17">
                  <c:v>4.4390803688251053</c:v>
                </c:pt>
                <c:pt idx="18">
                  <c:v>11.253727302221419</c:v>
                </c:pt>
                <c:pt idx="19">
                  <c:v>6.4978797145448493</c:v>
                </c:pt>
                <c:pt idx="20">
                  <c:v>18.406331873175034</c:v>
                </c:pt>
                <c:pt idx="21">
                  <c:v>22.749124238181398</c:v>
                </c:pt>
                <c:pt idx="22">
                  <c:v>22.822601145296176</c:v>
                </c:pt>
                <c:pt idx="23">
                  <c:v>23.392330090241902</c:v>
                </c:pt>
                <c:pt idx="24">
                  <c:v>21.887747172054404</c:v>
                </c:pt>
                <c:pt idx="25">
                  <c:v>23.568631077335574</c:v>
                </c:pt>
                <c:pt idx="26">
                  <c:v>19.691675070954208</c:v>
                </c:pt>
                <c:pt idx="27">
                  <c:v>4.6709165289600056</c:v>
                </c:pt>
                <c:pt idx="28">
                  <c:v>7.0206836784441782</c:v>
                </c:pt>
                <c:pt idx="29">
                  <c:v>5.0607154005845061</c:v>
                </c:pt>
                <c:pt idx="30">
                  <c:v>11.753506454554023</c:v>
                </c:pt>
                <c:pt idx="31">
                  <c:v>15.171025211137321</c:v>
                </c:pt>
                <c:pt idx="32">
                  <c:v>6.1041642607437261</c:v>
                </c:pt>
                <c:pt idx="33">
                  <c:v>14.134368314407933</c:v>
                </c:pt>
                <c:pt idx="34">
                  <c:v>12.895140650006672</c:v>
                </c:pt>
                <c:pt idx="35">
                  <c:v>10.120629134897372</c:v>
                </c:pt>
                <c:pt idx="36">
                  <c:v>22.293126609653424</c:v>
                </c:pt>
                <c:pt idx="37">
                  <c:v>15.253979289834058</c:v>
                </c:pt>
                <c:pt idx="38">
                  <c:v>29.637565329868828</c:v>
                </c:pt>
                <c:pt idx="39">
                  <c:v>29.867502380139104</c:v>
                </c:pt>
                <c:pt idx="40">
                  <c:v>28.81868837296895</c:v>
                </c:pt>
                <c:pt idx="41">
                  <c:v>15.041029016478637</c:v>
                </c:pt>
                <c:pt idx="42">
                  <c:v>24.075893299534147</c:v>
                </c:pt>
                <c:pt idx="43">
                  <c:v>26.531357979220086</c:v>
                </c:pt>
                <c:pt idx="44">
                  <c:v>17.024020604362423</c:v>
                </c:pt>
                <c:pt idx="45">
                  <c:v>21.922614165579041</c:v>
                </c:pt>
                <c:pt idx="46">
                  <c:v>10.40710228822959</c:v>
                </c:pt>
                <c:pt idx="47">
                  <c:v>12.50925095682935</c:v>
                </c:pt>
                <c:pt idx="48">
                  <c:v>29.331043993913188</c:v>
                </c:pt>
                <c:pt idx="49">
                  <c:v>17.701352226596224</c:v>
                </c:pt>
                <c:pt idx="50">
                  <c:v>22.293911150795449</c:v>
                </c:pt>
                <c:pt idx="51">
                  <c:v>19.657875470591367</c:v>
                </c:pt>
                <c:pt idx="52">
                  <c:v>32.132111099333372</c:v>
                </c:pt>
                <c:pt idx="53">
                  <c:v>33.793267578097598</c:v>
                </c:pt>
                <c:pt idx="54">
                  <c:v>24.061015369169795</c:v>
                </c:pt>
                <c:pt idx="55">
                  <c:v>26.56641834582085</c:v>
                </c:pt>
                <c:pt idx="56">
                  <c:v>37.416666766304836</c:v>
                </c:pt>
                <c:pt idx="57">
                  <c:v>23.931116965508437</c:v>
                </c:pt>
                <c:pt idx="58">
                  <c:v>34.904875242889808</c:v>
                </c:pt>
                <c:pt idx="59">
                  <c:v>36.831039215151925</c:v>
                </c:pt>
                <c:pt idx="60">
                  <c:v>17.017241476340509</c:v>
                </c:pt>
                <c:pt idx="61">
                  <c:v>29.359362042406687</c:v>
                </c:pt>
                <c:pt idx="62">
                  <c:v>5.782120147615422</c:v>
                </c:pt>
                <c:pt idx="63">
                  <c:v>14.996463052466815</c:v>
                </c:pt>
                <c:pt idx="64">
                  <c:v>22.96071844106779</c:v>
                </c:pt>
                <c:pt idx="65">
                  <c:v>37.220836045398727</c:v>
                </c:pt>
                <c:pt idx="66">
                  <c:v>33.395501695431179</c:v>
                </c:pt>
                <c:pt idx="67">
                  <c:v>29.809960759774313</c:v>
                </c:pt>
                <c:pt idx="68">
                  <c:v>25.187679926864618</c:v>
                </c:pt>
                <c:pt idx="69">
                  <c:v>18.178267878708319</c:v>
                </c:pt>
                <c:pt idx="70">
                  <c:v>14.226860385910067</c:v>
                </c:pt>
                <c:pt idx="71">
                  <c:v>9.0618525880858556</c:v>
                </c:pt>
                <c:pt idx="72">
                  <c:v>13.494582685353855</c:v>
                </c:pt>
                <c:pt idx="73">
                  <c:v>15.993116425230111</c:v>
                </c:pt>
                <c:pt idx="74">
                  <c:v>13.430295548765011</c:v>
                </c:pt>
                <c:pt idx="75">
                  <c:v>12.899391707246263</c:v>
                </c:pt>
                <c:pt idx="76">
                  <c:v>15.226777814151724</c:v>
                </c:pt>
                <c:pt idx="77">
                  <c:v>27.980694453173211</c:v>
                </c:pt>
                <c:pt idx="78">
                  <c:v>33.542446577719289</c:v>
                </c:pt>
                <c:pt idx="79">
                  <c:v>45.118757797657985</c:v>
                </c:pt>
                <c:pt idx="80">
                  <c:v>44.03952520817554</c:v>
                </c:pt>
                <c:pt idx="81">
                  <c:v>46.985693764578109</c:v>
                </c:pt>
                <c:pt idx="82">
                  <c:v>46.680290441906955</c:v>
                </c:pt>
                <c:pt idx="83">
                  <c:v>38.887196171098161</c:v>
                </c:pt>
                <c:pt idx="84">
                  <c:v>42.714689184728179</c:v>
                </c:pt>
                <c:pt idx="85">
                  <c:v>44.702706435619632</c:v>
                </c:pt>
                <c:pt idx="86">
                  <c:v>38.40320044533243</c:v>
                </c:pt>
                <c:pt idx="87">
                  <c:v>29.246775227522772</c:v>
                </c:pt>
                <c:pt idx="88">
                  <c:v>8.1455635344327284</c:v>
                </c:pt>
                <c:pt idx="89">
                  <c:v>28.450799019596175</c:v>
                </c:pt>
                <c:pt idx="90">
                  <c:v>31.295587935329785</c:v>
                </c:pt>
                <c:pt idx="91">
                  <c:v>21.32821637364874</c:v>
                </c:pt>
                <c:pt idx="92">
                  <c:v>29.121735821528418</c:v>
                </c:pt>
                <c:pt idx="93">
                  <c:v>45.230576165687737</c:v>
                </c:pt>
                <c:pt idx="94">
                  <c:v>54.135481479246067</c:v>
                </c:pt>
                <c:pt idx="95">
                  <c:v>13.204901985412748</c:v>
                </c:pt>
                <c:pt idx="96">
                  <c:v>44.765058647396586</c:v>
                </c:pt>
                <c:pt idx="97">
                  <c:v>38.134326654395274</c:v>
                </c:pt>
                <c:pt idx="98">
                  <c:v>35.479088071158451</c:v>
                </c:pt>
                <c:pt idx="99">
                  <c:v>58.134973098692683</c:v>
                </c:pt>
                <c:pt idx="100">
                  <c:v>46.903222428135095</c:v>
                </c:pt>
                <c:pt idx="101">
                  <c:v>39.137360024686757</c:v>
                </c:pt>
                <c:pt idx="102">
                  <c:v>9.050217635833846</c:v>
                </c:pt>
                <c:pt idx="103">
                  <c:v>41.784021412022668</c:v>
                </c:pt>
                <c:pt idx="104">
                  <c:v>45.790129964293634</c:v>
                </c:pt>
                <c:pt idx="105">
                  <c:v>41.66746190804686</c:v>
                </c:pt>
                <c:pt idx="106">
                  <c:v>57.713668562420814</c:v>
                </c:pt>
                <c:pt idx="107">
                  <c:v>36.820545970687292</c:v>
                </c:pt>
                <c:pt idx="108">
                  <c:v>12.115000626464834</c:v>
                </c:pt>
                <c:pt idx="109">
                  <c:v>12.141349253051095</c:v>
                </c:pt>
                <c:pt idx="110">
                  <c:v>11.654384883157858</c:v>
                </c:pt>
                <c:pt idx="111">
                  <c:v>31.002419147384355</c:v>
                </c:pt>
                <c:pt idx="112">
                  <c:v>10.178949026724291</c:v>
                </c:pt>
                <c:pt idx="113">
                  <c:v>36.500839844063847</c:v>
                </c:pt>
                <c:pt idx="114">
                  <c:v>48.175014588133259</c:v>
                </c:pt>
                <c:pt idx="115">
                  <c:v>60.155182757845211</c:v>
                </c:pt>
                <c:pt idx="116">
                  <c:v>47.818388770307884</c:v>
                </c:pt>
                <c:pt idx="117">
                  <c:v>25.494798883250613</c:v>
                </c:pt>
                <c:pt idx="118">
                  <c:v>46.211393298848421</c:v>
                </c:pt>
                <c:pt idx="119">
                  <c:v>45.581989817090239</c:v>
                </c:pt>
                <c:pt idx="120">
                  <c:v>51.7156522807404</c:v>
                </c:pt>
                <c:pt idx="121">
                  <c:v>33.243002945361113</c:v>
                </c:pt>
                <c:pt idx="122">
                  <c:v>37.053609569878994</c:v>
                </c:pt>
                <c:pt idx="123">
                  <c:v>20.855435680800912</c:v>
                </c:pt>
                <c:pt idx="124">
                  <c:v>41.982398991361897</c:v>
                </c:pt>
                <c:pt idx="125">
                  <c:v>44.01353359339209</c:v>
                </c:pt>
                <c:pt idx="126">
                  <c:v>50.627701058251823</c:v>
                </c:pt>
                <c:pt idx="127">
                  <c:v>57.428570650416681</c:v>
                </c:pt>
                <c:pt idx="128">
                  <c:v>60.769676444429066</c:v>
                </c:pt>
                <c:pt idx="129">
                  <c:v>59.530525288606853</c:v>
                </c:pt>
                <c:pt idx="130">
                  <c:v>63.509317018832235</c:v>
                </c:pt>
                <c:pt idx="131">
                  <c:v>48.363137315086476</c:v>
                </c:pt>
                <c:pt idx="132">
                  <c:v>51.253217797703108</c:v>
                </c:pt>
                <c:pt idx="133">
                  <c:v>57.3840289300094</c:v>
                </c:pt>
                <c:pt idx="134">
                  <c:v>59.241558650878481</c:v>
                </c:pt>
                <c:pt idx="135">
                  <c:v>57.905300388326879</c:v>
                </c:pt>
                <c:pt idx="136">
                  <c:v>61.84544596383882</c:v>
                </c:pt>
                <c:pt idx="137">
                  <c:v>59.054951060813828</c:v>
                </c:pt>
                <c:pt idx="138">
                  <c:v>57.798527475538805</c:v>
                </c:pt>
                <c:pt idx="139">
                  <c:v>54.936167006950434</c:v>
                </c:pt>
                <c:pt idx="140">
                  <c:v>57.535488576843441</c:v>
                </c:pt>
                <c:pt idx="141">
                  <c:v>44.492486338884547</c:v>
                </c:pt>
                <c:pt idx="142">
                  <c:v>21.171929283637812</c:v>
                </c:pt>
                <c:pt idx="143">
                  <c:v>18.187670069729979</c:v>
                </c:pt>
                <c:pt idx="144">
                  <c:v>44.33045493546296</c:v>
                </c:pt>
                <c:pt idx="145">
                  <c:v>29.580852990390095</c:v>
                </c:pt>
                <c:pt idx="146">
                  <c:v>46.322676764626003</c:v>
                </c:pt>
                <c:pt idx="147">
                  <c:v>60.819741218054268</c:v>
                </c:pt>
                <c:pt idx="148">
                  <c:v>66.146752375052444</c:v>
                </c:pt>
                <c:pt idx="149">
                  <c:v>53.202100520997384</c:v>
                </c:pt>
                <c:pt idx="150">
                  <c:v>62.893963917817892</c:v>
                </c:pt>
                <c:pt idx="151">
                  <c:v>65.579780102115706</c:v>
                </c:pt>
                <c:pt idx="152">
                  <c:v>47.241081651657183</c:v>
                </c:pt>
                <c:pt idx="153">
                  <c:v>62.554674844049174</c:v>
                </c:pt>
                <c:pt idx="154">
                  <c:v>31.796240951878261</c:v>
                </c:pt>
                <c:pt idx="155">
                  <c:v>35.14092663003845</c:v>
                </c:pt>
                <c:pt idx="156">
                  <c:v>56.200574877641088</c:v>
                </c:pt>
                <c:pt idx="157">
                  <c:v>29.349483005092935</c:v>
                </c:pt>
                <c:pt idx="158">
                  <c:v>26.449447701092332</c:v>
                </c:pt>
                <c:pt idx="159">
                  <c:v>54.35650538903289</c:v>
                </c:pt>
                <c:pt idx="160">
                  <c:v>66.882577946073667</c:v>
                </c:pt>
                <c:pt idx="161">
                  <c:v>64.042956369930323</c:v>
                </c:pt>
                <c:pt idx="162">
                  <c:v>51.646945029005799</c:v>
                </c:pt>
                <c:pt idx="163">
                  <c:v>57.74482774067944</c:v>
                </c:pt>
                <c:pt idx="164">
                  <c:v>58.706932055218836</c:v>
                </c:pt>
                <c:pt idx="165">
                  <c:v>62.280538308525792</c:v>
                </c:pt>
                <c:pt idx="166">
                  <c:v>59.022126572286041</c:v>
                </c:pt>
                <c:pt idx="167">
                  <c:v>59.200093426745859</c:v>
                </c:pt>
                <c:pt idx="168">
                  <c:v>63.04120423524936</c:v>
                </c:pt>
                <c:pt idx="169">
                  <c:v>63.55125671124128</c:v>
                </c:pt>
                <c:pt idx="170">
                  <c:v>34.366773292060223</c:v>
                </c:pt>
                <c:pt idx="171">
                  <c:v>23.128180205482064</c:v>
                </c:pt>
                <c:pt idx="172">
                  <c:v>47.983545148094848</c:v>
                </c:pt>
                <c:pt idx="173">
                  <c:v>47.449040401198715</c:v>
                </c:pt>
                <c:pt idx="174">
                  <c:v>51.044642651104567</c:v>
                </c:pt>
                <c:pt idx="175">
                  <c:v>42.525091297277648</c:v>
                </c:pt>
                <c:pt idx="176">
                  <c:v>13.300860970983873</c:v>
                </c:pt>
                <c:pt idx="177">
                  <c:v>19.569544241875054</c:v>
                </c:pt>
                <c:pt idx="178">
                  <c:v>67.727273228607245</c:v>
                </c:pt>
                <c:pt idx="179">
                  <c:v>65.724402245637052</c:v>
                </c:pt>
                <c:pt idx="180">
                  <c:v>16.145925439342854</c:v>
                </c:pt>
                <c:pt idx="181">
                  <c:v>54.779718829181327</c:v>
                </c:pt>
                <c:pt idx="182">
                  <c:v>60.826144343798148</c:v>
                </c:pt>
                <c:pt idx="183">
                  <c:v>56.572484092174307</c:v>
                </c:pt>
                <c:pt idx="184">
                  <c:v>52.666580469676802</c:v>
                </c:pt>
                <c:pt idx="185">
                  <c:v>63.156925774092478</c:v>
                </c:pt>
                <c:pt idx="186">
                  <c:v>46.499623495592687</c:v>
                </c:pt>
                <c:pt idx="187">
                  <c:v>62.68700584097531</c:v>
                </c:pt>
                <c:pt idx="188">
                  <c:v>65.738386218533648</c:v>
                </c:pt>
                <c:pt idx="189">
                  <c:v>64.728394543927067</c:v>
                </c:pt>
                <c:pt idx="190">
                  <c:v>64.052578735294134</c:v>
                </c:pt>
                <c:pt idx="191">
                  <c:v>62.955607960450379</c:v>
                </c:pt>
                <c:pt idx="192">
                  <c:v>61.973653108658262</c:v>
                </c:pt>
                <c:pt idx="193">
                  <c:v>60.74988214986346</c:v>
                </c:pt>
                <c:pt idx="194">
                  <c:v>60.591483523919898</c:v>
                </c:pt>
                <c:pt idx="195">
                  <c:v>57.922370857000871</c:v>
                </c:pt>
                <c:pt idx="196">
                  <c:v>59.118064403495104</c:v>
                </c:pt>
                <c:pt idx="197">
                  <c:v>59.548986587990292</c:v>
                </c:pt>
                <c:pt idx="198">
                  <c:v>61.371262067088189</c:v>
                </c:pt>
                <c:pt idx="199">
                  <c:v>45.082143739988496</c:v>
                </c:pt>
                <c:pt idx="200">
                  <c:v>42.337297679235036</c:v>
                </c:pt>
                <c:pt idx="201">
                  <c:v>58.424710096296522</c:v>
                </c:pt>
                <c:pt idx="202">
                  <c:v>50.182927617829051</c:v>
                </c:pt>
                <c:pt idx="203">
                  <c:v>47.4878117382626</c:v>
                </c:pt>
                <c:pt idx="204">
                  <c:v>57.82076473271092</c:v>
                </c:pt>
                <c:pt idx="205">
                  <c:v>30.50491132030162</c:v>
                </c:pt>
                <c:pt idx="206">
                  <c:v>54.066496148614128</c:v>
                </c:pt>
                <c:pt idx="207">
                  <c:v>61.198302360762852</c:v>
                </c:pt>
                <c:pt idx="208">
                  <c:v>48.086745759476862</c:v>
                </c:pt>
                <c:pt idx="209">
                  <c:v>29.874084323643963</c:v>
                </c:pt>
                <c:pt idx="210">
                  <c:v>49.138470368529944</c:v>
                </c:pt>
                <c:pt idx="211">
                  <c:v>60.179550846641447</c:v>
                </c:pt>
                <c:pt idx="212">
                  <c:v>59.656204950898207</c:v>
                </c:pt>
                <c:pt idx="213">
                  <c:v>59.671955685390998</c:v>
                </c:pt>
                <c:pt idx="214">
                  <c:v>59.252652423839912</c:v>
                </c:pt>
                <c:pt idx="215">
                  <c:v>56.531148165589933</c:v>
                </c:pt>
                <c:pt idx="216">
                  <c:v>45.128152538002972</c:v>
                </c:pt>
                <c:pt idx="217">
                  <c:v>53.851075713605098</c:v>
                </c:pt>
                <c:pt idx="218">
                  <c:v>56.783006948967873</c:v>
                </c:pt>
                <c:pt idx="219">
                  <c:v>58.259512816427666</c:v>
                </c:pt>
                <c:pt idx="220">
                  <c:v>55.549122544923961</c:v>
                </c:pt>
                <c:pt idx="221">
                  <c:v>53.951075108324929</c:v>
                </c:pt>
                <c:pt idx="222">
                  <c:v>50.9200679503845</c:v>
                </c:pt>
                <c:pt idx="223">
                  <c:v>0</c:v>
                </c:pt>
                <c:pt idx="224">
                  <c:v>37.84955020135309</c:v>
                </c:pt>
                <c:pt idx="225">
                  <c:v>37.921839564245445</c:v>
                </c:pt>
                <c:pt idx="226">
                  <c:v>38.355986796793417</c:v>
                </c:pt>
                <c:pt idx="227">
                  <c:v>39.730684792432093</c:v>
                </c:pt>
                <c:pt idx="228">
                  <c:v>27.637291814933732</c:v>
                </c:pt>
                <c:pt idx="229">
                  <c:v>42.173978478246106</c:v>
                </c:pt>
                <c:pt idx="230">
                  <c:v>41.753732071865045</c:v>
                </c:pt>
                <c:pt idx="231">
                  <c:v>54.496665221494446</c:v>
                </c:pt>
                <c:pt idx="232">
                  <c:v>39.327866567835734</c:v>
                </c:pt>
                <c:pt idx="233">
                  <c:v>28.768948292900795</c:v>
                </c:pt>
                <c:pt idx="234">
                  <c:v>48.673247958721525</c:v>
                </c:pt>
                <c:pt idx="235">
                  <c:v>52.87003024651122</c:v>
                </c:pt>
                <c:pt idx="236">
                  <c:v>33.911151351348437</c:v>
                </c:pt>
                <c:pt idx="237">
                  <c:v>39.087156647605788</c:v>
                </c:pt>
                <c:pt idx="238">
                  <c:v>49.281044889518164</c:v>
                </c:pt>
                <c:pt idx="239">
                  <c:v>51.812339136582395</c:v>
                </c:pt>
                <c:pt idx="240">
                  <c:v>36.211721933933397</c:v>
                </c:pt>
                <c:pt idx="241">
                  <c:v>50.826228233964372</c:v>
                </c:pt>
                <c:pt idx="242">
                  <c:v>25.731811711158343</c:v>
                </c:pt>
                <c:pt idx="243">
                  <c:v>44.253634667016065</c:v>
                </c:pt>
                <c:pt idx="244">
                  <c:v>41.833741138206079</c:v>
                </c:pt>
                <c:pt idx="245">
                  <c:v>38.488046381635755</c:v>
                </c:pt>
                <c:pt idx="246">
                  <c:v>50.473486657959064</c:v>
                </c:pt>
                <c:pt idx="247">
                  <c:v>42.237105499137591</c:v>
                </c:pt>
                <c:pt idx="248">
                  <c:v>46.042510032688043</c:v>
                </c:pt>
                <c:pt idx="249">
                  <c:v>37.754730009874017</c:v>
                </c:pt>
                <c:pt idx="250">
                  <c:v>41.995449392193045</c:v>
                </c:pt>
                <c:pt idx="251">
                  <c:v>20.006495383876491</c:v>
                </c:pt>
                <c:pt idx="252">
                  <c:v>46.650089200997591</c:v>
                </c:pt>
                <c:pt idx="253">
                  <c:v>48.2649143073102</c:v>
                </c:pt>
                <c:pt idx="254">
                  <c:v>37.490956824830477</c:v>
                </c:pt>
                <c:pt idx="255">
                  <c:v>14.369930783550423</c:v>
                </c:pt>
                <c:pt idx="256">
                  <c:v>38.620332682745108</c:v>
                </c:pt>
                <c:pt idx="257">
                  <c:v>43.876454131760951</c:v>
                </c:pt>
                <c:pt idx="258">
                  <c:v>29.48402518835832</c:v>
                </c:pt>
                <c:pt idx="259">
                  <c:v>47.349358526733653</c:v>
                </c:pt>
                <c:pt idx="260">
                  <c:v>46.383172558229624</c:v>
                </c:pt>
                <c:pt idx="261">
                  <c:v>46.753120968509748</c:v>
                </c:pt>
                <c:pt idx="262">
                  <c:v>47.126194805421534</c:v>
                </c:pt>
                <c:pt idx="263">
                  <c:v>45.737542651525196</c:v>
                </c:pt>
                <c:pt idx="264">
                  <c:v>44.46038108415663</c:v>
                </c:pt>
                <c:pt idx="265">
                  <c:v>32.581116284257355</c:v>
                </c:pt>
                <c:pt idx="266">
                  <c:v>20.126066970813397</c:v>
                </c:pt>
                <c:pt idx="267">
                  <c:v>32.218465690582072</c:v>
                </c:pt>
                <c:pt idx="268">
                  <c:v>34.751079956273138</c:v>
                </c:pt>
                <c:pt idx="269">
                  <c:v>17.005898286506788</c:v>
                </c:pt>
                <c:pt idx="270">
                  <c:v>19.428758012837744</c:v>
                </c:pt>
                <c:pt idx="271">
                  <c:v>25.147796557362771</c:v>
                </c:pt>
                <c:pt idx="272">
                  <c:v>26.969688894193684</c:v>
                </c:pt>
                <c:pt idx="273">
                  <c:v>36.815125207513589</c:v>
                </c:pt>
                <c:pt idx="274">
                  <c:v>38.289767665008164</c:v>
                </c:pt>
                <c:pt idx="275">
                  <c:v>34.6768877400728</c:v>
                </c:pt>
                <c:pt idx="276">
                  <c:v>40.394405046621046</c:v>
                </c:pt>
                <c:pt idx="277">
                  <c:v>40.661814891212067</c:v>
                </c:pt>
                <c:pt idx="278">
                  <c:v>16.29491668540679</c:v>
                </c:pt>
                <c:pt idx="279">
                  <c:v>31.306515561625677</c:v>
                </c:pt>
                <c:pt idx="280">
                  <c:v>15.830714415832656</c:v>
                </c:pt>
                <c:pt idx="281">
                  <c:v>36.982281503834265</c:v>
                </c:pt>
                <c:pt idx="282">
                  <c:v>32.38024940102828</c:v>
                </c:pt>
                <c:pt idx="283">
                  <c:v>26.041045280998645</c:v>
                </c:pt>
                <c:pt idx="284">
                  <c:v>25.943045499024876</c:v>
                </c:pt>
                <c:pt idx="285">
                  <c:v>23.500215710527449</c:v>
                </c:pt>
                <c:pt idx="286">
                  <c:v>15.794460281822184</c:v>
                </c:pt>
                <c:pt idx="287">
                  <c:v>35.218838845896236</c:v>
                </c:pt>
                <c:pt idx="288">
                  <c:v>30.874066859093634</c:v>
                </c:pt>
                <c:pt idx="289">
                  <c:v>17.396337596602134</c:v>
                </c:pt>
                <c:pt idx="290">
                  <c:v>31.045690051095516</c:v>
                </c:pt>
                <c:pt idx="291">
                  <c:v>17.337943920861822</c:v>
                </c:pt>
                <c:pt idx="292">
                  <c:v>9.1192137679902565</c:v>
                </c:pt>
                <c:pt idx="293">
                  <c:v>17.63634825439739</c:v>
                </c:pt>
                <c:pt idx="294">
                  <c:v>30.249110436892853</c:v>
                </c:pt>
                <c:pt idx="295">
                  <c:v>19.715681695581253</c:v>
                </c:pt>
                <c:pt idx="296">
                  <c:v>25.585749915534926</c:v>
                </c:pt>
                <c:pt idx="297">
                  <c:v>21.498949441030554</c:v>
                </c:pt>
                <c:pt idx="298">
                  <c:v>16.060547383529084</c:v>
                </c:pt>
                <c:pt idx="299">
                  <c:v>15.185408650676631</c:v>
                </c:pt>
                <c:pt idx="300">
                  <c:v>17.472900915917933</c:v>
                </c:pt>
                <c:pt idx="301">
                  <c:v>24.612357972294959</c:v>
                </c:pt>
                <c:pt idx="302">
                  <c:v>21.547819926435487</c:v>
                </c:pt>
                <c:pt idx="303">
                  <c:v>20.671794772899677</c:v>
                </c:pt>
                <c:pt idx="304">
                  <c:v>18.845682950426468</c:v>
                </c:pt>
                <c:pt idx="305">
                  <c:v>26.146052268008965</c:v>
                </c:pt>
                <c:pt idx="306">
                  <c:v>9.4380715638363686</c:v>
                </c:pt>
                <c:pt idx="307">
                  <c:v>13.112316684044512</c:v>
                </c:pt>
                <c:pt idx="308">
                  <c:v>26.562760893148862</c:v>
                </c:pt>
                <c:pt idx="309">
                  <c:v>26.639169233328111</c:v>
                </c:pt>
                <c:pt idx="310">
                  <c:v>26.436675441730976</c:v>
                </c:pt>
                <c:pt idx="311">
                  <c:v>19.063192724298538</c:v>
                </c:pt>
                <c:pt idx="312">
                  <c:v>10.584339552984462</c:v>
                </c:pt>
                <c:pt idx="313">
                  <c:v>19.345864646231604</c:v>
                </c:pt>
                <c:pt idx="314">
                  <c:v>23.07540930640161</c:v>
                </c:pt>
                <c:pt idx="315">
                  <c:v>23.224928443991669</c:v>
                </c:pt>
                <c:pt idx="316">
                  <c:v>22.107207003865945</c:v>
                </c:pt>
                <c:pt idx="317">
                  <c:v>11.864029054632114</c:v>
                </c:pt>
                <c:pt idx="318">
                  <c:v>13.488906953159054</c:v>
                </c:pt>
                <c:pt idx="319">
                  <c:v>22.689986183291829</c:v>
                </c:pt>
                <c:pt idx="320">
                  <c:v>14.830604287774594</c:v>
                </c:pt>
                <c:pt idx="321">
                  <c:v>12.27092790519203</c:v>
                </c:pt>
                <c:pt idx="322">
                  <c:v>8.7834525749291039</c:v>
                </c:pt>
                <c:pt idx="323">
                  <c:v>15.904038835840259</c:v>
                </c:pt>
                <c:pt idx="324">
                  <c:v>3.5953613747200355</c:v>
                </c:pt>
                <c:pt idx="325">
                  <c:v>10.118766008127775</c:v>
                </c:pt>
                <c:pt idx="326">
                  <c:v>13.535385208475466</c:v>
                </c:pt>
                <c:pt idx="327">
                  <c:v>12.576823904399188</c:v>
                </c:pt>
                <c:pt idx="328">
                  <c:v>5.0786359010701112</c:v>
                </c:pt>
                <c:pt idx="329">
                  <c:v>10.191187022179701</c:v>
                </c:pt>
                <c:pt idx="330">
                  <c:v>14.626432636788923</c:v>
                </c:pt>
                <c:pt idx="331">
                  <c:v>9.9504618658038897</c:v>
                </c:pt>
                <c:pt idx="332">
                  <c:v>11.040781308158838</c:v>
                </c:pt>
                <c:pt idx="333">
                  <c:v>4.7099589128810466</c:v>
                </c:pt>
                <c:pt idx="334">
                  <c:v>4.445183305037979</c:v>
                </c:pt>
                <c:pt idx="335">
                  <c:v>5.6723637614190006</c:v>
                </c:pt>
                <c:pt idx="336">
                  <c:v>10.243047915484368</c:v>
                </c:pt>
                <c:pt idx="337">
                  <c:v>13.741933332373364</c:v>
                </c:pt>
                <c:pt idx="338">
                  <c:v>19.135643499951627</c:v>
                </c:pt>
                <c:pt idx="339">
                  <c:v>12.42996689874786</c:v>
                </c:pt>
                <c:pt idx="340">
                  <c:v>15.29165144762116</c:v>
                </c:pt>
                <c:pt idx="341">
                  <c:v>4.8821215321420768</c:v>
                </c:pt>
                <c:pt idx="342">
                  <c:v>8.150780774097619</c:v>
                </c:pt>
                <c:pt idx="343">
                  <c:v>11.913992448131333</c:v>
                </c:pt>
                <c:pt idx="344">
                  <c:v>13.57210385864528</c:v>
                </c:pt>
                <c:pt idx="345">
                  <c:v>6.1701838247132166</c:v>
                </c:pt>
                <c:pt idx="346">
                  <c:v>5.8109660027116279</c:v>
                </c:pt>
                <c:pt idx="347">
                  <c:v>13.336232088976766</c:v>
                </c:pt>
                <c:pt idx="348">
                  <c:v>7.0783222930247423</c:v>
                </c:pt>
                <c:pt idx="349">
                  <c:v>5.933844018605523</c:v>
                </c:pt>
                <c:pt idx="350">
                  <c:v>3.8283528638143927</c:v>
                </c:pt>
                <c:pt idx="351">
                  <c:v>15.581689559847664</c:v>
                </c:pt>
                <c:pt idx="352">
                  <c:v>14.910559814993855</c:v>
                </c:pt>
                <c:pt idx="353">
                  <c:v>4.4539118491248502</c:v>
                </c:pt>
                <c:pt idx="354">
                  <c:v>15.98498826432642</c:v>
                </c:pt>
                <c:pt idx="355">
                  <c:v>15.912663200972972</c:v>
                </c:pt>
                <c:pt idx="356">
                  <c:v>15.608969016259657</c:v>
                </c:pt>
                <c:pt idx="357">
                  <c:v>16.911935939123413</c:v>
                </c:pt>
                <c:pt idx="358">
                  <c:v>9.302064005822988</c:v>
                </c:pt>
                <c:pt idx="359">
                  <c:v>15.650271547079177</c:v>
                </c:pt>
                <c:pt idx="360">
                  <c:v>6.6722002834058154</c:v>
                </c:pt>
                <c:pt idx="361">
                  <c:v>13.766693306530071</c:v>
                </c:pt>
                <c:pt idx="362">
                  <c:v>10.453594718713118</c:v>
                </c:pt>
                <c:pt idx="363">
                  <c:v>12.550706064684492</c:v>
                </c:pt>
                <c:pt idx="364">
                  <c:v>11.39885998982494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19.2807</c:v>
                </c:pt>
                <c:pt idx="21">
                  <c:v>22.877099999999999</c:v>
                </c:pt>
                <c:pt idx="35">
                  <c:v>27.972000000000001</c:v>
                </c:pt>
                <c:pt idx="49">
                  <c:v>33.6663</c:v>
                </c:pt>
                <c:pt idx="63">
                  <c:v>39.660299999999999</c:v>
                </c:pt>
                <c:pt idx="77">
                  <c:v>46.153800000000004</c:v>
                </c:pt>
                <c:pt idx="91">
                  <c:v>52.647299999999994</c:v>
                </c:pt>
                <c:pt idx="105">
                  <c:v>57.842100000000002</c:v>
                </c:pt>
                <c:pt idx="119">
                  <c:v>61.438499999999998</c:v>
                </c:pt>
                <c:pt idx="133">
                  <c:v>63.636299999999991</c:v>
                </c:pt>
                <c:pt idx="147">
                  <c:v>64.835099999999997</c:v>
                </c:pt>
                <c:pt idx="161">
                  <c:v>65.234700000000004</c:v>
                </c:pt>
                <c:pt idx="175">
                  <c:v>65.034900000000007</c:v>
                </c:pt>
                <c:pt idx="189">
                  <c:v>63.736199999999997</c:v>
                </c:pt>
                <c:pt idx="203">
                  <c:v>61.638300000000001</c:v>
                </c:pt>
                <c:pt idx="217">
                  <c:v>58.541399999999996</c:v>
                </c:pt>
                <c:pt idx="231">
                  <c:v>54.945000000000007</c:v>
                </c:pt>
                <c:pt idx="245">
                  <c:v>51.148800000000001</c:v>
                </c:pt>
                <c:pt idx="259">
                  <c:v>46.653300000000002</c:v>
                </c:pt>
                <c:pt idx="273">
                  <c:v>41.158799999999999</c:v>
                </c:pt>
                <c:pt idx="287">
                  <c:v>35.464500000000001</c:v>
                </c:pt>
                <c:pt idx="301">
                  <c:v>29.97</c:v>
                </c:pt>
                <c:pt idx="315">
                  <c:v>24.975000000000001</c:v>
                </c:pt>
                <c:pt idx="329">
                  <c:v>20.978999999999999</c:v>
                </c:pt>
                <c:pt idx="343">
                  <c:v>17.981999999999999</c:v>
                </c:pt>
                <c:pt idx="357">
                  <c:v>16.983000000000001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777432"/>
        <c:axId val="372777824"/>
      </c:lineChart>
      <c:dateAx>
        <c:axId val="372777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7824"/>
        <c:crosses val="autoZero"/>
        <c:auto val="1"/>
        <c:lblOffset val="100"/>
        <c:baseTimeUnit val="days"/>
        <c:majorUnit val="1"/>
        <c:majorTimeUnit val="months"/>
      </c:dateAx>
      <c:valAx>
        <c:axId val="3727778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74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17.310595754353805</c:v>
                </c:pt>
                <c:pt idx="1">
                  <c:v>17.483239478244275</c:v>
                </c:pt>
                <c:pt idx="2">
                  <c:v>17.664345525292397</c:v>
                </c:pt>
                <c:pt idx="3">
                  <c:v>17.852296505613857</c:v>
                </c:pt>
                <c:pt idx="4">
                  <c:v>18.045475406365792</c:v>
                </c:pt>
                <c:pt idx="5">
                  <c:v>18.242265596980836</c:v>
                </c:pt>
                <c:pt idx="6">
                  <c:v>18.44105082784386</c:v>
                </c:pt>
                <c:pt idx="7">
                  <c:v>18.640215240432944</c:v>
                </c:pt>
                <c:pt idx="8">
                  <c:v>18.842229552374164</c:v>
                </c:pt>
                <c:pt idx="9">
                  <c:v>19.050661976795926</c:v>
                </c:pt>
                <c:pt idx="10">
                  <c:v>19.265657324455002</c:v>
                </c:pt>
                <c:pt idx="11">
                  <c:v>19.487316887695453</c:v>
                </c:pt>
                <c:pt idx="12">
                  <c:v>19.715741915813556</c:v>
                </c:pt>
                <c:pt idx="13">
                  <c:v>19.951033622232014</c:v>
                </c:pt>
                <c:pt idx="14">
                  <c:v>20.193293178282982</c:v>
                </c:pt>
                <c:pt idx="15">
                  <c:v>20.442705725734267</c:v>
                </c:pt>
                <c:pt idx="16">
                  <c:v>20.69939415971692</c:v>
                </c:pt>
                <c:pt idx="17">
                  <c:v>20.963459571609231</c:v>
                </c:pt>
                <c:pt idx="18">
                  <c:v>21.235003020898194</c:v>
                </c:pt>
                <c:pt idx="19">
                  <c:v>21.514125259363887</c:v>
                </c:pt>
                <c:pt idx="20">
                  <c:v>21.800926861393293</c:v>
                </c:pt>
                <c:pt idx="21">
                  <c:v>22.095508589871262</c:v>
                </c:pt>
                <c:pt idx="22">
                  <c:v>22.39977792205287</c:v>
                </c:pt>
                <c:pt idx="23">
                  <c:v>22.715201989887181</c:v>
                </c:pt>
                <c:pt idx="24">
                  <c:v>23.040873870882692</c:v>
                </c:pt>
                <c:pt idx="25">
                  <c:v>23.375839757960858</c:v>
                </c:pt>
                <c:pt idx="26">
                  <c:v>23.719146113745555</c:v>
                </c:pt>
                <c:pt idx="27">
                  <c:v>24.069839690765821</c:v>
                </c:pt>
                <c:pt idx="28">
                  <c:v>24.426967531965698</c:v>
                </c:pt>
                <c:pt idx="29">
                  <c:v>24.789596320783616</c:v>
                </c:pt>
                <c:pt idx="30">
                  <c:v>25.15668964039881</c:v>
                </c:pt>
                <c:pt idx="31">
                  <c:v>25.527295405637023</c:v>
                </c:pt>
                <c:pt idx="32">
                  <c:v>25.900461826475873</c:v>
                </c:pt>
                <c:pt idx="33">
                  <c:v>26.275237413249002</c:v>
                </c:pt>
                <c:pt idx="34">
                  <c:v>26.650670974135554</c:v>
                </c:pt>
                <c:pt idx="35">
                  <c:v>27.025811617803882</c:v>
                </c:pt>
                <c:pt idx="36">
                  <c:v>27.402773566767188</c:v>
                </c:pt>
                <c:pt idx="37">
                  <c:v>27.783902677251241</c:v>
                </c:pt>
                <c:pt idx="38">
                  <c:v>28.168617913679256</c:v>
                </c:pt>
                <c:pt idx="39">
                  <c:v>28.556601730482452</c:v>
                </c:pt>
                <c:pt idx="40">
                  <c:v>28.947536653817718</c:v>
                </c:pt>
                <c:pt idx="41">
                  <c:v>29.341105277359286</c:v>
                </c:pt>
                <c:pt idx="42">
                  <c:v>29.736990264652562</c:v>
                </c:pt>
                <c:pt idx="43">
                  <c:v>30.134794116427287</c:v>
                </c:pt>
                <c:pt idx="44">
                  <c:v>30.534180091310375</c:v>
                </c:pt>
                <c:pt idx="45">
                  <c:v>30.934830907249086</c:v>
                </c:pt>
                <c:pt idx="46">
                  <c:v>31.336429331436765</c:v>
                </c:pt>
                <c:pt idx="47">
                  <c:v>31.738658177267997</c:v>
                </c:pt>
                <c:pt idx="48">
                  <c:v>32.141200302210557</c:v>
                </c:pt>
                <c:pt idx="49">
                  <c:v>32.543738608466569</c:v>
                </c:pt>
                <c:pt idx="50">
                  <c:v>32.946290400047658</c:v>
                </c:pt>
                <c:pt idx="51">
                  <c:v>33.349228230768517</c:v>
                </c:pt>
                <c:pt idx="52">
                  <c:v>33.752954641240208</c:v>
                </c:pt>
                <c:pt idx="53">
                  <c:v>34.157680592122261</c:v>
                </c:pt>
                <c:pt idx="54">
                  <c:v>34.563616948737852</c:v>
                </c:pt>
                <c:pt idx="55">
                  <c:v>34.970974499781789</c:v>
                </c:pt>
                <c:pt idx="56">
                  <c:v>35.379963953646332</c:v>
                </c:pt>
                <c:pt idx="57">
                  <c:v>35.790801003496128</c:v>
                </c:pt>
                <c:pt idx="58">
                  <c:v>36.203777110513506</c:v>
                </c:pt>
                <c:pt idx="59">
                  <c:v>36.619102920076919</c:v>
                </c:pt>
                <c:pt idx="60">
                  <c:v>37.036988999661091</c:v>
                </c:pt>
                <c:pt idx="61">
                  <c:v>37.457645838567728</c:v>
                </c:pt>
                <c:pt idx="62">
                  <c:v>37.881283850381486</c:v>
                </c:pt>
                <c:pt idx="63">
                  <c:v>38.308113364121787</c:v>
                </c:pt>
                <c:pt idx="64">
                  <c:v>38.738960019170463</c:v>
                </c:pt>
                <c:pt idx="65">
                  <c:v>39.174151508993006</c:v>
                </c:pt>
                <c:pt idx="66">
                  <c:v>39.613155997876973</c:v>
                </c:pt>
                <c:pt idx="67">
                  <c:v>40.055445134999282</c:v>
                </c:pt>
                <c:pt idx="68">
                  <c:v>40.500490669567952</c:v>
                </c:pt>
                <c:pt idx="69">
                  <c:v>40.947764452373725</c:v>
                </c:pt>
                <c:pt idx="70">
                  <c:v>41.396738432409101</c:v>
                </c:pt>
                <c:pt idx="71">
                  <c:v>41.846875451535425</c:v>
                </c:pt>
                <c:pt idx="72">
                  <c:v>42.29764248364031</c:v>
                </c:pt>
                <c:pt idx="73">
                  <c:v>42.748511716131276</c:v>
                </c:pt>
                <c:pt idx="74">
                  <c:v>43.198955428978252</c:v>
                </c:pt>
                <c:pt idx="75">
                  <c:v>43.648445995660971</c:v>
                </c:pt>
                <c:pt idx="76">
                  <c:v>44.096455883296557</c:v>
                </c:pt>
                <c:pt idx="77">
                  <c:v>44.542457652491116</c:v>
                </c:pt>
                <c:pt idx="78">
                  <c:v>44.990210302238332</c:v>
                </c:pt>
                <c:pt idx="79">
                  <c:v>45.442908858824261</c:v>
                </c:pt>
                <c:pt idx="80">
                  <c:v>45.899187062927268</c:v>
                </c:pt>
                <c:pt idx="81">
                  <c:v>46.357673454068639</c:v>
                </c:pt>
                <c:pt idx="82">
                  <c:v>46.816996883620249</c:v>
                </c:pt>
                <c:pt idx="83">
                  <c:v>47.275786515050548</c:v>
                </c:pt>
                <c:pt idx="84">
                  <c:v>47.732671829697573</c:v>
                </c:pt>
                <c:pt idx="85">
                  <c:v>48.186289699690505</c:v>
                </c:pt>
                <c:pt idx="86">
                  <c:v>48.635279795268374</c:v>
                </c:pt>
                <c:pt idx="87">
                  <c:v>49.078272721149077</c:v>
                </c:pt>
                <c:pt idx="88">
                  <c:v>49.513899430609456</c:v>
                </c:pt>
                <c:pt idx="89">
                  <c:v>49.940791231222967</c:v>
                </c:pt>
                <c:pt idx="90">
                  <c:v>50.357579790956763</c:v>
                </c:pt>
                <c:pt idx="91">
                  <c:v>50.762897146038448</c:v>
                </c:pt>
                <c:pt idx="92">
                  <c:v>51.159482647559088</c:v>
                </c:pt>
                <c:pt idx="93">
                  <c:v>51.550779578348745</c:v>
                </c:pt>
                <c:pt idx="94">
                  <c:v>51.936473187343218</c:v>
                </c:pt>
                <c:pt idx="95">
                  <c:v>52.316247935269132</c:v>
                </c:pt>
                <c:pt idx="96">
                  <c:v>52.689788379408931</c:v>
                </c:pt>
                <c:pt idx="97">
                  <c:v>53.05677919285187</c:v>
                </c:pt>
                <c:pt idx="98">
                  <c:v>53.416905161660047</c:v>
                </c:pt>
                <c:pt idx="99">
                  <c:v>53.769847978148356</c:v>
                </c:pt>
                <c:pt idx="100">
                  <c:v>54.115285082012036</c:v>
                </c:pt>
                <c:pt idx="101">
                  <c:v>54.452901430199731</c:v>
                </c:pt>
                <c:pt idx="102">
                  <c:v>54.78238209595893</c:v>
                </c:pt>
                <c:pt idx="103">
                  <c:v>55.103412273512312</c:v>
                </c:pt>
                <c:pt idx="104">
                  <c:v>55.415677268463142</c:v>
                </c:pt>
                <c:pt idx="105">
                  <c:v>55.718862521305986</c:v>
                </c:pt>
                <c:pt idx="106">
                  <c:v>56.012986743612231</c:v>
                </c:pt>
                <c:pt idx="107">
                  <c:v>56.29841899687051</c:v>
                </c:pt>
                <c:pt idx="108">
                  <c:v>56.57536795475103</c:v>
                </c:pt>
                <c:pt idx="109">
                  <c:v>56.844045087958982</c:v>
                </c:pt>
                <c:pt idx="110">
                  <c:v>57.104661853111239</c:v>
                </c:pt>
                <c:pt idx="111">
                  <c:v>57.357429694938681</c:v>
                </c:pt>
                <c:pt idx="112">
                  <c:v>57.602560037792962</c:v>
                </c:pt>
                <c:pt idx="113">
                  <c:v>57.840264665050121</c:v>
                </c:pt>
                <c:pt idx="114">
                  <c:v>58.070758575186822</c:v>
                </c:pt>
                <c:pt idx="115">
                  <c:v>58.29425327736498</c:v>
                </c:pt>
                <c:pt idx="116">
                  <c:v>58.510960286941497</c:v>
                </c:pt>
                <c:pt idx="117">
                  <c:v>58.721091111656094</c:v>
                </c:pt>
                <c:pt idx="118">
                  <c:v>58.924857276348675</c:v>
                </c:pt>
                <c:pt idx="119">
                  <c:v>60.998891234266793</c:v>
                </c:pt>
                <c:pt idx="120">
                  <c:v>61.194531311084447</c:v>
                </c:pt>
                <c:pt idx="121">
                  <c:v>61.381461392123541</c:v>
                </c:pt>
                <c:pt idx="122">
                  <c:v>61.560117622430418</c:v>
                </c:pt>
                <c:pt idx="123">
                  <c:v>61.730935601016199</c:v>
                </c:pt>
                <c:pt idx="124">
                  <c:v>61.894350774346165</c:v>
                </c:pt>
                <c:pt idx="125">
                  <c:v>62.050798442916516</c:v>
                </c:pt>
                <c:pt idx="126">
                  <c:v>62.200713758258232</c:v>
                </c:pt>
                <c:pt idx="127">
                  <c:v>62.344530859068406</c:v>
                </c:pt>
                <c:pt idx="128">
                  <c:v>62.482684131566948</c:v>
                </c:pt>
                <c:pt idx="129">
                  <c:v>62.615608245222639</c:v>
                </c:pt>
                <c:pt idx="130">
                  <c:v>62.743737717551703</c:v>
                </c:pt>
                <c:pt idx="131">
                  <c:v>62.86750692535206</c:v>
                </c:pt>
                <c:pt idx="132">
                  <c:v>62.987350096175092</c:v>
                </c:pt>
                <c:pt idx="133">
                  <c:v>63.103701315508218</c:v>
                </c:pt>
                <c:pt idx="134">
                  <c:v>63.215442273318509</c:v>
                </c:pt>
                <c:pt idx="135">
                  <c:v>63.321310749209239</c:v>
                </c:pt>
                <c:pt idx="136">
                  <c:v>63.421526059336635</c:v>
                </c:pt>
                <c:pt idx="137">
                  <c:v>63.51630615828298</c:v>
                </c:pt>
                <c:pt idx="138">
                  <c:v>63.605868941881909</c:v>
                </c:pt>
                <c:pt idx="139">
                  <c:v>63.690432237886974</c:v>
                </c:pt>
                <c:pt idx="140">
                  <c:v>63.770213817619933</c:v>
                </c:pt>
                <c:pt idx="141">
                  <c:v>63.845431562351372</c:v>
                </c:pt>
                <c:pt idx="142">
                  <c:v>63.9163041851548</c:v>
                </c:pt>
                <c:pt idx="143">
                  <c:v>63.983049329493227</c:v>
                </c:pt>
                <c:pt idx="144">
                  <c:v>64.045884579311121</c:v>
                </c:pt>
                <c:pt idx="145">
                  <c:v>64.105027460410341</c:v>
                </c:pt>
                <c:pt idx="146">
                  <c:v>64.160695436736034</c:v>
                </c:pt>
                <c:pt idx="147">
                  <c:v>64.213105919000739</c:v>
                </c:pt>
                <c:pt idx="148">
                  <c:v>64.261466737621078</c:v>
                </c:pt>
                <c:pt idx="149">
                  <c:v>64.304985740810835</c:v>
                </c:pt>
                <c:pt idx="150">
                  <c:v>64.343880602846482</c:v>
                </c:pt>
                <c:pt idx="151">
                  <c:v>64.378369014681752</c:v>
                </c:pt>
                <c:pt idx="152">
                  <c:v>64.408668605977851</c:v>
                </c:pt>
                <c:pt idx="153">
                  <c:v>64.434996945602521</c:v>
                </c:pt>
                <c:pt idx="154">
                  <c:v>64.457571538906166</c:v>
                </c:pt>
                <c:pt idx="155">
                  <c:v>64.476609618621808</c:v>
                </c:pt>
                <c:pt idx="156">
                  <c:v>64.492328347570435</c:v>
                </c:pt>
                <c:pt idx="157">
                  <c:v>64.504945017340503</c:v>
                </c:pt>
                <c:pt idx="158">
                  <c:v>64.514676853511617</c:v>
                </c:pt>
                <c:pt idx="159">
                  <c:v>64.521741010049212</c:v>
                </c:pt>
                <c:pt idx="160">
                  <c:v>64.526354571690874</c:v>
                </c:pt>
                <c:pt idx="161">
                  <c:v>64.528734550878568</c:v>
                </c:pt>
                <c:pt idx="162">
                  <c:v>64.52972805471093</c:v>
                </c:pt>
                <c:pt idx="163">
                  <c:v>64.529677694465761</c:v>
                </c:pt>
                <c:pt idx="164">
                  <c:v>64.528044316591831</c:v>
                </c:pt>
                <c:pt idx="165">
                  <c:v>64.524288638715078</c:v>
                </c:pt>
                <c:pt idx="166">
                  <c:v>64.517871570530531</c:v>
                </c:pt>
                <c:pt idx="167">
                  <c:v>64.508254206519965</c:v>
                </c:pt>
                <c:pt idx="168">
                  <c:v>64.494897827510528</c:v>
                </c:pt>
                <c:pt idx="169">
                  <c:v>64.477263786727633</c:v>
                </c:pt>
                <c:pt idx="170">
                  <c:v>64.454813968112077</c:v>
                </c:pt>
                <c:pt idx="171">
                  <c:v>64.427010203500558</c:v>
                </c:pt>
                <c:pt idx="172">
                  <c:v>64.393314504398788</c:v>
                </c:pt>
                <c:pt idx="173">
                  <c:v>64.353189056448713</c:v>
                </c:pt>
                <c:pt idx="174">
                  <c:v>64.306096223507254</c:v>
                </c:pt>
                <c:pt idx="175">
                  <c:v>64.251498543148315</c:v>
                </c:pt>
                <c:pt idx="176">
                  <c:v>64.189506091686766</c:v>
                </c:pt>
                <c:pt idx="177">
                  <c:v>64.120804026059162</c:v>
                </c:pt>
                <c:pt idx="178">
                  <c:v>64.045718028311185</c:v>
                </c:pt>
                <c:pt idx="179">
                  <c:v>63.964573528249481</c:v>
                </c:pt>
                <c:pt idx="180">
                  <c:v>63.877695824584919</c:v>
                </c:pt>
                <c:pt idx="181">
                  <c:v>63.78541007704451</c:v>
                </c:pt>
                <c:pt idx="182">
                  <c:v>63.688041319394756</c:v>
                </c:pt>
                <c:pt idx="183">
                  <c:v>63.585914060928353</c:v>
                </c:pt>
                <c:pt idx="184">
                  <c:v>63.479353189577537</c:v>
                </c:pt>
                <c:pt idx="185">
                  <c:v>63.36868333325976</c:v>
                </c:pt>
                <c:pt idx="186">
                  <c:v>63.254228991476303</c:v>
                </c:pt>
                <c:pt idx="187">
                  <c:v>63.136314531414058</c:v>
                </c:pt>
                <c:pt idx="188">
                  <c:v>63.015264195243837</c:v>
                </c:pt>
                <c:pt idx="189">
                  <c:v>62.89140209102883</c:v>
                </c:pt>
                <c:pt idx="190">
                  <c:v>62.76471095666961</c:v>
                </c:pt>
                <c:pt idx="191">
                  <c:v>62.634814612692097</c:v>
                </c:pt>
                <c:pt idx="192">
                  <c:v>62.501498628607408</c:v>
                </c:pt>
                <c:pt idx="193">
                  <c:v>62.364548352740883</c:v>
                </c:pt>
                <c:pt idx="194">
                  <c:v>62.22374920076868</c:v>
                </c:pt>
                <c:pt idx="195">
                  <c:v>62.078886647941964</c:v>
                </c:pt>
                <c:pt idx="196">
                  <c:v>61.929746237883222</c:v>
                </c:pt>
                <c:pt idx="197">
                  <c:v>61.776113702487883</c:v>
                </c:pt>
                <c:pt idx="198">
                  <c:v>61.617775132442119</c:v>
                </c:pt>
                <c:pt idx="199">
                  <c:v>61.454516274328533</c:v>
                </c:pt>
                <c:pt idx="200">
                  <c:v>61.28612293926853</c:v>
                </c:pt>
                <c:pt idx="201">
                  <c:v>61.112381011338329</c:v>
                </c:pt>
                <c:pt idx="202">
                  <c:v>60.933076445933771</c:v>
                </c:pt>
                <c:pt idx="203">
                  <c:v>60.747995262117847</c:v>
                </c:pt>
                <c:pt idx="204">
                  <c:v>60.556295692144587</c:v>
                </c:pt>
                <c:pt idx="205">
                  <c:v>60.357636711277749</c:v>
                </c:pt>
                <c:pt idx="206">
                  <c:v>60.152557755300919</c:v>
                </c:pt>
                <c:pt idx="207">
                  <c:v>59.941598368859665</c:v>
                </c:pt>
                <c:pt idx="208">
                  <c:v>59.725297917997821</c:v>
                </c:pt>
                <c:pt idx="209">
                  <c:v>59.504195586199835</c:v>
                </c:pt>
                <c:pt idx="210">
                  <c:v>59.278830380664843</c:v>
                </c:pt>
                <c:pt idx="211">
                  <c:v>59.04973861166188</c:v>
                </c:pt>
                <c:pt idx="212">
                  <c:v>58.817458785109658</c:v>
                </c:pt>
                <c:pt idx="213">
                  <c:v>58.582529364694814</c:v>
                </c:pt>
                <c:pt idx="214">
                  <c:v>58.345488642222506</c:v>
                </c:pt>
                <c:pt idx="215">
                  <c:v>58.106874733414266</c:v>
                </c:pt>
                <c:pt idx="216">
                  <c:v>57.867225581705391</c:v>
                </c:pt>
                <c:pt idx="217">
                  <c:v>57.62707895941044</c:v>
                </c:pt>
                <c:pt idx="218">
                  <c:v>57.384929843474573</c:v>
                </c:pt>
                <c:pt idx="219">
                  <c:v>57.139131313440146</c:v>
                </c:pt>
                <c:pt idx="220">
                  <c:v>56.890008557185183</c:v>
                </c:pt>
                <c:pt idx="221">
                  <c:v>56.637884822446296</c:v>
                </c:pt>
                <c:pt idx="222">
                  <c:v>56.383083256467309</c:v>
                </c:pt>
                <c:pt idx="223">
                  <c:v>56.125926902557538</c:v>
                </c:pt>
                <c:pt idx="224">
                  <c:v>55.866738700991256</c:v>
                </c:pt>
                <c:pt idx="225">
                  <c:v>55.605840548710042</c:v>
                </c:pt>
                <c:pt idx="226">
                  <c:v>55.343557746488088</c:v>
                </c:pt>
                <c:pt idx="227">
                  <c:v>55.08021292781627</c:v>
                </c:pt>
                <c:pt idx="228">
                  <c:v>54.816128624184806</c:v>
                </c:pt>
                <c:pt idx="229">
                  <c:v>54.551627261128949</c:v>
                </c:pt>
                <c:pt idx="230">
                  <c:v>54.287031160532415</c:v>
                </c:pt>
                <c:pt idx="231">
                  <c:v>54.022662541499749</c:v>
                </c:pt>
                <c:pt idx="232">
                  <c:v>53.759201453311377</c:v>
                </c:pt>
                <c:pt idx="233">
                  <c:v>53.496746022146453</c:v>
                </c:pt>
                <c:pt idx="234">
                  <c:v>53.234758276025005</c:v>
                </c:pt>
                <c:pt idx="235">
                  <c:v>52.972701356526301</c:v>
                </c:pt>
                <c:pt idx="236">
                  <c:v>52.710038586764334</c:v>
                </c:pt>
                <c:pt idx="237">
                  <c:v>52.446233473675939</c:v>
                </c:pt>
                <c:pt idx="238">
                  <c:v>52.180749706660976</c:v>
                </c:pt>
                <c:pt idx="239">
                  <c:v>51.913058862971333</c:v>
                </c:pt>
                <c:pt idx="240">
                  <c:v>51.642625939554883</c:v>
                </c:pt>
                <c:pt idx="241">
                  <c:v>51.368915165378731</c:v>
                </c:pt>
                <c:pt idx="242">
                  <c:v>51.091390946281372</c:v>
                </c:pt>
                <c:pt idx="243">
                  <c:v>50.80951786559649</c:v>
                </c:pt>
                <c:pt idx="244">
                  <c:v>50.522760680782376</c:v>
                </c:pt>
                <c:pt idx="245">
                  <c:v>50.230584327301095</c:v>
                </c:pt>
                <c:pt idx="246">
                  <c:v>49.934491804086399</c:v>
                </c:pt>
                <c:pt idx="247">
                  <c:v>49.636149727196432</c:v>
                </c:pt>
                <c:pt idx="248">
                  <c:v>49.335246014519889</c:v>
                </c:pt>
                <c:pt idx="249">
                  <c:v>49.03145962575632</c:v>
                </c:pt>
                <c:pt idx="250">
                  <c:v>48.724469616894943</c:v>
                </c:pt>
                <c:pt idx="251">
                  <c:v>48.413955135740125</c:v>
                </c:pt>
                <c:pt idx="252">
                  <c:v>48.099595427633353</c:v>
                </c:pt>
                <c:pt idx="253">
                  <c:v>47.781067209947381</c:v>
                </c:pt>
                <c:pt idx="254">
                  <c:v>47.458042264718998</c:v>
                </c:pt>
                <c:pt idx="255">
                  <c:v>47.130200138705142</c:v>
                </c:pt>
                <c:pt idx="256">
                  <c:v>46.797220471998536</c:v>
                </c:pt>
                <c:pt idx="257">
                  <c:v>46.458782994312628</c:v>
                </c:pt>
                <c:pt idx="258">
                  <c:v>46.114567526442521</c:v>
                </c:pt>
                <c:pt idx="259">
                  <c:v>45.764253978126639</c:v>
                </c:pt>
                <c:pt idx="260">
                  <c:v>45.406468830713102</c:v>
                </c:pt>
                <c:pt idx="261">
                  <c:v>45.040596655581453</c:v>
                </c:pt>
                <c:pt idx="262">
                  <c:v>44.667475592109433</c:v>
                </c:pt>
                <c:pt idx="263">
                  <c:v>44.287964394217511</c:v>
                </c:pt>
                <c:pt idx="264">
                  <c:v>43.902921542489139</c:v>
                </c:pt>
                <c:pt idx="265">
                  <c:v>43.513205251246255</c:v>
                </c:pt>
                <c:pt idx="266">
                  <c:v>43.119673473056679</c:v>
                </c:pt>
                <c:pt idx="267">
                  <c:v>42.723167531940135</c:v>
                </c:pt>
                <c:pt idx="268">
                  <c:v>42.324547523221348</c:v>
                </c:pt>
                <c:pt idx="269">
                  <c:v>41.924670719845253</c:v>
                </c:pt>
                <c:pt idx="270">
                  <c:v>41.524394144639061</c:v>
                </c:pt>
                <c:pt idx="271">
                  <c:v>41.124574572905516</c:v>
                </c:pt>
                <c:pt idx="272">
                  <c:v>40.726068534080163</c:v>
                </c:pt>
                <c:pt idx="273">
                  <c:v>40.329732313900152</c:v>
                </c:pt>
                <c:pt idx="274">
                  <c:v>39.933354046438353</c:v>
                </c:pt>
                <c:pt idx="275">
                  <c:v>39.534452405514692</c:v>
                </c:pt>
                <c:pt idx="276">
                  <c:v>39.133483239299458</c:v>
                </c:pt>
                <c:pt idx="277">
                  <c:v>38.730875017071355</c:v>
                </c:pt>
                <c:pt idx="278">
                  <c:v>38.327056059725194</c:v>
                </c:pt>
                <c:pt idx="279">
                  <c:v>37.922454538091188</c:v>
                </c:pt>
                <c:pt idx="280">
                  <c:v>37.517498472388567</c:v>
                </c:pt>
                <c:pt idx="281">
                  <c:v>37.112625543333458</c:v>
                </c:pt>
                <c:pt idx="282">
                  <c:v>36.708278990588916</c:v>
                </c:pt>
                <c:pt idx="283">
                  <c:v>36.304886059800396</c:v>
                </c:pt>
                <c:pt idx="284">
                  <c:v>35.902873825313705</c:v>
                </c:pt>
                <c:pt idx="285">
                  <c:v>35.502669190864914</c:v>
                </c:pt>
                <c:pt idx="286">
                  <c:v>35.104698889644389</c:v>
                </c:pt>
                <c:pt idx="287">
                  <c:v>34.709389487025859</c:v>
                </c:pt>
                <c:pt idx="288">
                  <c:v>34.315403381073033</c:v>
                </c:pt>
                <c:pt idx="289">
                  <c:v>33.921104172022119</c:v>
                </c:pt>
                <c:pt idx="290">
                  <c:v>33.526801140374424</c:v>
                </c:pt>
                <c:pt idx="291">
                  <c:v>33.132818117239658</c:v>
                </c:pt>
                <c:pt idx="292">
                  <c:v>32.739478975119972</c:v>
                </c:pt>
                <c:pt idx="293">
                  <c:v>32.347107615407516</c:v>
                </c:pt>
                <c:pt idx="294">
                  <c:v>31.956027959493493</c:v>
                </c:pt>
                <c:pt idx="295">
                  <c:v>31.566042264559261</c:v>
                </c:pt>
                <c:pt idx="296">
                  <c:v>31.17747486108118</c:v>
                </c:pt>
                <c:pt idx="297">
                  <c:v>30.790659538992895</c:v>
                </c:pt>
                <c:pt idx="298">
                  <c:v>30.405930329663033</c:v>
                </c:pt>
                <c:pt idx="299">
                  <c:v>30.0236213669405</c:v>
                </c:pt>
                <c:pt idx="300">
                  <c:v>29.644066821252203</c:v>
                </c:pt>
                <c:pt idx="301">
                  <c:v>29.267600835055099</c:v>
                </c:pt>
                <c:pt idx="302">
                  <c:v>28.892599390850545</c:v>
                </c:pt>
                <c:pt idx="303">
                  <c:v>28.517634035476547</c:v>
                </c:pt>
                <c:pt idx="304">
                  <c:v>28.143459198449971</c:v>
                </c:pt>
                <c:pt idx="305">
                  <c:v>27.770617054444799</c:v>
                </c:pt>
                <c:pt idx="306">
                  <c:v>27.399649334337624</c:v>
                </c:pt>
                <c:pt idx="307">
                  <c:v>27.031097283468679</c:v>
                </c:pt>
                <c:pt idx="308">
                  <c:v>26.665501612740076</c:v>
                </c:pt>
                <c:pt idx="309">
                  <c:v>26.304058930044679</c:v>
                </c:pt>
                <c:pt idx="310">
                  <c:v>25.947765692868284</c:v>
                </c:pt>
                <c:pt idx="311">
                  <c:v>25.597136787277702</c:v>
                </c:pt>
                <c:pt idx="312">
                  <c:v>25.252686862198342</c:v>
                </c:pt>
                <c:pt idx="313">
                  <c:v>24.914930420670604</c:v>
                </c:pt>
                <c:pt idx="314">
                  <c:v>24.58438190321781</c:v>
                </c:pt>
                <c:pt idx="315">
                  <c:v>24.261555777942434</c:v>
                </c:pt>
                <c:pt idx="316">
                  <c:v>23.945632845067511</c:v>
                </c:pt>
                <c:pt idx="317">
                  <c:v>23.635635296229232</c:v>
                </c:pt>
                <c:pt idx="318">
                  <c:v>23.331493832450871</c:v>
                </c:pt>
                <c:pt idx="319">
                  <c:v>23.033188234847557</c:v>
                </c:pt>
                <c:pt idx="320">
                  <c:v>22.740698982106025</c:v>
                </c:pt>
                <c:pt idx="321">
                  <c:v>22.454007316702913</c:v>
                </c:pt>
                <c:pt idx="322">
                  <c:v>22.173095315885451</c:v>
                </c:pt>
                <c:pt idx="323">
                  <c:v>21.897838988171912</c:v>
                </c:pt>
                <c:pt idx="324">
                  <c:v>21.627631922268222</c:v>
                </c:pt>
                <c:pt idx="325">
                  <c:v>21.362471648438103</c:v>
                </c:pt>
                <c:pt idx="326">
                  <c:v>21.102356634409986</c:v>
                </c:pt>
                <c:pt idx="327">
                  <c:v>20.847285079173986</c:v>
                </c:pt>
                <c:pt idx="328">
                  <c:v>20.59725485730981</c:v>
                </c:pt>
                <c:pt idx="329">
                  <c:v>20.352264099756631</c:v>
                </c:pt>
                <c:pt idx="330">
                  <c:v>20.110001526113635</c:v>
                </c:pt>
                <c:pt idx="331">
                  <c:v>19.868820321340781</c:v>
                </c:pt>
                <c:pt idx="332">
                  <c:v>19.629607172331617</c:v>
                </c:pt>
                <c:pt idx="333">
                  <c:v>19.39343072654648</c:v>
                </c:pt>
                <c:pt idx="334">
                  <c:v>19.161359267205292</c:v>
                </c:pt>
                <c:pt idx="335">
                  <c:v>18.934460702215535</c:v>
                </c:pt>
                <c:pt idx="336">
                  <c:v>18.713802540737387</c:v>
                </c:pt>
                <c:pt idx="337">
                  <c:v>18.500359831035535</c:v>
                </c:pt>
                <c:pt idx="338">
                  <c:v>18.295299442382671</c:v>
                </c:pt>
                <c:pt idx="339">
                  <c:v>18.099687513952532</c:v>
                </c:pt>
                <c:pt idx="340">
                  <c:v>17.914589759663471</c:v>
                </c:pt>
                <c:pt idx="341">
                  <c:v>17.741071474467883</c:v>
                </c:pt>
                <c:pt idx="342">
                  <c:v>17.580197528357871</c:v>
                </c:pt>
                <c:pt idx="343">
                  <c:v>17.433032352019595</c:v>
                </c:pt>
                <c:pt idx="344">
                  <c:v>17.295582122920038</c:v>
                </c:pt>
                <c:pt idx="345">
                  <c:v>17.163881106894689</c:v>
                </c:pt>
                <c:pt idx="346">
                  <c:v>17.039117441726106</c:v>
                </c:pt>
                <c:pt idx="347">
                  <c:v>16.922396092976964</c:v>
                </c:pt>
                <c:pt idx="348">
                  <c:v>16.814821679107443</c:v>
                </c:pt>
                <c:pt idx="349">
                  <c:v>16.717498451728233</c:v>
                </c:pt>
                <c:pt idx="350">
                  <c:v>16.631530309042546</c:v>
                </c:pt>
                <c:pt idx="351">
                  <c:v>16.558058073099748</c:v>
                </c:pt>
                <c:pt idx="352">
                  <c:v>16.498273374718931</c:v>
                </c:pt>
                <c:pt idx="353">
                  <c:v>16.453278538361197</c:v>
                </c:pt>
                <c:pt idx="354">
                  <c:v>16.424175610409417</c:v>
                </c:pt>
                <c:pt idx="355">
                  <c:v>16.412066344673825</c:v>
                </c:pt>
                <c:pt idx="356">
                  <c:v>16.418052819834756</c:v>
                </c:pt>
                <c:pt idx="357">
                  <c:v>16.443235679664404</c:v>
                </c:pt>
                <c:pt idx="358">
                  <c:v>16.48974294777155</c:v>
                </c:pt>
                <c:pt idx="359">
                  <c:v>16.557883567086975</c:v>
                </c:pt>
                <c:pt idx="360">
                  <c:v>16.645942543872675</c:v>
                </c:pt>
                <c:pt idx="361">
                  <c:v>16.752256515025319</c:v>
                </c:pt>
                <c:pt idx="362">
                  <c:v>16.875199535288044</c:v>
                </c:pt>
                <c:pt idx="363">
                  <c:v>17.013146055508759</c:v>
                </c:pt>
                <c:pt idx="364">
                  <c:v>17.16447092038047</c:v>
                </c:pt>
                <c:pt idx="365">
                  <c:v>17.23753333736714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5.9597530917997057</c:v>
                </c:pt>
                <c:pt idx="7">
                  <c:v>7.7847584278356372</c:v>
                </c:pt>
                <c:pt idx="8">
                  <c:v>2.33839054387925</c:v>
                </c:pt>
                <c:pt idx="9">
                  <c:v>1.9336454716895226</c:v>
                </c:pt>
                <c:pt idx="10">
                  <c:v>19.403707205117193</c:v>
                </c:pt>
                <c:pt idx="11">
                  <c:v>17.417817554885204</c:v>
                </c:pt>
                <c:pt idx="12">
                  <c:v>5.9176275745056959</c:v>
                </c:pt>
                <c:pt idx="13">
                  <c:v>20.019697359760375</c:v>
                </c:pt>
                <c:pt idx="14">
                  <c:v>20.59835914969651</c:v>
                </c:pt>
                <c:pt idx="15">
                  <c:v>20.316007642744559</c:v>
                </c:pt>
                <c:pt idx="16">
                  <c:v>13.632477233939358</c:v>
                </c:pt>
                <c:pt idx="17">
                  <c:v>4.324820797290239</c:v>
                </c:pt>
                <c:pt idx="18">
                  <c:v>10.935025832820561</c:v>
                </c:pt>
                <c:pt idx="19">
                  <c:v>6.3296941427044864</c:v>
                </c:pt>
                <c:pt idx="20">
                  <c:v>17.817685854768282</c:v>
                </c:pt>
                <c:pt idx="21">
                  <c:v>21.973364589565612</c:v>
                </c:pt>
                <c:pt idx="22">
                  <c:v>22.04578452882587</c:v>
                </c:pt>
                <c:pt idx="23">
                  <c:v>22.592332117057662</c:v>
                </c:pt>
                <c:pt idx="24">
                  <c:v>21.157525442495256</c:v>
                </c:pt>
                <c:pt idx="25">
                  <c:v>22.76706754629836</c:v>
                </c:pt>
                <c:pt idx="26">
                  <c:v>19.058325678991604</c:v>
                </c:pt>
                <c:pt idx="27">
                  <c:v>4.5453087545629414</c:v>
                </c:pt>
                <c:pt idx="28">
                  <c:v>6.8303703038619723</c:v>
                </c:pt>
                <c:pt idx="29">
                  <c:v>4.9223169854428841</c:v>
                </c:pt>
                <c:pt idx="30">
                  <c:v>11.412102129560623</c:v>
                </c:pt>
                <c:pt idx="31">
                  <c:v>14.710698624663189</c:v>
                </c:pt>
                <c:pt idx="32">
                  <c:v>5.932180652023848</c:v>
                </c:pt>
                <c:pt idx="33">
                  <c:v>13.707156902649627</c:v>
                </c:pt>
                <c:pt idx="34">
                  <c:v>12.50777284194127</c:v>
                </c:pt>
                <c:pt idx="35">
                  <c:v>9.8213991767244657</c:v>
                </c:pt>
                <c:pt idx="36">
                  <c:v>21.569785002070905</c:v>
                </c:pt>
                <c:pt idx="37">
                  <c:v>14.779507246640588</c:v>
                </c:pt>
                <c:pt idx="38">
                  <c:v>28.642565175437635</c:v>
                </c:pt>
                <c:pt idx="39">
                  <c:v>28.866832742205258</c:v>
                </c:pt>
                <c:pt idx="40">
                  <c:v>27.858947580354002</c:v>
                </c:pt>
                <c:pt idx="41">
                  <c:v>14.563461000741432</c:v>
                </c:pt>
                <c:pt idx="42">
                  <c:v>23.287529930448745</c:v>
                </c:pt>
                <c:pt idx="43">
                  <c:v>25.656697554081273</c:v>
                </c:pt>
                <c:pt idx="44">
                  <c:v>16.4727638860188</c:v>
                </c:pt>
                <c:pt idx="45">
                  <c:v>21.204314235310875</c:v>
                </c:pt>
                <c:pt idx="46">
                  <c:v>10.070391019849678</c:v>
                </c:pt>
                <c:pt idx="47">
                  <c:v>12.101501751033645</c:v>
                </c:pt>
                <c:pt idx="48">
                  <c:v>28.357076040523879</c:v>
                </c:pt>
                <c:pt idx="49">
                  <c:v>17.117597381206696</c:v>
                </c:pt>
                <c:pt idx="50">
                  <c:v>21.554736918210263</c:v>
                </c:pt>
                <c:pt idx="51">
                  <c:v>19.005570445682448</c:v>
                </c:pt>
                <c:pt idx="52">
                  <c:v>31.057816186721336</c:v>
                </c:pt>
                <c:pt idx="53">
                  <c:v>32.66105885160178</c:v>
                </c:pt>
                <c:pt idx="54">
                  <c:v>23.256209215444205</c:v>
                </c:pt>
                <c:pt idx="55">
                  <c:v>25.675489716485018</c:v>
                </c:pt>
                <c:pt idx="56">
                  <c:v>36.156219560598991</c:v>
                </c:pt>
                <c:pt idx="57">
                  <c:v>23.126265706569068</c:v>
                </c:pt>
                <c:pt idx="58">
                  <c:v>33.725681419239535</c:v>
                </c:pt>
                <c:pt idx="59">
                  <c:v>35.584151888997809</c:v>
                </c:pt>
                <c:pt idx="60">
                  <c:v>16.442680214196795</c:v>
                </c:pt>
                <c:pt idx="61">
                  <c:v>28.363680417659232</c:v>
                </c:pt>
                <c:pt idx="62">
                  <c:v>5.5863421657060783</c:v>
                </c:pt>
                <c:pt idx="63">
                  <c:v>14.487385220013396</c:v>
                </c:pt>
                <c:pt idx="64">
                  <c:v>22.178739761290334</c:v>
                </c:pt>
                <c:pt idx="65">
                  <c:v>35.948172065290876</c:v>
                </c:pt>
                <c:pt idx="66">
                  <c:v>32.252319144959351</c:v>
                </c:pt>
                <c:pt idx="67">
                  <c:v>28.78820219632598</c:v>
                </c:pt>
                <c:pt idx="68">
                  <c:v>24.323256010038708</c:v>
                </c:pt>
                <c:pt idx="69">
                  <c:v>17.553682102580773</c:v>
                </c:pt>
                <c:pt idx="70">
                  <c:v>13.737270194166324</c:v>
                </c:pt>
                <c:pt idx="71">
                  <c:v>8.7494292661664321</c:v>
                </c:pt>
                <c:pt idx="72">
                  <c:v>13.028420718994866</c:v>
                </c:pt>
                <c:pt idx="73">
                  <c:v>15.439513559398092</c:v>
                </c:pt>
                <c:pt idx="74">
                  <c:v>12.964603165944197</c:v>
                </c:pt>
                <c:pt idx="75">
                  <c:v>12.45127716584285</c:v>
                </c:pt>
                <c:pt idx="76">
                  <c:v>14.696806060258339</c:v>
                </c:pt>
                <c:pt idx="77">
                  <c:v>27.004551646351278</c:v>
                </c:pt>
                <c:pt idx="78">
                  <c:v>32.369957585338611</c:v>
                </c:pt>
                <c:pt idx="79">
                  <c:v>43.538146955579045</c:v>
                </c:pt>
                <c:pt idx="80">
                  <c:v>42.494095523099752</c:v>
                </c:pt>
                <c:pt idx="81">
                  <c:v>45.333800846968451</c:v>
                </c:pt>
                <c:pt idx="82">
                  <c:v>45.036274101232955</c:v>
                </c:pt>
                <c:pt idx="83">
                  <c:v>37.515693955190066</c:v>
                </c:pt>
                <c:pt idx="84">
                  <c:v>41.205305516810242</c:v>
                </c:pt>
                <c:pt idx="85">
                  <c:v>43.120152316642432</c:v>
                </c:pt>
                <c:pt idx="86">
                  <c:v>37.041709297824511</c:v>
                </c:pt>
                <c:pt idx="87">
                  <c:v>28.208603064115771</c:v>
                </c:pt>
                <c:pt idx="88">
                  <c:v>7.8561433334013415</c:v>
                </c:pt>
                <c:pt idx="89">
                  <c:v>27.43744116355991</c:v>
                </c:pt>
                <c:pt idx="90">
                  <c:v>30.178792356968771</c:v>
                </c:pt>
                <c:pt idx="91">
                  <c:v>20.566242444055415</c:v>
                </c:pt>
                <c:pt idx="92">
                  <c:v>28.07903592298549</c:v>
                </c:pt>
                <c:pt idx="93">
                  <c:v>43.606658473950084</c:v>
                </c:pt>
                <c:pt idx="94">
                  <c:v>52.187381368788813</c:v>
                </c:pt>
                <c:pt idx="95">
                  <c:v>12.729972816499011</c:v>
                </c:pt>
                <c:pt idx="96">
                  <c:v>43.14935029939101</c:v>
                </c:pt>
                <c:pt idx="97">
                  <c:v>36.756027171985657</c:v>
                </c:pt>
                <c:pt idx="98">
                  <c:v>34.194640265763574</c:v>
                </c:pt>
                <c:pt idx="99">
                  <c:v>56.02413372975905</c:v>
                </c:pt>
                <c:pt idx="100">
                  <c:v>45.197959680982578</c:v>
                </c:pt>
                <c:pt idx="101">
                  <c:v>37.712414736131429</c:v>
                </c:pt>
                <c:pt idx="102">
                  <c:v>8.7204491116461007</c:v>
                </c:pt>
                <c:pt idx="103">
                  <c:v>40.256902601879503</c:v>
                </c:pt>
                <c:pt idx="104">
                  <c:v>44.113203135769595</c:v>
                </c:pt>
                <c:pt idx="105">
                  <c:v>40.138928770768082</c:v>
                </c:pt>
                <c:pt idx="106">
                  <c:v>55.591270709147807</c:v>
                </c:pt>
                <c:pt idx="107">
                  <c:v>35.464939434864377</c:v>
                </c:pt>
                <c:pt idx="108">
                  <c:v>11.668380989484961</c:v>
                </c:pt>
                <c:pt idx="109">
                  <c:v>11.692878560227467</c:v>
                </c:pt>
                <c:pt idx="110">
                  <c:v>11.223054971282398</c:v>
                </c:pt>
                <c:pt idx="111">
                  <c:v>29.852391680087898</c:v>
                </c:pt>
                <c:pt idx="112">
                  <c:v>9.800741041617469</c:v>
                </c:pt>
                <c:pt idx="113">
                  <c:v>35.141418409903331</c:v>
                </c:pt>
                <c:pt idx="114">
                  <c:v>46.376903504608869</c:v>
                </c:pt>
                <c:pt idx="115">
                  <c:v>57.905079569638907</c:v>
                </c:pt>
                <c:pt idx="116">
                  <c:v>46.026669931205603</c:v>
                </c:pt>
                <c:pt idx="117">
                  <c:v>24.538002671033812</c:v>
                </c:pt>
                <c:pt idx="118">
                  <c:v>44.473156236438051</c:v>
                </c:pt>
                <c:pt idx="119">
                  <c:v>45.256225025619848</c:v>
                </c:pt>
                <c:pt idx="120">
                  <c:v>51.341396063958825</c:v>
                </c:pt>
                <c:pt idx="121">
                  <c:v>32.999836146756969</c:v>
                </c:pt>
                <c:pt idx="122">
                  <c:v>36.77927207412678</c:v>
                </c:pt>
                <c:pt idx="123">
                  <c:v>20.699348356798961</c:v>
                </c:pt>
                <c:pt idx="124">
                  <c:v>41.664167592270644</c:v>
                </c:pt>
                <c:pt idx="125">
                  <c:v>43.676040024488785</c:v>
                </c:pt>
                <c:pt idx="126">
                  <c:v>50.234969111867862</c:v>
                </c:pt>
                <c:pt idx="127">
                  <c:v>56.977967362078068</c:v>
                </c:pt>
                <c:pt idx="128">
                  <c:v>60.287522044298107</c:v>
                </c:pt>
                <c:pt idx="129">
                  <c:v>59.053054603921005</c:v>
                </c:pt>
                <c:pt idx="130">
                  <c:v>62.994355131810302</c:v>
                </c:pt>
                <c:pt idx="131">
                  <c:v>47.966957257286104</c:v>
                </c:pt>
                <c:pt idx="132">
                  <c:v>50.828861982293461</c:v>
                </c:pt>
                <c:pt idx="133">
                  <c:v>56.903835008634793</c:v>
                </c:pt>
                <c:pt idx="134">
                  <c:v>58.740634946860602</c:v>
                </c:pt>
                <c:pt idx="135">
                  <c:v>57.410641419190291</c:v>
                </c:pt>
                <c:pt idx="136">
                  <c:v>61.311684966159852</c:v>
                </c:pt>
                <c:pt idx="137">
                  <c:v>58.540149604119961</c:v>
                </c:pt>
                <c:pt idx="138">
                  <c:v>57.289643129600748</c:v>
                </c:pt>
                <c:pt idx="139">
                  <c:v>54.447710224083167</c:v>
                </c:pt>
                <c:pt idx="140">
                  <c:v>57.018862455780706</c:v>
                </c:pt>
                <c:pt idx="141">
                  <c:v>44.089181919575829</c:v>
                </c:pt>
                <c:pt idx="142">
                  <c:v>20.978242885171117</c:v>
                </c:pt>
                <c:pt idx="143">
                  <c:v>18.019694544005443</c:v>
                </c:pt>
                <c:pt idx="144">
                  <c:v>43.916967981754546</c:v>
                </c:pt>
                <c:pt idx="145">
                  <c:v>29.302413668848164</c:v>
                </c:pt>
                <c:pt idx="146">
                  <c:v>45.882467681015129</c:v>
                </c:pt>
                <c:pt idx="147">
                  <c:v>60.236302973611103</c:v>
                </c:pt>
                <c:pt idx="148">
                  <c:v>65.50637548788194</c:v>
                </c:pt>
                <c:pt idx="149">
                  <c:v>52.682457483261032</c:v>
                </c:pt>
                <c:pt idx="150">
                  <c:v>62.274061263965478</c:v>
                </c:pt>
                <c:pt idx="151">
                  <c:v>64.927634812215217</c:v>
                </c:pt>
                <c:pt idx="152">
                  <c:v>46.767248805200005</c:v>
                </c:pt>
                <c:pt idx="153">
                  <c:v>61.921649733923012</c:v>
                </c:pt>
                <c:pt idx="154">
                  <c:v>31.471781119443403</c:v>
                </c:pt>
                <c:pt idx="155">
                  <c:v>34.779234488631211</c:v>
                </c:pt>
                <c:pt idx="156">
                  <c:v>55.617080462940336</c:v>
                </c:pt>
                <c:pt idx="157">
                  <c:v>29.04225194555255</c:v>
                </c:pt>
                <c:pt idx="158">
                  <c:v>26.17025413705586</c:v>
                </c:pt>
                <c:pt idx="159">
                  <c:v>53.777844363046192</c:v>
                </c:pt>
                <c:pt idx="160">
                  <c:v>66.164647457601262</c:v>
                </c:pt>
                <c:pt idx="161">
                  <c:v>63.349892814506973</c:v>
                </c:pt>
                <c:pt idx="162">
                  <c:v>51.083538392642005</c:v>
                </c:pt>
                <c:pt idx="163">
                  <c:v>57.109813882082889</c:v>
                </c:pt>
                <c:pt idx="164">
                  <c:v>58.056187586320974</c:v>
                </c:pt>
                <c:pt idx="165">
                  <c:v>61.584711198095292</c:v>
                </c:pt>
                <c:pt idx="166">
                  <c:v>58.357544969745909</c:v>
                </c:pt>
                <c:pt idx="167">
                  <c:v>58.528324752922131</c:v>
                </c:pt>
                <c:pt idx="168">
                  <c:v>62.320320287515777</c:v>
                </c:pt>
                <c:pt idx="169">
                  <c:v>62.818981892471065</c:v>
                </c:pt>
                <c:pt idx="170">
                  <c:v>33.967829644871891</c:v>
                </c:pt>
                <c:pt idx="171">
                  <c:v>22.85769332502532</c:v>
                </c:pt>
                <c:pt idx="172">
                  <c:v>47.418122483316061</c:v>
                </c:pt>
                <c:pt idx="173">
                  <c:v>46.885781874537287</c:v>
                </c:pt>
                <c:pt idx="174">
                  <c:v>50.434246428047267</c:v>
                </c:pt>
                <c:pt idx="175">
                  <c:v>42.012893020469704</c:v>
                </c:pt>
                <c:pt idx="176">
                  <c:v>13.139518685949549</c:v>
                </c:pt>
                <c:pt idx="177">
                  <c:v>19.3304632190587</c:v>
                </c:pt>
                <c:pt idx="178">
                  <c:v>66.893794812563343</c:v>
                </c:pt>
                <c:pt idx="179">
                  <c:v>64.909875677377187</c:v>
                </c:pt>
                <c:pt idx="180">
                  <c:v>15.944477661658739</c:v>
                </c:pt>
                <c:pt idx="181">
                  <c:v>54.091386717694576</c:v>
                </c:pt>
                <c:pt idx="182">
                  <c:v>60.056556792517085</c:v>
                </c:pt>
                <c:pt idx="183">
                  <c:v>55.851851464477697</c:v>
                </c:pt>
                <c:pt idx="184">
                  <c:v>51.991180186803518</c:v>
                </c:pt>
                <c:pt idx="185">
                  <c:v>62.341504575266214</c:v>
                </c:pt>
                <c:pt idx="186">
                  <c:v>45.895337308375183</c:v>
                </c:pt>
                <c:pt idx="187">
                  <c:v>61.866876365199779</c:v>
                </c:pt>
                <c:pt idx="188">
                  <c:v>64.872685552309079</c:v>
                </c:pt>
                <c:pt idx="189">
                  <c:v>63.870445492426292</c:v>
                </c:pt>
                <c:pt idx="190">
                  <c:v>63.19810260844509</c:v>
                </c:pt>
                <c:pt idx="191">
                  <c:v>62.110385749395427</c:v>
                </c:pt>
                <c:pt idx="192">
                  <c:v>61.136328391992294</c:v>
                </c:pt>
                <c:pt idx="193">
                  <c:v>59.923919978525873</c:v>
                </c:pt>
                <c:pt idx="194">
                  <c:v>59.762513418072352</c:v>
                </c:pt>
                <c:pt idx="195">
                  <c:v>57.125015899624614</c:v>
                </c:pt>
                <c:pt idx="196">
                  <c:v>58.299211977893194</c:v>
                </c:pt>
                <c:pt idx="197">
                  <c:v>58.719104505297551</c:v>
                </c:pt>
                <c:pt idx="198">
                  <c:v>60.510755721962674</c:v>
                </c:pt>
                <c:pt idx="199">
                  <c:v>44.446381491141231</c:v>
                </c:pt>
                <c:pt idx="200">
                  <c:v>41.736696850298024</c:v>
                </c:pt>
                <c:pt idx="201">
                  <c:v>57.590729328827585</c:v>
                </c:pt>
                <c:pt idx="202">
                  <c:v>49.462466330617445</c:v>
                </c:pt>
                <c:pt idx="203">
                  <c:v>46.802078362945288</c:v>
                </c:pt>
                <c:pt idx="204">
                  <c:v>56.980791502330717</c:v>
                </c:pt>
                <c:pt idx="205">
                  <c:v>30.059434923771889</c:v>
                </c:pt>
                <c:pt idx="206">
                  <c:v>53.2720286061884</c:v>
                </c:pt>
                <c:pt idx="207">
                  <c:v>60.293769899092503</c:v>
                </c:pt>
                <c:pt idx="208">
                  <c:v>47.372168568897244</c:v>
                </c:pt>
                <c:pt idx="209">
                  <c:v>29.427835639215669</c:v>
                </c:pt>
                <c:pt idx="210">
                  <c:v>48.400019074277409</c:v>
                </c:pt>
                <c:pt idx="211">
                  <c:v>59.269891654925786</c:v>
                </c:pt>
                <c:pt idx="212">
                  <c:v>58.749459898647167</c:v>
                </c:pt>
                <c:pt idx="213">
                  <c:v>58.759970431464517</c:v>
                </c:pt>
                <c:pt idx="214">
                  <c:v>58.342112028918869</c:v>
                </c:pt>
                <c:pt idx="215">
                  <c:v>55.657765821072942</c:v>
                </c:pt>
                <c:pt idx="216">
                  <c:v>44.427445958220225</c:v>
                </c:pt>
                <c:pt idx="217">
                  <c:v>53.010162118385885</c:v>
                </c:pt>
                <c:pt idx="218">
                  <c:v>55.891449713116366</c:v>
                </c:pt>
                <c:pt idx="219">
                  <c:v>57.339836094360329</c:v>
                </c:pt>
                <c:pt idx="220">
                  <c:v>54.667679533225467</c:v>
                </c:pt>
                <c:pt idx="221">
                  <c:v>53.090545043197764</c:v>
                </c:pt>
                <c:pt idx="222">
                  <c:v>50.103765310587484</c:v>
                </c:pt>
                <c:pt idx="223">
                  <c:v>0</c:v>
                </c:pt>
                <c:pt idx="224">
                  <c:v>37.236985297458588</c:v>
                </c:pt>
                <c:pt idx="225">
                  <c:v>37.304984429727206</c:v>
                </c:pt>
                <c:pt idx="226">
                  <c:v>37.72890486568479</c:v>
                </c:pt>
                <c:pt idx="227">
                  <c:v>39.077805732487974</c:v>
                </c:pt>
                <c:pt idx="228">
                  <c:v>27.181358745111044</c:v>
                </c:pt>
                <c:pt idx="229">
                  <c:v>41.473902016755027</c:v>
                </c:pt>
                <c:pt idx="230">
                  <c:v>41.057250431963858</c:v>
                </c:pt>
                <c:pt idx="231">
                  <c:v>53.581898932936575</c:v>
                </c:pt>
                <c:pt idx="232">
                  <c:v>38.665640759218007</c:v>
                </c:pt>
                <c:pt idx="233">
                  <c:v>28.282863085654963</c:v>
                </c:pt>
                <c:pt idx="234">
                  <c:v>47.844712525980647</c:v>
                </c:pt>
                <c:pt idx="235">
                  <c:v>51.965103874649813</c:v>
                </c:pt>
                <c:pt idx="236">
                  <c:v>33.32973567688672</c:v>
                </c:pt>
                <c:pt idx="237">
                  <c:v>38.413278941148761</c:v>
                </c:pt>
                <c:pt idx="238">
                  <c:v>48.425736410251929</c:v>
                </c:pt>
                <c:pt idx="239">
                  <c:v>50.908288896494199</c:v>
                </c:pt>
                <c:pt idx="240">
                  <c:v>35.579111403461859</c:v>
                </c:pt>
                <c:pt idx="241">
                  <c:v>49.931035148415269</c:v>
                </c:pt>
                <c:pt idx="242">
                  <c:v>25.279382899042101</c:v>
                </c:pt>
                <c:pt idx="243">
                  <c:v>43.468146128128964</c:v>
                </c:pt>
                <c:pt idx="244">
                  <c:v>41.088245995285895</c:v>
                </c:pt>
                <c:pt idx="245">
                  <c:v>37.799668950645035</c:v>
                </c:pt>
                <c:pt idx="246">
                  <c:v>49.563307467383019</c:v>
                </c:pt>
                <c:pt idx="247">
                  <c:v>41.473842452485385</c:v>
                </c:pt>
                <c:pt idx="248">
                  <c:v>45.205673660180217</c:v>
                </c:pt>
                <c:pt idx="249">
                  <c:v>37.067203202903904</c:v>
                </c:pt>
                <c:pt idx="250">
                  <c:v>41.226219455202127</c:v>
                </c:pt>
                <c:pt idx="251">
                  <c:v>19.640901478072344</c:v>
                </c:pt>
                <c:pt idx="252">
                  <c:v>45.78675712767533</c:v>
                </c:pt>
                <c:pt idx="253">
                  <c:v>47.367391548302393</c:v>
                </c:pt>
                <c:pt idx="254">
                  <c:v>36.792919129292052</c:v>
                </c:pt>
                <c:pt idx="255">
                  <c:v>14.10289413609453</c:v>
                </c:pt>
                <c:pt idx="256">
                  <c:v>37.89482058368651</c:v>
                </c:pt>
                <c:pt idx="257">
                  <c:v>43.047635711999867</c:v>
                </c:pt>
                <c:pt idx="258">
                  <c:v>28.926648708034342</c:v>
                </c:pt>
                <c:pt idx="259">
                  <c:v>46.44704810494116</c:v>
                </c:pt>
                <c:pt idx="260">
                  <c:v>45.495825909801042</c:v>
                </c:pt>
                <c:pt idx="261">
                  <c:v>45.855221700839181</c:v>
                </c:pt>
                <c:pt idx="262">
                  <c:v>46.217606926131189</c:v>
                </c:pt>
                <c:pt idx="263">
                  <c:v>44.852287588783106</c:v>
                </c:pt>
                <c:pt idx="264">
                  <c:v>43.596526002520264</c:v>
                </c:pt>
                <c:pt idx="265">
                  <c:v>31.946785365323191</c:v>
                </c:pt>
                <c:pt idx="266">
                  <c:v>19.733476127419241</c:v>
                </c:pt>
                <c:pt idx="267">
                  <c:v>31.586247579009356</c:v>
                </c:pt>
                <c:pt idx="268">
                  <c:v>34.066164714127758</c:v>
                </c:pt>
                <c:pt idx="269">
                  <c:v>16.670561542105922</c:v>
                </c:pt>
                <c:pt idx="270">
                  <c:v>19.044051716289733</c:v>
                </c:pt>
                <c:pt idx="271">
                  <c:v>24.647365369890455</c:v>
                </c:pt>
                <c:pt idx="272">
                  <c:v>26.430743612500731</c:v>
                </c:pt>
                <c:pt idx="273">
                  <c:v>36.074507460786791</c:v>
                </c:pt>
                <c:pt idx="274">
                  <c:v>37.515934765064259</c:v>
                </c:pt>
                <c:pt idx="275">
                  <c:v>33.974079458368877</c:v>
                </c:pt>
                <c:pt idx="276">
                  <c:v>39.57058404558768</c:v>
                </c:pt>
                <c:pt idx="277">
                  <c:v>39.829134599159651</c:v>
                </c:pt>
                <c:pt idx="278">
                  <c:v>15.963724256581735</c:v>
                </c:pt>
                <c:pt idx="279">
                  <c:v>30.662818211587421</c:v>
                </c:pt>
                <c:pt idx="280">
                  <c:v>15.506967252872917</c:v>
                </c:pt>
                <c:pt idx="281">
                  <c:v>36.213071917908657</c:v>
                </c:pt>
                <c:pt idx="282">
                  <c:v>31.70608119057178</c:v>
                </c:pt>
                <c:pt idx="283">
                  <c:v>25.499242510141233</c:v>
                </c:pt>
                <c:pt idx="284">
                  <c:v>25.401328240570887</c:v>
                </c:pt>
                <c:pt idx="285">
                  <c:v>23.008682394279219</c:v>
                </c:pt>
                <c:pt idx="286">
                  <c:v>15.465107975488928</c:v>
                </c:pt>
                <c:pt idx="287">
                  <c:v>34.469121790535155</c:v>
                </c:pt>
                <c:pt idx="288">
                  <c:v>30.216853261402022</c:v>
                </c:pt>
                <c:pt idx="289">
                  <c:v>17.029473662063868</c:v>
                </c:pt>
                <c:pt idx="290">
                  <c:v>30.379272786103751</c:v>
                </c:pt>
                <c:pt idx="291">
                  <c:v>16.970339614350596</c:v>
                </c:pt>
                <c:pt idx="292">
                  <c:v>8.9274114600652421</c:v>
                </c:pt>
                <c:pt idx="293">
                  <c:v>17.260541355651569</c:v>
                </c:pt>
                <c:pt idx="294">
                  <c:v>29.587798502314445</c:v>
                </c:pt>
                <c:pt idx="295">
                  <c:v>19.29197360337362</c:v>
                </c:pt>
                <c:pt idx="296">
                  <c:v>25.025671813119857</c:v>
                </c:pt>
                <c:pt idx="297">
                  <c:v>21.031756985761767</c:v>
                </c:pt>
                <c:pt idx="298">
                  <c:v>15.717703499412409</c:v>
                </c:pt>
                <c:pt idx="299">
                  <c:v>14.862636654968227</c:v>
                </c:pt>
                <c:pt idx="300">
                  <c:v>17.096809782075205</c:v>
                </c:pt>
                <c:pt idx="301">
                  <c:v>24.055355056237929</c:v>
                </c:pt>
                <c:pt idx="302">
                  <c:v>21.066919898767519</c:v>
                </c:pt>
                <c:pt idx="303">
                  <c:v>20.210649465110997</c:v>
                </c:pt>
                <c:pt idx="304">
                  <c:v>18.430332914195386</c:v>
                </c:pt>
                <c:pt idx="305">
                  <c:v>25.513883122422037</c:v>
                </c:pt>
                <c:pt idx="306">
                  <c:v>9.2550128501031281</c:v>
                </c:pt>
                <c:pt idx="307">
                  <c:v>12.843400357399565</c:v>
                </c:pt>
                <c:pt idx="308">
                  <c:v>25.879097178530447</c:v>
                </c:pt>
                <c:pt idx="309">
                  <c:v>25.93804729722126</c:v>
                </c:pt>
                <c:pt idx="310">
                  <c:v>25.728666884315501</c:v>
                </c:pt>
                <c:pt idx="311">
                  <c:v>18.613411121179489</c:v>
                </c:pt>
                <c:pt idx="312">
                  <c:v>10.380700743614932</c:v>
                </c:pt>
                <c:pt idx="313">
                  <c:v>18.874922639891327</c:v>
                </c:pt>
                <c:pt idx="314">
                  <c:v>22.453999030818576</c:v>
                </c:pt>
                <c:pt idx="315">
                  <c:v>22.587318562749957</c:v>
                </c:pt>
                <c:pt idx="316">
                  <c:v>21.507250372320488</c:v>
                </c:pt>
                <c:pt idx="317">
                  <c:v>11.621669479117701</c:v>
                </c:pt>
                <c:pt idx="318">
                  <c:v>13.195584380195957</c:v>
                </c:pt>
                <c:pt idx="319">
                  <c:v>22.039610587284077</c:v>
                </c:pt>
                <c:pt idx="320">
                  <c:v>14.487493211084596</c:v>
                </c:pt>
                <c:pt idx="321">
                  <c:v>12.008484454236173</c:v>
                </c:pt>
                <c:pt idx="322">
                  <c:v>8.6178558174231039</c:v>
                </c:pt>
                <c:pt idx="323">
                  <c:v>15.512997176274224</c:v>
                </c:pt>
                <c:pt idx="324">
                  <c:v>3.5326632120281309</c:v>
                </c:pt>
                <c:pt idx="325">
                  <c:v>9.9123572115850198</c:v>
                </c:pt>
                <c:pt idx="326">
                  <c:v>13.219947550961356</c:v>
                </c:pt>
                <c:pt idx="327">
                  <c:v>12.291120532614116</c:v>
                </c:pt>
                <c:pt idx="328">
                  <c:v>4.988398658565945</c:v>
                </c:pt>
                <c:pt idx="329">
                  <c:v>9.9759672383627205</c:v>
                </c:pt>
                <c:pt idx="330">
                  <c:v>14.261952667535962</c:v>
                </c:pt>
                <c:pt idx="331">
                  <c:v>9.7390870569933661</c:v>
                </c:pt>
                <c:pt idx="332">
                  <c:v>10.794463095479514</c:v>
                </c:pt>
                <c:pt idx="333">
                  <c:v>4.6243974258151361</c:v>
                </c:pt>
                <c:pt idx="334">
                  <c:v>4.3641332860450026</c:v>
                </c:pt>
                <c:pt idx="335">
                  <c:v>5.5685816188329591</c:v>
                </c:pt>
                <c:pt idx="336">
                  <c:v>10.014860488692909</c:v>
                </c:pt>
                <c:pt idx="337">
                  <c:v>13.391815001272118</c:v>
                </c:pt>
                <c:pt idx="338">
                  <c:v>18.558800385595127</c:v>
                </c:pt>
                <c:pt idx="339">
                  <c:v>12.123130389702929</c:v>
                </c:pt>
                <c:pt idx="340">
                  <c:v>14.872159492908347</c:v>
                </c:pt>
                <c:pt idx="341">
                  <c:v>4.7914598303902718</c:v>
                </c:pt>
                <c:pt idx="342">
                  <c:v>7.9779577203784671</c:v>
                </c:pt>
                <c:pt idx="343">
                  <c:v>11.617825186963831</c:v>
                </c:pt>
                <c:pt idx="344">
                  <c:v>13.211296903641093</c:v>
                </c:pt>
                <c:pt idx="345">
                  <c:v>6.0493934406651864</c:v>
                </c:pt>
                <c:pt idx="346">
                  <c:v>5.6988733276074806</c:v>
                </c:pt>
                <c:pt idx="347">
                  <c:v>12.978024776475658</c:v>
                </c:pt>
                <c:pt idx="348">
                  <c:v>6.9317658793961607</c:v>
                </c:pt>
                <c:pt idx="349">
                  <c:v>5.8175164450516794</c:v>
                </c:pt>
                <c:pt idx="350">
                  <c:v>3.7564573921024951</c:v>
                </c:pt>
                <c:pt idx="351">
                  <c:v>15.117513240378694</c:v>
                </c:pt>
                <c:pt idx="352">
                  <c:v>14.474617664523528</c:v>
                </c:pt>
                <c:pt idx="353">
                  <c:v>4.3697324615122257</c:v>
                </c:pt>
                <c:pt idx="354">
                  <c:v>15.496040050065378</c:v>
                </c:pt>
                <c:pt idx="355">
                  <c:v>15.425865106566301</c:v>
                </c:pt>
                <c:pt idx="356">
                  <c:v>15.135590416289929</c:v>
                </c:pt>
                <c:pt idx="357">
                  <c:v>16.375677562097678</c:v>
                </c:pt>
                <c:pt idx="358">
                  <c:v>9.0806688404697642</c:v>
                </c:pt>
                <c:pt idx="359">
                  <c:v>15.175045413014022</c:v>
                </c:pt>
                <c:pt idx="360">
                  <c:v>6.530731061586847</c:v>
                </c:pt>
                <c:pt idx="361">
                  <c:v>13.375994021543194</c:v>
                </c:pt>
                <c:pt idx="362">
                  <c:v>10.191342211880853</c:v>
                </c:pt>
                <c:pt idx="363">
                  <c:v>12.210443530915315</c:v>
                </c:pt>
                <c:pt idx="364">
                  <c:v>11.102634949053186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5.9597530917997057</c:v>
                </c:pt>
                <c:pt idx="7">
                  <c:v>7.7847584278356372</c:v>
                </c:pt>
                <c:pt idx="8">
                  <c:v>2.33839054387925</c:v>
                </c:pt>
                <c:pt idx="9">
                  <c:v>1.9336454716895226</c:v>
                </c:pt>
                <c:pt idx="10">
                  <c:v>19.403707205117193</c:v>
                </c:pt>
                <c:pt idx="11">
                  <c:v>17.417817554885204</c:v>
                </c:pt>
                <c:pt idx="12">
                  <c:v>5.9176275745056959</c:v>
                </c:pt>
                <c:pt idx="13">
                  <c:v>20.019697359760375</c:v>
                </c:pt>
                <c:pt idx="14">
                  <c:v>20.59835914969651</c:v>
                </c:pt>
                <c:pt idx="15">
                  <c:v>20.316007642744559</c:v>
                </c:pt>
                <c:pt idx="16">
                  <c:v>13.632477233939358</c:v>
                </c:pt>
                <c:pt idx="17">
                  <c:v>4.324820797290239</c:v>
                </c:pt>
                <c:pt idx="18">
                  <c:v>10.935025832820561</c:v>
                </c:pt>
                <c:pt idx="19">
                  <c:v>6.3296941427044864</c:v>
                </c:pt>
                <c:pt idx="20">
                  <c:v>17.817685854768282</c:v>
                </c:pt>
                <c:pt idx="21">
                  <c:v>21.973364589565612</c:v>
                </c:pt>
                <c:pt idx="22">
                  <c:v>22.04578452882587</c:v>
                </c:pt>
                <c:pt idx="23">
                  <c:v>22.592332117057662</c:v>
                </c:pt>
                <c:pt idx="24">
                  <c:v>21.157525442495256</c:v>
                </c:pt>
                <c:pt idx="25">
                  <c:v>22.76706754629836</c:v>
                </c:pt>
                <c:pt idx="26">
                  <c:v>19.058325678991604</c:v>
                </c:pt>
                <c:pt idx="27">
                  <c:v>4.5453087545629414</c:v>
                </c:pt>
                <c:pt idx="28">
                  <c:v>6.8303703038619723</c:v>
                </c:pt>
                <c:pt idx="29">
                  <c:v>4.9223169854428841</c:v>
                </c:pt>
                <c:pt idx="30">
                  <c:v>11.412102129560623</c:v>
                </c:pt>
                <c:pt idx="31">
                  <c:v>14.710698624663189</c:v>
                </c:pt>
                <c:pt idx="32">
                  <c:v>5.932180652023848</c:v>
                </c:pt>
                <c:pt idx="33">
                  <c:v>13.707156902649627</c:v>
                </c:pt>
                <c:pt idx="34">
                  <c:v>12.50777284194127</c:v>
                </c:pt>
                <c:pt idx="35">
                  <c:v>9.8213991767244657</c:v>
                </c:pt>
                <c:pt idx="36">
                  <c:v>21.569785002070905</c:v>
                </c:pt>
                <c:pt idx="37">
                  <c:v>14.779507246640588</c:v>
                </c:pt>
                <c:pt idx="38">
                  <c:v>28.642565175437635</c:v>
                </c:pt>
                <c:pt idx="39">
                  <c:v>28.866832742205258</c:v>
                </c:pt>
                <c:pt idx="40">
                  <c:v>27.858947580354002</c:v>
                </c:pt>
                <c:pt idx="41">
                  <c:v>14.563461000741432</c:v>
                </c:pt>
                <c:pt idx="42">
                  <c:v>23.287529930448745</c:v>
                </c:pt>
                <c:pt idx="43">
                  <c:v>25.656697554081273</c:v>
                </c:pt>
                <c:pt idx="44">
                  <c:v>16.4727638860188</c:v>
                </c:pt>
                <c:pt idx="45">
                  <c:v>21.204314235310875</c:v>
                </c:pt>
                <c:pt idx="46">
                  <c:v>10.070391019849678</c:v>
                </c:pt>
                <c:pt idx="47">
                  <c:v>12.101501751033645</c:v>
                </c:pt>
                <c:pt idx="48">
                  <c:v>28.357076040523879</c:v>
                </c:pt>
                <c:pt idx="49">
                  <c:v>17.117597381206696</c:v>
                </c:pt>
                <c:pt idx="50">
                  <c:v>21.554736918210263</c:v>
                </c:pt>
                <c:pt idx="51">
                  <c:v>19.005570445682448</c:v>
                </c:pt>
                <c:pt idx="52">
                  <c:v>31.057816186721336</c:v>
                </c:pt>
                <c:pt idx="53">
                  <c:v>32.66105885160178</c:v>
                </c:pt>
                <c:pt idx="54">
                  <c:v>23.256209215444205</c:v>
                </c:pt>
                <c:pt idx="55">
                  <c:v>25.675489716485018</c:v>
                </c:pt>
                <c:pt idx="56">
                  <c:v>36.156219560598991</c:v>
                </c:pt>
                <c:pt idx="57">
                  <c:v>23.126265706569068</c:v>
                </c:pt>
                <c:pt idx="58">
                  <c:v>33.725681419239535</c:v>
                </c:pt>
                <c:pt idx="59">
                  <c:v>35.584151888997809</c:v>
                </c:pt>
                <c:pt idx="60">
                  <c:v>16.442680214196795</c:v>
                </c:pt>
                <c:pt idx="61">
                  <c:v>28.363680417659232</c:v>
                </c:pt>
                <c:pt idx="62">
                  <c:v>5.5863421657060783</c:v>
                </c:pt>
                <c:pt idx="63">
                  <c:v>14.487385220013396</c:v>
                </c:pt>
                <c:pt idx="64">
                  <c:v>22.178739761290334</c:v>
                </c:pt>
                <c:pt idx="65">
                  <c:v>35.948172065290876</c:v>
                </c:pt>
                <c:pt idx="66">
                  <c:v>32.252319144959351</c:v>
                </c:pt>
                <c:pt idx="67">
                  <c:v>28.78820219632598</c:v>
                </c:pt>
                <c:pt idx="68">
                  <c:v>24.323256010038708</c:v>
                </c:pt>
                <c:pt idx="69">
                  <c:v>17.553682102580773</c:v>
                </c:pt>
                <c:pt idx="70">
                  <c:v>13.737270194166324</c:v>
                </c:pt>
                <c:pt idx="71">
                  <c:v>8.7494292661664321</c:v>
                </c:pt>
                <c:pt idx="72">
                  <c:v>13.028420718994866</c:v>
                </c:pt>
                <c:pt idx="73">
                  <c:v>15.439513559398092</c:v>
                </c:pt>
                <c:pt idx="74">
                  <c:v>12.964603165944197</c:v>
                </c:pt>
                <c:pt idx="75">
                  <c:v>12.45127716584285</c:v>
                </c:pt>
                <c:pt idx="76">
                  <c:v>14.696806060258339</c:v>
                </c:pt>
                <c:pt idx="77">
                  <c:v>27.004551646351278</c:v>
                </c:pt>
                <c:pt idx="78">
                  <c:v>32.369957585338611</c:v>
                </c:pt>
                <c:pt idx="79">
                  <c:v>43.538146955579045</c:v>
                </c:pt>
                <c:pt idx="80">
                  <c:v>42.494095523099752</c:v>
                </c:pt>
                <c:pt idx="81">
                  <c:v>45.333800846968451</c:v>
                </c:pt>
                <c:pt idx="82">
                  <c:v>45.036274101232955</c:v>
                </c:pt>
                <c:pt idx="83">
                  <c:v>37.515693955190066</c:v>
                </c:pt>
                <c:pt idx="84">
                  <c:v>41.205305516810242</c:v>
                </c:pt>
                <c:pt idx="85">
                  <c:v>43.120152316642432</c:v>
                </c:pt>
                <c:pt idx="86">
                  <c:v>37.041709297824511</c:v>
                </c:pt>
                <c:pt idx="87">
                  <c:v>28.208603064115771</c:v>
                </c:pt>
                <c:pt idx="88">
                  <c:v>7.8561433334013415</c:v>
                </c:pt>
                <c:pt idx="89">
                  <c:v>27.43744116355991</c:v>
                </c:pt>
                <c:pt idx="90">
                  <c:v>30.178792356968771</c:v>
                </c:pt>
                <c:pt idx="91">
                  <c:v>20.566242444055415</c:v>
                </c:pt>
                <c:pt idx="92">
                  <c:v>28.07903592298549</c:v>
                </c:pt>
                <c:pt idx="93">
                  <c:v>43.606658473950084</c:v>
                </c:pt>
                <c:pt idx="94">
                  <c:v>52.187381368788813</c:v>
                </c:pt>
                <c:pt idx="95">
                  <c:v>12.729972816499011</c:v>
                </c:pt>
                <c:pt idx="96">
                  <c:v>43.14935029939101</c:v>
                </c:pt>
                <c:pt idx="97">
                  <c:v>36.756027171985657</c:v>
                </c:pt>
                <c:pt idx="98">
                  <c:v>34.194640265763574</c:v>
                </c:pt>
                <c:pt idx="99">
                  <c:v>56.02413372975905</c:v>
                </c:pt>
                <c:pt idx="100">
                  <c:v>45.197959680982578</c:v>
                </c:pt>
                <c:pt idx="101">
                  <c:v>37.712414736131429</c:v>
                </c:pt>
                <c:pt idx="102">
                  <c:v>8.7204491116461007</c:v>
                </c:pt>
                <c:pt idx="103">
                  <c:v>40.256902601879503</c:v>
                </c:pt>
                <c:pt idx="104">
                  <c:v>44.113203135769595</c:v>
                </c:pt>
                <c:pt idx="105">
                  <c:v>40.138928770768082</c:v>
                </c:pt>
                <c:pt idx="106">
                  <c:v>55.591270709147807</c:v>
                </c:pt>
                <c:pt idx="107">
                  <c:v>35.464939434864377</c:v>
                </c:pt>
                <c:pt idx="108">
                  <c:v>11.668380989484961</c:v>
                </c:pt>
                <c:pt idx="109">
                  <c:v>11.692878560227467</c:v>
                </c:pt>
                <c:pt idx="110">
                  <c:v>11.223054971282398</c:v>
                </c:pt>
                <c:pt idx="111">
                  <c:v>29.852391680087898</c:v>
                </c:pt>
                <c:pt idx="112">
                  <c:v>9.800741041617469</c:v>
                </c:pt>
                <c:pt idx="113">
                  <c:v>35.141418409903331</c:v>
                </c:pt>
                <c:pt idx="114">
                  <c:v>46.376903504608869</c:v>
                </c:pt>
                <c:pt idx="115">
                  <c:v>57.905079569638907</c:v>
                </c:pt>
                <c:pt idx="116">
                  <c:v>46.026669931205603</c:v>
                </c:pt>
                <c:pt idx="117">
                  <c:v>24.538002671033812</c:v>
                </c:pt>
                <c:pt idx="118">
                  <c:v>44.473156236438051</c:v>
                </c:pt>
                <c:pt idx="119">
                  <c:v>45.256225025619848</c:v>
                </c:pt>
                <c:pt idx="120">
                  <c:v>51.341396063958825</c:v>
                </c:pt>
                <c:pt idx="121">
                  <c:v>32.999836146756969</c:v>
                </c:pt>
                <c:pt idx="122">
                  <c:v>36.77927207412678</c:v>
                </c:pt>
                <c:pt idx="123">
                  <c:v>20.699348356798961</c:v>
                </c:pt>
                <c:pt idx="124">
                  <c:v>41.664167592270644</c:v>
                </c:pt>
                <c:pt idx="125">
                  <c:v>43.676040024488785</c:v>
                </c:pt>
                <c:pt idx="126">
                  <c:v>50.234969111867862</c:v>
                </c:pt>
                <c:pt idx="127">
                  <c:v>56.977967362078068</c:v>
                </c:pt>
                <c:pt idx="128">
                  <c:v>60.287522044298107</c:v>
                </c:pt>
                <c:pt idx="129">
                  <c:v>59.053054603921005</c:v>
                </c:pt>
                <c:pt idx="130">
                  <c:v>62.994355131810302</c:v>
                </c:pt>
                <c:pt idx="131">
                  <c:v>47.966957257286104</c:v>
                </c:pt>
                <c:pt idx="132">
                  <c:v>50.828861982293461</c:v>
                </c:pt>
                <c:pt idx="133">
                  <c:v>56.903835008634793</c:v>
                </c:pt>
                <c:pt idx="134">
                  <c:v>58.740634946860602</c:v>
                </c:pt>
                <c:pt idx="135">
                  <c:v>57.410641419190291</c:v>
                </c:pt>
                <c:pt idx="136">
                  <c:v>61.311684966159852</c:v>
                </c:pt>
                <c:pt idx="137">
                  <c:v>58.540149604119961</c:v>
                </c:pt>
                <c:pt idx="138">
                  <c:v>57.289643129600748</c:v>
                </c:pt>
                <c:pt idx="139">
                  <c:v>54.447710224083167</c:v>
                </c:pt>
                <c:pt idx="140">
                  <c:v>57.018862455780706</c:v>
                </c:pt>
                <c:pt idx="141">
                  <c:v>44.089181919575829</c:v>
                </c:pt>
                <c:pt idx="142">
                  <c:v>20.978242885171117</c:v>
                </c:pt>
                <c:pt idx="143">
                  <c:v>18.019694544005443</c:v>
                </c:pt>
                <c:pt idx="144">
                  <c:v>43.916967981754546</c:v>
                </c:pt>
                <c:pt idx="145">
                  <c:v>29.302413668848164</c:v>
                </c:pt>
                <c:pt idx="146">
                  <c:v>45.882467681015129</c:v>
                </c:pt>
                <c:pt idx="147">
                  <c:v>60.236302973611103</c:v>
                </c:pt>
                <c:pt idx="148">
                  <c:v>65.50637548788194</c:v>
                </c:pt>
                <c:pt idx="149">
                  <c:v>52.682457483261032</c:v>
                </c:pt>
                <c:pt idx="150">
                  <c:v>62.274061263965478</c:v>
                </c:pt>
                <c:pt idx="151">
                  <c:v>64.927634812215217</c:v>
                </c:pt>
                <c:pt idx="152">
                  <c:v>46.767248805200005</c:v>
                </c:pt>
                <c:pt idx="153">
                  <c:v>61.921649733923012</c:v>
                </c:pt>
                <c:pt idx="154">
                  <c:v>31.471781119443403</c:v>
                </c:pt>
                <c:pt idx="155">
                  <c:v>34.779234488631211</c:v>
                </c:pt>
                <c:pt idx="156">
                  <c:v>55.617080462940336</c:v>
                </c:pt>
                <c:pt idx="157">
                  <c:v>29.04225194555255</c:v>
                </c:pt>
                <c:pt idx="158">
                  <c:v>26.17025413705586</c:v>
                </c:pt>
                <c:pt idx="159">
                  <c:v>53.777844363046192</c:v>
                </c:pt>
                <c:pt idx="160">
                  <c:v>66.164647457601262</c:v>
                </c:pt>
                <c:pt idx="161">
                  <c:v>63.349892814506973</c:v>
                </c:pt>
                <c:pt idx="162">
                  <c:v>51.083538392642005</c:v>
                </c:pt>
                <c:pt idx="163">
                  <c:v>57.109813882082889</c:v>
                </c:pt>
                <c:pt idx="164">
                  <c:v>58.056187586320974</c:v>
                </c:pt>
                <c:pt idx="165">
                  <c:v>61.584711198095292</c:v>
                </c:pt>
                <c:pt idx="166">
                  <c:v>58.357544969745909</c:v>
                </c:pt>
                <c:pt idx="167">
                  <c:v>58.528324752922131</c:v>
                </c:pt>
                <c:pt idx="168">
                  <c:v>62.320320287515777</c:v>
                </c:pt>
                <c:pt idx="169">
                  <c:v>62.818981892471065</c:v>
                </c:pt>
                <c:pt idx="170">
                  <c:v>33.967829644871891</c:v>
                </c:pt>
                <c:pt idx="171">
                  <c:v>22.85769332502532</c:v>
                </c:pt>
                <c:pt idx="172">
                  <c:v>47.418122483316061</c:v>
                </c:pt>
                <c:pt idx="173">
                  <c:v>46.885781874537287</c:v>
                </c:pt>
                <c:pt idx="174">
                  <c:v>50.434246428047267</c:v>
                </c:pt>
                <c:pt idx="175">
                  <c:v>42.012893020469704</c:v>
                </c:pt>
                <c:pt idx="176">
                  <c:v>13.139518685949549</c:v>
                </c:pt>
                <c:pt idx="177">
                  <c:v>19.3304632190587</c:v>
                </c:pt>
                <c:pt idx="178">
                  <c:v>66.893794812563343</c:v>
                </c:pt>
                <c:pt idx="179">
                  <c:v>64.909875677377187</c:v>
                </c:pt>
                <c:pt idx="180">
                  <c:v>15.944477661658739</c:v>
                </c:pt>
                <c:pt idx="181">
                  <c:v>54.091386717694576</c:v>
                </c:pt>
                <c:pt idx="182">
                  <c:v>60.056556792517085</c:v>
                </c:pt>
                <c:pt idx="183">
                  <c:v>55.851851464477697</c:v>
                </c:pt>
                <c:pt idx="184">
                  <c:v>51.991180186803518</c:v>
                </c:pt>
                <c:pt idx="185">
                  <c:v>62.341504575266214</c:v>
                </c:pt>
                <c:pt idx="186">
                  <c:v>45.895337308375183</c:v>
                </c:pt>
                <c:pt idx="187">
                  <c:v>61.866876365199779</c:v>
                </c:pt>
                <c:pt idx="188">
                  <c:v>64.872685552309079</c:v>
                </c:pt>
                <c:pt idx="189">
                  <c:v>63.870445492426292</c:v>
                </c:pt>
                <c:pt idx="190">
                  <c:v>63.19810260844509</c:v>
                </c:pt>
                <c:pt idx="191">
                  <c:v>62.110385749395427</c:v>
                </c:pt>
                <c:pt idx="192">
                  <c:v>61.136328391992294</c:v>
                </c:pt>
                <c:pt idx="193">
                  <c:v>59.923919978525873</c:v>
                </c:pt>
                <c:pt idx="194">
                  <c:v>59.762513418072352</c:v>
                </c:pt>
                <c:pt idx="195">
                  <c:v>57.125015899624614</c:v>
                </c:pt>
                <c:pt idx="196">
                  <c:v>58.299211977893194</c:v>
                </c:pt>
                <c:pt idx="197">
                  <c:v>58.719104505297551</c:v>
                </c:pt>
                <c:pt idx="198">
                  <c:v>60.510755721962674</c:v>
                </c:pt>
                <c:pt idx="199">
                  <c:v>44.446381491141231</c:v>
                </c:pt>
                <c:pt idx="200">
                  <c:v>41.736696850298024</c:v>
                </c:pt>
                <c:pt idx="201">
                  <c:v>57.590729328827585</c:v>
                </c:pt>
                <c:pt idx="202">
                  <c:v>49.462466330617445</c:v>
                </c:pt>
                <c:pt idx="203">
                  <c:v>46.802078362945288</c:v>
                </c:pt>
                <c:pt idx="204">
                  <c:v>56.980791502330717</c:v>
                </c:pt>
                <c:pt idx="205">
                  <c:v>30.059434923771889</c:v>
                </c:pt>
                <c:pt idx="206">
                  <c:v>53.2720286061884</c:v>
                </c:pt>
                <c:pt idx="207">
                  <c:v>60.293769899092503</c:v>
                </c:pt>
                <c:pt idx="208">
                  <c:v>47.372168568897244</c:v>
                </c:pt>
                <c:pt idx="209">
                  <c:v>29.427835639215669</c:v>
                </c:pt>
                <c:pt idx="210">
                  <c:v>48.400019074277409</c:v>
                </c:pt>
                <c:pt idx="211">
                  <c:v>59.269891654925786</c:v>
                </c:pt>
                <c:pt idx="212">
                  <c:v>58.749459898647167</c:v>
                </c:pt>
                <c:pt idx="213">
                  <c:v>58.759970431464517</c:v>
                </c:pt>
                <c:pt idx="214">
                  <c:v>58.342112028918869</c:v>
                </c:pt>
                <c:pt idx="215">
                  <c:v>55.657765821072942</c:v>
                </c:pt>
                <c:pt idx="216">
                  <c:v>44.427445958220225</c:v>
                </c:pt>
                <c:pt idx="217">
                  <c:v>53.010162118385885</c:v>
                </c:pt>
                <c:pt idx="218">
                  <c:v>55.891449713116366</c:v>
                </c:pt>
                <c:pt idx="219">
                  <c:v>57.339836094360329</c:v>
                </c:pt>
                <c:pt idx="220">
                  <c:v>54.667679533225467</c:v>
                </c:pt>
                <c:pt idx="221">
                  <c:v>53.090545043197764</c:v>
                </c:pt>
                <c:pt idx="222">
                  <c:v>50.103765310587484</c:v>
                </c:pt>
                <c:pt idx="223">
                  <c:v>0</c:v>
                </c:pt>
                <c:pt idx="224">
                  <c:v>37.236985297458588</c:v>
                </c:pt>
                <c:pt idx="225">
                  <c:v>37.304984429727206</c:v>
                </c:pt>
                <c:pt idx="226">
                  <c:v>37.72890486568479</c:v>
                </c:pt>
                <c:pt idx="227">
                  <c:v>39.077805732487974</c:v>
                </c:pt>
                <c:pt idx="228">
                  <c:v>27.181358745111044</c:v>
                </c:pt>
                <c:pt idx="229">
                  <c:v>41.473902016755027</c:v>
                </c:pt>
                <c:pt idx="230">
                  <c:v>41.057250431963858</c:v>
                </c:pt>
                <c:pt idx="231">
                  <c:v>53.581898932936575</c:v>
                </c:pt>
                <c:pt idx="232">
                  <c:v>38.665640759218007</c:v>
                </c:pt>
                <c:pt idx="233">
                  <c:v>28.282863085654963</c:v>
                </c:pt>
                <c:pt idx="234">
                  <c:v>47.844712525980647</c:v>
                </c:pt>
                <c:pt idx="235">
                  <c:v>51.965103874649813</c:v>
                </c:pt>
                <c:pt idx="236">
                  <c:v>33.32973567688672</c:v>
                </c:pt>
                <c:pt idx="237">
                  <c:v>38.413278941148761</c:v>
                </c:pt>
                <c:pt idx="238">
                  <c:v>48.425736410251929</c:v>
                </c:pt>
                <c:pt idx="239">
                  <c:v>50.908288896494199</c:v>
                </c:pt>
                <c:pt idx="240">
                  <c:v>35.579111403461859</c:v>
                </c:pt>
                <c:pt idx="241">
                  <c:v>49.931035148415269</c:v>
                </c:pt>
                <c:pt idx="242">
                  <c:v>25.279382899042101</c:v>
                </c:pt>
                <c:pt idx="243">
                  <c:v>43.468146128128964</c:v>
                </c:pt>
                <c:pt idx="244">
                  <c:v>41.088245995285895</c:v>
                </c:pt>
                <c:pt idx="245">
                  <c:v>37.799668950645035</c:v>
                </c:pt>
                <c:pt idx="246">
                  <c:v>49.563307467383019</c:v>
                </c:pt>
                <c:pt idx="247">
                  <c:v>41.473842452485385</c:v>
                </c:pt>
                <c:pt idx="248">
                  <c:v>45.205673660180217</c:v>
                </c:pt>
                <c:pt idx="249">
                  <c:v>37.067203202903904</c:v>
                </c:pt>
                <c:pt idx="250">
                  <c:v>41.226219455202127</c:v>
                </c:pt>
                <c:pt idx="251">
                  <c:v>19.640901478072344</c:v>
                </c:pt>
                <c:pt idx="252">
                  <c:v>45.78675712767533</c:v>
                </c:pt>
                <c:pt idx="253">
                  <c:v>47.367391548302393</c:v>
                </c:pt>
                <c:pt idx="254">
                  <c:v>36.792919129292052</c:v>
                </c:pt>
                <c:pt idx="255">
                  <c:v>14.10289413609453</c:v>
                </c:pt>
                <c:pt idx="256">
                  <c:v>37.89482058368651</c:v>
                </c:pt>
                <c:pt idx="257">
                  <c:v>43.047635711999867</c:v>
                </c:pt>
                <c:pt idx="258">
                  <c:v>28.926648708034342</c:v>
                </c:pt>
                <c:pt idx="259">
                  <c:v>46.44704810494116</c:v>
                </c:pt>
                <c:pt idx="260">
                  <c:v>45.495825909801042</c:v>
                </c:pt>
                <c:pt idx="261">
                  <c:v>45.855221700839181</c:v>
                </c:pt>
                <c:pt idx="262">
                  <c:v>46.217606926131189</c:v>
                </c:pt>
                <c:pt idx="263">
                  <c:v>44.852287588783106</c:v>
                </c:pt>
                <c:pt idx="264">
                  <c:v>43.596526002520264</c:v>
                </c:pt>
                <c:pt idx="265">
                  <c:v>31.946785365323191</c:v>
                </c:pt>
                <c:pt idx="266">
                  <c:v>19.733476127419241</c:v>
                </c:pt>
                <c:pt idx="267">
                  <c:v>31.586247579009356</c:v>
                </c:pt>
                <c:pt idx="268">
                  <c:v>34.066164714127758</c:v>
                </c:pt>
                <c:pt idx="269">
                  <c:v>16.670561542105922</c:v>
                </c:pt>
                <c:pt idx="270">
                  <c:v>19.044051716289733</c:v>
                </c:pt>
                <c:pt idx="271">
                  <c:v>24.647365369890455</c:v>
                </c:pt>
                <c:pt idx="272">
                  <c:v>26.430743612500731</c:v>
                </c:pt>
                <c:pt idx="273">
                  <c:v>36.074507460786791</c:v>
                </c:pt>
                <c:pt idx="274">
                  <c:v>37.515934765064259</c:v>
                </c:pt>
                <c:pt idx="275">
                  <c:v>33.974079458368877</c:v>
                </c:pt>
                <c:pt idx="276">
                  <c:v>39.57058404558768</c:v>
                </c:pt>
                <c:pt idx="277">
                  <c:v>39.829134599159651</c:v>
                </c:pt>
                <c:pt idx="278">
                  <c:v>15.963724256581735</c:v>
                </c:pt>
                <c:pt idx="279">
                  <c:v>30.662818211587421</c:v>
                </c:pt>
                <c:pt idx="280">
                  <c:v>15.506967252872917</c:v>
                </c:pt>
                <c:pt idx="281">
                  <c:v>36.213071917908657</c:v>
                </c:pt>
                <c:pt idx="282">
                  <c:v>31.70608119057178</c:v>
                </c:pt>
                <c:pt idx="283">
                  <c:v>25.499242510141233</c:v>
                </c:pt>
                <c:pt idx="284">
                  <c:v>25.401328240570887</c:v>
                </c:pt>
                <c:pt idx="285">
                  <c:v>23.008682394279219</c:v>
                </c:pt>
                <c:pt idx="286">
                  <c:v>15.465107975488928</c:v>
                </c:pt>
                <c:pt idx="287">
                  <c:v>34.469121790535155</c:v>
                </c:pt>
                <c:pt idx="288">
                  <c:v>30.216853261402022</c:v>
                </c:pt>
                <c:pt idx="289">
                  <c:v>17.029473662063868</c:v>
                </c:pt>
                <c:pt idx="290">
                  <c:v>30.379272786103751</c:v>
                </c:pt>
                <c:pt idx="291">
                  <c:v>16.970339614350596</c:v>
                </c:pt>
                <c:pt idx="292">
                  <c:v>8.9274114600652421</c:v>
                </c:pt>
                <c:pt idx="293">
                  <c:v>17.260541355651569</c:v>
                </c:pt>
                <c:pt idx="294">
                  <c:v>29.587798502314445</c:v>
                </c:pt>
                <c:pt idx="295">
                  <c:v>19.29197360337362</c:v>
                </c:pt>
                <c:pt idx="296">
                  <c:v>25.025671813119857</c:v>
                </c:pt>
                <c:pt idx="297">
                  <c:v>21.031756985761767</c:v>
                </c:pt>
                <c:pt idx="298">
                  <c:v>15.717703499412409</c:v>
                </c:pt>
                <c:pt idx="299">
                  <c:v>14.862636654968227</c:v>
                </c:pt>
                <c:pt idx="300">
                  <c:v>17.096809782075205</c:v>
                </c:pt>
                <c:pt idx="301">
                  <c:v>24.055355056237929</c:v>
                </c:pt>
                <c:pt idx="302">
                  <c:v>21.066919898767519</c:v>
                </c:pt>
                <c:pt idx="303">
                  <c:v>20.210649465110997</c:v>
                </c:pt>
                <c:pt idx="304">
                  <c:v>18.430332914195386</c:v>
                </c:pt>
                <c:pt idx="305">
                  <c:v>25.513883122422037</c:v>
                </c:pt>
                <c:pt idx="306">
                  <c:v>9.2550128501031281</c:v>
                </c:pt>
                <c:pt idx="307">
                  <c:v>12.843400357399565</c:v>
                </c:pt>
                <c:pt idx="308">
                  <c:v>25.879097178530447</c:v>
                </c:pt>
                <c:pt idx="309">
                  <c:v>25.93804729722126</c:v>
                </c:pt>
                <c:pt idx="310">
                  <c:v>25.728666884315501</c:v>
                </c:pt>
                <c:pt idx="311">
                  <c:v>18.613411121179489</c:v>
                </c:pt>
                <c:pt idx="312">
                  <c:v>10.380700743614932</c:v>
                </c:pt>
                <c:pt idx="313">
                  <c:v>18.874922639891327</c:v>
                </c:pt>
                <c:pt idx="314">
                  <c:v>22.453999030818576</c:v>
                </c:pt>
                <c:pt idx="315">
                  <c:v>22.587318562749957</c:v>
                </c:pt>
                <c:pt idx="316">
                  <c:v>21.507250372320488</c:v>
                </c:pt>
                <c:pt idx="317">
                  <c:v>11.621669479117701</c:v>
                </c:pt>
                <c:pt idx="318">
                  <c:v>13.195584380195957</c:v>
                </c:pt>
                <c:pt idx="319">
                  <c:v>22.039610587284077</c:v>
                </c:pt>
                <c:pt idx="320">
                  <c:v>14.487493211084596</c:v>
                </c:pt>
                <c:pt idx="321">
                  <c:v>12.008484454236173</c:v>
                </c:pt>
                <c:pt idx="322">
                  <c:v>8.6178558174231039</c:v>
                </c:pt>
                <c:pt idx="323">
                  <c:v>15.512997176274224</c:v>
                </c:pt>
                <c:pt idx="324">
                  <c:v>3.5326632120281309</c:v>
                </c:pt>
                <c:pt idx="325">
                  <c:v>9.9123572115850198</c:v>
                </c:pt>
                <c:pt idx="326">
                  <c:v>13.219947550961356</c:v>
                </c:pt>
                <c:pt idx="327">
                  <c:v>12.291120532614116</c:v>
                </c:pt>
                <c:pt idx="328">
                  <c:v>4.988398658565945</c:v>
                </c:pt>
                <c:pt idx="329">
                  <c:v>9.9759672383627205</c:v>
                </c:pt>
                <c:pt idx="330">
                  <c:v>14.261952667535962</c:v>
                </c:pt>
                <c:pt idx="331">
                  <c:v>9.7390870569933661</c:v>
                </c:pt>
                <c:pt idx="332">
                  <c:v>10.794463095479514</c:v>
                </c:pt>
                <c:pt idx="333">
                  <c:v>4.6243974258151361</c:v>
                </c:pt>
                <c:pt idx="334">
                  <c:v>4.3641332860450026</c:v>
                </c:pt>
                <c:pt idx="335">
                  <c:v>5.5685816188329591</c:v>
                </c:pt>
                <c:pt idx="336">
                  <c:v>10.014860488692909</c:v>
                </c:pt>
                <c:pt idx="337">
                  <c:v>13.391815001272118</c:v>
                </c:pt>
                <c:pt idx="338">
                  <c:v>18.558800385595127</c:v>
                </c:pt>
                <c:pt idx="339">
                  <c:v>12.123130389702929</c:v>
                </c:pt>
                <c:pt idx="340">
                  <c:v>14.872159492908347</c:v>
                </c:pt>
                <c:pt idx="341">
                  <c:v>4.7914598303902718</c:v>
                </c:pt>
                <c:pt idx="342">
                  <c:v>7.9779577203784671</c:v>
                </c:pt>
                <c:pt idx="343">
                  <c:v>11.617825186963831</c:v>
                </c:pt>
                <c:pt idx="344">
                  <c:v>13.211296903641093</c:v>
                </c:pt>
                <c:pt idx="345">
                  <c:v>6.0493934406651864</c:v>
                </c:pt>
                <c:pt idx="346">
                  <c:v>5.6988733276074806</c:v>
                </c:pt>
                <c:pt idx="347">
                  <c:v>12.978024776475658</c:v>
                </c:pt>
                <c:pt idx="348">
                  <c:v>6.9317658793961607</c:v>
                </c:pt>
                <c:pt idx="349">
                  <c:v>5.8175164450516794</c:v>
                </c:pt>
                <c:pt idx="350">
                  <c:v>3.7564573921024951</c:v>
                </c:pt>
                <c:pt idx="351">
                  <c:v>15.117513240378694</c:v>
                </c:pt>
                <c:pt idx="352">
                  <c:v>14.474617664523528</c:v>
                </c:pt>
                <c:pt idx="353">
                  <c:v>4.3697324615122257</c:v>
                </c:pt>
                <c:pt idx="354">
                  <c:v>15.496040050065378</c:v>
                </c:pt>
                <c:pt idx="355">
                  <c:v>15.425865106566301</c:v>
                </c:pt>
                <c:pt idx="356">
                  <c:v>15.135590416289929</c:v>
                </c:pt>
                <c:pt idx="357">
                  <c:v>16.375677562097678</c:v>
                </c:pt>
                <c:pt idx="358">
                  <c:v>9.0806688404697642</c:v>
                </c:pt>
                <c:pt idx="359">
                  <c:v>15.175045413014022</c:v>
                </c:pt>
                <c:pt idx="360">
                  <c:v>6.530731061586847</c:v>
                </c:pt>
                <c:pt idx="361">
                  <c:v>13.375994021543194</c:v>
                </c:pt>
                <c:pt idx="362">
                  <c:v>10.191342211880853</c:v>
                </c:pt>
                <c:pt idx="363">
                  <c:v>12.210443530915315</c:v>
                </c:pt>
                <c:pt idx="364">
                  <c:v>11.102634949053186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778216"/>
        <c:axId val="372779000"/>
      </c:lineChart>
      <c:dateAx>
        <c:axId val="372778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9000"/>
        <c:crosses val="autoZero"/>
        <c:auto val="1"/>
        <c:lblOffset val="100"/>
        <c:baseTimeUnit val="days"/>
        <c:majorUnit val="1"/>
        <c:majorTimeUnit val="months"/>
      </c:dateAx>
      <c:valAx>
        <c:axId val="3727790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82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17.83812913525998</c:v>
                </c:pt>
                <c:pt idx="1">
                  <c:v>18.015217050685742</c:v>
                </c:pt>
                <c:pt idx="2">
                  <c:v>18.201063076220095</c:v>
                </c:pt>
                <c:pt idx="3">
                  <c:v>18.394004497803795</c:v>
                </c:pt>
                <c:pt idx="4">
                  <c:v>18.592379160871207</c:v>
                </c:pt>
                <c:pt idx="5">
                  <c:v>18.794525471135952</c:v>
                </c:pt>
                <c:pt idx="6">
                  <c:v>18.998782388947777</c:v>
                </c:pt>
                <c:pt idx="7">
                  <c:v>19.203489435681245</c:v>
                </c:pt>
                <c:pt idx="8">
                  <c:v>19.411184804215178</c:v>
                </c:pt>
                <c:pt idx="9">
                  <c:v>19.625582462445724</c:v>
                </c:pt>
                <c:pt idx="10">
                  <c:v>19.846785987214403</c:v>
                </c:pt>
                <c:pt idx="11">
                  <c:v>20.074898925431079</c:v>
                </c:pt>
                <c:pt idx="12">
                  <c:v>20.310024787059831</c:v>
                </c:pt>
                <c:pt idx="13">
                  <c:v>20.552267049666114</c:v>
                </c:pt>
                <c:pt idx="14">
                  <c:v>20.801729149202629</c:v>
                </c:pt>
                <c:pt idx="15">
                  <c:v>21.058514692031807</c:v>
                </c:pt>
                <c:pt idx="16">
                  <c:v>21.322727131443511</c:v>
                </c:pt>
                <c:pt idx="17">
                  <c:v>21.594469867985044</c:v>
                </c:pt>
                <c:pt idx="18">
                  <c:v>21.873846270164755</c:v>
                </c:pt>
                <c:pt idx="19">
                  <c:v>22.160959681239596</c:v>
                </c:pt>
                <c:pt idx="20">
                  <c:v>22.455913408085767</c:v>
                </c:pt>
                <c:pt idx="21">
                  <c:v>22.758810735431503</c:v>
                </c:pt>
                <c:pt idx="22">
                  <c:v>23.071610656948739</c:v>
                </c:pt>
                <c:pt idx="23">
                  <c:v>23.395549975277298</c:v>
                </c:pt>
                <c:pt idx="24">
                  <c:v>23.729648488954968</c:v>
                </c:pt>
                <c:pt idx="25">
                  <c:v>24.072926293674549</c:v>
                </c:pt>
                <c:pt idx="26">
                  <c:v>24.424403818189237</c:v>
                </c:pt>
                <c:pt idx="27">
                  <c:v>24.783101838725518</c:v>
                </c:pt>
                <c:pt idx="28">
                  <c:v>25.148041474070848</c:v>
                </c:pt>
                <c:pt idx="29">
                  <c:v>25.518243731332749</c:v>
                </c:pt>
                <c:pt idx="30">
                  <c:v>25.892729767175776</c:v>
                </c:pt>
                <c:pt idx="31">
                  <c:v>26.27052154396149</c:v>
                </c:pt>
                <c:pt idx="32">
                  <c:v>26.65064135140117</c:v>
                </c:pt>
                <c:pt idx="33">
                  <c:v>27.032111810875413</c:v>
                </c:pt>
                <c:pt idx="34">
                  <c:v>27.413955872579642</c:v>
                </c:pt>
                <c:pt idx="35">
                  <c:v>27.795196818635077</c:v>
                </c:pt>
                <c:pt idx="36">
                  <c:v>28.178005374302163</c:v>
                </c:pt>
                <c:pt idx="37">
                  <c:v>28.564984889925487</c:v>
                </c:pt>
                <c:pt idx="38">
                  <c:v>28.955807978528455</c:v>
                </c:pt>
                <c:pt idx="39">
                  <c:v>29.350148120093316</c:v>
                </c:pt>
                <c:pt idx="40">
                  <c:v>29.747678891020644</c:v>
                </c:pt>
                <c:pt idx="41">
                  <c:v>30.148073960444677</c:v>
                </c:pt>
                <c:pt idx="42">
                  <c:v>30.551007092923701</c:v>
                </c:pt>
                <c:pt idx="43">
                  <c:v>30.956152172679648</c:v>
                </c:pt>
                <c:pt idx="44">
                  <c:v>31.363184145647018</c:v>
                </c:pt>
                <c:pt idx="45">
                  <c:v>31.771777196933886</c:v>
                </c:pt>
                <c:pt idx="46">
                  <c:v>32.181605610638606</c:v>
                </c:pt>
                <c:pt idx="47">
                  <c:v>32.592343767187444</c:v>
                </c:pt>
                <c:pt idx="48">
                  <c:v>33.00366614182402</c:v>
                </c:pt>
                <c:pt idx="49">
                  <c:v>33.415247306283263</c:v>
                </c:pt>
                <c:pt idx="50">
                  <c:v>33.827105179254318</c:v>
                </c:pt>
                <c:pt idx="51">
                  <c:v>34.239618975226151</c:v>
                </c:pt>
                <c:pt idx="52">
                  <c:v>34.653006676970769</c:v>
                </c:pt>
                <c:pt idx="53">
                  <c:v>35.067484895036742</c:v>
                </c:pt>
                <c:pt idx="54">
                  <c:v>35.483270166967081</c:v>
                </c:pt>
                <c:pt idx="55">
                  <c:v>35.900578958516483</c:v>
                </c:pt>
                <c:pt idx="56">
                  <c:v>36.31962766142022</c:v>
                </c:pt>
                <c:pt idx="57">
                  <c:v>36.740631911949642</c:v>
                </c:pt>
                <c:pt idx="58">
                  <c:v>37.163808433859039</c:v>
                </c:pt>
                <c:pt idx="59">
                  <c:v>37.589373396734381</c:v>
                </c:pt>
                <c:pt idx="60">
                  <c:v>38.017542894044283</c:v>
                </c:pt>
                <c:pt idx="61">
                  <c:v>38.448532943739181</c:v>
                </c:pt>
                <c:pt idx="62">
                  <c:v>38.882559491526116</c:v>
                </c:pt>
                <c:pt idx="63">
                  <c:v>39.319838402416991</c:v>
                </c:pt>
                <c:pt idx="64">
                  <c:v>39.761217064981295</c:v>
                </c:pt>
                <c:pt idx="65">
                  <c:v>40.207037271621303</c:v>
                </c:pt>
                <c:pt idx="66">
                  <c:v>40.65675661797053</c:v>
                </c:pt>
                <c:pt idx="67">
                  <c:v>41.109832906124552</c:v>
                </c:pt>
                <c:pt idx="68">
                  <c:v>41.565724102363546</c:v>
                </c:pt>
                <c:pt idx="69">
                  <c:v>42.023888338564511</c:v>
                </c:pt>
                <c:pt idx="70">
                  <c:v>42.483783908388155</c:v>
                </c:pt>
                <c:pt idx="71">
                  <c:v>42.944869116470805</c:v>
                </c:pt>
                <c:pt idx="72">
                  <c:v>43.406602550205363</c:v>
                </c:pt>
                <c:pt idx="73">
                  <c:v>43.86844294185061</c:v>
                </c:pt>
                <c:pt idx="74">
                  <c:v>44.329849180175081</c:v>
                </c:pt>
                <c:pt idx="75">
                  <c:v>44.790280310879965</c:v>
                </c:pt>
                <c:pt idx="76">
                  <c:v>45.249195536047353</c:v>
                </c:pt>
                <c:pt idx="77">
                  <c:v>45.706054213171782</c:v>
                </c:pt>
                <c:pt idx="78">
                  <c:v>46.164714033041705</c:v>
                </c:pt>
                <c:pt idx="79">
                  <c:v>46.62845463842077</c:v>
                </c:pt>
                <c:pt idx="80">
                  <c:v>47.095868959720583</c:v>
                </c:pt>
                <c:pt idx="81">
                  <c:v>47.565550217045171</c:v>
                </c:pt>
                <c:pt idx="82">
                  <c:v>48.036092065084524</c:v>
                </c:pt>
                <c:pt idx="83">
                  <c:v>48.506088590840946</c:v>
                </c:pt>
                <c:pt idx="84">
                  <c:v>48.974134316777658</c:v>
                </c:pt>
                <c:pt idx="85">
                  <c:v>49.438824495553213</c:v>
                </c:pt>
                <c:pt idx="86">
                  <c:v>49.898754900274902</c:v>
                </c:pt>
                <c:pt idx="87">
                  <c:v>50.352521448665314</c:v>
                </c:pt>
                <c:pt idx="88">
                  <c:v>50.798720501186232</c:v>
                </c:pt>
                <c:pt idx="89">
                  <c:v>51.235948862269929</c:v>
                </c:pt>
                <c:pt idx="90">
                  <c:v>51.662803781735356</c:v>
                </c:pt>
                <c:pt idx="91">
                  <c:v>52.077882957849049</c:v>
                </c:pt>
                <c:pt idx="92">
                  <c:v>52.483997712300969</c:v>
                </c:pt>
                <c:pt idx="93">
                  <c:v>52.884678742698725</c:v>
                </c:pt>
                <c:pt idx="94">
                  <c:v>53.279603078412229</c:v>
                </c:pt>
                <c:pt idx="95">
                  <c:v>53.668447814845557</c:v>
                </c:pt>
                <c:pt idx="96">
                  <c:v>54.050890144203947</c:v>
                </c:pt>
                <c:pt idx="97">
                  <c:v>54.426607372605417</c:v>
                </c:pt>
                <c:pt idx="98">
                  <c:v>54.795276914538682</c:v>
                </c:pt>
                <c:pt idx="99">
                  <c:v>55.156576063483165</c:v>
                </c:pt>
                <c:pt idx="100">
                  <c:v>55.510181874713794</c:v>
                </c:pt>
                <c:pt idx="101">
                  <c:v>55.855771996156406</c:v>
                </c:pt>
                <c:pt idx="102">
                  <c:v>56.193024186555142</c:v>
                </c:pt>
                <c:pt idx="103">
                  <c:v>56.521616317891073</c:v>
                </c:pt>
                <c:pt idx="104">
                  <c:v>56.841226363139171</c:v>
                </c:pt>
                <c:pt idx="105">
                  <c:v>57.151532417958741</c:v>
                </c:pt>
                <c:pt idx="106">
                  <c:v>57.452554391695251</c:v>
                </c:pt>
                <c:pt idx="107">
                  <c:v>57.744671838264289</c:v>
                </c:pt>
                <c:pt idx="108">
                  <c:v>58.028102124247404</c:v>
                </c:pt>
                <c:pt idx="109">
                  <c:v>58.303062776924122</c:v>
                </c:pt>
                <c:pt idx="110">
                  <c:v>58.569771267551204</c:v>
                </c:pt>
                <c:pt idx="111">
                  <c:v>58.828445011025046</c:v>
                </c:pt>
                <c:pt idx="112">
                  <c:v>59.079301354985695</c:v>
                </c:pt>
                <c:pt idx="113">
                  <c:v>59.322557636724362</c:v>
                </c:pt>
                <c:pt idx="114">
                  <c:v>59.558431523015855</c:v>
                </c:pt>
                <c:pt idx="115">
                  <c:v>59.787140253777565</c:v>
                </c:pt>
                <c:pt idx="116">
                  <c:v>60.008901023544595</c:v>
                </c:pt>
                <c:pt idx="117">
                  <c:v>60.223930966492027</c:v>
                </c:pt>
                <c:pt idx="118">
                  <c:v>60.432447181014311</c:v>
                </c:pt>
                <c:pt idx="119">
                  <c:v>60.634666711845171</c:v>
                </c:pt>
                <c:pt idx="120">
                  <c:v>60.829333537612072</c:v>
                </c:pt>
                <c:pt idx="121">
                  <c:v>61.015335624437732</c:v>
                </c:pt>
                <c:pt idx="122">
                  <c:v>61.193106153379226</c:v>
                </c:pt>
                <c:pt idx="123">
                  <c:v>61.363078152617511</c:v>
                </c:pt>
                <c:pt idx="124">
                  <c:v>61.525684534397733</c:v>
                </c:pt>
                <c:pt idx="125">
                  <c:v>61.681358101310515</c:v>
                </c:pt>
                <c:pt idx="126">
                  <c:v>61.83053154298819</c:v>
                </c:pt>
                <c:pt idx="127">
                  <c:v>61.973637298913815</c:v>
                </c:pt>
                <c:pt idx="128">
                  <c:v>62.111107744141009</c:v>
                </c:pt>
                <c:pt idx="129">
                  <c:v>62.243375213430575</c:v>
                </c:pt>
                <c:pt idx="130">
                  <c:v>62.370871924190112</c:v>
                </c:pt>
                <c:pt idx="131">
                  <c:v>62.494029986846819</c:v>
                </c:pt>
                <c:pt idx="132">
                  <c:v>62.613281395481636</c:v>
                </c:pt>
                <c:pt idx="133">
                  <c:v>62.729058033986391</c:v>
                </c:pt>
                <c:pt idx="134">
                  <c:v>62.84024863815155</c:v>
                </c:pt>
                <c:pt idx="135">
                  <c:v>62.945598849369887</c:v>
                </c:pt>
                <c:pt idx="136">
                  <c:v>63.045326064646773</c:v>
                </c:pt>
                <c:pt idx="137">
                  <c:v>63.139647391827438</c:v>
                </c:pt>
                <c:pt idx="138">
                  <c:v>63.228779904348116</c:v>
                </c:pt>
                <c:pt idx="139">
                  <c:v>63.312940630345487</c:v>
                </c:pt>
                <c:pt idx="140">
                  <c:v>63.392346562502553</c:v>
                </c:pt>
                <c:pt idx="141">
                  <c:v>63.467214692688877</c:v>
                </c:pt>
                <c:pt idx="142">
                  <c:v>63.537762184048901</c:v>
                </c:pt>
                <c:pt idx="143">
                  <c:v>63.604205933695539</c:v>
                </c:pt>
                <c:pt idx="144">
                  <c:v>63.666762792928125</c:v>
                </c:pt>
                <c:pt idx="145">
                  <c:v>63.725649565839824</c:v>
                </c:pt>
                <c:pt idx="146">
                  <c:v>63.781083003428847</c:v>
                </c:pt>
                <c:pt idx="147">
                  <c:v>63.833279809922175</c:v>
                </c:pt>
                <c:pt idx="148">
                  <c:v>63.881453084841588</c:v>
                </c:pt>
                <c:pt idx="149">
                  <c:v>63.924816136415799</c:v>
                </c:pt>
                <c:pt idx="150">
                  <c:v>63.963585989929832</c:v>
                </c:pt>
                <c:pt idx="151">
                  <c:v>63.997979623029018</c:v>
                </c:pt>
                <c:pt idx="152">
                  <c:v>64.028213945900731</c:v>
                </c:pt>
                <c:pt idx="153">
                  <c:v>64.054505799295384</c:v>
                </c:pt>
                <c:pt idx="154">
                  <c:v>64.077071949396029</c:v>
                </c:pt>
                <c:pt idx="155">
                  <c:v>64.096129018679974</c:v>
                </c:pt>
                <c:pt idx="156">
                  <c:v>64.111893546529956</c:v>
                </c:pt>
                <c:pt idx="157">
                  <c:v>64.124582042985438</c:v>
                </c:pt>
                <c:pt idx="158">
                  <c:v>64.134410932005537</c:v>
                </c:pt>
                <c:pt idx="159">
                  <c:v>64.141596543957363</c:v>
                </c:pt>
                <c:pt idx="160">
                  <c:v>64.14635511619241</c:v>
                </c:pt>
                <c:pt idx="161">
                  <c:v>64.148902788357574</c:v>
                </c:pt>
                <c:pt idx="162">
                  <c:v>64.150082059985124</c:v>
                </c:pt>
                <c:pt idx="163">
                  <c:v>64.150233950858421</c:v>
                </c:pt>
                <c:pt idx="164">
                  <c:v>64.148822590093587</c:v>
                </c:pt>
                <c:pt idx="165">
                  <c:v>64.145312147704459</c:v>
                </c:pt>
                <c:pt idx="166">
                  <c:v>64.139166942420232</c:v>
                </c:pt>
                <c:pt idx="167">
                  <c:v>64.129851432642766</c:v>
                </c:pt>
                <c:pt idx="168">
                  <c:v>64.116830216353421</c:v>
                </c:pt>
                <c:pt idx="169">
                  <c:v>64.099567987865285</c:v>
                </c:pt>
                <c:pt idx="170">
                  <c:v>64.077529699274535</c:v>
                </c:pt>
                <c:pt idx="171">
                  <c:v>64.050180350502401</c:v>
                </c:pt>
                <c:pt idx="172">
                  <c:v>64.016985069788845</c:v>
                </c:pt>
                <c:pt idx="173">
                  <c:v>63.977409107220758</c:v>
                </c:pt>
                <c:pt idx="174">
                  <c:v>63.930917838668577</c:v>
                </c:pt>
                <c:pt idx="175">
                  <c:v>63.876976761459296</c:v>
                </c:pt>
                <c:pt idx="176">
                  <c:v>63.815695088766347</c:v>
                </c:pt>
                <c:pt idx="177">
                  <c:v>63.747753885062394</c:v>
                </c:pt>
                <c:pt idx="178">
                  <c:v>63.673476581909846</c:v>
                </c:pt>
                <c:pt idx="179">
                  <c:v>63.593186405334315</c:v>
                </c:pt>
                <c:pt idx="180">
                  <c:v>63.507206425850278</c:v>
                </c:pt>
                <c:pt idx="181">
                  <c:v>63.415859553128868</c:v>
                </c:pt>
                <c:pt idx="182">
                  <c:v>63.319468551576307</c:v>
                </c:pt>
                <c:pt idx="183">
                  <c:v>63.218355870171152</c:v>
                </c:pt>
                <c:pt idx="184">
                  <c:v>63.112844023404577</c:v>
                </c:pt>
                <c:pt idx="185">
                  <c:v>63.003255329201913</c:v>
                </c:pt>
                <c:pt idx="186">
                  <c:v>62.889911968973387</c:v>
                </c:pt>
                <c:pt idx="187">
                  <c:v>62.773135986647759</c:v>
                </c:pt>
                <c:pt idx="188">
                  <c:v>62.653249298826907</c:v>
                </c:pt>
                <c:pt idx="189">
                  <c:v>62.530573688612876</c:v>
                </c:pt>
                <c:pt idx="190">
                  <c:v>62.405091527957914</c:v>
                </c:pt>
                <c:pt idx="191">
                  <c:v>62.276428164744594</c:v>
                </c:pt>
                <c:pt idx="192">
                  <c:v>62.144369756342655</c:v>
                </c:pt>
                <c:pt idx="193">
                  <c:v>62.008702389372893</c:v>
                </c:pt>
                <c:pt idx="194">
                  <c:v>61.869212212382529</c:v>
                </c:pt>
                <c:pt idx="195">
                  <c:v>61.725685429984701</c:v>
                </c:pt>
                <c:pt idx="196">
                  <c:v>61.577908313390338</c:v>
                </c:pt>
                <c:pt idx="197">
                  <c:v>61.425667251244477</c:v>
                </c:pt>
                <c:pt idx="198">
                  <c:v>61.268748835393438</c:v>
                </c:pt>
                <c:pt idx="199">
                  <c:v>61.106939544342474</c:v>
                </c:pt>
                <c:pt idx="200">
                  <c:v>60.940025925516466</c:v>
                </c:pt>
                <c:pt idx="201">
                  <c:v>60.767794604808245</c:v>
                </c:pt>
                <c:pt idx="202">
                  <c:v>60.590032285990041</c:v>
                </c:pt>
                <c:pt idx="203">
                  <c:v>60.406525743994507</c:v>
                </c:pt>
                <c:pt idx="204">
                  <c:v>60.216437500210176</c:v>
                </c:pt>
                <c:pt idx="205">
                  <c:v>60.019428958394293</c:v>
                </c:pt>
                <c:pt idx="206">
                  <c:v>59.816036255828742</c:v>
                </c:pt>
                <c:pt idx="207">
                  <c:v>59.606795518284756</c:v>
                </c:pt>
                <c:pt idx="208">
                  <c:v>59.392242730646366</c:v>
                </c:pt>
                <c:pt idx="209">
                  <c:v>59.172913733215445</c:v>
                </c:pt>
                <c:pt idx="210">
                  <c:v>58.949344228008982</c:v>
                </c:pt>
                <c:pt idx="211">
                  <c:v>58.722068597213486</c:v>
                </c:pt>
                <c:pt idx="212">
                  <c:v>58.491622186647135</c:v>
                </c:pt>
                <c:pt idx="213">
                  <c:v>58.258540266263729</c:v>
                </c:pt>
                <c:pt idx="214">
                  <c:v>58.02335797071899</c:v>
                </c:pt>
                <c:pt idx="215">
                  <c:v>57.786610294577777</c:v>
                </c:pt>
                <c:pt idx="216">
                  <c:v>57.548832095386864</c:v>
                </c:pt>
                <c:pt idx="217">
                  <c:v>57.310558094057477</c:v>
                </c:pt>
                <c:pt idx="218">
                  <c:v>57.070291461790077</c:v>
                </c:pt>
                <c:pt idx="219">
                  <c:v>56.826393729449812</c:v>
                </c:pt>
                <c:pt idx="220">
                  <c:v>56.579187220956236</c:v>
                </c:pt>
                <c:pt idx="221">
                  <c:v>56.328993309010116</c:v>
                </c:pt>
                <c:pt idx="222">
                  <c:v>56.076133287318378</c:v>
                </c:pt>
                <c:pt idx="223">
                  <c:v>55.820928366256638</c:v>
                </c:pt>
                <c:pt idx="224">
                  <c:v>55.563699672873931</c:v>
                </c:pt>
                <c:pt idx="225">
                  <c:v>55.304767805632224</c:v>
                </c:pt>
                <c:pt idx="226">
                  <c:v>55.044454956492189</c:v>
                </c:pt>
                <c:pt idx="227">
                  <c:v>54.78308200108696</c:v>
                </c:pt>
                <c:pt idx="228">
                  <c:v>54.520969729719155</c:v>
                </c:pt>
                <c:pt idx="229">
                  <c:v>54.258438842810804</c:v>
                </c:pt>
                <c:pt idx="230">
                  <c:v>53.995809952649623</c:v>
                </c:pt>
                <c:pt idx="231">
                  <c:v>53.73340358378816</c:v>
                </c:pt>
                <c:pt idx="232">
                  <c:v>53.471896187314528</c:v>
                </c:pt>
                <c:pt idx="233">
                  <c:v>53.21139003986989</c:v>
                </c:pt>
                <c:pt idx="234">
                  <c:v>52.951350579864389</c:v>
                </c:pt>
                <c:pt idx="235">
                  <c:v>52.691243859000942</c:v>
                </c:pt>
                <c:pt idx="236">
                  <c:v>52.430536089694812</c:v>
                </c:pt>
                <c:pt idx="237">
                  <c:v>52.168693646260976</c:v>
                </c:pt>
                <c:pt idx="238">
                  <c:v>51.905183063725822</c:v>
                </c:pt>
                <c:pt idx="239">
                  <c:v>51.639474785056194</c:v>
                </c:pt>
                <c:pt idx="240">
                  <c:v>51.371036126407787</c:v>
                </c:pt>
                <c:pt idx="241">
                  <c:v>51.099334106839059</c:v>
                </c:pt>
                <c:pt idx="242">
                  <c:v>50.823835900472943</c:v>
                </c:pt>
                <c:pt idx="243">
                  <c:v>50.544008836956294</c:v>
                </c:pt>
                <c:pt idx="244">
                  <c:v>50.259320397936349</c:v>
                </c:pt>
                <c:pt idx="245">
                  <c:v>49.969238220729743</c:v>
                </c:pt>
                <c:pt idx="246">
                  <c:v>49.675257336539559</c:v>
                </c:pt>
                <c:pt idx="247">
                  <c:v>49.379024958698317</c:v>
                </c:pt>
                <c:pt idx="248">
                  <c:v>49.080226089393562</c:v>
                </c:pt>
                <c:pt idx="249">
                  <c:v>48.77854137691569</c:v>
                </c:pt>
                <c:pt idx="250">
                  <c:v>48.47365155659849</c:v>
                </c:pt>
                <c:pt idx="251">
                  <c:v>48.165237446382633</c:v>
                </c:pt>
                <c:pt idx="252">
                  <c:v>47.852979952476424</c:v>
                </c:pt>
                <c:pt idx="253">
                  <c:v>47.536558773194017</c:v>
                </c:pt>
                <c:pt idx="254">
                  <c:v>47.215651223416948</c:v>
                </c:pt>
                <c:pt idx="255">
                  <c:v>46.889938459773418</c:v>
                </c:pt>
                <c:pt idx="256">
                  <c:v>46.559101720482353</c:v>
                </c:pt>
                <c:pt idx="257">
                  <c:v>46.222822321197718</c:v>
                </c:pt>
                <c:pt idx="258">
                  <c:v>45.880781655926633</c:v>
                </c:pt>
                <c:pt idx="259">
                  <c:v>45.532661194290284</c:v>
                </c:pt>
                <c:pt idx="260">
                  <c:v>45.177094315552949</c:v>
                </c:pt>
                <c:pt idx="261">
                  <c:v>44.81348264371475</c:v>
                </c:pt>
                <c:pt idx="262">
                  <c:v>44.442670266032586</c:v>
                </c:pt>
                <c:pt idx="263">
                  <c:v>44.065511332247482</c:v>
                </c:pt>
                <c:pt idx="264">
                  <c:v>43.682859743457577</c:v>
                </c:pt>
                <c:pt idx="265">
                  <c:v>43.295569163046899</c:v>
                </c:pt>
                <c:pt idx="266">
                  <c:v>42.904493013628716</c:v>
                </c:pt>
                <c:pt idx="267">
                  <c:v>42.510476402827571</c:v>
                </c:pt>
                <c:pt idx="268">
                  <c:v>42.114373585461244</c:v>
                </c:pt>
                <c:pt idx="269">
                  <c:v>41.717037314205562</c:v>
                </c:pt>
                <c:pt idx="270">
                  <c:v>41.319320109167187</c:v>
                </c:pt>
                <c:pt idx="271">
                  <c:v>40.922074259800027</c:v>
                </c:pt>
                <c:pt idx="272">
                  <c:v>40.526151826021113</c:v>
                </c:pt>
                <c:pt idx="273">
                  <c:v>40.132404639983186</c:v>
                </c:pt>
                <c:pt idx="274">
                  <c:v>39.73863148957124</c:v>
                </c:pt>
                <c:pt idx="275">
                  <c:v>39.342355192166799</c:v>
                </c:pt>
                <c:pt idx="276">
                  <c:v>38.944015451098878</c:v>
                </c:pt>
                <c:pt idx="277">
                  <c:v>38.544038390531533</c:v>
                </c:pt>
                <c:pt idx="278">
                  <c:v>38.142849991273685</c:v>
                </c:pt>
                <c:pt idx="279">
                  <c:v>37.740876089695867</c:v>
                </c:pt>
                <c:pt idx="280">
                  <c:v>37.338542377917399</c:v>
                </c:pt>
                <c:pt idx="281">
                  <c:v>36.936279259584218</c:v>
                </c:pt>
                <c:pt idx="282">
                  <c:v>36.534519824905999</c:v>
                </c:pt>
                <c:pt idx="283">
                  <c:v>36.13368918489379</c:v>
                </c:pt>
                <c:pt idx="284">
                  <c:v>35.734212300040767</c:v>
                </c:pt>
                <c:pt idx="285">
                  <c:v>35.336513982310862</c:v>
                </c:pt>
                <c:pt idx="286">
                  <c:v>34.941018896520987</c:v>
                </c:pt>
                <c:pt idx="287">
                  <c:v>34.548151564376759</c:v>
                </c:pt>
                <c:pt idx="288">
                  <c:v>34.156580718843699</c:v>
                </c:pt>
                <c:pt idx="289">
                  <c:v>33.764792044093092</c:v>
                </c:pt>
                <c:pt idx="290">
                  <c:v>33.373098613100559</c:v>
                </c:pt>
                <c:pt idx="291">
                  <c:v>32.981820586620479</c:v>
                </c:pt>
                <c:pt idx="292">
                  <c:v>32.591278104903758</c:v>
                </c:pt>
                <c:pt idx="293">
                  <c:v>32.201791282378096</c:v>
                </c:pt>
                <c:pt idx="294">
                  <c:v>31.813680206765273</c:v>
                </c:pt>
                <c:pt idx="295">
                  <c:v>31.427006186104617</c:v>
                </c:pt>
                <c:pt idx="296">
                  <c:v>31.042089375850122</c:v>
                </c:pt>
                <c:pt idx="297">
                  <c:v>30.659254597802875</c:v>
                </c:pt>
                <c:pt idx="298">
                  <c:v>30.278826772478393</c:v>
                </c:pt>
                <c:pt idx="299">
                  <c:v>29.90113085519706</c:v>
                </c:pt>
                <c:pt idx="300">
                  <c:v>29.526491803655677</c:v>
                </c:pt>
                <c:pt idx="301">
                  <c:v>29.155234548431952</c:v>
                </c:pt>
                <c:pt idx="302">
                  <c:v>28.785734769421133</c:v>
                </c:pt>
                <c:pt idx="303">
                  <c:v>28.416535195065691</c:v>
                </c:pt>
                <c:pt idx="304">
                  <c:v>28.048275685729639</c:v>
                </c:pt>
                <c:pt idx="305">
                  <c:v>27.681491270451293</c:v>
                </c:pt>
                <c:pt idx="306">
                  <c:v>27.316716735311299</c:v>
                </c:pt>
                <c:pt idx="307">
                  <c:v>26.954486606028123</c:v>
                </c:pt>
                <c:pt idx="308">
                  <c:v>26.595335122332784</c:v>
                </c:pt>
                <c:pt idx="309">
                  <c:v>26.240121972783225</c:v>
                </c:pt>
                <c:pt idx="310">
                  <c:v>25.889607731976476</c:v>
                </c:pt>
                <c:pt idx="311">
                  <c:v>25.544313867470951</c:v>
                </c:pt>
                <c:pt idx="312">
                  <c:v>25.204761705530441</c:v>
                </c:pt>
                <c:pt idx="313">
                  <c:v>24.871472479263012</c:v>
                </c:pt>
                <c:pt idx="314">
                  <c:v>24.544967368614202</c:v>
                </c:pt>
                <c:pt idx="315">
                  <c:v>24.225767547199013</c:v>
                </c:pt>
                <c:pt idx="316">
                  <c:v>23.913066214557208</c:v>
                </c:pt>
                <c:pt idx="317">
                  <c:v>23.605801161035952</c:v>
                </c:pt>
                <c:pt idx="318">
                  <c:v>23.303938639747908</c:v>
                </c:pt>
                <c:pt idx="319">
                  <c:v>23.007468166553277</c:v>
                </c:pt>
                <c:pt idx="320">
                  <c:v>22.71637962993049</c:v>
                </c:pt>
                <c:pt idx="321">
                  <c:v>22.430663319562193</c:v>
                </c:pt>
                <c:pt idx="322">
                  <c:v>22.150309963242911</c:v>
                </c:pt>
                <c:pt idx="323">
                  <c:v>21.875257691576685</c:v>
                </c:pt>
                <c:pt idx="324">
                  <c:v>21.605205045817648</c:v>
                </c:pt>
                <c:pt idx="325">
                  <c:v>21.340150455394006</c:v>
                </c:pt>
                <c:pt idx="326">
                  <c:v>21.080092839986555</c:v>
                </c:pt>
                <c:pt idx="327">
                  <c:v>20.825031006970296</c:v>
                </c:pt>
                <c:pt idx="328">
                  <c:v>20.574963626399583</c:v>
                </c:pt>
                <c:pt idx="329">
                  <c:v>20.329889514288396</c:v>
                </c:pt>
                <c:pt idx="330">
                  <c:v>20.087507539773039</c:v>
                </c:pt>
                <c:pt idx="331">
                  <c:v>19.846201492491165</c:v>
                </c:pt>
                <c:pt idx="332">
                  <c:v>19.606943176331985</c:v>
                </c:pt>
                <c:pt idx="333">
                  <c:v>19.37079543074271</c:v>
                </c:pt>
                <c:pt idx="334">
                  <c:v>19.138820831350422</c:v>
                </c:pt>
                <c:pt idx="335">
                  <c:v>18.912081681545683</c:v>
                </c:pt>
                <c:pt idx="336">
                  <c:v>18.691639991025752</c:v>
                </c:pt>
                <c:pt idx="337">
                  <c:v>18.478511917647044</c:v>
                </c:pt>
                <c:pt idx="338">
                  <c:v>18.273808582298209</c:v>
                </c:pt>
                <c:pt idx="339">
                  <c:v>18.078591012483685</c:v>
                </c:pt>
                <c:pt idx="340">
                  <c:v>17.893919911677813</c:v>
                </c:pt>
                <c:pt idx="341">
                  <c:v>17.720855664543336</c:v>
                </c:pt>
                <c:pt idx="342">
                  <c:v>17.560458329533216</c:v>
                </c:pt>
                <c:pt idx="343">
                  <c:v>17.413787622850144</c:v>
                </c:pt>
                <c:pt idx="344">
                  <c:v>17.276865317686493</c:v>
                </c:pt>
                <c:pt idx="345">
                  <c:v>17.145741064175105</c:v>
                </c:pt>
                <c:pt idx="346">
                  <c:v>17.02155672171628</c:v>
                </c:pt>
                <c:pt idx="347">
                  <c:v>16.905412736084081</c:v>
                </c:pt>
                <c:pt idx="348">
                  <c:v>16.798409258733155</c:v>
                </c:pt>
                <c:pt idx="349">
                  <c:v>16.70164612668858</c:v>
                </c:pt>
                <c:pt idx="350">
                  <c:v>16.616222875591077</c:v>
                </c:pt>
                <c:pt idx="351">
                  <c:v>16.543257158730544</c:v>
                </c:pt>
                <c:pt idx="352">
                  <c:v>16.483891669897126</c:v>
                </c:pt>
                <c:pt idx="353">
                  <c:v>16.439224765175933</c:v>
                </c:pt>
                <c:pt idx="354">
                  <c:v>16.410354526342111</c:v>
                </c:pt>
                <c:pt idx="355">
                  <c:v>16.39837875042619</c:v>
                </c:pt>
                <c:pt idx="356">
                  <c:v>16.404395597751812</c:v>
                </c:pt>
                <c:pt idx="357">
                  <c:v>16.429501690567314</c:v>
                </c:pt>
                <c:pt idx="358">
                  <c:v>16.475816968278686</c:v>
                </c:pt>
                <c:pt idx="359">
                  <c:v>16.543649380375054</c:v>
                </c:pt>
                <c:pt idx="360">
                  <c:v>16.631334849727807</c:v>
                </c:pt>
                <c:pt idx="361">
                  <c:v>16.73723505753852</c:v>
                </c:pt>
                <c:pt idx="362">
                  <c:v>16.85973035700782</c:v>
                </c:pt>
                <c:pt idx="363">
                  <c:v>16.997201469846491</c:v>
                </c:pt>
                <c:pt idx="364">
                  <c:v>17.148029483316137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6">
                  <c:v>6.1400000000000006</c:v>
                </c:pt>
                <c:pt idx="7">
                  <c:v>8.02</c:v>
                </c:pt>
                <c:pt idx="8">
                  <c:v>2.4090000000000003</c:v>
                </c:pt>
                <c:pt idx="9">
                  <c:v>1.992</c:v>
                </c:pt>
                <c:pt idx="10">
                  <c:v>19.989000000000001</c:v>
                </c:pt>
                <c:pt idx="11">
                  <c:v>17.943000000000001</c:v>
                </c:pt>
                <c:pt idx="12">
                  <c:v>6.0960000000000001</c:v>
                </c:pt>
                <c:pt idx="13">
                  <c:v>20.623000000000001</c:v>
                </c:pt>
                <c:pt idx="14">
                  <c:v>21.219000000000001</c:v>
                </c:pt>
                <c:pt idx="15">
                  <c:v>20.928000000000001</c:v>
                </c:pt>
                <c:pt idx="16">
                  <c:v>14.043000000000001</c:v>
                </c:pt>
                <c:pt idx="17">
                  <c:v>4.4550000000000001</c:v>
                </c:pt>
                <c:pt idx="18">
                  <c:v>11.263999999999999</c:v>
                </c:pt>
                <c:pt idx="19">
                  <c:v>6.5200000000000005</c:v>
                </c:pt>
                <c:pt idx="20">
                  <c:v>18.353000000000002</c:v>
                </c:pt>
                <c:pt idx="21">
                  <c:v>22.632999999999999</c:v>
                </c:pt>
                <c:pt idx="22">
                  <c:v>22.707000000000001</c:v>
                </c:pt>
                <c:pt idx="23">
                  <c:v>23.269000000000002</c:v>
                </c:pt>
                <c:pt idx="24">
                  <c:v>21.79</c:v>
                </c:pt>
                <c:pt idx="25">
                  <c:v>23.446000000000002</c:v>
                </c:pt>
                <c:pt idx="26">
                  <c:v>19.625</c:v>
                </c:pt>
                <c:pt idx="27">
                  <c:v>4.68</c:v>
                </c:pt>
                <c:pt idx="28">
                  <c:v>7.032</c:v>
                </c:pt>
                <c:pt idx="29">
                  <c:v>5.0670000000000002</c:v>
                </c:pt>
                <c:pt idx="30">
                  <c:v>11.746</c:v>
                </c:pt>
                <c:pt idx="31">
                  <c:v>15.139000000000001</c:v>
                </c:pt>
                <c:pt idx="32">
                  <c:v>6.1040000000000001</c:v>
                </c:pt>
                <c:pt idx="33">
                  <c:v>14.102</c:v>
                </c:pt>
                <c:pt idx="34">
                  <c:v>12.866</c:v>
                </c:pt>
                <c:pt idx="35">
                  <c:v>10.101000000000001</c:v>
                </c:pt>
                <c:pt idx="36">
                  <c:v>22.18</c:v>
                </c:pt>
                <c:pt idx="37">
                  <c:v>15.195</c:v>
                </c:pt>
                <c:pt idx="38">
                  <c:v>29.443000000000001</c:v>
                </c:pt>
                <c:pt idx="39">
                  <c:v>29.669</c:v>
                </c:pt>
                <c:pt idx="40">
                  <c:v>28.629000000000001</c:v>
                </c:pt>
                <c:pt idx="41">
                  <c:v>14.964</c:v>
                </c:pt>
                <c:pt idx="42">
                  <c:v>23.925000000000001</c:v>
                </c:pt>
                <c:pt idx="43">
                  <c:v>26.356000000000002</c:v>
                </c:pt>
                <c:pt idx="44">
                  <c:v>16.920000000000002</c:v>
                </c:pt>
                <c:pt idx="45">
                  <c:v>21.777999999999999</c:v>
                </c:pt>
                <c:pt idx="46">
                  <c:v>10.342000000000001</c:v>
                </c:pt>
                <c:pt idx="47">
                  <c:v>12.427</c:v>
                </c:pt>
                <c:pt idx="48">
                  <c:v>29.118000000000002</c:v>
                </c:pt>
                <c:pt idx="49">
                  <c:v>17.576000000000001</c:v>
                </c:pt>
                <c:pt idx="50">
                  <c:v>22.131</c:v>
                </c:pt>
                <c:pt idx="51">
                  <c:v>19.513000000000002</c:v>
                </c:pt>
                <c:pt idx="52">
                  <c:v>31.885999999999999</c:v>
                </c:pt>
                <c:pt idx="53">
                  <c:v>33.530999999999999</c:v>
                </c:pt>
                <c:pt idx="54">
                  <c:v>23.875</c:v>
                </c:pt>
                <c:pt idx="55">
                  <c:v>26.358000000000001</c:v>
                </c:pt>
                <c:pt idx="56">
                  <c:v>37.116500000000002</c:v>
                </c:pt>
                <c:pt idx="57">
                  <c:v>23.740000000000002</c:v>
                </c:pt>
                <c:pt idx="58">
                  <c:v>34.619999999999997</c:v>
                </c:pt>
                <c:pt idx="59">
                  <c:v>36.527000000000001</c:v>
                </c:pt>
                <c:pt idx="60">
                  <c:v>16.878</c:v>
                </c:pt>
                <c:pt idx="61">
                  <c:v>29.114000000000001</c:v>
                </c:pt>
                <c:pt idx="62">
                  <c:v>5.734</c:v>
                </c:pt>
                <c:pt idx="63">
                  <c:v>14.870000000000001</c:v>
                </c:pt>
                <c:pt idx="64">
                  <c:v>22.763999999999999</c:v>
                </c:pt>
                <c:pt idx="65">
                  <c:v>36.896000000000001</c:v>
                </c:pt>
                <c:pt idx="66">
                  <c:v>33.102000000000004</c:v>
                </c:pt>
                <c:pt idx="67">
                  <c:v>29.545999999999999</c:v>
                </c:pt>
                <c:pt idx="68">
                  <c:v>24.963000000000001</c:v>
                </c:pt>
                <c:pt idx="69">
                  <c:v>18.015000000000001</c:v>
                </c:pt>
                <c:pt idx="70">
                  <c:v>14.098000000000001</c:v>
                </c:pt>
                <c:pt idx="71">
                  <c:v>8.979000000000001</c:v>
                </c:pt>
                <c:pt idx="72">
                  <c:v>13.370000000000001</c:v>
                </c:pt>
                <c:pt idx="73">
                  <c:v>15.844000000000001</c:v>
                </c:pt>
                <c:pt idx="74">
                  <c:v>13.304</c:v>
                </c:pt>
                <c:pt idx="75">
                  <c:v>12.777000000000001</c:v>
                </c:pt>
                <c:pt idx="76">
                  <c:v>15.081</c:v>
                </c:pt>
                <c:pt idx="77">
                  <c:v>27.71</c:v>
                </c:pt>
                <c:pt idx="78">
                  <c:v>33.215000000000003</c:v>
                </c:pt>
                <c:pt idx="79">
                  <c:v>44.673999999999999</c:v>
                </c:pt>
                <c:pt idx="80">
                  <c:v>43.602000000000004</c:v>
                </c:pt>
                <c:pt idx="81">
                  <c:v>46.515000000000001</c:v>
                </c:pt>
                <c:pt idx="82">
                  <c:v>46.209000000000003</c:v>
                </c:pt>
                <c:pt idx="83">
                  <c:v>38.491999999999997</c:v>
                </c:pt>
                <c:pt idx="84">
                  <c:v>42.277000000000001</c:v>
                </c:pt>
                <c:pt idx="85">
                  <c:v>44.241</c:v>
                </c:pt>
                <c:pt idx="86">
                  <c:v>38.003999999999998</c:v>
                </c:pt>
                <c:pt idx="87">
                  <c:v>28.940999999999999</c:v>
                </c:pt>
                <c:pt idx="88">
                  <c:v>8.06</c:v>
                </c:pt>
                <c:pt idx="89">
                  <c:v>28.149000000000001</c:v>
                </c:pt>
                <c:pt idx="90">
                  <c:v>30.961000000000002</c:v>
                </c:pt>
                <c:pt idx="91">
                  <c:v>21.099</c:v>
                </c:pt>
                <c:pt idx="92">
                  <c:v>28.806000000000001</c:v>
                </c:pt>
                <c:pt idx="93">
                  <c:v>44.734999999999999</c:v>
                </c:pt>
                <c:pt idx="94">
                  <c:v>53.536999999999999</c:v>
                </c:pt>
                <c:pt idx="95">
                  <c:v>13.059000000000001</c:v>
                </c:pt>
                <c:pt idx="96">
                  <c:v>44.264000000000003</c:v>
                </c:pt>
                <c:pt idx="97">
                  <c:v>37.704999999999998</c:v>
                </c:pt>
                <c:pt idx="98">
                  <c:v>35.076999999999998</c:v>
                </c:pt>
                <c:pt idx="99">
                  <c:v>57.469000000000001</c:v>
                </c:pt>
                <c:pt idx="100">
                  <c:v>46.363</c:v>
                </c:pt>
                <c:pt idx="101">
                  <c:v>38.683999999999997</c:v>
                </c:pt>
                <c:pt idx="102">
                  <c:v>8.9450000000000003</c:v>
                </c:pt>
                <c:pt idx="103">
                  <c:v>41.292999999999999</c:v>
                </c:pt>
                <c:pt idx="104">
                  <c:v>45.247999999999998</c:v>
                </c:pt>
                <c:pt idx="105">
                  <c:v>41.170999999999999</c:v>
                </c:pt>
                <c:pt idx="106">
                  <c:v>57.02</c:v>
                </c:pt>
                <c:pt idx="107">
                  <c:v>36.375999999999998</c:v>
                </c:pt>
                <c:pt idx="108">
                  <c:v>11.968</c:v>
                </c:pt>
                <c:pt idx="109">
                  <c:v>11.993</c:v>
                </c:pt>
                <c:pt idx="110">
                  <c:v>11.511000000000001</c:v>
                </c:pt>
                <c:pt idx="111">
                  <c:v>30.618000000000002</c:v>
                </c:pt>
                <c:pt idx="112">
                  <c:v>10.052</c:v>
                </c:pt>
                <c:pt idx="113">
                  <c:v>36.042000000000002</c:v>
                </c:pt>
                <c:pt idx="114">
                  <c:v>47.564999999999998</c:v>
                </c:pt>
                <c:pt idx="115">
                  <c:v>59.387999999999998</c:v>
                </c:pt>
                <c:pt idx="116">
                  <c:v>47.204999999999998</c:v>
                </c:pt>
                <c:pt idx="117">
                  <c:v>25.166</c:v>
                </c:pt>
                <c:pt idx="118">
                  <c:v>45.611000000000004</c:v>
                </c:pt>
                <c:pt idx="119">
                  <c:v>44.986000000000004</c:v>
                </c:pt>
                <c:pt idx="120">
                  <c:v>51.035000000000004</c:v>
                </c:pt>
                <c:pt idx="121">
                  <c:v>32.802999999999997</c:v>
                </c:pt>
                <c:pt idx="122">
                  <c:v>36.56</c:v>
                </c:pt>
                <c:pt idx="123">
                  <c:v>20.576000000000001</c:v>
                </c:pt>
                <c:pt idx="124">
                  <c:v>41.416000000000004</c:v>
                </c:pt>
                <c:pt idx="125">
                  <c:v>43.416000000000004</c:v>
                </c:pt>
                <c:pt idx="126">
                  <c:v>49.936</c:v>
                </c:pt>
                <c:pt idx="127">
                  <c:v>56.639000000000003</c:v>
                </c:pt>
                <c:pt idx="128">
                  <c:v>59.929000000000002</c:v>
                </c:pt>
                <c:pt idx="129">
                  <c:v>58.701999999999998</c:v>
                </c:pt>
                <c:pt idx="130">
                  <c:v>62.620000000000005</c:v>
                </c:pt>
                <c:pt idx="131">
                  <c:v>47.682000000000002</c:v>
                </c:pt>
                <c:pt idx="132">
                  <c:v>50.527000000000001</c:v>
                </c:pt>
                <c:pt idx="133">
                  <c:v>56.566000000000003</c:v>
                </c:pt>
                <c:pt idx="134">
                  <c:v>58.392000000000003</c:v>
                </c:pt>
                <c:pt idx="135">
                  <c:v>57.07</c:v>
                </c:pt>
                <c:pt idx="136">
                  <c:v>60.948</c:v>
                </c:pt>
                <c:pt idx="137">
                  <c:v>58.192999999999998</c:v>
                </c:pt>
                <c:pt idx="138">
                  <c:v>56.95</c:v>
                </c:pt>
                <c:pt idx="139">
                  <c:v>54.125</c:v>
                </c:pt>
                <c:pt idx="140">
                  <c:v>56.681000000000004</c:v>
                </c:pt>
                <c:pt idx="141">
                  <c:v>43.828000000000003</c:v>
                </c:pt>
                <c:pt idx="142">
                  <c:v>20.853999999999999</c:v>
                </c:pt>
                <c:pt idx="143">
                  <c:v>17.913</c:v>
                </c:pt>
                <c:pt idx="144">
                  <c:v>43.657000000000004</c:v>
                </c:pt>
                <c:pt idx="145">
                  <c:v>29.129000000000001</c:v>
                </c:pt>
                <c:pt idx="146">
                  <c:v>45.611000000000004</c:v>
                </c:pt>
                <c:pt idx="147">
                  <c:v>59.88</c:v>
                </c:pt>
                <c:pt idx="148">
                  <c:v>65.119</c:v>
                </c:pt>
                <c:pt idx="149">
                  <c:v>52.371000000000002</c:v>
                </c:pt>
                <c:pt idx="150">
                  <c:v>61.905999999999999</c:v>
                </c:pt>
                <c:pt idx="151">
                  <c:v>64.543999999999997</c:v>
                </c:pt>
                <c:pt idx="152">
                  <c:v>46.491</c:v>
                </c:pt>
                <c:pt idx="153">
                  <c:v>61.556000000000004</c:v>
                </c:pt>
                <c:pt idx="154">
                  <c:v>31.286000000000001</c:v>
                </c:pt>
                <c:pt idx="155">
                  <c:v>34.573999999999998</c:v>
                </c:pt>
                <c:pt idx="156">
                  <c:v>55.289000000000001</c:v>
                </c:pt>
                <c:pt idx="157">
                  <c:v>28.871000000000002</c:v>
                </c:pt>
                <c:pt idx="158">
                  <c:v>26.016000000000002</c:v>
                </c:pt>
                <c:pt idx="159">
                  <c:v>53.460999999999999</c:v>
                </c:pt>
                <c:pt idx="160">
                  <c:v>65.775000000000006</c:v>
                </c:pt>
                <c:pt idx="161">
                  <c:v>62.977000000000004</c:v>
                </c:pt>
                <c:pt idx="162">
                  <c:v>50.783000000000001</c:v>
                </c:pt>
                <c:pt idx="163">
                  <c:v>56.774000000000001</c:v>
                </c:pt>
                <c:pt idx="164">
                  <c:v>57.715000000000003</c:v>
                </c:pt>
                <c:pt idx="165">
                  <c:v>61.222999999999999</c:v>
                </c:pt>
                <c:pt idx="166">
                  <c:v>58.015000000000001</c:v>
                </c:pt>
                <c:pt idx="167">
                  <c:v>58.185000000000002</c:v>
                </c:pt>
                <c:pt idx="168">
                  <c:v>61.954999999999998</c:v>
                </c:pt>
                <c:pt idx="169">
                  <c:v>62.451000000000001</c:v>
                </c:pt>
                <c:pt idx="170">
                  <c:v>33.768999999999998</c:v>
                </c:pt>
                <c:pt idx="171">
                  <c:v>22.724</c:v>
                </c:pt>
                <c:pt idx="172">
                  <c:v>47.140999999999998</c:v>
                </c:pt>
                <c:pt idx="173">
                  <c:v>46.612000000000002</c:v>
                </c:pt>
                <c:pt idx="174">
                  <c:v>50.14</c:v>
                </c:pt>
                <c:pt idx="175">
                  <c:v>41.768000000000001</c:v>
                </c:pt>
                <c:pt idx="176">
                  <c:v>13.063000000000001</c:v>
                </c:pt>
                <c:pt idx="177">
                  <c:v>19.218</c:v>
                </c:pt>
                <c:pt idx="178">
                  <c:v>66.504999999999995</c:v>
                </c:pt>
                <c:pt idx="179">
                  <c:v>64.533000000000001</c:v>
                </c:pt>
                <c:pt idx="180">
                  <c:v>15.852</c:v>
                </c:pt>
                <c:pt idx="181">
                  <c:v>53.777999999999999</c:v>
                </c:pt>
                <c:pt idx="182">
                  <c:v>59.709000000000003</c:v>
                </c:pt>
                <c:pt idx="183">
                  <c:v>55.529000000000003</c:v>
                </c:pt>
                <c:pt idx="184">
                  <c:v>51.691000000000003</c:v>
                </c:pt>
                <c:pt idx="185">
                  <c:v>61.981999999999999</c:v>
                </c:pt>
                <c:pt idx="186">
                  <c:v>45.631</c:v>
                </c:pt>
                <c:pt idx="187">
                  <c:v>61.511000000000003</c:v>
                </c:pt>
                <c:pt idx="188">
                  <c:v>64.5</c:v>
                </c:pt>
                <c:pt idx="189">
                  <c:v>63.503999999999998</c:v>
                </c:pt>
                <c:pt idx="190">
                  <c:v>62.835999999999999</c:v>
                </c:pt>
                <c:pt idx="191">
                  <c:v>61.755000000000003</c:v>
                </c:pt>
                <c:pt idx="192">
                  <c:v>60.786999999999999</c:v>
                </c:pt>
                <c:pt idx="193">
                  <c:v>59.582000000000001</c:v>
                </c:pt>
                <c:pt idx="194">
                  <c:v>59.422000000000004</c:v>
                </c:pt>
                <c:pt idx="195">
                  <c:v>56.800000000000004</c:v>
                </c:pt>
                <c:pt idx="196">
                  <c:v>57.968000000000004</c:v>
                </c:pt>
                <c:pt idx="197">
                  <c:v>58.386000000000003</c:v>
                </c:pt>
                <c:pt idx="198">
                  <c:v>60.167999999999999</c:v>
                </c:pt>
                <c:pt idx="199">
                  <c:v>44.195</c:v>
                </c:pt>
                <c:pt idx="200">
                  <c:v>41.500999999999998</c:v>
                </c:pt>
                <c:pt idx="201">
                  <c:v>57.265999999999998</c:v>
                </c:pt>
                <c:pt idx="202">
                  <c:v>49.183999999999997</c:v>
                </c:pt>
                <c:pt idx="203">
                  <c:v>46.539000000000001</c:v>
                </c:pt>
                <c:pt idx="204">
                  <c:v>56.661000000000001</c:v>
                </c:pt>
                <c:pt idx="205">
                  <c:v>29.891000000000002</c:v>
                </c:pt>
                <c:pt idx="206">
                  <c:v>52.974000000000004</c:v>
                </c:pt>
                <c:pt idx="207">
                  <c:v>59.957000000000001</c:v>
                </c:pt>
                <c:pt idx="208">
                  <c:v>47.108000000000004</c:v>
                </c:pt>
                <c:pt idx="209">
                  <c:v>29.263999999999999</c:v>
                </c:pt>
                <c:pt idx="210">
                  <c:v>48.131</c:v>
                </c:pt>
                <c:pt idx="211">
                  <c:v>58.941000000000003</c:v>
                </c:pt>
                <c:pt idx="212">
                  <c:v>58.423999999999999</c:v>
                </c:pt>
                <c:pt idx="213">
                  <c:v>58.435000000000002</c:v>
                </c:pt>
                <c:pt idx="214">
                  <c:v>58.02</c:v>
                </c:pt>
                <c:pt idx="215">
                  <c:v>55.350999999999999</c:v>
                </c:pt>
                <c:pt idx="216">
                  <c:v>44.183</c:v>
                </c:pt>
                <c:pt idx="217">
                  <c:v>52.719000000000001</c:v>
                </c:pt>
                <c:pt idx="218">
                  <c:v>55.585000000000001</c:v>
                </c:pt>
                <c:pt idx="219">
                  <c:v>57.026000000000003</c:v>
                </c:pt>
                <c:pt idx="220">
                  <c:v>54.369</c:v>
                </c:pt>
                <c:pt idx="221">
                  <c:v>52.801000000000002</c:v>
                </c:pt>
                <c:pt idx="222">
                  <c:v>49.831000000000003</c:v>
                </c:pt>
                <c:pt idx="223">
                  <c:v>0</c:v>
                </c:pt>
                <c:pt idx="224">
                  <c:v>37.035000000000004</c:v>
                </c:pt>
                <c:pt idx="225">
                  <c:v>37.103000000000002</c:v>
                </c:pt>
                <c:pt idx="226">
                  <c:v>37.524999999999999</c:v>
                </c:pt>
                <c:pt idx="227">
                  <c:v>38.866999999999997</c:v>
                </c:pt>
                <c:pt idx="228">
                  <c:v>27.035</c:v>
                </c:pt>
                <c:pt idx="229">
                  <c:v>41.250999999999998</c:v>
                </c:pt>
                <c:pt idx="230">
                  <c:v>40.837000000000003</c:v>
                </c:pt>
                <c:pt idx="231">
                  <c:v>53.295000000000002</c:v>
                </c:pt>
                <c:pt idx="232">
                  <c:v>38.459000000000003</c:v>
                </c:pt>
                <c:pt idx="233">
                  <c:v>28.132000000000001</c:v>
                </c:pt>
                <c:pt idx="234">
                  <c:v>47.59</c:v>
                </c:pt>
                <c:pt idx="235">
                  <c:v>51.689</c:v>
                </c:pt>
                <c:pt idx="236">
                  <c:v>33.152999999999999</c:v>
                </c:pt>
                <c:pt idx="237">
                  <c:v>38.21</c:v>
                </c:pt>
                <c:pt idx="238">
                  <c:v>48.17</c:v>
                </c:pt>
                <c:pt idx="239">
                  <c:v>50.64</c:v>
                </c:pt>
                <c:pt idx="240">
                  <c:v>35.392000000000003</c:v>
                </c:pt>
                <c:pt idx="241">
                  <c:v>49.669000000000004</c:v>
                </c:pt>
                <c:pt idx="242">
                  <c:v>25.147000000000002</c:v>
                </c:pt>
                <c:pt idx="243">
                  <c:v>43.241</c:v>
                </c:pt>
                <c:pt idx="244">
                  <c:v>40.874000000000002</c:v>
                </c:pt>
                <c:pt idx="245">
                  <c:v>37.603000000000002</c:v>
                </c:pt>
                <c:pt idx="246">
                  <c:v>49.306000000000004</c:v>
                </c:pt>
                <c:pt idx="247">
                  <c:v>41.259</c:v>
                </c:pt>
                <c:pt idx="248">
                  <c:v>44.972000000000001</c:v>
                </c:pt>
                <c:pt idx="249">
                  <c:v>36.875999999999998</c:v>
                </c:pt>
                <c:pt idx="250">
                  <c:v>41.014000000000003</c:v>
                </c:pt>
                <c:pt idx="251">
                  <c:v>19.54</c:v>
                </c:pt>
                <c:pt idx="252">
                  <c:v>45.552</c:v>
                </c:pt>
                <c:pt idx="253">
                  <c:v>47.125</c:v>
                </c:pt>
                <c:pt idx="254">
                  <c:v>36.605000000000004</c:v>
                </c:pt>
                <c:pt idx="255">
                  <c:v>14.031000000000001</c:v>
                </c:pt>
                <c:pt idx="256">
                  <c:v>37.701999999999998</c:v>
                </c:pt>
                <c:pt idx="257">
                  <c:v>42.829000000000001</c:v>
                </c:pt>
                <c:pt idx="258">
                  <c:v>28.78</c:v>
                </c:pt>
                <c:pt idx="259">
                  <c:v>46.212000000000003</c:v>
                </c:pt>
                <c:pt idx="260">
                  <c:v>45.265999999999998</c:v>
                </c:pt>
                <c:pt idx="261">
                  <c:v>45.624000000000002</c:v>
                </c:pt>
                <c:pt idx="262">
                  <c:v>45.984999999999999</c:v>
                </c:pt>
                <c:pt idx="263">
                  <c:v>44.627000000000002</c:v>
                </c:pt>
                <c:pt idx="264">
                  <c:v>43.378</c:v>
                </c:pt>
                <c:pt idx="265">
                  <c:v>31.786999999999999</c:v>
                </c:pt>
                <c:pt idx="266">
                  <c:v>19.635000000000002</c:v>
                </c:pt>
                <c:pt idx="267">
                  <c:v>31.429000000000002</c:v>
                </c:pt>
                <c:pt idx="268">
                  <c:v>33.896999999999998</c:v>
                </c:pt>
                <c:pt idx="269">
                  <c:v>16.588000000000001</c:v>
                </c:pt>
                <c:pt idx="270">
                  <c:v>18.95</c:v>
                </c:pt>
                <c:pt idx="271">
                  <c:v>24.526</c:v>
                </c:pt>
                <c:pt idx="272">
                  <c:v>26.301000000000002</c:v>
                </c:pt>
                <c:pt idx="273">
                  <c:v>35.898000000000003</c:v>
                </c:pt>
                <c:pt idx="274">
                  <c:v>37.332999999999998</c:v>
                </c:pt>
                <c:pt idx="275">
                  <c:v>33.808999999999997</c:v>
                </c:pt>
                <c:pt idx="276">
                  <c:v>39.378999999999998</c:v>
                </c:pt>
                <c:pt idx="277">
                  <c:v>39.637</c:v>
                </c:pt>
                <c:pt idx="278">
                  <c:v>15.887</c:v>
                </c:pt>
                <c:pt idx="279">
                  <c:v>30.516000000000002</c:v>
                </c:pt>
                <c:pt idx="280">
                  <c:v>15.433</c:v>
                </c:pt>
                <c:pt idx="281">
                  <c:v>36.041000000000004</c:v>
                </c:pt>
                <c:pt idx="282">
                  <c:v>31.556000000000001</c:v>
                </c:pt>
                <c:pt idx="283">
                  <c:v>25.379000000000001</c:v>
                </c:pt>
                <c:pt idx="284">
                  <c:v>25.282</c:v>
                </c:pt>
                <c:pt idx="285">
                  <c:v>22.901</c:v>
                </c:pt>
                <c:pt idx="286">
                  <c:v>15.393000000000001</c:v>
                </c:pt>
                <c:pt idx="287">
                  <c:v>34.308999999999997</c:v>
                </c:pt>
                <c:pt idx="288">
                  <c:v>30.077000000000002</c:v>
                </c:pt>
                <c:pt idx="289">
                  <c:v>16.951000000000001</c:v>
                </c:pt>
                <c:pt idx="290">
                  <c:v>30.240000000000002</c:v>
                </c:pt>
                <c:pt idx="291">
                  <c:v>16.893000000000001</c:v>
                </c:pt>
                <c:pt idx="292">
                  <c:v>8.8870000000000005</c:v>
                </c:pt>
                <c:pt idx="293">
                  <c:v>17.183</c:v>
                </c:pt>
                <c:pt idx="294">
                  <c:v>29.456</c:v>
                </c:pt>
                <c:pt idx="295">
                  <c:v>19.207000000000001</c:v>
                </c:pt>
                <c:pt idx="296">
                  <c:v>24.917000000000002</c:v>
                </c:pt>
                <c:pt idx="297">
                  <c:v>20.942</c:v>
                </c:pt>
                <c:pt idx="298">
                  <c:v>15.652000000000001</c:v>
                </c:pt>
                <c:pt idx="299">
                  <c:v>14.802</c:v>
                </c:pt>
                <c:pt idx="300">
                  <c:v>17.029</c:v>
                </c:pt>
                <c:pt idx="301">
                  <c:v>23.963000000000001</c:v>
                </c:pt>
                <c:pt idx="302">
                  <c:v>20.989000000000001</c:v>
                </c:pt>
                <c:pt idx="303">
                  <c:v>20.138999999999999</c:v>
                </c:pt>
                <c:pt idx="304">
                  <c:v>18.368000000000002</c:v>
                </c:pt>
                <c:pt idx="305">
                  <c:v>25.432000000000002</c:v>
                </c:pt>
                <c:pt idx="306">
                  <c:v>9.2270000000000003</c:v>
                </c:pt>
                <c:pt idx="307">
                  <c:v>12.807</c:v>
                </c:pt>
                <c:pt idx="308">
                  <c:v>25.811</c:v>
                </c:pt>
                <c:pt idx="309">
                  <c:v>25.875</c:v>
                </c:pt>
                <c:pt idx="310">
                  <c:v>25.670999999999999</c:v>
                </c:pt>
                <c:pt idx="311">
                  <c:v>18.574999999999999</c:v>
                </c:pt>
                <c:pt idx="312">
                  <c:v>10.361000000000001</c:v>
                </c:pt>
                <c:pt idx="313">
                  <c:v>18.841999999999999</c:v>
                </c:pt>
                <c:pt idx="314">
                  <c:v>22.417999999999999</c:v>
                </c:pt>
                <c:pt idx="315">
                  <c:v>22.554000000000002</c:v>
                </c:pt>
                <c:pt idx="316">
                  <c:v>21.478000000000002</c:v>
                </c:pt>
                <c:pt idx="317">
                  <c:v>11.607000000000001</c:v>
                </c:pt>
                <c:pt idx="318">
                  <c:v>13.18</c:v>
                </c:pt>
                <c:pt idx="319">
                  <c:v>22.015000000000001</c:v>
                </c:pt>
                <c:pt idx="320">
                  <c:v>14.472</c:v>
                </c:pt>
                <c:pt idx="321">
                  <c:v>11.996</c:v>
                </c:pt>
                <c:pt idx="322">
                  <c:v>8.609</c:v>
                </c:pt>
                <c:pt idx="323">
                  <c:v>15.497</c:v>
                </c:pt>
                <c:pt idx="324">
                  <c:v>3.5289999999999999</c:v>
                </c:pt>
                <c:pt idx="325">
                  <c:v>9.902000000000001</c:v>
                </c:pt>
                <c:pt idx="326">
                  <c:v>13.206</c:v>
                </c:pt>
                <c:pt idx="327">
                  <c:v>12.278</c:v>
                </c:pt>
                <c:pt idx="328">
                  <c:v>4.9830000000000005</c:v>
                </c:pt>
                <c:pt idx="329">
                  <c:v>9.9649999999999999</c:v>
                </c:pt>
                <c:pt idx="330">
                  <c:v>14.246</c:v>
                </c:pt>
                <c:pt idx="331">
                  <c:v>9.7279999999999998</c:v>
                </c:pt>
                <c:pt idx="332">
                  <c:v>10.782</c:v>
                </c:pt>
                <c:pt idx="333">
                  <c:v>4.6189999999999998</c:v>
                </c:pt>
                <c:pt idx="334">
                  <c:v>4.359</c:v>
                </c:pt>
                <c:pt idx="335">
                  <c:v>5.5620000000000003</c:v>
                </c:pt>
                <c:pt idx="336">
                  <c:v>10.003</c:v>
                </c:pt>
                <c:pt idx="337">
                  <c:v>13.375999999999999</c:v>
                </c:pt>
                <c:pt idx="338">
                  <c:v>18.536999999999999</c:v>
                </c:pt>
                <c:pt idx="339">
                  <c:v>12.109</c:v>
                </c:pt>
                <c:pt idx="340">
                  <c:v>14.855</c:v>
                </c:pt>
                <c:pt idx="341">
                  <c:v>4.7860000000000005</c:v>
                </c:pt>
                <c:pt idx="342">
                  <c:v>7.9690000000000003</c:v>
                </c:pt>
                <c:pt idx="343">
                  <c:v>11.605</c:v>
                </c:pt>
                <c:pt idx="344">
                  <c:v>13.197000000000001</c:v>
                </c:pt>
                <c:pt idx="345">
                  <c:v>6.0430000000000001</c:v>
                </c:pt>
                <c:pt idx="346">
                  <c:v>5.6930000000000005</c:v>
                </c:pt>
                <c:pt idx="347">
                  <c:v>12.965</c:v>
                </c:pt>
                <c:pt idx="348">
                  <c:v>6.9249999999999998</c:v>
                </c:pt>
                <c:pt idx="349">
                  <c:v>5.8120000000000003</c:v>
                </c:pt>
                <c:pt idx="350">
                  <c:v>3.7530000000000001</c:v>
                </c:pt>
                <c:pt idx="351">
                  <c:v>15.104000000000001</c:v>
                </c:pt>
                <c:pt idx="352">
                  <c:v>14.462</c:v>
                </c:pt>
                <c:pt idx="353">
                  <c:v>4.3659999999999997</c:v>
                </c:pt>
                <c:pt idx="354">
                  <c:v>15.483000000000001</c:v>
                </c:pt>
                <c:pt idx="355">
                  <c:v>15.413</c:v>
                </c:pt>
                <c:pt idx="356">
                  <c:v>15.123000000000001</c:v>
                </c:pt>
                <c:pt idx="357">
                  <c:v>16.362000000000002</c:v>
                </c:pt>
                <c:pt idx="358">
                  <c:v>9.0730000000000004</c:v>
                </c:pt>
                <c:pt idx="359">
                  <c:v>15.162000000000001</c:v>
                </c:pt>
                <c:pt idx="360">
                  <c:v>6.5250000000000004</c:v>
                </c:pt>
                <c:pt idx="361">
                  <c:v>13.364000000000001</c:v>
                </c:pt>
                <c:pt idx="362">
                  <c:v>10.182</c:v>
                </c:pt>
                <c:pt idx="363">
                  <c:v>12.199</c:v>
                </c:pt>
                <c:pt idx="364">
                  <c:v>11.092000000000001</c:v>
                </c:pt>
                <c:pt idx="365">
                  <c:v>1.9535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779784"/>
        <c:axId val="372780176"/>
      </c:lineChart>
      <c:dateAx>
        <c:axId val="372779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80176"/>
        <c:crosses val="autoZero"/>
        <c:auto val="1"/>
        <c:lblOffset val="100"/>
        <c:baseTimeUnit val="days"/>
        <c:majorUnit val="1"/>
        <c:majorTimeUnit val="months"/>
      </c:dateAx>
      <c:valAx>
        <c:axId val="3727801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7797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829675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7540406" y="1095374"/>
            <a:ext cx="7339322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19050</xdr:colOff>
      <xdr:row>4</xdr:row>
      <xdr:rowOff>9525</xdr:rowOff>
    </xdr:from>
    <xdr:to>
      <xdr:col>39</xdr:col>
      <xdr:colOff>28575</xdr:colOff>
      <xdr:row>50</xdr:row>
      <xdr:rowOff>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114299</xdr:colOff>
      <xdr:row>23</xdr:row>
      <xdr:rowOff>0</xdr:rowOff>
    </xdr:from>
    <xdr:to>
      <xdr:col>52</xdr:col>
      <xdr:colOff>240224</xdr:colOff>
      <xdr:row>58</xdr:row>
      <xdr:rowOff>39375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78300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M14" sqref="M14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6" width="8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4" t="s">
        <v>50</v>
      </c>
      <c r="M1" s="234"/>
      <c r="N1" s="134"/>
      <c r="O1" s="77"/>
      <c r="P1" s="159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89">
        <f>Tmaj</f>
        <v>44926</v>
      </c>
      <c r="D2" s="1189"/>
      <c r="F2" s="8"/>
      <c r="G2" s="8"/>
      <c r="H2" s="26"/>
      <c r="I2" s="8"/>
      <c r="K2" s="21"/>
      <c r="L2" s="135"/>
      <c r="M2" s="135"/>
      <c r="N2" s="82" t="s">
        <v>4</v>
      </c>
      <c r="O2" s="155">
        <f>PertePVan</f>
        <v>5.0000000000000001E-3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190" t="str">
        <f>Station</f>
        <v>S.D.I.S. Montgiscard</v>
      </c>
      <c r="D3" s="1191"/>
      <c r="E3" s="1191"/>
      <c r="F3" s="1191"/>
      <c r="G3" s="1191"/>
      <c r="H3" s="1192"/>
      <c r="K3" s="21"/>
      <c r="L3" s="30"/>
      <c r="M3" s="30"/>
      <c r="N3" s="205" t="s">
        <v>166</v>
      </c>
      <c r="O3" s="707">
        <f>Salim_i</f>
        <v>0.08</v>
      </c>
      <c r="P3" s="444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193">
        <f>T0</f>
        <v>44522</v>
      </c>
      <c r="D4" s="1194"/>
      <c r="H4" s="33" t="s">
        <v>301</v>
      </c>
      <c r="I4" s="649">
        <f>Azi_pvG</f>
        <v>-51</v>
      </c>
      <c r="J4" s="649">
        <f>Azi_pvD</f>
        <v>-51</v>
      </c>
      <c r="K4" s="21"/>
      <c r="L4" s="30"/>
      <c r="M4" s="30"/>
      <c r="N4" s="82" t="s">
        <v>22</v>
      </c>
      <c r="O4" s="156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87">
        <f>Tservice</f>
        <v>44568</v>
      </c>
      <c r="D5" s="1188"/>
      <c r="E5" s="95"/>
      <c r="H5" s="33" t="s">
        <v>15</v>
      </c>
      <c r="I5" s="650">
        <f>Ram_pv</f>
        <v>0.08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3">
        <f>Pc</f>
        <v>9</v>
      </c>
      <c r="D6" s="555"/>
      <c r="E6" s="132"/>
      <c r="F6" s="556"/>
      <c r="G6" s="556"/>
      <c r="H6" s="557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7"/>
      <c r="B7" s="529"/>
      <c r="C7" s="52"/>
      <c r="D7" s="818"/>
      <c r="E7" s="29"/>
      <c r="F7" s="529"/>
      <c r="G7" s="529"/>
      <c r="H7" s="685"/>
      <c r="I7" s="529"/>
      <c r="J7" s="22" t="s">
        <v>371</v>
      </c>
      <c r="K7" s="1195" t="s">
        <v>372</v>
      </c>
      <c r="L7" s="1196"/>
      <c r="M7" s="1179" t="b">
        <f>IF(K7="début",TRUE,FALSE)</f>
        <v>0</v>
      </c>
      <c r="N7" s="792"/>
      <c r="O7" s="30"/>
      <c r="P7" s="30"/>
      <c r="Q7" s="529"/>
      <c r="R7" s="529"/>
      <c r="S7" s="529"/>
      <c r="T7" s="529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39" t="str">
        <f>"Bilan ICEA "&amp;C3&amp;" (kWh)"</f>
        <v>Bilan ICEA S.D.I.S. Montgiscard (kWh)</v>
      </c>
      <c r="B8" s="132"/>
      <c r="C8" s="133"/>
      <c r="D8" s="558"/>
      <c r="E8" s="555"/>
      <c r="F8" s="132"/>
      <c r="G8" s="132"/>
      <c r="H8" s="62"/>
      <c r="I8" s="132"/>
      <c r="J8" s="22" t="s">
        <v>115</v>
      </c>
      <c r="K8" s="552">
        <f>[1]!Inter_net</f>
        <v>2</v>
      </c>
      <c r="L8" s="553">
        <f>[1]!Inter_tai</f>
        <v>7</v>
      </c>
      <c r="N8" s="15"/>
    </row>
    <row r="9" spans="1:29" ht="15.75" x14ac:dyDescent="0.25">
      <c r="A9" s="29" t="s">
        <v>280</v>
      </c>
      <c r="B9" s="145">
        <f>AVERAGE(B11:B30)</f>
        <v>11130.811615173323</v>
      </c>
      <c r="C9" s="867">
        <f t="shared" ref="C9:J9" si="0">AVERAGE(C11:C30)</f>
        <v>213.56301815225271</v>
      </c>
      <c r="D9" s="868">
        <f t="shared" si="0"/>
        <v>7.9112467535357265</v>
      </c>
      <c r="E9" s="145">
        <f t="shared" si="0"/>
        <v>221.47426490578846</v>
      </c>
      <c r="F9" s="145">
        <f t="shared" si="0"/>
        <v>11352.285880079111</v>
      </c>
      <c r="G9" s="145">
        <f t="shared" si="0"/>
        <v>11644.113221933829</v>
      </c>
      <c r="H9" s="874">
        <f t="shared" si="0"/>
        <v>289.86120858354195</v>
      </c>
      <c r="I9" s="875">
        <f t="shared" si="0"/>
        <v>4.6995774109222737</v>
      </c>
      <c r="J9" s="145">
        <f t="shared" si="0"/>
        <v>10835.592252087485</v>
      </c>
      <c r="K9" s="337" t="s">
        <v>6</v>
      </c>
      <c r="L9" s="21"/>
      <c r="P9" s="15"/>
    </row>
    <row r="10" spans="1:29" s="236" customFormat="1" ht="51" customHeight="1" x14ac:dyDescent="0.25">
      <c r="A10" s="170" t="s">
        <v>52</v>
      </c>
      <c r="B10" s="170" t="s">
        <v>107</v>
      </c>
      <c r="C10" s="327" t="s">
        <v>61</v>
      </c>
      <c r="D10" s="328" t="s">
        <v>98</v>
      </c>
      <c r="E10" s="170" t="s">
        <v>97</v>
      </c>
      <c r="F10" s="170" t="s">
        <v>110</v>
      </c>
      <c r="G10" s="170" t="s">
        <v>109</v>
      </c>
      <c r="H10" s="327" t="s">
        <v>62</v>
      </c>
      <c r="I10" s="328" t="s">
        <v>63</v>
      </c>
      <c r="J10" s="170" t="s">
        <v>108</v>
      </c>
      <c r="K10" s="327" t="s">
        <v>55</v>
      </c>
      <c r="L10" s="328" t="s">
        <v>56</v>
      </c>
      <c r="M10" s="327" t="s">
        <v>274</v>
      </c>
      <c r="N10" s="328" t="s">
        <v>275</v>
      </c>
      <c r="O10" s="100" t="s">
        <v>276</v>
      </c>
      <c r="P10" s="100" t="s">
        <v>277</v>
      </c>
      <c r="Q10" s="100" t="s">
        <v>278</v>
      </c>
      <c r="R10" s="100" t="s">
        <v>279</v>
      </c>
      <c r="S10" s="100"/>
      <c r="T10" s="100"/>
      <c r="U10" s="237"/>
      <c r="V10" s="237"/>
      <c r="W10" s="237"/>
      <c r="X10" s="238"/>
      <c r="Y10" s="235"/>
      <c r="Z10" s="235"/>
      <c r="AA10" s="235"/>
      <c r="AB10" s="235"/>
    </row>
    <row r="11" spans="1:29" s="19" customFormat="1" ht="12.75" x14ac:dyDescent="0.2">
      <c r="A11" s="359">
        <f>'2022'!An</f>
        <v>2022</v>
      </c>
      <c r="B11" s="360">
        <f>'2022'!Prod_an</f>
        <v>11439.895</v>
      </c>
      <c r="C11" s="361">
        <f>'2022'!Wh_Psa</f>
        <v>171.33526937231565</v>
      </c>
      <c r="D11" s="362">
        <f>'2022'!Wh_Pvg</f>
        <v>1.4252258981740151</v>
      </c>
      <c r="E11" s="360">
        <f t="shared" ref="E11:E16" si="1">C11+D11</f>
        <v>172.76049527048966</v>
      </c>
      <c r="F11" s="360">
        <f t="shared" ref="F11:F16" si="2">B11+E11</f>
        <v>11612.65549527049</v>
      </c>
      <c r="G11" s="360">
        <f>'2022'!F$9</f>
        <v>11645.393898508526</v>
      </c>
      <c r="H11" s="361">
        <f>'2022'!Wh_gain_sa</f>
        <v>-2.9257563003739051E-2</v>
      </c>
      <c r="I11" s="362">
        <f>'2022'!Wh_gain_vg</f>
        <v>-2.4337450580480535E-4</v>
      </c>
      <c r="J11" s="360">
        <f>'2022'!Prod_an_s</f>
        <v>11437.941500000001</v>
      </c>
      <c r="K11" s="851" t="str">
        <f>IF('2022'!Acti_net,'2022'!Tnet,"")</f>
        <v/>
      </c>
      <c r="L11" s="852" t="str">
        <f>IF('2022'!Acti_tai,'2022'!Ttai,"")</f>
        <v/>
      </c>
      <c r="M11" s="861">
        <v>0</v>
      </c>
      <c r="N11" s="862">
        <v>0</v>
      </c>
      <c r="O11" s="365">
        <f>+'2022'!$AJ$3</f>
        <v>0</v>
      </c>
      <c r="P11" s="365">
        <f>+'2022'!$AJ$4</f>
        <v>0</v>
      </c>
      <c r="Q11" s="365">
        <f>+'2022'!$AK$3</f>
        <v>0</v>
      </c>
      <c r="R11" s="365">
        <f>+'2022'!$AK$4</f>
        <v>0</v>
      </c>
      <c r="S11" s="853"/>
      <c r="T11" s="853"/>
    </row>
    <row r="12" spans="1:29" s="19" customFormat="1" ht="12.75" x14ac:dyDescent="0.2">
      <c r="A12" s="357">
        <f>'2023'!An</f>
        <v>2023</v>
      </c>
      <c r="B12" s="358">
        <f>'2023'!Prod_an</f>
        <v>11409.83632965588</v>
      </c>
      <c r="C12" s="141">
        <f>'2023'!Wh_Psa</f>
        <v>137.74392590045338</v>
      </c>
      <c r="D12" s="325">
        <f>'2023'!Wh_Pvg</f>
        <v>3.7376268643448003</v>
      </c>
      <c r="E12" s="358">
        <f t="shared" si="1"/>
        <v>141.48155276479818</v>
      </c>
      <c r="F12" s="358">
        <f t="shared" si="2"/>
        <v>11551.317882420679</v>
      </c>
      <c r="G12" s="358">
        <f>'2023'!F$9</f>
        <v>11644.042730330064</v>
      </c>
      <c r="H12" s="141">
        <f>'2023'!Wh_gain_sa</f>
        <v>253.77854537262832</v>
      </c>
      <c r="I12" s="325">
        <f>'2023'!Wh_gain_vg</f>
        <v>-8.3096946973766794E-2</v>
      </c>
      <c r="J12" s="358">
        <f>'2023'!Prod_an_s</f>
        <v>11156.166662009433</v>
      </c>
      <c r="K12" s="849">
        <f>IF('2023'!Acti_net,'2023'!Tnet,"")</f>
        <v>45046</v>
      </c>
      <c r="L12" s="850" t="str">
        <f>IF('2023'!Acti_tai,'2023'!Ttai,"")</f>
        <v/>
      </c>
      <c r="M12" s="859">
        <f>O12+P11+(K11="")*M11</f>
        <v>0</v>
      </c>
      <c r="N12" s="860">
        <f>Q12+R11+(L11="")*N11</f>
        <v>0</v>
      </c>
      <c r="O12" s="365">
        <f>+'2023'!$AJ$3</f>
        <v>0</v>
      </c>
      <c r="P12" s="365">
        <f>+'2023'!$AJ$4</f>
        <v>253.65868414830871</v>
      </c>
      <c r="Q12" s="365">
        <f>+'2023'!$AK$3</f>
        <v>0</v>
      </c>
      <c r="R12" s="365">
        <f>+'2023'!$AK$4</f>
        <v>-8.3096946973766794E-2</v>
      </c>
      <c r="S12" s="853"/>
      <c r="T12" s="853"/>
    </row>
    <row r="13" spans="1:29" s="19" customFormat="1" ht="12.75" x14ac:dyDescent="0.2">
      <c r="A13" s="357">
        <f>'2024'!An</f>
        <v>2024</v>
      </c>
      <c r="B13" s="358">
        <f>'2024'!Prod_an</f>
        <v>11195.823795010287</v>
      </c>
      <c r="C13" s="141">
        <f>'2024'!Wh_Psa</f>
        <v>302.97558192057153</v>
      </c>
      <c r="D13" s="325">
        <f>'2024'!Wh_Pvg</f>
        <v>6.1305757737645825</v>
      </c>
      <c r="E13" s="358">
        <f t="shared" si="1"/>
        <v>309.1061576943361</v>
      </c>
      <c r="F13" s="358">
        <f t="shared" si="2"/>
        <v>11504.929952704622</v>
      </c>
      <c r="G13" s="358">
        <f>'2024'!F$9</f>
        <v>11655.410721774573</v>
      </c>
      <c r="H13" s="141">
        <f>'2024'!Wh_gain_sa</f>
        <v>244.71492065880142</v>
      </c>
      <c r="I13" s="325">
        <f>'2024'!Wh_gain_vg</f>
        <v>-0.13400936554940923</v>
      </c>
      <c r="J13" s="358">
        <f>'2024'!Prod_an_s</f>
        <v>10951.092256091391</v>
      </c>
      <c r="K13" s="849" t="str">
        <f>IF('2024'!Acti_net,'2024'!Tnet,"")</f>
        <v/>
      </c>
      <c r="L13" s="850" t="str">
        <f>IF('2024'!Acti_tai,'2024'!Ttai,"")</f>
        <v/>
      </c>
      <c r="M13" s="859">
        <f t="shared" ref="M13:M20" si="3">O13+P12+(K12="")*M12</f>
        <v>253.65868414830871</v>
      </c>
      <c r="N13" s="860">
        <f>Q13+R12+(L12="")*N12</f>
        <v>-8.3096946973766794E-2</v>
      </c>
      <c r="O13" s="365">
        <f>+'2024'!$AJ$3</f>
        <v>0</v>
      </c>
      <c r="P13" s="365">
        <f>+'2024'!$AJ$4</f>
        <v>244.71492065880142</v>
      </c>
      <c r="Q13" s="365">
        <f>+'2024'!$AK$3</f>
        <v>0</v>
      </c>
      <c r="R13" s="365">
        <f>+'2024'!$AK$4</f>
        <v>-0.13400936554940923</v>
      </c>
      <c r="S13" s="853"/>
      <c r="T13" s="853"/>
    </row>
    <row r="14" spans="1:29" s="19" customFormat="1" ht="12.75" x14ac:dyDescent="0.2">
      <c r="A14" s="357">
        <f>'2025'!An</f>
        <v>2025</v>
      </c>
      <c r="B14" s="358">
        <f>'2025'!Prod_an</f>
        <v>11263.770615554617</v>
      </c>
      <c r="C14" s="141">
        <f>'2025'!Wh_Psa</f>
        <v>161.01020268732336</v>
      </c>
      <c r="D14" s="325">
        <f>'2025'!Wh_Pvg</f>
        <v>8.5784367557273011</v>
      </c>
      <c r="E14" s="358">
        <f t="shared" si="1"/>
        <v>169.58863944305065</v>
      </c>
      <c r="F14" s="358">
        <f t="shared" si="2"/>
        <v>11433.359254997667</v>
      </c>
      <c r="G14" s="358">
        <f>'2025'!F$9</f>
        <v>11641.158305589774</v>
      </c>
      <c r="H14" s="141">
        <f>'2025'!Wh_gain_sa</f>
        <v>366.88569375122643</v>
      </c>
      <c r="I14" s="325">
        <f>'2025'!Wh_gain_vg</f>
        <v>-0.27936598533131551</v>
      </c>
      <c r="J14" s="358">
        <f>'2025'!Prod_an_s</f>
        <v>10896.953855559335</v>
      </c>
      <c r="K14" s="849">
        <f>IF('2025'!Acti_net,'2025'!Tnet,"")</f>
        <v>45777</v>
      </c>
      <c r="L14" s="850" t="str">
        <f>IF('2025'!Acti_tai,'2025'!Ttai,"")</f>
        <v/>
      </c>
      <c r="M14" s="859">
        <f t="shared" si="3"/>
        <v>543.72606907563625</v>
      </c>
      <c r="N14" s="860">
        <f>Q14+R13+(L13="")*N13</f>
        <v>-0.21710631252317603</v>
      </c>
      <c r="O14" s="365">
        <f>+'2025'!$AJ$3</f>
        <v>45.35246426852612</v>
      </c>
      <c r="P14" s="365">
        <f>+'2025'!$AJ$4</f>
        <v>321.44980082638807</v>
      </c>
      <c r="Q14" s="365">
        <f>+'2025'!$AK$3</f>
        <v>0</v>
      </c>
      <c r="R14" s="365">
        <f>+'2025'!$AK$4</f>
        <v>-0.27936598533131551</v>
      </c>
      <c r="S14" s="853"/>
      <c r="T14" s="853"/>
    </row>
    <row r="15" spans="1:29" s="19" customFormat="1" ht="12.75" x14ac:dyDescent="0.2">
      <c r="A15" s="357">
        <f>'2026'!An</f>
        <v>2026</v>
      </c>
      <c r="B15" s="358">
        <f>'2026'!Prod_an</f>
        <v>11064.346824011482</v>
      </c>
      <c r="C15" s="141">
        <f>'2026'!Wh_Psa</f>
        <v>299.30398144696915</v>
      </c>
      <c r="D15" s="325">
        <f>'2026'!Wh_Pvg</f>
        <v>11.117045545755152</v>
      </c>
      <c r="E15" s="358">
        <f t="shared" si="1"/>
        <v>310.42102699272431</v>
      </c>
      <c r="F15" s="358">
        <f t="shared" si="2"/>
        <v>11374.767851004206</v>
      </c>
      <c r="G15" s="358">
        <f>'2026'!F$9</f>
        <v>11639.541454132361</v>
      </c>
      <c r="H15" s="141">
        <f>'2026'!Wh_gain_sa</f>
        <v>309.78825983843274</v>
      </c>
      <c r="I15" s="325">
        <f>'2026'!Wh_gain_vg</f>
        <v>-0.31128484231866871</v>
      </c>
      <c r="J15" s="358">
        <f>'2026'!Prod_an_s</f>
        <v>10754.537581772065</v>
      </c>
      <c r="K15" s="849" t="str">
        <f>IF('2026'!Acti_net,'2026'!Tnet,"")</f>
        <v/>
      </c>
      <c r="L15" s="850" t="str">
        <f>IF('2026'!Acti_tai,'2026'!Ttai,"")</f>
        <v/>
      </c>
      <c r="M15" s="859">
        <f t="shared" si="3"/>
        <v>321.44980082638807</v>
      </c>
      <c r="N15" s="860">
        <f t="shared" ref="N15:N20" si="4">Q15+R14+(L14="")*N14</f>
        <v>-0.49647229785449154</v>
      </c>
      <c r="O15" s="365">
        <f>+'2026'!$AJ$3</f>
        <v>0</v>
      </c>
      <c r="P15" s="365">
        <f>+'2026'!$AJ$4</f>
        <v>309.78825983843274</v>
      </c>
      <c r="Q15" s="365">
        <f>+'2026'!$AK$3</f>
        <v>0</v>
      </c>
      <c r="R15" s="365">
        <f>+'2026'!$AK$4</f>
        <v>-0.31128484231866871</v>
      </c>
      <c r="S15" s="853"/>
      <c r="T15" s="853"/>
    </row>
    <row r="16" spans="1:29" s="19" customFormat="1" ht="12.75" x14ac:dyDescent="0.2">
      <c r="A16" s="357">
        <f>'2027'!An</f>
        <v>2027</v>
      </c>
      <c r="B16" s="358">
        <f>'2027'!Prod_an</f>
        <v>11143.187956669599</v>
      </c>
      <c r="C16" s="141">
        <f>'2027'!Wh_Psa</f>
        <v>159.11532827110312</v>
      </c>
      <c r="D16" s="325">
        <f>'2027'!Wh_Pvg</f>
        <v>14.056309520284284</v>
      </c>
      <c r="E16" s="358">
        <f t="shared" si="1"/>
        <v>173.17163779138741</v>
      </c>
      <c r="F16" s="358">
        <f t="shared" si="2"/>
        <v>11316.359594460986</v>
      </c>
      <c r="G16" s="358">
        <f>'2027'!F$9</f>
        <v>11637.826261513354</v>
      </c>
      <c r="H16" s="141">
        <f>'2027'!Wh_gain_sa</f>
        <v>375.30888615028033</v>
      </c>
      <c r="I16" s="325">
        <f>'2027'!Wh_gain_vg</f>
        <v>-0.47336304364997694</v>
      </c>
      <c r="J16" s="358">
        <f>'2027'!Prod_an_s</f>
        <v>10767.927767676108</v>
      </c>
      <c r="K16" s="849">
        <f>IF('2027'!Acti_net,'2027'!Tnet,"")</f>
        <v>46507</v>
      </c>
      <c r="L16" s="850" t="str">
        <f>IF('2027'!Acti_tai,'2027'!Ttai,"")</f>
        <v/>
      </c>
      <c r="M16" s="859">
        <f t="shared" si="3"/>
        <v>688.73021820311919</v>
      </c>
      <c r="N16" s="860">
        <f t="shared" si="4"/>
        <v>-0.80775714017316025</v>
      </c>
      <c r="O16" s="365">
        <f>+'2027'!$AJ$3</f>
        <v>57.492157538298329</v>
      </c>
      <c r="P16" s="365">
        <f>+'2027'!$AJ$4</f>
        <v>317.75359980065377</v>
      </c>
      <c r="Q16" s="365">
        <f>+'2027'!$AK$3</f>
        <v>0</v>
      </c>
      <c r="R16" s="365">
        <f>+'2027'!$AK$4</f>
        <v>-0.47336304364997694</v>
      </c>
      <c r="S16" s="853"/>
      <c r="T16" s="853"/>
    </row>
    <row r="17" spans="1:30" s="19" customFormat="1" ht="12.75" x14ac:dyDescent="0.2">
      <c r="A17" s="357">
        <f>'2028'!An</f>
        <v>2028</v>
      </c>
      <c r="B17" s="358">
        <f>'2028'!Prod_an</f>
        <v>10957.043322483001</v>
      </c>
      <c r="C17" s="141">
        <f>'2028'!Wh_Psa</f>
        <v>296.48693489076828</v>
      </c>
      <c r="D17" s="325">
        <f>'2028'!Wh_Pvg</f>
        <v>16.862383568682851</v>
      </c>
      <c r="E17" s="358">
        <f>C17+D17</f>
        <v>313.34931845945113</v>
      </c>
      <c r="F17" s="358">
        <f>B17+E17</f>
        <v>11270.392640942453</v>
      </c>
      <c r="G17" s="358">
        <f>'2028'!F$9</f>
        <v>11648.752627706708</v>
      </c>
      <c r="H17" s="141">
        <f>'2028'!Wh_gain_sa</f>
        <v>306.44444852827161</v>
      </c>
      <c r="I17" s="325">
        <f>'2028'!Wh_gain_vg</f>
        <v>-0.47163592351484951</v>
      </c>
      <c r="J17" s="358">
        <f>'2028'!Prod_an_s</f>
        <v>10650.578033910804</v>
      </c>
      <c r="K17" s="849" t="str">
        <f>IF('2028'!Acti_net,'2028'!Tnet,"")</f>
        <v/>
      </c>
      <c r="L17" s="850" t="str">
        <f>IF('2028'!Acti_tai,'2028'!Ttai,"")</f>
        <v/>
      </c>
      <c r="M17" s="859">
        <f t="shared" si="3"/>
        <v>317.75359980065377</v>
      </c>
      <c r="N17" s="860">
        <f t="shared" si="4"/>
        <v>-1.2811201838231372</v>
      </c>
      <c r="O17" s="365">
        <f>+'2028'!$AJ$3</f>
        <v>0</v>
      </c>
      <c r="P17" s="365">
        <f>+'2028'!$AJ$4</f>
        <v>306.44444852827161</v>
      </c>
      <c r="Q17" s="365">
        <f>+'2028'!$AK$3</f>
        <v>0</v>
      </c>
      <c r="R17" s="365">
        <f>+'2028'!$AK$4</f>
        <v>-0.47163592351484951</v>
      </c>
      <c r="S17" s="853"/>
      <c r="T17" s="853"/>
    </row>
    <row r="18" spans="1:30" s="19" customFormat="1" ht="12.75" x14ac:dyDescent="0.2">
      <c r="A18" s="357">
        <f>'2029'!An</f>
        <v>2029</v>
      </c>
      <c r="B18" s="358">
        <f>'2029'!Prod_an</f>
        <v>11042.292750137391</v>
      </c>
      <c r="C18" s="141">
        <f>'2029'!Wh_Psa</f>
        <v>157.71424473254351</v>
      </c>
      <c r="D18" s="325">
        <f>'2029'!Wh_Pvg</f>
        <v>7.9451263092441895</v>
      </c>
      <c r="E18" s="358">
        <f>C18+D18</f>
        <v>165.65937104178769</v>
      </c>
      <c r="F18" s="358">
        <f>B18+E18</f>
        <v>11207.952121179178</v>
      </c>
      <c r="G18" s="358">
        <f>'2029'!F$9</f>
        <v>11642.206553821024</v>
      </c>
      <c r="H18" s="141">
        <f>'2029'!Wh_gain_sa</f>
        <v>371.57319401519692</v>
      </c>
      <c r="I18" s="325">
        <f>'2029'!Wh_gain_vg</f>
        <v>11.254419501199729</v>
      </c>
      <c r="J18" s="358">
        <f>'2029'!Prod_an_s</f>
        <v>10658.697363777963</v>
      </c>
      <c r="K18" s="849">
        <f>IF('2029'!Acti_net,'2029'!Tnet,"")</f>
        <v>47238</v>
      </c>
      <c r="L18" s="850">
        <f>IF('2029'!Acti_tai,'2029'!Ttai,"")</f>
        <v>47208</v>
      </c>
      <c r="M18" s="859">
        <f t="shared" si="3"/>
        <v>680.93735205839607</v>
      </c>
      <c r="N18" s="860">
        <f t="shared" si="4"/>
        <v>-1.8957505261074696</v>
      </c>
      <c r="O18" s="365">
        <f>+'2029'!$AJ$3</f>
        <v>56.739303729470763</v>
      </c>
      <c r="P18" s="365">
        <f>+'2029'!$AJ$4</f>
        <v>314.77101354186516</v>
      </c>
      <c r="Q18" s="365">
        <f>+'2029'!$AK$3</f>
        <v>-0.14299441876948293</v>
      </c>
      <c r="R18" s="365">
        <f>+'2029'!$AK$4</f>
        <v>11.494206757263312</v>
      </c>
      <c r="S18" s="853"/>
      <c r="T18" s="853"/>
    </row>
    <row r="19" spans="1:30" s="19" customFormat="1" ht="12.75" x14ac:dyDescent="0.2">
      <c r="A19" s="357">
        <f>'2030'!An</f>
        <v>2030</v>
      </c>
      <c r="B19" s="358">
        <f>'2030'!Prod_an</f>
        <v>10856.944336974133</v>
      </c>
      <c r="C19" s="141">
        <f>'2030'!Wh_Psa</f>
        <v>293.71207872344945</v>
      </c>
      <c r="D19" s="325">
        <f>'2030'!Wh_Pvg</f>
        <v>3.4463190663209411</v>
      </c>
      <c r="E19" s="358">
        <f>C19+D19</f>
        <v>297.15839778977039</v>
      </c>
      <c r="F19" s="358">
        <f>B19+E19</f>
        <v>11154.102734763903</v>
      </c>
      <c r="G19" s="358">
        <f>'2030'!F$9</f>
        <v>11644.110350956131</v>
      </c>
      <c r="H19" s="141">
        <f>'2030'!Wh_gain_sa</f>
        <v>302.92015190278295</v>
      </c>
      <c r="I19" s="325">
        <f>'2030'!Wh_gain_vg</f>
        <v>18.430225125756937</v>
      </c>
      <c r="J19" s="358">
        <f>'2030'!Prod_an_s</f>
        <v>10534.437348591662</v>
      </c>
      <c r="K19" s="849" t="str">
        <f>IF('2030'!Acti_net,'2030'!Tnet,"")</f>
        <v/>
      </c>
      <c r="L19" s="850" t="str">
        <f>IF('2030'!Acti_tai,'2030'!Ttai,"")</f>
        <v/>
      </c>
      <c r="M19" s="859">
        <f t="shared" si="3"/>
        <v>314.77101354186516</v>
      </c>
      <c r="N19" s="860">
        <f t="shared" si="4"/>
        <v>11.494206757263312</v>
      </c>
      <c r="O19" s="365">
        <f>+'2030'!$AJ$3</f>
        <v>0</v>
      </c>
      <c r="P19" s="365">
        <f>+'2030'!$AJ$4</f>
        <v>302.92015190278295</v>
      </c>
      <c r="Q19" s="365">
        <f>+'2030'!$AK$3</f>
        <v>0</v>
      </c>
      <c r="R19" s="365">
        <f>+'2030'!$AK$4</f>
        <v>18.430225125756937</v>
      </c>
      <c r="S19" s="853"/>
      <c r="T19" s="853"/>
    </row>
    <row r="20" spans="1:30" s="19" customFormat="1" ht="12.75" x14ac:dyDescent="0.2">
      <c r="A20" s="357">
        <f>'2031'!An</f>
        <v>2031</v>
      </c>
      <c r="B20" s="358">
        <f>'2031'!Prod_an</f>
        <v>10934.975221236853</v>
      </c>
      <c r="C20" s="141">
        <f>'2031'!Wh_Psa</f>
        <v>156.23263357702982</v>
      </c>
      <c r="D20" s="325">
        <f>'2031'!Wh_Pvg</f>
        <v>5.813418233059152</v>
      </c>
      <c r="E20" s="358">
        <f>C20+D20</f>
        <v>162.04605181008895</v>
      </c>
      <c r="F20" s="358">
        <f>B20+E20</f>
        <v>11097.021273046941</v>
      </c>
      <c r="G20" s="358">
        <f>'2031'!F$9</f>
        <v>11642.689315005764</v>
      </c>
      <c r="H20" s="141">
        <f>'2031'!Wh_gain_sa</f>
        <v>367.22724318080225</v>
      </c>
      <c r="I20" s="325">
        <f>'2031'!Wh_gain_vg</f>
        <v>19.064128964109859</v>
      </c>
      <c r="J20" s="358">
        <f>'2031'!Prod_an_s</f>
        <v>10547.590151486089</v>
      </c>
      <c r="K20" s="849">
        <f>IF('2031'!Acti_net,'2031'!Tnet,"")</f>
        <v>47968</v>
      </c>
      <c r="L20" s="850" t="str">
        <f>IF('2031'!Acti_tai,'2031'!Ttai,"")</f>
        <v/>
      </c>
      <c r="M20" s="859">
        <f t="shared" si="3"/>
        <v>673.7129097998029</v>
      </c>
      <c r="N20" s="860">
        <f t="shared" si="4"/>
        <v>29.924431883020247</v>
      </c>
      <c r="O20" s="365">
        <f>+'2031'!$AJ$3</f>
        <v>56.021744355154766</v>
      </c>
      <c r="P20" s="365">
        <f>+'2031'!$AJ$4</f>
        <v>311.14323216315358</v>
      </c>
      <c r="Q20" s="365">
        <f>+'2031'!$AK$3</f>
        <v>0</v>
      </c>
      <c r="R20" s="365">
        <f>+'2031'!$AK$4</f>
        <v>19.064128964109859</v>
      </c>
      <c r="S20" s="853"/>
      <c r="T20" s="853"/>
    </row>
    <row r="21" spans="1:30" s="19" customFormat="1" ht="12.75" x14ac:dyDescent="0.2">
      <c r="A21" s="700"/>
      <c r="B21" s="701"/>
      <c r="C21" s="702"/>
      <c r="D21" s="699"/>
      <c r="E21" s="701"/>
      <c r="F21" s="701"/>
      <c r="G21" s="701"/>
      <c r="H21" s="702"/>
      <c r="I21" s="699"/>
      <c r="J21" s="701"/>
      <c r="K21" s="863"/>
      <c r="L21" s="864"/>
      <c r="M21" s="855"/>
      <c r="N21" s="856"/>
      <c r="O21" s="10"/>
      <c r="P21" s="10"/>
      <c r="Q21" s="10"/>
      <c r="R21" s="10"/>
      <c r="S21" s="853"/>
      <c r="T21" s="853"/>
    </row>
    <row r="22" spans="1:30" s="19" customFormat="1" ht="12.75" x14ac:dyDescent="0.2">
      <c r="A22" s="700"/>
      <c r="B22" s="701"/>
      <c r="C22" s="702"/>
      <c r="D22" s="699"/>
      <c r="E22" s="701"/>
      <c r="F22" s="701"/>
      <c r="G22" s="701"/>
      <c r="H22" s="702"/>
      <c r="I22" s="699"/>
      <c r="J22" s="701"/>
      <c r="K22" s="863"/>
      <c r="L22" s="864"/>
      <c r="M22" s="855"/>
      <c r="N22" s="856"/>
      <c r="O22" s="10"/>
      <c r="P22" s="854"/>
      <c r="Q22" s="10"/>
      <c r="R22" s="854"/>
      <c r="S22" s="853"/>
      <c r="T22" s="853"/>
    </row>
    <row r="23" spans="1:30" s="19" customFormat="1" ht="12.75" x14ac:dyDescent="0.2">
      <c r="A23" s="700"/>
      <c r="B23" s="701"/>
      <c r="C23" s="702"/>
      <c r="D23" s="699"/>
      <c r="E23" s="701"/>
      <c r="F23" s="701"/>
      <c r="G23" s="701"/>
      <c r="H23" s="702"/>
      <c r="I23" s="699"/>
      <c r="J23" s="701"/>
      <c r="K23" s="863"/>
      <c r="L23" s="864"/>
      <c r="M23" s="855"/>
      <c r="N23" s="856"/>
      <c r="O23" s="10"/>
      <c r="P23" s="854"/>
      <c r="Q23" s="10"/>
      <c r="S23" s="853"/>
      <c r="T23" s="853"/>
    </row>
    <row r="24" spans="1:30" s="19" customFormat="1" ht="12.75" x14ac:dyDescent="0.2">
      <c r="A24" s="700"/>
      <c r="B24" s="701"/>
      <c r="C24" s="702"/>
      <c r="D24" s="699"/>
      <c r="E24" s="701"/>
      <c r="F24" s="701"/>
      <c r="G24" s="701"/>
      <c r="H24" s="702"/>
      <c r="I24" s="699"/>
      <c r="J24" s="701"/>
      <c r="K24" s="863"/>
      <c r="L24" s="864"/>
      <c r="M24" s="855"/>
      <c r="N24" s="856"/>
      <c r="O24" s="10"/>
      <c r="P24" s="854"/>
      <c r="Q24" s="10"/>
      <c r="R24" s="854"/>
      <c r="S24" s="853"/>
      <c r="T24" s="853"/>
    </row>
    <row r="25" spans="1:30" s="19" customFormat="1" ht="12.75" x14ac:dyDescent="0.2">
      <c r="A25" s="700"/>
      <c r="B25" s="701"/>
      <c r="C25" s="702"/>
      <c r="D25" s="699"/>
      <c r="E25" s="701"/>
      <c r="F25" s="701"/>
      <c r="G25" s="701"/>
      <c r="H25" s="702"/>
      <c r="I25" s="699"/>
      <c r="J25" s="701"/>
      <c r="K25" s="863"/>
      <c r="L25" s="864"/>
      <c r="M25" s="855"/>
      <c r="N25" s="856"/>
      <c r="O25" s="10"/>
      <c r="P25" s="854"/>
      <c r="Q25" s="10"/>
      <c r="R25" s="854"/>
      <c r="S25" s="853"/>
      <c r="T25" s="853"/>
    </row>
    <row r="26" spans="1:30" s="19" customFormat="1" ht="12.75" x14ac:dyDescent="0.2">
      <c r="A26" s="700"/>
      <c r="B26" s="701"/>
      <c r="C26" s="702"/>
      <c r="D26" s="699"/>
      <c r="E26" s="701"/>
      <c r="F26" s="701"/>
      <c r="G26" s="701"/>
      <c r="H26" s="702"/>
      <c r="I26" s="699"/>
      <c r="J26" s="701"/>
      <c r="K26" s="863"/>
      <c r="L26" s="864"/>
      <c r="M26" s="855"/>
      <c r="N26" s="856"/>
      <c r="O26" s="10"/>
      <c r="P26" s="854"/>
      <c r="Q26" s="10"/>
      <c r="R26" s="854"/>
      <c r="S26" s="853"/>
      <c r="T26" s="853"/>
    </row>
    <row r="27" spans="1:30" s="19" customFormat="1" ht="12.75" x14ac:dyDescent="0.2">
      <c r="A27" s="700"/>
      <c r="B27" s="701"/>
      <c r="C27" s="702"/>
      <c r="D27" s="699"/>
      <c r="E27" s="701"/>
      <c r="F27" s="701"/>
      <c r="G27" s="701"/>
      <c r="H27" s="702"/>
      <c r="I27" s="699"/>
      <c r="J27" s="701"/>
      <c r="K27" s="863"/>
      <c r="L27" s="864"/>
      <c r="M27" s="855"/>
      <c r="N27" s="856"/>
      <c r="O27" s="10"/>
      <c r="P27" s="854"/>
      <c r="Q27" s="10"/>
      <c r="R27" s="854"/>
      <c r="S27" s="853"/>
      <c r="T27" s="853"/>
    </row>
    <row r="28" spans="1:30" s="19" customFormat="1" ht="12.75" x14ac:dyDescent="0.2">
      <c r="A28" s="700"/>
      <c r="B28" s="701"/>
      <c r="C28" s="702"/>
      <c r="D28" s="699"/>
      <c r="E28" s="701"/>
      <c r="F28" s="701"/>
      <c r="G28" s="701"/>
      <c r="H28" s="702"/>
      <c r="I28" s="699"/>
      <c r="J28" s="701"/>
      <c r="K28" s="863"/>
      <c r="L28" s="864"/>
      <c r="M28" s="855"/>
      <c r="N28" s="856"/>
      <c r="O28" s="10"/>
      <c r="P28" s="10"/>
      <c r="Q28" s="10"/>
      <c r="R28" s="10"/>
      <c r="S28" s="853"/>
      <c r="T28" s="853"/>
    </row>
    <row r="29" spans="1:30" s="19" customFormat="1" ht="12.75" x14ac:dyDescent="0.2">
      <c r="A29" s="700"/>
      <c r="B29" s="701"/>
      <c r="C29" s="702"/>
      <c r="D29" s="699"/>
      <c r="E29" s="701"/>
      <c r="F29" s="701"/>
      <c r="G29" s="701"/>
      <c r="H29" s="702"/>
      <c r="I29" s="699"/>
      <c r="J29" s="701"/>
      <c r="K29" s="863"/>
      <c r="L29" s="864"/>
      <c r="M29" s="855"/>
      <c r="N29" s="856"/>
      <c r="O29" s="10"/>
      <c r="P29" s="10"/>
      <c r="Q29" s="10"/>
      <c r="R29" s="10"/>
      <c r="S29" s="853"/>
      <c r="T29" s="853"/>
    </row>
    <row r="30" spans="1:30" s="19" customFormat="1" ht="12.75" x14ac:dyDescent="0.2">
      <c r="A30" s="703"/>
      <c r="B30" s="704"/>
      <c r="C30" s="705"/>
      <c r="D30" s="706"/>
      <c r="E30" s="704"/>
      <c r="F30" s="704"/>
      <c r="G30" s="704"/>
      <c r="H30" s="705"/>
      <c r="I30" s="706"/>
      <c r="J30" s="704"/>
      <c r="K30" s="865"/>
      <c r="L30" s="866"/>
      <c r="M30" s="857"/>
      <c r="N30" s="858"/>
      <c r="O30" s="10"/>
      <c r="P30" s="10"/>
      <c r="Q30" s="10"/>
      <c r="R30" s="10"/>
      <c r="S30" s="853"/>
      <c r="T30" s="853"/>
      <c r="AD30" s="30"/>
    </row>
    <row r="31" spans="1:30" s="4" customFormat="1" x14ac:dyDescent="0.25">
      <c r="A31" s="869" t="s">
        <v>367</v>
      </c>
      <c r="B31" s="870">
        <f>SUM(B11:B11)/1000</f>
        <v>11.439895</v>
      </c>
      <c r="C31" s="871">
        <f t="shared" ref="C31:J31" si="5">SUM(C11:C11)/1000</f>
        <v>0.17133526937231566</v>
      </c>
      <c r="D31" s="872">
        <f t="shared" si="5"/>
        <v>1.4252258981740152E-3</v>
      </c>
      <c r="E31" s="870">
        <f t="shared" si="5"/>
        <v>0.17276049527048964</v>
      </c>
      <c r="F31" s="870">
        <f t="shared" si="5"/>
        <v>11.61265549527049</v>
      </c>
      <c r="G31" s="870">
        <f t="shared" si="5"/>
        <v>11.645393898508527</v>
      </c>
      <c r="H31" s="871">
        <f t="shared" si="5"/>
        <v>-2.9257563003739052E-5</v>
      </c>
      <c r="I31" s="872">
        <f t="shared" si="5"/>
        <v>-2.4337450580480536E-7</v>
      </c>
      <c r="J31" s="870">
        <f t="shared" si="5"/>
        <v>11.437941500000001</v>
      </c>
      <c r="K31" s="1174" t="s">
        <v>10</v>
      </c>
      <c r="L31" s="3"/>
      <c r="M31" s="1175" t="s">
        <v>368</v>
      </c>
      <c r="N31" s="1175" t="s">
        <v>369</v>
      </c>
      <c r="O31" s="1175" t="s">
        <v>369</v>
      </c>
      <c r="P31" s="3"/>
      <c r="Q31" s="3"/>
      <c r="R31" s="77"/>
      <c r="S31" s="134"/>
      <c r="T31" s="77"/>
      <c r="U31" s="77"/>
      <c r="V31" s="77"/>
      <c r="W31" s="77"/>
      <c r="X31" s="873"/>
      <c r="Y31" s="3"/>
      <c r="Z31" s="3"/>
      <c r="AA31" s="3"/>
      <c r="AB31" s="3"/>
    </row>
    <row r="32" spans="1:30" ht="15.75" x14ac:dyDescent="0.25">
      <c r="A32" s="1180" t="s">
        <v>373</v>
      </c>
      <c r="B32" s="1181">
        <f>IF(K16&lt;&gt;"",B15-H16-C16+C15-D16+D15,B16)</f>
        <v>10826.287327062537</v>
      </c>
      <c r="J32" s="351" t="s">
        <v>254</v>
      </c>
      <c r="K32" s="68">
        <f>[2]!Inter_net</f>
        <v>2</v>
      </c>
      <c r="L32" s="68">
        <f>[2]!Inter_tai</f>
        <v>7</v>
      </c>
      <c r="M32" s="1176">
        <f>Inter_net</f>
        <v>2</v>
      </c>
      <c r="N32" s="1176">
        <f>CHOOSE(Inter_net,N33,N34,N35,N36)</f>
        <v>332.93112299158139</v>
      </c>
      <c r="O32" s="1182">
        <f>CHOOSE(Inter_net,O33,O34,O35,O36)</f>
        <v>3.0752104847554841E-2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280</v>
      </c>
      <c r="B33" s="1134">
        <f t="shared" ref="B33:J33" si="6">AVERAGE(B35:B54)</f>
        <v>2.7539306236794701E-2</v>
      </c>
      <c r="C33" s="1128">
        <f t="shared" si="6"/>
        <v>2.4170202402719349E-2</v>
      </c>
      <c r="D33" s="1135">
        <f t="shared" si="6"/>
        <v>1.0350628252228437E-2</v>
      </c>
      <c r="E33" s="1134">
        <f t="shared" si="6"/>
        <v>2.5905941426387295E-2</v>
      </c>
      <c r="F33" s="1128">
        <f t="shared" si="6"/>
        <v>1.8744866694457338E-2</v>
      </c>
      <c r="G33" s="1135">
        <f t="shared" si="6"/>
        <v>6.8010223238668588E-4</v>
      </c>
      <c r="H33" s="1129">
        <f t="shared" si="6"/>
        <v>2.6186426870371059E-2</v>
      </c>
      <c r="I33" s="1130">
        <f t="shared" si="6"/>
        <v>4.0450819380367313E-4</v>
      </c>
      <c r="J33" s="1136">
        <f t="shared" si="6"/>
        <v>4.4082771708362258E-2</v>
      </c>
      <c r="K33" s="337"/>
      <c r="L33" s="21"/>
      <c r="M33" s="365">
        <v>1</v>
      </c>
      <c r="N33" s="1177">
        <f>O33*$B$32</f>
        <v>332.93112299158139</v>
      </c>
      <c r="O33" s="1183">
        <f>AVERAGE(H19:H20)/AVERAGE(B19:B20)</f>
        <v>3.0752104847554841E-2</v>
      </c>
      <c r="P33" s="15"/>
    </row>
    <row r="34" spans="1:28" s="236" customFormat="1" ht="41.25" customHeight="1" x14ac:dyDescent="0.2">
      <c r="A34" s="170" t="s">
        <v>52</v>
      </c>
      <c r="B34" s="1137" t="s">
        <v>354</v>
      </c>
      <c r="C34" s="1138" t="s">
        <v>355</v>
      </c>
      <c r="D34" s="1139" t="s">
        <v>356</v>
      </c>
      <c r="E34" s="1137" t="s">
        <v>357</v>
      </c>
      <c r="F34" s="327" t="s">
        <v>358</v>
      </c>
      <c r="G34" s="328" t="s">
        <v>359</v>
      </c>
      <c r="H34" s="327" t="s">
        <v>360</v>
      </c>
      <c r="I34" s="328" t="s">
        <v>361</v>
      </c>
      <c r="J34" s="170" t="s">
        <v>362</v>
      </c>
      <c r="K34" s="327" t="s">
        <v>363</v>
      </c>
      <c r="L34" s="327" t="s">
        <v>364</v>
      </c>
      <c r="M34" s="365">
        <v>2</v>
      </c>
      <c r="N34" s="1178">
        <f>O34*$B$32</f>
        <v>332.93112299158139</v>
      </c>
      <c r="O34" s="1184">
        <f>AVERAGE(H19:H20)/AVERAGE(B19:B20)</f>
        <v>3.0752104847554841E-2</v>
      </c>
      <c r="P34" s="100"/>
      <c r="Q34" s="100"/>
      <c r="R34" s="100"/>
      <c r="S34" s="100"/>
      <c r="T34" s="100"/>
      <c r="U34" s="237"/>
      <c r="V34" s="237"/>
      <c r="W34" s="237"/>
      <c r="X34" s="238"/>
      <c r="Y34" s="235"/>
      <c r="Z34" s="235"/>
      <c r="AA34" s="235"/>
      <c r="AB34" s="235"/>
    </row>
    <row r="35" spans="1:28" s="19" customFormat="1" ht="12.75" x14ac:dyDescent="0.2">
      <c r="A35" s="359">
        <f>A11</f>
        <v>2022</v>
      </c>
      <c r="B35" s="1140">
        <f>'2022'!L$379</f>
        <v>5.5151937573716392E-3</v>
      </c>
      <c r="C35" s="1127">
        <f>'2022'!O$379</f>
        <v>2.4698364221137914E-2</v>
      </c>
      <c r="D35" s="1141">
        <f>'2022'!P$379</f>
        <v>2.863283925547886E-3</v>
      </c>
      <c r="E35" s="1140">
        <f>'2022'!Wh_Ppv/'2022'!Prod_an</f>
        <v>2.8173571074794528E-3</v>
      </c>
      <c r="F35" s="1127">
        <f>'2022'!Wh_Psa/'2022'!D$9</f>
        <v>1.4934919672471136E-2</v>
      </c>
      <c r="G35" s="1141">
        <f>'2022'!Wh_Pvg/'2022'!E$9</f>
        <v>1.224006221423847E-4</v>
      </c>
      <c r="H35" s="1142">
        <f>H11/'2022'!Z$9</f>
        <v>-2.5503176017051276E-6</v>
      </c>
      <c r="I35" s="1143">
        <f>I11/'2022'!AA$9</f>
        <v>-2.0901381993036468E-8</v>
      </c>
      <c r="J35" s="1144">
        <f>1-B11/G11</f>
        <v>1.7646367336260238E-2</v>
      </c>
      <c r="K35" s="851" t="str">
        <f>K11</f>
        <v/>
      </c>
      <c r="L35" s="1145">
        <f>(K35&lt;&gt;"")*('2022'!O$383-'2022'!O$381)</f>
        <v>0</v>
      </c>
      <c r="M35" s="365">
        <v>3</v>
      </c>
      <c r="N35" s="1178">
        <f>O35*$B$32</f>
        <v>343.48216750833234</v>
      </c>
      <c r="O35" s="1184">
        <f>AVERAGE(H18:H20)/AVERAGE(B18:B20)</f>
        <v>3.1726681283409858E-2</v>
      </c>
      <c r="P35" s="365"/>
      <c r="Q35" s="365"/>
      <c r="R35" s="365"/>
      <c r="S35" s="853"/>
      <c r="T35" s="853"/>
    </row>
    <row r="36" spans="1:28" s="19" customFormat="1" ht="12.75" x14ac:dyDescent="0.2">
      <c r="A36" s="1146">
        <f t="shared" ref="A36:A44" si="7">A12</f>
        <v>2023</v>
      </c>
      <c r="B36" s="1147">
        <f>'2023'!L$379</f>
        <v>1.0471820951232891E-2</v>
      </c>
      <c r="C36" s="1148">
        <f>'2023'!O$379</f>
        <v>1.6048296454638952E-2</v>
      </c>
      <c r="D36" s="1149">
        <f>'2023'!P$379</f>
        <v>5.7260423574971792E-3</v>
      </c>
      <c r="E36" s="1147">
        <f>'2023'!Wh_Ppv/'2023'!Prod_an</f>
        <v>8.023271869000273E-3</v>
      </c>
      <c r="F36" s="1148">
        <f>'2023'!Wh_Psa/'2023'!D$9</f>
        <v>1.1976294960373604E-2</v>
      </c>
      <c r="G36" s="1149">
        <f>'2023'!Wh_Pvg/'2023'!E$9</f>
        <v>3.2109562978639017E-4</v>
      </c>
      <c r="H36" s="1147">
        <f>H12/'2023'!Z$9</f>
        <v>2.2566980119791934E-2</v>
      </c>
      <c r="I36" s="1150">
        <f>I12/'2023'!AA$9</f>
        <v>-7.1387721381185114E-6</v>
      </c>
      <c r="J36" s="1149">
        <f t="shared" ref="J36:J44" si="8">1-B12/G12</f>
        <v>2.0113838990313049E-2</v>
      </c>
      <c r="K36" s="849">
        <f>K12</f>
        <v>45046</v>
      </c>
      <c r="L36" s="1151">
        <f>(K36&lt;&gt;"")*('2023'!O$383-'2023'!O$381)</f>
        <v>3.0700399563379131E-2</v>
      </c>
      <c r="M36" s="365">
        <v>4</v>
      </c>
      <c r="N36" s="1178">
        <f>O36*$B$32</f>
        <v>333.29992144309426</v>
      </c>
      <c r="O36" s="1184">
        <f>AVERAGE(H17:H20)/AVERAGE(B17:B20)</f>
        <v>3.0786169937494862E-2</v>
      </c>
      <c r="P36" s="365"/>
      <c r="Q36" s="365"/>
      <c r="R36" s="365"/>
      <c r="S36" s="853"/>
      <c r="T36" s="853"/>
    </row>
    <row r="37" spans="1:28" s="19" customFormat="1" ht="12.75" x14ac:dyDescent="0.2">
      <c r="A37" s="1146">
        <f t="shared" si="7"/>
        <v>2024</v>
      </c>
      <c r="B37" s="1147">
        <f>'2024'!L$379</f>
        <v>1.5403743742387732E-2</v>
      </c>
      <c r="C37" s="1148">
        <f>'2024'!O$379</f>
        <v>3.4190544383215206E-2</v>
      </c>
      <c r="D37" s="1149">
        <f>'2024'!P$379</f>
        <v>8.8691268506027234E-3</v>
      </c>
      <c r="E37" s="1147">
        <f>'2024'!Wh_Ppv/'2024'!Prod_an</f>
        <v>1.3065068600680652E-2</v>
      </c>
      <c r="F37" s="1148">
        <f>'2024'!Wh_Psa/'2024'!D$9</f>
        <v>2.6712481402968186E-2</v>
      </c>
      <c r="G37" s="1149">
        <f>'2024'!Wh_Pvg/'2024'!E$9</f>
        <v>5.2627340919762084E-4</v>
      </c>
      <c r="H37" s="1147">
        <f>H13/'2024'!Z$9</f>
        <v>2.2057944707918949E-2</v>
      </c>
      <c r="I37" s="1150">
        <f>I13/'2024'!AA$9</f>
        <v>-1.1503905713702711E-5</v>
      </c>
      <c r="J37" s="1149">
        <f t="shared" si="8"/>
        <v>3.943120819463608E-2</v>
      </c>
      <c r="K37" s="849" t="str">
        <f t="shared" ref="K37:K43" si="9">K13</f>
        <v/>
      </c>
      <c r="L37" s="1151">
        <f>(K37&lt;&gt;"")*('2024'!O$383-'2024'!O$381)</f>
        <v>0</v>
      </c>
      <c r="M37" s="365"/>
      <c r="N37" s="1185" t="s">
        <v>370</v>
      </c>
      <c r="O37" s="1186"/>
      <c r="P37" s="365"/>
      <c r="Q37" s="365"/>
      <c r="R37" s="365"/>
      <c r="S37" s="853"/>
      <c r="T37" s="853"/>
    </row>
    <row r="38" spans="1:28" s="19" customFormat="1" ht="12.75" x14ac:dyDescent="0.2">
      <c r="A38" s="1146">
        <f t="shared" si="7"/>
        <v>2025</v>
      </c>
      <c r="B38" s="1147">
        <f>'2025'!L$379</f>
        <v>2.032449637897138E-2</v>
      </c>
      <c r="C38" s="1148">
        <f>'2025'!O$379</f>
        <v>1.6048296454638952E-2</v>
      </c>
      <c r="D38" s="1149">
        <f>'2025'!P$379</f>
        <v>1.2015721449051274E-2</v>
      </c>
      <c r="E38" s="1147">
        <f>'2025'!Wh_Ppv/'2025'!Prod_an</f>
        <v>1.8163882895532942E-2</v>
      </c>
      <c r="F38" s="1148">
        <f>'2025'!Wh_Psa/'2025'!D$9</f>
        <v>1.4039508748310201E-2</v>
      </c>
      <c r="G38" s="1149">
        <f>'2025'!Wh_Pvg/'2025'!E$9</f>
        <v>7.3746699675397828E-4</v>
      </c>
      <c r="H38" s="1147">
        <f>H14/'2025'!Z$9</f>
        <v>3.3068203267928309E-2</v>
      </c>
      <c r="I38" s="1150">
        <f>I14/'2025'!AA$9</f>
        <v>-2.4016402995563503E-5</v>
      </c>
      <c r="J38" s="1149">
        <f t="shared" si="8"/>
        <v>3.241839687498671E-2</v>
      </c>
      <c r="K38" s="849">
        <f t="shared" si="9"/>
        <v>45777</v>
      </c>
      <c r="L38" s="1151">
        <f>(K38&lt;&gt;"")*('2025'!O$383-'2025'!O$381)</f>
        <v>3.9337621462875547E-2</v>
      </c>
      <c r="M38" s="365"/>
      <c r="N38" s="365"/>
      <c r="O38" s="365"/>
      <c r="P38" s="365"/>
      <c r="Q38" s="365"/>
      <c r="R38" s="365"/>
      <c r="S38" s="853"/>
      <c r="T38" s="853"/>
    </row>
    <row r="39" spans="1:28" s="19" customFormat="1" ht="12.75" x14ac:dyDescent="0.2">
      <c r="A39" s="1146">
        <f t="shared" si="7"/>
        <v>2026</v>
      </c>
      <c r="B39" s="1147">
        <f>'2026'!L$379</f>
        <v>2.520731229725004E-2</v>
      </c>
      <c r="C39" s="1148">
        <f>'2026'!O$379</f>
        <v>3.4190544383215206E-2</v>
      </c>
      <c r="D39" s="1149">
        <f>'2026'!P$379</f>
        <v>1.5486895886806186E-2</v>
      </c>
      <c r="E39" s="1147">
        <f>'2026'!Wh_Ppv/'2026'!Prod_an</f>
        <v>2.3250222335773976E-2</v>
      </c>
      <c r="F39" s="1148">
        <f>'2026'!Wh_Psa/'2026'!D$9</f>
        <v>2.6436555295943336E-2</v>
      </c>
      <c r="G39" s="1149">
        <f>'2026'!Wh_Pvg/'2026'!E$9</f>
        <v>9.5606992636915319E-4</v>
      </c>
      <c r="H39" s="1147">
        <f>H15/'2026'!Z$9</f>
        <v>2.8150788505828292E-2</v>
      </c>
      <c r="I39" s="1150">
        <f>I15/'2026'!AA$9</f>
        <v>-2.6770608706292493E-5</v>
      </c>
      <c r="J39" s="1149">
        <f t="shared" si="8"/>
        <v>4.9417292973914284E-2</v>
      </c>
      <c r="K39" s="849" t="str">
        <f t="shared" si="9"/>
        <v/>
      </c>
      <c r="L39" s="1151">
        <f>(K39&lt;&gt;"")*('2026'!O$383-'2026'!O$381)</f>
        <v>0</v>
      </c>
      <c r="M39" s="365"/>
      <c r="N39" s="365"/>
      <c r="O39" s="365"/>
      <c r="P39" s="365"/>
      <c r="Q39" s="365"/>
      <c r="R39" s="365"/>
      <c r="S39" s="853"/>
      <c r="T39" s="853"/>
    </row>
    <row r="40" spans="1:28" s="19" customFormat="1" ht="12.75" x14ac:dyDescent="0.2">
      <c r="A40" s="1146">
        <f t="shared" si="7"/>
        <v>2027</v>
      </c>
      <c r="B40" s="1147">
        <f>'2027'!L$379</f>
        <v>3.0065791696749056E-2</v>
      </c>
      <c r="C40" s="1148">
        <f>'2027'!O$379</f>
        <v>1.6048296454638952E-2</v>
      </c>
      <c r="D40" s="1149">
        <f>'2027'!P$379</f>
        <v>1.8962134657198551E-2</v>
      </c>
      <c r="E40" s="1147">
        <f>'2027'!Wh_Ppv/'2027'!Prod_an</f>
        <v>2.8389010980130108E-2</v>
      </c>
      <c r="F40" s="1148">
        <f>'2027'!Wh_Psa/'2027'!D$9</f>
        <v>1.3884976078340152E-2</v>
      </c>
      <c r="G40" s="1149">
        <f>'2027'!Wh_Pvg/'2027'!E$9</f>
        <v>1.2093358503112591E-3</v>
      </c>
      <c r="H40" s="1147">
        <f>H16/'2027'!Z$9</f>
        <v>3.3892309026981864E-2</v>
      </c>
      <c r="I40" s="1150">
        <f>I16/'2027'!AA$9</f>
        <v>-4.0725831917138436E-5</v>
      </c>
      <c r="J40" s="1149">
        <f t="shared" si="8"/>
        <v>4.2502636981232356E-2</v>
      </c>
      <c r="K40" s="849">
        <f t="shared" si="9"/>
        <v>46507</v>
      </c>
      <c r="L40" s="1151">
        <f>(K40&lt;&gt;"")*('2027'!O$383-'2027'!O$381)</f>
        <v>3.9299698189150085E-2</v>
      </c>
      <c r="M40" s="365"/>
      <c r="N40" s="365"/>
      <c r="O40" s="365"/>
      <c r="P40" s="365"/>
      <c r="Q40" s="365"/>
      <c r="R40" s="365"/>
      <c r="S40" s="853"/>
      <c r="T40" s="853"/>
    </row>
    <row r="41" spans="1:28" s="19" customFormat="1" ht="12.75" x14ac:dyDescent="0.2">
      <c r="A41" s="1146">
        <f t="shared" si="7"/>
        <v>2028</v>
      </c>
      <c r="B41" s="1147">
        <f>'2028'!L$379</f>
        <v>3.4900055873490321E-2</v>
      </c>
      <c r="C41" s="1148">
        <f>'2028'!O$379</f>
        <v>3.4190544383215206E-2</v>
      </c>
      <c r="D41" s="1149">
        <f>'2028'!P$379</f>
        <v>2.2568018909731723E-2</v>
      </c>
      <c r="E41" s="1147">
        <f>'2028'!Wh_Ppv/'2028'!Prod_an</f>
        <v>3.3529302870353835E-2</v>
      </c>
      <c r="F41" s="1148">
        <f>'2028'!Wh_Psa/'2028'!D$9</f>
        <v>2.6181190287030684E-2</v>
      </c>
      <c r="G41" s="1149">
        <f>'2028'!Wh_Pvg/'2028'!E$9</f>
        <v>1.4497976339504629E-3</v>
      </c>
      <c r="H41" s="1147">
        <f>H17/'2028'!Z$9</f>
        <v>2.7839086530578091E-2</v>
      </c>
      <c r="I41" s="1150">
        <f>I17/'2028'!AA$9</f>
        <v>-4.055041466781681E-5</v>
      </c>
      <c r="J41" s="1149">
        <f t="shared" si="8"/>
        <v>5.9380547199402889E-2</v>
      </c>
      <c r="K41" s="849" t="str">
        <f t="shared" si="9"/>
        <v/>
      </c>
      <c r="L41" s="1151">
        <f>(K41&lt;&gt;"")*('2028'!O$383-'2028'!O$381)</f>
        <v>0</v>
      </c>
      <c r="M41" s="365"/>
      <c r="N41" s="365"/>
      <c r="O41" s="365"/>
      <c r="P41" s="365"/>
      <c r="Q41" s="365"/>
      <c r="R41" s="365"/>
      <c r="S41" s="853"/>
      <c r="T41" s="853"/>
    </row>
    <row r="42" spans="1:28" s="19" customFormat="1" ht="12.75" x14ac:dyDescent="0.2">
      <c r="A42" s="1146">
        <f t="shared" si="7"/>
        <v>2029</v>
      </c>
      <c r="B42" s="1147">
        <f>'2029'!L$379</f>
        <v>3.9723371079540382E-2</v>
      </c>
      <c r="C42" s="1148">
        <f>'2029'!O$379</f>
        <v>1.6048296454638952E-2</v>
      </c>
      <c r="D42" s="1149">
        <f>'2029'!P$379</f>
        <v>2.7202140630856421E-3</v>
      </c>
      <c r="E42" s="1147">
        <f>'2029'!Wh_Ppv/'2029'!Prod_an</f>
        <v>3.8734690708575666E-2</v>
      </c>
      <c r="F42" s="1148">
        <f>'2029'!Wh_Psa/'2029'!D$9</f>
        <v>1.3750137074417672E-2</v>
      </c>
      <c r="G42" s="1149">
        <f>'2029'!Wh_Pvg/'2029'!E$9</f>
        <v>6.8293264961234756E-4</v>
      </c>
      <c r="H42" s="1147">
        <f>H18/'2029'!Z$9</f>
        <v>3.3561271353513514E-2</v>
      </c>
      <c r="I42" s="1150">
        <f>I18/'2029'!AA$9</f>
        <v>9.6843257943315833E-4</v>
      </c>
      <c r="J42" s="1149">
        <f t="shared" si="8"/>
        <v>5.1529218358244977E-2</v>
      </c>
      <c r="K42" s="849">
        <f t="shared" si="9"/>
        <v>47238</v>
      </c>
      <c r="L42" s="1151">
        <f>(K42&lt;&gt;"")*('2029'!O$383-'2029'!O$381)</f>
        <v>3.9337621462875547E-2</v>
      </c>
      <c r="M42" s="365"/>
      <c r="N42" s="365"/>
      <c r="O42" s="365"/>
      <c r="P42" s="365"/>
      <c r="Q42" s="365"/>
      <c r="R42" s="365"/>
      <c r="S42" s="853"/>
      <c r="T42" s="853"/>
    </row>
    <row r="43" spans="1:28" s="19" customFormat="1" ht="12.75" x14ac:dyDescent="0.2">
      <c r="A43" s="1146">
        <f t="shared" si="7"/>
        <v>2030</v>
      </c>
      <c r="B43" s="1147">
        <f>'2030'!L$379</f>
        <v>4.4509500764638221E-2</v>
      </c>
      <c r="C43" s="1148">
        <f>'2030'!O$379</f>
        <v>3.4190544383215206E-2</v>
      </c>
      <c r="D43" s="1149">
        <f>'2030'!P$379</f>
        <v>5.5829724950349525E-3</v>
      </c>
      <c r="E43" s="1147">
        <f>'2030'!Wh_Ppv/'2030'!Prod_an</f>
        <v>4.3921980983992165E-2</v>
      </c>
      <c r="F43" s="1148">
        <f>'2030'!Wh_Psa/'2030'!D$9</f>
        <v>2.5914698083062956E-2</v>
      </c>
      <c r="G43" s="1149">
        <f>'2030'!Wh_Pvg/'2030'!E$9</f>
        <v>2.9606495706674716E-4</v>
      </c>
      <c r="H43" s="1147">
        <f>H19/'2030'!Z$9</f>
        <v>2.754535394045593E-2</v>
      </c>
      <c r="I43" s="1150">
        <f>I19/'2030'!AA$9</f>
        <v>1.5860806926890757E-3</v>
      </c>
      <c r="J43" s="1149">
        <f t="shared" si="8"/>
        <v>6.7602074375511356E-2</v>
      </c>
      <c r="K43" s="849" t="str">
        <f t="shared" si="9"/>
        <v/>
      </c>
      <c r="L43" s="1151">
        <f>(K43&lt;&gt;"")*('2030'!O$383-'2030'!O$381)</f>
        <v>0</v>
      </c>
      <c r="M43" s="365"/>
      <c r="N43" s="365"/>
      <c r="O43" s="365"/>
      <c r="P43" s="365"/>
      <c r="Q43" s="365"/>
      <c r="R43" s="365"/>
      <c r="S43" s="853"/>
      <c r="T43" s="853"/>
    </row>
    <row r="44" spans="1:28" s="19" customFormat="1" ht="12.75" x14ac:dyDescent="0.2">
      <c r="A44" s="1146">
        <f t="shared" si="7"/>
        <v>2031</v>
      </c>
      <c r="B44" s="1147">
        <f>'2031'!L$379</f>
        <v>4.9271775826315367E-2</v>
      </c>
      <c r="C44" s="1148">
        <f>'2031'!O$379</f>
        <v>1.6048296454638952E-2</v>
      </c>
      <c r="D44" s="1149">
        <f>'2031'!P$379</f>
        <v>8.7118719277282444E-3</v>
      </c>
      <c r="E44" s="1147">
        <f>'2031'!Wh_Ppv/'2031'!Prod_an</f>
        <v>4.9164625912353897E-2</v>
      </c>
      <c r="F44" s="1148">
        <f>'2031'!Wh_Psa/'2031'!D$9</f>
        <v>1.361790534165546E-2</v>
      </c>
      <c r="G44" s="1149">
        <f>'2031'!Wh_Pvg/'2031'!E$9</f>
        <v>4.9958464867651481E-4</v>
      </c>
      <c r="H44" s="1147">
        <f>H20/'2031'!Z$9</f>
        <v>3.318488156831545E-2</v>
      </c>
      <c r="I44" s="1150">
        <f>I20/'2031'!AA$9</f>
        <v>1.6412955034351229E-3</v>
      </c>
      <c r="J44" s="1149">
        <f t="shared" si="8"/>
        <v>6.0786135799120622E-2</v>
      </c>
      <c r="K44" s="849">
        <f>K20</f>
        <v>47968</v>
      </c>
      <c r="L44" s="1151">
        <f>(K44&lt;&gt;"")*('2031'!O$383-'2031'!O$381)</f>
        <v>3.9299698189150085E-2</v>
      </c>
      <c r="M44" s="365"/>
      <c r="N44" s="365"/>
      <c r="O44" s="365"/>
      <c r="P44" s="365"/>
      <c r="Q44" s="365"/>
      <c r="R44" s="365"/>
      <c r="S44" s="853"/>
      <c r="T44" s="853"/>
    </row>
    <row r="45" spans="1:28" s="19" customFormat="1" ht="12.75" x14ac:dyDescent="0.2">
      <c r="A45" s="700"/>
      <c r="B45" s="855"/>
      <c r="C45" s="1152"/>
      <c r="D45" s="1153"/>
      <c r="E45" s="855"/>
      <c r="F45" s="1152"/>
      <c r="G45" s="1153"/>
      <c r="H45" s="1154"/>
      <c r="I45" s="701"/>
      <c r="J45" s="1153"/>
      <c r="K45" s="863"/>
      <c r="L45" s="1153"/>
      <c r="M45" s="10"/>
      <c r="N45" s="10"/>
      <c r="O45" s="10"/>
      <c r="P45" s="10"/>
      <c r="Q45" s="10"/>
      <c r="R45" s="10"/>
      <c r="S45" s="853"/>
      <c r="T45" s="853"/>
    </row>
    <row r="46" spans="1:28" s="19" customFormat="1" ht="12.75" x14ac:dyDescent="0.2">
      <c r="A46" s="700"/>
      <c r="B46" s="855"/>
      <c r="C46" s="1152"/>
      <c r="D46" s="1153"/>
      <c r="E46" s="855"/>
      <c r="F46" s="1152"/>
      <c r="G46" s="1153"/>
      <c r="H46" s="1154"/>
      <c r="I46" s="701"/>
      <c r="J46" s="1153"/>
      <c r="K46" s="863"/>
      <c r="L46" s="1153"/>
      <c r="M46" s="10"/>
      <c r="N46" s="10"/>
      <c r="O46" s="10"/>
      <c r="P46" s="854"/>
      <c r="Q46" s="10"/>
      <c r="R46" s="854"/>
      <c r="S46" s="853"/>
      <c r="T46" s="853"/>
    </row>
    <row r="47" spans="1:28" s="19" customFormat="1" ht="12.75" x14ac:dyDescent="0.2">
      <c r="A47" s="700"/>
      <c r="B47" s="855"/>
      <c r="C47" s="1152"/>
      <c r="D47" s="1153"/>
      <c r="E47" s="855"/>
      <c r="F47" s="1152"/>
      <c r="G47" s="1153"/>
      <c r="H47" s="1154"/>
      <c r="I47" s="701"/>
      <c r="J47" s="1153"/>
      <c r="K47" s="863"/>
      <c r="L47" s="1153"/>
      <c r="M47" s="10"/>
      <c r="N47" s="10"/>
      <c r="O47" s="10"/>
      <c r="P47" s="854"/>
      <c r="Q47" s="10"/>
      <c r="S47" s="853"/>
      <c r="T47" s="853"/>
    </row>
    <row r="48" spans="1:28" s="19" customFormat="1" ht="12.75" x14ac:dyDescent="0.2">
      <c r="A48" s="700"/>
      <c r="B48" s="855"/>
      <c r="C48" s="1152"/>
      <c r="D48" s="1153"/>
      <c r="E48" s="855"/>
      <c r="F48" s="1152"/>
      <c r="G48" s="1153"/>
      <c r="H48" s="1154"/>
      <c r="I48" s="701"/>
      <c r="J48" s="1153"/>
      <c r="K48" s="863"/>
      <c r="L48" s="1153"/>
      <c r="M48" s="10"/>
      <c r="N48" s="10"/>
      <c r="O48" s="10"/>
      <c r="P48" s="854"/>
      <c r="Q48" s="10"/>
      <c r="R48" s="854"/>
      <c r="S48" s="853"/>
      <c r="T48" s="853"/>
    </row>
    <row r="49" spans="1:30" s="19" customFormat="1" ht="12.75" x14ac:dyDescent="0.2">
      <c r="A49" s="700"/>
      <c r="B49" s="855"/>
      <c r="C49" s="1152"/>
      <c r="D49" s="1153"/>
      <c r="E49" s="855"/>
      <c r="F49" s="1152"/>
      <c r="G49" s="1153"/>
      <c r="H49" s="1154"/>
      <c r="I49" s="701"/>
      <c r="J49" s="1153"/>
      <c r="K49" s="863"/>
      <c r="L49" s="1153"/>
      <c r="M49" s="10"/>
      <c r="N49" s="10"/>
      <c r="O49" s="10"/>
      <c r="P49" s="854"/>
      <c r="Q49" s="10"/>
      <c r="R49" s="854"/>
      <c r="S49" s="853"/>
      <c r="T49" s="853"/>
    </row>
    <row r="50" spans="1:30" s="19" customFormat="1" ht="12.75" x14ac:dyDescent="0.2">
      <c r="A50" s="700"/>
      <c r="B50" s="855"/>
      <c r="C50" s="1152"/>
      <c r="D50" s="1153"/>
      <c r="E50" s="855"/>
      <c r="F50" s="1152"/>
      <c r="G50" s="1153"/>
      <c r="H50" s="1154"/>
      <c r="I50" s="701"/>
      <c r="J50" s="1153"/>
      <c r="K50" s="863"/>
      <c r="L50" s="1153"/>
      <c r="M50" s="10"/>
      <c r="N50" s="10"/>
      <c r="O50" s="10"/>
      <c r="P50" s="854"/>
      <c r="Q50" s="10"/>
      <c r="R50" s="854"/>
      <c r="S50" s="853"/>
      <c r="T50" s="853"/>
    </row>
    <row r="51" spans="1:30" s="19" customFormat="1" ht="12.75" x14ac:dyDescent="0.2">
      <c r="A51" s="700"/>
      <c r="B51" s="855"/>
      <c r="C51" s="1152"/>
      <c r="D51" s="1153"/>
      <c r="E51" s="855"/>
      <c r="F51" s="1152"/>
      <c r="G51" s="1153"/>
      <c r="H51" s="1154"/>
      <c r="I51" s="701"/>
      <c r="J51" s="1153"/>
      <c r="K51" s="863"/>
      <c r="L51" s="1153"/>
      <c r="M51" s="10"/>
      <c r="N51" s="10"/>
      <c r="O51" s="10"/>
      <c r="P51" s="854"/>
      <c r="Q51" s="10"/>
      <c r="R51" s="854"/>
      <c r="S51" s="853"/>
      <c r="T51" s="853"/>
    </row>
    <row r="52" spans="1:30" s="19" customFormat="1" ht="12.75" x14ac:dyDescent="0.2">
      <c r="A52" s="700"/>
      <c r="B52" s="855"/>
      <c r="C52" s="1152"/>
      <c r="D52" s="1153"/>
      <c r="E52" s="855"/>
      <c r="F52" s="1152"/>
      <c r="G52" s="1153"/>
      <c r="H52" s="1154"/>
      <c r="I52" s="701"/>
      <c r="J52" s="1153"/>
      <c r="K52" s="863"/>
      <c r="L52" s="1153"/>
      <c r="M52" s="10"/>
      <c r="N52" s="10"/>
      <c r="O52" s="10"/>
      <c r="P52" s="10"/>
      <c r="Q52" s="10"/>
      <c r="R52" s="10"/>
      <c r="S52" s="853"/>
      <c r="T52" s="853"/>
    </row>
    <row r="53" spans="1:30" s="19" customFormat="1" ht="12.75" x14ac:dyDescent="0.2">
      <c r="A53" s="700"/>
      <c r="B53" s="855"/>
      <c r="C53" s="1152"/>
      <c r="D53" s="1153"/>
      <c r="E53" s="855"/>
      <c r="F53" s="1152"/>
      <c r="G53" s="1153"/>
      <c r="H53" s="1154"/>
      <c r="I53" s="701"/>
      <c r="J53" s="1153"/>
      <c r="K53" s="863"/>
      <c r="L53" s="1153"/>
      <c r="M53" s="10"/>
      <c r="N53" s="10"/>
      <c r="O53" s="10"/>
      <c r="P53" s="10"/>
      <c r="Q53" s="10"/>
      <c r="R53" s="10"/>
      <c r="S53" s="853"/>
      <c r="T53" s="853"/>
    </row>
    <row r="54" spans="1:30" s="19" customFormat="1" ht="12.75" x14ac:dyDescent="0.2">
      <c r="A54" s="703"/>
      <c r="B54" s="857"/>
      <c r="C54" s="704"/>
      <c r="D54" s="1155"/>
      <c r="E54" s="857"/>
      <c r="F54" s="704"/>
      <c r="G54" s="1155"/>
      <c r="H54" s="1156"/>
      <c r="I54" s="704"/>
      <c r="J54" s="1155"/>
      <c r="K54" s="865"/>
      <c r="L54" s="1155"/>
      <c r="M54" s="10"/>
      <c r="N54" s="10"/>
      <c r="O54" s="10"/>
      <c r="P54" s="10"/>
      <c r="Q54" s="10"/>
      <c r="R54" s="10"/>
      <c r="S54" s="853"/>
      <c r="T54" s="853"/>
      <c r="AD54" s="30"/>
    </row>
    <row r="55" spans="1:30" s="19" customFormat="1" ht="12.75" x14ac:dyDescent="0.2">
      <c r="A55" s="1131"/>
      <c r="B55" s="701"/>
      <c r="C55" s="702"/>
      <c r="D55" s="699"/>
      <c r="E55" s="701"/>
      <c r="F55" s="701"/>
      <c r="G55" s="701"/>
      <c r="H55" s="702"/>
      <c r="I55" s="699"/>
      <c r="J55" s="701"/>
      <c r="K55" s="1132"/>
      <c r="L55" s="1132"/>
      <c r="M55" s="701"/>
      <c r="N55" s="1133"/>
      <c r="O55" s="10"/>
      <c r="P55" s="10"/>
      <c r="Q55" s="10"/>
      <c r="R55" s="10"/>
      <c r="S55" s="853"/>
      <c r="T55" s="853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4">
        <f>MIN(B$61:B$80)</f>
        <v>2.1760076170797742</v>
      </c>
      <c r="C57" s="364">
        <f t="shared" ref="C57:N57" si="10">MIN(C$61:C$80)</f>
        <v>3.2530981725142336</v>
      </c>
      <c r="D57" s="364">
        <f t="shared" si="10"/>
        <v>4.5722756352400191</v>
      </c>
      <c r="E57" s="364">
        <f t="shared" si="10"/>
        <v>5.8553361632554353</v>
      </c>
      <c r="F57" s="364">
        <f t="shared" si="10"/>
        <v>6.6179150911219233</v>
      </c>
      <c r="G57" s="364">
        <f t="shared" si="10"/>
        <v>6.7516954206738014</v>
      </c>
      <c r="H57" s="364">
        <f t="shared" si="10"/>
        <v>6.4771188699672386</v>
      </c>
      <c r="I57" s="364">
        <f t="shared" si="10"/>
        <v>5.7770079875116602</v>
      </c>
      <c r="J57" s="364">
        <f t="shared" si="10"/>
        <v>4.8399353653349637</v>
      </c>
      <c r="K57" s="364">
        <f t="shared" si="10"/>
        <v>3.610913761772097</v>
      </c>
      <c r="L57" s="364">
        <f t="shared" si="10"/>
        <v>2.4503314762001573</v>
      </c>
      <c r="M57" s="364">
        <f t="shared" si="10"/>
        <v>1.799136777995904</v>
      </c>
      <c r="N57" s="364">
        <f t="shared" si="10"/>
        <v>4.5480825047006617</v>
      </c>
      <c r="P57" s="365"/>
      <c r="Q57" s="366"/>
      <c r="R57" s="365"/>
      <c r="S57" s="365"/>
      <c r="T57" s="365"/>
      <c r="U57" s="365"/>
      <c r="V57" s="365"/>
    </row>
    <row r="58" spans="1:30" s="10" customFormat="1" ht="11.25" x14ac:dyDescent="0.2">
      <c r="A58" s="75" t="s">
        <v>58</v>
      </c>
      <c r="B58" s="364">
        <f>AVERAGE(B$61:B$80)</f>
        <v>2.2418173372858154</v>
      </c>
      <c r="C58" s="364">
        <f t="shared" ref="C58:N58" si="11">AVERAGE(C$61:C$80)</f>
        <v>3.3472756313863021</v>
      </c>
      <c r="D58" s="364">
        <f t="shared" si="11"/>
        <v>4.7115205846127699</v>
      </c>
      <c r="E58" s="364">
        <f t="shared" si="11"/>
        <v>6.0252599344897204</v>
      </c>
      <c r="F58" s="364">
        <f t="shared" si="11"/>
        <v>6.8069614155504059</v>
      </c>
      <c r="G58" s="364">
        <f t="shared" si="11"/>
        <v>6.959518266110142</v>
      </c>
      <c r="H58" s="364">
        <f t="shared" si="11"/>
        <v>6.6734799690665678</v>
      </c>
      <c r="I58" s="364">
        <f t="shared" si="11"/>
        <v>5.9487927552826108</v>
      </c>
      <c r="J58" s="364">
        <f t="shared" si="11"/>
        <v>4.9804614463572126</v>
      </c>
      <c r="K58" s="364">
        <f t="shared" si="11"/>
        <v>3.7109669329651238</v>
      </c>
      <c r="L58" s="364">
        <f t="shared" si="11"/>
        <v>2.519641559491713</v>
      </c>
      <c r="M58" s="364">
        <f t="shared" si="11"/>
        <v>1.8546181999416163</v>
      </c>
      <c r="N58" s="364">
        <f t="shared" si="11"/>
        <v>4.6545028054776427</v>
      </c>
      <c r="P58" s="365"/>
      <c r="Q58" s="366"/>
      <c r="R58" s="365"/>
      <c r="S58" s="365"/>
      <c r="T58" s="365"/>
      <c r="U58" s="365"/>
      <c r="V58" s="365"/>
    </row>
    <row r="59" spans="1:30" s="10" customFormat="1" ht="11.25" x14ac:dyDescent="0.2">
      <c r="A59" s="75" t="s">
        <v>59</v>
      </c>
      <c r="B59" s="364">
        <f>MAX(B$61:B$80)</f>
        <v>2.3056082157322622</v>
      </c>
      <c r="C59" s="364">
        <f t="shared" ref="C59:N59" si="12">MAX(C$61:C$80)</f>
        <v>3.4521397487377921</v>
      </c>
      <c r="D59" s="364">
        <f t="shared" si="12"/>
        <v>4.8678057002086188</v>
      </c>
      <c r="E59" s="364">
        <f t="shared" si="12"/>
        <v>6.1925754627036707</v>
      </c>
      <c r="F59" s="364">
        <f t="shared" si="12"/>
        <v>7.0139030823795459</v>
      </c>
      <c r="G59" s="364">
        <f t="shared" si="12"/>
        <v>7.1545897858096703</v>
      </c>
      <c r="H59" s="364">
        <f t="shared" si="12"/>
        <v>6.8609200652999869</v>
      </c>
      <c r="I59" s="364">
        <f t="shared" si="12"/>
        <v>6.1157628676085167</v>
      </c>
      <c r="J59" s="364">
        <f t="shared" si="12"/>
        <v>5.120474420651127</v>
      </c>
      <c r="K59" s="364">
        <f t="shared" si="12"/>
        <v>3.8171996375756345</v>
      </c>
      <c r="L59" s="364">
        <f t="shared" si="12"/>
        <v>2.5999094653955992</v>
      </c>
      <c r="M59" s="364">
        <f t="shared" si="12"/>
        <v>1.9127758786456264</v>
      </c>
      <c r="N59" s="364">
        <f t="shared" si="12"/>
        <v>4.7740062470484537</v>
      </c>
      <c r="P59" s="365"/>
      <c r="Q59" s="366"/>
      <c r="R59" s="365"/>
      <c r="S59" s="365"/>
      <c r="T59" s="365"/>
      <c r="U59" s="365"/>
      <c r="V59" s="365"/>
    </row>
    <row r="60" spans="1:30" s="19" customFormat="1" ht="12.75" x14ac:dyDescent="0.2">
      <c r="A60" s="107" t="s">
        <v>52</v>
      </c>
      <c r="B60" s="339">
        <v>15</v>
      </c>
      <c r="C60" s="339">
        <v>46</v>
      </c>
      <c r="D60" s="339">
        <v>75</v>
      </c>
      <c r="E60" s="339">
        <v>106</v>
      </c>
      <c r="F60" s="339">
        <v>136</v>
      </c>
      <c r="G60" s="339">
        <v>167</v>
      </c>
      <c r="H60" s="339">
        <v>197</v>
      </c>
      <c r="I60" s="339">
        <v>228</v>
      </c>
      <c r="J60" s="339">
        <v>259</v>
      </c>
      <c r="K60" s="339">
        <v>289</v>
      </c>
      <c r="L60" s="339">
        <v>320</v>
      </c>
      <c r="M60" s="339">
        <v>350</v>
      </c>
      <c r="N60" s="339" t="s">
        <v>60</v>
      </c>
      <c r="O60" s="30"/>
      <c r="P60" s="145"/>
      <c r="Q60" s="338"/>
      <c r="R60" s="145"/>
      <c r="S60" s="145"/>
      <c r="T60" s="145"/>
      <c r="U60" s="145"/>
      <c r="V60" s="32"/>
      <c r="W60" s="30"/>
      <c r="X60" s="30"/>
      <c r="Y60" s="30"/>
      <c r="Z60" s="30"/>
    </row>
    <row r="61" spans="1:30" s="19" customFormat="1" ht="12.75" x14ac:dyDescent="0.2">
      <c r="A61" s="138">
        <f>'2022'!An</f>
        <v>2022</v>
      </c>
      <c r="B61" s="340"/>
      <c r="C61" s="340"/>
      <c r="D61" s="340"/>
      <c r="E61" s="341"/>
      <c r="F61" s="340"/>
      <c r="G61" s="340">
        <f>AVERAGE('2022'!$V$166:$V$195)/Pc</f>
        <v>7.112625280918853</v>
      </c>
      <c r="H61" s="340">
        <f>AVERAGE('2022'!$V$196:$V$226)/Pc</f>
        <v>6.821953597769931</v>
      </c>
      <c r="I61" s="340">
        <f>AVERAGE('2022'!$V$227:$V$257)/Pc</f>
        <v>6.0827600330178981</v>
      </c>
      <c r="J61" s="342">
        <f>AVERAGE('2022'!$V$258:$V$287)/Pc</f>
        <v>5.0944670944298958</v>
      </c>
      <c r="K61" s="343">
        <f>AVERAGE('2022'!$V$288:$V$318)/Pc</f>
        <v>3.7998689759698356</v>
      </c>
      <c r="L61" s="340">
        <f>AVERAGE('2022'!$V$319:$V$348)/Pc</f>
        <v>2.5955073444707137</v>
      </c>
      <c r="M61" s="344">
        <f>AVERAGE('2022'!$V$349:$V$379)/Pc</f>
        <v>1.9108614027620487</v>
      </c>
      <c r="N61" s="348">
        <f t="shared" ref="N61:N66" si="13">AVERAGE(B61:M61)</f>
        <v>4.7740062470484537</v>
      </c>
      <c r="O61" s="30"/>
      <c r="P61" s="145"/>
      <c r="Q61" s="338"/>
      <c r="R61" s="145"/>
      <c r="S61" s="145"/>
      <c r="T61" s="145"/>
      <c r="U61" s="145"/>
      <c r="V61" s="32"/>
      <c r="W61" s="30"/>
      <c r="X61" s="30"/>
      <c r="Y61" s="30"/>
      <c r="Z61" s="30"/>
    </row>
    <row r="62" spans="1:30" s="19" customFormat="1" ht="12.75" x14ac:dyDescent="0.2">
      <c r="A62" s="139">
        <f>'2023'!An</f>
        <v>2023</v>
      </c>
      <c r="B62" s="345">
        <f>AVERAGE('2023'!$V$15:$V$45)/Pc</f>
        <v>2.303335035196441</v>
      </c>
      <c r="C62" s="345">
        <f>AVERAGE('2023'!$V$46:$V$73)/Pc</f>
        <v>3.4198258898255309</v>
      </c>
      <c r="D62" s="345">
        <f>AVERAGE('2023'!$V$74:$V$104)/Pc</f>
        <v>4.8027926651767041</v>
      </c>
      <c r="E62" s="346">
        <f>AVERAGE('2023'!$V$105:$V$134)/Pc</f>
        <v>6.1472661054255084</v>
      </c>
      <c r="F62" s="345">
        <f>AVERAGE('2023'!$V$135:$V$165)/Pc</f>
        <v>7.0139030823795459</v>
      </c>
      <c r="G62" s="345">
        <f>AVERAGE('2023'!$V$166:$V$195)/Pc</f>
        <v>7.1545897858096703</v>
      </c>
      <c r="H62" s="345">
        <f>AVERAGE('2023'!$V$196:$V$226)/Pc</f>
        <v>6.8609200652999869</v>
      </c>
      <c r="I62" s="345">
        <f>AVERAGE('2023'!$V$227:$V$257)/Pc</f>
        <v>6.1157628676085167</v>
      </c>
      <c r="J62" s="343">
        <f>AVERAGE('2023'!$V$258:$V$287)/Pc</f>
        <v>5.120474420651127</v>
      </c>
      <c r="K62" s="343">
        <f>AVERAGE('2023'!$V$288:$V$318)/Pc</f>
        <v>3.8171996375756345</v>
      </c>
      <c r="L62" s="345">
        <f>AVERAGE('2023'!$V$319:$V$348)/Pc</f>
        <v>2.5999094653955992</v>
      </c>
      <c r="M62" s="347">
        <f>AVERAGE('2023'!$V$349:$V$379)/Pc</f>
        <v>1.9127758786456264</v>
      </c>
      <c r="N62" s="349">
        <f t="shared" si="13"/>
        <v>4.7723962415824905</v>
      </c>
      <c r="O62" s="30"/>
      <c r="P62" s="145"/>
      <c r="Q62" s="338"/>
      <c r="R62" s="145"/>
      <c r="S62" s="145"/>
      <c r="T62" s="145"/>
      <c r="U62" s="145"/>
      <c r="V62" s="32"/>
      <c r="W62" s="30"/>
      <c r="X62" s="30"/>
      <c r="Y62" s="30"/>
      <c r="Z62" s="30"/>
    </row>
    <row r="63" spans="1:30" s="19" customFormat="1" ht="12.75" x14ac:dyDescent="0.2">
      <c r="A63" s="139">
        <f>'2024'!An</f>
        <v>2024</v>
      </c>
      <c r="B63" s="345">
        <f>AVERAGE('2024'!$V$15:$V$45)/Pc</f>
        <v>2.3056082157322622</v>
      </c>
      <c r="C63" s="345">
        <f>AVERAGE('2024'!$V$46:$V$74)/Pc</f>
        <v>3.4521397487377921</v>
      </c>
      <c r="D63" s="345">
        <f>AVERAGE('2024'!$V$75:$V$105)/Pc</f>
        <v>4.8678057002086188</v>
      </c>
      <c r="E63" s="346">
        <f>AVERAGE('2024'!$V$106:$V$135)/Pc</f>
        <v>6.1925754627036707</v>
      </c>
      <c r="F63" s="345">
        <f>AVERAGE('2024'!$V$136:$V$166)/Pc</f>
        <v>6.8306108983896507</v>
      </c>
      <c r="G63" s="345">
        <f>AVERAGE('2024'!$V$167:$V$196)/Pc</f>
        <v>6.9552776219917209</v>
      </c>
      <c r="H63" s="345">
        <f>AVERAGE('2024'!$V$197:$V$227)/Pc</f>
        <v>6.6571953023423998</v>
      </c>
      <c r="I63" s="345">
        <f>AVERAGE('2024'!$V$228:$V$258)/Pc</f>
        <v>5.925027328500593</v>
      </c>
      <c r="J63" s="343">
        <f>AVERAGE('2024'!$V$259:$V$288)/Pc</f>
        <v>4.9494348123672616</v>
      </c>
      <c r="K63" s="343">
        <f>AVERAGE('2024'!$V$289:$V$319)/Pc</f>
        <v>3.6772745588005424</v>
      </c>
      <c r="L63" s="345">
        <f>AVERAGE('2024'!$V$320:$V$349)/Pc</f>
        <v>2.4973591505270942</v>
      </c>
      <c r="M63" s="347">
        <f>AVERAGE('2024'!$V$350:$V$380)/Pc</f>
        <v>1.8552036440061501</v>
      </c>
      <c r="N63" s="350">
        <f t="shared" si="13"/>
        <v>4.680459370358979</v>
      </c>
      <c r="O63" s="30"/>
      <c r="P63" s="145"/>
      <c r="Q63" s="338"/>
      <c r="R63" s="145"/>
      <c r="S63" s="145"/>
      <c r="T63" s="145"/>
      <c r="U63" s="145"/>
      <c r="V63" s="32"/>
      <c r="W63" s="30"/>
      <c r="X63" s="30"/>
      <c r="Y63" s="30"/>
      <c r="Z63" s="30"/>
    </row>
    <row r="64" spans="1:30" s="19" customFormat="1" ht="12.75" x14ac:dyDescent="0.2">
      <c r="A64" s="139">
        <f>'2025'!An</f>
        <v>2025</v>
      </c>
      <c r="B64" s="345">
        <f>AVERAGE('2025'!$V$15:$V$45)/Pc</f>
        <v>2.2460725985057959</v>
      </c>
      <c r="C64" s="345">
        <f>AVERAGE('2025'!$V$46:$V$73)/Pc</f>
        <v>3.3494925856949478</v>
      </c>
      <c r="D64" s="345">
        <f>AVERAGE('2025'!$V$74:$V$104)/Pc</f>
        <v>4.7111233460550102</v>
      </c>
      <c r="E64" s="346">
        <f>AVERAGE('2025'!$V$105:$V$134)/Pc</f>
        <v>6.0332159248306505</v>
      </c>
      <c r="F64" s="345">
        <f>AVERAGE('2025'!$V$135:$V$165)/Pc</f>
        <v>6.9440163285065744</v>
      </c>
      <c r="G64" s="345">
        <f>AVERAGE('2025'!$V$166:$V$195)/Pc</f>
        <v>7.083338083393464</v>
      </c>
      <c r="H64" s="345">
        <f>AVERAGE('2025'!$V$196:$V$226)/Pc</f>
        <v>6.7925702445672451</v>
      </c>
      <c r="I64" s="345">
        <f>AVERAGE('2025'!$V$227:$V$257)/Pc</f>
        <v>6.0546145860564016</v>
      </c>
      <c r="J64" s="343">
        <f>AVERAGE('2025'!$V$258:$V$287)/Pc</f>
        <v>5.069008647152689</v>
      </c>
      <c r="K64" s="343">
        <f>AVERAGE('2025'!$V$288:$V$318)/Pc</f>
        <v>3.7771602653431233</v>
      </c>
      <c r="L64" s="345">
        <f>AVERAGE('2025'!$V$319:$V$348)/Pc</f>
        <v>2.5601727644018437</v>
      </c>
      <c r="M64" s="347">
        <f>AVERAGE('2025'!$V$349:$V$379)/Pc</f>
        <v>1.8814379096884362</v>
      </c>
      <c r="N64" s="349">
        <f t="shared" si="13"/>
        <v>4.7085186070163481</v>
      </c>
      <c r="O64" s="30"/>
      <c r="P64" s="145"/>
      <c r="Q64" s="338"/>
      <c r="R64" s="145"/>
      <c r="S64" s="145"/>
      <c r="T64" s="145"/>
      <c r="U64" s="145"/>
      <c r="V64" s="32"/>
      <c r="W64" s="30"/>
      <c r="X64" s="30"/>
      <c r="Y64" s="30"/>
      <c r="Z64" s="30"/>
    </row>
    <row r="65" spans="1:26" s="19" customFormat="1" ht="12.75" x14ac:dyDescent="0.2">
      <c r="A65" s="540">
        <f>'2026'!An</f>
        <v>2026</v>
      </c>
      <c r="B65" s="541">
        <f>AVERAGE('2026'!$V$15:$V$45)/Pc</f>
        <v>2.2699908276664775</v>
      </c>
      <c r="C65" s="541">
        <f>AVERAGE('2026'!$V$46:$V$73)/Pc</f>
        <v>3.390597903045713</v>
      </c>
      <c r="D65" s="541">
        <f>AVERAGE('2026'!$V$74:$V$104)/Pc</f>
        <v>4.7701120181415941</v>
      </c>
      <c r="E65" s="543">
        <f>AVERAGE('2026'!$V$105:$V$134)/Pc</f>
        <v>6.0976727553590502</v>
      </c>
      <c r="F65" s="541">
        <f>AVERAGE('2026'!$V$135:$V$165)/Pc</f>
        <v>6.7515279257256244</v>
      </c>
      <c r="G65" s="541">
        <f>AVERAGE('2026'!$V$166:$V$195)/Pc</f>
        <v>6.8880666374883992</v>
      </c>
      <c r="H65" s="541">
        <f>AVERAGE('2026'!$V$196:$V$226)/Pc</f>
        <v>6.607907420735561</v>
      </c>
      <c r="I65" s="541">
        <f>AVERAGE('2026'!$V$227:$V$257)/Pc</f>
        <v>5.8933192885927577</v>
      </c>
      <c r="J65" s="541">
        <f>AVERAGE('2026'!$V$258:$V$287)/Pc</f>
        <v>4.936997072415906</v>
      </c>
      <c r="K65" s="541">
        <f>AVERAGE('2026'!$V$288:$V$318)/Pc</f>
        <v>3.6800649006235142</v>
      </c>
      <c r="L65" s="541">
        <f>AVERAGE('2026'!$V$319:$V$348)/Pc</f>
        <v>2.4902735688267836</v>
      </c>
      <c r="M65" s="542">
        <f>AVERAGE('2026'!$V$349:$V$379)/Pc</f>
        <v>1.8304880569596331</v>
      </c>
      <c r="N65" s="548">
        <f t="shared" si="13"/>
        <v>4.6339181979650848</v>
      </c>
      <c r="O65" s="30"/>
      <c r="P65" s="145"/>
      <c r="Q65" s="338"/>
      <c r="R65" s="145"/>
      <c r="S65" s="145"/>
      <c r="T65" s="145"/>
      <c r="U65" s="145"/>
      <c r="V65" s="32"/>
      <c r="W65" s="30"/>
      <c r="X65" s="30"/>
      <c r="Y65" s="30"/>
      <c r="Z65" s="30"/>
    </row>
    <row r="66" spans="1:26" s="19" customFormat="1" ht="12.75" x14ac:dyDescent="0.2">
      <c r="A66" s="540">
        <v>2023</v>
      </c>
      <c r="B66" s="541">
        <f>AVERAGE('2027'!$V$15:$V$45)/Pc</f>
        <v>2.2111339035396491</v>
      </c>
      <c r="C66" s="541">
        <f>AVERAGE('2027'!$V$46:$V$73)/Pc</f>
        <v>3.310396985975621</v>
      </c>
      <c r="D66" s="541">
        <f>AVERAGE('2027'!$V$74:$V$104)/Pc</f>
        <v>4.664096483355717</v>
      </c>
      <c r="E66" s="543">
        <f>AVERAGE('2027'!$V$105:$V$134)/Pc</f>
        <v>5.9731277263511329</v>
      </c>
      <c r="F66" s="541">
        <f>AVERAGE('2027'!$V$135:$V$165)/Pc</f>
        <v>6.8749053271911418</v>
      </c>
      <c r="G66" s="541">
        <f>AVERAGE('2027'!$V$166:$V$195)/Pc</f>
        <v>7.0128876704057861</v>
      </c>
      <c r="H66" s="541">
        <f>AVERAGE('2027'!$V$196:$V$226)/Pc</f>
        <v>6.7249828147809758</v>
      </c>
      <c r="I66" s="541">
        <f>AVERAGE('2027'!$V$227:$V$257)/Pc</f>
        <v>5.9941230050020851</v>
      </c>
      <c r="J66" s="541">
        <f>AVERAGE('2027'!$V$258:$V$287)/Pc</f>
        <v>5.018128221000719</v>
      </c>
      <c r="K66" s="541">
        <f>AVERAGE('2027'!$V$288:$V$318)/Pc</f>
        <v>3.7359837263045454</v>
      </c>
      <c r="L66" s="541">
        <f>AVERAGE('2027'!$V$319:$V$348)/Pc</f>
        <v>2.5192860449588448</v>
      </c>
      <c r="M66" s="542">
        <f>AVERAGE('2027'!$V$349:$V$379)/Pc</f>
        <v>1.8494627402684998</v>
      </c>
      <c r="N66" s="548">
        <f t="shared" si="13"/>
        <v>4.6573762207612264</v>
      </c>
      <c r="O66" s="30"/>
      <c r="P66" s="145"/>
      <c r="Q66" s="338"/>
      <c r="R66" s="145"/>
      <c r="S66" s="145"/>
      <c r="T66" s="145"/>
      <c r="U66" s="145"/>
      <c r="V66" s="32"/>
      <c r="W66" s="30"/>
      <c r="X66" s="30"/>
      <c r="Y66" s="30"/>
      <c r="Z66" s="30"/>
    </row>
    <row r="67" spans="1:26" s="19" customFormat="1" ht="12.75" x14ac:dyDescent="0.2">
      <c r="A67" s="540">
        <v>2024</v>
      </c>
      <c r="B67" s="541">
        <f>AVERAGE('2028'!$V$15:$V$45)/Pc</f>
        <v>2.2342106733328739</v>
      </c>
      <c r="C67" s="541">
        <f>AVERAGE('2028'!$V$46:$V$73)/Pc</f>
        <v>3.3497053092739986</v>
      </c>
      <c r="D67" s="541">
        <f>AVERAGE('2028'!$V$74:$V$104)/Pc</f>
        <v>4.7222660146072295</v>
      </c>
      <c r="E67" s="543">
        <f>AVERAGE('2028'!$V$105:$V$134)/Pc</f>
        <v>6.0367048002391117</v>
      </c>
      <c r="F67" s="541">
        <f>AVERAGE('2028'!$V$135:$V$165)/Pc</f>
        <v>6.6843249848368851</v>
      </c>
      <c r="G67" s="541">
        <f>AVERAGE('2028'!$V$166:$V$195)/Pc</f>
        <v>6.8195559722067483</v>
      </c>
      <c r="H67" s="541">
        <f>AVERAGE('2028'!$V$196:$V$226)/Pc</f>
        <v>6.542151295611137</v>
      </c>
      <c r="I67" s="541">
        <f>AVERAGE('2028'!$V$227:$V$257)/Pc</f>
        <v>5.8344157463233683</v>
      </c>
      <c r="J67" s="541">
        <f>AVERAGE('2028'!$V$258:$V$287)/Pc</f>
        <v>4.8874213972397333</v>
      </c>
      <c r="K67" s="541">
        <f>AVERAGE('2028'!$V$288:$V$318)/Pc</f>
        <v>3.6394586782183365</v>
      </c>
      <c r="L67" s="541">
        <f>AVERAGE('2028'!$V$319:$V$348)/Pc</f>
        <v>2.4503314762001573</v>
      </c>
      <c r="M67" s="542">
        <f>AVERAGE('2028'!$V$349:$V$379)/Pc</f>
        <v>1.799136777995904</v>
      </c>
      <c r="N67" s="548">
        <f>AVERAGE(B67:M67)</f>
        <v>4.5833069271737896</v>
      </c>
      <c r="O67" s="30"/>
      <c r="P67" s="145"/>
      <c r="Q67" s="338"/>
      <c r="R67" s="145"/>
      <c r="S67" s="145"/>
      <c r="T67" s="145"/>
      <c r="U67" s="145"/>
      <c r="V67" s="32"/>
      <c r="W67" s="30"/>
      <c r="X67" s="30"/>
      <c r="Y67" s="30"/>
      <c r="Z67" s="30"/>
    </row>
    <row r="68" spans="1:26" s="19" customFormat="1" ht="12.75" x14ac:dyDescent="0.2">
      <c r="A68" s="540">
        <v>2025</v>
      </c>
      <c r="B68" s="541">
        <f>AVERAGE('2029'!$V$15:$V$45)/Pc</f>
        <v>2.1760076170797742</v>
      </c>
      <c r="C68" s="541">
        <f>AVERAGE('2029'!$V$46:$V$73)/Pc</f>
        <v>3.2698014910771822</v>
      </c>
      <c r="D68" s="541">
        <f>AVERAGE('2029'!$V$74:$V$104)/Pc</f>
        <v>4.6170847558256058</v>
      </c>
      <c r="E68" s="543">
        <f>AVERAGE('2029'!$V$105:$V$134)/Pc</f>
        <v>5.9140913373313548</v>
      </c>
      <c r="F68" s="541">
        <f>AVERAGE('2029'!$V$135:$V$165)/Pc</f>
        <v>6.8065851769713408</v>
      </c>
      <c r="G68" s="541">
        <f>AVERAGE('2029'!$V$166:$V$195)/Pc</f>
        <v>6.9430977816037505</v>
      </c>
      <c r="H68" s="541">
        <f>AVERAGE('2029'!$V$196:$V$226)/Pc</f>
        <v>6.6581166072534854</v>
      </c>
      <c r="I68" s="541">
        <f>AVERAGE('2029'!$V$227:$V$257)/Pc</f>
        <v>5.9350518710614661</v>
      </c>
      <c r="J68" s="541">
        <f>AVERAGE('2029'!$V$258:$V$287)/Pc</f>
        <v>4.9692701131752788</v>
      </c>
      <c r="K68" s="541">
        <f>AVERAGE('2029'!$V$288:$V$318)/Pc</f>
        <v>3.7051542915771289</v>
      </c>
      <c r="L68" s="541">
        <f>AVERAGE('2029'!$V$319:$V$348)/Pc</f>
        <v>2.5300151259436054</v>
      </c>
      <c r="M68" s="542">
        <f>AVERAGE('2029'!$V$349:$V$379)/Pc</f>
        <v>1.8620189593966114</v>
      </c>
      <c r="N68" s="548">
        <f>AVERAGE(B68:M68)</f>
        <v>4.6155245940247154</v>
      </c>
      <c r="O68" s="30"/>
      <c r="P68" s="145"/>
      <c r="Q68" s="338"/>
      <c r="R68" s="145"/>
      <c r="S68" s="145"/>
      <c r="T68" s="145"/>
      <c r="U68" s="145"/>
      <c r="V68" s="32"/>
      <c r="W68" s="30"/>
      <c r="X68" s="30"/>
      <c r="Y68" s="30"/>
      <c r="Z68" s="30"/>
    </row>
    <row r="69" spans="1:26" s="19" customFormat="1" ht="12.75" x14ac:dyDescent="0.2">
      <c r="A69" s="540">
        <v>2026</v>
      </c>
      <c r="B69" s="541">
        <f>AVERAGE('2030'!$V$15:$V$45)/Pc</f>
        <v>2.2438399668740261</v>
      </c>
      <c r="C69" s="541">
        <f>AVERAGE('2030'!$V$46:$V$73)/Pc</f>
        <v>3.3304225963317031</v>
      </c>
      <c r="D69" s="541">
        <f>AVERAGE('2030'!$V$74:$V$104)/Pc</f>
        <v>4.6761286429044322</v>
      </c>
      <c r="E69" s="543">
        <f>AVERAGE('2030'!$V$105:$V$134)/Pc</f>
        <v>5.9773491349115657</v>
      </c>
      <c r="F69" s="541">
        <f>AVERAGE('2030'!$V$135:$V$165)/Pc</f>
        <v>6.6179150911219233</v>
      </c>
      <c r="G69" s="541">
        <f>AVERAGE('2030'!$V$166:$V$195)/Pc</f>
        <v>6.7516954206738014</v>
      </c>
      <c r="H69" s="541">
        <f>AVERAGE('2030'!$V$196:$V$226)/Pc</f>
        <v>6.4771188699672386</v>
      </c>
      <c r="I69" s="541">
        <f>AVERAGE('2030'!$V$227:$V$257)/Pc</f>
        <v>5.7770079875116602</v>
      </c>
      <c r="J69" s="541">
        <f>AVERAGE('2030'!$V$258:$V$287)/Pc</f>
        <v>4.8399353653349637</v>
      </c>
      <c r="K69" s="541">
        <f>AVERAGE('2030'!$V$288:$V$318)/Pc</f>
        <v>3.610913761772097</v>
      </c>
      <c r="L69" s="541">
        <f>AVERAGE('2030'!$V$319:$V$348)/Pc</f>
        <v>2.4619782202109692</v>
      </c>
      <c r="M69" s="542">
        <f>AVERAGE('2030'!$V$349:$V$379)/Pc</f>
        <v>1.8126849987935634</v>
      </c>
      <c r="N69" s="548">
        <f>AVERAGE(B69:M69)</f>
        <v>4.5480825047006617</v>
      </c>
      <c r="O69" s="30"/>
      <c r="P69" s="145"/>
      <c r="Q69" s="338"/>
      <c r="R69" s="145"/>
      <c r="S69" s="145"/>
      <c r="T69" s="145"/>
      <c r="U69" s="145"/>
      <c r="V69" s="32"/>
      <c r="W69" s="30"/>
      <c r="X69" s="30"/>
      <c r="Y69" s="30"/>
      <c r="Z69" s="30"/>
    </row>
    <row r="70" spans="1:26" s="19" customFormat="1" ht="12.75" x14ac:dyDescent="0.2">
      <c r="A70" s="540">
        <v>2027</v>
      </c>
      <c r="B70" s="541">
        <f>AVERAGE('2031'!$V$15:$V$45)/Pc</f>
        <v>2.1861571976450396</v>
      </c>
      <c r="C70" s="541">
        <f>AVERAGE('2031'!$V$46:$V$73)/Pc</f>
        <v>3.2530981725142336</v>
      </c>
      <c r="D70" s="541">
        <f>AVERAGE('2031'!$V$74:$V$104)/Pc</f>
        <v>4.5722756352400191</v>
      </c>
      <c r="E70" s="543">
        <f>AVERAGE('2031'!$V$105:$V$134)/Pc</f>
        <v>5.8553361632554353</v>
      </c>
      <c r="F70" s="541">
        <f>AVERAGE('2031'!$V$135:$V$165)/Pc</f>
        <v>6.7388639248309694</v>
      </c>
      <c r="G70" s="541">
        <f>AVERAGE('2031'!$V$166:$V$195)/Pc</f>
        <v>6.8740484066092158</v>
      </c>
      <c r="H70" s="541">
        <f>AVERAGE('2031'!$V$196:$V$226)/Pc</f>
        <v>6.5918834723377291</v>
      </c>
      <c r="I70" s="541">
        <f>AVERAGE('2031'!$V$227:$V$257)/Pc</f>
        <v>5.8758448391513642</v>
      </c>
      <c r="J70" s="541">
        <f>AVERAGE('2031'!$V$258:$V$287)/Pc</f>
        <v>4.9194773198045514</v>
      </c>
      <c r="K70" s="541">
        <f>AVERAGE('2031'!$V$288:$V$318)/Pc</f>
        <v>3.6665905334664859</v>
      </c>
      <c r="L70" s="541">
        <f>AVERAGE('2031'!$V$319:$V$348)/Pc</f>
        <v>2.4915824339815198</v>
      </c>
      <c r="M70" s="542">
        <f>AVERAGE('2031'!$V$349:$V$379)/Pc</f>
        <v>1.8321116308996901</v>
      </c>
      <c r="N70" s="548">
        <f>AVERAGE(B70:M70)</f>
        <v>4.5714391441446871</v>
      </c>
      <c r="O70" s="30"/>
      <c r="P70" s="145"/>
      <c r="Q70" s="338"/>
      <c r="R70" s="145"/>
      <c r="S70" s="145"/>
      <c r="T70" s="145"/>
      <c r="U70" s="145"/>
      <c r="V70" s="32"/>
      <c r="W70" s="30"/>
      <c r="X70" s="30"/>
      <c r="Y70" s="30"/>
      <c r="Z70" s="30"/>
    </row>
    <row r="71" spans="1:26" s="19" customFormat="1" ht="12.75" x14ac:dyDescent="0.2">
      <c r="A71" s="540"/>
      <c r="B71" s="541"/>
      <c r="C71" s="541"/>
      <c r="D71" s="541"/>
      <c r="E71" s="543"/>
      <c r="F71" s="541"/>
      <c r="G71" s="541"/>
      <c r="H71" s="541"/>
      <c r="I71" s="541"/>
      <c r="J71" s="541"/>
      <c r="K71" s="541"/>
      <c r="L71" s="541"/>
      <c r="M71" s="542"/>
      <c r="N71" s="548"/>
      <c r="O71" s="30"/>
      <c r="P71" s="145"/>
      <c r="Q71" s="338"/>
      <c r="R71" s="145"/>
      <c r="S71" s="145"/>
      <c r="T71" s="145"/>
      <c r="U71" s="145"/>
      <c r="V71" s="32"/>
      <c r="W71" s="30"/>
      <c r="X71" s="30"/>
      <c r="Y71" s="30"/>
      <c r="Z71" s="30"/>
    </row>
    <row r="72" spans="1:26" s="19" customFormat="1" ht="12.75" x14ac:dyDescent="0.2">
      <c r="A72" s="540"/>
      <c r="B72" s="541"/>
      <c r="C72" s="541"/>
      <c r="D72" s="541"/>
      <c r="E72" s="543"/>
      <c r="F72" s="541"/>
      <c r="G72" s="541"/>
      <c r="H72" s="541"/>
      <c r="I72" s="541"/>
      <c r="J72" s="541"/>
      <c r="K72" s="541"/>
      <c r="L72" s="541"/>
      <c r="M72" s="542"/>
      <c r="N72" s="548"/>
      <c r="O72" s="30"/>
      <c r="P72" s="145"/>
      <c r="Q72" s="338"/>
      <c r="R72" s="145"/>
      <c r="S72" s="145"/>
      <c r="T72" s="145"/>
      <c r="U72" s="145"/>
      <c r="V72" s="32"/>
      <c r="W72" s="30"/>
      <c r="X72" s="30"/>
      <c r="Y72" s="30"/>
      <c r="Z72" s="30"/>
    </row>
    <row r="73" spans="1:26" s="19" customFormat="1" ht="12.75" x14ac:dyDescent="0.2">
      <c r="A73" s="540"/>
      <c r="B73" s="541"/>
      <c r="C73" s="541"/>
      <c r="D73" s="541"/>
      <c r="E73" s="543"/>
      <c r="F73" s="541"/>
      <c r="G73" s="541"/>
      <c r="H73" s="541"/>
      <c r="I73" s="541"/>
      <c r="J73" s="541"/>
      <c r="K73" s="541"/>
      <c r="L73" s="541"/>
      <c r="M73" s="542"/>
      <c r="N73" s="548"/>
      <c r="O73" s="30"/>
      <c r="P73" s="145"/>
      <c r="Q73" s="338"/>
      <c r="R73" s="145"/>
      <c r="S73" s="145"/>
      <c r="T73" s="145"/>
      <c r="U73" s="145"/>
      <c r="V73" s="32"/>
      <c r="W73" s="30"/>
      <c r="X73" s="30"/>
      <c r="Y73" s="30"/>
      <c r="Z73" s="30"/>
    </row>
    <row r="74" spans="1:26" s="19" customFormat="1" ht="12.75" x14ac:dyDescent="0.2">
      <c r="A74" s="540"/>
      <c r="B74" s="541"/>
      <c r="C74" s="541"/>
      <c r="D74" s="541"/>
      <c r="E74" s="543"/>
      <c r="F74" s="541"/>
      <c r="G74" s="541"/>
      <c r="H74" s="541"/>
      <c r="I74" s="541"/>
      <c r="J74" s="541"/>
      <c r="K74" s="541"/>
      <c r="L74" s="541"/>
      <c r="M74" s="542"/>
      <c r="N74" s="548"/>
      <c r="O74" s="30"/>
      <c r="P74" s="145"/>
      <c r="Q74" s="338"/>
      <c r="R74" s="145"/>
      <c r="S74" s="145"/>
      <c r="T74" s="145"/>
      <c r="U74" s="145"/>
      <c r="V74" s="32"/>
      <c r="W74" s="30"/>
      <c r="X74" s="30"/>
      <c r="Y74" s="30"/>
      <c r="Z74" s="30"/>
    </row>
    <row r="75" spans="1:26" s="19" customFormat="1" ht="12.75" x14ac:dyDescent="0.2">
      <c r="A75" s="540"/>
      <c r="B75" s="541"/>
      <c r="C75" s="541"/>
      <c r="D75" s="541"/>
      <c r="E75" s="543"/>
      <c r="F75" s="541"/>
      <c r="G75" s="541"/>
      <c r="H75" s="541"/>
      <c r="I75" s="541"/>
      <c r="J75" s="541"/>
      <c r="K75" s="541"/>
      <c r="L75" s="541"/>
      <c r="M75" s="542"/>
      <c r="N75" s="548"/>
      <c r="O75" s="30"/>
      <c r="P75" s="145"/>
      <c r="Q75" s="338"/>
      <c r="R75" s="145"/>
      <c r="S75" s="145"/>
      <c r="T75" s="145"/>
      <c r="U75" s="145"/>
      <c r="V75" s="32"/>
      <c r="W75" s="30"/>
      <c r="X75" s="30"/>
      <c r="Y75" s="30"/>
      <c r="Z75" s="30"/>
    </row>
    <row r="76" spans="1:26" s="19" customFormat="1" ht="12.75" x14ac:dyDescent="0.2">
      <c r="A76" s="540"/>
      <c r="B76" s="541"/>
      <c r="C76" s="541"/>
      <c r="D76" s="541"/>
      <c r="E76" s="543"/>
      <c r="F76" s="541"/>
      <c r="G76" s="541"/>
      <c r="H76" s="541"/>
      <c r="I76" s="541"/>
      <c r="J76" s="541"/>
      <c r="K76" s="541"/>
      <c r="L76" s="541"/>
      <c r="M76" s="542"/>
      <c r="N76" s="548"/>
      <c r="O76" s="30"/>
      <c r="P76" s="145"/>
      <c r="Q76" s="338"/>
      <c r="R76" s="145"/>
      <c r="S76" s="145"/>
      <c r="T76" s="145"/>
      <c r="U76" s="145"/>
      <c r="V76" s="32"/>
      <c r="W76" s="30"/>
      <c r="X76" s="30"/>
      <c r="Y76" s="30"/>
      <c r="Z76" s="30"/>
    </row>
    <row r="77" spans="1:26" s="19" customFormat="1" ht="12.75" x14ac:dyDescent="0.2">
      <c r="A77" s="540"/>
      <c r="B77" s="541"/>
      <c r="C77" s="541"/>
      <c r="D77" s="541"/>
      <c r="E77" s="543"/>
      <c r="F77" s="541"/>
      <c r="G77" s="541"/>
      <c r="H77" s="541"/>
      <c r="I77" s="541"/>
      <c r="J77" s="541"/>
      <c r="K77" s="541"/>
      <c r="L77" s="541"/>
      <c r="M77" s="542"/>
      <c r="N77" s="548"/>
      <c r="O77" s="30"/>
      <c r="P77" s="145"/>
      <c r="Q77" s="338"/>
      <c r="R77" s="145"/>
      <c r="S77" s="145"/>
      <c r="T77" s="145"/>
      <c r="U77" s="145"/>
      <c r="V77" s="32"/>
      <c r="W77" s="30"/>
      <c r="X77" s="30"/>
      <c r="Y77" s="30"/>
      <c r="Z77" s="30"/>
    </row>
    <row r="78" spans="1:26" s="19" customFormat="1" ht="12.75" x14ac:dyDescent="0.2">
      <c r="A78" s="540"/>
      <c r="B78" s="541"/>
      <c r="C78" s="541"/>
      <c r="D78" s="541"/>
      <c r="E78" s="543"/>
      <c r="F78" s="541"/>
      <c r="G78" s="541"/>
      <c r="H78" s="541"/>
      <c r="I78" s="541"/>
      <c r="J78" s="541"/>
      <c r="K78" s="541"/>
      <c r="L78" s="541"/>
      <c r="M78" s="542"/>
      <c r="N78" s="548"/>
      <c r="O78" s="30"/>
      <c r="P78" s="145"/>
      <c r="Q78" s="338"/>
      <c r="R78" s="145"/>
      <c r="S78" s="145"/>
      <c r="T78" s="145"/>
      <c r="U78" s="145"/>
      <c r="V78" s="32"/>
      <c r="W78" s="30"/>
      <c r="X78" s="30"/>
      <c r="Y78" s="30"/>
      <c r="Z78" s="30"/>
    </row>
    <row r="79" spans="1:26" s="19" customFormat="1" ht="12.75" x14ac:dyDescent="0.2">
      <c r="A79" s="540"/>
      <c r="B79" s="541"/>
      <c r="C79" s="541"/>
      <c r="D79" s="541"/>
      <c r="E79" s="543"/>
      <c r="F79" s="541"/>
      <c r="G79" s="541"/>
      <c r="H79" s="541"/>
      <c r="I79" s="541"/>
      <c r="J79" s="541"/>
      <c r="K79" s="541"/>
      <c r="L79" s="541"/>
      <c r="M79" s="542"/>
      <c r="N79" s="548"/>
      <c r="O79" s="30"/>
      <c r="P79" s="145"/>
      <c r="Q79" s="338"/>
      <c r="R79" s="145"/>
      <c r="S79" s="145"/>
      <c r="T79" s="145"/>
      <c r="U79" s="145"/>
      <c r="V79" s="32"/>
      <c r="W79" s="30"/>
      <c r="X79" s="30"/>
      <c r="Y79" s="30"/>
      <c r="Z79" s="30"/>
    </row>
    <row r="80" spans="1:26" s="19" customFormat="1" ht="12.75" x14ac:dyDescent="0.2">
      <c r="A80" s="544"/>
      <c r="B80" s="545"/>
      <c r="C80" s="545"/>
      <c r="D80" s="545"/>
      <c r="E80" s="546"/>
      <c r="F80" s="545"/>
      <c r="G80" s="545"/>
      <c r="H80" s="545"/>
      <c r="I80" s="545"/>
      <c r="J80" s="545"/>
      <c r="K80" s="545"/>
      <c r="L80" s="545"/>
      <c r="M80" s="547"/>
      <c r="N80" s="549"/>
      <c r="O80" s="30"/>
      <c r="P80" s="145"/>
      <c r="Q80" s="338"/>
      <c r="R80" s="145"/>
      <c r="S80" s="145"/>
      <c r="T80" s="145"/>
      <c r="U80" s="145"/>
      <c r="V80" s="32"/>
      <c r="W80" s="30"/>
      <c r="X80" s="30"/>
      <c r="Y80" s="30"/>
      <c r="Z80" s="30"/>
    </row>
  </sheetData>
  <sheetProtection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1:M30">
    <cfRule type="expression" dxfId="50" priority="12" stopIfTrue="1">
      <formula>K11&lt;&gt;""</formula>
    </cfRule>
  </conditionalFormatting>
  <conditionalFormatting sqref="N11:N30">
    <cfRule type="expression" dxfId="49" priority="11" stopIfTrue="1">
      <formula>$L11&lt;&gt;""</formula>
    </cfRule>
  </conditionalFormatting>
  <conditionalFormatting sqref="M55">
    <cfRule type="expression" dxfId="48" priority="8" stopIfTrue="1">
      <formula>K55&lt;&gt;""</formula>
    </cfRule>
  </conditionalFormatting>
  <conditionalFormatting sqref="N55">
    <cfRule type="expression" dxfId="47" priority="7" stopIfTrue="1">
      <formula>$L55&lt;&gt;""</formula>
    </cfRule>
  </conditionalFormatting>
  <conditionalFormatting sqref="L45:L54">
    <cfRule type="expression" dxfId="46" priority="6" stopIfTrue="1">
      <formula>K45&lt;&gt;""</formula>
    </cfRule>
  </conditionalFormatting>
  <conditionalFormatting sqref="L40">
    <cfRule type="expression" dxfId="45" priority="4" stopIfTrue="1">
      <formula>K40&lt;&gt;""</formula>
    </cfRule>
  </conditionalFormatting>
  <conditionalFormatting sqref="L41">
    <cfRule type="expression" dxfId="44" priority="3" stopIfTrue="1">
      <formula>K41&lt;&gt;""</formula>
    </cfRule>
  </conditionalFormatting>
  <conditionalFormatting sqref="L35:L39">
    <cfRule type="expression" dxfId="43" priority="5" stopIfTrue="1">
      <formula>K35&lt;&gt;""</formula>
    </cfRule>
  </conditionalFormatting>
  <conditionalFormatting sqref="L42">
    <cfRule type="expression" dxfId="42" priority="2" stopIfTrue="1">
      <formula>K42&lt;&gt;""</formula>
    </cfRule>
  </conditionalFormatting>
  <conditionalFormatting sqref="L43:L44">
    <cfRule type="expression" dxfId="41" priority="1" stopIfTrue="1">
      <formula>K43&lt;&gt;""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'2026'!An+1</f>
        <v>2027</v>
      </c>
      <c r="K1" s="1250"/>
      <c r="L1" s="113" t="str">
        <f>"Calcul pertes et enveloppes en "&amp;TEXT(An,0)</f>
        <v>Calcul pertes et enveloppes en 2027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2027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57.492157538298329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317.75359980065377</v>
      </c>
      <c r="AK4" s="825">
        <f>AM12-AK12</f>
        <v>-0.47336304364997694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375.30888615028033</v>
      </c>
      <c r="AA5" s="233">
        <f>Wh_Pvg_s-Wh_Pvg</f>
        <v>-0.47336304364997694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2645.6650807836986</v>
      </c>
      <c r="AK5" s="510">
        <f>SUMIF(AK15:AK380,"VRAI",Wh)</f>
        <v>0</v>
      </c>
      <c r="AL5" s="510">
        <f>SUMIF(AJ15:AJ380,"VRAI",Wh_s)</f>
        <v>2588.1723020879458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8497.522875885903</v>
      </c>
      <c r="AK6" s="510">
        <f>SUMIF(AK15:AK380,"FAUX",Wh)</f>
        <v>11143.187956669599</v>
      </c>
      <c r="AL6" s="510">
        <f>SUMIF(AJ15:AJ380,"FAUX",Wh_s)</f>
        <v>8179.7554655881622</v>
      </c>
      <c r="AM6" s="510">
        <f>SUMIF(AK15:AK380,"FAUX",Wh_s)</f>
        <v>10767.927767676108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AND(YEAR(Tnet)=An,Resal_2027="I")</f>
        <v>0</v>
      </c>
      <c r="F7" s="316" t="b">
        <f>YEAR(Tnet)=An</f>
        <v>1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2716.821312612235</v>
      </c>
      <c r="AK7" s="510">
        <f>SUMIF(AK15:AK380,"VRAI",Wh_sa)</f>
        <v>0</v>
      </c>
      <c r="AL7" s="510">
        <f>SUMIF(AJ15:AJ380,"VRAI",Wh_pvt_s)</f>
        <v>2657.7828431647463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AND(YEAR(Tnet)=An,Resal_2027&lt;&gt;"I")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8742.7107293129193</v>
      </c>
      <c r="AK8" s="510">
        <f>SUMIF(AK15:AK380,"FAUX",Wh_sa)</f>
        <v>11623.164496997644</v>
      </c>
      <c r="AL8" s="510">
        <f>SUMIF(AJ15:AJ380,"FAUX",Wh_pvt_s)</f>
        <v>8415.7880325019032</v>
      </c>
      <c r="AM8" s="510">
        <f>SUMIF(AK15:AK380,"FAUX",Wh_sa_s)</f>
        <v>11623.164496997644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11459.532041925146</v>
      </c>
      <c r="E9" s="180">
        <f>SUM(E$15:E$380)</f>
        <v>11623.164496997644</v>
      </c>
      <c r="F9" s="180">
        <f>SUM(F$15:F$380)</f>
        <v>11637.826261513354</v>
      </c>
      <c r="H9" s="1251">
        <f>+SUM(Wh)</f>
        <v>11143.187956669599</v>
      </c>
      <c r="I9" s="1252"/>
      <c r="J9" s="1253"/>
      <c r="K9" s="187"/>
      <c r="L9" s="228"/>
      <c r="M9" s="228"/>
      <c r="N9" s="228"/>
      <c r="O9" s="219">
        <f>Tnet_2027</f>
        <v>46507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10767.927767676108</v>
      </c>
      <c r="Y9" s="1246"/>
      <c r="Z9" s="510">
        <f>SUM(Z$15:Z$380)</f>
        <v>11073.570875666652</v>
      </c>
      <c r="AA9" s="510">
        <f>SUM(AA$15:AA$380)</f>
        <v>11623.164496997644</v>
      </c>
      <c r="AB9" s="510">
        <f>F9</f>
        <v>11637.826261513354</v>
      </c>
      <c r="AC9" s="321">
        <f>IF(An_Tnet,Tnet,'2026'!Tnet_s)</f>
        <v>46507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2821.8741743794262</v>
      </c>
      <c r="AK9" s="510">
        <f>SUMIF(AK15:AK380,"VRAI",Wh_hp)</f>
        <v>0</v>
      </c>
      <c r="AL9" s="510">
        <f>SUMIF(AJ15:AJ380,"VRAI",Wh_sa_s)</f>
        <v>2821.8741743794262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IF(Inflex,'2026'!Resal+('2026'!Salim-'2026'!Resal)*(1-EXP(-(Tnet-'2026'!Tnet)/('2026'!Tau_j))),IF(An_Tnet,Resal_2027,'2026'!Resal))</f>
        <v>0</v>
      </c>
      <c r="P10" s="416" t="b">
        <f>NOT(Acti_tai)</f>
        <v>1</v>
      </c>
      <c r="Q10" s="253">
        <f>IF(Acti_tai,'2026'!PousD,Dens-Dd)</f>
        <v>0</v>
      </c>
      <c r="R10" s="270"/>
      <c r="S10" s="271"/>
      <c r="T10" s="272"/>
      <c r="U10" s="262">
        <f>IF(Acti_tai,'2026'!PousH,Hdtf-Hdd)</f>
        <v>0.49999999999999956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IF(OR(Inflex,GainD),'2026'!Resal_s+('2026'!Salim-'2026'!Resal_s)*(1-EXP(('2026'!Tnet_s-Tnet)/('2026'!Tau_j))),IF(Acti_net,'2026'!Resal+('2026'!Salim-'2026'!Resal)*(1-EXP(('2026'!Tnet-Tnet)/'2026'!Tau_j)),'2026'!Resal_s))</f>
        <v>3.8926630477392636E-2</v>
      </c>
      <c r="AD10" s="422"/>
      <c r="AE10" s="422"/>
      <c r="AF10" s="256"/>
      <c r="AG10" s="257"/>
      <c r="AH10" s="258"/>
      <c r="AI10" s="467"/>
      <c r="AJ10" s="510">
        <f>SUMIF(AJ15:AJ380,"FAUX",Wh_sa)</f>
        <v>8801.2903226182189</v>
      </c>
      <c r="AK10" s="510">
        <f>SUMIF(AK15:AK380,"FAUX",Wh_hp)</f>
        <v>11637.826261513354</v>
      </c>
      <c r="AL10" s="510">
        <f>SUMIF(AJ15:AJ380,"FAUX",Wh_sa_s)</f>
        <v>8801.2903226182189</v>
      </c>
      <c r="AM10" s="510">
        <f>SUMIF(AK15:AK380,"FAUX",Wh_hp)</f>
        <v>11637.826261513354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316.34408525554682</v>
      </c>
      <c r="E11" s="51">
        <f>(E$9-D$9)*Prod_an/D$9</f>
        <v>159.11532827110312</v>
      </c>
      <c r="F11" s="182">
        <f>(F$9-E$9)*Prod_an/E$9</f>
        <v>14.056309520284284</v>
      </c>
      <c r="G11" s="181" t="s">
        <v>6</v>
      </c>
      <c r="K11" s="190"/>
      <c r="L11" s="207">
        <f>Tvie_2027</f>
        <v>44522</v>
      </c>
      <c r="M11" s="835"/>
      <c r="N11" s="835"/>
      <c r="O11" s="198">
        <f>IF(An_Tnet,Salim_2028,'2026'!Salim)</f>
        <v>0.08</v>
      </c>
      <c r="P11" s="252">
        <f>Ttai_2027</f>
        <v>44562</v>
      </c>
      <c r="Q11" s="268">
        <f>Dens_2027</f>
        <v>0.5</v>
      </c>
      <c r="R11" s="273"/>
      <c r="S11" s="226"/>
      <c r="T11" s="226"/>
      <c r="U11" s="262">
        <f>Htf_2027</f>
        <v>2.9938164383869603</v>
      </c>
      <c r="V11" s="422"/>
      <c r="W11" s="513"/>
      <c r="X11" s="520" t="s">
        <v>43</v>
      </c>
      <c r="Y11" s="50">
        <f>Z$9-Prod_an_s</f>
        <v>305.64310799054329</v>
      </c>
      <c r="Z11" s="51">
        <f>(AA$9-Z$9)*Prod_an_s/Z$9</f>
        <v>534.42421442138345</v>
      </c>
      <c r="AA11" s="182">
        <f>(AB$9-AA$9)*Prod_an_s/AA$9</f>
        <v>13.582946476634307</v>
      </c>
      <c r="AB11" s="521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102.30142362458841</v>
      </c>
      <c r="AK11" s="825">
        <f>IF($AK7=0,0,($AK9-$AK7)*$AK5/$AK7)</f>
        <v>0</v>
      </c>
      <c r="AL11" s="824">
        <f>IF($AL7=0,0,($AL9-$AL7)*$AL5/$AL7)</f>
        <v>159.79358116288674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Pspv_2027</f>
        <v>0</v>
      </c>
      <c r="M12" s="208"/>
      <c r="N12" s="208"/>
      <c r="O12" s="201">
        <f>IF(An_Tnet,Tau_2027*365,'2026'!Tau_j)</f>
        <v>1095</v>
      </c>
      <c r="P12" s="277">
        <f>INDEX(Croivg,MIN(MAX(Ttai-$A$15,0)+1,366))</f>
        <v>2.3909964587625958E-6</v>
      </c>
      <c r="Q12" s="276">
        <f>'2026'!Df</f>
        <v>0.5</v>
      </c>
      <c r="R12" s="274"/>
      <c r="S12" s="275"/>
      <c r="T12" s="275"/>
      <c r="U12" s="263">
        <f>'2026'!Hdf</f>
        <v>2.4938164383869608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'2026'!Df_s</f>
        <v>0.5</v>
      </c>
      <c r="AF12" s="199"/>
      <c r="AG12" s="199"/>
      <c r="AH12" s="199"/>
      <c r="AI12" s="293">
        <f>'2026'!Hdf_s</f>
        <v>2.4938164383869608</v>
      </c>
      <c r="AJ12" s="824">
        <f>IF($AJ8=0,0,($AJ10-$AJ8)*$AJ6/$AJ8)</f>
        <v>56.93673845377198</v>
      </c>
      <c r="AK12" s="825">
        <f>IF($AK8=0,0,($AK10-$AK8)*$AK6/$AK8)</f>
        <v>14.056309520284284</v>
      </c>
      <c r="AL12" s="824">
        <f>IF($AL8=0,0,($AL10-$AL8)*$AL6/$AL8)</f>
        <v>374.69033825442574</v>
      </c>
      <c r="AM12" s="825">
        <f>IF($AM8=0,0,($AM10-$AM8)*$AM6/$AM8)</f>
        <v>13.582946476634307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159.2381620783604</v>
      </c>
      <c r="AK13" s="73">
        <f>+AK11+AK12</f>
        <v>14.056309520284284</v>
      </c>
      <c r="AL13" s="73">
        <f>+AL11+AL12</f>
        <v>534.48391941731245</v>
      </c>
      <c r="AM13" s="73">
        <f>+AM11+AM12</f>
        <v>13.582946476634307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411"/>
      <c r="D14" s="53" t="s">
        <v>30</v>
      </c>
      <c r="E14" s="158" t="s">
        <v>29</v>
      </c>
      <c r="F14" s="158" t="str">
        <f>"Hors pertes "&amp; TEXT(An,0)</f>
        <v>Hors pertes 2027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2027</v>
      </c>
      <c r="W14" s="829" t="s">
        <v>116</v>
      </c>
      <c r="X14" s="254" t="s">
        <v>2</v>
      </c>
      <c r="Y14" s="107" t="str">
        <f>"Wh / Jour "&amp; TEXT(An,0)</f>
        <v>Wh / Jour 2027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129">
        <f>DATE(An,1,1)</f>
        <v>46388</v>
      </c>
      <c r="B15" s="405">
        <f>'2026'!Wh/'2026'!Env_an*'2027'!Env_an</f>
        <v>0</v>
      </c>
      <c r="C15" s="832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Wh_hp&gt;='2026'!Maxi_hp</f>
        <v>1</v>
      </c>
      <c r="I15" s="391">
        <f>IF(H15,Wh_hp,'2026'!Maxi_hp)</f>
        <v>0</v>
      </c>
      <c r="J15" s="84">
        <f>IF(H15,An,'2026'!An_max)</f>
        <v>2027</v>
      </c>
      <c r="K15" s="193">
        <f t="shared" ref="K15:K78" si="3">t</f>
        <v>46388</v>
      </c>
      <c r="L15" s="142">
        <f>IF(t&lt;Tvie,1-EXP((T0-t)*PertePVj)+'2026'!Pspv,1-EXP((T0-t)*PertePVj)+Pspv)</f>
        <v>2.5220656390551044E-2</v>
      </c>
      <c r="M15" s="836"/>
      <c r="N15" s="836"/>
      <c r="O15" s="48">
        <f>IF(t&lt;Tnet,'2026'!Resal+('2026'!Salim-'2026'!Resal)*(1-EXP(('2026'!Tnet-t)/('2026'!Tau_j))),Resal+(Salim-Resal)*(1-EXP((Tnet-t)/(Tau_j))))*Salcycl</f>
        <v>3.4230950566402636E-2</v>
      </c>
      <c r="P15" s="298">
        <f>(INDEX(Models!$BJ15:$BT15,,T15)*(1-R15)+INDEX(Models!$BJ15:$BT15,,T15+1)*R15-ERP_i)*Q15*Ramure*Pc/MaxiM</f>
        <v>1.5306001364137347E-2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0.49381763388519007</v>
      </c>
      <c r="S15" s="801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2.4938176338851901</v>
      </c>
      <c r="V15" s="377">
        <f t="shared" ref="V15:V78" si="9">MaxiM*(1-Ppv)*(1-Pvg)*(1-Psa)</f>
        <v>16.59268931861509</v>
      </c>
      <c r="W15" s="397">
        <f t="shared" ref="W15:W78" si="10">Wh*(A15&gt;Tmaj)</f>
        <v>0</v>
      </c>
      <c r="X15" s="152">
        <f t="shared" ref="X15:X78" si="11">t</f>
        <v>46388</v>
      </c>
      <c r="Y15" s="380">
        <f t="shared" ref="Y15:Y78" si="12">Wh_pvt_s*(1-Ppv)</f>
        <v>0</v>
      </c>
      <c r="Z15" s="380">
        <f>Wh_sa_s*(1-Psa_s)</f>
        <v>0</v>
      </c>
      <c r="AA15" s="381">
        <f t="shared" ref="AA15:AA78" si="13">Wh_hp*(1-Pvg_s*MEDIAN((-Sdif+Wh/Env_an)/Csdif,0,1))</f>
        <v>0</v>
      </c>
      <c r="AB15" s="193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5.654513530179868E-2</v>
      </c>
      <c r="AD15" s="227">
        <f>(INDEX(Models!$BJ15:$BT15,,AH15)*(1-AF15)+INDEX(Models!$BJ15:$BT15,,AH15+1)*AF15-ERP_i)*AE15*Ramure*Pc/MaxiM</f>
        <v>1.5306001364137347E-2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0.49381763388519007</v>
      </c>
      <c r="AG15" s="801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2.4938176338851901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46389</v>
      </c>
      <c r="B16" s="406">
        <f>'2026'!Wh/'2026'!Env_an*'2027'!Env_an</f>
        <v>0</v>
      </c>
      <c r="C16" s="832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21">+Wh_hp/MaxiM</f>
        <v>0</v>
      </c>
      <c r="H16" s="409" t="b">
        <f>Wh_hp&gt;='2026'!Maxi_hp</f>
        <v>1</v>
      </c>
      <c r="I16" s="385">
        <f>IF(H16,Wh_hp,'2026'!Maxi_hp)</f>
        <v>0</v>
      </c>
      <c r="J16" s="85">
        <f>IF(H16,An,'2026'!An_max)</f>
        <v>2027</v>
      </c>
      <c r="K16" s="193">
        <f t="shared" si="3"/>
        <v>46389</v>
      </c>
      <c r="L16" s="143">
        <f>IF(t&lt;Tvie,1-EXP((T0-t)*PertePVj)+'2026'!Pspv,1-EXP((T0-t)*PertePVj)+Pspv)</f>
        <v>2.5234000301182724E-2</v>
      </c>
      <c r="M16" s="836"/>
      <c r="N16" s="836"/>
      <c r="O16" s="48">
        <f>IF(t&lt;Tnet,'2026'!Resal+('2026'!Salim-'2026'!Resal)*(1-EXP(('2026'!Tnet-t)/('2026'!Tau_j))),Resal+(Salim-Resal)*(1-EXP((Tnet-t)/(Tau_j))))*Salcycl</f>
        <v>3.4271401169756723E-2</v>
      </c>
      <c r="P16" s="165">
        <f>(INDEX(Models!$BJ16:$BT16,,T16)*(1-R16)+INDEX(Models!$BJ16:$BT16,,T16+1)*R16-ERP_i)*Q16*Ramure*Pc/MaxiM</f>
        <v>1.5133514960142404E-2</v>
      </c>
      <c r="Q16" s="301">
        <f t="shared" si="4"/>
        <v>0.5</v>
      </c>
      <c r="R16" s="173">
        <f t="shared" si="5"/>
        <v>0.49384684849918425</v>
      </c>
      <c r="S16" s="802">
        <f t="shared" si="6"/>
        <v>2</v>
      </c>
      <c r="T16" s="172">
        <f t="shared" si="7"/>
        <v>8</v>
      </c>
      <c r="U16" s="247">
        <f t="shared" si="8"/>
        <v>2.4938468484991843</v>
      </c>
      <c r="V16" s="378">
        <f t="shared" si="9"/>
        <v>16.760831462967523</v>
      </c>
      <c r="W16" s="397">
        <f t="shared" si="10"/>
        <v>0</v>
      </c>
      <c r="X16" s="153">
        <f t="shared" si="11"/>
        <v>46389</v>
      </c>
      <c r="Y16" s="380">
        <f t="shared" si="12"/>
        <v>0</v>
      </c>
      <c r="Z16" s="380">
        <f t="shared" ref="Z16:Z78" si="22">Wh_sa_s*(1-Psa_s)</f>
        <v>0</v>
      </c>
      <c r="AA16" s="381">
        <f t="shared" si="13"/>
        <v>0</v>
      </c>
      <c r="AB16" s="193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5.6564325583691982E-2</v>
      </c>
      <c r="AD16" s="227">
        <f>(INDEX(Models!$BJ16:$BT16,,AH16)*(1-AF16)+INDEX(Models!$BJ16:$BT16,,AH16+1)*AF16-ERP_i)*AE16*Ramure*Pc/MaxiM</f>
        <v>1.5133514960142404E-2</v>
      </c>
      <c r="AE16" s="301">
        <f t="shared" si="15"/>
        <v>0.5</v>
      </c>
      <c r="AF16" s="173">
        <f t="shared" ref="AF16:AF78" si="23">(Hp_vg_s-AG16)/(INDEX(Echel_vg,AH16+1)-AG16)</f>
        <v>0.49384684849918425</v>
      </c>
      <c r="AG16" s="802">
        <f t="shared" ref="AG16:AG79" si="24">INDEX(Echel_vg,AH16)</f>
        <v>2</v>
      </c>
      <c r="AH16" s="172">
        <f t="shared" si="16"/>
        <v>8</v>
      </c>
      <c r="AI16" s="221">
        <f t="shared" si="17"/>
        <v>2.4938468484991843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46390</v>
      </c>
      <c r="B17" s="406">
        <f>'2026'!Wh/'2026'!Env_an*'2027'!Env_an</f>
        <v>0</v>
      </c>
      <c r="C17" s="832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21"/>
        <v>0</v>
      </c>
      <c r="H17" s="409" t="b">
        <f>Wh_hp&gt;='2026'!Maxi_hp</f>
        <v>1</v>
      </c>
      <c r="I17" s="385">
        <f>IF(H17,Wh_hp,'2026'!Maxi_hp)</f>
        <v>0</v>
      </c>
      <c r="J17" s="85">
        <f>IF(H17,An,'2026'!An_max)</f>
        <v>2027</v>
      </c>
      <c r="K17" s="193">
        <f t="shared" si="3"/>
        <v>46390</v>
      </c>
      <c r="L17" s="143">
        <f>IF(t&lt;Tvie,1-EXP((T0-t)*PertePVj)+'2026'!Pspv,1-EXP((T0-t)*PertePVj)+Pspv)</f>
        <v>2.5247344029147301E-2</v>
      </c>
      <c r="M17" s="836"/>
      <c r="N17" s="836"/>
      <c r="O17" s="48">
        <f>IF(t&lt;Tnet,'2026'!Resal+('2026'!Salim-'2026'!Resal)*(1-EXP(('2026'!Tnet-t)/('2026'!Tau_j))),Resal+(Salim-Resal)*(1-EXP((Tnet-t)/(Tau_j))))*Salcycl</f>
        <v>3.4311887457647086E-2</v>
      </c>
      <c r="P17" s="165">
        <f>(INDEX(Models!$BJ17:$BT17,,T17)*(1-R17)+INDEX(Models!$BJ17:$BT17,,T17+1)*R17-ERP_i)*Q17*Ramure*Pc/MaxiM</f>
        <v>1.497057950067099E-2</v>
      </c>
      <c r="Q17" s="301">
        <f t="shared" si="4"/>
        <v>0.5</v>
      </c>
      <c r="R17" s="173">
        <f t="shared" si="5"/>
        <v>0.49387728509467399</v>
      </c>
      <c r="S17" s="802">
        <f t="shared" si="6"/>
        <v>2</v>
      </c>
      <c r="T17" s="172">
        <f t="shared" si="7"/>
        <v>8</v>
      </c>
      <c r="U17" s="247">
        <f t="shared" si="8"/>
        <v>2.493877285094674</v>
      </c>
      <c r="V17" s="378">
        <f t="shared" si="9"/>
        <v>16.937025150777</v>
      </c>
      <c r="W17" s="397">
        <f t="shared" si="10"/>
        <v>0</v>
      </c>
      <c r="X17" s="153">
        <f t="shared" si="11"/>
        <v>46390</v>
      </c>
      <c r="Y17" s="380">
        <f t="shared" si="12"/>
        <v>0</v>
      </c>
      <c r="Z17" s="380">
        <f t="shared" si="22"/>
        <v>0</v>
      </c>
      <c r="AA17" s="381">
        <f t="shared" si="13"/>
        <v>0</v>
      </c>
      <c r="AB17" s="193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5.6583621881616745E-2</v>
      </c>
      <c r="AD17" s="227">
        <f>(INDEX(Models!$BJ17:$BT17,,AH17)*(1-AF17)+INDEX(Models!$BJ17:$BT17,,AH17+1)*AF17-ERP_i)*AE17*Ramure*Pc/MaxiM</f>
        <v>1.497057950067099E-2</v>
      </c>
      <c r="AE17" s="301">
        <f t="shared" si="15"/>
        <v>0.5</v>
      </c>
      <c r="AF17" s="173">
        <f>(Hp_vg_s-AG17)/(INDEX(Echel_vg,AH17+1)-AG17)</f>
        <v>0.49387728509467399</v>
      </c>
      <c r="AG17" s="802">
        <f>INDEX(Echel_vg,AH17)</f>
        <v>2</v>
      </c>
      <c r="AH17" s="172">
        <f t="shared" si="16"/>
        <v>8</v>
      </c>
      <c r="AI17" s="221">
        <f t="shared" si="17"/>
        <v>2.493877285094674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46391</v>
      </c>
      <c r="B18" s="406">
        <f>'2026'!Wh/'2026'!Env_an*'2027'!Env_an</f>
        <v>0</v>
      </c>
      <c r="C18" s="832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21"/>
        <v>0</v>
      </c>
      <c r="H18" s="409" t="b">
        <f>Wh_hp&gt;='2026'!Maxi_hp</f>
        <v>1</v>
      </c>
      <c r="I18" s="385">
        <f>IF(H18,Wh_hp,'2026'!Maxi_hp)</f>
        <v>0</v>
      </c>
      <c r="J18" s="85">
        <f>IF(H18,An,'2026'!An_max)</f>
        <v>2027</v>
      </c>
      <c r="K18" s="193">
        <f t="shared" si="3"/>
        <v>46391</v>
      </c>
      <c r="L18" s="143">
        <f>IF(t&lt;Tvie,1-EXP((T0-t)*PertePVj)+'2026'!Pspv,1-EXP((T0-t)*PertePVj)+Pspv)</f>
        <v>2.5260687574447549E-2</v>
      </c>
      <c r="M18" s="836"/>
      <c r="N18" s="836"/>
      <c r="O18" s="48">
        <f>IF(t&lt;Tnet,'2026'!Resal+('2026'!Salim-'2026'!Resal)*(1-EXP(('2026'!Tnet-t)/('2026'!Tau_j))),Resal+(Salim-Resal)*(1-EXP((Tnet-t)/(Tau_j))))*Salcycl</f>
        <v>3.4352401712064815E-2</v>
      </c>
      <c r="P18" s="165">
        <f>(INDEX(Models!$BJ18:$BT18,,T18)*(1-R18)+INDEX(Models!$BJ18:$BT18,,T18+1)*R18-ERP_i)*Q18*Ramure*Pc/MaxiM</f>
        <v>1.481839278634639E-2</v>
      </c>
      <c r="Q18" s="301">
        <f t="shared" si="4"/>
        <v>0.5</v>
      </c>
      <c r="R18" s="173">
        <f t="shared" si="5"/>
        <v>0.49390899462596893</v>
      </c>
      <c r="S18" s="802">
        <f t="shared" si="6"/>
        <v>2</v>
      </c>
      <c r="T18" s="172">
        <f t="shared" si="7"/>
        <v>8</v>
      </c>
      <c r="U18" s="247">
        <f t="shared" si="8"/>
        <v>2.4939089946259689</v>
      </c>
      <c r="V18" s="378">
        <f t="shared" si="9"/>
        <v>17.119701837641934</v>
      </c>
      <c r="W18" s="397">
        <f t="shared" si="10"/>
        <v>0</v>
      </c>
      <c r="X18" s="153">
        <f t="shared" si="11"/>
        <v>46391</v>
      </c>
      <c r="Y18" s="380">
        <f t="shared" si="12"/>
        <v>0</v>
      </c>
      <c r="Z18" s="380">
        <f>Wh_sa_s*(1-Psa_s)</f>
        <v>0</v>
      </c>
      <c r="AA18" s="381">
        <f t="shared" si="13"/>
        <v>0</v>
      </c>
      <c r="AB18" s="193">
        <f>t</f>
        <v>46391</v>
      </c>
      <c r="AC18" s="119">
        <f>IF(OR(t&lt;Tnet,NoTnet),'2026'!Resal_s+('2026'!Salim-'2026'!Resal_s)*(1-EXP(('2026'!Tnet_s-t)/'2026'!Tau_j)),Resal_s+(Salim-Resal_s)*(1-EXP((Tnet_s-t)/Tau_j)))*Salcycl</f>
        <v>5.6603011114026838E-2</v>
      </c>
      <c r="AD18" s="227">
        <f>(INDEX(Models!$BJ18:$BT18,,AH18)*(1-AF18)+INDEX(Models!$BJ18:$BT18,,AH18+1)*AF18-ERP_i)*AE18*Ramure*Pc/MaxiM</f>
        <v>1.481839278634639E-2</v>
      </c>
      <c r="AE18" s="301">
        <f t="shared" si="15"/>
        <v>0.5</v>
      </c>
      <c r="AF18" s="173">
        <f t="shared" si="23"/>
        <v>0.49390899462596893</v>
      </c>
      <c r="AG18" s="802">
        <f t="shared" si="24"/>
        <v>2</v>
      </c>
      <c r="AH18" s="172">
        <f t="shared" si="16"/>
        <v>8</v>
      </c>
      <c r="AI18" s="221">
        <f t="shared" si="17"/>
        <v>2.4939089946259689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46392</v>
      </c>
      <c r="B19" s="406">
        <f>'2026'!Wh/'2026'!Env_an*'2027'!Env_an</f>
        <v>0</v>
      </c>
      <c r="C19" s="832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21"/>
        <v>0</v>
      </c>
      <c r="H19" s="409" t="b">
        <f>Wh_hp&gt;='2026'!Maxi_hp</f>
        <v>1</v>
      </c>
      <c r="I19" s="385">
        <f>IF(H19,Wh_hp,'2026'!Maxi_hp)</f>
        <v>0</v>
      </c>
      <c r="J19" s="85">
        <f>IF(H19,An,'2026'!An_max)</f>
        <v>2027</v>
      </c>
      <c r="K19" s="193">
        <f t="shared" si="3"/>
        <v>46392</v>
      </c>
      <c r="L19" s="143">
        <f>IF(t&lt;Tvie,1-EXP((T0-t)*PertePVj)+'2026'!Pspv,1-EXP((T0-t)*PertePVj)+Pspv)</f>
        <v>2.5274030937085912E-2</v>
      </c>
      <c r="M19" s="836"/>
      <c r="N19" s="836"/>
      <c r="O19" s="48">
        <f>IF(t&lt;Tnet,'2026'!Resal+('2026'!Salim-'2026'!Resal)*(1-EXP(('2026'!Tnet-t)/('2026'!Tau_j))),Resal+(Salim-Resal)*(1-EXP((Tnet-t)/(Tau_j))))*Salcycl</f>
        <v>3.4392937213689787E-2</v>
      </c>
      <c r="P19" s="165">
        <f>(INDEX(Models!$BJ19:$BT19,,T19)*(1-R19)+INDEX(Models!$BJ19:$BT19,,T19+1)*R19-ERP_i)*Q19*Ramure*Pc/MaxiM</f>
        <v>1.4678030707577748E-2</v>
      </c>
      <c r="Q19" s="301">
        <f t="shared" si="4"/>
        <v>0.5</v>
      </c>
      <c r="R19" s="173">
        <f t="shared" si="5"/>
        <v>0.49394203015853089</v>
      </c>
      <c r="S19" s="802">
        <f t="shared" si="6"/>
        <v>2</v>
      </c>
      <c r="T19" s="172">
        <f t="shared" si="7"/>
        <v>8</v>
      </c>
      <c r="U19" s="247">
        <f t="shared" si="8"/>
        <v>2.4939420301585309</v>
      </c>
      <c r="V19" s="378">
        <f t="shared" si="9"/>
        <v>17.307293171851462</v>
      </c>
      <c r="W19" s="397">
        <f t="shared" si="10"/>
        <v>0</v>
      </c>
      <c r="X19" s="153">
        <f t="shared" si="11"/>
        <v>46392</v>
      </c>
      <c r="Y19" s="380">
        <f t="shared" si="12"/>
        <v>0</v>
      </c>
      <c r="Z19" s="380">
        <f t="shared" si="22"/>
        <v>0</v>
      </c>
      <c r="AA19" s="381">
        <f t="shared" si="13"/>
        <v>0</v>
      </c>
      <c r="AB19" s="193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5.6622481888426744E-2</v>
      </c>
      <c r="AD19" s="227">
        <f>(INDEX(Models!$BJ19:$BT19,,AH19)*(1-AF19)+INDEX(Models!$BJ19:$BT19,,AH19+1)*AF19-ERP_i)*AE19*Ramure*Pc/MaxiM</f>
        <v>1.4678030707577748E-2</v>
      </c>
      <c r="AE19" s="301">
        <f t="shared" si="15"/>
        <v>0.5</v>
      </c>
      <c r="AF19" s="173">
        <f t="shared" si="23"/>
        <v>0.49394203015853089</v>
      </c>
      <c r="AG19" s="802">
        <f t="shared" si="24"/>
        <v>2</v>
      </c>
      <c r="AH19" s="172">
        <f t="shared" si="16"/>
        <v>8</v>
      </c>
      <c r="AI19" s="221">
        <f t="shared" si="17"/>
        <v>2.4939420301585309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46393</v>
      </c>
      <c r="B20" s="406">
        <f>'2026'!Wh/'2026'!Env_an*'2027'!Env_an</f>
        <v>0</v>
      </c>
      <c r="C20" s="832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1"/>
        <v>0</v>
      </c>
      <c r="H20" s="409" t="b">
        <f>Wh_hp&gt;='2026'!Maxi_hp</f>
        <v>1</v>
      </c>
      <c r="I20" s="385">
        <f>IF(H20,Wh_hp,'2026'!Maxi_hp)</f>
        <v>0</v>
      </c>
      <c r="J20" s="85">
        <f>IF(H20,An,'2026'!An_max)</f>
        <v>2027</v>
      </c>
      <c r="K20" s="193">
        <f t="shared" si="3"/>
        <v>46393</v>
      </c>
      <c r="L20" s="143">
        <f>IF(t&lt;Tvie,1-EXP((T0-t)*PertePVj)+'2026'!Pspv,1-EXP((T0-t)*PertePVj)+Pspv)</f>
        <v>2.5287374117064831E-2</v>
      </c>
      <c r="M20" s="836"/>
      <c r="N20" s="836"/>
      <c r="O20" s="48">
        <f>IF(t&lt;Tnet,'2026'!Resal+('2026'!Salim-'2026'!Resal)*(1-EXP(('2026'!Tnet-t)/('2026'!Tau_j))),Resal+(Salim-Resal)*(1-EXP((Tnet-t)/(Tau_j))))*Salcycl</f>
        <v>3.4433488214578464E-2</v>
      </c>
      <c r="P20" s="165">
        <f>(INDEX(Models!$BJ20:$BT20,,T20)*(1-R20)+INDEX(Models!$BJ20:$BT20,,T20+1)*R20-ERP_i)*Q20*Ramure*Pc/MaxiM</f>
        <v>1.4550459090290405E-2</v>
      </c>
      <c r="Q20" s="301">
        <f t="shared" si="4"/>
        <v>0.5</v>
      </c>
      <c r="R20" s="173">
        <f t="shared" si="5"/>
        <v>0.49397644695528165</v>
      </c>
      <c r="S20" s="802">
        <f t="shared" si="6"/>
        <v>2</v>
      </c>
      <c r="T20" s="172">
        <f t="shared" si="7"/>
        <v>8</v>
      </c>
      <c r="U20" s="247">
        <f t="shared" si="8"/>
        <v>2.4939764469552816</v>
      </c>
      <c r="V20" s="378">
        <f t="shared" si="9"/>
        <v>17.498231010427201</v>
      </c>
      <c r="W20" s="397">
        <f t="shared" si="10"/>
        <v>0</v>
      </c>
      <c r="X20" s="153">
        <f t="shared" si="11"/>
        <v>46393</v>
      </c>
      <c r="Y20" s="380">
        <f t="shared" si="12"/>
        <v>0</v>
      </c>
      <c r="Z20" s="380">
        <f t="shared" si="22"/>
        <v>0</v>
      </c>
      <c r="AA20" s="381">
        <f t="shared" si="13"/>
        <v>0</v>
      </c>
      <c r="AB20" s="193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5.6642024449223033E-2</v>
      </c>
      <c r="AD20" s="227">
        <f>(INDEX(Models!$BJ20:$BT20,,AH20)*(1-AF20)+INDEX(Models!$BJ20:$BT20,,AH20+1)*AF20-ERP_i)*AE20*Ramure*Pc/MaxiM</f>
        <v>1.4550459090290405E-2</v>
      </c>
      <c r="AE20" s="301">
        <f t="shared" si="15"/>
        <v>0.5</v>
      </c>
      <c r="AF20" s="173">
        <f t="shared" si="23"/>
        <v>0.49397644695528165</v>
      </c>
      <c r="AG20" s="802">
        <f t="shared" si="24"/>
        <v>2</v>
      </c>
      <c r="AH20" s="172">
        <f t="shared" si="16"/>
        <v>8</v>
      </c>
      <c r="AI20" s="221">
        <f t="shared" si="17"/>
        <v>2.4939764469552816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46394</v>
      </c>
      <c r="B21" s="406">
        <f>'2026'!Wh/'2026'!Env_an*'2027'!Env_an</f>
        <v>5.717335721149003</v>
      </c>
      <c r="C21" s="832"/>
      <c r="D21" s="388">
        <f t="shared" si="0"/>
        <v>5.865743231310006</v>
      </c>
      <c r="E21" s="380">
        <f t="shared" si="1"/>
        <v>6.075179264442089</v>
      </c>
      <c r="F21" s="380">
        <f t="shared" si="2"/>
        <v>6.0780847542018321</v>
      </c>
      <c r="G21" s="110">
        <f t="shared" si="21"/>
        <v>0.31866535311014926</v>
      </c>
      <c r="H21" s="409" t="b">
        <f>Wh_hp&gt;='2026'!Maxi_hp</f>
        <v>0</v>
      </c>
      <c r="I21" s="385">
        <f>IF(H21,Wh_hp,'2026'!Maxi_hp)</f>
        <v>6.1641621547056991</v>
      </c>
      <c r="J21" s="85">
        <f>IF(H21,An,'2026'!An_max)</f>
        <v>2022</v>
      </c>
      <c r="K21" s="193">
        <f t="shared" si="3"/>
        <v>46394</v>
      </c>
      <c r="L21" s="143">
        <f>IF(t&lt;Tvie,1-EXP((T0-t)*PertePVj)+'2026'!Pspv,1-EXP((T0-t)*PertePVj)+Pspv)</f>
        <v>2.530071711438675E-2</v>
      </c>
      <c r="M21" s="836"/>
      <c r="N21" s="836"/>
      <c r="O21" s="48">
        <f>IF(t&lt;Tnet,'2026'!Resal+('2026'!Salim-'2026'!Resal)*(1-EXP(('2026'!Tnet-t)/('2026'!Tau_j))),Resal+(Salim-Resal)*(1-EXP((Tnet-t)/(Tau_j))))*Salcycl</f>
        <v>3.4474049903005836E-2</v>
      </c>
      <c r="P21" s="165">
        <f>(INDEX(Models!$BJ21:$BT21,,T21)*(1-R21)+INDEX(Models!$BJ21:$BT21,,T21+1)*R21-ERP_i)*Q21*Ramure*Pc/MaxiM</f>
        <v>1.4436547105920357E-2</v>
      </c>
      <c r="Q21" s="301">
        <f t="shared" si="4"/>
        <v>0.5</v>
      </c>
      <c r="R21" s="173">
        <f t="shared" si="5"/>
        <v>0.49401230256634454</v>
      </c>
      <c r="S21" s="802">
        <f t="shared" si="6"/>
        <v>2</v>
      </c>
      <c r="T21" s="172">
        <f t="shared" si="7"/>
        <v>8</v>
      </c>
      <c r="U21" s="247">
        <f t="shared" si="8"/>
        <v>2.4940123025663445</v>
      </c>
      <c r="V21" s="378">
        <f t="shared" si="9"/>
        <v>17.690947428447508</v>
      </c>
      <c r="W21" s="397">
        <f t="shared" si="10"/>
        <v>5.717335721149003</v>
      </c>
      <c r="X21" s="153">
        <f t="shared" si="11"/>
        <v>46394</v>
      </c>
      <c r="Y21" s="380">
        <f t="shared" si="12"/>
        <v>5.5859525638695438</v>
      </c>
      <c r="Z21" s="380">
        <f t="shared" si="22"/>
        <v>5.7309497010526567</v>
      </c>
      <c r="AA21" s="381">
        <f t="shared" si="13"/>
        <v>6.075179264442089</v>
      </c>
      <c r="AB21" s="193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5.6661630612976605E-2</v>
      </c>
      <c r="AD21" s="227">
        <f>(INDEX(Models!$BJ21:$BT21,,AH21)*(1-AF21)+INDEX(Models!$BJ21:$BT21,,AH21+1)*AF21-ERP_i)*AE21*Ramure*Pc/MaxiM</f>
        <v>1.4436547105920357E-2</v>
      </c>
      <c r="AE21" s="301">
        <f t="shared" si="15"/>
        <v>0.5</v>
      </c>
      <c r="AF21" s="173">
        <f t="shared" si="23"/>
        <v>0.49401230256634454</v>
      </c>
      <c r="AG21" s="802">
        <f t="shared" si="24"/>
        <v>2</v>
      </c>
      <c r="AH21" s="172">
        <f t="shared" si="16"/>
        <v>8</v>
      </c>
      <c r="AI21" s="221">
        <f t="shared" si="17"/>
        <v>2.4940123025663445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46395</v>
      </c>
      <c r="B22" s="406">
        <f>'2026'!Wh/'2026'!Env_an*'2027'!Env_an</f>
        <v>7.4688861047157866</v>
      </c>
      <c r="C22" s="832"/>
      <c r="D22" s="388">
        <f t="shared" si="0"/>
        <v>7.6628643111155776</v>
      </c>
      <c r="E22" s="380">
        <f t="shared" si="1"/>
        <v>7.9367999317686468</v>
      </c>
      <c r="F22" s="380">
        <f t="shared" si="2"/>
        <v>7.955968198162501</v>
      </c>
      <c r="G22" s="110">
        <f t="shared" si="21"/>
        <v>0.4126389704894009</v>
      </c>
      <c r="H22" s="409" t="b">
        <f>Wh_hp&gt;='2026'!Maxi_hp</f>
        <v>0</v>
      </c>
      <c r="I22" s="385">
        <f>IF(H22,Wh_hp,'2026'!Maxi_hp)</f>
        <v>8.052237097122509</v>
      </c>
      <c r="J22" s="85">
        <f>IF(H22,An,'2026'!An_max)</f>
        <v>2022</v>
      </c>
      <c r="K22" s="193">
        <f t="shared" si="3"/>
        <v>46395</v>
      </c>
      <c r="L22" s="143">
        <f>IF(t&lt;Tvie,1-EXP((T0-t)*PertePVj)+'2026'!Pspv,1-EXP((T0-t)*PertePVj)+Pspv)</f>
        <v>2.5314059929054333E-2</v>
      </c>
      <c r="M22" s="836"/>
      <c r="N22" s="836"/>
      <c r="O22" s="48">
        <f>IF(t&lt;Tnet,'2026'!Resal+('2026'!Salim-'2026'!Resal)*(1-EXP(('2026'!Tnet-t)/('2026'!Tau_j))),Resal+(Salim-Resal)*(1-EXP((Tnet-t)/(Tau_j))))*Salcycl</f>
        <v>3.451461836105843E-2</v>
      </c>
      <c r="P22" s="165">
        <f>(INDEX(Models!$BJ22:$BT22,,T22)*(1-R22)+INDEX(Models!$BJ22:$BT22,,T22+1)*R22-ERP_i)*Q22*Ramure*Pc/MaxiM</f>
        <v>1.433708173722195E-2</v>
      </c>
      <c r="Q22" s="301">
        <f t="shared" si="4"/>
        <v>0.5</v>
      </c>
      <c r="R22" s="173">
        <f t="shared" si="5"/>
        <v>0.49404965692234182</v>
      </c>
      <c r="S22" s="802">
        <f t="shared" si="6"/>
        <v>2</v>
      </c>
      <c r="T22" s="172">
        <f t="shared" si="7"/>
        <v>8</v>
      </c>
      <c r="U22" s="247">
        <f t="shared" si="8"/>
        <v>2.4940496569223418</v>
      </c>
      <c r="V22" s="378">
        <f t="shared" si="9"/>
        <v>17.88387473917906</v>
      </c>
      <c r="W22" s="397">
        <f t="shared" si="10"/>
        <v>7.4688861047157866</v>
      </c>
      <c r="X22" s="153">
        <f t="shared" si="11"/>
        <v>46395</v>
      </c>
      <c r="Y22" s="380">
        <f t="shared" si="12"/>
        <v>7.2974072024803425</v>
      </c>
      <c r="Z22" s="380">
        <f t="shared" si="22"/>
        <v>7.4869318438605745</v>
      </c>
      <c r="AA22" s="381">
        <f t="shared" si="13"/>
        <v>7.9367999317686468</v>
      </c>
      <c r="AB22" s="193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5.6681293692106817E-2</v>
      </c>
      <c r="AD22" s="227">
        <f>(INDEX(Models!$BJ22:$BT22,,AH22)*(1-AF22)+INDEX(Models!$BJ22:$BT22,,AH22+1)*AF22-ERP_i)*AE22*Ramure*Pc/MaxiM</f>
        <v>1.433708173722195E-2</v>
      </c>
      <c r="AE22" s="301">
        <f t="shared" si="15"/>
        <v>0.5</v>
      </c>
      <c r="AF22" s="173">
        <f t="shared" si="23"/>
        <v>0.49404965692234182</v>
      </c>
      <c r="AG22" s="802">
        <f t="shared" si="24"/>
        <v>2</v>
      </c>
      <c r="AH22" s="172">
        <f t="shared" si="16"/>
        <v>8</v>
      </c>
      <c r="AI22" s="221">
        <f t="shared" si="17"/>
        <v>2.4940496569223418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46396</v>
      </c>
      <c r="B23" s="406">
        <f>'2026'!Wh/'2026'!Env_an*'2027'!Env_an</f>
        <v>2.2437220710707155</v>
      </c>
      <c r="C23" s="832"/>
      <c r="D23" s="388">
        <f t="shared" si="0"/>
        <v>2.3020264209400838</v>
      </c>
      <c r="E23" s="380">
        <f t="shared" si="1"/>
        <v>2.3844205265027654</v>
      </c>
      <c r="F23" s="380">
        <f t="shared" si="2"/>
        <v>2.3844205265027654</v>
      </c>
      <c r="G23" s="110">
        <f t="shared" si="21"/>
        <v>0.12233526678544152</v>
      </c>
      <c r="H23" s="409" t="b">
        <f>Wh_hp&gt;='2026'!Maxi_hp</f>
        <v>0</v>
      </c>
      <c r="I23" s="385">
        <f>IF(H23,Wh_hp,'2026'!Maxi_hp)</f>
        <v>2.4188853930491918</v>
      </c>
      <c r="J23" s="85">
        <f>IF(H23,An,'2026'!An_max)</f>
        <v>2022</v>
      </c>
      <c r="K23" s="193">
        <f t="shared" si="3"/>
        <v>46396</v>
      </c>
      <c r="L23" s="143">
        <f>IF(t&lt;Tvie,1-EXP((T0-t)*PertePVj)+'2026'!Pspv,1-EXP((T0-t)*PertePVj)+Pspv)</f>
        <v>2.5327402561069912E-2</v>
      </c>
      <c r="M23" s="836"/>
      <c r="N23" s="836"/>
      <c r="O23" s="48">
        <f>IF(t&lt;Tnet,'2026'!Resal+('2026'!Salim-'2026'!Resal)*(1-EXP(('2026'!Tnet-t)/('2026'!Tau_j))),Resal+(Salim-Resal)*(1-EXP((Tnet-t)/(Tau_j))))*Salcycl</f>
        <v>3.4555190515629948E-2</v>
      </c>
      <c r="P23" s="165">
        <f>(INDEX(Models!$BJ23:$BT23,,T23)*(1-R23)+INDEX(Models!$BJ23:$BT23,,T23+1)*R23-ERP_i)*Q23*Ramure*Pc/MaxiM</f>
        <v>1.4249700437869495E-2</v>
      </c>
      <c r="Q23" s="301">
        <f t="shared" si="4"/>
        <v>0.5</v>
      </c>
      <c r="R23" s="173">
        <f t="shared" si="5"/>
        <v>0.49408857243137705</v>
      </c>
      <c r="S23" s="802">
        <f t="shared" si="6"/>
        <v>2</v>
      </c>
      <c r="T23" s="172">
        <f t="shared" si="7"/>
        <v>8</v>
      </c>
      <c r="U23" s="247">
        <f t="shared" si="8"/>
        <v>2.494088572431377</v>
      </c>
      <c r="V23" s="378">
        <f t="shared" si="9"/>
        <v>18.079412109111697</v>
      </c>
      <c r="W23" s="397">
        <f t="shared" si="10"/>
        <v>2.2437220710707155</v>
      </c>
      <c r="X23" s="153">
        <f t="shared" si="11"/>
        <v>46396</v>
      </c>
      <c r="Y23" s="380">
        <f t="shared" si="12"/>
        <v>2.1922545403539986</v>
      </c>
      <c r="Z23" s="380">
        <f t="shared" si="22"/>
        <v>2.2492214781808908</v>
      </c>
      <c r="AA23" s="381">
        <f t="shared" si="13"/>
        <v>2.3844205265027654</v>
      </c>
      <c r="AB23" s="193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5.670100840818184E-2</v>
      </c>
      <c r="AD23" s="227">
        <f>(INDEX(Models!$BJ23:$BT23,,AH23)*(1-AF23)+INDEX(Models!$BJ23:$BT23,,AH23+1)*AF23-ERP_i)*AE23*Ramure*Pc/MaxiM</f>
        <v>1.4249700437869495E-2</v>
      </c>
      <c r="AE23" s="301">
        <f t="shared" si="15"/>
        <v>0.5</v>
      </c>
      <c r="AF23" s="173">
        <f t="shared" si="23"/>
        <v>0.49408857243137705</v>
      </c>
      <c r="AG23" s="802">
        <f t="shared" si="24"/>
        <v>2</v>
      </c>
      <c r="AH23" s="172">
        <f t="shared" si="16"/>
        <v>8</v>
      </c>
      <c r="AI23" s="221">
        <f t="shared" si="17"/>
        <v>2.494088572431377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46397</v>
      </c>
      <c r="B24" s="406">
        <f>'2026'!Wh/'2026'!Env_an*'2027'!Env_an</f>
        <v>1.855513380385758</v>
      </c>
      <c r="C24" s="832"/>
      <c r="D24" s="388">
        <f t="shared" si="0"/>
        <v>1.9037559751131954</v>
      </c>
      <c r="E24" s="380">
        <f t="shared" si="1"/>
        <v>1.9719780629571375</v>
      </c>
      <c r="F24" s="380">
        <f t="shared" si="2"/>
        <v>1.9719780629571375</v>
      </c>
      <c r="G24" s="110">
        <f t="shared" si="21"/>
        <v>0.10006078942800004</v>
      </c>
      <c r="H24" s="409" t="b">
        <f>Wh_hp&gt;='2026'!Maxi_hp</f>
        <v>0</v>
      </c>
      <c r="I24" s="385">
        <f>IF(H24,Wh_hp,'2026'!Maxi_hp)</f>
        <v>2.0003417507562942</v>
      </c>
      <c r="J24" s="85">
        <f>IF(H24,An,'2026'!An_max)</f>
        <v>2022</v>
      </c>
      <c r="K24" s="193">
        <f t="shared" si="3"/>
        <v>46397</v>
      </c>
      <c r="L24" s="143">
        <f>IF(t&lt;Tvie,1-EXP((T0-t)*PertePVj)+'2026'!Pspv,1-EXP((T0-t)*PertePVj)+Pspv)</f>
        <v>2.5340745010436039E-2</v>
      </c>
      <c r="M24" s="836"/>
      <c r="N24" s="836"/>
      <c r="O24" s="48">
        <f>IF(t&lt;Tnet,'2026'!Resal+('2026'!Salim-'2026'!Resal)*(1-EXP(('2026'!Tnet-t)/('2026'!Tau_j))),Resal+(Salim-Resal)*(1-EXP((Tnet-t)/(Tau_j))))*Salcycl</f>
        <v>3.4595764083520129E-2</v>
      </c>
      <c r="P24" s="165">
        <f>(INDEX(Models!$BJ24:$BT24,,T24)*(1-R24)+INDEX(Models!$BJ24:$BT24,,T24+1)*R24-ERP_i)*Q24*Ramure*Pc/MaxiM</f>
        <v>1.4181087260726883E-2</v>
      </c>
      <c r="Q24" s="301">
        <f t="shared" si="4"/>
        <v>0.5</v>
      </c>
      <c r="R24" s="173">
        <f t="shared" si="5"/>
        <v>0.4941291140798465</v>
      </c>
      <c r="S24" s="802">
        <f t="shared" si="6"/>
        <v>2</v>
      </c>
      <c r="T24" s="172">
        <f t="shared" si="7"/>
        <v>8</v>
      </c>
      <c r="U24" s="247">
        <f t="shared" si="8"/>
        <v>2.4941291140798465</v>
      </c>
      <c r="V24" s="378">
        <f t="shared" si="9"/>
        <v>18.280888984403671</v>
      </c>
      <c r="W24" s="397">
        <f t="shared" si="10"/>
        <v>1.855513380385758</v>
      </c>
      <c r="X24" s="153">
        <f t="shared" si="11"/>
        <v>46397</v>
      </c>
      <c r="Y24" s="380">
        <f t="shared" si="12"/>
        <v>1.8129889699172657</v>
      </c>
      <c r="Z24" s="380">
        <f t="shared" si="22"/>
        <v>1.8601259472334031</v>
      </c>
      <c r="AA24" s="381">
        <f t="shared" si="13"/>
        <v>1.9719780629571375</v>
      </c>
      <c r="AB24" s="193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5.6720770796001407E-2</v>
      </c>
      <c r="AD24" s="227">
        <f>(INDEX(Models!$BJ24:$BT24,,AH24)*(1-AF24)+INDEX(Models!$BJ24:$BT24,,AH24+1)*AF24-ERP_i)*AE24*Ramure*Pc/MaxiM</f>
        <v>1.4181087260726883E-2</v>
      </c>
      <c r="AE24" s="301">
        <f t="shared" si="15"/>
        <v>0.5</v>
      </c>
      <c r="AF24" s="173">
        <f t="shared" si="23"/>
        <v>0.4941291140798465</v>
      </c>
      <c r="AG24" s="802">
        <f t="shared" si="24"/>
        <v>2</v>
      </c>
      <c r="AH24" s="172">
        <f t="shared" si="16"/>
        <v>8</v>
      </c>
      <c r="AI24" s="221">
        <f t="shared" si="17"/>
        <v>2.4941291140798465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46398</v>
      </c>
      <c r="B25" s="406">
        <f>'2026'!Wh/'2026'!Env_an*'2027'!Env_an</f>
        <v>18.620998602298524</v>
      </c>
      <c r="C25" s="832"/>
      <c r="D25" s="388">
        <f t="shared" si="0"/>
        <v>19.105398544459586</v>
      </c>
      <c r="E25" s="380">
        <f t="shared" si="1"/>
        <v>19.790882220703818</v>
      </c>
      <c r="F25" s="380">
        <f t="shared" si="2"/>
        <v>20.074424837955931</v>
      </c>
      <c r="G25" s="110">
        <f t="shared" si="21"/>
        <v>1.0071655941106643</v>
      </c>
      <c r="H25" s="409" t="b">
        <f>Wh_hp&gt;='2026'!Maxi_hp</f>
        <v>1</v>
      </c>
      <c r="I25" s="385">
        <f>IF(H25,Wh_hp,'2026'!Maxi_hp)</f>
        <v>20.074424837955931</v>
      </c>
      <c r="J25" s="85">
        <f>IF(H25,An,'2026'!An_max)</f>
        <v>2027</v>
      </c>
      <c r="K25" s="193">
        <f t="shared" si="3"/>
        <v>46398</v>
      </c>
      <c r="L25" s="143">
        <f>IF(t&lt;Tvie,1-EXP((T0-t)*PertePVj)+'2026'!Pspv,1-EXP((T0-t)*PertePVj)+Pspv)</f>
        <v>2.5354087277155268E-2</v>
      </c>
      <c r="M25" s="836"/>
      <c r="N25" s="836"/>
      <c r="O25" s="48">
        <f>IF(t&lt;Tnet,'2026'!Resal+('2026'!Salim-'2026'!Resal)*(1-EXP(('2026'!Tnet-t)/('2026'!Tau_j))),Resal+(Salim-Resal)*(1-EXP((Tnet-t)/(Tau_j))))*Salcycl</f>
        <v>3.4636337511378221E-2</v>
      </c>
      <c r="P25" s="165">
        <f>(INDEX(Models!$BJ25:$BT25,,T25)*(1-R25)+INDEX(Models!$BJ25:$BT25,,T25+1)*R25-ERP_i)*Q25*Ramure*Pc/MaxiM</f>
        <v>1.4124569921226305E-2</v>
      </c>
      <c r="Q25" s="301">
        <f t="shared" si="4"/>
        <v>0.5</v>
      </c>
      <c r="R25" s="173">
        <f t="shared" si="5"/>
        <v>0.49417134953721265</v>
      </c>
      <c r="S25" s="802">
        <f t="shared" si="6"/>
        <v>2</v>
      </c>
      <c r="T25" s="172">
        <f t="shared" si="7"/>
        <v>8</v>
      </c>
      <c r="U25" s="247">
        <f t="shared" si="8"/>
        <v>2.4941713495372126</v>
      </c>
      <c r="V25" s="378">
        <f t="shared" si="9"/>
        <v>18.488517390966898</v>
      </c>
      <c r="W25" s="397">
        <f t="shared" si="10"/>
        <v>18.620998602298524</v>
      </c>
      <c r="X25" s="153">
        <f t="shared" si="11"/>
        <v>46398</v>
      </c>
      <c r="Y25" s="380">
        <f t="shared" si="12"/>
        <v>18.194627640665662</v>
      </c>
      <c r="Z25" s="380">
        <f t="shared" si="22"/>
        <v>18.667936122397283</v>
      </c>
      <c r="AA25" s="381">
        <f t="shared" si="13"/>
        <v>19.790882220703818</v>
      </c>
      <c r="AB25" s="193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5.6740578099736802E-2</v>
      </c>
      <c r="AD25" s="227">
        <f>(INDEX(Models!$BJ25:$BT25,,AH25)*(1-AF25)+INDEX(Models!$BJ25:$BT25,,AH25+1)*AF25-ERP_i)*AE25*Ramure*Pc/MaxiM</f>
        <v>1.4124569921226305E-2</v>
      </c>
      <c r="AE25" s="301">
        <f t="shared" si="15"/>
        <v>0.5</v>
      </c>
      <c r="AF25" s="173">
        <f t="shared" si="23"/>
        <v>0.49417134953721265</v>
      </c>
      <c r="AG25" s="802">
        <f t="shared" si="24"/>
        <v>2</v>
      </c>
      <c r="AH25" s="172">
        <f t="shared" si="16"/>
        <v>8</v>
      </c>
      <c r="AI25" s="221">
        <f t="shared" si="17"/>
        <v>2.4941713495372126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46399</v>
      </c>
      <c r="B26" s="406">
        <f>'2026'!Wh/'2026'!Env_an*'2027'!Env_an</f>
        <v>16.716253438940075</v>
      </c>
      <c r="C26" s="832"/>
      <c r="D26" s="388">
        <f t="shared" si="0"/>
        <v>17.151338814774391</v>
      </c>
      <c r="E26" s="380">
        <f t="shared" si="1"/>
        <v>17.767459403874614</v>
      </c>
      <c r="F26" s="380">
        <f t="shared" si="2"/>
        <v>17.982233111457663</v>
      </c>
      <c r="G26" s="110">
        <f t="shared" si="21"/>
        <v>0.89187048360648757</v>
      </c>
      <c r="H26" s="409" t="b">
        <f>Wh_hp&gt;='2026'!Maxi_hp</f>
        <v>0</v>
      </c>
      <c r="I26" s="385">
        <f>IF(H26,Wh_hp,'2026'!Maxi_hp)</f>
        <v>18.021186492350228</v>
      </c>
      <c r="J26" s="85">
        <f>IF(H26,An,'2026'!An_max)</f>
        <v>2022</v>
      </c>
      <c r="K26" s="193">
        <f t="shared" si="3"/>
        <v>46399</v>
      </c>
      <c r="L26" s="143">
        <f>IF(t&lt;Tvie,1-EXP((T0-t)*PertePVj)+'2026'!Pspv,1-EXP((T0-t)*PertePVj)+Pspv)</f>
        <v>2.5367429361230154E-2</v>
      </c>
      <c r="M26" s="836"/>
      <c r="N26" s="836"/>
      <c r="O26" s="48">
        <f>IF(t&lt;Tnet,'2026'!Resal+('2026'!Salim-'2026'!Resal)*(1-EXP(('2026'!Tnet-t)/('2026'!Tau_j))),Resal+(Salim-Resal)*(1-EXP((Tnet-t)/(Tau_j))))*Salcycl</f>
        <v>3.4676909911265222E-2</v>
      </c>
      <c r="P26" s="165">
        <f>(INDEX(Models!$BJ26:$BT26,,T26)*(1-R26)+INDEX(Models!$BJ26:$BT26,,T26+1)*R26-ERP_i)*Q26*Ramure*Pc/MaxiM</f>
        <v>1.4079697415782149E-2</v>
      </c>
      <c r="Q26" s="301">
        <f t="shared" si="4"/>
        <v>0.5</v>
      </c>
      <c r="R26" s="173">
        <f t="shared" si="5"/>
        <v>0.49421534926488375</v>
      </c>
      <c r="S26" s="802">
        <f t="shared" si="6"/>
        <v>2</v>
      </c>
      <c r="T26" s="172">
        <f t="shared" si="7"/>
        <v>8</v>
      </c>
      <c r="U26" s="247">
        <f t="shared" si="8"/>
        <v>2.4942153492648838</v>
      </c>
      <c r="V26" s="378">
        <f t="shared" si="9"/>
        <v>18.702396377340001</v>
      </c>
      <c r="W26" s="397">
        <f t="shared" si="10"/>
        <v>16.716253438940075</v>
      </c>
      <c r="X26" s="153">
        <f t="shared" si="11"/>
        <v>46399</v>
      </c>
      <c r="Y26" s="380">
        <f t="shared" si="12"/>
        <v>16.333838784138582</v>
      </c>
      <c r="Z26" s="380">
        <f t="shared" si="22"/>
        <v>16.758970791868219</v>
      </c>
      <c r="AA26" s="381">
        <f t="shared" si="13"/>
        <v>17.767459403874614</v>
      </c>
      <c r="AB26" s="193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5.67604286624383E-2</v>
      </c>
      <c r="AD26" s="227">
        <f>(INDEX(Models!$BJ26:$BT26,,AH26)*(1-AF26)+INDEX(Models!$BJ26:$BT26,,AH26+1)*AF26-ERP_i)*AE26*Ramure*Pc/MaxiM</f>
        <v>1.4079697415782149E-2</v>
      </c>
      <c r="AE26" s="301">
        <f t="shared" si="15"/>
        <v>0.5</v>
      </c>
      <c r="AF26" s="173">
        <f t="shared" si="23"/>
        <v>0.49421534926488375</v>
      </c>
      <c r="AG26" s="802">
        <f t="shared" si="24"/>
        <v>2</v>
      </c>
      <c r="AH26" s="172">
        <f t="shared" si="16"/>
        <v>8</v>
      </c>
      <c r="AI26" s="221">
        <f t="shared" si="17"/>
        <v>2.4942153492648838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46400</v>
      </c>
      <c r="B27" s="406">
        <f>'2026'!Wh/'2026'!Env_an*'2027'!Env_an</f>
        <v>5.6795756124308028</v>
      </c>
      <c r="C27" s="832"/>
      <c r="D27" s="388">
        <f t="shared" si="0"/>
        <v>5.827481589696264</v>
      </c>
      <c r="E27" s="380">
        <f t="shared" si="1"/>
        <v>6.0370735768517534</v>
      </c>
      <c r="F27" s="380">
        <f t="shared" si="2"/>
        <v>6.0370914259352109</v>
      </c>
      <c r="G27" s="110">
        <f t="shared" si="21"/>
        <v>0.29593234402440338</v>
      </c>
      <c r="H27" s="409" t="b">
        <f>Wh_hp&gt;='2026'!Maxi_hp</f>
        <v>0</v>
      </c>
      <c r="I27" s="385">
        <f>IF(H27,Wh_hp,'2026'!Maxi_hp)</f>
        <v>6.1230639003066996</v>
      </c>
      <c r="J27" s="85">
        <f>IF(H27,An,'2026'!An_max)</f>
        <v>2022</v>
      </c>
      <c r="K27" s="193">
        <f t="shared" si="3"/>
        <v>46400</v>
      </c>
      <c r="L27" s="143">
        <f>IF(t&lt;Tvie,1-EXP((T0-t)*PertePVj)+'2026'!Pspv,1-EXP((T0-t)*PertePVj)+Pspv)</f>
        <v>2.5380771262663027E-2</v>
      </c>
      <c r="M27" s="836"/>
      <c r="N27" s="836"/>
      <c r="O27" s="48">
        <f>IF(t&lt;Tnet,'2026'!Resal+('2026'!Salim-'2026'!Resal)*(1-EXP(('2026'!Tnet-t)/('2026'!Tau_j))),Resal+(Salim-Resal)*(1-EXP((Tnet-t)/(Tau_j))))*Salcycl</f>
        <v>3.4717480992634948E-2</v>
      </c>
      <c r="P27" s="165">
        <f>(INDEX(Models!$BJ27:$BT27,,T27)*(1-R27)+INDEX(Models!$BJ27:$BT27,,T27+1)*R27-ERP_i)*Q27*Ramure*Pc/MaxiM</f>
        <v>1.4046018326781293E-2</v>
      </c>
      <c r="Q27" s="301">
        <f t="shared" si="4"/>
        <v>0.5</v>
      </c>
      <c r="R27" s="173">
        <f t="shared" si="5"/>
        <v>0.4942611866293527</v>
      </c>
      <c r="S27" s="802">
        <f t="shared" si="6"/>
        <v>2</v>
      </c>
      <c r="T27" s="172">
        <f t="shared" si="7"/>
        <v>8</v>
      </c>
      <c r="U27" s="247">
        <f t="shared" si="8"/>
        <v>2.4942611866293527</v>
      </c>
      <c r="V27" s="378">
        <f t="shared" si="9"/>
        <v>18.922624912803499</v>
      </c>
      <c r="W27" s="397">
        <f t="shared" si="10"/>
        <v>5.6795756124308028</v>
      </c>
      <c r="X27" s="153">
        <f t="shared" si="11"/>
        <v>46400</v>
      </c>
      <c r="Y27" s="380">
        <f t="shared" si="12"/>
        <v>5.5497612107595247</v>
      </c>
      <c r="Z27" s="380">
        <f t="shared" si="22"/>
        <v>5.6942865963659361</v>
      </c>
      <c r="AA27" s="381">
        <f t="shared" si="13"/>
        <v>6.0370735768517534</v>
      </c>
      <c r="AB27" s="193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5.6780321810252943E-2</v>
      </c>
      <c r="AD27" s="227">
        <f>(INDEX(Models!$BJ27:$BT27,,AH27)*(1-AF27)+INDEX(Models!$BJ27:$BT27,,AH27+1)*AF27-ERP_i)*AE27*Ramure*Pc/MaxiM</f>
        <v>1.4046018326781293E-2</v>
      </c>
      <c r="AE27" s="301">
        <f t="shared" si="15"/>
        <v>0.5</v>
      </c>
      <c r="AF27" s="173">
        <f t="shared" si="23"/>
        <v>0.4942611866293527</v>
      </c>
      <c r="AG27" s="802">
        <f t="shared" si="24"/>
        <v>2</v>
      </c>
      <c r="AH27" s="172">
        <f t="shared" si="16"/>
        <v>8</v>
      </c>
      <c r="AI27" s="221">
        <f t="shared" si="17"/>
        <v>2.4942611866293527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46401</v>
      </c>
      <c r="B28" s="406">
        <f>'2026'!Wh/'2026'!Env_an*'2027'!Env_an</f>
        <v>19.215206391337418</v>
      </c>
      <c r="C28" s="832"/>
      <c r="D28" s="388">
        <f t="shared" si="0"/>
        <v>19.715873510798744</v>
      </c>
      <c r="E28" s="380">
        <f t="shared" si="1"/>
        <v>20.425835751390608</v>
      </c>
      <c r="F28" s="380">
        <f t="shared" si="2"/>
        <v>20.71634270725017</v>
      </c>
      <c r="G28" s="110">
        <f t="shared" si="21"/>
        <v>1.0034416130426369</v>
      </c>
      <c r="H28" s="409" t="b">
        <f>Wh_hp&gt;='2026'!Maxi_hp</f>
        <v>1</v>
      </c>
      <c r="I28" s="385">
        <f>IF(H28,Wh_hp,'2026'!Maxi_hp)</f>
        <v>20.71634270725017</v>
      </c>
      <c r="J28" s="85">
        <f>IF(H28,An,'2026'!An_max)</f>
        <v>2027</v>
      </c>
      <c r="K28" s="193">
        <f t="shared" si="3"/>
        <v>46401</v>
      </c>
      <c r="L28" s="143">
        <f>IF(t&lt;Tvie,1-EXP((T0-t)*PertePVj)+'2026'!Pspv,1-EXP((T0-t)*PertePVj)+Pspv)</f>
        <v>2.539411298145644E-2</v>
      </c>
      <c r="M28" s="836"/>
      <c r="N28" s="836"/>
      <c r="O28" s="48">
        <f>IF(t&lt;Tnet,'2026'!Resal+('2026'!Salim-'2026'!Resal)*(1-EXP(('2026'!Tnet-t)/('2026'!Tau_j))),Resal+(Salim-Resal)*(1-EXP((Tnet-t)/(Tau_j))))*Salcycl</f>
        <v>3.4758050991550146E-2</v>
      </c>
      <c r="P28" s="165">
        <f>(INDEX(Models!$BJ28:$BT28,,T28)*(1-R28)+INDEX(Models!$BJ28:$BT28,,T28+1)*R28-ERP_i)*Q28*Ramure*Pc/MaxiM</f>
        <v>1.4023081195595992E-2</v>
      </c>
      <c r="Q28" s="301">
        <f t="shared" si="4"/>
        <v>0.5</v>
      </c>
      <c r="R28" s="173">
        <f t="shared" si="5"/>
        <v>0.49430893801974207</v>
      </c>
      <c r="S28" s="802">
        <f t="shared" si="6"/>
        <v>2</v>
      </c>
      <c r="T28" s="172">
        <f t="shared" si="7"/>
        <v>8</v>
      </c>
      <c r="U28" s="247">
        <f t="shared" si="8"/>
        <v>2.4943089380197421</v>
      </c>
      <c r="V28" s="378">
        <f t="shared" si="9"/>
        <v>19.149301904146714</v>
      </c>
      <c r="W28" s="397">
        <f t="shared" si="10"/>
        <v>19.215206391337418</v>
      </c>
      <c r="X28" s="153">
        <f t="shared" si="11"/>
        <v>46401</v>
      </c>
      <c r="Y28" s="380">
        <f t="shared" si="12"/>
        <v>18.776409100889069</v>
      </c>
      <c r="Z28" s="380">
        <f t="shared" si="22"/>
        <v>19.265643016305539</v>
      </c>
      <c r="AA28" s="381">
        <f t="shared" si="13"/>
        <v>20.425835751390608</v>
      </c>
      <c r="AB28" s="193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5.6800257732713924E-2</v>
      </c>
      <c r="AD28" s="227">
        <f>(INDEX(Models!$BJ28:$BT28,,AH28)*(1-AF28)+INDEX(Models!$BJ28:$BT28,,AH28+1)*AF28-ERP_i)*AE28*Ramure*Pc/MaxiM</f>
        <v>1.4023081195595992E-2</v>
      </c>
      <c r="AE28" s="301">
        <f t="shared" si="15"/>
        <v>0.5</v>
      </c>
      <c r="AF28" s="173">
        <f t="shared" si="23"/>
        <v>0.49430893801974207</v>
      </c>
      <c r="AG28" s="802">
        <f t="shared" si="24"/>
        <v>2</v>
      </c>
      <c r="AH28" s="172">
        <f t="shared" si="16"/>
        <v>8</v>
      </c>
      <c r="AI28" s="221">
        <f t="shared" si="17"/>
        <v>2.4943089380197421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46402</v>
      </c>
      <c r="B29" s="406">
        <f>'2026'!Wh/'2026'!Env_an*'2027'!Env_an</f>
        <v>19.771328646316888</v>
      </c>
      <c r="C29" s="832"/>
      <c r="D29" s="388">
        <f t="shared" si="0"/>
        <v>20.28676367161296</v>
      </c>
      <c r="E29" s="380">
        <f t="shared" si="1"/>
        <v>21.018166886770267</v>
      </c>
      <c r="F29" s="380">
        <f t="shared" si="2"/>
        <v>21.31682487483608</v>
      </c>
      <c r="G29" s="110">
        <f t="shared" si="21"/>
        <v>1.0200594310119342</v>
      </c>
      <c r="H29" s="409" t="b">
        <f>Wh_hp&gt;='2026'!Maxi_hp</f>
        <v>1</v>
      </c>
      <c r="I29" s="385">
        <f>IF(H29,Wh_hp,'2026'!Maxi_hp)</f>
        <v>21.31682487483608</v>
      </c>
      <c r="J29" s="85">
        <f>IF(H29,An,'2026'!An_max)</f>
        <v>2027</v>
      </c>
      <c r="K29" s="193">
        <f t="shared" si="3"/>
        <v>46402</v>
      </c>
      <c r="L29" s="143">
        <f>IF(t&lt;Tvie,1-EXP((T0-t)*PertePVj)+'2026'!Pspv,1-EXP((T0-t)*PertePVj)+Pspv)</f>
        <v>2.540745451761306E-2</v>
      </c>
      <c r="M29" s="836"/>
      <c r="N29" s="836"/>
      <c r="O29" s="48">
        <f>IF(t&lt;Tnet,'2026'!Resal+('2026'!Salim-'2026'!Resal)*(1-EXP(('2026'!Tnet-t)/('2026'!Tau_j))),Resal+(Salim-Resal)*(1-EXP((Tnet-t)/(Tau_j))))*Salcycl</f>
        <v>3.4798620597959143E-2</v>
      </c>
      <c r="P29" s="165">
        <f>(INDEX(Models!$BJ29:$BT29,,T29)*(1-R29)+INDEX(Models!$BJ29:$BT29,,T29+1)*R29-ERP_i)*Q29*Ramure*Pc/MaxiM</f>
        <v>1.401043494138611E-2</v>
      </c>
      <c r="Q29" s="301">
        <f t="shared" si="4"/>
        <v>0.5</v>
      </c>
      <c r="R29" s="173">
        <f t="shared" si="5"/>
        <v>0.49435868296991448</v>
      </c>
      <c r="S29" s="802">
        <f t="shared" si="6"/>
        <v>2</v>
      </c>
      <c r="T29" s="172">
        <f t="shared" si="7"/>
        <v>8</v>
      </c>
      <c r="U29" s="247">
        <f t="shared" si="8"/>
        <v>2.4943586829699145</v>
      </c>
      <c r="V29" s="378">
        <f t="shared" si="9"/>
        <v>19.382526199187286</v>
      </c>
      <c r="W29" s="397">
        <f t="shared" si="10"/>
        <v>19.771328646316888</v>
      </c>
      <c r="X29" s="153">
        <f t="shared" si="11"/>
        <v>46402</v>
      </c>
      <c r="Y29" s="380">
        <f t="shared" si="12"/>
        <v>19.32023457245166</v>
      </c>
      <c r="Z29" s="380">
        <f t="shared" si="22"/>
        <v>19.82390965538205</v>
      </c>
      <c r="AA29" s="381">
        <f t="shared" si="13"/>
        <v>21.018166886770267</v>
      </c>
      <c r="AB29" s="193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5.6820237360468061E-2</v>
      </c>
      <c r="AD29" s="227">
        <f>(INDEX(Models!$BJ29:$BT29,,AH29)*(1-AF29)+INDEX(Models!$BJ29:$BT29,,AH29+1)*AF29-ERP_i)*AE29*Ramure*Pc/MaxiM</f>
        <v>1.401043494138611E-2</v>
      </c>
      <c r="AE29" s="301">
        <f t="shared" si="15"/>
        <v>0.5</v>
      </c>
      <c r="AF29" s="173">
        <f t="shared" si="23"/>
        <v>0.49435868296991448</v>
      </c>
      <c r="AG29" s="802">
        <f t="shared" si="24"/>
        <v>2</v>
      </c>
      <c r="AH29" s="172">
        <f t="shared" si="16"/>
        <v>8</v>
      </c>
      <c r="AI29" s="221">
        <f t="shared" si="17"/>
        <v>2.4943586829699145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46403</v>
      </c>
      <c r="B30" s="406">
        <f>'2026'!Wh/'2026'!Env_an*'2027'!Env_an</f>
        <v>19.500948595024724</v>
      </c>
      <c r="C30" s="832"/>
      <c r="D30" s="388">
        <f t="shared" si="0"/>
        <v>20.009608775159322</v>
      </c>
      <c r="E30" s="380">
        <f t="shared" si="1"/>
        <v>20.731891086048059</v>
      </c>
      <c r="F30" s="380">
        <f t="shared" si="2"/>
        <v>21.023599569118876</v>
      </c>
      <c r="G30" s="110">
        <f t="shared" si="21"/>
        <v>0.99367737151755275</v>
      </c>
      <c r="H30" s="409" t="b">
        <f>Wh_hp&gt;='2026'!Maxi_hp</f>
        <v>0</v>
      </c>
      <c r="I30" s="385">
        <f>IF(H30,Wh_hp,'2026'!Maxi_hp)</f>
        <v>21.026241804609086</v>
      </c>
      <c r="J30" s="85">
        <f>IF(H30,An,'2026'!An_max)</f>
        <v>2022</v>
      </c>
      <c r="K30" s="193">
        <f t="shared" si="3"/>
        <v>46403</v>
      </c>
      <c r="L30" s="143">
        <f>IF(t&lt;Tvie,1-EXP((T0-t)*PertePVj)+'2026'!Pspv,1-EXP((T0-t)*PertePVj)+Pspv)</f>
        <v>2.5420795871135105E-2</v>
      </c>
      <c r="M30" s="836"/>
      <c r="N30" s="836"/>
      <c r="O30" s="48">
        <f>IF(t&lt;Tnet,'2026'!Resal+('2026'!Salim-'2026'!Resal)*(1-EXP(('2026'!Tnet-t)/('2026'!Tau_j))),Resal+(Salim-Resal)*(1-EXP((Tnet-t)/(Tau_j))))*Salcycl</f>
        <v>3.4839190881858925E-2</v>
      </c>
      <c r="P30" s="165">
        <f>(INDEX(Models!$BJ30:$BT30,,T30)*(1-R30)+INDEX(Models!$BJ30:$BT30,,T30+1)*R30-ERP_i)*Q30*Ramure*Pc/MaxiM</f>
        <v>1.3999234794589234E-2</v>
      </c>
      <c r="Q30" s="301">
        <f t="shared" si="4"/>
        <v>0.5</v>
      </c>
      <c r="R30" s="173">
        <f t="shared" si="5"/>
        <v>0.49441050428530797</v>
      </c>
      <c r="S30" s="802">
        <f t="shared" si="6"/>
        <v>2</v>
      </c>
      <c r="T30" s="172">
        <f t="shared" si="7"/>
        <v>8</v>
      </c>
      <c r="U30" s="247">
        <f t="shared" si="8"/>
        <v>2.494410504285308</v>
      </c>
      <c r="V30" s="378">
        <f t="shared" si="9"/>
        <v>19.622563670531594</v>
      </c>
      <c r="W30" s="397">
        <f t="shared" si="10"/>
        <v>19.500948595024724</v>
      </c>
      <c r="X30" s="153">
        <f t="shared" si="11"/>
        <v>46403</v>
      </c>
      <c r="Y30" s="380">
        <f t="shared" si="12"/>
        <v>19.056419810212478</v>
      </c>
      <c r="Z30" s="380">
        <f t="shared" si="22"/>
        <v>19.553484959948644</v>
      </c>
      <c r="AA30" s="381">
        <f t="shared" si="13"/>
        <v>20.731891086048059</v>
      </c>
      <c r="AB30" s="193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5.6840262241800291E-2</v>
      </c>
      <c r="AD30" s="227">
        <f>(INDEX(Models!$BJ30:$BT30,,AH30)*(1-AF30)+INDEX(Models!$BJ30:$BT30,,AH30+1)*AF30-ERP_i)*AE30*Ramure*Pc/MaxiM</f>
        <v>1.3999234794589234E-2</v>
      </c>
      <c r="AE30" s="301">
        <f t="shared" si="15"/>
        <v>0.5</v>
      </c>
      <c r="AF30" s="173">
        <f t="shared" si="23"/>
        <v>0.49441050428530797</v>
      </c>
      <c r="AG30" s="802">
        <f t="shared" si="24"/>
        <v>2</v>
      </c>
      <c r="AH30" s="172">
        <f t="shared" si="16"/>
        <v>8</v>
      </c>
      <c r="AI30" s="221">
        <f t="shared" si="17"/>
        <v>2.494410504285308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46404</v>
      </c>
      <c r="B31" s="406">
        <f>'2026'!Wh/'2026'!Env_an*'2027'!Env_an</f>
        <v>13.085994528621287</v>
      </c>
      <c r="C31" s="832"/>
      <c r="D31" s="388">
        <f t="shared" si="0"/>
        <v>13.42751170136726</v>
      </c>
      <c r="E31" s="380">
        <f t="shared" si="1"/>
        <v>13.912786396599442</v>
      </c>
      <c r="F31" s="380">
        <f t="shared" si="2"/>
        <v>14.013171916327602</v>
      </c>
      <c r="G31" s="110">
        <f t="shared" si="21"/>
        <v>0.65406882589358839</v>
      </c>
      <c r="H31" s="409" t="b">
        <f>Wh_hp&gt;='2026'!Maxi_hp</f>
        <v>0</v>
      </c>
      <c r="I31" s="385">
        <f>IF(H31,Wh_hp,'2026'!Maxi_hp)</f>
        <v>14.110078337543527</v>
      </c>
      <c r="J31" s="85">
        <f>IF(H31,An,'2026'!An_max)</f>
        <v>2022</v>
      </c>
      <c r="K31" s="193">
        <f t="shared" si="3"/>
        <v>46404</v>
      </c>
      <c r="L31" s="143">
        <f>IF(t&lt;Tvie,1-EXP((T0-t)*PertePVj)+'2026'!Pspv,1-EXP((T0-t)*PertePVj)+Pspv)</f>
        <v>2.5434137042025351E-2</v>
      </c>
      <c r="M31" s="836"/>
      <c r="N31" s="836"/>
      <c r="O31" s="48">
        <f>IF(t&lt;Tnet,'2026'!Resal+('2026'!Salim-'2026'!Resal)*(1-EXP(('2026'!Tnet-t)/('2026'!Tau_j))),Resal+(Salim-Resal)*(1-EXP((Tnet-t)/(Tau_j))))*Salcycl</f>
        <v>3.4879763219163071E-2</v>
      </c>
      <c r="P31" s="165">
        <f>(INDEX(Models!$BJ31:$BT31,,T31)*(1-R31)+INDEX(Models!$BJ31:$BT31,,T31+1)*R31-ERP_i)*Q31*Ramure*Pc/MaxiM</f>
        <v>1.3983979793547832E-2</v>
      </c>
      <c r="Q31" s="301">
        <f t="shared" si="4"/>
        <v>0.5</v>
      </c>
      <c r="R31" s="173">
        <f t="shared" si="5"/>
        <v>0.49446448817466182</v>
      </c>
      <c r="S31" s="802">
        <f t="shared" si="6"/>
        <v>2</v>
      </c>
      <c r="T31" s="172">
        <f t="shared" si="7"/>
        <v>8</v>
      </c>
      <c r="U31" s="247">
        <f t="shared" si="8"/>
        <v>2.4944644881746618</v>
      </c>
      <c r="V31" s="378">
        <f t="shared" si="9"/>
        <v>19.869621204682364</v>
      </c>
      <c r="W31" s="397">
        <f t="shared" si="10"/>
        <v>13.085994528621287</v>
      </c>
      <c r="X31" s="153">
        <f t="shared" si="11"/>
        <v>46404</v>
      </c>
      <c r="Y31" s="380">
        <f t="shared" si="12"/>
        <v>12.78796157531769</v>
      </c>
      <c r="Z31" s="380">
        <f t="shared" si="22"/>
        <v>13.121700709384619</v>
      </c>
      <c r="AA31" s="381">
        <f t="shared" si="13"/>
        <v>13.912786396599442</v>
      </c>
      <c r="AB31" s="193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5.6860334419292155E-2</v>
      </c>
      <c r="AD31" s="227">
        <f>(INDEX(Models!$BJ31:$BT31,,AH31)*(1-AF31)+INDEX(Models!$BJ31:$BT31,,AH31+1)*AF31-ERP_i)*AE31*Ramure*Pc/MaxiM</f>
        <v>1.3983979793547832E-2</v>
      </c>
      <c r="AE31" s="301">
        <f t="shared" si="15"/>
        <v>0.5</v>
      </c>
      <c r="AF31" s="173">
        <f t="shared" si="23"/>
        <v>0.49446448817466182</v>
      </c>
      <c r="AG31" s="802">
        <f t="shared" si="24"/>
        <v>2</v>
      </c>
      <c r="AH31" s="172">
        <f t="shared" si="16"/>
        <v>8</v>
      </c>
      <c r="AI31" s="221">
        <f t="shared" si="17"/>
        <v>2.4944644881746618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46405</v>
      </c>
      <c r="B32" s="406">
        <f>'2026'!Wh/'2026'!Env_an*'2027'!Env_an</f>
        <v>4.1515961439804538</v>
      </c>
      <c r="C32" s="832"/>
      <c r="D32" s="388">
        <f t="shared" si="0"/>
        <v>4.2600024630683508</v>
      </c>
      <c r="E32" s="380">
        <f t="shared" si="1"/>
        <v>4.4141459365300797</v>
      </c>
      <c r="F32" s="380">
        <f t="shared" si="2"/>
        <v>4.4141459365300797</v>
      </c>
      <c r="G32" s="110">
        <f t="shared" si="21"/>
        <v>0.2034218526121527</v>
      </c>
      <c r="H32" s="409" t="b">
        <f>Wh_hp&gt;='2026'!Maxi_hp</f>
        <v>0</v>
      </c>
      <c r="I32" s="385">
        <f>IF(H32,Wh_hp,'2026'!Maxi_hp)</f>
        <v>4.4766449642017561</v>
      </c>
      <c r="J32" s="85">
        <f>IF(H32,An,'2026'!An_max)</f>
        <v>2022</v>
      </c>
      <c r="K32" s="193">
        <f t="shared" si="3"/>
        <v>46405</v>
      </c>
      <c r="L32" s="143">
        <f>IF(t&lt;Tvie,1-EXP((T0-t)*PertePVj)+'2026'!Pspv,1-EXP((T0-t)*PertePVj)+Pspv)</f>
        <v>2.544747803028613E-2</v>
      </c>
      <c r="M32" s="836"/>
      <c r="N32" s="836"/>
      <c r="O32" s="48">
        <f>IF(t&lt;Tnet,'2026'!Resal+('2026'!Salim-'2026'!Resal)*(1-EXP(('2026'!Tnet-t)/('2026'!Tau_j))),Resal+(Salim-Resal)*(1-EXP((Tnet-t)/(Tau_j))))*Salcycl</f>
        <v>3.4920339218077474E-2</v>
      </c>
      <c r="P32" s="165">
        <f>(INDEX(Models!$BJ32:$BT32,,T32)*(1-R32)+INDEX(Models!$BJ32:$BT32,,T32+1)*R32-ERP_i)*Q32*Ramure*Pc/MaxiM</f>
        <v>1.3964743721026469E-2</v>
      </c>
      <c r="Q32" s="301">
        <f t="shared" si="4"/>
        <v>0.5</v>
      </c>
      <c r="R32" s="173">
        <f t="shared" si="5"/>
        <v>0.4945207243868035</v>
      </c>
      <c r="S32" s="802">
        <f t="shared" si="6"/>
        <v>2</v>
      </c>
      <c r="T32" s="172">
        <f t="shared" si="7"/>
        <v>8</v>
      </c>
      <c r="U32" s="247">
        <f t="shared" si="8"/>
        <v>2.4945207243868035</v>
      </c>
      <c r="V32" s="378">
        <f t="shared" si="9"/>
        <v>20.123797493878524</v>
      </c>
      <c r="W32" s="397">
        <f t="shared" si="10"/>
        <v>4.1515961439804538</v>
      </c>
      <c r="X32" s="153">
        <f t="shared" si="11"/>
        <v>46405</v>
      </c>
      <c r="Y32" s="380">
        <f t="shared" si="12"/>
        <v>4.0571277377582406</v>
      </c>
      <c r="Z32" s="380">
        <f t="shared" si="22"/>
        <v>4.1630673014505053</v>
      </c>
      <c r="AA32" s="381">
        <f t="shared" si="13"/>
        <v>4.4141459365300797</v>
      </c>
      <c r="AB32" s="193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5.6880456307918402E-2</v>
      </c>
      <c r="AD32" s="227">
        <f>(INDEX(Models!$BJ32:$BT32,,AH32)*(1-AF32)+INDEX(Models!$BJ32:$BT32,,AH32+1)*AF32-ERP_i)*AE32*Ramure*Pc/MaxiM</f>
        <v>1.3964743721026469E-2</v>
      </c>
      <c r="AE32" s="301">
        <f t="shared" si="15"/>
        <v>0.5</v>
      </c>
      <c r="AF32" s="173">
        <f t="shared" si="23"/>
        <v>0.4945207243868035</v>
      </c>
      <c r="AG32" s="802">
        <f t="shared" si="24"/>
        <v>2</v>
      </c>
      <c r="AH32" s="172">
        <f t="shared" si="16"/>
        <v>8</v>
      </c>
      <c r="AI32" s="221">
        <f t="shared" si="17"/>
        <v>2.4945207243868035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46406</v>
      </c>
      <c r="B33" s="406">
        <f>'2026'!Wh/'2026'!Env_an*'2027'!Env_an</f>
        <v>10.497412794301795</v>
      </c>
      <c r="C33" s="832"/>
      <c r="D33" s="388">
        <f t="shared" si="0"/>
        <v>10.771668289173054</v>
      </c>
      <c r="E33" s="380">
        <f t="shared" si="1"/>
        <v>11.161898538235539</v>
      </c>
      <c r="F33" s="380">
        <f t="shared" si="2"/>
        <v>11.209889486327896</v>
      </c>
      <c r="G33" s="110">
        <f t="shared" si="21"/>
        <v>0.50995679342033229</v>
      </c>
      <c r="H33" s="409" t="b">
        <f>Wh_hp&gt;='2026'!Maxi_hp</f>
        <v>0</v>
      </c>
      <c r="I33" s="385">
        <f>IF(H33,Wh_hp,'2026'!Maxi_hp)</f>
        <v>11.319682789711347</v>
      </c>
      <c r="J33" s="85">
        <f>IF(H33,An,'2026'!An_max)</f>
        <v>2022</v>
      </c>
      <c r="K33" s="193">
        <f t="shared" si="3"/>
        <v>46406</v>
      </c>
      <c r="L33" s="143">
        <f>IF(t&lt;Tvie,1-EXP((T0-t)*PertePVj)+'2026'!Pspv,1-EXP((T0-t)*PertePVj)+Pspv)</f>
        <v>2.5460818835919885E-2</v>
      </c>
      <c r="M33" s="836"/>
      <c r="N33" s="836"/>
      <c r="O33" s="48">
        <f>IF(t&lt;Tnet,'2026'!Resal+('2026'!Salim-'2026'!Resal)*(1-EXP(('2026'!Tnet-t)/('2026'!Tau_j))),Resal+(Salim-Resal)*(1-EXP((Tnet-t)/(Tau_j))))*Salcycl</f>
        <v>3.4960920646764128E-2</v>
      </c>
      <c r="P33" s="165">
        <f>(INDEX(Models!$BJ33:$BT33,,T33)*(1-R33)+INDEX(Models!$BJ33:$BT33,,T33+1)*R33-ERP_i)*Q33*Ramure*Pc/MaxiM</f>
        <v>1.3941605282808564E-2</v>
      </c>
      <c r="Q33" s="301">
        <f t="shared" si="4"/>
        <v>0.5</v>
      </c>
      <c r="R33" s="173">
        <f t="shared" si="5"/>
        <v>0.49457930635266445</v>
      </c>
      <c r="S33" s="802">
        <f t="shared" si="6"/>
        <v>2</v>
      </c>
      <c r="T33" s="172">
        <f t="shared" si="7"/>
        <v>8</v>
      </c>
      <c r="U33" s="247">
        <f t="shared" si="8"/>
        <v>2.4945793063526644</v>
      </c>
      <c r="V33" s="378">
        <f t="shared" si="9"/>
        <v>20.385191201794928</v>
      </c>
      <c r="W33" s="397">
        <f t="shared" si="10"/>
        <v>10.497412794301795</v>
      </c>
      <c r="X33" s="153">
        <f t="shared" si="11"/>
        <v>46406</v>
      </c>
      <c r="Y33" s="380">
        <f t="shared" si="12"/>
        <v>10.25875904789901</v>
      </c>
      <c r="Z33" s="380">
        <f t="shared" si="22"/>
        <v>10.526779472986398</v>
      </c>
      <c r="AA33" s="381">
        <f t="shared" si="13"/>
        <v>11.161898538235539</v>
      </c>
      <c r="AB33" s="193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5.6900630575839307E-2</v>
      </c>
      <c r="AD33" s="227">
        <f>(INDEX(Models!$BJ33:$BT33,,AH33)*(1-AF33)+INDEX(Models!$BJ33:$BT33,,AH33+1)*AF33-ERP_i)*AE33*Ramure*Pc/MaxiM</f>
        <v>1.3941605282808564E-2</v>
      </c>
      <c r="AE33" s="301">
        <f t="shared" si="15"/>
        <v>0.5</v>
      </c>
      <c r="AF33" s="173">
        <f t="shared" si="23"/>
        <v>0.49457930635266445</v>
      </c>
      <c r="AG33" s="802">
        <f t="shared" si="24"/>
        <v>2</v>
      </c>
      <c r="AH33" s="172">
        <f t="shared" si="16"/>
        <v>8</v>
      </c>
      <c r="AI33" s="221">
        <f t="shared" si="17"/>
        <v>2.4945793063526644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46407</v>
      </c>
      <c r="B34" s="406">
        <f>'2026'!Wh/'2026'!Env_an*'2027'!Env_an</f>
        <v>6.0766062212854308</v>
      </c>
      <c r="C34" s="832"/>
      <c r="D34" s="388">
        <f t="shared" si="0"/>
        <v>6.2354490445441773</v>
      </c>
      <c r="E34" s="380">
        <f t="shared" si="1"/>
        <v>6.4616153341632714</v>
      </c>
      <c r="F34" s="380">
        <f t="shared" si="2"/>
        <v>6.4616153341632714</v>
      </c>
      <c r="G34" s="110">
        <f t="shared" si="21"/>
        <v>0.29011722263878975</v>
      </c>
      <c r="H34" s="409" t="b">
        <f>Wh_hp&gt;='2026'!Maxi_hp</f>
        <v>0</v>
      </c>
      <c r="I34" s="385">
        <f>IF(H34,Wh_hp,'2026'!Maxi_hp)</f>
        <v>6.552768311666</v>
      </c>
      <c r="J34" s="85">
        <f>IF(H34,An,'2026'!An_max)</f>
        <v>2022</v>
      </c>
      <c r="K34" s="193">
        <f t="shared" si="3"/>
        <v>46407</v>
      </c>
      <c r="L34" s="143">
        <f>IF(t&lt;Tvie,1-EXP((T0-t)*PertePVj)+'2026'!Pspv,1-EXP((T0-t)*PertePVj)+Pspv)</f>
        <v>2.547415945892928E-2</v>
      </c>
      <c r="M34" s="836"/>
      <c r="N34" s="836"/>
      <c r="O34" s="48">
        <f>IF(t&lt;Tnet,'2026'!Resal+('2026'!Salim-'2026'!Resal)*(1-EXP(('2026'!Tnet-t)/('2026'!Tau_j))),Resal+(Salim-Resal)*(1-EXP((Tnet-t)/(Tau_j))))*Salcycl</f>
        <v>3.5001509363042416E-2</v>
      </c>
      <c r="P34" s="165">
        <f>(INDEX(Models!$BJ34:$BT34,,T34)*(1-R34)+INDEX(Models!$BJ34:$BT34,,T34+1)*R34-ERP_i)*Q34*Ramure*Pc/MaxiM</f>
        <v>1.3914712617878617E-2</v>
      </c>
      <c r="Q34" s="301">
        <f t="shared" si="4"/>
        <v>0.5</v>
      </c>
      <c r="R34" s="173">
        <f t="shared" si="5"/>
        <v>0.49464033133270702</v>
      </c>
      <c r="S34" s="802">
        <f t="shared" si="6"/>
        <v>2</v>
      </c>
      <c r="T34" s="172">
        <f t="shared" si="7"/>
        <v>8</v>
      </c>
      <c r="U34" s="247">
        <f t="shared" si="8"/>
        <v>2.494640331332707</v>
      </c>
      <c r="V34" s="378">
        <f t="shared" si="9"/>
        <v>20.653899611760139</v>
      </c>
      <c r="W34" s="397">
        <f t="shared" si="10"/>
        <v>6.0766062212854308</v>
      </c>
      <c r="X34" s="153">
        <f t="shared" si="11"/>
        <v>46407</v>
      </c>
      <c r="Y34" s="380">
        <f t="shared" si="12"/>
        <v>5.9385798265126022</v>
      </c>
      <c r="Z34" s="380">
        <f t="shared" si="22"/>
        <v>6.093814632165544</v>
      </c>
      <c r="AA34" s="381">
        <f t="shared" si="13"/>
        <v>6.4616153341632714</v>
      </c>
      <c r="AB34" s="193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5.6920860029089644E-2</v>
      </c>
      <c r="AD34" s="227">
        <f>(INDEX(Models!$BJ34:$BT34,,AH34)*(1-AF34)+INDEX(Models!$BJ34:$BT34,,AH34+1)*AF34-ERP_i)*AE34*Ramure*Pc/MaxiM</f>
        <v>1.3914712617878617E-2</v>
      </c>
      <c r="AE34" s="301">
        <f t="shared" si="15"/>
        <v>0.5</v>
      </c>
      <c r="AF34" s="173">
        <f t="shared" si="23"/>
        <v>0.49464033133270702</v>
      </c>
      <c r="AG34" s="802">
        <f t="shared" si="24"/>
        <v>2</v>
      </c>
      <c r="AH34" s="172">
        <f t="shared" si="16"/>
        <v>8</v>
      </c>
      <c r="AI34" s="221">
        <f t="shared" si="17"/>
        <v>2.494640331332707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46408</v>
      </c>
      <c r="B35" s="406">
        <f>'2026'!Wh/'2026'!Env_an*'2027'!Env_an</f>
        <v>17.105901565258314</v>
      </c>
      <c r="C35" s="832"/>
      <c r="D35" s="388">
        <f t="shared" si="0"/>
        <v>17.553291069628141</v>
      </c>
      <c r="E35" s="380">
        <f t="shared" si="1"/>
        <v>18.190732674921346</v>
      </c>
      <c r="F35" s="380">
        <f t="shared" si="2"/>
        <v>18.379309265136499</v>
      </c>
      <c r="G35" s="110">
        <f t="shared" si="21"/>
        <v>0.81429774212891914</v>
      </c>
      <c r="H35" s="409" t="b">
        <f>Wh_hp&gt;='2026'!Maxi_hp</f>
        <v>0</v>
      </c>
      <c r="I35" s="385">
        <f>IF(H35,Wh_hp,'2026'!Maxi_hp)</f>
        <v>18.44683212449177</v>
      </c>
      <c r="J35" s="85">
        <f>IF(H35,An,'2026'!An_max)</f>
        <v>2022</v>
      </c>
      <c r="K35" s="193">
        <f t="shared" si="3"/>
        <v>46408</v>
      </c>
      <c r="L35" s="143">
        <f>IF(t&lt;Tvie,1-EXP((T0-t)*PertePVj)+'2026'!Pspv,1-EXP((T0-t)*PertePVj)+Pspv)</f>
        <v>2.5487499899316868E-2</v>
      </c>
      <c r="M35" s="836"/>
      <c r="N35" s="836"/>
      <c r="O35" s="48">
        <f>IF(t&lt;Tnet,'2026'!Resal+('2026'!Salim-'2026'!Resal)*(1-EXP(('2026'!Tnet-t)/('2026'!Tau_j))),Resal+(Salim-Resal)*(1-EXP((Tnet-t)/(Tau_j))))*Salcycl</f>
        <v>3.5042107246840766E-2</v>
      </c>
      <c r="P35" s="165">
        <f>(INDEX(Models!$BJ35:$BT35,,T35)*(1-R35)+INDEX(Models!$BJ35:$BT35,,T35+1)*R35-ERP_i)*Q35*Ramure*Pc/MaxiM</f>
        <v>1.3884246196425412E-2</v>
      </c>
      <c r="Q35" s="301">
        <f t="shared" si="4"/>
        <v>0.5</v>
      </c>
      <c r="R35" s="173">
        <f t="shared" si="5"/>
        <v>0.4947039005699434</v>
      </c>
      <c r="S35" s="802">
        <f t="shared" si="6"/>
        <v>2</v>
      </c>
      <c r="T35" s="172">
        <f t="shared" si="7"/>
        <v>8</v>
      </c>
      <c r="U35" s="247">
        <f t="shared" si="8"/>
        <v>2.4947039005699434</v>
      </c>
      <c r="V35" s="378">
        <f t="shared" si="9"/>
        <v>20.930019305654628</v>
      </c>
      <c r="W35" s="397">
        <f t="shared" si="10"/>
        <v>17.105901565258314</v>
      </c>
      <c r="X35" s="153">
        <f t="shared" si="11"/>
        <v>46408</v>
      </c>
      <c r="Y35" s="380">
        <f t="shared" si="12"/>
        <v>16.717695168088426</v>
      </c>
      <c r="Z35" s="380">
        <f t="shared" si="22"/>
        <v>17.154931482521992</v>
      </c>
      <c r="AA35" s="381">
        <f t="shared" si="13"/>
        <v>18.190732674921346</v>
      </c>
      <c r="AB35" s="193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5.6941147501296634E-2</v>
      </c>
      <c r="AD35" s="227">
        <f>(INDEX(Models!$BJ35:$BT35,,AH35)*(1-AF35)+INDEX(Models!$BJ35:$BT35,,AH35+1)*AF35-ERP_i)*AE35*Ramure*Pc/MaxiM</f>
        <v>1.3884246196425412E-2</v>
      </c>
      <c r="AE35" s="301">
        <f t="shared" si="15"/>
        <v>0.5</v>
      </c>
      <c r="AF35" s="173">
        <f t="shared" si="23"/>
        <v>0.4947039005699434</v>
      </c>
      <c r="AG35" s="802">
        <f t="shared" si="24"/>
        <v>2</v>
      </c>
      <c r="AH35" s="172">
        <f t="shared" si="16"/>
        <v>8</v>
      </c>
      <c r="AI35" s="221">
        <f t="shared" si="17"/>
        <v>2.4947039005699434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46409</v>
      </c>
      <c r="B36" s="406">
        <f>'2026'!Wh/'2026'!Env_an*'2027'!Env_an</f>
        <v>21.096378789455773</v>
      </c>
      <c r="C36" s="832"/>
      <c r="D36" s="388">
        <f t="shared" si="0"/>
        <v>21.648431993370231</v>
      </c>
      <c r="E36" s="380">
        <f t="shared" si="1"/>
        <v>22.435531371850708</v>
      </c>
      <c r="F36" s="380">
        <f t="shared" si="2"/>
        <v>22.748112269641677</v>
      </c>
      <c r="G36" s="110">
        <f t="shared" si="21"/>
        <v>0.99436170973834292</v>
      </c>
      <c r="H36" s="409" t="b">
        <f>Wh_hp&gt;='2026'!Maxi_hp</f>
        <v>0</v>
      </c>
      <c r="I36" s="385">
        <f>IF(H36,Wh_hp,'2026'!Maxi_hp)</f>
        <v>22.750634528837967</v>
      </c>
      <c r="J36" s="85">
        <f>IF(H36,An,'2026'!An_max)</f>
        <v>2022</v>
      </c>
      <c r="K36" s="193">
        <f t="shared" si="3"/>
        <v>46409</v>
      </c>
      <c r="L36" s="143">
        <f>IF(t&lt;Tvie,1-EXP((T0-t)*PertePVj)+'2026'!Pspv,1-EXP((T0-t)*PertePVj)+Pspv)</f>
        <v>2.550084015708487E-2</v>
      </c>
      <c r="M36" s="836"/>
      <c r="N36" s="836"/>
      <c r="O36" s="48">
        <f>IF(t&lt;Tnet,'2026'!Resal+('2026'!Salim-'2026'!Resal)*(1-EXP(('2026'!Tnet-t)/('2026'!Tau_j))),Resal+(Salim-Resal)*(1-EXP((Tnet-t)/(Tau_j))))*Salcycl</f>
        <v>3.5082716136067511E-2</v>
      </c>
      <c r="P36" s="165">
        <f>(INDEX(Models!$BJ36:$BT36,,T36)*(1-R36)+INDEX(Models!$BJ36:$BT36,,T36+1)*R36-ERP_i)*Q36*Ramure*Pc/MaxiM</f>
        <v>1.3850337992480997E-2</v>
      </c>
      <c r="Q36" s="301">
        <f t="shared" si="4"/>
        <v>0.5</v>
      </c>
      <c r="R36" s="173">
        <f t="shared" si="5"/>
        <v>0.49477011944872551</v>
      </c>
      <c r="S36" s="802">
        <f t="shared" si="6"/>
        <v>2</v>
      </c>
      <c r="T36" s="172">
        <f t="shared" si="7"/>
        <v>8</v>
      </c>
      <c r="U36" s="247">
        <f t="shared" si="8"/>
        <v>2.4947701194487255</v>
      </c>
      <c r="V36" s="378">
        <f t="shared" si="9"/>
        <v>21.2136478625103</v>
      </c>
      <c r="W36" s="397">
        <f t="shared" si="10"/>
        <v>21.096378789455773</v>
      </c>
      <c r="X36" s="153">
        <f t="shared" si="11"/>
        <v>46409</v>
      </c>
      <c r="Y36" s="380">
        <f t="shared" si="12"/>
        <v>20.618034137645495</v>
      </c>
      <c r="Z36" s="380">
        <f t="shared" si="22"/>
        <v>21.157569946975663</v>
      </c>
      <c r="AA36" s="381">
        <f t="shared" si="13"/>
        <v>22.435531371850708</v>
      </c>
      <c r="AB36" s="193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5.6961495749482047E-2</v>
      </c>
      <c r="AD36" s="227">
        <f>(INDEX(Models!$BJ36:$BT36,,AH36)*(1-AF36)+INDEX(Models!$BJ36:$BT36,,AH36+1)*AF36-ERP_i)*AE36*Ramure*Pc/MaxiM</f>
        <v>1.3850337992480997E-2</v>
      </c>
      <c r="AE36" s="301">
        <f t="shared" si="15"/>
        <v>0.5</v>
      </c>
      <c r="AF36" s="173">
        <f t="shared" si="23"/>
        <v>0.49477011944872551</v>
      </c>
      <c r="AG36" s="802">
        <f t="shared" si="24"/>
        <v>2</v>
      </c>
      <c r="AH36" s="172">
        <f t="shared" si="16"/>
        <v>8</v>
      </c>
      <c r="AI36" s="221">
        <f t="shared" si="17"/>
        <v>2.4947701194487255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46410</v>
      </c>
      <c r="B37" s="406">
        <f>'2026'!Wh/'2026'!Env_an*'2027'!Env_an</f>
        <v>21.166758206653117</v>
      </c>
      <c r="C37" s="832"/>
      <c r="D37" s="388">
        <f t="shared" si="0"/>
        <v>21.720950451282611</v>
      </c>
      <c r="E37" s="380">
        <f t="shared" si="1"/>
        <v>22.511634182345485</v>
      </c>
      <c r="F37" s="380">
        <f t="shared" si="2"/>
        <v>22.819704433111077</v>
      </c>
      <c r="G37" s="110">
        <f t="shared" si="21"/>
        <v>0.9838854703288229</v>
      </c>
      <c r="H37" s="409" t="b">
        <f>Wh_hp&gt;='2026'!Maxi_hp</f>
        <v>0</v>
      </c>
      <c r="I37" s="385">
        <f>IF(H37,Wh_hp,'2026'!Maxi_hp)</f>
        <v>22.826917337644495</v>
      </c>
      <c r="J37" s="85">
        <f>IF(H37,An,'2026'!An_max)</f>
        <v>2022</v>
      </c>
      <c r="K37" s="193">
        <f t="shared" si="3"/>
        <v>46410</v>
      </c>
      <c r="L37" s="143">
        <f>IF(t&lt;Tvie,1-EXP((T0-t)*PertePVj)+'2026'!Pspv,1-EXP((T0-t)*PertePVj)+Pspv)</f>
        <v>2.5514180232236061E-2</v>
      </c>
      <c r="M37" s="836"/>
      <c r="N37" s="836"/>
      <c r="O37" s="48">
        <f>IF(t&lt;Tnet,'2026'!Resal+('2026'!Salim-'2026'!Resal)*(1-EXP(('2026'!Tnet-t)/('2026'!Tau_j))),Resal+(Salim-Resal)*(1-EXP((Tnet-t)/(Tau_j))))*Salcycl</f>
        <v>3.5123337766520657E-2</v>
      </c>
      <c r="P37" s="165">
        <f>(INDEX(Models!$BJ37:$BT37,,T37)*(1-R37)+INDEX(Models!$BJ37:$BT37,,T37+1)*R37-ERP_i)*Q37*Ramure*Pc/MaxiM</f>
        <v>1.3812010391810556E-2</v>
      </c>
      <c r="Q37" s="301">
        <f t="shared" si="4"/>
        <v>0.5</v>
      </c>
      <c r="R37" s="173">
        <f t="shared" si="5"/>
        <v>0.49483909765950251</v>
      </c>
      <c r="S37" s="802">
        <f t="shared" si="6"/>
        <v>2</v>
      </c>
      <c r="T37" s="172">
        <f t="shared" si="7"/>
        <v>8</v>
      </c>
      <c r="U37" s="247">
        <f t="shared" si="8"/>
        <v>2.4948390976595025</v>
      </c>
      <c r="V37" s="378">
        <f t="shared" si="9"/>
        <v>21.506636905521436</v>
      </c>
      <c r="W37" s="397">
        <f t="shared" si="10"/>
        <v>21.166758206653117</v>
      </c>
      <c r="X37" s="153">
        <f t="shared" si="11"/>
        <v>46410</v>
      </c>
      <c r="Y37" s="380">
        <f t="shared" si="12"/>
        <v>20.687240901102157</v>
      </c>
      <c r="Z37" s="380">
        <f t="shared" si="22"/>
        <v>21.228878328914288</v>
      </c>
      <c r="AA37" s="381">
        <f t="shared" si="13"/>
        <v>22.511634182345485</v>
      </c>
      <c r="AB37" s="193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5.6981907356916162E-2</v>
      </c>
      <c r="AD37" s="227">
        <f>(INDEX(Models!$BJ37:$BT37,,AH37)*(1-AF37)+INDEX(Models!$BJ37:$BT37,,AH37+1)*AF37-ERP_i)*AE37*Ramure*Pc/MaxiM</f>
        <v>1.3812010391810556E-2</v>
      </c>
      <c r="AE37" s="301">
        <f t="shared" si="15"/>
        <v>0.5</v>
      </c>
      <c r="AF37" s="173">
        <f t="shared" si="23"/>
        <v>0.49483909765950251</v>
      </c>
      <c r="AG37" s="802">
        <f t="shared" si="24"/>
        <v>2</v>
      </c>
      <c r="AH37" s="172">
        <f t="shared" si="16"/>
        <v>8</v>
      </c>
      <c r="AI37" s="221">
        <f t="shared" si="17"/>
        <v>2.4948390976595025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46411</v>
      </c>
      <c r="B38" s="406">
        <f>'2026'!Wh/'2026'!Env_an*'2027'!Env_an</f>
        <v>21.693158401377914</v>
      </c>
      <c r="C38" s="832"/>
      <c r="D38" s="388">
        <f t="shared" si="0"/>
        <v>22.261437700278137</v>
      </c>
      <c r="E38" s="380">
        <f t="shared" si="1"/>
        <v>23.072767904434297</v>
      </c>
      <c r="F38" s="380">
        <f t="shared" si="2"/>
        <v>23.391317685016272</v>
      </c>
      <c r="G38" s="110">
        <f t="shared" si="21"/>
        <v>0.99448391725093899</v>
      </c>
      <c r="H38" s="409" t="b">
        <f>Wh_hp&gt;='2026'!Maxi_hp</f>
        <v>0</v>
      </c>
      <c r="I38" s="385">
        <f>IF(H38,Wh_hp,'2026'!Maxi_hp)</f>
        <v>23.393832011186525</v>
      </c>
      <c r="J38" s="85">
        <f>IF(H38,An,'2026'!An_max)</f>
        <v>2022</v>
      </c>
      <c r="K38" s="193">
        <f t="shared" si="3"/>
        <v>46411</v>
      </c>
      <c r="L38" s="143">
        <f>IF(t&lt;Tvie,1-EXP((T0-t)*PertePVj)+'2026'!Pspv,1-EXP((T0-t)*PertePVj)+Pspv)</f>
        <v>2.5527520124772662E-2</v>
      </c>
      <c r="M38" s="836"/>
      <c r="N38" s="836"/>
      <c r="O38" s="48">
        <f>IF(t&lt;Tnet,'2026'!Resal+('2026'!Salim-'2026'!Resal)*(1-EXP(('2026'!Tnet-t)/('2026'!Tau_j))),Resal+(Salim-Resal)*(1-EXP((Tnet-t)/(Tau_j))))*Salcycl</f>
        <v>3.5163973716401516E-2</v>
      </c>
      <c r="P38" s="165">
        <f>(INDEX(Models!$BJ38:$BT38,,T38)*(1-R38)+INDEX(Models!$BJ38:$BT38,,T38+1)*R38-ERP_i)*Q38*Ramure*Pc/MaxiM</f>
        <v>1.3724344261152314E-2</v>
      </c>
      <c r="Q38" s="301">
        <f t="shared" si="4"/>
        <v>0.5</v>
      </c>
      <c r="R38" s="173">
        <f t="shared" si="5"/>
        <v>0.49491094936973212</v>
      </c>
      <c r="S38" s="802">
        <f t="shared" si="6"/>
        <v>2</v>
      </c>
      <c r="T38" s="172">
        <f t="shared" si="7"/>
        <v>8</v>
      </c>
      <c r="U38" s="247">
        <f t="shared" si="8"/>
        <v>2.4949109493697321</v>
      </c>
      <c r="V38" s="378">
        <f t="shared" si="9"/>
        <v>21.811138059265271</v>
      </c>
      <c r="W38" s="397">
        <f t="shared" si="10"/>
        <v>21.693158401377914</v>
      </c>
      <c r="X38" s="153">
        <f t="shared" si="11"/>
        <v>46411</v>
      </c>
      <c r="Y38" s="380">
        <f t="shared" si="12"/>
        <v>21.202148432244247</v>
      </c>
      <c r="Z38" s="380">
        <f t="shared" si="22"/>
        <v>21.757565113546352</v>
      </c>
      <c r="AA38" s="381">
        <f t="shared" si="13"/>
        <v>23.072767904434297</v>
      </c>
      <c r="AB38" s="193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5.7002384643897785E-2</v>
      </c>
      <c r="AD38" s="227">
        <f>(INDEX(Models!$BJ38:$BT38,,AH38)*(1-AF38)+INDEX(Models!$BJ38:$BT38,,AH38+1)*AF38-ERP_i)*AE38*Ramure*Pc/MaxiM</f>
        <v>1.3724344261152314E-2</v>
      </c>
      <c r="AE38" s="301">
        <f t="shared" si="15"/>
        <v>0.5</v>
      </c>
      <c r="AF38" s="173">
        <f t="shared" si="23"/>
        <v>0.49491094936973212</v>
      </c>
      <c r="AG38" s="802">
        <f t="shared" si="24"/>
        <v>2</v>
      </c>
      <c r="AH38" s="172">
        <f t="shared" si="16"/>
        <v>8</v>
      </c>
      <c r="AI38" s="221">
        <f t="shared" si="17"/>
        <v>2.4949109493697321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46412</v>
      </c>
      <c r="B39" s="406">
        <f>'2026'!Wh/'2026'!Env_an*'2027'!Env_an</f>
        <v>20.317805096288666</v>
      </c>
      <c r="C39" s="832"/>
      <c r="D39" s="388">
        <f t="shared" si="0"/>
        <v>20.850340726284379</v>
      </c>
      <c r="E39" s="380">
        <f t="shared" si="1"/>
        <v>21.61115328105361</v>
      </c>
      <c r="F39" s="380">
        <f t="shared" si="2"/>
        <v>21.873549291912504</v>
      </c>
      <c r="G39" s="110">
        <f t="shared" si="21"/>
        <v>0.91678652005220862</v>
      </c>
      <c r="H39" s="409" t="b">
        <f>Wh_hp&gt;='2026'!Maxi_hp</f>
        <v>0</v>
      </c>
      <c r="I39" s="385">
        <f>IF(H39,Wh_hp,'2026'!Maxi_hp)</f>
        <v>21.908704752489474</v>
      </c>
      <c r="J39" s="85">
        <f>IF(H39,An,'2026'!An_max)</f>
        <v>2022</v>
      </c>
      <c r="K39" s="193">
        <f t="shared" si="3"/>
        <v>46412</v>
      </c>
      <c r="L39" s="143">
        <f>IF(t&lt;Tvie,1-EXP((T0-t)*PertePVj)+'2026'!Pspv,1-EXP((T0-t)*PertePVj)+Pspv)</f>
        <v>2.5540859834697449E-2</v>
      </c>
      <c r="M39" s="836"/>
      <c r="N39" s="836"/>
      <c r="O39" s="48">
        <f>IF(t&lt;Tnet,'2026'!Resal+('2026'!Salim-'2026'!Resal)*(1-EXP(('2026'!Tnet-t)/('2026'!Tau_j))),Resal+(Salim-Resal)*(1-EXP((Tnet-t)/(Tau_j))))*Salcycl</f>
        <v>3.5204625355937498E-2</v>
      </c>
      <c r="P39" s="165">
        <f>(INDEX(Models!$BJ39:$BT39,,T39)*(1-R39)+INDEX(Models!$BJ39:$BT39,,T39+1)*R39-ERP_i)*Q39*Ramure*Pc/MaxiM</f>
        <v>1.3582023432179128E-2</v>
      </c>
      <c r="Q39" s="301">
        <f t="shared" si="4"/>
        <v>0.5</v>
      </c>
      <c r="R39" s="173">
        <f t="shared" si="5"/>
        <v>0.49498579340114057</v>
      </c>
      <c r="S39" s="802">
        <f t="shared" si="6"/>
        <v>2</v>
      </c>
      <c r="T39" s="172">
        <f t="shared" si="7"/>
        <v>8</v>
      </c>
      <c r="U39" s="247">
        <f t="shared" si="8"/>
        <v>2.4949857934011406</v>
      </c>
      <c r="V39" s="378">
        <f t="shared" si="9"/>
        <v>22.126405369528587</v>
      </c>
      <c r="W39" s="397">
        <f t="shared" si="10"/>
        <v>20.317805096288666</v>
      </c>
      <c r="X39" s="153">
        <f t="shared" si="11"/>
        <v>46412</v>
      </c>
      <c r="Y39" s="380">
        <f t="shared" si="12"/>
        <v>19.858329372675762</v>
      </c>
      <c r="Z39" s="380">
        <f t="shared" si="22"/>
        <v>20.378822009209223</v>
      </c>
      <c r="AA39" s="381">
        <f t="shared" si="13"/>
        <v>21.61115328105361</v>
      </c>
      <c r="AB39" s="193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5.7022929587231506E-2</v>
      </c>
      <c r="AD39" s="227">
        <f>(INDEX(Models!$BJ39:$BT39,,AH39)*(1-AF39)+INDEX(Models!$BJ39:$BT39,,AH39+1)*AF39-ERP_i)*AE39*Ramure*Pc/MaxiM</f>
        <v>1.3582023432179128E-2</v>
      </c>
      <c r="AE39" s="301">
        <f t="shared" si="15"/>
        <v>0.5</v>
      </c>
      <c r="AF39" s="173">
        <f t="shared" si="23"/>
        <v>0.49498579340114057</v>
      </c>
      <c r="AG39" s="802">
        <f t="shared" si="24"/>
        <v>2</v>
      </c>
      <c r="AH39" s="172">
        <f t="shared" si="16"/>
        <v>8</v>
      </c>
      <c r="AI39" s="221">
        <f t="shared" si="17"/>
        <v>2.4949857934011406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46413</v>
      </c>
      <c r="B40" s="406">
        <f>'2026'!Wh/'2026'!Env_an*'2027'!Env_an</f>
        <v>21.866812177227267</v>
      </c>
      <c r="C40" s="832"/>
      <c r="D40" s="388">
        <f t="shared" si="0"/>
        <v>22.440254925323373</v>
      </c>
      <c r="E40" s="380">
        <f t="shared" si="1"/>
        <v>23.260062667920099</v>
      </c>
      <c r="F40" s="380">
        <f t="shared" si="2"/>
        <v>23.563799954656506</v>
      </c>
      <c r="G40" s="110">
        <f t="shared" si="21"/>
        <v>0.97346575117704814</v>
      </c>
      <c r="H40" s="409" t="b">
        <f>Wh_hp&gt;='2026'!Maxi_hp</f>
        <v>0</v>
      </c>
      <c r="I40" s="385">
        <f>IF(H40,Wh_hp,'2026'!Maxi_hp)</f>
        <v>23.575691488486939</v>
      </c>
      <c r="J40" s="85">
        <f>IF(H40,An,'2026'!An_max)</f>
        <v>2022</v>
      </c>
      <c r="K40" s="193">
        <f t="shared" si="3"/>
        <v>46413</v>
      </c>
      <c r="L40" s="143">
        <f>IF(t&lt;Tvie,1-EXP((T0-t)*PertePVj)+'2026'!Pspv,1-EXP((T0-t)*PertePVj)+Pspv)</f>
        <v>2.5554199362012864E-2</v>
      </c>
      <c r="M40" s="836"/>
      <c r="N40" s="836"/>
      <c r="O40" s="48">
        <f>IF(t&lt;Tnet,'2026'!Resal+('2026'!Salim-'2026'!Resal)*(1-EXP(('2026'!Tnet-t)/('2026'!Tau_j))),Resal+(Salim-Resal)*(1-EXP((Tnet-t)/(Tau_j))))*Salcycl</f>
        <v>3.5245293802556643E-2</v>
      </c>
      <c r="P40" s="165">
        <f>(INDEX(Models!$BJ40:$BT40,,T40)*(1-R40)+INDEX(Models!$BJ40:$BT40,,T40+1)*R40-ERP_i)*Q40*Ramure*Pc/MaxiM</f>
        <v>1.3388086254675868E-2</v>
      </c>
      <c r="Q40" s="301">
        <f t="shared" si="4"/>
        <v>0.5</v>
      </c>
      <c r="R40" s="173">
        <f t="shared" si="5"/>
        <v>0.49506375341353293</v>
      </c>
      <c r="S40" s="802">
        <f t="shared" si="6"/>
        <v>2</v>
      </c>
      <c r="T40" s="172">
        <f t="shared" si="7"/>
        <v>8</v>
      </c>
      <c r="U40" s="247">
        <f t="shared" si="8"/>
        <v>2.4950637534135329</v>
      </c>
      <c r="V40" s="378">
        <f t="shared" si="9"/>
        <v>22.451512318519875</v>
      </c>
      <c r="W40" s="397">
        <f t="shared" si="10"/>
        <v>21.866812177227267</v>
      </c>
      <c r="X40" s="153">
        <f t="shared" si="11"/>
        <v>46413</v>
      </c>
      <c r="Y40" s="380">
        <f t="shared" si="12"/>
        <v>21.372740228875386</v>
      </c>
      <c r="Z40" s="380">
        <f t="shared" si="22"/>
        <v>21.933226265516534</v>
      </c>
      <c r="AA40" s="381">
        <f t="shared" si="13"/>
        <v>23.260062667920099</v>
      </c>
      <c r="AB40" s="193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5.7043543749068032E-2</v>
      </c>
      <c r="AD40" s="227">
        <f>(INDEX(Models!$BJ40:$BT40,,AH40)*(1-AF40)+INDEX(Models!$BJ40:$BT40,,AH40+1)*AF40-ERP_i)*AE40*Ramure*Pc/MaxiM</f>
        <v>1.3388086254675868E-2</v>
      </c>
      <c r="AE40" s="301">
        <f t="shared" si="15"/>
        <v>0.5</v>
      </c>
      <c r="AF40" s="173">
        <f t="shared" si="23"/>
        <v>0.49506375341353293</v>
      </c>
      <c r="AG40" s="802">
        <f t="shared" si="24"/>
        <v>2</v>
      </c>
      <c r="AH40" s="172">
        <f t="shared" si="16"/>
        <v>8</v>
      </c>
      <c r="AI40" s="221">
        <f t="shared" si="17"/>
        <v>2.4950637534135329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46414</v>
      </c>
      <c r="B41" s="406">
        <f>'2026'!Wh/'2026'!Env_an*'2027'!Env_an</f>
        <v>18.308167587238984</v>
      </c>
      <c r="C41" s="832"/>
      <c r="D41" s="388">
        <f t="shared" si="0"/>
        <v>18.788544424043671</v>
      </c>
      <c r="E41" s="380">
        <f t="shared" si="1"/>
        <v>19.47576590806187</v>
      </c>
      <c r="F41" s="380">
        <f t="shared" si="2"/>
        <v>19.661674038937509</v>
      </c>
      <c r="G41" s="110">
        <f t="shared" si="21"/>
        <v>0.80050632964786761</v>
      </c>
      <c r="H41" s="409" t="b">
        <f>Wh_hp&gt;='2026'!Maxi_hp</f>
        <v>0</v>
      </c>
      <c r="I41" s="385">
        <f>IF(H41,Wh_hp,'2026'!Maxi_hp)</f>
        <v>19.735165141649773</v>
      </c>
      <c r="J41" s="85">
        <f>IF(H41,An,'2026'!An_max)</f>
        <v>2022</v>
      </c>
      <c r="K41" s="193">
        <f t="shared" si="3"/>
        <v>46414</v>
      </c>
      <c r="L41" s="143">
        <f>IF(t&lt;Tvie,1-EXP((T0-t)*PertePVj)+'2026'!Pspv,1-EXP((T0-t)*PertePVj)+Pspv)</f>
        <v>2.5567538706721238E-2</v>
      </c>
      <c r="M41" s="836"/>
      <c r="N41" s="836"/>
      <c r="O41" s="48">
        <f>IF(t&lt;Tnet,'2026'!Resal+('2026'!Salim-'2026'!Resal)*(1-EXP(('2026'!Tnet-t)/('2026'!Tau_j))),Resal+(Salim-Resal)*(1-EXP((Tnet-t)/(Tau_j))))*Salcycl</f>
        <v>3.5285979881989019E-2</v>
      </c>
      <c r="P41" s="165">
        <f>(INDEX(Models!$BJ41:$BT41,,T41)*(1-R41)+INDEX(Models!$BJ41:$BT41,,T41+1)*R41-ERP_i)*Q41*Ramure*Pc/MaxiM</f>
        <v>1.3145489323450055E-2</v>
      </c>
      <c r="Q41" s="301">
        <f t="shared" si="4"/>
        <v>0.5</v>
      </c>
      <c r="R41" s="173">
        <f t="shared" si="5"/>
        <v>0.49514495809535486</v>
      </c>
      <c r="S41" s="802">
        <f t="shared" si="6"/>
        <v>2</v>
      </c>
      <c r="T41" s="172">
        <f t="shared" si="7"/>
        <v>8</v>
      </c>
      <c r="U41" s="247">
        <f t="shared" si="8"/>
        <v>2.4951449580953549</v>
      </c>
      <c r="V41" s="378">
        <f t="shared" si="9"/>
        <v>22.78553265334055</v>
      </c>
      <c r="W41" s="397">
        <f t="shared" si="10"/>
        <v>18.308167587238984</v>
      </c>
      <c r="X41" s="153">
        <f t="shared" si="11"/>
        <v>46414</v>
      </c>
      <c r="Y41" s="380">
        <f t="shared" si="12"/>
        <v>17.8948639429107</v>
      </c>
      <c r="Z41" s="380">
        <f t="shared" si="22"/>
        <v>18.364396357609451</v>
      </c>
      <c r="AA41" s="381">
        <f t="shared" si="13"/>
        <v>19.47576590806187</v>
      </c>
      <c r="AB41" s="193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5.7064228215660415E-2</v>
      </c>
      <c r="AD41" s="227">
        <f>(INDEX(Models!$BJ41:$BT41,,AH41)*(1-AF41)+INDEX(Models!$BJ41:$BT41,,AH41+1)*AF41-ERP_i)*AE41*Ramure*Pc/MaxiM</f>
        <v>1.3145489323450055E-2</v>
      </c>
      <c r="AE41" s="301">
        <f t="shared" si="15"/>
        <v>0.5</v>
      </c>
      <c r="AF41" s="173">
        <f t="shared" si="23"/>
        <v>0.49514495809535486</v>
      </c>
      <c r="AG41" s="802">
        <f t="shared" si="24"/>
        <v>2</v>
      </c>
      <c r="AH41" s="172">
        <f t="shared" si="16"/>
        <v>8</v>
      </c>
      <c r="AI41" s="221">
        <f t="shared" si="17"/>
        <v>2.4951449580953549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46415</v>
      </c>
      <c r="B42" s="406">
        <f>'2026'!Wh/'2026'!Env_an*'2027'!Env_an</f>
        <v>4.3673665170865021</v>
      </c>
      <c r="C42" s="832"/>
      <c r="D42" s="388">
        <f t="shared" si="0"/>
        <v>4.4820205370503539</v>
      </c>
      <c r="E42" s="380">
        <f t="shared" si="1"/>
        <v>4.6461537425738584</v>
      </c>
      <c r="F42" s="380">
        <f t="shared" si="2"/>
        <v>4.6461537425738584</v>
      </c>
      <c r="G42" s="110">
        <f t="shared" si="21"/>
        <v>0.18641043746491184</v>
      </c>
      <c r="H42" s="409" t="b">
        <f>Wh_hp&gt;='2026'!Maxi_hp</f>
        <v>0</v>
      </c>
      <c r="I42" s="385">
        <f>IF(H42,Wh_hp,'2026'!Maxi_hp)</f>
        <v>4.7066426478923402</v>
      </c>
      <c r="J42" s="85">
        <f>IF(H42,An,'2026'!An_max)</f>
        <v>2022</v>
      </c>
      <c r="K42" s="193">
        <f t="shared" si="3"/>
        <v>46415</v>
      </c>
      <c r="L42" s="143">
        <f>IF(t&lt;Tvie,1-EXP((T0-t)*PertePVj)+'2026'!Pspv,1-EXP((T0-t)*PertePVj)+Pspv)</f>
        <v>2.5580877868825236E-2</v>
      </c>
      <c r="M42" s="836"/>
      <c r="N42" s="836"/>
      <c r="O42" s="48">
        <f>IF(t&lt;Tnet,'2026'!Resal+('2026'!Salim-'2026'!Resal)*(1-EXP(('2026'!Tnet-t)/('2026'!Tau_j))),Resal+(Salim-Resal)*(1-EXP((Tnet-t)/(Tau_j))))*Salcycl</f>
        <v>3.5326684095601711E-2</v>
      </c>
      <c r="P42" s="165">
        <f>(INDEX(Models!$BJ42:$BT42,,T42)*(1-R42)+INDEX(Models!$BJ42:$BT42,,T42+1)*R42-ERP_i)*Q42*Ramure*Pc/MaxiM</f>
        <v>1.2857082159340937E-2</v>
      </c>
      <c r="Q42" s="301">
        <f t="shared" si="4"/>
        <v>0.5</v>
      </c>
      <c r="R42" s="173">
        <f t="shared" si="5"/>
        <v>0.4952295413612009</v>
      </c>
      <c r="S42" s="802">
        <f t="shared" si="6"/>
        <v>2</v>
      </c>
      <c r="T42" s="172">
        <f t="shared" si="7"/>
        <v>8</v>
      </c>
      <c r="U42" s="247">
        <f t="shared" si="8"/>
        <v>2.4952295413612009</v>
      </c>
      <c r="V42" s="378">
        <f t="shared" si="9"/>
        <v>23.127540418802297</v>
      </c>
      <c r="W42" s="397">
        <f t="shared" si="10"/>
        <v>4.3673665170865021</v>
      </c>
      <c r="X42" s="153">
        <f t="shared" si="11"/>
        <v>46415</v>
      </c>
      <c r="Y42" s="380">
        <f t="shared" si="12"/>
        <v>4.2688601451118666</v>
      </c>
      <c r="Z42" s="380">
        <f t="shared" si="22"/>
        <v>4.3809281326246383</v>
      </c>
      <c r="AA42" s="381">
        <f t="shared" si="13"/>
        <v>4.6461537425738584</v>
      </c>
      <c r="AB42" s="193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5.708498354647467E-2</v>
      </c>
      <c r="AD42" s="227">
        <f>(INDEX(Models!$BJ42:$BT42,,AH42)*(1-AF42)+INDEX(Models!$BJ42:$BT42,,AH42+1)*AF42-ERP_i)*AE42*Ramure*Pc/MaxiM</f>
        <v>1.2857082159340937E-2</v>
      </c>
      <c r="AE42" s="301">
        <f t="shared" si="15"/>
        <v>0.5</v>
      </c>
      <c r="AF42" s="173">
        <f t="shared" si="23"/>
        <v>0.4952295413612009</v>
      </c>
      <c r="AG42" s="802">
        <f t="shared" si="24"/>
        <v>2</v>
      </c>
      <c r="AH42" s="172">
        <f t="shared" si="16"/>
        <v>8</v>
      </c>
      <c r="AI42" s="221">
        <f t="shared" si="17"/>
        <v>2.4952295413612009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46416</v>
      </c>
      <c r="B43" s="406">
        <f>'2026'!Wh/'2026'!Env_an*'2027'!Env_an</f>
        <v>6.5646273675673328</v>
      </c>
      <c r="C43" s="832"/>
      <c r="D43" s="388">
        <f t="shared" si="0"/>
        <v>6.7370570670612544</v>
      </c>
      <c r="E43" s="380">
        <f t="shared" si="1"/>
        <v>6.984065345827621</v>
      </c>
      <c r="F43" s="380">
        <f t="shared" si="2"/>
        <v>6.984065345827621</v>
      </c>
      <c r="G43" s="110">
        <f t="shared" si="21"/>
        <v>0.27612170434838956</v>
      </c>
      <c r="H43" s="409" t="b">
        <f>Wh_hp&gt;='2026'!Maxi_hp</f>
        <v>0</v>
      </c>
      <c r="I43" s="385">
        <f>IF(H43,Wh_hp,'2026'!Maxi_hp)</f>
        <v>7.0726171921905499</v>
      </c>
      <c r="J43" s="85">
        <f>IF(H43,An,'2026'!An_max)</f>
        <v>2022</v>
      </c>
      <c r="K43" s="193">
        <f t="shared" si="3"/>
        <v>46416</v>
      </c>
      <c r="L43" s="143">
        <f>IF(t&lt;Tvie,1-EXP((T0-t)*PertePVj)+'2026'!Pspv,1-EXP((T0-t)*PertePVj)+Pspv)</f>
        <v>2.55942168483273E-2</v>
      </c>
      <c r="M43" s="836"/>
      <c r="N43" s="836"/>
      <c r="O43" s="48">
        <f>IF(t&lt;Tnet,'2026'!Resal+('2026'!Salim-'2026'!Resal)*(1-EXP(('2026'!Tnet-t)/('2026'!Tau_j))),Resal+(Salim-Resal)*(1-EXP((Tnet-t)/(Tau_j))))*Salcycl</f>
        <v>3.5367406594202642E-2</v>
      </c>
      <c r="P43" s="165">
        <f>(INDEX(Models!$BJ43:$BT43,,T43)*(1-R43)+INDEX(Models!$BJ43:$BT43,,T43+1)*R43-ERP_i)*Q43*Ramure*Pc/MaxiM</f>
        <v>1.2525586910632963E-2</v>
      </c>
      <c r="Q43" s="301">
        <f t="shared" si="4"/>
        <v>0.5</v>
      </c>
      <c r="R43" s="173">
        <f t="shared" si="5"/>
        <v>0.49531764255648625</v>
      </c>
      <c r="S43" s="802">
        <f t="shared" si="6"/>
        <v>2</v>
      </c>
      <c r="T43" s="172">
        <f t="shared" si="7"/>
        <v>8</v>
      </c>
      <c r="U43" s="247">
        <f t="shared" si="8"/>
        <v>2.4953176425564862</v>
      </c>
      <c r="V43" s="378">
        <f t="shared" si="9"/>
        <v>23.476609968914079</v>
      </c>
      <c r="W43" s="397">
        <f t="shared" si="10"/>
        <v>6.5646273675673328</v>
      </c>
      <c r="X43" s="153">
        <f t="shared" si="11"/>
        <v>46416</v>
      </c>
      <c r="Y43" s="380">
        <f t="shared" si="12"/>
        <v>6.4166907156709581</v>
      </c>
      <c r="Z43" s="380">
        <f t="shared" si="22"/>
        <v>6.5852346390191299</v>
      </c>
      <c r="AA43" s="381">
        <f t="shared" si="13"/>
        <v>6.984065345827621</v>
      </c>
      <c r="AB43" s="193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5.7105809733976477E-2</v>
      </c>
      <c r="AD43" s="227">
        <f>(INDEX(Models!$BJ43:$BT43,,AH43)*(1-AF43)+INDEX(Models!$BJ43:$BT43,,AH43+1)*AF43-ERP_i)*AE43*Ramure*Pc/MaxiM</f>
        <v>1.2525586910632963E-2</v>
      </c>
      <c r="AE43" s="301">
        <f t="shared" si="15"/>
        <v>0.5</v>
      </c>
      <c r="AF43" s="173">
        <f t="shared" si="23"/>
        <v>0.49531764255648625</v>
      </c>
      <c r="AG43" s="802">
        <f t="shared" si="24"/>
        <v>2</v>
      </c>
      <c r="AH43" s="172">
        <f t="shared" si="16"/>
        <v>8</v>
      </c>
      <c r="AI43" s="221">
        <f t="shared" si="17"/>
        <v>2.4953176425564862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46417</v>
      </c>
      <c r="B44" s="406">
        <f>'2026'!Wh/'2026'!Env_an*'2027'!Env_an</f>
        <v>4.7322406232430989</v>
      </c>
      <c r="C44" s="832"/>
      <c r="D44" s="388">
        <f t="shared" si="0"/>
        <v>4.8566064429786575</v>
      </c>
      <c r="E44" s="380">
        <f t="shared" si="1"/>
        <v>5.034882296249882</v>
      </c>
      <c r="F44" s="380">
        <f t="shared" si="2"/>
        <v>5.034882296249882</v>
      </c>
      <c r="G44" s="110">
        <f t="shared" si="21"/>
        <v>0.19615487761159256</v>
      </c>
      <c r="H44" s="409" t="b">
        <f>Wh_hp&gt;='2026'!Maxi_hp</f>
        <v>0</v>
      </c>
      <c r="I44" s="385">
        <f>IF(H44,Wh_hp,'2026'!Maxi_hp)</f>
        <v>5.0966884891748485</v>
      </c>
      <c r="J44" s="85">
        <f>IF(H44,An,'2026'!An_max)</f>
        <v>2022</v>
      </c>
      <c r="K44" s="193">
        <f t="shared" si="3"/>
        <v>46417</v>
      </c>
      <c r="L44" s="143">
        <f>IF(t&lt;Tvie,1-EXP((T0-t)*PertePVj)+'2026'!Pspv,1-EXP((T0-t)*PertePVj)+Pspv)</f>
        <v>2.5607555645229985E-2</v>
      </c>
      <c r="M44" s="836"/>
      <c r="N44" s="836"/>
      <c r="O44" s="48">
        <f>IF(t&lt;Tnet,'2026'!Resal+('2026'!Salim-'2026'!Resal)*(1-EXP(('2026'!Tnet-t)/('2026'!Tau_j))),Resal+(Salim-Resal)*(1-EXP((Tnet-t)/(Tau_j))))*Salcycl</f>
        <v>3.5408147158476622E-2</v>
      </c>
      <c r="P44" s="165">
        <f>(INDEX(Models!$BJ44:$BT44,,T44)*(1-R44)+INDEX(Models!$BJ44:$BT44,,T44+1)*R44-ERP_i)*Q44*Ramure*Pc/MaxiM</f>
        <v>1.2131838172022054E-2</v>
      </c>
      <c r="Q44" s="301">
        <f t="shared" si="4"/>
        <v>0.5</v>
      </c>
      <c r="R44" s="173">
        <f t="shared" si="5"/>
        <v>0.49540940666947941</v>
      </c>
      <c r="S44" s="802">
        <f t="shared" si="6"/>
        <v>2</v>
      </c>
      <c r="T44" s="172">
        <f t="shared" si="7"/>
        <v>8</v>
      </c>
      <c r="U44" s="247">
        <f t="shared" si="8"/>
        <v>2.4954094066694794</v>
      </c>
      <c r="V44" s="378">
        <f t="shared" si="9"/>
        <v>23.832340560337752</v>
      </c>
      <c r="W44" s="397">
        <f t="shared" si="10"/>
        <v>4.7322406232430989</v>
      </c>
      <c r="X44" s="153">
        <f t="shared" si="11"/>
        <v>46417</v>
      </c>
      <c r="Y44" s="380">
        <f t="shared" si="12"/>
        <v>4.6256904311072198</v>
      </c>
      <c r="Z44" s="380">
        <f t="shared" si="22"/>
        <v>4.7472560546898448</v>
      </c>
      <c r="AA44" s="381">
        <f t="shared" si="13"/>
        <v>5.034882296249882</v>
      </c>
      <c r="AB44" s="193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5.7126706174297125E-2</v>
      </c>
      <c r="AD44" s="227">
        <f>(INDEX(Models!$BJ44:$BT44,,AH44)*(1-AF44)+INDEX(Models!$BJ44:$BT44,,AH44+1)*AF44-ERP_i)*AE44*Ramure*Pc/MaxiM</f>
        <v>1.2131838172022054E-2</v>
      </c>
      <c r="AE44" s="301">
        <f t="shared" si="15"/>
        <v>0.5</v>
      </c>
      <c r="AF44" s="173">
        <f t="shared" si="23"/>
        <v>0.49540940666947941</v>
      </c>
      <c r="AG44" s="802">
        <f t="shared" si="24"/>
        <v>2</v>
      </c>
      <c r="AH44" s="172">
        <f t="shared" si="16"/>
        <v>8</v>
      </c>
      <c r="AI44" s="221">
        <f t="shared" si="17"/>
        <v>2.4954094066694794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46418</v>
      </c>
      <c r="B45" s="406">
        <f>'2026'!Wh/'2026'!Env_an*'2027'!Env_an</f>
        <v>10.975223689739755</v>
      </c>
      <c r="C45" s="832"/>
      <c r="D45" s="388">
        <f t="shared" si="0"/>
        <v>11.263812642410167</v>
      </c>
      <c r="E45" s="380">
        <f t="shared" si="1"/>
        <v>11.6777770539817</v>
      </c>
      <c r="F45" s="380">
        <f t="shared" si="2"/>
        <v>11.707806731709368</v>
      </c>
      <c r="G45" s="110">
        <f t="shared" si="21"/>
        <v>0.44949251405418195</v>
      </c>
      <c r="H45" s="409" t="b">
        <f>Wh_hp&gt;='2026'!Maxi_hp</f>
        <v>0</v>
      </c>
      <c r="I45" s="385">
        <f>IF(H45,Wh_hp,'2026'!Maxi_hp)</f>
        <v>11.815810990102225</v>
      </c>
      <c r="J45" s="85">
        <f>IF(H45,An,'2026'!An_max)</f>
        <v>2022</v>
      </c>
      <c r="K45" s="193">
        <f t="shared" si="3"/>
        <v>46418</v>
      </c>
      <c r="L45" s="143">
        <f>IF(t&lt;Tvie,1-EXP((T0-t)*PertePVj)+'2026'!Pspv,1-EXP((T0-t)*PertePVj)+Pspv)</f>
        <v>2.5620894259535731E-2</v>
      </c>
      <c r="M45" s="836"/>
      <c r="N45" s="836"/>
      <c r="O45" s="48">
        <f>IF(t&lt;Tnet,'2026'!Resal+('2026'!Salim-'2026'!Resal)*(1-EXP(('2026'!Tnet-t)/('2026'!Tau_j))),Resal+(Salim-Resal)*(1-EXP((Tnet-t)/(Tau_j))))*Salcycl</f>
        <v>3.5448905186144665E-2</v>
      </c>
      <c r="P45" s="165">
        <f>(INDEX(Models!$BJ45:$BT45,,T45)*(1-R45)+INDEX(Models!$BJ45:$BT45,,T45+1)*R45-ERP_i)*Q45*Ramure*Pc/MaxiM</f>
        <v>1.1686015530578705E-2</v>
      </c>
      <c r="Q45" s="301">
        <f t="shared" si="4"/>
        <v>0.5</v>
      </c>
      <c r="R45" s="173">
        <f t="shared" si="5"/>
        <v>0.49550498455090963</v>
      </c>
      <c r="S45" s="802">
        <f t="shared" si="6"/>
        <v>2</v>
      </c>
      <c r="T45" s="172">
        <f t="shared" si="7"/>
        <v>8</v>
      </c>
      <c r="U45" s="247">
        <f t="shared" si="8"/>
        <v>2.4955049845509096</v>
      </c>
      <c r="V45" s="378">
        <f t="shared" si="9"/>
        <v>24.193640484653272</v>
      </c>
      <c r="W45" s="397">
        <f t="shared" si="10"/>
        <v>10.975223689739755</v>
      </c>
      <c r="X45" s="153">
        <f t="shared" si="11"/>
        <v>46418</v>
      </c>
      <c r="Y45" s="380">
        <f t="shared" si="12"/>
        <v>10.728322497049968</v>
      </c>
      <c r="Z45" s="380">
        <f t="shared" si="22"/>
        <v>11.010419285312102</v>
      </c>
      <c r="AA45" s="381">
        <f t="shared" si="13"/>
        <v>11.6777770539817</v>
      </c>
      <c r="AB45" s="193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5.714767164886516E-2</v>
      </c>
      <c r="AD45" s="227">
        <f>(INDEX(Models!$BJ45:$BT45,,AH45)*(1-AF45)+INDEX(Models!$BJ45:$BT45,,AH45+1)*AF45-ERP_i)*AE45*Ramure*Pc/MaxiM</f>
        <v>1.1686015530578705E-2</v>
      </c>
      <c r="AE45" s="301">
        <f t="shared" si="15"/>
        <v>0.5</v>
      </c>
      <c r="AF45" s="173">
        <f t="shared" si="23"/>
        <v>0.49550498455090963</v>
      </c>
      <c r="AG45" s="802">
        <f t="shared" si="24"/>
        <v>2</v>
      </c>
      <c r="AH45" s="172">
        <f t="shared" si="16"/>
        <v>8</v>
      </c>
      <c r="AI45" s="221">
        <f t="shared" si="17"/>
        <v>2.4955049845509096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46419</v>
      </c>
      <c r="B46" s="406">
        <f>'2026'!Wh/'2026'!Env_an*'2027'!Env_an</f>
        <v>14.153033091012491</v>
      </c>
      <c r="C46" s="832"/>
      <c r="D46" s="388">
        <f t="shared" si="0"/>
        <v>14.525380063488761</v>
      </c>
      <c r="E46" s="380">
        <f t="shared" si="1"/>
        <v>15.059849290941692</v>
      </c>
      <c r="F46" s="380">
        <f t="shared" si="2"/>
        <v>15.126660961918896</v>
      </c>
      <c r="G46" s="110">
        <f t="shared" si="21"/>
        <v>0.57235220166330192</v>
      </c>
      <c r="H46" s="409" t="b">
        <f>Wh_hp&gt;='2026'!Maxi_hp</f>
        <v>0</v>
      </c>
      <c r="I46" s="385">
        <f>IF(H46,Wh_hp,'2026'!Maxi_hp)</f>
        <v>15.230246512611631</v>
      </c>
      <c r="J46" s="85">
        <f>IF(H46,An,'2026'!An_max)</f>
        <v>2022</v>
      </c>
      <c r="K46" s="193">
        <f t="shared" si="3"/>
        <v>46419</v>
      </c>
      <c r="L46" s="143">
        <f>IF(t&lt;Tvie,1-EXP((T0-t)*PertePVj)+'2026'!Pspv,1-EXP((T0-t)*PertePVj)+Pspv)</f>
        <v>2.5634232691246983E-2</v>
      </c>
      <c r="M46" s="836"/>
      <c r="N46" s="836"/>
      <c r="O46" s="48">
        <f>IF(t&lt;Tnet,'2026'!Resal+('2026'!Salim-'2026'!Resal)*(1-EXP(('2026'!Tnet-t)/('2026'!Tau_j))),Resal+(Salim-Resal)*(1-EXP((Tnet-t)/(Tau_j))))*Salcycl</f>
        <v>3.5489679685865624E-2</v>
      </c>
      <c r="P46" s="165">
        <f>(INDEX(Models!$BJ46:$BT46,,T46)*(1-R46)+INDEX(Models!$BJ46:$BT46,,T46+1)*R46-ERP_i)*Q46*Ramure*Pc/MaxiM</f>
        <v>1.1190987070844023E-2</v>
      </c>
      <c r="Q46" s="301">
        <f t="shared" si="4"/>
        <v>0.5</v>
      </c>
      <c r="R46" s="173">
        <f t="shared" si="5"/>
        <v>0.49560453314134989</v>
      </c>
      <c r="S46" s="802">
        <f t="shared" si="6"/>
        <v>2</v>
      </c>
      <c r="T46" s="172">
        <f t="shared" si="7"/>
        <v>8</v>
      </c>
      <c r="U46" s="247">
        <f t="shared" si="8"/>
        <v>2.4956045331413499</v>
      </c>
      <c r="V46" s="378">
        <f t="shared" si="9"/>
        <v>24.559585225565986</v>
      </c>
      <c r="W46" s="397">
        <f t="shared" si="10"/>
        <v>14.153033091012491</v>
      </c>
      <c r="X46" s="153">
        <f t="shared" si="11"/>
        <v>46419</v>
      </c>
      <c r="Y46" s="380">
        <f t="shared" si="12"/>
        <v>13.834919384478988</v>
      </c>
      <c r="Z46" s="380">
        <f t="shared" si="22"/>
        <v>14.198897219769664</v>
      </c>
      <c r="AA46" s="381">
        <f t="shared" si="13"/>
        <v>15.059849290941692</v>
      </c>
      <c r="AB46" s="193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5.7168704316973434E-2</v>
      </c>
      <c r="AD46" s="227">
        <f>(INDEX(Models!$BJ46:$BT46,,AH46)*(1-AF46)+INDEX(Models!$BJ46:$BT46,,AH46+1)*AF46-ERP_i)*AE46*Ramure*Pc/MaxiM</f>
        <v>1.1190987070844023E-2</v>
      </c>
      <c r="AE46" s="301">
        <f t="shared" si="15"/>
        <v>0.5</v>
      </c>
      <c r="AF46" s="173">
        <f t="shared" si="23"/>
        <v>0.49560453314134989</v>
      </c>
      <c r="AG46" s="802">
        <f t="shared" si="24"/>
        <v>2</v>
      </c>
      <c r="AH46" s="172">
        <f t="shared" si="16"/>
        <v>8</v>
      </c>
      <c r="AI46" s="221">
        <f t="shared" si="17"/>
        <v>2.4956045331413499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46420</v>
      </c>
      <c r="B47" s="406">
        <f>'2026'!Wh/'2026'!Env_an*'2027'!Env_an</f>
        <v>5.7097367347976586</v>
      </c>
      <c r="C47" s="832"/>
      <c r="D47" s="388">
        <f t="shared" si="0"/>
        <v>5.8600323296861232</v>
      </c>
      <c r="E47" s="380">
        <f t="shared" si="1"/>
        <v>6.0759123466536806</v>
      </c>
      <c r="F47" s="380">
        <f t="shared" si="2"/>
        <v>6.0759123466536806</v>
      </c>
      <c r="G47" s="110">
        <f t="shared" si="21"/>
        <v>0.22659852195471269</v>
      </c>
      <c r="H47" s="409" t="b">
        <f>Wh_hp&gt;='2026'!Maxi_hp</f>
        <v>0</v>
      </c>
      <c r="I47" s="385">
        <f>IF(H47,Wh_hp,'2026'!Maxi_hp)</f>
        <v>6.1412851991901132</v>
      </c>
      <c r="J47" s="85">
        <f>IF(H47,An,'2026'!An_max)</f>
        <v>2022</v>
      </c>
      <c r="K47" s="193">
        <f t="shared" si="3"/>
        <v>46420</v>
      </c>
      <c r="L47" s="143">
        <f>IF(t&lt;Tvie,1-EXP((T0-t)*PertePVj)+'2026'!Pspv,1-EXP((T0-t)*PertePVj)+Pspv)</f>
        <v>2.5647570940366293E-2</v>
      </c>
      <c r="M47" s="836"/>
      <c r="N47" s="836"/>
      <c r="O47" s="48">
        <f>IF(t&lt;Tnet,'2026'!Resal+('2026'!Salim-'2026'!Resal)*(1-EXP(('2026'!Tnet-t)/('2026'!Tau_j))),Resal+(Salim-Resal)*(1-EXP((Tnet-t)/(Tau_j))))*Salcycl</f>
        <v>3.5530469277828561E-2</v>
      </c>
      <c r="P47" s="165">
        <f>(INDEX(Models!$BJ47:$BT47,,T47)*(1-R47)+INDEX(Models!$BJ47:$BT47,,T47+1)*R47-ERP_i)*Q47*Ramure*Pc/MaxiM</f>
        <v>1.0649420155200966E-2</v>
      </c>
      <c r="Q47" s="301">
        <f t="shared" si="4"/>
        <v>0.5</v>
      </c>
      <c r="R47" s="173">
        <f t="shared" si="5"/>
        <v>0.49570821570659485</v>
      </c>
      <c r="S47" s="802">
        <f t="shared" si="6"/>
        <v>2</v>
      </c>
      <c r="T47" s="172">
        <f t="shared" si="7"/>
        <v>8</v>
      </c>
      <c r="U47" s="247">
        <f t="shared" si="8"/>
        <v>2.4957082157065948</v>
      </c>
      <c r="V47" s="378">
        <f t="shared" si="9"/>
        <v>24.929250643842199</v>
      </c>
      <c r="W47" s="397">
        <f t="shared" si="10"/>
        <v>5.7097367347976586</v>
      </c>
      <c r="X47" s="153">
        <f t="shared" si="11"/>
        <v>46420</v>
      </c>
      <c r="Y47" s="380">
        <f t="shared" si="12"/>
        <v>5.5815117550009994</v>
      </c>
      <c r="Z47" s="380">
        <f t="shared" si="22"/>
        <v>5.7284321242856899</v>
      </c>
      <c r="AA47" s="381">
        <f t="shared" si="13"/>
        <v>6.0759123466536806</v>
      </c>
      <c r="AB47" s="193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5.7189801719138629E-2</v>
      </c>
      <c r="AD47" s="227">
        <f>(INDEX(Models!$BJ47:$BT47,,AH47)*(1-AF47)+INDEX(Models!$BJ47:$BT47,,AH47+1)*AF47-ERP_i)*AE47*Ramure*Pc/MaxiM</f>
        <v>1.0649420155200966E-2</v>
      </c>
      <c r="AE47" s="301">
        <f t="shared" si="15"/>
        <v>0.5</v>
      </c>
      <c r="AF47" s="173">
        <f t="shared" si="23"/>
        <v>0.49570821570659485</v>
      </c>
      <c r="AG47" s="802">
        <f t="shared" si="24"/>
        <v>2</v>
      </c>
      <c r="AH47" s="172">
        <f t="shared" si="16"/>
        <v>8</v>
      </c>
      <c r="AI47" s="221">
        <f t="shared" si="17"/>
        <v>2.4957082157065948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46421</v>
      </c>
      <c r="B48" s="406">
        <f>'2026'!Wh/'2026'!Env_an*'2027'!Env_an</f>
        <v>13.199292714787905</v>
      </c>
      <c r="C48" s="832"/>
      <c r="D48" s="388">
        <f t="shared" si="0"/>
        <v>13.546918969795627</v>
      </c>
      <c r="E48" s="380">
        <f t="shared" si="1"/>
        <v>14.046573457751457</v>
      </c>
      <c r="F48" s="380">
        <f t="shared" si="2"/>
        <v>14.091482932933612</v>
      </c>
      <c r="G48" s="110">
        <f t="shared" si="21"/>
        <v>0.51807693310756076</v>
      </c>
      <c r="H48" s="409" t="b">
        <f>Wh_hp&gt;='2026'!Maxi_hp</f>
        <v>0</v>
      </c>
      <c r="I48" s="385">
        <f>IF(H48,Wh_hp,'2026'!Maxi_hp)</f>
        <v>14.189329287709032</v>
      </c>
      <c r="J48" s="85">
        <f>IF(H48,An,'2026'!An_max)</f>
        <v>2022</v>
      </c>
      <c r="K48" s="193">
        <f t="shared" si="3"/>
        <v>46421</v>
      </c>
      <c r="L48" s="143">
        <f>IF(t&lt;Tvie,1-EXP((T0-t)*PertePVj)+'2026'!Pspv,1-EXP((T0-t)*PertePVj)+Pspv)</f>
        <v>2.5660909006896215E-2</v>
      </c>
      <c r="M48" s="836"/>
      <c r="N48" s="836"/>
      <c r="O48" s="48">
        <f>IF(t&lt;Tnet,'2026'!Resal+('2026'!Salim-'2026'!Resal)*(1-EXP(('2026'!Tnet-t)/('2026'!Tau_j))),Resal+(Salim-Resal)*(1-EXP((Tnet-t)/(Tau_j))))*Salcycl</f>
        <v>3.5571272200915438E-2</v>
      </c>
      <c r="P48" s="165">
        <f>(INDEX(Models!$BJ48:$BT48,,T48)*(1-R48)+INDEX(Models!$BJ48:$BT48,,T48+1)*R48-ERP_i)*Q48*Ramure*Pc/MaxiM</f>
        <v>1.006377530572254E-2</v>
      </c>
      <c r="Q48" s="301">
        <f t="shared" si="4"/>
        <v>0.5</v>
      </c>
      <c r="R48" s="173">
        <f t="shared" si="5"/>
        <v>0.49581620208122779</v>
      </c>
      <c r="S48" s="802">
        <f t="shared" si="6"/>
        <v>2</v>
      </c>
      <c r="T48" s="172">
        <f t="shared" si="7"/>
        <v>8</v>
      </c>
      <c r="U48" s="247">
        <f t="shared" si="8"/>
        <v>2.4958162020812278</v>
      </c>
      <c r="V48" s="378">
        <f t="shared" si="9"/>
        <v>25.301712983308743</v>
      </c>
      <c r="W48" s="397">
        <f t="shared" si="10"/>
        <v>13.199292714787905</v>
      </c>
      <c r="X48" s="153">
        <f t="shared" si="11"/>
        <v>46421</v>
      </c>
      <c r="Y48" s="380">
        <f t="shared" si="12"/>
        <v>12.903129218487644</v>
      </c>
      <c r="Z48" s="380">
        <f t="shared" si="22"/>
        <v>13.242955494412129</v>
      </c>
      <c r="AA48" s="381">
        <f t="shared" si="13"/>
        <v>14.046573457751457</v>
      </c>
      <c r="AB48" s="193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5.7210960791000534E-2</v>
      </c>
      <c r="AD48" s="227">
        <f>(INDEX(Models!$BJ48:$BT48,,AH48)*(1-AF48)+INDEX(Models!$BJ48:$BT48,,AH48+1)*AF48-ERP_i)*AE48*Ramure*Pc/MaxiM</f>
        <v>1.006377530572254E-2</v>
      </c>
      <c r="AE48" s="301">
        <f t="shared" si="15"/>
        <v>0.5</v>
      </c>
      <c r="AF48" s="173">
        <f t="shared" si="23"/>
        <v>0.49581620208122779</v>
      </c>
      <c r="AG48" s="802">
        <f t="shared" si="24"/>
        <v>2</v>
      </c>
      <c r="AH48" s="172">
        <f t="shared" si="16"/>
        <v>8</v>
      </c>
      <c r="AI48" s="221">
        <f t="shared" si="17"/>
        <v>2.4958162020812278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46422</v>
      </c>
      <c r="B49" s="406">
        <f>'2026'!Wh/'2026'!Env_an*'2027'!Env_an</f>
        <v>12.050360270896471</v>
      </c>
      <c r="C49" s="832"/>
      <c r="D49" s="388">
        <f t="shared" si="0"/>
        <v>12.367896704405783</v>
      </c>
      <c r="E49" s="380">
        <f t="shared" si="1"/>
        <v>12.824607742429439</v>
      </c>
      <c r="F49" s="380">
        <f t="shared" si="2"/>
        <v>12.853947485370394</v>
      </c>
      <c r="G49" s="110">
        <f t="shared" si="21"/>
        <v>0.46595789654598191</v>
      </c>
      <c r="H49" s="409" t="b">
        <f>Wh_hp&gt;='2026'!Maxi_hp</f>
        <v>0</v>
      </c>
      <c r="I49" s="385">
        <f>IF(H49,Wh_hp,'2026'!Maxi_hp)</f>
        <v>12.946736780036268</v>
      </c>
      <c r="J49" s="85">
        <f>IF(H49,An,'2026'!An_max)</f>
        <v>2022</v>
      </c>
      <c r="K49" s="193">
        <f t="shared" si="3"/>
        <v>46422</v>
      </c>
      <c r="L49" s="143">
        <f>IF(t&lt;Tvie,1-EXP((T0-t)*PertePVj)+'2026'!Pspv,1-EXP((T0-t)*PertePVj)+Pspv)</f>
        <v>2.5674246890839303E-2</v>
      </c>
      <c r="M49" s="836"/>
      <c r="N49" s="836"/>
      <c r="O49" s="48">
        <f>IF(t&lt;Tnet,'2026'!Resal+('2026'!Salim-'2026'!Resal)*(1-EXP(('2026'!Tnet-t)/('2026'!Tau_j))),Resal+(Salim-Resal)*(1-EXP((Tnet-t)/(Tau_j))))*Salcycl</f>
        <v>3.561208632624728E-2</v>
      </c>
      <c r="P49" s="165">
        <f>(INDEX(Models!$BJ49:$BT49,,T49)*(1-R49)+INDEX(Models!$BJ49:$BT49,,T49+1)*R49-ERP_i)*Q49*Ramure*Pc/MaxiM</f>
        <v>9.4363028294460489E-3</v>
      </c>
      <c r="Q49" s="301">
        <f t="shared" si="4"/>
        <v>0.5</v>
      </c>
      <c r="R49" s="173">
        <f t="shared" si="5"/>
        <v>0.49592866892059373</v>
      </c>
      <c r="S49" s="802">
        <f t="shared" si="6"/>
        <v>2</v>
      </c>
      <c r="T49" s="172">
        <f t="shared" si="7"/>
        <v>8</v>
      </c>
      <c r="U49" s="247">
        <f t="shared" si="8"/>
        <v>2.4959286689205937</v>
      </c>
      <c r="V49" s="378">
        <f t="shared" si="9"/>
        <v>25.676048866395359</v>
      </c>
      <c r="W49" s="397">
        <f t="shared" si="10"/>
        <v>12.050360270896471</v>
      </c>
      <c r="X49" s="153">
        <f t="shared" si="11"/>
        <v>46422</v>
      </c>
      <c r="Y49" s="380">
        <f t="shared" si="12"/>
        <v>11.780209755001639</v>
      </c>
      <c r="Z49" s="380">
        <f t="shared" si="22"/>
        <v>12.090627510778541</v>
      </c>
      <c r="AA49" s="381">
        <f t="shared" si="13"/>
        <v>12.824607742429439</v>
      </c>
      <c r="AB49" s="193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5.7232177887403882E-2</v>
      </c>
      <c r="AD49" s="227">
        <f>(INDEX(Models!$BJ49:$BT49,,AH49)*(1-AF49)+INDEX(Models!$BJ49:$BT49,,AH49+1)*AF49-ERP_i)*AE49*Ramure*Pc/MaxiM</f>
        <v>9.4363028294460489E-3</v>
      </c>
      <c r="AE49" s="301">
        <f t="shared" si="15"/>
        <v>0.5</v>
      </c>
      <c r="AF49" s="173">
        <f t="shared" si="23"/>
        <v>0.49592866892059373</v>
      </c>
      <c r="AG49" s="802">
        <f t="shared" si="24"/>
        <v>2</v>
      </c>
      <c r="AH49" s="172">
        <f t="shared" si="16"/>
        <v>8</v>
      </c>
      <c r="AI49" s="221">
        <f t="shared" si="17"/>
        <v>2.4959286689205937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46423</v>
      </c>
      <c r="B50" s="406">
        <f>'2026'!Wh/'2026'!Env_an*'2027'!Env_an</f>
        <v>9.4672665749280149</v>
      </c>
      <c r="C50" s="832"/>
      <c r="D50" s="388">
        <f t="shared" si="0"/>
        <v>9.7168694817108054</v>
      </c>
      <c r="E50" s="380">
        <f t="shared" si="1"/>
        <v>10.076112194642279</v>
      </c>
      <c r="F50" s="380">
        <f t="shared" si="2"/>
        <v>10.084122277686024</v>
      </c>
      <c r="G50" s="110">
        <f t="shared" si="21"/>
        <v>0.36050773193654367</v>
      </c>
      <c r="H50" s="409" t="b">
        <f>Wh_hp&gt;='2026'!Maxi_hp</f>
        <v>0</v>
      </c>
      <c r="I50" s="385">
        <f>IF(H50,Wh_hp,'2026'!Maxi_hp)</f>
        <v>10.165216263192344</v>
      </c>
      <c r="J50" s="85">
        <f>IF(H50,An,'2026'!An_max)</f>
        <v>2022</v>
      </c>
      <c r="K50" s="193">
        <f t="shared" si="3"/>
        <v>46423</v>
      </c>
      <c r="L50" s="143">
        <f>IF(t&lt;Tvie,1-EXP((T0-t)*PertePVj)+'2026'!Pspv,1-EXP((T0-t)*PertePVj)+Pspv)</f>
        <v>2.5687584592197776E-2</v>
      </c>
      <c r="M50" s="836"/>
      <c r="N50" s="836"/>
      <c r="O50" s="48">
        <f>IF(t&lt;Tnet,'2026'!Resal+('2026'!Salim-'2026'!Resal)*(1-EXP(('2026'!Tnet-t)/('2026'!Tau_j))),Resal+(Salim-Resal)*(1-EXP((Tnet-t)/(Tau_j))))*Salcycl</f>
        <v>3.5652909176864006E-2</v>
      </c>
      <c r="P50" s="165">
        <f>(INDEX(Models!$BJ50:$BT50,,T50)*(1-R50)+INDEX(Models!$BJ50:$BT50,,T50+1)*R50-ERP_i)*Q50*Ramure*Pc/MaxiM</f>
        <v>8.7690416528343664E-3</v>
      </c>
      <c r="Q50" s="301">
        <f t="shared" si="4"/>
        <v>0.5</v>
      </c>
      <c r="R50" s="173">
        <f t="shared" si="5"/>
        <v>0.49604579996137455</v>
      </c>
      <c r="S50" s="802">
        <f t="shared" si="6"/>
        <v>2</v>
      </c>
      <c r="T50" s="172">
        <f t="shared" si="7"/>
        <v>8</v>
      </c>
      <c r="U50" s="247">
        <f t="shared" si="8"/>
        <v>2.4960457999613745</v>
      </c>
      <c r="V50" s="378">
        <f t="shared" si="9"/>
        <v>26.051335292011618</v>
      </c>
      <c r="W50" s="397">
        <f t="shared" si="10"/>
        <v>9.4672665749280149</v>
      </c>
      <c r="X50" s="153">
        <f t="shared" si="11"/>
        <v>46423</v>
      </c>
      <c r="Y50" s="380">
        <f t="shared" si="12"/>
        <v>9.2552080029947437</v>
      </c>
      <c r="Z50" s="380">
        <f t="shared" si="22"/>
        <v>9.4992200208399691</v>
      </c>
      <c r="AA50" s="381">
        <f t="shared" si="13"/>
        <v>10.076112194642279</v>
      </c>
      <c r="AB50" s="193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5.725344881620683E-2</v>
      </c>
      <c r="AD50" s="227">
        <f>(INDEX(Models!$BJ50:$BT50,,AH50)*(1-AF50)+INDEX(Models!$BJ50:$BT50,,AH50+1)*AF50-ERP_i)*AE50*Ramure*Pc/MaxiM</f>
        <v>8.7690416528343664E-3</v>
      </c>
      <c r="AE50" s="301">
        <f t="shared" si="15"/>
        <v>0.5</v>
      </c>
      <c r="AF50" s="173">
        <f t="shared" si="23"/>
        <v>0.49604579996137455</v>
      </c>
      <c r="AG50" s="802">
        <f t="shared" si="24"/>
        <v>2</v>
      </c>
      <c r="AH50" s="172">
        <f t="shared" si="16"/>
        <v>8</v>
      </c>
      <c r="AI50" s="221">
        <f t="shared" si="17"/>
        <v>2.4960457999613745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46424</v>
      </c>
      <c r="B51" s="406">
        <f>'2026'!Wh/'2026'!Env_an*'2027'!Env_an</f>
        <v>20.80378240850894</v>
      </c>
      <c r="C51" s="832"/>
      <c r="D51" s="388">
        <f t="shared" si="0"/>
        <v>21.352562966172208</v>
      </c>
      <c r="E51" s="380">
        <f t="shared" si="1"/>
        <v>22.142926792625722</v>
      </c>
      <c r="F51" s="380">
        <f t="shared" si="2"/>
        <v>22.267873754746454</v>
      </c>
      <c r="G51" s="110">
        <f t="shared" si="21"/>
        <v>0.78519792972038782</v>
      </c>
      <c r="H51" s="409" t="b">
        <f>Wh_hp&gt;='2026'!Maxi_hp</f>
        <v>0</v>
      </c>
      <c r="I51" s="385">
        <f>IF(H51,Wh_hp,'2026'!Maxi_hp)</f>
        <v>22.322890993589862</v>
      </c>
      <c r="J51" s="85">
        <f>IF(H51,An,'2026'!An_max)</f>
        <v>2022</v>
      </c>
      <c r="K51" s="193">
        <f t="shared" si="3"/>
        <v>46424</v>
      </c>
      <c r="L51" s="143">
        <f>IF(t&lt;Tvie,1-EXP((T0-t)*PertePVj)+'2026'!Pspv,1-EXP((T0-t)*PertePVj)+Pspv)</f>
        <v>2.5700922110974411E-2</v>
      </c>
      <c r="M51" s="836"/>
      <c r="N51" s="836"/>
      <c r="O51" s="48">
        <f>IF(t&lt;Tnet,'2026'!Resal+('2026'!Salim-'2026'!Resal)*(1-EXP(('2026'!Tnet-t)/('2026'!Tau_j))),Resal+(Salim-Resal)*(1-EXP((Tnet-t)/(Tau_j))))*Salcycl</f>
        <v>3.569373795322893E-2</v>
      </c>
      <c r="P51" s="165">
        <f>(INDEX(Models!$BJ51:$BT51,,T51)*(1-R51)+INDEX(Models!$BJ51:$BT51,,T51+1)*R51-ERP_i)*Q51*Ramure*Pc/MaxiM</f>
        <v>8.0629192676739021E-3</v>
      </c>
      <c r="Q51" s="301">
        <f t="shared" si="4"/>
        <v>0.5</v>
      </c>
      <c r="R51" s="173">
        <f t="shared" si="5"/>
        <v>0.49616778629096903</v>
      </c>
      <c r="S51" s="802">
        <f t="shared" si="6"/>
        <v>2</v>
      </c>
      <c r="T51" s="172">
        <f t="shared" si="7"/>
        <v>8</v>
      </c>
      <c r="U51" s="247">
        <f t="shared" si="8"/>
        <v>2.496167786290969</v>
      </c>
      <c r="V51" s="378">
        <f t="shared" si="9"/>
        <v>26.429625451432727</v>
      </c>
      <c r="W51" s="397">
        <f t="shared" si="10"/>
        <v>20.80378240850894</v>
      </c>
      <c r="X51" s="153">
        <f t="shared" si="11"/>
        <v>46424</v>
      </c>
      <c r="Y51" s="380">
        <f t="shared" si="12"/>
        <v>20.338196847936842</v>
      </c>
      <c r="Z51" s="380">
        <f t="shared" si="22"/>
        <v>20.874695778223245</v>
      </c>
      <c r="AA51" s="381">
        <f t="shared" si="13"/>
        <v>22.142926792625722</v>
      </c>
      <c r="AB51" s="193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5.7274768881268159E-2</v>
      </c>
      <c r="AD51" s="227">
        <f>(INDEX(Models!$BJ51:$BT51,,AH51)*(1-AF51)+INDEX(Models!$BJ51:$BT51,,AH51+1)*AF51-ERP_i)*AE51*Ramure*Pc/MaxiM</f>
        <v>8.0629192676739021E-3</v>
      </c>
      <c r="AE51" s="301">
        <f t="shared" si="15"/>
        <v>0.5</v>
      </c>
      <c r="AF51" s="173">
        <f t="shared" si="23"/>
        <v>0.49616778629096903</v>
      </c>
      <c r="AG51" s="802">
        <f t="shared" si="24"/>
        <v>2</v>
      </c>
      <c r="AH51" s="172">
        <f t="shared" si="16"/>
        <v>8</v>
      </c>
      <c r="AI51" s="221">
        <f t="shared" si="17"/>
        <v>2.496167786290969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46425</v>
      </c>
      <c r="B52" s="406">
        <f>'2026'!Wh/'2026'!Env_an*'2027'!Env_an</f>
        <v>14.262878632544389</v>
      </c>
      <c r="C52" s="832"/>
      <c r="D52" s="388">
        <f t="shared" si="0"/>
        <v>14.63931784986544</v>
      </c>
      <c r="E52" s="380">
        <f t="shared" si="1"/>
        <v>15.181834158722356</v>
      </c>
      <c r="F52" s="380">
        <f t="shared" si="2"/>
        <v>15.218870029728439</v>
      </c>
      <c r="G52" s="110">
        <f t="shared" si="21"/>
        <v>0.52932632176903138</v>
      </c>
      <c r="H52" s="409" t="b">
        <f>Wh_hp&gt;='2026'!Maxi_hp</f>
        <v>0</v>
      </c>
      <c r="I52" s="385">
        <f>IF(H52,Wh_hp,'2026'!Maxi_hp)</f>
        <v>15.294127889599769</v>
      </c>
      <c r="J52" s="85">
        <f>IF(H52,An,'2026'!An_max)</f>
        <v>2022</v>
      </c>
      <c r="K52" s="193">
        <f t="shared" si="3"/>
        <v>46425</v>
      </c>
      <c r="L52" s="143">
        <f>IF(t&lt;Tvie,1-EXP((T0-t)*PertePVj)+'2026'!Pspv,1-EXP((T0-t)*PertePVj)+Pspv)</f>
        <v>2.571425944717165E-2</v>
      </c>
      <c r="M52" s="836"/>
      <c r="N52" s="836"/>
      <c r="O52" s="48">
        <f>IF(t&lt;Tnet,'2026'!Resal+('2026'!Salim-'2026'!Resal)*(1-EXP(('2026'!Tnet-t)/('2026'!Tau_j))),Resal+(Salim-Resal)*(1-EXP((Tnet-t)/(Tau_j))))*Salcycl</f>
        <v>3.5734569564193686E-2</v>
      </c>
      <c r="P52" s="165">
        <f>(INDEX(Models!$BJ52:$BT52,,T52)*(1-R52)+INDEX(Models!$BJ52:$BT52,,T52+1)*R52-ERP_i)*Q52*Ramure*Pc/MaxiM</f>
        <v>7.3443478456220465E-3</v>
      </c>
      <c r="Q52" s="301">
        <f t="shared" si="4"/>
        <v>0.5</v>
      </c>
      <c r="R52" s="173">
        <f t="shared" si="5"/>
        <v>0.49629482662587021</v>
      </c>
      <c r="S52" s="802">
        <f t="shared" si="6"/>
        <v>2</v>
      </c>
      <c r="T52" s="172">
        <f t="shared" si="7"/>
        <v>8</v>
      </c>
      <c r="U52" s="247">
        <f t="shared" si="8"/>
        <v>2.4962948266258702</v>
      </c>
      <c r="V52" s="378">
        <f t="shared" si="9"/>
        <v>26.812695796345611</v>
      </c>
      <c r="W52" s="397">
        <f t="shared" si="10"/>
        <v>14.262878632544389</v>
      </c>
      <c r="X52" s="153">
        <f t="shared" si="11"/>
        <v>46425</v>
      </c>
      <c r="Y52" s="380">
        <f t="shared" si="12"/>
        <v>13.943951963844668</v>
      </c>
      <c r="Z52" s="380">
        <f t="shared" si="22"/>
        <v>14.311973770582544</v>
      </c>
      <c r="AA52" s="381">
        <f t="shared" si="13"/>
        <v>15.181834158722356</v>
      </c>
      <c r="AB52" s="193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5.7296132933981211E-2</v>
      </c>
      <c r="AD52" s="227">
        <f>(INDEX(Models!$BJ52:$BT52,,AH52)*(1-AF52)+INDEX(Models!$BJ52:$BT52,,AH52+1)*AF52-ERP_i)*AE52*Ramure*Pc/MaxiM</f>
        <v>7.3443478456220465E-3</v>
      </c>
      <c r="AE52" s="301">
        <f t="shared" si="15"/>
        <v>0.5</v>
      </c>
      <c r="AF52" s="173">
        <f t="shared" si="23"/>
        <v>0.49629482662587021</v>
      </c>
      <c r="AG52" s="802">
        <f t="shared" si="24"/>
        <v>2</v>
      </c>
      <c r="AH52" s="172">
        <f t="shared" si="16"/>
        <v>8</v>
      </c>
      <c r="AI52" s="221">
        <f t="shared" si="17"/>
        <v>2.4962948266258702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46426</v>
      </c>
      <c r="B53" s="406">
        <f>'2026'!Wh/'2026'!Env_an*'2027'!Env_an</f>
        <v>27.656893678292839</v>
      </c>
      <c r="C53" s="832"/>
      <c r="D53" s="388">
        <f t="shared" si="0"/>
        <v>28.387228850780073</v>
      </c>
      <c r="E53" s="380">
        <f t="shared" si="1"/>
        <v>29.440473589140321</v>
      </c>
      <c r="F53" s="380">
        <f t="shared" si="2"/>
        <v>29.637565329868828</v>
      </c>
      <c r="G53" s="110">
        <f t="shared" si="21"/>
        <v>1.016825364425431</v>
      </c>
      <c r="H53" s="409" t="b">
        <f>Wh_hp&gt;='2026'!Maxi_hp</f>
        <v>1</v>
      </c>
      <c r="I53" s="385">
        <f>IF(H53,Wh_hp,'2026'!Maxi_hp)</f>
        <v>29.637565329868828</v>
      </c>
      <c r="J53" s="85">
        <f>IF(H53,An,'2026'!An_max)</f>
        <v>2027</v>
      </c>
      <c r="K53" s="193">
        <f t="shared" si="3"/>
        <v>46426</v>
      </c>
      <c r="L53" s="143">
        <f>IF(t&lt;Tvie,1-EXP((T0-t)*PertePVj)+'2026'!Pspv,1-EXP((T0-t)*PertePVj)+Pspv)</f>
        <v>2.5727596600791935E-2</v>
      </c>
      <c r="M53" s="836"/>
      <c r="N53" s="836"/>
      <c r="O53" s="48">
        <f>IF(t&lt;Tnet,'2026'!Resal+('2026'!Salim-'2026'!Resal)*(1-EXP(('2026'!Tnet-t)/('2026'!Tau_j))),Resal+(Salim-Resal)*(1-EXP((Tnet-t)/(Tau_j))))*Salcycl</f>
        <v>3.5775400663009618E-2</v>
      </c>
      <c r="P53" s="165">
        <f>(INDEX(Models!$BJ53:$BT53,,T53)*(1-R53)+INDEX(Models!$BJ53:$BT53,,T53+1)*R53-ERP_i)*Q53*Ramure*Pc/MaxiM</f>
        <v>6.65006516341193E-3</v>
      </c>
      <c r="Q53" s="301">
        <f t="shared" si="4"/>
        <v>0.5</v>
      </c>
      <c r="R53" s="173">
        <f t="shared" si="5"/>
        <v>0.49642712759923668</v>
      </c>
      <c r="S53" s="802">
        <f t="shared" si="6"/>
        <v>2</v>
      </c>
      <c r="T53" s="172">
        <f t="shared" si="7"/>
        <v>8</v>
      </c>
      <c r="U53" s="247">
        <f t="shared" si="8"/>
        <v>2.4964271275992367</v>
      </c>
      <c r="V53" s="378">
        <f t="shared" si="9"/>
        <v>27.199256279293039</v>
      </c>
      <c r="W53" s="397">
        <f t="shared" si="10"/>
        <v>27.656893678292839</v>
      </c>
      <c r="X53" s="153">
        <f t="shared" si="11"/>
        <v>46426</v>
      </c>
      <c r="Y53" s="380">
        <f t="shared" si="12"/>
        <v>27.038999744310079</v>
      </c>
      <c r="Z53" s="380">
        <f t="shared" si="22"/>
        <v>27.753018201040895</v>
      </c>
      <c r="AA53" s="381">
        <f t="shared" si="13"/>
        <v>29.440473589140321</v>
      </c>
      <c r="AB53" s="193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5.7317535432645908E-2</v>
      </c>
      <c r="AD53" s="227">
        <f>(INDEX(Models!$BJ53:$BT53,,AH53)*(1-AF53)+INDEX(Models!$BJ53:$BT53,,AH53+1)*AF53-ERP_i)*AE53*Ramure*Pc/MaxiM</f>
        <v>6.65006516341193E-3</v>
      </c>
      <c r="AE53" s="301">
        <f t="shared" si="15"/>
        <v>0.5</v>
      </c>
      <c r="AF53" s="173">
        <f t="shared" si="23"/>
        <v>0.49642712759923668</v>
      </c>
      <c r="AG53" s="802">
        <f t="shared" si="24"/>
        <v>2</v>
      </c>
      <c r="AH53" s="172">
        <f t="shared" si="16"/>
        <v>8</v>
      </c>
      <c r="AI53" s="221">
        <f t="shared" si="17"/>
        <v>2.4964271275992367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46427</v>
      </c>
      <c r="B54" s="406">
        <f>'2026'!Wh/'2026'!Env_an*'2027'!Env_an</f>
        <v>27.888718615602219</v>
      </c>
      <c r="C54" s="832"/>
      <c r="D54" s="388">
        <f t="shared" si="0"/>
        <v>28.625567445677568</v>
      </c>
      <c r="E54" s="380">
        <f t="shared" si="1"/>
        <v>29.688912287991144</v>
      </c>
      <c r="F54" s="380">
        <f t="shared" si="2"/>
        <v>29.867502380139104</v>
      </c>
      <c r="G54" s="110">
        <f t="shared" si="21"/>
        <v>1.0108637230245661</v>
      </c>
      <c r="H54" s="409" t="b">
        <f>Wh_hp&gt;='2026'!Maxi_hp</f>
        <v>1</v>
      </c>
      <c r="I54" s="385">
        <f>IF(H54,Wh_hp,'2026'!Maxi_hp)</f>
        <v>29.867502380139104</v>
      </c>
      <c r="J54" s="85">
        <f>IF(H54,An,'2026'!An_max)</f>
        <v>2027</v>
      </c>
      <c r="K54" s="193">
        <f t="shared" si="3"/>
        <v>46427</v>
      </c>
      <c r="L54" s="143">
        <f>IF(t&lt;Tvie,1-EXP((T0-t)*PertePVj)+'2026'!Pspv,1-EXP((T0-t)*PertePVj)+Pspv)</f>
        <v>2.5740933571837821E-2</v>
      </c>
      <c r="M54" s="836"/>
      <c r="N54" s="836"/>
      <c r="O54" s="48">
        <f>IF(t&lt;Tnet,'2026'!Resal+('2026'!Salim-'2026'!Resal)*(1-EXP(('2026'!Tnet-t)/('2026'!Tau_j))),Resal+(Salim-Resal)*(1-EXP((Tnet-t)/(Tau_j))))*Salcycl</f>
        <v>3.581622768792668E-2</v>
      </c>
      <c r="P54" s="165">
        <f>(INDEX(Models!$BJ54:$BT54,,T54)*(1-R54)+INDEX(Models!$BJ54:$BT54,,T54+1)*R54-ERP_i)*Q54*Ramure*Pc/MaxiM</f>
        <v>5.9794116653930553E-3</v>
      </c>
      <c r="Q54" s="301">
        <f t="shared" si="4"/>
        <v>0.5</v>
      </c>
      <c r="R54" s="173">
        <f t="shared" si="5"/>
        <v>0.49656490405782794</v>
      </c>
      <c r="S54" s="802">
        <f t="shared" si="6"/>
        <v>2</v>
      </c>
      <c r="T54" s="172">
        <f t="shared" si="7"/>
        <v>8</v>
      </c>
      <c r="U54" s="247">
        <f t="shared" si="8"/>
        <v>2.4965649040578279</v>
      </c>
      <c r="V54" s="378">
        <f t="shared" si="9"/>
        <v>27.588999367943948</v>
      </c>
      <c r="W54" s="397">
        <f t="shared" si="10"/>
        <v>27.888718615602219</v>
      </c>
      <c r="X54" s="153">
        <f t="shared" si="11"/>
        <v>46427</v>
      </c>
      <c r="Y54" s="380">
        <f t="shared" si="12"/>
        <v>27.266179909178181</v>
      </c>
      <c r="Z54" s="380">
        <f t="shared" si="22"/>
        <v>27.986580621868583</v>
      </c>
      <c r="AA54" s="381">
        <f t="shared" si="13"/>
        <v>29.688912287991144</v>
      </c>
      <c r="AB54" s="193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5.7338970508903866E-2</v>
      </c>
      <c r="AD54" s="227">
        <f>(INDEX(Models!$BJ54:$BT54,,AH54)*(1-AF54)+INDEX(Models!$BJ54:$BT54,,AH54+1)*AF54-ERP_i)*AE54*Ramure*Pc/MaxiM</f>
        <v>5.9794116653930553E-3</v>
      </c>
      <c r="AE54" s="301">
        <f t="shared" si="15"/>
        <v>0.5</v>
      </c>
      <c r="AF54" s="173">
        <f t="shared" si="23"/>
        <v>0.49656490405782794</v>
      </c>
      <c r="AG54" s="802">
        <f t="shared" si="24"/>
        <v>2</v>
      </c>
      <c r="AH54" s="172">
        <f t="shared" si="16"/>
        <v>8</v>
      </c>
      <c r="AI54" s="221">
        <f t="shared" si="17"/>
        <v>2.4965649040578279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46428</v>
      </c>
      <c r="B55" s="406">
        <f>'2026'!Wh/'2026'!Env_an*'2027'!Env_an</f>
        <v>26.92935248358404</v>
      </c>
      <c r="C55" s="832"/>
      <c r="D55" s="388">
        <f t="shared" si="0"/>
        <v>27.641232252096703</v>
      </c>
      <c r="E55" s="380">
        <f t="shared" si="1"/>
        <v>28.669226034810915</v>
      </c>
      <c r="F55" s="380">
        <f t="shared" si="2"/>
        <v>28.814603900252887</v>
      </c>
      <c r="G55" s="110">
        <f t="shared" si="21"/>
        <v>0.96211735593088132</v>
      </c>
      <c r="H55" s="409" t="b">
        <f>Wh_hp&gt;='2026'!Maxi_hp</f>
        <v>0</v>
      </c>
      <c r="I55" s="385">
        <f>IF(H55,Wh_hp,'2026'!Maxi_hp)</f>
        <v>28.822898257849857</v>
      </c>
      <c r="J55" s="85">
        <f>IF(H55,An,'2026'!An_max)</f>
        <v>2022</v>
      </c>
      <c r="K55" s="193">
        <f t="shared" si="3"/>
        <v>46428</v>
      </c>
      <c r="L55" s="143">
        <f>IF(t&lt;Tvie,1-EXP((T0-t)*PertePVj)+'2026'!Pspv,1-EXP((T0-t)*PertePVj)+Pspv)</f>
        <v>2.5754270360311637E-2</v>
      </c>
      <c r="M55" s="836"/>
      <c r="N55" s="836"/>
      <c r="O55" s="48">
        <f>IF(t&lt;Tnet,'2026'!Resal+('2026'!Salim-'2026'!Resal)*(1-EXP(('2026'!Tnet-t)/('2026'!Tau_j))),Resal+(Salim-Resal)*(1-EXP((Tnet-t)/(Tau_j))))*Salcycl</f>
        <v>3.5857046906881851E-2</v>
      </c>
      <c r="P55" s="165">
        <f>(INDEX(Models!$BJ55:$BT55,,T55)*(1-R55)+INDEX(Models!$BJ55:$BT55,,T55+1)*R55-ERP_i)*Q55*Ramure*Pc/MaxiM</f>
        <v>5.3317160530445126E-3</v>
      </c>
      <c r="Q55" s="301">
        <f t="shared" si="4"/>
        <v>0.5</v>
      </c>
      <c r="R55" s="173">
        <f t="shared" si="5"/>
        <v>0.49670837936849033</v>
      </c>
      <c r="S55" s="802">
        <f t="shared" si="6"/>
        <v>2</v>
      </c>
      <c r="T55" s="172">
        <f t="shared" si="7"/>
        <v>8</v>
      </c>
      <c r="U55" s="247">
        <f t="shared" si="8"/>
        <v>2.4967083793684903</v>
      </c>
      <c r="V55" s="378">
        <f t="shared" si="9"/>
        <v>27.981617605391996</v>
      </c>
      <c r="W55" s="397">
        <f t="shared" si="10"/>
        <v>26.92935248358404</v>
      </c>
      <c r="X55" s="153">
        <f t="shared" si="11"/>
        <v>46428</v>
      </c>
      <c r="Y55" s="380">
        <f t="shared" si="12"/>
        <v>26.32874420657167</v>
      </c>
      <c r="Z55" s="380">
        <f t="shared" si="22"/>
        <v>27.024746843190169</v>
      </c>
      <c r="AA55" s="381">
        <f t="shared" si="13"/>
        <v>28.669226034810915</v>
      </c>
      <c r="AB55" s="193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5.7360432040403725E-2</v>
      </c>
      <c r="AD55" s="227">
        <f>(INDEX(Models!$BJ55:$BT55,,AH55)*(1-AF55)+INDEX(Models!$BJ55:$BT55,,AH55+1)*AF55-ERP_i)*AE55*Ramure*Pc/MaxiM</f>
        <v>5.3317160530445126E-3</v>
      </c>
      <c r="AE55" s="301">
        <f t="shared" si="15"/>
        <v>0.5</v>
      </c>
      <c r="AF55" s="173">
        <f t="shared" si="23"/>
        <v>0.49670837936849033</v>
      </c>
      <c r="AG55" s="802">
        <f t="shared" si="24"/>
        <v>2</v>
      </c>
      <c r="AH55" s="172">
        <f t="shared" si="16"/>
        <v>8</v>
      </c>
      <c r="AI55" s="221">
        <f t="shared" si="17"/>
        <v>2.4967083793684903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46429</v>
      </c>
      <c r="B56" s="406">
        <f>'2026'!Wh/'2026'!Env_an*'2027'!Env_an</f>
        <v>14.084829752465938</v>
      </c>
      <c r="C56" s="832"/>
      <c r="D56" s="388">
        <f t="shared" si="0"/>
        <v>14.457361357699705</v>
      </c>
      <c r="E56" s="380">
        <f t="shared" si="1"/>
        <v>14.995673876120463</v>
      </c>
      <c r="F56" s="380">
        <f t="shared" si="2"/>
        <v>15.015496099675737</v>
      </c>
      <c r="G56" s="110">
        <f t="shared" si="21"/>
        <v>0.49466716236671676</v>
      </c>
      <c r="H56" s="409" t="b">
        <f>Wh_hp&gt;='2026'!Maxi_hp</f>
        <v>0</v>
      </c>
      <c r="I56" s="385">
        <f>IF(H56,Wh_hp,'2026'!Maxi_hp)</f>
        <v>15.066561571107581</v>
      </c>
      <c r="J56" s="85">
        <f>IF(H56,An,'2026'!An_max)</f>
        <v>2022</v>
      </c>
      <c r="K56" s="193">
        <f t="shared" si="3"/>
        <v>46429</v>
      </c>
      <c r="L56" s="143">
        <f>IF(t&lt;Tvie,1-EXP((T0-t)*PertePVj)+'2026'!Pspv,1-EXP((T0-t)*PertePVj)+Pspv)</f>
        <v>2.5767606966216161E-2</v>
      </c>
      <c r="M56" s="836"/>
      <c r="N56" s="836"/>
      <c r="O56" s="48">
        <f>IF(t&lt;Tnet,'2026'!Resal+('2026'!Salim-'2026'!Resal)*(1-EXP(('2026'!Tnet-t)/('2026'!Tau_j))),Resal+(Salim-Resal)*(1-EXP((Tnet-t)/(Tau_j))))*Salcycl</f>
        <v>3.5897854465745775E-2</v>
      </c>
      <c r="P56" s="165">
        <f>(INDEX(Models!$BJ56:$BT56,,T56)*(1-R56)+INDEX(Models!$BJ56:$BT56,,T56+1)*R56-ERP_i)*Q56*Ramure*Pc/MaxiM</f>
        <v>4.7062995139085561E-3</v>
      </c>
      <c r="Q56" s="301">
        <f t="shared" si="4"/>
        <v>0.5</v>
      </c>
      <c r="R56" s="173">
        <f t="shared" si="5"/>
        <v>0.49685778573435169</v>
      </c>
      <c r="S56" s="802">
        <f t="shared" si="6"/>
        <v>2</v>
      </c>
      <c r="T56" s="172">
        <f t="shared" si="7"/>
        <v>8</v>
      </c>
      <c r="U56" s="247">
        <f t="shared" si="8"/>
        <v>2.4968577857343517</v>
      </c>
      <c r="V56" s="378">
        <f t="shared" si="9"/>
        <v>28.376803601818683</v>
      </c>
      <c r="W56" s="397">
        <f t="shared" si="10"/>
        <v>14.084829752465938</v>
      </c>
      <c r="X56" s="153">
        <f t="shared" si="11"/>
        <v>46429</v>
      </c>
      <c r="Y56" s="380">
        <f t="shared" si="12"/>
        <v>13.770963303237631</v>
      </c>
      <c r="Z56" s="380">
        <f t="shared" si="22"/>
        <v>14.135193411455463</v>
      </c>
      <c r="AA56" s="381">
        <f t="shared" si="13"/>
        <v>14.995673876120463</v>
      </c>
      <c r="AB56" s="193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5.7381913728815778E-2</v>
      </c>
      <c r="AD56" s="227">
        <f>(INDEX(Models!$BJ56:$BT56,,AH56)*(1-AF56)+INDEX(Models!$BJ56:$BT56,,AH56+1)*AF56-ERP_i)*AE56*Ramure*Pc/MaxiM</f>
        <v>4.7062995139085561E-3</v>
      </c>
      <c r="AE56" s="301">
        <f t="shared" si="15"/>
        <v>0.5</v>
      </c>
      <c r="AF56" s="173">
        <f t="shared" si="23"/>
        <v>0.49685778573435169</v>
      </c>
      <c r="AG56" s="802">
        <f t="shared" si="24"/>
        <v>2</v>
      </c>
      <c r="AH56" s="172">
        <f t="shared" si="16"/>
        <v>8</v>
      </c>
      <c r="AI56" s="221">
        <f t="shared" si="17"/>
        <v>2.4968577857343517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46430</v>
      </c>
      <c r="B57" s="406">
        <f>'2026'!Wh/'2026'!Env_an*'2027'!Env_an</f>
        <v>22.533592099493116</v>
      </c>
      <c r="C57" s="832"/>
      <c r="D57" s="388">
        <f t="shared" si="0"/>
        <v>23.129902814561198</v>
      </c>
      <c r="E57" s="380">
        <f t="shared" si="1"/>
        <v>23.992148144035465</v>
      </c>
      <c r="F57" s="380">
        <f t="shared" si="2"/>
        <v>24.060272254655395</v>
      </c>
      <c r="G57" s="110">
        <f t="shared" si="21"/>
        <v>0.78211833932179908</v>
      </c>
      <c r="H57" s="409" t="b">
        <f>Wh_hp&gt;='2026'!Maxi_hp</f>
        <v>0</v>
      </c>
      <c r="I57" s="385">
        <f>IF(H57,Wh_hp,'2026'!Maxi_hp)</f>
        <v>24.090968807798074</v>
      </c>
      <c r="J57" s="85">
        <f>IF(H57,An,'2026'!An_max)</f>
        <v>2022</v>
      </c>
      <c r="K57" s="193">
        <f t="shared" si="3"/>
        <v>46430</v>
      </c>
      <c r="L57" s="143">
        <f>IF(t&lt;Tvie,1-EXP((T0-t)*PertePVj)+'2026'!Pspv,1-EXP((T0-t)*PertePVj)+Pspv)</f>
        <v>2.5780943389553723E-2</v>
      </c>
      <c r="M57" s="836"/>
      <c r="N57" s="836"/>
      <c r="O57" s="48">
        <f>IF(t&lt;Tnet,'2026'!Resal+('2026'!Salim-'2026'!Resal)*(1-EXP(('2026'!Tnet-t)/('2026'!Tau_j))),Resal+(Salim-Resal)*(1-EXP((Tnet-t)/(Tau_j))))*Salcycl</f>
        <v>3.5938646439569524E-2</v>
      </c>
      <c r="P57" s="165">
        <f>(INDEX(Models!$BJ57:$BT57,,T57)*(1-R57)+INDEX(Models!$BJ57:$BT57,,T57+1)*R57-ERP_i)*Q57*Ramure*Pc/MaxiM</f>
        <v>4.102479424364802E-3</v>
      </c>
      <c r="Q57" s="301">
        <f t="shared" si="4"/>
        <v>0.5</v>
      </c>
      <c r="R57" s="173">
        <f t="shared" si="5"/>
        <v>0.4970133645208743</v>
      </c>
      <c r="S57" s="802">
        <f t="shared" si="6"/>
        <v>2</v>
      </c>
      <c r="T57" s="172">
        <f t="shared" si="7"/>
        <v>8</v>
      </c>
      <c r="U57" s="247">
        <f t="shared" si="8"/>
        <v>2.4970133645208743</v>
      </c>
      <c r="V57" s="378">
        <f t="shared" si="9"/>
        <v>28.774250033883536</v>
      </c>
      <c r="W57" s="397">
        <f t="shared" si="10"/>
        <v>22.533592099493116</v>
      </c>
      <c r="X57" s="153">
        <f t="shared" si="11"/>
        <v>46430</v>
      </c>
      <c r="Y57" s="380">
        <f t="shared" si="12"/>
        <v>22.031883150814391</v>
      </c>
      <c r="Z57" s="380">
        <f t="shared" si="22"/>
        <v>22.614917046961562</v>
      </c>
      <c r="AA57" s="381">
        <f t="shared" si="13"/>
        <v>23.992148144035465</v>
      </c>
      <c r="AB57" s="193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5.7403409182278202E-2</v>
      </c>
      <c r="AD57" s="227">
        <f>(INDEX(Models!$BJ57:$BT57,,AH57)*(1-AF57)+INDEX(Models!$BJ57:$BT57,,AH57+1)*AF57-ERP_i)*AE57*Ramure*Pc/MaxiM</f>
        <v>4.102479424364802E-3</v>
      </c>
      <c r="AE57" s="301">
        <f t="shared" si="15"/>
        <v>0.5</v>
      </c>
      <c r="AF57" s="173">
        <f t="shared" si="23"/>
        <v>0.4970133645208743</v>
      </c>
      <c r="AG57" s="802">
        <f t="shared" si="24"/>
        <v>2</v>
      </c>
      <c r="AH57" s="172">
        <f t="shared" si="16"/>
        <v>8</v>
      </c>
      <c r="AI57" s="221">
        <f t="shared" si="17"/>
        <v>2.4970133645208743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46431</v>
      </c>
      <c r="B58" s="406">
        <f>'2026'!Wh/'2026'!Env_an*'2027'!Env_an</f>
        <v>24.837868215983082</v>
      </c>
      <c r="C58" s="832"/>
      <c r="D58" s="388">
        <f t="shared" si="0"/>
        <v>25.495506438371226</v>
      </c>
      <c r="E58" s="380">
        <f t="shared" si="1"/>
        <v>26.447056149896611</v>
      </c>
      <c r="F58" s="380">
        <f t="shared" si="2"/>
        <v>26.521013164708716</v>
      </c>
      <c r="G58" s="110">
        <f t="shared" si="21"/>
        <v>0.85075615973088969</v>
      </c>
      <c r="H58" s="409" t="b">
        <f>Wh_hp&gt;='2026'!Maxi_hp</f>
        <v>0</v>
      </c>
      <c r="I58" s="385">
        <f>IF(H58,Wh_hp,'2026'!Maxi_hp)</f>
        <v>26.541007451756311</v>
      </c>
      <c r="J58" s="85">
        <f>IF(H58,An,'2026'!An_max)</f>
        <v>2022</v>
      </c>
      <c r="K58" s="193">
        <f t="shared" si="3"/>
        <v>46431</v>
      </c>
      <c r="L58" s="143">
        <f>IF(t&lt;Tvie,1-EXP((T0-t)*PertePVj)+'2026'!Pspv,1-EXP((T0-t)*PertePVj)+Pspv)</f>
        <v>2.5794279630326766E-2</v>
      </c>
      <c r="M58" s="836"/>
      <c r="N58" s="836"/>
      <c r="O58" s="48">
        <f>IF(t&lt;Tnet,'2026'!Resal+('2026'!Salim-'2026'!Resal)*(1-EXP(('2026'!Tnet-t)/('2026'!Tau_j))),Resal+(Salim-Resal)*(1-EXP((Tnet-t)/(Tau_j))))*Salcycl</f>
        <v>3.5979418886253008E-2</v>
      </c>
      <c r="P58" s="165">
        <f>(INDEX(Models!$BJ58:$BT58,,T58)*(1-R58)+INDEX(Models!$BJ58:$BT58,,T58+1)*R58-ERP_i)*Q58*Ramure*Pc/MaxiM</f>
        <v>3.540154934552728E-3</v>
      </c>
      <c r="Q58" s="301">
        <f t="shared" si="4"/>
        <v>0.5</v>
      </c>
      <c r="R58" s="173">
        <f t="shared" si="5"/>
        <v>0.49717536659191364</v>
      </c>
      <c r="S58" s="802">
        <f t="shared" si="6"/>
        <v>2</v>
      </c>
      <c r="T58" s="172">
        <f t="shared" si="7"/>
        <v>8</v>
      </c>
      <c r="U58" s="247">
        <f t="shared" si="8"/>
        <v>2.4971753665919136</v>
      </c>
      <c r="V58" s="378">
        <f t="shared" si="9"/>
        <v>29.173047053381975</v>
      </c>
      <c r="W58" s="397">
        <f t="shared" si="10"/>
        <v>24.837868215983082</v>
      </c>
      <c r="X58" s="153">
        <f t="shared" si="11"/>
        <v>46431</v>
      </c>
      <c r="Y58" s="380">
        <f t="shared" si="12"/>
        <v>24.285327801126321</v>
      </c>
      <c r="Z58" s="380">
        <f t="shared" si="22"/>
        <v>24.928336277794575</v>
      </c>
      <c r="AA58" s="381">
        <f t="shared" si="13"/>
        <v>26.447056149896611</v>
      </c>
      <c r="AB58" s="193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5.7424912001329625E-2</v>
      </c>
      <c r="AD58" s="227">
        <f>(INDEX(Models!$BJ58:$BT58,,AH58)*(1-AF58)+INDEX(Models!$BJ58:$BT58,,AH58+1)*AF58-ERP_i)*AE58*Ramure*Pc/MaxiM</f>
        <v>3.540154934552728E-3</v>
      </c>
      <c r="AE58" s="301">
        <f t="shared" si="15"/>
        <v>0.5</v>
      </c>
      <c r="AF58" s="173">
        <f t="shared" si="23"/>
        <v>0.49717536659191364</v>
      </c>
      <c r="AG58" s="802">
        <f t="shared" si="24"/>
        <v>2</v>
      </c>
      <c r="AH58" s="172">
        <f t="shared" si="16"/>
        <v>8</v>
      </c>
      <c r="AI58" s="221">
        <f t="shared" si="17"/>
        <v>2.4971753665919136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46432</v>
      </c>
      <c r="B59" s="406">
        <f>'2026'!Wh/'2026'!Env_an*'2027'!Env_an</f>
        <v>15.953876185565672</v>
      </c>
      <c r="C59" s="832"/>
      <c r="D59" s="388">
        <f t="shared" si="0"/>
        <v>16.376514990764914</v>
      </c>
      <c r="E59" s="380">
        <f t="shared" si="1"/>
        <v>16.988441506212713</v>
      </c>
      <c r="F59" s="380">
        <f t="shared" si="2"/>
        <v>17.006103010716203</v>
      </c>
      <c r="G59" s="110">
        <f t="shared" si="21"/>
        <v>0.53840754737736918</v>
      </c>
      <c r="H59" s="409" t="b">
        <f>Wh_hp&gt;='2026'!Maxi_hp</f>
        <v>0</v>
      </c>
      <c r="I59" s="385">
        <f>IF(H59,Wh_hp,'2026'!Maxi_hp)</f>
        <v>17.04015432936102</v>
      </c>
      <c r="J59" s="85">
        <f>IF(H59,An,'2026'!An_max)</f>
        <v>2022</v>
      </c>
      <c r="K59" s="193">
        <f t="shared" si="3"/>
        <v>46432</v>
      </c>
      <c r="L59" s="143">
        <f>IF(t&lt;Tvie,1-EXP((T0-t)*PertePVj)+'2026'!Pspv,1-EXP((T0-t)*PertePVj)+Pspv)</f>
        <v>2.5807615688537955E-2</v>
      </c>
      <c r="M59" s="836"/>
      <c r="N59" s="836"/>
      <c r="O59" s="48">
        <f>IF(t&lt;Tnet,'2026'!Resal+('2026'!Salim-'2026'!Resal)*(1-EXP(('2026'!Tnet-t)/('2026'!Tau_j))),Resal+(Salim-Resal)*(1-EXP((Tnet-t)/(Tau_j))))*Salcycl</f>
        <v>3.6020167902041739E-2</v>
      </c>
      <c r="P59" s="165">
        <f>(INDEX(Models!$BJ59:$BT59,,T59)*(1-R59)+INDEX(Models!$BJ59:$BT59,,T59+1)*R59-ERP_i)*Q59*Ramure*Pc/MaxiM</f>
        <v>3.035573334353199E-3</v>
      </c>
      <c r="Q59" s="301">
        <f t="shared" si="4"/>
        <v>0.5</v>
      </c>
      <c r="R59" s="173">
        <f t="shared" si="5"/>
        <v>0.49734405265589521</v>
      </c>
      <c r="S59" s="802">
        <f t="shared" si="6"/>
        <v>2</v>
      </c>
      <c r="T59" s="172">
        <f t="shared" si="7"/>
        <v>8</v>
      </c>
      <c r="U59" s="247">
        <f t="shared" si="8"/>
        <v>2.4973440526558952</v>
      </c>
      <c r="V59" s="378">
        <f t="shared" si="9"/>
        <v>29.572361503826752</v>
      </c>
      <c r="W59" s="397">
        <f t="shared" si="10"/>
        <v>15.953876185565672</v>
      </c>
      <c r="X59" s="153">
        <f t="shared" si="11"/>
        <v>46432</v>
      </c>
      <c r="Y59" s="380">
        <f t="shared" si="12"/>
        <v>15.599271560263432</v>
      </c>
      <c r="Z59" s="380">
        <f t="shared" si="22"/>
        <v>16.012516430508391</v>
      </c>
      <c r="AA59" s="381">
        <f t="shared" si="13"/>
        <v>16.988441506212713</v>
      </c>
      <c r="AB59" s="193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5.7446415867366249E-2</v>
      </c>
      <c r="AD59" s="227">
        <f>(INDEX(Models!$BJ59:$BT59,,AH59)*(1-AF59)+INDEX(Models!$BJ59:$BT59,,AH59+1)*AF59-ERP_i)*AE59*Ramure*Pc/MaxiM</f>
        <v>3.035573334353199E-3</v>
      </c>
      <c r="AE59" s="301">
        <f t="shared" si="15"/>
        <v>0.5</v>
      </c>
      <c r="AF59" s="173">
        <f t="shared" si="23"/>
        <v>0.49734405265589521</v>
      </c>
      <c r="AG59" s="802">
        <f t="shared" si="24"/>
        <v>2</v>
      </c>
      <c r="AH59" s="172">
        <f t="shared" si="16"/>
        <v>8</v>
      </c>
      <c r="AI59" s="221">
        <f t="shared" si="17"/>
        <v>2.4973440526558952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46433</v>
      </c>
      <c r="B60" s="406">
        <f>'2026'!Wh/'2026'!Env_an*'2027'!Env_an</f>
        <v>20.544262219077915</v>
      </c>
      <c r="C60" s="832"/>
      <c r="D60" s="388">
        <f t="shared" si="0"/>
        <v>21.088794972612877</v>
      </c>
      <c r="E60" s="380">
        <f t="shared" si="1"/>
        <v>21.877725207740319</v>
      </c>
      <c r="F60" s="380">
        <f t="shared" si="2"/>
        <v>21.908930396772579</v>
      </c>
      <c r="G60" s="110">
        <f t="shared" si="21"/>
        <v>0.68465326400014082</v>
      </c>
      <c r="H60" s="409" t="b">
        <f>Wh_hp&gt;='2026'!Maxi_hp</f>
        <v>0</v>
      </c>
      <c r="I60" s="385">
        <f>IF(H60,Wh_hp,'2026'!Maxi_hp)</f>
        <v>21.934451021953191</v>
      </c>
      <c r="J60" s="85">
        <f>IF(H60,An,'2026'!An_max)</f>
        <v>2022</v>
      </c>
      <c r="K60" s="193">
        <f t="shared" si="3"/>
        <v>46433</v>
      </c>
      <c r="L60" s="143">
        <f>IF(t&lt;Tvie,1-EXP((T0-t)*PertePVj)+'2026'!Pspv,1-EXP((T0-t)*PertePVj)+Pspv)</f>
        <v>2.582095156418962E-2</v>
      </c>
      <c r="M60" s="836"/>
      <c r="N60" s="836"/>
      <c r="O60" s="48">
        <f>IF(t&lt;Tnet,'2026'!Resal+('2026'!Salim-'2026'!Resal)*(1-EXP(('2026'!Tnet-t)/('2026'!Tau_j))),Resal+(Salim-Resal)*(1-EXP((Tnet-t)/(Tau_j))))*Salcycl</f>
        <v>3.6060889678252175E-2</v>
      </c>
      <c r="P60" s="165">
        <f>(INDEX(Models!$BJ60:$BT60,,T60)*(1-R60)+INDEX(Models!$BJ60:$BT60,,T60+1)*R60-ERP_i)*Q60*Ramure*Pc/MaxiM</f>
        <v>2.5866304127863497E-3</v>
      </c>
      <c r="Q60" s="301">
        <f t="shared" si="4"/>
        <v>0.5</v>
      </c>
      <c r="R60" s="173">
        <f t="shared" si="5"/>
        <v>0.49751969362222548</v>
      </c>
      <c r="S60" s="802">
        <f t="shared" si="6"/>
        <v>2</v>
      </c>
      <c r="T60" s="172">
        <f t="shared" si="7"/>
        <v>8</v>
      </c>
      <c r="U60" s="247">
        <f t="shared" si="8"/>
        <v>2.4975196936222255</v>
      </c>
      <c r="V60" s="378">
        <f t="shared" si="9"/>
        <v>29.971885476165397</v>
      </c>
      <c r="W60" s="397">
        <f t="shared" si="10"/>
        <v>20.544262219077915</v>
      </c>
      <c r="X60" s="153">
        <f t="shared" si="11"/>
        <v>46433</v>
      </c>
      <c r="Y60" s="380">
        <f t="shared" si="12"/>
        <v>20.088018116847419</v>
      </c>
      <c r="Z60" s="380">
        <f t="shared" si="22"/>
        <v>20.620457963145199</v>
      </c>
      <c r="AA60" s="381">
        <f t="shared" si="13"/>
        <v>21.877725207740319</v>
      </c>
      <c r="AB60" s="193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5.746791463265568E-2</v>
      </c>
      <c r="AD60" s="227">
        <f>(INDEX(Models!$BJ60:$BT60,,AH60)*(1-AF60)+INDEX(Models!$BJ60:$BT60,,AH60+1)*AF60-ERP_i)*AE60*Ramure*Pc/MaxiM</f>
        <v>2.5866304127863497E-3</v>
      </c>
      <c r="AE60" s="301">
        <f t="shared" si="15"/>
        <v>0.5</v>
      </c>
      <c r="AF60" s="173">
        <f t="shared" si="23"/>
        <v>0.49751969362222548</v>
      </c>
      <c r="AG60" s="802">
        <f t="shared" si="24"/>
        <v>2</v>
      </c>
      <c r="AH60" s="172">
        <f t="shared" si="16"/>
        <v>8</v>
      </c>
      <c r="AI60" s="221">
        <f t="shared" si="17"/>
        <v>2.4975196936222255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46434</v>
      </c>
      <c r="B61" s="406">
        <f>'2026'!Wh/'2026'!Env_an*'2027'!Env_an</f>
        <v>9.7602370302641397</v>
      </c>
      <c r="C61" s="832"/>
      <c r="D61" s="388">
        <f t="shared" si="0"/>
        <v>10.019072630656106</v>
      </c>
      <c r="E61" s="380">
        <f t="shared" si="1"/>
        <v>10.394324161733373</v>
      </c>
      <c r="F61" s="380">
        <f t="shared" si="2"/>
        <v>10.395019353944447</v>
      </c>
      <c r="G61" s="110">
        <f t="shared" si="21"/>
        <v>0.32068094790908086</v>
      </c>
      <c r="H61" s="409" t="b">
        <f>Wh_hp&gt;='2026'!Maxi_hp</f>
        <v>0</v>
      </c>
      <c r="I61" s="385">
        <f>IF(H61,Wh_hp,'2026'!Maxi_hp)</f>
        <v>10.417141926380237</v>
      </c>
      <c r="J61" s="85">
        <f>IF(H61,An,'2026'!An_max)</f>
        <v>2022</v>
      </c>
      <c r="K61" s="193">
        <f t="shared" si="3"/>
        <v>46434</v>
      </c>
      <c r="L61" s="143">
        <f>IF(t&lt;Tvie,1-EXP((T0-t)*PertePVj)+'2026'!Pspv,1-EXP((T0-t)*PertePVj)+Pspv)</f>
        <v>2.5834287257284427E-2</v>
      </c>
      <c r="M61" s="836"/>
      <c r="N61" s="836"/>
      <c r="O61" s="48">
        <f>IF(t&lt;Tnet,'2026'!Resal+('2026'!Salim-'2026'!Resal)*(1-EXP(('2026'!Tnet-t)/('2026'!Tau_j))),Resal+(Salim-Resal)*(1-EXP((Tnet-t)/(Tau_j))))*Salcycl</f>
        <v>3.6101580558623683E-2</v>
      </c>
      <c r="P61" s="165">
        <f>(INDEX(Models!$BJ61:$BT61,,T61)*(1-R61)+INDEX(Models!$BJ61:$BT61,,T61+1)*R61-ERP_i)*Q61*Ramure*Pc/MaxiM</f>
        <v>2.1912961237824302E-3</v>
      </c>
      <c r="Q61" s="301">
        <f t="shared" si="4"/>
        <v>0.5</v>
      </c>
      <c r="R61" s="173">
        <f t="shared" si="5"/>
        <v>0.49770257096801362</v>
      </c>
      <c r="S61" s="802">
        <f t="shared" si="6"/>
        <v>2</v>
      </c>
      <c r="T61" s="172">
        <f t="shared" si="7"/>
        <v>8</v>
      </c>
      <c r="U61" s="247">
        <f t="shared" si="8"/>
        <v>2.4977025709680136</v>
      </c>
      <c r="V61" s="378">
        <f t="shared" si="9"/>
        <v>30.371311039867638</v>
      </c>
      <c r="W61" s="397">
        <f t="shared" si="10"/>
        <v>9.7602370302641397</v>
      </c>
      <c r="X61" s="153">
        <f t="shared" si="11"/>
        <v>46434</v>
      </c>
      <c r="Y61" s="380">
        <f t="shared" si="12"/>
        <v>9.5436683476837825</v>
      </c>
      <c r="Z61" s="380">
        <f t="shared" si="22"/>
        <v>9.7967606772096865</v>
      </c>
      <c r="AA61" s="381">
        <f t="shared" si="13"/>
        <v>10.394324161733373</v>
      </c>
      <c r="AB61" s="193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5.7489402410943795E-2</v>
      </c>
      <c r="AD61" s="227">
        <f>(INDEX(Models!$BJ61:$BT61,,AH61)*(1-AF61)+INDEX(Models!$BJ61:$BT61,,AH61+1)*AF61-ERP_i)*AE61*Ramure*Pc/MaxiM</f>
        <v>2.1912961237824302E-3</v>
      </c>
      <c r="AE61" s="301">
        <f t="shared" si="15"/>
        <v>0.5</v>
      </c>
      <c r="AF61" s="173">
        <f t="shared" si="23"/>
        <v>0.49770257096801362</v>
      </c>
      <c r="AG61" s="802">
        <f t="shared" si="24"/>
        <v>2</v>
      </c>
      <c r="AH61" s="172">
        <f t="shared" si="16"/>
        <v>8</v>
      </c>
      <c r="AI61" s="221">
        <f t="shared" si="17"/>
        <v>2.4977025709680136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46435</v>
      </c>
      <c r="B62" s="406">
        <f>'2026'!Wh/'2026'!Env_an*'2027'!Env_an</f>
        <v>11.732291997467012</v>
      </c>
      <c r="C62" s="832"/>
      <c r="D62" s="388">
        <f t="shared" si="0"/>
        <v>12.043590173029768</v>
      </c>
      <c r="E62" s="380">
        <f t="shared" si="1"/>
        <v>12.495194453538957</v>
      </c>
      <c r="F62" s="380">
        <f t="shared" si="2"/>
        <v>12.497875874099739</v>
      </c>
      <c r="G62" s="110">
        <f t="shared" si="21"/>
        <v>0.38066306684317797</v>
      </c>
      <c r="H62" s="409" t="b">
        <f>Wh_hp&gt;='2026'!Maxi_hp</f>
        <v>0</v>
      </c>
      <c r="I62" s="385">
        <f>IF(H62,Wh_hp,'2026'!Maxi_hp)</f>
        <v>12.518314703244648</v>
      </c>
      <c r="J62" s="85">
        <f>IF(H62,An,'2026'!An_max)</f>
        <v>2022</v>
      </c>
      <c r="K62" s="193">
        <f t="shared" si="3"/>
        <v>46435</v>
      </c>
      <c r="L62" s="143">
        <f>IF(t&lt;Tvie,1-EXP((T0-t)*PertePVj)+'2026'!Pspv,1-EXP((T0-t)*PertePVj)+Pspv)</f>
        <v>2.5847622767824818E-2</v>
      </c>
      <c r="M62" s="836"/>
      <c r="N62" s="836"/>
      <c r="O62" s="48">
        <f>IF(t&lt;Tnet,'2026'!Resal+('2026'!Salim-'2026'!Resal)*(1-EXP(('2026'!Tnet-t)/('2026'!Tau_j))),Resal+(Salim-Resal)*(1-EXP((Tnet-t)/(Tau_j))))*Salcycl</f>
        <v>3.6142237096701037E-2</v>
      </c>
      <c r="P62" s="165">
        <f>(INDEX(Models!$BJ62:$BT62,,T62)*(1-R62)+INDEX(Models!$BJ62:$BT62,,T62+1)*R62-ERP_i)*Q62*Ramure*Pc/MaxiM</f>
        <v>1.8476160836873982E-3</v>
      </c>
      <c r="Q62" s="301">
        <f t="shared" si="4"/>
        <v>0.5</v>
      </c>
      <c r="R62" s="173">
        <f t="shared" si="5"/>
        <v>0.49789297711516989</v>
      </c>
      <c r="S62" s="802">
        <f t="shared" si="6"/>
        <v>2</v>
      </c>
      <c r="T62" s="172">
        <f t="shared" si="7"/>
        <v>8</v>
      </c>
      <c r="U62" s="247">
        <f t="shared" si="8"/>
        <v>2.4978929771151699</v>
      </c>
      <c r="V62" s="378">
        <f t="shared" si="9"/>
        <v>30.770330245309982</v>
      </c>
      <c r="W62" s="397">
        <f t="shared" si="10"/>
        <v>11.732291997467012</v>
      </c>
      <c r="X62" s="153">
        <f t="shared" si="11"/>
        <v>46435</v>
      </c>
      <c r="Y62" s="380">
        <f t="shared" si="12"/>
        <v>11.472188179779629</v>
      </c>
      <c r="Z62" s="380">
        <f t="shared" si="22"/>
        <v>11.776584903868072</v>
      </c>
      <c r="AA62" s="381">
        <f t="shared" si="13"/>
        <v>12.495194453538957</v>
      </c>
      <c r="AB62" s="193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5.7510873667704791E-2</v>
      </c>
      <c r="AD62" s="227">
        <f>(INDEX(Models!$BJ62:$BT62,,AH62)*(1-AF62)+INDEX(Models!$BJ62:$BT62,,AH62+1)*AF62-ERP_i)*AE62*Ramure*Pc/MaxiM</f>
        <v>1.8476160836873982E-3</v>
      </c>
      <c r="AE62" s="301">
        <f t="shared" si="15"/>
        <v>0.5</v>
      </c>
      <c r="AF62" s="173">
        <f t="shared" si="23"/>
        <v>0.49789297711516989</v>
      </c>
      <c r="AG62" s="802">
        <f t="shared" si="24"/>
        <v>2</v>
      </c>
      <c r="AH62" s="172">
        <f t="shared" si="16"/>
        <v>8</v>
      </c>
      <c r="AI62" s="221">
        <f t="shared" si="17"/>
        <v>2.4978929771151699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46436</v>
      </c>
      <c r="B63" s="406">
        <f>'2026'!Wh/'2026'!Env_an*'2027'!Env_an</f>
        <v>27.499015222335128</v>
      </c>
      <c r="C63" s="832"/>
      <c r="D63" s="388">
        <f t="shared" si="0"/>
        <v>28.229045382045005</v>
      </c>
      <c r="E63" s="380">
        <f t="shared" si="1"/>
        <v>29.288797736248569</v>
      </c>
      <c r="F63" s="380">
        <f t="shared" si="2"/>
        <v>29.326699285429569</v>
      </c>
      <c r="G63" s="110">
        <f t="shared" si="21"/>
        <v>0.88203476713794415</v>
      </c>
      <c r="H63" s="409" t="b">
        <f>Wh_hp&gt;='2026'!Maxi_hp</f>
        <v>0</v>
      </c>
      <c r="I63" s="385">
        <f>IF(H63,Wh_hp,'2026'!Maxi_hp)</f>
        <v>29.334371482242279</v>
      </c>
      <c r="J63" s="85">
        <f>IF(H63,An,'2026'!An_max)</f>
        <v>2022</v>
      </c>
      <c r="K63" s="193">
        <f t="shared" si="3"/>
        <v>46436</v>
      </c>
      <c r="L63" s="143">
        <f>IF(t&lt;Tvie,1-EXP((T0-t)*PertePVj)+'2026'!Pspv,1-EXP((T0-t)*PertePVj)+Pspv)</f>
        <v>2.5860958095813236E-2</v>
      </c>
      <c r="M63" s="836"/>
      <c r="N63" s="836"/>
      <c r="O63" s="48">
        <f>IF(t&lt;Tnet,'2026'!Resal+('2026'!Salim-'2026'!Resal)*(1-EXP(('2026'!Tnet-t)/('2026'!Tau_j))),Resal+(Salim-Resal)*(1-EXP((Tnet-t)/(Tau_j))))*Salcycl</f>
        <v>3.6182856112662677E-2</v>
      </c>
      <c r="P63" s="165">
        <f>(INDEX(Models!$BJ63:$BT63,,T63)*(1-R63)+INDEX(Models!$BJ63:$BT63,,T63+1)*R63-ERP_i)*Q63*Ramure*Pc/MaxiM</f>
        <v>1.5537125264102696E-3</v>
      </c>
      <c r="Q63" s="301">
        <f t="shared" si="4"/>
        <v>0.5</v>
      </c>
      <c r="R63" s="173">
        <f t="shared" si="5"/>
        <v>0.49809121581791826</v>
      </c>
      <c r="S63" s="802">
        <f t="shared" si="6"/>
        <v>2</v>
      </c>
      <c r="T63" s="172">
        <f t="shared" si="7"/>
        <v>8</v>
      </c>
      <c r="U63" s="247">
        <f t="shared" si="8"/>
        <v>2.4980912158179183</v>
      </c>
      <c r="V63" s="378">
        <f t="shared" si="9"/>
        <v>31.168635126962194</v>
      </c>
      <c r="W63" s="397">
        <f t="shared" si="10"/>
        <v>27.499015222335128</v>
      </c>
      <c r="X63" s="153">
        <f t="shared" si="11"/>
        <v>46436</v>
      </c>
      <c r="Y63" s="380">
        <f t="shared" si="12"/>
        <v>26.889885858796394</v>
      </c>
      <c r="Z63" s="380">
        <f t="shared" si="22"/>
        <v>27.603745155551621</v>
      </c>
      <c r="AA63" s="381">
        <f t="shared" si="13"/>
        <v>29.288797736248569</v>
      </c>
      <c r="AB63" s="193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5.7532323309108874E-2</v>
      </c>
      <c r="AD63" s="227">
        <f>(INDEX(Models!$BJ63:$BT63,,AH63)*(1-AF63)+INDEX(Models!$BJ63:$BT63,,AH63+1)*AF63-ERP_i)*AE63*Ramure*Pc/MaxiM</f>
        <v>1.5537125264102696E-3</v>
      </c>
      <c r="AE63" s="301">
        <f t="shared" si="15"/>
        <v>0.5</v>
      </c>
      <c r="AF63" s="173">
        <f t="shared" si="23"/>
        <v>0.49809121581791826</v>
      </c>
      <c r="AG63" s="802">
        <f t="shared" si="24"/>
        <v>2</v>
      </c>
      <c r="AH63" s="172">
        <f t="shared" si="16"/>
        <v>8</v>
      </c>
      <c r="AI63" s="221">
        <f t="shared" si="17"/>
        <v>2.4980912158179183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46437</v>
      </c>
      <c r="B64" s="406">
        <f>'2026'!Wh/'2026'!Env_an*'2027'!Env_an</f>
        <v>16.603275880726784</v>
      </c>
      <c r="C64" s="832"/>
      <c r="D64" s="388">
        <f t="shared" si="0"/>
        <v>17.044284701172302</v>
      </c>
      <c r="E64" s="380">
        <f t="shared" si="1"/>
        <v>17.684892241319304</v>
      </c>
      <c r="F64" s="380">
        <f t="shared" si="2"/>
        <v>17.692362030505318</v>
      </c>
      <c r="G64" s="110">
        <f t="shared" si="21"/>
        <v>0.52552142737608953</v>
      </c>
      <c r="H64" s="409" t="b">
        <f>Wh_hp&gt;='2026'!Maxi_hp</f>
        <v>0</v>
      </c>
      <c r="I64" s="385">
        <f>IF(H64,Wh_hp,'2026'!Maxi_hp)</f>
        <v>17.708043029969524</v>
      </c>
      <c r="J64" s="85">
        <f>IF(H64,An,'2026'!An_max)</f>
        <v>2022</v>
      </c>
      <c r="K64" s="193">
        <f t="shared" si="3"/>
        <v>46437</v>
      </c>
      <c r="L64" s="143">
        <f>IF(t&lt;Tvie,1-EXP((T0-t)*PertePVj)+'2026'!Pspv,1-EXP((T0-t)*PertePVj)+Pspv)</f>
        <v>2.5874293241252122E-2</v>
      </c>
      <c r="M64" s="836"/>
      <c r="N64" s="836"/>
      <c r="O64" s="48">
        <f>IF(t&lt;Tnet,'2026'!Resal+('2026'!Salim-'2026'!Resal)*(1-EXP(('2026'!Tnet-t)/('2026'!Tau_j))),Resal+(Salim-Resal)*(1-EXP((Tnet-t)/(Tau_j))))*Salcycl</f>
        <v>3.6223434749026839E-2</v>
      </c>
      <c r="P64" s="165">
        <f>(INDEX(Models!$BJ64:$BT64,,T64)*(1-R64)+INDEX(Models!$BJ64:$BT64,,T64+1)*R64-ERP_i)*Q64*Ramure*Pc/MaxiM</f>
        <v>1.3077848064637035E-3</v>
      </c>
      <c r="Q64" s="301">
        <f t="shared" si="4"/>
        <v>0.5</v>
      </c>
      <c r="R64" s="173">
        <f t="shared" si="5"/>
        <v>0.49829760256072708</v>
      </c>
      <c r="S64" s="802">
        <f t="shared" si="6"/>
        <v>2</v>
      </c>
      <c r="T64" s="172">
        <f t="shared" si="7"/>
        <v>8</v>
      </c>
      <c r="U64" s="247">
        <f t="shared" si="8"/>
        <v>2.4982976025607271</v>
      </c>
      <c r="V64" s="378">
        <f t="shared" si="9"/>
        <v>31.565917708746781</v>
      </c>
      <c r="W64" s="397">
        <f t="shared" si="10"/>
        <v>16.603275880726784</v>
      </c>
      <c r="X64" s="153">
        <f t="shared" si="11"/>
        <v>46437</v>
      </c>
      <c r="Y64" s="380">
        <f t="shared" si="12"/>
        <v>16.235812022551009</v>
      </c>
      <c r="Z64" s="380">
        <f t="shared" si="22"/>
        <v>16.667060431628638</v>
      </c>
      <c r="AA64" s="381">
        <f t="shared" si="13"/>
        <v>17.684892241319304</v>
      </c>
      <c r="AB64" s="193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5.7553746768814584E-2</v>
      </c>
      <c r="AD64" s="227">
        <f>(INDEX(Models!$BJ64:$BT64,,AH64)*(1-AF64)+INDEX(Models!$BJ64:$BT64,,AH64+1)*AF64-ERP_i)*AE64*Ramure*Pc/MaxiM</f>
        <v>1.3077848064637035E-3</v>
      </c>
      <c r="AE64" s="301">
        <f t="shared" si="15"/>
        <v>0.5</v>
      </c>
      <c r="AF64" s="173">
        <f t="shared" si="23"/>
        <v>0.49829760256072708</v>
      </c>
      <c r="AG64" s="802">
        <f t="shared" si="24"/>
        <v>2</v>
      </c>
      <c r="AH64" s="172">
        <f t="shared" si="16"/>
        <v>8</v>
      </c>
      <c r="AI64" s="221">
        <f t="shared" si="17"/>
        <v>2.4982976025607271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46438</v>
      </c>
      <c r="B65" s="406">
        <f>'2026'!Wh/'2026'!Env_an*'2027'!Env_an</f>
        <v>20.910903460388678</v>
      </c>
      <c r="C65" s="832"/>
      <c r="D65" s="388">
        <f t="shared" si="0"/>
        <v>21.466623426451012</v>
      </c>
      <c r="E65" s="380">
        <f t="shared" si="1"/>
        <v>22.274380919574199</v>
      </c>
      <c r="F65" s="380">
        <f t="shared" si="2"/>
        <v>22.286878485798173</v>
      </c>
      <c r="G65" s="110">
        <f t="shared" si="21"/>
        <v>0.65388036957847295</v>
      </c>
      <c r="H65" s="409" t="b">
        <f>Wh_hp&gt;='2026'!Maxi_hp</f>
        <v>0</v>
      </c>
      <c r="I65" s="385">
        <f>IF(H65,Wh_hp,'2026'!Maxi_hp)</f>
        <v>22.299083982726547</v>
      </c>
      <c r="J65" s="85">
        <f>IF(H65,An,'2026'!An_max)</f>
        <v>2022</v>
      </c>
      <c r="K65" s="193">
        <f t="shared" si="3"/>
        <v>46438</v>
      </c>
      <c r="L65" s="143">
        <f>IF(t&lt;Tvie,1-EXP((T0-t)*PertePVj)+'2026'!Pspv,1-EXP((T0-t)*PertePVj)+Pspv)</f>
        <v>2.5887628204144142E-2</v>
      </c>
      <c r="M65" s="836"/>
      <c r="N65" s="836"/>
      <c r="O65" s="48">
        <f>IF(t&lt;Tnet,'2026'!Resal+('2026'!Salim-'2026'!Resal)*(1-EXP(('2026'!Tnet-t)/('2026'!Tau_j))),Resal+(Salim-Resal)*(1-EXP((Tnet-t)/(Tau_j))))*Salcycl</f>
        <v>3.6263970524691276E-2</v>
      </c>
      <c r="P65" s="165">
        <f>(INDEX(Models!$BJ65:$BT65,,T65)*(1-R65)+INDEX(Models!$BJ65:$BT65,,T65+1)*R65-ERP_i)*Q65*Ramure*Pc/MaxiM</f>
        <v>1.1080982880057708E-3</v>
      </c>
      <c r="Q65" s="301">
        <f t="shared" si="4"/>
        <v>0.5</v>
      </c>
      <c r="R65" s="173">
        <f t="shared" si="5"/>
        <v>0.49851246496663748</v>
      </c>
      <c r="S65" s="802">
        <f t="shared" si="6"/>
        <v>2</v>
      </c>
      <c r="T65" s="172">
        <f t="shared" si="7"/>
        <v>8</v>
      </c>
      <c r="U65" s="247">
        <f t="shared" si="8"/>
        <v>2.4985124649666375</v>
      </c>
      <c r="V65" s="378">
        <f t="shared" si="9"/>
        <v>31.962194692865253</v>
      </c>
      <c r="W65" s="397">
        <f t="shared" si="10"/>
        <v>20.910903460388678</v>
      </c>
      <c r="X65" s="153">
        <f t="shared" si="11"/>
        <v>46438</v>
      </c>
      <c r="Y65" s="380">
        <f t="shared" si="12"/>
        <v>20.44849903032183</v>
      </c>
      <c r="Z65" s="380">
        <f t="shared" si="22"/>
        <v>20.991930317673052</v>
      </c>
      <c r="AA65" s="381">
        <f t="shared" si="13"/>
        <v>22.274380919574199</v>
      </c>
      <c r="AB65" s="193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5.7575140091734693E-2</v>
      </c>
      <c r="AD65" s="227">
        <f>(INDEX(Models!$BJ65:$BT65,,AH65)*(1-AF65)+INDEX(Models!$BJ65:$BT65,,AH65+1)*AF65-ERP_i)*AE65*Ramure*Pc/MaxiM</f>
        <v>1.1080982880057708E-3</v>
      </c>
      <c r="AE65" s="301">
        <f t="shared" si="15"/>
        <v>0.5</v>
      </c>
      <c r="AF65" s="173">
        <f t="shared" si="23"/>
        <v>0.49851246496663748</v>
      </c>
      <c r="AG65" s="802">
        <f t="shared" si="24"/>
        <v>2</v>
      </c>
      <c r="AH65" s="172">
        <f t="shared" si="16"/>
        <v>8</v>
      </c>
      <c r="AI65" s="221">
        <f t="shared" si="17"/>
        <v>2.4985124649666375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46439</v>
      </c>
      <c r="B66" s="406">
        <f>'2026'!Wh/'2026'!Env_an*'2027'!Env_an</f>
        <v>18.440554282915116</v>
      </c>
      <c r="C66" s="832"/>
      <c r="D66" s="388">
        <f t="shared" si="0"/>
        <v>18.930882366349707</v>
      </c>
      <c r="E66" s="380">
        <f t="shared" si="1"/>
        <v>19.644048984175924</v>
      </c>
      <c r="F66" s="380">
        <f t="shared" si="2"/>
        <v>19.651277762650977</v>
      </c>
      <c r="G66" s="110">
        <f t="shared" si="21"/>
        <v>0.56956115952740372</v>
      </c>
      <c r="H66" s="409" t="b">
        <f>Wh_hp&gt;='2026'!Maxi_hp</f>
        <v>0</v>
      </c>
      <c r="I66" s="385">
        <f>IF(H66,Wh_hp,'2026'!Maxi_hp)</f>
        <v>19.662801372105708</v>
      </c>
      <c r="J66" s="85">
        <f>IF(H66,An,'2026'!An_max)</f>
        <v>2022</v>
      </c>
      <c r="K66" s="193">
        <f t="shared" si="3"/>
        <v>46439</v>
      </c>
      <c r="L66" s="143">
        <f>IF(t&lt;Tvie,1-EXP((T0-t)*PertePVj)+'2026'!Pspv,1-EXP((T0-t)*PertePVj)+Pspv)</f>
        <v>2.5900962984491738E-2</v>
      </c>
      <c r="M66" s="836"/>
      <c r="N66" s="836"/>
      <c r="O66" s="48">
        <f>IF(t&lt;Tnet,'2026'!Resal+('2026'!Salim-'2026'!Resal)*(1-EXP(('2026'!Tnet-t)/('2026'!Tau_j))),Resal+(Salim-Resal)*(1-EXP((Tnet-t)/(Tau_j))))*Salcycl</f>
        <v>3.6304461386789694E-2</v>
      </c>
      <c r="P66" s="165">
        <f>(INDEX(Models!$BJ66:$BT66,,T66)*(1-R66)+INDEX(Models!$BJ66:$BT66,,T66+1)*R66-ERP_i)*Q66*Ramure*Pc/MaxiM</f>
        <v>9.5406231698452737E-4</v>
      </c>
      <c r="Q66" s="301">
        <f t="shared" si="4"/>
        <v>0.5</v>
      </c>
      <c r="R66" s="173">
        <f t="shared" si="5"/>
        <v>0.49873614321592408</v>
      </c>
      <c r="S66" s="802">
        <f t="shared" si="6"/>
        <v>2</v>
      </c>
      <c r="T66" s="172">
        <f t="shared" si="7"/>
        <v>8</v>
      </c>
      <c r="U66" s="247">
        <f t="shared" si="8"/>
        <v>2.4987361432159241</v>
      </c>
      <c r="V66" s="378">
        <f t="shared" si="9"/>
        <v>32.357789798543955</v>
      </c>
      <c r="W66" s="397">
        <f t="shared" si="10"/>
        <v>18.440554282915116</v>
      </c>
      <c r="X66" s="153">
        <f t="shared" si="11"/>
        <v>46439</v>
      </c>
      <c r="Y66" s="380">
        <f t="shared" si="12"/>
        <v>18.033125817838336</v>
      </c>
      <c r="Z66" s="380">
        <f t="shared" si="22"/>
        <v>18.512620516584327</v>
      </c>
      <c r="AA66" s="381">
        <f t="shared" si="13"/>
        <v>19.644048984175924</v>
      </c>
      <c r="AB66" s="193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5.7596500013974192E-2</v>
      </c>
      <c r="AD66" s="227">
        <f>(INDEX(Models!$BJ66:$BT66,,AH66)*(1-AF66)+INDEX(Models!$BJ66:$BT66,,AH66+1)*AF66-ERP_i)*AE66*Ramure*Pc/MaxiM</f>
        <v>9.5406231698452737E-4</v>
      </c>
      <c r="AE66" s="301">
        <f t="shared" si="15"/>
        <v>0.5</v>
      </c>
      <c r="AF66" s="173">
        <f t="shared" si="23"/>
        <v>0.49873614321592408</v>
      </c>
      <c r="AG66" s="802">
        <f t="shared" si="24"/>
        <v>2</v>
      </c>
      <c r="AH66" s="172">
        <f t="shared" si="16"/>
        <v>8</v>
      </c>
      <c r="AI66" s="221">
        <f t="shared" si="17"/>
        <v>2.4987361432159241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46440</v>
      </c>
      <c r="B67" s="406">
        <f>'2026'!Wh/'2026'!Env_an*'2027'!Env_an</f>
        <v>30.138254758146307</v>
      </c>
      <c r="C67" s="832"/>
      <c r="D67" s="388">
        <f t="shared" si="0"/>
        <v>30.940044272636872</v>
      </c>
      <c r="E67" s="380">
        <f t="shared" si="1"/>
        <v>32.106969036504047</v>
      </c>
      <c r="F67" s="380">
        <f t="shared" si="2"/>
        <v>32.13039821087019</v>
      </c>
      <c r="G67" s="110">
        <f t="shared" si="21"/>
        <v>0.92006458146405368</v>
      </c>
      <c r="H67" s="409" t="b">
        <f>Wh_hp&gt;='2026'!Maxi_hp</f>
        <v>0</v>
      </c>
      <c r="I67" s="385">
        <f>IF(H67,Wh_hp,'2026'!Maxi_hp)</f>
        <v>32.133415210523701</v>
      </c>
      <c r="J67" s="85">
        <f>IF(H67,An,'2026'!An_max)</f>
        <v>2022</v>
      </c>
      <c r="K67" s="193">
        <f t="shared" si="3"/>
        <v>46440</v>
      </c>
      <c r="L67" s="143">
        <f>IF(t&lt;Tvie,1-EXP((T0-t)*PertePVj)+'2026'!Pspv,1-EXP((T0-t)*PertePVj)+Pspv)</f>
        <v>2.5914297582297352E-2</v>
      </c>
      <c r="M67" s="836"/>
      <c r="N67" s="836"/>
      <c r="O67" s="48">
        <f>IF(t&lt;Tnet,'2026'!Resal+('2026'!Salim-'2026'!Resal)*(1-EXP(('2026'!Tnet-t)/('2026'!Tau_j))),Resal+(Salim-Resal)*(1-EXP((Tnet-t)/(Tau_j))))*Salcycl</f>
        <v>3.6344905759881606E-2</v>
      </c>
      <c r="P67" s="165">
        <f>(INDEX(Models!$BJ67:$BT67,,T67)*(1-R67)+INDEX(Models!$BJ67:$BT67,,T67+1)*R67-ERP_i)*Q67*Ramure*Pc/MaxiM</f>
        <v>8.2307885133149443E-4</v>
      </c>
      <c r="Q67" s="301">
        <f t="shared" si="4"/>
        <v>0.5</v>
      </c>
      <c r="R67" s="173">
        <f t="shared" si="5"/>
        <v>0.49896899047499366</v>
      </c>
      <c r="S67" s="802">
        <f t="shared" si="6"/>
        <v>2</v>
      </c>
      <c r="T67" s="172">
        <f t="shared" si="7"/>
        <v>8</v>
      </c>
      <c r="U67" s="247">
        <f t="shared" si="8"/>
        <v>2.4989689904749937</v>
      </c>
      <c r="V67" s="378">
        <f t="shared" si="9"/>
        <v>32.753595413858434</v>
      </c>
      <c r="W67" s="397">
        <f t="shared" si="10"/>
        <v>30.138254758146307</v>
      </c>
      <c r="X67" s="153">
        <f t="shared" si="11"/>
        <v>46440</v>
      </c>
      <c r="Y67" s="380">
        <f t="shared" si="12"/>
        <v>29.472945526292335</v>
      </c>
      <c r="Z67" s="380">
        <f t="shared" si="22"/>
        <v>30.257035344158957</v>
      </c>
      <c r="AA67" s="381">
        <f t="shared" si="13"/>
        <v>32.106969036504047</v>
      </c>
      <c r="AB67" s="193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5.7617824038195757E-2</v>
      </c>
      <c r="AD67" s="227">
        <f>(INDEX(Models!$BJ67:$BT67,,AH67)*(1-AF67)+INDEX(Models!$BJ67:$BT67,,AH67+1)*AF67-ERP_i)*AE67*Ramure*Pc/MaxiM</f>
        <v>8.2307885133149443E-4</v>
      </c>
      <c r="AE67" s="301">
        <f t="shared" si="15"/>
        <v>0.5</v>
      </c>
      <c r="AF67" s="173">
        <f t="shared" si="23"/>
        <v>0.49896899047499366</v>
      </c>
      <c r="AG67" s="802">
        <f t="shared" si="24"/>
        <v>2</v>
      </c>
      <c r="AH67" s="172">
        <f t="shared" si="16"/>
        <v>8</v>
      </c>
      <c r="AI67" s="221">
        <f t="shared" si="17"/>
        <v>2.4989689904749937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46441</v>
      </c>
      <c r="B68" s="406">
        <f>'2026'!Wh/'2026'!Env_an*'2027'!Env_an</f>
        <v>31.697354099415666</v>
      </c>
      <c r="C68" s="832"/>
      <c r="D68" s="388">
        <f t="shared" si="0"/>
        <v>32.541066906988149</v>
      </c>
      <c r="E68" s="380">
        <f t="shared" si="1"/>
        <v>33.76979096989745</v>
      </c>
      <c r="F68" s="380">
        <f t="shared" si="2"/>
        <v>33.792419518929741</v>
      </c>
      <c r="G68" s="110">
        <f t="shared" si="21"/>
        <v>0.95614213053803232</v>
      </c>
      <c r="H68" s="409" t="b">
        <f>Wh_hp&gt;='2026'!Maxi_hp</f>
        <v>0</v>
      </c>
      <c r="I68" s="385">
        <f>IF(H68,Wh_hp,'2026'!Maxi_hp)</f>
        <v>33.793930327105848</v>
      </c>
      <c r="J68" s="85">
        <f>IF(H68,An,'2026'!An_max)</f>
        <v>2022</v>
      </c>
      <c r="K68" s="193">
        <f t="shared" si="3"/>
        <v>46441</v>
      </c>
      <c r="L68" s="143">
        <f>IF(t&lt;Tvie,1-EXP((T0-t)*PertePVj)+'2026'!Pspv,1-EXP((T0-t)*PertePVj)+Pspv)</f>
        <v>2.5927631997563538E-2</v>
      </c>
      <c r="M68" s="836"/>
      <c r="N68" s="836"/>
      <c r="O68" s="48">
        <f>IF(t&lt;Tnet,'2026'!Resal+('2026'!Salim-'2026'!Resal)*(1-EXP(('2026'!Tnet-t)/('2026'!Tau_j))),Resal+(Salim-Resal)*(1-EXP((Tnet-t)/(Tau_j))))*Salcycl</f>
        <v>3.6385302592029434E-2</v>
      </c>
      <c r="P68" s="165">
        <f>(INDEX(Models!$BJ68:$BT68,,T68)*(1-R68)+INDEX(Models!$BJ68:$BT68,,T68+1)*R68-ERP_i)*Q68*Ramure*Pc/MaxiM</f>
        <v>7.1434698864735889E-4</v>
      </c>
      <c r="Q68" s="301">
        <f t="shared" si="4"/>
        <v>0.5</v>
      </c>
      <c r="R68" s="173">
        <f t="shared" si="5"/>
        <v>0.49921137333537136</v>
      </c>
      <c r="S68" s="802">
        <f t="shared" si="6"/>
        <v>2</v>
      </c>
      <c r="T68" s="172">
        <f t="shared" si="7"/>
        <v>8</v>
      </c>
      <c r="U68" s="247">
        <f t="shared" si="8"/>
        <v>2.4992113733353714</v>
      </c>
      <c r="V68" s="378">
        <f t="shared" si="9"/>
        <v>33.149816172911329</v>
      </c>
      <c r="W68" s="397">
        <f t="shared" si="10"/>
        <v>31.697354099415666</v>
      </c>
      <c r="X68" s="153">
        <f t="shared" si="11"/>
        <v>46441</v>
      </c>
      <c r="Y68" s="380">
        <f t="shared" si="12"/>
        <v>30.998226660668262</v>
      </c>
      <c r="Z68" s="380">
        <f t="shared" si="22"/>
        <v>31.823330256495609</v>
      </c>
      <c r="AA68" s="381">
        <f t="shared" si="13"/>
        <v>33.76979096989745</v>
      </c>
      <c r="AB68" s="193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5.7639110503731682E-2</v>
      </c>
      <c r="AD68" s="227">
        <f>(INDEX(Models!$BJ68:$BT68,,AH68)*(1-AF68)+INDEX(Models!$BJ68:$BT68,,AH68+1)*AF68-ERP_i)*AE68*Ramure*Pc/MaxiM</f>
        <v>7.1434698864735889E-4</v>
      </c>
      <c r="AE68" s="301">
        <f t="shared" si="15"/>
        <v>0.5</v>
      </c>
      <c r="AF68" s="173">
        <f t="shared" si="23"/>
        <v>0.49921137333537136</v>
      </c>
      <c r="AG68" s="802">
        <f t="shared" si="24"/>
        <v>2</v>
      </c>
      <c r="AH68" s="172">
        <f t="shared" si="16"/>
        <v>8</v>
      </c>
      <c r="AI68" s="221">
        <f t="shared" si="17"/>
        <v>2.4992113733353714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46442</v>
      </c>
      <c r="B69" s="406">
        <f>'2026'!Wh/'2026'!Env_an*'2027'!Env_an</f>
        <v>22.571945015251352</v>
      </c>
      <c r="C69" s="832"/>
      <c r="D69" s="388">
        <f t="shared" si="0"/>
        <v>23.173077023777129</v>
      </c>
      <c r="E69" s="380">
        <f t="shared" si="1"/>
        <v>24.049080444474569</v>
      </c>
      <c r="F69" s="380">
        <f t="shared" si="2"/>
        <v>24.057116154115068</v>
      </c>
      <c r="G69" s="110">
        <f t="shared" si="21"/>
        <v>0.67265503545733896</v>
      </c>
      <c r="H69" s="409" t="b">
        <f>Wh_hp&gt;='2026'!Maxi_hp</f>
        <v>0</v>
      </c>
      <c r="I69" s="385">
        <f>IF(H69,Wh_hp,'2026'!Maxi_hp)</f>
        <v>24.064164791213923</v>
      </c>
      <c r="J69" s="85">
        <f>IF(H69,An,'2026'!An_max)</f>
        <v>2022</v>
      </c>
      <c r="K69" s="193">
        <f t="shared" si="3"/>
        <v>46442</v>
      </c>
      <c r="L69" s="143">
        <f>IF(t&lt;Tvie,1-EXP((T0-t)*PertePVj)+'2026'!Pspv,1-EXP((T0-t)*PertePVj)+Pspv)</f>
        <v>2.594096623029285E-2</v>
      </c>
      <c r="M69" s="836"/>
      <c r="N69" s="836"/>
      <c r="O69" s="48">
        <f>IF(t&lt;Tnet,'2026'!Resal+('2026'!Salim-'2026'!Resal)*(1-EXP(('2026'!Tnet-t)/('2026'!Tau_j))),Resal+(Salim-Resal)*(1-EXP((Tnet-t)/(Tau_j))))*Salcycl</f>
        <v>3.6425651397357699E-2</v>
      </c>
      <c r="P69" s="165">
        <f>(INDEX(Models!$BJ69:$BT69,,T69)*(1-R69)+INDEX(Models!$BJ69:$BT69,,T69+1)*R69-ERP_i)*Q69*Ramure*Pc/MaxiM</f>
        <v>6.2710733756014077E-4</v>
      </c>
      <c r="Q69" s="301">
        <f t="shared" si="4"/>
        <v>0.5</v>
      </c>
      <c r="R69" s="173">
        <f t="shared" si="5"/>
        <v>0.49946367226258959</v>
      </c>
      <c r="S69" s="802">
        <f t="shared" si="6"/>
        <v>2</v>
      </c>
      <c r="T69" s="172">
        <f t="shared" si="7"/>
        <v>8</v>
      </c>
      <c r="U69" s="247">
        <f t="shared" si="8"/>
        <v>2.4994636722625896</v>
      </c>
      <c r="V69" s="378">
        <f t="shared" si="9"/>
        <v>33.546656467857154</v>
      </c>
      <c r="W69" s="397">
        <f t="shared" si="10"/>
        <v>22.571945015251352</v>
      </c>
      <c r="X69" s="153">
        <f t="shared" si="11"/>
        <v>46442</v>
      </c>
      <c r="Y69" s="380">
        <f t="shared" si="12"/>
        <v>22.074517239973375</v>
      </c>
      <c r="Z69" s="380">
        <f t="shared" si="22"/>
        <v>22.662401840823502</v>
      </c>
      <c r="AA69" s="381">
        <f t="shared" si="13"/>
        <v>24.049080444474569</v>
      </c>
      <c r="AB69" s="193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5.7660358650830114E-2</v>
      </c>
      <c r="AD69" s="227">
        <f>(INDEX(Models!$BJ69:$BT69,,AH69)*(1-AF69)+INDEX(Models!$BJ69:$BT69,,AH69+1)*AF69-ERP_i)*AE69*Ramure*Pc/MaxiM</f>
        <v>6.2710733756014077E-4</v>
      </c>
      <c r="AE69" s="301">
        <f t="shared" si="15"/>
        <v>0.5</v>
      </c>
      <c r="AF69" s="173">
        <f t="shared" si="23"/>
        <v>0.49946367226258959</v>
      </c>
      <c r="AG69" s="802">
        <f t="shared" si="24"/>
        <v>2</v>
      </c>
      <c r="AH69" s="172">
        <f t="shared" si="16"/>
        <v>8</v>
      </c>
      <c r="AI69" s="221">
        <f t="shared" si="17"/>
        <v>2.4994636722625896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46443</v>
      </c>
      <c r="B70" s="406">
        <f>'2026'!Wh/'2026'!Env_an*'2027'!Env_an</f>
        <v>24.921726287940302</v>
      </c>
      <c r="C70" s="832"/>
      <c r="D70" s="388">
        <f t="shared" si="0"/>
        <v>25.585787499618139</v>
      </c>
      <c r="E70" s="380">
        <f t="shared" si="1"/>
        <v>26.554108347860417</v>
      </c>
      <c r="F70" s="380">
        <f t="shared" si="2"/>
        <v>26.5633457175418</v>
      </c>
      <c r="G70" s="110">
        <f t="shared" si="21"/>
        <v>0.73403793422662367</v>
      </c>
      <c r="H70" s="409" t="b">
        <f>Wh_hp&gt;='2026'!Maxi_hp</f>
        <v>0</v>
      </c>
      <c r="I70" s="385">
        <f>IF(H70,Wh_hp,'2026'!Maxi_hp)</f>
        <v>26.56899815763115</v>
      </c>
      <c r="J70" s="85">
        <f>IF(H70,An,'2026'!An_max)</f>
        <v>2022</v>
      </c>
      <c r="K70" s="193">
        <f t="shared" si="3"/>
        <v>46443</v>
      </c>
      <c r="L70" s="143">
        <f>IF(t&lt;Tvie,1-EXP((T0-t)*PertePVj)+'2026'!Pspv,1-EXP((T0-t)*PertePVj)+Pspv)</f>
        <v>2.5954300280487619E-2</v>
      </c>
      <c r="M70" s="836"/>
      <c r="N70" s="836"/>
      <c r="O70" s="48">
        <f>IF(t&lt;Tnet,'2026'!Resal+('2026'!Salim-'2026'!Resal)*(1-EXP(('2026'!Tnet-t)/('2026'!Tau_j))),Resal+(Salim-Resal)*(1-EXP((Tnet-t)/(Tau_j))))*Salcycl</f>
        <v>3.6465952294734039E-2</v>
      </c>
      <c r="P70" s="165">
        <f>(INDEX(Models!$BJ70:$BT70,,T70)*(1-R70)+INDEX(Models!$BJ70:$BT70,,T70+1)*R70-ERP_i)*Q70*Ramure*Pc/MaxiM</f>
        <v>5.6063406717492411E-4</v>
      </c>
      <c r="Q70" s="301">
        <f t="shared" si="4"/>
        <v>0.5</v>
      </c>
      <c r="R70" s="173">
        <f t="shared" si="5"/>
        <v>0.49972628205472569</v>
      </c>
      <c r="S70" s="802">
        <f t="shared" si="6"/>
        <v>2</v>
      </c>
      <c r="T70" s="172">
        <f t="shared" si="7"/>
        <v>8</v>
      </c>
      <c r="U70" s="247">
        <f t="shared" si="8"/>
        <v>2.4997262820547257</v>
      </c>
      <c r="V70" s="378">
        <f t="shared" si="9"/>
        <v>33.944320600301111</v>
      </c>
      <c r="W70" s="397">
        <f t="shared" si="10"/>
        <v>24.921726287940302</v>
      </c>
      <c r="X70" s="153">
        <f t="shared" si="11"/>
        <v>46443</v>
      </c>
      <c r="Y70" s="380">
        <f t="shared" si="12"/>
        <v>24.372986172523206</v>
      </c>
      <c r="Z70" s="380">
        <f t="shared" si="22"/>
        <v>25.022425723497044</v>
      </c>
      <c r="AA70" s="381">
        <f t="shared" si="13"/>
        <v>26.554108347860417</v>
      </c>
      <c r="AB70" s="193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5.7681568678497531E-2</v>
      </c>
      <c r="AD70" s="227">
        <f>(INDEX(Models!$BJ70:$BT70,,AH70)*(1-AF70)+INDEX(Models!$BJ70:$BT70,,AH70+1)*AF70-ERP_i)*AE70*Ramure*Pc/MaxiM</f>
        <v>5.6063406717492411E-4</v>
      </c>
      <c r="AE70" s="301">
        <f t="shared" si="15"/>
        <v>0.5</v>
      </c>
      <c r="AF70" s="173">
        <f t="shared" si="23"/>
        <v>0.49972628205472569</v>
      </c>
      <c r="AG70" s="802">
        <f t="shared" si="24"/>
        <v>2</v>
      </c>
      <c r="AH70" s="172">
        <f t="shared" si="16"/>
        <v>8</v>
      </c>
      <c r="AI70" s="221">
        <f t="shared" si="17"/>
        <v>2.4997262820547257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46444</v>
      </c>
      <c r="B71" s="406">
        <f>'2026'!Wh/'2026'!Env_an*'2027'!Env_an</f>
        <v>35.096517115458234</v>
      </c>
      <c r="C71" s="832"/>
      <c r="D71" s="388">
        <f t="shared" si="0"/>
        <v>36.032187785427674</v>
      </c>
      <c r="E71" s="380">
        <f t="shared" si="1"/>
        <v>37.397425921570637</v>
      </c>
      <c r="F71" s="380">
        <f t="shared" si="2"/>
        <v>37.416666766304836</v>
      </c>
      <c r="G71" s="110">
        <f t="shared" si="21"/>
        <v>1.0219405426181236</v>
      </c>
      <c r="H71" s="409" t="b">
        <f>Wh_hp&gt;='2026'!Maxi_hp</f>
        <v>1</v>
      </c>
      <c r="I71" s="385">
        <f>IF(H71,Wh_hp,'2026'!Maxi_hp)</f>
        <v>37.416666766304836</v>
      </c>
      <c r="J71" s="85">
        <f>IF(H71,An,'2026'!An_max)</f>
        <v>2027</v>
      </c>
      <c r="K71" s="193">
        <f t="shared" si="3"/>
        <v>46444</v>
      </c>
      <c r="L71" s="143">
        <f>IF(t&lt;Tvie,1-EXP((T0-t)*PertePVj)+'2026'!Pspv,1-EXP((T0-t)*PertePVj)+Pspv)</f>
        <v>2.5967634148150398E-2</v>
      </c>
      <c r="M71" s="836"/>
      <c r="N71" s="836"/>
      <c r="O71" s="48">
        <f>IF(t&lt;Tnet,'2026'!Resal+('2026'!Salim-'2026'!Resal)*(1-EXP(('2026'!Tnet-t)/('2026'!Tau_j))),Resal+(Salim-Resal)*(1-EXP((Tnet-t)/(Tau_j))))*Salcycl</f>
        <v>3.6506206042258717E-2</v>
      </c>
      <c r="P71" s="165">
        <f>(INDEX(Models!$BJ71:$BT71,,T71)*(1-R71)+INDEX(Models!$BJ71:$BT71,,T71+1)*R71-ERP_i)*Q71*Ramure*Pc/MaxiM</f>
        <v>5.1423192916606752E-4</v>
      </c>
      <c r="Q71" s="301">
        <f t="shared" si="4"/>
        <v>0.5</v>
      </c>
      <c r="R71" s="173">
        <f t="shared" si="5"/>
        <v>0.49999961231029078</v>
      </c>
      <c r="S71" s="802">
        <f t="shared" si="6"/>
        <v>2</v>
      </c>
      <c r="T71" s="172">
        <f t="shared" si="7"/>
        <v>8</v>
      </c>
      <c r="U71" s="247">
        <f t="shared" si="8"/>
        <v>2.4999996123102908</v>
      </c>
      <c r="V71" s="378">
        <f t="shared" si="9"/>
        <v>34.343012779925509</v>
      </c>
      <c r="W71" s="397">
        <f t="shared" si="10"/>
        <v>35.096517115458234</v>
      </c>
      <c r="X71" s="153">
        <f t="shared" si="11"/>
        <v>46444</v>
      </c>
      <c r="Y71" s="380">
        <f t="shared" si="12"/>
        <v>34.324405676322307</v>
      </c>
      <c r="Z71" s="380">
        <f t="shared" si="22"/>
        <v>35.239491909802773</v>
      </c>
      <c r="AA71" s="381">
        <f t="shared" si="13"/>
        <v>37.397425921570637</v>
      </c>
      <c r="AB71" s="193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5.7702741795476846E-2</v>
      </c>
      <c r="AD71" s="227">
        <f>(INDEX(Models!$BJ71:$BT71,,AH71)*(1-AF71)+INDEX(Models!$BJ71:$BT71,,AH71+1)*AF71-ERP_i)*AE71*Ramure*Pc/MaxiM</f>
        <v>5.1423192916606752E-4</v>
      </c>
      <c r="AE71" s="301">
        <f t="shared" si="15"/>
        <v>0.5</v>
      </c>
      <c r="AF71" s="173">
        <f t="shared" si="23"/>
        <v>0.49999961231029078</v>
      </c>
      <c r="AG71" s="802">
        <f t="shared" si="24"/>
        <v>2</v>
      </c>
      <c r="AH71" s="172">
        <f t="shared" si="16"/>
        <v>8</v>
      </c>
      <c r="AI71" s="221">
        <f t="shared" si="17"/>
        <v>2.4999996123102908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46445</v>
      </c>
      <c r="B72" s="406">
        <f>'2026'!Wh/'2026'!Env_an*'2027'!Env_an</f>
        <v>22.449210809441258</v>
      </c>
      <c r="C72" s="832"/>
      <c r="D72" s="388">
        <f t="shared" si="0"/>
        <v>23.048020693705276</v>
      </c>
      <c r="E72" s="380">
        <f t="shared" si="1"/>
        <v>23.922294784333516</v>
      </c>
      <c r="F72" s="380">
        <f t="shared" si="2"/>
        <v>23.928047570316895</v>
      </c>
      <c r="G72" s="110">
        <f t="shared" si="21"/>
        <v>0.64599226687042555</v>
      </c>
      <c r="H72" s="409" t="b">
        <f>Wh_hp&gt;='2026'!Maxi_hp</f>
        <v>0</v>
      </c>
      <c r="I72" s="385">
        <f>IF(H72,Wh_hp,'2026'!Maxi_hp)</f>
        <v>23.933924564086386</v>
      </c>
      <c r="J72" s="85">
        <f>IF(H72,An,'2026'!An_max)</f>
        <v>2022</v>
      </c>
      <c r="K72" s="193">
        <f t="shared" si="3"/>
        <v>46445</v>
      </c>
      <c r="L72" s="143">
        <f>IF(t&lt;Tvie,1-EXP((T0-t)*PertePVj)+'2026'!Pspv,1-EXP((T0-t)*PertePVj)+Pspv)</f>
        <v>2.5980967833283852E-2</v>
      </c>
      <c r="M72" s="836"/>
      <c r="N72" s="836"/>
      <c r="O72" s="48">
        <f>IF(t&lt;Tnet,'2026'!Resal+('2026'!Salim-'2026'!Resal)*(1-EXP(('2026'!Tnet-t)/('2026'!Tau_j))),Resal+(Salim-Resal)*(1-EXP((Tnet-t)/(Tau_j))))*Salcycl</f>
        <v>3.6546414067298943E-2</v>
      </c>
      <c r="P72" s="165">
        <f>(INDEX(Models!$BJ72:$BT72,,T72)*(1-R72)+INDEX(Models!$BJ72:$BT72,,T72+1)*R72-ERP_i)*Q72*Ramure*Pc/MaxiM</f>
        <v>4.8618691774330241E-4</v>
      </c>
      <c r="Q72" s="301">
        <f t="shared" si="4"/>
        <v>0.5</v>
      </c>
      <c r="R72" s="173">
        <f t="shared" si="5"/>
        <v>0.50028408790510115</v>
      </c>
      <c r="S72" s="802">
        <f t="shared" si="6"/>
        <v>2</v>
      </c>
      <c r="T72" s="172">
        <f t="shared" si="7"/>
        <v>8</v>
      </c>
      <c r="U72" s="247">
        <f t="shared" si="8"/>
        <v>2.5002840879051011</v>
      </c>
      <c r="V72" s="378">
        <f t="shared" si="9"/>
        <v>34.742973507305912</v>
      </c>
      <c r="W72" s="397">
        <f t="shared" si="10"/>
        <v>22.449210809441258</v>
      </c>
      <c r="X72" s="153">
        <f t="shared" si="11"/>
        <v>46445</v>
      </c>
      <c r="Y72" s="380">
        <f t="shared" si="12"/>
        <v>21.95575953166238</v>
      </c>
      <c r="Z72" s="380">
        <f t="shared" si="22"/>
        <v>22.541407104562989</v>
      </c>
      <c r="AA72" s="381">
        <f t="shared" si="13"/>
        <v>23.922294784333516</v>
      </c>
      <c r="AB72" s="193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5.7723880263981162E-2</v>
      </c>
      <c r="AD72" s="227">
        <f>(INDEX(Models!$BJ72:$BT72,,AH72)*(1-AF72)+INDEX(Models!$BJ72:$BT72,,AH72+1)*AF72-ERP_i)*AE72*Ramure*Pc/MaxiM</f>
        <v>4.8618691774330241E-4</v>
      </c>
      <c r="AE72" s="301">
        <f t="shared" si="15"/>
        <v>0.5</v>
      </c>
      <c r="AF72" s="173">
        <f t="shared" si="23"/>
        <v>0.50028408790510115</v>
      </c>
      <c r="AG72" s="802">
        <f t="shared" si="24"/>
        <v>2</v>
      </c>
      <c r="AH72" s="172">
        <f t="shared" si="16"/>
        <v>8</v>
      </c>
      <c r="AI72" s="221">
        <f t="shared" si="17"/>
        <v>2.5002840879051011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46446</v>
      </c>
      <c r="B73" s="406">
        <f>'2026'!Wh/'2026'!Env_an*'2027'!Env_an</f>
        <v>32.739386984127052</v>
      </c>
      <c r="C73" s="832"/>
      <c r="D73" s="388">
        <f t="shared" si="0"/>
        <v>33.613136996046855</v>
      </c>
      <c r="E73" s="380">
        <f t="shared" si="1"/>
        <v>34.889629151551823</v>
      </c>
      <c r="F73" s="380">
        <f t="shared" si="2"/>
        <v>34.90407372923034</v>
      </c>
      <c r="G73" s="110">
        <f t="shared" si="21"/>
        <v>0.93150966037432548</v>
      </c>
      <c r="H73" s="409" t="b">
        <f>Wh_hp&gt;='2026'!Maxi_hp</f>
        <v>0</v>
      </c>
      <c r="I73" s="385">
        <f>IF(H73,Wh_hp,'2026'!Maxi_hp)</f>
        <v>34.905638121982101</v>
      </c>
      <c r="J73" s="85">
        <f>IF(H73,An,'2026'!An_max)</f>
        <v>2022</v>
      </c>
      <c r="K73" s="193">
        <f t="shared" si="3"/>
        <v>46446</v>
      </c>
      <c r="L73" s="143">
        <f>IF(t&lt;Tvie,1-EXP((T0-t)*PertePVj)+'2026'!Pspv,1-EXP((T0-t)*PertePVj)+Pspv)</f>
        <v>2.5994301335890313E-2</v>
      </c>
      <c r="M73" s="836"/>
      <c r="N73" s="836"/>
      <c r="O73" s="48">
        <f>IF(t&lt;Tnet,'2026'!Resal+('2026'!Salim-'2026'!Resal)*(1-EXP(('2026'!Tnet-t)/('2026'!Tau_j))),Resal+(Salim-Resal)*(1-EXP((Tnet-t)/(Tau_j))))*Salcycl</f>
        <v>3.6586578491855176E-2</v>
      </c>
      <c r="P73" s="165">
        <f>(INDEX(Models!$BJ73:$BT73,,T73)*(1-R73)+INDEX(Models!$BJ73:$BT73,,T73+1)*R73-ERP_i)*Q73*Ramure*Pc/MaxiM</f>
        <v>4.5868868606918211E-4</v>
      </c>
      <c r="Q73" s="301">
        <f t="shared" si="4"/>
        <v>0.5</v>
      </c>
      <c r="R73" s="173">
        <f t="shared" si="5"/>
        <v>0.5005801494776887</v>
      </c>
      <c r="S73" s="802">
        <f t="shared" si="6"/>
        <v>2</v>
      </c>
      <c r="T73" s="172">
        <f t="shared" si="7"/>
        <v>8</v>
      </c>
      <c r="U73" s="247">
        <f t="shared" si="8"/>
        <v>2.5005801494776887</v>
      </c>
      <c r="V73" s="378">
        <f t="shared" si="9"/>
        <v>35.145011730793648</v>
      </c>
      <c r="W73" s="397">
        <f t="shared" si="10"/>
        <v>32.739386984127052</v>
      </c>
      <c r="X73" s="153">
        <f t="shared" si="11"/>
        <v>46446</v>
      </c>
      <c r="Y73" s="380">
        <f t="shared" si="12"/>
        <v>32.020367170906425</v>
      </c>
      <c r="Z73" s="380">
        <f t="shared" si="22"/>
        <v>32.874927954552753</v>
      </c>
      <c r="AA73" s="381">
        <f t="shared" si="13"/>
        <v>34.889629151551823</v>
      </c>
      <c r="AB73" s="193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5.7744987435885749E-2</v>
      </c>
      <c r="AD73" s="227">
        <f>(INDEX(Models!$BJ73:$BT73,,AH73)*(1-AF73)+INDEX(Models!$BJ73:$BT73,,AH73+1)*AF73-ERP_i)*AE73*Ramure*Pc/MaxiM</f>
        <v>4.5868868606918211E-4</v>
      </c>
      <c r="AE73" s="301">
        <f t="shared" si="15"/>
        <v>0.5</v>
      </c>
      <c r="AF73" s="173">
        <f t="shared" si="23"/>
        <v>0.5005801494776887</v>
      </c>
      <c r="AG73" s="802">
        <f t="shared" si="24"/>
        <v>2</v>
      </c>
      <c r="AH73" s="172">
        <f t="shared" si="16"/>
        <v>8</v>
      </c>
      <c r="AI73" s="221">
        <f t="shared" si="17"/>
        <v>2.5005801494776887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46447</v>
      </c>
      <c r="B74" s="406">
        <f>'2026'!Wh/'2026'!Env_an*'2027'!Env_an</f>
        <v>34.544615438819733</v>
      </c>
      <c r="C74" s="832"/>
      <c r="D74" s="388">
        <f t="shared" si="0"/>
        <v>35.467028970620412</v>
      </c>
      <c r="E74" s="380">
        <f t="shared" si="1"/>
        <v>36.815457777258004</v>
      </c>
      <c r="F74" s="380">
        <f t="shared" si="2"/>
        <v>36.830716439025885</v>
      </c>
      <c r="G74" s="110">
        <f t="shared" si="21"/>
        <v>0.97172045550006225</v>
      </c>
      <c r="H74" s="409" t="b">
        <f>Wh_hp&gt;='2026'!Maxi_hp</f>
        <v>0</v>
      </c>
      <c r="I74" s="385">
        <f>IF(H74,Wh_hp,'2026'!Maxi_hp)</f>
        <v>36.831357903305943</v>
      </c>
      <c r="J74" s="85">
        <f>IF(H74,An,'2026'!An_max)</f>
        <v>2022</v>
      </c>
      <c r="K74" s="193">
        <f t="shared" si="3"/>
        <v>46447</v>
      </c>
      <c r="L74" s="143">
        <f>IF(t&lt;Tvie,1-EXP((T0-t)*PertePVj)+'2026'!Pspv,1-EXP((T0-t)*PertePVj)+Pspv)</f>
        <v>2.6007634655972223E-2</v>
      </c>
      <c r="M74" s="836"/>
      <c r="N74" s="836"/>
      <c r="O74" s="48">
        <f>IF(t&lt;Tnet,'2026'!Resal+('2026'!Salim-'2026'!Resal)*(1-EXP(('2026'!Tnet-t)/('2026'!Tau_j))),Resal+(Salim-Resal)*(1-EXP((Tnet-t)/(Tau_j))))*Salcycl</f>
        <v>3.6626702153098309E-2</v>
      </c>
      <c r="P74" s="165">
        <f>(INDEX(Models!$BJ74:$BT74,,T74)*(1-R74)+INDEX(Models!$BJ74:$BT74,,T74+1)*R74-ERP_i)*Q74*Ramure*Pc/MaxiM</f>
        <v>4.3172260602228124E-4</v>
      </c>
      <c r="Q74" s="301">
        <f t="shared" si="4"/>
        <v>0.5</v>
      </c>
      <c r="R74" s="173">
        <f t="shared" si="5"/>
        <v>0.5008882539227475</v>
      </c>
      <c r="S74" s="802">
        <f t="shared" si="6"/>
        <v>2</v>
      </c>
      <c r="T74" s="172">
        <f t="shared" si="7"/>
        <v>8</v>
      </c>
      <c r="U74" s="247">
        <f t="shared" si="8"/>
        <v>2.5008882539227475</v>
      </c>
      <c r="V74" s="378">
        <f t="shared" si="9"/>
        <v>35.549331962011387</v>
      </c>
      <c r="W74" s="397">
        <f t="shared" si="10"/>
        <v>34.544615438819733</v>
      </c>
      <c r="X74" s="153">
        <f t="shared" si="11"/>
        <v>46447</v>
      </c>
      <c r="Y74" s="380">
        <f t="shared" si="12"/>
        <v>33.786600598804746</v>
      </c>
      <c r="Z74" s="380">
        <f t="shared" si="22"/>
        <v>34.688773547902343</v>
      </c>
      <c r="AA74" s="381">
        <f t="shared" si="13"/>
        <v>36.815457777258004</v>
      </c>
      <c r="AB74" s="193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5.7766067781163791E-2</v>
      </c>
      <c r="AD74" s="227">
        <f>(INDEX(Models!$BJ74:$BT74,,AH74)*(1-AF74)+INDEX(Models!$BJ74:$BT74,,AH74+1)*AF74-ERP_i)*AE74*Ramure*Pc/MaxiM</f>
        <v>4.3172260602228124E-4</v>
      </c>
      <c r="AE74" s="301">
        <f t="shared" si="15"/>
        <v>0.5</v>
      </c>
      <c r="AF74" s="173">
        <f t="shared" si="23"/>
        <v>0.5008882539227475</v>
      </c>
      <c r="AG74" s="802">
        <f t="shared" si="24"/>
        <v>2</v>
      </c>
      <c r="AH74" s="172">
        <f t="shared" si="16"/>
        <v>8</v>
      </c>
      <c r="AI74" s="221">
        <f t="shared" si="17"/>
        <v>2.5008882539227475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46448</v>
      </c>
      <c r="B75" s="406">
        <f>'2026'!Wh/'2026'!Env_an*'2027'!Env_an</f>
        <v>15.962833512636955</v>
      </c>
      <c r="C75" s="832"/>
      <c r="D75" s="388">
        <f t="shared" si="0"/>
        <v>16.389298932313249</v>
      </c>
      <c r="E75" s="380">
        <f t="shared" si="1"/>
        <v>17.013115232285639</v>
      </c>
      <c r="F75" s="380">
        <f t="shared" si="2"/>
        <v>17.014533285932128</v>
      </c>
      <c r="G75" s="110">
        <f t="shared" si="21"/>
        <v>0.44381000719561275</v>
      </c>
      <c r="H75" s="409" t="b">
        <f>Wh_hp&gt;='2026'!Maxi_hp</f>
        <v>0</v>
      </c>
      <c r="I75" s="385">
        <f>IF(H75,Wh_hp,'2026'!Maxi_hp)</f>
        <v>17.020005743772145</v>
      </c>
      <c r="J75" s="85">
        <f>IF(H75,An,'2026'!An_max)</f>
        <v>2022</v>
      </c>
      <c r="K75" s="193">
        <f t="shared" si="3"/>
        <v>46448</v>
      </c>
      <c r="L75" s="143">
        <f>IF(t&lt;Tvie,1-EXP((T0-t)*PertePVj)+'2026'!Pspv,1-EXP((T0-t)*PertePVj)+Pspv)</f>
        <v>2.6020967793532246E-2</v>
      </c>
      <c r="M75" s="836"/>
      <c r="N75" s="836"/>
      <c r="O75" s="48">
        <f>IF(t&lt;Tnet,'2026'!Resal+('2026'!Salim-'2026'!Resal)*(1-EXP(('2026'!Tnet-t)/('2026'!Tau_j))),Resal+(Salim-Resal)*(1-EXP((Tnet-t)/(Tau_j))))*Salcycl</f>
        <v>3.666678861896952E-2</v>
      </c>
      <c r="P75" s="165">
        <f>(INDEX(Models!$BJ75:$BT75,,T75)*(1-R75)+INDEX(Models!$BJ75:$BT75,,T75+1)*R75-ERP_i)*Q75*Ramure*Pc/MaxiM</f>
        <v>4.0527528174781499E-4</v>
      </c>
      <c r="Q75" s="301">
        <f t="shared" si="4"/>
        <v>0.5</v>
      </c>
      <c r="R75" s="173">
        <f t="shared" si="5"/>
        <v>0.50120887489200916</v>
      </c>
      <c r="S75" s="802">
        <f t="shared" si="6"/>
        <v>2</v>
      </c>
      <c r="T75" s="172">
        <f t="shared" si="7"/>
        <v>8</v>
      </c>
      <c r="U75" s="247">
        <f t="shared" si="8"/>
        <v>2.5012088748920092</v>
      </c>
      <c r="V75" s="378">
        <f t="shared" si="9"/>
        <v>35.956138628816383</v>
      </c>
      <c r="W75" s="397">
        <f t="shared" si="10"/>
        <v>15.962833512636955</v>
      </c>
      <c r="X75" s="153">
        <f t="shared" si="11"/>
        <v>46448</v>
      </c>
      <c r="Y75" s="380">
        <f t="shared" si="12"/>
        <v>15.612860689254285</v>
      </c>
      <c r="Z75" s="380">
        <f t="shared" si="22"/>
        <v>16.029976183249715</v>
      </c>
      <c r="AA75" s="381">
        <f t="shared" si="13"/>
        <v>17.013115232285639</v>
      </c>
      <c r="AB75" s="193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5.7787126908435384E-2</v>
      </c>
      <c r="AD75" s="227">
        <f>(INDEX(Models!$BJ75:$BT75,,AH75)*(1-AF75)+INDEX(Models!$BJ75:$BT75,,AH75+1)*AF75-ERP_i)*AE75*Ramure*Pc/MaxiM</f>
        <v>4.0527528174781499E-4</v>
      </c>
      <c r="AE75" s="301">
        <f t="shared" si="15"/>
        <v>0.5</v>
      </c>
      <c r="AF75" s="173">
        <f t="shared" si="23"/>
        <v>0.50120887489200916</v>
      </c>
      <c r="AG75" s="802">
        <f t="shared" si="24"/>
        <v>2</v>
      </c>
      <c r="AH75" s="172">
        <f t="shared" si="16"/>
        <v>8</v>
      </c>
      <c r="AI75" s="221">
        <f t="shared" si="17"/>
        <v>2.5012088748920092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46449</v>
      </c>
      <c r="B76" s="406">
        <f>'2026'!Wh/'2026'!Env_an*'2027'!Env_an</f>
        <v>27.536788730985606</v>
      </c>
      <c r="C76" s="832"/>
      <c r="D76" s="388">
        <f t="shared" si="0"/>
        <v>28.272852680694911</v>
      </c>
      <c r="E76" s="380">
        <f t="shared" si="1"/>
        <v>29.350206063157049</v>
      </c>
      <c r="F76" s="380">
        <f t="shared" si="2"/>
        <v>29.357479979051806</v>
      </c>
      <c r="G76" s="110">
        <f t="shared" si="21"/>
        <v>0.75712040142435055</v>
      </c>
      <c r="H76" s="409" t="b">
        <f>Wh_hp&gt;='2026'!Maxi_hp</f>
        <v>0</v>
      </c>
      <c r="I76" s="385">
        <f>IF(H76,Wh_hp,'2026'!Maxi_hp)</f>
        <v>29.361338384403382</v>
      </c>
      <c r="J76" s="85">
        <f>IF(H76,An,'2026'!An_max)</f>
        <v>2022</v>
      </c>
      <c r="K76" s="193">
        <f t="shared" si="3"/>
        <v>46449</v>
      </c>
      <c r="L76" s="143">
        <f>IF(t&lt;Tvie,1-EXP((T0-t)*PertePVj)+'2026'!Pspv,1-EXP((T0-t)*PertePVj)+Pspv)</f>
        <v>2.6034300748572825E-2</v>
      </c>
      <c r="M76" s="836"/>
      <c r="N76" s="836"/>
      <c r="O76" s="48">
        <f>IF(t&lt;Tnet,'2026'!Resal+('2026'!Salim-'2026'!Resal)*(1-EXP(('2026'!Tnet-t)/('2026'!Tau_j))),Resal+(Salim-Resal)*(1-EXP((Tnet-t)/(Tau_j))))*Salcycl</f>
        <v>3.6706842198785422E-2</v>
      </c>
      <c r="P76" s="165">
        <f>(INDEX(Models!$BJ76:$BT76,,T76)*(1-R76)+INDEX(Models!$BJ76:$BT76,,T76+1)*R76-ERP_i)*Q76*Ramure*Pc/MaxiM</f>
        <v>3.7933444140002151E-4</v>
      </c>
      <c r="Q76" s="301">
        <f t="shared" si="4"/>
        <v>0.5</v>
      </c>
      <c r="R76" s="173">
        <f t="shared" si="5"/>
        <v>0.501542503301867</v>
      </c>
      <c r="S76" s="802">
        <f t="shared" si="6"/>
        <v>2</v>
      </c>
      <c r="T76" s="172">
        <f t="shared" si="7"/>
        <v>8</v>
      </c>
      <c r="U76" s="247">
        <f t="shared" si="8"/>
        <v>2.501542503301867</v>
      </c>
      <c r="V76" s="378">
        <f t="shared" si="9"/>
        <v>36.365636075018408</v>
      </c>
      <c r="W76" s="397">
        <f t="shared" si="10"/>
        <v>27.536788730985606</v>
      </c>
      <c r="X76" s="153">
        <f t="shared" si="11"/>
        <v>46449</v>
      </c>
      <c r="Y76" s="380">
        <f t="shared" si="12"/>
        <v>26.933584146440289</v>
      </c>
      <c r="Z76" s="380">
        <f t="shared" si="22"/>
        <v>27.653524315220718</v>
      </c>
      <c r="AA76" s="381">
        <f t="shared" si="13"/>
        <v>29.350206063157049</v>
      </c>
      <c r="AB76" s="193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5.780817157758069E-2</v>
      </c>
      <c r="AD76" s="227">
        <f>(INDEX(Models!$BJ76:$BT76,,AH76)*(1-AF76)+INDEX(Models!$BJ76:$BT76,,AH76+1)*AF76-ERP_i)*AE76*Ramure*Pc/MaxiM</f>
        <v>3.7933444140002151E-4</v>
      </c>
      <c r="AE76" s="301">
        <f t="shared" si="15"/>
        <v>0.5</v>
      </c>
      <c r="AF76" s="173">
        <f t="shared" si="23"/>
        <v>0.501542503301867</v>
      </c>
      <c r="AG76" s="802">
        <f t="shared" si="24"/>
        <v>2</v>
      </c>
      <c r="AH76" s="172">
        <f t="shared" si="16"/>
        <v>8</v>
      </c>
      <c r="AI76" s="221">
        <f t="shared" si="17"/>
        <v>2.501542503301867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46450</v>
      </c>
      <c r="B77" s="406">
        <f>'2026'!Wh/'2026'!Env_an*'2027'!Env_an</f>
        <v>5.423645421923057</v>
      </c>
      <c r="C77" s="832"/>
      <c r="D77" s="388">
        <f t="shared" si="0"/>
        <v>5.5686967952354545</v>
      </c>
      <c r="E77" s="380">
        <f t="shared" si="1"/>
        <v>5.781135414921974</v>
      </c>
      <c r="F77" s="380">
        <f t="shared" si="2"/>
        <v>5.781135414921974</v>
      </c>
      <c r="G77" s="110">
        <f t="shared" si="21"/>
        <v>0.14741752797074467</v>
      </c>
      <c r="H77" s="409" t="b">
        <f>Wh_hp&gt;='2026'!Maxi_hp</f>
        <v>0</v>
      </c>
      <c r="I77" s="385">
        <f>IF(H77,Wh_hp,'2026'!Maxi_hp)</f>
        <v>5.7831789540560674</v>
      </c>
      <c r="J77" s="85">
        <f>IF(H77,An,'2026'!An_max)</f>
        <v>2022</v>
      </c>
      <c r="K77" s="193">
        <f t="shared" si="3"/>
        <v>46450</v>
      </c>
      <c r="L77" s="143">
        <f>IF(t&lt;Tvie,1-EXP((T0-t)*PertePVj)+'2026'!Pspv,1-EXP((T0-t)*PertePVj)+Pspv)</f>
        <v>2.6047633521096514E-2</v>
      </c>
      <c r="M77" s="836"/>
      <c r="N77" s="836"/>
      <c r="O77" s="48">
        <f>IF(t&lt;Tnet,'2026'!Resal+('2026'!Salim-'2026'!Resal)*(1-EXP(('2026'!Tnet-t)/('2026'!Tau_j))),Resal+(Salim-Resal)*(1-EXP((Tnet-t)/(Tau_j))))*Salcycl</f>
        <v>3.6746867948843354E-2</v>
      </c>
      <c r="P77" s="165">
        <f>(INDEX(Models!$BJ77:$BT77,,T77)*(1-R77)+INDEX(Models!$BJ77:$BT77,,T77+1)*R77-ERP_i)*Q77*Ramure*Pc/MaxiM</f>
        <v>3.5388883568244567E-4</v>
      </c>
      <c r="Q77" s="301">
        <f t="shared" si="4"/>
        <v>0.5</v>
      </c>
      <c r="R77" s="173">
        <f t="shared" si="5"/>
        <v>0.50188964784696521</v>
      </c>
      <c r="S77" s="802">
        <f t="shared" si="6"/>
        <v>2</v>
      </c>
      <c r="T77" s="172">
        <f t="shared" si="7"/>
        <v>8</v>
      </c>
      <c r="U77" s="247">
        <f t="shared" si="8"/>
        <v>2.5018896478469652</v>
      </c>
      <c r="V77" s="378">
        <f t="shared" si="9"/>
        <v>36.77802856276012</v>
      </c>
      <c r="W77" s="397">
        <f t="shared" si="10"/>
        <v>5.423645421923057</v>
      </c>
      <c r="X77" s="153">
        <f t="shared" si="11"/>
        <v>46450</v>
      </c>
      <c r="Y77" s="380">
        <f t="shared" si="12"/>
        <v>5.3049402316240881</v>
      </c>
      <c r="Z77" s="380">
        <f t="shared" si="22"/>
        <v>5.4468169226826317</v>
      </c>
      <c r="AA77" s="381">
        <f t="shared" si="13"/>
        <v>5.781135414921974</v>
      </c>
      <c r="AB77" s="193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5.782920970444947E-2</v>
      </c>
      <c r="AD77" s="227">
        <f>(INDEX(Models!$BJ77:$BT77,,AH77)*(1-AF77)+INDEX(Models!$BJ77:$BT77,,AH77+1)*AF77-ERP_i)*AE77*Ramure*Pc/MaxiM</f>
        <v>3.5388883568244567E-4</v>
      </c>
      <c r="AE77" s="301">
        <f t="shared" si="15"/>
        <v>0.5</v>
      </c>
      <c r="AF77" s="173">
        <f t="shared" si="23"/>
        <v>0.50188964784696521</v>
      </c>
      <c r="AG77" s="802">
        <f t="shared" si="24"/>
        <v>2</v>
      </c>
      <c r="AH77" s="172">
        <f t="shared" si="16"/>
        <v>8</v>
      </c>
      <c r="AI77" s="221">
        <f t="shared" si="17"/>
        <v>2.5018896478469652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46451</v>
      </c>
      <c r="B78" s="406">
        <f>'2026'!Wh/'2026'!Env_an*'2027'!Env_an</f>
        <v>14.065867734862495</v>
      </c>
      <c r="C78" s="832"/>
      <c r="D78" s="388">
        <f t="shared" si="0"/>
        <v>14.44224663498507</v>
      </c>
      <c r="E78" s="380">
        <f t="shared" si="1"/>
        <v>14.993822457622427</v>
      </c>
      <c r="F78" s="380">
        <f t="shared" si="2"/>
        <v>14.994373303749315</v>
      </c>
      <c r="G78" s="110">
        <f t="shared" si="21"/>
        <v>0.37807009285721005</v>
      </c>
      <c r="H78" s="409" t="b">
        <f>Wh_hp&gt;='2026'!Maxi_hp</f>
        <v>0</v>
      </c>
      <c r="I78" s="385">
        <f>IF(H78,Wh_hp,'2026'!Maxi_hp)</f>
        <v>14.998749007725031</v>
      </c>
      <c r="J78" s="85">
        <f>IF(H78,An,'2026'!An_max)</f>
        <v>2022</v>
      </c>
      <c r="K78" s="193">
        <f t="shared" si="3"/>
        <v>46451</v>
      </c>
      <c r="L78" s="143">
        <f>IF(t&lt;Tvie,1-EXP((T0-t)*PertePVj)+'2026'!Pspv,1-EXP((T0-t)*PertePVj)+Pspv)</f>
        <v>2.6060966111105643E-2</v>
      </c>
      <c r="M78" s="836"/>
      <c r="N78" s="836"/>
      <c r="O78" s="48">
        <f>IF(t&lt;Tnet,'2026'!Resal+('2026'!Salim-'2026'!Resal)*(1-EXP(('2026'!Tnet-t)/('2026'!Tau_j))),Resal+(Salim-Resal)*(1-EXP((Tnet-t)/(Tau_j))))*Salcycl</f>
        <v>3.6786871673070327E-2</v>
      </c>
      <c r="P78" s="165">
        <f>(INDEX(Models!$BJ78:$BT78,,T78)*(1-R78)+INDEX(Models!$BJ78:$BT78,,T78+1)*R78-ERP_i)*Q78*Ramure*Pc/MaxiM</f>
        <v>3.2892814305614043E-4</v>
      </c>
      <c r="Q78" s="301">
        <f t="shared" si="4"/>
        <v>0.5</v>
      </c>
      <c r="R78" s="173">
        <f t="shared" si="5"/>
        <v>0.50225083551886085</v>
      </c>
      <c r="S78" s="802">
        <f t="shared" si="6"/>
        <v>2</v>
      </c>
      <c r="T78" s="172">
        <f t="shared" si="7"/>
        <v>8</v>
      </c>
      <c r="U78" s="247">
        <f t="shared" si="8"/>
        <v>2.5022508355188608</v>
      </c>
      <c r="V78" s="378">
        <f t="shared" si="9"/>
        <v>37.193520263924974</v>
      </c>
      <c r="W78" s="397">
        <f t="shared" si="10"/>
        <v>14.065867734862495</v>
      </c>
      <c r="X78" s="153">
        <f t="shared" si="11"/>
        <v>46451</v>
      </c>
      <c r="Y78" s="380">
        <f t="shared" si="12"/>
        <v>13.758277763426983</v>
      </c>
      <c r="Z78" s="380">
        <f t="shared" si="22"/>
        <v>14.126426074628927</v>
      </c>
      <c r="AA78" s="381">
        <f t="shared" si="13"/>
        <v>14.993822457622427</v>
      </c>
      <c r="AB78" s="193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5.7850250357775926E-2</v>
      </c>
      <c r="AD78" s="227">
        <f>(INDEX(Models!$BJ78:$BT78,,AH78)*(1-AF78)+INDEX(Models!$BJ78:$BT78,,AH78+1)*AF78-ERP_i)*AE78*Ramure*Pc/MaxiM</f>
        <v>3.2892814305614043E-4</v>
      </c>
      <c r="AE78" s="301">
        <f t="shared" si="15"/>
        <v>0.5</v>
      </c>
      <c r="AF78" s="173">
        <f t="shared" si="23"/>
        <v>0.50225083551886085</v>
      </c>
      <c r="AG78" s="802">
        <f t="shared" si="24"/>
        <v>2</v>
      </c>
      <c r="AH78" s="172">
        <f t="shared" si="16"/>
        <v>8</v>
      </c>
      <c r="AI78" s="221">
        <f t="shared" si="17"/>
        <v>2.5022508355188608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46452</v>
      </c>
      <c r="B79" s="406">
        <f>'2026'!Wh/'2026'!Env_an*'2027'!Env_an</f>
        <v>21.534057881300892</v>
      </c>
      <c r="C79" s="832"/>
      <c r="D79" s="388">
        <f t="shared" ref="D79:D142" si="25">Wh/(1-Ppv)</f>
        <v>22.11057563071428</v>
      </c>
      <c r="E79" s="380">
        <f t="shared" si="1"/>
        <v>22.95597199569999</v>
      </c>
      <c r="F79" s="380">
        <f t="shared" ref="F79:F142" si="26">Wh_sa/(1-Pvg*MEDIAN((-Sdif+Wh/Env_an)/Csdif,0,1))</f>
        <v>22.958693084658453</v>
      </c>
      <c r="G79" s="110">
        <f t="shared" si="21"/>
        <v>0.57241123296612584</v>
      </c>
      <c r="H79" s="409" t="b">
        <f>Wh_hp&gt;='2026'!Maxi_hp</f>
        <v>0</v>
      </c>
      <c r="I79" s="385">
        <f>IF(H79,Wh_hp,'2026'!Maxi_hp)</f>
        <v>22.962955608308192</v>
      </c>
      <c r="J79" s="85">
        <f>IF(H79,An,'2026'!An_max)</f>
        <v>2022</v>
      </c>
      <c r="K79" s="193">
        <f t="shared" ref="K79:K142" si="27">t</f>
        <v>46452</v>
      </c>
      <c r="L79" s="143">
        <f>IF(t&lt;Tvie,1-EXP((T0-t)*PertePVj)+'2026'!Pspv,1-EXP((T0-t)*PertePVj)+Pspv)</f>
        <v>2.6074298518602768E-2</v>
      </c>
      <c r="M79" s="836"/>
      <c r="N79" s="836"/>
      <c r="O79" s="48">
        <f>IF(t&lt;Tnet,'2026'!Resal+('2026'!Salim-'2026'!Resal)*(1-EXP(('2026'!Tnet-t)/('2026'!Tau_j))),Resal+(Salim-Resal)*(1-EXP((Tnet-t)/(Tau_j))))*Salcycl</f>
        <v>3.6826859918807409E-2</v>
      </c>
      <c r="P79" s="165">
        <f>(INDEX(Models!$BJ79:$BT79,,T79)*(1-R79)+INDEX(Models!$BJ79:$BT79,,T79+1)*R79-ERP_i)*Q79*Ramure*Pc/MaxiM</f>
        <v>3.044380451278771E-4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0.50262661212875903</v>
      </c>
      <c r="S79" s="802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2.502626612128759</v>
      </c>
      <c r="V79" s="378">
        <f t="shared" ref="V79:V142" si="33">MaxiM*(1-Ppv)*(1-Pvg)*(1-Psa)</f>
        <v>37.612912919885609</v>
      </c>
      <c r="W79" s="397">
        <f t="shared" ref="W79:W142" si="34">Wh*(A79&gt;Tmaj)</f>
        <v>21.534057881300892</v>
      </c>
      <c r="X79" s="153">
        <f t="shared" ref="X79:X142" si="35">t</f>
        <v>46452</v>
      </c>
      <c r="Y79" s="380">
        <f t="shared" ref="Y79:Y142" si="36">Wh_pvt_s*(1-Ppv)</f>
        <v>21.063558598617611</v>
      </c>
      <c r="Z79" s="380">
        <f t="shared" ref="Z79:Z142" si="37">Wh_sa_s*(1-Psa_s)</f>
        <v>21.62747996749518</v>
      </c>
      <c r="AA79" s="381">
        <f t="shared" ref="AA79:AA142" si="38">Wh_hp*(1-Pvg_s*MEDIAN((-Sdif+Wh/Env_an)/Csdif,0,1))</f>
        <v>22.95597199569999</v>
      </c>
      <c r="AB79" s="193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5.7871303748482338E-2</v>
      </c>
      <c r="AD79" s="227">
        <f>(INDEX(Models!$BJ79:$BT79,,AH79)*(1-AF79)+INDEX(Models!$BJ79:$BT79,,AH79+1)*AF79-ERP_i)*AE79*Ramure*Pc/MaxiM</f>
        <v>3.044380451278771E-4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0.50262661212875903</v>
      </c>
      <c r="AG79" s="802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2.502626612128759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46453</v>
      </c>
      <c r="B80" s="406">
        <f>'2026'!Wh/'2026'!Env_an*'2027'!Env_an</f>
        <v>34.904201148837117</v>
      </c>
      <c r="C80" s="832"/>
      <c r="D80" s="388">
        <f t="shared" si="25"/>
        <v>35.839159918963531</v>
      </c>
      <c r="E80" s="380">
        <f t="shared" ref="E80:E143" si="47">Wh_pvt/(1-Psa)</f>
        <v>37.211012356554924</v>
      </c>
      <c r="F80" s="380">
        <f t="shared" si="26"/>
        <v>37.220251711251215</v>
      </c>
      <c r="G80" s="110">
        <f t="shared" ref="G80:G143" si="48">+Wh_hp/MaxiM</f>
        <v>0.91761992608926046</v>
      </c>
      <c r="H80" s="409" t="b">
        <f>Wh_hp&gt;='2026'!Maxi_hp</f>
        <v>0</v>
      </c>
      <c r="I80" s="385">
        <f>IF(H80,Wh_hp,'2026'!Maxi_hp)</f>
        <v>37.221481723491209</v>
      </c>
      <c r="J80" s="85">
        <f>IF(H80,An,'2026'!An_max)</f>
        <v>2022</v>
      </c>
      <c r="K80" s="193">
        <f t="shared" si="27"/>
        <v>46453</v>
      </c>
      <c r="L80" s="143">
        <f>IF(t&lt;Tvie,1-EXP((T0-t)*PertePVj)+'2026'!Pspv,1-EXP((T0-t)*PertePVj)+Pspv)</f>
        <v>2.6087630743590551E-2</v>
      </c>
      <c r="M80" s="836"/>
      <c r="N80" s="836"/>
      <c r="O80" s="48">
        <f>IF(t&lt;Tnet,'2026'!Resal+('2026'!Salim-'2026'!Resal)*(1-EXP(('2026'!Tnet-t)/('2026'!Tau_j))),Resal+(Salim-Resal)*(1-EXP((Tnet-t)/(Tau_j))))*Salcycl</f>
        <v>3.6866839967865897E-2</v>
      </c>
      <c r="P80" s="165">
        <f>(INDEX(Models!$BJ80:$BT80,,T80)*(1-R80)+INDEX(Models!$BJ80:$BT80,,T80+1)*R80-ERP_i)*Q80*Ramure*Pc/MaxiM</f>
        <v>2.8133108045156518E-4</v>
      </c>
      <c r="Q80" s="301">
        <f t="shared" si="28"/>
        <v>0.5</v>
      </c>
      <c r="R80" s="173">
        <f t="shared" si="29"/>
        <v>0.50301754283319466</v>
      </c>
      <c r="S80" s="802">
        <f t="shared" si="30"/>
        <v>2</v>
      </c>
      <c r="T80" s="172">
        <f t="shared" si="31"/>
        <v>8</v>
      </c>
      <c r="U80" s="247">
        <f t="shared" si="32"/>
        <v>2.5030175428331947</v>
      </c>
      <c r="V80" s="378">
        <f t="shared" si="33"/>
        <v>38.036494918892593</v>
      </c>
      <c r="W80" s="397">
        <f t="shared" si="34"/>
        <v>34.904201148837117</v>
      </c>
      <c r="X80" s="153">
        <f t="shared" si="35"/>
        <v>46453</v>
      </c>
      <c r="Y80" s="380">
        <f t="shared" si="36"/>
        <v>34.142229958050983</v>
      </c>
      <c r="Z80" s="380">
        <f t="shared" si="37"/>
        <v>35.056778243938794</v>
      </c>
      <c r="AA80" s="381">
        <f t="shared" si="38"/>
        <v>37.211012356554924</v>
      </c>
      <c r="AB80" s="193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5.7892381211623961E-2</v>
      </c>
      <c r="AD80" s="227">
        <f>(INDEX(Models!$BJ80:$BT80,,AH80)*(1-AF80)+INDEX(Models!$BJ80:$BT80,,AH80+1)*AF80-ERP_i)*AE80*Ramure*Pc/MaxiM</f>
        <v>2.8133108045156518E-4</v>
      </c>
      <c r="AE80" s="301">
        <f t="shared" si="40"/>
        <v>0.5</v>
      </c>
      <c r="AF80" s="173">
        <f t="shared" si="41"/>
        <v>0.50301754283319466</v>
      </c>
      <c r="AG80" s="802">
        <f t="shared" ref="AG80:AG143" si="49">INDEX(Echel_vg,AH80)</f>
        <v>2</v>
      </c>
      <c r="AH80" s="172">
        <f t="shared" si="42"/>
        <v>8</v>
      </c>
      <c r="AI80" s="221">
        <f t="shared" si="43"/>
        <v>2.5030175428331947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46454</v>
      </c>
      <c r="B81" s="406">
        <f>'2026'!Wh/'2026'!Env_an*'2027'!Env_an</f>
        <v>31.316524486076961</v>
      </c>
      <c r="C81" s="832"/>
      <c r="D81" s="388">
        <f t="shared" si="25"/>
        <v>32.15582241016007</v>
      </c>
      <c r="E81" s="380">
        <f t="shared" si="47"/>
        <v>33.388069889822617</v>
      </c>
      <c r="F81" s="380">
        <f t="shared" si="26"/>
        <v>33.394414768469289</v>
      </c>
      <c r="G81" s="110">
        <f t="shared" si="48"/>
        <v>0.81412609985497253</v>
      </c>
      <c r="H81" s="409" t="b">
        <f>Wh_hp&gt;='2026'!Maxi_hp</f>
        <v>0</v>
      </c>
      <c r="I81" s="385">
        <f>IF(H81,Wh_hp,'2026'!Maxi_hp)</f>
        <v>33.396703977303218</v>
      </c>
      <c r="J81" s="85">
        <f>IF(H81,An,'2026'!An_max)</f>
        <v>2022</v>
      </c>
      <c r="K81" s="193">
        <f t="shared" si="27"/>
        <v>46454</v>
      </c>
      <c r="L81" s="143">
        <f>IF(t&lt;Tvie,1-EXP((T0-t)*PertePVj)+'2026'!Pspv,1-EXP((T0-t)*PertePVj)+Pspv)</f>
        <v>2.6100962786071324E-2</v>
      </c>
      <c r="M81" s="836"/>
      <c r="N81" s="836"/>
      <c r="O81" s="48">
        <f>IF(t&lt;Tnet,'2026'!Resal+('2026'!Salim-'2026'!Resal)*(1-EXP(('2026'!Tnet-t)/('2026'!Tau_j))),Resal+(Salim-Resal)*(1-EXP((Tnet-t)/(Tau_j))))*Salcycl</f>
        <v>3.6906819823034044E-2</v>
      </c>
      <c r="P81" s="165">
        <f>(INDEX(Models!$BJ81:$BT81,,T81)*(1-R81)+INDEX(Models!$BJ81:$BT81,,T81+1)*R81-ERP_i)*Q81*Ramure*Pc/MaxiM</f>
        <v>2.5866081514701794E-4</v>
      </c>
      <c r="Q81" s="301">
        <f t="shared" si="28"/>
        <v>0.5</v>
      </c>
      <c r="R81" s="173">
        <f t="shared" si="29"/>
        <v>0.5034242126614048</v>
      </c>
      <c r="S81" s="802">
        <f t="shared" si="30"/>
        <v>2</v>
      </c>
      <c r="T81" s="172">
        <f t="shared" si="31"/>
        <v>8</v>
      </c>
      <c r="U81" s="247">
        <f t="shared" si="32"/>
        <v>2.5034242126614048</v>
      </c>
      <c r="V81" s="378">
        <f t="shared" si="33"/>
        <v>38.46378811404584</v>
      </c>
      <c r="W81" s="397">
        <f t="shared" si="34"/>
        <v>31.316524486076961</v>
      </c>
      <c r="X81" s="153">
        <f t="shared" si="35"/>
        <v>46454</v>
      </c>
      <c r="Y81" s="380">
        <f t="shared" si="36"/>
        <v>30.633458634539018</v>
      </c>
      <c r="Z81" s="380">
        <f t="shared" si="37"/>
        <v>31.454450065145725</v>
      </c>
      <c r="AA81" s="381">
        <f t="shared" si="38"/>
        <v>33.388069889822617</v>
      </c>
      <c r="AB81" s="193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5.7913495181292317E-2</v>
      </c>
      <c r="AD81" s="227">
        <f>(INDEX(Models!$BJ81:$BT81,,AH81)*(1-AF81)+INDEX(Models!$BJ81:$BT81,,AH81+1)*AF81-ERP_i)*AE81*Ramure*Pc/MaxiM</f>
        <v>2.5866081514701794E-4</v>
      </c>
      <c r="AE81" s="301">
        <f t="shared" si="40"/>
        <v>0.5</v>
      </c>
      <c r="AF81" s="173">
        <f t="shared" si="41"/>
        <v>0.5034242126614048</v>
      </c>
      <c r="AG81" s="802">
        <f t="shared" si="49"/>
        <v>2</v>
      </c>
      <c r="AH81" s="172">
        <f t="shared" si="42"/>
        <v>8</v>
      </c>
      <c r="AI81" s="221">
        <f t="shared" si="43"/>
        <v>2.5034242126614048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46455</v>
      </c>
      <c r="B82" s="406">
        <f>'2026'!Wh/'2026'!Env_an*'2027'!Env_an</f>
        <v>27.953662101007179</v>
      </c>
      <c r="C82" s="832"/>
      <c r="D82" s="388">
        <f t="shared" si="25"/>
        <v>28.703226618207324</v>
      </c>
      <c r="E82" s="380">
        <f t="shared" si="47"/>
        <v>29.80440422430754</v>
      </c>
      <c r="F82" s="380">
        <f t="shared" si="26"/>
        <v>29.808619672570696</v>
      </c>
      <c r="G82" s="110">
        <f t="shared" si="48"/>
        <v>0.71864054170529201</v>
      </c>
      <c r="H82" s="409" t="b">
        <f>Wh_hp&gt;='2026'!Maxi_hp</f>
        <v>0</v>
      </c>
      <c r="I82" s="385">
        <f>IF(H82,Wh_hp,'2026'!Maxi_hp)</f>
        <v>29.811446608214982</v>
      </c>
      <c r="J82" s="85">
        <f>IF(H82,An,'2026'!An_max)</f>
        <v>2022</v>
      </c>
      <c r="K82" s="193">
        <f t="shared" si="27"/>
        <v>46455</v>
      </c>
      <c r="L82" s="143">
        <f>IF(t&lt;Tvie,1-EXP((T0-t)*PertePVj)+'2026'!Pspv,1-EXP((T0-t)*PertePVj)+Pspv)</f>
        <v>2.6114294646047642E-2</v>
      </c>
      <c r="M82" s="836"/>
      <c r="N82" s="836"/>
      <c r="O82" s="48">
        <f>IF(t&lt;Tnet,'2026'!Resal+('2026'!Salim-'2026'!Resal)*(1-EXP(('2026'!Tnet-t)/('2026'!Tau_j))),Resal+(Salim-Resal)*(1-EXP((Tnet-t)/(Tau_j))))*Salcycl</f>
        <v>3.6946808190251673E-2</v>
      </c>
      <c r="P82" s="165">
        <f>(INDEX(Models!$BJ82:$BT82,,T82)*(1-R82)+INDEX(Models!$BJ82:$BT82,,T82+1)*R82-ERP_i)*Q82*Ramure*Pc/MaxiM</f>
        <v>2.3642196120986889E-4</v>
      </c>
      <c r="Q82" s="301">
        <f t="shared" si="28"/>
        <v>0.5</v>
      </c>
      <c r="R82" s="173">
        <f t="shared" si="29"/>
        <v>0.50384722704299145</v>
      </c>
      <c r="S82" s="802">
        <f t="shared" si="30"/>
        <v>2</v>
      </c>
      <c r="T82" s="172">
        <f t="shared" si="31"/>
        <v>8</v>
      </c>
      <c r="U82" s="247">
        <f t="shared" si="32"/>
        <v>2.5038472270429915</v>
      </c>
      <c r="V82" s="378">
        <f t="shared" si="33"/>
        <v>38.894279363929861</v>
      </c>
      <c r="W82" s="397">
        <f t="shared" si="34"/>
        <v>27.953662101007179</v>
      </c>
      <c r="X82" s="153">
        <f t="shared" si="35"/>
        <v>46455</v>
      </c>
      <c r="Y82" s="380">
        <f t="shared" si="36"/>
        <v>27.344466991960221</v>
      </c>
      <c r="Z82" s="380">
        <f t="shared" si="37"/>
        <v>28.077696224139622</v>
      </c>
      <c r="AA82" s="381">
        <f t="shared" si="38"/>
        <v>29.80440422430754</v>
      </c>
      <c r="AB82" s="193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5.7934659158852424E-2</v>
      </c>
      <c r="AD82" s="227">
        <f>(INDEX(Models!$BJ82:$BT82,,AH82)*(1-AF82)+INDEX(Models!$BJ82:$BT82,,AH82+1)*AF82-ERP_i)*AE82*Ramure*Pc/MaxiM</f>
        <v>2.3642196120986889E-4</v>
      </c>
      <c r="AE82" s="301">
        <f t="shared" si="40"/>
        <v>0.5</v>
      </c>
      <c r="AF82" s="173">
        <f t="shared" si="41"/>
        <v>0.50384722704299145</v>
      </c>
      <c r="AG82" s="802">
        <f t="shared" si="49"/>
        <v>2</v>
      </c>
      <c r="AH82" s="172">
        <f t="shared" si="42"/>
        <v>8</v>
      </c>
      <c r="AI82" s="221">
        <f t="shared" si="43"/>
        <v>2.5038472270429915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46456</v>
      </c>
      <c r="B83" s="406">
        <f>'2026'!Wh/'2026'!Env_an*'2027'!Env_an</f>
        <v>23.618769922722848</v>
      </c>
      <c r="C83" s="832"/>
      <c r="D83" s="388">
        <f t="shared" si="25"/>
        <v>24.252428306965243</v>
      </c>
      <c r="E83" s="380">
        <f t="shared" si="47"/>
        <v>25.183900564438218</v>
      </c>
      <c r="F83" s="380">
        <f t="shared" si="26"/>
        <v>25.186221440053377</v>
      </c>
      <c r="G83" s="110">
        <f t="shared" si="48"/>
        <v>0.60049339466128138</v>
      </c>
      <c r="H83" s="409" t="b">
        <f>Wh_hp&gt;='2026'!Maxi_hp</f>
        <v>0</v>
      </c>
      <c r="I83" s="385">
        <f>IF(H83,Wh_hp,'2026'!Maxi_hp)</f>
        <v>25.189299753187651</v>
      </c>
      <c r="J83" s="85">
        <f>IF(H83,An,'2026'!An_max)</f>
        <v>2022</v>
      </c>
      <c r="K83" s="193">
        <f t="shared" si="27"/>
        <v>46456</v>
      </c>
      <c r="L83" s="143">
        <f>IF(t&lt;Tvie,1-EXP((T0-t)*PertePVj)+'2026'!Pspv,1-EXP((T0-t)*PertePVj)+Pspv)</f>
        <v>2.6127626323521946E-2</v>
      </c>
      <c r="M83" s="836"/>
      <c r="N83" s="836"/>
      <c r="O83" s="48">
        <f>IF(t&lt;Tnet,'2026'!Resal+('2026'!Salim-'2026'!Resal)*(1-EXP(('2026'!Tnet-t)/('2026'!Tau_j))),Resal+(Salim-Resal)*(1-EXP((Tnet-t)/(Tau_j))))*Salcycl</f>
        <v>3.6986814456704653E-2</v>
      </c>
      <c r="P83" s="165">
        <f>(INDEX(Models!$BJ83:$BT83,,T83)*(1-R83)+INDEX(Models!$BJ83:$BT83,,T83+1)*R83-ERP_i)*Q83*Ramure*Pc/MaxiM</f>
        <v>2.1460788225182489E-4</v>
      </c>
      <c r="Q83" s="301">
        <f t="shared" si="28"/>
        <v>0.5</v>
      </c>
      <c r="R83" s="173">
        <f t="shared" si="29"/>
        <v>0.50428721233432849</v>
      </c>
      <c r="S83" s="802">
        <f t="shared" si="30"/>
        <v>2</v>
      </c>
      <c r="T83" s="172">
        <f t="shared" si="31"/>
        <v>8</v>
      </c>
      <c r="U83" s="247">
        <f t="shared" si="32"/>
        <v>2.5042872123343285</v>
      </c>
      <c r="V83" s="378">
        <f t="shared" si="33"/>
        <v>39.32745560409807</v>
      </c>
      <c r="W83" s="397">
        <f t="shared" si="34"/>
        <v>23.618769922722848</v>
      </c>
      <c r="X83" s="153">
        <f t="shared" si="35"/>
        <v>46456</v>
      </c>
      <c r="Y83" s="380">
        <f t="shared" si="36"/>
        <v>23.104484424591416</v>
      </c>
      <c r="Z83" s="380">
        <f t="shared" si="37"/>
        <v>23.724345252108733</v>
      </c>
      <c r="AA83" s="381">
        <f t="shared" si="38"/>
        <v>25.183900564438218</v>
      </c>
      <c r="AB83" s="193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5.7955887674941711E-2</v>
      </c>
      <c r="AD83" s="227">
        <f>(INDEX(Models!$BJ83:$BT83,,AH83)*(1-AF83)+INDEX(Models!$BJ83:$BT83,,AH83+1)*AF83-ERP_i)*AE83*Ramure*Pc/MaxiM</f>
        <v>2.1460788225182489E-4</v>
      </c>
      <c r="AE83" s="301">
        <f t="shared" si="40"/>
        <v>0.5</v>
      </c>
      <c r="AF83" s="173">
        <f t="shared" si="41"/>
        <v>0.50428721233432849</v>
      </c>
      <c r="AG83" s="802">
        <f t="shared" si="49"/>
        <v>2</v>
      </c>
      <c r="AH83" s="172">
        <f t="shared" si="42"/>
        <v>8</v>
      </c>
      <c r="AI83" s="221">
        <f t="shared" si="43"/>
        <v>2.5042872123343285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46457</v>
      </c>
      <c r="B84" s="406">
        <f>'2026'!Wh/'2026'!Env_an*'2027'!Env_an</f>
        <v>17.045707564647227</v>
      </c>
      <c r="C84" s="832"/>
      <c r="D84" s="388">
        <f t="shared" si="25"/>
        <v>17.50325953380667</v>
      </c>
      <c r="E84" s="380">
        <f t="shared" si="47"/>
        <v>18.176269514413331</v>
      </c>
      <c r="F84" s="380">
        <f t="shared" si="26"/>
        <v>18.176915139491047</v>
      </c>
      <c r="G84" s="110">
        <f t="shared" si="48"/>
        <v>0.42861714597282702</v>
      </c>
      <c r="H84" s="409" t="b">
        <f>Wh_hp&gt;='2026'!Maxi_hp</f>
        <v>0</v>
      </c>
      <c r="I84" s="385">
        <f>IF(H84,Wh_hp,'2026'!Maxi_hp)</f>
        <v>18.179775420005882</v>
      </c>
      <c r="J84" s="85">
        <f>IF(H84,An,'2026'!An_max)</f>
        <v>2022</v>
      </c>
      <c r="K84" s="193">
        <f t="shared" si="27"/>
        <v>46457</v>
      </c>
      <c r="L84" s="143">
        <f>IF(t&lt;Tvie,1-EXP((T0-t)*PertePVj)+'2026'!Pspv,1-EXP((T0-t)*PertePVj)+Pspv)</f>
        <v>2.6140957818496791E-2</v>
      </c>
      <c r="M84" s="836"/>
      <c r="N84" s="836"/>
      <c r="O84" s="48">
        <f>IF(t&lt;Tnet,'2026'!Resal+('2026'!Salim-'2026'!Resal)*(1-EXP(('2026'!Tnet-t)/('2026'!Tau_j))),Resal+(Salim-Resal)*(1-EXP((Tnet-t)/(Tau_j))))*Salcycl</f>
        <v>3.7026848665122354E-2</v>
      </c>
      <c r="P84" s="165">
        <f>(INDEX(Models!$BJ84:$BT84,,T84)*(1-R84)+INDEX(Models!$BJ84:$BT84,,T84+1)*R84-ERP_i)*Q84*Ramure*Pc/MaxiM</f>
        <v>1.9321069986288198E-4</v>
      </c>
      <c r="Q84" s="301">
        <f t="shared" si="28"/>
        <v>0.5</v>
      </c>
      <c r="R84" s="173">
        <f t="shared" si="29"/>
        <v>0.5047448163419932</v>
      </c>
      <c r="S84" s="802">
        <f t="shared" si="30"/>
        <v>2</v>
      </c>
      <c r="T84" s="172">
        <f t="shared" si="31"/>
        <v>8</v>
      </c>
      <c r="U84" s="247">
        <f t="shared" si="32"/>
        <v>2.5047448163419932</v>
      </c>
      <c r="V84" s="378">
        <f t="shared" si="33"/>
        <v>39.762803849489835</v>
      </c>
      <c r="W84" s="397">
        <f t="shared" si="34"/>
        <v>17.045707564647227</v>
      </c>
      <c r="X84" s="153">
        <f t="shared" si="35"/>
        <v>46457</v>
      </c>
      <c r="Y84" s="380">
        <f t="shared" si="36"/>
        <v>16.67486285548657</v>
      </c>
      <c r="Z84" s="380">
        <f t="shared" si="37"/>
        <v>17.122460369761384</v>
      </c>
      <c r="AA84" s="381">
        <f t="shared" si="38"/>
        <v>18.176269514413331</v>
      </c>
      <c r="AB84" s="193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5.7977196245703834E-2</v>
      </c>
      <c r="AD84" s="227">
        <f>(INDEX(Models!$BJ84:$BT84,,AH84)*(1-AF84)+INDEX(Models!$BJ84:$BT84,,AH84+1)*AF84-ERP_i)*AE84*Ramure*Pc/MaxiM</f>
        <v>1.9321069986288198E-4</v>
      </c>
      <c r="AE84" s="301">
        <f t="shared" si="40"/>
        <v>0.5</v>
      </c>
      <c r="AF84" s="173">
        <f t="shared" si="41"/>
        <v>0.5047448163419932</v>
      </c>
      <c r="AG84" s="802">
        <f t="shared" si="49"/>
        <v>2</v>
      </c>
      <c r="AH84" s="172">
        <f t="shared" si="42"/>
        <v>8</v>
      </c>
      <c r="AI84" s="221">
        <f t="shared" si="43"/>
        <v>2.5047448163419932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46458</v>
      </c>
      <c r="B85" s="406">
        <f>'2026'!Wh/'2026'!Env_an*'2027'!Env_an</f>
        <v>13.340076755130747</v>
      </c>
      <c r="C85" s="832"/>
      <c r="D85" s="388">
        <f t="shared" si="25"/>
        <v>13.698347290790588</v>
      </c>
      <c r="E85" s="380">
        <f t="shared" si="47"/>
        <v>14.225648278600833</v>
      </c>
      <c r="F85" s="380">
        <f t="shared" si="26"/>
        <v>14.225759732622109</v>
      </c>
      <c r="G85" s="110">
        <f t="shared" si="48"/>
        <v>0.33178971270786539</v>
      </c>
      <c r="H85" s="409" t="b">
        <f>Wh_hp&gt;='2026'!Maxi_hp</f>
        <v>0</v>
      </c>
      <c r="I85" s="385">
        <f>IF(H85,Wh_hp,'2026'!Maxi_hp)</f>
        <v>14.228092826357823</v>
      </c>
      <c r="J85" s="85">
        <f>IF(H85,An,'2026'!An_max)</f>
        <v>2022</v>
      </c>
      <c r="K85" s="193">
        <f t="shared" si="27"/>
        <v>46458</v>
      </c>
      <c r="L85" s="143">
        <f>IF(t&lt;Tvie,1-EXP((T0-t)*PertePVj)+'2026'!Pspv,1-EXP((T0-t)*PertePVj)+Pspv)</f>
        <v>2.6154289130974728E-2</v>
      </c>
      <c r="M85" s="836"/>
      <c r="N85" s="836"/>
      <c r="O85" s="48">
        <f>IF(t&lt;Tnet,'2026'!Resal+('2026'!Salim-'2026'!Resal)*(1-EXP(('2026'!Tnet-t)/('2026'!Tau_j))),Resal+(Salim-Resal)*(1-EXP((Tnet-t)/(Tau_j))))*Salcycl</f>
        <v>3.7066921484586825E-2</v>
      </c>
      <c r="P85" s="165">
        <f>(INDEX(Models!$BJ85:$BT85,,T85)*(1-R85)+INDEX(Models!$BJ85:$BT85,,T85+1)*R85-ERP_i)*Q85*Ramure*Pc/MaxiM</f>
        <v>1.7222139329216334E-4</v>
      </c>
      <c r="Q85" s="301">
        <f t="shared" si="28"/>
        <v>0.5</v>
      </c>
      <c r="R85" s="173">
        <f t="shared" si="29"/>
        <v>0.50522070884134829</v>
      </c>
      <c r="S85" s="802">
        <f t="shared" si="30"/>
        <v>2</v>
      </c>
      <c r="T85" s="172">
        <f t="shared" si="31"/>
        <v>8</v>
      </c>
      <c r="U85" s="247">
        <f t="shared" si="32"/>
        <v>2.5052207088413483</v>
      </c>
      <c r="V85" s="378">
        <f t="shared" si="33"/>
        <v>40.199811192104306</v>
      </c>
      <c r="W85" s="397">
        <f t="shared" si="34"/>
        <v>13.340076755130747</v>
      </c>
      <c r="X85" s="153">
        <f t="shared" si="35"/>
        <v>46458</v>
      </c>
      <c r="Y85" s="380">
        <f t="shared" si="36"/>
        <v>13.050097916623082</v>
      </c>
      <c r="Z85" s="380">
        <f t="shared" si="37"/>
        <v>13.400580575518106</v>
      </c>
      <c r="AA85" s="381">
        <f t="shared" si="38"/>
        <v>14.225648278600833</v>
      </c>
      <c r="AB85" s="193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5.7998601323768731E-2</v>
      </c>
      <c r="AD85" s="227">
        <f>(INDEX(Models!$BJ85:$BT85,,AH85)*(1-AF85)+INDEX(Models!$BJ85:$BT85,,AH85+1)*AF85-ERP_i)*AE85*Ramure*Pc/MaxiM</f>
        <v>1.7222139329216334E-4</v>
      </c>
      <c r="AE85" s="301">
        <f t="shared" si="40"/>
        <v>0.5</v>
      </c>
      <c r="AF85" s="173">
        <f t="shared" si="41"/>
        <v>0.50522070884134829</v>
      </c>
      <c r="AG85" s="802">
        <f t="shared" si="49"/>
        <v>2</v>
      </c>
      <c r="AH85" s="172">
        <f t="shared" si="42"/>
        <v>8</v>
      </c>
      <c r="AI85" s="221">
        <f t="shared" si="43"/>
        <v>2.5052207088413483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46459</v>
      </c>
      <c r="B86" s="406">
        <f>'2026'!Wh/'2026'!Env_an*'2027'!Env_an</f>
        <v>8.496657314796547</v>
      </c>
      <c r="C86" s="832"/>
      <c r="D86" s="388">
        <f t="shared" si="25"/>
        <v>8.7249689901186063</v>
      </c>
      <c r="E86" s="380">
        <f t="shared" si="47"/>
        <v>9.0612034674944439</v>
      </c>
      <c r="F86" s="380">
        <f t="shared" si="26"/>
        <v>9.0612034674944439</v>
      </c>
      <c r="G86" s="110">
        <f t="shared" si="48"/>
        <v>0.20905005968409587</v>
      </c>
      <c r="H86" s="409" t="b">
        <f>Wh_hp&gt;='2026'!Maxi_hp</f>
        <v>0</v>
      </c>
      <c r="I86" s="385">
        <f>IF(H86,Wh_hp,'2026'!Maxi_hp)</f>
        <v>9.0625850333182196</v>
      </c>
      <c r="J86" s="85">
        <f>IF(H86,An,'2026'!An_max)</f>
        <v>2022</v>
      </c>
      <c r="K86" s="193">
        <f t="shared" si="27"/>
        <v>46459</v>
      </c>
      <c r="L86" s="143">
        <f>IF(t&lt;Tvie,1-EXP((T0-t)*PertePVj)+'2026'!Pspv,1-EXP((T0-t)*PertePVj)+Pspv)</f>
        <v>2.6167620260958091E-2</v>
      </c>
      <c r="M86" s="836"/>
      <c r="N86" s="836"/>
      <c r="O86" s="48">
        <f>IF(t&lt;Tnet,'2026'!Resal+('2026'!Salim-'2026'!Resal)*(1-EXP(('2026'!Tnet-t)/('2026'!Tau_j))),Resal+(Salim-Resal)*(1-EXP((Tnet-t)/(Tau_j))))*Salcycl</f>
        <v>3.7107044178184813E-2</v>
      </c>
      <c r="P86" s="165">
        <f>(INDEX(Models!$BJ86:$BT86,,T86)*(1-R86)+INDEX(Models!$BJ86:$BT86,,T86+1)*R86-ERP_i)*Q86*Ramure*Pc/MaxiM</f>
        <v>1.5286201983479429E-4</v>
      </c>
      <c r="Q86" s="301">
        <f t="shared" si="28"/>
        <v>0.5</v>
      </c>
      <c r="R86" s="173">
        <f t="shared" si="29"/>
        <v>0.50571558208819445</v>
      </c>
      <c r="S86" s="802">
        <f t="shared" si="30"/>
        <v>2</v>
      </c>
      <c r="T86" s="172">
        <f t="shared" si="31"/>
        <v>8</v>
      </c>
      <c r="U86" s="247">
        <f t="shared" si="32"/>
        <v>2.5057155820881944</v>
      </c>
      <c r="V86" s="378">
        <f t="shared" si="33"/>
        <v>40.637914724517415</v>
      </c>
      <c r="W86" s="397">
        <f t="shared" si="34"/>
        <v>8.496657314796547</v>
      </c>
      <c r="X86" s="153">
        <f t="shared" si="35"/>
        <v>46459</v>
      </c>
      <c r="Y86" s="380">
        <f t="shared" si="36"/>
        <v>8.3121183796432874</v>
      </c>
      <c r="Z86" s="380">
        <f t="shared" si="37"/>
        <v>8.5354713527503439</v>
      </c>
      <c r="AA86" s="381">
        <f t="shared" si="38"/>
        <v>9.0612034674944439</v>
      </c>
      <c r="AB86" s="193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5.8020120244521182E-2</v>
      </c>
      <c r="AD86" s="227">
        <f>(INDEX(Models!$BJ86:$BT86,,AH86)*(1-AF86)+INDEX(Models!$BJ86:$BT86,,AH86+1)*AF86-ERP_i)*AE86*Ramure*Pc/MaxiM</f>
        <v>1.5286201983479429E-4</v>
      </c>
      <c r="AE86" s="301">
        <f t="shared" si="40"/>
        <v>0.5</v>
      </c>
      <c r="AF86" s="173">
        <f t="shared" si="41"/>
        <v>0.50571558208819445</v>
      </c>
      <c r="AG86" s="802">
        <f t="shared" si="49"/>
        <v>2</v>
      </c>
      <c r="AH86" s="172">
        <f t="shared" si="42"/>
        <v>8</v>
      </c>
      <c r="AI86" s="221">
        <f t="shared" si="43"/>
        <v>2.5057155820881944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46460</v>
      </c>
      <c r="B87" s="406">
        <f>'2026'!Wh/'2026'!Env_an*'2027'!Env_an</f>
        <v>12.652307298321173</v>
      </c>
      <c r="C87" s="832"/>
      <c r="D87" s="388">
        <f t="shared" si="25"/>
        <v>12.99246232040943</v>
      </c>
      <c r="E87" s="380">
        <f t="shared" si="47"/>
        <v>13.493716491135402</v>
      </c>
      <c r="F87" s="380">
        <f t="shared" si="26"/>
        <v>13.493737506697176</v>
      </c>
      <c r="G87" s="110">
        <f t="shared" si="48"/>
        <v>0.30797625356019331</v>
      </c>
      <c r="H87" s="409" t="b">
        <f>Wh_hp&gt;='2026'!Maxi_hp</f>
        <v>0</v>
      </c>
      <c r="I87" s="385">
        <f>IF(H87,Wh_hp,'2026'!Maxi_hp)</f>
        <v>13.495546182179719</v>
      </c>
      <c r="J87" s="85">
        <f>IF(H87,An,'2026'!An_max)</f>
        <v>2022</v>
      </c>
      <c r="K87" s="193">
        <f t="shared" si="27"/>
        <v>46460</v>
      </c>
      <c r="L87" s="143">
        <f>IF(t&lt;Tvie,1-EXP((T0-t)*PertePVj)+'2026'!Pspv,1-EXP((T0-t)*PertePVj)+Pspv)</f>
        <v>2.6180951208449543E-2</v>
      </c>
      <c r="M87" s="836"/>
      <c r="N87" s="836"/>
      <c r="O87" s="48">
        <f>IF(t&lt;Tnet,'2026'!Resal+('2026'!Salim-'2026'!Resal)*(1-EXP(('2026'!Tnet-t)/('2026'!Tau_j))),Resal+(Salim-Resal)*(1-EXP((Tnet-t)/(Tau_j))))*Salcycl</f>
        <v>3.7147228567849834E-2</v>
      </c>
      <c r="P87" s="165">
        <f>(INDEX(Models!$BJ87:$BT87,,T87)*(1-R87)+INDEX(Models!$BJ87:$BT87,,T87+1)*R87-ERP_i)*Q87*Ramure*Pc/MaxiM</f>
        <v>1.3597508314394159E-4</v>
      </c>
      <c r="Q87" s="301">
        <f t="shared" si="28"/>
        <v>0.5</v>
      </c>
      <c r="R87" s="173">
        <f t="shared" si="29"/>
        <v>0.50623015132123195</v>
      </c>
      <c r="S87" s="802">
        <f t="shared" si="30"/>
        <v>2</v>
      </c>
      <c r="T87" s="172">
        <f t="shared" si="31"/>
        <v>8</v>
      </c>
      <c r="U87" s="247">
        <f t="shared" si="32"/>
        <v>2.5062301513212319</v>
      </c>
      <c r="V87" s="378">
        <f t="shared" si="33"/>
        <v>41.076565014307384</v>
      </c>
      <c r="W87" s="397">
        <f t="shared" si="34"/>
        <v>12.652307298321173</v>
      </c>
      <c r="X87" s="153">
        <f t="shared" si="35"/>
        <v>46460</v>
      </c>
      <c r="Y87" s="380">
        <f t="shared" si="36"/>
        <v>12.377743853440013</v>
      </c>
      <c r="Z87" s="380">
        <f t="shared" si="37"/>
        <v>12.710517286348045</v>
      </c>
      <c r="AA87" s="381">
        <f t="shared" si="38"/>
        <v>13.493716491135402</v>
      </c>
      <c r="AB87" s="193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5.8041771168222914E-2</v>
      </c>
      <c r="AD87" s="227">
        <f>(INDEX(Models!$BJ87:$BT87,,AH87)*(1-AF87)+INDEX(Models!$BJ87:$BT87,,AH87+1)*AF87-ERP_i)*AE87*Ramure*Pc/MaxiM</f>
        <v>1.3597508314394159E-4</v>
      </c>
      <c r="AE87" s="301">
        <f t="shared" si="40"/>
        <v>0.5</v>
      </c>
      <c r="AF87" s="173">
        <f t="shared" si="41"/>
        <v>0.50623015132123195</v>
      </c>
      <c r="AG87" s="802">
        <f t="shared" si="49"/>
        <v>2</v>
      </c>
      <c r="AH87" s="172">
        <f t="shared" si="42"/>
        <v>8</v>
      </c>
      <c r="AI87" s="221">
        <f t="shared" si="43"/>
        <v>2.5062301513212319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46461</v>
      </c>
      <c r="B88" s="406">
        <f>'2026'!Wh/'2026'!Env_an*'2027'!Env_an</f>
        <v>14.994095179782096</v>
      </c>
      <c r="C88" s="832"/>
      <c r="D88" s="388">
        <f t="shared" si="25"/>
        <v>15.397419528577176</v>
      </c>
      <c r="E88" s="380">
        <f t="shared" si="47"/>
        <v>15.992126525806032</v>
      </c>
      <c r="F88" s="380">
        <f t="shared" si="26"/>
        <v>15.992296305195952</v>
      </c>
      <c r="G88" s="110">
        <f t="shared" si="48"/>
        <v>0.36113074208761331</v>
      </c>
      <c r="H88" s="409" t="b">
        <f>Wh_hp&gt;='2026'!Maxi_hp</f>
        <v>0</v>
      </c>
      <c r="I88" s="385">
        <f>IF(H88,Wh_hp,'2026'!Maxi_hp)</f>
        <v>15.994063855850605</v>
      </c>
      <c r="J88" s="85">
        <f>IF(H88,An,'2026'!An_max)</f>
        <v>2022</v>
      </c>
      <c r="K88" s="193">
        <f t="shared" si="27"/>
        <v>46461</v>
      </c>
      <c r="L88" s="143">
        <f>IF(t&lt;Tvie,1-EXP((T0-t)*PertePVj)+'2026'!Pspv,1-EXP((T0-t)*PertePVj)+Pspv)</f>
        <v>2.6194281973451528E-2</v>
      </c>
      <c r="M88" s="836"/>
      <c r="N88" s="836"/>
      <c r="O88" s="48">
        <f>IF(t&lt;Tnet,'2026'!Resal+('2026'!Salim-'2026'!Resal)*(1-EXP(('2026'!Tnet-t)/('2026'!Tau_j))),Resal+(Salim-Resal)*(1-EXP((Tnet-t)/(Tau_j))))*Salcycl</f>
        <v>3.7187486996754053E-2</v>
      </c>
      <c r="P88" s="165">
        <f>(INDEX(Models!$BJ88:$BT88,,T88)*(1-R88)+INDEX(Models!$BJ88:$BT88,,T88+1)*R88-ERP_i)*Q88*Ramure*Pc/MaxiM</f>
        <v>1.2148652869390586E-4</v>
      </c>
      <c r="Q88" s="301">
        <f t="shared" si="28"/>
        <v>0.5</v>
      </c>
      <c r="R88" s="173">
        <f t="shared" si="29"/>
        <v>0.50676515525286359</v>
      </c>
      <c r="S88" s="802">
        <f t="shared" si="30"/>
        <v>2</v>
      </c>
      <c r="T88" s="172">
        <f t="shared" si="31"/>
        <v>8</v>
      </c>
      <c r="U88" s="247">
        <f t="shared" si="32"/>
        <v>2.5067651552528636</v>
      </c>
      <c r="V88" s="378">
        <f t="shared" si="33"/>
        <v>41.515249233712957</v>
      </c>
      <c r="W88" s="397">
        <f t="shared" si="34"/>
        <v>14.994095179782096</v>
      </c>
      <c r="X88" s="153">
        <f t="shared" si="35"/>
        <v>46461</v>
      </c>
      <c r="Y88" s="380">
        <f t="shared" si="36"/>
        <v>14.668987210613697</v>
      </c>
      <c r="Z88" s="380">
        <f t="shared" si="37"/>
        <v>15.063566519552705</v>
      </c>
      <c r="AA88" s="381">
        <f t="shared" si="38"/>
        <v>15.992126525806032</v>
      </c>
      <c r="AB88" s="193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5.8063573018568689E-2</v>
      </c>
      <c r="AD88" s="227">
        <f>(INDEX(Models!$BJ88:$BT88,,AH88)*(1-AF88)+INDEX(Models!$BJ88:$BT88,,AH88+1)*AF88-ERP_i)*AE88*Ramure*Pc/MaxiM</f>
        <v>1.2148652869390586E-4</v>
      </c>
      <c r="AE88" s="301">
        <f t="shared" si="40"/>
        <v>0.5</v>
      </c>
      <c r="AF88" s="173">
        <f t="shared" si="41"/>
        <v>0.50676515525286359</v>
      </c>
      <c r="AG88" s="802">
        <f t="shared" si="49"/>
        <v>2</v>
      </c>
      <c r="AH88" s="172">
        <f t="shared" si="42"/>
        <v>8</v>
      </c>
      <c r="AI88" s="221">
        <f t="shared" si="43"/>
        <v>2.5067651552528636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46462</v>
      </c>
      <c r="B89" s="406">
        <f>'2026'!Wh/'2026'!Env_an*'2027'!Env_an</f>
        <v>12.590811168220647</v>
      </c>
      <c r="C89" s="832"/>
      <c r="D89" s="388">
        <f t="shared" si="25"/>
        <v>12.929666867974232</v>
      </c>
      <c r="E89" s="380">
        <f t="shared" si="47"/>
        <v>13.429622606065685</v>
      </c>
      <c r="F89" s="380">
        <f t="shared" si="26"/>
        <v>13.429622844775881</v>
      </c>
      <c r="G89" s="110">
        <f t="shared" si="48"/>
        <v>0.30008100690471634</v>
      </c>
      <c r="H89" s="409" t="b">
        <f>Wh_hp&gt;='2026'!Maxi_hp</f>
        <v>0</v>
      </c>
      <c r="I89" s="385">
        <f>IF(H89,Wh_hp,'2026'!Maxi_hp)</f>
        <v>13.431085760338645</v>
      </c>
      <c r="J89" s="85">
        <f>IF(H89,An,'2026'!An_max)</f>
        <v>2022</v>
      </c>
      <c r="K89" s="193">
        <f t="shared" si="27"/>
        <v>46462</v>
      </c>
      <c r="L89" s="143">
        <f>IF(t&lt;Tvie,1-EXP((T0-t)*PertePVj)+'2026'!Pspv,1-EXP((T0-t)*PertePVj)+Pspv)</f>
        <v>2.6207612555966486E-2</v>
      </c>
      <c r="M89" s="836"/>
      <c r="N89" s="836"/>
      <c r="O89" s="48">
        <f>IF(t&lt;Tnet,'2026'!Resal+('2026'!Salim-'2026'!Resal)*(1-EXP(('2026'!Tnet-t)/('2026'!Tau_j))),Resal+(Salim-Resal)*(1-EXP((Tnet-t)/(Tau_j))))*Salcycl</f>
        <v>3.7227832289616243E-2</v>
      </c>
      <c r="P89" s="165">
        <f>(INDEX(Models!$BJ89:$BT89,,T89)*(1-R89)+INDEX(Models!$BJ89:$BT89,,T89+1)*R89-ERP_i)*Q89*Ramure*Pc/MaxiM</f>
        <v>1.0932490455987626E-4</v>
      </c>
      <c r="Q89" s="301">
        <f t="shared" si="28"/>
        <v>0.5</v>
      </c>
      <c r="R89" s="173">
        <f t="shared" si="29"/>
        <v>0.50732135654563537</v>
      </c>
      <c r="S89" s="802">
        <f t="shared" si="30"/>
        <v>2</v>
      </c>
      <c r="T89" s="172">
        <f t="shared" si="31"/>
        <v>8</v>
      </c>
      <c r="U89" s="247">
        <f t="shared" si="32"/>
        <v>2.5073213565456354</v>
      </c>
      <c r="V89" s="378">
        <f t="shared" si="33"/>
        <v>41.953454610890354</v>
      </c>
      <c r="W89" s="397">
        <f t="shared" si="34"/>
        <v>12.590811168220647</v>
      </c>
      <c r="X89" s="153">
        <f t="shared" si="35"/>
        <v>46462</v>
      </c>
      <c r="Y89" s="380">
        <f t="shared" si="36"/>
        <v>12.3180409986921</v>
      </c>
      <c r="Z89" s="380">
        <f t="shared" si="37"/>
        <v>12.649555652230903</v>
      </c>
      <c r="AA89" s="381">
        <f t="shared" si="38"/>
        <v>13.429622606065685</v>
      </c>
      <c r="AB89" s="193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5.8085545418264571E-2</v>
      </c>
      <c r="AD89" s="227">
        <f>(INDEX(Models!$BJ89:$BT89,,AH89)*(1-AF89)+INDEX(Models!$BJ89:$BT89,,AH89+1)*AF89-ERP_i)*AE89*Ramure*Pc/MaxiM</f>
        <v>1.0932490455987626E-4</v>
      </c>
      <c r="AE89" s="301">
        <f t="shared" si="40"/>
        <v>0.5</v>
      </c>
      <c r="AF89" s="173">
        <f t="shared" si="41"/>
        <v>0.50732135654563537</v>
      </c>
      <c r="AG89" s="802">
        <f t="shared" si="49"/>
        <v>2</v>
      </c>
      <c r="AH89" s="172">
        <f t="shared" si="42"/>
        <v>8</v>
      </c>
      <c r="AI89" s="221">
        <f t="shared" si="43"/>
        <v>2.5073213565456354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46463</v>
      </c>
      <c r="B90" s="406">
        <f>'2026'!Wh/'2026'!Env_an*'2027'!Env_an</f>
        <v>12.092480037057211</v>
      </c>
      <c r="C90" s="832"/>
      <c r="D90" s="388">
        <f t="shared" si="25"/>
        <v>12.418094176070145</v>
      </c>
      <c r="E90" s="380">
        <f t="shared" si="47"/>
        <v>12.898810632881782</v>
      </c>
      <c r="F90" s="380">
        <f t="shared" si="26"/>
        <v>12.898810632881782</v>
      </c>
      <c r="G90" s="110">
        <f t="shared" si="48"/>
        <v>0.28523442143447297</v>
      </c>
      <c r="H90" s="409" t="b">
        <f>Wh_hp&gt;='2026'!Maxi_hp</f>
        <v>0</v>
      </c>
      <c r="I90" s="385">
        <f>IF(H90,Wh_hp,'2026'!Maxi_hp)</f>
        <v>12.900088201183433</v>
      </c>
      <c r="J90" s="85">
        <f>IF(H90,An,'2026'!An_max)</f>
        <v>2022</v>
      </c>
      <c r="K90" s="193">
        <f t="shared" si="27"/>
        <v>46463</v>
      </c>
      <c r="L90" s="143">
        <f>IF(t&lt;Tvie,1-EXP((T0-t)*PertePVj)+'2026'!Pspv,1-EXP((T0-t)*PertePVj)+Pspv)</f>
        <v>2.6220942955997084E-2</v>
      </c>
      <c r="M90" s="836"/>
      <c r="N90" s="836"/>
      <c r="O90" s="48">
        <f>IF(t&lt;Tnet,'2026'!Resal+('2026'!Salim-'2026'!Resal)*(1-EXP(('2026'!Tnet-t)/('2026'!Tau_j))),Resal+(Salim-Resal)*(1-EXP((Tnet-t)/(Tau_j))))*Salcycl</f>
        <v>3.7268277711294449E-2</v>
      </c>
      <c r="P90" s="165">
        <f>(INDEX(Models!$BJ90:$BT90,,T90)*(1-R90)+INDEX(Models!$BJ90:$BT90,,T90+1)*R90-ERP_i)*Q90*Ramure*Pc/MaxiM</f>
        <v>9.9421588658411074E-5</v>
      </c>
      <c r="Q90" s="301">
        <f t="shared" si="28"/>
        <v>0.5</v>
      </c>
      <c r="R90" s="173">
        <f t="shared" si="29"/>
        <v>0.50789954227139944</v>
      </c>
      <c r="S90" s="802">
        <f t="shared" si="30"/>
        <v>2</v>
      </c>
      <c r="T90" s="172">
        <f t="shared" si="31"/>
        <v>8</v>
      </c>
      <c r="U90" s="247">
        <f t="shared" si="32"/>
        <v>2.5078995422713994</v>
      </c>
      <c r="V90" s="378">
        <f t="shared" si="33"/>
        <v>42.390668428700991</v>
      </c>
      <c r="W90" s="397">
        <f t="shared" si="34"/>
        <v>12.092480037057211</v>
      </c>
      <c r="X90" s="153">
        <f t="shared" si="35"/>
        <v>46463</v>
      </c>
      <c r="Y90" s="380">
        <f t="shared" si="36"/>
        <v>11.830724455060942</v>
      </c>
      <c r="Z90" s="380">
        <f t="shared" si="37"/>
        <v>12.149290303053148</v>
      </c>
      <c r="AA90" s="381">
        <f t="shared" si="38"/>
        <v>12.898810632881782</v>
      </c>
      <c r="AB90" s="193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5.8107708622215766E-2</v>
      </c>
      <c r="AD90" s="227">
        <f>(INDEX(Models!$BJ90:$BT90,,AH90)*(1-AF90)+INDEX(Models!$BJ90:$BT90,,AH90+1)*AF90-ERP_i)*AE90*Ramure*Pc/MaxiM</f>
        <v>9.9421588658411074E-5</v>
      </c>
      <c r="AE90" s="301">
        <f t="shared" si="40"/>
        <v>0.5</v>
      </c>
      <c r="AF90" s="173">
        <f t="shared" si="41"/>
        <v>0.50789954227139944</v>
      </c>
      <c r="AG90" s="802">
        <f t="shared" si="49"/>
        <v>2</v>
      </c>
      <c r="AH90" s="172">
        <f t="shared" si="42"/>
        <v>8</v>
      </c>
      <c r="AI90" s="221">
        <f t="shared" si="43"/>
        <v>2.5078995422713994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46464</v>
      </c>
      <c r="B91" s="406">
        <f>'2026'!Wh/'2026'!Env_an*'2027'!Env_an</f>
        <v>14.273504739859936</v>
      </c>
      <c r="C91" s="832"/>
      <c r="D91" s="388">
        <f t="shared" si="25"/>
        <v>14.658047974616974</v>
      </c>
      <c r="E91" s="380">
        <f t="shared" si="47"/>
        <v>15.226116678771502</v>
      </c>
      <c r="F91" s="380">
        <f t="shared" si="26"/>
        <v>15.226183083360835</v>
      </c>
      <c r="G91" s="110">
        <f t="shared" si="48"/>
        <v>0.33325858048013912</v>
      </c>
      <c r="H91" s="409" t="b">
        <f>Wh_hp&gt;='2026'!Maxi_hp</f>
        <v>0</v>
      </c>
      <c r="I91" s="385">
        <f>IF(H91,Wh_hp,'2026'!Maxi_hp)</f>
        <v>15.227507547270084</v>
      </c>
      <c r="J91" s="85">
        <f>IF(H91,An,'2026'!An_max)</f>
        <v>2022</v>
      </c>
      <c r="K91" s="193">
        <f t="shared" si="27"/>
        <v>46464</v>
      </c>
      <c r="L91" s="143">
        <f>IF(t&lt;Tvie,1-EXP((T0-t)*PertePVj)+'2026'!Pspv,1-EXP((T0-t)*PertePVj)+Pspv)</f>
        <v>2.6234273173545541E-2</v>
      </c>
      <c r="M91" s="836"/>
      <c r="N91" s="836"/>
      <c r="O91" s="48">
        <f>IF(t&lt;Tnet,'2026'!Resal+('2026'!Salim-'2026'!Resal)*(1-EXP(('2026'!Tnet-t)/('2026'!Tau_j))),Resal+(Salim-Resal)*(1-EXP((Tnet-t)/(Tau_j))))*Salcycl</f>
        <v>3.7308836924029344E-2</v>
      </c>
      <c r="P91" s="165">
        <f>(INDEX(Models!$BJ91:$BT91,,T91)*(1-R91)+INDEX(Models!$BJ91:$BT91,,T91+1)*R91-ERP_i)*Q91*Ramure*Pc/MaxiM</f>
        <v>9.1710991234898037E-5</v>
      </c>
      <c r="Q91" s="301">
        <f t="shared" si="28"/>
        <v>0.5</v>
      </c>
      <c r="R91" s="173">
        <f t="shared" si="29"/>
        <v>0.50850052435002491</v>
      </c>
      <c r="S91" s="802">
        <f t="shared" si="30"/>
        <v>2</v>
      </c>
      <c r="T91" s="172">
        <f t="shared" si="31"/>
        <v>8</v>
      </c>
      <c r="U91" s="247">
        <f t="shared" si="32"/>
        <v>2.5085005243500249</v>
      </c>
      <c r="V91" s="378">
        <f t="shared" si="33"/>
        <v>42.826378022586098</v>
      </c>
      <c r="W91" s="397">
        <f t="shared" si="34"/>
        <v>14.273504739859936</v>
      </c>
      <c r="X91" s="153">
        <f t="shared" si="35"/>
        <v>46464</v>
      </c>
      <c r="Y91" s="380">
        <f t="shared" si="36"/>
        <v>13.96479497668623</v>
      </c>
      <c r="Z91" s="380">
        <f t="shared" si="37"/>
        <v>14.341021245631755</v>
      </c>
      <c r="AA91" s="381">
        <f t="shared" si="38"/>
        <v>15.226116678771502</v>
      </c>
      <c r="AB91" s="193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5.8130083448904753E-2</v>
      </c>
      <c r="AD91" s="227">
        <f>(INDEX(Models!$BJ91:$BT91,,AH91)*(1-AF91)+INDEX(Models!$BJ91:$BT91,,AH91+1)*AF91-ERP_i)*AE91*Ramure*Pc/MaxiM</f>
        <v>9.1710991234898037E-5</v>
      </c>
      <c r="AE91" s="301">
        <f t="shared" si="40"/>
        <v>0.5</v>
      </c>
      <c r="AF91" s="173">
        <f t="shared" si="41"/>
        <v>0.50850052435002491</v>
      </c>
      <c r="AG91" s="802">
        <f t="shared" si="49"/>
        <v>2</v>
      </c>
      <c r="AH91" s="172">
        <f t="shared" si="42"/>
        <v>8</v>
      </c>
      <c r="AI91" s="221">
        <f t="shared" si="43"/>
        <v>2.5085005243500249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46465</v>
      </c>
      <c r="B92" s="406">
        <f>'2026'!Wh/'2026'!Env_an*'2027'!Env_an</f>
        <v>26.227084833654825</v>
      </c>
      <c r="C92" s="832"/>
      <c r="D92" s="388">
        <f t="shared" si="25"/>
        <v>26.934038796798628</v>
      </c>
      <c r="E92" s="380">
        <f t="shared" si="47"/>
        <v>27.979042722899262</v>
      </c>
      <c r="F92" s="380">
        <f t="shared" si="26"/>
        <v>27.980097127495593</v>
      </c>
      <c r="G92" s="110">
        <f t="shared" si="48"/>
        <v>0.60623604399844788</v>
      </c>
      <c r="H92" s="409" t="b">
        <f>Wh_hp&gt;='2026'!Maxi_hp</f>
        <v>0</v>
      </c>
      <c r="I92" s="385">
        <f>IF(H92,Wh_hp,'2026'!Maxi_hp)</f>
        <v>27.981446472007683</v>
      </c>
      <c r="J92" s="85">
        <f>IF(H92,An,'2026'!An_max)</f>
        <v>2022</v>
      </c>
      <c r="K92" s="193">
        <f t="shared" si="27"/>
        <v>46465</v>
      </c>
      <c r="L92" s="143">
        <f>IF(t&lt;Tvie,1-EXP((T0-t)*PertePVj)+'2026'!Pspv,1-EXP((T0-t)*PertePVj)+Pspv)</f>
        <v>2.6247603208614634E-2</v>
      </c>
      <c r="M92" s="836"/>
      <c r="N92" s="836"/>
      <c r="O92" s="48">
        <f>IF(t&lt;Tnet,'2026'!Resal+('2026'!Salim-'2026'!Resal)*(1-EXP(('2026'!Tnet-t)/('2026'!Tau_j))),Resal+(Salim-Resal)*(1-EXP((Tnet-t)/(Tau_j))))*Salcycl</f>
        <v>3.7349523943696492E-2</v>
      </c>
      <c r="P92" s="165">
        <f>(INDEX(Models!$BJ92:$BT92,,T92)*(1-R92)+INDEX(Models!$BJ92:$BT92,,T92+1)*R92-ERP_i)*Q92*Ramure*Pc/MaxiM</f>
        <v>8.6130735038150697E-5</v>
      </c>
      <c r="Q92" s="301">
        <f t="shared" si="28"/>
        <v>0.5</v>
      </c>
      <c r="R92" s="173">
        <f t="shared" si="29"/>
        <v>0.50912513996423181</v>
      </c>
      <c r="S92" s="802">
        <f t="shared" si="30"/>
        <v>2</v>
      </c>
      <c r="T92" s="172">
        <f t="shared" si="31"/>
        <v>8</v>
      </c>
      <c r="U92" s="247">
        <f t="shared" si="32"/>
        <v>2.5091251399642318</v>
      </c>
      <c r="V92" s="378">
        <f t="shared" si="33"/>
        <v>43.260070778075892</v>
      </c>
      <c r="W92" s="397">
        <f t="shared" si="34"/>
        <v>26.227084833654825</v>
      </c>
      <c r="X92" s="153">
        <f t="shared" si="35"/>
        <v>46465</v>
      </c>
      <c r="Y92" s="380">
        <f t="shared" si="36"/>
        <v>25.660309616391132</v>
      </c>
      <c r="Z92" s="380">
        <f t="shared" si="37"/>
        <v>26.351986091068426</v>
      </c>
      <c r="AA92" s="381">
        <f t="shared" si="38"/>
        <v>27.979042722899262</v>
      </c>
      <c r="AB92" s="193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5.8152691210524521E-2</v>
      </c>
      <c r="AD92" s="227">
        <f>(INDEX(Models!$BJ92:$BT92,,AH92)*(1-AF92)+INDEX(Models!$BJ92:$BT92,,AH92+1)*AF92-ERP_i)*AE92*Ramure*Pc/MaxiM</f>
        <v>8.6130735038150697E-5</v>
      </c>
      <c r="AE92" s="301">
        <f t="shared" si="40"/>
        <v>0.5</v>
      </c>
      <c r="AF92" s="173">
        <f t="shared" si="41"/>
        <v>0.50912513996423181</v>
      </c>
      <c r="AG92" s="802">
        <f t="shared" si="49"/>
        <v>2</v>
      </c>
      <c r="AH92" s="172">
        <f t="shared" si="42"/>
        <v>8</v>
      </c>
      <c r="AI92" s="221">
        <f t="shared" si="43"/>
        <v>2.5091251399642318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46466</v>
      </c>
      <c r="B93" s="406">
        <f>'2026'!Wh/'2026'!Env_an*'2027'!Env_an</f>
        <v>31.43835405112506</v>
      </c>
      <c r="C93" s="832"/>
      <c r="D93" s="388">
        <f t="shared" si="25"/>
        <v>32.286220321795092</v>
      </c>
      <c r="E93" s="380">
        <f t="shared" si="47"/>
        <v>33.540304136381998</v>
      </c>
      <c r="F93" s="380">
        <f t="shared" si="26"/>
        <v>33.541964733634195</v>
      </c>
      <c r="G93" s="110">
        <f t="shared" si="48"/>
        <v>0.71946509425844263</v>
      </c>
      <c r="H93" s="409" t="b">
        <f>Wh_hp&gt;='2026'!Maxi_hp</f>
        <v>0</v>
      </c>
      <c r="I93" s="385">
        <f>IF(H93,Wh_hp,'2026'!Maxi_hp)</f>
        <v>33.543069625939346</v>
      </c>
      <c r="J93" s="85">
        <f>IF(H93,An,'2026'!An_max)</f>
        <v>2022</v>
      </c>
      <c r="K93" s="193">
        <f t="shared" si="27"/>
        <v>46466</v>
      </c>
      <c r="L93" s="143">
        <f>IF(t&lt;Tvie,1-EXP((T0-t)*PertePVj)+'2026'!Pspv,1-EXP((T0-t)*PertePVj)+Pspv)</f>
        <v>2.6260933061206693E-2</v>
      </c>
      <c r="M93" s="836"/>
      <c r="N93" s="836"/>
      <c r="O93" s="48">
        <f>IF(t&lt;Tnet,'2026'!Resal+('2026'!Salim-'2026'!Resal)*(1-EXP(('2026'!Tnet-t)/('2026'!Tau_j))),Resal+(Salim-Resal)*(1-EXP((Tnet-t)/(Tau_j))))*Salcycl</f>
        <v>3.7390353095414129E-2</v>
      </c>
      <c r="P93" s="165">
        <f>(INDEX(Models!$BJ93:$BT93,,T93)*(1-R93)+INDEX(Models!$BJ93:$BT93,,T93+1)*R93-ERP_i)*Q93*Ramure*Pc/MaxiM</f>
        <v>8.2613946325356147E-5</v>
      </c>
      <c r="Q93" s="301">
        <f t="shared" si="28"/>
        <v>0.5</v>
      </c>
      <c r="R93" s="173">
        <f t="shared" si="29"/>
        <v>0.50977425194685333</v>
      </c>
      <c r="S93" s="802">
        <f t="shared" si="30"/>
        <v>2</v>
      </c>
      <c r="T93" s="172">
        <f t="shared" si="31"/>
        <v>8</v>
      </c>
      <c r="U93" s="247">
        <f t="shared" si="32"/>
        <v>2.5097742519468533</v>
      </c>
      <c r="V93" s="378">
        <f t="shared" si="33"/>
        <v>43.695397393939693</v>
      </c>
      <c r="W93" s="397">
        <f t="shared" si="34"/>
        <v>31.43835405112506</v>
      </c>
      <c r="X93" s="153">
        <f t="shared" si="35"/>
        <v>46466</v>
      </c>
      <c r="Y93" s="380">
        <f t="shared" si="36"/>
        <v>30.759519701270587</v>
      </c>
      <c r="Z93" s="380">
        <f t="shared" si="37"/>
        <v>31.589078373913132</v>
      </c>
      <c r="AA93" s="381">
        <f t="shared" si="38"/>
        <v>33.540304136381998</v>
      </c>
      <c r="AB93" s="193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5.8175553642410865E-2</v>
      </c>
      <c r="AD93" s="227">
        <f>(INDEX(Models!$BJ93:$BT93,,AH93)*(1-AF93)+INDEX(Models!$BJ93:$BT93,,AH93+1)*AF93-ERP_i)*AE93*Ramure*Pc/MaxiM</f>
        <v>8.2613946325356147E-5</v>
      </c>
      <c r="AE93" s="301">
        <f t="shared" si="40"/>
        <v>0.5</v>
      </c>
      <c r="AF93" s="173">
        <f t="shared" si="41"/>
        <v>0.50977425194685333</v>
      </c>
      <c r="AG93" s="802">
        <f t="shared" si="49"/>
        <v>2</v>
      </c>
      <c r="AH93" s="172">
        <f t="shared" si="42"/>
        <v>8</v>
      </c>
      <c r="AI93" s="221">
        <f t="shared" si="43"/>
        <v>2.5097742519468533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46467</v>
      </c>
      <c r="B94" s="406">
        <f>'2026'!Wh/'2026'!Env_an*'2027'!Env_an</f>
        <v>42.285481798292423</v>
      </c>
      <c r="C94" s="832"/>
      <c r="D94" s="388">
        <f t="shared" si="25"/>
        <v>43.426480557969249</v>
      </c>
      <c r="E94" s="380">
        <f t="shared" si="47"/>
        <v>45.115203014658853</v>
      </c>
      <c r="F94" s="380">
        <f t="shared" si="26"/>
        <v>45.118663354882486</v>
      </c>
      <c r="G94" s="110">
        <f t="shared" si="48"/>
        <v>0.95807982704465267</v>
      </c>
      <c r="H94" s="409" t="b">
        <f>Wh_hp&gt;='2026'!Maxi_hp</f>
        <v>0</v>
      </c>
      <c r="I94" s="385">
        <f>IF(H94,Wh_hp,'2026'!Maxi_hp)</f>
        <v>45.118882566979195</v>
      </c>
      <c r="J94" s="85">
        <f>IF(H94,An,'2026'!An_max)</f>
        <v>2022</v>
      </c>
      <c r="K94" s="193">
        <f t="shared" si="27"/>
        <v>46467</v>
      </c>
      <c r="L94" s="143">
        <f>IF(t&lt;Tvie,1-EXP((T0-t)*PertePVj)+'2026'!Pspv,1-EXP((T0-t)*PertePVj)+Pspv)</f>
        <v>2.6274262731324272E-2</v>
      </c>
      <c r="M94" s="836"/>
      <c r="N94" s="836"/>
      <c r="O94" s="48">
        <f>IF(t&lt;Tnet,'2026'!Resal+('2026'!Salim-'2026'!Resal)*(1-EXP(('2026'!Tnet-t)/('2026'!Tau_j))),Resal+(Salim-Resal)*(1-EXP((Tnet-t)/(Tau_j))))*Salcycl</f>
        <v>3.7431338968837199E-2</v>
      </c>
      <c r="P94" s="165">
        <f>(INDEX(Models!$BJ94:$BT94,,T94)*(1-R94)+INDEX(Models!$BJ94:$BT94,,T94+1)*R94-ERP_i)*Q94*Ramure*Pc/MaxiM</f>
        <v>8.1579107386930551E-5</v>
      </c>
      <c r="Q94" s="301">
        <f t="shared" si="28"/>
        <v>0.5</v>
      </c>
      <c r="R94" s="173">
        <f t="shared" si="29"/>
        <v>0.51044874913655347</v>
      </c>
      <c r="S94" s="802">
        <f t="shared" si="30"/>
        <v>2</v>
      </c>
      <c r="T94" s="172">
        <f t="shared" si="31"/>
        <v>8</v>
      </c>
      <c r="U94" s="247">
        <f t="shared" si="32"/>
        <v>2.5104487491365535</v>
      </c>
      <c r="V94" s="378">
        <f t="shared" si="33"/>
        <v>44.135440522349576</v>
      </c>
      <c r="W94" s="397">
        <f t="shared" si="34"/>
        <v>42.285481798292423</v>
      </c>
      <c r="X94" s="153">
        <f t="shared" si="35"/>
        <v>46467</v>
      </c>
      <c r="Y94" s="380">
        <f t="shared" si="36"/>
        <v>41.373175383858602</v>
      </c>
      <c r="Z94" s="380">
        <f t="shared" si="37"/>
        <v>42.489557172342344</v>
      </c>
      <c r="AA94" s="381">
        <f t="shared" si="38"/>
        <v>45.115203014658853</v>
      </c>
      <c r="AB94" s="193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5.8198692832289366E-2</v>
      </c>
      <c r="AD94" s="227">
        <f>(INDEX(Models!$BJ94:$BT94,,AH94)*(1-AF94)+INDEX(Models!$BJ94:$BT94,,AH94+1)*AF94-ERP_i)*AE94*Ramure*Pc/MaxiM</f>
        <v>8.1579107386930551E-5</v>
      </c>
      <c r="AE94" s="301">
        <f t="shared" si="40"/>
        <v>0.5</v>
      </c>
      <c r="AF94" s="173">
        <f t="shared" si="41"/>
        <v>0.51044874913655347</v>
      </c>
      <c r="AG94" s="802">
        <f t="shared" si="49"/>
        <v>2</v>
      </c>
      <c r="AH94" s="172">
        <f t="shared" si="42"/>
        <v>8</v>
      </c>
      <c r="AI94" s="221">
        <f t="shared" si="43"/>
        <v>2.5104487491365535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46468</v>
      </c>
      <c r="B95" s="406">
        <f>'2026'!Wh/'2026'!Env_an*'2027'!Env_an</f>
        <v>41.271758249174056</v>
      </c>
      <c r="C95" s="832"/>
      <c r="D95" s="388">
        <f t="shared" si="25"/>
        <v>42.385983704600491</v>
      </c>
      <c r="E95" s="380">
        <f t="shared" si="47"/>
        <v>44.036127326129574</v>
      </c>
      <c r="F95" s="380">
        <f t="shared" si="26"/>
        <v>44.039362500512787</v>
      </c>
      <c r="G95" s="110">
        <f t="shared" si="48"/>
        <v>0.92580562232163122</v>
      </c>
      <c r="H95" s="409" t="b">
        <f>Wh_hp&gt;='2026'!Maxi_hp</f>
        <v>0</v>
      </c>
      <c r="I95" s="385">
        <f>IF(H95,Wh_hp,'2026'!Maxi_hp)</f>
        <v>44.0397438016956</v>
      </c>
      <c r="J95" s="85">
        <f>IF(H95,An,'2026'!An_max)</f>
        <v>2022</v>
      </c>
      <c r="K95" s="193">
        <f t="shared" si="27"/>
        <v>46468</v>
      </c>
      <c r="L95" s="143">
        <f>IF(t&lt;Tvie,1-EXP((T0-t)*PertePVj)+'2026'!Pspv,1-EXP((T0-t)*PertePVj)+Pspv)</f>
        <v>2.6287592218969813E-2</v>
      </c>
      <c r="M95" s="836"/>
      <c r="N95" s="836"/>
      <c r="O95" s="48">
        <f>IF(t&lt;Tnet,'2026'!Resal+('2026'!Salim-'2026'!Resal)*(1-EXP(('2026'!Tnet-t)/('2026'!Tau_j))),Resal+(Salim-Resal)*(1-EXP((Tnet-t)/(Tau_j))))*Salcycl</f>
        <v>3.7472496373447947E-2</v>
      </c>
      <c r="P95" s="165">
        <f>(INDEX(Models!$BJ95:$BT95,,T95)*(1-R95)+INDEX(Models!$BJ95:$BT95,,T95+1)*R95-ERP_i)*Q95*Ramure*Pc/MaxiM</f>
        <v>8.2169312906973694E-5</v>
      </c>
      <c r="Q95" s="301">
        <f t="shared" si="28"/>
        <v>0.5</v>
      </c>
      <c r="R95" s="173">
        <f t="shared" si="29"/>
        <v>0.51114954669772805</v>
      </c>
      <c r="S95" s="802">
        <f t="shared" si="30"/>
        <v>2</v>
      </c>
      <c r="T95" s="172">
        <f t="shared" si="31"/>
        <v>8</v>
      </c>
      <c r="U95" s="247">
        <f t="shared" si="32"/>
        <v>2.5111495466977281</v>
      </c>
      <c r="V95" s="378">
        <f t="shared" si="33"/>
        <v>44.578902762267056</v>
      </c>
      <c r="W95" s="397">
        <f t="shared" si="34"/>
        <v>41.271758249174056</v>
      </c>
      <c r="X95" s="153">
        <f t="shared" si="35"/>
        <v>46468</v>
      </c>
      <c r="Y95" s="380">
        <f t="shared" si="36"/>
        <v>40.382044545386435</v>
      </c>
      <c r="Z95" s="380">
        <f t="shared" si="37"/>
        <v>41.472250145617544</v>
      </c>
      <c r="AA95" s="381">
        <f t="shared" si="38"/>
        <v>44.036127326129574</v>
      </c>
      <c r="AB95" s="193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5.8222131149818709E-2</v>
      </c>
      <c r="AD95" s="227">
        <f>(INDEX(Models!$BJ95:$BT95,,AH95)*(1-AF95)+INDEX(Models!$BJ95:$BT95,,AH95+1)*AF95-ERP_i)*AE95*Ramure*Pc/MaxiM</f>
        <v>8.2169312906973694E-5</v>
      </c>
      <c r="AE95" s="301">
        <f t="shared" si="40"/>
        <v>0.5</v>
      </c>
      <c r="AF95" s="173">
        <f t="shared" si="41"/>
        <v>0.51114954669772805</v>
      </c>
      <c r="AG95" s="802">
        <f t="shared" si="49"/>
        <v>2</v>
      </c>
      <c r="AH95" s="172">
        <f t="shared" si="42"/>
        <v>8</v>
      </c>
      <c r="AI95" s="221">
        <f t="shared" si="43"/>
        <v>2.5111495466977281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46469</v>
      </c>
      <c r="B96" s="406">
        <f>'2026'!Wh/'2026'!Env_an*'2027'!Env_an</f>
        <v>44.03002508645443</v>
      </c>
      <c r="C96" s="832"/>
      <c r="D96" s="388">
        <f t="shared" si="25"/>
        <v>45.219335274893446</v>
      </c>
      <c r="E96" s="380">
        <f t="shared" si="47"/>
        <v>46.98180313440789</v>
      </c>
      <c r="F96" s="380">
        <f t="shared" si="26"/>
        <v>46.985641076666766</v>
      </c>
      <c r="G96" s="110">
        <f t="shared" si="48"/>
        <v>0.97791102994283208</v>
      </c>
      <c r="H96" s="409" t="b">
        <f>Wh_hp&gt;='2026'!Maxi_hp</f>
        <v>0</v>
      </c>
      <c r="I96" s="385">
        <f>IF(H96,Wh_hp,'2026'!Maxi_hp)</f>
        <v>46.985765354828146</v>
      </c>
      <c r="J96" s="85">
        <f>IF(H96,An,'2026'!An_max)</f>
        <v>2022</v>
      </c>
      <c r="K96" s="193">
        <f t="shared" si="27"/>
        <v>46469</v>
      </c>
      <c r="L96" s="143">
        <f>IF(t&lt;Tvie,1-EXP((T0-t)*PertePVj)+'2026'!Pspv,1-EXP((T0-t)*PertePVj)+Pspv)</f>
        <v>2.630092152414587E-2</v>
      </c>
      <c r="M96" s="836"/>
      <c r="N96" s="836"/>
      <c r="O96" s="48">
        <f>IF(t&lt;Tnet,'2026'!Resal+('2026'!Salim-'2026'!Resal)*(1-EXP(('2026'!Tnet-t)/('2026'!Tau_j))),Resal+(Salim-Resal)*(1-EXP((Tnet-t)/(Tau_j))))*Salcycl</f>
        <v>3.7513840294130261E-2</v>
      </c>
      <c r="P96" s="165">
        <f>(INDEX(Models!$BJ96:$BT96,,T96)*(1-R96)+INDEX(Models!$BJ96:$BT96,,T96+1)*R96-ERP_i)*Q96*Ramure*Pc/MaxiM</f>
        <v>8.4344535780966391E-5</v>
      </c>
      <c r="Q96" s="301">
        <f t="shared" si="28"/>
        <v>0.5</v>
      </c>
      <c r="R96" s="173">
        <f t="shared" si="29"/>
        <v>0.5118775864000229</v>
      </c>
      <c r="S96" s="802">
        <f t="shared" si="30"/>
        <v>2</v>
      </c>
      <c r="T96" s="172">
        <f t="shared" si="31"/>
        <v>8</v>
      </c>
      <c r="U96" s="247">
        <f t="shared" si="32"/>
        <v>2.5118775864000229</v>
      </c>
      <c r="V96" s="378">
        <f t="shared" si="33"/>
        <v>45.024451667365518</v>
      </c>
      <c r="W96" s="397">
        <f t="shared" si="34"/>
        <v>44.03002508645443</v>
      </c>
      <c r="X96" s="153">
        <f t="shared" si="35"/>
        <v>46469</v>
      </c>
      <c r="Y96" s="380">
        <f t="shared" si="36"/>
        <v>43.081613817101982</v>
      </c>
      <c r="Z96" s="380">
        <f t="shared" si="37"/>
        <v>44.245306141747903</v>
      </c>
      <c r="AA96" s="381">
        <f t="shared" si="38"/>
        <v>46.98180313440789</v>
      </c>
      <c r="AB96" s="193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5.8245891176872892E-2</v>
      </c>
      <c r="AD96" s="227">
        <f>(INDEX(Models!$BJ96:$BT96,,AH96)*(1-AF96)+INDEX(Models!$BJ96:$BT96,,AH96+1)*AF96-ERP_i)*AE96*Ramure*Pc/MaxiM</f>
        <v>8.4344535780966391E-5</v>
      </c>
      <c r="AE96" s="301">
        <f t="shared" si="40"/>
        <v>0.5</v>
      </c>
      <c r="AF96" s="173">
        <f t="shared" si="41"/>
        <v>0.5118775864000229</v>
      </c>
      <c r="AG96" s="802">
        <f t="shared" si="49"/>
        <v>2</v>
      </c>
      <c r="AH96" s="172">
        <f t="shared" si="42"/>
        <v>8</v>
      </c>
      <c r="AI96" s="221">
        <f t="shared" si="43"/>
        <v>2.5118775864000229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46470</v>
      </c>
      <c r="B97" s="406">
        <f>'2026'!Wh/'2026'!Env_an*'2027'!Env_an</f>
        <v>43.741237644372205</v>
      </c>
      <c r="C97" s="832"/>
      <c r="D97" s="388">
        <f t="shared" si="25"/>
        <v>44.923362258748377</v>
      </c>
      <c r="E97" s="380">
        <f t="shared" si="47"/>
        <v>46.67630905524539</v>
      </c>
      <c r="F97" s="380">
        <f t="shared" si="26"/>
        <v>46.680196658182119</v>
      </c>
      <c r="G97" s="110">
        <f t="shared" si="48"/>
        <v>0.96195957814175348</v>
      </c>
      <c r="H97" s="409" t="b">
        <f>Wh_hp&gt;='2026'!Maxi_hp</f>
        <v>0</v>
      </c>
      <c r="I97" s="385">
        <f>IF(H97,Wh_hp,'2026'!Maxi_hp)</f>
        <v>46.68041860984021</v>
      </c>
      <c r="J97" s="85">
        <f>IF(H97,An,'2026'!An_max)</f>
        <v>2022</v>
      </c>
      <c r="K97" s="193">
        <f t="shared" si="27"/>
        <v>46470</v>
      </c>
      <c r="L97" s="143">
        <f>IF(t&lt;Tvie,1-EXP((T0-t)*PertePVj)+'2026'!Pspv,1-EXP((T0-t)*PertePVj)+Pspv)</f>
        <v>2.6314250646854997E-2</v>
      </c>
      <c r="M97" s="836"/>
      <c r="N97" s="836"/>
      <c r="O97" s="48">
        <f>IF(t&lt;Tnet,'2026'!Resal+('2026'!Salim-'2026'!Resal)*(1-EXP(('2026'!Tnet-t)/('2026'!Tau_j))),Resal+(Salim-Resal)*(1-EXP((Tnet-t)/(Tau_j))))*Salcycl</f>
        <v>3.7555385847288257E-2</v>
      </c>
      <c r="P97" s="165">
        <f>(INDEX(Models!$BJ97:$BT97,,T97)*(1-R97)+INDEX(Models!$BJ97:$BT97,,T97+1)*R97-ERP_i)*Q97*Ramure*Pc/MaxiM</f>
        <v>8.8066913071321412E-5</v>
      </c>
      <c r="Q97" s="301">
        <f t="shared" si="28"/>
        <v>0.5</v>
      </c>
      <c r="R97" s="173">
        <f t="shared" si="29"/>
        <v>0.51263383685258246</v>
      </c>
      <c r="S97" s="802">
        <f t="shared" si="30"/>
        <v>2</v>
      </c>
      <c r="T97" s="172">
        <f t="shared" si="31"/>
        <v>8</v>
      </c>
      <c r="U97" s="247">
        <f t="shared" si="32"/>
        <v>2.5126338368525825</v>
      </c>
      <c r="V97" s="378">
        <f t="shared" si="33"/>
        <v>45.470755015815193</v>
      </c>
      <c r="W97" s="397">
        <f t="shared" si="34"/>
        <v>43.741237644372205</v>
      </c>
      <c r="X97" s="153">
        <f t="shared" si="35"/>
        <v>46470</v>
      </c>
      <c r="Y97" s="380">
        <f t="shared" si="36"/>
        <v>42.799798878666508</v>
      </c>
      <c r="Z97" s="380">
        <f t="shared" si="37"/>
        <v>43.956480730153416</v>
      </c>
      <c r="AA97" s="381">
        <f t="shared" si="38"/>
        <v>46.67630905524539</v>
      </c>
      <c r="AB97" s="193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5.8269995638961625E-2</v>
      </c>
      <c r="AD97" s="227">
        <f>(INDEX(Models!$BJ97:$BT97,,AH97)*(1-AF97)+INDEX(Models!$BJ97:$BT97,,AH97+1)*AF97-ERP_i)*AE97*Ramure*Pc/MaxiM</f>
        <v>8.8066913071321412E-5</v>
      </c>
      <c r="AE97" s="301">
        <f t="shared" si="40"/>
        <v>0.5</v>
      </c>
      <c r="AF97" s="173">
        <f t="shared" si="41"/>
        <v>0.51263383685258246</v>
      </c>
      <c r="AG97" s="802">
        <f t="shared" si="49"/>
        <v>2</v>
      </c>
      <c r="AH97" s="172">
        <f t="shared" si="42"/>
        <v>8</v>
      </c>
      <c r="AI97" s="221">
        <f t="shared" si="43"/>
        <v>2.5126338368525825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46471</v>
      </c>
      <c r="B98" s="406">
        <f>'2026'!Wh/'2026'!Env_an*'2027'!Env_an</f>
        <v>36.437017096918218</v>
      </c>
      <c r="C98" s="832"/>
      <c r="D98" s="388">
        <f t="shared" si="25"/>
        <v>37.422254480070983</v>
      </c>
      <c r="E98" s="380">
        <f t="shared" si="47"/>
        <v>38.884189101837073</v>
      </c>
      <c r="F98" s="380">
        <f t="shared" si="26"/>
        <v>38.886747227046932</v>
      </c>
      <c r="G98" s="110">
        <f t="shared" si="48"/>
        <v>0.79352802619782692</v>
      </c>
      <c r="H98" s="409" t="b">
        <f>Wh_hp&gt;='2026'!Maxi_hp</f>
        <v>0</v>
      </c>
      <c r="I98" s="385">
        <f>IF(H98,Wh_hp,'2026'!Maxi_hp)</f>
        <v>38.887810174833888</v>
      </c>
      <c r="J98" s="85">
        <f>IF(H98,An,'2026'!An_max)</f>
        <v>2022</v>
      </c>
      <c r="K98" s="193">
        <f t="shared" si="27"/>
        <v>46471</v>
      </c>
      <c r="L98" s="143">
        <f>IF(t&lt;Tvie,1-EXP((T0-t)*PertePVj)+'2026'!Pspv,1-EXP((T0-t)*PertePVj)+Pspv)</f>
        <v>2.6327579587099637E-2</v>
      </c>
      <c r="M98" s="836"/>
      <c r="N98" s="836"/>
      <c r="O98" s="48">
        <f>IF(t&lt;Tnet,'2026'!Resal+('2026'!Salim-'2026'!Resal)*(1-EXP(('2026'!Tnet-t)/('2026'!Tau_j))),Resal+(Salim-Resal)*(1-EXP((Tnet-t)/(Tau_j))))*Salcycl</f>
        <v>3.7597148237740227E-2</v>
      </c>
      <c r="P98" s="165">
        <f>(INDEX(Models!$BJ98:$BT98,,T98)*(1-R98)+INDEX(Models!$BJ98:$BT98,,T98+1)*R98-ERP_i)*Q98*Ramure*Pc/MaxiM</f>
        <v>9.3301190237853946E-5</v>
      </c>
      <c r="Q98" s="301">
        <f t="shared" si="28"/>
        <v>0.5</v>
      </c>
      <c r="R98" s="173">
        <f t="shared" si="29"/>
        <v>0.5134192936878299</v>
      </c>
      <c r="S98" s="802">
        <f t="shared" si="30"/>
        <v>2</v>
      </c>
      <c r="T98" s="172">
        <f t="shared" si="31"/>
        <v>8</v>
      </c>
      <c r="U98" s="247">
        <f t="shared" si="32"/>
        <v>2.5134192936878299</v>
      </c>
      <c r="V98" s="378">
        <f t="shared" si="33"/>
        <v>45.916480808716138</v>
      </c>
      <c r="W98" s="397">
        <f t="shared" si="34"/>
        <v>36.437017096918218</v>
      </c>
      <c r="X98" s="153">
        <f t="shared" si="35"/>
        <v>46471</v>
      </c>
      <c r="Y98" s="380">
        <f t="shared" si="36"/>
        <v>35.653407022882497</v>
      </c>
      <c r="Z98" s="380">
        <f t="shared" si="37"/>
        <v>36.617456010269997</v>
      </c>
      <c r="AA98" s="381">
        <f t="shared" si="38"/>
        <v>38.884189101837073</v>
      </c>
      <c r="AB98" s="193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5.8294467338139422E-2</v>
      </c>
      <c r="AD98" s="227">
        <f>(INDEX(Models!$BJ98:$BT98,,AH98)*(1-AF98)+INDEX(Models!$BJ98:$BT98,,AH98+1)*AF98-ERP_i)*AE98*Ramure*Pc/MaxiM</f>
        <v>9.3301190237853946E-5</v>
      </c>
      <c r="AE98" s="301">
        <f t="shared" si="40"/>
        <v>0.5</v>
      </c>
      <c r="AF98" s="173">
        <f t="shared" si="41"/>
        <v>0.5134192936878299</v>
      </c>
      <c r="AG98" s="802">
        <f t="shared" si="49"/>
        <v>2</v>
      </c>
      <c r="AH98" s="172">
        <f t="shared" si="42"/>
        <v>8</v>
      </c>
      <c r="AI98" s="221">
        <f t="shared" si="43"/>
        <v>2.5134192936878299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46472</v>
      </c>
      <c r="B99" s="406">
        <f>'2026'!Wh/'2026'!Env_an*'2027'!Env_an</f>
        <v>40.02060098040851</v>
      </c>
      <c r="C99" s="832"/>
      <c r="D99" s="388">
        <f t="shared" si="25"/>
        <v>41.103299217776225</v>
      </c>
      <c r="E99" s="380">
        <f t="shared" si="47"/>
        <v>42.710900912786627</v>
      </c>
      <c r="F99" s="380">
        <f t="shared" si="26"/>
        <v>42.714338420926786</v>
      </c>
      <c r="G99" s="110">
        <f t="shared" si="48"/>
        <v>0.86323473598318845</v>
      </c>
      <c r="H99" s="409" t="b">
        <f>Wh_hp&gt;='2026'!Maxi_hp</f>
        <v>0</v>
      </c>
      <c r="I99" s="385">
        <f>IF(H99,Wh_hp,'2026'!Maxi_hp)</f>
        <v>42.715167261365842</v>
      </c>
      <c r="J99" s="85">
        <f>IF(H99,An,'2026'!An_max)</f>
        <v>2022</v>
      </c>
      <c r="K99" s="193">
        <f t="shared" si="27"/>
        <v>46472</v>
      </c>
      <c r="L99" s="143">
        <f>IF(t&lt;Tvie,1-EXP((T0-t)*PertePVj)+'2026'!Pspv,1-EXP((T0-t)*PertePVj)+Pspv)</f>
        <v>2.634090834488223E-2</v>
      </c>
      <c r="M99" s="836"/>
      <c r="N99" s="836"/>
      <c r="O99" s="48">
        <f>IF(t&lt;Tnet,'2026'!Resal+('2026'!Salim-'2026'!Resal)*(1-EXP(('2026'!Tnet-t)/('2026'!Tau_j))),Resal+(Salim-Resal)*(1-EXP((Tnet-t)/(Tau_j))))*Salcycl</f>
        <v>3.7639142716587463E-2</v>
      </c>
      <c r="P99" s="165">
        <f>(INDEX(Models!$BJ99:$BT99,,T99)*(1-R99)+INDEX(Models!$BJ99:$BT99,,T99+1)*R99-ERP_i)*Q99*Ramure*Pc/MaxiM</f>
        <v>1.0001511852906106E-4</v>
      </c>
      <c r="Q99" s="301">
        <f t="shared" si="28"/>
        <v>0.5</v>
      </c>
      <c r="R99" s="173">
        <f t="shared" si="29"/>
        <v>0.51423497968923337</v>
      </c>
      <c r="S99" s="802">
        <f t="shared" si="30"/>
        <v>2</v>
      </c>
      <c r="T99" s="172">
        <f t="shared" si="31"/>
        <v>8</v>
      </c>
      <c r="U99" s="247">
        <f t="shared" si="32"/>
        <v>2.5142349796892334</v>
      </c>
      <c r="V99" s="378">
        <f t="shared" si="33"/>
        <v>46.360297273995087</v>
      </c>
      <c r="W99" s="397">
        <f t="shared" si="34"/>
        <v>40.02060098040851</v>
      </c>
      <c r="X99" s="153">
        <f t="shared" si="35"/>
        <v>46472</v>
      </c>
      <c r="Y99" s="380">
        <f t="shared" si="36"/>
        <v>39.160597707524744</v>
      </c>
      <c r="Z99" s="380">
        <f t="shared" si="37"/>
        <v>40.220029826821481</v>
      </c>
      <c r="AA99" s="381">
        <f t="shared" si="38"/>
        <v>42.710900912786627</v>
      </c>
      <c r="AB99" s="193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5.8319329087704659E-2</v>
      </c>
      <c r="AD99" s="227">
        <f>(INDEX(Models!$BJ99:$BT99,,AH99)*(1-AF99)+INDEX(Models!$BJ99:$BT99,,AH99+1)*AF99-ERP_i)*AE99*Ramure*Pc/MaxiM</f>
        <v>1.0001511852906106E-4</v>
      </c>
      <c r="AE99" s="301">
        <f t="shared" si="40"/>
        <v>0.5</v>
      </c>
      <c r="AF99" s="173">
        <f t="shared" si="41"/>
        <v>0.51423497968923337</v>
      </c>
      <c r="AG99" s="802">
        <f t="shared" si="49"/>
        <v>2</v>
      </c>
      <c r="AH99" s="172">
        <f t="shared" si="42"/>
        <v>8</v>
      </c>
      <c r="AI99" s="221">
        <f t="shared" si="43"/>
        <v>2.5142349796892334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46473</v>
      </c>
      <c r="B100" s="406">
        <f>'2026'!Wh/'2026'!Env_an*'2027'!Env_an</f>
        <v>41.880417760776709</v>
      </c>
      <c r="C100" s="832"/>
      <c r="D100" s="388">
        <f t="shared" si="25"/>
        <v>43.014019419447131</v>
      </c>
      <c r="E100" s="380">
        <f t="shared" si="47"/>
        <v>44.698313768871586</v>
      </c>
      <c r="F100" s="380">
        <f t="shared" si="26"/>
        <v>44.702401194658464</v>
      </c>
      <c r="G100" s="110">
        <f t="shared" si="48"/>
        <v>0.89484904685166511</v>
      </c>
      <c r="H100" s="409" t="b">
        <f>Wh_hp&gt;='2026'!Maxi_hp</f>
        <v>0</v>
      </c>
      <c r="I100" s="385">
        <f>IF(H100,Wh_hp,'2026'!Maxi_hp)</f>
        <v>44.703118513444139</v>
      </c>
      <c r="J100" s="85">
        <f>IF(H100,An,'2026'!An_max)</f>
        <v>2022</v>
      </c>
      <c r="K100" s="193">
        <f t="shared" si="27"/>
        <v>46473</v>
      </c>
      <c r="L100" s="143">
        <f>IF(t&lt;Tvie,1-EXP((T0-t)*PertePVj)+'2026'!Pspv,1-EXP((T0-t)*PertePVj)+Pspv)</f>
        <v>2.6354236920205332E-2</v>
      </c>
      <c r="M100" s="836"/>
      <c r="N100" s="836"/>
      <c r="O100" s="48">
        <f>IF(t&lt;Tnet,'2026'!Resal+('2026'!Salim-'2026'!Resal)*(1-EXP(('2026'!Tnet-t)/('2026'!Tau_j))),Resal+(Salim-Resal)*(1-EXP((Tnet-t)/(Tau_j))))*Salcycl</f>
        <v>3.7681384540224426E-2</v>
      </c>
      <c r="P100" s="165">
        <f>(INDEX(Models!$BJ100:$BT100,,T100)*(1-R100)+INDEX(Models!$BJ100:$BT100,,T100+1)*R100-ERP_i)*Q100*Ramure*Pc/MaxiM</f>
        <v>1.0759689518374208E-4</v>
      </c>
      <c r="Q100" s="301">
        <f t="shared" si="28"/>
        <v>0.5</v>
      </c>
      <c r="R100" s="173">
        <f t="shared" si="29"/>
        <v>0.51508194485719816</v>
      </c>
      <c r="S100" s="802">
        <f t="shared" si="30"/>
        <v>2</v>
      </c>
      <c r="T100" s="172">
        <f t="shared" si="31"/>
        <v>8</v>
      </c>
      <c r="U100" s="247">
        <f t="shared" si="32"/>
        <v>2.5150819448571982</v>
      </c>
      <c r="V100" s="378">
        <f t="shared" si="33"/>
        <v>46.800900148628855</v>
      </c>
      <c r="W100" s="397">
        <f t="shared" si="34"/>
        <v>41.880417760776709</v>
      </c>
      <c r="X100" s="153">
        <f t="shared" si="35"/>
        <v>46473</v>
      </c>
      <c r="Y100" s="380">
        <f t="shared" si="36"/>
        <v>40.981147774045937</v>
      </c>
      <c r="Z100" s="380">
        <f t="shared" si="37"/>
        <v>42.090408368251019</v>
      </c>
      <c r="AA100" s="381">
        <f t="shared" si="38"/>
        <v>44.698313768871586</v>
      </c>
      <c r="AB100" s="193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5.8344603648935414E-2</v>
      </c>
      <c r="AD100" s="227">
        <f>(INDEX(Models!$BJ100:$BT100,,AH100)*(1-AF100)+INDEX(Models!$BJ100:$BT100,,AH100+1)*AF100-ERP_i)*AE100*Ramure*Pc/MaxiM</f>
        <v>1.0759689518374208E-4</v>
      </c>
      <c r="AE100" s="301">
        <f t="shared" si="40"/>
        <v>0.5</v>
      </c>
      <c r="AF100" s="173">
        <f t="shared" si="41"/>
        <v>0.51508194485719816</v>
      </c>
      <c r="AG100" s="802">
        <f t="shared" si="49"/>
        <v>2</v>
      </c>
      <c r="AH100" s="172">
        <f t="shared" si="42"/>
        <v>8</v>
      </c>
      <c r="AI100" s="221">
        <f t="shared" si="43"/>
        <v>2.5150819448571982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46474</v>
      </c>
      <c r="B101" s="406">
        <f>'2026'!Wh/'2026'!Env_an*'2027'!Env_an</f>
        <v>35.976755235967502</v>
      </c>
      <c r="C101" s="832"/>
      <c r="D101" s="388">
        <f t="shared" si="25"/>
        <v>36.951064851835817</v>
      </c>
      <c r="E101" s="380">
        <f t="shared" si="47"/>
        <v>38.399648943557452</v>
      </c>
      <c r="F101" s="380">
        <f t="shared" si="26"/>
        <v>38.402560288307477</v>
      </c>
      <c r="G101" s="110">
        <f t="shared" si="48"/>
        <v>0.7615923918820614</v>
      </c>
      <c r="H101" s="409" t="b">
        <f>Wh_hp&gt;='2026'!Maxi_hp</f>
        <v>0</v>
      </c>
      <c r="I101" s="385">
        <f>IF(H101,Wh_hp,'2026'!Maxi_hp)</f>
        <v>38.404052832194026</v>
      </c>
      <c r="J101" s="85">
        <f>IF(H101,An,'2026'!An_max)</f>
        <v>2022</v>
      </c>
      <c r="K101" s="193">
        <f t="shared" si="27"/>
        <v>46474</v>
      </c>
      <c r="L101" s="143">
        <f>IF(t&lt;Tvie,1-EXP((T0-t)*PertePVj)+'2026'!Pspv,1-EXP((T0-t)*PertePVj)+Pspv)</f>
        <v>2.6367565313071384E-2</v>
      </c>
      <c r="M101" s="836"/>
      <c r="N101" s="836"/>
      <c r="O101" s="48">
        <f>IF(t&lt;Tnet,'2026'!Resal+('2026'!Salim-'2026'!Resal)*(1-EXP(('2026'!Tnet-t)/('2026'!Tau_j))),Resal+(Salim-Resal)*(1-EXP((Tnet-t)/(Tau_j))))*Salcycl</f>
        <v>3.7723888930621986E-2</v>
      </c>
      <c r="P101" s="165">
        <f>(INDEX(Models!$BJ101:$BT101,,T101)*(1-R101)+INDEX(Models!$BJ101:$BT101,,T101+1)*R101-ERP_i)*Q101*Ramure*Pc/MaxiM</f>
        <v>1.1495948251484025E-4</v>
      </c>
      <c r="Q101" s="301">
        <f t="shared" si="28"/>
        <v>0.5</v>
      </c>
      <c r="R101" s="173">
        <f t="shared" si="29"/>
        <v>0.51596126640686224</v>
      </c>
      <c r="S101" s="802">
        <f t="shared" si="30"/>
        <v>2</v>
      </c>
      <c r="T101" s="172">
        <f t="shared" si="31"/>
        <v>8</v>
      </c>
      <c r="U101" s="247">
        <f t="shared" si="32"/>
        <v>2.5159612664068622</v>
      </c>
      <c r="V101" s="378">
        <f t="shared" si="33"/>
        <v>47.237009041856759</v>
      </c>
      <c r="W101" s="397">
        <f t="shared" si="34"/>
        <v>35.976755235967502</v>
      </c>
      <c r="X101" s="153">
        <f t="shared" si="35"/>
        <v>46474</v>
      </c>
      <c r="Y101" s="380">
        <f t="shared" si="36"/>
        <v>35.204844387507443</v>
      </c>
      <c r="Z101" s="380">
        <f t="shared" si="37"/>
        <v>36.158249389902011</v>
      </c>
      <c r="AA101" s="381">
        <f t="shared" si="38"/>
        <v>38.399648943557452</v>
      </c>
      <c r="AB101" s="193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5.8370313670054859E-2</v>
      </c>
      <c r="AD101" s="227">
        <f>(INDEX(Models!$BJ101:$BT101,,AH101)*(1-AF101)+INDEX(Models!$BJ101:$BT101,,AH101+1)*AF101-ERP_i)*AE101*Ramure*Pc/MaxiM</f>
        <v>1.1495948251484025E-4</v>
      </c>
      <c r="AE101" s="301">
        <f t="shared" si="40"/>
        <v>0.5</v>
      </c>
      <c r="AF101" s="173">
        <f t="shared" si="41"/>
        <v>0.51596126640686224</v>
      </c>
      <c r="AG101" s="802">
        <f t="shared" si="49"/>
        <v>2</v>
      </c>
      <c r="AH101" s="172">
        <f t="shared" si="42"/>
        <v>8</v>
      </c>
      <c r="AI101" s="221">
        <f t="shared" si="43"/>
        <v>2.5159612664068622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46475</v>
      </c>
      <c r="B102" s="406">
        <f>'2026'!Wh/'2026'!Env_an*'2027'!Env_an</f>
        <v>27.397617724530697</v>
      </c>
      <c r="C102" s="832"/>
      <c r="D102" s="388">
        <f t="shared" si="25"/>
        <v>28.139975419834787</v>
      </c>
      <c r="E102" s="380">
        <f t="shared" si="47"/>
        <v>29.244440587150205</v>
      </c>
      <c r="F102" s="380">
        <f t="shared" si="26"/>
        <v>29.245842467013635</v>
      </c>
      <c r="G102" s="110">
        <f t="shared" si="48"/>
        <v>0.57472500124174153</v>
      </c>
      <c r="H102" s="409" t="b">
        <f>Wh_hp&gt;='2026'!Maxi_hp</f>
        <v>0</v>
      </c>
      <c r="I102" s="385">
        <f>IF(H102,Wh_hp,'2026'!Maxi_hp)</f>
        <v>29.247996056103595</v>
      </c>
      <c r="J102" s="85">
        <f>IF(H102,An,'2026'!An_max)</f>
        <v>2022</v>
      </c>
      <c r="K102" s="193">
        <f t="shared" si="27"/>
        <v>46475</v>
      </c>
      <c r="L102" s="143">
        <f>IF(t&lt;Tvie,1-EXP((T0-t)*PertePVj)+'2026'!Pspv,1-EXP((T0-t)*PertePVj)+Pspv)</f>
        <v>2.638089352348294E-2</v>
      </c>
      <c r="M102" s="836"/>
      <c r="N102" s="836"/>
      <c r="O102" s="48">
        <f>IF(t&lt;Tnet,'2026'!Resal+('2026'!Salim-'2026'!Resal)*(1-EXP(('2026'!Tnet-t)/('2026'!Tau_j))),Resal+(Salim-Resal)*(1-EXP((Tnet-t)/(Tau_j))))*Salcycl</f>
        <v>3.7766671036980268E-2</v>
      </c>
      <c r="P102" s="165">
        <f>(INDEX(Models!$BJ102:$BT102,,T102)*(1-R102)+INDEX(Models!$BJ102:$BT102,,T102+1)*R102-ERP_i)*Q102*Ramure*Pc/MaxiM</f>
        <v>1.2211784035561662E-4</v>
      </c>
      <c r="Q102" s="301">
        <f t="shared" si="28"/>
        <v>0.5</v>
      </c>
      <c r="R102" s="173">
        <f t="shared" si="29"/>
        <v>0.51687404869124842</v>
      </c>
      <c r="S102" s="802">
        <f t="shared" si="30"/>
        <v>2</v>
      </c>
      <c r="T102" s="172">
        <f t="shared" si="31"/>
        <v>8</v>
      </c>
      <c r="U102" s="247">
        <f t="shared" si="32"/>
        <v>2.5168740486912484</v>
      </c>
      <c r="V102" s="378">
        <f t="shared" si="33"/>
        <v>47.667293255822706</v>
      </c>
      <c r="W102" s="397">
        <f t="shared" si="34"/>
        <v>27.397617724530697</v>
      </c>
      <c r="X102" s="153">
        <f t="shared" si="35"/>
        <v>46475</v>
      </c>
      <c r="Y102" s="380">
        <f t="shared" si="36"/>
        <v>26.81022623924574</v>
      </c>
      <c r="Z102" s="380">
        <f t="shared" si="37"/>
        <v>27.536668149694311</v>
      </c>
      <c r="AA102" s="381">
        <f t="shared" si="38"/>
        <v>29.244440587150205</v>
      </c>
      <c r="AB102" s="193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5.839648162756364E-2</v>
      </c>
      <c r="AD102" s="227">
        <f>(INDEX(Models!$BJ102:$BT102,,AH102)*(1-AF102)+INDEX(Models!$BJ102:$BT102,,AH102+1)*AF102-ERP_i)*AE102*Ramure*Pc/MaxiM</f>
        <v>1.2211784035561662E-4</v>
      </c>
      <c r="AE102" s="301">
        <f t="shared" si="40"/>
        <v>0.5</v>
      </c>
      <c r="AF102" s="173">
        <f t="shared" si="41"/>
        <v>0.51687404869124842</v>
      </c>
      <c r="AG102" s="802">
        <f t="shared" si="49"/>
        <v>2</v>
      </c>
      <c r="AH102" s="172">
        <f t="shared" si="42"/>
        <v>8</v>
      </c>
      <c r="AI102" s="221">
        <f t="shared" si="43"/>
        <v>2.5168740486912484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46476</v>
      </c>
      <c r="B103" s="406">
        <f>'2026'!Wh/'2026'!Env_an*'2027'!Env_an</f>
        <v>7.6302867588894614</v>
      </c>
      <c r="C103" s="832"/>
      <c r="D103" s="388">
        <f t="shared" si="25"/>
        <v>7.8371420217414247</v>
      </c>
      <c r="E103" s="380">
        <f t="shared" si="47"/>
        <v>8.1451064260283417</v>
      </c>
      <c r="F103" s="380">
        <f t="shared" si="26"/>
        <v>8.1451064260283417</v>
      </c>
      <c r="G103" s="110">
        <f t="shared" si="48"/>
        <v>0.15864493195666277</v>
      </c>
      <c r="H103" s="409" t="b">
        <f>Wh_hp&gt;='2026'!Maxi_hp</f>
        <v>0</v>
      </c>
      <c r="I103" s="385">
        <f>IF(H103,Wh_hp,'2026'!Maxi_hp)</f>
        <v>8.146149983745957</v>
      </c>
      <c r="J103" s="85">
        <f>IF(H103,An,'2026'!An_max)</f>
        <v>2022</v>
      </c>
      <c r="K103" s="193">
        <f t="shared" si="27"/>
        <v>46476</v>
      </c>
      <c r="L103" s="143">
        <f>IF(t&lt;Tvie,1-EXP((T0-t)*PertePVj)+'2026'!Pspv,1-EXP((T0-t)*PertePVj)+Pspv)</f>
        <v>2.6394221551442554E-2</v>
      </c>
      <c r="M103" s="836"/>
      <c r="N103" s="836"/>
      <c r="O103" s="48">
        <f>IF(t&lt;Tnet,'2026'!Resal+('2026'!Salim-'2026'!Resal)*(1-EXP(('2026'!Tnet-t)/('2026'!Tau_j))),Resal+(Salim-Resal)*(1-EXP((Tnet-t)/(Tau_j))))*Salcycl</f>
        <v>3.7809745898812447E-2</v>
      </c>
      <c r="P103" s="165">
        <f>(INDEX(Models!$BJ103:$BT103,,T103)*(1-R103)+INDEX(Models!$BJ103:$BT103,,T103+1)*R103-ERP_i)*Q103*Ramure*Pc/MaxiM</f>
        <v>1.290871716850027E-4</v>
      </c>
      <c r="Q103" s="301">
        <f t="shared" si="28"/>
        <v>0.5</v>
      </c>
      <c r="R103" s="173">
        <f t="shared" si="29"/>
        <v>0.51782142304286705</v>
      </c>
      <c r="S103" s="802">
        <f t="shared" si="30"/>
        <v>2</v>
      </c>
      <c r="T103" s="172">
        <f t="shared" si="31"/>
        <v>8</v>
      </c>
      <c r="U103" s="247">
        <f t="shared" si="32"/>
        <v>2.517821423042867</v>
      </c>
      <c r="V103" s="378">
        <f t="shared" si="33"/>
        <v>48.090422383216861</v>
      </c>
      <c r="W103" s="397">
        <f t="shared" si="34"/>
        <v>7.6302867588894614</v>
      </c>
      <c r="X103" s="153">
        <f t="shared" si="35"/>
        <v>46476</v>
      </c>
      <c r="Y103" s="380">
        <f t="shared" si="36"/>
        <v>7.4668200958901449</v>
      </c>
      <c r="Z103" s="380">
        <f t="shared" si="37"/>
        <v>7.6692438163098577</v>
      </c>
      <c r="AA103" s="381">
        <f t="shared" si="38"/>
        <v>8.1451064260283417</v>
      </c>
      <c r="AB103" s="193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5.842312977002076E-2</v>
      </c>
      <c r="AD103" s="227">
        <f>(INDEX(Models!$BJ103:$BT103,,AH103)*(1-AF103)+INDEX(Models!$BJ103:$BT103,,AH103+1)*AF103-ERP_i)*AE103*Ramure*Pc/MaxiM</f>
        <v>1.290871716850027E-4</v>
      </c>
      <c r="AE103" s="301">
        <f t="shared" si="40"/>
        <v>0.5</v>
      </c>
      <c r="AF103" s="173">
        <f t="shared" si="41"/>
        <v>0.51782142304286705</v>
      </c>
      <c r="AG103" s="802">
        <f t="shared" si="49"/>
        <v>2</v>
      </c>
      <c r="AH103" s="172">
        <f t="shared" si="42"/>
        <v>8</v>
      </c>
      <c r="AI103" s="221">
        <f t="shared" si="43"/>
        <v>2.517821423042867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46477</v>
      </c>
      <c r="B104" s="406">
        <f>'2026'!Wh/'2026'!Env_an*'2027'!Env_an</f>
        <v>26.648654743513504</v>
      </c>
      <c r="C104" s="832"/>
      <c r="D104" s="388">
        <f t="shared" si="25"/>
        <v>27.371468140500898</v>
      </c>
      <c r="E104" s="380">
        <f t="shared" si="47"/>
        <v>28.448326288565355</v>
      </c>
      <c r="F104" s="380">
        <f t="shared" si="26"/>
        <v>28.449703624394957</v>
      </c>
      <c r="G104" s="110">
        <f t="shared" si="48"/>
        <v>0.54935135030549209</v>
      </c>
      <c r="H104" s="409" t="b">
        <f>Wh_hp&gt;='2026'!Maxi_hp</f>
        <v>0</v>
      </c>
      <c r="I104" s="385">
        <f>IF(H104,Wh_hp,'2026'!Maxi_hp)</f>
        <v>28.452173225194628</v>
      </c>
      <c r="J104" s="85">
        <f>IF(H104,An,'2026'!An_max)</f>
        <v>2022</v>
      </c>
      <c r="K104" s="193">
        <f t="shared" si="27"/>
        <v>46477</v>
      </c>
      <c r="L104" s="143">
        <f>IF(t&lt;Tvie,1-EXP((T0-t)*PertePVj)+'2026'!Pspv,1-EXP((T0-t)*PertePVj)+Pspv)</f>
        <v>2.6407549396952668E-2</v>
      </c>
      <c r="M104" s="836"/>
      <c r="N104" s="836"/>
      <c r="O104" s="48">
        <f>IF(t&lt;Tnet,'2026'!Resal+('2026'!Salim-'2026'!Resal)*(1-EXP(('2026'!Tnet-t)/('2026'!Tau_j))),Resal+(Salim-Resal)*(1-EXP((Tnet-t)/(Tau_j))))*Salcycl</f>
        <v>3.7853128410485631E-2</v>
      </c>
      <c r="P104" s="165">
        <f>(INDEX(Models!$BJ104:$BT104,,T104)*(1-R104)+INDEX(Models!$BJ104:$BT104,,T104+1)*R104-ERP_i)*Q104*Ramure*Pc/MaxiM</f>
        <v>1.3588287266630612E-4</v>
      </c>
      <c r="Q104" s="301">
        <f t="shared" si="28"/>
        <v>0.5</v>
      </c>
      <c r="R104" s="173">
        <f t="shared" si="29"/>
        <v>0.51880454752653105</v>
      </c>
      <c r="S104" s="802">
        <f t="shared" si="30"/>
        <v>2</v>
      </c>
      <c r="T104" s="172">
        <f t="shared" si="31"/>
        <v>8</v>
      </c>
      <c r="U104" s="247">
        <f t="shared" si="32"/>
        <v>2.518804547526531</v>
      </c>
      <c r="V104" s="378">
        <f t="shared" si="33"/>
        <v>48.50506631450299</v>
      </c>
      <c r="W104" s="397">
        <f t="shared" si="34"/>
        <v>26.648654743513504</v>
      </c>
      <c r="X104" s="153">
        <f t="shared" si="35"/>
        <v>46477</v>
      </c>
      <c r="Y104" s="380">
        <f t="shared" si="36"/>
        <v>26.078173874812535</v>
      </c>
      <c r="Z104" s="380">
        <f t="shared" si="37"/>
        <v>26.785513649638101</v>
      </c>
      <c r="AA104" s="381">
        <f t="shared" si="38"/>
        <v>28.448326288565355</v>
      </c>
      <c r="AB104" s="193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5.8450280064300787E-2</v>
      </c>
      <c r="AD104" s="227">
        <f>(INDEX(Models!$BJ104:$BT104,,AH104)*(1-AF104)+INDEX(Models!$BJ104:$BT104,,AH104+1)*AF104-ERP_i)*AE104*Ramure*Pc/MaxiM</f>
        <v>1.3588287266630612E-4</v>
      </c>
      <c r="AE104" s="301">
        <f t="shared" si="40"/>
        <v>0.5</v>
      </c>
      <c r="AF104" s="173">
        <f t="shared" si="41"/>
        <v>0.51880454752653105</v>
      </c>
      <c r="AG104" s="802">
        <f t="shared" si="49"/>
        <v>2</v>
      </c>
      <c r="AH104" s="172">
        <f t="shared" si="42"/>
        <v>8</v>
      </c>
      <c r="AI104" s="221">
        <f t="shared" si="43"/>
        <v>2.518804547526531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46478</v>
      </c>
      <c r="B105" s="406">
        <f>'2026'!Wh/'2026'!Env_an*'2027'!Env_an</f>
        <v>29.311209532796031</v>
      </c>
      <c r="C105" s="832"/>
      <c r="D105" s="388">
        <f t="shared" si="25"/>
        <v>30.106653729676271</v>
      </c>
      <c r="E105" s="380">
        <f t="shared" si="47"/>
        <v>31.292541976076695</v>
      </c>
      <c r="F105" s="380">
        <f t="shared" si="26"/>
        <v>31.294448923618589</v>
      </c>
      <c r="G105" s="110">
        <f t="shared" si="48"/>
        <v>0.59924107155442186</v>
      </c>
      <c r="H105" s="409" t="b">
        <f>Wh_hp&gt;='2026'!Maxi_hp</f>
        <v>0</v>
      </c>
      <c r="I105" s="385">
        <f>IF(H105,Wh_hp,'2026'!Maxi_hp)</f>
        <v>31.296982474541696</v>
      </c>
      <c r="J105" s="85">
        <f>IF(H105,An,'2026'!An_max)</f>
        <v>2022</v>
      </c>
      <c r="K105" s="193">
        <f t="shared" si="27"/>
        <v>46478</v>
      </c>
      <c r="L105" s="143">
        <f>IF(t&lt;Tvie,1-EXP((T0-t)*PertePVj)+'2026'!Pspv,1-EXP((T0-t)*PertePVj)+Pspv)</f>
        <v>2.6420877060015724E-2</v>
      </c>
      <c r="M105" s="836"/>
      <c r="N105" s="836"/>
      <c r="O105" s="48">
        <f>IF(t&lt;Tnet,'2026'!Resal+('2026'!Salim-'2026'!Resal)*(1-EXP(('2026'!Tnet-t)/('2026'!Tau_j))),Resal+(Salim-Resal)*(1-EXP((Tnet-t)/(Tau_j))))*Salcycl</f>
        <v>3.7896833287210829E-2</v>
      </c>
      <c r="P105" s="165">
        <f>(INDEX(Models!$BJ105:$BT105,,T105)*(1-R105)+INDEX(Models!$BJ105:$BT105,,T105+1)*R105-ERP_i)*Q105*Ramure*Pc/MaxiM</f>
        <v>1.4252049393913426E-4</v>
      </c>
      <c r="Q105" s="301">
        <f t="shared" si="28"/>
        <v>0.5</v>
      </c>
      <c r="R105" s="173">
        <f t="shared" si="29"/>
        <v>0.51982460659581653</v>
      </c>
      <c r="S105" s="802">
        <f t="shared" si="30"/>
        <v>2</v>
      </c>
      <c r="T105" s="172">
        <f t="shared" si="31"/>
        <v>8</v>
      </c>
      <c r="U105" s="247">
        <f t="shared" si="32"/>
        <v>2.5198246065958165</v>
      </c>
      <c r="V105" s="378">
        <f t="shared" si="33"/>
        <v>48.909895245572564</v>
      </c>
      <c r="W105" s="397">
        <f t="shared" si="34"/>
        <v>29.311209532796031</v>
      </c>
      <c r="X105" s="153">
        <f t="shared" si="35"/>
        <v>46478</v>
      </c>
      <c r="Y105" s="380">
        <f t="shared" si="36"/>
        <v>28.684189929562486</v>
      </c>
      <c r="Z105" s="380">
        <f t="shared" si="37"/>
        <v>29.462618141341046</v>
      </c>
      <c r="AA105" s="381">
        <f t="shared" si="38"/>
        <v>31.292541976076695</v>
      </c>
      <c r="AB105" s="193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5.8477954144301729E-2</v>
      </c>
      <c r="AD105" s="227">
        <f>(INDEX(Models!$BJ105:$BT105,,AH105)*(1-AF105)+INDEX(Models!$BJ105:$BT105,,AH105+1)*AF105-ERP_i)*AE105*Ramure*Pc/MaxiM</f>
        <v>1.4252049393913426E-4</v>
      </c>
      <c r="AE105" s="301">
        <f t="shared" si="40"/>
        <v>0.5</v>
      </c>
      <c r="AF105" s="173">
        <f t="shared" si="41"/>
        <v>0.51982460659581653</v>
      </c>
      <c r="AG105" s="802">
        <f t="shared" si="49"/>
        <v>2</v>
      </c>
      <c r="AH105" s="172">
        <f t="shared" si="42"/>
        <v>8</v>
      </c>
      <c r="AI105" s="221">
        <f t="shared" si="43"/>
        <v>2.5198246065958165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46479</v>
      </c>
      <c r="B106" s="406">
        <f>'2026'!Wh/'2026'!Env_an*'2027'!Env_an</f>
        <v>19.975009903185786</v>
      </c>
      <c r="C106" s="832"/>
      <c r="D106" s="388">
        <f t="shared" si="25"/>
        <v>20.517370265417767</v>
      </c>
      <c r="E106" s="380">
        <f t="shared" si="47"/>
        <v>21.326516981073929</v>
      </c>
      <c r="F106" s="380">
        <f t="shared" si="26"/>
        <v>21.326994339789323</v>
      </c>
      <c r="G106" s="110">
        <f t="shared" si="48"/>
        <v>0.40509189150997577</v>
      </c>
      <c r="H106" s="409" t="b">
        <f>Wh_hp&gt;='2026'!Maxi_hp</f>
        <v>0</v>
      </c>
      <c r="I106" s="385">
        <f>IF(H106,Wh_hp,'2026'!Maxi_hp)</f>
        <v>21.329674123347726</v>
      </c>
      <c r="J106" s="85">
        <f>IF(H106,An,'2026'!An_max)</f>
        <v>2022</v>
      </c>
      <c r="K106" s="193">
        <f t="shared" si="27"/>
        <v>46479</v>
      </c>
      <c r="L106" s="143">
        <f>IF(t&lt;Tvie,1-EXP((T0-t)*PertePVj)+'2026'!Pspv,1-EXP((T0-t)*PertePVj)+Pspv)</f>
        <v>2.6434204540634276E-2</v>
      </c>
      <c r="M106" s="836"/>
      <c r="N106" s="836"/>
      <c r="O106" s="48">
        <f>IF(t&lt;Tnet,'2026'!Resal+('2026'!Salim-'2026'!Resal)*(1-EXP(('2026'!Tnet-t)/('2026'!Tau_j))),Resal+(Salim-Resal)*(1-EXP((Tnet-t)/(Tau_j))))*Salcycl</f>
        <v>3.7940875032441264E-2</v>
      </c>
      <c r="P106" s="165">
        <f>(INDEX(Models!$BJ106:$BT106,,T106)*(1-R106)+INDEX(Models!$BJ106:$BT106,,T106+1)*R106-ERP_i)*Q106*Ramure*Pc/MaxiM</f>
        <v>1.4901571258372467E-4</v>
      </c>
      <c r="Q106" s="301">
        <f t="shared" si="28"/>
        <v>0.5</v>
      </c>
      <c r="R106" s="173">
        <f t="shared" si="29"/>
        <v>0.52088281064525566</v>
      </c>
      <c r="S106" s="802">
        <f t="shared" si="30"/>
        <v>2</v>
      </c>
      <c r="T106" s="172">
        <f t="shared" si="31"/>
        <v>8</v>
      </c>
      <c r="U106" s="247">
        <f t="shared" si="32"/>
        <v>2.5208828106452557</v>
      </c>
      <c r="V106" s="378">
        <f t="shared" si="33"/>
        <v>49.303579687188247</v>
      </c>
      <c r="W106" s="397">
        <f t="shared" si="34"/>
        <v>19.975009903185786</v>
      </c>
      <c r="X106" s="153">
        <f t="shared" si="35"/>
        <v>46479</v>
      </c>
      <c r="Y106" s="380">
        <f t="shared" si="36"/>
        <v>19.548017398113068</v>
      </c>
      <c r="Z106" s="380">
        <f t="shared" si="37"/>
        <v>20.078784083503635</v>
      </c>
      <c r="AA106" s="381">
        <f t="shared" si="38"/>
        <v>21.326516981073929</v>
      </c>
      <c r="AB106" s="193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5.8506173262028061E-2</v>
      </c>
      <c r="AD106" s="227">
        <f>(INDEX(Models!$BJ106:$BT106,,AH106)*(1-AF106)+INDEX(Models!$BJ106:$BT106,,AH106+1)*AF106-ERP_i)*AE106*Ramure*Pc/MaxiM</f>
        <v>1.4901571258372467E-4</v>
      </c>
      <c r="AE106" s="301">
        <f t="shared" si="40"/>
        <v>0.5</v>
      </c>
      <c r="AF106" s="173">
        <f t="shared" si="41"/>
        <v>0.52088281064525566</v>
      </c>
      <c r="AG106" s="802">
        <f t="shared" si="49"/>
        <v>2</v>
      </c>
      <c r="AH106" s="172">
        <f t="shared" si="42"/>
        <v>8</v>
      </c>
      <c r="AI106" s="221">
        <f t="shared" si="43"/>
        <v>2.5208828106452557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46480</v>
      </c>
      <c r="B107" s="406">
        <f>'2026'!Wh/'2026'!Env_an*'2027'!Env_an</f>
        <v>27.271836282490494</v>
      </c>
      <c r="C107" s="832"/>
      <c r="D107" s="388">
        <f t="shared" si="25"/>
        <v>28.012703140695184</v>
      </c>
      <c r="E107" s="380">
        <f t="shared" si="47"/>
        <v>29.118788108096986</v>
      </c>
      <c r="F107" s="380">
        <f t="shared" si="26"/>
        <v>29.120396583596968</v>
      </c>
      <c r="G107" s="110">
        <f t="shared" si="48"/>
        <v>0.54879804444396474</v>
      </c>
      <c r="H107" s="409" t="b">
        <f>Wh_hp&gt;='2026'!Maxi_hp</f>
        <v>0</v>
      </c>
      <c r="I107" s="385">
        <f>IF(H107,Wh_hp,'2026'!Maxi_hp)</f>
        <v>29.123289882556353</v>
      </c>
      <c r="J107" s="85">
        <f>IF(H107,An,'2026'!An_max)</f>
        <v>2022</v>
      </c>
      <c r="K107" s="193">
        <f t="shared" si="27"/>
        <v>46480</v>
      </c>
      <c r="L107" s="143">
        <f>IF(t&lt;Tvie,1-EXP((T0-t)*PertePVj)+'2026'!Pspv,1-EXP((T0-t)*PertePVj)+Pspv)</f>
        <v>2.6447531838810767E-2</v>
      </c>
      <c r="M107" s="836"/>
      <c r="N107" s="836"/>
      <c r="O107" s="48">
        <f>IF(t&lt;Tnet,'2026'!Resal+('2026'!Salim-'2026'!Resal)*(1-EXP(('2026'!Tnet-t)/('2026'!Tau_j))),Resal+(Salim-Resal)*(1-EXP((Tnet-t)/(Tau_j))))*Salcycl</f>
        <v>3.7985267906607625E-2</v>
      </c>
      <c r="P107" s="165">
        <f>(INDEX(Models!$BJ107:$BT107,,T107)*(1-R107)+INDEX(Models!$BJ107:$BT107,,T107+1)*R107-ERP_i)*Q107*Ramure*Pc/MaxiM</f>
        <v>1.5537184070113863E-4</v>
      </c>
      <c r="Q107" s="301">
        <f t="shared" si="28"/>
        <v>0.5</v>
      </c>
      <c r="R107" s="173">
        <f t="shared" si="29"/>
        <v>0.52198039545006925</v>
      </c>
      <c r="S107" s="802">
        <f t="shared" si="30"/>
        <v>2</v>
      </c>
      <c r="T107" s="172">
        <f t="shared" si="31"/>
        <v>8</v>
      </c>
      <c r="U107" s="247">
        <f t="shared" si="32"/>
        <v>2.5219803954500692</v>
      </c>
      <c r="V107" s="378">
        <f t="shared" si="33"/>
        <v>49.688779874348313</v>
      </c>
      <c r="W107" s="397">
        <f t="shared" si="34"/>
        <v>27.271836282490494</v>
      </c>
      <c r="X107" s="153">
        <f t="shared" si="35"/>
        <v>46480</v>
      </c>
      <c r="Y107" s="380">
        <f t="shared" si="36"/>
        <v>26.689279933032211</v>
      </c>
      <c r="Z107" s="380">
        <f t="shared" si="37"/>
        <v>27.41432106216315</v>
      </c>
      <c r="AA107" s="381">
        <f t="shared" si="38"/>
        <v>29.118788108096986</v>
      </c>
      <c r="AB107" s="193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5.8534958240926298E-2</v>
      </c>
      <c r="AD107" s="227">
        <f>(INDEX(Models!$BJ107:$BT107,,AH107)*(1-AF107)+INDEX(Models!$BJ107:$BT107,,AH107+1)*AF107-ERP_i)*AE107*Ramure*Pc/MaxiM</f>
        <v>1.5537184070113863E-4</v>
      </c>
      <c r="AE107" s="301">
        <f t="shared" si="40"/>
        <v>0.5</v>
      </c>
      <c r="AF107" s="173">
        <f t="shared" si="41"/>
        <v>0.52198039545006925</v>
      </c>
      <c r="AG107" s="802">
        <f t="shared" si="49"/>
        <v>2</v>
      </c>
      <c r="AH107" s="172">
        <f t="shared" si="42"/>
        <v>8</v>
      </c>
      <c r="AI107" s="221">
        <f t="shared" si="43"/>
        <v>2.5219803954500692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46481</v>
      </c>
      <c r="B108" s="406">
        <f>'2026'!Wh/'2026'!Env_an*'2027'!Env_an</f>
        <v>42.3531306849926</v>
      </c>
      <c r="C108" s="832"/>
      <c r="D108" s="388">
        <f t="shared" si="25"/>
        <v>43.50429160918064</v>
      </c>
      <c r="E108" s="380">
        <f t="shared" si="47"/>
        <v>45.224167885022382</v>
      </c>
      <c r="F108" s="380">
        <f t="shared" si="26"/>
        <v>45.229831757406735</v>
      </c>
      <c r="G108" s="110">
        <f t="shared" si="48"/>
        <v>0.8458672622659188</v>
      </c>
      <c r="H108" s="409" t="b">
        <f>Wh_hp&gt;='2026'!Maxi_hp</f>
        <v>0</v>
      </c>
      <c r="I108" s="385">
        <f>IF(H108,Wh_hp,'2026'!Maxi_hp)</f>
        <v>45.231418078824802</v>
      </c>
      <c r="J108" s="85">
        <f>IF(H108,An,'2026'!An_max)</f>
        <v>2022</v>
      </c>
      <c r="K108" s="193">
        <f t="shared" si="27"/>
        <v>46481</v>
      </c>
      <c r="L108" s="143">
        <f>IF(t&lt;Tvie,1-EXP((T0-t)*PertePVj)+'2026'!Pspv,1-EXP((T0-t)*PertePVj)+Pspv)</f>
        <v>2.646085895454775E-2</v>
      </c>
      <c r="M108" s="836"/>
      <c r="N108" s="836"/>
      <c r="O108" s="48">
        <f>IF(t&lt;Tnet,'2026'!Resal+('2026'!Salim-'2026'!Resal)*(1-EXP(('2026'!Tnet-t)/('2026'!Tau_j))),Resal+(Salim-Resal)*(1-EXP((Tnet-t)/(Tau_j))))*Salcycl</f>
        <v>3.8030025897089773E-2</v>
      </c>
      <c r="P108" s="165">
        <f>(INDEX(Models!$BJ108:$BT108,,T108)*(1-R108)+INDEX(Models!$BJ108:$BT108,,T108+1)*R108-ERP_i)*Q108*Ramure*Pc/MaxiM</f>
        <v>1.6057416990984905E-4</v>
      </c>
      <c r="Q108" s="301">
        <f t="shared" si="28"/>
        <v>0.5</v>
      </c>
      <c r="R108" s="173">
        <f t="shared" si="29"/>
        <v>0.52311862148492194</v>
      </c>
      <c r="S108" s="802">
        <f t="shared" si="30"/>
        <v>2</v>
      </c>
      <c r="T108" s="172">
        <f t="shared" si="31"/>
        <v>8</v>
      </c>
      <c r="U108" s="247">
        <f t="shared" si="32"/>
        <v>2.5231186214849219</v>
      </c>
      <c r="V108" s="378">
        <f t="shared" si="33"/>
        <v>50.068888119444935</v>
      </c>
      <c r="W108" s="397">
        <f t="shared" si="34"/>
        <v>42.3531306849926</v>
      </c>
      <c r="X108" s="153">
        <f t="shared" si="35"/>
        <v>46481</v>
      </c>
      <c r="Y108" s="380">
        <f t="shared" si="36"/>
        <v>41.449056686299414</v>
      </c>
      <c r="Z108" s="380">
        <f t="shared" si="37"/>
        <v>42.575644818747207</v>
      </c>
      <c r="AA108" s="381">
        <f t="shared" si="38"/>
        <v>45.224167885022382</v>
      </c>
      <c r="AB108" s="193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5.8564329431306787E-2</v>
      </c>
      <c r="AD108" s="227">
        <f>(INDEX(Models!$BJ108:$BT108,,AH108)*(1-AF108)+INDEX(Models!$BJ108:$BT108,,AH108+1)*AF108-ERP_i)*AE108*Ramure*Pc/MaxiM</f>
        <v>1.6057416990984905E-4</v>
      </c>
      <c r="AE108" s="301">
        <f t="shared" si="40"/>
        <v>0.5</v>
      </c>
      <c r="AF108" s="173">
        <f t="shared" si="41"/>
        <v>0.52311862148492194</v>
      </c>
      <c r="AG108" s="802">
        <f t="shared" si="49"/>
        <v>2</v>
      </c>
      <c r="AH108" s="172">
        <f t="shared" si="42"/>
        <v>8</v>
      </c>
      <c r="AI108" s="221">
        <f t="shared" si="43"/>
        <v>2.5231186214849219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46482</v>
      </c>
      <c r="B109" s="406">
        <f>'2026'!Wh/'2026'!Env_an*'2027'!Env_an</f>
        <v>50.687315483884511</v>
      </c>
      <c r="C109" s="832"/>
      <c r="D109" s="388">
        <f t="shared" si="25"/>
        <v>52.065712844102585</v>
      </c>
      <c r="E109" s="380">
        <f t="shared" si="47"/>
        <v>54.126591626082948</v>
      </c>
      <c r="F109" s="380">
        <f t="shared" si="26"/>
        <v>54.135481479246067</v>
      </c>
      <c r="G109" s="110">
        <f t="shared" si="48"/>
        <v>1.0048310592931586</v>
      </c>
      <c r="H109" s="409" t="b">
        <f>Wh_hp&gt;='2026'!Maxi_hp</f>
        <v>1</v>
      </c>
      <c r="I109" s="385">
        <f>IF(H109,Wh_hp,'2026'!Maxi_hp)</f>
        <v>54.135481479246067</v>
      </c>
      <c r="J109" s="85">
        <f>IF(H109,An,'2026'!An_max)</f>
        <v>2027</v>
      </c>
      <c r="K109" s="193">
        <f t="shared" si="27"/>
        <v>46482</v>
      </c>
      <c r="L109" s="143">
        <f>IF(t&lt;Tvie,1-EXP((T0-t)*PertePVj)+'2026'!Pspv,1-EXP((T0-t)*PertePVj)+Pspv)</f>
        <v>2.6474185887847779E-2</v>
      </c>
      <c r="M109" s="836"/>
      <c r="N109" s="836"/>
      <c r="O109" s="48">
        <f>IF(t&lt;Tnet,'2026'!Resal+('2026'!Salim-'2026'!Resal)*(1-EXP(('2026'!Tnet-t)/('2026'!Tau_j))),Resal+(Salim-Resal)*(1-EXP((Tnet-t)/(Tau_j))))*Salcycl</f>
        <v>3.807516268929912E-2</v>
      </c>
      <c r="P109" s="165">
        <f>(INDEX(Models!$BJ109:$BT109,,T109)*(1-R109)+INDEX(Models!$BJ109:$BT109,,T109+1)*R109-ERP_i)*Q109*Ramure*Pc/MaxiM</f>
        <v>1.6421490896918254E-4</v>
      </c>
      <c r="Q109" s="301">
        <f t="shared" si="28"/>
        <v>0.5</v>
      </c>
      <c r="R109" s="173">
        <f t="shared" si="29"/>
        <v>0.52429877311294071</v>
      </c>
      <c r="S109" s="802">
        <f t="shared" si="30"/>
        <v>2</v>
      </c>
      <c r="T109" s="172">
        <f t="shared" si="31"/>
        <v>8</v>
      </c>
      <c r="U109" s="247">
        <f t="shared" si="32"/>
        <v>2.5242987731129407</v>
      </c>
      <c r="V109" s="378">
        <f t="shared" si="33"/>
        <v>50.44361936775735</v>
      </c>
      <c r="W109" s="397">
        <f t="shared" si="34"/>
        <v>50.687315483884511</v>
      </c>
      <c r="X109" s="153">
        <f t="shared" si="35"/>
        <v>46482</v>
      </c>
      <c r="Y109" s="380">
        <f t="shared" si="36"/>
        <v>49.606087217445804</v>
      </c>
      <c r="Z109" s="380">
        <f t="shared" si="37"/>
        <v>50.955081517469736</v>
      </c>
      <c r="AA109" s="381">
        <f t="shared" si="38"/>
        <v>54.126591626082948</v>
      </c>
      <c r="AB109" s="193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5.8594306667647353E-2</v>
      </c>
      <c r="AD109" s="227">
        <f>(INDEX(Models!$BJ109:$BT109,,AH109)*(1-AF109)+INDEX(Models!$BJ109:$BT109,,AH109+1)*AF109-ERP_i)*AE109*Ramure*Pc/MaxiM</f>
        <v>1.6421490896918254E-4</v>
      </c>
      <c r="AE109" s="301">
        <f t="shared" si="40"/>
        <v>0.5</v>
      </c>
      <c r="AF109" s="173">
        <f t="shared" si="41"/>
        <v>0.52429877311294071</v>
      </c>
      <c r="AG109" s="802">
        <f t="shared" si="49"/>
        <v>2</v>
      </c>
      <c r="AH109" s="172">
        <f t="shared" si="42"/>
        <v>8</v>
      </c>
      <c r="AI109" s="221">
        <f t="shared" si="43"/>
        <v>2.5242987731129407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46483</v>
      </c>
      <c r="B110" s="406">
        <f>'2026'!Wh/'2026'!Env_an*'2027'!Env_an</f>
        <v>12.364110511405592</v>
      </c>
      <c r="C110" s="832"/>
      <c r="D110" s="388">
        <f t="shared" si="25"/>
        <v>12.700515578304095</v>
      </c>
      <c r="E110" s="380">
        <f t="shared" si="47"/>
        <v>13.203855689485158</v>
      </c>
      <c r="F110" s="380">
        <f t="shared" si="26"/>
        <v>13.203855689485158</v>
      </c>
      <c r="G110" s="110">
        <f t="shared" si="48"/>
        <v>0.24328685736252889</v>
      </c>
      <c r="H110" s="409" t="b">
        <f>Wh_hp&gt;='2026'!Maxi_hp</f>
        <v>0</v>
      </c>
      <c r="I110" s="385">
        <f>IF(H110,Wh_hp,'2026'!Maxi_hp)</f>
        <v>13.206034136650299</v>
      </c>
      <c r="J110" s="85">
        <f>IF(H110,An,'2026'!An_max)</f>
        <v>2022</v>
      </c>
      <c r="K110" s="193">
        <f t="shared" si="27"/>
        <v>46483</v>
      </c>
      <c r="L110" s="143">
        <f>IF(t&lt;Tvie,1-EXP((T0-t)*PertePVj)+'2026'!Pspv,1-EXP((T0-t)*PertePVj)+Pspv)</f>
        <v>2.6487512638713184E-2</v>
      </c>
      <c r="M110" s="836"/>
      <c r="N110" s="836"/>
      <c r="O110" s="48">
        <f>IF(t&lt;Tnet,'2026'!Resal+('2026'!Salim-'2026'!Resal)*(1-EXP(('2026'!Tnet-t)/('2026'!Tau_j))),Resal+(Salim-Resal)*(1-EXP((Tnet-t)/(Tau_j))))*Salcycl</f>
        <v>3.812069163872301E-2</v>
      </c>
      <c r="P110" s="165">
        <f>(INDEX(Models!$BJ110:$BT110,,T110)*(1-R110)+INDEX(Models!$BJ110:$BT110,,T110+1)*R110-ERP_i)*Q110*Ramure*Pc/MaxiM</f>
        <v>1.6632143359706806E-4</v>
      </c>
      <c r="Q110" s="301">
        <f t="shared" si="28"/>
        <v>0.5</v>
      </c>
      <c r="R110" s="173">
        <f t="shared" si="29"/>
        <v>0.52552215763598076</v>
      </c>
      <c r="S110" s="802">
        <f t="shared" si="30"/>
        <v>2</v>
      </c>
      <c r="T110" s="172">
        <f t="shared" si="31"/>
        <v>8</v>
      </c>
      <c r="U110" s="247">
        <f t="shared" si="32"/>
        <v>2.5255221576359808</v>
      </c>
      <c r="V110" s="378">
        <f t="shared" si="33"/>
        <v>50.812667107615773</v>
      </c>
      <c r="W110" s="397">
        <f t="shared" si="34"/>
        <v>12.364110511405592</v>
      </c>
      <c r="X110" s="153">
        <f t="shared" si="35"/>
        <v>46483</v>
      </c>
      <c r="Y110" s="380">
        <f t="shared" si="36"/>
        <v>12.100546870921477</v>
      </c>
      <c r="Z110" s="380">
        <f t="shared" si="37"/>
        <v>12.42978084823555</v>
      </c>
      <c r="AA110" s="381">
        <f t="shared" si="38"/>
        <v>13.203855689485158</v>
      </c>
      <c r="AB110" s="193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5.8624909227540108E-2</v>
      </c>
      <c r="AD110" s="227">
        <f>(INDEX(Models!$BJ110:$BT110,,AH110)*(1-AF110)+INDEX(Models!$BJ110:$BT110,,AH110+1)*AF110-ERP_i)*AE110*Ramure*Pc/MaxiM</f>
        <v>1.6632143359706806E-4</v>
      </c>
      <c r="AE110" s="301">
        <f t="shared" si="40"/>
        <v>0.5</v>
      </c>
      <c r="AF110" s="173">
        <f t="shared" si="41"/>
        <v>0.52552215763598076</v>
      </c>
      <c r="AG110" s="802">
        <f t="shared" si="49"/>
        <v>2</v>
      </c>
      <c r="AH110" s="172">
        <f t="shared" si="42"/>
        <v>8</v>
      </c>
      <c r="AI110" s="221">
        <f t="shared" si="43"/>
        <v>2.5255221576359808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46484</v>
      </c>
      <c r="B111" s="406">
        <f>'2026'!Wh/'2026'!Env_an*'2027'!Env_an</f>
        <v>41.909435428511649</v>
      </c>
      <c r="C111" s="832"/>
      <c r="D111" s="388">
        <f t="shared" si="25"/>
        <v>43.050304629311718</v>
      </c>
      <c r="E111" s="380">
        <f t="shared" si="47"/>
        <v>44.758588942291091</v>
      </c>
      <c r="F111" s="380">
        <f t="shared" si="26"/>
        <v>44.764128123600379</v>
      </c>
      <c r="G111" s="110">
        <f t="shared" si="48"/>
        <v>0.81889657104768565</v>
      </c>
      <c r="H111" s="409" t="b">
        <f>Wh_hp&gt;='2026'!Maxi_hp</f>
        <v>0</v>
      </c>
      <c r="I111" s="385">
        <f>IF(H111,Wh_hp,'2026'!Maxi_hp)</f>
        <v>44.766045147251283</v>
      </c>
      <c r="J111" s="85">
        <f>IF(H111,An,'2026'!An_max)</f>
        <v>2022</v>
      </c>
      <c r="K111" s="193">
        <f t="shared" si="27"/>
        <v>46484</v>
      </c>
      <c r="L111" s="143">
        <f>IF(t&lt;Tvie,1-EXP((T0-t)*PertePVj)+'2026'!Pspv,1-EXP((T0-t)*PertePVj)+Pspv)</f>
        <v>2.6500839207146631E-2</v>
      </c>
      <c r="M111" s="836"/>
      <c r="N111" s="836"/>
      <c r="O111" s="48">
        <f>IF(t&lt;Tnet,'2026'!Resal+('2026'!Salim-'2026'!Resal)*(1-EXP(('2026'!Tnet-t)/('2026'!Tau_j))),Resal+(Salim-Resal)*(1-EXP((Tnet-t)/(Tau_j))))*Salcycl</f>
        <v>3.8166625743763352E-2</v>
      </c>
      <c r="P111" s="165">
        <f>(INDEX(Models!$BJ111:$BT111,,T111)*(1-R111)+INDEX(Models!$BJ111:$BT111,,T111+1)*R111-ERP_i)*Q111*Ramure*Pc/MaxiM</f>
        <v>1.6691796971183382E-4</v>
      </c>
      <c r="Q111" s="301">
        <f t="shared" si="28"/>
        <v>0.5</v>
      </c>
      <c r="R111" s="173">
        <f t="shared" si="29"/>
        <v>0.52679010419692984</v>
      </c>
      <c r="S111" s="802">
        <f t="shared" si="30"/>
        <v>2</v>
      </c>
      <c r="T111" s="172">
        <f t="shared" si="31"/>
        <v>8</v>
      </c>
      <c r="U111" s="247">
        <f t="shared" si="32"/>
        <v>2.5267901041969298</v>
      </c>
      <c r="V111" s="378">
        <f t="shared" si="33"/>
        <v>51.175724976325952</v>
      </c>
      <c r="W111" s="397">
        <f t="shared" si="34"/>
        <v>41.909435428511649</v>
      </c>
      <c r="X111" s="153">
        <f t="shared" si="35"/>
        <v>46484</v>
      </c>
      <c r="Y111" s="380">
        <f t="shared" si="36"/>
        <v>41.016656430089213</v>
      </c>
      <c r="Z111" s="380">
        <f t="shared" si="37"/>
        <v>42.133222176261299</v>
      </c>
      <c r="AA111" s="381">
        <f t="shared" si="38"/>
        <v>44.758588942291091</v>
      </c>
      <c r="AB111" s="193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5.8656155792015149E-2</v>
      </c>
      <c r="AD111" s="227">
        <f>(INDEX(Models!$BJ111:$BT111,,AH111)*(1-AF111)+INDEX(Models!$BJ111:$BT111,,AH111+1)*AF111-ERP_i)*AE111*Ramure*Pc/MaxiM</f>
        <v>1.6691796971183382E-4</v>
      </c>
      <c r="AE111" s="301">
        <f t="shared" si="40"/>
        <v>0.5</v>
      </c>
      <c r="AF111" s="173">
        <f t="shared" si="41"/>
        <v>0.52679010419692984</v>
      </c>
      <c r="AG111" s="802">
        <f t="shared" si="49"/>
        <v>2</v>
      </c>
      <c r="AH111" s="172">
        <f t="shared" si="42"/>
        <v>8</v>
      </c>
      <c r="AI111" s="221">
        <f t="shared" si="43"/>
        <v>2.5267901041969298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46485</v>
      </c>
      <c r="B112" s="406">
        <f>'2026'!Wh/'2026'!Env_an*'2027'!Env_an</f>
        <v>35.70004650194408</v>
      </c>
      <c r="C112" s="832"/>
      <c r="D112" s="388">
        <f t="shared" si="25"/>
        <v>36.672384168482864</v>
      </c>
      <c r="E112" s="380">
        <f t="shared" si="47"/>
        <v>38.129422954474691</v>
      </c>
      <c r="F112" s="380">
        <f t="shared" si="26"/>
        <v>38.13297528600409</v>
      </c>
      <c r="G112" s="110">
        <f t="shared" si="48"/>
        <v>0.69271729458767384</v>
      </c>
      <c r="H112" s="409" t="b">
        <f>Wh_hp&gt;='2026'!Maxi_hp</f>
        <v>0</v>
      </c>
      <c r="I112" s="385">
        <f>IF(H112,Wh_hp,'2026'!Maxi_hp)</f>
        <v>38.135731064829805</v>
      </c>
      <c r="J112" s="85">
        <f>IF(H112,An,'2026'!An_max)</f>
        <v>2022</v>
      </c>
      <c r="K112" s="193">
        <f t="shared" si="27"/>
        <v>46485</v>
      </c>
      <c r="L112" s="143">
        <f>IF(t&lt;Tvie,1-EXP((T0-t)*PertePVj)+'2026'!Pspv,1-EXP((T0-t)*PertePVj)+Pspv)</f>
        <v>2.6514165593150563E-2</v>
      </c>
      <c r="M112" s="836"/>
      <c r="N112" s="836"/>
      <c r="O112" s="48">
        <f>IF(t&lt;Tnet,'2026'!Resal+('2026'!Salim-'2026'!Resal)*(1-EXP(('2026'!Tnet-t)/('2026'!Tau_j))),Resal+(Salim-Resal)*(1-EXP((Tnet-t)/(Tau_j))))*Salcycl</f>
        <v>3.821297761918617E-2</v>
      </c>
      <c r="P112" s="165">
        <f>(INDEX(Models!$BJ112:$BT112,,T112)*(1-R112)+INDEX(Models!$BJ112:$BT112,,T112+1)*R112-ERP_i)*Q112*Ramure*Pc/MaxiM</f>
        <v>1.6602557147168203E-4</v>
      </c>
      <c r="Q112" s="301">
        <f t="shared" si="28"/>
        <v>0.5</v>
      </c>
      <c r="R112" s="173">
        <f t="shared" si="29"/>
        <v>0.52810396252467351</v>
      </c>
      <c r="S112" s="802">
        <f t="shared" si="30"/>
        <v>2</v>
      </c>
      <c r="T112" s="172">
        <f t="shared" si="31"/>
        <v>8</v>
      </c>
      <c r="U112" s="247">
        <f t="shared" si="32"/>
        <v>2.5281039625246735</v>
      </c>
      <c r="V112" s="378">
        <f t="shared" si="33"/>
        <v>51.532486782789185</v>
      </c>
      <c r="W112" s="397">
        <f t="shared" si="34"/>
        <v>35.70004650194408</v>
      </c>
      <c r="X112" s="153">
        <f t="shared" si="35"/>
        <v>46485</v>
      </c>
      <c r="Y112" s="380">
        <f t="shared" si="36"/>
        <v>34.940042952878542</v>
      </c>
      <c r="Z112" s="380">
        <f t="shared" si="37"/>
        <v>35.891680924322557</v>
      </c>
      <c r="AA112" s="381">
        <f t="shared" si="38"/>
        <v>38.129422954474691</v>
      </c>
      <c r="AB112" s="193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5.8688064406952276E-2</v>
      </c>
      <c r="AD112" s="227">
        <f>(INDEX(Models!$BJ112:$BT112,,AH112)*(1-AF112)+INDEX(Models!$BJ112:$BT112,,AH112+1)*AF112-ERP_i)*AE112*Ramure*Pc/MaxiM</f>
        <v>1.6602557147168203E-4</v>
      </c>
      <c r="AE112" s="301">
        <f t="shared" si="40"/>
        <v>0.5</v>
      </c>
      <c r="AF112" s="173">
        <f t="shared" si="41"/>
        <v>0.52810396252467351</v>
      </c>
      <c r="AG112" s="802">
        <f t="shared" si="49"/>
        <v>2</v>
      </c>
      <c r="AH112" s="172">
        <f t="shared" si="42"/>
        <v>8</v>
      </c>
      <c r="AI112" s="221">
        <f t="shared" si="43"/>
        <v>2.5281039625246735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46486</v>
      </c>
      <c r="B113" s="406">
        <f>'2026'!Wh/'2026'!Env_an*'2027'!Env_an</f>
        <v>33.212490091411389</v>
      </c>
      <c r="C113" s="832"/>
      <c r="D113" s="388">
        <f t="shared" si="25"/>
        <v>34.117542931655372</v>
      </c>
      <c r="E113" s="380">
        <f t="shared" si="47"/>
        <v>35.474800256723476</v>
      </c>
      <c r="F113" s="380">
        <f t="shared" si="26"/>
        <v>35.47762169448221</v>
      </c>
      <c r="G113" s="110">
        <f t="shared" si="48"/>
        <v>0.64009255071232907</v>
      </c>
      <c r="H113" s="409" t="b">
        <f>Wh_hp&gt;='2026'!Maxi_hp</f>
        <v>0</v>
      </c>
      <c r="I113" s="385">
        <f>IF(H113,Wh_hp,'2026'!Maxi_hp)</f>
        <v>35.480581616370678</v>
      </c>
      <c r="J113" s="85">
        <f>IF(H113,An,'2026'!An_max)</f>
        <v>2022</v>
      </c>
      <c r="K113" s="193">
        <f t="shared" si="27"/>
        <v>46486</v>
      </c>
      <c r="L113" s="143">
        <f>IF(t&lt;Tvie,1-EXP((T0-t)*PertePVj)+'2026'!Pspv,1-EXP((T0-t)*PertePVj)+Pspv)</f>
        <v>2.652749179672742E-2</v>
      </c>
      <c r="M113" s="836"/>
      <c r="N113" s="836"/>
      <c r="O113" s="48">
        <f>IF(t&lt;Tnet,'2026'!Resal+('2026'!Salim-'2026'!Resal)*(1-EXP(('2026'!Tnet-t)/('2026'!Tau_j))),Resal+(Salim-Resal)*(1-EXP((Tnet-t)/(Tau_j))))*Salcycl</f>
        <v>3.8259759469987838E-2</v>
      </c>
      <c r="P113" s="165">
        <f>(INDEX(Models!$BJ113:$BT113,,T113)*(1-R113)+INDEX(Models!$BJ113:$BT113,,T113+1)*R113-ERP_i)*Q113*Ramure*Pc/MaxiM</f>
        <v>1.6366209999430173E-4</v>
      </c>
      <c r="Q113" s="301">
        <f t="shared" si="28"/>
        <v>0.5</v>
      </c>
      <c r="R113" s="173">
        <f t="shared" si="29"/>
        <v>0.52946510151223958</v>
      </c>
      <c r="S113" s="802">
        <f t="shared" si="30"/>
        <v>2</v>
      </c>
      <c r="T113" s="172">
        <f t="shared" si="31"/>
        <v>8</v>
      </c>
      <c r="U113" s="247">
        <f t="shared" si="32"/>
        <v>2.5294651015122396</v>
      </c>
      <c r="V113" s="378">
        <f t="shared" si="33"/>
        <v>51.882646508545747</v>
      </c>
      <c r="W113" s="397">
        <f t="shared" si="34"/>
        <v>33.212490091411389</v>
      </c>
      <c r="X113" s="153">
        <f t="shared" si="35"/>
        <v>46486</v>
      </c>
      <c r="Y113" s="380">
        <f t="shared" si="36"/>
        <v>32.505898876273399</v>
      </c>
      <c r="Z113" s="380">
        <f t="shared" si="37"/>
        <v>33.391696840282812</v>
      </c>
      <c r="AA113" s="381">
        <f t="shared" si="38"/>
        <v>35.474800256723476</v>
      </c>
      <c r="AB113" s="193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5.872065244527655E-2</v>
      </c>
      <c r="AD113" s="227">
        <f>(INDEX(Models!$BJ113:$BT113,,AH113)*(1-AF113)+INDEX(Models!$BJ113:$BT113,,AH113+1)*AF113-ERP_i)*AE113*Ramure*Pc/MaxiM</f>
        <v>1.6366209999430173E-4</v>
      </c>
      <c r="AE113" s="301">
        <f t="shared" si="40"/>
        <v>0.5</v>
      </c>
      <c r="AF113" s="173">
        <f t="shared" si="41"/>
        <v>0.52946510151223958</v>
      </c>
      <c r="AG113" s="802">
        <f t="shared" si="49"/>
        <v>2</v>
      </c>
      <c r="AH113" s="172">
        <f t="shared" si="42"/>
        <v>8</v>
      </c>
      <c r="AI113" s="221">
        <f t="shared" si="43"/>
        <v>2.5294651015122396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46487</v>
      </c>
      <c r="B114" s="406">
        <f>'2026'!Wh/'2026'!Env_an*'2027'!Env_an</f>
        <v>54.41544367729383</v>
      </c>
      <c r="C114" s="832"/>
      <c r="D114" s="388">
        <f t="shared" si="25"/>
        <v>55.899050184431331</v>
      </c>
      <c r="E114" s="380">
        <f t="shared" si="47"/>
        <v>58.125669210549319</v>
      </c>
      <c r="F114" s="380">
        <f t="shared" si="26"/>
        <v>58.134973098692683</v>
      </c>
      <c r="G114" s="110">
        <f t="shared" si="48"/>
        <v>1.0419247187108809</v>
      </c>
      <c r="H114" s="409" t="b">
        <f>Wh_hp&gt;='2026'!Maxi_hp</f>
        <v>1</v>
      </c>
      <c r="I114" s="385">
        <f>IF(H114,Wh_hp,'2026'!Maxi_hp)</f>
        <v>58.134973098692683</v>
      </c>
      <c r="J114" s="85">
        <f>IF(H114,An,'2026'!An_max)</f>
        <v>2027</v>
      </c>
      <c r="K114" s="193">
        <f t="shared" si="27"/>
        <v>46487</v>
      </c>
      <c r="L114" s="143">
        <f>IF(t&lt;Tvie,1-EXP((T0-t)*PertePVj)+'2026'!Pspv,1-EXP((T0-t)*PertePVj)+Pspv)</f>
        <v>2.6540817817879647E-2</v>
      </c>
      <c r="M114" s="836"/>
      <c r="N114" s="836"/>
      <c r="O114" s="48">
        <f>IF(t&lt;Tnet,'2026'!Resal+('2026'!Salim-'2026'!Resal)*(1-EXP(('2026'!Tnet-t)/('2026'!Tau_j))),Resal+(Salim-Resal)*(1-EXP((Tnet-t)/(Tau_j))))*Salcycl</f>
        <v>3.8306983065476204E-2</v>
      </c>
      <c r="P114" s="165">
        <f>(INDEX(Models!$BJ114:$BT114,,T114)*(1-R114)+INDEX(Models!$BJ114:$BT114,,T114+1)*R114-ERP_i)*Q114*Ramure*Pc/MaxiM</f>
        <v>1.6003943319234222E-4</v>
      </c>
      <c r="Q114" s="301">
        <f t="shared" si="28"/>
        <v>0.5</v>
      </c>
      <c r="R114" s="173">
        <f t="shared" si="29"/>
        <v>0.53087490761858191</v>
      </c>
      <c r="S114" s="802">
        <f t="shared" si="30"/>
        <v>2</v>
      </c>
      <c r="T114" s="172">
        <f t="shared" si="31"/>
        <v>8</v>
      </c>
      <c r="U114" s="247">
        <f t="shared" si="32"/>
        <v>2.5308749076185819</v>
      </c>
      <c r="V114" s="378">
        <f t="shared" si="33"/>
        <v>52.225888012925942</v>
      </c>
      <c r="W114" s="397">
        <f t="shared" si="34"/>
        <v>54.41544367729383</v>
      </c>
      <c r="X114" s="153">
        <f t="shared" si="35"/>
        <v>46487</v>
      </c>
      <c r="Y114" s="380">
        <f t="shared" si="36"/>
        <v>53.258494393910453</v>
      </c>
      <c r="Z114" s="380">
        <f t="shared" si="37"/>
        <v>54.710557328685759</v>
      </c>
      <c r="AA114" s="381">
        <f t="shared" si="38"/>
        <v>58.125669210549319</v>
      </c>
      <c r="AB114" s="193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5.8753936569623945E-2</v>
      </c>
      <c r="AD114" s="227">
        <f>(INDEX(Models!$BJ114:$BT114,,AH114)*(1-AF114)+INDEX(Models!$BJ114:$BT114,,AH114+1)*AF114-ERP_i)*AE114*Ramure*Pc/MaxiM</f>
        <v>1.6003943319234222E-4</v>
      </c>
      <c r="AE114" s="301">
        <f t="shared" si="40"/>
        <v>0.5</v>
      </c>
      <c r="AF114" s="173">
        <f t="shared" si="41"/>
        <v>0.53087490761858191</v>
      </c>
      <c r="AG114" s="802">
        <f t="shared" si="49"/>
        <v>2</v>
      </c>
      <c r="AH114" s="172">
        <f t="shared" si="42"/>
        <v>8</v>
      </c>
      <c r="AI114" s="221">
        <f t="shared" si="43"/>
        <v>2.5308749076185819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46488</v>
      </c>
      <c r="B115" s="406">
        <f>'2026'!Wh/'2026'!Env_an*'2027'!Env_an</f>
        <v>43.900528474374696</v>
      </c>
      <c r="C115" s="832"/>
      <c r="D115" s="388">
        <f t="shared" si="25"/>
        <v>45.098069079343297</v>
      </c>
      <c r="E115" s="380">
        <f t="shared" si="47"/>
        <v>46.896779082713508</v>
      </c>
      <c r="F115" s="380">
        <f t="shared" si="26"/>
        <v>46.902362804309043</v>
      </c>
      <c r="G115" s="110">
        <f t="shared" si="48"/>
        <v>0.83518552578024507</v>
      </c>
      <c r="H115" s="409" t="b">
        <f>Wh_hp&gt;='2026'!Maxi_hp</f>
        <v>0</v>
      </c>
      <c r="I115" s="385">
        <f>IF(H115,Wh_hp,'2026'!Maxi_hp)</f>
        <v>46.904067064445634</v>
      </c>
      <c r="J115" s="85">
        <f>IF(H115,An,'2026'!An_max)</f>
        <v>2022</v>
      </c>
      <c r="K115" s="193">
        <f t="shared" si="27"/>
        <v>46488</v>
      </c>
      <c r="L115" s="143">
        <f>IF(t&lt;Tvie,1-EXP((T0-t)*PertePVj)+'2026'!Pspv,1-EXP((T0-t)*PertePVj)+Pspv)</f>
        <v>2.6554143656610019E-2</v>
      </c>
      <c r="M115" s="836"/>
      <c r="N115" s="836"/>
      <c r="O115" s="48">
        <f>IF(t&lt;Tnet,'2026'!Resal+('2026'!Salim-'2026'!Resal)*(1-EXP(('2026'!Tnet-t)/('2026'!Tau_j))),Resal+(Salim-Resal)*(1-EXP((Tnet-t)/(Tau_j))))*Salcycl</f>
        <v>3.8354659713362521E-2</v>
      </c>
      <c r="P115" s="165">
        <f>(INDEX(Models!$BJ115:$BT115,,T115)*(1-R115)+INDEX(Models!$BJ115:$BT115,,T115+1)*R115-ERP_i)*Q115*Ramure*Pc/MaxiM</f>
        <v>1.5570331912921363E-4</v>
      </c>
      <c r="Q115" s="301">
        <f t="shared" si="28"/>
        <v>0.5</v>
      </c>
      <c r="R115" s="173">
        <f t="shared" si="29"/>
        <v>0.53233478308447912</v>
      </c>
      <c r="S115" s="802">
        <f t="shared" si="30"/>
        <v>2</v>
      </c>
      <c r="T115" s="172">
        <f t="shared" si="31"/>
        <v>8</v>
      </c>
      <c r="U115" s="247">
        <f t="shared" si="32"/>
        <v>2.5323347830844791</v>
      </c>
      <c r="V115" s="378">
        <f t="shared" si="33"/>
        <v>52.561877359286306</v>
      </c>
      <c r="W115" s="397">
        <f t="shared" si="34"/>
        <v>43.900528474374696</v>
      </c>
      <c r="X115" s="153">
        <f t="shared" si="35"/>
        <v>46488</v>
      </c>
      <c r="Y115" s="380">
        <f t="shared" si="36"/>
        <v>42.967719418080875</v>
      </c>
      <c r="Z115" s="380">
        <f t="shared" si="37"/>
        <v>44.139814390379108</v>
      </c>
      <c r="AA115" s="381">
        <f t="shared" si="38"/>
        <v>46.896779082713508</v>
      </c>
      <c r="AB115" s="193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5.8787932695160999E-2</v>
      </c>
      <c r="AD115" s="227">
        <f>(INDEX(Models!$BJ115:$BT115,,AH115)*(1-AF115)+INDEX(Models!$BJ115:$BT115,,AH115+1)*AF115-ERP_i)*AE115*Ramure*Pc/MaxiM</f>
        <v>1.5570331912921363E-4</v>
      </c>
      <c r="AE115" s="301">
        <f t="shared" si="40"/>
        <v>0.5</v>
      </c>
      <c r="AF115" s="173">
        <f t="shared" si="41"/>
        <v>0.53233478308447912</v>
      </c>
      <c r="AG115" s="802">
        <f t="shared" si="49"/>
        <v>2</v>
      </c>
      <c r="AH115" s="172">
        <f t="shared" si="42"/>
        <v>8</v>
      </c>
      <c r="AI115" s="221">
        <f t="shared" si="43"/>
        <v>2.5323347830844791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46489</v>
      </c>
      <c r="B116" s="406">
        <f>'2026'!Wh/'2026'!Env_an*'2027'!Env_an</f>
        <v>36.630210793597186</v>
      </c>
      <c r="C116" s="832"/>
      <c r="D116" s="388">
        <f t="shared" si="25"/>
        <v>37.629943153576789</v>
      </c>
      <c r="E116" s="380">
        <f t="shared" si="47"/>
        <v>39.132750347776181</v>
      </c>
      <c r="F116" s="380">
        <f t="shared" si="26"/>
        <v>39.1360569401592</v>
      </c>
      <c r="G116" s="110">
        <f t="shared" si="48"/>
        <v>0.69252359854599332</v>
      </c>
      <c r="H116" s="409" t="b">
        <f>Wh_hp&gt;='2026'!Maxi_hp</f>
        <v>0</v>
      </c>
      <c r="I116" s="385">
        <f>IF(H116,Wh_hp,'2026'!Maxi_hp)</f>
        <v>39.138623490789477</v>
      </c>
      <c r="J116" s="85">
        <f>IF(H116,An,'2026'!An_max)</f>
        <v>2022</v>
      </c>
      <c r="K116" s="193">
        <f t="shared" si="27"/>
        <v>46489</v>
      </c>
      <c r="L116" s="143">
        <f>IF(t&lt;Tvie,1-EXP((T0-t)*PertePVj)+'2026'!Pspv,1-EXP((T0-t)*PertePVj)+Pspv)</f>
        <v>2.6567469312920755E-2</v>
      </c>
      <c r="M116" s="836"/>
      <c r="N116" s="836"/>
      <c r="O116" s="48">
        <f>IF(t&lt;Tnet,'2026'!Resal+('2026'!Salim-'2026'!Resal)*(1-EXP(('2026'!Tnet-t)/('2026'!Tau_j))),Resal+(Salim-Resal)*(1-EXP((Tnet-t)/(Tau_j))))*Salcycl</f>
        <v>3.8402800233661438E-2</v>
      </c>
      <c r="P116" s="165">
        <f>(INDEX(Models!$BJ116:$BT116,,T116)*(1-R116)+INDEX(Models!$BJ116:$BT116,,T116+1)*R116-ERP_i)*Q116*Ramure*Pc/MaxiM</f>
        <v>1.5065555851444753E-4</v>
      </c>
      <c r="Q116" s="301">
        <f t="shared" si="28"/>
        <v>0.5</v>
      </c>
      <c r="R116" s="173">
        <f t="shared" si="29"/>
        <v>0.5338461439531077</v>
      </c>
      <c r="S116" s="802">
        <f t="shared" si="30"/>
        <v>2</v>
      </c>
      <c r="T116" s="172">
        <f t="shared" si="31"/>
        <v>8</v>
      </c>
      <c r="U116" s="247">
        <f t="shared" si="32"/>
        <v>2.5338461439531077</v>
      </c>
      <c r="V116" s="378">
        <f t="shared" si="33"/>
        <v>52.890308713119431</v>
      </c>
      <c r="W116" s="397">
        <f t="shared" si="34"/>
        <v>36.630210793597186</v>
      </c>
      <c r="X116" s="153">
        <f t="shared" si="35"/>
        <v>46489</v>
      </c>
      <c r="Y116" s="380">
        <f t="shared" si="36"/>
        <v>35.852355346921193</v>
      </c>
      <c r="Z116" s="380">
        <f t="shared" si="37"/>
        <v>36.830858037603775</v>
      </c>
      <c r="AA116" s="381">
        <f t="shared" si="38"/>
        <v>39.132750347776181</v>
      </c>
      <c r="AB116" s="193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5.8822655952246797E-2</v>
      </c>
      <c r="AD116" s="227">
        <f>(INDEX(Models!$BJ116:$BT116,,AH116)*(1-AF116)+INDEX(Models!$BJ116:$BT116,,AH116+1)*AF116-ERP_i)*AE116*Ramure*Pc/MaxiM</f>
        <v>1.5065555851444753E-4</v>
      </c>
      <c r="AE116" s="301">
        <f t="shared" si="40"/>
        <v>0.5</v>
      </c>
      <c r="AF116" s="173">
        <f t="shared" si="41"/>
        <v>0.5338461439531077</v>
      </c>
      <c r="AG116" s="802">
        <f t="shared" si="49"/>
        <v>2</v>
      </c>
      <c r="AH116" s="172">
        <f t="shared" si="42"/>
        <v>8</v>
      </c>
      <c r="AI116" s="221">
        <f t="shared" si="43"/>
        <v>2.5338461439531077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46490</v>
      </c>
      <c r="B117" s="406">
        <f>'2026'!Wh/'2026'!Env_an*'2027'!Env_an</f>
        <v>8.4702913995500921</v>
      </c>
      <c r="C117" s="832"/>
      <c r="D117" s="388">
        <f t="shared" si="25"/>
        <v>8.7015864842065032</v>
      </c>
      <c r="E117" s="380">
        <f t="shared" si="47"/>
        <v>9.0495546656053474</v>
      </c>
      <c r="F117" s="380">
        <f t="shared" si="26"/>
        <v>9.0495546656053474</v>
      </c>
      <c r="G117" s="110">
        <f t="shared" si="48"/>
        <v>0.15916039460663545</v>
      </c>
      <c r="H117" s="409" t="b">
        <f>Wh_hp&gt;='2026'!Maxi_hp</f>
        <v>0</v>
      </c>
      <c r="I117" s="385">
        <f>IF(H117,Wh_hp,'2026'!Maxi_hp)</f>
        <v>9.0508539778178534</v>
      </c>
      <c r="J117" s="85">
        <f>IF(H117,An,'2026'!An_max)</f>
        <v>2022</v>
      </c>
      <c r="K117" s="193">
        <f t="shared" si="27"/>
        <v>46490</v>
      </c>
      <c r="L117" s="143">
        <f>IF(t&lt;Tvie,1-EXP((T0-t)*PertePVj)+'2026'!Pspv,1-EXP((T0-t)*PertePVj)+Pspv)</f>
        <v>2.658079478681441E-2</v>
      </c>
      <c r="M117" s="836"/>
      <c r="N117" s="836"/>
      <c r="O117" s="48">
        <f>IF(t&lt;Tnet,'2026'!Resal+('2026'!Salim-'2026'!Resal)*(1-EXP(('2026'!Tnet-t)/('2026'!Tau_j))),Resal+(Salim-Resal)*(1-EXP((Tnet-t)/(Tau_j))))*Salcycl</f>
        <v>3.8451414932202915E-2</v>
      </c>
      <c r="P117" s="165">
        <f>(INDEX(Models!$BJ117:$BT117,,T117)*(1-R117)+INDEX(Models!$BJ117:$BT117,,T117+1)*R117-ERP_i)*Q117*Ramure*Pc/MaxiM</f>
        <v>1.4489617972861696E-4</v>
      </c>
      <c r="Q117" s="301">
        <f t="shared" si="28"/>
        <v>0.5</v>
      </c>
      <c r="R117" s="173">
        <f t="shared" si="29"/>
        <v>0.53541041788602906</v>
      </c>
      <c r="S117" s="802">
        <f t="shared" si="30"/>
        <v>2</v>
      </c>
      <c r="T117" s="172">
        <f t="shared" si="31"/>
        <v>8</v>
      </c>
      <c r="U117" s="247">
        <f t="shared" si="32"/>
        <v>2.5354104178860291</v>
      </c>
      <c r="V117" s="378">
        <f t="shared" si="33"/>
        <v>53.210876409400605</v>
      </c>
      <c r="W117" s="397">
        <f t="shared" si="34"/>
        <v>8.4702913995500921</v>
      </c>
      <c r="X117" s="153">
        <f t="shared" si="35"/>
        <v>46490</v>
      </c>
      <c r="Y117" s="380">
        <f t="shared" si="36"/>
        <v>8.2905285184983022</v>
      </c>
      <c r="Z117" s="380">
        <f t="shared" si="37"/>
        <v>8.5169148852807144</v>
      </c>
      <c r="AA117" s="381">
        <f t="shared" si="38"/>
        <v>9.0495546656053474</v>
      </c>
      <c r="AB117" s="193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5.8858120648636728E-2</v>
      </c>
      <c r="AD117" s="227">
        <f>(INDEX(Models!$BJ117:$BT117,,AH117)*(1-AF117)+INDEX(Models!$BJ117:$BT117,,AH117+1)*AF117-ERP_i)*AE117*Ramure*Pc/MaxiM</f>
        <v>1.4489617972861696E-4</v>
      </c>
      <c r="AE117" s="301">
        <f t="shared" si="40"/>
        <v>0.5</v>
      </c>
      <c r="AF117" s="173">
        <f t="shared" si="41"/>
        <v>0.53541041788602906</v>
      </c>
      <c r="AG117" s="802">
        <f t="shared" si="49"/>
        <v>2</v>
      </c>
      <c r="AH117" s="172">
        <f t="shared" si="42"/>
        <v>8</v>
      </c>
      <c r="AI117" s="221">
        <f t="shared" si="43"/>
        <v>2.5354104178860291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46491</v>
      </c>
      <c r="B118" s="406">
        <f>'2026'!Wh/'2026'!Env_an*'2027'!Env_an</f>
        <v>39.102501607349183</v>
      </c>
      <c r="C118" s="832"/>
      <c r="D118" s="388">
        <f t="shared" si="25"/>
        <v>40.17080892350301</v>
      </c>
      <c r="E118" s="380">
        <f t="shared" si="47"/>
        <v>41.779334768866484</v>
      </c>
      <c r="F118" s="380">
        <f t="shared" si="26"/>
        <v>41.782892342119325</v>
      </c>
      <c r="G118" s="110">
        <f t="shared" si="48"/>
        <v>0.73053112147193344</v>
      </c>
      <c r="H118" s="409" t="b">
        <f>Wh_hp&gt;='2026'!Maxi_hp</f>
        <v>0</v>
      </c>
      <c r="I118" s="385">
        <f>IF(H118,Wh_hp,'2026'!Maxi_hp)</f>
        <v>41.785097562255523</v>
      </c>
      <c r="J118" s="85">
        <f>IF(H118,An,'2026'!An_max)</f>
        <v>2022</v>
      </c>
      <c r="K118" s="193">
        <f t="shared" si="27"/>
        <v>46491</v>
      </c>
      <c r="L118" s="143">
        <f>IF(t&lt;Tvie,1-EXP((T0-t)*PertePVj)+'2026'!Pspv,1-EXP((T0-t)*PertePVj)+Pspv)</f>
        <v>2.6594120078293537E-2</v>
      </c>
      <c r="M118" s="836"/>
      <c r="N118" s="836"/>
      <c r="O118" s="48">
        <f>IF(t&lt;Tnet,'2026'!Resal+('2026'!Salim-'2026'!Resal)*(1-EXP(('2026'!Tnet-t)/('2026'!Tau_j))),Resal+(Salim-Resal)*(1-EXP((Tnet-t)/(Tau_j))))*Salcycl</f>
        <v>3.8500513573570143E-2</v>
      </c>
      <c r="P118" s="165">
        <f>(INDEX(Models!$BJ118:$BT118,,T118)*(1-R118)+INDEX(Models!$BJ118:$BT118,,T118+1)*R118-ERP_i)*Q118*Ramure*Pc/MaxiM</f>
        <v>1.3842341996878773E-4</v>
      </c>
      <c r="Q118" s="301">
        <f t="shared" si="28"/>
        <v>0.5</v>
      </c>
      <c r="R118" s="173">
        <f t="shared" si="29"/>
        <v>0.53702904176559274</v>
      </c>
      <c r="S118" s="802">
        <f t="shared" si="30"/>
        <v>2</v>
      </c>
      <c r="T118" s="172">
        <f t="shared" si="31"/>
        <v>8</v>
      </c>
      <c r="U118" s="247">
        <f t="shared" si="32"/>
        <v>2.5370290417655927</v>
      </c>
      <c r="V118" s="378">
        <f t="shared" si="33"/>
        <v>53.52327495992806</v>
      </c>
      <c r="W118" s="397">
        <f t="shared" si="34"/>
        <v>39.102501607349183</v>
      </c>
      <c r="X118" s="153">
        <f t="shared" si="35"/>
        <v>46491</v>
      </c>
      <c r="Y118" s="380">
        <f t="shared" si="36"/>
        <v>38.273120363877219</v>
      </c>
      <c r="Z118" s="380">
        <f t="shared" si="37"/>
        <v>39.318768412366303</v>
      </c>
      <c r="AA118" s="381">
        <f t="shared" si="38"/>
        <v>41.779334768866484</v>
      </c>
      <c r="AB118" s="193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5.8894340230945169E-2</v>
      </c>
      <c r="AD118" s="227">
        <f>(INDEX(Models!$BJ118:$BT118,,AH118)*(1-AF118)+INDEX(Models!$BJ118:$BT118,,AH118+1)*AF118-ERP_i)*AE118*Ramure*Pc/MaxiM</f>
        <v>1.3842341996878773E-4</v>
      </c>
      <c r="AE118" s="301">
        <f t="shared" si="40"/>
        <v>0.5</v>
      </c>
      <c r="AF118" s="173">
        <f t="shared" si="41"/>
        <v>0.53702904176559274</v>
      </c>
      <c r="AG118" s="802">
        <f t="shared" si="49"/>
        <v>2</v>
      </c>
      <c r="AH118" s="172">
        <f t="shared" si="42"/>
        <v>8</v>
      </c>
      <c r="AI118" s="221">
        <f t="shared" si="43"/>
        <v>2.5370290417655927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46492</v>
      </c>
      <c r="B119" s="406">
        <f>'2026'!Wh/'2026'!Env_an*'2027'!Env_an</f>
        <v>42.848707853448893</v>
      </c>
      <c r="C119" s="832"/>
      <c r="D119" s="388">
        <f t="shared" si="25"/>
        <v>44.019966704693466</v>
      </c>
      <c r="E119" s="380">
        <f t="shared" si="47"/>
        <v>45.784982607823757</v>
      </c>
      <c r="F119" s="380">
        <f t="shared" si="26"/>
        <v>45.789240838539975</v>
      </c>
      <c r="G119" s="110">
        <f t="shared" si="48"/>
        <v>0.79601149673758553</v>
      </c>
      <c r="H119" s="409" t="b">
        <f>Wh_hp&gt;='2026'!Maxi_hp</f>
        <v>0</v>
      </c>
      <c r="I119" s="385">
        <f>IF(H119,Wh_hp,'2026'!Maxi_hp)</f>
        <v>45.790974578011351</v>
      </c>
      <c r="J119" s="85">
        <f>IF(H119,An,'2026'!An_max)</f>
        <v>2022</v>
      </c>
      <c r="K119" s="193">
        <f t="shared" si="27"/>
        <v>46492</v>
      </c>
      <c r="L119" s="143">
        <f>IF(t&lt;Tvie,1-EXP((T0-t)*PertePVj)+'2026'!Pspv,1-EXP((T0-t)*PertePVj)+Pspv)</f>
        <v>2.660744518736069E-2</v>
      </c>
      <c r="M119" s="836"/>
      <c r="N119" s="836"/>
      <c r="O119" s="48">
        <f>IF(t&lt;Tnet,'2026'!Resal+('2026'!Salim-'2026'!Resal)*(1-EXP(('2026'!Tnet-t)/('2026'!Tau_j))),Resal+(Salim-Resal)*(1-EXP((Tnet-t)/(Tau_j))))*Salcycl</f>
        <v>3.8550105353292979E-2</v>
      </c>
      <c r="P119" s="165">
        <f>(INDEX(Models!$BJ119:$BT119,,T119)*(1-R119)+INDEX(Models!$BJ119:$BT119,,T119+1)*R119-ERP_i)*Q119*Ramure*Pc/MaxiM</f>
        <v>1.3123370482254798E-4</v>
      </c>
      <c r="Q119" s="301">
        <f t="shared" si="28"/>
        <v>0.5</v>
      </c>
      <c r="R119" s="173">
        <f t="shared" si="29"/>
        <v>0.53870345907512407</v>
      </c>
      <c r="S119" s="802">
        <f t="shared" si="30"/>
        <v>2</v>
      </c>
      <c r="T119" s="172">
        <f t="shared" si="31"/>
        <v>8</v>
      </c>
      <c r="U119" s="247">
        <f t="shared" si="32"/>
        <v>2.5387034590751241</v>
      </c>
      <c r="V119" s="378">
        <f t="shared" si="33"/>
        <v>53.827199046718249</v>
      </c>
      <c r="W119" s="397">
        <f t="shared" si="34"/>
        <v>42.848707853448893</v>
      </c>
      <c r="X119" s="153">
        <f t="shared" si="35"/>
        <v>46492</v>
      </c>
      <c r="Y119" s="380">
        <f t="shared" si="36"/>
        <v>41.940382804581269</v>
      </c>
      <c r="Z119" s="380">
        <f t="shared" si="37"/>
        <v>43.086812814850475</v>
      </c>
      <c r="AA119" s="381">
        <f t="shared" si="38"/>
        <v>45.784982607823757</v>
      </c>
      <c r="AB119" s="193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5.8931327245108932E-2</v>
      </c>
      <c r="AD119" s="227">
        <f>(INDEX(Models!$BJ119:$BT119,,AH119)*(1-AF119)+INDEX(Models!$BJ119:$BT119,,AH119+1)*AF119-ERP_i)*AE119*Ramure*Pc/MaxiM</f>
        <v>1.3123370482254798E-4</v>
      </c>
      <c r="AE119" s="301">
        <f t="shared" si="40"/>
        <v>0.5</v>
      </c>
      <c r="AF119" s="173">
        <f t="shared" si="41"/>
        <v>0.53870345907512407</v>
      </c>
      <c r="AG119" s="802">
        <f t="shared" si="49"/>
        <v>2</v>
      </c>
      <c r="AH119" s="172">
        <f t="shared" si="42"/>
        <v>8</v>
      </c>
      <c r="AI119" s="221">
        <f t="shared" si="43"/>
        <v>2.5387034590751241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46493</v>
      </c>
      <c r="B120" s="406">
        <f>'2026'!Wh/'2026'!Env_an*'2027'!Env_an</f>
        <v>38.988823429916728</v>
      </c>
      <c r="C120" s="832"/>
      <c r="D120" s="388">
        <f t="shared" si="25"/>
        <v>40.055121614300049</v>
      </c>
      <c r="E120" s="380">
        <f t="shared" si="47"/>
        <v>41.663334616030554</v>
      </c>
      <c r="F120" s="380">
        <f t="shared" si="26"/>
        <v>41.666420450862752</v>
      </c>
      <c r="G120" s="110">
        <f t="shared" si="48"/>
        <v>0.72034764383579708</v>
      </c>
      <c r="H120" s="409" t="b">
        <f>Wh_hp&gt;='2026'!Maxi_hp</f>
        <v>0</v>
      </c>
      <c r="I120" s="385">
        <f>IF(H120,Wh_hp,'2026'!Maxi_hp)</f>
        <v>41.668451970182822</v>
      </c>
      <c r="J120" s="85">
        <f>IF(H120,An,'2026'!An_max)</f>
        <v>2022</v>
      </c>
      <c r="K120" s="193">
        <f t="shared" si="27"/>
        <v>46493</v>
      </c>
      <c r="L120" s="143">
        <f>IF(t&lt;Tvie,1-EXP((T0-t)*PertePVj)+'2026'!Pspv,1-EXP((T0-t)*PertePVj)+Pspv)</f>
        <v>2.66207701140182E-2</v>
      </c>
      <c r="M120" s="836"/>
      <c r="N120" s="836"/>
      <c r="O120" s="48">
        <f>IF(t&lt;Tnet,'2026'!Resal+('2026'!Salim-'2026'!Resal)*(1-EXP(('2026'!Tnet-t)/('2026'!Tau_j))),Resal+(Salim-Resal)*(1-EXP((Tnet-t)/(Tau_j))))*Salcycl</f>
        <v>3.8600198869144953E-2</v>
      </c>
      <c r="P120" s="165">
        <f>(INDEX(Models!$BJ120:$BT120,,T120)*(1-R120)+INDEX(Models!$BJ120:$BT120,,T120+1)*R120-ERP_i)*Q120*Ramure*Pc/MaxiM</f>
        <v>1.2332162594465491E-4</v>
      </c>
      <c r="Q120" s="301">
        <f t="shared" si="28"/>
        <v>0.5</v>
      </c>
      <c r="R120" s="173">
        <f t="shared" si="29"/>
        <v>0.54043511704876668</v>
      </c>
      <c r="S120" s="802">
        <f t="shared" si="30"/>
        <v>2</v>
      </c>
      <c r="T120" s="172">
        <f t="shared" si="31"/>
        <v>8</v>
      </c>
      <c r="U120" s="247">
        <f t="shared" si="32"/>
        <v>2.5404351170487667</v>
      </c>
      <c r="V120" s="378">
        <f t="shared" si="33"/>
        <v>54.12234354747163</v>
      </c>
      <c r="W120" s="397">
        <f t="shared" si="34"/>
        <v>38.988823429916728</v>
      </c>
      <c r="X120" s="153">
        <f t="shared" si="35"/>
        <v>46493</v>
      </c>
      <c r="Y120" s="380">
        <f t="shared" si="36"/>
        <v>38.162778711244584</v>
      </c>
      <c r="Z120" s="380">
        <f t="shared" si="37"/>
        <v>39.20648555005107</v>
      </c>
      <c r="AA120" s="381">
        <f t="shared" si="38"/>
        <v>41.663334616030554</v>
      </c>
      <c r="AB120" s="193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5.8969093295623422E-2</v>
      </c>
      <c r="AD120" s="227">
        <f>(INDEX(Models!$BJ120:$BT120,,AH120)*(1-AF120)+INDEX(Models!$BJ120:$BT120,,AH120+1)*AF120-ERP_i)*AE120*Ramure*Pc/MaxiM</f>
        <v>1.2332162594465491E-4</v>
      </c>
      <c r="AE120" s="301">
        <f t="shared" si="40"/>
        <v>0.5</v>
      </c>
      <c r="AF120" s="173">
        <f t="shared" si="41"/>
        <v>0.54043511704876668</v>
      </c>
      <c r="AG120" s="802">
        <f t="shared" si="49"/>
        <v>2</v>
      </c>
      <c r="AH120" s="172">
        <f t="shared" si="42"/>
        <v>8</v>
      </c>
      <c r="AI120" s="221">
        <f t="shared" si="43"/>
        <v>2.5404351170487667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46494</v>
      </c>
      <c r="B121" s="406">
        <f>'2026'!Wh/'2026'!Env_an*'2027'!Env_an</f>
        <v>53.999089436814963</v>
      </c>
      <c r="C121" s="832"/>
      <c r="D121" s="388">
        <f t="shared" si="25"/>
        <v>55.476660063362488</v>
      </c>
      <c r="E121" s="380">
        <f t="shared" si="47"/>
        <v>57.707085192406652</v>
      </c>
      <c r="F121" s="380">
        <f t="shared" si="26"/>
        <v>57.713632561304266</v>
      </c>
      <c r="G121" s="110">
        <f t="shared" si="48"/>
        <v>0.99246987823221</v>
      </c>
      <c r="H121" s="409" t="b">
        <f>Wh_hp&gt;='2026'!Maxi_hp</f>
        <v>0</v>
      </c>
      <c r="I121" s="385">
        <f>IF(H121,Wh_hp,'2026'!Maxi_hp)</f>
        <v>57.713702978018006</v>
      </c>
      <c r="J121" s="85">
        <f>IF(H121,An,'2026'!An_max)</f>
        <v>2022</v>
      </c>
      <c r="K121" s="193">
        <f t="shared" si="27"/>
        <v>46494</v>
      </c>
      <c r="L121" s="143">
        <f>IF(t&lt;Tvie,1-EXP((T0-t)*PertePVj)+'2026'!Pspv,1-EXP((T0-t)*PertePVj)+Pspv)</f>
        <v>2.6634094858268731E-2</v>
      </c>
      <c r="M121" s="836"/>
      <c r="N121" s="836"/>
      <c r="O121" s="48">
        <f>IF(t&lt;Tnet,'2026'!Resal+('2026'!Salim-'2026'!Resal)*(1-EXP(('2026'!Tnet-t)/('2026'!Tau_j))),Resal+(Salim-Resal)*(1-EXP((Tnet-t)/(Tau_j))))*Salcycl</f>
        <v>3.865080209141545E-2</v>
      </c>
      <c r="P121" s="165">
        <f>(INDEX(Models!$BJ121:$BT121,,T121)*(1-R121)+INDEX(Models!$BJ121:$BT121,,T121+1)*R121-ERP_i)*Q121*Ramure*Pc/MaxiM</f>
        <v>1.1467923475618043E-4</v>
      </c>
      <c r="Q121" s="301">
        <f t="shared" si="28"/>
        <v>0.5</v>
      </c>
      <c r="R121" s="173">
        <f t="shared" si="29"/>
        <v>0.54222546358344337</v>
      </c>
      <c r="S121" s="802">
        <f t="shared" si="30"/>
        <v>2</v>
      </c>
      <c r="T121" s="172">
        <f t="shared" si="31"/>
        <v>8</v>
      </c>
      <c r="U121" s="247">
        <f t="shared" si="32"/>
        <v>2.5422254635834434</v>
      </c>
      <c r="V121" s="378">
        <f t="shared" si="33"/>
        <v>54.408727165391582</v>
      </c>
      <c r="W121" s="397">
        <f t="shared" si="34"/>
        <v>53.999089436814963</v>
      </c>
      <c r="X121" s="153">
        <f t="shared" si="35"/>
        <v>46494</v>
      </c>
      <c r="Y121" s="380">
        <f t="shared" si="36"/>
        <v>52.855643122571323</v>
      </c>
      <c r="Z121" s="380">
        <f t="shared" si="37"/>
        <v>54.301925764366118</v>
      </c>
      <c r="AA121" s="381">
        <f t="shared" si="38"/>
        <v>57.707085192406652</v>
      </c>
      <c r="AB121" s="193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5.9007649003360148E-2</v>
      </c>
      <c r="AD121" s="227">
        <f>(INDEX(Models!$BJ121:$BT121,,AH121)*(1-AF121)+INDEX(Models!$BJ121:$BT121,,AH121+1)*AF121-ERP_i)*AE121*Ramure*Pc/MaxiM</f>
        <v>1.1467923475618043E-4</v>
      </c>
      <c r="AE121" s="301">
        <f t="shared" si="40"/>
        <v>0.5</v>
      </c>
      <c r="AF121" s="173">
        <f t="shared" si="41"/>
        <v>0.54222546358344337</v>
      </c>
      <c r="AG121" s="802">
        <f t="shared" si="49"/>
        <v>2</v>
      </c>
      <c r="AH121" s="172">
        <f t="shared" si="42"/>
        <v>8</v>
      </c>
      <c r="AI121" s="221">
        <f t="shared" si="43"/>
        <v>2.5422254635834434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46495</v>
      </c>
      <c r="B122" s="406">
        <f>'2026'!Wh/'2026'!Env_an*'2027'!Env_an</f>
        <v>34.449635739031251</v>
      </c>
      <c r="C122" s="832"/>
      <c r="D122" s="388">
        <f t="shared" si="25"/>
        <v>35.392761499134785</v>
      </c>
      <c r="E122" s="380">
        <f t="shared" si="47"/>
        <v>36.817676349666314</v>
      </c>
      <c r="F122" s="380">
        <f t="shared" si="26"/>
        <v>36.819510991013814</v>
      </c>
      <c r="G122" s="110">
        <f t="shared" si="48"/>
        <v>0.6299103599048187</v>
      </c>
      <c r="H122" s="409" t="b">
        <f>Wh_hp&gt;='2026'!Maxi_hp</f>
        <v>0</v>
      </c>
      <c r="I122" s="385">
        <f>IF(H122,Wh_hp,'2026'!Maxi_hp)</f>
        <v>36.821545007941346</v>
      </c>
      <c r="J122" s="85">
        <f>IF(H122,An,'2026'!An_max)</f>
        <v>2022</v>
      </c>
      <c r="K122" s="193">
        <f t="shared" si="27"/>
        <v>46495</v>
      </c>
      <c r="L122" s="143">
        <f>IF(t&lt;Tvie,1-EXP((T0-t)*PertePVj)+'2026'!Pspv,1-EXP((T0-t)*PertePVj)+Pspv)</f>
        <v>2.6647419420114726E-2</v>
      </c>
      <c r="M122" s="836"/>
      <c r="N122" s="836"/>
      <c r="O122" s="48">
        <f>IF(t&lt;Tnet,'2026'!Resal+('2026'!Salim-'2026'!Resal)*(1-EXP(('2026'!Tnet-t)/('2026'!Tau_j))),Resal+(Salim-Resal)*(1-EXP((Tnet-t)/(Tau_j))))*Salcycl</f>
        <v>3.8701922332055126E-2</v>
      </c>
      <c r="P122" s="165">
        <f>(INDEX(Models!$BJ122:$BT122,,T122)*(1-R122)+INDEX(Models!$BJ122:$BT122,,T122+1)*R122-ERP_i)*Q122*Ramure*Pc/MaxiM</f>
        <v>1.0571312323785151E-4</v>
      </c>
      <c r="Q122" s="301">
        <f t="shared" si="28"/>
        <v>0.5</v>
      </c>
      <c r="R122" s="173">
        <f t="shared" si="29"/>
        <v>0.54407594390616643</v>
      </c>
      <c r="S122" s="802">
        <f t="shared" si="30"/>
        <v>2</v>
      </c>
      <c r="T122" s="172">
        <f t="shared" si="31"/>
        <v>8</v>
      </c>
      <c r="U122" s="247">
        <f t="shared" si="32"/>
        <v>2.5440759439061664</v>
      </c>
      <c r="V122" s="378">
        <f t="shared" si="33"/>
        <v>54.686686570763712</v>
      </c>
      <c r="W122" s="397">
        <f t="shared" si="34"/>
        <v>34.449635739031251</v>
      </c>
      <c r="X122" s="153">
        <f t="shared" si="35"/>
        <v>46495</v>
      </c>
      <c r="Y122" s="380">
        <f t="shared" si="36"/>
        <v>33.720537587783085</v>
      </c>
      <c r="Z122" s="380">
        <f t="shared" si="37"/>
        <v>34.643702868382711</v>
      </c>
      <c r="AA122" s="381">
        <f t="shared" si="38"/>
        <v>36.817676349666314</v>
      </c>
      <c r="AB122" s="193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5.9047003961815829E-2</v>
      </c>
      <c r="AD122" s="227">
        <f>(INDEX(Models!$BJ122:$BT122,,AH122)*(1-AF122)+INDEX(Models!$BJ122:$BT122,,AH122+1)*AF122-ERP_i)*AE122*Ramure*Pc/MaxiM</f>
        <v>1.0571312323785151E-4</v>
      </c>
      <c r="AE122" s="301">
        <f t="shared" si="40"/>
        <v>0.5</v>
      </c>
      <c r="AF122" s="173">
        <f t="shared" si="41"/>
        <v>0.54407594390616643</v>
      </c>
      <c r="AG122" s="802">
        <f t="shared" si="49"/>
        <v>2</v>
      </c>
      <c r="AH122" s="172">
        <f t="shared" si="42"/>
        <v>8</v>
      </c>
      <c r="AI122" s="221">
        <f t="shared" si="43"/>
        <v>2.5440759439061664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46496</v>
      </c>
      <c r="B123" s="406">
        <f>'2026'!Wh/'2026'!Env_an*'2027'!Env_an</f>
        <v>11.334471675227793</v>
      </c>
      <c r="C123" s="832"/>
      <c r="D123" s="388">
        <f t="shared" si="25"/>
        <v>11.644934284756378</v>
      </c>
      <c r="E123" s="380">
        <f t="shared" si="47"/>
        <v>12.114410910087367</v>
      </c>
      <c r="F123" s="380">
        <f t="shared" si="26"/>
        <v>12.114410910087367</v>
      </c>
      <c r="G123" s="110">
        <f t="shared" si="48"/>
        <v>0.20622481086925321</v>
      </c>
      <c r="H123" s="409" t="b">
        <f>Wh_hp&gt;='2026'!Maxi_hp</f>
        <v>0</v>
      </c>
      <c r="I123" s="385">
        <f>IF(H123,Wh_hp,'2026'!Maxi_hp)</f>
        <v>12.115576343034617</v>
      </c>
      <c r="J123" s="85">
        <f>IF(H123,An,'2026'!An_max)</f>
        <v>2022</v>
      </c>
      <c r="K123" s="193">
        <f t="shared" si="27"/>
        <v>46496</v>
      </c>
      <c r="L123" s="143">
        <f>IF(t&lt;Tvie,1-EXP((T0-t)*PertePVj)+'2026'!Pspv,1-EXP((T0-t)*PertePVj)+Pspv)</f>
        <v>2.6660743799558517E-2</v>
      </c>
      <c r="M123" s="836"/>
      <c r="N123" s="836"/>
      <c r="O123" s="48">
        <f>IF(t&lt;Tnet,'2026'!Resal+('2026'!Salim-'2026'!Resal)*(1-EXP(('2026'!Tnet-t)/('2026'!Tau_j))),Resal+(Salim-Resal)*(1-EXP((Tnet-t)/(Tau_j))))*Salcycl</f>
        <v>3.8753566212622659E-2</v>
      </c>
      <c r="P123" s="165">
        <f>(INDEX(Models!$BJ123:$BT123,,T123)*(1-R123)+INDEX(Models!$BJ123:$BT123,,T123+1)*R123-ERP_i)*Q123*Ramure*Pc/MaxiM</f>
        <v>9.7394245101285076E-5</v>
      </c>
      <c r="Q123" s="301">
        <f t="shared" si="28"/>
        <v>0.5</v>
      </c>
      <c r="R123" s="173">
        <f t="shared" si="29"/>
        <v>0.54598799699080303</v>
      </c>
      <c r="S123" s="802">
        <f t="shared" si="30"/>
        <v>2</v>
      </c>
      <c r="T123" s="172">
        <f t="shared" si="31"/>
        <v>8</v>
      </c>
      <c r="U123" s="247">
        <f t="shared" si="32"/>
        <v>2.545987996990803</v>
      </c>
      <c r="V123" s="378">
        <f t="shared" si="33"/>
        <v>54.956373654287077</v>
      </c>
      <c r="W123" s="397">
        <f t="shared" si="34"/>
        <v>11.334471675227793</v>
      </c>
      <c r="X123" s="153">
        <f t="shared" si="35"/>
        <v>46496</v>
      </c>
      <c r="Y123" s="380">
        <f t="shared" si="36"/>
        <v>11.094709413871657</v>
      </c>
      <c r="Z123" s="380">
        <f t="shared" si="37"/>
        <v>11.398604693271411</v>
      </c>
      <c r="AA123" s="381">
        <f t="shared" si="38"/>
        <v>12.114410910087367</v>
      </c>
      <c r="AB123" s="193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5.9087166691689695E-2</v>
      </c>
      <c r="AD123" s="227">
        <f>(INDEX(Models!$BJ123:$BT123,,AH123)*(1-AF123)+INDEX(Models!$BJ123:$BT123,,AH123+1)*AF123-ERP_i)*AE123*Ramure*Pc/MaxiM</f>
        <v>9.7394245101285076E-5</v>
      </c>
      <c r="AE123" s="301">
        <f t="shared" si="40"/>
        <v>0.5</v>
      </c>
      <c r="AF123" s="173">
        <f t="shared" si="41"/>
        <v>0.54598799699080303</v>
      </c>
      <c r="AG123" s="802">
        <f t="shared" si="49"/>
        <v>2</v>
      </c>
      <c r="AH123" s="172">
        <f t="shared" si="42"/>
        <v>8</v>
      </c>
      <c r="AI123" s="221">
        <f t="shared" si="43"/>
        <v>2.545987996990803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46497</v>
      </c>
      <c r="B124" s="406">
        <f>'2026'!Wh/'2026'!Env_an*'2027'!Env_an</f>
        <v>11.358398057297986</v>
      </c>
      <c r="C124" s="832"/>
      <c r="D124" s="388">
        <f t="shared" si="25"/>
        <v>11.669675782621955</v>
      </c>
      <c r="E124" s="380">
        <f t="shared" si="47"/>
        <v>12.140808849755224</v>
      </c>
      <c r="F124" s="380">
        <f t="shared" si="26"/>
        <v>12.140808849755224</v>
      </c>
      <c r="G124" s="110">
        <f t="shared" si="48"/>
        <v>0.20568257475716095</v>
      </c>
      <c r="H124" s="409" t="b">
        <f>Wh_hp&gt;='2026'!Maxi_hp</f>
        <v>0</v>
      </c>
      <c r="I124" s="385">
        <f>IF(H124,Wh_hp,'2026'!Maxi_hp)</f>
        <v>12.141883816288592</v>
      </c>
      <c r="J124" s="85">
        <f>IF(H124,An,'2026'!An_max)</f>
        <v>2022</v>
      </c>
      <c r="K124" s="193">
        <f t="shared" si="27"/>
        <v>46497</v>
      </c>
      <c r="L124" s="143">
        <f>IF(t&lt;Tvie,1-EXP((T0-t)*PertePVj)+'2026'!Pspv,1-EXP((T0-t)*PertePVj)+Pspv)</f>
        <v>2.6674067996602879E-2</v>
      </c>
      <c r="M124" s="836"/>
      <c r="N124" s="836"/>
      <c r="O124" s="48">
        <f>IF(t&lt;Tnet,'2026'!Resal+('2026'!Salim-'2026'!Resal)*(1-EXP(('2026'!Tnet-t)/('2026'!Tau_j))),Resal+(Salim-Resal)*(1-EXP((Tnet-t)/(Tau_j))))*Salcycl</f>
        <v>3.8805739630994027E-2</v>
      </c>
      <c r="P124" s="165">
        <f>(INDEX(Models!$BJ124:$BT124,,T124)*(1-R124)+INDEX(Models!$BJ124:$BT124,,T124+1)*R124-ERP_i)*Q124*Ramure*Pc/MaxiM</f>
        <v>8.9713317256523325E-5</v>
      </c>
      <c r="Q124" s="301">
        <f t="shared" si="28"/>
        <v>0.5</v>
      </c>
      <c r="R124" s="173">
        <f t="shared" si="29"/>
        <v>0.54796305171947246</v>
      </c>
      <c r="S124" s="802">
        <f t="shared" si="30"/>
        <v>2</v>
      </c>
      <c r="T124" s="172">
        <f t="shared" si="31"/>
        <v>8</v>
      </c>
      <c r="U124" s="247">
        <f t="shared" si="32"/>
        <v>2.5479630517194725</v>
      </c>
      <c r="V124" s="378">
        <f t="shared" si="33"/>
        <v>55.217993411151298</v>
      </c>
      <c r="W124" s="397">
        <f t="shared" si="34"/>
        <v>11.358398057297986</v>
      </c>
      <c r="X124" s="153">
        <f t="shared" si="35"/>
        <v>46497</v>
      </c>
      <c r="Y124" s="380">
        <f t="shared" si="36"/>
        <v>11.118248927651893</v>
      </c>
      <c r="Z124" s="380">
        <f t="shared" si="37"/>
        <v>11.42294534860198</v>
      </c>
      <c r="AA124" s="381">
        <f t="shared" si="38"/>
        <v>12.140808849755224</v>
      </c>
      <c r="AB124" s="193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5.9128144593736748E-2</v>
      </c>
      <c r="AD124" s="227">
        <f>(INDEX(Models!$BJ124:$BT124,,AH124)*(1-AF124)+INDEX(Models!$BJ124:$BT124,,AH124+1)*AF124-ERP_i)*AE124*Ramure*Pc/MaxiM</f>
        <v>8.9713317256523325E-5</v>
      </c>
      <c r="AE124" s="301">
        <f t="shared" si="40"/>
        <v>0.5</v>
      </c>
      <c r="AF124" s="173">
        <f t="shared" si="41"/>
        <v>0.54796305171947246</v>
      </c>
      <c r="AG124" s="802">
        <f t="shared" si="49"/>
        <v>2</v>
      </c>
      <c r="AH124" s="172">
        <f t="shared" si="42"/>
        <v>8</v>
      </c>
      <c r="AI124" s="221">
        <f t="shared" si="43"/>
        <v>2.5479630517194725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46498</v>
      </c>
      <c r="B125" s="406">
        <f>'2026'!Wh/'2026'!Env_an*'2027'!Env_an</f>
        <v>10.902131077017826</v>
      </c>
      <c r="C125" s="832"/>
      <c r="D125" s="388">
        <f t="shared" si="25"/>
        <v>11.201058105623387</v>
      </c>
      <c r="E125" s="380">
        <f t="shared" si="47"/>
        <v>11.653910996909952</v>
      </c>
      <c r="F125" s="380">
        <f t="shared" si="26"/>
        <v>11.653910996909952</v>
      </c>
      <c r="G125" s="110">
        <f t="shared" si="48"/>
        <v>0.19651858322726456</v>
      </c>
      <c r="H125" s="409" t="b">
        <f>Wh_hp&gt;='2026'!Maxi_hp</f>
        <v>0</v>
      </c>
      <c r="I125" s="385">
        <f>IF(H125,Wh_hp,'2026'!Maxi_hp)</f>
        <v>11.654860886678643</v>
      </c>
      <c r="J125" s="85">
        <f>IF(H125,An,'2026'!An_max)</f>
        <v>2022</v>
      </c>
      <c r="K125" s="193">
        <f t="shared" si="27"/>
        <v>46498</v>
      </c>
      <c r="L125" s="143">
        <f>IF(t&lt;Tvie,1-EXP((T0-t)*PertePVj)+'2026'!Pspv,1-EXP((T0-t)*PertePVj)+Pspv)</f>
        <v>2.6687392011250144E-2</v>
      </c>
      <c r="M125" s="836"/>
      <c r="N125" s="836"/>
      <c r="O125" s="48">
        <f>IF(t&lt;Tnet,'2026'!Resal+('2026'!Salim-'2026'!Resal)*(1-EXP(('2026'!Tnet-t)/('2026'!Tau_j))),Resal+(Salim-Resal)*(1-EXP((Tnet-t)/(Tau_j))))*Salcycl</f>
        <v>3.885844772683085E-2</v>
      </c>
      <c r="P125" s="165">
        <f>(INDEX(Models!$BJ125:$BT125,,T125)*(1-R125)+INDEX(Models!$BJ125:$BT125,,T125+1)*R125-ERP_i)*Q125*Ramure*Pc/MaxiM</f>
        <v>8.2662718781149782E-5</v>
      </c>
      <c r="Q125" s="301">
        <f t="shared" si="28"/>
        <v>0.5</v>
      </c>
      <c r="R125" s="173">
        <f t="shared" si="29"/>
        <v>0.55000252278494521</v>
      </c>
      <c r="S125" s="802">
        <f t="shared" si="30"/>
        <v>2</v>
      </c>
      <c r="T125" s="172">
        <f t="shared" si="31"/>
        <v>8</v>
      </c>
      <c r="U125" s="247">
        <f t="shared" si="32"/>
        <v>2.5500025227849452</v>
      </c>
      <c r="V125" s="378">
        <f t="shared" si="33"/>
        <v>55.471750804430165</v>
      </c>
      <c r="W125" s="397">
        <f t="shared" si="34"/>
        <v>10.902131077017826</v>
      </c>
      <c r="X125" s="153">
        <f t="shared" si="35"/>
        <v>46498</v>
      </c>
      <c r="Y125" s="380">
        <f t="shared" si="36"/>
        <v>10.671739837428387</v>
      </c>
      <c r="Z125" s="380">
        <f t="shared" si="37"/>
        <v>10.964349737008376</v>
      </c>
      <c r="AA125" s="381">
        <f t="shared" si="38"/>
        <v>11.653910996909952</v>
      </c>
      <c r="AB125" s="193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5.91699438998987E-2</v>
      </c>
      <c r="AD125" s="227">
        <f>(INDEX(Models!$BJ125:$BT125,,AH125)*(1-AF125)+INDEX(Models!$BJ125:$BT125,,AH125+1)*AF125-ERP_i)*AE125*Ramure*Pc/MaxiM</f>
        <v>8.2662718781149782E-5</v>
      </c>
      <c r="AE125" s="301">
        <f t="shared" si="40"/>
        <v>0.5</v>
      </c>
      <c r="AF125" s="173">
        <f t="shared" si="41"/>
        <v>0.55000252278494521</v>
      </c>
      <c r="AG125" s="802">
        <f t="shared" si="49"/>
        <v>2</v>
      </c>
      <c r="AH125" s="172">
        <f t="shared" si="42"/>
        <v>8</v>
      </c>
      <c r="AI125" s="221">
        <f t="shared" si="43"/>
        <v>2.5500025227849452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46499</v>
      </c>
      <c r="B126" s="406">
        <f>'2026'!Wh/'2026'!Env_an*'2027'!Env_an</f>
        <v>28.999052326303602</v>
      </c>
      <c r="C126" s="832"/>
      <c r="D126" s="388">
        <f t="shared" si="25"/>
        <v>29.794589185828304</v>
      </c>
      <c r="E126" s="380">
        <f t="shared" si="47"/>
        <v>31.00088620998179</v>
      </c>
      <c r="F126" s="380">
        <f t="shared" si="26"/>
        <v>31.001630568917388</v>
      </c>
      <c r="G126" s="110">
        <f t="shared" si="48"/>
        <v>0.52043532519238178</v>
      </c>
      <c r="H126" s="409" t="b">
        <f>Wh_hp&gt;='2026'!Maxi_hp</f>
        <v>0</v>
      </c>
      <c r="I126" s="385">
        <f>IF(H126,Wh_hp,'2026'!Maxi_hp)</f>
        <v>31.003225427552021</v>
      </c>
      <c r="J126" s="85">
        <f>IF(H126,An,'2026'!An_max)</f>
        <v>2022</v>
      </c>
      <c r="K126" s="193">
        <f t="shared" si="27"/>
        <v>46499</v>
      </c>
      <c r="L126" s="143">
        <f>IF(t&lt;Tvie,1-EXP((T0-t)*PertePVj)+'2026'!Pspv,1-EXP((T0-t)*PertePVj)+Pspv)</f>
        <v>2.6700715843502754E-2</v>
      </c>
      <c r="M126" s="836"/>
      <c r="N126" s="836"/>
      <c r="O126" s="48">
        <f>IF(t&lt;Tnet,'2026'!Resal+('2026'!Salim-'2026'!Resal)*(1-EXP(('2026'!Tnet-t)/('2026'!Tau_j))),Resal+(Salim-Resal)*(1-EXP((Tnet-t)/(Tau_j))))*Salcycl</f>
        <v>3.8911694845842164E-2</v>
      </c>
      <c r="P126" s="165">
        <f>(INDEX(Models!$BJ126:$BT126,,T126)*(1-R126)+INDEX(Models!$BJ126:$BT126,,T126+1)*R126-ERP_i)*Q126*Ramure*Pc/MaxiM</f>
        <v>7.6236187044213878E-5</v>
      </c>
      <c r="Q126" s="301">
        <f t="shared" si="28"/>
        <v>0.5</v>
      </c>
      <c r="R126" s="173">
        <f t="shared" si="29"/>
        <v>0.55210780633182788</v>
      </c>
      <c r="S126" s="802">
        <f t="shared" si="30"/>
        <v>2</v>
      </c>
      <c r="T126" s="172">
        <f t="shared" si="31"/>
        <v>8</v>
      </c>
      <c r="U126" s="247">
        <f t="shared" si="32"/>
        <v>2.5521078063318279</v>
      </c>
      <c r="V126" s="378">
        <f t="shared" si="33"/>
        <v>55.717850778946676</v>
      </c>
      <c r="W126" s="397">
        <f t="shared" si="34"/>
        <v>28.999052326303602</v>
      </c>
      <c r="X126" s="153">
        <f t="shared" si="35"/>
        <v>46499</v>
      </c>
      <c r="Y126" s="380">
        <f t="shared" si="36"/>
        <v>28.386511182301767</v>
      </c>
      <c r="Z126" s="380">
        <f t="shared" si="37"/>
        <v>29.165244076905626</v>
      </c>
      <c r="AA126" s="381">
        <f t="shared" si="38"/>
        <v>31.00088620998179</v>
      </c>
      <c r="AB126" s="193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5.9212569622771487E-2</v>
      </c>
      <c r="AD126" s="227">
        <f>(INDEX(Models!$BJ126:$BT126,,AH126)*(1-AF126)+INDEX(Models!$BJ126:$BT126,,AH126+1)*AF126-ERP_i)*AE126*Ramure*Pc/MaxiM</f>
        <v>7.6236187044213878E-5</v>
      </c>
      <c r="AE126" s="301">
        <f t="shared" si="40"/>
        <v>0.5</v>
      </c>
      <c r="AF126" s="173">
        <f t="shared" si="41"/>
        <v>0.55210780633182788</v>
      </c>
      <c r="AG126" s="802">
        <f t="shared" si="49"/>
        <v>2</v>
      </c>
      <c r="AH126" s="172">
        <f t="shared" si="42"/>
        <v>8</v>
      </c>
      <c r="AI126" s="221">
        <f t="shared" si="43"/>
        <v>2.5521078063318279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46500</v>
      </c>
      <c r="B127" s="406">
        <f>'2026'!Wh/'2026'!Env_an*'2027'!Env_an</f>
        <v>9.5206731902865975</v>
      </c>
      <c r="C127" s="832"/>
      <c r="D127" s="388">
        <f t="shared" si="25"/>
        <v>9.7819896480687785</v>
      </c>
      <c r="E127" s="380">
        <f t="shared" si="47"/>
        <v>10.178603879808756</v>
      </c>
      <c r="F127" s="380">
        <f t="shared" si="26"/>
        <v>10.178603879808756</v>
      </c>
      <c r="G127" s="110">
        <f t="shared" si="48"/>
        <v>0.17013220909932902</v>
      </c>
      <c r="H127" s="409" t="b">
        <f>Wh_hp&gt;='2026'!Maxi_hp</f>
        <v>0</v>
      </c>
      <c r="I127" s="385">
        <f>IF(H127,Wh_hp,'2026'!Maxi_hp)</f>
        <v>10.179309228480937</v>
      </c>
      <c r="J127" s="85">
        <f>IF(H127,An,'2026'!An_max)</f>
        <v>2022</v>
      </c>
      <c r="K127" s="193">
        <f t="shared" si="27"/>
        <v>46500</v>
      </c>
      <c r="L127" s="143">
        <f>IF(t&lt;Tvie,1-EXP((T0-t)*PertePVj)+'2026'!Pspv,1-EXP((T0-t)*PertePVj)+Pspv)</f>
        <v>2.6714039493363373E-2</v>
      </c>
      <c r="M127" s="836"/>
      <c r="N127" s="836"/>
      <c r="O127" s="48">
        <f>IF(t&lt;Tnet,'2026'!Resal+('2026'!Salim-'2026'!Resal)*(1-EXP(('2026'!Tnet-t)/('2026'!Tau_j))),Resal+(Salim-Resal)*(1-EXP((Tnet-t)/(Tau_j))))*Salcycl</f>
        <v>3.8965484502912887E-2</v>
      </c>
      <c r="P127" s="165">
        <f>(INDEX(Models!$BJ127:$BT127,,T127)*(1-R127)+INDEX(Models!$BJ127:$BT127,,T127+1)*R127-ERP_i)*Q127*Ramure*Pc/MaxiM</f>
        <v>7.0428614335586224E-5</v>
      </c>
      <c r="Q127" s="301">
        <f t="shared" si="28"/>
        <v>0.5</v>
      </c>
      <c r="R127" s="173">
        <f t="shared" si="29"/>
        <v>0.55428027533586111</v>
      </c>
      <c r="S127" s="802">
        <f t="shared" si="30"/>
        <v>2</v>
      </c>
      <c r="T127" s="172">
        <f t="shared" si="31"/>
        <v>8</v>
      </c>
      <c r="U127" s="247">
        <f t="shared" si="32"/>
        <v>2.5542802753358611</v>
      </c>
      <c r="V127" s="378">
        <f t="shared" si="33"/>
        <v>55.956498260174591</v>
      </c>
      <c r="W127" s="397">
        <f t="shared" si="34"/>
        <v>9.5206731902865975</v>
      </c>
      <c r="X127" s="153">
        <f t="shared" si="35"/>
        <v>46500</v>
      </c>
      <c r="Y127" s="380">
        <f t="shared" si="36"/>
        <v>9.3196610449308785</v>
      </c>
      <c r="Z127" s="380">
        <f t="shared" si="37"/>
        <v>9.5754602687165029</v>
      </c>
      <c r="AA127" s="381">
        <f t="shared" si="38"/>
        <v>10.178603879808756</v>
      </c>
      <c r="AB127" s="193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5.9256025503527758E-2</v>
      </c>
      <c r="AD127" s="227">
        <f>(INDEX(Models!$BJ127:$BT127,,AH127)*(1-AF127)+INDEX(Models!$BJ127:$BT127,,AH127+1)*AF127-ERP_i)*AE127*Ramure*Pc/MaxiM</f>
        <v>7.0428614335586224E-5</v>
      </c>
      <c r="AE127" s="301">
        <f t="shared" si="40"/>
        <v>0.5</v>
      </c>
      <c r="AF127" s="173">
        <f t="shared" si="41"/>
        <v>0.55428027533586111</v>
      </c>
      <c r="AG127" s="802">
        <f t="shared" si="49"/>
        <v>2</v>
      </c>
      <c r="AH127" s="172">
        <f t="shared" si="42"/>
        <v>8</v>
      </c>
      <c r="AI127" s="221">
        <f t="shared" si="43"/>
        <v>2.5542802753358611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46501</v>
      </c>
      <c r="B128" s="406">
        <f>'2026'!Wh/'2026'!Env_an*'2027'!Env_an</f>
        <v>34.137508094563216</v>
      </c>
      <c r="C128" s="832"/>
      <c r="D128" s="388">
        <f t="shared" si="25"/>
        <v>35.074969536197372</v>
      </c>
      <c r="E128" s="380">
        <f t="shared" si="47"/>
        <v>36.499160172337461</v>
      </c>
      <c r="F128" s="380">
        <f t="shared" si="26"/>
        <v>36.500205851340262</v>
      </c>
      <c r="G128" s="110">
        <f t="shared" si="48"/>
        <v>0.60753756887670241</v>
      </c>
      <c r="H128" s="409" t="b">
        <f>Wh_hp&gt;='2026'!Maxi_hp</f>
        <v>0</v>
      </c>
      <c r="I128" s="385">
        <f>IF(H128,Wh_hp,'2026'!Maxi_hp)</f>
        <v>36.501517073169801</v>
      </c>
      <c r="J128" s="85">
        <f>IF(H128,An,'2026'!An_max)</f>
        <v>2022</v>
      </c>
      <c r="K128" s="193">
        <f t="shared" si="27"/>
        <v>46501</v>
      </c>
      <c r="L128" s="143">
        <f>IF(t&lt;Tvie,1-EXP((T0-t)*PertePVj)+'2026'!Pspv,1-EXP((T0-t)*PertePVj)+Pspv)</f>
        <v>2.6727362960834333E-2</v>
      </c>
      <c r="M128" s="836"/>
      <c r="N128" s="836"/>
      <c r="O128" s="48">
        <f>IF(t&lt;Tnet,'2026'!Resal+('2026'!Salim-'2026'!Resal)*(1-EXP(('2026'!Tnet-t)/('2026'!Tau_j))),Resal+(Salim-Resal)*(1-EXP((Tnet-t)/(Tau_j))))*Salcycl</f>
        <v>3.90198193442126E-2</v>
      </c>
      <c r="P128" s="165">
        <f>(INDEX(Models!$BJ128:$BT128,,T128)*(1-R128)+INDEX(Models!$BJ128:$BT128,,T128+1)*R128-ERP_i)*Q128*Ramure*Pc/MaxiM</f>
        <v>6.520359988408451E-5</v>
      </c>
      <c r="Q128" s="301">
        <f t="shared" si="28"/>
        <v>0.5</v>
      </c>
      <c r="R128" s="173">
        <f t="shared" si="29"/>
        <v>0.55652127472244262</v>
      </c>
      <c r="S128" s="802">
        <f t="shared" si="30"/>
        <v>2</v>
      </c>
      <c r="T128" s="172">
        <f t="shared" si="31"/>
        <v>8</v>
      </c>
      <c r="U128" s="247">
        <f t="shared" si="32"/>
        <v>2.5565212747224426</v>
      </c>
      <c r="V128" s="378">
        <f t="shared" si="33"/>
        <v>56.187899992061212</v>
      </c>
      <c r="W128" s="397">
        <f t="shared" si="34"/>
        <v>34.137508094563216</v>
      </c>
      <c r="X128" s="153">
        <f t="shared" si="35"/>
        <v>46501</v>
      </c>
      <c r="Y128" s="380">
        <f t="shared" si="36"/>
        <v>33.417071229170645</v>
      </c>
      <c r="Z128" s="380">
        <f t="shared" si="37"/>
        <v>34.334748514897271</v>
      </c>
      <c r="AA128" s="381">
        <f t="shared" si="38"/>
        <v>36.499160172337461</v>
      </c>
      <c r="AB128" s="193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5.9300313958472649E-2</v>
      </c>
      <c r="AD128" s="227">
        <f>(INDEX(Models!$BJ128:$BT128,,AH128)*(1-AF128)+INDEX(Models!$BJ128:$BT128,,AH128+1)*AF128-ERP_i)*AE128*Ramure*Pc/MaxiM</f>
        <v>6.520359988408451E-5</v>
      </c>
      <c r="AE128" s="301">
        <f t="shared" si="40"/>
        <v>0.5</v>
      </c>
      <c r="AF128" s="173">
        <f t="shared" si="41"/>
        <v>0.55652127472244262</v>
      </c>
      <c r="AG128" s="802">
        <f t="shared" si="49"/>
        <v>2</v>
      </c>
      <c r="AH128" s="172">
        <f t="shared" si="42"/>
        <v>8</v>
      </c>
      <c r="AI128" s="221">
        <f t="shared" si="43"/>
        <v>2.5565212747224426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46502</v>
      </c>
      <c r="B129" s="406">
        <f>'2026'!Wh/'2026'!Env_an*'2027'!Env_an</f>
        <v>45.052390405937615</v>
      </c>
      <c r="C129" s="832"/>
      <c r="D129" s="388">
        <f t="shared" si="25"/>
        <v>46.290222728165155</v>
      </c>
      <c r="E129" s="380">
        <f t="shared" si="47"/>
        <v>48.172550750366845</v>
      </c>
      <c r="F129" s="380">
        <f t="shared" si="26"/>
        <v>48.174622229497906</v>
      </c>
      <c r="G129" s="110">
        <f t="shared" si="48"/>
        <v>0.79861360952876204</v>
      </c>
      <c r="H129" s="409" t="b">
        <f>Wh_hp&gt;='2026'!Maxi_hp</f>
        <v>0</v>
      </c>
      <c r="I129" s="385">
        <f>IF(H129,Wh_hp,'2026'!Maxi_hp)</f>
        <v>48.17544330333763</v>
      </c>
      <c r="J129" s="85">
        <f>IF(H129,An,'2026'!An_max)</f>
        <v>2022</v>
      </c>
      <c r="K129" s="193">
        <f t="shared" si="27"/>
        <v>46502</v>
      </c>
      <c r="L129" s="143">
        <f>IF(t&lt;Tvie,1-EXP((T0-t)*PertePVj)+'2026'!Pspv,1-EXP((T0-t)*PertePVj)+Pspv)</f>
        <v>2.6740686245918299E-2</v>
      </c>
      <c r="M129" s="836"/>
      <c r="N129" s="836"/>
      <c r="O129" s="48">
        <f>IF(t&lt;Tnet,'2026'!Resal+('2026'!Salim-'2026'!Resal)*(1-EXP(('2026'!Tnet-t)/('2026'!Tau_j))),Resal+(Salim-Resal)*(1-EXP((Tnet-t)/(Tau_j))))*Salcycl</f>
        <v>3.9074701108438921E-2</v>
      </c>
      <c r="P129" s="165">
        <f>(INDEX(Models!$BJ129:$BT129,,T129)*(1-R129)+INDEX(Models!$BJ129:$BT129,,T129+1)*R129-ERP_i)*Q129*Ramure*Pc/MaxiM</f>
        <v>6.0364843146404156E-5</v>
      </c>
      <c r="Q129" s="301">
        <f t="shared" si="28"/>
        <v>0.5</v>
      </c>
      <c r="R129" s="173">
        <f t="shared" si="29"/>
        <v>0.55883211622740836</v>
      </c>
      <c r="S129" s="802">
        <f t="shared" si="30"/>
        <v>2</v>
      </c>
      <c r="T129" s="172">
        <f t="shared" si="31"/>
        <v>8</v>
      </c>
      <c r="U129" s="247">
        <f t="shared" si="32"/>
        <v>2.5588321162274084</v>
      </c>
      <c r="V129" s="378">
        <f t="shared" si="33"/>
        <v>56.412271816255917</v>
      </c>
      <c r="W129" s="397">
        <f t="shared" si="34"/>
        <v>45.052390405937615</v>
      </c>
      <c r="X129" s="153">
        <f t="shared" si="35"/>
        <v>46502</v>
      </c>
      <c r="Y129" s="380">
        <f t="shared" si="36"/>
        <v>44.102009492555631</v>
      </c>
      <c r="Z129" s="380">
        <f t="shared" si="37"/>
        <v>45.313729721675294</v>
      </c>
      <c r="AA129" s="381">
        <f t="shared" si="38"/>
        <v>48.172550750366845</v>
      </c>
      <c r="AB129" s="193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5.9345436024472502E-2</v>
      </c>
      <c r="AD129" s="227">
        <f>(INDEX(Models!$BJ129:$BT129,,AH129)*(1-AF129)+INDEX(Models!$BJ129:$BT129,,AH129+1)*AF129-ERP_i)*AE129*Ramure*Pc/MaxiM</f>
        <v>6.0364843146404156E-5</v>
      </c>
      <c r="AE129" s="301">
        <f t="shared" si="40"/>
        <v>0.5</v>
      </c>
      <c r="AF129" s="173">
        <f t="shared" si="41"/>
        <v>0.55883211622740836</v>
      </c>
      <c r="AG129" s="802">
        <f t="shared" si="49"/>
        <v>2</v>
      </c>
      <c r="AH129" s="172">
        <f t="shared" si="42"/>
        <v>8</v>
      </c>
      <c r="AI129" s="221">
        <f t="shared" si="43"/>
        <v>2.5588321162274084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46503</v>
      </c>
      <c r="B130" s="406">
        <f>'2026'!Wh/'2026'!Env_an*'2027'!Env_an</f>
        <v>56.251756893569556</v>
      </c>
      <c r="C130" s="832"/>
      <c r="D130" s="388">
        <f t="shared" si="25"/>
        <v>57.79808746596624</v>
      </c>
      <c r="E130" s="380">
        <f t="shared" si="47"/>
        <v>60.151836690746528</v>
      </c>
      <c r="F130" s="380">
        <f t="shared" si="26"/>
        <v>60.155167901458228</v>
      </c>
      <c r="G130" s="110">
        <f t="shared" si="48"/>
        <v>0.99332344847040976</v>
      </c>
      <c r="H130" s="409" t="b">
        <f>Wh_hp&gt;='2026'!Maxi_hp</f>
        <v>0</v>
      </c>
      <c r="I130" s="385">
        <f>IF(H130,Wh_hp,'2026'!Maxi_hp)</f>
        <v>60.155199341869753</v>
      </c>
      <c r="J130" s="85">
        <f>IF(H130,An,'2026'!An_max)</f>
        <v>2022</v>
      </c>
      <c r="K130" s="193">
        <f t="shared" si="27"/>
        <v>46503</v>
      </c>
      <c r="L130" s="143">
        <f>IF(t&lt;Tvie,1-EXP((T0-t)*PertePVj)+'2026'!Pspv,1-EXP((T0-t)*PertePVj)+Pspv)</f>
        <v>2.6754009348617713E-2</v>
      </c>
      <c r="M130" s="836"/>
      <c r="N130" s="836"/>
      <c r="O130" s="48">
        <f>IF(t&lt;Tnet,'2026'!Resal+('2026'!Salim-'2026'!Resal)*(1-EXP(('2026'!Tnet-t)/('2026'!Tau_j))),Resal+(Salim-Resal)*(1-EXP((Tnet-t)/(Tau_j))))*Salcycl</f>
        <v>3.9130130587390295E-2</v>
      </c>
      <c r="P130" s="165">
        <f>(INDEX(Models!$BJ130:$BT130,,T130)*(1-R130)+INDEX(Models!$BJ130:$BT130,,T130+1)*R130-ERP_i)*Q130*Ramure*Pc/MaxiM</f>
        <v>5.591019162934771E-5</v>
      </c>
      <c r="Q130" s="301">
        <f t="shared" si="28"/>
        <v>0.5</v>
      </c>
      <c r="R130" s="173">
        <f t="shared" si="29"/>
        <v>0.56121407300526727</v>
      </c>
      <c r="S130" s="802">
        <f t="shared" si="30"/>
        <v>2</v>
      </c>
      <c r="T130" s="172">
        <f t="shared" si="31"/>
        <v>8</v>
      </c>
      <c r="U130" s="247">
        <f t="shared" si="32"/>
        <v>2.5612140730052673</v>
      </c>
      <c r="V130" s="378">
        <f t="shared" si="33"/>
        <v>56.629818800384626</v>
      </c>
      <c r="W130" s="397">
        <f t="shared" si="34"/>
        <v>56.251756893569556</v>
      </c>
      <c r="X130" s="153">
        <f t="shared" si="35"/>
        <v>46503</v>
      </c>
      <c r="Y130" s="380">
        <f t="shared" si="36"/>
        <v>55.065611351447671</v>
      </c>
      <c r="Z130" s="380">
        <f t="shared" si="37"/>
        <v>56.579335420218783</v>
      </c>
      <c r="AA130" s="381">
        <f t="shared" si="38"/>
        <v>60.151836690746528</v>
      </c>
      <c r="AB130" s="193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5.9391391303556335E-2</v>
      </c>
      <c r="AD130" s="227">
        <f>(INDEX(Models!$BJ130:$BT130,,AH130)*(1-AF130)+INDEX(Models!$BJ130:$BT130,,AH130+1)*AF130-ERP_i)*AE130*Ramure*Pc/MaxiM</f>
        <v>5.591019162934771E-5</v>
      </c>
      <c r="AE130" s="301">
        <f t="shared" si="40"/>
        <v>0.5</v>
      </c>
      <c r="AF130" s="173">
        <f t="shared" si="41"/>
        <v>0.56121407300526727</v>
      </c>
      <c r="AG130" s="802">
        <f t="shared" si="49"/>
        <v>2</v>
      </c>
      <c r="AH130" s="172">
        <f t="shared" si="42"/>
        <v>8</v>
      </c>
      <c r="AI130" s="221">
        <f t="shared" si="43"/>
        <v>2.5612140730052673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46504</v>
      </c>
      <c r="B131" s="406">
        <f>'2026'!Wh/'2026'!Env_an*'2027'!Env_an</f>
        <v>44.712823759824794</v>
      </c>
      <c r="C131" s="832"/>
      <c r="D131" s="388">
        <f t="shared" si="25"/>
        <v>45.942584175750625</v>
      </c>
      <c r="E131" s="380">
        <f t="shared" si="47"/>
        <v>47.816319620782089</v>
      </c>
      <c r="F131" s="380">
        <f t="shared" si="26"/>
        <v>47.81804286477891</v>
      </c>
      <c r="G131" s="110">
        <f t="shared" si="48"/>
        <v>0.78662087273712622</v>
      </c>
      <c r="H131" s="409" t="b">
        <f>Wh_hp&gt;='2026'!Maxi_hp</f>
        <v>0</v>
      </c>
      <c r="I131" s="385">
        <f>IF(H131,Wh_hp,'2026'!Maxi_hp)</f>
        <v>47.818782462690812</v>
      </c>
      <c r="J131" s="85">
        <f>IF(H131,An,'2026'!An_max)</f>
        <v>2022</v>
      </c>
      <c r="K131" s="193">
        <f t="shared" si="27"/>
        <v>46504</v>
      </c>
      <c r="L131" s="143">
        <f>IF(t&lt;Tvie,1-EXP((T0-t)*PertePVj)+'2026'!Pspv,1-EXP((T0-t)*PertePVj)+Pspv)</f>
        <v>2.6767332268934907E-2</v>
      </c>
      <c r="M131" s="836"/>
      <c r="N131" s="836"/>
      <c r="O131" s="48">
        <f>IF(t&lt;Tnet,'2026'!Resal+('2026'!Salim-'2026'!Resal)*(1-EXP(('2026'!Tnet-t)/('2026'!Tau_j))),Resal+(Salim-Resal)*(1-EXP((Tnet-t)/(Tau_j))))*Salcycl</f>
        <v>3.9186107586103233E-2</v>
      </c>
      <c r="P131" s="165">
        <f>(INDEX(Models!$BJ131:$BT131,,T131)*(1-R131)+INDEX(Models!$BJ131:$BT131,,T131+1)*R131-ERP_i)*Q131*Ramure*Pc/MaxiM</f>
        <v>5.1838352529693623E-5</v>
      </c>
      <c r="Q131" s="301">
        <f t="shared" si="28"/>
        <v>0.5</v>
      </c>
      <c r="R131" s="173">
        <f t="shared" si="29"/>
        <v>0.56366837399240222</v>
      </c>
      <c r="S131" s="802">
        <f t="shared" si="30"/>
        <v>2</v>
      </c>
      <c r="T131" s="172">
        <f t="shared" si="31"/>
        <v>8</v>
      </c>
      <c r="U131" s="247">
        <f t="shared" si="32"/>
        <v>2.5636683739924022</v>
      </c>
      <c r="V131" s="378">
        <f t="shared" si="33"/>
        <v>56.840746011789413</v>
      </c>
      <c r="W131" s="397">
        <f t="shared" si="34"/>
        <v>44.712823759824794</v>
      </c>
      <c r="X131" s="153">
        <f t="shared" si="35"/>
        <v>46504</v>
      </c>
      <c r="Y131" s="380">
        <f t="shared" si="36"/>
        <v>43.770365227343518</v>
      </c>
      <c r="Z131" s="380">
        <f t="shared" si="37"/>
        <v>44.974204708301727</v>
      </c>
      <c r="AA131" s="381">
        <f t="shared" si="38"/>
        <v>47.816319620782089</v>
      </c>
      <c r="AB131" s="193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5.9438177907048952E-2</v>
      </c>
      <c r="AD131" s="227">
        <f>(INDEX(Models!$BJ131:$BT131,,AH131)*(1-AF131)+INDEX(Models!$BJ131:$BT131,,AH131+1)*AF131-ERP_i)*AE131*Ramure*Pc/MaxiM</f>
        <v>5.1838352529693623E-5</v>
      </c>
      <c r="AE131" s="301">
        <f t="shared" si="40"/>
        <v>0.5</v>
      </c>
      <c r="AF131" s="173">
        <f t="shared" si="41"/>
        <v>0.56366837399240222</v>
      </c>
      <c r="AG131" s="802">
        <f t="shared" si="49"/>
        <v>2</v>
      </c>
      <c r="AH131" s="172">
        <f t="shared" si="42"/>
        <v>8</v>
      </c>
      <c r="AI131" s="221">
        <f t="shared" si="43"/>
        <v>2.5636683739924022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46505</v>
      </c>
      <c r="B132" s="406">
        <f>'2026'!Wh/'2026'!Env_an*'2027'!Env_an</f>
        <v>23.837716211294179</v>
      </c>
      <c r="C132" s="832"/>
      <c r="D132" s="388">
        <f t="shared" si="25"/>
        <v>24.493672812743476</v>
      </c>
      <c r="E132" s="380">
        <f t="shared" si="47"/>
        <v>25.494129527468935</v>
      </c>
      <c r="F132" s="380">
        <f t="shared" si="26"/>
        <v>25.49433623147641</v>
      </c>
      <c r="G132" s="110">
        <f t="shared" si="48"/>
        <v>0.41785701988172147</v>
      </c>
      <c r="H132" s="409" t="b">
        <f>Wh_hp&gt;='2026'!Maxi_hp</f>
        <v>0</v>
      </c>
      <c r="I132" s="385">
        <f>IF(H132,Wh_hp,'2026'!Maxi_hp)</f>
        <v>25.495334159248106</v>
      </c>
      <c r="J132" s="85">
        <f>IF(H132,An,'2026'!An_max)</f>
        <v>2022</v>
      </c>
      <c r="K132" s="193">
        <f t="shared" si="27"/>
        <v>46505</v>
      </c>
      <c r="L132" s="143">
        <f>IF(t&lt;Tvie,1-EXP((T0-t)*PertePVj)+'2026'!Pspv,1-EXP((T0-t)*PertePVj)+Pspv)</f>
        <v>2.6780655006872545E-2</v>
      </c>
      <c r="M132" s="836"/>
      <c r="N132" s="836"/>
      <c r="O132" s="48">
        <f>IF(t&lt;Tnet,'2026'!Resal+('2026'!Salim-'2026'!Resal)*(1-EXP(('2026'!Tnet-t)/('2026'!Tau_j))),Resal+(Salim-Resal)*(1-EXP((Tnet-t)/(Tau_j))))*Salcycl</f>
        <v>3.9242630882827527E-2</v>
      </c>
      <c r="P132" s="165">
        <f>(INDEX(Models!$BJ132:$BT132,,T132)*(1-R132)+INDEX(Models!$BJ132:$BT132,,T132+1)*R132-ERP_i)*Q132*Ramure*Pc/MaxiM</f>
        <v>4.8148872238189099E-5</v>
      </c>
      <c r="Q132" s="301">
        <f t="shared" si="28"/>
        <v>0.5</v>
      </c>
      <c r="R132" s="173">
        <f t="shared" si="29"/>
        <v>0.56619619803527987</v>
      </c>
      <c r="S132" s="802">
        <f t="shared" si="30"/>
        <v>2</v>
      </c>
      <c r="T132" s="172">
        <f t="shared" si="31"/>
        <v>8</v>
      </c>
      <c r="U132" s="247">
        <f t="shared" si="32"/>
        <v>2.5661961980352799</v>
      </c>
      <c r="V132" s="378">
        <f t="shared" si="33"/>
        <v>57.045258503846796</v>
      </c>
      <c r="W132" s="397">
        <f t="shared" si="34"/>
        <v>23.837716211294179</v>
      </c>
      <c r="X132" s="153">
        <f t="shared" si="35"/>
        <v>46505</v>
      </c>
      <c r="Y132" s="380">
        <f t="shared" si="36"/>
        <v>23.335455437691316</v>
      </c>
      <c r="Z132" s="380">
        <f t="shared" si="37"/>
        <v>23.977591030988091</v>
      </c>
      <c r="AA132" s="381">
        <f t="shared" si="38"/>
        <v>25.494129527468935</v>
      </c>
      <c r="AB132" s="193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5.9485792399651571E-2</v>
      </c>
      <c r="AD132" s="227">
        <f>(INDEX(Models!$BJ132:$BT132,,AH132)*(1-AF132)+INDEX(Models!$BJ132:$BT132,,AH132+1)*AF132-ERP_i)*AE132*Ramure*Pc/MaxiM</f>
        <v>4.8148872238189099E-5</v>
      </c>
      <c r="AE132" s="301">
        <f t="shared" si="40"/>
        <v>0.5</v>
      </c>
      <c r="AF132" s="173">
        <f t="shared" si="41"/>
        <v>0.56619619803527987</v>
      </c>
      <c r="AG132" s="802">
        <f t="shared" si="49"/>
        <v>2</v>
      </c>
      <c r="AH132" s="172">
        <f t="shared" si="42"/>
        <v>8</v>
      </c>
      <c r="AI132" s="221">
        <f t="shared" si="43"/>
        <v>2.5661961980352799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46506</v>
      </c>
      <c r="B133" s="406">
        <f>'2026'!Wh/'2026'!Env_an*'2027'!Env_an</f>
        <v>43.204208964896985</v>
      </c>
      <c r="C133" s="832"/>
      <c r="D133" s="388">
        <f t="shared" si="25"/>
        <v>44.393692567463148</v>
      </c>
      <c r="E133" s="380">
        <f t="shared" si="47"/>
        <v>46.209720642102724</v>
      </c>
      <c r="F133" s="380">
        <f t="shared" si="26"/>
        <v>46.211066814276563</v>
      </c>
      <c r="G133" s="110">
        <f t="shared" si="48"/>
        <v>0.75473169637481963</v>
      </c>
      <c r="H133" s="409" t="b">
        <f>Wh_hp&gt;='2026'!Maxi_hp</f>
        <v>0</v>
      </c>
      <c r="I133" s="385">
        <f>IF(H133,Wh_hp,'2026'!Maxi_hp)</f>
        <v>46.211775667555173</v>
      </c>
      <c r="J133" s="85">
        <f>IF(H133,An,'2026'!An_max)</f>
        <v>2022</v>
      </c>
      <c r="K133" s="193">
        <f t="shared" si="27"/>
        <v>46506</v>
      </c>
      <c r="L133" s="143">
        <f>IF(t&lt;Tvie,1-EXP((T0-t)*PertePVj)+'2026'!Pspv,1-EXP((T0-t)*PertePVj)+Pspv)</f>
        <v>2.679397756243318E-2</v>
      </c>
      <c r="M133" s="836"/>
      <c r="N133" s="836"/>
      <c r="O133" s="48">
        <f>IF(t&lt;Tnet,'2026'!Resal+('2026'!Salim-'2026'!Resal)*(1-EXP(('2026'!Tnet-t)/('2026'!Tau_j))),Resal+(Salim-Resal)*(1-EXP((Tnet-t)/(Tau_j))))*Salcycl</f>
        <v>3.9299698189150085E-2</v>
      </c>
      <c r="P133" s="165">
        <f>(INDEX(Models!$BJ133:$BT133,,T133)*(1-R133)+INDEX(Models!$BJ133:$BT133,,T133+1)*R133-ERP_i)*Q133*Ramure*Pc/MaxiM</f>
        <v>4.4842116469444503E-5</v>
      </c>
      <c r="Q133" s="301">
        <f t="shared" si="28"/>
        <v>0.5</v>
      </c>
      <c r="R133" s="173">
        <f t="shared" si="29"/>
        <v>0.56879866779641164</v>
      </c>
      <c r="S133" s="802">
        <f t="shared" si="30"/>
        <v>2</v>
      </c>
      <c r="T133" s="172">
        <f t="shared" si="31"/>
        <v>8</v>
      </c>
      <c r="U133" s="247">
        <f t="shared" si="32"/>
        <v>2.5687986677964116</v>
      </c>
      <c r="V133" s="378">
        <f t="shared" si="33"/>
        <v>57.243561339778601</v>
      </c>
      <c r="W133" s="397">
        <f t="shared" si="34"/>
        <v>43.204208964896985</v>
      </c>
      <c r="X133" s="153">
        <f t="shared" si="35"/>
        <v>46506</v>
      </c>
      <c r="Y133" s="380">
        <f t="shared" si="36"/>
        <v>42.294230142206807</v>
      </c>
      <c r="Z133" s="380">
        <f t="shared" si="37"/>
        <v>43.458660516992502</v>
      </c>
      <c r="AA133" s="381">
        <f t="shared" si="38"/>
        <v>46.209720642102724</v>
      </c>
      <c r="AB133" s="193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5.9534229743939765E-2</v>
      </c>
      <c r="AD133" s="227">
        <f>(INDEX(Models!$BJ133:$BT133,,AH133)*(1-AF133)+INDEX(Models!$BJ133:$BT133,,AH133+1)*AF133-ERP_i)*AE133*Ramure*Pc/MaxiM</f>
        <v>4.4842116469444503E-5</v>
      </c>
      <c r="AE133" s="301">
        <f t="shared" si="40"/>
        <v>0.5</v>
      </c>
      <c r="AF133" s="173">
        <f t="shared" si="41"/>
        <v>0.56879866779641164</v>
      </c>
      <c r="AG133" s="802">
        <f t="shared" si="49"/>
        <v>2</v>
      </c>
      <c r="AH133" s="172">
        <f t="shared" si="42"/>
        <v>8</v>
      </c>
      <c r="AI133" s="221">
        <f t="shared" si="43"/>
        <v>2.5687986677964116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46507</v>
      </c>
      <c r="B134" s="406">
        <f>'2026'!Wh/'2026'!Env_an*'2027'!Env_an</f>
        <v>44.358578975883226</v>
      </c>
      <c r="C134" s="832"/>
      <c r="D134" s="388">
        <f t="shared" si="25"/>
        <v>45.580468259727716</v>
      </c>
      <c r="E134" s="380">
        <f t="shared" si="47"/>
        <v>45.580468259727716</v>
      </c>
      <c r="F134" s="380">
        <f t="shared" si="26"/>
        <v>45.581674540038172</v>
      </c>
      <c r="G134" s="110">
        <f t="shared" si="48"/>
        <v>0.741907347033956</v>
      </c>
      <c r="H134" s="409" t="b">
        <f>Wh_hp&gt;='2026'!Maxi_hp</f>
        <v>0</v>
      </c>
      <c r="I134" s="385">
        <f>IF(H134,Wh_hp,'2026'!Maxi_hp)</f>
        <v>45.582361552210081</v>
      </c>
      <c r="J134" s="85">
        <f>IF(H134,An,'2026'!An_max)</f>
        <v>2022</v>
      </c>
      <c r="K134" s="193">
        <f t="shared" si="27"/>
        <v>46507</v>
      </c>
      <c r="L134" s="143">
        <f>IF(t&lt;Tvie,1-EXP((T0-t)*PertePVj)+'2026'!Pspv,1-EXP((T0-t)*PertePVj)+Pspv)</f>
        <v>2.6807299935619144E-2</v>
      </c>
      <c r="M134" s="836"/>
      <c r="N134" s="836"/>
      <c r="O134" s="48">
        <f>IF(t&lt;Tnet,'2026'!Resal+('2026'!Salim-'2026'!Resal)*(1-EXP(('2026'!Tnet-t)/('2026'!Tau_j))),Resal+(Salim-Resal)*(1-EXP((Tnet-t)/(Tau_j))))*Salcycl</f>
        <v>0</v>
      </c>
      <c r="P134" s="165">
        <f>(INDEX(Models!$BJ134:$BT134,,T134)*(1-R134)+INDEX(Models!$BJ134:$BT134,,T134+1)*R134-ERP_i)*Q134*Ramure*Pc/MaxiM</f>
        <v>4.1919250797380513E-5</v>
      </c>
      <c r="Q134" s="301">
        <f t="shared" si="28"/>
        <v>0.5</v>
      </c>
      <c r="R134" s="173">
        <f t="shared" si="29"/>
        <v>0.57147684345369099</v>
      </c>
      <c r="S134" s="802">
        <f t="shared" si="30"/>
        <v>2</v>
      </c>
      <c r="T134" s="172">
        <f t="shared" si="31"/>
        <v>8</v>
      </c>
      <c r="U134" s="247">
        <f t="shared" si="32"/>
        <v>2.571476843453691</v>
      </c>
      <c r="V134" s="378">
        <f t="shared" si="33"/>
        <v>59.788993287105804</v>
      </c>
      <c r="W134" s="397">
        <f t="shared" si="34"/>
        <v>44.358578975883226</v>
      </c>
      <c r="X134" s="153">
        <f t="shared" si="35"/>
        <v>46507</v>
      </c>
      <c r="Y134" s="380">
        <f t="shared" si="36"/>
        <v>42.612744804497595</v>
      </c>
      <c r="Z134" s="380">
        <f t="shared" si="37"/>
        <v>43.786543817764539</v>
      </c>
      <c r="AA134" s="381">
        <f t="shared" si="38"/>
        <v>45.580468259727716</v>
      </c>
      <c r="AB134" s="193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3.9357306110612951E-2</v>
      </c>
      <c r="AD134" s="227">
        <f>(INDEX(Models!$BJ134:$BT134,,AH134)*(1-AF134)+INDEX(Models!$BJ134:$BT134,,AH134+1)*AF134-ERP_i)*AE134*Ramure*Pc/MaxiM</f>
        <v>4.1919250797380513E-5</v>
      </c>
      <c r="AE134" s="301">
        <f t="shared" si="40"/>
        <v>0.5</v>
      </c>
      <c r="AF134" s="173">
        <f t="shared" si="41"/>
        <v>0.57147684345369099</v>
      </c>
      <c r="AG134" s="802">
        <f t="shared" si="49"/>
        <v>2</v>
      </c>
      <c r="AH134" s="172">
        <f t="shared" si="42"/>
        <v>8</v>
      </c>
      <c r="AI134" s="221">
        <f t="shared" si="43"/>
        <v>2.571476843453691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46508</v>
      </c>
      <c r="B135" s="406">
        <f>'2026'!Wh/'2026'!Env_an*'2027'!Env_an</f>
        <v>50.323158533460969</v>
      </c>
      <c r="C135" s="832"/>
      <c r="D135" s="388">
        <f t="shared" si="25"/>
        <v>51.710054361631599</v>
      </c>
      <c r="E135" s="380">
        <f t="shared" si="47"/>
        <v>51.713874562810048</v>
      </c>
      <c r="F135" s="380">
        <f t="shared" si="26"/>
        <v>51.715442797139495</v>
      </c>
      <c r="G135" s="110">
        <f t="shared" si="48"/>
        <v>0.83897906976860459</v>
      </c>
      <c r="H135" s="409" t="b">
        <f>Wh_hp&gt;='2026'!Maxi_hp</f>
        <v>0</v>
      </c>
      <c r="I135" s="385">
        <f>IF(H135,Wh_hp,'2026'!Maxi_hp)</f>
        <v>51.715899228512008</v>
      </c>
      <c r="J135" s="85">
        <f>IF(H135,An,'2026'!An_max)</f>
        <v>2022</v>
      </c>
      <c r="K135" s="193">
        <f t="shared" si="27"/>
        <v>46508</v>
      </c>
      <c r="L135" s="143">
        <f>IF(t&lt;Tvie,1-EXP((T0-t)*PertePVj)+'2026'!Pspv,1-EXP((T0-t)*PertePVj)+Pspv)</f>
        <v>2.6820622126432991E-2</v>
      </c>
      <c r="M135" s="836"/>
      <c r="N135" s="836"/>
      <c r="O135" s="48">
        <f>IF(t&lt;Tnet,'2026'!Resal+('2026'!Salim-'2026'!Resal)*(1-EXP(('2026'!Tnet-t)/('2026'!Tau_j))),Resal+(Salim-Resal)*(1-EXP((Tnet-t)/(Tau_j))))*Salcycl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3.9383174911611147E-5</v>
      </c>
      <c r="Q135" s="301">
        <f t="shared" si="28"/>
        <v>0.5</v>
      </c>
      <c r="R135" s="173">
        <f t="shared" si="29"/>
        <v>0.57423171621175095</v>
      </c>
      <c r="S135" s="802">
        <f t="shared" si="30"/>
        <v>2</v>
      </c>
      <c r="T135" s="172">
        <f t="shared" si="31"/>
        <v>8</v>
      </c>
      <c r="U135" s="247">
        <f t="shared" si="32"/>
        <v>2.574231716211751</v>
      </c>
      <c r="V135" s="378">
        <f t="shared" si="33"/>
        <v>59.98087969232931</v>
      </c>
      <c r="W135" s="397">
        <f t="shared" si="34"/>
        <v>50.323158533460969</v>
      </c>
      <c r="X135" s="153">
        <f t="shared" si="35"/>
        <v>46508</v>
      </c>
      <c r="Y135" s="380">
        <f t="shared" si="36"/>
        <v>48.343219793569233</v>
      </c>
      <c r="Z135" s="380">
        <f t="shared" si="37"/>
        <v>49.675548920077773</v>
      </c>
      <c r="AA135" s="381">
        <f t="shared" si="38"/>
        <v>51.713874562810048</v>
      </c>
      <c r="AB135" s="193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3.9415450108202375E-2</v>
      </c>
      <c r="AD135" s="227">
        <f>(INDEX(Models!$BJ135:$BT135,,AH135)*(1-AF135)+INDEX(Models!$BJ135:$BT135,,AH135+1)*AF135-ERP_i)*AE135*Ramure*Pc/MaxiM</f>
        <v>3.9383174911611147E-5</v>
      </c>
      <c r="AE135" s="301">
        <f t="shared" si="40"/>
        <v>0.5</v>
      </c>
      <c r="AF135" s="173">
        <f t="shared" si="41"/>
        <v>0.57423171621175095</v>
      </c>
      <c r="AG135" s="802">
        <f t="shared" si="49"/>
        <v>2</v>
      </c>
      <c r="AH135" s="172">
        <f t="shared" si="42"/>
        <v>8</v>
      </c>
      <c r="AI135" s="221">
        <f t="shared" si="43"/>
        <v>2.574231716211751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46509</v>
      </c>
      <c r="B136" s="406">
        <f>'2026'!Wh/'2026'!Env_an*'2027'!Env_an</f>
        <v>32.345414577488789</v>
      </c>
      <c r="C136" s="832"/>
      <c r="D136" s="388">
        <f t="shared" si="25"/>
        <v>33.237302495856625</v>
      </c>
      <c r="E136" s="380">
        <f t="shared" si="47"/>
        <v>33.242214169872661</v>
      </c>
      <c r="F136" s="380">
        <f t="shared" si="26"/>
        <v>33.242635267538724</v>
      </c>
      <c r="G136" s="110">
        <f t="shared" si="48"/>
        <v>0.53760568682850896</v>
      </c>
      <c r="H136" s="409" t="b">
        <f>Wh_hp&gt;='2026'!Maxi_hp</f>
        <v>0</v>
      </c>
      <c r="I136" s="385">
        <f>IF(H136,Wh_hp,'2026'!Maxi_hp)</f>
        <v>33.243433014495245</v>
      </c>
      <c r="J136" s="85">
        <f>IF(H136,An,'2026'!An_max)</f>
        <v>2022</v>
      </c>
      <c r="K136" s="193">
        <f t="shared" si="27"/>
        <v>46509</v>
      </c>
      <c r="L136" s="143">
        <f>IF(t&lt;Tvie,1-EXP((T0-t)*PertePVj)+'2026'!Pspv,1-EXP((T0-t)*PertePVj)+Pspv)</f>
        <v>2.6833944134877274E-2</v>
      </c>
      <c r="M136" s="836"/>
      <c r="N136" s="836"/>
      <c r="O136" s="48">
        <f>IF(t&lt;Tnet,'2026'!Resal+('2026'!Salim-'2026'!Resal)*(1-EXP(('2026'!Tnet-t)/('2026'!Tau_j))),Resal+(Salim-Resal)*(1-EXP((Tnet-t)/(Tau_j))))*Salcycl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3.7316798493959321E-5</v>
      </c>
      <c r="Q136" s="301">
        <f t="shared" si="28"/>
        <v>0.5</v>
      </c>
      <c r="R136" s="173">
        <f t="shared" si="29"/>
        <v>0.57706420164718608</v>
      </c>
      <c r="S136" s="802">
        <f t="shared" si="30"/>
        <v>2</v>
      </c>
      <c r="T136" s="172">
        <f t="shared" si="31"/>
        <v>8</v>
      </c>
      <c r="U136" s="247">
        <f t="shared" si="32"/>
        <v>2.5770642016471861</v>
      </c>
      <c r="V136" s="378">
        <f t="shared" si="33"/>
        <v>60.164202248485175</v>
      </c>
      <c r="W136" s="397">
        <f t="shared" si="34"/>
        <v>32.345414577488789</v>
      </c>
      <c r="X136" s="153">
        <f t="shared" si="35"/>
        <v>46509</v>
      </c>
      <c r="Y136" s="380">
        <f t="shared" si="36"/>
        <v>31.073198849782379</v>
      </c>
      <c r="Z136" s="380">
        <f t="shared" si="37"/>
        <v>31.930006870368082</v>
      </c>
      <c r="AA136" s="381">
        <f t="shared" si="38"/>
        <v>33.242214169872661</v>
      </c>
      <c r="AB136" s="193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3.9474124461114486E-2</v>
      </c>
      <c r="AD136" s="227">
        <f>(INDEX(Models!$BJ136:$BT136,,AH136)*(1-AF136)+INDEX(Models!$BJ136:$BT136,,AH136+1)*AF136-ERP_i)*AE136*Ramure*Pc/MaxiM</f>
        <v>3.7316798493959321E-5</v>
      </c>
      <c r="AE136" s="301">
        <f t="shared" si="40"/>
        <v>0.5</v>
      </c>
      <c r="AF136" s="173">
        <f t="shared" si="41"/>
        <v>0.57706420164718608</v>
      </c>
      <c r="AG136" s="802">
        <f t="shared" si="49"/>
        <v>2</v>
      </c>
      <c r="AH136" s="172">
        <f t="shared" si="42"/>
        <v>8</v>
      </c>
      <c r="AI136" s="221">
        <f t="shared" si="43"/>
        <v>2.5770642016471861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46510</v>
      </c>
      <c r="B137" s="406">
        <f>'2026'!Wh/'2026'!Env_an*'2027'!Env_an</f>
        <v>36.049958960011438</v>
      </c>
      <c r="C137" s="832"/>
      <c r="D137" s="388">
        <f t="shared" si="25"/>
        <v>37.044502572979482</v>
      </c>
      <c r="E137" s="380">
        <f t="shared" si="47"/>
        <v>37.052715291384573</v>
      </c>
      <c r="F137" s="380">
        <f t="shared" si="26"/>
        <v>37.053270932231833</v>
      </c>
      <c r="G137" s="110">
        <f t="shared" si="48"/>
        <v>0.59744079588530519</v>
      </c>
      <c r="H137" s="409" t="b">
        <f>Wh_hp&gt;='2026'!Maxi_hp</f>
        <v>0</v>
      </c>
      <c r="I137" s="385">
        <f>IF(H137,Wh_hp,'2026'!Maxi_hp)</f>
        <v>37.054002471299164</v>
      </c>
      <c r="J137" s="85">
        <f>IF(H137,An,'2026'!An_max)</f>
        <v>2022</v>
      </c>
      <c r="K137" s="193">
        <f t="shared" si="27"/>
        <v>46510</v>
      </c>
      <c r="L137" s="143">
        <f>IF(t&lt;Tvie,1-EXP((T0-t)*PertePVj)+'2026'!Pspv,1-EXP((T0-t)*PertePVj)+Pspv)</f>
        <v>2.6847265960954436E-2</v>
      </c>
      <c r="M137" s="836"/>
      <c r="N137" s="836"/>
      <c r="O137" s="48">
        <f>IF(t&lt;Tnet,'2026'!Resal+('2026'!Salim-'2026'!Resal)*(1-EXP(('2026'!Tnet-t)/('2026'!Tau_j))),Resal+(Salim-Resal)*(1-EXP((Tnet-t)/(Tau_j))))*Salcycl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3.5289655210630896E-5</v>
      </c>
      <c r="Q137" s="301">
        <f t="shared" si="28"/>
        <v>0.5</v>
      </c>
      <c r="R137" s="173">
        <f t="shared" si="29"/>
        <v>0.57997513291274982</v>
      </c>
      <c r="S137" s="802">
        <f t="shared" si="30"/>
        <v>2</v>
      </c>
      <c r="T137" s="172">
        <f t="shared" si="31"/>
        <v>8</v>
      </c>
      <c r="U137" s="247">
        <f t="shared" si="32"/>
        <v>2.5799751329127498</v>
      </c>
      <c r="V137" s="378">
        <f t="shared" si="33"/>
        <v>60.339413716218388</v>
      </c>
      <c r="W137" s="397">
        <f t="shared" si="34"/>
        <v>36.049958960011438</v>
      </c>
      <c r="X137" s="153">
        <f t="shared" si="35"/>
        <v>46510</v>
      </c>
      <c r="Y137" s="380">
        <f t="shared" si="36"/>
        <v>34.632460586013558</v>
      </c>
      <c r="Z137" s="380">
        <f t="shared" si="37"/>
        <v>35.58789835822833</v>
      </c>
      <c r="AA137" s="381">
        <f t="shared" si="38"/>
        <v>37.052715291384573</v>
      </c>
      <c r="AB137" s="193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3.9533322231227755E-2</v>
      </c>
      <c r="AD137" s="227">
        <f>(INDEX(Models!$BJ137:$BT137,,AH137)*(1-AF137)+INDEX(Models!$BJ137:$BT137,,AH137+1)*AF137-ERP_i)*AE137*Ramure*Pc/MaxiM</f>
        <v>3.5289655210630896E-5</v>
      </c>
      <c r="AE137" s="301">
        <f t="shared" si="40"/>
        <v>0.5</v>
      </c>
      <c r="AF137" s="173">
        <f t="shared" si="41"/>
        <v>0.57997513291274982</v>
      </c>
      <c r="AG137" s="802">
        <f t="shared" si="49"/>
        <v>2</v>
      </c>
      <c r="AH137" s="172">
        <f t="shared" si="42"/>
        <v>8</v>
      </c>
      <c r="AI137" s="221">
        <f t="shared" si="43"/>
        <v>2.5799751329127498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46511</v>
      </c>
      <c r="B138" s="406">
        <f>'2026'!Wh/'2026'!Env_an*'2027'!Env_an</f>
        <v>20.288923850081805</v>
      </c>
      <c r="C138" s="832"/>
      <c r="D138" s="388">
        <f t="shared" si="25"/>
        <v>20.848938591585409</v>
      </c>
      <c r="E138" s="380">
        <f t="shared" si="47"/>
        <v>20.855102546981016</v>
      </c>
      <c r="F138" s="380">
        <f t="shared" si="26"/>
        <v>20.855137583910643</v>
      </c>
      <c r="G138" s="110">
        <f t="shared" si="48"/>
        <v>0.33530504019740043</v>
      </c>
      <c r="H138" s="409" t="b">
        <f>Wh_hp&gt;='2026'!Maxi_hp</f>
        <v>0</v>
      </c>
      <c r="I138" s="385">
        <f>IF(H138,Wh_hp,'2026'!Maxi_hp)</f>
        <v>20.855778646437024</v>
      </c>
      <c r="J138" s="85">
        <f>IF(H138,An,'2026'!An_max)</f>
        <v>2022</v>
      </c>
      <c r="K138" s="193">
        <f t="shared" si="27"/>
        <v>46511</v>
      </c>
      <c r="L138" s="143">
        <f>IF(t&lt;Tvie,1-EXP((T0-t)*PertePVj)+'2026'!Pspv,1-EXP((T0-t)*PertePVj)+Pspv)</f>
        <v>2.686058760466703E-2</v>
      </c>
      <c r="M138" s="836"/>
      <c r="N138" s="836"/>
      <c r="O138" s="48">
        <f>IF(t&lt;Tnet,'2026'!Resal+('2026'!Salim-'2026'!Resal)*(1-EXP(('2026'!Tnet-t)/('2026'!Tau_j))),Resal+(Salim-Resal)*(1-EXP((Tnet-t)/(Tau_j))))*Salcycl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3.3299974816051665E-5</v>
      </c>
      <c r="Q138" s="301">
        <f t="shared" si="28"/>
        <v>0.5</v>
      </c>
      <c r="R138" s="173">
        <f t="shared" si="29"/>
        <v>0.58296525382904019</v>
      </c>
      <c r="S138" s="802">
        <f t="shared" si="30"/>
        <v>2</v>
      </c>
      <c r="T138" s="172">
        <f t="shared" si="31"/>
        <v>8</v>
      </c>
      <c r="U138" s="247">
        <f t="shared" si="32"/>
        <v>2.5829652538290402</v>
      </c>
      <c r="V138" s="378">
        <f t="shared" si="33"/>
        <v>60.506941088893619</v>
      </c>
      <c r="W138" s="397">
        <f t="shared" si="34"/>
        <v>20.288923850081805</v>
      </c>
      <c r="X138" s="153">
        <f t="shared" si="35"/>
        <v>46511</v>
      </c>
      <c r="Y138" s="380">
        <f t="shared" si="36"/>
        <v>19.491384666859169</v>
      </c>
      <c r="Z138" s="380">
        <f t="shared" si="37"/>
        <v>20.029385737118716</v>
      </c>
      <c r="AA138" s="381">
        <f t="shared" si="38"/>
        <v>20.855102546981016</v>
      </c>
      <c r="AB138" s="193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3.9593035229732364E-2</v>
      </c>
      <c r="AD138" s="227">
        <f>(INDEX(Models!$BJ138:$BT138,,AH138)*(1-AF138)+INDEX(Models!$BJ138:$BT138,,AH138+1)*AF138-ERP_i)*AE138*Ramure*Pc/MaxiM</f>
        <v>3.3299974816051665E-5</v>
      </c>
      <c r="AE138" s="301">
        <f t="shared" si="40"/>
        <v>0.5</v>
      </c>
      <c r="AF138" s="173">
        <f t="shared" si="41"/>
        <v>0.58296525382904019</v>
      </c>
      <c r="AG138" s="802">
        <f t="shared" si="49"/>
        <v>2</v>
      </c>
      <c r="AH138" s="172">
        <f t="shared" si="42"/>
        <v>8</v>
      </c>
      <c r="AI138" s="221">
        <f t="shared" si="43"/>
        <v>2.5829652538290402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46512</v>
      </c>
      <c r="B139" s="406">
        <f>'2026'!Wh/'2026'!Env_an*'2027'!Env_an</f>
        <v>40.838118883506048</v>
      </c>
      <c r="C139" s="832"/>
      <c r="D139" s="388">
        <f t="shared" si="25"/>
        <v>41.965906848012494</v>
      </c>
      <c r="E139" s="380">
        <f t="shared" si="47"/>
        <v>41.981418611244216</v>
      </c>
      <c r="F139" s="380">
        <f t="shared" si="26"/>
        <v>41.982120120799244</v>
      </c>
      <c r="G139" s="110">
        <f t="shared" si="48"/>
        <v>0.67313991093841574</v>
      </c>
      <c r="H139" s="409" t="b">
        <f>Wh_hp&gt;='2026'!Maxi_hp</f>
        <v>0</v>
      </c>
      <c r="I139" s="385">
        <f>IF(H139,Wh_hp,'2026'!Maxi_hp)</f>
        <v>41.982717028924689</v>
      </c>
      <c r="J139" s="85">
        <f>IF(H139,An,'2026'!An_max)</f>
        <v>2022</v>
      </c>
      <c r="K139" s="193">
        <f t="shared" si="27"/>
        <v>46512</v>
      </c>
      <c r="L139" s="143">
        <f>IF(t&lt;Tvie,1-EXP((T0-t)*PertePVj)+'2026'!Pspv,1-EXP((T0-t)*PertePVj)+Pspv)</f>
        <v>2.6873909066017498E-2</v>
      </c>
      <c r="M139" s="836"/>
      <c r="N139" s="836"/>
      <c r="O139" s="48">
        <f>IF(t&lt;Tnet,'2026'!Resal+('2026'!Salim-'2026'!Resal)*(1-EXP(('2026'!Tnet-t)/('2026'!Tau_j))),Resal+(Salim-Resal)*(1-EXP((Tnet-t)/(Tau_j))))*Salcycl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3.1346141741109587E-5</v>
      </c>
      <c r="Q139" s="301">
        <f t="shared" si="28"/>
        <v>0.5</v>
      </c>
      <c r="R139" s="173">
        <f t="shared" si="29"/>
        <v>0.58603521189561647</v>
      </c>
      <c r="S139" s="802">
        <f t="shared" si="30"/>
        <v>2</v>
      </c>
      <c r="T139" s="172">
        <f t="shared" si="31"/>
        <v>8</v>
      </c>
      <c r="U139" s="247">
        <f t="shared" si="32"/>
        <v>2.5860352118956165</v>
      </c>
      <c r="V139" s="378">
        <f t="shared" si="33"/>
        <v>60.667211208345179</v>
      </c>
      <c r="W139" s="397">
        <f t="shared" si="34"/>
        <v>40.838118883506048</v>
      </c>
      <c r="X139" s="153">
        <f t="shared" si="35"/>
        <v>46512</v>
      </c>
      <c r="Y139" s="380">
        <f t="shared" si="36"/>
        <v>39.233250922645723</v>
      </c>
      <c r="Z139" s="380">
        <f t="shared" si="37"/>
        <v>40.31671875634391</v>
      </c>
      <c r="AA139" s="381">
        <f t="shared" si="38"/>
        <v>41.981418611244216</v>
      </c>
      <c r="AB139" s="193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3.9653253986382309E-2</v>
      </c>
      <c r="AD139" s="227">
        <f>(INDEX(Models!$BJ139:$BT139,,AH139)*(1-AF139)+INDEX(Models!$BJ139:$BT139,,AH139+1)*AF139-ERP_i)*AE139*Ramure*Pc/MaxiM</f>
        <v>3.1346141741109587E-5</v>
      </c>
      <c r="AE139" s="301">
        <f t="shared" si="40"/>
        <v>0.5</v>
      </c>
      <c r="AF139" s="173">
        <f t="shared" si="41"/>
        <v>0.58603521189561647</v>
      </c>
      <c r="AG139" s="802">
        <f t="shared" si="49"/>
        <v>2</v>
      </c>
      <c r="AH139" s="172">
        <f t="shared" si="42"/>
        <v>8</v>
      </c>
      <c r="AI139" s="221">
        <f t="shared" si="43"/>
        <v>2.5860352118956165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46513</v>
      </c>
      <c r="B140" s="406">
        <f>'2026'!Wh/'2026'!Env_an*'2027'!Env_an</f>
        <v>42.810169152678661</v>
      </c>
      <c r="C140" s="832"/>
      <c r="D140" s="388">
        <f t="shared" si="25"/>
        <v>43.993019604353378</v>
      </c>
      <c r="E140" s="380">
        <f t="shared" si="47"/>
        <v>44.012536637751047</v>
      </c>
      <c r="F140" s="380">
        <f t="shared" si="26"/>
        <v>44.013283902894543</v>
      </c>
      <c r="G140" s="110">
        <f t="shared" si="48"/>
        <v>0.70386678994094998</v>
      </c>
      <c r="H140" s="409" t="b">
        <f>Wh_hp&gt;='2026'!Maxi_hp</f>
        <v>0</v>
      </c>
      <c r="I140" s="385">
        <f>IF(H140,Wh_hp,'2026'!Maxi_hp)</f>
        <v>44.0138157587295</v>
      </c>
      <c r="J140" s="85">
        <f>IF(H140,An,'2026'!An_max)</f>
        <v>2022</v>
      </c>
      <c r="K140" s="193">
        <f t="shared" si="27"/>
        <v>46513</v>
      </c>
      <c r="L140" s="143">
        <f>IF(t&lt;Tvie,1-EXP((T0-t)*PertePVj)+'2026'!Pspv,1-EXP((T0-t)*PertePVj)+Pspv)</f>
        <v>2.6887230345008284E-2</v>
      </c>
      <c r="M140" s="836"/>
      <c r="N140" s="836"/>
      <c r="O140" s="48">
        <f>IF(t&lt;Tnet,'2026'!Resal+('2026'!Salim-'2026'!Resal)*(1-EXP(('2026'!Tnet-t)/('2026'!Tau_j))),Resal+(Salim-Resal)*(1-EXP((Tnet-t)/(Tau_j))))*Salcycl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2.942669085662196E-5</v>
      </c>
      <c r="Q140" s="301">
        <f t="shared" si="28"/>
        <v>0.5</v>
      </c>
      <c r="R140" s="173">
        <f t="shared" si="29"/>
        <v>0.58918555125695793</v>
      </c>
      <c r="S140" s="802">
        <f t="shared" si="30"/>
        <v>2</v>
      </c>
      <c r="T140" s="172">
        <f t="shared" si="31"/>
        <v>8</v>
      </c>
      <c r="U140" s="247">
        <f t="shared" si="32"/>
        <v>2.5891855512569579</v>
      </c>
      <c r="V140" s="378">
        <f t="shared" si="33"/>
        <v>60.820650771237545</v>
      </c>
      <c r="W140" s="397">
        <f t="shared" si="34"/>
        <v>42.810169152678661</v>
      </c>
      <c r="X140" s="153">
        <f t="shared" si="35"/>
        <v>46513</v>
      </c>
      <c r="Y140" s="380">
        <f t="shared" si="36"/>
        <v>41.128245492633972</v>
      </c>
      <c r="Z140" s="380">
        <f t="shared" si="37"/>
        <v>42.264624178362823</v>
      </c>
      <c r="AA140" s="381">
        <f t="shared" si="38"/>
        <v>44.012536637751047</v>
      </c>
      <c r="AB140" s="193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3.9713967721846308E-2</v>
      </c>
      <c r="AD140" s="227">
        <f>(INDEX(Models!$BJ140:$BT140,,AH140)*(1-AF140)+INDEX(Models!$BJ140:$BT140,,AH140+1)*AF140-ERP_i)*AE140*Ramure*Pc/MaxiM</f>
        <v>2.942669085662196E-5</v>
      </c>
      <c r="AE140" s="301">
        <f t="shared" si="40"/>
        <v>0.5</v>
      </c>
      <c r="AF140" s="173">
        <f t="shared" si="41"/>
        <v>0.58918555125695793</v>
      </c>
      <c r="AG140" s="802">
        <f t="shared" si="49"/>
        <v>2</v>
      </c>
      <c r="AH140" s="172">
        <f t="shared" si="42"/>
        <v>8</v>
      </c>
      <c r="AI140" s="221">
        <f t="shared" si="43"/>
        <v>2.5891855512569579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46514</v>
      </c>
      <c r="B141" s="406">
        <f>'2026'!Wh/'2026'!Env_an*'2027'!Env_an</f>
        <v>49.239142999455041</v>
      </c>
      <c r="C141" s="832"/>
      <c r="D141" s="388">
        <f t="shared" si="25"/>
        <v>50.600319497048922</v>
      </c>
      <c r="E141" s="380">
        <f t="shared" si="47"/>
        <v>50.62651455637284</v>
      </c>
      <c r="F141" s="380">
        <f t="shared" si="26"/>
        <v>50.627525674761635</v>
      </c>
      <c r="G141" s="110">
        <f t="shared" si="48"/>
        <v>0.80762077894420226</v>
      </c>
      <c r="H141" s="409" t="b">
        <f>Wh_hp&gt;='2026'!Maxi_hp</f>
        <v>0</v>
      </c>
      <c r="I141" s="385">
        <f>IF(H141,Wh_hp,'2026'!Maxi_hp)</f>
        <v>50.627897365958461</v>
      </c>
      <c r="J141" s="85">
        <f>IF(H141,An,'2026'!An_max)</f>
        <v>2022</v>
      </c>
      <c r="K141" s="193">
        <f t="shared" si="27"/>
        <v>46514</v>
      </c>
      <c r="L141" s="143">
        <f>IF(t&lt;Tvie,1-EXP((T0-t)*PertePVj)+'2026'!Pspv,1-EXP((T0-t)*PertePVj)+Pspv)</f>
        <v>2.690055144164194E-2</v>
      </c>
      <c r="M141" s="836"/>
      <c r="N141" s="836"/>
      <c r="O141" s="48">
        <f>IF(t&lt;Tnet,'2026'!Resal+('2026'!Salim-'2026'!Resal)*(1-EXP(('2026'!Tnet-t)/('2026'!Tau_j))),Resal+(Salim-Resal)*(1-EXP((Tnet-t)/(Tau_j))))*Salcycl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2.7540303713961035E-5</v>
      </c>
      <c r="Q141" s="301">
        <f t="shared" si="28"/>
        <v>0.5</v>
      </c>
      <c r="R141" s="173">
        <f t="shared" si="29"/>
        <v>0.59241670566211013</v>
      </c>
      <c r="S141" s="802">
        <f t="shared" si="30"/>
        <v>2</v>
      </c>
      <c r="T141" s="172">
        <f t="shared" si="31"/>
        <v>8</v>
      </c>
      <c r="U141" s="247">
        <f t="shared" si="32"/>
        <v>2.5924167056621101</v>
      </c>
      <c r="V141" s="378">
        <f t="shared" si="33"/>
        <v>60.967686326047563</v>
      </c>
      <c r="W141" s="397">
        <f t="shared" si="34"/>
        <v>49.239142999455041</v>
      </c>
      <c r="X141" s="153">
        <f t="shared" si="35"/>
        <v>46514</v>
      </c>
      <c r="Y141" s="380">
        <f t="shared" si="36"/>
        <v>47.305124508519107</v>
      </c>
      <c r="Z141" s="380">
        <f t="shared" si="37"/>
        <v>48.61283662076</v>
      </c>
      <c r="AA141" s="381">
        <f t="shared" si="38"/>
        <v>50.62651455637284</v>
      </c>
      <c r="AB141" s="193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3.9775164323639131E-2</v>
      </c>
      <c r="AD141" s="227">
        <f>(INDEX(Models!$BJ141:$BT141,,AH141)*(1-AF141)+INDEX(Models!$BJ141:$BT141,,AH141+1)*AF141-ERP_i)*AE141*Ramure*Pc/MaxiM</f>
        <v>2.7540303713961035E-5</v>
      </c>
      <c r="AE141" s="301">
        <f t="shared" si="40"/>
        <v>0.5</v>
      </c>
      <c r="AF141" s="173">
        <f t="shared" si="41"/>
        <v>0.59241670566211013</v>
      </c>
      <c r="AG141" s="802">
        <f t="shared" si="49"/>
        <v>2</v>
      </c>
      <c r="AH141" s="172">
        <f t="shared" si="42"/>
        <v>8</v>
      </c>
      <c r="AI141" s="221">
        <f t="shared" si="43"/>
        <v>2.5924167056621101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46515</v>
      </c>
      <c r="B142" s="406">
        <f>'2026'!Wh/'2026'!Env_an*'2027'!Env_an</f>
        <v>55.848551781477539</v>
      </c>
      <c r="C142" s="832"/>
      <c r="D142" s="388">
        <f t="shared" si="25"/>
        <v>57.393225732948679</v>
      </c>
      <c r="E142" s="380">
        <f t="shared" si="47"/>
        <v>57.427189270327268</v>
      </c>
      <c r="F142" s="380">
        <f t="shared" si="26"/>
        <v>57.428486982141088</v>
      </c>
      <c r="G142" s="110">
        <f t="shared" si="48"/>
        <v>0.91391796594481778</v>
      </c>
      <c r="H142" s="409" t="b">
        <f>Wh_hp&gt;='2026'!Maxi_hp</f>
        <v>0</v>
      </c>
      <c r="I142" s="385">
        <f>IF(H142,Wh_hp,'2026'!Maxi_hp)</f>
        <v>57.428663358551631</v>
      </c>
      <c r="J142" s="85">
        <f>IF(H142,An,'2026'!An_max)</f>
        <v>2022</v>
      </c>
      <c r="K142" s="193">
        <f t="shared" si="27"/>
        <v>46515</v>
      </c>
      <c r="L142" s="143">
        <f>IF(t&lt;Tvie,1-EXP((T0-t)*PertePVj)+'2026'!Pspv,1-EXP((T0-t)*PertePVj)+Pspv)</f>
        <v>2.691387235592102E-2</v>
      </c>
      <c r="M142" s="836"/>
      <c r="N142" s="836"/>
      <c r="O142" s="48">
        <f>IF(t&lt;Tnet,'2026'!Resal+('2026'!Salim-'2026'!Resal)*(1-EXP(('2026'!Tnet-t)/('2026'!Tau_j))),Resal+(Salim-Resal)*(1-EXP((Tnet-t)/(Tau_j))))*Salcycl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2.5765378838436914E-5</v>
      </c>
      <c r="Q142" s="301">
        <f t="shared" si="28"/>
        <v>0.5</v>
      </c>
      <c r="R142" s="173">
        <f t="shared" si="29"/>
        <v>0.59572899146024305</v>
      </c>
      <c r="S142" s="802">
        <f t="shared" si="30"/>
        <v>2</v>
      </c>
      <c r="T142" s="172">
        <f t="shared" si="31"/>
        <v>8</v>
      </c>
      <c r="U142" s="247">
        <f t="shared" si="32"/>
        <v>2.5957289914602431</v>
      </c>
      <c r="V142" s="378">
        <f t="shared" si="33"/>
        <v>61.108739415860029</v>
      </c>
      <c r="W142" s="397">
        <f t="shared" si="34"/>
        <v>55.848551781477539</v>
      </c>
      <c r="X142" s="153">
        <f t="shared" si="35"/>
        <v>46515</v>
      </c>
      <c r="Y142" s="380">
        <f t="shared" si="36"/>
        <v>53.65545536205321</v>
      </c>
      <c r="Z142" s="380">
        <f t="shared" si="37"/>
        <v>55.139472075259619</v>
      </c>
      <c r="AA142" s="381">
        <f t="shared" si="38"/>
        <v>57.427189270327268</v>
      </c>
      <c r="AB142" s="193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3.9836830326113716E-2</v>
      </c>
      <c r="AD142" s="227">
        <f>(INDEX(Models!$BJ142:$BT142,,AH142)*(1-AF142)+INDEX(Models!$BJ142:$BT142,,AH142+1)*AF142-ERP_i)*AE142*Ramure*Pc/MaxiM</f>
        <v>2.5765378838436914E-5</v>
      </c>
      <c r="AE142" s="301">
        <f t="shared" si="40"/>
        <v>0.5</v>
      </c>
      <c r="AF142" s="173">
        <f t="shared" si="41"/>
        <v>0.59572899146024305</v>
      </c>
      <c r="AG142" s="802">
        <f t="shared" si="49"/>
        <v>2</v>
      </c>
      <c r="AH142" s="172">
        <f t="shared" si="42"/>
        <v>8</v>
      </c>
      <c r="AI142" s="221">
        <f t="shared" si="43"/>
        <v>2.5957289914602431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46516</v>
      </c>
      <c r="B143" s="406">
        <f>'2026'!Wh/'2026'!Env_an*'2027'!Env_an</f>
        <v>59.092581600698566</v>
      </c>
      <c r="C143" s="832"/>
      <c r="D143" s="388">
        <f t="shared" ref="D143:D206" si="50">Wh/(1-Ppv)</f>
        <v>60.727811095879673</v>
      </c>
      <c r="E143" s="380">
        <f t="shared" si="47"/>
        <v>60.768249253425196</v>
      </c>
      <c r="F143" s="380">
        <f t="shared" ref="F143:F206" si="51">Wh_sa/(1-Pvg*MEDIAN((-Sdif+Wh/Env_an)/Csdif,0,1))</f>
        <v>60.769642431178411</v>
      </c>
      <c r="G143" s="110">
        <f t="shared" si="48"/>
        <v>0.96486650417747566</v>
      </c>
      <c r="H143" s="409" t="b">
        <f>Wh_hp&gt;='2026'!Maxi_hp</f>
        <v>0</v>
      </c>
      <c r="I143" s="385">
        <f>IF(H143,Wh_hp,'2026'!Maxi_hp)</f>
        <v>60.769713742557045</v>
      </c>
      <c r="J143" s="85">
        <f>IF(H143,An,'2026'!An_max)</f>
        <v>2022</v>
      </c>
      <c r="K143" s="193">
        <f t="shared" ref="K143:K206" si="52">t</f>
        <v>46516</v>
      </c>
      <c r="L143" s="143">
        <f>IF(t&lt;Tvie,1-EXP((T0-t)*PertePVj)+'2026'!Pspv,1-EXP((T0-t)*PertePVj)+Pspv)</f>
        <v>2.6927193087847967E-2</v>
      </c>
      <c r="M143" s="836"/>
      <c r="N143" s="836"/>
      <c r="O143" s="48">
        <f>IF(t&lt;Tnet,'2026'!Resal+('2026'!Salim-'2026'!Resal)*(1-EXP(('2026'!Tnet-t)/('2026'!Tau_j))),Resal+(Salim-Resal)*(1-EXP((Tnet-t)/(Tau_j))))*Salcycl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2.4136965659659722E-5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0.59912260067758849</v>
      </c>
      <c r="S143" s="802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2.5991226006775885</v>
      </c>
      <c r="V143" s="378">
        <f t="shared" ref="V143:V206" si="58">MaxiM*(1-Ppv)*(1-Pvg)*(1-Psa)</f>
        <v>61.244234054972267</v>
      </c>
      <c r="W143" s="397">
        <f t="shared" ref="W143:W206" si="59">Wh*(A143&gt;Tmaj)</f>
        <v>59.092581600698566</v>
      </c>
      <c r="X143" s="153">
        <f t="shared" ref="X143:X206" si="60">t</f>
        <v>46516</v>
      </c>
      <c r="Y143" s="380">
        <f t="shared" ref="Y143:Y206" si="61">Wh_pvt_s*(1-Ppv)</f>
        <v>56.772628865973253</v>
      </c>
      <c r="Z143" s="380">
        <f t="shared" ref="Z143:Z206" si="62">Wh_sa_s*(1-Psa_s)</f>
        <v>58.343659860488344</v>
      </c>
      <c r="AA143" s="381">
        <f t="shared" ref="AA143:AA206" si="63">Wh_hp*(1-Pvg_s*MEDIAN((-Sdif+Wh/Env_an)/Csdif,0,1))</f>
        <v>60.768249253425196</v>
      </c>
      <c r="AB143" s="193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3.9898950894988891E-2</v>
      </c>
      <c r="AD143" s="227">
        <f>(INDEX(Models!$BJ143:$BT143,,AH143)*(1-AF143)+INDEX(Models!$BJ143:$BT143,,AH143+1)*AF143-ERP_i)*AE143*Ramure*Pc/MaxiM</f>
        <v>2.4136965659659722E-5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0.59912260067758849</v>
      </c>
      <c r="AG143" s="802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2.5991226006775885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46517</v>
      </c>
      <c r="B144" s="406">
        <f>'2026'!Wh/'2026'!Env_an*'2027'!Env_an</f>
        <v>57.882650689423343</v>
      </c>
      <c r="C144" s="832"/>
      <c r="D144" s="388">
        <f t="shared" si="50"/>
        <v>59.485212878193465</v>
      </c>
      <c r="E144" s="380">
        <f t="shared" ref="E144:E169" si="72">Wh_pvt/(1-Psa)</f>
        <v>59.529235275977008</v>
      </c>
      <c r="F144" s="380">
        <f t="shared" si="51"/>
        <v>59.530474393223528</v>
      </c>
      <c r="G144" s="110">
        <f t="shared" ref="G144:G169" si="73">+Wh_hp/MaxiM</f>
        <v>0.94310264661998178</v>
      </c>
      <c r="H144" s="409" t="b">
        <f>Wh_hp&gt;='2026'!Maxi_hp</f>
        <v>0</v>
      </c>
      <c r="I144" s="385">
        <f>IF(H144,Wh_hp,'2026'!Maxi_hp)</f>
        <v>59.530580514371692</v>
      </c>
      <c r="J144" s="85">
        <f>IF(H144,An,'2026'!An_max)</f>
        <v>2022</v>
      </c>
      <c r="K144" s="193">
        <f t="shared" si="52"/>
        <v>46517</v>
      </c>
      <c r="L144" s="143">
        <f>IF(t&lt;Tvie,1-EXP((T0-t)*PertePVj)+'2026'!Pspv,1-EXP((T0-t)*PertePVj)+Pspv)</f>
        <v>2.6940513637425334E-2</v>
      </c>
      <c r="M144" s="836"/>
      <c r="N144" s="836"/>
      <c r="O144" s="48">
        <f>IF(t&lt;Tnet,'2026'!Resal+('2026'!Salim-'2026'!Resal)*(1-EXP(('2026'!Tnet-t)/('2026'!Tau_j))),Resal+(Salim-Resal)*(1-EXP((Tnet-t)/(Tau_j))))*Salcycl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2.2656333485226533E-5</v>
      </c>
      <c r="Q144" s="301">
        <f t="shared" si="53"/>
        <v>0.5</v>
      </c>
      <c r="R144" s="173">
        <f t="shared" si="54"/>
        <v>0.60259759422430692</v>
      </c>
      <c r="S144" s="802">
        <f t="shared" si="55"/>
        <v>2</v>
      </c>
      <c r="T144" s="172">
        <f t="shared" si="56"/>
        <v>8</v>
      </c>
      <c r="U144" s="247">
        <f t="shared" si="57"/>
        <v>2.6025975942243069</v>
      </c>
      <c r="V144" s="378">
        <f t="shared" si="58"/>
        <v>61.374596184281863</v>
      </c>
      <c r="W144" s="397">
        <f t="shared" si="59"/>
        <v>57.882650689423343</v>
      </c>
      <c r="X144" s="153">
        <f t="shared" si="60"/>
        <v>46517</v>
      </c>
      <c r="Y144" s="380">
        <f t="shared" si="61"/>
        <v>55.610697179757217</v>
      </c>
      <c r="Z144" s="380">
        <f t="shared" si="62"/>
        <v>57.150357156104995</v>
      </c>
      <c r="AA144" s="381">
        <f t="shared" si="63"/>
        <v>59.529235275977008</v>
      </c>
      <c r="AB144" s="193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3.9961509816874963E-2</v>
      </c>
      <c r="AD144" s="227">
        <f>(INDEX(Models!$BJ144:$BT144,,AH144)*(1-AF144)+INDEX(Models!$BJ144:$BT144,,AH144+1)*AF144-ERP_i)*AE144*Ramure*Pc/MaxiM</f>
        <v>2.2656333485226533E-5</v>
      </c>
      <c r="AE144" s="301">
        <f t="shared" si="65"/>
        <v>0.5</v>
      </c>
      <c r="AF144" s="173">
        <f t="shared" si="66"/>
        <v>0.60259759422430692</v>
      </c>
      <c r="AG144" s="802">
        <f t="shared" ref="AG144:AG207" si="74">INDEX(Echel_vg,AH144)</f>
        <v>2</v>
      </c>
      <c r="AH144" s="172">
        <f t="shared" si="67"/>
        <v>8</v>
      </c>
      <c r="AI144" s="221">
        <f t="shared" si="68"/>
        <v>2.6025975942243069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46518</v>
      </c>
      <c r="B145" s="406">
        <f>'2026'!Wh/'2026'!Env_an*'2027'!Env_an</f>
        <v>61.745902144464978</v>
      </c>
      <c r="C145" s="832"/>
      <c r="D145" s="388">
        <f t="shared" si="50"/>
        <v>63.456292519588835</v>
      </c>
      <c r="E145" s="380">
        <f t="shared" si="72"/>
        <v>63.507962680650081</v>
      </c>
      <c r="F145" s="380">
        <f t="shared" si="51"/>
        <v>63.509317018832235</v>
      </c>
      <c r="G145" s="110">
        <f t="shared" si="73"/>
        <v>1.0039943016367112</v>
      </c>
      <c r="H145" s="409" t="b">
        <f>Wh_hp&gt;='2026'!Maxi_hp</f>
        <v>1</v>
      </c>
      <c r="I145" s="385">
        <f>IF(H145,Wh_hp,'2026'!Maxi_hp)</f>
        <v>63.509317018832235</v>
      </c>
      <c r="J145" s="85">
        <f>IF(H145,An,'2026'!An_max)</f>
        <v>2027</v>
      </c>
      <c r="K145" s="193">
        <f t="shared" si="52"/>
        <v>46518</v>
      </c>
      <c r="L145" s="143">
        <f>IF(t&lt;Tvie,1-EXP((T0-t)*PertePVj)+'2026'!Pspv,1-EXP((T0-t)*PertePVj)+Pspv)</f>
        <v>2.6953834004655453E-2</v>
      </c>
      <c r="M145" s="836"/>
      <c r="N145" s="836"/>
      <c r="O145" s="48">
        <f>IF(t&lt;Tnet,'2026'!Resal+('2026'!Salim-'2026'!Resal)*(1-EXP(('2026'!Tnet-t)/('2026'!Tau_j))),Resal+(Salim-Resal)*(1-EXP((Tnet-t)/(Tau_j))))*Salcycl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2.1325031439873898E-5</v>
      </c>
      <c r="Q145" s="301">
        <f t="shared" si="53"/>
        <v>0.5</v>
      </c>
      <c r="R145" s="173">
        <f t="shared" si="54"/>
        <v>0.60615389528267105</v>
      </c>
      <c r="S145" s="802">
        <f t="shared" si="55"/>
        <v>2</v>
      </c>
      <c r="T145" s="172">
        <f t="shared" si="56"/>
        <v>8</v>
      </c>
      <c r="U145" s="247">
        <f t="shared" si="57"/>
        <v>2.6061538952826711</v>
      </c>
      <c r="V145" s="378">
        <f t="shared" si="58"/>
        <v>61.500251588885341</v>
      </c>
      <c r="W145" s="397">
        <f t="shared" si="59"/>
        <v>61.745902144464978</v>
      </c>
      <c r="X145" s="153">
        <f t="shared" si="60"/>
        <v>46518</v>
      </c>
      <c r="Y145" s="380">
        <f t="shared" si="61"/>
        <v>59.322819055534332</v>
      </c>
      <c r="Z145" s="380">
        <f t="shared" si="62"/>
        <v>60.966088895537723</v>
      </c>
      <c r="AA145" s="381">
        <f t="shared" si="63"/>
        <v>63.507962680650081</v>
      </c>
      <c r="AB145" s="193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4.0024489494241471E-2</v>
      </c>
      <c r="AD145" s="227">
        <f>(INDEX(Models!$BJ145:$BT145,,AH145)*(1-AF145)+INDEX(Models!$BJ145:$BT145,,AH145+1)*AF145-ERP_i)*AE145*Ramure*Pc/MaxiM</f>
        <v>2.1325031439873898E-5</v>
      </c>
      <c r="AE145" s="301">
        <f t="shared" si="65"/>
        <v>0.5</v>
      </c>
      <c r="AF145" s="173">
        <f t="shared" si="66"/>
        <v>0.60615389528267105</v>
      </c>
      <c r="AG145" s="802">
        <f t="shared" si="74"/>
        <v>2</v>
      </c>
      <c r="AH145" s="172">
        <f t="shared" si="67"/>
        <v>8</v>
      </c>
      <c r="AI145" s="221">
        <f t="shared" si="68"/>
        <v>2.6061538952826711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46519</v>
      </c>
      <c r="B146" s="406">
        <f>'2026'!Wh/'2026'!Env_an*'2027'!Env_an</f>
        <v>47.016368879216962</v>
      </c>
      <c r="C146" s="832"/>
      <c r="D146" s="388">
        <f t="shared" si="50"/>
        <v>48.319405744269673</v>
      </c>
      <c r="E146" s="380">
        <f t="shared" si="72"/>
        <v>48.362338336770122</v>
      </c>
      <c r="F146" s="380">
        <f t="shared" si="51"/>
        <v>48.36298272317304</v>
      </c>
      <c r="G146" s="110">
        <f t="shared" si="73"/>
        <v>0.76297967615325069</v>
      </c>
      <c r="H146" s="409" t="b">
        <f>Wh_hp&gt;='2026'!Maxi_hp</f>
        <v>0</v>
      </c>
      <c r="I146" s="385">
        <f>IF(H146,Wh_hp,'2026'!Maxi_hp)</f>
        <v>48.363301649060638</v>
      </c>
      <c r="J146" s="85">
        <f>IF(H146,An,'2026'!An_max)</f>
        <v>2022</v>
      </c>
      <c r="K146" s="193">
        <f t="shared" si="52"/>
        <v>46519</v>
      </c>
      <c r="L146" s="143">
        <f>IF(t&lt;Tvie,1-EXP((T0-t)*PertePVj)+'2026'!Pspv,1-EXP((T0-t)*PertePVj)+Pspv)</f>
        <v>2.6967154189540987E-2</v>
      </c>
      <c r="M146" s="836"/>
      <c r="N146" s="836"/>
      <c r="O146" s="48">
        <f>IF(t&lt;Tnet,'2026'!Resal+('2026'!Salim-'2026'!Resal)*(1-EXP(('2026'!Tnet-t)/('2026'!Tau_j))),Resal+(Salim-Resal)*(1-EXP((Tnet-t)/(Tau_j))))*Salcycl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2.0144872437911329E-5</v>
      </c>
      <c r="Q146" s="301">
        <f t="shared" si="53"/>
        <v>0.5</v>
      </c>
      <c r="R146" s="173">
        <f t="shared" si="54"/>
        <v>0.60979128293049989</v>
      </c>
      <c r="S146" s="802">
        <f t="shared" si="55"/>
        <v>2</v>
      </c>
      <c r="T146" s="172">
        <f t="shared" si="56"/>
        <v>8</v>
      </c>
      <c r="U146" s="247">
        <f t="shared" si="57"/>
        <v>2.6097912829304999</v>
      </c>
      <c r="V146" s="378">
        <f t="shared" si="58"/>
        <v>61.621625909366976</v>
      </c>
      <c r="W146" s="397">
        <f t="shared" si="59"/>
        <v>47.016368879216962</v>
      </c>
      <c r="X146" s="153">
        <f t="shared" si="60"/>
        <v>46519</v>
      </c>
      <c r="Y146" s="380">
        <f t="shared" si="61"/>
        <v>45.171682910184934</v>
      </c>
      <c r="Z146" s="380">
        <f t="shared" si="62"/>
        <v>46.423595158866924</v>
      </c>
      <c r="AA146" s="381">
        <f t="shared" si="63"/>
        <v>48.362338336770122</v>
      </c>
      <c r="AB146" s="193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4.0087870946247467E-2</v>
      </c>
      <c r="AD146" s="227">
        <f>(INDEX(Models!$BJ146:$BT146,,AH146)*(1-AF146)+INDEX(Models!$BJ146:$BT146,,AH146+1)*AF146-ERP_i)*AE146*Ramure*Pc/MaxiM</f>
        <v>2.0144872437911329E-5</v>
      </c>
      <c r="AE146" s="301">
        <f t="shared" si="65"/>
        <v>0.5</v>
      </c>
      <c r="AF146" s="173">
        <f t="shared" si="66"/>
        <v>0.60979128293049989</v>
      </c>
      <c r="AG146" s="802">
        <f t="shared" si="74"/>
        <v>2</v>
      </c>
      <c r="AH146" s="172">
        <f t="shared" si="67"/>
        <v>8</v>
      </c>
      <c r="AI146" s="221">
        <f t="shared" si="68"/>
        <v>2.6097912829304999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46520</v>
      </c>
      <c r="B147" s="406">
        <f>'2026'!Wh/'2026'!Env_an*'2027'!Env_an</f>
        <v>49.821598411469203</v>
      </c>
      <c r="C147" s="832"/>
      <c r="D147" s="388">
        <f t="shared" si="50"/>
        <v>51.203081839597651</v>
      </c>
      <c r="E147" s="380">
        <f t="shared" si="72"/>
        <v>51.252380989770529</v>
      </c>
      <c r="F147" s="380">
        <f t="shared" si="51"/>
        <v>51.253090639916358</v>
      </c>
      <c r="G147" s="110">
        <f t="shared" si="73"/>
        <v>0.80696511180916652</v>
      </c>
      <c r="H147" s="409" t="b">
        <f>Wh_hp&gt;='2026'!Maxi_hp</f>
        <v>0</v>
      </c>
      <c r="I147" s="385">
        <f>IF(H147,Wh_hp,'2026'!Maxi_hp)</f>
        <v>51.253351704584936</v>
      </c>
      <c r="J147" s="85">
        <f>IF(H147,An,'2026'!An_max)</f>
        <v>2022</v>
      </c>
      <c r="K147" s="193">
        <f t="shared" si="52"/>
        <v>46520</v>
      </c>
      <c r="L147" s="143">
        <f>IF(t&lt;Tvie,1-EXP((T0-t)*PertePVj)+'2026'!Pspv,1-EXP((T0-t)*PertePVj)+Pspv)</f>
        <v>2.698047419208438E-2</v>
      </c>
      <c r="M147" s="836"/>
      <c r="N147" s="836"/>
      <c r="O147" s="48">
        <f>IF(t&lt;Tnet,'2026'!Resal+('2026'!Salim-'2026'!Resal)*(1-EXP(('2026'!Tnet-t)/('2026'!Tau_j))),Resal+(Salim-Resal)*(1-EXP((Tnet-t)/(Tau_j))))*Salcycl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1.9117916460424331E-5</v>
      </c>
      <c r="Q147" s="301">
        <f t="shared" si="53"/>
        <v>0.5</v>
      </c>
      <c r="R147" s="173">
        <f t="shared" si="54"/>
        <v>0.61350938605595173</v>
      </c>
      <c r="S147" s="802">
        <f t="shared" si="55"/>
        <v>2</v>
      </c>
      <c r="T147" s="172">
        <f t="shared" si="56"/>
        <v>8</v>
      </c>
      <c r="U147" s="247">
        <f t="shared" si="57"/>
        <v>2.6135093860559517</v>
      </c>
      <c r="V147" s="378">
        <f t="shared" si="58"/>
        <v>61.739144633760212</v>
      </c>
      <c r="W147" s="397">
        <f t="shared" si="59"/>
        <v>49.821598411469203</v>
      </c>
      <c r="X147" s="153">
        <f t="shared" si="60"/>
        <v>46520</v>
      </c>
      <c r="Y147" s="380">
        <f t="shared" si="61"/>
        <v>47.86722283649987</v>
      </c>
      <c r="Z147" s="380">
        <f t="shared" si="62"/>
        <v>49.194514156080118</v>
      </c>
      <c r="AA147" s="381">
        <f t="shared" si="63"/>
        <v>51.252380989770529</v>
      </c>
      <c r="AB147" s="193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4.0151633815824851E-2</v>
      </c>
      <c r="AD147" s="227">
        <f>(INDEX(Models!$BJ147:$BT147,,AH147)*(1-AF147)+INDEX(Models!$BJ147:$BT147,,AH147+1)*AF147-ERP_i)*AE147*Ramure*Pc/MaxiM</f>
        <v>1.9117916460424331E-5</v>
      </c>
      <c r="AE147" s="301">
        <f t="shared" si="65"/>
        <v>0.5</v>
      </c>
      <c r="AF147" s="173">
        <f t="shared" si="66"/>
        <v>0.61350938605595173</v>
      </c>
      <c r="AG147" s="802">
        <f t="shared" si="74"/>
        <v>2</v>
      </c>
      <c r="AH147" s="172">
        <f t="shared" si="67"/>
        <v>8</v>
      </c>
      <c r="AI147" s="221">
        <f t="shared" si="68"/>
        <v>2.6135093860559517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46521</v>
      </c>
      <c r="B148" s="406">
        <f>'2026'!Wh/'2026'!Env_an*'2027'!Env_an</f>
        <v>55.776223866124916</v>
      </c>
      <c r="C148" s="832"/>
      <c r="D148" s="388">
        <f t="shared" si="50"/>
        <v>57.323605464063519</v>
      </c>
      <c r="E148" s="380">
        <f t="shared" si="72"/>
        <v>57.383059426410789</v>
      </c>
      <c r="F148" s="380">
        <f t="shared" si="51"/>
        <v>57.383959520378298</v>
      </c>
      <c r="G148" s="110">
        <f t="shared" si="73"/>
        <v>0.90174883707185471</v>
      </c>
      <c r="H148" s="409" t="b">
        <f>Wh_hp&gt;='2026'!Maxi_hp</f>
        <v>0</v>
      </c>
      <c r="I148" s="385">
        <f>IF(H148,Wh_hp,'2026'!Maxi_hp)</f>
        <v>57.384101419419501</v>
      </c>
      <c r="J148" s="85">
        <f>IF(H148,An,'2026'!An_max)</f>
        <v>2022</v>
      </c>
      <c r="K148" s="193">
        <f t="shared" si="52"/>
        <v>46521</v>
      </c>
      <c r="L148" s="143">
        <f>IF(t&lt;Tvie,1-EXP((T0-t)*PertePVj)+'2026'!Pspv,1-EXP((T0-t)*PertePVj)+Pspv)</f>
        <v>2.6993794012288075E-2</v>
      </c>
      <c r="M148" s="836"/>
      <c r="N148" s="836"/>
      <c r="O148" s="48">
        <f>IF(t&lt;Tnet,'2026'!Resal+('2026'!Salim-'2026'!Resal)*(1-EXP(('2026'!Tnet-t)/('2026'!Tau_j))),Resal+(Salim-Resal)*(1-EXP((Tnet-t)/(Tau_j))))*Salcycl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1.8246453017723379E-5</v>
      </c>
      <c r="Q148" s="301">
        <f t="shared" si="53"/>
        <v>0.5</v>
      </c>
      <c r="R148" s="173">
        <f t="shared" si="54"/>
        <v>0.61730767762155425</v>
      </c>
      <c r="S148" s="802">
        <f t="shared" si="55"/>
        <v>2</v>
      </c>
      <c r="T148" s="172">
        <f t="shared" si="56"/>
        <v>8</v>
      </c>
      <c r="U148" s="247">
        <f t="shared" si="57"/>
        <v>2.6173076776215543</v>
      </c>
      <c r="V148" s="378">
        <f t="shared" si="58"/>
        <v>61.853233104952899</v>
      </c>
      <c r="W148" s="397">
        <f t="shared" si="59"/>
        <v>55.776223866124916</v>
      </c>
      <c r="X148" s="153">
        <f t="shared" si="60"/>
        <v>46521</v>
      </c>
      <c r="Y148" s="380">
        <f t="shared" si="61"/>
        <v>53.58866346519455</v>
      </c>
      <c r="Z148" s="380">
        <f t="shared" si="62"/>
        <v>55.075356287985812</v>
      </c>
      <c r="AA148" s="381">
        <f t="shared" si="63"/>
        <v>57.383059426410789</v>
      </c>
      <c r="AB148" s="193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4.0215756383369959E-2</v>
      </c>
      <c r="AD148" s="227">
        <f>(INDEX(Models!$BJ148:$BT148,,AH148)*(1-AF148)+INDEX(Models!$BJ148:$BT148,,AH148+1)*AF148-ERP_i)*AE148*Ramure*Pc/MaxiM</f>
        <v>1.8246453017723379E-5</v>
      </c>
      <c r="AE148" s="301">
        <f t="shared" si="65"/>
        <v>0.5</v>
      </c>
      <c r="AF148" s="173">
        <f t="shared" si="66"/>
        <v>0.61730767762155425</v>
      </c>
      <c r="AG148" s="802">
        <f t="shared" si="74"/>
        <v>2</v>
      </c>
      <c r="AH148" s="172">
        <f t="shared" si="67"/>
        <v>8</v>
      </c>
      <c r="AI148" s="221">
        <f t="shared" si="68"/>
        <v>2.6173076776215543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46522</v>
      </c>
      <c r="B149" s="406">
        <f>'2026'!Wh/'2026'!Env_an*'2027'!Env_an</f>
        <v>57.576658340837312</v>
      </c>
      <c r="C149" s="832"/>
      <c r="D149" s="388">
        <f t="shared" si="50"/>
        <v>59.174798858843126</v>
      </c>
      <c r="E149" s="380">
        <f t="shared" si="72"/>
        <v>59.240575234464004</v>
      </c>
      <c r="F149" s="380">
        <f t="shared" si="51"/>
        <v>59.241508902500016</v>
      </c>
      <c r="G149" s="110">
        <f t="shared" si="73"/>
        <v>0.92921173502986876</v>
      </c>
      <c r="H149" s="409" t="b">
        <f>Wh_hp&gt;='2026'!Maxi_hp</f>
        <v>0</v>
      </c>
      <c r="I149" s="385">
        <f>IF(H149,Wh_hp,'2026'!Maxi_hp)</f>
        <v>59.241610255931469</v>
      </c>
      <c r="J149" s="85">
        <f>IF(H149,An,'2026'!An_max)</f>
        <v>2022</v>
      </c>
      <c r="K149" s="193">
        <f t="shared" si="52"/>
        <v>46522</v>
      </c>
      <c r="L149" s="143">
        <f>IF(t&lt;Tvie,1-EXP((T0-t)*PertePVj)+'2026'!Pspv,1-EXP((T0-t)*PertePVj)+Pspv)</f>
        <v>2.7007113650154624E-2</v>
      </c>
      <c r="M149" s="836"/>
      <c r="N149" s="836"/>
      <c r="O149" s="48">
        <f>IF(t&lt;Tnet,'2026'!Resal+('2026'!Salim-'2026'!Resal)*(1-EXP(('2026'!Tnet-t)/('2026'!Tau_j))),Resal+(Salim-Resal)*(1-EXP((Tnet-t)/(Tau_j))))*Salcycl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1.7533413231708928E-5</v>
      </c>
      <c r="Q149" s="301">
        <f t="shared" si="53"/>
        <v>0.5</v>
      </c>
      <c r="R149" s="173">
        <f t="shared" si="54"/>
        <v>0.62118546933659413</v>
      </c>
      <c r="S149" s="802">
        <f t="shared" si="55"/>
        <v>2</v>
      </c>
      <c r="T149" s="172">
        <f t="shared" si="56"/>
        <v>8</v>
      </c>
      <c r="U149" s="247">
        <f t="shared" si="57"/>
        <v>2.6211854693365941</v>
      </c>
      <c r="V149" s="378">
        <f t="shared" si="58"/>
        <v>61.962795004317698</v>
      </c>
      <c r="W149" s="397">
        <f t="shared" si="59"/>
        <v>57.576658340837312</v>
      </c>
      <c r="X149" s="153">
        <f t="shared" si="60"/>
        <v>46522</v>
      </c>
      <c r="Y149" s="380">
        <f t="shared" si="61"/>
        <v>55.31888014403264</v>
      </c>
      <c r="Z149" s="380">
        <f t="shared" si="62"/>
        <v>56.854352092500712</v>
      </c>
      <c r="AA149" s="381">
        <f t="shared" si="63"/>
        <v>59.240575234464004</v>
      </c>
      <c r="AB149" s="193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4.0280215587357747E-2</v>
      </c>
      <c r="AD149" s="227">
        <f>(INDEX(Models!$BJ149:$BT149,,AH149)*(1-AF149)+INDEX(Models!$BJ149:$BT149,,AH149+1)*AF149-ERP_i)*AE149*Ramure*Pc/MaxiM</f>
        <v>1.7533413231708928E-5</v>
      </c>
      <c r="AE149" s="301">
        <f t="shared" si="65"/>
        <v>0.5</v>
      </c>
      <c r="AF149" s="173">
        <f t="shared" si="66"/>
        <v>0.62118546933659413</v>
      </c>
      <c r="AG149" s="802">
        <f t="shared" si="74"/>
        <v>2</v>
      </c>
      <c r="AH149" s="172">
        <f t="shared" si="67"/>
        <v>8</v>
      </c>
      <c r="AI149" s="221">
        <f t="shared" si="68"/>
        <v>2.6211854693365941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46523</v>
      </c>
      <c r="B150" s="406">
        <f>'2026'!Wh/'2026'!Env_an*'2027'!Env_an</f>
        <v>56.273045343229583</v>
      </c>
      <c r="C150" s="832"/>
      <c r="D150" s="388">
        <f t="shared" si="50"/>
        <v>57.835793533516259</v>
      </c>
      <c r="E150" s="380">
        <f t="shared" si="72"/>
        <v>57.904387235682869</v>
      </c>
      <c r="F150" s="380">
        <f t="shared" si="51"/>
        <v>57.905238279080507</v>
      </c>
      <c r="G150" s="110">
        <f t="shared" si="73"/>
        <v>0.90665387228008343</v>
      </c>
      <c r="H150" s="409" t="b">
        <f>Wh_hp&gt;='2026'!Maxi_hp</f>
        <v>0</v>
      </c>
      <c r="I150" s="385">
        <f>IF(H150,Wh_hp,'2026'!Maxi_hp)</f>
        <v>57.905364539166378</v>
      </c>
      <c r="J150" s="85">
        <f>IF(H150,An,'2026'!An_max)</f>
        <v>2022</v>
      </c>
      <c r="K150" s="193">
        <f t="shared" si="52"/>
        <v>46523</v>
      </c>
      <c r="L150" s="143">
        <f>IF(t&lt;Tvie,1-EXP((T0-t)*PertePVj)+'2026'!Pspv,1-EXP((T0-t)*PertePVj)+Pspv)</f>
        <v>2.7020433105686581E-2</v>
      </c>
      <c r="M150" s="836"/>
      <c r="N150" s="836"/>
      <c r="O150" s="48">
        <f>IF(t&lt;Tnet,'2026'!Resal+('2026'!Salim-'2026'!Resal)*(1-EXP(('2026'!Tnet-t)/('2026'!Tau_j))),Resal+(Salim-Resal)*(1-EXP((Tnet-t)/(Tau_j))))*Salcycl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1.695857872831652E-5</v>
      </c>
      <c r="Q150" s="301">
        <f t="shared" si="53"/>
        <v>0.5</v>
      </c>
      <c r="R150" s="173">
        <f t="shared" si="54"/>
        <v>0.62514190679772019</v>
      </c>
      <c r="S150" s="802">
        <f t="shared" si="55"/>
        <v>2</v>
      </c>
      <c r="T150" s="172">
        <f t="shared" si="56"/>
        <v>8</v>
      </c>
      <c r="U150" s="247">
        <f t="shared" si="57"/>
        <v>2.6251419067977202</v>
      </c>
      <c r="V150" s="378">
        <f t="shared" si="58"/>
        <v>62.066594326394451</v>
      </c>
      <c r="W150" s="397">
        <f t="shared" si="59"/>
        <v>56.273045343229583</v>
      </c>
      <c r="X150" s="153">
        <f t="shared" si="60"/>
        <v>46523</v>
      </c>
      <c r="Y150" s="380">
        <f t="shared" si="61"/>
        <v>54.066757692743593</v>
      </c>
      <c r="Z150" s="380">
        <f t="shared" si="62"/>
        <v>55.56823548239673</v>
      </c>
      <c r="AA150" s="381">
        <f t="shared" si="63"/>
        <v>57.904387235682869</v>
      </c>
      <c r="AB150" s="193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4.0344987052147056E-2</v>
      </c>
      <c r="AD150" s="227">
        <f>(INDEX(Models!$BJ150:$BT150,,AH150)*(1-AF150)+INDEX(Models!$BJ150:$BT150,,AH150+1)*AF150-ERP_i)*AE150*Ramure*Pc/MaxiM</f>
        <v>1.695857872831652E-5</v>
      </c>
      <c r="AE150" s="301">
        <f t="shared" si="65"/>
        <v>0.5</v>
      </c>
      <c r="AF150" s="173">
        <f t="shared" si="66"/>
        <v>0.62514190679772019</v>
      </c>
      <c r="AG150" s="802">
        <f t="shared" si="74"/>
        <v>2</v>
      </c>
      <c r="AH150" s="172">
        <f t="shared" si="67"/>
        <v>8</v>
      </c>
      <c r="AI150" s="221">
        <f t="shared" si="68"/>
        <v>2.6251419067977202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46524</v>
      </c>
      <c r="B151" s="406">
        <f>'2026'!Wh/'2026'!Env_an*'2027'!Env_an</f>
        <v>60.096814651728529</v>
      </c>
      <c r="C151" s="832"/>
      <c r="D151" s="388">
        <f t="shared" si="50"/>
        <v>61.766597555325532</v>
      </c>
      <c r="E151" s="380">
        <f t="shared" si="72"/>
        <v>61.84445472211673</v>
      </c>
      <c r="F151" s="380">
        <f t="shared" si="51"/>
        <v>61.845423021159476</v>
      </c>
      <c r="G151" s="110">
        <f t="shared" si="73"/>
        <v>0.96673228914852516</v>
      </c>
      <c r="H151" s="409" t="b">
        <f>Wh_hp&gt;='2026'!Maxi_hp</f>
        <v>0</v>
      </c>
      <c r="I151" s="385">
        <f>IF(H151,Wh_hp,'2026'!Maxi_hp)</f>
        <v>61.845469570151174</v>
      </c>
      <c r="J151" s="85">
        <f>IF(H151,An,'2026'!An_max)</f>
        <v>2022</v>
      </c>
      <c r="K151" s="193">
        <f t="shared" si="52"/>
        <v>46524</v>
      </c>
      <c r="L151" s="143">
        <f>IF(t&lt;Tvie,1-EXP((T0-t)*PertePVj)+'2026'!Pspv,1-EXP((T0-t)*PertePVj)+Pspv)</f>
        <v>2.7033752378886389E-2</v>
      </c>
      <c r="M151" s="836"/>
      <c r="N151" s="836"/>
      <c r="O151" s="48">
        <f>IF(t&lt;Tnet,'2026'!Resal+('2026'!Salim-'2026'!Resal)*(1-EXP(('2026'!Tnet-t)/('2026'!Tau_j))),Resal+(Salim-Resal)*(1-EXP((Tnet-t)/(Tau_j))))*Salcycl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1.6437962982306454E-5</v>
      </c>
      <c r="Q151" s="301">
        <f t="shared" si="53"/>
        <v>0.5</v>
      </c>
      <c r="R151" s="173">
        <f t="shared" si="54"/>
        <v>0.62917596515769381</v>
      </c>
      <c r="S151" s="802">
        <f t="shared" si="55"/>
        <v>2</v>
      </c>
      <c r="T151" s="172">
        <f t="shared" si="56"/>
        <v>8</v>
      </c>
      <c r="U151" s="247">
        <f t="shared" si="57"/>
        <v>2.6291759651576938</v>
      </c>
      <c r="V151" s="378">
        <f t="shared" si="58"/>
        <v>62.164849956764236</v>
      </c>
      <c r="W151" s="397">
        <f t="shared" si="59"/>
        <v>60.096814651728529</v>
      </c>
      <c r="X151" s="153">
        <f t="shared" si="60"/>
        <v>46524</v>
      </c>
      <c r="Y151" s="380">
        <f t="shared" si="61"/>
        <v>57.740990897597918</v>
      </c>
      <c r="Z151" s="380">
        <f t="shared" si="62"/>
        <v>59.345317516176628</v>
      </c>
      <c r="AA151" s="381">
        <f t="shared" si="63"/>
        <v>61.84445472211673</v>
      </c>
      <c r="AB151" s="193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4.041004512319462E-2</v>
      </c>
      <c r="AD151" s="227">
        <f>(INDEX(Models!$BJ151:$BT151,,AH151)*(1-AF151)+INDEX(Models!$BJ151:$BT151,,AH151+1)*AF151-ERP_i)*AE151*Ramure*Pc/MaxiM</f>
        <v>1.6437962982306454E-5</v>
      </c>
      <c r="AE151" s="301">
        <f t="shared" si="65"/>
        <v>0.5</v>
      </c>
      <c r="AF151" s="173">
        <f t="shared" si="66"/>
        <v>0.62917596515769381</v>
      </c>
      <c r="AG151" s="802">
        <f t="shared" si="74"/>
        <v>2</v>
      </c>
      <c r="AH151" s="172">
        <f t="shared" si="67"/>
        <v>8</v>
      </c>
      <c r="AI151" s="221">
        <f t="shared" si="68"/>
        <v>2.6291759651576938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46525</v>
      </c>
      <c r="B152" s="406">
        <f>'2026'!Wh/'2026'!Env_an*'2027'!Env_an</f>
        <v>57.380217952377492</v>
      </c>
      <c r="C152" s="832"/>
      <c r="D152" s="388">
        <f t="shared" si="50"/>
        <v>58.975327859958099</v>
      </c>
      <c r="E152" s="380">
        <f t="shared" si="72"/>
        <v>59.05406320923462</v>
      </c>
      <c r="F152" s="380">
        <f t="shared" si="51"/>
        <v>59.054900885880954</v>
      </c>
      <c r="G152" s="110">
        <f t="shared" si="73"/>
        <v>0.92165380033548017</v>
      </c>
      <c r="H152" s="409" t="b">
        <f>Wh_hp&gt;='2026'!Maxi_hp</f>
        <v>0</v>
      </c>
      <c r="I152" s="385">
        <f>IF(H152,Wh_hp,'2026'!Maxi_hp)</f>
        <v>59.055002518702814</v>
      </c>
      <c r="J152" s="85">
        <f>IF(H152,An,'2026'!An_max)</f>
        <v>2022</v>
      </c>
      <c r="K152" s="193">
        <f t="shared" si="52"/>
        <v>46525</v>
      </c>
      <c r="L152" s="143">
        <f>IF(t&lt;Tvie,1-EXP((T0-t)*PertePVj)+'2026'!Pspv,1-EXP((T0-t)*PertePVj)+Pspv)</f>
        <v>2.704707146975649E-2</v>
      </c>
      <c r="M152" s="836"/>
      <c r="N152" s="836"/>
      <c r="O152" s="48">
        <f>IF(t&lt;Tnet,'2026'!Resal+('2026'!Salim-'2026'!Resal)*(1-EXP(('2026'!Tnet-t)/('2026'!Tau_j))),Resal+(Salim-Resal)*(1-EXP((Tnet-t)/(Tau_j))))*Salcycl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1.5972347818396516E-5</v>
      </c>
      <c r="Q152" s="301">
        <f t="shared" si="53"/>
        <v>0.5</v>
      </c>
      <c r="R152" s="173">
        <f t="shared" si="54"/>
        <v>0.63328644538165113</v>
      </c>
      <c r="S152" s="802">
        <f t="shared" si="55"/>
        <v>2</v>
      </c>
      <c r="T152" s="172">
        <f t="shared" si="56"/>
        <v>8</v>
      </c>
      <c r="U152" s="247">
        <f t="shared" si="57"/>
        <v>2.6332864453816511</v>
      </c>
      <c r="V152" s="378">
        <f t="shared" si="58"/>
        <v>62.257775484668635</v>
      </c>
      <c r="W152" s="397">
        <f t="shared" si="59"/>
        <v>57.380217952377492</v>
      </c>
      <c r="X152" s="153">
        <f t="shared" si="60"/>
        <v>46525</v>
      </c>
      <c r="Y152" s="380">
        <f t="shared" si="61"/>
        <v>55.131237948469781</v>
      </c>
      <c r="Z152" s="380">
        <f t="shared" si="62"/>
        <v>56.663828569540165</v>
      </c>
      <c r="AA152" s="381">
        <f t="shared" si="63"/>
        <v>59.05406320923462</v>
      </c>
      <c r="AB152" s="193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4.0475362909840877E-2</v>
      </c>
      <c r="AD152" s="227">
        <f>(INDEX(Models!$BJ152:$BT152,,AH152)*(1-AF152)+INDEX(Models!$BJ152:$BT152,,AH152+1)*AF152-ERP_i)*AE152*Ramure*Pc/MaxiM</f>
        <v>1.5972347818396516E-5</v>
      </c>
      <c r="AE152" s="301">
        <f t="shared" si="65"/>
        <v>0.5</v>
      </c>
      <c r="AF152" s="173">
        <f t="shared" si="66"/>
        <v>0.63328644538165113</v>
      </c>
      <c r="AG152" s="802">
        <f t="shared" si="74"/>
        <v>2</v>
      </c>
      <c r="AH152" s="172">
        <f t="shared" si="67"/>
        <v>8</v>
      </c>
      <c r="AI152" s="221">
        <f t="shared" si="68"/>
        <v>2.6332864453816511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46526</v>
      </c>
      <c r="B153" s="406">
        <f>'2026'!Wh/'2026'!Env_an*'2027'!Env_an</f>
        <v>56.154508108941471</v>
      </c>
      <c r="C153" s="832"/>
      <c r="D153" s="388">
        <f t="shared" si="50"/>
        <v>57.716334655935654</v>
      </c>
      <c r="E153" s="380">
        <f t="shared" si="72"/>
        <v>57.79769490591066</v>
      </c>
      <c r="F153" s="380">
        <f t="shared" si="51"/>
        <v>57.798466797168402</v>
      </c>
      <c r="G153" s="110">
        <f t="shared" si="73"/>
        <v>0.90069544841254046</v>
      </c>
      <c r="H153" s="409" t="b">
        <f>Wh_hp&gt;='2026'!Maxi_hp</f>
        <v>0</v>
      </c>
      <c r="I153" s="385">
        <f>IF(H153,Wh_hp,'2026'!Maxi_hp)</f>
        <v>57.798589542149266</v>
      </c>
      <c r="J153" s="85">
        <f>IF(H153,An,'2026'!An_max)</f>
        <v>2022</v>
      </c>
      <c r="K153" s="193">
        <f t="shared" si="52"/>
        <v>46526</v>
      </c>
      <c r="L153" s="143">
        <f>IF(t&lt;Tvie,1-EXP((T0-t)*PertePVj)+'2026'!Pspv,1-EXP((T0-t)*PertePVj)+Pspv)</f>
        <v>2.7060390378299326E-2</v>
      </c>
      <c r="M153" s="836"/>
      <c r="N153" s="836"/>
      <c r="O153" s="48">
        <f>IF(t&lt;Tnet,'2026'!Resal+('2026'!Salim-'2026'!Resal)*(1-EXP(('2026'!Tnet-t)/('2026'!Tau_j))),Resal+(Salim-Resal)*(1-EXP((Tnet-t)/(Tau_j))))*Salcycl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1.5562596778950321E-5</v>
      </c>
      <c r="Q153" s="301">
        <f t="shared" si="53"/>
        <v>0.5</v>
      </c>
      <c r="R153" s="173">
        <f t="shared" si="54"/>
        <v>0.6374719711489476</v>
      </c>
      <c r="S153" s="802">
        <f t="shared" si="55"/>
        <v>2</v>
      </c>
      <c r="T153" s="172">
        <f t="shared" si="56"/>
        <v>8</v>
      </c>
      <c r="U153" s="247">
        <f t="shared" si="57"/>
        <v>2.6374719711489476</v>
      </c>
      <c r="V153" s="378">
        <f t="shared" si="58"/>
        <v>62.345584439985799</v>
      </c>
      <c r="W153" s="397">
        <f t="shared" si="59"/>
        <v>56.154508108941471</v>
      </c>
      <c r="X153" s="153">
        <f t="shared" si="60"/>
        <v>46526</v>
      </c>
      <c r="Y153" s="380">
        <f t="shared" si="61"/>
        <v>53.953902566025391</v>
      </c>
      <c r="Z153" s="380">
        <f t="shared" si="62"/>
        <v>55.45452362352048</v>
      </c>
      <c r="AA153" s="381">
        <f t="shared" si="63"/>
        <v>57.79769490591066</v>
      </c>
      <c r="AB153" s="193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4.0540912335771256E-2</v>
      </c>
      <c r="AD153" s="227">
        <f>(INDEX(Models!$BJ153:$BT153,,AH153)*(1-AF153)+INDEX(Models!$BJ153:$BT153,,AH153+1)*AF153-ERP_i)*AE153*Ramure*Pc/MaxiM</f>
        <v>1.5562596778950321E-5</v>
      </c>
      <c r="AE153" s="301">
        <f t="shared" si="65"/>
        <v>0.5</v>
      </c>
      <c r="AF153" s="173">
        <f t="shared" si="66"/>
        <v>0.6374719711489476</v>
      </c>
      <c r="AG153" s="802">
        <f t="shared" si="74"/>
        <v>2</v>
      </c>
      <c r="AH153" s="172">
        <f t="shared" si="67"/>
        <v>8</v>
      </c>
      <c r="AI153" s="221">
        <f t="shared" si="68"/>
        <v>2.6374719711489476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46527</v>
      </c>
      <c r="B154" s="406">
        <f>'2026'!Wh/'2026'!Env_an*'2027'!Env_an</f>
        <v>53.368900622753436</v>
      </c>
      <c r="C154" s="832"/>
      <c r="D154" s="388">
        <f t="shared" si="50"/>
        <v>54.854001913785929</v>
      </c>
      <c r="E154" s="380">
        <f t="shared" si="72"/>
        <v>54.935422290803203</v>
      </c>
      <c r="F154" s="380">
        <f t="shared" si="51"/>
        <v>54.936084626816537</v>
      </c>
      <c r="G154" s="110">
        <f t="shared" si="73"/>
        <v>0.85487783056587352</v>
      </c>
      <c r="H154" s="409" t="b">
        <f>Wh_hp&gt;='2026'!Maxi_hp</f>
        <v>0</v>
      </c>
      <c r="I154" s="385">
        <f>IF(H154,Wh_hp,'2026'!Maxi_hp)</f>
        <v>54.936251111183481</v>
      </c>
      <c r="J154" s="85">
        <f>IF(H154,An,'2026'!An_max)</f>
        <v>2022</v>
      </c>
      <c r="K154" s="193">
        <f t="shared" si="52"/>
        <v>46527</v>
      </c>
      <c r="L154" s="143">
        <f>IF(t&lt;Tvie,1-EXP((T0-t)*PertePVj)+'2026'!Pspv,1-EXP((T0-t)*PertePVj)+Pspv)</f>
        <v>2.7073709104517674E-2</v>
      </c>
      <c r="M154" s="836"/>
      <c r="N154" s="836"/>
      <c r="O154" s="48">
        <f>IF(t&lt;Tnet,'2026'!Resal+('2026'!Salim-'2026'!Resal)*(1-EXP(('2026'!Tnet-t)/('2026'!Tau_j))),Resal+(Salim-Resal)*(1-EXP((Tnet-t)/(Tau_j))))*Salcycl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1.520965009408839E-5</v>
      </c>
      <c r="Q154" s="301">
        <f t="shared" si="53"/>
        <v>0.5</v>
      </c>
      <c r="R154" s="173">
        <f t="shared" si="54"/>
        <v>0.64173098645660787</v>
      </c>
      <c r="S154" s="802">
        <f t="shared" si="55"/>
        <v>2</v>
      </c>
      <c r="T154" s="172">
        <f t="shared" si="56"/>
        <v>8</v>
      </c>
      <c r="U154" s="247">
        <f t="shared" si="57"/>
        <v>2.6417309864566079</v>
      </c>
      <c r="V154" s="378">
        <f t="shared" si="58"/>
        <v>62.428490284253051</v>
      </c>
      <c r="W154" s="397">
        <f t="shared" si="59"/>
        <v>53.368900622753436</v>
      </c>
      <c r="X154" s="153">
        <f t="shared" si="60"/>
        <v>46527</v>
      </c>
      <c r="Y154" s="380">
        <f t="shared" si="61"/>
        <v>51.277766923463481</v>
      </c>
      <c r="Z154" s="380">
        <f t="shared" si="62"/>
        <v>52.70467804530945</v>
      </c>
      <c r="AA154" s="381">
        <f t="shared" si="63"/>
        <v>54.935422290803203</v>
      </c>
      <c r="AB154" s="193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4.0606664197195073E-2</v>
      </c>
      <c r="AD154" s="227">
        <f>(INDEX(Models!$BJ154:$BT154,,AH154)*(1-AF154)+INDEX(Models!$BJ154:$BT154,,AH154+1)*AF154-ERP_i)*AE154*Ramure*Pc/MaxiM</f>
        <v>1.520965009408839E-5</v>
      </c>
      <c r="AE154" s="301">
        <f t="shared" si="65"/>
        <v>0.5</v>
      </c>
      <c r="AF154" s="173">
        <f t="shared" si="66"/>
        <v>0.64173098645660787</v>
      </c>
      <c r="AG154" s="802">
        <f t="shared" si="74"/>
        <v>2</v>
      </c>
      <c r="AH154" s="172">
        <f t="shared" si="67"/>
        <v>8</v>
      </c>
      <c r="AI154" s="221">
        <f t="shared" si="68"/>
        <v>2.6417309864566079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46528</v>
      </c>
      <c r="B155" s="406">
        <f>'2026'!Wh/'2026'!Env_an*'2027'!Env_an</f>
        <v>55.889122565092606</v>
      </c>
      <c r="C155" s="832"/>
      <c r="D155" s="388">
        <f t="shared" si="50"/>
        <v>57.445140678929796</v>
      </c>
      <c r="E155" s="380">
        <f t="shared" si="72"/>
        <v>57.53469854691388</v>
      </c>
      <c r="F155" s="380">
        <f t="shared" si="51"/>
        <v>57.535426876676198</v>
      </c>
      <c r="G155" s="110">
        <f t="shared" si="73"/>
        <v>0.89412800149878924</v>
      </c>
      <c r="H155" s="409" t="b">
        <f>Wh_hp&gt;='2026'!Maxi_hp</f>
        <v>0</v>
      </c>
      <c r="I155" s="385">
        <f>IF(H155,Wh_hp,'2026'!Maxi_hp)</f>
        <v>57.535551497709676</v>
      </c>
      <c r="J155" s="85">
        <f>IF(H155,An,'2026'!An_max)</f>
        <v>2022</v>
      </c>
      <c r="K155" s="193">
        <f t="shared" si="52"/>
        <v>46528</v>
      </c>
      <c r="L155" s="143">
        <f>IF(t&lt;Tvie,1-EXP((T0-t)*PertePVj)+'2026'!Pspv,1-EXP((T0-t)*PertePVj)+Pspv)</f>
        <v>2.7087027648413753E-2</v>
      </c>
      <c r="M155" s="836"/>
      <c r="N155" s="836"/>
      <c r="O155" s="48">
        <f>IF(t&lt;Tnet,'2026'!Resal+('2026'!Salim-'2026'!Resal)*(1-EXP(('2026'!Tnet-t)/('2026'!Tau_j))),Resal+(Salim-Resal)*(1-EXP((Tnet-t)/(Tau_j))))*Salcycl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1.4914519351095729E-5</v>
      </c>
      <c r="Q155" s="301">
        <f t="shared" si="53"/>
        <v>0.5</v>
      </c>
      <c r="R155" s="173">
        <f t="shared" si="54"/>
        <v>0.64606175397755106</v>
      </c>
      <c r="S155" s="802">
        <f t="shared" si="55"/>
        <v>2</v>
      </c>
      <c r="T155" s="172">
        <f t="shared" si="56"/>
        <v>8</v>
      </c>
      <c r="U155" s="247">
        <f t="shared" si="57"/>
        <v>2.6460617539775511</v>
      </c>
      <c r="V155" s="378">
        <f t="shared" si="58"/>
        <v>62.506706422267278</v>
      </c>
      <c r="W155" s="397">
        <f t="shared" si="59"/>
        <v>55.889122565092606</v>
      </c>
      <c r="X155" s="153">
        <f t="shared" si="60"/>
        <v>46528</v>
      </c>
      <c r="Y155" s="380">
        <f t="shared" si="61"/>
        <v>53.699555423649244</v>
      </c>
      <c r="Z155" s="380">
        <f t="shared" si="62"/>
        <v>55.194613444051782</v>
      </c>
      <c r="AA155" s="381">
        <f t="shared" si="63"/>
        <v>57.53469854691388</v>
      </c>
      <c r="AB155" s="193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4.0672588228718866E-2</v>
      </c>
      <c r="AD155" s="227">
        <f>(INDEX(Models!$BJ155:$BT155,,AH155)*(1-AF155)+INDEX(Models!$BJ155:$BT155,,AH155+1)*AF155-ERP_i)*AE155*Ramure*Pc/MaxiM</f>
        <v>1.4914519351095729E-5</v>
      </c>
      <c r="AE155" s="301">
        <f t="shared" si="65"/>
        <v>0.5</v>
      </c>
      <c r="AF155" s="173">
        <f t="shared" si="66"/>
        <v>0.64606175397755106</v>
      </c>
      <c r="AG155" s="802">
        <f t="shared" si="74"/>
        <v>2</v>
      </c>
      <c r="AH155" s="172">
        <f t="shared" si="67"/>
        <v>8</v>
      </c>
      <c r="AI155" s="221">
        <f t="shared" si="68"/>
        <v>2.6460617539775511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46529</v>
      </c>
      <c r="B156" s="406">
        <f>'2026'!Wh/'2026'!Env_an*'2027'!Env_an</f>
        <v>43.215632607633225</v>
      </c>
      <c r="C156" s="832"/>
      <c r="D156" s="388">
        <f t="shared" si="50"/>
        <v>44.419414099284879</v>
      </c>
      <c r="E156" s="380">
        <f t="shared" si="72"/>
        <v>44.491985276930961</v>
      </c>
      <c r="F156" s="380">
        <f t="shared" si="51"/>
        <v>44.4923493220561</v>
      </c>
      <c r="G156" s="110">
        <f t="shared" si="73"/>
        <v>0.6905567872556464</v>
      </c>
      <c r="H156" s="409" t="b">
        <f>Wh_hp&gt;='2026'!Maxi_hp</f>
        <v>0</v>
      </c>
      <c r="I156" s="385">
        <f>IF(H156,Wh_hp,'2026'!Maxi_hp)</f>
        <v>44.49262600996402</v>
      </c>
      <c r="J156" s="85">
        <f>IF(H156,An,'2026'!An_max)</f>
        <v>2022</v>
      </c>
      <c r="K156" s="193">
        <f t="shared" si="52"/>
        <v>46529</v>
      </c>
      <c r="L156" s="143">
        <f>IF(t&lt;Tvie,1-EXP((T0-t)*PertePVj)+'2026'!Pspv,1-EXP((T0-t)*PertePVj)+Pspv)</f>
        <v>2.7100346009990117E-2</v>
      </c>
      <c r="M156" s="836"/>
      <c r="N156" s="836"/>
      <c r="O156" s="48">
        <f>IF(t&lt;Tnet,'2026'!Resal+('2026'!Salim-'2026'!Resal)*(1-EXP(('2026'!Tnet-t)/('2026'!Tau_j))),Resal+(Salim-Resal)*(1-EXP((Tnet-t)/(Tau_j))))*Salcycl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1.4664888116533124E-5</v>
      </c>
      <c r="Q156" s="301">
        <f t="shared" si="53"/>
        <v>0.5</v>
      </c>
      <c r="R156" s="173">
        <f t="shared" si="54"/>
        <v>0.6504623542231065</v>
      </c>
      <c r="S156" s="802">
        <f t="shared" si="55"/>
        <v>2</v>
      </c>
      <c r="T156" s="172">
        <f t="shared" si="56"/>
        <v>8</v>
      </c>
      <c r="U156" s="247">
        <f t="shared" si="57"/>
        <v>2.6504623542231065</v>
      </c>
      <c r="V156" s="378">
        <f t="shared" si="58"/>
        <v>62.580447038172487</v>
      </c>
      <c r="W156" s="397">
        <f t="shared" si="59"/>
        <v>43.215632607633225</v>
      </c>
      <c r="X156" s="153">
        <f t="shared" si="60"/>
        <v>46529</v>
      </c>
      <c r="Y156" s="380">
        <f t="shared" si="61"/>
        <v>41.522814081471715</v>
      </c>
      <c r="Z156" s="380">
        <f t="shared" si="62"/>
        <v>42.679441719585697</v>
      </c>
      <c r="AA156" s="381">
        <f t="shared" si="63"/>
        <v>44.491985276930961</v>
      </c>
      <c r="AB156" s="193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4.0738653176824367E-2</v>
      </c>
      <c r="AD156" s="227">
        <f>(INDEX(Models!$BJ156:$BT156,,AH156)*(1-AF156)+INDEX(Models!$BJ156:$BT156,,AH156+1)*AF156-ERP_i)*AE156*Ramure*Pc/MaxiM</f>
        <v>1.4664888116533124E-5</v>
      </c>
      <c r="AE156" s="301">
        <f t="shared" si="65"/>
        <v>0.5</v>
      </c>
      <c r="AF156" s="173">
        <f t="shared" si="66"/>
        <v>0.6504623542231065</v>
      </c>
      <c r="AG156" s="802">
        <f t="shared" si="74"/>
        <v>2</v>
      </c>
      <c r="AH156" s="172">
        <f t="shared" si="67"/>
        <v>8</v>
      </c>
      <c r="AI156" s="221">
        <f t="shared" si="68"/>
        <v>2.6504623542231065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46530</v>
      </c>
      <c r="B157" s="406">
        <f>'2026'!Wh/'2026'!Env_an*'2027'!Env_an</f>
        <v>20.562601133109542</v>
      </c>
      <c r="C157" s="832"/>
      <c r="D157" s="388">
        <f t="shared" si="50"/>
        <v>21.135666496923083</v>
      </c>
      <c r="E157" s="380">
        <f t="shared" si="72"/>
        <v>21.171778431992433</v>
      </c>
      <c r="F157" s="380">
        <f t="shared" si="51"/>
        <v>21.17179069729718</v>
      </c>
      <c r="G157" s="110">
        <f t="shared" si="73"/>
        <v>0.32820973902556938</v>
      </c>
      <c r="H157" s="409" t="b">
        <f>Wh_hp&gt;='2026'!Maxi_hp</f>
        <v>0</v>
      </c>
      <c r="I157" s="385">
        <f>IF(H157,Wh_hp,'2026'!Maxi_hp)</f>
        <v>21.172070560817748</v>
      </c>
      <c r="J157" s="85">
        <f>IF(H157,An,'2026'!An_max)</f>
        <v>2022</v>
      </c>
      <c r="K157" s="193">
        <f t="shared" si="52"/>
        <v>46530</v>
      </c>
      <c r="L157" s="143">
        <f>IF(t&lt;Tvie,1-EXP((T0-t)*PertePVj)+'2026'!Pspv,1-EXP((T0-t)*PertePVj)+Pspv)</f>
        <v>2.711366418924932E-2</v>
      </c>
      <c r="M157" s="836"/>
      <c r="N157" s="836"/>
      <c r="O157" s="48">
        <f>IF(t&lt;Tnet,'2026'!Resal+('2026'!Salim-'2026'!Resal)*(1-EXP(('2026'!Tnet-t)/('2026'!Tau_j))),Resal+(Salim-Resal)*(1-EXP((Tnet-t)/(Tau_j))))*Salcycl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1.4373086183417082E-5</v>
      </c>
      <c r="Q157" s="301">
        <f t="shared" si="53"/>
        <v>0.5</v>
      </c>
      <c r="R157" s="173">
        <f t="shared" si="54"/>
        <v>0.65493068555487888</v>
      </c>
      <c r="S157" s="802">
        <f t="shared" si="55"/>
        <v>2</v>
      </c>
      <c r="T157" s="172">
        <f t="shared" si="56"/>
        <v>8</v>
      </c>
      <c r="U157" s="247">
        <f t="shared" si="57"/>
        <v>2.6549306855548789</v>
      </c>
      <c r="V157" s="378">
        <f t="shared" si="58"/>
        <v>62.649930981153183</v>
      </c>
      <c r="W157" s="397">
        <f t="shared" si="59"/>
        <v>20.562601133109542</v>
      </c>
      <c r="X157" s="153">
        <f t="shared" si="60"/>
        <v>46530</v>
      </c>
      <c r="Y157" s="380">
        <f t="shared" si="61"/>
        <v>19.7572469736869</v>
      </c>
      <c r="Z157" s="380">
        <f t="shared" si="62"/>
        <v>20.307867678316484</v>
      </c>
      <c r="AA157" s="381">
        <f t="shared" si="63"/>
        <v>21.171778431992433</v>
      </c>
      <c r="AB157" s="193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4.0804826880792566E-2</v>
      </c>
      <c r="AD157" s="227">
        <f>(INDEX(Models!$BJ157:$BT157,,AH157)*(1-AF157)+INDEX(Models!$BJ157:$BT157,,AH157+1)*AF157-ERP_i)*AE157*Ramure*Pc/MaxiM</f>
        <v>1.4373086183417082E-5</v>
      </c>
      <c r="AE157" s="301">
        <f t="shared" si="65"/>
        <v>0.5</v>
      </c>
      <c r="AF157" s="173">
        <f t="shared" si="66"/>
        <v>0.65493068555487888</v>
      </c>
      <c r="AG157" s="802">
        <f t="shared" si="74"/>
        <v>2</v>
      </c>
      <c r="AH157" s="172">
        <f t="shared" si="67"/>
        <v>8</v>
      </c>
      <c r="AI157" s="221">
        <f t="shared" si="68"/>
        <v>2.6549306855548789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46531</v>
      </c>
      <c r="B158" s="406">
        <f>'2026'!Wh/'2026'!Env_an*'2027'!Env_an</f>
        <v>17.662675540189475</v>
      </c>
      <c r="C158" s="832"/>
      <c r="D158" s="388">
        <f t="shared" si="50"/>
        <v>18.155170527681193</v>
      </c>
      <c r="E158" s="380">
        <f t="shared" si="72"/>
        <v>18.187549071532082</v>
      </c>
      <c r="F158" s="380">
        <f t="shared" si="51"/>
        <v>18.187549071532082</v>
      </c>
      <c r="G158" s="110">
        <f t="shared" si="73"/>
        <v>0.28162836524798912</v>
      </c>
      <c r="H158" s="409" t="b">
        <f>Wh_hp&gt;='2026'!Maxi_hp</f>
        <v>0</v>
      </c>
      <c r="I158" s="385">
        <f>IF(H158,Wh_hp,'2026'!Maxi_hp)</f>
        <v>18.1877934787436</v>
      </c>
      <c r="J158" s="85">
        <f>IF(H158,An,'2026'!An_max)</f>
        <v>2022</v>
      </c>
      <c r="K158" s="193">
        <f t="shared" si="52"/>
        <v>46531</v>
      </c>
      <c r="L158" s="143">
        <f>IF(t&lt;Tvie,1-EXP((T0-t)*PertePVj)+'2026'!Pspv,1-EXP((T0-t)*PertePVj)+Pspv)</f>
        <v>2.7126982186193804E-2</v>
      </c>
      <c r="M158" s="836"/>
      <c r="N158" s="836"/>
      <c r="O158" s="48">
        <f>IF(t&lt;Tnet,'2026'!Resal+('2026'!Salim-'2026'!Resal)*(1-EXP(('2026'!Tnet-t)/('2026'!Tau_j))),Resal+(Salim-Resal)*(1-EXP((Tnet-t)/(Tau_j))))*Salcycl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1.4037849432138053E-5</v>
      </c>
      <c r="Q158" s="301">
        <f t="shared" si="53"/>
        <v>0.5</v>
      </c>
      <c r="R158" s="173">
        <f t="shared" si="54"/>
        <v>0.65946446508570844</v>
      </c>
      <c r="S158" s="802">
        <f t="shared" si="55"/>
        <v>2</v>
      </c>
      <c r="T158" s="172">
        <f t="shared" si="56"/>
        <v>8</v>
      </c>
      <c r="U158" s="247">
        <f t="shared" si="57"/>
        <v>2.6594644650857084</v>
      </c>
      <c r="V158" s="378">
        <f t="shared" si="58"/>
        <v>62.715371651775719</v>
      </c>
      <c r="W158" s="397">
        <f t="shared" si="59"/>
        <v>17.662675540189475</v>
      </c>
      <c r="X158" s="153">
        <f t="shared" si="60"/>
        <v>46531</v>
      </c>
      <c r="Y158" s="380">
        <f t="shared" si="61"/>
        <v>16.970995743561677</v>
      </c>
      <c r="Z158" s="380">
        <f t="shared" si="62"/>
        <v>17.444204364612855</v>
      </c>
      <c r="AA158" s="381">
        <f t="shared" si="63"/>
        <v>18.187549071532082</v>
      </c>
      <c r="AB158" s="193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4.0871076360846421E-2</v>
      </c>
      <c r="AD158" s="227">
        <f>(INDEX(Models!$BJ158:$BT158,,AH158)*(1-AF158)+INDEX(Models!$BJ158:$BT158,,AH158+1)*AF158-ERP_i)*AE158*Ramure*Pc/MaxiM</f>
        <v>1.4037849432138053E-5</v>
      </c>
      <c r="AE158" s="301">
        <f t="shared" si="65"/>
        <v>0.5</v>
      </c>
      <c r="AF158" s="173">
        <f t="shared" si="66"/>
        <v>0.65946446508570844</v>
      </c>
      <c r="AG158" s="802">
        <f t="shared" si="74"/>
        <v>2</v>
      </c>
      <c r="AH158" s="172">
        <f t="shared" si="67"/>
        <v>8</v>
      </c>
      <c r="AI158" s="221">
        <f t="shared" si="68"/>
        <v>2.6594644650857084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46532</v>
      </c>
      <c r="B159" s="406">
        <f>'2026'!Wh/'2026'!Env_an*'2027'!Env_an</f>
        <v>43.046867783169411</v>
      </c>
      <c r="C159" s="832"/>
      <c r="D159" s="388">
        <f t="shared" si="50"/>
        <v>44.247765410784275</v>
      </c>
      <c r="E159" s="380">
        <f t="shared" si="72"/>
        <v>44.329992693938408</v>
      </c>
      <c r="F159" s="380">
        <f t="shared" si="51"/>
        <v>44.330326313372936</v>
      </c>
      <c r="G159" s="110">
        <f t="shared" si="73"/>
        <v>0.68570680161254893</v>
      </c>
      <c r="H159" s="409" t="b">
        <f>Wh_hp&gt;='2026'!Maxi_hp</f>
        <v>0</v>
      </c>
      <c r="I159" s="385">
        <f>IF(H159,Wh_hp,'2026'!Maxi_hp)</f>
        <v>44.330586248471548</v>
      </c>
      <c r="J159" s="85">
        <f>IF(H159,An,'2026'!An_max)</f>
        <v>2022</v>
      </c>
      <c r="K159" s="193">
        <f t="shared" si="52"/>
        <v>46532</v>
      </c>
      <c r="L159" s="143">
        <f>IF(t&lt;Tvie,1-EXP((T0-t)*PertePVj)+'2026'!Pspv,1-EXP((T0-t)*PertePVj)+Pspv)</f>
        <v>2.7140300000826123E-2</v>
      </c>
      <c r="M159" s="836"/>
      <c r="N159" s="836"/>
      <c r="O159" s="48">
        <f>IF(t&lt;Tnet,'2026'!Resal+('2026'!Salim-'2026'!Resal)*(1-EXP(('2026'!Tnet-t)/('2026'!Tau_j))),Resal+(Salim-Resal)*(1-EXP((Tnet-t)/(Tau_j))))*Salcycl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1.3657978408335893E-5</v>
      </c>
      <c r="Q159" s="301">
        <f t="shared" si="53"/>
        <v>0.5</v>
      </c>
      <c r="R159" s="173">
        <f t="shared" si="54"/>
        <v>0.66406123050342547</v>
      </c>
      <c r="S159" s="802">
        <f t="shared" si="55"/>
        <v>2</v>
      </c>
      <c r="T159" s="172">
        <f t="shared" si="56"/>
        <v>8</v>
      </c>
      <c r="U159" s="247">
        <f t="shared" si="57"/>
        <v>2.6640612305034255</v>
      </c>
      <c r="V159" s="378">
        <f t="shared" si="58"/>
        <v>62.776982388381846</v>
      </c>
      <c r="W159" s="397">
        <f t="shared" si="59"/>
        <v>43.046867783169411</v>
      </c>
      <c r="X159" s="153">
        <f t="shared" si="60"/>
        <v>46532</v>
      </c>
      <c r="Y159" s="380">
        <f t="shared" si="61"/>
        <v>41.361363119520469</v>
      </c>
      <c r="Z159" s="380">
        <f t="shared" si="62"/>
        <v>42.515239473436502</v>
      </c>
      <c r="AA159" s="381">
        <f t="shared" si="63"/>
        <v>44.329992693938408</v>
      </c>
      <c r="AB159" s="193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4.0937367913215394E-2</v>
      </c>
      <c r="AD159" s="227">
        <f>(INDEX(Models!$BJ159:$BT159,,AH159)*(1-AF159)+INDEX(Models!$BJ159:$BT159,,AH159+1)*AF159-ERP_i)*AE159*Ramure*Pc/MaxiM</f>
        <v>1.3657978408335893E-5</v>
      </c>
      <c r="AE159" s="301">
        <f t="shared" si="65"/>
        <v>0.5</v>
      </c>
      <c r="AF159" s="173">
        <f t="shared" si="66"/>
        <v>0.66406123050342547</v>
      </c>
      <c r="AG159" s="802">
        <f t="shared" si="74"/>
        <v>2</v>
      </c>
      <c r="AH159" s="172">
        <f t="shared" si="67"/>
        <v>8</v>
      </c>
      <c r="AI159" s="221">
        <f t="shared" si="68"/>
        <v>2.6640612305034255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46533</v>
      </c>
      <c r="B160" s="406">
        <f>'2026'!Wh/'2026'!Env_an*'2027'!Env_an</f>
        <v>28.721873250822533</v>
      </c>
      <c r="C160" s="832"/>
      <c r="D160" s="388">
        <f t="shared" si="50"/>
        <v>29.523544283471249</v>
      </c>
      <c r="E160" s="380">
        <f t="shared" si="72"/>
        <v>29.580621791558031</v>
      </c>
      <c r="F160" s="380">
        <f t="shared" si="51"/>
        <v>29.580709637410695</v>
      </c>
      <c r="G160" s="110">
        <f t="shared" si="73"/>
        <v>0.45709539658272236</v>
      </c>
      <c r="H160" s="409" t="b">
        <f>Wh_hp&gt;='2026'!Maxi_hp</f>
        <v>0</v>
      </c>
      <c r="I160" s="385">
        <f>IF(H160,Wh_hp,'2026'!Maxi_hp)</f>
        <v>29.580999563850057</v>
      </c>
      <c r="J160" s="85">
        <f>IF(H160,An,'2026'!An_max)</f>
        <v>2022</v>
      </c>
      <c r="K160" s="193">
        <f t="shared" si="52"/>
        <v>46533</v>
      </c>
      <c r="L160" s="143">
        <f>IF(t&lt;Tvie,1-EXP((T0-t)*PertePVj)+'2026'!Pspv,1-EXP((T0-t)*PertePVj)+Pspv)</f>
        <v>2.715361763314883E-2</v>
      </c>
      <c r="M160" s="836"/>
      <c r="N160" s="836"/>
      <c r="O160" s="48">
        <f>IF(t&lt;Tnet,'2026'!Resal+('2026'!Salim-'2026'!Resal)*(1-EXP(('2026'!Tnet-t)/('2026'!Tau_j))),Resal+(Salim-Resal)*(1-EXP((Tnet-t)/(Tau_j))))*Salcycl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1.3232267958417976E-5</v>
      </c>
      <c r="Q160" s="301">
        <f t="shared" si="53"/>
        <v>0.5</v>
      </c>
      <c r="R160" s="173">
        <f t="shared" si="54"/>
        <v>0.66871834284425757</v>
      </c>
      <c r="S160" s="802">
        <f t="shared" si="55"/>
        <v>2</v>
      </c>
      <c r="T160" s="172">
        <f t="shared" si="56"/>
        <v>8</v>
      </c>
      <c r="U160" s="247">
        <f t="shared" si="57"/>
        <v>2.6687183428442576</v>
      </c>
      <c r="V160" s="378">
        <f t="shared" si="58"/>
        <v>62.834976472120061</v>
      </c>
      <c r="W160" s="397">
        <f t="shared" si="59"/>
        <v>28.721873250822533</v>
      </c>
      <c r="X160" s="153">
        <f t="shared" si="60"/>
        <v>46533</v>
      </c>
      <c r="Y160" s="380">
        <f t="shared" si="61"/>
        <v>27.597421928435129</v>
      </c>
      <c r="Z160" s="380">
        <f t="shared" si="62"/>
        <v>28.367707819700154</v>
      </c>
      <c r="AA160" s="381">
        <f t="shared" si="63"/>
        <v>29.580621791558031</v>
      </c>
      <c r="AB160" s="193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4.1003667211756425E-2</v>
      </c>
      <c r="AD160" s="227">
        <f>(INDEX(Models!$BJ160:$BT160,,AH160)*(1-AF160)+INDEX(Models!$BJ160:$BT160,,AH160+1)*AF160-ERP_i)*AE160*Ramure*Pc/MaxiM</f>
        <v>1.3232267958417976E-5</v>
      </c>
      <c r="AE160" s="301">
        <f t="shared" si="65"/>
        <v>0.5</v>
      </c>
      <c r="AF160" s="173">
        <f t="shared" si="66"/>
        <v>0.66871834284425757</v>
      </c>
      <c r="AG160" s="802">
        <f t="shared" si="74"/>
        <v>2</v>
      </c>
      <c r="AH160" s="172">
        <f t="shared" si="67"/>
        <v>8</v>
      </c>
      <c r="AI160" s="221">
        <f t="shared" si="68"/>
        <v>2.6687183428442576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46534</v>
      </c>
      <c r="B161" s="406">
        <f>'2026'!Wh/'2026'!Env_an*'2027'!Env_an</f>
        <v>44.97346095387875</v>
      </c>
      <c r="C161" s="832"/>
      <c r="D161" s="388">
        <f t="shared" si="50"/>
        <v>46.229371282444411</v>
      </c>
      <c r="E161" s="380">
        <f t="shared" si="72"/>
        <v>46.322212931065771</v>
      </c>
      <c r="F161" s="380">
        <f t="shared" si="51"/>
        <v>46.322563440876976</v>
      </c>
      <c r="G161" s="110">
        <f t="shared" si="73"/>
        <v>0.71511427843343156</v>
      </c>
      <c r="H161" s="409" t="b">
        <f>Wh_hp&gt;='2026'!Maxi_hp</f>
        <v>0</v>
      </c>
      <c r="I161" s="385">
        <f>IF(H161,Wh_hp,'2026'!Maxi_hp)</f>
        <v>46.32279287527755</v>
      </c>
      <c r="J161" s="85">
        <f>IF(H161,An,'2026'!An_max)</f>
        <v>2022</v>
      </c>
      <c r="K161" s="193">
        <f t="shared" si="52"/>
        <v>46534</v>
      </c>
      <c r="L161" s="143">
        <f>IF(t&lt;Tvie,1-EXP((T0-t)*PertePVj)+'2026'!Pspv,1-EXP((T0-t)*PertePVj)+Pspv)</f>
        <v>2.7166935083164145E-2</v>
      </c>
      <c r="M161" s="836"/>
      <c r="N161" s="836"/>
      <c r="O161" s="48">
        <f>IF(t&lt;Tnet,'2026'!Resal+('2026'!Salim-'2026'!Resal)*(1-EXP(('2026'!Tnet-t)/('2026'!Tau_j))),Resal+(Salim-Resal)*(1-EXP((Tnet-t)/(Tau_j))))*Salcycl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1.275951237083127E-5</v>
      </c>
      <c r="Q161" s="301">
        <f t="shared" si="53"/>
        <v>0.5</v>
      </c>
      <c r="R161" s="173">
        <f t="shared" si="54"/>
        <v>0.6734329902352334</v>
      </c>
      <c r="S161" s="802">
        <f t="shared" si="55"/>
        <v>2</v>
      </c>
      <c r="T161" s="172">
        <f t="shared" si="56"/>
        <v>8</v>
      </c>
      <c r="U161" s="247">
        <f t="shared" si="57"/>
        <v>2.6734329902352334</v>
      </c>
      <c r="V161" s="378">
        <f t="shared" si="58"/>
        <v>62.889567123080106</v>
      </c>
      <c r="W161" s="397">
        <f t="shared" si="59"/>
        <v>44.97346095387875</v>
      </c>
      <c r="X161" s="153">
        <f t="shared" si="60"/>
        <v>46534</v>
      </c>
      <c r="Y161" s="380">
        <f t="shared" si="61"/>
        <v>43.213013649432277</v>
      </c>
      <c r="Z161" s="380">
        <f t="shared" si="62"/>
        <v>44.419762452385811</v>
      </c>
      <c r="AA161" s="381">
        <f t="shared" si="63"/>
        <v>46.322212931065771</v>
      </c>
      <c r="AB161" s="193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4.1069939415698607E-2</v>
      </c>
      <c r="AD161" s="227">
        <f>(INDEX(Models!$BJ161:$BT161,,AH161)*(1-AF161)+INDEX(Models!$BJ161:$BT161,,AH161+1)*AF161-ERP_i)*AE161*Ramure*Pc/MaxiM</f>
        <v>1.275951237083127E-5</v>
      </c>
      <c r="AE161" s="301">
        <f t="shared" si="65"/>
        <v>0.5</v>
      </c>
      <c r="AF161" s="173">
        <f t="shared" si="66"/>
        <v>0.6734329902352334</v>
      </c>
      <c r="AG161" s="802">
        <f t="shared" si="74"/>
        <v>2</v>
      </c>
      <c r="AH161" s="172">
        <f t="shared" si="67"/>
        <v>8</v>
      </c>
      <c r="AI161" s="221">
        <f t="shared" si="68"/>
        <v>2.6734329902352334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46535</v>
      </c>
      <c r="B162" s="406">
        <f>'2026'!Wh/'2026'!Env_an*'2027'!Env_an</f>
        <v>59.042949784701513</v>
      </c>
      <c r="C162" s="832"/>
      <c r="D162" s="388">
        <f t="shared" si="50"/>
        <v>60.692589688256433</v>
      </c>
      <c r="E162" s="380">
        <f t="shared" si="72"/>
        <v>60.819031790417384</v>
      </c>
      <c r="F162" s="380">
        <f t="shared" si="51"/>
        <v>60.819710278618253</v>
      </c>
      <c r="G162" s="110">
        <f t="shared" si="73"/>
        <v>0.93806765594078201</v>
      </c>
      <c r="H162" s="409" t="b">
        <f>Wh_hp&gt;='2026'!Maxi_hp</f>
        <v>0</v>
      </c>
      <c r="I162" s="385">
        <f>IF(H162,Wh_hp,'2026'!Maxi_hp)</f>
        <v>60.819773004939982</v>
      </c>
      <c r="J162" s="85">
        <f>IF(H162,An,'2026'!An_max)</f>
        <v>2022</v>
      </c>
      <c r="K162" s="193">
        <f t="shared" si="52"/>
        <v>46535</v>
      </c>
      <c r="L162" s="143">
        <f>IF(t&lt;Tvie,1-EXP((T0-t)*PertePVj)+'2026'!Pspv,1-EXP((T0-t)*PertePVj)+Pspv)</f>
        <v>2.7180252350874956E-2</v>
      </c>
      <c r="M162" s="836"/>
      <c r="N162" s="836"/>
      <c r="O162" s="48">
        <f>IF(t&lt;Tnet,'2026'!Resal+('2026'!Salim-'2026'!Resal)*(1-EXP(('2026'!Tnet-t)/('2026'!Tau_j))),Resal+(Salim-Resal)*(1-EXP((Tnet-t)/(Tau_j))))*Salcycl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1.2238510666214416E-5</v>
      </c>
      <c r="Q162" s="301">
        <f t="shared" si="53"/>
        <v>0.5</v>
      </c>
      <c r="R162" s="173">
        <f t="shared" si="54"/>
        <v>0.67820219261677606</v>
      </c>
      <c r="S162" s="802">
        <f t="shared" si="55"/>
        <v>2</v>
      </c>
      <c r="T162" s="172">
        <f t="shared" si="56"/>
        <v>8</v>
      </c>
      <c r="U162" s="247">
        <f t="shared" si="57"/>
        <v>2.6782021926167761</v>
      </c>
      <c r="V162" s="378">
        <f t="shared" si="58"/>
        <v>62.94096750851763</v>
      </c>
      <c r="W162" s="397">
        <f t="shared" si="59"/>
        <v>59.042949784701513</v>
      </c>
      <c r="X162" s="153">
        <f t="shared" si="60"/>
        <v>46535</v>
      </c>
      <c r="Y162" s="380">
        <f t="shared" si="61"/>
        <v>56.732095594740933</v>
      </c>
      <c r="Z162" s="380">
        <f t="shared" si="62"/>
        <v>58.317171019438398</v>
      </c>
      <c r="AA162" s="381">
        <f t="shared" si="63"/>
        <v>60.819031790417384</v>
      </c>
      <c r="AB162" s="193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4.1136149283014026E-2</v>
      </c>
      <c r="AD162" s="227">
        <f>(INDEX(Models!$BJ162:$BT162,,AH162)*(1-AF162)+INDEX(Models!$BJ162:$BT162,,AH162+1)*AF162-ERP_i)*AE162*Ramure*Pc/MaxiM</f>
        <v>1.2238510666214416E-5</v>
      </c>
      <c r="AE162" s="301">
        <f t="shared" si="65"/>
        <v>0.5</v>
      </c>
      <c r="AF162" s="173">
        <f t="shared" si="66"/>
        <v>0.67820219261677606</v>
      </c>
      <c r="AG162" s="802">
        <f t="shared" si="74"/>
        <v>2</v>
      </c>
      <c r="AH162" s="172">
        <f t="shared" si="67"/>
        <v>8</v>
      </c>
      <c r="AI162" s="221">
        <f t="shared" si="68"/>
        <v>2.6782021926167761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46536</v>
      </c>
      <c r="B163" s="406">
        <f>'2026'!Wh/'2026'!Env_an*'2027'!Env_an</f>
        <v>64.208647424717711</v>
      </c>
      <c r="C163" s="832"/>
      <c r="D163" s="388">
        <f t="shared" si="50"/>
        <v>66.003518693344191</v>
      </c>
      <c r="E163" s="380">
        <f t="shared" si="72"/>
        <v>66.145980557857428</v>
      </c>
      <c r="F163" s="380">
        <f t="shared" si="51"/>
        <v>66.146752375052444</v>
      </c>
      <c r="G163" s="110">
        <f t="shared" si="73"/>
        <v>1.0193725542453584</v>
      </c>
      <c r="H163" s="409" t="b">
        <f>Wh_hp&gt;='2026'!Maxi_hp</f>
        <v>0</v>
      </c>
      <c r="I163" s="385">
        <f>IF(H163,Wh_hp,'2026'!Maxi_hp)</f>
        <v>66.146752375052458</v>
      </c>
      <c r="J163" s="85">
        <f>IF(H163,An,'2026'!An_max)</f>
        <v>2024</v>
      </c>
      <c r="K163" s="193">
        <f t="shared" si="52"/>
        <v>46536</v>
      </c>
      <c r="L163" s="143">
        <f>IF(t&lt;Tvie,1-EXP((T0-t)*PertePVj)+'2026'!Pspv,1-EXP((T0-t)*PertePVj)+Pspv)</f>
        <v>2.7193569436283371E-2</v>
      </c>
      <c r="M163" s="836"/>
      <c r="N163" s="836"/>
      <c r="O163" s="48">
        <f>IF(t&lt;Tnet,'2026'!Resal+('2026'!Salim-'2026'!Resal)*(1-EXP(('2026'!Tnet-t)/('2026'!Tau_j))),Resal+(Salim-Resal)*(1-EXP((Tnet-t)/(Tau_j))))*Salcycl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1.1668255315695034E-5</v>
      </c>
      <c r="Q163" s="301">
        <f t="shared" si="53"/>
        <v>0.5</v>
      </c>
      <c r="R163" s="173">
        <f t="shared" si="54"/>
        <v>0.68302280744799804</v>
      </c>
      <c r="S163" s="802">
        <f t="shared" si="55"/>
        <v>2</v>
      </c>
      <c r="T163" s="172">
        <f t="shared" si="56"/>
        <v>8</v>
      </c>
      <c r="U163" s="247">
        <f t="shared" si="57"/>
        <v>2.683022807447998</v>
      </c>
      <c r="V163" s="378">
        <f t="shared" si="58"/>
        <v>62.988401205535084</v>
      </c>
      <c r="W163" s="397">
        <f t="shared" si="59"/>
        <v>64.208647424717711</v>
      </c>
      <c r="X163" s="153">
        <f t="shared" si="60"/>
        <v>46536</v>
      </c>
      <c r="Y163" s="380">
        <f t="shared" si="61"/>
        <v>61.695983642944199</v>
      </c>
      <c r="Z163" s="380">
        <f t="shared" si="62"/>
        <v>63.42061658370509</v>
      </c>
      <c r="AA163" s="381">
        <f t="shared" si="63"/>
        <v>66.145980557857428</v>
      </c>
      <c r="AB163" s="193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4.1202261288854646E-2</v>
      </c>
      <c r="AD163" s="227">
        <f>(INDEX(Models!$BJ163:$BT163,,AH163)*(1-AF163)+INDEX(Models!$BJ163:$BT163,,AH163+1)*AF163-ERP_i)*AE163*Ramure*Pc/MaxiM</f>
        <v>1.1668255315695034E-5</v>
      </c>
      <c r="AE163" s="301">
        <f t="shared" si="65"/>
        <v>0.5</v>
      </c>
      <c r="AF163" s="173">
        <f t="shared" si="66"/>
        <v>0.68302280744799804</v>
      </c>
      <c r="AG163" s="802">
        <f t="shared" si="74"/>
        <v>2</v>
      </c>
      <c r="AH163" s="172">
        <f t="shared" si="67"/>
        <v>8</v>
      </c>
      <c r="AI163" s="221">
        <f t="shared" si="68"/>
        <v>2.683022807447998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46537</v>
      </c>
      <c r="B164" s="406">
        <f>'2026'!Wh/'2026'!Env_an*'2027'!Env_an</f>
        <v>51.638806626306597</v>
      </c>
      <c r="C164" s="832"/>
      <c r="D164" s="388">
        <f t="shared" si="50"/>
        <v>53.08303060657002</v>
      </c>
      <c r="E164" s="380">
        <f t="shared" si="72"/>
        <v>53.201592267997874</v>
      </c>
      <c r="F164" s="380">
        <f t="shared" si="51"/>
        <v>53.202029511755569</v>
      </c>
      <c r="G164" s="110">
        <f t="shared" si="73"/>
        <v>0.81925695446801916</v>
      </c>
      <c r="H164" s="409" t="b">
        <f>Wh_hp&gt;='2026'!Maxi_hp</f>
        <v>0</v>
      </c>
      <c r="I164" s="385">
        <f>IF(H164,Wh_hp,'2026'!Maxi_hp)</f>
        <v>53.20217402589779</v>
      </c>
      <c r="J164" s="85">
        <f>IF(H164,An,'2026'!An_max)</f>
        <v>2022</v>
      </c>
      <c r="K164" s="193">
        <f t="shared" si="52"/>
        <v>46537</v>
      </c>
      <c r="L164" s="143">
        <f>IF(t&lt;Tvie,1-EXP((T0-t)*PertePVj)+'2026'!Pspv,1-EXP((T0-t)*PertePVj)+Pspv)</f>
        <v>2.7206886339392167E-2</v>
      </c>
      <c r="M164" s="836"/>
      <c r="N164" s="836"/>
      <c r="O164" s="48">
        <f>IF(t&lt;Tnet,'2026'!Resal+('2026'!Salim-'2026'!Resal)*(1-EXP(('2026'!Tnet-t)/('2026'!Tau_j))),Resal+(Salim-Resal)*(1-EXP((Tnet-t)/(Tau_j))))*Salcycl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1.1079219745944762E-5</v>
      </c>
      <c r="Q164" s="301">
        <f t="shared" si="53"/>
        <v>0.5</v>
      </c>
      <c r="R164" s="173">
        <f t="shared" si="54"/>
        <v>0.68789153638808553</v>
      </c>
      <c r="S164" s="802">
        <f t="shared" si="55"/>
        <v>2</v>
      </c>
      <c r="T164" s="172">
        <f t="shared" si="56"/>
        <v>8</v>
      </c>
      <c r="U164" s="247">
        <f t="shared" si="57"/>
        <v>2.6878915363880855</v>
      </c>
      <c r="V164" s="378">
        <f t="shared" si="58"/>
        <v>63.031090089755381</v>
      </c>
      <c r="W164" s="397">
        <f t="shared" si="59"/>
        <v>51.638806626306597</v>
      </c>
      <c r="X164" s="153">
        <f t="shared" si="60"/>
        <v>46537</v>
      </c>
      <c r="Y164" s="380">
        <f t="shared" si="61"/>
        <v>49.618340229540202</v>
      </c>
      <c r="Z164" s="380">
        <f t="shared" si="62"/>
        <v>51.006056203283585</v>
      </c>
      <c r="AA164" s="381">
        <f t="shared" si="63"/>
        <v>53.201592267997874</v>
      </c>
      <c r="AB164" s="193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4.1268239748436318E-2</v>
      </c>
      <c r="AD164" s="227">
        <f>(INDEX(Models!$BJ164:$BT164,,AH164)*(1-AF164)+INDEX(Models!$BJ164:$BT164,,AH164+1)*AF164-ERP_i)*AE164*Ramure*Pc/MaxiM</f>
        <v>1.1079219745944762E-5</v>
      </c>
      <c r="AE164" s="301">
        <f t="shared" si="65"/>
        <v>0.5</v>
      </c>
      <c r="AF164" s="173">
        <f t="shared" si="66"/>
        <v>0.68789153638808553</v>
      </c>
      <c r="AG164" s="802">
        <f t="shared" si="74"/>
        <v>2</v>
      </c>
      <c r="AH164" s="172">
        <f t="shared" si="67"/>
        <v>8</v>
      </c>
      <c r="AI164" s="221">
        <f t="shared" si="68"/>
        <v>2.6878915363880855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46538</v>
      </c>
      <c r="B165" s="406">
        <f>'2026'!Wh/'2026'!Env_an*'2027'!Env_an</f>
        <v>61.04042918040858</v>
      </c>
      <c r="C165" s="832"/>
      <c r="D165" s="388">
        <f t="shared" si="50"/>
        <v>62.748454863507277</v>
      </c>
      <c r="E165" s="380">
        <f t="shared" si="72"/>
        <v>62.89331993788339</v>
      </c>
      <c r="F165" s="380">
        <f t="shared" si="51"/>
        <v>62.893949813307302</v>
      </c>
      <c r="G165" s="110">
        <f t="shared" si="73"/>
        <v>0.96783144938484844</v>
      </c>
      <c r="H165" s="409" t="b">
        <f>Wh_hp&gt;='2026'!Maxi_hp</f>
        <v>0</v>
      </c>
      <c r="I165" s="385">
        <f>IF(H165,Wh_hp,'2026'!Maxi_hp)</f>
        <v>62.893978575156851</v>
      </c>
      <c r="J165" s="85">
        <f>IF(H165,An,'2026'!An_max)</f>
        <v>2022</v>
      </c>
      <c r="K165" s="193">
        <f t="shared" si="52"/>
        <v>46538</v>
      </c>
      <c r="L165" s="143">
        <f>IF(t&lt;Tvie,1-EXP((T0-t)*PertePVj)+'2026'!Pspv,1-EXP((T0-t)*PertePVj)+Pspv)</f>
        <v>2.7220203060203785E-2</v>
      </c>
      <c r="M165" s="836"/>
      <c r="N165" s="836"/>
      <c r="O165" s="48">
        <f>IF(t&lt;Tnet,'2026'!Resal+('2026'!Salim-'2026'!Resal)*(1-EXP(('2026'!Tnet-t)/('2026'!Tau_j))),Resal+(Salim-Resal)*(1-EXP((Tnet-t)/(Tau_j))))*Salcycl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1.0497277143219194E-5</v>
      </c>
      <c r="Q165" s="301">
        <f t="shared" si="53"/>
        <v>0.5</v>
      </c>
      <c r="R165" s="173">
        <f t="shared" si="54"/>
        <v>0.69280493293771217</v>
      </c>
      <c r="S165" s="802">
        <f t="shared" si="55"/>
        <v>2</v>
      </c>
      <c r="T165" s="172">
        <f t="shared" si="56"/>
        <v>8</v>
      </c>
      <c r="U165" s="247">
        <f t="shared" si="57"/>
        <v>2.6928049329377122</v>
      </c>
      <c r="V165" s="378">
        <f t="shared" si="58"/>
        <v>63.069245965549165</v>
      </c>
      <c r="W165" s="397">
        <f t="shared" si="59"/>
        <v>61.04042918040858</v>
      </c>
      <c r="X165" s="153">
        <f t="shared" si="60"/>
        <v>46538</v>
      </c>
      <c r="Y165" s="380">
        <f t="shared" si="61"/>
        <v>58.652478041449214</v>
      </c>
      <c r="Z165" s="380">
        <f t="shared" si="62"/>
        <v>60.293684373339346</v>
      </c>
      <c r="AA165" s="381">
        <f t="shared" si="63"/>
        <v>62.89331993788339</v>
      </c>
      <c r="AB165" s="193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4.1334048943696682E-2</v>
      </c>
      <c r="AD165" s="227">
        <f>(INDEX(Models!$BJ165:$BT165,,AH165)*(1-AF165)+INDEX(Models!$BJ165:$BT165,,AH165+1)*AF165-ERP_i)*AE165*Ramure*Pc/MaxiM</f>
        <v>1.0497277143219194E-5</v>
      </c>
      <c r="AE165" s="301">
        <f t="shared" si="65"/>
        <v>0.5</v>
      </c>
      <c r="AF165" s="173">
        <f t="shared" si="66"/>
        <v>0.69280493293771217</v>
      </c>
      <c r="AG165" s="802">
        <f t="shared" si="74"/>
        <v>2</v>
      </c>
      <c r="AH165" s="172">
        <f t="shared" si="67"/>
        <v>8</v>
      </c>
      <c r="AI165" s="221">
        <f t="shared" si="68"/>
        <v>2.6928049329377122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46539</v>
      </c>
      <c r="B166" s="406">
        <f>'2026'!Wh/'2026'!Env_an*'2027'!Env_an</f>
        <v>63.64146744588659</v>
      </c>
      <c r="C166" s="832"/>
      <c r="D166" s="388">
        <f t="shared" si="50"/>
        <v>65.423170645881655</v>
      </c>
      <c r="E166" s="380">
        <f t="shared" si="72"/>
        <v>65.579129377035102</v>
      </c>
      <c r="F166" s="380">
        <f t="shared" si="51"/>
        <v>65.579780102115691</v>
      </c>
      <c r="G166" s="110">
        <f t="shared" si="73"/>
        <v>1.0085318377265537</v>
      </c>
      <c r="H166" s="409" t="b">
        <f>Wh_hp&gt;='2026'!Maxi_hp</f>
        <v>1</v>
      </c>
      <c r="I166" s="385">
        <f>IF(H166,Wh_hp,'2026'!Maxi_hp)</f>
        <v>65.579780102115691</v>
      </c>
      <c r="J166" s="85">
        <f>IF(H166,An,'2026'!An_max)</f>
        <v>2027</v>
      </c>
      <c r="K166" s="193">
        <f t="shared" si="52"/>
        <v>46539</v>
      </c>
      <c r="L166" s="143">
        <f>IF(t&lt;Tvie,1-EXP((T0-t)*PertePVj)+'2026'!Pspv,1-EXP((T0-t)*PertePVj)+Pspv)</f>
        <v>2.7233519598720668E-2</v>
      </c>
      <c r="M166" s="836"/>
      <c r="N166" s="836"/>
      <c r="O166" s="48">
        <f>IF(t&lt;Tnet,'2026'!Resal+('2026'!Salim-'2026'!Resal)*(1-EXP(('2026'!Tnet-t)/('2026'!Tau_j))),Resal+(Salim-Resal)*(1-EXP((Tnet-t)/(Tau_j))))*Salcycl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9.9226481024959012E-6</v>
      </c>
      <c r="Q166" s="301">
        <f t="shared" si="53"/>
        <v>0.5</v>
      </c>
      <c r="R166" s="173">
        <f t="shared" si="54"/>
        <v>0.69775941101479466</v>
      </c>
      <c r="S166" s="802">
        <f t="shared" si="55"/>
        <v>2</v>
      </c>
      <c r="T166" s="172">
        <f t="shared" si="56"/>
        <v>8</v>
      </c>
      <c r="U166" s="247">
        <f t="shared" si="57"/>
        <v>2.6977594110147947</v>
      </c>
      <c r="V166" s="378">
        <f t="shared" si="58"/>
        <v>63.103082188608006</v>
      </c>
      <c r="W166" s="397">
        <f t="shared" si="59"/>
        <v>63.64146744588659</v>
      </c>
      <c r="X166" s="153">
        <f t="shared" si="60"/>
        <v>46539</v>
      </c>
      <c r="Y166" s="380">
        <f t="shared" si="61"/>
        <v>61.152163386675966</v>
      </c>
      <c r="Z166" s="380">
        <f t="shared" si="62"/>
        <v>62.864176160191981</v>
      </c>
      <c r="AA166" s="381">
        <f t="shared" si="63"/>
        <v>65.579129377035102</v>
      </c>
      <c r="AB166" s="193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4.1399653253003599E-2</v>
      </c>
      <c r="AD166" s="227">
        <f>(INDEX(Models!$BJ166:$BT166,,AH166)*(1-AF166)+INDEX(Models!$BJ166:$BT166,,AH166+1)*AF166-ERP_i)*AE166*Ramure*Pc/MaxiM</f>
        <v>9.9226481024959012E-6</v>
      </c>
      <c r="AE166" s="301">
        <f t="shared" si="65"/>
        <v>0.5</v>
      </c>
      <c r="AF166" s="173">
        <f t="shared" si="66"/>
        <v>0.69775941101479466</v>
      </c>
      <c r="AG166" s="802">
        <f t="shared" si="74"/>
        <v>2</v>
      </c>
      <c r="AH166" s="172">
        <f t="shared" si="67"/>
        <v>8</v>
      </c>
      <c r="AI166" s="221">
        <f t="shared" si="68"/>
        <v>2.6977594110147947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46540</v>
      </c>
      <c r="B167" s="406">
        <f>'2026'!Wh/'2026'!Env_an*'2027'!Env_an</f>
        <v>45.84084709370206</v>
      </c>
      <c r="C167" s="832"/>
      <c r="D167" s="388">
        <f t="shared" si="50"/>
        <v>47.12485015528447</v>
      </c>
      <c r="E167" s="380">
        <f t="shared" si="72"/>
        <v>47.240732790817589</v>
      </c>
      <c r="F167" s="380">
        <f t="shared" si="51"/>
        <v>47.241001823726691</v>
      </c>
      <c r="G167" s="110">
        <f t="shared" si="73"/>
        <v>0.72609912013910405</v>
      </c>
      <c r="H167" s="409" t="b">
        <f>Wh_hp&gt;='2026'!Maxi_hp</f>
        <v>0</v>
      </c>
      <c r="I167" s="385">
        <f>IF(H167,Wh_hp,'2026'!Maxi_hp)</f>
        <v>47.241165214979837</v>
      </c>
      <c r="J167" s="85">
        <f>IF(H167,An,'2026'!An_max)</f>
        <v>2022</v>
      </c>
      <c r="K167" s="193">
        <f t="shared" si="52"/>
        <v>46540</v>
      </c>
      <c r="L167" s="143">
        <f>IF(t&lt;Tvie,1-EXP((T0-t)*PertePVj)+'2026'!Pspv,1-EXP((T0-t)*PertePVj)+Pspv)</f>
        <v>2.7246835954945259E-2</v>
      </c>
      <c r="M167" s="836"/>
      <c r="N167" s="836"/>
      <c r="O167" s="48">
        <f>IF(t&lt;Tnet,'2026'!Resal+('2026'!Salim-'2026'!Resal)*(1-EXP(('2026'!Tnet-t)/('2026'!Tau_j))),Resal+(Salim-Resal)*(1-EXP((Tnet-t)/(Tau_j))))*Salcycl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9.3555861487099466E-6</v>
      </c>
      <c r="Q167" s="301">
        <f t="shared" si="53"/>
        <v>0.5</v>
      </c>
      <c r="R167" s="173">
        <f t="shared" si="54"/>
        <v>0.70275125442920716</v>
      </c>
      <c r="S167" s="802">
        <f t="shared" si="55"/>
        <v>2</v>
      </c>
      <c r="T167" s="172">
        <f t="shared" si="56"/>
        <v>8</v>
      </c>
      <c r="U167" s="247">
        <f t="shared" si="57"/>
        <v>2.7027512544292072</v>
      </c>
      <c r="V167" s="378">
        <f t="shared" si="58"/>
        <v>63.132812053448568</v>
      </c>
      <c r="W167" s="397">
        <f t="shared" si="59"/>
        <v>45.84084709370206</v>
      </c>
      <c r="X167" s="153">
        <f t="shared" si="60"/>
        <v>46540</v>
      </c>
      <c r="Y167" s="380">
        <f t="shared" si="61"/>
        <v>44.048106624678653</v>
      </c>
      <c r="Z167" s="380">
        <f t="shared" si="62"/>
        <v>45.281894989177836</v>
      </c>
      <c r="AA167" s="381">
        <f t="shared" si="63"/>
        <v>47.240732790817589</v>
      </c>
      <c r="AB167" s="193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4.1465017283146485E-2</v>
      </c>
      <c r="AD167" s="227">
        <f>(INDEX(Models!$BJ167:$BT167,,AH167)*(1-AF167)+INDEX(Models!$BJ167:$BT167,,AH167+1)*AF167-ERP_i)*AE167*Ramure*Pc/MaxiM</f>
        <v>9.3555861487099466E-6</v>
      </c>
      <c r="AE167" s="301">
        <f t="shared" si="65"/>
        <v>0.5</v>
      </c>
      <c r="AF167" s="173">
        <f t="shared" si="66"/>
        <v>0.70275125442920716</v>
      </c>
      <c r="AG167" s="802">
        <f t="shared" si="74"/>
        <v>2</v>
      </c>
      <c r="AH167" s="172">
        <f t="shared" si="67"/>
        <v>8</v>
      </c>
      <c r="AI167" s="221">
        <f t="shared" si="68"/>
        <v>2.7027512544292072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46541</v>
      </c>
      <c r="B168" s="406">
        <f>'2026'!Wh/'2026'!Env_an*'2027'!Env_an</f>
        <v>60.695086733541153</v>
      </c>
      <c r="C168" s="832"/>
      <c r="D168" s="388">
        <f t="shared" si="50"/>
        <v>62.396011499245951</v>
      </c>
      <c r="E168" s="380">
        <f t="shared" si="72"/>
        <v>62.554141145592133</v>
      </c>
      <c r="F168" s="380">
        <f t="shared" si="51"/>
        <v>62.554660738242113</v>
      </c>
      <c r="G168" s="110">
        <f t="shared" si="73"/>
        <v>0.96099359536759665</v>
      </c>
      <c r="H168" s="409" t="b">
        <f>Wh_hp&gt;='2026'!Maxi_hp</f>
        <v>0</v>
      </c>
      <c r="I168" s="385">
        <f>IF(H168,Wh_hp,'2026'!Maxi_hp)</f>
        <v>62.554689658440559</v>
      </c>
      <c r="J168" s="85">
        <f>IF(H168,An,'2026'!An_max)</f>
        <v>2022</v>
      </c>
      <c r="K168" s="193">
        <f t="shared" si="52"/>
        <v>46541</v>
      </c>
      <c r="L168" s="143">
        <f>IF(t&lt;Tvie,1-EXP((T0-t)*PertePVj)+'2026'!Pspv,1-EXP((T0-t)*PertePVj)+Pspv)</f>
        <v>2.7260152128880111E-2</v>
      </c>
      <c r="M168" s="836"/>
      <c r="N168" s="836"/>
      <c r="O168" s="48">
        <f>IF(t&lt;Tnet,'2026'!Resal+('2026'!Salim-'2026'!Resal)*(1-EXP(('2026'!Tnet-t)/('2026'!Tau_j))),Resal+(Salim-Resal)*(1-EXP((Tnet-t)/(Tau_j))))*Salcycl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8.7963764069033762E-6</v>
      </c>
      <c r="Q168" s="301">
        <f t="shared" si="53"/>
        <v>0.5</v>
      </c>
      <c r="R168" s="173">
        <f t="shared" si="54"/>
        <v>0.70777662721147916</v>
      </c>
      <c r="S168" s="802">
        <f t="shared" si="55"/>
        <v>2</v>
      </c>
      <c r="T168" s="172">
        <f t="shared" si="56"/>
        <v>8</v>
      </c>
      <c r="U168" s="247">
        <f t="shared" si="57"/>
        <v>2.7077766272114792</v>
      </c>
      <c r="V168" s="378">
        <f t="shared" si="58"/>
        <v>63.158648793981868</v>
      </c>
      <c r="W168" s="397">
        <f t="shared" si="59"/>
        <v>60.695086733541153</v>
      </c>
      <c r="X168" s="153">
        <f t="shared" si="60"/>
        <v>46541</v>
      </c>
      <c r="Y168" s="380">
        <f t="shared" si="61"/>
        <v>58.321844236065559</v>
      </c>
      <c r="Z168" s="380">
        <f t="shared" si="62"/>
        <v>59.956261032901295</v>
      </c>
      <c r="AA168" s="381">
        <f t="shared" si="63"/>
        <v>62.554141145592133</v>
      </c>
      <c r="AB168" s="193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4.1530106002804469E-2</v>
      </c>
      <c r="AD168" s="227">
        <f>(INDEX(Models!$BJ168:$BT168,,AH168)*(1-AF168)+INDEX(Models!$BJ168:$BT168,,AH168+1)*AF168-ERP_i)*AE168*Ramure*Pc/MaxiM</f>
        <v>8.7963764069033762E-6</v>
      </c>
      <c r="AE168" s="301">
        <f t="shared" si="65"/>
        <v>0.5</v>
      </c>
      <c r="AF168" s="173">
        <f t="shared" si="66"/>
        <v>0.70777662721147916</v>
      </c>
      <c r="AG168" s="802">
        <f t="shared" si="74"/>
        <v>2</v>
      </c>
      <c r="AH168" s="172">
        <f t="shared" si="67"/>
        <v>8</v>
      </c>
      <c r="AI168" s="221">
        <f t="shared" si="68"/>
        <v>2.7077766272114792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46542</v>
      </c>
      <c r="B169" s="406">
        <f>'2026'!Wh/'2026'!Env_an*'2027'!Env_an</f>
        <v>30.848392775594558</v>
      </c>
      <c r="C169" s="832"/>
      <c r="D169" s="388">
        <f t="shared" si="50"/>
        <v>31.713325137734493</v>
      </c>
      <c r="E169" s="380">
        <f t="shared" si="72"/>
        <v>31.796082556937989</v>
      </c>
      <c r="F169" s="380">
        <f t="shared" si="51"/>
        <v>31.796153064076869</v>
      </c>
      <c r="G169" s="110">
        <f t="shared" si="73"/>
        <v>0.48825282523291635</v>
      </c>
      <c r="H169" s="409" t="b">
        <f>Wh_hp&gt;='2026'!Maxi_hp</f>
        <v>0</v>
      </c>
      <c r="I169" s="385">
        <f>IF(H169,Wh_hp,'2026'!Maxi_hp)</f>
        <v>31.79633352939906</v>
      </c>
      <c r="J169" s="85">
        <f>IF(H169,An,'2026'!An_max)</f>
        <v>2022</v>
      </c>
      <c r="K169" s="193">
        <f t="shared" si="52"/>
        <v>46542</v>
      </c>
      <c r="L169" s="143">
        <f>IF(t&lt;Tvie,1-EXP((T0-t)*PertePVj)+'2026'!Pspv,1-EXP((T0-t)*PertePVj)+Pspv)</f>
        <v>2.7273468120527777E-2</v>
      </c>
      <c r="M169" s="836"/>
      <c r="N169" s="836"/>
      <c r="O169" s="48">
        <f>IF(t&lt;Tnet,'2026'!Resal+('2026'!Salim-'2026'!Resal)*(1-EXP(('2026'!Tnet-t)/('2026'!Tau_j))),Resal+(Salim-Resal)*(1-EXP((Tnet-t)/(Tau_j))))*Salcycl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8.245334147347751E-6</v>
      </c>
      <c r="Q169" s="301">
        <f t="shared" si="53"/>
        <v>0.5</v>
      </c>
      <c r="R169" s="173">
        <f t="shared" si="54"/>
        <v>0.71283158474113861</v>
      </c>
      <c r="S169" s="802">
        <f t="shared" si="55"/>
        <v>2</v>
      </c>
      <c r="T169" s="172">
        <f t="shared" si="56"/>
        <v>8</v>
      </c>
      <c r="U169" s="247">
        <f t="shared" si="57"/>
        <v>2.7128315847411386</v>
      </c>
      <c r="V169" s="378">
        <f t="shared" si="58"/>
        <v>63.180805580930802</v>
      </c>
      <c r="W169" s="397">
        <f t="shared" si="59"/>
        <v>30.848392775594558</v>
      </c>
      <c r="X169" s="153">
        <f t="shared" si="60"/>
        <v>46542</v>
      </c>
      <c r="Y169" s="380">
        <f t="shared" si="61"/>
        <v>29.64240936456763</v>
      </c>
      <c r="Z169" s="380">
        <f t="shared" si="62"/>
        <v>30.473528163453587</v>
      </c>
      <c r="AA169" s="381">
        <f t="shared" si="63"/>
        <v>31.796082556937989</v>
      </c>
      <c r="AB169" s="193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4.1594884876653394E-2</v>
      </c>
      <c r="AD169" s="227">
        <f>(INDEX(Models!$BJ169:$BT169,,AH169)*(1-AF169)+INDEX(Models!$BJ169:$BT169,,AH169+1)*AF169-ERP_i)*AE169*Ramure*Pc/MaxiM</f>
        <v>8.245334147347751E-6</v>
      </c>
      <c r="AE169" s="301">
        <f t="shared" si="65"/>
        <v>0.5</v>
      </c>
      <c r="AF169" s="173">
        <f t="shared" si="66"/>
        <v>0.71283158474113861</v>
      </c>
      <c r="AG169" s="802">
        <f t="shared" si="74"/>
        <v>2</v>
      </c>
      <c r="AH169" s="172">
        <f t="shared" si="67"/>
        <v>8</v>
      </c>
      <c r="AI169" s="221">
        <f t="shared" si="68"/>
        <v>2.7128315847411386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46543</v>
      </c>
      <c r="B170" s="406">
        <f>'2026'!Wh/'2026'!Env_an*'2027'!Env_an</f>
        <v>34.09034771004184</v>
      </c>
      <c r="C170" s="832"/>
      <c r="D170" s="388">
        <f t="shared" si="50"/>
        <v>35.046658302609863</v>
      </c>
      <c r="E170" s="380">
        <f t="shared" ref="E170:E232" si="75">Wh_pvt/(1-Psa)</f>
        <v>35.140752296151973</v>
      </c>
      <c r="F170" s="380">
        <f t="shared" si="51"/>
        <v>35.140845054182456</v>
      </c>
      <c r="G170" s="110">
        <f t="shared" ref="G170:G232" si="76">+Wh_hp/MaxiM</f>
        <v>0.53940581050465719</v>
      </c>
      <c r="H170" s="409" t="b">
        <f>Wh_hp&gt;='2026'!Maxi_hp</f>
        <v>0</v>
      </c>
      <c r="I170" s="385">
        <f>IF(H170,Wh_hp,'2026'!Maxi_hp)</f>
        <v>35.141012790309702</v>
      </c>
      <c r="J170" s="85">
        <f>IF(H170,An,'2026'!An_max)</f>
        <v>2022</v>
      </c>
      <c r="K170" s="193">
        <f t="shared" si="52"/>
        <v>46543</v>
      </c>
      <c r="L170" s="143">
        <f>IF(t&lt;Tvie,1-EXP((T0-t)*PertePVj)+'2026'!Pspv,1-EXP((T0-t)*PertePVj)+Pspv)</f>
        <v>2.728678392989059E-2</v>
      </c>
      <c r="M170" s="836"/>
      <c r="N170" s="836"/>
      <c r="O170" s="48">
        <f>IF(t&lt;Tnet,'2026'!Resal+('2026'!Salim-'2026'!Resal)*(1-EXP(('2026'!Tnet-t)/('2026'!Tau_j))),Resal+(Salim-Resal)*(1-EXP((Tnet-t)/(Tau_j))))*Salcycl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7.7178743145741893E-6</v>
      </c>
      <c r="Q170" s="301">
        <f t="shared" si="53"/>
        <v>0.5</v>
      </c>
      <c r="R170" s="173">
        <f t="shared" si="54"/>
        <v>0.71791208561141051</v>
      </c>
      <c r="S170" s="802">
        <f t="shared" si="55"/>
        <v>2</v>
      </c>
      <c r="T170" s="172">
        <f t="shared" si="56"/>
        <v>8</v>
      </c>
      <c r="U170" s="247">
        <f t="shared" si="57"/>
        <v>2.7179120856114105</v>
      </c>
      <c r="V170" s="378">
        <f t="shared" si="58"/>
        <v>63.199494565699752</v>
      </c>
      <c r="W170" s="397">
        <f t="shared" si="59"/>
        <v>34.09034771004184</v>
      </c>
      <c r="X170" s="153">
        <f t="shared" si="60"/>
        <v>46543</v>
      </c>
      <c r="Y170" s="380">
        <f t="shared" si="61"/>
        <v>32.757880546428034</v>
      </c>
      <c r="Z170" s="380">
        <f t="shared" si="62"/>
        <v>33.676812451232259</v>
      </c>
      <c r="AA170" s="381">
        <f t="shared" si="63"/>
        <v>35.140752296151973</v>
      </c>
      <c r="AB170" s="193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4.1659319999248358E-2</v>
      </c>
      <c r="AD170" s="227">
        <f>(INDEX(Models!$BJ170:$BT170,,AH170)*(1-AF170)+INDEX(Models!$BJ170:$BT170,,AH170+1)*AF170-ERP_i)*AE170*Ramure*Pc/MaxiM</f>
        <v>7.7178743145741893E-6</v>
      </c>
      <c r="AE170" s="301">
        <f t="shared" si="65"/>
        <v>0.5</v>
      </c>
      <c r="AF170" s="173">
        <f t="shared" si="66"/>
        <v>0.71791208561141051</v>
      </c>
      <c r="AG170" s="802">
        <f t="shared" si="74"/>
        <v>2</v>
      </c>
      <c r="AH170" s="172">
        <f t="shared" si="67"/>
        <v>8</v>
      </c>
      <c r="AI170" s="221">
        <f t="shared" si="68"/>
        <v>2.7179120856114105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46544</v>
      </c>
      <c r="B171" s="406">
        <f>'2026'!Wh/'2026'!Env_an*'2027'!Env_an</f>
        <v>54.515472104614851</v>
      </c>
      <c r="C171" s="832"/>
      <c r="D171" s="388">
        <f t="shared" si="50"/>
        <v>56.045520391011735</v>
      </c>
      <c r="E171" s="380">
        <f t="shared" si="75"/>
        <v>56.200212040480352</v>
      </c>
      <c r="F171" s="380">
        <f t="shared" si="51"/>
        <v>56.200538474957391</v>
      </c>
      <c r="G171" s="110">
        <f t="shared" si="76"/>
        <v>0.86238166363514401</v>
      </c>
      <c r="H171" s="409" t="b">
        <f>Wh_hp&gt;='2026'!Maxi_hp</f>
        <v>0</v>
      </c>
      <c r="I171" s="385">
        <f>IF(H171,Wh_hp,'2026'!Maxi_hp)</f>
        <v>56.200613424709161</v>
      </c>
      <c r="J171" s="85">
        <f>IF(H171,An,'2026'!An_max)</f>
        <v>2022</v>
      </c>
      <c r="K171" s="193">
        <f t="shared" si="52"/>
        <v>46544</v>
      </c>
      <c r="L171" s="143">
        <f>IF(t&lt;Tvie,1-EXP((T0-t)*PertePVj)+'2026'!Pspv,1-EXP((T0-t)*PertePVj)+Pspv)</f>
        <v>2.7300099556971325E-2</v>
      </c>
      <c r="M171" s="836"/>
      <c r="N171" s="836"/>
      <c r="O171" s="48">
        <f>IF(t&lt;Tnet,'2026'!Resal+('2026'!Salim-'2026'!Resal)*(1-EXP(('2026'!Tnet-t)/('2026'!Tau_j))),Resal+(Salim-Resal)*(1-EXP((Tnet-t)/(Tau_j))))*Salcycl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7.2297201361680545E-6</v>
      </c>
      <c r="Q171" s="301">
        <f t="shared" si="53"/>
        <v>0.5</v>
      </c>
      <c r="R171" s="173">
        <f t="shared" si="54"/>
        <v>0.72301400415855088</v>
      </c>
      <c r="S171" s="802">
        <f t="shared" si="55"/>
        <v>2</v>
      </c>
      <c r="T171" s="172">
        <f t="shared" si="56"/>
        <v>8</v>
      </c>
      <c r="U171" s="247">
        <f t="shared" si="57"/>
        <v>2.7230140041585509</v>
      </c>
      <c r="V171" s="378">
        <f t="shared" si="58"/>
        <v>63.214927819455781</v>
      </c>
      <c r="W171" s="397">
        <f t="shared" si="59"/>
        <v>54.515472104614851</v>
      </c>
      <c r="X171" s="153">
        <f t="shared" si="60"/>
        <v>46544</v>
      </c>
      <c r="Y171" s="380">
        <f t="shared" si="61"/>
        <v>52.385092938456317</v>
      </c>
      <c r="Z171" s="380">
        <f t="shared" si="62"/>
        <v>53.855349337032784</v>
      </c>
      <c r="AA171" s="381">
        <f t="shared" si="63"/>
        <v>56.200212040480352</v>
      </c>
      <c r="AB171" s="193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4.1723378227800832E-2</v>
      </c>
      <c r="AD171" s="227">
        <f>(INDEX(Models!$BJ171:$BT171,,AH171)*(1-AF171)+INDEX(Models!$BJ171:$BT171,,AH171+1)*AF171-ERP_i)*AE171*Ramure*Pc/MaxiM</f>
        <v>7.2297201361680545E-6</v>
      </c>
      <c r="AE171" s="301">
        <f t="shared" si="65"/>
        <v>0.5</v>
      </c>
      <c r="AF171" s="173">
        <f t="shared" si="66"/>
        <v>0.72301400415855088</v>
      </c>
      <c r="AG171" s="802">
        <f t="shared" si="74"/>
        <v>2</v>
      </c>
      <c r="AH171" s="172">
        <f t="shared" si="67"/>
        <v>8</v>
      </c>
      <c r="AI171" s="221">
        <f t="shared" si="68"/>
        <v>2.7230140041585509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46545</v>
      </c>
      <c r="B172" s="406">
        <f>'2026'!Wh/'2026'!Env_an*'2027'!Env_an</f>
        <v>28.467022282277942</v>
      </c>
      <c r="C172" s="832"/>
      <c r="D172" s="388">
        <f t="shared" si="50"/>
        <v>29.266387263200311</v>
      </c>
      <c r="E172" s="380">
        <f t="shared" si="75"/>
        <v>29.34936925796373</v>
      </c>
      <c r="F172" s="380">
        <f t="shared" si="51"/>
        <v>29.349411976874812</v>
      </c>
      <c r="G172" s="110">
        <f t="shared" si="76"/>
        <v>0.45023055591622296</v>
      </c>
      <c r="H172" s="409" t="b">
        <f>Wh_hp&gt;='2026'!Maxi_hp</f>
        <v>0</v>
      </c>
      <c r="I172" s="385">
        <f>IF(H172,Wh_hp,'2026'!Maxi_hp)</f>
        <v>29.349558396562763</v>
      </c>
      <c r="J172" s="85">
        <f>IF(H172,An,'2026'!An_max)</f>
        <v>2022</v>
      </c>
      <c r="K172" s="193">
        <f t="shared" si="52"/>
        <v>46545</v>
      </c>
      <c r="L172" s="143">
        <f>IF(t&lt;Tvie,1-EXP((T0-t)*PertePVj)+'2026'!Pspv,1-EXP((T0-t)*PertePVj)+Pspv)</f>
        <v>2.7313415001772201E-2</v>
      </c>
      <c r="M172" s="836"/>
      <c r="N172" s="836"/>
      <c r="O172" s="48">
        <f>IF(t&lt;Tnet,'2026'!Resal+('2026'!Salim-'2026'!Resal)*(1-EXP(('2026'!Tnet-t)/('2026'!Tau_j))),Resal+(Salim-Resal)*(1-EXP((Tnet-t)/(Tau_j))))*Salcycl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6.7819346791467886E-6</v>
      </c>
      <c r="Q172" s="301">
        <f t="shared" si="53"/>
        <v>0.5</v>
      </c>
      <c r="R172" s="173">
        <f t="shared" si="54"/>
        <v>0.72813314357637671</v>
      </c>
      <c r="S172" s="802">
        <f t="shared" si="55"/>
        <v>2</v>
      </c>
      <c r="T172" s="172">
        <f t="shared" si="56"/>
        <v>8</v>
      </c>
      <c r="U172" s="247">
        <f t="shared" si="57"/>
        <v>2.7281331435763767</v>
      </c>
      <c r="V172" s="378">
        <f t="shared" si="58"/>
        <v>63.227318272987638</v>
      </c>
      <c r="W172" s="397">
        <f t="shared" si="59"/>
        <v>28.467022282277942</v>
      </c>
      <c r="X172" s="153">
        <f t="shared" si="60"/>
        <v>46545</v>
      </c>
      <c r="Y172" s="380">
        <f t="shared" si="61"/>
        <v>27.354812658073428</v>
      </c>
      <c r="Z172" s="380">
        <f t="shared" si="62"/>
        <v>28.122946363163081</v>
      </c>
      <c r="AA172" s="381">
        <f t="shared" si="63"/>
        <v>29.34936925796373</v>
      </c>
      <c r="AB172" s="193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4.1787027312959031E-2</v>
      </c>
      <c r="AD172" s="227">
        <f>(INDEX(Models!$BJ172:$BT172,,AH172)*(1-AF172)+INDEX(Models!$BJ172:$BT172,,AH172+1)*AF172-ERP_i)*AE172*Ramure*Pc/MaxiM</f>
        <v>6.7819346791467886E-6</v>
      </c>
      <c r="AE172" s="301">
        <f t="shared" si="65"/>
        <v>0.5</v>
      </c>
      <c r="AF172" s="173">
        <f t="shared" si="66"/>
        <v>0.72813314357637671</v>
      </c>
      <c r="AG172" s="802">
        <f t="shared" si="74"/>
        <v>2</v>
      </c>
      <c r="AH172" s="172">
        <f t="shared" si="67"/>
        <v>8</v>
      </c>
      <c r="AI172" s="221">
        <f t="shared" si="68"/>
        <v>2.7281331435763767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46546</v>
      </c>
      <c r="B173" s="406">
        <f>'2026'!Wh/'2026'!Env_an*'2027'!Env_an</f>
        <v>25.651917820159216</v>
      </c>
      <c r="C173" s="832"/>
      <c r="D173" s="388">
        <f t="shared" si="50"/>
        <v>26.372594599139529</v>
      </c>
      <c r="E173" s="380">
        <f t="shared" si="75"/>
        <v>26.449357380490152</v>
      </c>
      <c r="F173" s="380">
        <f t="shared" si="51"/>
        <v>26.449382831200687</v>
      </c>
      <c r="G173" s="110">
        <f t="shared" si="76"/>
        <v>0.40564587384472645</v>
      </c>
      <c r="H173" s="409" t="b">
        <f>Wh_hp&gt;='2026'!Maxi_hp</f>
        <v>0</v>
      </c>
      <c r="I173" s="385">
        <f>IF(H173,Wh_hp,'2026'!Maxi_hp)</f>
        <v>26.449516701435005</v>
      </c>
      <c r="J173" s="85">
        <f>IF(H173,An,'2026'!An_max)</f>
        <v>2022</v>
      </c>
      <c r="K173" s="193">
        <f t="shared" si="52"/>
        <v>46546</v>
      </c>
      <c r="L173" s="143">
        <f>IF(t&lt;Tvie,1-EXP((T0-t)*PertePVj)+'2026'!Pspv,1-EXP((T0-t)*PertePVj)+Pspv)</f>
        <v>2.7326730264295884E-2</v>
      </c>
      <c r="M173" s="836"/>
      <c r="N173" s="836"/>
      <c r="O173" s="48">
        <f>IF(t&lt;Tnet,'2026'!Resal+('2026'!Salim-'2026'!Resal)*(1-EXP(('2026'!Tnet-t)/('2026'!Tau_j))),Resal+(Salim-Resal)*(1-EXP((Tnet-t)/(Tau_j))))*Salcycl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6.3755967727050729E-6</v>
      </c>
      <c r="Q173" s="301">
        <f t="shared" si="53"/>
        <v>0.5</v>
      </c>
      <c r="R173" s="173">
        <f t="shared" si="54"/>
        <v>0.733265249529643</v>
      </c>
      <c r="S173" s="802">
        <f t="shared" si="55"/>
        <v>2</v>
      </c>
      <c r="T173" s="172">
        <f t="shared" si="56"/>
        <v>8</v>
      </c>
      <c r="U173" s="247">
        <f t="shared" si="57"/>
        <v>2.733265249529643</v>
      </c>
      <c r="V173" s="378">
        <f t="shared" si="58"/>
        <v>63.236878792747795</v>
      </c>
      <c r="W173" s="397">
        <f t="shared" si="59"/>
        <v>25.651917820159216</v>
      </c>
      <c r="X173" s="153">
        <f t="shared" si="60"/>
        <v>46546</v>
      </c>
      <c r="Y173" s="380">
        <f t="shared" si="61"/>
        <v>24.649919358089019</v>
      </c>
      <c r="Z173" s="380">
        <f t="shared" si="62"/>
        <v>25.342445531362163</v>
      </c>
      <c r="AA173" s="381">
        <f t="shared" si="63"/>
        <v>26.449357380490152</v>
      </c>
      <c r="AB173" s="193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4.1850236026697615E-2</v>
      </c>
      <c r="AD173" s="227">
        <f>(INDEX(Models!$BJ173:$BT173,,AH173)*(1-AF173)+INDEX(Models!$BJ173:$BT173,,AH173+1)*AF173-ERP_i)*AE173*Ramure*Pc/MaxiM</f>
        <v>6.3755967727050729E-6</v>
      </c>
      <c r="AE173" s="301">
        <f t="shared" si="65"/>
        <v>0.5</v>
      </c>
      <c r="AF173" s="173">
        <f t="shared" si="66"/>
        <v>0.733265249529643</v>
      </c>
      <c r="AG173" s="802">
        <f t="shared" si="74"/>
        <v>2</v>
      </c>
      <c r="AH173" s="172">
        <f t="shared" si="67"/>
        <v>8</v>
      </c>
      <c r="AI173" s="221">
        <f t="shared" si="68"/>
        <v>2.733265249529643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46547</v>
      </c>
      <c r="B174" s="406">
        <f>'2026'!Wh/'2026'!Env_an*'2027'!Env_an</f>
        <v>52.712719350706799</v>
      </c>
      <c r="C174" s="832"/>
      <c r="D174" s="388">
        <f t="shared" si="50"/>
        <v>54.19439661148504</v>
      </c>
      <c r="E174" s="380">
        <f t="shared" si="75"/>
        <v>54.356221217274772</v>
      </c>
      <c r="F174" s="380">
        <f t="shared" si="51"/>
        <v>54.356470262892728</v>
      </c>
      <c r="G174" s="110">
        <f t="shared" si="76"/>
        <v>0.83348289450861335</v>
      </c>
      <c r="H174" s="409" t="b">
        <f>Wh_hp&gt;='2026'!Maxi_hp</f>
        <v>0</v>
      </c>
      <c r="I174" s="385">
        <f>IF(H174,Wh_hp,'2026'!Maxi_hp)</f>
        <v>54.356542817414159</v>
      </c>
      <c r="J174" s="85">
        <f>IF(H174,An,'2026'!An_max)</f>
        <v>2022</v>
      </c>
      <c r="K174" s="193">
        <f t="shared" si="52"/>
        <v>46547</v>
      </c>
      <c r="L174" s="143">
        <f>IF(t&lt;Tvie,1-EXP((T0-t)*PertePVj)+'2026'!Pspv,1-EXP((T0-t)*PertePVj)+Pspv)</f>
        <v>2.7340045344544706E-2</v>
      </c>
      <c r="M174" s="836"/>
      <c r="N174" s="836"/>
      <c r="O174" s="48">
        <f>IF(t&lt;Tnet,'2026'!Resal+('2026'!Salim-'2026'!Resal)*(1-EXP(('2026'!Tnet-t)/('2026'!Tau_j))),Resal+(Salim-Resal)*(1-EXP((Tnet-t)/(Tau_j))))*Salcycl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6.0117959032409434E-6</v>
      </c>
      <c r="Q174" s="301">
        <f t="shared" si="53"/>
        <v>0.5</v>
      </c>
      <c r="R174" s="173">
        <f t="shared" si="54"/>
        <v>0.73840602417394896</v>
      </c>
      <c r="S174" s="802">
        <f t="shared" si="55"/>
        <v>2</v>
      </c>
      <c r="T174" s="172">
        <f t="shared" si="56"/>
        <v>8</v>
      </c>
      <c r="U174" s="247">
        <f t="shared" si="57"/>
        <v>2.738406024173949</v>
      </c>
      <c r="V174" s="378">
        <f t="shared" si="58"/>
        <v>63.243822175565171</v>
      </c>
      <c r="W174" s="397">
        <f t="shared" si="59"/>
        <v>52.712719350706799</v>
      </c>
      <c r="X174" s="153">
        <f t="shared" si="60"/>
        <v>46547</v>
      </c>
      <c r="Y174" s="380">
        <f t="shared" si="61"/>
        <v>50.654175698420474</v>
      </c>
      <c r="Z174" s="380">
        <f t="shared" si="62"/>
        <v>52.077990315087732</v>
      </c>
      <c r="AA174" s="381">
        <f t="shared" si="63"/>
        <v>54.356221217274772</v>
      </c>
      <c r="AB174" s="193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4.1912974286428296E-2</v>
      </c>
      <c r="AD174" s="227">
        <f>(INDEX(Models!$BJ174:$BT174,,AH174)*(1-AF174)+INDEX(Models!$BJ174:$BT174,,AH174+1)*AF174-ERP_i)*AE174*Ramure*Pc/MaxiM</f>
        <v>6.0117959032409434E-6</v>
      </c>
      <c r="AE174" s="301">
        <f t="shared" si="65"/>
        <v>0.5</v>
      </c>
      <c r="AF174" s="173">
        <f t="shared" si="66"/>
        <v>0.73840602417394896</v>
      </c>
      <c r="AG174" s="802">
        <f t="shared" si="74"/>
        <v>2</v>
      </c>
      <c r="AH174" s="172">
        <f t="shared" si="67"/>
        <v>8</v>
      </c>
      <c r="AI174" s="221">
        <f t="shared" si="68"/>
        <v>2.738406024173949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46548</v>
      </c>
      <c r="B175" s="406">
        <f>'2026'!Wh/'2026'!Env_an*'2027'!Env_an</f>
        <v>64.854206403212686</v>
      </c>
      <c r="C175" s="832"/>
      <c r="D175" s="388">
        <f t="shared" si="50"/>
        <v>66.678075831715759</v>
      </c>
      <c r="E175" s="380">
        <f t="shared" si="75"/>
        <v>66.882197275381444</v>
      </c>
      <c r="F175" s="380">
        <f t="shared" si="51"/>
        <v>66.882577946073681</v>
      </c>
      <c r="G175" s="110">
        <f t="shared" si="76"/>
        <v>1.0253895155984705</v>
      </c>
      <c r="H175" s="409" t="b">
        <f>Wh_hp&gt;='2026'!Maxi_hp</f>
        <v>1</v>
      </c>
      <c r="I175" s="385">
        <f>IF(H175,Wh_hp,'2026'!Maxi_hp)</f>
        <v>66.882577946073681</v>
      </c>
      <c r="J175" s="85">
        <f>IF(H175,An,'2026'!An_max)</f>
        <v>2027</v>
      </c>
      <c r="K175" s="193">
        <f t="shared" si="52"/>
        <v>46548</v>
      </c>
      <c r="L175" s="143">
        <f>IF(t&lt;Tvie,1-EXP((T0-t)*PertePVj)+'2026'!Pspv,1-EXP((T0-t)*PertePVj)+Pspv)</f>
        <v>2.735336024252133E-2</v>
      </c>
      <c r="M175" s="836"/>
      <c r="N175" s="836"/>
      <c r="O175" s="48">
        <f>IF(t&lt;Tnet,'2026'!Resal+('2026'!Salim-'2026'!Resal)*(1-EXP(('2026'!Tnet-t)/('2026'!Tau_j))),Resal+(Salim-Resal)*(1-EXP((Tnet-t)/(Tau_j))))*Salcycl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5.6916270863371581E-6</v>
      </c>
      <c r="Q175" s="301">
        <f t="shared" si="53"/>
        <v>0.5</v>
      </c>
      <c r="R175" s="173">
        <f t="shared" si="54"/>
        <v>0.74355114048496063</v>
      </c>
      <c r="S175" s="802">
        <f t="shared" si="55"/>
        <v>2</v>
      </c>
      <c r="T175" s="172">
        <f t="shared" si="56"/>
        <v>8</v>
      </c>
      <c r="U175" s="247">
        <f t="shared" si="57"/>
        <v>2.7435511404849606</v>
      </c>
      <c r="V175" s="378">
        <f t="shared" si="58"/>
        <v>63.248361151186934</v>
      </c>
      <c r="W175" s="397">
        <f t="shared" si="59"/>
        <v>64.854206403212686</v>
      </c>
      <c r="X175" s="153">
        <f t="shared" si="60"/>
        <v>46548</v>
      </c>
      <c r="Y175" s="380">
        <f t="shared" si="61"/>
        <v>62.322141617559993</v>
      </c>
      <c r="Z175" s="380">
        <f t="shared" si="62"/>
        <v>64.074802780483054</v>
      </c>
      <c r="AA175" s="381">
        <f t="shared" si="63"/>
        <v>66.882197275381444</v>
      </c>
      <c r="AB175" s="193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4.1975213274456268E-2</v>
      </c>
      <c r="AD175" s="227">
        <f>(INDEX(Models!$BJ175:$BT175,,AH175)*(1-AF175)+INDEX(Models!$BJ175:$BT175,,AH175+1)*AF175-ERP_i)*AE175*Ramure*Pc/MaxiM</f>
        <v>5.6916270863371581E-6</v>
      </c>
      <c r="AE175" s="301">
        <f t="shared" si="65"/>
        <v>0.5</v>
      </c>
      <c r="AF175" s="173">
        <f t="shared" si="66"/>
        <v>0.74355114048496063</v>
      </c>
      <c r="AG175" s="802">
        <f t="shared" si="74"/>
        <v>2</v>
      </c>
      <c r="AH175" s="172">
        <f t="shared" si="67"/>
        <v>8</v>
      </c>
      <c r="AI175" s="221">
        <f t="shared" si="68"/>
        <v>2.7435511404849606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46549</v>
      </c>
      <c r="B176" s="406">
        <f>'2026'!Wh/'2026'!Env_an*'2027'!Env_an</f>
        <v>62.095214235475609</v>
      </c>
      <c r="C176" s="832"/>
      <c r="D176" s="388">
        <f t="shared" si="50"/>
        <v>63.84236755697097</v>
      </c>
      <c r="E176" s="380">
        <f t="shared" si="75"/>
        <v>64.042614481033638</v>
      </c>
      <c r="F176" s="380">
        <f t="shared" si="51"/>
        <v>64.042952297045076</v>
      </c>
      <c r="G176" s="110">
        <f t="shared" si="76"/>
        <v>0.98173138371342128</v>
      </c>
      <c r="H176" s="409" t="b">
        <f>Wh_hp&gt;='2026'!Maxi_hp</f>
        <v>0</v>
      </c>
      <c r="I176" s="385">
        <f>IF(H176,Wh_hp,'2026'!Maxi_hp)</f>
        <v>64.04296071880799</v>
      </c>
      <c r="J176" s="85">
        <f>IF(H176,An,'2026'!An_max)</f>
        <v>2022</v>
      </c>
      <c r="K176" s="193">
        <f t="shared" si="52"/>
        <v>46549</v>
      </c>
      <c r="L176" s="143">
        <f>IF(t&lt;Tvie,1-EXP((T0-t)*PertePVj)+'2026'!Pspv,1-EXP((T0-t)*PertePVj)+Pspv)</f>
        <v>2.7366674958228199E-2</v>
      </c>
      <c r="M176" s="836"/>
      <c r="N176" s="836"/>
      <c r="O176" s="48">
        <f>IF(t&lt;Tnet,'2026'!Resal+('2026'!Salim-'2026'!Resal)*(1-EXP(('2026'!Tnet-t)/('2026'!Tau_j))),Resal+(Salim-Resal)*(1-EXP((Tnet-t)/(Tau_j))))*Salcycl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5.4161857486283988E-6</v>
      </c>
      <c r="Q176" s="301">
        <f t="shared" si="53"/>
        <v>0.5</v>
      </c>
      <c r="R176" s="173">
        <f t="shared" si="54"/>
        <v>0.74869625679597185</v>
      </c>
      <c r="S176" s="802">
        <f t="shared" si="55"/>
        <v>2</v>
      </c>
      <c r="T176" s="172">
        <f t="shared" si="56"/>
        <v>8</v>
      </c>
      <c r="U176" s="247">
        <f t="shared" si="57"/>
        <v>2.7486962567959718</v>
      </c>
      <c r="V176" s="378">
        <f t="shared" si="58"/>
        <v>63.250708379468087</v>
      </c>
      <c r="W176" s="397">
        <f t="shared" si="59"/>
        <v>62.095214235475609</v>
      </c>
      <c r="X176" s="153">
        <f t="shared" si="60"/>
        <v>46549</v>
      </c>
      <c r="Y176" s="380">
        <f t="shared" si="61"/>
        <v>59.671501770309177</v>
      </c>
      <c r="Z176" s="380">
        <f t="shared" si="62"/>
        <v>61.350459863943549</v>
      </c>
      <c r="AA176" s="381">
        <f t="shared" si="63"/>
        <v>64.042614481033638</v>
      </c>
      <c r="AB176" s="193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4.2036925551928825E-2</v>
      </c>
      <c r="AD176" s="227">
        <f>(INDEX(Models!$BJ176:$BT176,,AH176)*(1-AF176)+INDEX(Models!$BJ176:$BT176,,AH176+1)*AF176-ERP_i)*AE176*Ramure*Pc/MaxiM</f>
        <v>5.4161857486283988E-6</v>
      </c>
      <c r="AE176" s="301">
        <f t="shared" si="65"/>
        <v>0.5</v>
      </c>
      <c r="AF176" s="173">
        <f t="shared" si="66"/>
        <v>0.74869625679597185</v>
      </c>
      <c r="AG176" s="802">
        <f t="shared" si="74"/>
        <v>2</v>
      </c>
      <c r="AH176" s="172">
        <f t="shared" si="67"/>
        <v>8</v>
      </c>
      <c r="AI176" s="221">
        <f t="shared" si="68"/>
        <v>2.7486962567959718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46550</v>
      </c>
      <c r="B177" s="406">
        <f>'2026'!Wh/'2026'!Env_an*'2027'!Env_an</f>
        <v>50.071810983438915</v>
      </c>
      <c r="C177" s="832"/>
      <c r="D177" s="388">
        <f t="shared" si="50"/>
        <v>51.481370362994355</v>
      </c>
      <c r="E177" s="380">
        <f t="shared" si="75"/>
        <v>51.646721079133464</v>
      </c>
      <c r="F177" s="380">
        <f t="shared" si="51"/>
        <v>51.646909209229506</v>
      </c>
      <c r="G177" s="110">
        <f t="shared" si="76"/>
        <v>0.79162675971002094</v>
      </c>
      <c r="H177" s="409" t="b">
        <f>Wh_hp&gt;='2026'!Maxi_hp</f>
        <v>0</v>
      </c>
      <c r="I177" s="385">
        <f>IF(H177,Wh_hp,'2026'!Maxi_hp)</f>
        <v>51.646983281304863</v>
      </c>
      <c r="J177" s="85">
        <f>IF(H177,An,'2026'!An_max)</f>
        <v>2022</v>
      </c>
      <c r="K177" s="193">
        <f t="shared" si="52"/>
        <v>46550</v>
      </c>
      <c r="L177" s="143">
        <f>IF(t&lt;Tvie,1-EXP((T0-t)*PertePVj)+'2026'!Pspv,1-EXP((T0-t)*PertePVj)+Pspv)</f>
        <v>2.7379989491667756E-2</v>
      </c>
      <c r="M177" s="836"/>
      <c r="N177" s="836"/>
      <c r="O177" s="48">
        <f>IF(t&lt;Tnet,'2026'!Resal+('2026'!Salim-'2026'!Resal)*(1-EXP(('2026'!Tnet-t)/('2026'!Tau_j))),Resal+(Salim-Resal)*(1-EXP((Tnet-t)/(Tau_j))))*Salcycl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5.1865120018892245E-6</v>
      </c>
      <c r="Q177" s="301">
        <f t="shared" si="53"/>
        <v>0.5</v>
      </c>
      <c r="R177" s="173">
        <f t="shared" si="54"/>
        <v>0.7538370314402778</v>
      </c>
      <c r="S177" s="802">
        <f t="shared" si="55"/>
        <v>2</v>
      </c>
      <c r="T177" s="172">
        <f t="shared" si="56"/>
        <v>8</v>
      </c>
      <c r="U177" s="247">
        <f t="shared" si="57"/>
        <v>2.7538370314402778</v>
      </c>
      <c r="V177" s="378">
        <f t="shared" si="58"/>
        <v>63.251694139370869</v>
      </c>
      <c r="W177" s="397">
        <f t="shared" si="59"/>
        <v>50.071810983438915</v>
      </c>
      <c r="X177" s="153">
        <f t="shared" si="60"/>
        <v>46550</v>
      </c>
      <c r="Y177" s="380">
        <f t="shared" si="61"/>
        <v>48.117936677655671</v>
      </c>
      <c r="Z177" s="380">
        <f t="shared" si="62"/>
        <v>49.472493016576131</v>
      </c>
      <c r="AA177" s="381">
        <f t="shared" si="63"/>
        <v>51.646721079133464</v>
      </c>
      <c r="AB177" s="193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4.2098085166451679E-2</v>
      </c>
      <c r="AD177" s="227">
        <f>(INDEX(Models!$BJ177:$BT177,,AH177)*(1-AF177)+INDEX(Models!$BJ177:$BT177,,AH177+1)*AF177-ERP_i)*AE177*Ramure*Pc/MaxiM</f>
        <v>5.1865120018892245E-6</v>
      </c>
      <c r="AE177" s="301">
        <f t="shared" si="65"/>
        <v>0.5</v>
      </c>
      <c r="AF177" s="173">
        <f t="shared" si="66"/>
        <v>0.7538370314402778</v>
      </c>
      <c r="AG177" s="802">
        <f t="shared" si="74"/>
        <v>2</v>
      </c>
      <c r="AH177" s="172">
        <f t="shared" si="67"/>
        <v>8</v>
      </c>
      <c r="AI177" s="221">
        <f t="shared" si="68"/>
        <v>2.7538370314402778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46551</v>
      </c>
      <c r="B178" s="406">
        <f>'2026'!Wh/'2026'!Env_an*'2027'!Env_an</f>
        <v>55.978741951360668</v>
      </c>
      <c r="C178" s="832"/>
      <c r="D178" s="388">
        <f t="shared" si="50"/>
        <v>57.555373793473663</v>
      </c>
      <c r="E178" s="380">
        <f t="shared" si="75"/>
        <v>57.744564537042223</v>
      </c>
      <c r="F178" s="380">
        <f t="shared" si="51"/>
        <v>57.744806406528141</v>
      </c>
      <c r="G178" s="110">
        <f t="shared" si="76"/>
        <v>0.88501552938327266</v>
      </c>
      <c r="H178" s="409" t="b">
        <f>Wh_hp&gt;='2026'!Maxi_hp</f>
        <v>0</v>
      </c>
      <c r="I178" s="385">
        <f>IF(H178,Wh_hp,'2026'!Maxi_hp)</f>
        <v>57.744850509610608</v>
      </c>
      <c r="J178" s="85">
        <f>IF(H178,An,'2026'!An_max)</f>
        <v>2022</v>
      </c>
      <c r="K178" s="193">
        <f t="shared" si="52"/>
        <v>46551</v>
      </c>
      <c r="L178" s="143">
        <f>IF(t&lt;Tvie,1-EXP((T0-t)*PertePVj)+'2026'!Pspv,1-EXP((T0-t)*PertePVj)+Pspv)</f>
        <v>2.7393303842842442E-2</v>
      </c>
      <c r="M178" s="836"/>
      <c r="N178" s="836"/>
      <c r="O178" s="48">
        <f>IF(t&lt;Tnet,'2026'!Resal+('2026'!Salim-'2026'!Resal)*(1-EXP(('2026'!Tnet-t)/('2026'!Tau_j))),Resal+(Salim-Resal)*(1-EXP((Tnet-t)/(Tau_j))))*Salcycl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5.0118522135235608E-6</v>
      </c>
      <c r="Q178" s="301">
        <f t="shared" si="53"/>
        <v>0.5</v>
      </c>
      <c r="R178" s="173">
        <f t="shared" si="54"/>
        <v>0.75896913739354455</v>
      </c>
      <c r="S178" s="802">
        <f t="shared" si="55"/>
        <v>2</v>
      </c>
      <c r="T178" s="172">
        <f t="shared" si="56"/>
        <v>8</v>
      </c>
      <c r="U178" s="247">
        <f t="shared" si="57"/>
        <v>2.7589691373935445</v>
      </c>
      <c r="V178" s="378">
        <f t="shared" si="58"/>
        <v>63.251653793189128</v>
      </c>
      <c r="W178" s="397">
        <f t="shared" si="59"/>
        <v>55.978741951360668</v>
      </c>
      <c r="X178" s="153">
        <f t="shared" si="60"/>
        <v>46551</v>
      </c>
      <c r="Y178" s="380">
        <f t="shared" si="61"/>
        <v>53.795003412376317</v>
      </c>
      <c r="Z178" s="380">
        <f t="shared" si="62"/>
        <v>55.310130626207318</v>
      </c>
      <c r="AA178" s="381">
        <f t="shared" si="63"/>
        <v>57.744564537042223</v>
      </c>
      <c r="AB178" s="193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4.2158667752585678E-2</v>
      </c>
      <c r="AD178" s="227">
        <f>(INDEX(Models!$BJ178:$BT178,,AH178)*(1-AF178)+INDEX(Models!$BJ178:$BT178,,AH178+1)*AF178-ERP_i)*AE178*Ramure*Pc/MaxiM</f>
        <v>5.0118522135235608E-6</v>
      </c>
      <c r="AE178" s="301">
        <f t="shared" si="65"/>
        <v>0.5</v>
      </c>
      <c r="AF178" s="173">
        <f t="shared" si="66"/>
        <v>0.75896913739354455</v>
      </c>
      <c r="AG178" s="802">
        <f t="shared" si="74"/>
        <v>2</v>
      </c>
      <c r="AH178" s="172">
        <f t="shared" si="67"/>
        <v>8</v>
      </c>
      <c r="AI178" s="221">
        <f t="shared" si="68"/>
        <v>2.7589691373935445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46552</v>
      </c>
      <c r="B179" s="406">
        <f>'2026'!Wh/'2026'!Env_an*'2027'!Env_an</f>
        <v>56.906379678472923</v>
      </c>
      <c r="C179" s="832"/>
      <c r="D179" s="388">
        <f t="shared" si="50"/>
        <v>58.50993923292058</v>
      </c>
      <c r="E179" s="380">
        <f t="shared" si="75"/>
        <v>58.706669390415918</v>
      </c>
      <c r="F179" s="380">
        <f t="shared" si="51"/>
        <v>58.706913735580848</v>
      </c>
      <c r="G179" s="110">
        <f t="shared" si="76"/>
        <v>0.89970411763489111</v>
      </c>
      <c r="H179" s="409" t="b">
        <f>Wh_hp&gt;='2026'!Maxi_hp</f>
        <v>0</v>
      </c>
      <c r="I179" s="385">
        <f>IF(H179,Wh_hp,'2026'!Maxi_hp)</f>
        <v>58.706951596633296</v>
      </c>
      <c r="J179" s="85">
        <f>IF(H179,An,'2026'!An_max)</f>
        <v>2022</v>
      </c>
      <c r="K179" s="193">
        <f t="shared" si="52"/>
        <v>46552</v>
      </c>
      <c r="L179" s="143">
        <f>IF(t&lt;Tvie,1-EXP((T0-t)*PertePVj)+'2026'!Pspv,1-EXP((T0-t)*PertePVj)+Pspv)</f>
        <v>2.7406618011755035E-2</v>
      </c>
      <c r="M179" s="836"/>
      <c r="N179" s="836"/>
      <c r="O179" s="48">
        <f>IF(t&lt;Tnet,'2026'!Resal+('2026'!Salim-'2026'!Resal)*(1-EXP(('2026'!Tnet-t)/('2026'!Tau_j))),Resal+(Salim-Resal)*(1-EXP((Tnet-t)/(Tau_j))))*Salcycl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4.858196263039941E-6</v>
      </c>
      <c r="Q179" s="301">
        <f t="shared" si="53"/>
        <v>0.5</v>
      </c>
      <c r="R179" s="173">
        <f t="shared" si="54"/>
        <v>0.76408827681137037</v>
      </c>
      <c r="S179" s="802">
        <f t="shared" si="55"/>
        <v>2</v>
      </c>
      <c r="T179" s="172">
        <f t="shared" si="56"/>
        <v>8</v>
      </c>
      <c r="U179" s="247">
        <f t="shared" si="57"/>
        <v>2.7640882768113704</v>
      </c>
      <c r="V179" s="378">
        <f t="shared" si="58"/>
        <v>63.250060716258631</v>
      </c>
      <c r="W179" s="397">
        <f t="shared" si="59"/>
        <v>56.906379678472923</v>
      </c>
      <c r="X179" s="153">
        <f t="shared" si="60"/>
        <v>46552</v>
      </c>
      <c r="Y179" s="380">
        <f t="shared" si="61"/>
        <v>54.687129514602347</v>
      </c>
      <c r="Z179" s="380">
        <f t="shared" si="62"/>
        <v>56.228153026095043</v>
      </c>
      <c r="AA179" s="381">
        <f t="shared" si="63"/>
        <v>58.706669390415918</v>
      </c>
      <c r="AB179" s="193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4.2218650624480866E-2</v>
      </c>
      <c r="AD179" s="227">
        <f>(INDEX(Models!$BJ179:$BT179,,AH179)*(1-AF179)+INDEX(Models!$BJ179:$BT179,,AH179+1)*AF179-ERP_i)*AE179*Ramure*Pc/MaxiM</f>
        <v>4.858196263039941E-6</v>
      </c>
      <c r="AE179" s="301">
        <f t="shared" si="65"/>
        <v>0.5</v>
      </c>
      <c r="AF179" s="173">
        <f t="shared" si="66"/>
        <v>0.76408827681137037</v>
      </c>
      <c r="AG179" s="802">
        <f t="shared" si="74"/>
        <v>2</v>
      </c>
      <c r="AH179" s="172">
        <f t="shared" si="67"/>
        <v>8</v>
      </c>
      <c r="AI179" s="221">
        <f t="shared" si="68"/>
        <v>2.7640882768113704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46553</v>
      </c>
      <c r="B180" s="406">
        <f>'2026'!Wh/'2026'!Env_an*'2027'!Env_an</f>
        <v>60.365027119465132</v>
      </c>
      <c r="C180" s="832"/>
      <c r="D180" s="388">
        <f t="shared" si="50"/>
        <v>62.066897220606315</v>
      </c>
      <c r="E180" s="380">
        <f t="shared" si="75"/>
        <v>62.280254543129118</v>
      </c>
      <c r="F180" s="380">
        <f t="shared" si="51"/>
        <v>62.280529730049054</v>
      </c>
      <c r="G180" s="110">
        <f t="shared" si="76"/>
        <v>0.95444201795505978</v>
      </c>
      <c r="H180" s="409" t="b">
        <f>Wh_hp&gt;='2026'!Maxi_hp</f>
        <v>0</v>
      </c>
      <c r="I180" s="385">
        <f>IF(H180,Wh_hp,'2026'!Maxi_hp)</f>
        <v>62.280547455261207</v>
      </c>
      <c r="J180" s="85">
        <f>IF(H180,An,'2026'!An_max)</f>
        <v>2022</v>
      </c>
      <c r="K180" s="193">
        <f t="shared" si="52"/>
        <v>46553</v>
      </c>
      <c r="L180" s="143">
        <f>IF(t&lt;Tvie,1-EXP((T0-t)*PertePVj)+'2026'!Pspv,1-EXP((T0-t)*PertePVj)+Pspv)</f>
        <v>2.7419931998407643E-2</v>
      </c>
      <c r="M180" s="836"/>
      <c r="N180" s="836"/>
      <c r="O180" s="48">
        <f>IF(t&lt;Tnet,'2026'!Resal+('2026'!Salim-'2026'!Resal)*(1-EXP(('2026'!Tnet-t)/('2026'!Tau_j))),Resal+(Salim-Resal)*(1-EXP((Tnet-t)/(Tau_j))))*Salcycl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4.7260918703650025E-6</v>
      </c>
      <c r="Q180" s="301">
        <f t="shared" si="53"/>
        <v>0.5</v>
      </c>
      <c r="R180" s="173">
        <f t="shared" si="54"/>
        <v>0.7691901953585103</v>
      </c>
      <c r="S180" s="802">
        <f t="shared" si="55"/>
        <v>2</v>
      </c>
      <c r="T180" s="172">
        <f t="shared" si="56"/>
        <v>8</v>
      </c>
      <c r="U180" s="247">
        <f t="shared" si="57"/>
        <v>2.7691901953585103</v>
      </c>
      <c r="V180" s="378">
        <f t="shared" si="58"/>
        <v>63.246386282650896</v>
      </c>
      <c r="W180" s="397">
        <f t="shared" si="59"/>
        <v>60.365027119465132</v>
      </c>
      <c r="X180" s="153">
        <f t="shared" si="60"/>
        <v>46553</v>
      </c>
      <c r="Y180" s="380">
        <f t="shared" si="61"/>
        <v>58.011647818899654</v>
      </c>
      <c r="Z180" s="380">
        <f t="shared" si="62"/>
        <v>59.647169140633338</v>
      </c>
      <c r="AA180" s="381">
        <f t="shared" si="63"/>
        <v>62.280254543129118</v>
      </c>
      <c r="AB180" s="193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4.227801285995663E-2</v>
      </c>
      <c r="AD180" s="227">
        <f>(INDEX(Models!$BJ180:$BT180,,AH180)*(1-AF180)+INDEX(Models!$BJ180:$BT180,,AH180+1)*AF180-ERP_i)*AE180*Ramure*Pc/MaxiM</f>
        <v>4.7260918703650025E-6</v>
      </c>
      <c r="AE180" s="301">
        <f t="shared" si="65"/>
        <v>0.5</v>
      </c>
      <c r="AF180" s="173">
        <f t="shared" si="66"/>
        <v>0.7691901953585103</v>
      </c>
      <c r="AG180" s="802">
        <f t="shared" si="74"/>
        <v>2</v>
      </c>
      <c r="AH180" s="172">
        <f t="shared" si="67"/>
        <v>8</v>
      </c>
      <c r="AI180" s="221">
        <f t="shared" si="68"/>
        <v>2.7691901953585103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46554</v>
      </c>
      <c r="B181" s="406">
        <f>'2026'!Wh/'2026'!Env_an*'2027'!Env_an</f>
        <v>57.201780061099349</v>
      </c>
      <c r="C181" s="832"/>
      <c r="D181" s="388">
        <f t="shared" si="50"/>
        <v>58.81527392771762</v>
      </c>
      <c r="E181" s="380">
        <f t="shared" si="75"/>
        <v>59.021874662341943</v>
      </c>
      <c r="F181" s="380">
        <f t="shared" si="51"/>
        <v>59.022109949594757</v>
      </c>
      <c r="G181" s="110">
        <f t="shared" si="76"/>
        <v>0.90451694707622776</v>
      </c>
      <c r="H181" s="409" t="b">
        <f>Wh_hp&gt;='2026'!Maxi_hp</f>
        <v>0</v>
      </c>
      <c r="I181" s="385">
        <f>IF(H181,Wh_hp,'2026'!Maxi_hp)</f>
        <v>59.022144290710564</v>
      </c>
      <c r="J181" s="85">
        <f>IF(H181,An,'2026'!An_max)</f>
        <v>2022</v>
      </c>
      <c r="K181" s="193">
        <f t="shared" si="52"/>
        <v>46554</v>
      </c>
      <c r="L181" s="143">
        <f>IF(t&lt;Tvie,1-EXP((T0-t)*PertePVj)+'2026'!Pspv,1-EXP((T0-t)*PertePVj)+Pspv)</f>
        <v>2.7433245802803041E-2</v>
      </c>
      <c r="M181" s="836"/>
      <c r="N181" s="836"/>
      <c r="O181" s="48">
        <f>IF(t&lt;Tnet,'2026'!Resal+('2026'!Salim-'2026'!Resal)*(1-EXP(('2026'!Tnet-t)/('2026'!Tau_j))),Resal+(Salim-Resal)*(1-EXP((Tnet-t)/(Tau_j))))*Salcycl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4.6160745981405508E-6</v>
      </c>
      <c r="Q181" s="301">
        <f t="shared" si="53"/>
        <v>0.5</v>
      </c>
      <c r="R181" s="173">
        <f t="shared" si="54"/>
        <v>0.7742706962287822</v>
      </c>
      <c r="S181" s="802">
        <f t="shared" si="55"/>
        <v>2</v>
      </c>
      <c r="T181" s="172">
        <f t="shared" si="56"/>
        <v>8</v>
      </c>
      <c r="U181" s="247">
        <f t="shared" si="57"/>
        <v>2.7742706962287822</v>
      </c>
      <c r="V181" s="378">
        <f t="shared" si="58"/>
        <v>63.240102055372851</v>
      </c>
      <c r="W181" s="397">
        <f t="shared" si="59"/>
        <v>57.201780061099349</v>
      </c>
      <c r="X181" s="153">
        <f t="shared" si="60"/>
        <v>46554</v>
      </c>
      <c r="Y181" s="380">
        <f t="shared" si="61"/>
        <v>54.972469594040902</v>
      </c>
      <c r="Z181" s="380">
        <f t="shared" si="62"/>
        <v>56.523081173402645</v>
      </c>
      <c r="AA181" s="381">
        <f t="shared" si="63"/>
        <v>59.021874662341943</v>
      </c>
      <c r="AB181" s="193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4.2336735375394965E-2</v>
      </c>
      <c r="AD181" s="227">
        <f>(INDEX(Models!$BJ181:$BT181,,AH181)*(1-AF181)+INDEX(Models!$BJ181:$BT181,,AH181+1)*AF181-ERP_i)*AE181*Ramure*Pc/MaxiM</f>
        <v>4.6160745981405508E-6</v>
      </c>
      <c r="AE181" s="301">
        <f t="shared" si="65"/>
        <v>0.5</v>
      </c>
      <c r="AF181" s="173">
        <f t="shared" si="66"/>
        <v>0.7742706962287822</v>
      </c>
      <c r="AG181" s="802">
        <f t="shared" si="74"/>
        <v>2</v>
      </c>
      <c r="AH181" s="172">
        <f t="shared" si="67"/>
        <v>8</v>
      </c>
      <c r="AI181" s="221">
        <f t="shared" si="68"/>
        <v>2.7742706962287822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46555</v>
      </c>
      <c r="B182" s="406">
        <f>'2026'!Wh/'2026'!Env_an*'2027'!Env_an</f>
        <v>57.369181758078106</v>
      </c>
      <c r="C182" s="832"/>
      <c r="D182" s="388">
        <f t="shared" si="50"/>
        <v>58.988205032883918</v>
      </c>
      <c r="E182" s="380">
        <f t="shared" si="75"/>
        <v>59.199844972043145</v>
      </c>
      <c r="F182" s="380">
        <f t="shared" si="51"/>
        <v>59.200077565705854</v>
      </c>
      <c r="G182" s="110">
        <f t="shared" si="76"/>
        <v>0.90729923436496229</v>
      </c>
      <c r="H182" s="409" t="b">
        <f>Wh_hp&gt;='2026'!Maxi_hp</f>
        <v>0</v>
      </c>
      <c r="I182" s="385">
        <f>IF(H182,Wh_hp,'2026'!Maxi_hp)</f>
        <v>59.20011033031976</v>
      </c>
      <c r="J182" s="85">
        <f>IF(H182,An,'2026'!An_max)</f>
        <v>2022</v>
      </c>
      <c r="K182" s="193">
        <f t="shared" si="52"/>
        <v>46555</v>
      </c>
      <c r="L182" s="143">
        <f>IF(t&lt;Tvie,1-EXP((T0-t)*PertePVj)+'2026'!Pspv,1-EXP((T0-t)*PertePVj)+Pspv)</f>
        <v>2.7446559424943673E-2</v>
      </c>
      <c r="M182" s="836"/>
      <c r="N182" s="836"/>
      <c r="O182" s="48">
        <f>IF(t&lt;Tnet,'2026'!Resal+('2026'!Salim-'2026'!Resal)*(1-EXP(('2026'!Tnet-t)/('2026'!Tau_j))),Resal+(Salim-Resal)*(1-EXP((Tnet-t)/(Tau_j))))*Salcycl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4.528668373570463E-6</v>
      </c>
      <c r="Q182" s="301">
        <f t="shared" si="53"/>
        <v>0.5</v>
      </c>
      <c r="R182" s="173">
        <f t="shared" si="54"/>
        <v>0.77932565375844209</v>
      </c>
      <c r="S182" s="802">
        <f t="shared" si="55"/>
        <v>2</v>
      </c>
      <c r="T182" s="172">
        <f t="shared" si="56"/>
        <v>8</v>
      </c>
      <c r="U182" s="247">
        <f t="shared" si="57"/>
        <v>2.7793256537584421</v>
      </c>
      <c r="V182" s="378">
        <f t="shared" si="58"/>
        <v>63.230679779287243</v>
      </c>
      <c r="W182" s="397">
        <f t="shared" si="59"/>
        <v>57.369181758078106</v>
      </c>
      <c r="X182" s="153">
        <f t="shared" si="60"/>
        <v>46555</v>
      </c>
      <c r="Y182" s="380">
        <f t="shared" si="61"/>
        <v>55.134131694743225</v>
      </c>
      <c r="Z182" s="380">
        <f t="shared" si="62"/>
        <v>56.690079325762539</v>
      </c>
      <c r="AA182" s="381">
        <f t="shared" si="63"/>
        <v>59.199844972043145</v>
      </c>
      <c r="AB182" s="193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4.2394800990878112E-2</v>
      </c>
      <c r="AD182" s="227">
        <f>(INDEX(Models!$BJ182:$BT182,,AH182)*(1-AF182)+INDEX(Models!$BJ182:$BT182,,AH182+1)*AF182-ERP_i)*AE182*Ramure*Pc/MaxiM</f>
        <v>4.528668373570463E-6</v>
      </c>
      <c r="AE182" s="301">
        <f t="shared" si="65"/>
        <v>0.5</v>
      </c>
      <c r="AF182" s="173">
        <f t="shared" si="66"/>
        <v>0.77932565375844209</v>
      </c>
      <c r="AG182" s="802">
        <f t="shared" si="74"/>
        <v>2</v>
      </c>
      <c r="AH182" s="172">
        <f t="shared" si="67"/>
        <v>8</v>
      </c>
      <c r="AI182" s="221">
        <f t="shared" si="68"/>
        <v>2.7793256537584421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46556</v>
      </c>
      <c r="B183" s="406">
        <f>'2026'!Wh/'2026'!Env_an*'2027'!Env_an</f>
        <v>61.08608084489731</v>
      </c>
      <c r="C183" s="832"/>
      <c r="D183" s="388">
        <f t="shared" si="50"/>
        <v>62.810859048911297</v>
      </c>
      <c r="E183" s="380">
        <f t="shared" si="75"/>
        <v>63.040930302902623</v>
      </c>
      <c r="F183" s="380">
        <f t="shared" si="51"/>
        <v>63.041198186966675</v>
      </c>
      <c r="G183" s="110">
        <f t="shared" si="76"/>
        <v>0.96628274461269348</v>
      </c>
      <c r="H183" s="409" t="b">
        <f>Wh_hp&gt;='2026'!Maxi_hp</f>
        <v>0</v>
      </c>
      <c r="I183" s="385">
        <f>IF(H183,Wh_hp,'2026'!Maxi_hp)</f>
        <v>63.041210680811361</v>
      </c>
      <c r="J183" s="85">
        <f>IF(H183,An,'2026'!An_max)</f>
        <v>2022</v>
      </c>
      <c r="K183" s="193">
        <f t="shared" si="52"/>
        <v>46556</v>
      </c>
      <c r="L183" s="143">
        <f>IF(t&lt;Tvie,1-EXP((T0-t)*PertePVj)+'2026'!Pspv,1-EXP((T0-t)*PertePVj)+Pspv)</f>
        <v>2.745987286483198E-2</v>
      </c>
      <c r="M183" s="836"/>
      <c r="N183" s="836"/>
      <c r="O183" s="48">
        <f>IF(t&lt;Tnet,'2026'!Resal+('2026'!Salim-'2026'!Resal)*(1-EXP(('2026'!Tnet-t)/('2026'!Tau_j))),Resal+(Salim-Resal)*(1-EXP((Tnet-t)/(Tau_j))))*Salcycl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4.4643862158164835E-6</v>
      </c>
      <c r="Q183" s="301">
        <f t="shared" si="53"/>
        <v>0.5</v>
      </c>
      <c r="R183" s="173">
        <f t="shared" si="54"/>
        <v>0.78435102654071409</v>
      </c>
      <c r="S183" s="802">
        <f t="shared" si="55"/>
        <v>2</v>
      </c>
      <c r="T183" s="172">
        <f t="shared" si="56"/>
        <v>8</v>
      </c>
      <c r="U183" s="247">
        <f t="shared" si="57"/>
        <v>2.7843510265407141</v>
      </c>
      <c r="V183" s="378">
        <f t="shared" si="58"/>
        <v>63.217591382692596</v>
      </c>
      <c r="W183" s="397">
        <f t="shared" si="59"/>
        <v>61.08608084489731</v>
      </c>
      <c r="X183" s="153">
        <f t="shared" si="60"/>
        <v>46556</v>
      </c>
      <c r="Y183" s="380">
        <f t="shared" si="61"/>
        <v>58.707097358917487</v>
      </c>
      <c r="Z183" s="380">
        <f t="shared" si="62"/>
        <v>60.364704469163883</v>
      </c>
      <c r="AA183" s="381">
        <f t="shared" si="63"/>
        <v>63.040930302902623</v>
      </c>
      <c r="AB183" s="193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4.245219448507271E-2</v>
      </c>
      <c r="AD183" s="227">
        <f>(INDEX(Models!$BJ183:$BT183,,AH183)*(1-AF183)+INDEX(Models!$BJ183:$BT183,,AH183+1)*AF183-ERP_i)*AE183*Ramure*Pc/MaxiM</f>
        <v>4.4643862158164835E-6</v>
      </c>
      <c r="AE183" s="301">
        <f t="shared" si="65"/>
        <v>0.5</v>
      </c>
      <c r="AF183" s="173">
        <f t="shared" si="66"/>
        <v>0.78435102654071409</v>
      </c>
      <c r="AG183" s="802">
        <f t="shared" si="74"/>
        <v>2</v>
      </c>
      <c r="AH183" s="172">
        <f t="shared" si="67"/>
        <v>8</v>
      </c>
      <c r="AI183" s="221">
        <f t="shared" si="68"/>
        <v>2.7843510265407141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46557</v>
      </c>
      <c r="B184" s="406">
        <f>'2026'!Wh/'2026'!Env_an*'2027'!Env_an</f>
        <v>61.574868385629863</v>
      </c>
      <c r="C184" s="832"/>
      <c r="D184" s="388">
        <f t="shared" si="50"/>
        <v>63.314314327362084</v>
      </c>
      <c r="E184" s="380">
        <f t="shared" si="75"/>
        <v>63.550980775805556</v>
      </c>
      <c r="F184" s="380">
        <f t="shared" si="51"/>
        <v>63.551252100024712</v>
      </c>
      <c r="G184" s="110">
        <f t="shared" si="76"/>
        <v>0.97428097864759478</v>
      </c>
      <c r="H184" s="409" t="b">
        <f>Wh_hp&gt;='2026'!Maxi_hp</f>
        <v>0</v>
      </c>
      <c r="I184" s="385">
        <f>IF(H184,Wh_hp,'2026'!Maxi_hp)</f>
        <v>63.551261625570454</v>
      </c>
      <c r="J184" s="85">
        <f>IF(H184,An,'2026'!An_max)</f>
        <v>2022</v>
      </c>
      <c r="K184" s="193">
        <f t="shared" si="52"/>
        <v>46557</v>
      </c>
      <c r="L184" s="143">
        <f>IF(t&lt;Tvie,1-EXP((T0-t)*PertePVj)+'2026'!Pspv,1-EXP((T0-t)*PertePVj)+Pspv)</f>
        <v>2.7473186122470517E-2</v>
      </c>
      <c r="M184" s="836"/>
      <c r="N184" s="836"/>
      <c r="O184" s="48">
        <f>IF(t&lt;Tnet,'2026'!Resal+('2026'!Salim-'2026'!Resal)*(1-EXP(('2026'!Tnet-t)/('2026'!Tau_j))),Resal+(Salim-Resal)*(1-EXP((Tnet-t)/(Tau_j))))*Salcycl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4.4322217401978213E-6</v>
      </c>
      <c r="Q184" s="301">
        <f t="shared" si="53"/>
        <v>0.5</v>
      </c>
      <c r="R184" s="173">
        <f t="shared" si="54"/>
        <v>0.78934286995512659</v>
      </c>
      <c r="S184" s="802">
        <f t="shared" si="55"/>
        <v>2</v>
      </c>
      <c r="T184" s="172">
        <f t="shared" si="56"/>
        <v>8</v>
      </c>
      <c r="U184" s="247">
        <f t="shared" si="57"/>
        <v>2.7893428699551266</v>
      </c>
      <c r="V184" s="378">
        <f t="shared" si="58"/>
        <v>63.2003084406741</v>
      </c>
      <c r="W184" s="397">
        <f t="shared" si="59"/>
        <v>61.574868385629863</v>
      </c>
      <c r="X184" s="153">
        <f t="shared" si="60"/>
        <v>46557</v>
      </c>
      <c r="Y184" s="380">
        <f t="shared" si="61"/>
        <v>59.177768728524228</v>
      </c>
      <c r="Z184" s="380">
        <f t="shared" si="62"/>
        <v>60.849498321366077</v>
      </c>
      <c r="AA184" s="381">
        <f t="shared" si="63"/>
        <v>63.550980775805556</v>
      </c>
      <c r="AB184" s="193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4.2508902639437372E-2</v>
      </c>
      <c r="AD184" s="227">
        <f>(INDEX(Models!$BJ184:$BT184,,AH184)*(1-AF184)+INDEX(Models!$BJ184:$BT184,,AH184+1)*AF184-ERP_i)*AE184*Ramure*Pc/MaxiM</f>
        <v>4.4322217401978213E-6</v>
      </c>
      <c r="AE184" s="301">
        <f t="shared" si="65"/>
        <v>0.5</v>
      </c>
      <c r="AF184" s="173">
        <f t="shared" si="66"/>
        <v>0.78934286995512659</v>
      </c>
      <c r="AG184" s="802">
        <f t="shared" si="74"/>
        <v>2</v>
      </c>
      <c r="AH184" s="172">
        <f t="shared" si="67"/>
        <v>8</v>
      </c>
      <c r="AI184" s="221">
        <f t="shared" si="68"/>
        <v>2.7893428699551266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46558</v>
      </c>
      <c r="B185" s="406">
        <f>'2026'!Wh/'2026'!Env_an*'2027'!Env_an</f>
        <v>33.29510621557499</v>
      </c>
      <c r="C185" s="832"/>
      <c r="D185" s="388">
        <f t="shared" si="50"/>
        <v>34.236137789462944</v>
      </c>
      <c r="E185" s="380">
        <f t="shared" si="75"/>
        <v>34.366678438631837</v>
      </c>
      <c r="F185" s="380">
        <f t="shared" si="51"/>
        <v>34.366727655551202</v>
      </c>
      <c r="G185" s="110">
        <f t="shared" si="76"/>
        <v>0.5270006411006708</v>
      </c>
      <c r="H185" s="409" t="b">
        <f>Wh_hp&gt;='2026'!Maxi_hp</f>
        <v>0</v>
      </c>
      <c r="I185" s="385">
        <f>IF(H185,Wh_hp,'2026'!Maxi_hp)</f>
        <v>34.366821926226663</v>
      </c>
      <c r="J185" s="85">
        <f>IF(H185,An,'2026'!An_max)</f>
        <v>2022</v>
      </c>
      <c r="K185" s="193">
        <f t="shared" si="52"/>
        <v>46558</v>
      </c>
      <c r="L185" s="143">
        <f>IF(t&lt;Tvie,1-EXP((T0-t)*PertePVj)+'2026'!Pspv,1-EXP((T0-t)*PertePVj)+Pspv)</f>
        <v>2.7486499197861614E-2</v>
      </c>
      <c r="M185" s="836"/>
      <c r="N185" s="836"/>
      <c r="O185" s="48">
        <f>IF(t&lt;Tnet,'2026'!Resal+('2026'!Salim-'2026'!Resal)*(1-EXP(('2026'!Tnet-t)/('2026'!Tau_j))),Resal+(Salim-Resal)*(1-EXP((Tnet-t)/(Tau_j))))*Salcycl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4.4161538276670017E-6</v>
      </c>
      <c r="Q185" s="301">
        <f t="shared" si="53"/>
        <v>0.5</v>
      </c>
      <c r="R185" s="173">
        <f t="shared" si="54"/>
        <v>0.79429734803220864</v>
      </c>
      <c r="S185" s="802">
        <f t="shared" si="55"/>
        <v>2</v>
      </c>
      <c r="T185" s="172">
        <f t="shared" si="56"/>
        <v>8</v>
      </c>
      <c r="U185" s="247">
        <f t="shared" si="57"/>
        <v>2.7942973480322086</v>
      </c>
      <c r="V185" s="378">
        <f t="shared" si="58"/>
        <v>63.178304284077313</v>
      </c>
      <c r="W185" s="397">
        <f t="shared" si="59"/>
        <v>33.29510621557499</v>
      </c>
      <c r="X185" s="153">
        <f t="shared" si="60"/>
        <v>46558</v>
      </c>
      <c r="Y185" s="380">
        <f t="shared" si="61"/>
        <v>31.999451693431769</v>
      </c>
      <c r="Z185" s="380">
        <f t="shared" si="62"/>
        <v>32.903863717098339</v>
      </c>
      <c r="AA185" s="381">
        <f t="shared" si="63"/>
        <v>34.366678438631837</v>
      </c>
      <c r="AB185" s="193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4.2564914271410556E-2</v>
      </c>
      <c r="AD185" s="227">
        <f>(INDEX(Models!$BJ185:$BT185,,AH185)*(1-AF185)+INDEX(Models!$BJ185:$BT185,,AH185+1)*AF185-ERP_i)*AE185*Ramure*Pc/MaxiM</f>
        <v>4.4161538276670017E-6</v>
      </c>
      <c r="AE185" s="301">
        <f t="shared" si="65"/>
        <v>0.5</v>
      </c>
      <c r="AF185" s="173">
        <f t="shared" si="66"/>
        <v>0.79429734803220864</v>
      </c>
      <c r="AG185" s="802">
        <f t="shared" si="74"/>
        <v>2</v>
      </c>
      <c r="AH185" s="172">
        <f t="shared" si="67"/>
        <v>8</v>
      </c>
      <c r="AI185" s="221">
        <f t="shared" si="68"/>
        <v>2.7942973480322086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46559</v>
      </c>
      <c r="B186" s="406">
        <f>'2026'!Wh/'2026'!Env_an*'2027'!Env_an</f>
        <v>22.40500313822211</v>
      </c>
      <c r="C186" s="832"/>
      <c r="D186" s="388">
        <f t="shared" si="50"/>
        <v>23.038559186704035</v>
      </c>
      <c r="E186" s="380">
        <f t="shared" si="75"/>
        <v>23.128130362250438</v>
      </c>
      <c r="F186" s="380">
        <f t="shared" si="51"/>
        <v>23.128138356542546</v>
      </c>
      <c r="G186" s="110">
        <f t="shared" si="76"/>
        <v>0.35478288068850594</v>
      </c>
      <c r="H186" s="409" t="b">
        <f>Wh_hp&gt;='2026'!Maxi_hp</f>
        <v>0</v>
      </c>
      <c r="I186" s="385">
        <f>IF(H186,Wh_hp,'2026'!Maxi_hp)</f>
        <v>23.128224796765007</v>
      </c>
      <c r="J186" s="85">
        <f>IF(H186,An,'2026'!An_max)</f>
        <v>2022</v>
      </c>
      <c r="K186" s="193">
        <f t="shared" si="52"/>
        <v>46559</v>
      </c>
      <c r="L186" s="143">
        <f>IF(t&lt;Tvie,1-EXP((T0-t)*PertePVj)+'2026'!Pspv,1-EXP((T0-t)*PertePVj)+Pspv)</f>
        <v>2.7499812091007936E-2</v>
      </c>
      <c r="M186" s="836"/>
      <c r="N186" s="836"/>
      <c r="O186" s="48">
        <f>IF(t&lt;Tnet,'2026'!Resal+('2026'!Salim-'2026'!Resal)*(1-EXP(('2026'!Tnet-t)/('2026'!Tau_j))),Resal+(Salim-Resal)*(1-EXP((Tnet-t)/(Tau_j))))*Salcycl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4.4165287464858597E-6</v>
      </c>
      <c r="Q186" s="301">
        <f t="shared" si="53"/>
        <v>0.5</v>
      </c>
      <c r="R186" s="173">
        <f t="shared" si="54"/>
        <v>0.79921074458183572</v>
      </c>
      <c r="S186" s="802">
        <f t="shared" si="55"/>
        <v>2</v>
      </c>
      <c r="T186" s="172">
        <f t="shared" si="56"/>
        <v>8</v>
      </c>
      <c r="U186" s="247">
        <f t="shared" si="57"/>
        <v>2.7992107445818357</v>
      </c>
      <c r="V186" s="378">
        <f t="shared" si="58"/>
        <v>63.151051388694704</v>
      </c>
      <c r="W186" s="397">
        <f t="shared" si="59"/>
        <v>22.40500313822211</v>
      </c>
      <c r="X186" s="153">
        <f t="shared" si="60"/>
        <v>46559</v>
      </c>
      <c r="Y186" s="380">
        <f t="shared" si="61"/>
        <v>21.53349239316875</v>
      </c>
      <c r="Z186" s="380">
        <f t="shared" si="62"/>
        <v>22.142404352094463</v>
      </c>
      <c r="AA186" s="381">
        <f t="shared" si="63"/>
        <v>23.128130362250438</v>
      </c>
      <c r="AB186" s="193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4.2620220256319105E-2</v>
      </c>
      <c r="AD186" s="227">
        <f>(INDEX(Models!$BJ186:$BT186,,AH186)*(1-AF186)+INDEX(Models!$BJ186:$BT186,,AH186+1)*AF186-ERP_i)*AE186*Ramure*Pc/MaxiM</f>
        <v>4.4165287464858597E-6</v>
      </c>
      <c r="AE186" s="301">
        <f t="shared" si="65"/>
        <v>0.5</v>
      </c>
      <c r="AF186" s="173">
        <f t="shared" si="66"/>
        <v>0.79921074458183572</v>
      </c>
      <c r="AG186" s="802">
        <f t="shared" si="74"/>
        <v>2</v>
      </c>
      <c r="AH186" s="172">
        <f t="shared" si="67"/>
        <v>8</v>
      </c>
      <c r="AI186" s="221">
        <f t="shared" si="68"/>
        <v>2.7992107445818357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46560</v>
      </c>
      <c r="B187" s="406">
        <f>'2026'!Wh/'2026'!Env_an*'2027'!Env_an</f>
        <v>46.479019451569847</v>
      </c>
      <c r="C187" s="832"/>
      <c r="D187" s="388">
        <f t="shared" si="50"/>
        <v>47.793981221702794</v>
      </c>
      <c r="E187" s="380">
        <f t="shared" si="75"/>
        <v>47.983376950384795</v>
      </c>
      <c r="F187" s="380">
        <f t="shared" si="51"/>
        <v>47.983509575800738</v>
      </c>
      <c r="G187" s="110">
        <f t="shared" si="76"/>
        <v>0.73638146558408857</v>
      </c>
      <c r="H187" s="409" t="b">
        <f>Wh_hp&gt;='2026'!Maxi_hp</f>
        <v>0</v>
      </c>
      <c r="I187" s="385">
        <f>IF(H187,Wh_hp,'2026'!Maxi_hp)</f>
        <v>47.983583041866694</v>
      </c>
      <c r="J187" s="85">
        <f>IF(H187,An,'2026'!An_max)</f>
        <v>2022</v>
      </c>
      <c r="K187" s="193">
        <f t="shared" si="52"/>
        <v>46560</v>
      </c>
      <c r="L187" s="143">
        <f>IF(t&lt;Tvie,1-EXP((T0-t)*PertePVj)+'2026'!Pspv,1-EXP((T0-t)*PertePVj)+Pspv)</f>
        <v>2.7513124801912037E-2</v>
      </c>
      <c r="M187" s="836"/>
      <c r="N187" s="836"/>
      <c r="O187" s="48">
        <f>IF(t&lt;Tnet,'2026'!Resal+('2026'!Salim-'2026'!Resal)*(1-EXP(('2026'!Tnet-t)/('2026'!Tau_j))),Resal+(Salim-Resal)*(1-EXP((Tnet-t)/(Tau_j))))*Salcycl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4.4336894364758951E-6</v>
      </c>
      <c r="Q187" s="301">
        <f t="shared" si="53"/>
        <v>0.5</v>
      </c>
      <c r="R187" s="173">
        <f t="shared" si="54"/>
        <v>0.80407947352192322</v>
      </c>
      <c r="S187" s="802">
        <f t="shared" si="55"/>
        <v>2</v>
      </c>
      <c r="T187" s="172">
        <f t="shared" si="56"/>
        <v>8</v>
      </c>
      <c r="U187" s="247">
        <f t="shared" si="57"/>
        <v>2.8040794735219232</v>
      </c>
      <c r="V187" s="378">
        <f t="shared" si="58"/>
        <v>63.118022407025144</v>
      </c>
      <c r="W187" s="397">
        <f t="shared" si="59"/>
        <v>46.479019451569847</v>
      </c>
      <c r="X187" s="153">
        <f t="shared" si="60"/>
        <v>46560</v>
      </c>
      <c r="Y187" s="380">
        <f t="shared" si="61"/>
        <v>44.671860768842123</v>
      </c>
      <c r="Z187" s="380">
        <f t="shared" si="62"/>
        <v>45.93569528611151</v>
      </c>
      <c r="AA187" s="381">
        <f t="shared" si="63"/>
        <v>47.983376950384795</v>
      </c>
      <c r="AB187" s="193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4.2674813537834151E-2</v>
      </c>
      <c r="AD187" s="227">
        <f>(INDEX(Models!$BJ187:$BT187,,AH187)*(1-AF187)+INDEX(Models!$BJ187:$BT187,,AH187+1)*AF187-ERP_i)*AE187*Ramure*Pc/MaxiM</f>
        <v>4.4336894364758951E-6</v>
      </c>
      <c r="AE187" s="301">
        <f t="shared" si="65"/>
        <v>0.5</v>
      </c>
      <c r="AF187" s="173">
        <f t="shared" si="66"/>
        <v>0.80407947352192322</v>
      </c>
      <c r="AG187" s="802">
        <f t="shared" si="74"/>
        <v>2</v>
      </c>
      <c r="AH187" s="172">
        <f t="shared" si="67"/>
        <v>8</v>
      </c>
      <c r="AI187" s="221">
        <f t="shared" si="68"/>
        <v>2.8040794735219232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46561</v>
      </c>
      <c r="B188" s="406">
        <f>'2026'!Wh/'2026'!Env_an*'2027'!Env_an</f>
        <v>45.957220634422114</v>
      </c>
      <c r="C188" s="832"/>
      <c r="D188" s="388">
        <f t="shared" si="50"/>
        <v>47.258066849930913</v>
      </c>
      <c r="E188" s="380">
        <f t="shared" si="75"/>
        <v>47.448874145032747</v>
      </c>
      <c r="F188" s="380">
        <f t="shared" si="51"/>
        <v>47.449003939949954</v>
      </c>
      <c r="G188" s="110">
        <f t="shared" si="76"/>
        <v>0.72856841025611752</v>
      </c>
      <c r="H188" s="409" t="b">
        <f>Wh_hp&gt;='2026'!Maxi_hp</f>
        <v>0</v>
      </c>
      <c r="I188" s="385">
        <f>IF(H188,Wh_hp,'2026'!Maxi_hp)</f>
        <v>47.44907922821023</v>
      </c>
      <c r="J188" s="85">
        <f>IF(H188,An,'2026'!An_max)</f>
        <v>2022</v>
      </c>
      <c r="K188" s="193">
        <f t="shared" si="52"/>
        <v>46561</v>
      </c>
      <c r="L188" s="143">
        <f>IF(t&lt;Tvie,1-EXP((T0-t)*PertePVj)+'2026'!Pspv,1-EXP((T0-t)*PertePVj)+Pspv)</f>
        <v>2.7526437330576137E-2</v>
      </c>
      <c r="M188" s="836"/>
      <c r="N188" s="836"/>
      <c r="O188" s="48">
        <f>IF(t&lt;Tnet,'2026'!Resal+('2026'!Salim-'2026'!Resal)*(1-EXP(('2026'!Tnet-t)/('2026'!Tau_j))),Resal+(Salim-Resal)*(1-EXP((Tnet-t)/(Tau_j))))*Salcycl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4.4679385411280087E-6</v>
      </c>
      <c r="Q188" s="301">
        <f t="shared" si="53"/>
        <v>0.5</v>
      </c>
      <c r="R188" s="173">
        <f t="shared" si="54"/>
        <v>0.8089000883531452</v>
      </c>
      <c r="S188" s="802">
        <f t="shared" si="55"/>
        <v>2</v>
      </c>
      <c r="T188" s="172">
        <f t="shared" si="56"/>
        <v>8</v>
      </c>
      <c r="U188" s="247">
        <f t="shared" si="57"/>
        <v>2.8089000883531452</v>
      </c>
      <c r="V188" s="378">
        <f t="shared" si="58"/>
        <v>63.07869016474794</v>
      </c>
      <c r="W188" s="397">
        <f t="shared" si="59"/>
        <v>45.957220634422114</v>
      </c>
      <c r="X188" s="153">
        <f t="shared" si="60"/>
        <v>46561</v>
      </c>
      <c r="Y188" s="380">
        <f t="shared" si="61"/>
        <v>44.171155366799461</v>
      </c>
      <c r="Z188" s="380">
        <f t="shared" si="62"/>
        <v>45.421445952268741</v>
      </c>
      <c r="AA188" s="381">
        <f t="shared" si="63"/>
        <v>47.448874145032747</v>
      </c>
      <c r="AB188" s="193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4.2728689126889395E-2</v>
      </c>
      <c r="AD188" s="227">
        <f>(INDEX(Models!$BJ188:$BT188,,AH188)*(1-AF188)+INDEX(Models!$BJ188:$BT188,,AH188+1)*AF188-ERP_i)*AE188*Ramure*Pc/MaxiM</f>
        <v>4.4679385411280087E-6</v>
      </c>
      <c r="AE188" s="301">
        <f t="shared" si="65"/>
        <v>0.5</v>
      </c>
      <c r="AF188" s="173">
        <f t="shared" si="66"/>
        <v>0.8089000883531452</v>
      </c>
      <c r="AG188" s="802">
        <f t="shared" si="74"/>
        <v>2</v>
      </c>
      <c r="AH188" s="172">
        <f t="shared" si="67"/>
        <v>8</v>
      </c>
      <c r="AI188" s="221">
        <f t="shared" si="68"/>
        <v>2.8089000883531452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46562</v>
      </c>
      <c r="B189" s="406">
        <f>'2026'!Wh/'2026'!Env_an*'2027'!Env_an</f>
        <v>49.435406902794618</v>
      </c>
      <c r="C189" s="832"/>
      <c r="D189" s="388">
        <f t="shared" si="50"/>
        <v>50.835401124493195</v>
      </c>
      <c r="E189" s="380">
        <f t="shared" si="75"/>
        <v>51.044451541187364</v>
      </c>
      <c r="F189" s="380">
        <f t="shared" si="51"/>
        <v>51.044611147314875</v>
      </c>
      <c r="G189" s="110">
        <f t="shared" si="76"/>
        <v>0.78428297075996423</v>
      </c>
      <c r="H189" s="409" t="b">
        <f>Wh_hp&gt;='2026'!Maxi_hp</f>
        <v>0</v>
      </c>
      <c r="I189" s="385">
        <f>IF(H189,Wh_hp,'2026'!Maxi_hp)</f>
        <v>51.044676183708283</v>
      </c>
      <c r="J189" s="85">
        <f>IF(H189,An,'2026'!An_max)</f>
        <v>2022</v>
      </c>
      <c r="K189" s="193">
        <f t="shared" si="52"/>
        <v>46562</v>
      </c>
      <c r="L189" s="143">
        <f>IF(t&lt;Tvie,1-EXP((T0-t)*PertePVj)+'2026'!Pspv,1-EXP((T0-t)*PertePVj)+Pspv)</f>
        <v>2.7539749677003011E-2</v>
      </c>
      <c r="M189" s="836"/>
      <c r="N189" s="836"/>
      <c r="O189" s="48">
        <f>IF(t&lt;Tnet,'2026'!Resal+('2026'!Salim-'2026'!Resal)*(1-EXP(('2026'!Tnet-t)/('2026'!Tau_j))),Resal+(Salim-Resal)*(1-EXP((Tnet-t)/(Tau_j))))*Salcycl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4.519574226315675E-6</v>
      </c>
      <c r="Q189" s="301">
        <f t="shared" si="53"/>
        <v>0.5</v>
      </c>
      <c r="R189" s="173">
        <f t="shared" si="54"/>
        <v>0.81366929073468741</v>
      </c>
      <c r="S189" s="802">
        <f t="shared" si="55"/>
        <v>2</v>
      </c>
      <c r="T189" s="172">
        <f t="shared" si="56"/>
        <v>8</v>
      </c>
      <c r="U189" s="247">
        <f t="shared" si="57"/>
        <v>2.8136692907346874</v>
      </c>
      <c r="V189" s="378">
        <f t="shared" si="58"/>
        <v>63.032527663017795</v>
      </c>
      <c r="W189" s="397">
        <f t="shared" si="59"/>
        <v>49.435406902794618</v>
      </c>
      <c r="X189" s="153">
        <f t="shared" si="60"/>
        <v>46562</v>
      </c>
      <c r="Y189" s="380">
        <f t="shared" si="61"/>
        <v>47.515064993882326</v>
      </c>
      <c r="Z189" s="380">
        <f t="shared" si="62"/>
        <v>48.86067577374034</v>
      </c>
      <c r="AA189" s="381">
        <f t="shared" si="63"/>
        <v>51.044451541187364</v>
      </c>
      <c r="AB189" s="193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4.2781844089067121E-2</v>
      </c>
      <c r="AD189" s="227">
        <f>(INDEX(Models!$BJ189:$BT189,,AH189)*(1-AF189)+INDEX(Models!$BJ189:$BT189,,AH189+1)*AF189-ERP_i)*AE189*Ramure*Pc/MaxiM</f>
        <v>4.519574226315675E-6</v>
      </c>
      <c r="AE189" s="301">
        <f t="shared" si="65"/>
        <v>0.5</v>
      </c>
      <c r="AF189" s="173">
        <f t="shared" si="66"/>
        <v>0.81366929073468741</v>
      </c>
      <c r="AG189" s="802">
        <f t="shared" si="74"/>
        <v>2</v>
      </c>
      <c r="AH189" s="172">
        <f t="shared" si="67"/>
        <v>8</v>
      </c>
      <c r="AI189" s="221">
        <f t="shared" si="68"/>
        <v>2.8136692907346874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46563</v>
      </c>
      <c r="B190" s="406">
        <f>'2026'!Wh/'2026'!Env_an*'2027'!Env_an</f>
        <v>41.18083451227146</v>
      </c>
      <c r="C190" s="832"/>
      <c r="D190" s="388">
        <f t="shared" si="50"/>
        <v>42.347641702941374</v>
      </c>
      <c r="E190" s="380">
        <f t="shared" si="75"/>
        <v>42.524949921683685</v>
      </c>
      <c r="F190" s="380">
        <f t="shared" si="51"/>
        <v>42.52504857611958</v>
      </c>
      <c r="G190" s="110">
        <f t="shared" si="76"/>
        <v>0.65388043306216592</v>
      </c>
      <c r="H190" s="409" t="b">
        <f>Wh_hp&gt;='2026'!Maxi_hp</f>
        <v>0</v>
      </c>
      <c r="I190" s="385">
        <f>IF(H190,Wh_hp,'2026'!Maxi_hp)</f>
        <v>42.525136744519635</v>
      </c>
      <c r="J190" s="85">
        <f>IF(H190,An,'2026'!An_max)</f>
        <v>2022</v>
      </c>
      <c r="K190" s="193">
        <f t="shared" si="52"/>
        <v>46563</v>
      </c>
      <c r="L190" s="143">
        <f>IF(t&lt;Tvie,1-EXP((T0-t)*PertePVj)+'2026'!Pspv,1-EXP((T0-t)*PertePVj)+Pspv)</f>
        <v>2.7553061841194992E-2</v>
      </c>
      <c r="M190" s="836"/>
      <c r="N190" s="836"/>
      <c r="O190" s="48">
        <f>IF(t&lt;Tnet,'2026'!Resal+('2026'!Salim-'2026'!Resal)*(1-EXP(('2026'!Tnet-t)/('2026'!Tau_j))),Resal+(Salim-Resal)*(1-EXP((Tnet-t)/(Tau_j))))*Salcycl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4.5889303743189423E-6</v>
      </c>
      <c r="Q190" s="301">
        <f t="shared" si="53"/>
        <v>0.5</v>
      </c>
      <c r="R190" s="173">
        <f t="shared" si="54"/>
        <v>0.81838393812566324</v>
      </c>
      <c r="S190" s="802">
        <f t="shared" si="55"/>
        <v>2</v>
      </c>
      <c r="T190" s="172">
        <f t="shared" si="56"/>
        <v>8</v>
      </c>
      <c r="U190" s="247">
        <f t="shared" si="57"/>
        <v>2.8183839381256632</v>
      </c>
      <c r="V190" s="378">
        <f t="shared" si="58"/>
        <v>62.979008072157278</v>
      </c>
      <c r="W190" s="397">
        <f t="shared" si="59"/>
        <v>41.18083451227146</v>
      </c>
      <c r="X190" s="153">
        <f t="shared" si="60"/>
        <v>46563</v>
      </c>
      <c r="Y190" s="380">
        <f t="shared" si="61"/>
        <v>39.581920445130777</v>
      </c>
      <c r="Z190" s="380">
        <f t="shared" si="62"/>
        <v>40.703424415190938</v>
      </c>
      <c r="AA190" s="381">
        <f t="shared" si="63"/>
        <v>42.524949921683685</v>
      </c>
      <c r="AB190" s="193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4.2834277520546721E-2</v>
      </c>
      <c r="AD190" s="227">
        <f>(INDEX(Models!$BJ190:$BT190,,AH190)*(1-AF190)+INDEX(Models!$BJ190:$BT190,,AH190+1)*AF190-ERP_i)*AE190*Ramure*Pc/MaxiM</f>
        <v>4.5889303743189423E-6</v>
      </c>
      <c r="AE190" s="301">
        <f t="shared" si="65"/>
        <v>0.5</v>
      </c>
      <c r="AF190" s="173">
        <f t="shared" si="66"/>
        <v>0.81838393812566324</v>
      </c>
      <c r="AG190" s="802">
        <f t="shared" si="74"/>
        <v>2</v>
      </c>
      <c r="AH190" s="172">
        <f t="shared" si="67"/>
        <v>8</v>
      </c>
      <c r="AI190" s="221">
        <f t="shared" si="68"/>
        <v>2.8183839381256632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46564</v>
      </c>
      <c r="B191" s="406">
        <f>'2026'!Wh/'2026'!Env_an*'2027'!Env_an</f>
        <v>12.879291819496904</v>
      </c>
      <c r="C191" s="832"/>
      <c r="D191" s="388">
        <f t="shared" si="50"/>
        <v>13.24439167137017</v>
      </c>
      <c r="E191" s="380">
        <f t="shared" si="75"/>
        <v>13.300833453792189</v>
      </c>
      <c r="F191" s="380">
        <f t="shared" si="51"/>
        <v>13.300833453792189</v>
      </c>
      <c r="G191" s="110">
        <f t="shared" si="76"/>
        <v>0.20469790222292536</v>
      </c>
      <c r="H191" s="409" t="b">
        <f>Wh_hp&gt;='2026'!Maxi_hp</f>
        <v>0</v>
      </c>
      <c r="I191" s="385">
        <f>IF(H191,Wh_hp,'2026'!Maxi_hp)</f>
        <v>13.300890225268683</v>
      </c>
      <c r="J191" s="85">
        <f>IF(H191,An,'2026'!An_max)</f>
        <v>2022</v>
      </c>
      <c r="K191" s="193">
        <f t="shared" si="52"/>
        <v>46564</v>
      </c>
      <c r="L191" s="143">
        <f>IF(t&lt;Tvie,1-EXP((T0-t)*PertePVj)+'2026'!Pspv,1-EXP((T0-t)*PertePVj)+Pspv)</f>
        <v>2.7566373823154633E-2</v>
      </c>
      <c r="M191" s="836"/>
      <c r="N191" s="836"/>
      <c r="O191" s="48">
        <f>IF(t&lt;Tnet,'2026'!Resal+('2026'!Salim-'2026'!Resal)*(1-EXP(('2026'!Tnet-t)/('2026'!Tau_j))),Resal+(Salim-Resal)*(1-EXP((Tnet-t)/(Tau_j))))*Salcycl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4.6762942424028299E-6</v>
      </c>
      <c r="Q191" s="301">
        <f t="shared" si="53"/>
        <v>0.5</v>
      </c>
      <c r="R191" s="173">
        <f t="shared" si="54"/>
        <v>0.82304105046649578</v>
      </c>
      <c r="S191" s="802">
        <f t="shared" si="55"/>
        <v>2</v>
      </c>
      <c r="T191" s="172">
        <f t="shared" si="56"/>
        <v>8</v>
      </c>
      <c r="U191" s="247">
        <f t="shared" si="57"/>
        <v>2.8230410504664958</v>
      </c>
      <c r="V191" s="378">
        <f t="shared" si="58"/>
        <v>62.918239279817591</v>
      </c>
      <c r="W191" s="397">
        <f t="shared" si="59"/>
        <v>12.879291819496904</v>
      </c>
      <c r="X191" s="153">
        <f t="shared" si="60"/>
        <v>46564</v>
      </c>
      <c r="Y191" s="380">
        <f t="shared" si="61"/>
        <v>12.37948268422735</v>
      </c>
      <c r="Z191" s="380">
        <f t="shared" si="62"/>
        <v>12.730414036480507</v>
      </c>
      <c r="AA191" s="381">
        <f t="shared" si="63"/>
        <v>13.300833453792189</v>
      </c>
      <c r="AB191" s="193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4.2885990512801335E-2</v>
      </c>
      <c r="AD191" s="227">
        <f>(INDEX(Models!$BJ191:$BT191,,AH191)*(1-AF191)+INDEX(Models!$BJ191:$BT191,,AH191+1)*AF191-ERP_i)*AE191*Ramure*Pc/MaxiM</f>
        <v>4.6762942424028299E-6</v>
      </c>
      <c r="AE191" s="301">
        <f t="shared" si="65"/>
        <v>0.5</v>
      </c>
      <c r="AF191" s="173">
        <f t="shared" si="66"/>
        <v>0.82304105046649578</v>
      </c>
      <c r="AG191" s="802">
        <f t="shared" si="74"/>
        <v>2</v>
      </c>
      <c r="AH191" s="172">
        <f t="shared" si="67"/>
        <v>8</v>
      </c>
      <c r="AI191" s="221">
        <f t="shared" si="68"/>
        <v>2.8230410504664958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46565</v>
      </c>
      <c r="B192" s="406">
        <f>'2026'!Wh/'2026'!Env_an*'2027'!Env_an</f>
        <v>18.947623554139383</v>
      </c>
      <c r="C192" s="832"/>
      <c r="D192" s="388">
        <f t="shared" si="50"/>
        <v>19.485014117867639</v>
      </c>
      <c r="E192" s="380">
        <f t="shared" si="75"/>
        <v>19.569502614925803</v>
      </c>
      <c r="F192" s="380">
        <f t="shared" si="51"/>
        <v>19.569502812080913</v>
      </c>
      <c r="G192" s="110">
        <f t="shared" si="76"/>
        <v>0.30146800146689035</v>
      </c>
      <c r="H192" s="409" t="b">
        <f>Wh_hp&gt;='2026'!Maxi_hp</f>
        <v>0</v>
      </c>
      <c r="I192" s="385">
        <f>IF(H192,Wh_hp,'2026'!Maxi_hp)</f>
        <v>19.569588262631058</v>
      </c>
      <c r="J192" s="85">
        <f>IF(H192,An,'2026'!An_max)</f>
        <v>2022</v>
      </c>
      <c r="K192" s="193">
        <f t="shared" si="52"/>
        <v>46565</v>
      </c>
      <c r="L192" s="143">
        <f>IF(t&lt;Tvie,1-EXP((T0-t)*PertePVj)+'2026'!Pspv,1-EXP((T0-t)*PertePVj)+Pspv)</f>
        <v>2.7579685622884487E-2</v>
      </c>
      <c r="M192" s="836"/>
      <c r="N192" s="836"/>
      <c r="O192" s="48">
        <f>IF(t&lt;Tnet,'2026'!Resal+('2026'!Salim-'2026'!Resal)*(1-EXP(('2026'!Tnet-t)/('2026'!Tau_j))),Resal+(Salim-Resal)*(1-EXP((Tnet-t)/(Tau_j))))*Salcycl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4.7992444568916928E-6</v>
      </c>
      <c r="Q192" s="301">
        <f t="shared" si="53"/>
        <v>0.5</v>
      </c>
      <c r="R192" s="173">
        <f t="shared" si="54"/>
        <v>0.82763781588421281</v>
      </c>
      <c r="S192" s="802">
        <f t="shared" si="55"/>
        <v>2</v>
      </c>
      <c r="T192" s="172">
        <f t="shared" si="56"/>
        <v>8</v>
      </c>
      <c r="U192" s="247">
        <f t="shared" si="57"/>
        <v>2.8276378158842128</v>
      </c>
      <c r="V192" s="378">
        <f t="shared" si="58"/>
        <v>62.850892030184653</v>
      </c>
      <c r="W192" s="397">
        <f t="shared" si="59"/>
        <v>18.947623554139383</v>
      </c>
      <c r="X192" s="153">
        <f t="shared" si="60"/>
        <v>46565</v>
      </c>
      <c r="Y192" s="380">
        <f t="shared" si="61"/>
        <v>18.212700404607038</v>
      </c>
      <c r="Z192" s="380">
        <f t="shared" si="62"/>
        <v>18.729247153041218</v>
      </c>
      <c r="AA192" s="381">
        <f t="shared" si="63"/>
        <v>19.569502614925803</v>
      </c>
      <c r="AB192" s="193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4.2936986106316147E-2</v>
      </c>
      <c r="AD192" s="227">
        <f>(INDEX(Models!$BJ192:$BT192,,AH192)*(1-AF192)+INDEX(Models!$BJ192:$BT192,,AH192+1)*AF192-ERP_i)*AE192*Ramure*Pc/MaxiM</f>
        <v>4.7992444568916928E-6</v>
      </c>
      <c r="AE192" s="301">
        <f t="shared" si="65"/>
        <v>0.5</v>
      </c>
      <c r="AF192" s="173">
        <f t="shared" si="66"/>
        <v>0.82763781588421281</v>
      </c>
      <c r="AG192" s="802">
        <f t="shared" si="74"/>
        <v>2</v>
      </c>
      <c r="AH192" s="172">
        <f t="shared" si="67"/>
        <v>8</v>
      </c>
      <c r="AI192" s="221">
        <f t="shared" si="68"/>
        <v>2.8276378158842128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46566</v>
      </c>
      <c r="B193" s="406">
        <f>'2026'!Wh/'2026'!Env_an*'2027'!Env_an</f>
        <v>65.568956311583378</v>
      </c>
      <c r="C193" s="832"/>
      <c r="D193" s="388">
        <f t="shared" si="50"/>
        <v>67.429539406343167</v>
      </c>
      <c r="E193" s="380">
        <f t="shared" si="75"/>
        <v>67.72693802050604</v>
      </c>
      <c r="F193" s="380">
        <f t="shared" si="51"/>
        <v>67.727273228607245</v>
      </c>
      <c r="G193" s="110">
        <f t="shared" si="76"/>
        <v>1.0444694332725444</v>
      </c>
      <c r="H193" s="409" t="b">
        <f>Wh_hp&gt;='2026'!Maxi_hp</f>
        <v>1</v>
      </c>
      <c r="I193" s="385">
        <f>IF(H193,Wh_hp,'2026'!Maxi_hp)</f>
        <v>67.727273228607245</v>
      </c>
      <c r="J193" s="85">
        <f>IF(H193,An,'2026'!An_max)</f>
        <v>2027</v>
      </c>
      <c r="K193" s="193">
        <f t="shared" si="52"/>
        <v>46566</v>
      </c>
      <c r="L193" s="143">
        <f>IF(t&lt;Tvie,1-EXP((T0-t)*PertePVj)+'2026'!Pspv,1-EXP((T0-t)*PertePVj)+Pspv)</f>
        <v>2.7592997240386885E-2</v>
      </c>
      <c r="M193" s="836"/>
      <c r="N193" s="836"/>
      <c r="O193" s="48">
        <f>IF(t&lt;Tnet,'2026'!Resal+('2026'!Salim-'2026'!Resal)*(1-EXP(('2026'!Tnet-t)/('2026'!Tau_j))),Resal+(Salim-Resal)*(1-EXP((Tnet-t)/(Tau_j))))*Salcycl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4.9493813234519451E-6</v>
      </c>
      <c r="Q193" s="301">
        <f t="shared" si="53"/>
        <v>0.5</v>
      </c>
      <c r="R193" s="173">
        <f t="shared" si="54"/>
        <v>0.83217159541504238</v>
      </c>
      <c r="S193" s="802">
        <f t="shared" si="55"/>
        <v>2</v>
      </c>
      <c r="T193" s="172">
        <f t="shared" si="56"/>
        <v>8</v>
      </c>
      <c r="U193" s="247">
        <f t="shared" si="57"/>
        <v>2.8321715954150424</v>
      </c>
      <c r="V193" s="378">
        <f t="shared" si="58"/>
        <v>62.777285981593479</v>
      </c>
      <c r="W193" s="397">
        <f t="shared" si="59"/>
        <v>65.568956311583378</v>
      </c>
      <c r="X193" s="153">
        <f t="shared" si="60"/>
        <v>46566</v>
      </c>
      <c r="Y193" s="380">
        <f t="shared" si="61"/>
        <v>63.027086832624441</v>
      </c>
      <c r="Z193" s="380">
        <f t="shared" si="62"/>
        <v>64.815541901445201</v>
      </c>
      <c r="AA193" s="381">
        <f t="shared" si="63"/>
        <v>67.72693802050604</v>
      </c>
      <c r="AB193" s="193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4.2987269233688681E-2</v>
      </c>
      <c r="AD193" s="227">
        <f>(INDEX(Models!$BJ193:$BT193,,AH193)*(1-AF193)+INDEX(Models!$BJ193:$BT193,,AH193+1)*AF193-ERP_i)*AE193*Ramure*Pc/MaxiM</f>
        <v>4.9493813234519451E-6</v>
      </c>
      <c r="AE193" s="301">
        <f t="shared" si="65"/>
        <v>0.5</v>
      </c>
      <c r="AF193" s="173">
        <f t="shared" si="66"/>
        <v>0.83217159541504238</v>
      </c>
      <c r="AG193" s="802">
        <f t="shared" si="74"/>
        <v>2</v>
      </c>
      <c r="AH193" s="172">
        <f t="shared" si="67"/>
        <v>8</v>
      </c>
      <c r="AI193" s="221">
        <f t="shared" si="68"/>
        <v>2.8321715954150424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46567</v>
      </c>
      <c r="B194" s="406">
        <f>'2026'!Wh/'2026'!Env_an*'2027'!Env_an</f>
        <v>63.624320327963133</v>
      </c>
      <c r="C194" s="832"/>
      <c r="D194" s="388">
        <f t="shared" si="50"/>
        <v>65.430618170003797</v>
      </c>
      <c r="E194" s="380">
        <f t="shared" si="75"/>
        <v>65.724065270684648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Wh_hp&gt;='2026'!Maxi_hp</f>
        <v>1</v>
      </c>
      <c r="I194" s="385">
        <f>IF(H194,Wh_hp,'2026'!Maxi_hp)</f>
        <v>65.724402245637052</v>
      </c>
      <c r="J194" s="85">
        <f>IF(H194,An,'2026'!An_max)</f>
        <v>2027</v>
      </c>
      <c r="K194" s="193">
        <f t="shared" si="52"/>
        <v>46567</v>
      </c>
      <c r="L194" s="143">
        <f>IF(t&lt;Tvie,1-EXP((T0-t)*PertePVj)+'2026'!Pspv,1-EXP((T0-t)*PertePVj)+Pspv)</f>
        <v>2.7606308675664493E-2</v>
      </c>
      <c r="M194" s="836"/>
      <c r="N194" s="836"/>
      <c r="O194" s="48">
        <f>IF(t&lt;Tnet,'2026'!Resal+('2026'!Salim-'2026'!Resal)*(1-EXP(('2026'!Tnet-t)/('2026'!Tau_j))),Resal+(Salim-Resal)*(1-EXP((Tnet-t)/(Tau_j))))*Salcycl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5.1270904091862607E-6</v>
      </c>
      <c r="Q194" s="301">
        <f t="shared" si="53"/>
        <v>0.5</v>
      </c>
      <c r="R194" s="173">
        <f t="shared" si="54"/>
        <v>0.83663992674681475</v>
      </c>
      <c r="S194" s="802">
        <f t="shared" si="55"/>
        <v>2</v>
      </c>
      <c r="T194" s="172">
        <f t="shared" si="56"/>
        <v>8</v>
      </c>
      <c r="U194" s="247">
        <f t="shared" si="57"/>
        <v>2.8366399267468148</v>
      </c>
      <c r="V194" s="378">
        <f t="shared" si="58"/>
        <v>62.697740110158541</v>
      </c>
      <c r="W194" s="397">
        <f t="shared" si="59"/>
        <v>63.624320327963133</v>
      </c>
      <c r="X194" s="153">
        <f t="shared" si="60"/>
        <v>46567</v>
      </c>
      <c r="Y194" s="380">
        <f t="shared" si="61"/>
        <v>61.159195923320162</v>
      </c>
      <c r="Z194" s="380">
        <f t="shared" si="62"/>
        <v>62.895508752247672</v>
      </c>
      <c r="AA194" s="381">
        <f t="shared" si="63"/>
        <v>65.724065270684648</v>
      </c>
      <c r="AB194" s="193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4.3036846652555021E-2</v>
      </c>
      <c r="AD194" s="227">
        <f>(INDEX(Models!$BJ194:$BT194,,AH194)*(1-AF194)+INDEX(Models!$BJ194:$BT194,,AH194+1)*AF194-ERP_i)*AE194*Ramure*Pc/MaxiM</f>
        <v>5.1270904091862607E-6</v>
      </c>
      <c r="AE194" s="301">
        <f t="shared" si="65"/>
        <v>0.5</v>
      </c>
      <c r="AF194" s="173">
        <f t="shared" si="66"/>
        <v>0.83663992674681475</v>
      </c>
      <c r="AG194" s="802">
        <f t="shared" si="74"/>
        <v>2</v>
      </c>
      <c r="AH194" s="172">
        <f t="shared" si="67"/>
        <v>8</v>
      </c>
      <c r="AI194" s="221">
        <f t="shared" si="68"/>
        <v>2.8366399267468148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46568</v>
      </c>
      <c r="B195" s="406">
        <f>'2026'!Wh/'2026'!Env_an*'2027'!Env_an</f>
        <v>15.628691092685671</v>
      </c>
      <c r="C195" s="832"/>
      <c r="D195" s="388">
        <f t="shared" si="50"/>
        <v>16.072610485559167</v>
      </c>
      <c r="E195" s="380">
        <f t="shared" si="75"/>
        <v>16.145887483827355</v>
      </c>
      <c r="F195" s="380">
        <f t="shared" si="51"/>
        <v>16.145887483827355</v>
      </c>
      <c r="G195" s="110">
        <f t="shared" si="76"/>
        <v>0.24960813673605811</v>
      </c>
      <c r="H195" s="409" t="b">
        <f>Wh_hp&gt;='2026'!Maxi_hp</f>
        <v>0</v>
      </c>
      <c r="I195" s="385">
        <f>IF(H195,Wh_hp,'2026'!Maxi_hp)</f>
        <v>16.145965733793666</v>
      </c>
      <c r="J195" s="85">
        <f>IF(H195,An,'2026'!An_max)</f>
        <v>2022</v>
      </c>
      <c r="K195" s="193">
        <f t="shared" si="52"/>
        <v>46568</v>
      </c>
      <c r="L195" s="143">
        <f>IF(t&lt;Tvie,1-EXP((T0-t)*PertePVj)+'2026'!Pspv,1-EXP((T0-t)*PertePVj)+Pspv)</f>
        <v>2.7619619928719641E-2</v>
      </c>
      <c r="M195" s="836"/>
      <c r="N195" s="836"/>
      <c r="O195" s="48">
        <f>IF(t&lt;Tnet,'2026'!Resal+('2026'!Salim-'2026'!Resal)*(1-EXP(('2026'!Tnet-t)/('2026'!Tau_j))),Resal+(Salim-Resal)*(1-EXP((Tnet-t)/(Tau_j))))*Salcycl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5.3327486307494888E-6</v>
      </c>
      <c r="Q195" s="301">
        <f t="shared" si="53"/>
        <v>0.5</v>
      </c>
      <c r="R195" s="173">
        <f t="shared" si="54"/>
        <v>0.8410405269923702</v>
      </c>
      <c r="S195" s="802">
        <f t="shared" si="55"/>
        <v>2</v>
      </c>
      <c r="T195" s="172">
        <f t="shared" si="56"/>
        <v>8</v>
      </c>
      <c r="U195" s="247">
        <f t="shared" si="57"/>
        <v>2.8410405269923702</v>
      </c>
      <c r="V195" s="378">
        <f t="shared" si="58"/>
        <v>62.612573264511511</v>
      </c>
      <c r="W195" s="397">
        <f t="shared" si="59"/>
        <v>15.628691092685671</v>
      </c>
      <c r="X195" s="153">
        <f t="shared" si="60"/>
        <v>46568</v>
      </c>
      <c r="Y195" s="380">
        <f t="shared" si="61"/>
        <v>15.023500700105023</v>
      </c>
      <c r="Z195" s="380">
        <f t="shared" si="62"/>
        <v>15.450230185643735</v>
      </c>
      <c r="AA195" s="381">
        <f t="shared" si="63"/>
        <v>16.145887483827355</v>
      </c>
      <c r="AB195" s="193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4.308572686886563E-2</v>
      </c>
      <c r="AD195" s="227">
        <f>(INDEX(Models!$BJ195:$BT195,,AH195)*(1-AF195)+INDEX(Models!$BJ195:$BT195,,AH195+1)*AF195-ERP_i)*AE195*Ramure*Pc/MaxiM</f>
        <v>5.3327486307494888E-6</v>
      </c>
      <c r="AE195" s="301">
        <f t="shared" si="65"/>
        <v>0.5</v>
      </c>
      <c r="AF195" s="173">
        <f t="shared" si="66"/>
        <v>0.8410405269923702</v>
      </c>
      <c r="AG195" s="802">
        <f t="shared" si="74"/>
        <v>2</v>
      </c>
      <c r="AH195" s="172">
        <f t="shared" si="67"/>
        <v>8</v>
      </c>
      <c r="AI195" s="221">
        <f t="shared" si="68"/>
        <v>2.8410405269923702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46569</v>
      </c>
      <c r="B196" s="406">
        <f>'2026'!Wh/'2026'!Env_an*'2027'!Env_an</f>
        <v>53.020076383164046</v>
      </c>
      <c r="C196" s="832"/>
      <c r="D196" s="388">
        <f t="shared" si="50"/>
        <v>54.526812017262777</v>
      </c>
      <c r="E196" s="380">
        <f t="shared" si="75"/>
        <v>54.77945093739666</v>
      </c>
      <c r="F196" s="380">
        <f t="shared" si="51"/>
        <v>54.77968967379006</v>
      </c>
      <c r="G196" s="110">
        <f t="shared" si="76"/>
        <v>0.84802028045226518</v>
      </c>
      <c r="H196" s="409" t="b">
        <f>Wh_hp&gt;='2026'!Maxi_hp</f>
        <v>0</v>
      </c>
      <c r="I196" s="385">
        <f>IF(H196,Wh_hp,'2026'!Maxi_hp)</f>
        <v>54.779749779399616</v>
      </c>
      <c r="J196" s="85">
        <f>IF(H196,An,'2026'!An_max)</f>
        <v>2022</v>
      </c>
      <c r="K196" s="193">
        <f t="shared" si="52"/>
        <v>46569</v>
      </c>
      <c r="L196" s="143">
        <f>IF(t&lt;Tvie,1-EXP((T0-t)*PertePVj)+'2026'!Pspv,1-EXP((T0-t)*PertePVj)+Pspv)</f>
        <v>2.7632930999554994E-2</v>
      </c>
      <c r="M196" s="836"/>
      <c r="N196" s="836"/>
      <c r="O196" s="48">
        <f>IF(t&lt;Tnet,'2026'!Resal+('2026'!Salim-'2026'!Resal)*(1-EXP(('2026'!Tnet-t)/('2026'!Tau_j))),Resal+(Salim-Resal)*(1-EXP((Tnet-t)/(Tau_j))))*Salcycl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5.5667236001865942E-6</v>
      </c>
      <c r="Q196" s="301">
        <f t="shared" si="53"/>
        <v>0.5</v>
      </c>
      <c r="R196" s="173">
        <f t="shared" si="54"/>
        <v>0.84537129451331294</v>
      </c>
      <c r="S196" s="802">
        <f t="shared" si="55"/>
        <v>2</v>
      </c>
      <c r="T196" s="172">
        <f t="shared" si="56"/>
        <v>8</v>
      </c>
      <c r="U196" s="247">
        <f t="shared" si="57"/>
        <v>2.8453712945133129</v>
      </c>
      <c r="V196" s="378">
        <f t="shared" si="58"/>
        <v>62.522104158036676</v>
      </c>
      <c r="W196" s="397">
        <f t="shared" si="59"/>
        <v>53.020076383164046</v>
      </c>
      <c r="X196" s="153">
        <f t="shared" si="60"/>
        <v>46569</v>
      </c>
      <c r="Y196" s="380">
        <f t="shared" si="61"/>
        <v>50.968174231184015</v>
      </c>
      <c r="Z196" s="380">
        <f t="shared" si="62"/>
        <v>52.416598480219292</v>
      </c>
      <c r="AA196" s="381">
        <f t="shared" si="63"/>
        <v>54.77945093739666</v>
      </c>
      <c r="AB196" s="193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4.3133920051109893E-2</v>
      </c>
      <c r="AD196" s="227">
        <f>(INDEX(Models!$BJ196:$BT196,,AH196)*(1-AF196)+INDEX(Models!$BJ196:$BT196,,AH196+1)*AF196-ERP_i)*AE196*Ramure*Pc/MaxiM</f>
        <v>5.5667236001865942E-6</v>
      </c>
      <c r="AE196" s="301">
        <f t="shared" si="65"/>
        <v>0.5</v>
      </c>
      <c r="AF196" s="173">
        <f t="shared" si="66"/>
        <v>0.84537129451331294</v>
      </c>
      <c r="AG196" s="802">
        <f t="shared" si="74"/>
        <v>2</v>
      </c>
      <c r="AH196" s="172">
        <f t="shared" si="67"/>
        <v>8</v>
      </c>
      <c r="AI196" s="221">
        <f t="shared" si="68"/>
        <v>2.8453712945133129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46570</v>
      </c>
      <c r="B197" s="406">
        <f>'2026'!Wh/'2026'!Env_an*'2027'!Env_an</f>
        <v>58.867091158664586</v>
      </c>
      <c r="C197" s="832"/>
      <c r="D197" s="388">
        <f t="shared" si="50"/>
        <v>60.540817236080954</v>
      </c>
      <c r="E197" s="380">
        <f t="shared" si="75"/>
        <v>60.825805942972863</v>
      </c>
      <c r="F197" s="380">
        <f t="shared" si="51"/>
        <v>60.82613163831833</v>
      </c>
      <c r="G197" s="110">
        <f t="shared" si="76"/>
        <v>0.94297967139138561</v>
      </c>
      <c r="H197" s="409" t="b">
        <f>Wh_hp&gt;='2026'!Maxi_hp</f>
        <v>0</v>
      </c>
      <c r="I197" s="385">
        <f>IF(H197,Wh_hp,'2026'!Maxi_hp)</f>
        <v>60.826157831959122</v>
      </c>
      <c r="J197" s="85">
        <f>IF(H197,An,'2026'!An_max)</f>
        <v>2022</v>
      </c>
      <c r="K197" s="193">
        <f t="shared" si="52"/>
        <v>46570</v>
      </c>
      <c r="L197" s="143">
        <f>IF(t&lt;Tvie,1-EXP((T0-t)*PertePVj)+'2026'!Pspv,1-EXP((T0-t)*PertePVj)+Pspv)</f>
        <v>2.7646241888172995E-2</v>
      </c>
      <c r="M197" s="836"/>
      <c r="N197" s="836"/>
      <c r="O197" s="48">
        <f>IF(t&lt;Tnet,'2026'!Resal+('2026'!Salim-'2026'!Resal)*(1-EXP(('2026'!Tnet-t)/('2026'!Tau_j))),Resal+(Salim-Resal)*(1-EXP((Tnet-t)/(Tau_j))))*Salcycl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5.8293730627897553E-6</v>
      </c>
      <c r="Q197" s="301">
        <f t="shared" si="53"/>
        <v>0.5</v>
      </c>
      <c r="R197" s="173">
        <f t="shared" si="54"/>
        <v>0.84963030982097365</v>
      </c>
      <c r="S197" s="802">
        <f t="shared" si="55"/>
        <v>2</v>
      </c>
      <c r="T197" s="172">
        <f t="shared" si="56"/>
        <v>8</v>
      </c>
      <c r="U197" s="247">
        <f t="shared" si="57"/>
        <v>2.8496303098209737</v>
      </c>
      <c r="V197" s="378">
        <f t="shared" si="58"/>
        <v>62.426651381598042</v>
      </c>
      <c r="W197" s="397">
        <f t="shared" si="59"/>
        <v>58.867091158664586</v>
      </c>
      <c r="X197" s="153">
        <f t="shared" si="60"/>
        <v>46570</v>
      </c>
      <c r="Y197" s="380">
        <f t="shared" si="61"/>
        <v>56.590269354115698</v>
      </c>
      <c r="Z197" s="380">
        <f t="shared" si="62"/>
        <v>58.199260178729567</v>
      </c>
      <c r="AA197" s="381">
        <f t="shared" si="63"/>
        <v>60.825805942972863</v>
      </c>
      <c r="AB197" s="193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4.3181437936158334E-2</v>
      </c>
      <c r="AD197" s="227">
        <f>(INDEX(Models!$BJ197:$BT197,,AH197)*(1-AF197)+INDEX(Models!$BJ197:$BT197,,AH197+1)*AF197-ERP_i)*AE197*Ramure*Pc/MaxiM</f>
        <v>5.8293730627897553E-6</v>
      </c>
      <c r="AE197" s="301">
        <f t="shared" si="65"/>
        <v>0.5</v>
      </c>
      <c r="AF197" s="173">
        <f t="shared" si="66"/>
        <v>0.84963030982097365</v>
      </c>
      <c r="AG197" s="802">
        <f t="shared" si="74"/>
        <v>2</v>
      </c>
      <c r="AH197" s="172">
        <f t="shared" si="67"/>
        <v>8</v>
      </c>
      <c r="AI197" s="221">
        <f t="shared" si="68"/>
        <v>2.8496303098209737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46571</v>
      </c>
      <c r="B198" s="406">
        <f>'2026'!Wh/'2026'!Env_an*'2027'!Env_an</f>
        <v>54.745649242092782</v>
      </c>
      <c r="C198" s="832"/>
      <c r="D198" s="388">
        <f t="shared" si="50"/>
        <v>56.302964037107678</v>
      </c>
      <c r="E198" s="380">
        <f t="shared" si="75"/>
        <v>56.572169512276467</v>
      </c>
      <c r="F198" s="380">
        <f t="shared" si="51"/>
        <v>56.572457468992511</v>
      </c>
      <c r="G198" s="110">
        <f t="shared" si="76"/>
        <v>0.87836736331742371</v>
      </c>
      <c r="H198" s="409" t="b">
        <f>Wh_hp&gt;='2026'!Maxi_hp</f>
        <v>0</v>
      </c>
      <c r="I198" s="385">
        <f>IF(H198,Wh_hp,'2026'!Maxi_hp)</f>
        <v>56.572512342917904</v>
      </c>
      <c r="J198" s="85">
        <f>IF(H198,An,'2026'!An_max)</f>
        <v>2022</v>
      </c>
      <c r="K198" s="193">
        <f t="shared" si="52"/>
        <v>46571</v>
      </c>
      <c r="L198" s="143">
        <f>IF(t&lt;Tvie,1-EXP((T0-t)*PertePVj)+'2026'!Pspv,1-EXP((T0-t)*PertePVj)+Pspv)</f>
        <v>2.7659552594575976E-2</v>
      </c>
      <c r="M198" s="836"/>
      <c r="N198" s="836"/>
      <c r="O198" s="48">
        <f>IF(t&lt;Tnet,'2026'!Resal+('2026'!Salim-'2026'!Resal)*(1-EXP(('2026'!Tnet-t)/('2026'!Tau_j))),Resal+(Salim-Resal)*(1-EXP((Tnet-t)/(Tau_j))))*Salcycl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6.1604966149074835E-6</v>
      </c>
      <c r="Q198" s="301">
        <f t="shared" si="53"/>
        <v>0.5</v>
      </c>
      <c r="R198" s="173">
        <f t="shared" si="54"/>
        <v>0.85381583558827012</v>
      </c>
      <c r="S198" s="802">
        <f t="shared" si="55"/>
        <v>2</v>
      </c>
      <c r="T198" s="172">
        <f t="shared" si="56"/>
        <v>8</v>
      </c>
      <c r="U198" s="247">
        <f t="shared" si="57"/>
        <v>2.8538158355882701</v>
      </c>
      <c r="V198" s="378">
        <f t="shared" si="58"/>
        <v>62.326530932128918</v>
      </c>
      <c r="W198" s="397">
        <f t="shared" si="59"/>
        <v>54.745649242092782</v>
      </c>
      <c r="X198" s="153">
        <f t="shared" si="60"/>
        <v>46571</v>
      </c>
      <c r="Y198" s="380">
        <f t="shared" si="61"/>
        <v>52.629532197498875</v>
      </c>
      <c r="Z198" s="380">
        <f t="shared" si="62"/>
        <v>54.126651151800367</v>
      </c>
      <c r="AA198" s="381">
        <f t="shared" si="63"/>
        <v>56.572169512276467</v>
      </c>
      <c r="AB198" s="193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4.322829372745577E-2</v>
      </c>
      <c r="AD198" s="227">
        <f>(INDEX(Models!$BJ198:$BT198,,AH198)*(1-AF198)+INDEX(Models!$BJ198:$BT198,,AH198+1)*AF198-ERP_i)*AE198*Ramure*Pc/MaxiM</f>
        <v>6.1604966149074835E-6</v>
      </c>
      <c r="AE198" s="301">
        <f t="shared" si="65"/>
        <v>0.5</v>
      </c>
      <c r="AF198" s="173">
        <f t="shared" si="66"/>
        <v>0.85381583558827012</v>
      </c>
      <c r="AG198" s="802">
        <f t="shared" si="74"/>
        <v>2</v>
      </c>
      <c r="AH198" s="172">
        <f t="shared" si="67"/>
        <v>8</v>
      </c>
      <c r="AI198" s="221">
        <f t="shared" si="68"/>
        <v>2.8538158355882701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46572</v>
      </c>
      <c r="B199" s="406">
        <f>'2026'!Wh/'2026'!Env_an*'2027'!Env_an</f>
        <v>50.961426957988593</v>
      </c>
      <c r="C199" s="832"/>
      <c r="D199" s="388">
        <f t="shared" si="50"/>
        <v>52.411811853209002</v>
      </c>
      <c r="E199" s="380">
        <f t="shared" si="75"/>
        <v>52.666285408538499</v>
      </c>
      <c r="F199" s="380">
        <f t="shared" si="51"/>
        <v>52.666541258879406</v>
      </c>
      <c r="G199" s="110">
        <f t="shared" si="76"/>
        <v>0.81902365899265694</v>
      </c>
      <c r="H199" s="409" t="b">
        <f>Wh_hp&gt;='2026'!Maxi_hp</f>
        <v>0</v>
      </c>
      <c r="I199" s="385">
        <f>IF(H199,Wh_hp,'2026'!Maxi_hp)</f>
        <v>52.666622044945932</v>
      </c>
      <c r="J199" s="85">
        <f>IF(H199,An,'2026'!An_max)</f>
        <v>2022</v>
      </c>
      <c r="K199" s="193">
        <f t="shared" si="52"/>
        <v>46572</v>
      </c>
      <c r="L199" s="143">
        <f>IF(t&lt;Tvie,1-EXP((T0-t)*PertePVj)+'2026'!Pspv,1-EXP((T0-t)*PertePVj)+Pspv)</f>
        <v>2.7672863118766711E-2</v>
      </c>
      <c r="M199" s="836"/>
      <c r="N199" s="836"/>
      <c r="O199" s="48">
        <f>IF(t&lt;Tnet,'2026'!Resal+('2026'!Salim-'2026'!Resal)*(1-EXP(('2026'!Tnet-t)/('2026'!Tau_j))),Resal+(Salim-Resal)*(1-EXP((Tnet-t)/(Tau_j))))*Salcycl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6.5518044399571551E-6</v>
      </c>
      <c r="Q199" s="301">
        <f t="shared" si="53"/>
        <v>0.5</v>
      </c>
      <c r="R199" s="173">
        <f t="shared" si="54"/>
        <v>0.857926315812227</v>
      </c>
      <c r="S199" s="802">
        <f t="shared" si="55"/>
        <v>2</v>
      </c>
      <c r="T199" s="172">
        <f t="shared" si="56"/>
        <v>8</v>
      </c>
      <c r="U199" s="247">
        <f t="shared" si="57"/>
        <v>2.857926315812227</v>
      </c>
      <c r="V199" s="378">
        <f t="shared" si="58"/>
        <v>62.222061689842704</v>
      </c>
      <c r="W199" s="397">
        <f t="shared" si="59"/>
        <v>50.961426957988593</v>
      </c>
      <c r="X199" s="153">
        <f t="shared" si="60"/>
        <v>46572</v>
      </c>
      <c r="Y199" s="380">
        <f t="shared" si="61"/>
        <v>48.992820652513913</v>
      </c>
      <c r="Z199" s="380">
        <f t="shared" si="62"/>
        <v>50.387178136012707</v>
      </c>
      <c r="AA199" s="381">
        <f t="shared" si="63"/>
        <v>52.666285408538499</v>
      </c>
      <c r="AB199" s="193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4.327450198635608E-2</v>
      </c>
      <c r="AD199" s="227">
        <f>(INDEX(Models!$BJ199:$BT199,,AH199)*(1-AF199)+INDEX(Models!$BJ199:$BT199,,AH199+1)*AF199-ERP_i)*AE199*Ramure*Pc/MaxiM</f>
        <v>6.5518044399571551E-6</v>
      </c>
      <c r="AE199" s="301">
        <f t="shared" si="65"/>
        <v>0.5</v>
      </c>
      <c r="AF199" s="173">
        <f t="shared" si="66"/>
        <v>0.857926315812227</v>
      </c>
      <c r="AG199" s="802">
        <f t="shared" si="74"/>
        <v>2</v>
      </c>
      <c r="AH199" s="172">
        <f t="shared" si="67"/>
        <v>8</v>
      </c>
      <c r="AI199" s="221">
        <f t="shared" si="68"/>
        <v>2.857926315812227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46573</v>
      </c>
      <c r="B200" s="406">
        <f>'2026'!Wh/'2026'!Env_an*'2027'!Env_an</f>
        <v>61.106728052451842</v>
      </c>
      <c r="C200" s="832"/>
      <c r="D200" s="388">
        <f t="shared" si="50"/>
        <v>62.8467130514316</v>
      </c>
      <c r="E200" s="380">
        <f t="shared" si="75"/>
        <v>63.156489159791171</v>
      </c>
      <c r="F200" s="380">
        <f t="shared" si="51"/>
        <v>63.156921271539105</v>
      </c>
      <c r="G200" s="110">
        <f t="shared" si="76"/>
        <v>0.98379027596621016</v>
      </c>
      <c r="H200" s="409" t="b">
        <f>Wh_hp&gt;='2026'!Maxi_hp</f>
        <v>0</v>
      </c>
      <c r="I200" s="385">
        <f>IF(H200,Wh_hp,'2026'!Maxi_hp)</f>
        <v>63.156930543219005</v>
      </c>
      <c r="J200" s="85">
        <f>IF(H200,An,'2026'!An_max)</f>
        <v>2022</v>
      </c>
      <c r="K200" s="193">
        <f t="shared" si="52"/>
        <v>46573</v>
      </c>
      <c r="L200" s="143">
        <f>IF(t&lt;Tvie,1-EXP((T0-t)*PertePVj)+'2026'!Pspv,1-EXP((T0-t)*PertePVj)+Pspv)</f>
        <v>2.7686173460747421E-2</v>
      </c>
      <c r="M200" s="836"/>
      <c r="N200" s="836"/>
      <c r="O200" s="48">
        <f>IF(t&lt;Tnet,'2026'!Resal+('2026'!Salim-'2026'!Resal)*(1-EXP(('2026'!Tnet-t)/('2026'!Tau_j))),Resal+(Salim-Resal)*(1-EXP((Tnet-t)/(Tau_j))))*Salcycl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7.004064563300473E-6</v>
      </c>
      <c r="Q200" s="301">
        <f t="shared" si="53"/>
        <v>0.5</v>
      </c>
      <c r="R200" s="173">
        <f t="shared" si="54"/>
        <v>0.86196037417220106</v>
      </c>
      <c r="S200" s="802">
        <f t="shared" si="55"/>
        <v>2</v>
      </c>
      <c r="T200" s="172">
        <f t="shared" si="56"/>
        <v>8</v>
      </c>
      <c r="U200" s="247">
        <f t="shared" si="57"/>
        <v>2.8619603741722011</v>
      </c>
      <c r="V200" s="378">
        <f t="shared" si="58"/>
        <v>62.113561837642038</v>
      </c>
      <c r="W200" s="397">
        <f t="shared" si="59"/>
        <v>61.106728052451842</v>
      </c>
      <c r="X200" s="153">
        <f t="shared" si="60"/>
        <v>46573</v>
      </c>
      <c r="Y200" s="380">
        <f t="shared" si="61"/>
        <v>58.747731398534611</v>
      </c>
      <c r="Z200" s="380">
        <f t="shared" si="62"/>
        <v>60.420545090503197</v>
      </c>
      <c r="AA200" s="381">
        <f t="shared" si="63"/>
        <v>63.156489159791171</v>
      </c>
      <c r="AB200" s="193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4.3320078517439561E-2</v>
      </c>
      <c r="AD200" s="227">
        <f>(INDEX(Models!$BJ200:$BT200,,AH200)*(1-AF200)+INDEX(Models!$BJ200:$BT200,,AH200+1)*AF200-ERP_i)*AE200*Ramure*Pc/MaxiM</f>
        <v>7.004064563300473E-6</v>
      </c>
      <c r="AE200" s="301">
        <f t="shared" si="65"/>
        <v>0.5</v>
      </c>
      <c r="AF200" s="173">
        <f t="shared" si="66"/>
        <v>0.86196037417220106</v>
      </c>
      <c r="AG200" s="802">
        <f t="shared" si="74"/>
        <v>2</v>
      </c>
      <c r="AH200" s="172">
        <f t="shared" si="67"/>
        <v>8</v>
      </c>
      <c r="AI200" s="221">
        <f t="shared" si="68"/>
        <v>2.8619603741722011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46574</v>
      </c>
      <c r="B201" s="406">
        <f>'2026'!Wh/'2026'!Env_an*'2027'!Env_an</f>
        <v>44.986286154256319</v>
      </c>
      <c r="C201" s="832"/>
      <c r="D201" s="388">
        <f t="shared" si="50"/>
        <v>46.267882610790075</v>
      </c>
      <c r="E201" s="380">
        <f t="shared" si="75"/>
        <v>46.499350704857036</v>
      </c>
      <c r="F201" s="380">
        <f t="shared" si="51"/>
        <v>46.499563237093618</v>
      </c>
      <c r="G201" s="110">
        <f t="shared" si="76"/>
        <v>0.72556732993126327</v>
      </c>
      <c r="H201" s="409" t="b">
        <f>Wh_hp&gt;='2026'!Maxi_hp</f>
        <v>0</v>
      </c>
      <c r="I201" s="385">
        <f>IF(H201,Wh_hp,'2026'!Maxi_hp)</f>
        <v>46.499687245486641</v>
      </c>
      <c r="J201" s="85">
        <f>IF(H201,An,'2026'!An_max)</f>
        <v>2022</v>
      </c>
      <c r="K201" s="193">
        <f t="shared" si="52"/>
        <v>46574</v>
      </c>
      <c r="L201" s="143">
        <f>IF(t&lt;Tvie,1-EXP((T0-t)*PertePVj)+'2026'!Pspv,1-EXP((T0-t)*PertePVj)+Pspv)</f>
        <v>2.7699483620520771E-2</v>
      </c>
      <c r="M201" s="836"/>
      <c r="N201" s="836"/>
      <c r="O201" s="48">
        <f>IF(t&lt;Tnet,'2026'!Resal+('2026'!Salim-'2026'!Resal)*(1-EXP(('2026'!Tnet-t)/('2026'!Tau_j))),Resal+(Salim-Resal)*(1-EXP((Tnet-t)/(Tau_j))))*Salcycl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7.5180206793564662E-6</v>
      </c>
      <c r="Q201" s="301">
        <f t="shared" si="53"/>
        <v>0.5</v>
      </c>
      <c r="R201" s="173">
        <f t="shared" si="54"/>
        <v>0.86591681163332712</v>
      </c>
      <c r="S201" s="802">
        <f t="shared" si="55"/>
        <v>2</v>
      </c>
      <c r="T201" s="172">
        <f t="shared" si="56"/>
        <v>8</v>
      </c>
      <c r="U201" s="247">
        <f t="shared" si="57"/>
        <v>2.8659168116333271</v>
      </c>
      <c r="V201" s="378">
        <f t="shared" si="58"/>
        <v>62.001349434643693</v>
      </c>
      <c r="W201" s="397">
        <f t="shared" si="59"/>
        <v>44.986286154256319</v>
      </c>
      <c r="X201" s="153">
        <f t="shared" si="60"/>
        <v>46574</v>
      </c>
      <c r="Y201" s="380">
        <f t="shared" si="61"/>
        <v>43.250751005688628</v>
      </c>
      <c r="Z201" s="380">
        <f t="shared" si="62"/>
        <v>44.482904490002646</v>
      </c>
      <c r="AA201" s="381">
        <f t="shared" si="63"/>
        <v>46.499350704857036</v>
      </c>
      <c r="AB201" s="193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4.3365040248696654E-2</v>
      </c>
      <c r="AD201" s="227">
        <f>(INDEX(Models!$BJ201:$BT201,,AH201)*(1-AF201)+INDEX(Models!$BJ201:$BT201,,AH201+1)*AF201-ERP_i)*AE201*Ramure*Pc/MaxiM</f>
        <v>7.5180206793564662E-6</v>
      </c>
      <c r="AE201" s="301">
        <f t="shared" si="65"/>
        <v>0.5</v>
      </c>
      <c r="AF201" s="173">
        <f t="shared" si="66"/>
        <v>0.86591681163332712</v>
      </c>
      <c r="AG201" s="802">
        <f t="shared" si="74"/>
        <v>2</v>
      </c>
      <c r="AH201" s="172">
        <f t="shared" si="67"/>
        <v>8</v>
      </c>
      <c r="AI201" s="221">
        <f t="shared" si="68"/>
        <v>2.8659168116333271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46575</v>
      </c>
      <c r="B202" s="406">
        <f>'2026'!Wh/'2026'!Env_an*'2027'!Env_an</f>
        <v>60.641448633837307</v>
      </c>
      <c r="C202" s="832"/>
      <c r="D202" s="388">
        <f t="shared" si="50"/>
        <v>62.369892594030681</v>
      </c>
      <c r="E202" s="380">
        <f t="shared" si="75"/>
        <v>62.686506591664134</v>
      </c>
      <c r="F202" s="380">
        <f t="shared" si="51"/>
        <v>62.686999430200871</v>
      </c>
      <c r="G202" s="110">
        <f t="shared" si="76"/>
        <v>0.9798934644879137</v>
      </c>
      <c r="H202" s="409" t="b">
        <f>Wh_hp&gt;='2026'!Maxi_hp</f>
        <v>0</v>
      </c>
      <c r="I202" s="385">
        <f>IF(H202,Wh_hp,'2026'!Maxi_hp)</f>
        <v>62.68701261444199</v>
      </c>
      <c r="J202" s="85">
        <f>IF(H202,An,'2026'!An_max)</f>
        <v>2022</v>
      </c>
      <c r="K202" s="193">
        <f t="shared" si="52"/>
        <v>46575</v>
      </c>
      <c r="L202" s="143">
        <f>IF(t&lt;Tvie,1-EXP((T0-t)*PertePVj)+'2026'!Pspv,1-EXP((T0-t)*PertePVj)+Pspv)</f>
        <v>2.7712793598089314E-2</v>
      </c>
      <c r="M202" s="836"/>
      <c r="N202" s="836"/>
      <c r="O202" s="48">
        <f>IF(t&lt;Tnet,'2026'!Resal+('2026'!Salim-'2026'!Resal)*(1-EXP(('2026'!Tnet-t)/('2026'!Tau_j))),Resal+(Salim-Resal)*(1-EXP((Tnet-t)/(Tau_j))))*Salcycl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8.0943914811117836E-6</v>
      </c>
      <c r="Q202" s="301">
        <f t="shared" si="53"/>
        <v>0.5</v>
      </c>
      <c r="R202" s="173">
        <f t="shared" si="54"/>
        <v>0.86979460334836656</v>
      </c>
      <c r="S202" s="802">
        <f t="shared" si="55"/>
        <v>2</v>
      </c>
      <c r="T202" s="172">
        <f t="shared" si="56"/>
        <v>8</v>
      </c>
      <c r="U202" s="247">
        <f t="shared" si="57"/>
        <v>2.8697946033483666</v>
      </c>
      <c r="V202" s="378">
        <f t="shared" si="58"/>
        <v>61.885742412238201</v>
      </c>
      <c r="W202" s="397">
        <f t="shared" si="59"/>
        <v>60.641448633837307</v>
      </c>
      <c r="X202" s="153">
        <f t="shared" si="60"/>
        <v>46575</v>
      </c>
      <c r="Y202" s="380">
        <f t="shared" si="61"/>
        <v>58.303516023102375</v>
      </c>
      <c r="Z202" s="380">
        <f t="shared" si="62"/>
        <v>59.965322632252828</v>
      </c>
      <c r="AA202" s="381">
        <f t="shared" si="63"/>
        <v>62.686506591664134</v>
      </c>
      <c r="AB202" s="193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4.3409405107496551E-2</v>
      </c>
      <c r="AD202" s="227">
        <f>(INDEX(Models!$BJ202:$BT202,,AH202)*(1-AF202)+INDEX(Models!$BJ202:$BT202,,AH202+1)*AF202-ERP_i)*AE202*Ramure*Pc/MaxiM</f>
        <v>8.0943914811117836E-6</v>
      </c>
      <c r="AE202" s="301">
        <f t="shared" si="65"/>
        <v>0.5</v>
      </c>
      <c r="AF202" s="173">
        <f t="shared" si="66"/>
        <v>0.86979460334836656</v>
      </c>
      <c r="AG202" s="802">
        <f t="shared" si="74"/>
        <v>2</v>
      </c>
      <c r="AH202" s="172">
        <f t="shared" si="67"/>
        <v>8</v>
      </c>
      <c r="AI202" s="221">
        <f t="shared" si="68"/>
        <v>2.8697946033483666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46576</v>
      </c>
      <c r="B203" s="406">
        <f>'2026'!Wh/'2026'!Env_an*'2027'!Env_an</f>
        <v>63.587688157724848</v>
      </c>
      <c r="C203" s="832"/>
      <c r="D203" s="388">
        <f t="shared" si="50"/>
        <v>65.401003132615429</v>
      </c>
      <c r="E203" s="380">
        <f t="shared" si="75"/>
        <v>65.737812068009418</v>
      </c>
      <c r="F203" s="380">
        <f t="shared" si="51"/>
        <v>65.738386218533648</v>
      </c>
      <c r="G203" s="110">
        <f t="shared" si="76"/>
        <v>1.0294757370422234</v>
      </c>
      <c r="H203" s="409" t="b">
        <f>Wh_hp&gt;='2026'!Maxi_hp</f>
        <v>1</v>
      </c>
      <c r="I203" s="385">
        <f>IF(H203,Wh_hp,'2026'!Maxi_hp)</f>
        <v>65.738386218533648</v>
      </c>
      <c r="J203" s="85">
        <f>IF(H203,An,'2026'!An_max)</f>
        <v>2027</v>
      </c>
      <c r="K203" s="193">
        <f t="shared" si="52"/>
        <v>46576</v>
      </c>
      <c r="L203" s="143">
        <f>IF(t&lt;Tvie,1-EXP((T0-t)*PertePVj)+'2026'!Pspv,1-EXP((T0-t)*PertePVj)+Pspv)</f>
        <v>2.772610339345527E-2</v>
      </c>
      <c r="M203" s="836"/>
      <c r="N203" s="836"/>
      <c r="O203" s="48">
        <f>IF(t&lt;Tnet,'2026'!Resal+('2026'!Salim-'2026'!Resal)*(1-EXP(('2026'!Tnet-t)/('2026'!Tau_j))),Resal+(Salim-Resal)*(1-EXP((Tnet-t)/(Tau_j))))*Salcycl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8.733870075790144E-6</v>
      </c>
      <c r="Q203" s="301">
        <f t="shared" si="53"/>
        <v>0.5</v>
      </c>
      <c r="R203" s="173">
        <f t="shared" si="54"/>
        <v>0.87359289491396908</v>
      </c>
      <c r="S203" s="802">
        <f t="shared" si="55"/>
        <v>2</v>
      </c>
      <c r="T203" s="172">
        <f t="shared" si="56"/>
        <v>8</v>
      </c>
      <c r="U203" s="247">
        <f t="shared" si="57"/>
        <v>2.8735928949139691</v>
      </c>
      <c r="V203" s="378">
        <f t="shared" si="58"/>
        <v>61.76705858111626</v>
      </c>
      <c r="W203" s="397">
        <f t="shared" si="59"/>
        <v>63.587688157724848</v>
      </c>
      <c r="X203" s="153">
        <f t="shared" si="60"/>
        <v>46576</v>
      </c>
      <c r="Y203" s="380">
        <f t="shared" si="61"/>
        <v>61.137841038142867</v>
      </c>
      <c r="Z203" s="380">
        <f t="shared" si="62"/>
        <v>62.881294305573491</v>
      </c>
      <c r="AA203" s="381">
        <f t="shared" si="63"/>
        <v>65.737812068009418</v>
      </c>
      <c r="AB203" s="193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4.3453191893285094E-2</v>
      </c>
      <c r="AD203" s="227">
        <f>(INDEX(Models!$BJ203:$BT203,,AH203)*(1-AF203)+INDEX(Models!$BJ203:$BT203,,AH203+1)*AF203-ERP_i)*AE203*Ramure*Pc/MaxiM</f>
        <v>8.733870075790144E-6</v>
      </c>
      <c r="AE203" s="301">
        <f t="shared" si="65"/>
        <v>0.5</v>
      </c>
      <c r="AF203" s="173">
        <f t="shared" si="66"/>
        <v>0.87359289491396908</v>
      </c>
      <c r="AG203" s="802">
        <f t="shared" si="74"/>
        <v>2</v>
      </c>
      <c r="AH203" s="172">
        <f t="shared" si="67"/>
        <v>8</v>
      </c>
      <c r="AI203" s="221">
        <f t="shared" si="68"/>
        <v>2.8735928949139691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46577</v>
      </c>
      <c r="B204" s="406">
        <f>'2026'!Wh/'2026'!Env_an*'2027'!Env_an</f>
        <v>62.605265609238714</v>
      </c>
      <c r="C204" s="832"/>
      <c r="D204" s="388">
        <f t="shared" si="50"/>
        <v>64.391446538874334</v>
      </c>
      <c r="E204" s="380">
        <f t="shared" si="75"/>
        <v>64.727783694076422</v>
      </c>
      <c r="F204" s="380">
        <f t="shared" si="51"/>
        <v>64.728394543927052</v>
      </c>
      <c r="G204" s="110">
        <f t="shared" si="76"/>
        <v>1.0155672058317349</v>
      </c>
      <c r="H204" s="409" t="b">
        <f>Wh_hp&gt;='2026'!Maxi_hp</f>
        <v>1</v>
      </c>
      <c r="I204" s="385">
        <f>IF(H204,Wh_hp,'2026'!Maxi_hp)</f>
        <v>64.728394543927052</v>
      </c>
      <c r="J204" s="85">
        <f>IF(H204,An,'2026'!An_max)</f>
        <v>2027</v>
      </c>
      <c r="K204" s="193">
        <f t="shared" si="52"/>
        <v>46577</v>
      </c>
      <c r="L204" s="143">
        <f>IF(t&lt;Tvie,1-EXP((T0-t)*PertePVj)+'2026'!Pspv,1-EXP((T0-t)*PertePVj)+Pspv)</f>
        <v>2.7739413006621416E-2</v>
      </c>
      <c r="M204" s="836"/>
      <c r="N204" s="836"/>
      <c r="O204" s="48">
        <f>IF(t&lt;Tnet,'2026'!Resal+('2026'!Salim-'2026'!Resal)*(1-EXP(('2026'!Tnet-t)/('2026'!Tau_j))),Resal+(Salim-Resal)*(1-EXP((Tnet-t)/(Tau_j))))*Salcycl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9.4371234593031407E-6</v>
      </c>
      <c r="Q204" s="301">
        <f t="shared" si="53"/>
        <v>0.5</v>
      </c>
      <c r="R204" s="173">
        <f t="shared" si="54"/>
        <v>0.87731099803942136</v>
      </c>
      <c r="S204" s="802">
        <f t="shared" si="55"/>
        <v>2</v>
      </c>
      <c r="T204" s="172">
        <f t="shared" si="56"/>
        <v>8</v>
      </c>
      <c r="U204" s="247">
        <f t="shared" si="57"/>
        <v>2.8773109980394214</v>
      </c>
      <c r="V204" s="378">
        <f t="shared" si="58"/>
        <v>61.645615622223538</v>
      </c>
      <c r="W204" s="397">
        <f t="shared" si="59"/>
        <v>62.605265609238714</v>
      </c>
      <c r="X204" s="153">
        <f t="shared" si="60"/>
        <v>46577</v>
      </c>
      <c r="Y204" s="380">
        <f t="shared" si="61"/>
        <v>60.194944383248576</v>
      </c>
      <c r="Z204" s="380">
        <f t="shared" si="62"/>
        <v>61.912356819271665</v>
      </c>
      <c r="AA204" s="381">
        <f t="shared" si="63"/>
        <v>64.727783694076422</v>
      </c>
      <c r="AB204" s="193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4.3496420147974356E-2</v>
      </c>
      <c r="AD204" s="227">
        <f>(INDEX(Models!$BJ204:$BT204,,AH204)*(1-AF204)+INDEX(Models!$BJ204:$BT204,,AH204+1)*AF204-ERP_i)*AE204*Ramure*Pc/MaxiM</f>
        <v>9.4371234593031407E-6</v>
      </c>
      <c r="AE204" s="301">
        <f t="shared" si="65"/>
        <v>0.5</v>
      </c>
      <c r="AF204" s="173">
        <f t="shared" si="66"/>
        <v>0.87731099803942136</v>
      </c>
      <c r="AG204" s="802">
        <f t="shared" si="74"/>
        <v>2</v>
      </c>
      <c r="AH204" s="172">
        <f t="shared" si="67"/>
        <v>8</v>
      </c>
      <c r="AI204" s="221">
        <f t="shared" si="68"/>
        <v>2.8773109980394214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46578</v>
      </c>
      <c r="B205" s="406">
        <f>'2026'!Wh/'2026'!Env_an*'2027'!Env_an</f>
        <v>61.946203147488681</v>
      </c>
      <c r="C205" s="832"/>
      <c r="D205" s="388">
        <f t="shared" si="50"/>
        <v>63.714452667636571</v>
      </c>
      <c r="E205" s="380">
        <f t="shared" si="75"/>
        <v>64.051925088496361</v>
      </c>
      <c r="F205" s="380">
        <f t="shared" si="51"/>
        <v>64.052578735294119</v>
      </c>
      <c r="G205" s="110">
        <f t="shared" si="76"/>
        <v>1.0069050210726642</v>
      </c>
      <c r="H205" s="409" t="b">
        <f>Wh_hp&gt;='2026'!Maxi_hp</f>
        <v>1</v>
      </c>
      <c r="I205" s="385">
        <f>IF(H205,Wh_hp,'2026'!Maxi_hp)</f>
        <v>64.052578735294119</v>
      </c>
      <c r="J205" s="85">
        <f>IF(H205,An,'2026'!An_max)</f>
        <v>2027</v>
      </c>
      <c r="K205" s="193">
        <f t="shared" si="52"/>
        <v>46578</v>
      </c>
      <c r="L205" s="143">
        <f>IF(t&lt;Tvie,1-EXP((T0-t)*PertePVj)+'2026'!Pspv,1-EXP((T0-t)*PertePVj)+Pspv)</f>
        <v>2.7752722437590083E-2</v>
      </c>
      <c r="M205" s="836"/>
      <c r="N205" s="836"/>
      <c r="O205" s="48">
        <f>IF(t&lt;Tnet,'2026'!Resal+('2026'!Salim-'2026'!Resal)*(1-EXP(('2026'!Tnet-t)/('2026'!Tau_j))),Resal+(Salim-Resal)*(1-EXP((Tnet-t)/(Tau_j))))*Salcycl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1.0204847496624176E-5</v>
      </c>
      <c r="Q205" s="301">
        <f t="shared" si="53"/>
        <v>0.5</v>
      </c>
      <c r="R205" s="173">
        <f t="shared" si="54"/>
        <v>0.8809483856872502</v>
      </c>
      <c r="S205" s="802">
        <f t="shared" si="55"/>
        <v>2</v>
      </c>
      <c r="T205" s="172">
        <f t="shared" si="56"/>
        <v>8</v>
      </c>
      <c r="U205" s="247">
        <f t="shared" si="57"/>
        <v>2.8809483856872502</v>
      </c>
      <c r="V205" s="378">
        <f t="shared" si="58"/>
        <v>61.521396607494204</v>
      </c>
      <c r="W205" s="397">
        <f t="shared" si="59"/>
        <v>61.946203147488681</v>
      </c>
      <c r="X205" s="153">
        <f t="shared" si="60"/>
        <v>46578</v>
      </c>
      <c r="Y205" s="380">
        <f t="shared" si="61"/>
        <v>59.562941764247995</v>
      </c>
      <c r="Z205" s="380">
        <f t="shared" si="62"/>
        <v>61.263161274755603</v>
      </c>
      <c r="AA205" s="381">
        <f t="shared" si="63"/>
        <v>64.051925088496361</v>
      </c>
      <c r="AB205" s="193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4.3539110024994714E-2</v>
      </c>
      <c r="AD205" s="227">
        <f>(INDEX(Models!$BJ205:$BT205,,AH205)*(1-AF205)+INDEX(Models!$BJ205:$BT205,,AH205+1)*AF205-ERP_i)*AE205*Ramure*Pc/MaxiM</f>
        <v>1.0204847496624176E-5</v>
      </c>
      <c r="AE205" s="301">
        <f t="shared" si="65"/>
        <v>0.5</v>
      </c>
      <c r="AF205" s="173">
        <f t="shared" si="66"/>
        <v>0.8809483856872502</v>
      </c>
      <c r="AG205" s="802">
        <f t="shared" si="74"/>
        <v>2</v>
      </c>
      <c r="AH205" s="172">
        <f t="shared" si="67"/>
        <v>8</v>
      </c>
      <c r="AI205" s="221">
        <f t="shared" si="68"/>
        <v>2.8809483856872502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46579</v>
      </c>
      <c r="B206" s="406">
        <f>'2026'!Wh/'2026'!Env_an*'2027'!Env_an</f>
        <v>60.879993598399331</v>
      </c>
      <c r="C206" s="832"/>
      <c r="D206" s="388">
        <f t="shared" si="50"/>
        <v>62.618665447368791</v>
      </c>
      <c r="E206" s="380">
        <f t="shared" si="75"/>
        <v>62.954918858213432</v>
      </c>
      <c r="F206" s="380">
        <f t="shared" si="51"/>
        <v>62.955604301934819</v>
      </c>
      <c r="G206" s="110">
        <f t="shared" si="76"/>
        <v>0.99162706789876942</v>
      </c>
      <c r="H206" s="409" t="b">
        <f>Wh_hp&gt;='2026'!Maxi_hp</f>
        <v>0</v>
      </c>
      <c r="I206" s="385">
        <f>IF(H206,Wh_hp,'2026'!Maxi_hp)</f>
        <v>62.955611805473744</v>
      </c>
      <c r="J206" s="85">
        <f>IF(H206,An,'2026'!An_max)</f>
        <v>2022</v>
      </c>
      <c r="K206" s="193">
        <f t="shared" si="52"/>
        <v>46579</v>
      </c>
      <c r="L206" s="143">
        <f>IF(t&lt;Tvie,1-EXP((T0-t)*PertePVj)+'2026'!Pspv,1-EXP((T0-t)*PertePVj)+Pspv)</f>
        <v>2.7766031686363823E-2</v>
      </c>
      <c r="M206" s="836"/>
      <c r="N206" s="836"/>
      <c r="O206" s="48">
        <f>IF(t&lt;Tnet,'2026'!Resal+('2026'!Salim-'2026'!Resal)*(1-EXP(('2026'!Tnet-t)/('2026'!Tau_j))),Resal+(Salim-Resal)*(1-EXP((Tnet-t)/(Tau_j))))*Salcycl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1.1019537873380757E-5</v>
      </c>
      <c r="Q206" s="301">
        <f t="shared" si="53"/>
        <v>0.5</v>
      </c>
      <c r="R206" s="173">
        <f t="shared" si="54"/>
        <v>0.88450468674561433</v>
      </c>
      <c r="S206" s="802">
        <f t="shared" si="55"/>
        <v>2</v>
      </c>
      <c r="T206" s="172">
        <f t="shared" si="56"/>
        <v>8</v>
      </c>
      <c r="U206" s="247">
        <f t="shared" si="57"/>
        <v>2.8845046867456143</v>
      </c>
      <c r="V206" s="378">
        <f t="shared" si="58"/>
        <v>61.394033649110618</v>
      </c>
      <c r="W206" s="397">
        <f t="shared" si="59"/>
        <v>60.879993598399331</v>
      </c>
      <c r="X206" s="153">
        <f t="shared" si="60"/>
        <v>46579</v>
      </c>
      <c r="Y206" s="380">
        <f t="shared" si="61"/>
        <v>58.539434946100357</v>
      </c>
      <c r="Z206" s="380">
        <f t="shared" si="62"/>
        <v>60.211262776220885</v>
      </c>
      <c r="AA206" s="381">
        <f t="shared" si="63"/>
        <v>62.954918858213432</v>
      </c>
      <c r="AB206" s="193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4.3581282157980204E-2</v>
      </c>
      <c r="AD206" s="227">
        <f>(INDEX(Models!$BJ206:$BT206,,AH206)*(1-AF206)+INDEX(Models!$BJ206:$BT206,,AH206+1)*AF206-ERP_i)*AE206*Ramure*Pc/MaxiM</f>
        <v>1.1019537873380757E-5</v>
      </c>
      <c r="AE206" s="301">
        <f t="shared" si="65"/>
        <v>0.5</v>
      </c>
      <c r="AF206" s="173">
        <f t="shared" si="66"/>
        <v>0.88450468674561433</v>
      </c>
      <c r="AG206" s="802">
        <f t="shared" si="74"/>
        <v>2</v>
      </c>
      <c r="AH206" s="172">
        <f t="shared" si="67"/>
        <v>8</v>
      </c>
      <c r="AI206" s="221">
        <f t="shared" si="68"/>
        <v>2.8845046867456143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46580</v>
      </c>
      <c r="B207" s="406">
        <f>'2026'!Wh/'2026'!Env_an*'2027'!Env_an</f>
        <v>59.925191789789011</v>
      </c>
      <c r="C207" s="832"/>
      <c r="D207" s="388">
        <f t="shared" ref="D207:D270" si="77">Wh/(1-Ppv)</f>
        <v>61.637439216935199</v>
      </c>
      <c r="E207" s="380">
        <f t="shared" si="75"/>
        <v>61.97293072686157</v>
      </c>
      <c r="F207" s="380">
        <f t="shared" ref="F207:F270" si="78">Wh_sa/(1-Pvg*MEDIAN((-Sdif+Wh/Env_an)/Csdif,0,1))</f>
        <v>61.97364298583895</v>
      </c>
      <c r="G207" s="110">
        <f t="shared" si="76"/>
        <v>0.97815743786277076</v>
      </c>
      <c r="H207" s="409" t="b">
        <f>Wh_hp&gt;='2026'!Maxi_hp</f>
        <v>0</v>
      </c>
      <c r="I207" s="385">
        <f>IF(H207,Wh_hp,'2026'!Maxi_hp)</f>
        <v>61.973663730586807</v>
      </c>
      <c r="J207" s="85">
        <f>IF(H207,An,'2026'!An_max)</f>
        <v>2022</v>
      </c>
      <c r="K207" s="193">
        <f t="shared" ref="K207:K270" si="79">t</f>
        <v>46580</v>
      </c>
      <c r="L207" s="143">
        <f>IF(t&lt;Tvie,1-EXP((T0-t)*PertePVj)+'2026'!Pspv,1-EXP((T0-t)*PertePVj)+Pspv)</f>
        <v>2.7779340752945192E-2</v>
      </c>
      <c r="M207" s="836"/>
      <c r="N207" s="836"/>
      <c r="O207" s="48">
        <f>IF(t&lt;Tnet,'2026'!Resal+('2026'!Salim-'2026'!Resal)*(1-EXP(('2026'!Tnet-t)/('2026'!Tau_j))),Resal+(Salim-Resal)*(1-EXP((Tnet-t)/(Tau_j))))*Salcycl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1.1863099818585572E-5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0.88797968029233232</v>
      </c>
      <c r="S207" s="802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2.8879796802923323</v>
      </c>
      <c r="V207" s="378">
        <f t="shared" ref="V207:V270" si="85">MaxiM*(1-Ppv)*(1-Pvg)*(1-Psa)</f>
        <v>61.263317424850662</v>
      </c>
      <c r="W207" s="397">
        <f t="shared" ref="W207:W270" si="86">Wh*(A207&gt;Tmaj)</f>
        <v>59.925191789789011</v>
      </c>
      <c r="X207" s="153">
        <f t="shared" ref="X207:X270" si="87">t</f>
        <v>46580</v>
      </c>
      <c r="Y207" s="380">
        <f t="shared" ref="Y207:Y270" si="88">Wh_pvt_s*(1-Ppv)</f>
        <v>57.623020892741941</v>
      </c>
      <c r="Z207" s="380">
        <f t="shared" ref="Z207:Z270" si="89">Wh_sa_s*(1-Psa_s)</f>
        <v>59.269488201751045</v>
      </c>
      <c r="AA207" s="381">
        <f t="shared" ref="AA207:AA270" si="90">Wh_hp*(1-Pvg_s*MEDIAN((-Sdif+Wh/Env_an)/Csdif,0,1))</f>
        <v>61.97293072686157</v>
      </c>
      <c r="AB207" s="193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4.3622957530048606E-2</v>
      </c>
      <c r="AD207" s="227">
        <f>(INDEX(Models!$BJ207:$BT207,,AH207)*(1-AF207)+INDEX(Models!$BJ207:$BT207,,AH207+1)*AF207-ERP_i)*AE207*Ramure*Pc/MaxiM</f>
        <v>1.1863099818585572E-5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0.88797968029233232</v>
      </c>
      <c r="AG207" s="802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2.8879796802923323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46581</v>
      </c>
      <c r="B208" s="406">
        <f>'2026'!Wh/'2026'!Env_an*'2027'!Env_an</f>
        <v>58.736760713636855</v>
      </c>
      <c r="C208" s="832"/>
      <c r="D208" s="388">
        <f t="shared" si="77"/>
        <v>60.415878044664261</v>
      </c>
      <c r="E208" s="380">
        <f t="shared" si="75"/>
        <v>60.74913259993798</v>
      </c>
      <c r="F208" s="380">
        <f t="shared" si="78"/>
        <v>60.749863044862153</v>
      </c>
      <c r="G208" s="110">
        <f t="shared" si="76"/>
        <v>0.96086444772994106</v>
      </c>
      <c r="H208" s="409" t="b">
        <f>Wh_hp&gt;='2026'!Maxi_hp</f>
        <v>0</v>
      </c>
      <c r="I208" s="385">
        <f>IF(H208,Wh_hp,'2026'!Maxi_hp)</f>
        <v>60.749902162317959</v>
      </c>
      <c r="J208" s="85">
        <f>IF(H208,An,'2026'!An_max)</f>
        <v>2022</v>
      </c>
      <c r="K208" s="193">
        <f t="shared" si="79"/>
        <v>46581</v>
      </c>
      <c r="L208" s="143">
        <f>IF(t&lt;Tvie,1-EXP((T0-t)*PertePVj)+'2026'!Pspv,1-EXP((T0-t)*PertePVj)+Pspv)</f>
        <v>2.7792649637336519E-2</v>
      </c>
      <c r="M208" s="836"/>
      <c r="N208" s="836"/>
      <c r="O208" s="48">
        <f>IF(t&lt;Tnet,'2026'!Resal+('2026'!Salim-'2026'!Resal)*(1-EXP(('2026'!Tnet-t)/('2026'!Tau_j))),Resal+(Salim-Resal)*(1-EXP((Tnet-t)/(Tau_j))))*Salcycl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1.2735833531535685E-5</v>
      </c>
      <c r="Q208" s="301">
        <f t="shared" si="80"/>
        <v>0.5</v>
      </c>
      <c r="R208" s="173">
        <f t="shared" si="81"/>
        <v>0.89137328950967776</v>
      </c>
      <c r="S208" s="802">
        <f t="shared" si="82"/>
        <v>2</v>
      </c>
      <c r="T208" s="172">
        <f t="shared" si="83"/>
        <v>8</v>
      </c>
      <c r="U208" s="247">
        <f t="shared" si="84"/>
        <v>2.8913732895096778</v>
      </c>
      <c r="V208" s="378">
        <f t="shared" si="85"/>
        <v>61.129037534955479</v>
      </c>
      <c r="W208" s="397">
        <f t="shared" si="86"/>
        <v>58.736760713636855</v>
      </c>
      <c r="X208" s="153">
        <f t="shared" si="87"/>
        <v>46581</v>
      </c>
      <c r="Y208" s="380">
        <f t="shared" si="88"/>
        <v>56.481915219373384</v>
      </c>
      <c r="Z208" s="380">
        <f t="shared" si="89"/>
        <v>58.096572915545103</v>
      </c>
      <c r="AA208" s="381">
        <f t="shared" si="90"/>
        <v>60.74913259993798</v>
      </c>
      <c r="AB208" s="193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4.3664157344620085E-2</v>
      </c>
      <c r="AD208" s="227">
        <f>(INDEX(Models!$BJ208:$BT208,,AH208)*(1-AF208)+INDEX(Models!$BJ208:$BT208,,AH208+1)*AF208-ERP_i)*AE208*Ramure*Pc/MaxiM</f>
        <v>1.2735833531535685E-5</v>
      </c>
      <c r="AE208" s="301">
        <f t="shared" si="92"/>
        <v>0.5</v>
      </c>
      <c r="AF208" s="173">
        <f t="shared" si="93"/>
        <v>0.89137328950967776</v>
      </c>
      <c r="AG208" s="802">
        <f t="shared" ref="AG208:AG271" si="99">INDEX(Echel_vg,AH208)</f>
        <v>2</v>
      </c>
      <c r="AH208" s="172">
        <f t="shared" si="94"/>
        <v>8</v>
      </c>
      <c r="AI208" s="221">
        <f t="shared" si="95"/>
        <v>2.8913732895096778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46582</v>
      </c>
      <c r="B209" s="406">
        <f>'2026'!Wh/'2026'!Env_an*'2027'!Env_an</f>
        <v>58.578509416910713</v>
      </c>
      <c r="C209" s="832"/>
      <c r="D209" s="388">
        <f t="shared" si="77"/>
        <v>60.253927618051954</v>
      </c>
      <c r="E209" s="380">
        <f t="shared" si="75"/>
        <v>60.590683222800358</v>
      </c>
      <c r="F209" s="380">
        <f t="shared" si="78"/>
        <v>60.59146287878616</v>
      </c>
      <c r="G209" s="110">
        <f t="shared" si="76"/>
        <v>0.960444655452248</v>
      </c>
      <c r="H209" s="409" t="b">
        <f>Wh_hp&gt;='2026'!Maxi_hp</f>
        <v>0</v>
      </c>
      <c r="I209" s="385">
        <f>IF(H209,Wh_hp,'2026'!Maxi_hp)</f>
        <v>60.591505110474671</v>
      </c>
      <c r="J209" s="85">
        <f>IF(H209,An,'2026'!An_max)</f>
        <v>2022</v>
      </c>
      <c r="K209" s="193">
        <f t="shared" si="79"/>
        <v>46582</v>
      </c>
      <c r="L209" s="143">
        <f>IF(t&lt;Tvie,1-EXP((T0-t)*PertePVj)+'2026'!Pspv,1-EXP((T0-t)*PertePVj)+Pspv)</f>
        <v>2.7805958339540471E-2</v>
      </c>
      <c r="M209" s="836"/>
      <c r="N209" s="836"/>
      <c r="O209" s="48">
        <f>IF(t&lt;Tnet,'2026'!Resal+('2026'!Salim-'2026'!Resal)*(1-EXP(('2026'!Tnet-t)/('2026'!Tau_j))),Resal+(Salim-Resal)*(1-EXP((Tnet-t)/(Tau_j))))*Salcycl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1.3638063330418531E-5</v>
      </c>
      <c r="Q209" s="301">
        <f t="shared" si="80"/>
        <v>0.5</v>
      </c>
      <c r="R209" s="173">
        <f t="shared" si="81"/>
        <v>0.89468557530781068</v>
      </c>
      <c r="S209" s="802">
        <f t="shared" si="82"/>
        <v>2</v>
      </c>
      <c r="T209" s="172">
        <f t="shared" si="83"/>
        <v>8</v>
      </c>
      <c r="U209" s="247">
        <f t="shared" si="84"/>
        <v>2.8946855753078107</v>
      </c>
      <c r="V209" s="378">
        <f t="shared" si="85"/>
        <v>60.990983645786017</v>
      </c>
      <c r="W209" s="397">
        <f t="shared" si="86"/>
        <v>58.578509416910713</v>
      </c>
      <c r="X209" s="153">
        <f t="shared" si="87"/>
        <v>46582</v>
      </c>
      <c r="Y209" s="380">
        <f t="shared" si="88"/>
        <v>56.33142451682864</v>
      </c>
      <c r="Z209" s="380">
        <f t="shared" si="89"/>
        <v>57.942573295982498</v>
      </c>
      <c r="AA209" s="381">
        <f t="shared" si="90"/>
        <v>60.590683222800358</v>
      </c>
      <c r="AB209" s="193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4.3704902898691396E-2</v>
      </c>
      <c r="AD209" s="227">
        <f>(INDEX(Models!$BJ209:$BT209,,AH209)*(1-AF209)+INDEX(Models!$BJ209:$BT209,,AH209+1)*AF209-ERP_i)*AE209*Ramure*Pc/MaxiM</f>
        <v>1.3638063330418531E-5</v>
      </c>
      <c r="AE209" s="301">
        <f t="shared" si="92"/>
        <v>0.5</v>
      </c>
      <c r="AF209" s="173">
        <f t="shared" si="93"/>
        <v>0.89468557530781068</v>
      </c>
      <c r="AG209" s="802">
        <f t="shared" si="99"/>
        <v>2</v>
      </c>
      <c r="AH209" s="172">
        <f t="shared" si="94"/>
        <v>8</v>
      </c>
      <c r="AI209" s="221">
        <f t="shared" si="95"/>
        <v>2.8946855753078107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46583</v>
      </c>
      <c r="B210" s="406">
        <f>'2026'!Wh/'2026'!Env_an*'2027'!Env_an</f>
        <v>55.993223555312021</v>
      </c>
      <c r="C210" s="832"/>
      <c r="D210" s="388">
        <f t="shared" si="77"/>
        <v>57.595487800336073</v>
      </c>
      <c r="E210" s="380">
        <f t="shared" si="75"/>
        <v>57.921580545588789</v>
      </c>
      <c r="F210" s="380">
        <f t="shared" si="78"/>
        <v>57.92232827375102</v>
      </c>
      <c r="G210" s="110">
        <f t="shared" si="76"/>
        <v>0.92019886468661671</v>
      </c>
      <c r="H210" s="409" t="b">
        <f>Wh_hp&gt;='2026'!Maxi_hp</f>
        <v>0</v>
      </c>
      <c r="I210" s="385">
        <f>IF(H210,Wh_hp,'2026'!Maxi_hp)</f>
        <v>57.922415298819374</v>
      </c>
      <c r="J210" s="85">
        <f>IF(H210,An,'2026'!An_max)</f>
        <v>2022</v>
      </c>
      <c r="K210" s="193">
        <f t="shared" si="79"/>
        <v>46583</v>
      </c>
      <c r="L210" s="143">
        <f>IF(t&lt;Tvie,1-EXP((T0-t)*PertePVj)+'2026'!Pspv,1-EXP((T0-t)*PertePVj)+Pspv)</f>
        <v>2.7819266859559488E-2</v>
      </c>
      <c r="M210" s="836"/>
      <c r="N210" s="836"/>
      <c r="O210" s="48">
        <f>IF(t&lt;Tnet,'2026'!Resal+('2026'!Salim-'2026'!Resal)*(1-EXP(('2026'!Tnet-t)/('2026'!Tau_j))),Resal+(Salim-Resal)*(1-EXP((Tnet-t)/(Tau_j))))*Salcycl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1.4570140183769799E-5</v>
      </c>
      <c r="Q210" s="301">
        <f t="shared" si="80"/>
        <v>0.5</v>
      </c>
      <c r="R210" s="173">
        <f t="shared" si="81"/>
        <v>0.89791672971296332</v>
      </c>
      <c r="S210" s="802">
        <f t="shared" si="82"/>
        <v>2</v>
      </c>
      <c r="T210" s="172">
        <f t="shared" si="83"/>
        <v>8</v>
      </c>
      <c r="U210" s="247">
        <f t="shared" si="84"/>
        <v>2.8979167297129633</v>
      </c>
      <c r="V210" s="378">
        <f t="shared" si="85"/>
        <v>60.848945482147876</v>
      </c>
      <c r="W210" s="397">
        <f t="shared" si="86"/>
        <v>55.993223555312021</v>
      </c>
      <c r="X210" s="153">
        <f t="shared" si="87"/>
        <v>46583</v>
      </c>
      <c r="Y210" s="380">
        <f t="shared" si="88"/>
        <v>53.84694085513604</v>
      </c>
      <c r="Z210" s="380">
        <f t="shared" si="89"/>
        <v>55.387788524870253</v>
      </c>
      <c r="AA210" s="381">
        <f t="shared" si="90"/>
        <v>57.921580545588789</v>
      </c>
      <c r="AB210" s="193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4.3745215459447678E-2</v>
      </c>
      <c r="AD210" s="227">
        <f>(INDEX(Models!$BJ210:$BT210,,AH210)*(1-AF210)+INDEX(Models!$BJ210:$BT210,,AH210+1)*AF210-ERP_i)*AE210*Ramure*Pc/MaxiM</f>
        <v>1.4570140183769799E-5</v>
      </c>
      <c r="AE210" s="301">
        <f t="shared" si="92"/>
        <v>0.5</v>
      </c>
      <c r="AF210" s="173">
        <f t="shared" si="93"/>
        <v>0.89791672971296332</v>
      </c>
      <c r="AG210" s="802">
        <f t="shared" si="99"/>
        <v>2</v>
      </c>
      <c r="AH210" s="172">
        <f t="shared" si="94"/>
        <v>8</v>
      </c>
      <c r="AI210" s="221">
        <f t="shared" si="95"/>
        <v>2.8979167297129633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46584</v>
      </c>
      <c r="B211" s="406">
        <f>'2026'!Wh/'2026'!Env_an*'2027'!Env_an</f>
        <v>57.144111484933745</v>
      </c>
      <c r="C211" s="832"/>
      <c r="D211" s="388">
        <f t="shared" si="77"/>
        <v>58.780113411572806</v>
      </c>
      <c r="E211" s="380">
        <f t="shared" si="75"/>
        <v>59.117188981045068</v>
      </c>
      <c r="F211" s="380">
        <f t="shared" si="78"/>
        <v>59.118030327381582</v>
      </c>
      <c r="G211" s="110">
        <f t="shared" si="76"/>
        <v>0.94137534355186425</v>
      </c>
      <c r="H211" s="409" t="b">
        <f>Wh_hp&gt;='2026'!Maxi_hp</f>
        <v>0</v>
      </c>
      <c r="I211" s="385">
        <f>IF(H211,Wh_hp,'2026'!Maxi_hp)</f>
        <v>59.11809989916042</v>
      </c>
      <c r="J211" s="85">
        <f>IF(H211,An,'2026'!An_max)</f>
        <v>2022</v>
      </c>
      <c r="K211" s="193">
        <f t="shared" si="79"/>
        <v>46584</v>
      </c>
      <c r="L211" s="143">
        <f>IF(t&lt;Tvie,1-EXP((T0-t)*PertePVj)+'2026'!Pspv,1-EXP((T0-t)*PertePVj)+Pspv)</f>
        <v>2.7832575197395903E-2</v>
      </c>
      <c r="M211" s="836"/>
      <c r="N211" s="836"/>
      <c r="O211" s="48">
        <f>IF(t&lt;Tnet,'2026'!Resal+('2026'!Salim-'2026'!Resal)*(1-EXP(('2026'!Tnet-t)/('2026'!Tau_j))),Resal+(Salim-Resal)*(1-EXP((Tnet-t)/(Tau_j))))*Salcycl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1.5532444217437462E-5</v>
      </c>
      <c r="Q211" s="301">
        <f t="shared" si="80"/>
        <v>0.5</v>
      </c>
      <c r="R211" s="173">
        <f t="shared" si="81"/>
        <v>0.90106706907430478</v>
      </c>
      <c r="S211" s="802">
        <f t="shared" si="82"/>
        <v>2</v>
      </c>
      <c r="T211" s="172">
        <f t="shared" si="83"/>
        <v>8</v>
      </c>
      <c r="U211" s="247">
        <f t="shared" si="84"/>
        <v>2.9010670690743048</v>
      </c>
      <c r="V211" s="378">
        <f t="shared" si="85"/>
        <v>60.702712835864716</v>
      </c>
      <c r="W211" s="397">
        <f t="shared" si="86"/>
        <v>57.144111484933745</v>
      </c>
      <c r="X211" s="153">
        <f t="shared" si="87"/>
        <v>46584</v>
      </c>
      <c r="Y211" s="380">
        <f t="shared" si="88"/>
        <v>54.955395699936986</v>
      </c>
      <c r="Z211" s="380">
        <f t="shared" si="89"/>
        <v>56.528735995341059</v>
      </c>
      <c r="AA211" s="381">
        <f t="shared" si="90"/>
        <v>59.117188981045068</v>
      </c>
      <c r="AB211" s="193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4.3785116145051366E-2</v>
      </c>
      <c r="AD211" s="227">
        <f>(INDEX(Models!$BJ211:$BT211,,AH211)*(1-AF211)+INDEX(Models!$BJ211:$BT211,,AH211+1)*AF211-ERP_i)*AE211*Ramure*Pc/MaxiM</f>
        <v>1.5532444217437462E-5</v>
      </c>
      <c r="AE211" s="301">
        <f t="shared" si="92"/>
        <v>0.5</v>
      </c>
      <c r="AF211" s="173">
        <f t="shared" si="93"/>
        <v>0.90106706907430478</v>
      </c>
      <c r="AG211" s="802">
        <f t="shared" si="99"/>
        <v>2</v>
      </c>
      <c r="AH211" s="172">
        <f t="shared" si="94"/>
        <v>8</v>
      </c>
      <c r="AI211" s="221">
        <f t="shared" si="95"/>
        <v>2.9010670690743048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46585</v>
      </c>
      <c r="B212" s="406">
        <f>'2026'!Wh/'2026'!Env_an*'2027'!Env_an</f>
        <v>57.555640269286457</v>
      </c>
      <c r="C212" s="832"/>
      <c r="D212" s="388">
        <f t="shared" si="77"/>
        <v>59.204234476526587</v>
      </c>
      <c r="E212" s="380">
        <f t="shared" si="75"/>
        <v>59.548043240066129</v>
      </c>
      <c r="F212" s="380">
        <f t="shared" si="78"/>
        <v>59.548955800475007</v>
      </c>
      <c r="G212" s="110">
        <f t="shared" si="76"/>
        <v>0.95051359713350869</v>
      </c>
      <c r="H212" s="409" t="b">
        <f>Wh_hp&gt;='2026'!Maxi_hp</f>
        <v>0</v>
      </c>
      <c r="I212" s="385">
        <f>IF(H212,Wh_hp,'2026'!Maxi_hp)</f>
        <v>59.549018604675425</v>
      </c>
      <c r="J212" s="85">
        <f>IF(H212,An,'2026'!An_max)</f>
        <v>2022</v>
      </c>
      <c r="K212" s="193">
        <f t="shared" si="79"/>
        <v>46585</v>
      </c>
      <c r="L212" s="143">
        <f>IF(t&lt;Tvie,1-EXP((T0-t)*PertePVj)+'2026'!Pspv,1-EXP((T0-t)*PertePVj)+Pspv)</f>
        <v>2.7845883353052492E-2</v>
      </c>
      <c r="M212" s="836"/>
      <c r="N212" s="836"/>
      <c r="O212" s="48">
        <f>IF(t&lt;Tnet,'2026'!Resal+('2026'!Salim-'2026'!Resal)*(1-EXP(('2026'!Tnet-t)/('2026'!Tau_j))),Resal+(Salim-Resal)*(1-EXP((Tnet-t)/(Tau_j))))*Salcycl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1.6490293833270286E-5</v>
      </c>
      <c r="Q212" s="301">
        <f t="shared" si="80"/>
        <v>0.5</v>
      </c>
      <c r="R212" s="173">
        <f t="shared" si="81"/>
        <v>0.90413702714088107</v>
      </c>
      <c r="S212" s="802">
        <f t="shared" si="82"/>
        <v>2</v>
      </c>
      <c r="T212" s="172">
        <f t="shared" si="83"/>
        <v>8</v>
      </c>
      <c r="U212" s="247">
        <f t="shared" si="84"/>
        <v>2.9041370271408811</v>
      </c>
      <c r="V212" s="378">
        <f t="shared" si="85"/>
        <v>60.552077683237705</v>
      </c>
      <c r="W212" s="397">
        <f t="shared" si="86"/>
        <v>57.555640269286457</v>
      </c>
      <c r="X212" s="153">
        <f t="shared" si="87"/>
        <v>46585</v>
      </c>
      <c r="Y212" s="380">
        <f t="shared" si="88"/>
        <v>55.352873247620252</v>
      </c>
      <c r="Z212" s="380">
        <f t="shared" si="89"/>
        <v>56.938372527328902</v>
      </c>
      <c r="AA212" s="381">
        <f t="shared" si="90"/>
        <v>59.548043240066129</v>
      </c>
      <c r="AB212" s="193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4.3824625810396763E-2</v>
      </c>
      <c r="AD212" s="227">
        <f>(INDEX(Models!$BJ212:$BT212,,AH212)*(1-AF212)+INDEX(Models!$BJ212:$BT212,,AH212+1)*AF212-ERP_i)*AE212*Ramure*Pc/MaxiM</f>
        <v>1.6490293833270286E-5</v>
      </c>
      <c r="AE212" s="301">
        <f t="shared" si="92"/>
        <v>0.5</v>
      </c>
      <c r="AF212" s="173">
        <f t="shared" si="93"/>
        <v>0.90413702714088107</v>
      </c>
      <c r="AG212" s="802">
        <f t="shared" si="99"/>
        <v>2</v>
      </c>
      <c r="AH212" s="172">
        <f t="shared" si="94"/>
        <v>8</v>
      </c>
      <c r="AI212" s="221">
        <f t="shared" si="95"/>
        <v>2.9041370271408811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46586</v>
      </c>
      <c r="B213" s="406">
        <f>'2026'!Wh/'2026'!Env_an*'2027'!Env_an</f>
        <v>59.311748437641064</v>
      </c>
      <c r="C213" s="832"/>
      <c r="D213" s="388">
        <f t="shared" si="77"/>
        <v>61.011478901471804</v>
      </c>
      <c r="E213" s="380">
        <f t="shared" si="75"/>
        <v>61.370209360646037</v>
      </c>
      <c r="F213" s="380">
        <f t="shared" si="78"/>
        <v>61.371249904382637</v>
      </c>
      <c r="G213" s="110">
        <f t="shared" si="76"/>
        <v>0.98203365126551034</v>
      </c>
      <c r="H213" s="409" t="b">
        <f>Wh_hp&gt;='2026'!Maxi_hp</f>
        <v>0</v>
      </c>
      <c r="I213" s="385">
        <f>IF(H213,Wh_hp,'2026'!Maxi_hp)</f>
        <v>61.371274698126008</v>
      </c>
      <c r="J213" s="85">
        <f>IF(H213,An,'2026'!An_max)</f>
        <v>2022</v>
      </c>
      <c r="K213" s="193">
        <f t="shared" si="79"/>
        <v>46586</v>
      </c>
      <c r="L213" s="143">
        <f>IF(t&lt;Tvie,1-EXP((T0-t)*PertePVj)+'2026'!Pspv,1-EXP((T0-t)*PertePVj)+Pspv)</f>
        <v>2.7859191326531474E-2</v>
      </c>
      <c r="M213" s="836"/>
      <c r="N213" s="836"/>
      <c r="O213" s="48">
        <f>IF(t&lt;Tnet,'2026'!Resal+('2026'!Salim-'2026'!Resal)*(1-EXP(('2026'!Tnet-t)/('2026'!Tau_j))),Resal+(Salim-Resal)*(1-EXP((Tnet-t)/(Tau_j))))*Salcycl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1.7401525757207222E-5</v>
      </c>
      <c r="Q213" s="301">
        <f t="shared" si="80"/>
        <v>0.5</v>
      </c>
      <c r="R213" s="173">
        <f t="shared" si="81"/>
        <v>0.90712714805717143</v>
      </c>
      <c r="S213" s="802">
        <f t="shared" si="82"/>
        <v>2</v>
      </c>
      <c r="T213" s="172">
        <f t="shared" si="83"/>
        <v>8</v>
      </c>
      <c r="U213" s="247">
        <f t="shared" si="84"/>
        <v>2.9071271480571714</v>
      </c>
      <c r="V213" s="378">
        <f t="shared" si="85"/>
        <v>60.396832502557331</v>
      </c>
      <c r="W213" s="397">
        <f t="shared" si="86"/>
        <v>59.311748437641064</v>
      </c>
      <c r="X213" s="153">
        <f t="shared" si="87"/>
        <v>46586</v>
      </c>
      <c r="Y213" s="380">
        <f t="shared" si="88"/>
        <v>57.04355146807395</v>
      </c>
      <c r="Z213" s="380">
        <f t="shared" si="89"/>
        <v>58.678280923020338</v>
      </c>
      <c r="AA213" s="381">
        <f t="shared" si="90"/>
        <v>61.370209360646037</v>
      </c>
      <c r="AB213" s="193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4.3863764938561652E-2</v>
      </c>
      <c r="AD213" s="227">
        <f>(INDEX(Models!$BJ213:$BT213,,AH213)*(1-AF213)+INDEX(Models!$BJ213:$BT213,,AH213+1)*AF213-ERP_i)*AE213*Ramure*Pc/MaxiM</f>
        <v>1.7401525757207222E-5</v>
      </c>
      <c r="AE213" s="301">
        <f t="shared" si="92"/>
        <v>0.5</v>
      </c>
      <c r="AF213" s="173">
        <f t="shared" si="93"/>
        <v>0.90712714805717143</v>
      </c>
      <c r="AG213" s="802">
        <f t="shared" si="99"/>
        <v>2</v>
      </c>
      <c r="AH213" s="172">
        <f t="shared" si="94"/>
        <v>8</v>
      </c>
      <c r="AI213" s="221">
        <f t="shared" si="95"/>
        <v>2.9071271480571714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46587</v>
      </c>
      <c r="B214" s="406">
        <f>'2026'!Wh/'2026'!Env_an*'2027'!Env_an</f>
        <v>43.565656382869562</v>
      </c>
      <c r="C214" s="832"/>
      <c r="D214" s="388">
        <f t="shared" si="77"/>
        <v>44.814755619335507</v>
      </c>
      <c r="E214" s="380">
        <f t="shared" si="75"/>
        <v>45.0815013510489</v>
      </c>
      <c r="F214" s="380">
        <f t="shared" si="78"/>
        <v>45.081999234254177</v>
      </c>
      <c r="G214" s="110">
        <f t="shared" si="76"/>
        <v>0.72323505582890657</v>
      </c>
      <c r="H214" s="409" t="b">
        <f>Wh_hp&gt;='2026'!Maxi_hp</f>
        <v>0</v>
      </c>
      <c r="I214" s="385">
        <f>IF(H214,Wh_hp,'2026'!Maxi_hp)</f>
        <v>45.082293640742087</v>
      </c>
      <c r="J214" s="85">
        <f>IF(H214,An,'2026'!An_max)</f>
        <v>2022</v>
      </c>
      <c r="K214" s="193">
        <f t="shared" si="79"/>
        <v>46587</v>
      </c>
      <c r="L214" s="143">
        <f>IF(t&lt;Tvie,1-EXP((T0-t)*PertePVj)+'2026'!Pspv,1-EXP((T0-t)*PertePVj)+Pspv)</f>
        <v>2.7872499117835625E-2</v>
      </c>
      <c r="M214" s="836"/>
      <c r="N214" s="836"/>
      <c r="O214" s="48">
        <f>IF(t&lt;Tnet,'2026'!Resal+('2026'!Salim-'2026'!Resal)*(1-EXP(('2026'!Tnet-t)/('2026'!Tau_j))),Resal+(Salim-Resal)*(1-EXP((Tnet-t)/(Tau_j))))*Salcycl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1.8265659505105857E-5</v>
      </c>
      <c r="Q214" s="301">
        <f t="shared" si="80"/>
        <v>0.5</v>
      </c>
      <c r="R214" s="173">
        <f t="shared" si="81"/>
        <v>0.91003807932273517</v>
      </c>
      <c r="S214" s="802">
        <f t="shared" si="82"/>
        <v>2</v>
      </c>
      <c r="T214" s="172">
        <f t="shared" si="83"/>
        <v>8</v>
      </c>
      <c r="U214" s="247">
        <f t="shared" si="84"/>
        <v>2.9100380793227352</v>
      </c>
      <c r="V214" s="378">
        <f t="shared" si="85"/>
        <v>60.236767299414147</v>
      </c>
      <c r="W214" s="397">
        <f t="shared" si="86"/>
        <v>43.565656382869562</v>
      </c>
      <c r="X214" s="153">
        <f t="shared" si="87"/>
        <v>46587</v>
      </c>
      <c r="Y214" s="380">
        <f t="shared" si="88"/>
        <v>41.900939273634904</v>
      </c>
      <c r="Z214" s="380">
        <f t="shared" si="89"/>
        <v>43.102308324382946</v>
      </c>
      <c r="AA214" s="381">
        <f t="shared" si="90"/>
        <v>45.0815013510489</v>
      </c>
      <c r="AB214" s="193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4.3902553538623469E-2</v>
      </c>
      <c r="AD214" s="227">
        <f>(INDEX(Models!$BJ214:$BT214,,AH214)*(1-AF214)+INDEX(Models!$BJ214:$BT214,,AH214+1)*AF214-ERP_i)*AE214*Ramure*Pc/MaxiM</f>
        <v>1.8265659505105857E-5</v>
      </c>
      <c r="AE214" s="301">
        <f t="shared" si="92"/>
        <v>0.5</v>
      </c>
      <c r="AF214" s="173">
        <f t="shared" si="93"/>
        <v>0.91003807932273517</v>
      </c>
      <c r="AG214" s="802">
        <f t="shared" si="99"/>
        <v>2</v>
      </c>
      <c r="AH214" s="172">
        <f t="shared" si="94"/>
        <v>8</v>
      </c>
      <c r="AI214" s="221">
        <f t="shared" si="95"/>
        <v>2.9100380793227352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46588</v>
      </c>
      <c r="B215" s="406">
        <f>'2026'!Wh/'2026'!Env_an*'2027'!Env_an</f>
        <v>40.909639069655832</v>
      </c>
      <c r="C215" s="832"/>
      <c r="D215" s="388">
        <f t="shared" si="77"/>
        <v>42.083161991407884</v>
      </c>
      <c r="E215" s="380">
        <f t="shared" si="75"/>
        <v>42.336694528238382</v>
      </c>
      <c r="F215" s="380">
        <f t="shared" si="78"/>
        <v>42.337134265779667</v>
      </c>
      <c r="G215" s="110">
        <f t="shared" si="76"/>
        <v>0.68100790058465999</v>
      </c>
      <c r="H215" s="409" t="b">
        <f>Wh_hp&gt;='2026'!Maxi_hp</f>
        <v>0</v>
      </c>
      <c r="I215" s="385">
        <f>IF(H215,Wh_hp,'2026'!Maxi_hp)</f>
        <v>42.337467031367346</v>
      </c>
      <c r="J215" s="85">
        <f>IF(H215,An,'2026'!An_max)</f>
        <v>2022</v>
      </c>
      <c r="K215" s="193">
        <f t="shared" si="79"/>
        <v>46588</v>
      </c>
      <c r="L215" s="143">
        <f>IF(t&lt;Tvie,1-EXP((T0-t)*PertePVj)+'2026'!Pspv,1-EXP((T0-t)*PertePVj)+Pspv)</f>
        <v>2.7885806726967166E-2</v>
      </c>
      <c r="M215" s="836"/>
      <c r="N215" s="836"/>
      <c r="O215" s="48">
        <f>IF(t&lt;Tnet,'2026'!Resal+('2026'!Salim-'2026'!Resal)*(1-EXP(('2026'!Tnet-t)/('2026'!Tau_j))),Resal+(Salim-Resal)*(1-EXP((Tnet-t)/(Tau_j))))*Salcycl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1.9082241788889855E-5</v>
      </c>
      <c r="Q215" s="301">
        <f t="shared" si="80"/>
        <v>0.5</v>
      </c>
      <c r="R215" s="173">
        <f t="shared" si="81"/>
        <v>0.9128705647581703</v>
      </c>
      <c r="S215" s="802">
        <f t="shared" si="82"/>
        <v>2</v>
      </c>
      <c r="T215" s="172">
        <f t="shared" si="83"/>
        <v>8</v>
      </c>
      <c r="U215" s="247">
        <f t="shared" si="84"/>
        <v>2.9128705647581703</v>
      </c>
      <c r="V215" s="378">
        <f t="shared" si="85"/>
        <v>60.071672140631499</v>
      </c>
      <c r="W215" s="397">
        <f t="shared" si="86"/>
        <v>40.909639069655832</v>
      </c>
      <c r="X215" s="153">
        <f t="shared" si="87"/>
        <v>46588</v>
      </c>
      <c r="Y215" s="380">
        <f t="shared" si="88"/>
        <v>39.347660929894253</v>
      </c>
      <c r="Z215" s="380">
        <f t="shared" si="89"/>
        <v>40.476377366134059</v>
      </c>
      <c r="AA215" s="381">
        <f t="shared" si="90"/>
        <v>42.336694528238382</v>
      </c>
      <c r="AB215" s="193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4.394101105043758E-2</v>
      </c>
      <c r="AD215" s="227">
        <f>(INDEX(Models!$BJ215:$BT215,,AH215)*(1-AF215)+INDEX(Models!$BJ215:$BT215,,AH215+1)*AF215-ERP_i)*AE215*Ramure*Pc/MaxiM</f>
        <v>1.9082241788889855E-5</v>
      </c>
      <c r="AE215" s="301">
        <f t="shared" si="92"/>
        <v>0.5</v>
      </c>
      <c r="AF215" s="173">
        <f t="shared" si="93"/>
        <v>0.9128705647581703</v>
      </c>
      <c r="AG215" s="802">
        <f t="shared" si="99"/>
        <v>2</v>
      </c>
      <c r="AH215" s="172">
        <f t="shared" si="94"/>
        <v>8</v>
      </c>
      <c r="AI215" s="221">
        <f t="shared" si="95"/>
        <v>2.9128705647581703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46589</v>
      </c>
      <c r="B216" s="406">
        <f>'2026'!Wh/'2026'!Env_an*'2027'!Env_an</f>
        <v>56.449472887181919</v>
      </c>
      <c r="C216" s="832"/>
      <c r="D216" s="388">
        <f t="shared" si="77"/>
        <v>58.069562232782999</v>
      </c>
      <c r="E216" s="380">
        <f t="shared" si="75"/>
        <v>58.423603419245836</v>
      </c>
      <c r="F216" s="380">
        <f t="shared" si="78"/>
        <v>58.424667722050998</v>
      </c>
      <c r="G216" s="110">
        <f t="shared" si="76"/>
        <v>0.94237262991279214</v>
      </c>
      <c r="H216" s="409" t="b">
        <f>Wh_hp&gt;='2026'!Maxi_hp</f>
        <v>0</v>
      </c>
      <c r="I216" s="385">
        <f>IF(H216,Wh_hp,'2026'!Maxi_hp)</f>
        <v>58.424753973984458</v>
      </c>
      <c r="J216" s="85">
        <f>IF(H216,An,'2026'!An_max)</f>
        <v>2022</v>
      </c>
      <c r="K216" s="193">
        <f t="shared" si="79"/>
        <v>46589</v>
      </c>
      <c r="L216" s="143">
        <f>IF(t&lt;Tvie,1-EXP((T0-t)*PertePVj)+'2026'!Pspv,1-EXP((T0-t)*PertePVj)+Pspv)</f>
        <v>2.7899114153928761E-2</v>
      </c>
      <c r="M216" s="836"/>
      <c r="N216" s="836"/>
      <c r="O216" s="48">
        <f>IF(t&lt;Tnet,'2026'!Resal+('2026'!Salim-'2026'!Resal)*(1-EXP(('2026'!Tnet-t)/('2026'!Tau_j))),Resal+(Salim-Resal)*(1-EXP((Tnet-t)/(Tau_j))))*Salcycl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1.9850841704292438E-5</v>
      </c>
      <c r="Q216" s="301">
        <f t="shared" si="80"/>
        <v>0.5</v>
      </c>
      <c r="R216" s="173">
        <f t="shared" si="81"/>
        <v>0.91562543751623027</v>
      </c>
      <c r="S216" s="802">
        <f t="shared" si="82"/>
        <v>2</v>
      </c>
      <c r="T216" s="172">
        <f t="shared" si="83"/>
        <v>8</v>
      </c>
      <c r="U216" s="247">
        <f t="shared" si="84"/>
        <v>2.9156254375162303</v>
      </c>
      <c r="V216" s="378">
        <f t="shared" si="85"/>
        <v>59.901337162678765</v>
      </c>
      <c r="W216" s="397">
        <f t="shared" si="86"/>
        <v>56.449472887181919</v>
      </c>
      <c r="X216" s="153">
        <f t="shared" si="87"/>
        <v>46589</v>
      </c>
      <c r="Y216" s="380">
        <f t="shared" si="88"/>
        <v>54.295900418060782</v>
      </c>
      <c r="Z216" s="380">
        <f t="shared" si="89"/>
        <v>55.854182635379622</v>
      </c>
      <c r="AA216" s="381">
        <f t="shared" si="90"/>
        <v>58.423603419245836</v>
      </c>
      <c r="AB216" s="193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4.3979156256900777E-2</v>
      </c>
      <c r="AD216" s="227">
        <f>(INDEX(Models!$BJ216:$BT216,,AH216)*(1-AF216)+INDEX(Models!$BJ216:$BT216,,AH216+1)*AF216-ERP_i)*AE216*Ramure*Pc/MaxiM</f>
        <v>1.9850841704292438E-5</v>
      </c>
      <c r="AE216" s="301">
        <f t="shared" si="92"/>
        <v>0.5</v>
      </c>
      <c r="AF216" s="173">
        <f t="shared" si="93"/>
        <v>0.91562543751623027</v>
      </c>
      <c r="AG216" s="802">
        <f t="shared" si="99"/>
        <v>2</v>
      </c>
      <c r="AH216" s="172">
        <f t="shared" si="94"/>
        <v>8</v>
      </c>
      <c r="AI216" s="221">
        <f t="shared" si="95"/>
        <v>2.9156254375162303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46590</v>
      </c>
      <c r="B217" s="406">
        <f>'2026'!Wh/'2026'!Env_an*'2027'!Env_an</f>
        <v>48.482258001593635</v>
      </c>
      <c r="C217" s="832"/>
      <c r="D217" s="388">
        <f t="shared" si="77"/>
        <v>49.874372503919922</v>
      </c>
      <c r="E217" s="380">
        <f t="shared" si="75"/>
        <v>50.182049745546401</v>
      </c>
      <c r="F217" s="380">
        <f t="shared" si="78"/>
        <v>50.182804440923043</v>
      </c>
      <c r="G217" s="110">
        <f t="shared" si="76"/>
        <v>0.811746190724426</v>
      </c>
      <c r="H217" s="409" t="b">
        <f>Wh_hp&gt;='2026'!Maxi_hp</f>
        <v>0</v>
      </c>
      <c r="I217" s="385">
        <f>IF(H217,Wh_hp,'2026'!Maxi_hp)</f>
        <v>50.183055073170451</v>
      </c>
      <c r="J217" s="85">
        <f>IF(H217,An,'2026'!An_max)</f>
        <v>2022</v>
      </c>
      <c r="K217" s="193">
        <f t="shared" si="79"/>
        <v>46590</v>
      </c>
      <c r="L217" s="143">
        <f>IF(t&lt;Tvie,1-EXP((T0-t)*PertePVj)+'2026'!Pspv,1-EXP((T0-t)*PertePVj)+Pspv)</f>
        <v>2.7912421398722853E-2</v>
      </c>
      <c r="M217" s="836"/>
      <c r="N217" s="836"/>
      <c r="O217" s="48">
        <f>IF(t&lt;Tnet,'2026'!Resal+('2026'!Salim-'2026'!Resal)*(1-EXP(('2026'!Tnet-t)/('2026'!Tau_j))),Resal+(Salim-Resal)*(1-EXP((Tnet-t)/(Tau_j))))*Salcycl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2.0571045832610226E-5</v>
      </c>
      <c r="Q217" s="301">
        <f t="shared" si="80"/>
        <v>0.5</v>
      </c>
      <c r="R217" s="173">
        <f t="shared" si="81"/>
        <v>0.91830361317350917</v>
      </c>
      <c r="S217" s="802">
        <f t="shared" si="82"/>
        <v>2</v>
      </c>
      <c r="T217" s="172">
        <f t="shared" si="83"/>
        <v>8</v>
      </c>
      <c r="U217" s="247">
        <f t="shared" si="84"/>
        <v>2.9183036131735092</v>
      </c>
      <c r="V217" s="378">
        <f t="shared" si="85"/>
        <v>59.725552570231322</v>
      </c>
      <c r="W217" s="397">
        <f t="shared" si="86"/>
        <v>48.482258001593635</v>
      </c>
      <c r="X217" s="153">
        <f t="shared" si="87"/>
        <v>46590</v>
      </c>
      <c r="Y217" s="380">
        <f t="shared" si="88"/>
        <v>46.63413831410486</v>
      </c>
      <c r="Z217" s="380">
        <f t="shared" si="89"/>
        <v>47.973186100377966</v>
      </c>
      <c r="AA217" s="381">
        <f t="shared" si="90"/>
        <v>50.182049745546401</v>
      </c>
      <c r="AB217" s="193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4.4017007204144157E-2</v>
      </c>
      <c r="AD217" s="227">
        <f>(INDEX(Models!$BJ217:$BT217,,AH217)*(1-AF217)+INDEX(Models!$BJ217:$BT217,,AH217+1)*AF217-ERP_i)*AE217*Ramure*Pc/MaxiM</f>
        <v>2.0571045832610226E-5</v>
      </c>
      <c r="AE217" s="301">
        <f t="shared" si="92"/>
        <v>0.5</v>
      </c>
      <c r="AF217" s="173">
        <f t="shared" si="93"/>
        <v>0.91830361317350917</v>
      </c>
      <c r="AG217" s="802">
        <f t="shared" si="99"/>
        <v>2</v>
      </c>
      <c r="AH217" s="172">
        <f t="shared" si="94"/>
        <v>8</v>
      </c>
      <c r="AI217" s="221">
        <f t="shared" si="95"/>
        <v>2.9183036131735092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46591</v>
      </c>
      <c r="B218" s="406">
        <f>'2026'!Wh/'2026'!Env_an*'2027'!Env_an</f>
        <v>45.874567976666235</v>
      </c>
      <c r="C218" s="832"/>
      <c r="D218" s="388">
        <f t="shared" si="77"/>
        <v>47.192451564481452</v>
      </c>
      <c r="E218" s="380">
        <f t="shared" si="75"/>
        <v>47.486987087336409</v>
      </c>
      <c r="F218" s="380">
        <f t="shared" si="78"/>
        <v>47.487665013605316</v>
      </c>
      <c r="G218" s="110">
        <f t="shared" si="76"/>
        <v>0.77042463877745282</v>
      </c>
      <c r="H218" s="409" t="b">
        <f>Wh_hp&gt;='2026'!Maxi_hp</f>
        <v>0</v>
      </c>
      <c r="I218" s="385">
        <f>IF(H218,Wh_hp,'2026'!Maxi_hp)</f>
        <v>47.487963460820495</v>
      </c>
      <c r="J218" s="85">
        <f>IF(H218,An,'2026'!An_max)</f>
        <v>2022</v>
      </c>
      <c r="K218" s="193">
        <f t="shared" si="79"/>
        <v>46591</v>
      </c>
      <c r="L218" s="143">
        <f>IF(t&lt;Tvie,1-EXP((T0-t)*PertePVj)+'2026'!Pspv,1-EXP((T0-t)*PertePVj)+Pspv)</f>
        <v>2.7925728461351995E-2</v>
      </c>
      <c r="M218" s="836"/>
      <c r="N218" s="836"/>
      <c r="O218" s="48">
        <f>IF(t&lt;Tnet,'2026'!Resal+('2026'!Salim-'2026'!Resal)*(1-EXP(('2026'!Tnet-t)/('2026'!Tau_j))),Resal+(Salim-Resal)*(1-EXP((Tnet-t)/(Tau_j))))*Salcycl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2.1242453282127379E-5</v>
      </c>
      <c r="Q218" s="301">
        <f t="shared" si="80"/>
        <v>0.5</v>
      </c>
      <c r="R218" s="173">
        <f t="shared" si="81"/>
        <v>0.92090608293464138</v>
      </c>
      <c r="S218" s="802">
        <f t="shared" si="82"/>
        <v>2</v>
      </c>
      <c r="T218" s="172">
        <f t="shared" si="83"/>
        <v>8</v>
      </c>
      <c r="U218" s="247">
        <f t="shared" si="84"/>
        <v>2.9209060829346414</v>
      </c>
      <c r="V218" s="378">
        <f t="shared" si="85"/>
        <v>59.544108628829903</v>
      </c>
      <c r="W218" s="397">
        <f t="shared" si="86"/>
        <v>45.874567976666235</v>
      </c>
      <c r="X218" s="153">
        <f t="shared" si="87"/>
        <v>46591</v>
      </c>
      <c r="Y218" s="380">
        <f t="shared" si="88"/>
        <v>44.12728021884169</v>
      </c>
      <c r="Z218" s="380">
        <f t="shared" si="89"/>
        <v>45.394967762077286</v>
      </c>
      <c r="AA218" s="381">
        <f t="shared" si="90"/>
        <v>47.486987087336409</v>
      </c>
      <c r="AB218" s="193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4.4054581130016764E-2</v>
      </c>
      <c r="AD218" s="227">
        <f>(INDEX(Models!$BJ218:$BT218,,AH218)*(1-AF218)+INDEX(Models!$BJ218:$BT218,,AH218+1)*AF218-ERP_i)*AE218*Ramure*Pc/MaxiM</f>
        <v>2.1242453282127379E-5</v>
      </c>
      <c r="AE218" s="301">
        <f t="shared" si="92"/>
        <v>0.5</v>
      </c>
      <c r="AF218" s="173">
        <f t="shared" si="93"/>
        <v>0.92090608293464138</v>
      </c>
      <c r="AG218" s="802">
        <f t="shared" si="99"/>
        <v>2</v>
      </c>
      <c r="AH218" s="172">
        <f t="shared" si="94"/>
        <v>8</v>
      </c>
      <c r="AI218" s="221">
        <f t="shared" si="95"/>
        <v>2.9209060829346414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46592</v>
      </c>
      <c r="B219" s="406">
        <f>'2026'!Wh/'2026'!Env_an*'2027'!Env_an</f>
        <v>55.851536036684188</v>
      </c>
      <c r="C219" s="832"/>
      <c r="D219" s="388">
        <f t="shared" si="77"/>
        <v>57.456824280896818</v>
      </c>
      <c r="E219" s="380">
        <f t="shared" si="75"/>
        <v>57.819559858580561</v>
      </c>
      <c r="F219" s="380">
        <f t="shared" si="78"/>
        <v>57.820717463349688</v>
      </c>
      <c r="G219" s="110">
        <f t="shared" si="76"/>
        <v>0.94095396292702616</v>
      </c>
      <c r="H219" s="409" t="b">
        <f>Wh_hp&gt;='2026'!Maxi_hp</f>
        <v>0</v>
      </c>
      <c r="I219" s="385">
        <f>IF(H219,Wh_hp,'2026'!Maxi_hp)</f>
        <v>57.820813582801875</v>
      </c>
      <c r="J219" s="85">
        <f>IF(H219,An,'2026'!An_max)</f>
        <v>2022</v>
      </c>
      <c r="K219" s="193">
        <f t="shared" si="79"/>
        <v>46592</v>
      </c>
      <c r="L219" s="143">
        <f>IF(t&lt;Tvie,1-EXP((T0-t)*PertePVj)+'2026'!Pspv,1-EXP((T0-t)*PertePVj)+Pspv)</f>
        <v>2.7939035341818519E-2</v>
      </c>
      <c r="M219" s="836"/>
      <c r="N219" s="836"/>
      <c r="O219" s="48">
        <f>IF(t&lt;Tnet,'2026'!Resal+('2026'!Salim-'2026'!Resal)*(1-EXP(('2026'!Tnet-t)/('2026'!Tau_j))),Resal+(Salim-Resal)*(1-EXP((Tnet-t)/(Tau_j))))*Salcycl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2.1864867915145531E-5</v>
      </c>
      <c r="Q219" s="301">
        <f t="shared" si="80"/>
        <v>0.5</v>
      </c>
      <c r="R219" s="173">
        <f t="shared" si="81"/>
        <v>0.92343390697751859</v>
      </c>
      <c r="S219" s="802">
        <f t="shared" si="82"/>
        <v>2</v>
      </c>
      <c r="T219" s="172">
        <f t="shared" si="83"/>
        <v>8</v>
      </c>
      <c r="U219" s="247">
        <f t="shared" si="84"/>
        <v>2.9234339069775186</v>
      </c>
      <c r="V219" s="378">
        <f t="shared" si="85"/>
        <v>59.356180248208283</v>
      </c>
      <c r="W219" s="397">
        <f t="shared" si="86"/>
        <v>55.851536036684188</v>
      </c>
      <c r="X219" s="153">
        <f t="shared" si="87"/>
        <v>46592</v>
      </c>
      <c r="Y219" s="380">
        <f t="shared" si="88"/>
        <v>53.725990252901404</v>
      </c>
      <c r="Z219" s="380">
        <f t="shared" si="89"/>
        <v>55.270185930975821</v>
      </c>
      <c r="AA219" s="381">
        <f t="shared" si="90"/>
        <v>57.819559858580561</v>
      </c>
      <c r="AB219" s="193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4.4091894401136818E-2</v>
      </c>
      <c r="AD219" s="227">
        <f>(INDEX(Models!$BJ219:$BT219,,AH219)*(1-AF219)+INDEX(Models!$BJ219:$BT219,,AH219+1)*AF219-ERP_i)*AE219*Ramure*Pc/MaxiM</f>
        <v>2.1864867915145531E-5</v>
      </c>
      <c r="AE219" s="301">
        <f t="shared" si="92"/>
        <v>0.5</v>
      </c>
      <c r="AF219" s="173">
        <f t="shared" si="93"/>
        <v>0.92343390697751859</v>
      </c>
      <c r="AG219" s="802">
        <f t="shared" si="99"/>
        <v>2</v>
      </c>
      <c r="AH219" s="172">
        <f t="shared" si="94"/>
        <v>8</v>
      </c>
      <c r="AI219" s="221">
        <f t="shared" si="95"/>
        <v>2.9234339069775186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46593</v>
      </c>
      <c r="B220" s="406">
        <f>'2026'!Wh/'2026'!Env_an*'2027'!Env_an</f>
        <v>29.46369627259477</v>
      </c>
      <c r="C220" s="832"/>
      <c r="D220" s="388">
        <f t="shared" si="77"/>
        <v>30.310958553650462</v>
      </c>
      <c r="E220" s="380">
        <f t="shared" si="75"/>
        <v>30.504497948091633</v>
      </c>
      <c r="F220" s="380">
        <f t="shared" si="78"/>
        <v>30.504692677294155</v>
      </c>
      <c r="G220" s="110">
        <f t="shared" si="76"/>
        <v>0.49801400672811302</v>
      </c>
      <c r="H220" s="409" t="b">
        <f>Wh_hp&gt;='2026'!Maxi_hp</f>
        <v>0</v>
      </c>
      <c r="I220" s="385">
        <f>IF(H220,Wh_hp,'2026'!Maxi_hp)</f>
        <v>30.505137185195856</v>
      </c>
      <c r="J220" s="85">
        <f>IF(H220,An,'2026'!An_max)</f>
        <v>2022</v>
      </c>
      <c r="K220" s="193">
        <f t="shared" si="79"/>
        <v>46593</v>
      </c>
      <c r="L220" s="143">
        <f>IF(t&lt;Tvie,1-EXP((T0-t)*PertePVj)+'2026'!Pspv,1-EXP((T0-t)*PertePVj)+Pspv)</f>
        <v>2.7952342040125089E-2</v>
      </c>
      <c r="M220" s="836"/>
      <c r="N220" s="836"/>
      <c r="O220" s="48">
        <f>IF(t&lt;Tnet,'2026'!Resal+('2026'!Salim-'2026'!Resal)*(1-EXP(('2026'!Tnet-t)/('2026'!Tau_j))),Resal+(Salim-Resal)*(1-EXP((Tnet-t)/(Tau_j))))*Salcycl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2.2565703859210443E-5</v>
      </c>
      <c r="Q220" s="301">
        <f t="shared" si="80"/>
        <v>0.5</v>
      </c>
      <c r="R220" s="173">
        <f t="shared" si="81"/>
        <v>0.92588820796465354</v>
      </c>
      <c r="S220" s="802">
        <f t="shared" si="82"/>
        <v>2</v>
      </c>
      <c r="T220" s="172">
        <f t="shared" si="83"/>
        <v>8</v>
      </c>
      <c r="U220" s="247">
        <f t="shared" si="84"/>
        <v>2.9258882079646535</v>
      </c>
      <c r="V220" s="378">
        <f t="shared" si="85"/>
        <v>59.161427362239749</v>
      </c>
      <c r="W220" s="397">
        <f t="shared" si="86"/>
        <v>29.46369627259477</v>
      </c>
      <c r="X220" s="153">
        <f t="shared" si="87"/>
        <v>46593</v>
      </c>
      <c r="Y220" s="380">
        <f t="shared" si="88"/>
        <v>28.343321480667633</v>
      </c>
      <c r="Z220" s="380">
        <f t="shared" si="89"/>
        <v>29.158366103318791</v>
      </c>
      <c r="AA220" s="381">
        <f t="shared" si="90"/>
        <v>30.504497948091633</v>
      </c>
      <c r="AB220" s="193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4.4128962458700439E-2</v>
      </c>
      <c r="AD220" s="227">
        <f>(INDEX(Models!$BJ220:$BT220,,AH220)*(1-AF220)+INDEX(Models!$BJ220:$BT220,,AH220+1)*AF220-ERP_i)*AE220*Ramure*Pc/MaxiM</f>
        <v>2.2565703859210443E-5</v>
      </c>
      <c r="AE220" s="301">
        <f t="shared" si="92"/>
        <v>0.5</v>
      </c>
      <c r="AF220" s="173">
        <f t="shared" si="93"/>
        <v>0.92588820796465354</v>
      </c>
      <c r="AG220" s="802">
        <f t="shared" si="99"/>
        <v>2</v>
      </c>
      <c r="AH220" s="172">
        <f t="shared" si="94"/>
        <v>8</v>
      </c>
      <c r="AI220" s="221">
        <f t="shared" si="95"/>
        <v>2.9258882079646535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46594</v>
      </c>
      <c r="B221" s="406">
        <f>'2026'!Wh/'2026'!Env_an*'2027'!Env_an</f>
        <v>52.216215795208498</v>
      </c>
      <c r="C221" s="832"/>
      <c r="D221" s="388">
        <f t="shared" si="77"/>
        <v>53.718488155952237</v>
      </c>
      <c r="E221" s="380">
        <f t="shared" si="75"/>
        <v>54.065347961084733</v>
      </c>
      <c r="F221" s="380">
        <f t="shared" si="78"/>
        <v>54.06640481090038</v>
      </c>
      <c r="G221" s="110">
        <f t="shared" si="76"/>
        <v>0.88561197054837004</v>
      </c>
      <c r="H221" s="409" t="b">
        <f>Wh_hp&gt;='2026'!Maxi_hp</f>
        <v>0</v>
      </c>
      <c r="I221" s="385">
        <f>IF(H221,Wh_hp,'2026'!Maxi_hp)</f>
        <v>54.066590490635548</v>
      </c>
      <c r="J221" s="85">
        <f>IF(H221,An,'2026'!An_max)</f>
        <v>2022</v>
      </c>
      <c r="K221" s="193">
        <f t="shared" si="79"/>
        <v>46594</v>
      </c>
      <c r="L221" s="143">
        <f>IF(t&lt;Tvie,1-EXP((T0-t)*PertePVj)+'2026'!Pspv,1-EXP((T0-t)*PertePVj)+Pspv)</f>
        <v>2.7965648556274147E-2</v>
      </c>
      <c r="M221" s="836"/>
      <c r="N221" s="836"/>
      <c r="O221" s="48">
        <f>IF(t&lt;Tnet,'2026'!Resal+('2026'!Salim-'2026'!Resal)*(1-EXP(('2026'!Tnet-t)/('2026'!Tau_j))),Resal+(Salim-Resal)*(1-EXP((Tnet-t)/(Tau_j))))*Salcycl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2.3365300507362796E-5</v>
      </c>
      <c r="Q221" s="301">
        <f t="shared" si="80"/>
        <v>0.5</v>
      </c>
      <c r="R221" s="173">
        <f t="shared" si="81"/>
        <v>0.92827016474251245</v>
      </c>
      <c r="S221" s="802">
        <f t="shared" si="82"/>
        <v>2</v>
      </c>
      <c r="T221" s="172">
        <f t="shared" si="83"/>
        <v>8</v>
      </c>
      <c r="U221" s="247">
        <f t="shared" si="84"/>
        <v>2.9282701647425124</v>
      </c>
      <c r="V221" s="378">
        <f t="shared" si="85"/>
        <v>58.960377867413612</v>
      </c>
      <c r="W221" s="397">
        <f t="shared" si="86"/>
        <v>52.216215795208498</v>
      </c>
      <c r="X221" s="153">
        <f t="shared" si="87"/>
        <v>46594</v>
      </c>
      <c r="Y221" s="380">
        <f t="shared" si="88"/>
        <v>50.232313583804967</v>
      </c>
      <c r="Z221" s="380">
        <f t="shared" si="89"/>
        <v>51.677508628369779</v>
      </c>
      <c r="AA221" s="381">
        <f t="shared" si="90"/>
        <v>54.065347961084733</v>
      </c>
      <c r="AB221" s="193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4.4165799773150022E-2</v>
      </c>
      <c r="AD221" s="227">
        <f>(INDEX(Models!$BJ221:$BT221,,AH221)*(1-AF221)+INDEX(Models!$BJ221:$BT221,,AH221+1)*AF221-ERP_i)*AE221*Ramure*Pc/MaxiM</f>
        <v>2.3365300507362796E-5</v>
      </c>
      <c r="AE221" s="301">
        <f t="shared" si="92"/>
        <v>0.5</v>
      </c>
      <c r="AF221" s="173">
        <f t="shared" si="93"/>
        <v>0.92827016474251245</v>
      </c>
      <c r="AG221" s="802">
        <f t="shared" si="99"/>
        <v>2</v>
      </c>
      <c r="AH221" s="172">
        <f t="shared" si="94"/>
        <v>8</v>
      </c>
      <c r="AI221" s="221">
        <f t="shared" si="95"/>
        <v>2.9282701647425124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46595</v>
      </c>
      <c r="B222" s="406">
        <f>'2026'!Wh/'2026'!Env_an*'2027'!Env_an</f>
        <v>59.098752142449399</v>
      </c>
      <c r="C222" s="832"/>
      <c r="D222" s="388">
        <f t="shared" si="77"/>
        <v>60.799868932650234</v>
      </c>
      <c r="E222" s="380">
        <f t="shared" si="75"/>
        <v>61.196817391293102</v>
      </c>
      <c r="F222" s="380">
        <f t="shared" si="78"/>
        <v>61.198302360762852</v>
      </c>
      <c r="G222" s="110">
        <f t="shared" si="76"/>
        <v>1.0058752442346579</v>
      </c>
      <c r="H222" s="409" t="b">
        <f>Wh_hp&gt;='2026'!Maxi_hp</f>
        <v>1</v>
      </c>
      <c r="I222" s="385">
        <f>IF(H222,Wh_hp,'2026'!Maxi_hp)</f>
        <v>61.198302360762852</v>
      </c>
      <c r="J222" s="85">
        <f>IF(H222,An,'2026'!An_max)</f>
        <v>2027</v>
      </c>
      <c r="K222" s="193">
        <f t="shared" si="79"/>
        <v>46595</v>
      </c>
      <c r="L222" s="143">
        <f>IF(t&lt;Tvie,1-EXP((T0-t)*PertePVj)+'2026'!Pspv,1-EXP((T0-t)*PertePVj)+Pspv)</f>
        <v>2.7978954890268137E-2</v>
      </c>
      <c r="M222" s="836"/>
      <c r="N222" s="836"/>
      <c r="O222" s="48">
        <f>IF(t&lt;Tnet,'2026'!Resal+('2026'!Salim-'2026'!Resal)*(1-EXP(('2026'!Tnet-t)/('2026'!Tau_j))),Resal+(Salim-Resal)*(1-EXP((Tnet-t)/(Tau_j))))*Salcycl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2.4264880110546216E-5</v>
      </c>
      <c r="Q222" s="301">
        <f t="shared" si="80"/>
        <v>0.5</v>
      </c>
      <c r="R222" s="173">
        <f t="shared" si="81"/>
        <v>0.93058100624747819</v>
      </c>
      <c r="S222" s="802">
        <f t="shared" si="82"/>
        <v>2</v>
      </c>
      <c r="T222" s="172">
        <f t="shared" si="83"/>
        <v>8</v>
      </c>
      <c r="U222" s="247">
        <f t="shared" si="84"/>
        <v>2.9305810062474782</v>
      </c>
      <c r="V222" s="378">
        <f t="shared" si="85"/>
        <v>58.753560624126862</v>
      </c>
      <c r="W222" s="397">
        <f t="shared" si="86"/>
        <v>59.098752142449399</v>
      </c>
      <c r="X222" s="153">
        <f t="shared" si="87"/>
        <v>46595</v>
      </c>
      <c r="Y222" s="380">
        <f t="shared" si="88"/>
        <v>56.855231384398657</v>
      </c>
      <c r="Z222" s="380">
        <f t="shared" si="89"/>
        <v>58.491769978066934</v>
      </c>
      <c r="AA222" s="381">
        <f t="shared" si="90"/>
        <v>61.196817391293102</v>
      </c>
      <c r="AB222" s="193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4.4202419807717601E-2</v>
      </c>
      <c r="AD222" s="227">
        <f>(INDEX(Models!$BJ222:$BT222,,AH222)*(1-AF222)+INDEX(Models!$BJ222:$BT222,,AH222+1)*AF222-ERP_i)*AE222*Ramure*Pc/MaxiM</f>
        <v>2.4264880110546216E-5</v>
      </c>
      <c r="AE222" s="301">
        <f t="shared" si="92"/>
        <v>0.5</v>
      </c>
      <c r="AF222" s="173">
        <f t="shared" si="93"/>
        <v>0.93058100624747819</v>
      </c>
      <c r="AG222" s="802">
        <f t="shared" si="99"/>
        <v>2</v>
      </c>
      <c r="AH222" s="172">
        <f t="shared" si="94"/>
        <v>8</v>
      </c>
      <c r="AI222" s="221">
        <f t="shared" si="95"/>
        <v>2.9305810062474782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46596</v>
      </c>
      <c r="B223" s="406">
        <f>'2026'!Wh/'2026'!Env_an*'2027'!Env_an</f>
        <v>46.433221892882159</v>
      </c>
      <c r="C223" s="832"/>
      <c r="D223" s="388">
        <f t="shared" si="77"/>
        <v>47.770424073643873</v>
      </c>
      <c r="E223" s="380">
        <f t="shared" si="75"/>
        <v>48.085731409431403</v>
      </c>
      <c r="F223" s="380">
        <f t="shared" si="78"/>
        <v>48.086587365529248</v>
      </c>
      <c r="G223" s="110">
        <f t="shared" si="76"/>
        <v>0.7931616343979021</v>
      </c>
      <c r="H223" s="409" t="b">
        <f>Wh_hp&gt;='2026'!Maxi_hp</f>
        <v>0</v>
      </c>
      <c r="I223" s="385">
        <f>IF(H223,Wh_hp,'2026'!Maxi_hp)</f>
        <v>48.086909443668787</v>
      </c>
      <c r="J223" s="85">
        <f>IF(H223,An,'2026'!An_max)</f>
        <v>2022</v>
      </c>
      <c r="K223" s="193">
        <f t="shared" si="79"/>
        <v>46596</v>
      </c>
      <c r="L223" s="143">
        <f>IF(t&lt;Tvie,1-EXP((T0-t)*PertePVj)+'2026'!Pspv,1-EXP((T0-t)*PertePVj)+Pspv)</f>
        <v>2.7992261042109612E-2</v>
      </c>
      <c r="M223" s="836"/>
      <c r="N223" s="836"/>
      <c r="O223" s="48">
        <f>IF(t&lt;Tnet,'2026'!Resal+('2026'!Salim-'2026'!Resal)*(1-EXP(('2026'!Tnet-t)/('2026'!Tau_j))),Resal+(Salim-Resal)*(1-EXP((Tnet-t)/(Tau_j))))*Salcycl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2.5265684898371296E-5</v>
      </c>
      <c r="Q223" s="301">
        <f t="shared" si="80"/>
        <v>0.5</v>
      </c>
      <c r="R223" s="173">
        <f t="shared" si="81"/>
        <v>0.93282200563406015</v>
      </c>
      <c r="S223" s="802">
        <f t="shared" si="82"/>
        <v>2</v>
      </c>
      <c r="T223" s="172">
        <f t="shared" si="83"/>
        <v>8</v>
      </c>
      <c r="U223" s="247">
        <f t="shared" si="84"/>
        <v>2.9328220056340601</v>
      </c>
      <c r="V223" s="378">
        <f t="shared" si="85"/>
        <v>58.541504318332763</v>
      </c>
      <c r="W223" s="397">
        <f t="shared" si="86"/>
        <v>46.433221892882159</v>
      </c>
      <c r="X223" s="153">
        <f t="shared" si="87"/>
        <v>46596</v>
      </c>
      <c r="Y223" s="380">
        <f t="shared" si="88"/>
        <v>44.671993052077632</v>
      </c>
      <c r="Z223" s="380">
        <f t="shared" si="89"/>
        <v>45.95847467219901</v>
      </c>
      <c r="AA223" s="381">
        <f t="shared" si="90"/>
        <v>48.085731409431403</v>
      </c>
      <c r="AB223" s="193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4.4238834990771518E-2</v>
      </c>
      <c r="AD223" s="227">
        <f>(INDEX(Models!$BJ223:$BT223,,AH223)*(1-AF223)+INDEX(Models!$BJ223:$BT223,,AH223+1)*AF223-ERP_i)*AE223*Ramure*Pc/MaxiM</f>
        <v>2.5265684898371296E-5</v>
      </c>
      <c r="AE223" s="301">
        <f t="shared" si="92"/>
        <v>0.5</v>
      </c>
      <c r="AF223" s="173">
        <f t="shared" si="93"/>
        <v>0.93282200563406015</v>
      </c>
      <c r="AG223" s="802">
        <f t="shared" si="99"/>
        <v>2</v>
      </c>
      <c r="AH223" s="172">
        <f t="shared" si="94"/>
        <v>8</v>
      </c>
      <c r="AI223" s="221">
        <f t="shared" si="95"/>
        <v>2.9328220056340601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46597</v>
      </c>
      <c r="B224" s="406">
        <f>'2026'!Wh/'2026'!Env_an*'2027'!Env_an</f>
        <v>28.844533913858395</v>
      </c>
      <c r="C224" s="832"/>
      <c r="D224" s="388">
        <f t="shared" si="77"/>
        <v>29.67561637691869</v>
      </c>
      <c r="E224" s="380">
        <f t="shared" si="75"/>
        <v>29.87361483856515</v>
      </c>
      <c r="F224" s="380">
        <f t="shared" si="78"/>
        <v>29.873833775321462</v>
      </c>
      <c r="G224" s="110">
        <f t="shared" si="76"/>
        <v>0.4945411837203309</v>
      </c>
      <c r="H224" s="409" t="b">
        <f>Wh_hp&gt;='2026'!Maxi_hp</f>
        <v>0</v>
      </c>
      <c r="I224" s="385">
        <f>IF(H224,Wh_hp,'2026'!Maxi_hp)</f>
        <v>29.87434338366489</v>
      </c>
      <c r="J224" s="85">
        <f>IF(H224,An,'2026'!An_max)</f>
        <v>2022</v>
      </c>
      <c r="K224" s="193">
        <f t="shared" si="79"/>
        <v>46597</v>
      </c>
      <c r="L224" s="143">
        <f>IF(t&lt;Tvie,1-EXP((T0-t)*PertePVj)+'2026'!Pspv,1-EXP((T0-t)*PertePVj)+Pspv)</f>
        <v>2.8005567011801014E-2</v>
      </c>
      <c r="M224" s="836"/>
      <c r="N224" s="836"/>
      <c r="O224" s="48">
        <f>IF(t&lt;Tnet,'2026'!Resal+('2026'!Salim-'2026'!Resal)*(1-EXP(('2026'!Tnet-t)/('2026'!Tau_j))),Resal+(Salim-Resal)*(1-EXP((Tnet-t)/(Tau_j))))*Salcycl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2.6368971111635187E-5</v>
      </c>
      <c r="Q224" s="301">
        <f t="shared" si="80"/>
        <v>0.5</v>
      </c>
      <c r="R224" s="173">
        <f t="shared" si="81"/>
        <v>0.93499447463809338</v>
      </c>
      <c r="S224" s="802">
        <f t="shared" si="82"/>
        <v>2</v>
      </c>
      <c r="T224" s="172">
        <f t="shared" si="83"/>
        <v>8</v>
      </c>
      <c r="U224" s="247">
        <f t="shared" si="84"/>
        <v>2.9349944746380934</v>
      </c>
      <c r="V224" s="378">
        <f t="shared" si="85"/>
        <v>58.324737457611747</v>
      </c>
      <c r="W224" s="397">
        <f t="shared" si="86"/>
        <v>28.844533913858395</v>
      </c>
      <c r="X224" s="153">
        <f t="shared" si="87"/>
        <v>46597</v>
      </c>
      <c r="Y224" s="380">
        <f t="shared" si="88"/>
        <v>27.751373056584384</v>
      </c>
      <c r="Z224" s="380">
        <f t="shared" si="89"/>
        <v>28.550958847848992</v>
      </c>
      <c r="AA224" s="381">
        <f t="shared" si="90"/>
        <v>29.87361483856515</v>
      </c>
      <c r="AB224" s="193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4.4275056696810665E-2</v>
      </c>
      <c r="AD224" s="227">
        <f>(INDEX(Models!$BJ224:$BT224,,AH224)*(1-AF224)+INDEX(Models!$BJ224:$BT224,,AH224+1)*AF224-ERP_i)*AE224*Ramure*Pc/MaxiM</f>
        <v>2.6368971111635187E-5</v>
      </c>
      <c r="AE224" s="301">
        <f t="shared" si="92"/>
        <v>0.5</v>
      </c>
      <c r="AF224" s="173">
        <f t="shared" si="93"/>
        <v>0.93499447463809338</v>
      </c>
      <c r="AG224" s="802">
        <f t="shared" si="99"/>
        <v>2</v>
      </c>
      <c r="AH224" s="172">
        <f t="shared" si="94"/>
        <v>8</v>
      </c>
      <c r="AI224" s="221">
        <f t="shared" si="95"/>
        <v>2.9349944746380934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46598</v>
      </c>
      <c r="B225" s="406">
        <f>'2026'!Wh/'2026'!Env_an*'2027'!Env_an</f>
        <v>47.440619993499133</v>
      </c>
      <c r="C225" s="832"/>
      <c r="D225" s="388">
        <f t="shared" si="77"/>
        <v>48.808169897423866</v>
      </c>
      <c r="E225" s="380">
        <f t="shared" si="75"/>
        <v>49.137314384896371</v>
      </c>
      <c r="F225" s="380">
        <f t="shared" si="78"/>
        <v>49.138314172143652</v>
      </c>
      <c r="G225" s="110">
        <f t="shared" si="76"/>
        <v>0.81647476582985612</v>
      </c>
      <c r="H225" s="409" t="b">
        <f>Wh_hp&gt;='2026'!Maxi_hp</f>
        <v>0</v>
      </c>
      <c r="I225" s="385">
        <f>IF(H225,Wh_hp,'2026'!Maxi_hp)</f>
        <v>49.138631982876142</v>
      </c>
      <c r="J225" s="85">
        <f>IF(H225,An,'2026'!An_max)</f>
        <v>2022</v>
      </c>
      <c r="K225" s="193">
        <f t="shared" si="79"/>
        <v>46598</v>
      </c>
      <c r="L225" s="143">
        <f>IF(t&lt;Tvie,1-EXP((T0-t)*PertePVj)+'2026'!Pspv,1-EXP((T0-t)*PertePVj)+Pspv)</f>
        <v>2.8018872799344896E-2</v>
      </c>
      <c r="M225" s="836"/>
      <c r="N225" s="836"/>
      <c r="O225" s="48">
        <f>IF(t&lt;Tnet,'2026'!Resal+('2026'!Salim-'2026'!Resal)*(1-EXP(('2026'!Tnet-t)/('2026'!Tau_j))),Resal+(Salim-Resal)*(1-EXP((Tnet-t)/(Tau_j))))*Salcycl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2.7576002455483921E-5</v>
      </c>
      <c r="Q225" s="301">
        <f t="shared" si="80"/>
        <v>0.5</v>
      </c>
      <c r="R225" s="173">
        <f t="shared" si="81"/>
        <v>0.9370997581849756</v>
      </c>
      <c r="S225" s="802">
        <f t="shared" si="82"/>
        <v>2</v>
      </c>
      <c r="T225" s="172">
        <f t="shared" si="83"/>
        <v>8</v>
      </c>
      <c r="U225" s="247">
        <f t="shared" si="84"/>
        <v>2.9370997581849756</v>
      </c>
      <c r="V225" s="378">
        <f t="shared" si="85"/>
        <v>58.103788377281703</v>
      </c>
      <c r="W225" s="397">
        <f t="shared" si="86"/>
        <v>47.440619993499133</v>
      </c>
      <c r="X225" s="153">
        <f t="shared" si="87"/>
        <v>46598</v>
      </c>
      <c r="Y225" s="380">
        <f t="shared" si="88"/>
        <v>45.644220288464759</v>
      </c>
      <c r="Z225" s="380">
        <f t="shared" si="89"/>
        <v>46.959986167552408</v>
      </c>
      <c r="AA225" s="381">
        <f t="shared" si="90"/>
        <v>49.137314384896371</v>
      </c>
      <c r="AB225" s="193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4.4311095235868667E-2</v>
      </c>
      <c r="AD225" s="227">
        <f>(INDEX(Models!$BJ225:$BT225,,AH225)*(1-AF225)+INDEX(Models!$BJ225:$BT225,,AH225+1)*AF225-ERP_i)*AE225*Ramure*Pc/MaxiM</f>
        <v>2.7576002455483921E-5</v>
      </c>
      <c r="AE225" s="301">
        <f t="shared" si="92"/>
        <v>0.5</v>
      </c>
      <c r="AF225" s="173">
        <f t="shared" si="93"/>
        <v>0.9370997581849756</v>
      </c>
      <c r="AG225" s="802">
        <f t="shared" si="99"/>
        <v>2</v>
      </c>
      <c r="AH225" s="172">
        <f t="shared" si="94"/>
        <v>8</v>
      </c>
      <c r="AI225" s="221">
        <f t="shared" si="95"/>
        <v>2.9370997581849756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46599</v>
      </c>
      <c r="B226" s="406">
        <f>'2026'!Wh/'2026'!Env_an*'2027'!Env_an</f>
        <v>58.094966734571841</v>
      </c>
      <c r="C226" s="832"/>
      <c r="D226" s="388">
        <f t="shared" si="77"/>
        <v>59.770463017204243</v>
      </c>
      <c r="E226" s="380">
        <f t="shared" si="75"/>
        <v>60.177804694911416</v>
      </c>
      <c r="F226" s="380">
        <f t="shared" si="78"/>
        <v>60.179550846641455</v>
      </c>
      <c r="G226" s="110">
        <f t="shared" si="76"/>
        <v>1.003728264484145</v>
      </c>
      <c r="H226" s="409" t="b">
        <f>Wh_hp&gt;='2026'!Maxi_hp</f>
        <v>1</v>
      </c>
      <c r="I226" s="385">
        <f>IF(H226,Wh_hp,'2026'!Maxi_hp)</f>
        <v>60.179550846641455</v>
      </c>
      <c r="J226" s="85">
        <f>IF(H226,An,'2026'!An_max)</f>
        <v>2027</v>
      </c>
      <c r="K226" s="193">
        <f t="shared" si="79"/>
        <v>46599</v>
      </c>
      <c r="L226" s="143">
        <f>IF(t&lt;Tvie,1-EXP((T0-t)*PertePVj)+'2026'!Pspv,1-EXP((T0-t)*PertePVj)+Pspv)</f>
        <v>2.8032178404743702E-2</v>
      </c>
      <c r="M226" s="836"/>
      <c r="N226" s="836"/>
      <c r="O226" s="48">
        <f>IF(t&lt;Tnet,'2026'!Resal+('2026'!Salim-'2026'!Resal)*(1-EXP(('2026'!Tnet-t)/('2026'!Tau_j))),Resal+(Salim-Resal)*(1-EXP((Tnet-t)/(Tau_j))))*Salcycl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2.9015698945436863E-5</v>
      </c>
      <c r="Q226" s="301">
        <f t="shared" si="80"/>
        <v>0.5</v>
      </c>
      <c r="R226" s="173">
        <f t="shared" si="81"/>
        <v>0.93913922925044879</v>
      </c>
      <c r="S226" s="802">
        <f t="shared" si="82"/>
        <v>2</v>
      </c>
      <c r="T226" s="172">
        <f t="shared" si="83"/>
        <v>8</v>
      </c>
      <c r="U226" s="247">
        <f t="shared" si="84"/>
        <v>2.9391392292504488</v>
      </c>
      <c r="V226" s="378">
        <f t="shared" si="85"/>
        <v>57.879177851416891</v>
      </c>
      <c r="W226" s="397">
        <f t="shared" si="86"/>
        <v>58.094966734571841</v>
      </c>
      <c r="X226" s="153">
        <f t="shared" si="87"/>
        <v>46599</v>
      </c>
      <c r="Y226" s="380">
        <f t="shared" si="88"/>
        <v>55.896996598850144</v>
      </c>
      <c r="Z226" s="380">
        <f t="shared" si="89"/>
        <v>57.509102006184101</v>
      </c>
      <c r="AA226" s="381">
        <f t="shared" si="90"/>
        <v>60.177804694911416</v>
      </c>
      <c r="AB226" s="193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4.4346959851012509E-2</v>
      </c>
      <c r="AD226" s="227">
        <f>(INDEX(Models!$BJ226:$BT226,,AH226)*(1-AF226)+INDEX(Models!$BJ226:$BT226,,AH226+1)*AF226-ERP_i)*AE226*Ramure*Pc/MaxiM</f>
        <v>2.9015698945436863E-5</v>
      </c>
      <c r="AE226" s="301">
        <f t="shared" si="92"/>
        <v>0.5</v>
      </c>
      <c r="AF226" s="173">
        <f t="shared" si="93"/>
        <v>0.93913922925044879</v>
      </c>
      <c r="AG226" s="802">
        <f t="shared" si="99"/>
        <v>2</v>
      </c>
      <c r="AH226" s="172">
        <f t="shared" si="94"/>
        <v>8</v>
      </c>
      <c r="AI226" s="221">
        <f t="shared" si="95"/>
        <v>2.9391392292504488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46600</v>
      </c>
      <c r="B227" s="406">
        <f>'2026'!Wh/'2026'!Env_an*'2027'!Env_an</f>
        <v>57.584780858931722</v>
      </c>
      <c r="C227" s="832"/>
      <c r="D227" s="388">
        <f t="shared" si="77"/>
        <v>59.246374085206</v>
      </c>
      <c r="E227" s="380">
        <f t="shared" si="75"/>
        <v>59.654373516745643</v>
      </c>
      <c r="F227" s="380">
        <f t="shared" si="78"/>
        <v>59.656203629939284</v>
      </c>
      <c r="G227" s="110">
        <f t="shared" si="76"/>
        <v>0.99884384892674671</v>
      </c>
      <c r="H227" s="409" t="b">
        <f>Wh_hp&gt;='2026'!Maxi_hp</f>
        <v>0</v>
      </c>
      <c r="I227" s="385">
        <f>IF(H227,Wh_hp,'2026'!Maxi_hp)</f>
        <v>59.656206328517612</v>
      </c>
      <c r="J227" s="85">
        <f>IF(H227,An,'2026'!An_max)</f>
        <v>2022</v>
      </c>
      <c r="K227" s="193">
        <f t="shared" si="79"/>
        <v>46600</v>
      </c>
      <c r="L227" s="143">
        <f>IF(t&lt;Tvie,1-EXP((T0-t)*PertePVj)+'2026'!Pspv,1-EXP((T0-t)*PertePVj)+Pspv)</f>
        <v>2.8045483827999873E-2</v>
      </c>
      <c r="M227" s="836"/>
      <c r="N227" s="836"/>
      <c r="O227" s="48">
        <f>IF(t&lt;Tnet,'2026'!Resal+('2026'!Salim-'2026'!Resal)*(1-EXP(('2026'!Tnet-t)/('2026'!Tau_j))),Resal+(Salim-Resal)*(1-EXP((Tnet-t)/(Tau_j))))*Salcycl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3.0728417934701388E-5</v>
      </c>
      <c r="Q227" s="301">
        <f t="shared" si="80"/>
        <v>0.5</v>
      </c>
      <c r="R227" s="173">
        <f t="shared" si="81"/>
        <v>0.94111428397911823</v>
      </c>
      <c r="S227" s="802">
        <f t="shared" si="82"/>
        <v>2</v>
      </c>
      <c r="T227" s="172">
        <f t="shared" si="83"/>
        <v>8</v>
      </c>
      <c r="U227" s="247">
        <f t="shared" si="84"/>
        <v>2.9411142839791182</v>
      </c>
      <c r="V227" s="378">
        <f t="shared" si="85"/>
        <v>57.651431701039023</v>
      </c>
      <c r="W227" s="397">
        <f t="shared" si="86"/>
        <v>57.584780858931722</v>
      </c>
      <c r="X227" s="153">
        <f t="shared" si="87"/>
        <v>46600</v>
      </c>
      <c r="Y227" s="380">
        <f t="shared" si="88"/>
        <v>55.407971823363198</v>
      </c>
      <c r="Z227" s="380">
        <f t="shared" si="89"/>
        <v>57.006753815584958</v>
      </c>
      <c r="AA227" s="381">
        <f t="shared" si="90"/>
        <v>59.654373516745643</v>
      </c>
      <c r="AB227" s="193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4.4382658723546388E-2</v>
      </c>
      <c r="AD227" s="227">
        <f>(INDEX(Models!$BJ227:$BT227,,AH227)*(1-AF227)+INDEX(Models!$BJ227:$BT227,,AH227+1)*AF227-ERP_i)*AE227*Ramure*Pc/MaxiM</f>
        <v>3.0728417934701388E-5</v>
      </c>
      <c r="AE227" s="301">
        <f t="shared" si="92"/>
        <v>0.5</v>
      </c>
      <c r="AF227" s="173">
        <f t="shared" si="93"/>
        <v>0.94111428397911823</v>
      </c>
      <c r="AG227" s="802">
        <f t="shared" si="99"/>
        <v>2</v>
      </c>
      <c r="AH227" s="172">
        <f t="shared" si="94"/>
        <v>8</v>
      </c>
      <c r="AI227" s="221">
        <f t="shared" si="95"/>
        <v>2.9411142839791182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46601</v>
      </c>
      <c r="B228" s="406">
        <f>'2026'!Wh/'2026'!Env_an*'2027'!Env_an</f>
        <v>57.595000870815895</v>
      </c>
      <c r="C228" s="832"/>
      <c r="D228" s="388">
        <f t="shared" si="77"/>
        <v>59.257700180913055</v>
      </c>
      <c r="E228" s="380">
        <f t="shared" si="75"/>
        <v>59.670003363155423</v>
      </c>
      <c r="F228" s="380">
        <f t="shared" si="78"/>
        <v>59.671955685390998</v>
      </c>
      <c r="G228" s="110">
        <f t="shared" si="76"/>
        <v>1.0030289075718304</v>
      </c>
      <c r="H228" s="409" t="b">
        <f>Wh_hp&gt;='2026'!Maxi_hp</f>
        <v>1</v>
      </c>
      <c r="I228" s="385">
        <f>IF(H228,Wh_hp,'2026'!Maxi_hp)</f>
        <v>59.671955685390998</v>
      </c>
      <c r="J228" s="85">
        <f>IF(H228,An,'2026'!An_max)</f>
        <v>2027</v>
      </c>
      <c r="K228" s="193">
        <f t="shared" si="79"/>
        <v>46601</v>
      </c>
      <c r="L228" s="143">
        <f>IF(t&lt;Tvie,1-EXP((T0-t)*PertePVj)+'2026'!Pspv,1-EXP((T0-t)*PertePVj)+Pspv)</f>
        <v>2.8058789069116075E-2</v>
      </c>
      <c r="M228" s="836"/>
      <c r="N228" s="836"/>
      <c r="O228" s="48">
        <f>IF(t&lt;Tnet,'2026'!Resal+('2026'!Salim-'2026'!Resal)*(1-EXP(('2026'!Tnet-t)/('2026'!Tau_j))),Resal+(Salim-Resal)*(1-EXP((Tnet-t)/(Tau_j))))*Salcycl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3.271758421773672E-5</v>
      </c>
      <c r="Q228" s="301">
        <f t="shared" si="80"/>
        <v>0.5</v>
      </c>
      <c r="R228" s="173">
        <f t="shared" si="81"/>
        <v>0.94302633706375483</v>
      </c>
      <c r="S228" s="802">
        <f t="shared" si="82"/>
        <v>2</v>
      </c>
      <c r="T228" s="172">
        <f t="shared" si="83"/>
        <v>8</v>
      </c>
      <c r="U228" s="247">
        <f t="shared" si="84"/>
        <v>2.9430263370637548</v>
      </c>
      <c r="V228" s="378">
        <f t="shared" si="85"/>
        <v>57.421077733685671</v>
      </c>
      <c r="W228" s="397">
        <f t="shared" si="86"/>
        <v>57.595000870815895</v>
      </c>
      <c r="X228" s="153">
        <f t="shared" si="87"/>
        <v>46601</v>
      </c>
      <c r="Y228" s="380">
        <f t="shared" si="88"/>
        <v>55.419669213059521</v>
      </c>
      <c r="Z228" s="380">
        <f t="shared" si="89"/>
        <v>57.019569280307522</v>
      </c>
      <c r="AA228" s="381">
        <f t="shared" si="90"/>
        <v>59.670003363155423</v>
      </c>
      <c r="AB228" s="193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4.4418198985463272E-2</v>
      </c>
      <c r="AD228" s="227">
        <f>(INDEX(Models!$BJ228:$BT228,,AH228)*(1-AF228)+INDEX(Models!$BJ228:$BT228,,AH228+1)*AF228-ERP_i)*AE228*Ramure*Pc/MaxiM</f>
        <v>3.271758421773672E-5</v>
      </c>
      <c r="AE228" s="301">
        <f t="shared" si="92"/>
        <v>0.5</v>
      </c>
      <c r="AF228" s="173">
        <f t="shared" si="93"/>
        <v>0.94302633706375483</v>
      </c>
      <c r="AG228" s="802">
        <f t="shared" si="99"/>
        <v>2</v>
      </c>
      <c r="AH228" s="172">
        <f t="shared" si="94"/>
        <v>8</v>
      </c>
      <c r="AI228" s="221">
        <f t="shared" si="95"/>
        <v>2.9430263370637548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46602</v>
      </c>
      <c r="B229" s="406">
        <f>'2026'!Wh/'2026'!Env_an*'2027'!Env_an</f>
        <v>57.185333926087637</v>
      </c>
      <c r="C229" s="832"/>
      <c r="D229" s="388">
        <f t="shared" si="77"/>
        <v>58.837012067049699</v>
      </c>
      <c r="E229" s="380">
        <f t="shared" si="75"/>
        <v>59.250579470590672</v>
      </c>
      <c r="F229" s="380">
        <f t="shared" si="78"/>
        <v>59.252652349882069</v>
      </c>
      <c r="G229" s="110">
        <f t="shared" si="76"/>
        <v>0.99994212436737562</v>
      </c>
      <c r="H229" s="409" t="b">
        <f>Wh_hp&gt;='2026'!Maxi_hp</f>
        <v>0</v>
      </c>
      <c r="I229" s="385">
        <f>IF(H229,Wh_hp,'2026'!Maxi_hp)</f>
        <v>59.252652502044675</v>
      </c>
      <c r="J229" s="85">
        <f>IF(H229,An,'2026'!An_max)</f>
        <v>2022</v>
      </c>
      <c r="K229" s="193">
        <f t="shared" si="79"/>
        <v>46602</v>
      </c>
      <c r="L229" s="143">
        <f>IF(t&lt;Tvie,1-EXP((T0-t)*PertePVj)+'2026'!Pspv,1-EXP((T0-t)*PertePVj)+Pspv)</f>
        <v>2.8072094128094638E-2</v>
      </c>
      <c r="M229" s="836"/>
      <c r="N229" s="836"/>
      <c r="O229" s="48">
        <f>IF(t&lt;Tnet,'2026'!Resal+('2026'!Salim-'2026'!Resal)*(1-EXP(('2026'!Tnet-t)/('2026'!Tau_j))),Resal+(Salim-Resal)*(1-EXP((Tnet-t)/(Tau_j))))*Salcycl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3.4986630966884393E-5</v>
      </c>
      <c r="Q229" s="301">
        <f t="shared" si="80"/>
        <v>0.5</v>
      </c>
      <c r="R229" s="173">
        <f t="shared" si="81"/>
        <v>0.94487681738647789</v>
      </c>
      <c r="S229" s="802">
        <f t="shared" si="82"/>
        <v>2</v>
      </c>
      <c r="T229" s="172">
        <f t="shared" si="83"/>
        <v>8</v>
      </c>
      <c r="U229" s="247">
        <f t="shared" si="84"/>
        <v>2.9448768173864779</v>
      </c>
      <c r="V229" s="378">
        <f t="shared" si="85"/>
        <v>57.188643589598136</v>
      </c>
      <c r="W229" s="397">
        <f t="shared" si="86"/>
        <v>57.185333926087637</v>
      </c>
      <c r="X229" s="153">
        <f t="shared" si="87"/>
        <v>46602</v>
      </c>
      <c r="Y229" s="380">
        <f t="shared" si="88"/>
        <v>55.02732996318489</v>
      </c>
      <c r="Z229" s="380">
        <f t="shared" si="89"/>
        <v>56.616678696781015</v>
      </c>
      <c r="AA229" s="381">
        <f t="shared" si="90"/>
        <v>59.250579470590672</v>
      </c>
      <c r="AB229" s="193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4.4453586738624332E-2</v>
      </c>
      <c r="AD229" s="227">
        <f>(INDEX(Models!$BJ229:$BT229,,AH229)*(1-AF229)+INDEX(Models!$BJ229:$BT229,,AH229+1)*AF229-ERP_i)*AE229*Ramure*Pc/MaxiM</f>
        <v>3.4986630966884393E-5</v>
      </c>
      <c r="AE229" s="301">
        <f t="shared" si="92"/>
        <v>0.5</v>
      </c>
      <c r="AF229" s="173">
        <f t="shared" si="93"/>
        <v>0.94487681738647789</v>
      </c>
      <c r="AG229" s="802">
        <f t="shared" si="99"/>
        <v>2</v>
      </c>
      <c r="AH229" s="172">
        <f t="shared" si="94"/>
        <v>8</v>
      </c>
      <c r="AI229" s="221">
        <f t="shared" si="95"/>
        <v>2.9448768173864779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46603</v>
      </c>
      <c r="B230" s="406">
        <f>'2026'!Wh/'2026'!Env_an*'2027'!Env_an</f>
        <v>54.554111912948706</v>
      </c>
      <c r="C230" s="832"/>
      <c r="D230" s="388">
        <f t="shared" si="77"/>
        <v>56.130561118328018</v>
      </c>
      <c r="E230" s="380">
        <f t="shared" si="75"/>
        <v>56.529099027756928</v>
      </c>
      <c r="F230" s="380">
        <f t="shared" si="78"/>
        <v>56.531093370308561</v>
      </c>
      <c r="G230" s="110">
        <f t="shared" si="76"/>
        <v>0.95784948457570129</v>
      </c>
      <c r="H230" s="409" t="b">
        <f>Wh_hp&gt;='2026'!Maxi_hp</f>
        <v>0</v>
      </c>
      <c r="I230" s="385">
        <f>IF(H230,Wh_hp,'2026'!Maxi_hp)</f>
        <v>56.531206587752195</v>
      </c>
      <c r="J230" s="85">
        <f>IF(H230,An,'2026'!An_max)</f>
        <v>2022</v>
      </c>
      <c r="K230" s="193">
        <f t="shared" si="79"/>
        <v>46603</v>
      </c>
      <c r="L230" s="143">
        <f>IF(t&lt;Tvie,1-EXP((T0-t)*PertePVj)+'2026'!Pspv,1-EXP((T0-t)*PertePVj)+Pspv)</f>
        <v>2.8085399004938227E-2</v>
      </c>
      <c r="M230" s="836"/>
      <c r="N230" s="836"/>
      <c r="O230" s="48">
        <f>IF(t&lt;Tnet,'2026'!Resal+('2026'!Salim-'2026'!Resal)*(1-EXP(('2026'!Tnet-t)/('2026'!Tau_j))),Resal+(Salim-Resal)*(1-EXP((Tnet-t)/(Tau_j))))*Salcycl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3.75389777784911E-5</v>
      </c>
      <c r="Q230" s="301">
        <f t="shared" si="80"/>
        <v>0.5</v>
      </c>
      <c r="R230" s="173">
        <f t="shared" si="81"/>
        <v>0.94666716392115458</v>
      </c>
      <c r="S230" s="802">
        <f t="shared" si="82"/>
        <v>2</v>
      </c>
      <c r="T230" s="172">
        <f t="shared" si="83"/>
        <v>8</v>
      </c>
      <c r="U230" s="247">
        <f t="shared" si="84"/>
        <v>2.9466671639211546</v>
      </c>
      <c r="V230" s="378">
        <f t="shared" si="85"/>
        <v>56.954656737553968</v>
      </c>
      <c r="W230" s="397">
        <f t="shared" si="86"/>
        <v>54.554111912948706</v>
      </c>
      <c r="X230" s="153">
        <f t="shared" si="87"/>
        <v>46603</v>
      </c>
      <c r="Y230" s="380">
        <f t="shared" si="88"/>
        <v>52.497175758353748</v>
      </c>
      <c r="Z230" s="380">
        <f t="shared" si="89"/>
        <v>54.014185716117751</v>
      </c>
      <c r="AA230" s="381">
        <f t="shared" si="90"/>
        <v>56.529099027756928</v>
      </c>
      <c r="AB230" s="193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4.4488827080090304E-2</v>
      </c>
      <c r="AD230" s="227">
        <f>(INDEX(Models!$BJ230:$BT230,,AH230)*(1-AF230)+INDEX(Models!$BJ230:$BT230,,AH230+1)*AF230-ERP_i)*AE230*Ramure*Pc/MaxiM</f>
        <v>3.75389777784911E-5</v>
      </c>
      <c r="AE230" s="301">
        <f t="shared" si="92"/>
        <v>0.5</v>
      </c>
      <c r="AF230" s="173">
        <f t="shared" si="93"/>
        <v>0.94666716392115458</v>
      </c>
      <c r="AG230" s="802">
        <f t="shared" si="99"/>
        <v>2</v>
      </c>
      <c r="AH230" s="172">
        <f t="shared" si="94"/>
        <v>8</v>
      </c>
      <c r="AI230" s="221">
        <f t="shared" si="95"/>
        <v>2.9466671639211546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46604</v>
      </c>
      <c r="B231" s="406">
        <f>'2026'!Wh/'2026'!Env_an*'2027'!Env_an</f>
        <v>43.546392876275931</v>
      </c>
      <c r="C231" s="832"/>
      <c r="D231" s="388">
        <f t="shared" si="77"/>
        <v>44.805365567511906</v>
      </c>
      <c r="E231" s="380">
        <f t="shared" si="75"/>
        <v>45.126677348000463</v>
      </c>
      <c r="F231" s="380">
        <f t="shared" si="78"/>
        <v>45.127894945761135</v>
      </c>
      <c r="G231" s="110">
        <f t="shared" si="76"/>
        <v>0.76773770131123242</v>
      </c>
      <c r="H231" s="409" t="b">
        <f>Wh_hp&gt;='2026'!Maxi_hp</f>
        <v>0</v>
      </c>
      <c r="I231" s="385">
        <f>IF(H231,Wh_hp,'2026'!Maxi_hp)</f>
        <v>45.128429594310724</v>
      </c>
      <c r="J231" s="85">
        <f>IF(H231,An,'2026'!An_max)</f>
        <v>2022</v>
      </c>
      <c r="K231" s="193">
        <f t="shared" si="79"/>
        <v>46604</v>
      </c>
      <c r="L231" s="143">
        <f>IF(t&lt;Tvie,1-EXP((T0-t)*PertePVj)+'2026'!Pspv,1-EXP((T0-t)*PertePVj)+Pspv)</f>
        <v>2.8098703699649064E-2</v>
      </c>
      <c r="M231" s="836"/>
      <c r="N231" s="836"/>
      <c r="O231" s="48">
        <f>IF(t&lt;Tnet,'2026'!Resal+('2026'!Salim-'2026'!Resal)*(1-EXP(('2026'!Tnet-t)/('2026'!Tau_j))),Resal+(Salim-Resal)*(1-EXP((Tnet-t)/(Tau_j))))*Salcycl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4.0378006887397606E-5</v>
      </c>
      <c r="Q231" s="301">
        <f t="shared" si="80"/>
        <v>0.5</v>
      </c>
      <c r="R231" s="173">
        <f t="shared" si="81"/>
        <v>0.94839882189479674</v>
      </c>
      <c r="S231" s="802">
        <f t="shared" si="82"/>
        <v>2</v>
      </c>
      <c r="T231" s="172">
        <f t="shared" si="83"/>
        <v>8</v>
      </c>
      <c r="U231" s="247">
        <f t="shared" si="84"/>
        <v>2.9483988218947967</v>
      </c>
      <c r="V231" s="378">
        <f t="shared" si="85"/>
        <v>56.719644478567652</v>
      </c>
      <c r="W231" s="397">
        <f t="shared" si="86"/>
        <v>43.546392876275931</v>
      </c>
      <c r="X231" s="153">
        <f t="shared" si="87"/>
        <v>46604</v>
      </c>
      <c r="Y231" s="380">
        <f t="shared" si="88"/>
        <v>41.905915840002194</v>
      </c>
      <c r="Z231" s="380">
        <f t="shared" si="89"/>
        <v>43.117460589384606</v>
      </c>
      <c r="AA231" s="381">
        <f t="shared" si="90"/>
        <v>45.126677348000463</v>
      </c>
      <c r="AB231" s="193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4.4523924132980369E-2</v>
      </c>
      <c r="AD231" s="227">
        <f>(INDEX(Models!$BJ231:$BT231,,AH231)*(1-AF231)+INDEX(Models!$BJ231:$BT231,,AH231+1)*AF231-ERP_i)*AE231*Ramure*Pc/MaxiM</f>
        <v>4.0378006887397606E-5</v>
      </c>
      <c r="AE231" s="301">
        <f t="shared" si="92"/>
        <v>0.5</v>
      </c>
      <c r="AF231" s="173">
        <f t="shared" si="93"/>
        <v>0.94839882189479674</v>
      </c>
      <c r="AG231" s="802">
        <f t="shared" si="99"/>
        <v>2</v>
      </c>
      <c r="AH231" s="172">
        <f t="shared" si="94"/>
        <v>8</v>
      </c>
      <c r="AI231" s="221">
        <f t="shared" si="95"/>
        <v>2.9483988218947967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46605</v>
      </c>
      <c r="B232" s="406">
        <f>'2026'!Wh/'2026'!Env_an*'2027'!Env_an</f>
        <v>51.95878659333053</v>
      </c>
      <c r="C232" s="832"/>
      <c r="D232" s="388">
        <f t="shared" si="77"/>
        <v>53.461702410535288</v>
      </c>
      <c r="E232" s="380">
        <f t="shared" si="75"/>
        <v>53.848887462991883</v>
      </c>
      <c r="F232" s="380">
        <f t="shared" si="78"/>
        <v>53.850962207229962</v>
      </c>
      <c r="G232" s="110">
        <f t="shared" si="76"/>
        <v>0.91987827772309216</v>
      </c>
      <c r="H232" s="409" t="b">
        <f>Wh_hp&gt;='2026'!Maxi_hp</f>
        <v>0</v>
      </c>
      <c r="I232" s="385">
        <f>IF(H232,Wh_hp,'2026'!Maxi_hp)</f>
        <v>53.85119889796897</v>
      </c>
      <c r="J232" s="85">
        <f>IF(H232,An,'2026'!An_max)</f>
        <v>2022</v>
      </c>
      <c r="K232" s="193">
        <f t="shared" si="79"/>
        <v>46605</v>
      </c>
      <c r="L232" s="143">
        <f>IF(t&lt;Tvie,1-EXP((T0-t)*PertePVj)+'2026'!Pspv,1-EXP((T0-t)*PertePVj)+Pspv)</f>
        <v>2.8112008212229922E-2</v>
      </c>
      <c r="M232" s="836"/>
      <c r="N232" s="836"/>
      <c r="O232" s="48">
        <f>IF(t&lt;Tnet,'2026'!Resal+('2026'!Salim-'2026'!Resal)*(1-EXP(('2026'!Tnet-t)/('2026'!Tau_j))),Resal+(Salim-Resal)*(1-EXP((Tnet-t)/(Tau_j))))*Salcycl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4.3507037533616693E-5</v>
      </c>
      <c r="Q232" s="301">
        <f t="shared" si="80"/>
        <v>0.5</v>
      </c>
      <c r="R232" s="173">
        <f t="shared" si="81"/>
        <v>0.95007323920432851</v>
      </c>
      <c r="S232" s="802">
        <f t="shared" si="82"/>
        <v>2</v>
      </c>
      <c r="T232" s="172">
        <f t="shared" si="83"/>
        <v>8</v>
      </c>
      <c r="U232" s="247">
        <f t="shared" si="84"/>
        <v>2.9500732392043285</v>
      </c>
      <c r="V232" s="378">
        <f t="shared" si="85"/>
        <v>56.484133947036248</v>
      </c>
      <c r="W232" s="397">
        <f t="shared" si="86"/>
        <v>51.95878659333053</v>
      </c>
      <c r="X232" s="153">
        <f t="shared" si="87"/>
        <v>46605</v>
      </c>
      <c r="Y232" s="380">
        <f t="shared" si="88"/>
        <v>50.00309417405753</v>
      </c>
      <c r="Z232" s="380">
        <f t="shared" si="89"/>
        <v>51.449441290120028</v>
      </c>
      <c r="AA232" s="381">
        <f t="shared" si="90"/>
        <v>53.848887462991883</v>
      </c>
      <c r="AB232" s="193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4.4558881082193129E-2</v>
      </c>
      <c r="AD232" s="227">
        <f>(INDEX(Models!$BJ232:$BT232,,AH232)*(1-AF232)+INDEX(Models!$BJ232:$BT232,,AH232+1)*AF232-ERP_i)*AE232*Ramure*Pc/MaxiM</f>
        <v>4.3507037533616693E-5</v>
      </c>
      <c r="AE232" s="301">
        <f t="shared" si="92"/>
        <v>0.5</v>
      </c>
      <c r="AF232" s="173">
        <f t="shared" si="93"/>
        <v>0.95007323920432851</v>
      </c>
      <c r="AG232" s="802">
        <f t="shared" si="99"/>
        <v>2</v>
      </c>
      <c r="AH232" s="172">
        <f t="shared" si="94"/>
        <v>8</v>
      </c>
      <c r="AI232" s="221">
        <f t="shared" si="95"/>
        <v>2.9500732392043285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46606</v>
      </c>
      <c r="B233" s="406">
        <f>'2026'!Wh/'2026'!Env_an*'2027'!Env_an</f>
        <v>54.782794277990767</v>
      </c>
      <c r="C233" s="832"/>
      <c r="D233" s="388">
        <f t="shared" si="77"/>
        <v>56.368166580526093</v>
      </c>
      <c r="E233" s="380">
        <f t="shared" ref="E233:E296" si="100">Wh_pvt/(1-Psa)</f>
        <v>56.780399481423608</v>
      </c>
      <c r="F233" s="380">
        <f t="shared" si="78"/>
        <v>56.782965282109529</v>
      </c>
      <c r="G233" s="110">
        <f t="shared" ref="G233:G296" si="101">+Wh_hp/MaxiM</f>
        <v>0.97397264992476917</v>
      </c>
      <c r="H233" s="409" t="b">
        <f>Wh_hp&gt;='2026'!Maxi_hp</f>
        <v>0</v>
      </c>
      <c r="I233" s="385">
        <f>IF(H233,Wh_hp,'2026'!Maxi_hp)</f>
        <v>56.783052579043542</v>
      </c>
      <c r="J233" s="85">
        <f>IF(H233,An,'2026'!An_max)</f>
        <v>2022</v>
      </c>
      <c r="K233" s="193">
        <f t="shared" si="79"/>
        <v>46606</v>
      </c>
      <c r="L233" s="143">
        <f>IF(t&lt;Tvie,1-EXP((T0-t)*PertePVj)+'2026'!Pspv,1-EXP((T0-t)*PertePVj)+Pspv)</f>
        <v>2.8125312542683134E-2</v>
      </c>
      <c r="M233" s="836"/>
      <c r="N233" s="836"/>
      <c r="O233" s="48">
        <f>IF(t&lt;Tnet,'2026'!Resal+('2026'!Salim-'2026'!Resal)*(1-EXP(('2026'!Tnet-t)/('2026'!Tau_j))),Resal+(Salim-Resal)*(1-EXP((Tnet-t)/(Tau_j))))*Salcycl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4.6930968909685922E-5</v>
      </c>
      <c r="Q233" s="301">
        <f t="shared" si="80"/>
        <v>0.5</v>
      </c>
      <c r="R233" s="173">
        <f t="shared" si="81"/>
        <v>0.9516918630838922</v>
      </c>
      <c r="S233" s="802">
        <f t="shared" si="82"/>
        <v>2</v>
      </c>
      <c r="T233" s="172">
        <f t="shared" si="83"/>
        <v>8</v>
      </c>
      <c r="U233" s="247">
        <f t="shared" si="84"/>
        <v>2.9516918630838922</v>
      </c>
      <c r="V233" s="378">
        <f t="shared" si="85"/>
        <v>56.246649933187349</v>
      </c>
      <c r="W233" s="397">
        <f t="shared" si="86"/>
        <v>54.782794277990767</v>
      </c>
      <c r="X233" s="153">
        <f t="shared" si="87"/>
        <v>46606</v>
      </c>
      <c r="Y233" s="380">
        <f t="shared" si="88"/>
        <v>52.722599531725685</v>
      </c>
      <c r="Z233" s="380">
        <f t="shared" si="89"/>
        <v>54.248351368901325</v>
      </c>
      <c r="AA233" s="381">
        <f t="shared" si="90"/>
        <v>56.780399481423608</v>
      </c>
      <c r="AB233" s="193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4.4593700214290842E-2</v>
      </c>
      <c r="AD233" s="227">
        <f>(INDEX(Models!$BJ233:$BT233,,AH233)*(1-AF233)+INDEX(Models!$BJ233:$BT233,,AH233+1)*AF233-ERP_i)*AE233*Ramure*Pc/MaxiM</f>
        <v>4.6930968909685922E-5</v>
      </c>
      <c r="AE233" s="301">
        <f t="shared" si="92"/>
        <v>0.5</v>
      </c>
      <c r="AF233" s="173">
        <f t="shared" si="93"/>
        <v>0.9516918630838922</v>
      </c>
      <c r="AG233" s="802">
        <f t="shared" si="99"/>
        <v>2</v>
      </c>
      <c r="AH233" s="172">
        <f t="shared" si="94"/>
        <v>8</v>
      </c>
      <c r="AI233" s="221">
        <f t="shared" si="95"/>
        <v>2.9516918630838922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46607</v>
      </c>
      <c r="B234" s="406">
        <f>'2026'!Wh/'2026'!Env_an*'2027'!Env_an</f>
        <v>56.202303575829561</v>
      </c>
      <c r="C234" s="832"/>
      <c r="D234" s="388">
        <f t="shared" si="77"/>
        <v>57.829547033211917</v>
      </c>
      <c r="E234" s="380">
        <f t="shared" si="100"/>
        <v>58.256565018259117</v>
      </c>
      <c r="F234" s="380">
        <f t="shared" si="78"/>
        <v>58.259512816427666</v>
      </c>
      <c r="G234" s="110">
        <f t="shared" si="101"/>
        <v>1.0035125626922681</v>
      </c>
      <c r="H234" s="409" t="b">
        <f>Wh_hp&gt;='2026'!Maxi_hp</f>
        <v>1</v>
      </c>
      <c r="I234" s="385">
        <f>IF(H234,Wh_hp,'2026'!Maxi_hp)</f>
        <v>58.259512816427666</v>
      </c>
      <c r="J234" s="85">
        <f>IF(H234,An,'2026'!An_max)</f>
        <v>2027</v>
      </c>
      <c r="K234" s="193">
        <f t="shared" si="79"/>
        <v>46607</v>
      </c>
      <c r="L234" s="143">
        <f>IF(t&lt;Tvie,1-EXP((T0-t)*PertePVj)+'2026'!Pspv,1-EXP((T0-t)*PertePVj)+Pspv)</f>
        <v>2.8138616691011253E-2</v>
      </c>
      <c r="M234" s="836"/>
      <c r="N234" s="836"/>
      <c r="O234" s="48">
        <f>IF(t&lt;Tnet,'2026'!Resal+('2026'!Salim-'2026'!Resal)*(1-EXP(('2026'!Tnet-t)/('2026'!Tau_j))),Resal+(Salim-Resal)*(1-EXP((Tnet-t)/(Tau_j))))*Salcycl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5.0597714021996175E-5</v>
      </c>
      <c r="Q234" s="301">
        <f t="shared" si="80"/>
        <v>0.5</v>
      </c>
      <c r="R234" s="173">
        <f t="shared" si="81"/>
        <v>0.95325613701681355</v>
      </c>
      <c r="S234" s="802">
        <f t="shared" si="82"/>
        <v>2</v>
      </c>
      <c r="T234" s="172">
        <f t="shared" si="83"/>
        <v>8</v>
      </c>
      <c r="U234" s="247">
        <f t="shared" si="84"/>
        <v>2.9532561370168136</v>
      </c>
      <c r="V234" s="378">
        <f t="shared" si="85"/>
        <v>56.005580463335242</v>
      </c>
      <c r="W234" s="397">
        <f t="shared" si="86"/>
        <v>56.202303575829561</v>
      </c>
      <c r="X234" s="153">
        <f t="shared" si="87"/>
        <v>46607</v>
      </c>
      <c r="Y234" s="380">
        <f t="shared" si="88"/>
        <v>54.090567057100806</v>
      </c>
      <c r="Z234" s="380">
        <f t="shared" si="89"/>
        <v>55.656668724642103</v>
      </c>
      <c r="AA234" s="381">
        <f t="shared" si="90"/>
        <v>58.256565018259117</v>
      </c>
      <c r="AB234" s="193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4.4628382960824033E-2</v>
      </c>
      <c r="AD234" s="227">
        <f>(INDEX(Models!$BJ234:$BT234,,AH234)*(1-AF234)+INDEX(Models!$BJ234:$BT234,,AH234+1)*AF234-ERP_i)*AE234*Ramure*Pc/MaxiM</f>
        <v>5.0597714021996175E-5</v>
      </c>
      <c r="AE234" s="301">
        <f t="shared" si="92"/>
        <v>0.5</v>
      </c>
      <c r="AF234" s="173">
        <f t="shared" si="93"/>
        <v>0.95325613701681355</v>
      </c>
      <c r="AG234" s="802">
        <f t="shared" si="99"/>
        <v>2</v>
      </c>
      <c r="AH234" s="172">
        <f t="shared" si="94"/>
        <v>8</v>
      </c>
      <c r="AI234" s="221">
        <f t="shared" si="95"/>
        <v>2.9532561370168136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46608</v>
      </c>
      <c r="B235" s="406">
        <f>'2026'!Wh/'2026'!Env_an*'2027'!Env_an</f>
        <v>53.58301447113417</v>
      </c>
      <c r="C235" s="832"/>
      <c r="D235" s="388">
        <f t="shared" si="77"/>
        <v>55.135175558889749</v>
      </c>
      <c r="E235" s="380">
        <f t="shared" si="100"/>
        <v>55.546200670153304</v>
      </c>
      <c r="F235" s="380">
        <f t="shared" si="78"/>
        <v>55.549052536556182</v>
      </c>
      <c r="G235" s="110">
        <f t="shared" si="101"/>
        <v>0.96093347549876451</v>
      </c>
      <c r="H235" s="409" t="b">
        <f>Wh_hp&gt;='2026'!Maxi_hp</f>
        <v>0</v>
      </c>
      <c r="I235" s="385">
        <f>IF(H235,Wh_hp,'2026'!Maxi_hp)</f>
        <v>55.54920055473837</v>
      </c>
      <c r="J235" s="85">
        <f>IF(H235,An,'2026'!An_max)</f>
        <v>2022</v>
      </c>
      <c r="K235" s="193">
        <f t="shared" si="79"/>
        <v>46608</v>
      </c>
      <c r="L235" s="143">
        <f>IF(t&lt;Tvie,1-EXP((T0-t)*PertePVj)+'2026'!Pspv,1-EXP((T0-t)*PertePVj)+Pspv)</f>
        <v>2.8151920657216722E-2</v>
      </c>
      <c r="M235" s="836"/>
      <c r="N235" s="836"/>
      <c r="O235" s="48">
        <f>IF(t&lt;Tnet,'2026'!Resal+('2026'!Salim-'2026'!Resal)*(1-EXP(('2026'!Tnet-t)/('2026'!Tau_j))),Resal+(Salim-Resal)*(1-EXP((Tnet-t)/(Tau_j))))*Salcycl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5.4373951573910905E-5</v>
      </c>
      <c r="Q235" s="301">
        <f t="shared" si="80"/>
        <v>0.5</v>
      </c>
      <c r="R235" s="173">
        <f t="shared" si="81"/>
        <v>0.95476749788544168</v>
      </c>
      <c r="S235" s="802">
        <f t="shared" si="82"/>
        <v>2</v>
      </c>
      <c r="T235" s="172">
        <f t="shared" si="83"/>
        <v>8</v>
      </c>
      <c r="U235" s="247">
        <f t="shared" si="84"/>
        <v>2.9547674978854417</v>
      </c>
      <c r="V235" s="378">
        <f t="shared" si="85"/>
        <v>55.76125011726365</v>
      </c>
      <c r="W235" s="397">
        <f t="shared" si="86"/>
        <v>53.58301447113417</v>
      </c>
      <c r="X235" s="153">
        <f t="shared" si="87"/>
        <v>46608</v>
      </c>
      <c r="Y235" s="380">
        <f t="shared" si="88"/>
        <v>51.571453230093326</v>
      </c>
      <c r="Z235" s="380">
        <f t="shared" si="89"/>
        <v>53.06534460094705</v>
      </c>
      <c r="AA235" s="381">
        <f t="shared" si="90"/>
        <v>55.546200670153304</v>
      </c>
      <c r="AB235" s="193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4.4662929944357097E-2</v>
      </c>
      <c r="AD235" s="227">
        <f>(INDEX(Models!$BJ235:$BT235,,AH235)*(1-AF235)+INDEX(Models!$BJ235:$BT235,,AH235+1)*AF235-ERP_i)*AE235*Ramure*Pc/MaxiM</f>
        <v>5.4373951573910905E-5</v>
      </c>
      <c r="AE235" s="301">
        <f t="shared" si="92"/>
        <v>0.5</v>
      </c>
      <c r="AF235" s="173">
        <f t="shared" si="93"/>
        <v>0.95476749788544168</v>
      </c>
      <c r="AG235" s="802">
        <f t="shared" si="99"/>
        <v>2</v>
      </c>
      <c r="AH235" s="172">
        <f t="shared" si="94"/>
        <v>8</v>
      </c>
      <c r="AI235" s="221">
        <f t="shared" si="95"/>
        <v>2.9547674978854417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46609</v>
      </c>
      <c r="B236" s="406">
        <f>'2026'!Wh/'2026'!Env_an*'2027'!Env_an</f>
        <v>52.037028564864407</v>
      </c>
      <c r="C236" s="832"/>
      <c r="D236" s="388">
        <f t="shared" si="77"/>
        <v>53.545139434785966</v>
      </c>
      <c r="E236" s="380">
        <f t="shared" si="100"/>
        <v>53.948096990651663</v>
      </c>
      <c r="F236" s="380">
        <f t="shared" si="78"/>
        <v>53.950958995544468</v>
      </c>
      <c r="G236" s="110">
        <f t="shared" si="101"/>
        <v>0.93736318792602991</v>
      </c>
      <c r="H236" s="409" t="b">
        <f>Wh_hp&gt;='2026'!Maxi_hp</f>
        <v>0</v>
      </c>
      <c r="I236" s="385">
        <f>IF(H236,Wh_hp,'2026'!Maxi_hp)</f>
        <v>53.951205583725304</v>
      </c>
      <c r="J236" s="85">
        <f>IF(H236,An,'2026'!An_max)</f>
        <v>2022</v>
      </c>
      <c r="K236" s="193">
        <f t="shared" si="79"/>
        <v>46609</v>
      </c>
      <c r="L236" s="143">
        <f>IF(t&lt;Tvie,1-EXP((T0-t)*PertePVj)+'2026'!Pspv,1-EXP((T0-t)*PertePVj)+Pspv)</f>
        <v>2.8165224441302095E-2</v>
      </c>
      <c r="M236" s="836"/>
      <c r="N236" s="836"/>
      <c r="O236" s="48">
        <f>IF(t&lt;Tnet,'2026'!Resal+('2026'!Salim-'2026'!Resal)*(1-EXP(('2026'!Tnet-t)/('2026'!Tau_j))),Resal+(Salim-Resal)*(1-EXP((Tnet-t)/(Tau_j))))*Salcycl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5.8261134465421155E-5</v>
      </c>
      <c r="Q236" s="301">
        <f t="shared" si="80"/>
        <v>0.5</v>
      </c>
      <c r="R236" s="173">
        <f t="shared" si="81"/>
        <v>0.95622737335133889</v>
      </c>
      <c r="S236" s="802">
        <f t="shared" si="82"/>
        <v>2</v>
      </c>
      <c r="T236" s="172">
        <f t="shared" si="83"/>
        <v>8</v>
      </c>
      <c r="U236" s="247">
        <f t="shared" si="84"/>
        <v>2.9562273733513389</v>
      </c>
      <c r="V236" s="378">
        <f t="shared" si="85"/>
        <v>55.513975755213252</v>
      </c>
      <c r="W236" s="397">
        <f t="shared" si="86"/>
        <v>52.037028564864407</v>
      </c>
      <c r="X236" s="153">
        <f t="shared" si="87"/>
        <v>46609</v>
      </c>
      <c r="Y236" s="380">
        <f t="shared" si="88"/>
        <v>50.085216075223634</v>
      </c>
      <c r="Z236" s="380">
        <f t="shared" si="89"/>
        <v>51.536760501732566</v>
      </c>
      <c r="AA236" s="381">
        <f t="shared" si="90"/>
        <v>53.948096990651663</v>
      </c>
      <c r="AB236" s="193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4.4697341026448838E-2</v>
      </c>
      <c r="AD236" s="227">
        <f>(INDEX(Models!$BJ236:$BT236,,AH236)*(1-AF236)+INDEX(Models!$BJ236:$BT236,,AH236+1)*AF236-ERP_i)*AE236*Ramure*Pc/MaxiM</f>
        <v>5.8261134465421155E-5</v>
      </c>
      <c r="AE236" s="301">
        <f t="shared" si="92"/>
        <v>0.5</v>
      </c>
      <c r="AF236" s="173">
        <f t="shared" si="93"/>
        <v>0.95622737335133889</v>
      </c>
      <c r="AG236" s="802">
        <f t="shared" si="99"/>
        <v>2</v>
      </c>
      <c r="AH236" s="172">
        <f t="shared" si="94"/>
        <v>8</v>
      </c>
      <c r="AI236" s="221">
        <f t="shared" si="95"/>
        <v>2.9562273733513389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46610</v>
      </c>
      <c r="B237" s="406">
        <f>'2026'!Wh/'2026'!Env_an*'2027'!Env_an</f>
        <v>49.109378928178963</v>
      </c>
      <c r="C237" s="832"/>
      <c r="D237" s="388">
        <f t="shared" si="77"/>
        <v>50.533333894443452</v>
      </c>
      <c r="E237" s="380">
        <f t="shared" si="100"/>
        <v>50.917195009043084</v>
      </c>
      <c r="F237" s="380">
        <f t="shared" si="78"/>
        <v>50.919860923713024</v>
      </c>
      <c r="G237" s="110">
        <f t="shared" si="101"/>
        <v>0.88862236835098896</v>
      </c>
      <c r="H237" s="409" t="b">
        <f>Wh_hp&gt;='2026'!Maxi_hp</f>
        <v>0</v>
      </c>
      <c r="I237" s="385">
        <f>IF(H237,Wh_hp,'2026'!Maxi_hp)</f>
        <v>50.920302507199573</v>
      </c>
      <c r="J237" s="85">
        <f>IF(H237,An,'2026'!An_max)</f>
        <v>2022</v>
      </c>
      <c r="K237" s="193">
        <f t="shared" si="79"/>
        <v>46610</v>
      </c>
      <c r="L237" s="143">
        <f>IF(t&lt;Tvie,1-EXP((T0-t)*PertePVj)+'2026'!Pspv,1-EXP((T0-t)*PertePVj)+Pspv)</f>
        <v>2.8178528043269813E-2</v>
      </c>
      <c r="M237" s="836"/>
      <c r="N237" s="836"/>
      <c r="O237" s="48">
        <f>IF(t&lt;Tnet,'2026'!Resal+('2026'!Salim-'2026'!Resal)*(1-EXP(('2026'!Tnet-t)/('2026'!Tau_j))),Resal+(Salim-Resal)*(1-EXP((Tnet-t)/(Tau_j))))*Salcycl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6.2260674182787549E-5</v>
      </c>
      <c r="Q237" s="301">
        <f t="shared" si="80"/>
        <v>0.5</v>
      </c>
      <c r="R237" s="173">
        <f t="shared" si="81"/>
        <v>0.95763717945768168</v>
      </c>
      <c r="S237" s="802">
        <f t="shared" si="82"/>
        <v>2</v>
      </c>
      <c r="T237" s="172">
        <f t="shared" si="83"/>
        <v>8</v>
      </c>
      <c r="U237" s="247">
        <f t="shared" si="84"/>
        <v>2.9576371794576817</v>
      </c>
      <c r="V237" s="378">
        <f t="shared" si="85"/>
        <v>55.264074139270491</v>
      </c>
      <c r="W237" s="397">
        <f t="shared" si="86"/>
        <v>49.109378928178963</v>
      </c>
      <c r="X237" s="153">
        <f t="shared" si="87"/>
        <v>46610</v>
      </c>
      <c r="Y237" s="380">
        <f t="shared" si="88"/>
        <v>47.268994671071489</v>
      </c>
      <c r="Z237" s="380">
        <f t="shared" si="89"/>
        <v>48.639586626849209</v>
      </c>
      <c r="AA237" s="381">
        <f t="shared" si="90"/>
        <v>50.917195009043084</v>
      </c>
      <c r="AB237" s="193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4.4731615356842884E-2</v>
      </c>
      <c r="AD237" s="227">
        <f>(INDEX(Models!$BJ237:$BT237,,AH237)*(1-AF237)+INDEX(Models!$BJ237:$BT237,,AH237+1)*AF237-ERP_i)*AE237*Ramure*Pc/MaxiM</f>
        <v>6.2260674182787549E-5</v>
      </c>
      <c r="AE237" s="301">
        <f t="shared" si="92"/>
        <v>0.5</v>
      </c>
      <c r="AF237" s="173">
        <f t="shared" si="93"/>
        <v>0.95763717945768168</v>
      </c>
      <c r="AG237" s="802">
        <f t="shared" si="99"/>
        <v>2</v>
      </c>
      <c r="AH237" s="172">
        <f t="shared" si="94"/>
        <v>8</v>
      </c>
      <c r="AI237" s="221">
        <f t="shared" si="95"/>
        <v>2.9576371794576817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46611</v>
      </c>
      <c r="B238" s="406">
        <f>'2026'!Wh/'2026'!Env_an*'2027'!Env_an</f>
        <v>0</v>
      </c>
      <c r="C238" s="832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Wh_hp&gt;='2026'!Maxi_hp</f>
        <v>1</v>
      </c>
      <c r="I238" s="385">
        <f>IF(H238,Wh_hp,'2026'!Maxi_hp)</f>
        <v>0</v>
      </c>
      <c r="J238" s="85">
        <f>IF(H238,An,'2026'!An_max)</f>
        <v>2027</v>
      </c>
      <c r="K238" s="193">
        <f t="shared" si="79"/>
        <v>46611</v>
      </c>
      <c r="L238" s="143">
        <f>IF(t&lt;Tvie,1-EXP((T0-t)*PertePVj)+'2026'!Pspv,1-EXP((T0-t)*PertePVj)+Pspv)</f>
        <v>2.819183146312243E-2</v>
      </c>
      <c r="M238" s="836"/>
      <c r="N238" s="836"/>
      <c r="O238" s="48">
        <f>IF(t&lt;Tnet,'2026'!Resal+('2026'!Salim-'2026'!Resal)*(1-EXP(('2026'!Tnet-t)/('2026'!Tau_j))),Resal+(Salim-Resal)*(1-EXP((Tnet-t)/(Tau_j))))*Salcycl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6.6373932188340065E-5</v>
      </c>
      <c r="Q238" s="301">
        <f t="shared" si="80"/>
        <v>0.5</v>
      </c>
      <c r="R238" s="173">
        <f t="shared" si="81"/>
        <v>0.95899831844524774</v>
      </c>
      <c r="S238" s="802">
        <f t="shared" si="82"/>
        <v>2</v>
      </c>
      <c r="T238" s="172">
        <f t="shared" si="83"/>
        <v>8</v>
      </c>
      <c r="U238" s="247">
        <f t="shared" si="84"/>
        <v>2.9589983184452477</v>
      </c>
      <c r="V238" s="378">
        <f t="shared" si="85"/>
        <v>55.011861930085487</v>
      </c>
      <c r="W238" s="397">
        <f t="shared" si="86"/>
        <v>0</v>
      </c>
      <c r="X238" s="153">
        <f t="shared" si="87"/>
        <v>46611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4.4765751423133854E-2</v>
      </c>
      <c r="AD238" s="227">
        <f>(INDEX(Models!$BJ238:$BT238,,AH238)*(1-AF238)+INDEX(Models!$BJ238:$BT238,,AH238+1)*AF238-ERP_i)*AE238*Ramure*Pc/MaxiM</f>
        <v>6.6373932188340065E-5</v>
      </c>
      <c r="AE238" s="301">
        <f t="shared" si="92"/>
        <v>0.5</v>
      </c>
      <c r="AF238" s="173">
        <f t="shared" si="93"/>
        <v>0.95899831844524774</v>
      </c>
      <c r="AG238" s="802">
        <f t="shared" si="99"/>
        <v>2</v>
      </c>
      <c r="AH238" s="172">
        <f t="shared" si="94"/>
        <v>8</v>
      </c>
      <c r="AI238" s="221">
        <f t="shared" si="95"/>
        <v>2.9589983184452477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46612</v>
      </c>
      <c r="B239" s="406">
        <f>'2026'!Wh/'2026'!Env_an*'2027'!Env_an</f>
        <v>36.497745656581159</v>
      </c>
      <c r="C239" s="832"/>
      <c r="D239" s="388">
        <f t="shared" si="77"/>
        <v>37.55704723274745</v>
      </c>
      <c r="E239" s="380">
        <f t="shared" si="100"/>
        <v>37.847634365957568</v>
      </c>
      <c r="F239" s="380">
        <f t="shared" si="78"/>
        <v>37.849033590122559</v>
      </c>
      <c r="G239" s="110">
        <f t="shared" si="101"/>
        <v>0.66650987154595465</v>
      </c>
      <c r="H239" s="409" t="b">
        <f>Wh_hp&gt;='2026'!Maxi_hp</f>
        <v>0</v>
      </c>
      <c r="I239" s="385">
        <f>IF(H239,Wh_hp,'2026'!Maxi_hp)</f>
        <v>37.850144925351806</v>
      </c>
      <c r="J239" s="85">
        <f>IF(H239,An,'2026'!An_max)</f>
        <v>2022</v>
      </c>
      <c r="K239" s="193">
        <f t="shared" si="79"/>
        <v>46612</v>
      </c>
      <c r="L239" s="143">
        <f>IF(t&lt;Tvie,1-EXP((T0-t)*PertePVj)+'2026'!Pspv,1-EXP((T0-t)*PertePVj)+Pspv)</f>
        <v>2.8205134700862389E-2</v>
      </c>
      <c r="M239" s="836"/>
      <c r="N239" s="836"/>
      <c r="O239" s="48">
        <f>IF(t&lt;Tnet,'2026'!Resal+('2026'!Salim-'2026'!Resal)*(1-EXP(('2026'!Tnet-t)/('2026'!Tau_j))),Resal+(Salim-Resal)*(1-EXP((Tnet-t)/(Tau_j))))*Salcycl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7.0602210931613389E-5</v>
      </c>
      <c r="Q239" s="301">
        <f t="shared" si="80"/>
        <v>0.5</v>
      </c>
      <c r="R239" s="173">
        <f t="shared" si="81"/>
        <v>0.96031217677299141</v>
      </c>
      <c r="S239" s="802">
        <f t="shared" si="82"/>
        <v>2</v>
      </c>
      <c r="T239" s="172">
        <f t="shared" si="83"/>
        <v>8</v>
      </c>
      <c r="U239" s="247">
        <f t="shared" si="84"/>
        <v>2.9603121767729914</v>
      </c>
      <c r="V239" s="378">
        <f t="shared" si="85"/>
        <v>54.75765568784162</v>
      </c>
      <c r="W239" s="397">
        <f t="shared" si="86"/>
        <v>36.497745656581159</v>
      </c>
      <c r="X239" s="153">
        <f t="shared" si="87"/>
        <v>46612</v>
      </c>
      <c r="Y239" s="380">
        <f t="shared" si="88"/>
        <v>35.13239591626926</v>
      </c>
      <c r="Z239" s="380">
        <f t="shared" si="89"/>
        <v>36.152069918022065</v>
      </c>
      <c r="AA239" s="381">
        <f t="shared" si="90"/>
        <v>37.847634365957568</v>
      </c>
      <c r="AB239" s="193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4.4799747100193812E-2</v>
      </c>
      <c r="AD239" s="227">
        <f>(INDEX(Models!$BJ239:$BT239,,AH239)*(1-AF239)+INDEX(Models!$BJ239:$BT239,,AH239+1)*AF239-ERP_i)*AE239*Ramure*Pc/MaxiM</f>
        <v>7.0602210931613389E-5</v>
      </c>
      <c r="AE239" s="301">
        <f t="shared" si="92"/>
        <v>0.5</v>
      </c>
      <c r="AF239" s="173">
        <f t="shared" si="93"/>
        <v>0.96031217677299141</v>
      </c>
      <c r="AG239" s="802">
        <f t="shared" si="99"/>
        <v>2</v>
      </c>
      <c r="AH239" s="172">
        <f t="shared" si="94"/>
        <v>8</v>
      </c>
      <c r="AI239" s="221">
        <f t="shared" si="95"/>
        <v>2.9603121767729914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46613</v>
      </c>
      <c r="B240" s="406">
        <f>'2026'!Wh/'2026'!Env_an*'2027'!Env_an</f>
        <v>36.56425421311166</v>
      </c>
      <c r="C240" s="832"/>
      <c r="D240" s="388">
        <f t="shared" si="77"/>
        <v>37.626001185593019</v>
      </c>
      <c r="E240" s="380">
        <f t="shared" si="100"/>
        <v>37.919770452170866</v>
      </c>
      <c r="F240" s="380">
        <f t="shared" si="78"/>
        <v>37.921292694033468</v>
      </c>
      <c r="G240" s="110">
        <f t="shared" si="101"/>
        <v>0.67085858499033102</v>
      </c>
      <c r="H240" s="409" t="b">
        <f>Wh_hp&gt;='2026'!Maxi_hp</f>
        <v>0</v>
      </c>
      <c r="I240" s="385">
        <f>IF(H240,Wh_hp,'2026'!Maxi_hp)</f>
        <v>37.922472113762595</v>
      </c>
      <c r="J240" s="85">
        <f>IF(H240,An,'2026'!An_max)</f>
        <v>2022</v>
      </c>
      <c r="K240" s="193">
        <f t="shared" si="79"/>
        <v>46613</v>
      </c>
      <c r="L240" s="143">
        <f>IF(t&lt;Tvie,1-EXP((T0-t)*PertePVj)+'2026'!Pspv,1-EXP((T0-t)*PertePVj)+Pspv)</f>
        <v>2.8218437756492132E-2</v>
      </c>
      <c r="M240" s="836"/>
      <c r="N240" s="836"/>
      <c r="O240" s="48">
        <f>IF(t&lt;Tnet,'2026'!Resal+('2026'!Salim-'2026'!Resal)*(1-EXP(('2026'!Tnet-t)/('2026'!Tau_j))),Resal+(Salim-Resal)*(1-EXP((Tnet-t)/(Tau_j))))*Salcycl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7.5763886479525175E-5</v>
      </c>
      <c r="Q240" s="301">
        <f t="shared" si="80"/>
        <v>0.5</v>
      </c>
      <c r="R240" s="173">
        <f t="shared" si="81"/>
        <v>0.96158012333394005</v>
      </c>
      <c r="S240" s="802">
        <f t="shared" si="82"/>
        <v>2</v>
      </c>
      <c r="T240" s="172">
        <f t="shared" si="83"/>
        <v>8</v>
      </c>
      <c r="U240" s="247">
        <f t="shared" si="84"/>
        <v>2.9615801233339401</v>
      </c>
      <c r="V240" s="378">
        <f t="shared" si="85"/>
        <v>54.501727333160396</v>
      </c>
      <c r="W240" s="397">
        <f t="shared" si="86"/>
        <v>36.56425421311166</v>
      </c>
      <c r="X240" s="153">
        <f t="shared" si="87"/>
        <v>46613</v>
      </c>
      <c r="Y240" s="380">
        <f t="shared" si="88"/>
        <v>35.197627557082349</v>
      </c>
      <c r="Z240" s="380">
        <f t="shared" si="89"/>
        <v>36.219690643052736</v>
      </c>
      <c r="AA240" s="381">
        <f t="shared" si="90"/>
        <v>37.919770452170866</v>
      </c>
      <c r="AB240" s="193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4.4833599698671199E-2</v>
      </c>
      <c r="AD240" s="227">
        <f>(INDEX(Models!$BJ240:$BT240,,AH240)*(1-AF240)+INDEX(Models!$BJ240:$BT240,,AH240+1)*AF240-ERP_i)*AE240*Ramure*Pc/MaxiM</f>
        <v>7.5763886479525175E-5</v>
      </c>
      <c r="AE240" s="301">
        <f t="shared" si="92"/>
        <v>0.5</v>
      </c>
      <c r="AF240" s="173">
        <f t="shared" si="93"/>
        <v>0.96158012333394005</v>
      </c>
      <c r="AG240" s="802">
        <f t="shared" si="99"/>
        <v>2</v>
      </c>
      <c r="AH240" s="172">
        <f t="shared" si="94"/>
        <v>8</v>
      </c>
      <c r="AI240" s="221">
        <f t="shared" si="95"/>
        <v>2.9615801233339401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46614</v>
      </c>
      <c r="B241" s="406">
        <f>'2026'!Wh/'2026'!Env_an*'2027'!Env_an</f>
        <v>36.979585576321583</v>
      </c>
      <c r="C241" s="832"/>
      <c r="D241" s="388">
        <f t="shared" si="77"/>
        <v>38.05391380069986</v>
      </c>
      <c r="E241" s="380">
        <f t="shared" si="100"/>
        <v>38.35369973100083</v>
      </c>
      <c r="F241" s="380">
        <f t="shared" si="78"/>
        <v>38.355409303704654</v>
      </c>
      <c r="G241" s="110">
        <f t="shared" si="101"/>
        <v>0.68169637418909645</v>
      </c>
      <c r="H241" s="409" t="b">
        <f>Wh_hp&gt;='2026'!Maxi_hp</f>
        <v>0</v>
      </c>
      <c r="I241" s="385">
        <f>IF(H241,Wh_hp,'2026'!Maxi_hp)</f>
        <v>38.356655660783957</v>
      </c>
      <c r="J241" s="85">
        <f>IF(H241,An,'2026'!An_max)</f>
        <v>2022</v>
      </c>
      <c r="K241" s="193">
        <f t="shared" si="79"/>
        <v>46614</v>
      </c>
      <c r="L241" s="143">
        <f>IF(t&lt;Tvie,1-EXP((T0-t)*PertePVj)+'2026'!Pspv,1-EXP((T0-t)*PertePVj)+Pspv)</f>
        <v>2.8231740630014213E-2</v>
      </c>
      <c r="M241" s="836"/>
      <c r="N241" s="836"/>
      <c r="O241" s="48">
        <f>IF(t&lt;Tnet,'2026'!Resal+('2026'!Salim-'2026'!Resal)*(1-EXP(('2026'!Tnet-t)/('2026'!Tau_j))),Resal+(Salim-Resal)*(1-EXP((Tnet-t)/(Tau_j))))*Salcycl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8.1735765025186337E-5</v>
      </c>
      <c r="Q241" s="301">
        <f t="shared" si="80"/>
        <v>0.5</v>
      </c>
      <c r="R241" s="173">
        <f t="shared" si="81"/>
        <v>0.96280350785698054</v>
      </c>
      <c r="S241" s="802">
        <f t="shared" si="82"/>
        <v>2</v>
      </c>
      <c r="T241" s="172">
        <f t="shared" si="83"/>
        <v>8</v>
      </c>
      <c r="U241" s="247">
        <f t="shared" si="84"/>
        <v>2.9628035078569805</v>
      </c>
      <c r="V241" s="378">
        <f t="shared" si="85"/>
        <v>54.244400601347934</v>
      </c>
      <c r="W241" s="397">
        <f t="shared" si="86"/>
        <v>36.979585576321583</v>
      </c>
      <c r="X241" s="153">
        <f t="shared" si="87"/>
        <v>46614</v>
      </c>
      <c r="Y241" s="380">
        <f t="shared" si="88"/>
        <v>35.598662792160034</v>
      </c>
      <c r="Z241" s="380">
        <f t="shared" si="89"/>
        <v>36.632872548481124</v>
      </c>
      <c r="AA241" s="381">
        <f t="shared" si="90"/>
        <v>38.35369973100083</v>
      </c>
      <c r="AB241" s="193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4.4867306011909608E-2</v>
      </c>
      <c r="AD241" s="227">
        <f>(INDEX(Models!$BJ241:$BT241,,AH241)*(1-AF241)+INDEX(Models!$BJ241:$BT241,,AH241+1)*AF241-ERP_i)*AE241*Ramure*Pc/MaxiM</f>
        <v>8.1735765025186337E-5</v>
      </c>
      <c r="AE241" s="301">
        <f t="shared" si="92"/>
        <v>0.5</v>
      </c>
      <c r="AF241" s="173">
        <f t="shared" si="93"/>
        <v>0.96280350785698054</v>
      </c>
      <c r="AG241" s="802">
        <f t="shared" si="99"/>
        <v>2</v>
      </c>
      <c r="AH241" s="172">
        <f t="shared" si="94"/>
        <v>8</v>
      </c>
      <c r="AI241" s="221">
        <f t="shared" si="95"/>
        <v>2.9628035078569805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46615</v>
      </c>
      <c r="B242" s="406">
        <f>'2026'!Wh/'2026'!Env_an*'2027'!Env_an</f>
        <v>38.301487687520826</v>
      </c>
      <c r="C242" s="832"/>
      <c r="D242" s="388">
        <f t="shared" si="77"/>
        <v>39.414759270623364</v>
      </c>
      <c r="E242" s="380">
        <f t="shared" si="100"/>
        <v>39.72803400496538</v>
      </c>
      <c r="F242" s="380">
        <f t="shared" si="78"/>
        <v>39.730091463032046</v>
      </c>
      <c r="G242" s="110">
        <f t="shared" si="101"/>
        <v>0.70944478486060802</v>
      </c>
      <c r="H242" s="409" t="b">
        <f>Wh_hp&gt;='2026'!Maxi_hp</f>
        <v>0</v>
      </c>
      <c r="I242" s="385">
        <f>IF(H242,Wh_hp,'2026'!Maxi_hp)</f>
        <v>39.731371026563743</v>
      </c>
      <c r="J242" s="85">
        <f>IF(H242,An,'2026'!An_max)</f>
        <v>2022</v>
      </c>
      <c r="K242" s="193">
        <f t="shared" si="79"/>
        <v>46615</v>
      </c>
      <c r="L242" s="143">
        <f>IF(t&lt;Tvie,1-EXP((T0-t)*PertePVj)+'2026'!Pspv,1-EXP((T0-t)*PertePVj)+Pspv)</f>
        <v>2.8245043321431185E-2</v>
      </c>
      <c r="M242" s="836"/>
      <c r="N242" s="836"/>
      <c r="O242" s="48">
        <f>IF(t&lt;Tnet,'2026'!Resal+('2026'!Salim-'2026'!Resal)*(1-EXP(('2026'!Tnet-t)/('2026'!Tau_j))),Resal+(Salim-Resal)*(1-EXP((Tnet-t)/(Tau_j))))*Salcycl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8.8529186386734679E-5</v>
      </c>
      <c r="Q242" s="301">
        <f t="shared" si="80"/>
        <v>0.5</v>
      </c>
      <c r="R242" s="173">
        <f t="shared" si="81"/>
        <v>0.96398365948499887</v>
      </c>
      <c r="S242" s="802">
        <f t="shared" si="82"/>
        <v>2</v>
      </c>
      <c r="T242" s="172">
        <f t="shared" si="83"/>
        <v>8</v>
      </c>
      <c r="U242" s="247">
        <f t="shared" si="84"/>
        <v>2.9639836594849989</v>
      </c>
      <c r="V242" s="378">
        <f t="shared" si="85"/>
        <v>53.985991734609726</v>
      </c>
      <c r="W242" s="397">
        <f t="shared" si="86"/>
        <v>38.301487687520826</v>
      </c>
      <c r="X242" s="153">
        <f t="shared" si="87"/>
        <v>46615</v>
      </c>
      <c r="Y242" s="380">
        <f t="shared" si="88"/>
        <v>36.872475134240183</v>
      </c>
      <c r="Z242" s="380">
        <f t="shared" si="89"/>
        <v>37.944211018248126</v>
      </c>
      <c r="AA242" s="381">
        <f t="shared" si="90"/>
        <v>39.72803400496538</v>
      </c>
      <c r="AB242" s="193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4.4900862360677252E-2</v>
      </c>
      <c r="AD242" s="227">
        <f>(INDEX(Models!$BJ242:$BT242,,AH242)*(1-AF242)+INDEX(Models!$BJ242:$BT242,,AH242+1)*AF242-ERP_i)*AE242*Ramure*Pc/MaxiM</f>
        <v>8.8529186386734679E-5</v>
      </c>
      <c r="AE242" s="301">
        <f t="shared" si="92"/>
        <v>0.5</v>
      </c>
      <c r="AF242" s="173">
        <f t="shared" si="93"/>
        <v>0.96398365948499887</v>
      </c>
      <c r="AG242" s="802">
        <f t="shared" si="99"/>
        <v>2</v>
      </c>
      <c r="AH242" s="172">
        <f t="shared" si="94"/>
        <v>8</v>
      </c>
      <c r="AI242" s="221">
        <f t="shared" si="95"/>
        <v>2.9639836594849989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46616</v>
      </c>
      <c r="B243" s="406">
        <f>'2026'!Wh/'2026'!Env_an*'2027'!Env_an</f>
        <v>26.641207992145844</v>
      </c>
      <c r="C243" s="832"/>
      <c r="D243" s="388">
        <f t="shared" si="77"/>
        <v>27.415937021781279</v>
      </c>
      <c r="E243" s="380">
        <f t="shared" si="100"/>
        <v>27.635766422443236</v>
      </c>
      <c r="F243" s="380">
        <f t="shared" si="78"/>
        <v>27.636509979471448</v>
      </c>
      <c r="G243" s="110">
        <f t="shared" si="101"/>
        <v>0.49582991451370101</v>
      </c>
      <c r="H243" s="409" t="b">
        <f>Wh_hp&gt;='2026'!Maxi_hp</f>
        <v>0</v>
      </c>
      <c r="I243" s="385">
        <f>IF(H243,Wh_hp,'2026'!Maxi_hp)</f>
        <v>27.638192909314213</v>
      </c>
      <c r="J243" s="85">
        <f>IF(H243,An,'2026'!An_max)</f>
        <v>2022</v>
      </c>
      <c r="K243" s="193">
        <f t="shared" si="79"/>
        <v>46616</v>
      </c>
      <c r="L243" s="143">
        <f>IF(t&lt;Tvie,1-EXP((T0-t)*PertePVj)+'2026'!Pspv,1-EXP((T0-t)*PertePVj)+Pspv)</f>
        <v>2.825834583074549E-2</v>
      </c>
      <c r="M243" s="836"/>
      <c r="N243" s="836"/>
      <c r="O243" s="48">
        <f>IF(t&lt;Tnet,'2026'!Resal+('2026'!Salim-'2026'!Resal)*(1-EXP(('2026'!Tnet-t)/('2026'!Tau_j))),Resal+(Salim-Resal)*(1-EXP((Tnet-t)/(Tau_j))))*Salcycl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9.6155458122123899E-5</v>
      </c>
      <c r="Q243" s="301">
        <f t="shared" si="80"/>
        <v>0.5</v>
      </c>
      <c r="R243" s="173">
        <f t="shared" si="81"/>
        <v>0.96512188551985156</v>
      </c>
      <c r="S243" s="802">
        <f t="shared" si="82"/>
        <v>2</v>
      </c>
      <c r="T243" s="172">
        <f t="shared" si="83"/>
        <v>8</v>
      </c>
      <c r="U243" s="247">
        <f t="shared" si="84"/>
        <v>2.9651218855198516</v>
      </c>
      <c r="V243" s="378">
        <f t="shared" si="85"/>
        <v>53.726816885627358</v>
      </c>
      <c r="W243" s="397">
        <f t="shared" si="86"/>
        <v>26.641207992145844</v>
      </c>
      <c r="X243" s="153">
        <f t="shared" si="87"/>
        <v>46616</v>
      </c>
      <c r="Y243" s="380">
        <f t="shared" si="88"/>
        <v>25.648123547333256</v>
      </c>
      <c r="Z243" s="380">
        <f t="shared" si="89"/>
        <v>26.393973580622035</v>
      </c>
      <c r="AA243" s="381">
        <f t="shared" si="90"/>
        <v>27.635766422443236</v>
      </c>
      <c r="AB243" s="193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4.4934264635147894E-2</v>
      </c>
      <c r="AD243" s="227">
        <f>(INDEX(Models!$BJ243:$BT243,,AH243)*(1-AF243)+INDEX(Models!$BJ243:$BT243,,AH243+1)*AF243-ERP_i)*AE243*Ramure*Pc/MaxiM</f>
        <v>9.6155458122123899E-5</v>
      </c>
      <c r="AE243" s="301">
        <f t="shared" si="92"/>
        <v>0.5</v>
      </c>
      <c r="AF243" s="173">
        <f t="shared" si="93"/>
        <v>0.96512188551985156</v>
      </c>
      <c r="AG243" s="802">
        <f t="shared" si="99"/>
        <v>2</v>
      </c>
      <c r="AH243" s="172">
        <f t="shared" si="94"/>
        <v>8</v>
      </c>
      <c r="AI243" s="221">
        <f t="shared" si="95"/>
        <v>2.9651218855198516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46617</v>
      </c>
      <c r="B244" s="406">
        <f>'2026'!Wh/'2026'!Env_an*'2027'!Env_an</f>
        <v>40.649439772489899</v>
      </c>
      <c r="C244" s="832"/>
      <c r="D244" s="388">
        <f t="shared" si="77"/>
        <v>41.832102248980874</v>
      </c>
      <c r="E244" s="380">
        <f t="shared" si="100"/>
        <v>42.170455859669893</v>
      </c>
      <c r="F244" s="380">
        <f t="shared" si="78"/>
        <v>42.173357145437876</v>
      </c>
      <c r="G244" s="110">
        <f t="shared" si="101"/>
        <v>0.76024158991502122</v>
      </c>
      <c r="H244" s="409" t="b">
        <f>Wh_hp&gt;='2026'!Maxi_hp</f>
        <v>0</v>
      </c>
      <c r="I244" s="385">
        <f>IF(H244,Wh_hp,'2026'!Maxi_hp)</f>
        <v>42.174690936516853</v>
      </c>
      <c r="J244" s="85">
        <f>IF(H244,An,'2026'!An_max)</f>
        <v>2022</v>
      </c>
      <c r="K244" s="193">
        <f t="shared" si="79"/>
        <v>46617</v>
      </c>
      <c r="L244" s="143">
        <f>IF(t&lt;Tvie,1-EXP((T0-t)*PertePVj)+'2026'!Pspv,1-EXP((T0-t)*PertePVj)+Pspv)</f>
        <v>2.8271648157959572E-2</v>
      </c>
      <c r="M244" s="836"/>
      <c r="N244" s="836"/>
      <c r="O244" s="48">
        <f>IF(t&lt;Tnet,'2026'!Resal+('2026'!Salim-'2026'!Resal)*(1-EXP(('2026'!Tnet-t)/('2026'!Tau_j))),Resal+(Salim-Resal)*(1-EXP((Tnet-t)/(Tau_j))))*Salcycl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1.0462580338286651E-4</v>
      </c>
      <c r="Q244" s="301">
        <f t="shared" si="80"/>
        <v>0.5</v>
      </c>
      <c r="R244" s="173">
        <f t="shared" si="81"/>
        <v>0.96621947032466515</v>
      </c>
      <c r="S244" s="802">
        <f t="shared" si="82"/>
        <v>2</v>
      </c>
      <c r="T244" s="172">
        <f t="shared" si="83"/>
        <v>8</v>
      </c>
      <c r="U244" s="247">
        <f t="shared" si="84"/>
        <v>2.9662194703246652</v>
      </c>
      <c r="V244" s="378">
        <f t="shared" si="85"/>
        <v>53.467192113892139</v>
      </c>
      <c r="W244" s="397">
        <f t="shared" si="86"/>
        <v>40.649439772489899</v>
      </c>
      <c r="X244" s="153">
        <f t="shared" si="87"/>
        <v>46617</v>
      </c>
      <c r="Y244" s="380">
        <f t="shared" si="88"/>
        <v>39.135538779240598</v>
      </c>
      <c r="Z244" s="380">
        <f t="shared" si="89"/>
        <v>40.274155534367168</v>
      </c>
      <c r="AA244" s="381">
        <f t="shared" si="90"/>
        <v>42.170455859669893</v>
      </c>
      <c r="AB244" s="193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4.496750833363107E-2</v>
      </c>
      <c r="AD244" s="227">
        <f>(INDEX(Models!$BJ244:$BT244,,AH244)*(1-AF244)+INDEX(Models!$BJ244:$BT244,,AH244+1)*AF244-ERP_i)*AE244*Ramure*Pc/MaxiM</f>
        <v>1.0462580338286651E-4</v>
      </c>
      <c r="AE244" s="301">
        <f t="shared" si="92"/>
        <v>0.5</v>
      </c>
      <c r="AF244" s="173">
        <f t="shared" si="93"/>
        <v>0.96621947032466515</v>
      </c>
      <c r="AG244" s="802">
        <f t="shared" si="99"/>
        <v>2</v>
      </c>
      <c r="AH244" s="172">
        <f t="shared" si="94"/>
        <v>8</v>
      </c>
      <c r="AI244" s="221">
        <f t="shared" si="95"/>
        <v>2.9662194703246652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46618</v>
      </c>
      <c r="B245" s="406">
        <f>'2026'!Wh/'2026'!Env_an*'2027'!Env_an</f>
        <v>40.240751257920913</v>
      </c>
      <c r="C245" s="832"/>
      <c r="D245" s="388">
        <f t="shared" si="77"/>
        <v>41.412090170335347</v>
      </c>
      <c r="E245" s="380">
        <f t="shared" si="100"/>
        <v>41.749944577256912</v>
      </c>
      <c r="F245" s="380">
        <f t="shared" si="78"/>
        <v>41.753045988441194</v>
      </c>
      <c r="G245" s="110">
        <f t="shared" si="101"/>
        <v>0.75626941893110411</v>
      </c>
      <c r="H245" s="409" t="b">
        <f>Wh_hp&gt;='2026'!Maxi_hp</f>
        <v>0</v>
      </c>
      <c r="I245" s="385">
        <f>IF(H245,Wh_hp,'2026'!Maxi_hp)</f>
        <v>41.754513954757151</v>
      </c>
      <c r="J245" s="85">
        <f>IF(H245,An,'2026'!An_max)</f>
        <v>2022</v>
      </c>
      <c r="K245" s="193">
        <f t="shared" si="79"/>
        <v>46618</v>
      </c>
      <c r="L245" s="143">
        <f>IF(t&lt;Tvie,1-EXP((T0-t)*PertePVj)+'2026'!Pspv,1-EXP((T0-t)*PertePVj)+Pspv)</f>
        <v>2.8284950303075984E-2</v>
      </c>
      <c r="M245" s="836"/>
      <c r="N245" s="836"/>
      <c r="O245" s="48">
        <f>IF(t&lt;Tnet,'2026'!Resal+('2026'!Salim-'2026'!Resal)*(1-EXP(('2026'!Tnet-t)/('2026'!Tau_j))),Resal+(Salim-Resal)*(1-EXP((Tnet-t)/(Tau_j))))*Salcycl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1.1395130513783249E-4</v>
      </c>
      <c r="Q245" s="301">
        <f t="shared" si="80"/>
        <v>0.5</v>
      </c>
      <c r="R245" s="173">
        <f t="shared" si="81"/>
        <v>0.96727767437410472</v>
      </c>
      <c r="S245" s="802">
        <f t="shared" si="82"/>
        <v>2</v>
      </c>
      <c r="T245" s="172">
        <f t="shared" si="83"/>
        <v>8</v>
      </c>
      <c r="U245" s="247">
        <f t="shared" si="84"/>
        <v>2.9672776743741047</v>
      </c>
      <c r="V245" s="378">
        <f t="shared" si="85"/>
        <v>53.2074333882152</v>
      </c>
      <c r="W245" s="397">
        <f t="shared" si="86"/>
        <v>40.240751257920913</v>
      </c>
      <c r="X245" s="153">
        <f t="shared" si="87"/>
        <v>46618</v>
      </c>
      <c r="Y245" s="380">
        <f t="shared" si="88"/>
        <v>38.743418364749402</v>
      </c>
      <c r="Z245" s="380">
        <f t="shared" si="89"/>
        <v>39.871172497362679</v>
      </c>
      <c r="AA245" s="381">
        <f t="shared" si="90"/>
        <v>41.749944577256912</v>
      </c>
      <c r="AB245" s="193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4.5000588597611801E-2</v>
      </c>
      <c r="AD245" s="227">
        <f>(INDEX(Models!$BJ245:$BT245,,AH245)*(1-AF245)+INDEX(Models!$BJ245:$BT245,,AH245+1)*AF245-ERP_i)*AE245*Ramure*Pc/MaxiM</f>
        <v>1.1395130513783249E-4</v>
      </c>
      <c r="AE245" s="301">
        <f t="shared" si="92"/>
        <v>0.5</v>
      </c>
      <c r="AF245" s="173">
        <f t="shared" si="93"/>
        <v>0.96727767437410472</v>
      </c>
      <c r="AG245" s="802">
        <f t="shared" si="99"/>
        <v>2</v>
      </c>
      <c r="AH245" s="172">
        <f t="shared" si="94"/>
        <v>8</v>
      </c>
      <c r="AI245" s="221">
        <f t="shared" si="95"/>
        <v>2.9672776743741047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46619</v>
      </c>
      <c r="B246" s="406">
        <f>'2026'!Wh/'2026'!Env_an*'2027'!Env_an</f>
        <v>52.515862175947035</v>
      </c>
      <c r="C246" s="832"/>
      <c r="D246" s="388">
        <f t="shared" si="77"/>
        <v>54.04524824455531</v>
      </c>
      <c r="E246" s="380">
        <f t="shared" si="100"/>
        <v>54.489945787913129</v>
      </c>
      <c r="F246" s="380">
        <f t="shared" si="78"/>
        <v>54.496632301103517</v>
      </c>
      <c r="G246" s="110">
        <f t="shared" si="101"/>
        <v>0.99183969971776631</v>
      </c>
      <c r="H246" s="409" t="b">
        <f>Wh_hp&gt;='2026'!Maxi_hp</f>
        <v>0</v>
      </c>
      <c r="I246" s="385">
        <f>IF(H246,Wh_hp,'2026'!Maxi_hp)</f>
        <v>54.496702481805315</v>
      </c>
      <c r="J246" s="85">
        <f>IF(H246,An,'2026'!An_max)</f>
        <v>2022</v>
      </c>
      <c r="K246" s="193">
        <f t="shared" si="79"/>
        <v>46619</v>
      </c>
      <c r="L246" s="143">
        <f>IF(t&lt;Tvie,1-EXP((T0-t)*PertePVj)+'2026'!Pspv,1-EXP((T0-t)*PertePVj)+Pspv)</f>
        <v>2.8298252266097279E-2</v>
      </c>
      <c r="M246" s="836"/>
      <c r="N246" s="836"/>
      <c r="O246" s="48">
        <f>IF(t&lt;Tnet,'2026'!Resal+('2026'!Salim-'2026'!Resal)*(1-EXP(('2026'!Tnet-t)/('2026'!Tau_j))),Resal+(Salim-Resal)*(1-EXP((Tnet-t)/(Tau_j))))*Salcycl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1.2414284672696449E-4</v>
      </c>
      <c r="Q246" s="301">
        <f t="shared" si="80"/>
        <v>0.5</v>
      </c>
      <c r="R246" s="173">
        <f t="shared" si="81"/>
        <v>0.96829773344338976</v>
      </c>
      <c r="S246" s="802">
        <f t="shared" si="82"/>
        <v>2</v>
      </c>
      <c r="T246" s="172">
        <f t="shared" si="83"/>
        <v>8</v>
      </c>
      <c r="U246" s="247">
        <f t="shared" si="84"/>
        <v>2.9682977334433898</v>
      </c>
      <c r="V246" s="378">
        <f t="shared" si="85"/>
        <v>52.947856587874242</v>
      </c>
      <c r="W246" s="397">
        <f t="shared" si="86"/>
        <v>52.515862175947035</v>
      </c>
      <c r="X246" s="153">
        <f t="shared" si="87"/>
        <v>46619</v>
      </c>
      <c r="Y246" s="380">
        <f t="shared" si="88"/>
        <v>50.563542885985861</v>
      </c>
      <c r="Z246" s="380">
        <f t="shared" si="89"/>
        <v>52.036072801046892</v>
      </c>
      <c r="AA246" s="381">
        <f t="shared" si="90"/>
        <v>54.489945787913129</v>
      </c>
      <c r="AB246" s="193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4.5033500242728362E-2</v>
      </c>
      <c r="AD246" s="227">
        <f>(INDEX(Models!$BJ246:$BT246,,AH246)*(1-AF246)+INDEX(Models!$BJ246:$BT246,,AH246+1)*AF246-ERP_i)*AE246*Ramure*Pc/MaxiM</f>
        <v>1.2414284672696449E-4</v>
      </c>
      <c r="AE246" s="301">
        <f t="shared" si="92"/>
        <v>0.5</v>
      </c>
      <c r="AF246" s="173">
        <f t="shared" si="93"/>
        <v>0.96829773344338976</v>
      </c>
      <c r="AG246" s="802">
        <f t="shared" si="99"/>
        <v>2</v>
      </c>
      <c r="AH246" s="172">
        <f t="shared" si="94"/>
        <v>8</v>
      </c>
      <c r="AI246" s="221">
        <f t="shared" si="95"/>
        <v>2.9682977334433898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46620</v>
      </c>
      <c r="B247" s="406">
        <f>'2026'!Wh/'2026'!Env_an*'2027'!Env_an</f>
        <v>37.896003912984511</v>
      </c>
      <c r="C247" s="832"/>
      <c r="D247" s="388">
        <f t="shared" si="77"/>
        <v>39.000159023006972</v>
      </c>
      <c r="E247" s="380">
        <f t="shared" si="100"/>
        <v>39.323784281015449</v>
      </c>
      <c r="F247" s="380">
        <f t="shared" si="78"/>
        <v>39.326968933030642</v>
      </c>
      <c r="G247" s="110">
        <f t="shared" si="101"/>
        <v>0.71919862378133093</v>
      </c>
      <c r="H247" s="409" t="b">
        <f>Wh_hp&gt;='2026'!Maxi_hp</f>
        <v>0</v>
      </c>
      <c r="I247" s="385">
        <f>IF(H247,Wh_hp,'2026'!Maxi_hp)</f>
        <v>39.328875280006322</v>
      </c>
      <c r="J247" s="85">
        <f>IF(H247,An,'2026'!An_max)</f>
        <v>2022</v>
      </c>
      <c r="K247" s="193">
        <f t="shared" si="79"/>
        <v>46620</v>
      </c>
      <c r="L247" s="143">
        <f>IF(t&lt;Tvie,1-EXP((T0-t)*PertePVj)+'2026'!Pspv,1-EXP((T0-t)*PertePVj)+Pspv)</f>
        <v>2.8311554047025789E-2</v>
      </c>
      <c r="M247" s="836"/>
      <c r="N247" s="836"/>
      <c r="O247" s="48">
        <f>IF(t&lt;Tnet,'2026'!Resal+('2026'!Salim-'2026'!Resal)*(1-EXP(('2026'!Tnet-t)/('2026'!Tau_j))),Resal+(Salim-Resal)*(1-EXP((Tnet-t)/(Tau_j))))*Salcycl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1.3521014847192787E-4</v>
      </c>
      <c r="Q247" s="301">
        <f t="shared" si="80"/>
        <v>0.5</v>
      </c>
      <c r="R247" s="173">
        <f t="shared" si="81"/>
        <v>0.96928085792705421</v>
      </c>
      <c r="S247" s="802">
        <f t="shared" si="82"/>
        <v>2</v>
      </c>
      <c r="T247" s="172">
        <f t="shared" si="83"/>
        <v>8</v>
      </c>
      <c r="U247" s="247">
        <f t="shared" si="84"/>
        <v>2.9692808579270542</v>
      </c>
      <c r="V247" s="378">
        <f t="shared" si="85"/>
        <v>52.689128348349485</v>
      </c>
      <c r="W247" s="397">
        <f t="shared" si="86"/>
        <v>37.896003912984511</v>
      </c>
      <c r="X247" s="153">
        <f t="shared" si="87"/>
        <v>46620</v>
      </c>
      <c r="Y247" s="380">
        <f t="shared" si="88"/>
        <v>36.488464852642508</v>
      </c>
      <c r="Z247" s="380">
        <f t="shared" si="89"/>
        <v>37.551609267985889</v>
      </c>
      <c r="AA247" s="381">
        <f t="shared" si="90"/>
        <v>39.323784281015449</v>
      </c>
      <c r="AB247" s="193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4.5066237785388381E-2</v>
      </c>
      <c r="AD247" s="227">
        <f>(INDEX(Models!$BJ247:$BT247,,AH247)*(1-AF247)+INDEX(Models!$BJ247:$BT247,,AH247+1)*AF247-ERP_i)*AE247*Ramure*Pc/MaxiM</f>
        <v>1.3521014847192787E-4</v>
      </c>
      <c r="AE247" s="301">
        <f t="shared" si="92"/>
        <v>0.5</v>
      </c>
      <c r="AF247" s="173">
        <f t="shared" si="93"/>
        <v>0.96928085792705421</v>
      </c>
      <c r="AG247" s="802">
        <f t="shared" si="99"/>
        <v>2</v>
      </c>
      <c r="AH247" s="172">
        <f t="shared" si="94"/>
        <v>8</v>
      </c>
      <c r="AI247" s="221">
        <f t="shared" si="95"/>
        <v>2.9692808579270542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46621</v>
      </c>
      <c r="B248" s="406">
        <f>'2026'!Wh/'2026'!Env_an*'2027'!Env_an</f>
        <v>27.719599049904602</v>
      </c>
      <c r="C248" s="832"/>
      <c r="D248" s="388">
        <f t="shared" si="77"/>
        <v>28.527640344582014</v>
      </c>
      <c r="E248" s="380">
        <f t="shared" si="100"/>
        <v>28.7663529192406</v>
      </c>
      <c r="F248" s="380">
        <f t="shared" si="78"/>
        <v>28.767738843667864</v>
      </c>
      <c r="G248" s="110">
        <f t="shared" si="101"/>
        <v>0.52863130589439644</v>
      </c>
      <c r="H248" s="409" t="b">
        <f>Wh_hp&gt;='2026'!Maxi_hp</f>
        <v>0</v>
      </c>
      <c r="I248" s="385">
        <f>IF(H248,Wh_hp,'2026'!Maxi_hp)</f>
        <v>28.770301944261828</v>
      </c>
      <c r="J248" s="85">
        <f>IF(H248,An,'2026'!An_max)</f>
        <v>2022</v>
      </c>
      <c r="K248" s="193">
        <f t="shared" si="79"/>
        <v>46621</v>
      </c>
      <c r="L248" s="143">
        <f>IF(t&lt;Tvie,1-EXP((T0-t)*PertePVj)+'2026'!Pspv,1-EXP((T0-t)*PertePVj)+Pspv)</f>
        <v>2.8324855645864067E-2</v>
      </c>
      <c r="M248" s="836"/>
      <c r="N248" s="836"/>
      <c r="O248" s="48">
        <f>IF(t&lt;Tnet,'2026'!Resal+('2026'!Salim-'2026'!Resal)*(1-EXP(('2026'!Tnet-t)/('2026'!Tau_j))),Resal+(Salim-Resal)*(1-EXP((Tnet-t)/(Tau_j))))*Salcycl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1.4746754753370981E-4</v>
      </c>
      <c r="Q248" s="301">
        <f t="shared" si="80"/>
        <v>0.5</v>
      </c>
      <c r="R248" s="173">
        <f t="shared" si="81"/>
        <v>0.97022823227867239</v>
      </c>
      <c r="S248" s="802">
        <f t="shared" si="82"/>
        <v>2</v>
      </c>
      <c r="T248" s="172">
        <f t="shared" si="83"/>
        <v>8</v>
      </c>
      <c r="U248" s="247">
        <f t="shared" si="84"/>
        <v>2.9702282322786724</v>
      </c>
      <c r="V248" s="378">
        <f t="shared" si="85"/>
        <v>52.431337864114901</v>
      </c>
      <c r="W248" s="397">
        <f t="shared" si="86"/>
        <v>27.719599049904602</v>
      </c>
      <c r="X248" s="153">
        <f t="shared" si="87"/>
        <v>46621</v>
      </c>
      <c r="Y248" s="380">
        <f t="shared" si="88"/>
        <v>26.690968883318096</v>
      </c>
      <c r="Z248" s="380">
        <f t="shared" si="89"/>
        <v>27.469025052667526</v>
      </c>
      <c r="AA248" s="381">
        <f t="shared" si="90"/>
        <v>28.7663529192406</v>
      </c>
      <c r="AB248" s="193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4.5098795464799717E-2</v>
      </c>
      <c r="AD248" s="227">
        <f>(INDEX(Models!$BJ248:$BT248,,AH248)*(1-AF248)+INDEX(Models!$BJ248:$BT248,,AH248+1)*AF248-ERP_i)*AE248*Ramure*Pc/MaxiM</f>
        <v>1.4746754753370981E-4</v>
      </c>
      <c r="AE248" s="301">
        <f t="shared" si="92"/>
        <v>0.5</v>
      </c>
      <c r="AF248" s="173">
        <f t="shared" si="93"/>
        <v>0.97022823227867239</v>
      </c>
      <c r="AG248" s="802">
        <f t="shared" si="99"/>
        <v>2</v>
      </c>
      <c r="AH248" s="172">
        <f t="shared" si="94"/>
        <v>8</v>
      </c>
      <c r="AI248" s="221">
        <f t="shared" si="95"/>
        <v>2.9702282322786724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46622</v>
      </c>
      <c r="B249" s="406">
        <f>'2026'!Wh/'2026'!Env_an*'2027'!Env_an</f>
        <v>46.891316666969928</v>
      </c>
      <c r="C249" s="832"/>
      <c r="D249" s="388">
        <f t="shared" si="77"/>
        <v>48.258884516052404</v>
      </c>
      <c r="E249" s="380">
        <f t="shared" si="100"/>
        <v>48.666063425682054</v>
      </c>
      <c r="F249" s="380">
        <f t="shared" si="78"/>
        <v>48.672765977700642</v>
      </c>
      <c r="G249" s="110">
        <f t="shared" si="101"/>
        <v>0.89872857097556158</v>
      </c>
      <c r="H249" s="409" t="b">
        <f>Wh_hp&gt;='2026'!Maxi_hp</f>
        <v>0</v>
      </c>
      <c r="I249" s="385">
        <f>IF(H249,Wh_hp,'2026'!Maxi_hp)</f>
        <v>48.673786569897885</v>
      </c>
      <c r="J249" s="85">
        <f>IF(H249,An,'2026'!An_max)</f>
        <v>2022</v>
      </c>
      <c r="K249" s="193">
        <f t="shared" si="79"/>
        <v>46622</v>
      </c>
      <c r="L249" s="143">
        <f>IF(t&lt;Tvie,1-EXP((T0-t)*PertePVj)+'2026'!Pspv,1-EXP((T0-t)*PertePVj)+Pspv)</f>
        <v>2.8338157062614666E-2</v>
      </c>
      <c r="M249" s="836"/>
      <c r="N249" s="836"/>
      <c r="O249" s="48">
        <f>IF(t&lt;Tnet,'2026'!Resal+('2026'!Salim-'2026'!Resal)*(1-EXP(('2026'!Tnet-t)/('2026'!Tau_j))),Resal+(Salim-Resal)*(1-EXP((Tnet-t)/(Tau_j))))*Salcycl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1.6099301751441782E-4</v>
      </c>
      <c r="Q249" s="301">
        <f t="shared" si="80"/>
        <v>0.5</v>
      </c>
      <c r="R249" s="173">
        <f t="shared" si="81"/>
        <v>0.97114101456305901</v>
      </c>
      <c r="S249" s="802">
        <f t="shared" si="82"/>
        <v>2</v>
      </c>
      <c r="T249" s="172">
        <f t="shared" si="83"/>
        <v>8</v>
      </c>
      <c r="U249" s="247">
        <f t="shared" si="84"/>
        <v>2.971141014563059</v>
      </c>
      <c r="V249" s="378">
        <f t="shared" si="85"/>
        <v>52.173955620595969</v>
      </c>
      <c r="W249" s="397">
        <f t="shared" si="86"/>
        <v>46.891316666969928</v>
      </c>
      <c r="X249" s="153">
        <f t="shared" si="87"/>
        <v>46622</v>
      </c>
      <c r="Y249" s="380">
        <f t="shared" si="88"/>
        <v>45.152841316674078</v>
      </c>
      <c r="Z249" s="380">
        <f t="shared" si="89"/>
        <v>46.469707177318647</v>
      </c>
      <c r="AA249" s="381">
        <f t="shared" si="90"/>
        <v>48.666063425682054</v>
      </c>
      <c r="AB249" s="193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4.5131167260270839E-2</v>
      </c>
      <c r="AD249" s="227">
        <f>(INDEX(Models!$BJ249:$BT249,,AH249)*(1-AF249)+INDEX(Models!$BJ249:$BT249,,AH249+1)*AF249-ERP_i)*AE249*Ramure*Pc/MaxiM</f>
        <v>1.6099301751441782E-4</v>
      </c>
      <c r="AE249" s="301">
        <f t="shared" si="92"/>
        <v>0.5</v>
      </c>
      <c r="AF249" s="173">
        <f t="shared" si="93"/>
        <v>0.97114101456305901</v>
      </c>
      <c r="AG249" s="802">
        <f t="shared" si="99"/>
        <v>2</v>
      </c>
      <c r="AH249" s="172">
        <f t="shared" si="94"/>
        <v>8</v>
      </c>
      <c r="AI249" s="221">
        <f t="shared" si="95"/>
        <v>2.971141014563059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46623</v>
      </c>
      <c r="B250" s="406">
        <f>'2026'!Wh/'2026'!Env_an*'2027'!Env_an</f>
        <v>50.928948960555992</v>
      </c>
      <c r="C250" s="832"/>
      <c r="D250" s="388">
        <f t="shared" si="77"/>
        <v>52.414990374305447</v>
      </c>
      <c r="E250" s="380">
        <f t="shared" si="100"/>
        <v>52.860880352515323</v>
      </c>
      <c r="F250" s="380">
        <f t="shared" si="78"/>
        <v>52.869922543784249</v>
      </c>
      <c r="G250" s="110">
        <f t="shared" si="101"/>
        <v>0.98097424254096954</v>
      </c>
      <c r="H250" s="409" t="b">
        <f>Wh_hp&gt;='2026'!Maxi_hp</f>
        <v>0</v>
      </c>
      <c r="I250" s="385">
        <f>IF(H250,Wh_hp,'2026'!Maxi_hp)</f>
        <v>52.870150667804495</v>
      </c>
      <c r="J250" s="85">
        <f>IF(H250,An,'2026'!An_max)</f>
        <v>2022</v>
      </c>
      <c r="K250" s="193">
        <f t="shared" si="79"/>
        <v>46623</v>
      </c>
      <c r="L250" s="143">
        <f>IF(t&lt;Tvie,1-EXP((T0-t)*PertePVj)+'2026'!Pspv,1-EXP((T0-t)*PertePVj)+Pspv)</f>
        <v>2.835145829728003E-2</v>
      </c>
      <c r="M250" s="836"/>
      <c r="N250" s="836"/>
      <c r="O250" s="48">
        <f>IF(t&lt;Tnet,'2026'!Resal+('2026'!Salim-'2026'!Resal)*(1-EXP(('2026'!Tnet-t)/('2026'!Tau_j))),Resal+(Salim-Resal)*(1-EXP((Tnet-t)/(Tau_j))))*Salcycl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1.7580425446580978E-4</v>
      </c>
      <c r="Q250" s="301">
        <f t="shared" si="80"/>
        <v>0.5</v>
      </c>
      <c r="R250" s="173">
        <f t="shared" si="81"/>
        <v>0.97202033611272309</v>
      </c>
      <c r="S250" s="802">
        <f t="shared" si="82"/>
        <v>2</v>
      </c>
      <c r="T250" s="172">
        <f t="shared" si="83"/>
        <v>8</v>
      </c>
      <c r="U250" s="247">
        <f t="shared" si="84"/>
        <v>2.9720203361127231</v>
      </c>
      <c r="V250" s="378">
        <f t="shared" si="85"/>
        <v>51.916455515937024</v>
      </c>
      <c r="W250" s="397">
        <f t="shared" si="86"/>
        <v>50.928948960555992</v>
      </c>
      <c r="X250" s="153">
        <f t="shared" si="87"/>
        <v>46623</v>
      </c>
      <c r="Y250" s="380">
        <f t="shared" si="88"/>
        <v>49.042508572901284</v>
      </c>
      <c r="Z250" s="380">
        <f t="shared" si="89"/>
        <v>50.47350607551887</v>
      </c>
      <c r="AA250" s="381">
        <f t="shared" si="90"/>
        <v>52.860880352515323</v>
      </c>
      <c r="AB250" s="193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4.5163346903715561E-2</v>
      </c>
      <c r="AD250" s="227">
        <f>(INDEX(Models!$BJ250:$BT250,,AH250)*(1-AF250)+INDEX(Models!$BJ250:$BT250,,AH250+1)*AF250-ERP_i)*AE250*Ramure*Pc/MaxiM</f>
        <v>1.7580425446580978E-4</v>
      </c>
      <c r="AE250" s="301">
        <f t="shared" si="92"/>
        <v>0.5</v>
      </c>
      <c r="AF250" s="173">
        <f t="shared" si="93"/>
        <v>0.97202033611272309</v>
      </c>
      <c r="AG250" s="802">
        <f t="shared" si="99"/>
        <v>2</v>
      </c>
      <c r="AH250" s="172">
        <f t="shared" si="94"/>
        <v>8</v>
      </c>
      <c r="AI250" s="221">
        <f t="shared" si="95"/>
        <v>2.9720203361127231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46624</v>
      </c>
      <c r="B251" s="406">
        <f>'2026'!Wh/'2026'!Env_an*'2027'!Env_an</f>
        <v>32.664705215080716</v>
      </c>
      <c r="C251" s="832"/>
      <c r="D251" s="388">
        <f t="shared" si="77"/>
        <v>33.618279626441108</v>
      </c>
      <c r="E251" s="380">
        <f t="shared" si="100"/>
        <v>33.906601804343417</v>
      </c>
      <c r="F251" s="380">
        <f t="shared" si="78"/>
        <v>33.909691422617151</v>
      </c>
      <c r="G251" s="110">
        <f t="shared" si="101"/>
        <v>0.63225860593765149</v>
      </c>
      <c r="H251" s="409" t="b">
        <f>Wh_hp&gt;='2026'!Maxi_hp</f>
        <v>0</v>
      </c>
      <c r="I251" s="385">
        <f>IF(H251,Wh_hp,'2026'!Maxi_hp)</f>
        <v>33.91278728080961</v>
      </c>
      <c r="J251" s="85">
        <f>IF(H251,An,'2026'!An_max)</f>
        <v>2022</v>
      </c>
      <c r="K251" s="193">
        <f t="shared" si="79"/>
        <v>46624</v>
      </c>
      <c r="L251" s="143">
        <f>IF(t&lt;Tvie,1-EXP((T0-t)*PertePVj)+'2026'!Pspv,1-EXP((T0-t)*PertePVj)+Pspv)</f>
        <v>2.8364759349862712E-2</v>
      </c>
      <c r="M251" s="836"/>
      <c r="N251" s="836"/>
      <c r="O251" s="48">
        <f>IF(t&lt;Tnet,'2026'!Resal+('2026'!Salim-'2026'!Resal)*(1-EXP(('2026'!Tnet-t)/('2026'!Tau_j))),Resal+(Salim-Resal)*(1-EXP((Tnet-t)/(Tau_j))))*Salcycl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1.919196628011447E-4</v>
      </c>
      <c r="Q251" s="301">
        <f t="shared" si="80"/>
        <v>0.5</v>
      </c>
      <c r="R251" s="173">
        <f t="shared" si="81"/>
        <v>0.97286730128068788</v>
      </c>
      <c r="S251" s="802">
        <f t="shared" si="82"/>
        <v>2</v>
      </c>
      <c r="T251" s="172">
        <f t="shared" si="83"/>
        <v>8</v>
      </c>
      <c r="U251" s="247">
        <f t="shared" si="84"/>
        <v>2.9728673012806879</v>
      </c>
      <c r="V251" s="378">
        <f t="shared" si="85"/>
        <v>51.658311635101867</v>
      </c>
      <c r="W251" s="397">
        <f t="shared" si="86"/>
        <v>32.664705215080716</v>
      </c>
      <c r="X251" s="153">
        <f t="shared" si="87"/>
        <v>46624</v>
      </c>
      <c r="Y251" s="380">
        <f t="shared" si="88"/>
        <v>31.455895941825997</v>
      </c>
      <c r="Z251" s="380">
        <f t="shared" si="89"/>
        <v>32.37418181824934</v>
      </c>
      <c r="AA251" s="381">
        <f t="shared" si="90"/>
        <v>33.906601804343417</v>
      </c>
      <c r="AB251" s="193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4.5195327887378456E-2</v>
      </c>
      <c r="AD251" s="227">
        <f>(INDEX(Models!$BJ251:$BT251,,AH251)*(1-AF251)+INDEX(Models!$BJ251:$BT251,,AH251+1)*AF251-ERP_i)*AE251*Ramure*Pc/MaxiM</f>
        <v>1.919196628011447E-4</v>
      </c>
      <c r="AE251" s="301">
        <f t="shared" si="92"/>
        <v>0.5</v>
      </c>
      <c r="AF251" s="173">
        <f t="shared" si="93"/>
        <v>0.97286730128068788</v>
      </c>
      <c r="AG251" s="802">
        <f t="shared" si="99"/>
        <v>2</v>
      </c>
      <c r="AH251" s="172">
        <f t="shared" si="94"/>
        <v>8</v>
      </c>
      <c r="AI251" s="221">
        <f t="shared" si="95"/>
        <v>2.9728673012806879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46625</v>
      </c>
      <c r="B252" s="406">
        <f>'2026'!Wh/'2026'!Env_an*'2027'!Env_an</f>
        <v>37.646250772113348</v>
      </c>
      <c r="C252" s="832"/>
      <c r="D252" s="388">
        <f t="shared" si="77"/>
        <v>38.745780875071183</v>
      </c>
      <c r="E252" s="380">
        <f t="shared" si="100"/>
        <v>39.080764819337958</v>
      </c>
      <c r="F252" s="380">
        <f t="shared" si="78"/>
        <v>39.08581990947858</v>
      </c>
      <c r="G252" s="110">
        <f t="shared" si="101"/>
        <v>0.73237298404614326</v>
      </c>
      <c r="H252" s="409" t="b">
        <f>Wh_hp&gt;='2026'!Maxi_hp</f>
        <v>0</v>
      </c>
      <c r="I252" s="385">
        <f>IF(H252,Wh_hp,'2026'!Maxi_hp)</f>
        <v>39.08865945369719</v>
      </c>
      <c r="J252" s="85">
        <f>IF(H252,An,'2026'!An_max)</f>
        <v>2022</v>
      </c>
      <c r="K252" s="193">
        <f t="shared" si="79"/>
        <v>46625</v>
      </c>
      <c r="L252" s="143">
        <f>IF(t&lt;Tvie,1-EXP((T0-t)*PertePVj)+'2026'!Pspv,1-EXP((T0-t)*PertePVj)+Pspv)</f>
        <v>2.8378060220365042E-2</v>
      </c>
      <c r="M252" s="836"/>
      <c r="N252" s="836"/>
      <c r="O252" s="48">
        <f>IF(t&lt;Tnet,'2026'!Resal+('2026'!Salim-'2026'!Resal)*(1-EXP(('2026'!Tnet-t)/('2026'!Tau_j))),Resal+(Salim-Resal)*(1-EXP((Tnet-t)/(Tau_j))))*Salcycl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2.0935835165275564E-4</v>
      </c>
      <c r="Q252" s="301">
        <f t="shared" si="80"/>
        <v>0.5</v>
      </c>
      <c r="R252" s="173">
        <f t="shared" si="81"/>
        <v>0.97368298728209135</v>
      </c>
      <c r="S252" s="802">
        <f t="shared" si="82"/>
        <v>2</v>
      </c>
      <c r="T252" s="172">
        <f t="shared" si="83"/>
        <v>8</v>
      </c>
      <c r="U252" s="247">
        <f t="shared" si="84"/>
        <v>2.9736829872820914</v>
      </c>
      <c r="V252" s="378">
        <f t="shared" si="85"/>
        <v>51.398998258589288</v>
      </c>
      <c r="W252" s="397">
        <f t="shared" si="86"/>
        <v>37.646250772113348</v>
      </c>
      <c r="X252" s="153">
        <f t="shared" si="87"/>
        <v>46625</v>
      </c>
      <c r="Y252" s="380">
        <f t="shared" si="88"/>
        <v>36.254377227163566</v>
      </c>
      <c r="Z252" s="380">
        <f t="shared" si="89"/>
        <v>37.31325502528906</v>
      </c>
      <c r="AA252" s="381">
        <f t="shared" si="90"/>
        <v>39.080764819337958</v>
      </c>
      <c r="AB252" s="193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4.522710346687734E-2</v>
      </c>
      <c r="AD252" s="227">
        <f>(INDEX(Models!$BJ252:$BT252,,AH252)*(1-AF252)+INDEX(Models!$BJ252:$BT252,,AH252+1)*AF252-ERP_i)*AE252*Ramure*Pc/MaxiM</f>
        <v>2.0935835165275564E-4</v>
      </c>
      <c r="AE252" s="301">
        <f t="shared" si="92"/>
        <v>0.5</v>
      </c>
      <c r="AF252" s="173">
        <f t="shared" si="93"/>
        <v>0.97368298728209135</v>
      </c>
      <c r="AG252" s="802">
        <f t="shared" si="99"/>
        <v>2</v>
      </c>
      <c r="AH252" s="172">
        <f t="shared" si="94"/>
        <v>8</v>
      </c>
      <c r="AI252" s="221">
        <f t="shared" si="95"/>
        <v>2.9736829872820914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46626</v>
      </c>
      <c r="B253" s="406">
        <f>'2026'!Wh/'2026'!Env_an*'2027'!Env_an</f>
        <v>47.458015290204102</v>
      </c>
      <c r="C253" s="832"/>
      <c r="D253" s="388">
        <f t="shared" si="77"/>
        <v>48.844785215777556</v>
      </c>
      <c r="E253" s="380">
        <f t="shared" si="100"/>
        <v>49.270463899897699</v>
      </c>
      <c r="F253" s="380">
        <f t="shared" si="78"/>
        <v>49.280550987559877</v>
      </c>
      <c r="G253" s="110">
        <f t="shared" si="101"/>
        <v>0.92801657130767601</v>
      </c>
      <c r="H253" s="409" t="b">
        <f>Wh_hp&gt;='2026'!Maxi_hp</f>
        <v>0</v>
      </c>
      <c r="I253" s="385">
        <f>IF(H253,Wh_hp,'2026'!Maxi_hp)</f>
        <v>49.281602441092893</v>
      </c>
      <c r="J253" s="85">
        <f>IF(H253,An,'2026'!An_max)</f>
        <v>2022</v>
      </c>
      <c r="K253" s="193">
        <f t="shared" si="79"/>
        <v>46626</v>
      </c>
      <c r="L253" s="143">
        <f>IF(t&lt;Tvie,1-EXP((T0-t)*PertePVj)+'2026'!Pspv,1-EXP((T0-t)*PertePVj)+Pspv)</f>
        <v>2.8391360908789687E-2</v>
      </c>
      <c r="M253" s="836"/>
      <c r="N253" s="836"/>
      <c r="O253" s="48">
        <f>IF(t&lt;Tnet,'2026'!Resal+('2026'!Salim-'2026'!Resal)*(1-EXP(('2026'!Tnet-t)/('2026'!Tau_j))),Resal+(Salim-Resal)*(1-EXP((Tnet-t)/(Tau_j))))*Salcycl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2.2814035986370646E-4</v>
      </c>
      <c r="Q253" s="301">
        <f t="shared" si="80"/>
        <v>0.5</v>
      </c>
      <c r="R253" s="173">
        <f t="shared" si="81"/>
        <v>0.97446844411733835</v>
      </c>
      <c r="S253" s="802">
        <f t="shared" si="82"/>
        <v>2</v>
      </c>
      <c r="T253" s="172">
        <f t="shared" si="83"/>
        <v>8</v>
      </c>
      <c r="U253" s="247">
        <f t="shared" si="84"/>
        <v>2.9744684441173384</v>
      </c>
      <c r="V253" s="378">
        <f t="shared" si="85"/>
        <v>51.13798985840031</v>
      </c>
      <c r="W253" s="397">
        <f t="shared" si="86"/>
        <v>47.458015290204102</v>
      </c>
      <c r="X253" s="153">
        <f t="shared" si="87"/>
        <v>46626</v>
      </c>
      <c r="Y253" s="380">
        <f t="shared" si="88"/>
        <v>45.705003211164147</v>
      </c>
      <c r="Z253" s="380">
        <f t="shared" si="89"/>
        <v>47.040548398081469</v>
      </c>
      <c r="AA253" s="381">
        <f t="shared" si="90"/>
        <v>49.270463899897699</v>
      </c>
      <c r="AB253" s="193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4.5258666659740043E-2</v>
      </c>
      <c r="AD253" s="227">
        <f>(INDEX(Models!$BJ253:$BT253,,AH253)*(1-AF253)+INDEX(Models!$BJ253:$BT253,,AH253+1)*AF253-ERP_i)*AE253*Ramure*Pc/MaxiM</f>
        <v>2.2814035986370646E-4</v>
      </c>
      <c r="AE253" s="301">
        <f t="shared" si="92"/>
        <v>0.5</v>
      </c>
      <c r="AF253" s="173">
        <f t="shared" si="93"/>
        <v>0.97446844411733835</v>
      </c>
      <c r="AG253" s="802">
        <f t="shared" si="99"/>
        <v>2</v>
      </c>
      <c r="AH253" s="172">
        <f t="shared" si="94"/>
        <v>8</v>
      </c>
      <c r="AI253" s="221">
        <f t="shared" si="95"/>
        <v>2.9744684441173384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46627</v>
      </c>
      <c r="B254" s="406">
        <f>'2026'!Wh/'2026'!Env_an*'2027'!Env_an</f>
        <v>49.890187854543363</v>
      </c>
      <c r="C254" s="832"/>
      <c r="D254" s="388">
        <f t="shared" si="77"/>
        <v>51.348731177744185</v>
      </c>
      <c r="E254" s="380">
        <f t="shared" si="100"/>
        <v>51.799781619278548</v>
      </c>
      <c r="F254" s="380">
        <f t="shared" si="78"/>
        <v>51.812188629689842</v>
      </c>
      <c r="G254" s="110">
        <f t="shared" si="101"/>
        <v>0.98063846124764475</v>
      </c>
      <c r="H254" s="409" t="b">
        <f>Wh_hp&gt;='2026'!Maxi_hp</f>
        <v>0</v>
      </c>
      <c r="I254" s="385">
        <f>IF(H254,Wh_hp,'2026'!Maxi_hp)</f>
        <v>51.812510018223612</v>
      </c>
      <c r="J254" s="85">
        <f>IF(H254,An,'2026'!An_max)</f>
        <v>2022</v>
      </c>
      <c r="K254" s="193">
        <f t="shared" si="79"/>
        <v>46627</v>
      </c>
      <c r="L254" s="143">
        <f>IF(t&lt;Tvie,1-EXP((T0-t)*PertePVj)+'2026'!Pspv,1-EXP((T0-t)*PertePVj)+Pspv)</f>
        <v>2.8404661415139087E-2</v>
      </c>
      <c r="M254" s="836"/>
      <c r="N254" s="836"/>
      <c r="O254" s="48">
        <f>IF(t&lt;Tnet,'2026'!Resal+('2026'!Salim-'2026'!Resal)*(1-EXP(('2026'!Tnet-t)/('2026'!Tau_j))),Resal+(Salim-Resal)*(1-EXP((Tnet-t)/(Tau_j))))*Salcycl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2.4627056150158003E-4</v>
      </c>
      <c r="Q254" s="301">
        <f t="shared" si="80"/>
        <v>0.5</v>
      </c>
      <c r="R254" s="173">
        <f t="shared" si="81"/>
        <v>0.97522469456989835</v>
      </c>
      <c r="S254" s="802">
        <f t="shared" si="82"/>
        <v>2</v>
      </c>
      <c r="T254" s="172">
        <f t="shared" si="83"/>
        <v>8</v>
      </c>
      <c r="U254" s="247">
        <f t="shared" si="84"/>
        <v>2.9752246945698984</v>
      </c>
      <c r="V254" s="378">
        <f t="shared" si="85"/>
        <v>50.874863699376164</v>
      </c>
      <c r="W254" s="397">
        <f t="shared" si="86"/>
        <v>49.890187854543363</v>
      </c>
      <c r="X254" s="153">
        <f t="shared" si="87"/>
        <v>46627</v>
      </c>
      <c r="Y254" s="380">
        <f t="shared" si="88"/>
        <v>48.04905141576743</v>
      </c>
      <c r="Z254" s="380">
        <f t="shared" si="89"/>
        <v>49.453768979327741</v>
      </c>
      <c r="AA254" s="381">
        <f t="shared" si="90"/>
        <v>51.799781619278548</v>
      </c>
      <c r="AB254" s="193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4.5290010239689441E-2</v>
      </c>
      <c r="AD254" s="227">
        <f>(INDEX(Models!$BJ254:$BT254,,AH254)*(1-AF254)+INDEX(Models!$BJ254:$BT254,,AH254+1)*AF254-ERP_i)*AE254*Ramure*Pc/MaxiM</f>
        <v>2.4627056150158003E-4</v>
      </c>
      <c r="AE254" s="301">
        <f t="shared" si="92"/>
        <v>0.5</v>
      </c>
      <c r="AF254" s="173">
        <f t="shared" si="93"/>
        <v>0.97522469456989835</v>
      </c>
      <c r="AG254" s="802">
        <f t="shared" si="99"/>
        <v>2</v>
      </c>
      <c r="AH254" s="172">
        <f t="shared" si="94"/>
        <v>8</v>
      </c>
      <c r="AI254" s="221">
        <f t="shared" si="95"/>
        <v>2.9752246945698984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46628</v>
      </c>
      <c r="B255" s="406">
        <f>'2026'!Wh/'2026'!Env_an*'2027'!Env_an</f>
        <v>34.867092071977908</v>
      </c>
      <c r="C255" s="832"/>
      <c r="D255" s="388">
        <f t="shared" si="77"/>
        <v>35.886925343329928</v>
      </c>
      <c r="E255" s="380">
        <f t="shared" si="100"/>
        <v>36.204635686751878</v>
      </c>
      <c r="F255" s="380">
        <f t="shared" si="78"/>
        <v>36.209924431725135</v>
      </c>
      <c r="G255" s="110">
        <f t="shared" si="101"/>
        <v>0.68886804835630155</v>
      </c>
      <c r="H255" s="409" t="b">
        <f>Wh_hp&gt;='2026'!Maxi_hp</f>
        <v>0</v>
      </c>
      <c r="I255" s="385">
        <f>IF(H255,Wh_hp,'2026'!Maxi_hp)</f>
        <v>36.213779119220973</v>
      </c>
      <c r="J255" s="85">
        <f>IF(H255,An,'2026'!An_max)</f>
        <v>2022</v>
      </c>
      <c r="K255" s="193">
        <f t="shared" si="79"/>
        <v>46628</v>
      </c>
      <c r="L255" s="143">
        <f>IF(t&lt;Tvie,1-EXP((T0-t)*PertePVj)+'2026'!Pspv,1-EXP((T0-t)*PertePVj)+Pspv)</f>
        <v>2.8417961739415687E-2</v>
      </c>
      <c r="M255" s="836"/>
      <c r="N255" s="836"/>
      <c r="O255" s="48">
        <f>IF(t&lt;Tnet,'2026'!Resal+('2026'!Salim-'2026'!Resal)*(1-EXP(('2026'!Tnet-t)/('2026'!Tau_j))),Resal+(Salim-Resal)*(1-EXP((Tnet-t)/(Tau_j))))*Salcycl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2.6286387686597372E-4</v>
      </c>
      <c r="Q255" s="301">
        <f t="shared" si="80"/>
        <v>0.5</v>
      </c>
      <c r="R255" s="173">
        <f t="shared" si="81"/>
        <v>0.9759527342721932</v>
      </c>
      <c r="S255" s="802">
        <f t="shared" si="82"/>
        <v>2</v>
      </c>
      <c r="T255" s="172">
        <f t="shared" si="83"/>
        <v>8</v>
      </c>
      <c r="U255" s="247">
        <f t="shared" si="84"/>
        <v>2.9759527342721932</v>
      </c>
      <c r="V255" s="378">
        <f t="shared" si="85"/>
        <v>50.609138970738115</v>
      </c>
      <c r="W255" s="397">
        <f t="shared" si="86"/>
        <v>34.867092071977908</v>
      </c>
      <c r="X255" s="153">
        <f t="shared" si="87"/>
        <v>46628</v>
      </c>
      <c r="Y255" s="380">
        <f t="shared" si="88"/>
        <v>33.581568035851099</v>
      </c>
      <c r="Z255" s="380">
        <f t="shared" si="89"/>
        <v>34.563800804687496</v>
      </c>
      <c r="AA255" s="381">
        <f t="shared" si="90"/>
        <v>36.204635686751878</v>
      </c>
      <c r="AB255" s="193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4.5321126727006368E-2</v>
      </c>
      <c r="AD255" s="227">
        <f>(INDEX(Models!$BJ255:$BT255,,AH255)*(1-AF255)+INDEX(Models!$BJ255:$BT255,,AH255+1)*AF255-ERP_i)*AE255*Ramure*Pc/MaxiM</f>
        <v>2.6286387686597372E-4</v>
      </c>
      <c r="AE255" s="301">
        <f t="shared" si="92"/>
        <v>0.5</v>
      </c>
      <c r="AF255" s="173">
        <f t="shared" si="93"/>
        <v>0.9759527342721932</v>
      </c>
      <c r="AG255" s="802">
        <f t="shared" si="99"/>
        <v>2</v>
      </c>
      <c r="AH255" s="172">
        <f t="shared" si="94"/>
        <v>8</v>
      </c>
      <c r="AI255" s="221">
        <f t="shared" si="95"/>
        <v>2.9759527342721932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46629</v>
      </c>
      <c r="B256" s="406">
        <f>'2026'!Wh/'2026'!Env_an*'2027'!Env_an</f>
        <v>48.931202970510832</v>
      </c>
      <c r="C256" s="832"/>
      <c r="D256" s="388">
        <f t="shared" si="77"/>
        <v>50.363089147223008</v>
      </c>
      <c r="E256" s="380">
        <f t="shared" si="100"/>
        <v>50.812429690701741</v>
      </c>
      <c r="F256" s="380">
        <f t="shared" si="78"/>
        <v>50.825989493583833</v>
      </c>
      <c r="G256" s="110">
        <f t="shared" si="101"/>
        <v>0.97199794811761486</v>
      </c>
      <c r="H256" s="409" t="b">
        <f>Wh_hp&gt;='2026'!Maxi_hp</f>
        <v>0</v>
      </c>
      <c r="I256" s="385">
        <f>IF(H256,Wh_hp,'2026'!Maxi_hp)</f>
        <v>50.826504126845201</v>
      </c>
      <c r="J256" s="85">
        <f>IF(H256,An,'2026'!An_max)</f>
        <v>2022</v>
      </c>
      <c r="K256" s="193">
        <f t="shared" si="79"/>
        <v>46629</v>
      </c>
      <c r="L256" s="143">
        <f>IF(t&lt;Tvie,1-EXP((T0-t)*PertePVj)+'2026'!Pspv,1-EXP((T0-t)*PertePVj)+Pspv)</f>
        <v>2.8431261881622039E-2</v>
      </c>
      <c r="M256" s="836"/>
      <c r="N256" s="836"/>
      <c r="O256" s="48">
        <f>IF(t&lt;Tnet,'2026'!Resal+('2026'!Salim-'2026'!Resal)*(1-EXP(('2026'!Tnet-t)/('2026'!Tau_j))),Resal+(Salim-Resal)*(1-EXP((Tnet-t)/(Tau_j))))*Salcycl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2.7790134225275662E-4</v>
      </c>
      <c r="Q256" s="301">
        <f t="shared" si="80"/>
        <v>0.5</v>
      </c>
      <c r="R256" s="173">
        <f t="shared" si="81"/>
        <v>0.97665353183336778</v>
      </c>
      <c r="S256" s="802">
        <f t="shared" si="82"/>
        <v>2</v>
      </c>
      <c r="T256" s="172">
        <f t="shared" si="83"/>
        <v>8</v>
      </c>
      <c r="U256" s="247">
        <f t="shared" si="84"/>
        <v>2.9766535318333678</v>
      </c>
      <c r="V256" s="378">
        <f t="shared" si="85"/>
        <v>50.340290499903134</v>
      </c>
      <c r="W256" s="397">
        <f t="shared" si="86"/>
        <v>48.931202970510832</v>
      </c>
      <c r="X256" s="153">
        <f t="shared" si="87"/>
        <v>46629</v>
      </c>
      <c r="Y256" s="380">
        <f t="shared" si="88"/>
        <v>47.128840758656224</v>
      </c>
      <c r="Z256" s="380">
        <f t="shared" si="89"/>
        <v>48.507983953796121</v>
      </c>
      <c r="AA256" s="381">
        <f t="shared" si="90"/>
        <v>50.812429690701741</v>
      </c>
      <c r="AB256" s="193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4.5352008375370366E-2</v>
      </c>
      <c r="AD256" s="227">
        <f>(INDEX(Models!$BJ256:$BT256,,AH256)*(1-AF256)+INDEX(Models!$BJ256:$BT256,,AH256+1)*AF256-ERP_i)*AE256*Ramure*Pc/MaxiM</f>
        <v>2.7790134225275662E-4</v>
      </c>
      <c r="AE256" s="301">
        <f t="shared" si="92"/>
        <v>0.5</v>
      </c>
      <c r="AF256" s="173">
        <f t="shared" si="93"/>
        <v>0.97665353183336778</v>
      </c>
      <c r="AG256" s="802">
        <f t="shared" si="99"/>
        <v>2</v>
      </c>
      <c r="AH256" s="172">
        <f t="shared" si="94"/>
        <v>8</v>
      </c>
      <c r="AI256" s="221">
        <f t="shared" si="95"/>
        <v>2.9766535318333678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46630</v>
      </c>
      <c r="B257" s="406">
        <f>'2026'!Wh/'2026'!Env_an*'2027'!Env_an</f>
        <v>24.772919535775685</v>
      </c>
      <c r="C257" s="832"/>
      <c r="D257" s="388">
        <f t="shared" si="77"/>
        <v>25.498204799035737</v>
      </c>
      <c r="E257" s="380">
        <f t="shared" si="100"/>
        <v>25.727455059879766</v>
      </c>
      <c r="F257" s="380">
        <f t="shared" si="78"/>
        <v>25.729541140719633</v>
      </c>
      <c r="G257" s="110">
        <f t="shared" si="101"/>
        <v>0.49468346974489397</v>
      </c>
      <c r="H257" s="409" t="b">
        <f>Wh_hp&gt;='2026'!Maxi_hp</f>
        <v>0</v>
      </c>
      <c r="I257" s="385">
        <f>IF(H257,Wh_hp,'2026'!Maxi_hp)</f>
        <v>25.734466772860397</v>
      </c>
      <c r="J257" s="85">
        <f>IF(H257,An,'2026'!An_max)</f>
        <v>2022</v>
      </c>
      <c r="K257" s="193">
        <f t="shared" si="79"/>
        <v>46630</v>
      </c>
      <c r="L257" s="143">
        <f>IF(t&lt;Tvie,1-EXP((T0-t)*PertePVj)+'2026'!Pspv,1-EXP((T0-t)*PertePVj)+Pspv)</f>
        <v>2.8444561841760696E-2</v>
      </c>
      <c r="M257" s="836"/>
      <c r="N257" s="836"/>
      <c r="O257" s="48">
        <f>IF(t&lt;Tnet,'2026'!Resal+('2026'!Salim-'2026'!Resal)*(1-EXP(('2026'!Tnet-t)/('2026'!Tau_j))),Resal+(Salim-Resal)*(1-EXP((Tnet-t)/(Tau_j))))*Salcycl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2.9136406839858563E-4</v>
      </c>
      <c r="Q257" s="301">
        <f t="shared" si="80"/>
        <v>0.5</v>
      </c>
      <c r="R257" s="173">
        <f t="shared" si="81"/>
        <v>0.97732802902306792</v>
      </c>
      <c r="S257" s="802">
        <f t="shared" si="82"/>
        <v>2</v>
      </c>
      <c r="T257" s="172">
        <f t="shared" si="83"/>
        <v>8</v>
      </c>
      <c r="U257" s="247">
        <f t="shared" si="84"/>
        <v>2.9773280290230679</v>
      </c>
      <c r="V257" s="378">
        <f t="shared" si="85"/>
        <v>50.067793266070865</v>
      </c>
      <c r="W257" s="397">
        <f t="shared" si="86"/>
        <v>24.772919535775685</v>
      </c>
      <c r="X257" s="153">
        <f t="shared" si="87"/>
        <v>46630</v>
      </c>
      <c r="Y257" s="380">
        <f t="shared" si="88"/>
        <v>23.861280160150088</v>
      </c>
      <c r="Z257" s="380">
        <f t="shared" si="89"/>
        <v>24.559875044684532</v>
      </c>
      <c r="AA257" s="381">
        <f t="shared" si="90"/>
        <v>25.727455059879766</v>
      </c>
      <c r="AB257" s="193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4.5382647155644884E-2</v>
      </c>
      <c r="AD257" s="227">
        <f>(INDEX(Models!$BJ257:$BT257,,AH257)*(1-AF257)+INDEX(Models!$BJ257:$BT257,,AH257+1)*AF257-ERP_i)*AE257*Ramure*Pc/MaxiM</f>
        <v>2.9136406839858563E-4</v>
      </c>
      <c r="AE257" s="301">
        <f t="shared" si="92"/>
        <v>0.5</v>
      </c>
      <c r="AF257" s="173">
        <f t="shared" si="93"/>
        <v>0.97732802902306792</v>
      </c>
      <c r="AG257" s="802">
        <f t="shared" si="99"/>
        <v>2</v>
      </c>
      <c r="AH257" s="172">
        <f t="shared" si="94"/>
        <v>8</v>
      </c>
      <c r="AI257" s="221">
        <f t="shared" si="95"/>
        <v>2.9773280290230679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46631</v>
      </c>
      <c r="B258" s="406">
        <f>'2026'!Wh/'2026'!Env_an*'2027'!Env_an</f>
        <v>42.596896709559019</v>
      </c>
      <c r="C258" s="832"/>
      <c r="D258" s="388">
        <f t="shared" si="77"/>
        <v>43.844620862848032</v>
      </c>
      <c r="E258" s="380">
        <f t="shared" si="100"/>
        <v>44.24183324784191</v>
      </c>
      <c r="F258" s="380">
        <f t="shared" si="78"/>
        <v>44.252482264659385</v>
      </c>
      <c r="G258" s="110">
        <f t="shared" si="101"/>
        <v>0.85545831946602335</v>
      </c>
      <c r="H258" s="409" t="b">
        <f>Wh_hp&gt;='2026'!Maxi_hp</f>
        <v>0</v>
      </c>
      <c r="I258" s="385">
        <f>IF(H258,Wh_hp,'2026'!Maxi_hp)</f>
        <v>44.255000274929195</v>
      </c>
      <c r="J258" s="85">
        <f>IF(H258,An,'2026'!An_max)</f>
        <v>2022</v>
      </c>
      <c r="K258" s="193">
        <f t="shared" si="79"/>
        <v>46631</v>
      </c>
      <c r="L258" s="143">
        <f>IF(t&lt;Tvie,1-EXP((T0-t)*PertePVj)+'2026'!Pspv,1-EXP((T0-t)*PertePVj)+Pspv)</f>
        <v>2.8457861619833991E-2</v>
      </c>
      <c r="M258" s="836"/>
      <c r="N258" s="836"/>
      <c r="O258" s="48">
        <f>IF(t&lt;Tnet,'2026'!Resal+('2026'!Salim-'2026'!Resal)*(1-EXP(('2026'!Tnet-t)/('2026'!Tau_j))),Resal+(Salim-Resal)*(1-EXP((Tnet-t)/(Tau_j))))*Salcycl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3.0323307186077365E-4</v>
      </c>
      <c r="Q258" s="301">
        <f t="shared" si="80"/>
        <v>0.5</v>
      </c>
      <c r="R258" s="173">
        <f t="shared" si="81"/>
        <v>0.97797714100568944</v>
      </c>
      <c r="S258" s="802">
        <f t="shared" si="82"/>
        <v>2</v>
      </c>
      <c r="T258" s="172">
        <f t="shared" si="83"/>
        <v>8</v>
      </c>
      <c r="U258" s="247">
        <f t="shared" si="84"/>
        <v>2.9779771410056894</v>
      </c>
      <c r="V258" s="378">
        <f t="shared" si="85"/>
        <v>49.791122400380793</v>
      </c>
      <c r="W258" s="397">
        <f t="shared" si="86"/>
        <v>42.596896709559019</v>
      </c>
      <c r="X258" s="153">
        <f t="shared" si="87"/>
        <v>46631</v>
      </c>
      <c r="Y258" s="380">
        <f t="shared" si="88"/>
        <v>41.030825650211149</v>
      </c>
      <c r="Z258" s="380">
        <f t="shared" si="89"/>
        <v>42.232677337723175</v>
      </c>
      <c r="AA258" s="381">
        <f t="shared" si="90"/>
        <v>44.24183324784191</v>
      </c>
      <c r="AB258" s="193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4.5413034737133949E-2</v>
      </c>
      <c r="AD258" s="227">
        <f>(INDEX(Models!$BJ258:$BT258,,AH258)*(1-AF258)+INDEX(Models!$BJ258:$BT258,,AH258+1)*AF258-ERP_i)*AE258*Ramure*Pc/MaxiM</f>
        <v>3.0323307186077365E-4</v>
      </c>
      <c r="AE258" s="301">
        <f t="shared" si="92"/>
        <v>0.5</v>
      </c>
      <c r="AF258" s="173">
        <f t="shared" si="93"/>
        <v>0.97797714100568944</v>
      </c>
      <c r="AG258" s="802">
        <f t="shared" si="99"/>
        <v>2</v>
      </c>
      <c r="AH258" s="172">
        <f t="shared" si="94"/>
        <v>8</v>
      </c>
      <c r="AI258" s="221">
        <f t="shared" si="95"/>
        <v>2.9779771410056894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46632</v>
      </c>
      <c r="B259" s="406">
        <f>'2026'!Wh/'2026'!Env_an*'2027'!Env_an</f>
        <v>40.264405398670526</v>
      </c>
      <c r="C259" s="832"/>
      <c r="D259" s="388">
        <f t="shared" si="77"/>
        <v>41.444374877291793</v>
      </c>
      <c r="E259" s="380">
        <f t="shared" si="100"/>
        <v>41.82268495131737</v>
      </c>
      <c r="F259" s="380">
        <f t="shared" si="78"/>
        <v>41.832300528106906</v>
      </c>
      <c r="G259" s="110">
        <f t="shared" si="101"/>
        <v>0.81319406308779307</v>
      </c>
      <c r="H259" s="409" t="b">
        <f>Wh_hp&gt;='2026'!Maxi_hp</f>
        <v>0</v>
      </c>
      <c r="I259" s="385">
        <f>IF(H259,Wh_hp,'2026'!Maxi_hp)</f>
        <v>41.8354747145045</v>
      </c>
      <c r="J259" s="85">
        <f>IF(H259,An,'2026'!An_max)</f>
        <v>2022</v>
      </c>
      <c r="K259" s="193">
        <f t="shared" si="79"/>
        <v>46632</v>
      </c>
      <c r="L259" s="143">
        <f>IF(t&lt;Tvie,1-EXP((T0-t)*PertePVj)+'2026'!Pspv,1-EXP((T0-t)*PertePVj)+Pspv)</f>
        <v>2.8471161215844476E-2</v>
      </c>
      <c r="M259" s="836"/>
      <c r="N259" s="836"/>
      <c r="O259" s="48">
        <f>IF(t&lt;Tnet,'2026'!Resal+('2026'!Salim-'2026'!Resal)*(1-EXP(('2026'!Tnet-t)/('2026'!Tau_j))),Resal+(Salim-Resal)*(1-EXP((Tnet-t)/(Tau_j))))*Salcycl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3.1348909832094483E-4</v>
      </c>
      <c r="Q259" s="301">
        <f t="shared" si="80"/>
        <v>0.5</v>
      </c>
      <c r="R259" s="173">
        <f t="shared" si="81"/>
        <v>0.9786017566198959</v>
      </c>
      <c r="S259" s="802">
        <f t="shared" si="82"/>
        <v>2</v>
      </c>
      <c r="T259" s="172">
        <f t="shared" si="83"/>
        <v>8</v>
      </c>
      <c r="U259" s="247">
        <f t="shared" si="84"/>
        <v>2.9786017566198959</v>
      </c>
      <c r="V259" s="378">
        <f t="shared" si="85"/>
        <v>49.509753182076146</v>
      </c>
      <c r="W259" s="397">
        <f t="shared" si="86"/>
        <v>40.264405398670526</v>
      </c>
      <c r="X259" s="153">
        <f t="shared" si="87"/>
        <v>46632</v>
      </c>
      <c r="Y259" s="380">
        <f t="shared" si="88"/>
        <v>38.785500488258009</v>
      </c>
      <c r="Z259" s="380">
        <f t="shared" si="89"/>
        <v>39.922129884273026</v>
      </c>
      <c r="AA259" s="381">
        <f t="shared" si="90"/>
        <v>41.82268495131737</v>
      </c>
      <c r="AB259" s="193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4.5443162466891757E-2</v>
      </c>
      <c r="AD259" s="227">
        <f>(INDEX(Models!$BJ259:$BT259,,AH259)*(1-AF259)+INDEX(Models!$BJ259:$BT259,,AH259+1)*AF259-ERP_i)*AE259*Ramure*Pc/MaxiM</f>
        <v>3.1348909832094483E-4</v>
      </c>
      <c r="AE259" s="301">
        <f t="shared" si="92"/>
        <v>0.5</v>
      </c>
      <c r="AF259" s="173">
        <f t="shared" si="93"/>
        <v>0.9786017566198959</v>
      </c>
      <c r="AG259" s="802">
        <f t="shared" si="99"/>
        <v>2</v>
      </c>
      <c r="AH259" s="172">
        <f t="shared" si="94"/>
        <v>8</v>
      </c>
      <c r="AI259" s="221">
        <f t="shared" si="95"/>
        <v>2.9786017566198959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46633</v>
      </c>
      <c r="B260" s="406">
        <f>'2026'!Wh/'2026'!Env_an*'2027'!Env_an</f>
        <v>37.041559778727496</v>
      </c>
      <c r="C260" s="832"/>
      <c r="D260" s="388">
        <f t="shared" si="77"/>
        <v>38.127604014177741</v>
      </c>
      <c r="E260" s="380">
        <f t="shared" si="100"/>
        <v>38.478249027297423</v>
      </c>
      <c r="F260" s="380">
        <f t="shared" si="78"/>
        <v>38.486263147207524</v>
      </c>
      <c r="G260" s="110">
        <f t="shared" si="101"/>
        <v>0.75243726436662883</v>
      </c>
      <c r="H260" s="409" t="b">
        <f>Wh_hp&gt;='2026'!Maxi_hp</f>
        <v>0</v>
      </c>
      <c r="I260" s="385">
        <f>IF(H260,Wh_hp,'2026'!Maxi_hp)</f>
        <v>38.490229957550994</v>
      </c>
      <c r="J260" s="85">
        <f>IF(H260,An,'2026'!An_max)</f>
        <v>2022</v>
      </c>
      <c r="K260" s="193">
        <f t="shared" si="79"/>
        <v>46633</v>
      </c>
      <c r="L260" s="143">
        <f>IF(t&lt;Tvie,1-EXP((T0-t)*PertePVj)+'2026'!Pspv,1-EXP((T0-t)*PertePVj)+Pspv)</f>
        <v>2.8484460629794595E-2</v>
      </c>
      <c r="M260" s="836"/>
      <c r="N260" s="836"/>
      <c r="O260" s="48">
        <f>IF(t&lt;Tnet,'2026'!Resal+('2026'!Salim-'2026'!Resal)*(1-EXP(('2026'!Tnet-t)/('2026'!Tau_j))),Resal+(Salim-Resal)*(1-EXP((Tnet-t)/(Tau_j))))*Salcycl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3.2211243720716635E-4</v>
      </c>
      <c r="Q260" s="301">
        <f t="shared" si="80"/>
        <v>0.5</v>
      </c>
      <c r="R260" s="173">
        <f t="shared" si="81"/>
        <v>0.97920273869852137</v>
      </c>
      <c r="S260" s="802">
        <f t="shared" si="82"/>
        <v>2</v>
      </c>
      <c r="T260" s="172">
        <f t="shared" si="83"/>
        <v>8</v>
      </c>
      <c r="U260" s="247">
        <f t="shared" si="84"/>
        <v>2.9792027386985214</v>
      </c>
      <c r="V260" s="378">
        <f t="shared" si="85"/>
        <v>49.22316104168911</v>
      </c>
      <c r="W260" s="397">
        <f t="shared" si="86"/>
        <v>37.041559778727496</v>
      </c>
      <c r="X260" s="153">
        <f t="shared" si="87"/>
        <v>46633</v>
      </c>
      <c r="Y260" s="380">
        <f t="shared" si="88"/>
        <v>35.682334512577405</v>
      </c>
      <c r="Z260" s="380">
        <f t="shared" si="89"/>
        <v>36.72852678785646</v>
      </c>
      <c r="AA260" s="381">
        <f t="shared" si="90"/>
        <v>38.478249027297423</v>
      </c>
      <c r="AB260" s="193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4.5473021347714214E-2</v>
      </c>
      <c r="AD260" s="227">
        <f>(INDEX(Models!$BJ260:$BT260,,AH260)*(1-AF260)+INDEX(Models!$BJ260:$BT260,,AH260+1)*AF260-ERP_i)*AE260*Ramure*Pc/MaxiM</f>
        <v>3.2211243720716635E-4</v>
      </c>
      <c r="AE260" s="301">
        <f t="shared" si="92"/>
        <v>0.5</v>
      </c>
      <c r="AF260" s="173">
        <f t="shared" si="93"/>
        <v>0.97920273869852137</v>
      </c>
      <c r="AG260" s="802">
        <f t="shared" si="99"/>
        <v>2</v>
      </c>
      <c r="AH260" s="172">
        <f t="shared" si="94"/>
        <v>8</v>
      </c>
      <c r="AI260" s="221">
        <f t="shared" si="95"/>
        <v>2.9792027386985214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46634</v>
      </c>
      <c r="B261" s="406">
        <f>'2026'!Wh/'2026'!Env_an*'2027'!Env_an</f>
        <v>48.569080615973292</v>
      </c>
      <c r="C261" s="832"/>
      <c r="D261" s="388">
        <f t="shared" si="77"/>
        <v>49.9937916860166</v>
      </c>
      <c r="E261" s="380">
        <f t="shared" si="100"/>
        <v>50.456983002743847</v>
      </c>
      <c r="F261" s="380">
        <f t="shared" si="78"/>
        <v>50.473415877631695</v>
      </c>
      <c r="G261" s="110">
        <f t="shared" si="101"/>
        <v>0.99256310465984643</v>
      </c>
      <c r="H261" s="409" t="b">
        <f>Wh_hp&gt;='2026'!Maxi_hp</f>
        <v>0</v>
      </c>
      <c r="I261" s="385">
        <f>IF(H261,Wh_hp,'2026'!Maxi_hp)</f>
        <v>50.473575037917115</v>
      </c>
      <c r="J261" s="85">
        <f>IF(H261,An,'2026'!An_max)</f>
        <v>2022</v>
      </c>
      <c r="K261" s="193">
        <f t="shared" si="79"/>
        <v>46634</v>
      </c>
      <c r="L261" s="143">
        <f>IF(t&lt;Tvie,1-EXP((T0-t)*PertePVj)+'2026'!Pspv,1-EXP((T0-t)*PertePVj)+Pspv)</f>
        <v>2.8497759861687011E-2</v>
      </c>
      <c r="M261" s="836"/>
      <c r="N261" s="836"/>
      <c r="O261" s="48">
        <f>IF(t&lt;Tnet,'2026'!Resal+('2026'!Salim-'2026'!Resal)*(1-EXP(('2026'!Tnet-t)/('2026'!Tau_j))),Resal+(Salim-Resal)*(1-EXP((Tnet-t)/(Tau_j))))*Salcycl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3.2906929765637278E-4</v>
      </c>
      <c r="Q261" s="301">
        <f t="shared" si="80"/>
        <v>0.5</v>
      </c>
      <c r="R261" s="173">
        <f t="shared" si="81"/>
        <v>0.97978092442428588</v>
      </c>
      <c r="S261" s="802">
        <f t="shared" si="82"/>
        <v>2</v>
      </c>
      <c r="T261" s="172">
        <f t="shared" si="83"/>
        <v>8</v>
      </c>
      <c r="U261" s="247">
        <f t="shared" si="84"/>
        <v>2.9797809244242859</v>
      </c>
      <c r="V261" s="378">
        <f t="shared" si="85"/>
        <v>48.932819092962482</v>
      </c>
      <c r="W261" s="397">
        <f t="shared" si="86"/>
        <v>48.569080615973292</v>
      </c>
      <c r="X261" s="153">
        <f t="shared" si="87"/>
        <v>46634</v>
      </c>
      <c r="Y261" s="380">
        <f t="shared" si="88"/>
        <v>46.788576692592898</v>
      </c>
      <c r="Z261" s="380">
        <f t="shared" si="89"/>
        <v>48.16105898626811</v>
      </c>
      <c r="AA261" s="381">
        <f t="shared" si="90"/>
        <v>50.456983002743847</v>
      </c>
      <c r="AB261" s="193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4.5502602015480995E-2</v>
      </c>
      <c r="AD261" s="227">
        <f>(INDEX(Models!$BJ261:$BT261,,AH261)*(1-AF261)+INDEX(Models!$BJ261:$BT261,,AH261+1)*AF261-ERP_i)*AE261*Ramure*Pc/MaxiM</f>
        <v>3.2906929765637278E-4</v>
      </c>
      <c r="AE261" s="301">
        <f t="shared" si="92"/>
        <v>0.5</v>
      </c>
      <c r="AF261" s="173">
        <f t="shared" si="93"/>
        <v>0.97978092442428588</v>
      </c>
      <c r="AG261" s="802">
        <f t="shared" si="99"/>
        <v>2</v>
      </c>
      <c r="AH261" s="172">
        <f t="shared" si="94"/>
        <v>8</v>
      </c>
      <c r="AI261" s="221">
        <f t="shared" si="95"/>
        <v>2.9797809244242859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46635</v>
      </c>
      <c r="B262" s="406">
        <f>'2026'!Wh/'2026'!Env_an*'2027'!Env_an</f>
        <v>40.641825269983322</v>
      </c>
      <c r="C262" s="832"/>
      <c r="D262" s="388">
        <f t="shared" si="77"/>
        <v>41.834573252524514</v>
      </c>
      <c r="E262" s="380">
        <f t="shared" si="100"/>
        <v>42.22502425056831</v>
      </c>
      <c r="F262" s="380">
        <f t="shared" si="78"/>
        <v>42.235796734287042</v>
      </c>
      <c r="G262" s="110">
        <f t="shared" si="101"/>
        <v>0.83549175014267918</v>
      </c>
      <c r="H262" s="409" t="b">
        <f>Wh_hp&gt;='2026'!Maxi_hp</f>
        <v>0</v>
      </c>
      <c r="I262" s="385">
        <f>IF(H262,Wh_hp,'2026'!Maxi_hp)</f>
        <v>42.238772053964766</v>
      </c>
      <c r="J262" s="85">
        <f>IF(H262,An,'2026'!An_max)</f>
        <v>2022</v>
      </c>
      <c r="K262" s="193">
        <f t="shared" si="79"/>
        <v>46635</v>
      </c>
      <c r="L262" s="143">
        <f>IF(t&lt;Tvie,1-EXP((T0-t)*PertePVj)+'2026'!Pspv,1-EXP((T0-t)*PertePVj)+Pspv)</f>
        <v>2.8511058911524056E-2</v>
      </c>
      <c r="M262" s="836"/>
      <c r="N262" s="836"/>
      <c r="O262" s="48">
        <f>IF(t&lt;Tnet,'2026'!Resal+('2026'!Salim-'2026'!Resal)*(1-EXP(('2026'!Tnet-t)/('2026'!Tau_j))),Resal+(Salim-Resal)*(1-EXP((Tnet-t)/(Tau_j))))*Salcycl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3.3337062574593504E-4</v>
      </c>
      <c r="Q262" s="301">
        <f t="shared" si="80"/>
        <v>0.5</v>
      </c>
      <c r="R262" s="173">
        <f t="shared" si="81"/>
        <v>0.98033712571705767</v>
      </c>
      <c r="S262" s="802">
        <f t="shared" si="82"/>
        <v>2</v>
      </c>
      <c r="T262" s="172">
        <f t="shared" si="83"/>
        <v>8</v>
      </c>
      <c r="U262" s="247">
        <f t="shared" si="84"/>
        <v>2.9803371257170577</v>
      </c>
      <c r="V262" s="378">
        <f t="shared" si="85"/>
        <v>48.640386445952707</v>
      </c>
      <c r="W262" s="397">
        <f t="shared" si="86"/>
        <v>40.641825269983322</v>
      </c>
      <c r="X262" s="153">
        <f t="shared" si="87"/>
        <v>46635</v>
      </c>
      <c r="Y262" s="380">
        <f t="shared" si="88"/>
        <v>39.15337368246017</v>
      </c>
      <c r="Z262" s="380">
        <f t="shared" si="89"/>
        <v>40.302438891987734</v>
      </c>
      <c r="AA262" s="381">
        <f t="shared" si="90"/>
        <v>42.22502425056831</v>
      </c>
      <c r="AB262" s="193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4.5531894716548352E-2</v>
      </c>
      <c r="AD262" s="227">
        <f>(INDEX(Models!$BJ262:$BT262,,AH262)*(1-AF262)+INDEX(Models!$BJ262:$BT262,,AH262+1)*AF262-ERP_i)*AE262*Ramure*Pc/MaxiM</f>
        <v>3.3337062574593504E-4</v>
      </c>
      <c r="AE262" s="301">
        <f t="shared" si="92"/>
        <v>0.5</v>
      </c>
      <c r="AF262" s="173">
        <f t="shared" si="93"/>
        <v>0.98033712571705767</v>
      </c>
      <c r="AG262" s="802">
        <f t="shared" si="99"/>
        <v>2</v>
      </c>
      <c r="AH262" s="172">
        <f t="shared" si="94"/>
        <v>8</v>
      </c>
      <c r="AI262" s="221">
        <f t="shared" si="95"/>
        <v>2.9803371257170577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46636</v>
      </c>
      <c r="B263" s="406">
        <f>'2026'!Wh/'2026'!Env_an*'2027'!Env_an</f>
        <v>44.298832090495488</v>
      </c>
      <c r="C263" s="832"/>
      <c r="D263" s="388">
        <f t="shared" si="77"/>
        <v>45.599529381130949</v>
      </c>
      <c r="E263" s="380">
        <f t="shared" si="100"/>
        <v>46.028225371040072</v>
      </c>
      <c r="F263" s="380">
        <f t="shared" si="78"/>
        <v>46.041790887485639</v>
      </c>
      <c r="G263" s="110">
        <f t="shared" si="101"/>
        <v>0.91625901947677235</v>
      </c>
      <c r="H263" s="409" t="b">
        <f>Wh_hp&gt;='2026'!Maxi_hp</f>
        <v>0</v>
      </c>
      <c r="I263" s="385">
        <f>IF(H263,Wh_hp,'2026'!Maxi_hp)</f>
        <v>46.043442826632116</v>
      </c>
      <c r="J263" s="85">
        <f>IF(H263,An,'2026'!An_max)</f>
        <v>2022</v>
      </c>
      <c r="K263" s="193">
        <f t="shared" si="79"/>
        <v>46636</v>
      </c>
      <c r="L263" s="143">
        <f>IF(t&lt;Tvie,1-EXP((T0-t)*PertePVj)+'2026'!Pspv,1-EXP((T0-t)*PertePVj)+Pspv)</f>
        <v>2.8524357779308396E-2</v>
      </c>
      <c r="M263" s="836"/>
      <c r="N263" s="836"/>
      <c r="O263" s="48">
        <f>IF(t&lt;Tnet,'2026'!Resal+('2026'!Salim-'2026'!Resal)*(1-EXP(('2026'!Tnet-t)/('2026'!Tau_j))),Resal+(Salim-Resal)*(1-EXP((Tnet-t)/(Tau_j))))*Salcycl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3.3465169445211527E-4</v>
      </c>
      <c r="Q263" s="301">
        <f t="shared" si="80"/>
        <v>0.5</v>
      </c>
      <c r="R263" s="173">
        <f t="shared" si="81"/>
        <v>0.98087212964868931</v>
      </c>
      <c r="S263" s="802">
        <f t="shared" si="82"/>
        <v>2</v>
      </c>
      <c r="T263" s="172">
        <f t="shared" si="83"/>
        <v>8</v>
      </c>
      <c r="U263" s="247">
        <f t="shared" si="84"/>
        <v>2.9808721296486893</v>
      </c>
      <c r="V263" s="378">
        <f t="shared" si="85"/>
        <v>48.345563784079005</v>
      </c>
      <c r="W263" s="397">
        <f t="shared" si="86"/>
        <v>44.298832090495488</v>
      </c>
      <c r="X263" s="153">
        <f t="shared" si="87"/>
        <v>46636</v>
      </c>
      <c r="Y263" s="380">
        <f t="shared" si="88"/>
        <v>42.678030978916631</v>
      </c>
      <c r="Z263" s="380">
        <f t="shared" si="89"/>
        <v>43.931138490882923</v>
      </c>
      <c r="AA263" s="381">
        <f t="shared" si="90"/>
        <v>46.028225371040072</v>
      </c>
      <c r="AB263" s="193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4.5560889285916069E-2</v>
      </c>
      <c r="AD263" s="227">
        <f>(INDEX(Models!$BJ263:$BT263,,AH263)*(1-AF263)+INDEX(Models!$BJ263:$BT263,,AH263+1)*AF263-ERP_i)*AE263*Ramure*Pc/MaxiM</f>
        <v>3.3465169445211527E-4</v>
      </c>
      <c r="AE263" s="301">
        <f t="shared" si="92"/>
        <v>0.5</v>
      </c>
      <c r="AF263" s="173">
        <f t="shared" si="93"/>
        <v>0.98087212964868931</v>
      </c>
      <c r="AG263" s="802">
        <f t="shared" si="99"/>
        <v>2</v>
      </c>
      <c r="AH263" s="172">
        <f t="shared" si="94"/>
        <v>8</v>
      </c>
      <c r="AI263" s="221">
        <f t="shared" si="95"/>
        <v>2.9808721296486893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46637</v>
      </c>
      <c r="B264" s="406">
        <f>'2026'!Wh/'2026'!Env_an*'2027'!Env_an</f>
        <v>36.323746637357786</v>
      </c>
      <c r="C264" s="832"/>
      <c r="D264" s="388">
        <f t="shared" si="77"/>
        <v>37.390792220708128</v>
      </c>
      <c r="E264" s="380">
        <f t="shared" si="100"/>
        <v>37.744857149533317</v>
      </c>
      <c r="F264" s="380">
        <f t="shared" si="78"/>
        <v>37.753043273531752</v>
      </c>
      <c r="G264" s="110">
        <f t="shared" si="101"/>
        <v>0.75590042623427356</v>
      </c>
      <c r="H264" s="409" t="b">
        <f>Wh_hp&gt;='2026'!Maxi_hp</f>
        <v>0</v>
      </c>
      <c r="I264" s="385">
        <f>IF(H264,Wh_hp,'2026'!Maxi_hp)</f>
        <v>37.756957549064502</v>
      </c>
      <c r="J264" s="85">
        <f>IF(H264,An,'2026'!An_max)</f>
        <v>2022</v>
      </c>
      <c r="K264" s="193">
        <f t="shared" si="79"/>
        <v>46637</v>
      </c>
      <c r="L264" s="143">
        <f>IF(t&lt;Tvie,1-EXP((T0-t)*PertePVj)+'2026'!Pspv,1-EXP((T0-t)*PertePVj)+Pspv)</f>
        <v>2.8537656465042249E-2</v>
      </c>
      <c r="M264" s="836"/>
      <c r="N264" s="836"/>
      <c r="O264" s="48">
        <f>IF(t&lt;Tnet,'2026'!Resal+('2026'!Salim-'2026'!Resal)*(1-EXP(('2026'!Tnet-t)/('2026'!Tau_j))),Resal+(Salim-Resal)*(1-EXP((Tnet-t)/(Tau_j))))*Salcycl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3.3286706125481679E-4</v>
      </c>
      <c r="Q264" s="301">
        <f t="shared" si="80"/>
        <v>0.5</v>
      </c>
      <c r="R264" s="173">
        <f t="shared" si="81"/>
        <v>0.9813866988817268</v>
      </c>
      <c r="S264" s="802">
        <f t="shared" si="82"/>
        <v>2</v>
      </c>
      <c r="T264" s="172">
        <f t="shared" si="83"/>
        <v>8</v>
      </c>
      <c r="U264" s="247">
        <f t="shared" si="84"/>
        <v>2.9813866988817268</v>
      </c>
      <c r="V264" s="378">
        <f t="shared" si="85"/>
        <v>48.048036075359562</v>
      </c>
      <c r="W264" s="397">
        <f t="shared" si="86"/>
        <v>36.323746637357786</v>
      </c>
      <c r="X264" s="153">
        <f t="shared" si="87"/>
        <v>46637</v>
      </c>
      <c r="Y264" s="380">
        <f t="shared" si="88"/>
        <v>34.99604218241474</v>
      </c>
      <c r="Z264" s="380">
        <f t="shared" si="89"/>
        <v>36.024085148860344</v>
      </c>
      <c r="AA264" s="381">
        <f t="shared" si="90"/>
        <v>37.744857149533317</v>
      </c>
      <c r="AB264" s="193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4.5589575126905785E-2</v>
      </c>
      <c r="AD264" s="227">
        <f>(INDEX(Models!$BJ264:$BT264,,AH264)*(1-AF264)+INDEX(Models!$BJ264:$BT264,,AH264+1)*AF264-ERP_i)*AE264*Ramure*Pc/MaxiM</f>
        <v>3.3286706125481679E-4</v>
      </c>
      <c r="AE264" s="301">
        <f t="shared" si="92"/>
        <v>0.5</v>
      </c>
      <c r="AF264" s="173">
        <f t="shared" si="93"/>
        <v>0.9813866988817268</v>
      </c>
      <c r="AG264" s="802">
        <f t="shared" si="99"/>
        <v>2</v>
      </c>
      <c r="AH264" s="172">
        <f t="shared" si="94"/>
        <v>8</v>
      </c>
      <c r="AI264" s="221">
        <f t="shared" si="95"/>
        <v>2.9813866988817268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46638</v>
      </c>
      <c r="B265" s="406">
        <f>'2026'!Wh/'2026'!Env_an*'2027'!Env_an</f>
        <v>40.399586666921373</v>
      </c>
      <c r="C265" s="832"/>
      <c r="D265" s="388">
        <f t="shared" si="77"/>
        <v>41.58693332764652</v>
      </c>
      <c r="E265" s="380">
        <f t="shared" si="100"/>
        <v>41.983554539991431</v>
      </c>
      <c r="F265" s="380">
        <f t="shared" si="78"/>
        <v>41.994299525489438</v>
      </c>
      <c r="G265" s="110">
        <f t="shared" si="101"/>
        <v>0.84604812561710685</v>
      </c>
      <c r="H265" s="409" t="b">
        <f>Wh_hp&gt;='2026'!Maxi_hp</f>
        <v>0</v>
      </c>
      <c r="I265" s="385">
        <f>IF(H265,Wh_hp,'2026'!Maxi_hp)</f>
        <v>41.996995184866542</v>
      </c>
      <c r="J265" s="85">
        <f>IF(H265,An,'2026'!An_max)</f>
        <v>2022</v>
      </c>
      <c r="K265" s="193">
        <f t="shared" si="79"/>
        <v>46638</v>
      </c>
      <c r="L265" s="143">
        <f>IF(t&lt;Tvie,1-EXP((T0-t)*PertePVj)+'2026'!Pspv,1-EXP((T0-t)*PertePVj)+Pspv)</f>
        <v>2.8550954968728393E-2</v>
      </c>
      <c r="M265" s="836"/>
      <c r="N265" s="836"/>
      <c r="O265" s="48">
        <f>IF(t&lt;Tnet,'2026'!Resal+('2026'!Salim-'2026'!Resal)*(1-EXP(('2026'!Tnet-t)/('2026'!Tau_j))),Resal+(Salim-Resal)*(1-EXP((Tnet-t)/(Tau_j))))*Salcycl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3.2796997060849928E-4</v>
      </c>
      <c r="Q265" s="301">
        <f t="shared" si="80"/>
        <v>0.5</v>
      </c>
      <c r="R265" s="173">
        <f t="shared" si="81"/>
        <v>0.98188157212857252</v>
      </c>
      <c r="S265" s="802">
        <f t="shared" si="82"/>
        <v>2</v>
      </c>
      <c r="T265" s="172">
        <f t="shared" si="83"/>
        <v>8</v>
      </c>
      <c r="U265" s="247">
        <f t="shared" si="84"/>
        <v>2.9818815721285725</v>
      </c>
      <c r="V265" s="378">
        <f t="shared" si="85"/>
        <v>47.74748834844074</v>
      </c>
      <c r="W265" s="397">
        <f t="shared" si="86"/>
        <v>40.399586666921373</v>
      </c>
      <c r="X265" s="153">
        <f t="shared" si="87"/>
        <v>46638</v>
      </c>
      <c r="Y265" s="380">
        <f t="shared" si="88"/>
        <v>38.924361526615385</v>
      </c>
      <c r="Z265" s="380">
        <f t="shared" si="89"/>
        <v>40.068351217909104</v>
      </c>
      <c r="AA265" s="381">
        <f t="shared" si="90"/>
        <v>41.983554539991431</v>
      </c>
      <c r="AB265" s="193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4.5617941193092669E-2</v>
      </c>
      <c r="AD265" s="227">
        <f>(INDEX(Models!$BJ265:$BT265,,AH265)*(1-AF265)+INDEX(Models!$BJ265:$BT265,,AH265+1)*AF265-ERP_i)*AE265*Ramure*Pc/MaxiM</f>
        <v>3.2796997060849928E-4</v>
      </c>
      <c r="AE265" s="301">
        <f t="shared" si="92"/>
        <v>0.5</v>
      </c>
      <c r="AF265" s="173">
        <f t="shared" si="93"/>
        <v>0.98188157212857252</v>
      </c>
      <c r="AG265" s="802">
        <f t="shared" si="99"/>
        <v>2</v>
      </c>
      <c r="AH265" s="172">
        <f t="shared" si="94"/>
        <v>8</v>
      </c>
      <c r="AI265" s="221">
        <f t="shared" si="95"/>
        <v>2.9818815721285725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46639</v>
      </c>
      <c r="B266" s="406">
        <f>'2026'!Wh/'2026'!Env_an*'2027'!Env_an</f>
        <v>19.247243536135283</v>
      </c>
      <c r="C266" s="832"/>
      <c r="D266" s="388">
        <f t="shared" si="77"/>
        <v>19.813192587701245</v>
      </c>
      <c r="E266" s="380">
        <f t="shared" si="100"/>
        <v>20.003495835029753</v>
      </c>
      <c r="F266" s="380">
        <f t="shared" si="78"/>
        <v>20.004462064326976</v>
      </c>
      <c r="G266" s="110">
        <f t="shared" si="101"/>
        <v>0.40557658368972516</v>
      </c>
      <c r="H266" s="409" t="b">
        <f>Wh_hp&gt;='2026'!Maxi_hp</f>
        <v>0</v>
      </c>
      <c r="I266" s="385">
        <f>IF(H266,Wh_hp,'2026'!Maxi_hp)</f>
        <v>20.009279692511022</v>
      </c>
      <c r="J266" s="85">
        <f>IF(H266,An,'2026'!An_max)</f>
        <v>2022</v>
      </c>
      <c r="K266" s="193">
        <f t="shared" si="79"/>
        <v>46639</v>
      </c>
      <c r="L266" s="143">
        <f>IF(t&lt;Tvie,1-EXP((T0-t)*PertePVj)+'2026'!Pspv,1-EXP((T0-t)*PertePVj)+Pspv)</f>
        <v>2.8564253290369046E-2</v>
      </c>
      <c r="M266" s="836"/>
      <c r="N266" s="836"/>
      <c r="O266" s="48">
        <f>IF(t&lt;Tnet,'2026'!Resal+('2026'!Salim-'2026'!Resal)*(1-EXP(('2026'!Tnet-t)/('2026'!Tau_j))),Resal+(Salim-Resal)*(1-EXP((Tnet-t)/(Tau_j))))*Salcycl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3.1991212862198345E-4</v>
      </c>
      <c r="Q266" s="301">
        <f t="shared" si="80"/>
        <v>0.5</v>
      </c>
      <c r="R266" s="173">
        <f t="shared" si="81"/>
        <v>0.98235746462792806</v>
      </c>
      <c r="S266" s="802">
        <f t="shared" si="82"/>
        <v>2</v>
      </c>
      <c r="T266" s="172">
        <f t="shared" si="83"/>
        <v>8</v>
      </c>
      <c r="U266" s="247">
        <f t="shared" si="84"/>
        <v>2.9823574646279281</v>
      </c>
      <c r="V266" s="378">
        <f t="shared" si="85"/>
        <v>47.443605686095658</v>
      </c>
      <c r="W266" s="397">
        <f t="shared" si="86"/>
        <v>19.247243536135283</v>
      </c>
      <c r="X266" s="153">
        <f t="shared" si="87"/>
        <v>46639</v>
      </c>
      <c r="Y266" s="380">
        <f t="shared" si="88"/>
        <v>18.545113245447293</v>
      </c>
      <c r="Z266" s="380">
        <f t="shared" si="89"/>
        <v>19.090416744763417</v>
      </c>
      <c r="AA266" s="381">
        <f t="shared" si="90"/>
        <v>20.003495835029753</v>
      </c>
      <c r="AB266" s="193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4.5645975973228052E-2</v>
      </c>
      <c r="AD266" s="227">
        <f>(INDEX(Models!$BJ266:$BT266,,AH266)*(1-AF266)+INDEX(Models!$BJ266:$BT266,,AH266+1)*AF266-ERP_i)*AE266*Ramure*Pc/MaxiM</f>
        <v>3.1991212862198345E-4</v>
      </c>
      <c r="AE266" s="301">
        <f t="shared" si="92"/>
        <v>0.5</v>
      </c>
      <c r="AF266" s="173">
        <f t="shared" si="93"/>
        <v>0.98235746462792806</v>
      </c>
      <c r="AG266" s="802">
        <f t="shared" si="99"/>
        <v>2</v>
      </c>
      <c r="AH266" s="172">
        <f t="shared" si="94"/>
        <v>8</v>
      </c>
      <c r="AI266" s="221">
        <f t="shared" si="95"/>
        <v>2.9823574646279281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46640</v>
      </c>
      <c r="B267" s="406">
        <f>'2026'!Wh/'2026'!Env_an*'2027'!Env_an</f>
        <v>44.86956527762645</v>
      </c>
      <c r="C267" s="832"/>
      <c r="D267" s="388">
        <f t="shared" si="77"/>
        <v>46.189549504107077</v>
      </c>
      <c r="E267" s="380">
        <f t="shared" si="100"/>
        <v>46.636315726712581</v>
      </c>
      <c r="F267" s="380">
        <f t="shared" si="78"/>
        <v>46.649724823741636</v>
      </c>
      <c r="G267" s="110">
        <f t="shared" si="101"/>
        <v>0.95189545154853461</v>
      </c>
      <c r="H267" s="409" t="b">
        <f>Wh_hp&gt;='2026'!Maxi_hp</f>
        <v>0</v>
      </c>
      <c r="I267" s="385">
        <f>IF(H267,Wh_hp,'2026'!Maxi_hp)</f>
        <v>46.650597773955901</v>
      </c>
      <c r="J267" s="85">
        <f>IF(H267,An,'2026'!An_max)</f>
        <v>2022</v>
      </c>
      <c r="K267" s="193">
        <f t="shared" si="79"/>
        <v>46640</v>
      </c>
      <c r="L267" s="143">
        <f>IF(t&lt;Tvie,1-EXP((T0-t)*PertePVj)+'2026'!Pspv,1-EXP((T0-t)*PertePVj)+Pspv)</f>
        <v>2.8577551429966985E-2</v>
      </c>
      <c r="M267" s="836"/>
      <c r="N267" s="836"/>
      <c r="O267" s="48">
        <f>IF(t&lt;Tnet,'2026'!Resal+('2026'!Salim-'2026'!Resal)*(1-EXP(('2026'!Tnet-t)/('2026'!Tau_j))),Resal+(Salim-Resal)*(1-EXP((Tnet-t)/(Tau_j))))*Salcycl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3.0864346600465212E-4</v>
      </c>
      <c r="Q267" s="301">
        <f t="shared" si="80"/>
        <v>0.5</v>
      </c>
      <c r="R267" s="173">
        <f t="shared" si="81"/>
        <v>0.98281506863559276</v>
      </c>
      <c r="S267" s="802">
        <f t="shared" si="82"/>
        <v>2</v>
      </c>
      <c r="T267" s="172">
        <f t="shared" si="83"/>
        <v>8</v>
      </c>
      <c r="U267" s="247">
        <f t="shared" si="84"/>
        <v>2.9828150686355928</v>
      </c>
      <c r="V267" s="378">
        <f t="shared" si="85"/>
        <v>47.136073228543005</v>
      </c>
      <c r="W267" s="397">
        <f t="shared" si="86"/>
        <v>44.86956527762645</v>
      </c>
      <c r="X267" s="153">
        <f t="shared" si="87"/>
        <v>46640</v>
      </c>
      <c r="Y267" s="380">
        <f t="shared" si="88"/>
        <v>43.234384097029746</v>
      </c>
      <c r="Z267" s="380">
        <f t="shared" si="89"/>
        <v>44.506264149724188</v>
      </c>
      <c r="AA267" s="381">
        <f t="shared" si="90"/>
        <v>46.636315726712581</v>
      </c>
      <c r="AB267" s="193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4.5673667479876209E-2</v>
      </c>
      <c r="AD267" s="227">
        <f>(INDEX(Models!$BJ267:$BT267,,AH267)*(1-AF267)+INDEX(Models!$BJ267:$BT267,,AH267+1)*AF267-ERP_i)*AE267*Ramure*Pc/MaxiM</f>
        <v>3.0864346600465212E-4</v>
      </c>
      <c r="AE267" s="301">
        <f t="shared" si="92"/>
        <v>0.5</v>
      </c>
      <c r="AF267" s="173">
        <f t="shared" si="93"/>
        <v>0.98281506863559276</v>
      </c>
      <c r="AG267" s="802">
        <f t="shared" si="99"/>
        <v>2</v>
      </c>
      <c r="AH267" s="172">
        <f t="shared" si="94"/>
        <v>8</v>
      </c>
      <c r="AI267" s="221">
        <f t="shared" si="95"/>
        <v>2.9828150686355928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46641</v>
      </c>
      <c r="B268" s="406">
        <f>'2026'!Wh/'2026'!Env_an*'2027'!Env_an</f>
        <v>46.419138623635327</v>
      </c>
      <c r="C268" s="832"/>
      <c r="D268" s="388">
        <f t="shared" si="77"/>
        <v>47.785362732446941</v>
      </c>
      <c r="E268" s="380">
        <f t="shared" si="100"/>
        <v>48.25078674525475</v>
      </c>
      <c r="F268" s="380">
        <f t="shared" si="78"/>
        <v>48.264850500386622</v>
      </c>
      <c r="G268" s="110">
        <f t="shared" si="101"/>
        <v>0.99133864974601849</v>
      </c>
      <c r="H268" s="409" t="b">
        <f>Wh_hp&gt;='2026'!Maxi_hp</f>
        <v>0</v>
      </c>
      <c r="I268" s="385">
        <f>IF(H268,Wh_hp,'2026'!Maxi_hp)</f>
        <v>48.265005171653357</v>
      </c>
      <c r="J268" s="85">
        <f>IF(H268,An,'2026'!An_max)</f>
        <v>2022</v>
      </c>
      <c r="K268" s="193">
        <f t="shared" si="79"/>
        <v>46641</v>
      </c>
      <c r="L268" s="143">
        <f>IF(t&lt;Tvie,1-EXP((T0-t)*PertePVj)+'2026'!Pspv,1-EXP((T0-t)*PertePVj)+Pspv)</f>
        <v>2.8590849387524431E-2</v>
      </c>
      <c r="M268" s="836"/>
      <c r="N268" s="836"/>
      <c r="O268" s="48">
        <f>IF(t&lt;Tnet,'2026'!Resal+('2026'!Salim-'2026'!Resal)*(1-EXP(('2026'!Tnet-t)/('2026'!Tau_j))),Resal+(Salim-Resal)*(1-EXP((Tnet-t)/(Tau_j))))*Salcycl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2.9503616934111279E-4</v>
      </c>
      <c r="Q268" s="301">
        <f t="shared" si="80"/>
        <v>0.5</v>
      </c>
      <c r="R268" s="173">
        <f t="shared" si="81"/>
        <v>0.98325505392692936</v>
      </c>
      <c r="S268" s="802">
        <f t="shared" si="82"/>
        <v>2</v>
      </c>
      <c r="T268" s="172">
        <f t="shared" si="83"/>
        <v>8</v>
      </c>
      <c r="U268" s="247">
        <f t="shared" si="84"/>
        <v>2.9832550539269294</v>
      </c>
      <c r="V268" s="378">
        <f t="shared" si="85"/>
        <v>46.824532867553977</v>
      </c>
      <c r="W268" s="397">
        <f t="shared" si="86"/>
        <v>46.419138623635327</v>
      </c>
      <c r="X268" s="153">
        <f t="shared" si="87"/>
        <v>46641</v>
      </c>
      <c r="Y268" s="380">
        <f t="shared" si="88"/>
        <v>44.729192356732796</v>
      </c>
      <c r="Z268" s="380">
        <f t="shared" si="89"/>
        <v>46.045677383758374</v>
      </c>
      <c r="AA268" s="381">
        <f t="shared" si="90"/>
        <v>48.25078674525475</v>
      </c>
      <c r="AB268" s="193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4.5701003242465073E-2</v>
      </c>
      <c r="AD268" s="227">
        <f>(INDEX(Models!$BJ268:$BT268,,AH268)*(1-AF268)+INDEX(Models!$BJ268:$BT268,,AH268+1)*AF268-ERP_i)*AE268*Ramure*Pc/MaxiM</f>
        <v>2.9503616934111279E-4</v>
      </c>
      <c r="AE268" s="301">
        <f t="shared" si="92"/>
        <v>0.5</v>
      </c>
      <c r="AF268" s="173">
        <f t="shared" si="93"/>
        <v>0.98325505392692936</v>
      </c>
      <c r="AG268" s="802">
        <f t="shared" si="99"/>
        <v>2</v>
      </c>
      <c r="AH268" s="172">
        <f t="shared" si="94"/>
        <v>8</v>
      </c>
      <c r="AI268" s="221">
        <f t="shared" si="95"/>
        <v>2.9832550539269294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46642</v>
      </c>
      <c r="B269" s="406">
        <f>'2026'!Wh/'2026'!Env_an*'2027'!Env_an</f>
        <v>36.056818204385578</v>
      </c>
      <c r="C269" s="832"/>
      <c r="D269" s="388">
        <f t="shared" si="77"/>
        <v>37.118563044182089</v>
      </c>
      <c r="E269" s="380">
        <f t="shared" si="100"/>
        <v>37.482591239110349</v>
      </c>
      <c r="F269" s="380">
        <f t="shared" si="78"/>
        <v>37.489749725281484</v>
      </c>
      <c r="G269" s="110">
        <f t="shared" si="101"/>
        <v>0.77520257562414774</v>
      </c>
      <c r="H269" s="409" t="b">
        <f>Wh_hp&gt;='2026'!Maxi_hp</f>
        <v>0</v>
      </c>
      <c r="I269" s="385">
        <f>IF(H269,Wh_hp,'2026'!Maxi_hp)</f>
        <v>37.492707900154691</v>
      </c>
      <c r="J269" s="85">
        <f>IF(H269,An,'2026'!An_max)</f>
        <v>2022</v>
      </c>
      <c r="K269" s="193">
        <f t="shared" si="79"/>
        <v>46642</v>
      </c>
      <c r="L269" s="143">
        <f>IF(t&lt;Tvie,1-EXP((T0-t)*PertePVj)+'2026'!Pspv,1-EXP((T0-t)*PertePVj)+Pspv)</f>
        <v>2.8604147163044047E-2</v>
      </c>
      <c r="M269" s="836"/>
      <c r="N269" s="836"/>
      <c r="O269" s="48">
        <f>IF(t&lt;Tnet,'2026'!Resal+('2026'!Salim-'2026'!Resal)*(1-EXP(('2026'!Tnet-t)/('2026'!Tau_j))),Resal+(Salim-Resal)*(1-EXP((Tnet-t)/(Tau_j))))*Salcycl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2.8123147521084057E-4</v>
      </c>
      <c r="Q269" s="301">
        <f t="shared" si="80"/>
        <v>0.5</v>
      </c>
      <c r="R269" s="173">
        <f t="shared" si="81"/>
        <v>0.98367806830851645</v>
      </c>
      <c r="S269" s="802">
        <f t="shared" si="82"/>
        <v>2</v>
      </c>
      <c r="T269" s="172">
        <f t="shared" si="83"/>
        <v>8</v>
      </c>
      <c r="U269" s="247">
        <f t="shared" si="84"/>
        <v>2.9836780683085165</v>
      </c>
      <c r="V269" s="378">
        <f t="shared" si="85"/>
        <v>46.508568571627372</v>
      </c>
      <c r="W269" s="397">
        <f t="shared" si="86"/>
        <v>36.056818204385578</v>
      </c>
      <c r="X269" s="153">
        <f t="shared" si="87"/>
        <v>46642</v>
      </c>
      <c r="Y269" s="380">
        <f t="shared" si="88"/>
        <v>34.745458452979364</v>
      </c>
      <c r="Z269" s="380">
        <f t="shared" si="89"/>
        <v>35.768588419958199</v>
      </c>
      <c r="AA269" s="381">
        <f t="shared" si="90"/>
        <v>37.482591239110349</v>
      </c>
      <c r="AB269" s="193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4.5727970305417732E-2</v>
      </c>
      <c r="AD269" s="227">
        <f>(INDEX(Models!$BJ269:$BT269,,AH269)*(1-AF269)+INDEX(Models!$BJ269:$BT269,,AH269+1)*AF269-ERP_i)*AE269*Ramure*Pc/MaxiM</f>
        <v>2.8123147521084057E-4</v>
      </c>
      <c r="AE269" s="301">
        <f t="shared" si="92"/>
        <v>0.5</v>
      </c>
      <c r="AF269" s="173">
        <f t="shared" si="93"/>
        <v>0.98367806830851645</v>
      </c>
      <c r="AG269" s="802">
        <f t="shared" si="99"/>
        <v>2</v>
      </c>
      <c r="AH269" s="172">
        <f t="shared" si="94"/>
        <v>8</v>
      </c>
      <c r="AI269" s="221">
        <f t="shared" si="95"/>
        <v>2.9836780683085165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46643</v>
      </c>
      <c r="B270" s="406">
        <f>'2026'!Wh/'2026'!Env_an*'2027'!Env_an</f>
        <v>13.820917052316476</v>
      </c>
      <c r="C270" s="832"/>
      <c r="D270" s="388">
        <f t="shared" si="77"/>
        <v>14.22808859157692</v>
      </c>
      <c r="E270" s="380">
        <f t="shared" si="100"/>
        <v>14.368581143557629</v>
      </c>
      <c r="F270" s="380">
        <f t="shared" si="78"/>
        <v>14.368581143557629</v>
      </c>
      <c r="G270" s="110">
        <f t="shared" si="101"/>
        <v>0.29915267562715064</v>
      </c>
      <c r="H270" s="409" t="b">
        <f>Wh_hp&gt;='2026'!Maxi_hp</f>
        <v>0</v>
      </c>
      <c r="I270" s="385">
        <f>IF(H270,Wh_hp,'2026'!Maxi_hp)</f>
        <v>14.371921268140474</v>
      </c>
      <c r="J270" s="85">
        <f>IF(H270,An,'2026'!An_max)</f>
        <v>2022</v>
      </c>
      <c r="K270" s="193">
        <f t="shared" si="79"/>
        <v>46643</v>
      </c>
      <c r="L270" s="143">
        <f>IF(t&lt;Tvie,1-EXP((T0-t)*PertePVj)+'2026'!Pspv,1-EXP((T0-t)*PertePVj)+Pspv)</f>
        <v>2.8617444756528387E-2</v>
      </c>
      <c r="M270" s="836"/>
      <c r="N270" s="836"/>
      <c r="O270" s="48">
        <f>IF(t&lt;Tnet,'2026'!Resal+('2026'!Salim-'2026'!Resal)*(1-EXP(('2026'!Tnet-t)/('2026'!Tau_j))),Resal+(Salim-Resal)*(1-EXP((Tnet-t)/(Tau_j))))*Salcycl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2.6722612546139292E-4</v>
      </c>
      <c r="Q270" s="301">
        <f t="shared" si="80"/>
        <v>0.5</v>
      </c>
      <c r="R270" s="173">
        <f t="shared" si="81"/>
        <v>0.98408473813672659</v>
      </c>
      <c r="S270" s="802">
        <f t="shared" si="82"/>
        <v>2</v>
      </c>
      <c r="T270" s="172">
        <f t="shared" si="83"/>
        <v>8</v>
      </c>
      <c r="U270" s="247">
        <f t="shared" si="84"/>
        <v>2.9840847381367266</v>
      </c>
      <c r="V270" s="378">
        <f t="shared" si="85"/>
        <v>46.187866156421677</v>
      </c>
      <c r="W270" s="397">
        <f t="shared" si="86"/>
        <v>13.820917052316476</v>
      </c>
      <c r="X270" s="153">
        <f t="shared" si="87"/>
        <v>46643</v>
      </c>
      <c r="Y270" s="380">
        <f t="shared" si="88"/>
        <v>13.318774937516817</v>
      </c>
      <c r="Z270" s="380">
        <f t="shared" si="89"/>
        <v>13.711153104019395</v>
      </c>
      <c r="AA270" s="381">
        <f t="shared" si="90"/>
        <v>14.368581143557629</v>
      </c>
      <c r="AB270" s="193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4.5754555231989728E-2</v>
      </c>
      <c r="AD270" s="227">
        <f>(INDEX(Models!$BJ270:$BT270,,AH270)*(1-AF270)+INDEX(Models!$BJ270:$BT270,,AH270+1)*AF270-ERP_i)*AE270*Ramure*Pc/MaxiM</f>
        <v>2.6722612546139292E-4</v>
      </c>
      <c r="AE270" s="301">
        <f t="shared" si="92"/>
        <v>0.5</v>
      </c>
      <c r="AF270" s="173">
        <f t="shared" si="93"/>
        <v>0.98408473813672659</v>
      </c>
      <c r="AG270" s="802">
        <f t="shared" si="99"/>
        <v>2</v>
      </c>
      <c r="AH270" s="172">
        <f t="shared" si="94"/>
        <v>8</v>
      </c>
      <c r="AI270" s="221">
        <f t="shared" si="95"/>
        <v>2.9840847381367266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46644</v>
      </c>
      <c r="B271" s="406">
        <f>'2026'!Wh/'2026'!Env_an*'2027'!Env_an</f>
        <v>37.137600708004399</v>
      </c>
      <c r="C271" s="832"/>
      <c r="D271" s="388">
        <f t="shared" ref="D271:D334" si="102">Wh/(1-Ppv)</f>
        <v>38.23221746886562</v>
      </c>
      <c r="E271" s="380">
        <f t="shared" si="100"/>
        <v>38.612295028210021</v>
      </c>
      <c r="F271" s="380">
        <f t="shared" ref="F271:F334" si="103">Wh_sa/(1-Pvg*MEDIAN((-Sdif+Wh/Env_an)/Csdif,0,1))</f>
        <v>38.61941088955205</v>
      </c>
      <c r="G271" s="110">
        <f t="shared" si="101"/>
        <v>0.80971079186069472</v>
      </c>
      <c r="H271" s="409" t="b">
        <f>Wh_hp&gt;='2026'!Maxi_hp</f>
        <v>0</v>
      </c>
      <c r="I271" s="385">
        <f>IF(H271,Wh_hp,'2026'!Maxi_hp)</f>
        <v>38.621710894977937</v>
      </c>
      <c r="J271" s="85">
        <f>IF(H271,An,'2026'!An_max)</f>
        <v>2022</v>
      </c>
      <c r="K271" s="193">
        <f t="shared" ref="K271:K334" si="104">t</f>
        <v>46644</v>
      </c>
      <c r="L271" s="143">
        <f>IF(t&lt;Tvie,1-EXP((T0-t)*PertePVj)+'2026'!Pspv,1-EXP((T0-t)*PertePVj)+Pspv)</f>
        <v>2.8630742167979673E-2</v>
      </c>
      <c r="M271" s="836"/>
      <c r="N271" s="836"/>
      <c r="O271" s="48">
        <f>IF(t&lt;Tnet,'2026'!Resal+('2026'!Salim-'2026'!Resal)*(1-EXP(('2026'!Tnet-t)/('2026'!Tau_j))),Resal+(Salim-Resal)*(1-EXP((Tnet-t)/(Tau_j))))*Salcycl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2.5301635557844728E-4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0.98447566884116222</v>
      </c>
      <c r="S271" s="802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2.9844756688411622</v>
      </c>
      <c r="V271" s="378">
        <f t="shared" ref="V271:V334" si="110">MaxiM*(1-Ppv)*(1-Pvg)*(1-Psa)</f>
        <v>45.862111533038949</v>
      </c>
      <c r="W271" s="397">
        <f t="shared" ref="W271:W334" si="111">Wh*(A271&gt;Tmaj)</f>
        <v>37.137600708004399</v>
      </c>
      <c r="X271" s="153">
        <f t="shared" ref="X271:X334" si="112">t</f>
        <v>46644</v>
      </c>
      <c r="Y271" s="380">
        <f t="shared" ref="Y271:Y334" si="113">Wh_pvt_s*(1-Ppv)</f>
        <v>35.789707317818653</v>
      </c>
      <c r="Z271" s="380">
        <f t="shared" ref="Z271:Z334" si="114">Wh_sa_s*(1-Psa_s)</f>
        <v>36.844595429854337</v>
      </c>
      <c r="AA271" s="381">
        <f t="shared" ref="AA271:AA334" si="115">Wh_hp*(1-Pvg_s*MEDIAN((-Sdif+Wh/Env_an)/Csdif,0,1))</f>
        <v>38.612295028210021</v>
      </c>
      <c r="AB271" s="193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4.5780744114386554E-2</v>
      </c>
      <c r="AD271" s="227">
        <f>(INDEX(Models!$BJ271:$BT271,,AH271)*(1-AF271)+INDEX(Models!$BJ271:$BT271,,AH271+1)*AF271-ERP_i)*AE271*Ramure*Pc/MaxiM</f>
        <v>2.5301635557844728E-4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0.98447566884116222</v>
      </c>
      <c r="AG271" s="802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2.9844756688411622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46645</v>
      </c>
      <c r="B272" s="406">
        <f>'2026'!Wh/'2026'!Env_an*'2027'!Env_an</f>
        <v>42.18796479627882</v>
      </c>
      <c r="C272" s="832"/>
      <c r="D272" s="388">
        <f t="shared" si="102"/>
        <v>43.432033680121449</v>
      </c>
      <c r="E272" s="380">
        <f t="shared" si="100"/>
        <v>43.8667062566984</v>
      </c>
      <c r="F272" s="380">
        <f t="shared" si="103"/>
        <v>43.876076927937376</v>
      </c>
      <c r="G272" s="110">
        <f t="shared" si="101"/>
        <v>0.92655371865586689</v>
      </c>
      <c r="H272" s="409" t="b">
        <f>Wh_hp&gt;='2026'!Maxi_hp</f>
        <v>0</v>
      </c>
      <c r="I272" s="385">
        <f>IF(H272,Wh_hp,'2026'!Maxi_hp)</f>
        <v>43.877024170324354</v>
      </c>
      <c r="J272" s="85">
        <f>IF(H272,An,'2026'!An_max)</f>
        <v>2022</v>
      </c>
      <c r="K272" s="193">
        <f t="shared" si="104"/>
        <v>46645</v>
      </c>
      <c r="L272" s="143">
        <f>IF(t&lt;Tvie,1-EXP((T0-t)*PertePVj)+'2026'!Pspv,1-EXP((T0-t)*PertePVj)+Pspv)</f>
        <v>2.8644039397400678E-2</v>
      </c>
      <c r="M272" s="836"/>
      <c r="N272" s="836"/>
      <c r="O272" s="48">
        <f>IF(t&lt;Tnet,'2026'!Resal+('2026'!Salim-'2026'!Resal)*(1-EXP(('2026'!Tnet-t)/('2026'!Tau_j))),Resal+(Salim-Resal)*(1-EXP((Tnet-t)/(Tau_j))))*Salcycl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2.3859787070363943E-4</v>
      </c>
      <c r="Q272" s="301">
        <f t="shared" si="105"/>
        <v>0.5</v>
      </c>
      <c r="R272" s="173">
        <f t="shared" si="106"/>
        <v>0.98485144545105996</v>
      </c>
      <c r="S272" s="802">
        <f t="shared" si="107"/>
        <v>2</v>
      </c>
      <c r="T272" s="172">
        <f t="shared" si="108"/>
        <v>8</v>
      </c>
      <c r="U272" s="247">
        <f t="shared" si="109"/>
        <v>2.98485144545106</v>
      </c>
      <c r="V272" s="378">
        <f t="shared" si="110"/>
        <v>45.530990704227044</v>
      </c>
      <c r="W272" s="397">
        <f t="shared" si="111"/>
        <v>42.18796479627882</v>
      </c>
      <c r="X272" s="153">
        <f t="shared" si="112"/>
        <v>46645</v>
      </c>
      <c r="Y272" s="380">
        <f t="shared" si="113"/>
        <v>40.658362119615823</v>
      </c>
      <c r="Z272" s="380">
        <f t="shared" si="114"/>
        <v>41.857324985572362</v>
      </c>
      <c r="AA272" s="381">
        <f t="shared" si="115"/>
        <v>43.8667062566984</v>
      </c>
      <c r="AB272" s="193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4.5806522590676801E-2</v>
      </c>
      <c r="AD272" s="227">
        <f>(INDEX(Models!$BJ272:$BT272,,AH272)*(1-AF272)+INDEX(Models!$BJ272:$BT272,,AH272+1)*AF272-ERP_i)*AE272*Ramure*Pc/MaxiM</f>
        <v>2.3859787070363943E-4</v>
      </c>
      <c r="AE272" s="301">
        <f t="shared" si="117"/>
        <v>0.5</v>
      </c>
      <c r="AF272" s="173">
        <f t="shared" si="118"/>
        <v>0.98485144545105996</v>
      </c>
      <c r="AG272" s="802">
        <f t="shared" ref="AG272:AG335" si="124">INDEX(Echel_vg,AH272)</f>
        <v>2</v>
      </c>
      <c r="AH272" s="172">
        <f t="shared" si="119"/>
        <v>8</v>
      </c>
      <c r="AI272" s="221">
        <f t="shared" si="120"/>
        <v>2.98485144545106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46646</v>
      </c>
      <c r="B273" s="406">
        <f>'2026'!Wh/'2026'!Env_an*'2027'!Env_an</f>
        <v>28.349316086433536</v>
      </c>
      <c r="C273" s="832"/>
      <c r="D273" s="388">
        <f t="shared" si="102"/>
        <v>29.185700525777744</v>
      </c>
      <c r="E273" s="380">
        <f t="shared" si="100"/>
        <v>29.479739612869675</v>
      </c>
      <c r="F273" s="380">
        <f t="shared" si="103"/>
        <v>29.482826846481039</v>
      </c>
      <c r="G273" s="110">
        <f t="shared" si="101"/>
        <v>0.62720307946473886</v>
      </c>
      <c r="H273" s="409" t="b">
        <f>Wh_hp&gt;='2026'!Maxi_hp</f>
        <v>0</v>
      </c>
      <c r="I273" s="385">
        <f>IF(H273,Wh_hp,'2026'!Maxi_hp)</f>
        <v>29.485848749759754</v>
      </c>
      <c r="J273" s="85">
        <f>IF(H273,An,'2026'!An_max)</f>
        <v>2022</v>
      </c>
      <c r="K273" s="193">
        <f t="shared" si="104"/>
        <v>46646</v>
      </c>
      <c r="L273" s="143">
        <f>IF(t&lt;Tvie,1-EXP((T0-t)*PertePVj)+'2026'!Pspv,1-EXP((T0-t)*PertePVj)+Pspv)</f>
        <v>2.8657336444793735E-2</v>
      </c>
      <c r="M273" s="836"/>
      <c r="N273" s="836"/>
      <c r="O273" s="48">
        <f>IF(t&lt;Tnet,'2026'!Resal+('2026'!Salim-'2026'!Resal)*(1-EXP(('2026'!Tnet-t)/('2026'!Tau_j))),Resal+(Salim-Resal)*(1-EXP((Tnet-t)/(Tau_j))))*Salcycl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2.2396581909722816E-4</v>
      </c>
      <c r="Q273" s="301">
        <f t="shared" si="105"/>
        <v>0.5</v>
      </c>
      <c r="R273" s="173">
        <f t="shared" si="106"/>
        <v>0.98521263312295559</v>
      </c>
      <c r="S273" s="802">
        <f t="shared" si="107"/>
        <v>2</v>
      </c>
      <c r="T273" s="172">
        <f t="shared" si="108"/>
        <v>8</v>
      </c>
      <c r="U273" s="247">
        <f t="shared" si="109"/>
        <v>2.9852126331229556</v>
      </c>
      <c r="V273" s="378">
        <f t="shared" si="110"/>
        <v>45.194189765688165</v>
      </c>
      <c r="W273" s="397">
        <f t="shared" si="111"/>
        <v>28.349316086433536</v>
      </c>
      <c r="X273" s="153">
        <f t="shared" si="112"/>
        <v>46646</v>
      </c>
      <c r="Y273" s="380">
        <f t="shared" si="113"/>
        <v>27.322536294362322</v>
      </c>
      <c r="Z273" s="380">
        <f t="shared" si="114"/>
        <v>28.128627846283667</v>
      </c>
      <c r="AA273" s="381">
        <f t="shared" si="115"/>
        <v>29.479739612869675</v>
      </c>
      <c r="AB273" s="193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4.5831875868949851E-2</v>
      </c>
      <c r="AD273" s="227">
        <f>(INDEX(Models!$BJ273:$BT273,,AH273)*(1-AF273)+INDEX(Models!$BJ273:$BT273,,AH273+1)*AF273-ERP_i)*AE273*Ramure*Pc/MaxiM</f>
        <v>2.2396581909722816E-4</v>
      </c>
      <c r="AE273" s="301">
        <f t="shared" si="117"/>
        <v>0.5</v>
      </c>
      <c r="AF273" s="173">
        <f t="shared" si="118"/>
        <v>0.98521263312295559</v>
      </c>
      <c r="AG273" s="802">
        <f t="shared" si="124"/>
        <v>2</v>
      </c>
      <c r="AH273" s="172">
        <f t="shared" si="119"/>
        <v>8</v>
      </c>
      <c r="AI273" s="221">
        <f t="shared" si="120"/>
        <v>2.9852126331229556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46647</v>
      </c>
      <c r="B274" s="406">
        <f>'2026'!Wh/'2026'!Env_an*'2027'!Env_an</f>
        <v>45.520569343720155</v>
      </c>
      <c r="C274" s="832"/>
      <c r="D274" s="388">
        <f t="shared" si="102"/>
        <v>46.864195508520666</v>
      </c>
      <c r="E274" s="380">
        <f t="shared" si="100"/>
        <v>47.33945707686464</v>
      </c>
      <c r="F274" s="380">
        <f t="shared" si="103"/>
        <v>47.349358526733653</v>
      </c>
      <c r="G274" s="110">
        <f t="shared" si="101"/>
        <v>1.0149198133359907</v>
      </c>
      <c r="H274" s="409" t="b">
        <f>Wh_hp&gt;='2026'!Maxi_hp</f>
        <v>1</v>
      </c>
      <c r="I274" s="385">
        <f>IF(H274,Wh_hp,'2026'!Maxi_hp)</f>
        <v>47.349358526733653</v>
      </c>
      <c r="J274" s="85">
        <f>IF(H274,An,'2026'!An_max)</f>
        <v>2027</v>
      </c>
      <c r="K274" s="193">
        <f t="shared" si="104"/>
        <v>46647</v>
      </c>
      <c r="L274" s="143">
        <f>IF(t&lt;Tvie,1-EXP((T0-t)*PertePVj)+'2026'!Pspv,1-EXP((T0-t)*PertePVj)+Pspv)</f>
        <v>2.8670633310161397E-2</v>
      </c>
      <c r="M274" s="836"/>
      <c r="N274" s="836"/>
      <c r="O274" s="48">
        <f>IF(t&lt;Tnet,'2026'!Resal+('2026'!Salim-'2026'!Resal)*(1-EXP(('2026'!Tnet-t)/('2026'!Tau_j))),Resal+(Salim-Resal)*(1-EXP((Tnet-t)/(Tau_j))))*Salcycl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2.0911476263013742E-4</v>
      </c>
      <c r="Q274" s="301">
        <f t="shared" si="105"/>
        <v>0.5</v>
      </c>
      <c r="R274" s="173">
        <f t="shared" si="106"/>
        <v>0.98555977766805425</v>
      </c>
      <c r="S274" s="802">
        <f t="shared" si="107"/>
        <v>2</v>
      </c>
      <c r="T274" s="172">
        <f t="shared" si="108"/>
        <v>8</v>
      </c>
      <c r="U274" s="247">
        <f t="shared" si="109"/>
        <v>2.9855597776680542</v>
      </c>
      <c r="V274" s="378">
        <f t="shared" si="110"/>
        <v>44.851394903895233</v>
      </c>
      <c r="W274" s="397">
        <f t="shared" si="111"/>
        <v>45.520569343720155</v>
      </c>
      <c r="X274" s="153">
        <f t="shared" si="112"/>
        <v>46647</v>
      </c>
      <c r="Y274" s="380">
        <f t="shared" si="113"/>
        <v>43.873608606881682</v>
      </c>
      <c r="Z274" s="380">
        <f t="shared" si="114"/>
        <v>45.168621593720687</v>
      </c>
      <c r="AA274" s="381">
        <f t="shared" si="115"/>
        <v>47.33945707686464</v>
      </c>
      <c r="AB274" s="193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4.5856788759093471E-2</v>
      </c>
      <c r="AD274" s="227">
        <f>(INDEX(Models!$BJ274:$BT274,,AH274)*(1-AF274)+INDEX(Models!$BJ274:$BT274,,AH274+1)*AF274-ERP_i)*AE274*Ramure*Pc/MaxiM</f>
        <v>2.0911476263013742E-4</v>
      </c>
      <c r="AE274" s="301">
        <f t="shared" si="117"/>
        <v>0.5</v>
      </c>
      <c r="AF274" s="173">
        <f t="shared" si="118"/>
        <v>0.98555977766805425</v>
      </c>
      <c r="AG274" s="802">
        <f t="shared" si="124"/>
        <v>2</v>
      </c>
      <c r="AH274" s="172">
        <f t="shared" si="119"/>
        <v>8</v>
      </c>
      <c r="AI274" s="221">
        <f t="shared" si="120"/>
        <v>2.9855597776680542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46648</v>
      </c>
      <c r="B275" s="406">
        <f>'2026'!Wh/'2026'!Env_an*'2027'!Env_an</f>
        <v>44.588835424196695</v>
      </c>
      <c r="C275" s="832"/>
      <c r="D275" s="388">
        <f t="shared" si="102"/>
        <v>45.905588099555061</v>
      </c>
      <c r="E275" s="380">
        <f t="shared" si="100"/>
        <v>46.374172221525811</v>
      </c>
      <c r="F275" s="380">
        <f t="shared" si="103"/>
        <v>46.383172558229624</v>
      </c>
      <c r="G275" s="110">
        <f t="shared" si="101"/>
        <v>1.0019679371990164</v>
      </c>
      <c r="H275" s="409" t="b">
        <f>Wh_hp&gt;='2026'!Maxi_hp</f>
        <v>1</v>
      </c>
      <c r="I275" s="385">
        <f>IF(H275,Wh_hp,'2026'!Maxi_hp)</f>
        <v>46.383172558229624</v>
      </c>
      <c r="J275" s="85">
        <f>IF(H275,An,'2026'!An_max)</f>
        <v>2027</v>
      </c>
      <c r="K275" s="193">
        <f t="shared" si="104"/>
        <v>46648</v>
      </c>
      <c r="L275" s="143">
        <f>IF(t&lt;Tvie,1-EXP((T0-t)*PertePVj)+'2026'!Pspv,1-EXP((T0-t)*PertePVj)+Pspv)</f>
        <v>2.8683929993506108E-2</v>
      </c>
      <c r="M275" s="836"/>
      <c r="N275" s="836"/>
      <c r="O275" s="48">
        <f>IF(t&lt;Tnet,'2026'!Resal+('2026'!Salim-'2026'!Resal)*(1-EXP(('2026'!Tnet-t)/('2026'!Tau_j))),Resal+(Salim-Resal)*(1-EXP((Tnet-t)/(Tau_j))))*Salcycl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1.9404314555060393E-4</v>
      </c>
      <c r="Q275" s="301">
        <f t="shared" si="105"/>
        <v>0.5</v>
      </c>
      <c r="R275" s="173">
        <f t="shared" si="106"/>
        <v>0.98589340607791209</v>
      </c>
      <c r="S275" s="802">
        <f t="shared" si="107"/>
        <v>2</v>
      </c>
      <c r="T275" s="172">
        <f t="shared" si="108"/>
        <v>8</v>
      </c>
      <c r="U275" s="247">
        <f t="shared" si="109"/>
        <v>2.9858934060779121</v>
      </c>
      <c r="V275" s="378">
        <f t="shared" si="110"/>
        <v>44.501259739751745</v>
      </c>
      <c r="W275" s="397">
        <f t="shared" si="111"/>
        <v>44.588835424196695</v>
      </c>
      <c r="X275" s="153">
        <f t="shared" si="112"/>
        <v>46648</v>
      </c>
      <c r="Y275" s="380">
        <f t="shared" si="113"/>
        <v>42.977304856862716</v>
      </c>
      <c r="Z275" s="380">
        <f t="shared" si="114"/>
        <v>44.24646743111682</v>
      </c>
      <c r="AA275" s="381">
        <f t="shared" si="115"/>
        <v>46.374172221525811</v>
      </c>
      <c r="AB275" s="193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4.5881245712486377E-2</v>
      </c>
      <c r="AD275" s="227">
        <f>(INDEX(Models!$BJ275:$BT275,,AH275)*(1-AF275)+INDEX(Models!$BJ275:$BT275,,AH275+1)*AF275-ERP_i)*AE275*Ramure*Pc/MaxiM</f>
        <v>1.9404314555060393E-4</v>
      </c>
      <c r="AE275" s="301">
        <f t="shared" si="117"/>
        <v>0.5</v>
      </c>
      <c r="AF275" s="173">
        <f t="shared" si="118"/>
        <v>0.98589340607791209</v>
      </c>
      <c r="AG275" s="802">
        <f t="shared" si="124"/>
        <v>2</v>
      </c>
      <c r="AH275" s="172">
        <f t="shared" si="119"/>
        <v>8</v>
      </c>
      <c r="AI275" s="221">
        <f t="shared" si="120"/>
        <v>2.9858934060779121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46649</v>
      </c>
      <c r="B276" s="406">
        <f>'2026'!Wh/'2026'!Env_an*'2027'!Env_an</f>
        <v>44.941505296955</v>
      </c>
      <c r="C276" s="832"/>
      <c r="D276" s="388">
        <f t="shared" si="102"/>
        <v>46.269306052502287</v>
      </c>
      <c r="E276" s="380">
        <f t="shared" si="100"/>
        <v>46.744662668710632</v>
      </c>
      <c r="F276" s="380">
        <f t="shared" si="103"/>
        <v>46.753120968509741</v>
      </c>
      <c r="G276" s="110">
        <f t="shared" si="101"/>
        <v>1.0180864621196524</v>
      </c>
      <c r="H276" s="409" t="b">
        <f>Wh_hp&gt;='2026'!Maxi_hp</f>
        <v>1</v>
      </c>
      <c r="I276" s="385">
        <f>IF(H276,Wh_hp,'2026'!Maxi_hp)</f>
        <v>46.753120968509741</v>
      </c>
      <c r="J276" s="85">
        <f>IF(H276,An,'2026'!An_max)</f>
        <v>2027</v>
      </c>
      <c r="K276" s="193">
        <f t="shared" si="104"/>
        <v>46649</v>
      </c>
      <c r="L276" s="143">
        <f>IF(t&lt;Tvie,1-EXP((T0-t)*PertePVj)+'2026'!Pspv,1-EXP((T0-t)*PertePVj)+Pspv)</f>
        <v>2.8697226494830419E-2</v>
      </c>
      <c r="M276" s="836"/>
      <c r="N276" s="836"/>
      <c r="O276" s="48">
        <f>IF(t&lt;Tnet,'2026'!Resal+('2026'!Salim-'2026'!Resal)*(1-EXP(('2026'!Tnet-t)/('2026'!Tau_j))),Resal+(Salim-Resal)*(1-EXP((Tnet-t)/(Tau_j))))*Salcycl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1.8091412132266181E-4</v>
      </c>
      <c r="Q276" s="301">
        <f t="shared" si="105"/>
        <v>0.5</v>
      </c>
      <c r="R276" s="173">
        <f t="shared" si="106"/>
        <v>0.98621402704717376</v>
      </c>
      <c r="S276" s="802">
        <f t="shared" si="107"/>
        <v>2</v>
      </c>
      <c r="T276" s="172">
        <f t="shared" si="108"/>
        <v>8</v>
      </c>
      <c r="U276" s="247">
        <f t="shared" si="109"/>
        <v>2.9862140270471738</v>
      </c>
      <c r="V276" s="378">
        <f t="shared" si="110"/>
        <v>44.143112563727584</v>
      </c>
      <c r="W276" s="397">
        <f t="shared" si="111"/>
        <v>44.941505296955</v>
      </c>
      <c r="X276" s="153">
        <f t="shared" si="112"/>
        <v>46649</v>
      </c>
      <c r="Y276" s="380">
        <f t="shared" si="113"/>
        <v>43.318975177548857</v>
      </c>
      <c r="Z276" s="380">
        <f t="shared" si="114"/>
        <v>44.598838136971821</v>
      </c>
      <c r="AA276" s="381">
        <f t="shared" si="115"/>
        <v>46.744662668710632</v>
      </c>
      <c r="AB276" s="193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4.5905230869815544E-2</v>
      </c>
      <c r="AD276" s="227">
        <f>(INDEX(Models!$BJ276:$BT276,,AH276)*(1-AF276)+INDEX(Models!$BJ276:$BT276,,AH276+1)*AF276-ERP_i)*AE276*Ramure*Pc/MaxiM</f>
        <v>1.8091412132266181E-4</v>
      </c>
      <c r="AE276" s="301">
        <f t="shared" si="117"/>
        <v>0.5</v>
      </c>
      <c r="AF276" s="173">
        <f t="shared" si="118"/>
        <v>0.98621402704717376</v>
      </c>
      <c r="AG276" s="802">
        <f t="shared" si="124"/>
        <v>2</v>
      </c>
      <c r="AH276" s="172">
        <f t="shared" si="119"/>
        <v>8</v>
      </c>
      <c r="AI276" s="221">
        <f t="shared" si="120"/>
        <v>2.9862140270471738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46650</v>
      </c>
      <c r="B277" s="406">
        <f>'2026'!Wh/'2026'!Env_an*'2027'!Env_an</f>
        <v>45.297004726755645</v>
      </c>
      <c r="C277" s="832"/>
      <c r="D277" s="388">
        <f t="shared" si="102"/>
        <v>46.635947151404942</v>
      </c>
      <c r="E277" s="380">
        <f t="shared" si="100"/>
        <v>47.118145948159203</v>
      </c>
      <c r="F277" s="380">
        <f t="shared" si="103"/>
        <v>47.126194805421541</v>
      </c>
      <c r="G277" s="110">
        <f t="shared" si="101"/>
        <v>1.034703804355928</v>
      </c>
      <c r="H277" s="409" t="b">
        <f>Wh_hp&gt;='2026'!Maxi_hp</f>
        <v>1</v>
      </c>
      <c r="I277" s="385">
        <f>IF(H277,Wh_hp,'2026'!Maxi_hp)</f>
        <v>47.126194805421541</v>
      </c>
      <c r="J277" s="85">
        <f>IF(H277,An,'2026'!An_max)</f>
        <v>2027</v>
      </c>
      <c r="K277" s="193">
        <f t="shared" si="104"/>
        <v>46650</v>
      </c>
      <c r="L277" s="143">
        <f>IF(t&lt;Tvie,1-EXP((T0-t)*PertePVj)+'2026'!Pspv,1-EXP((T0-t)*PertePVj)+Pspv)</f>
        <v>2.8710522814136885E-2</v>
      </c>
      <c r="M277" s="836"/>
      <c r="N277" s="836"/>
      <c r="O277" s="48">
        <f>IF(t&lt;Tnet,'2026'!Resal+('2026'!Salim-'2026'!Resal)*(1-EXP(('2026'!Tnet-t)/('2026'!Tau_j))),Resal+(Salim-Resal)*(1-EXP((Tnet-t)/(Tau_j))))*Salcycl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1.7079370179521849E-4</v>
      </c>
      <c r="Q277" s="301">
        <f t="shared" si="105"/>
        <v>0.5</v>
      </c>
      <c r="R277" s="173">
        <f t="shared" si="106"/>
        <v>0.98652213149223211</v>
      </c>
      <c r="S277" s="802">
        <f t="shared" si="107"/>
        <v>2</v>
      </c>
      <c r="T277" s="172">
        <f t="shared" si="108"/>
        <v>8</v>
      </c>
      <c r="U277" s="247">
        <f t="shared" si="109"/>
        <v>2.9865221314922321</v>
      </c>
      <c r="V277" s="378">
        <f t="shared" si="110"/>
        <v>43.777750247039698</v>
      </c>
      <c r="W277" s="397">
        <f t="shared" si="111"/>
        <v>45.297004726755645</v>
      </c>
      <c r="X277" s="153">
        <f t="shared" si="112"/>
        <v>46650</v>
      </c>
      <c r="Y277" s="380">
        <f t="shared" si="113"/>
        <v>43.663414597463159</v>
      </c>
      <c r="Z277" s="380">
        <f t="shared" si="114"/>
        <v>44.954069433522605</v>
      </c>
      <c r="AA277" s="381">
        <f t="shared" si="115"/>
        <v>47.118145948159203</v>
      </c>
      <c r="AB277" s="193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4.5928728117137364E-2</v>
      </c>
      <c r="AD277" s="227">
        <f>(INDEX(Models!$BJ277:$BT277,,AH277)*(1-AF277)+INDEX(Models!$BJ277:$BT277,,AH277+1)*AF277-ERP_i)*AE277*Ramure*Pc/MaxiM</f>
        <v>1.7079370179521849E-4</v>
      </c>
      <c r="AE277" s="301">
        <f t="shared" si="117"/>
        <v>0.5</v>
      </c>
      <c r="AF277" s="173">
        <f t="shared" si="118"/>
        <v>0.98652213149223211</v>
      </c>
      <c r="AG277" s="802">
        <f t="shared" si="124"/>
        <v>2</v>
      </c>
      <c r="AH277" s="172">
        <f t="shared" si="119"/>
        <v>8</v>
      </c>
      <c r="AI277" s="221">
        <f t="shared" si="120"/>
        <v>2.9865221314922321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46651</v>
      </c>
      <c r="B278" s="406">
        <f>'2026'!Wh/'2026'!Env_an*'2027'!Env_an</f>
        <v>43.959100346977856</v>
      </c>
      <c r="C278" s="832"/>
      <c r="D278" s="388">
        <f t="shared" si="102"/>
        <v>45.259114971315782</v>
      </c>
      <c r="E278" s="380">
        <f t="shared" si="100"/>
        <v>45.730053813060785</v>
      </c>
      <c r="F278" s="380">
        <f t="shared" si="103"/>
        <v>45.737542651525203</v>
      </c>
      <c r="G278" s="110">
        <f t="shared" si="101"/>
        <v>1.0127421343989176</v>
      </c>
      <c r="H278" s="409" t="b">
        <f>Wh_hp&gt;='2026'!Maxi_hp</f>
        <v>1</v>
      </c>
      <c r="I278" s="385">
        <f>IF(H278,Wh_hp,'2026'!Maxi_hp)</f>
        <v>45.737542651525203</v>
      </c>
      <c r="J278" s="85">
        <f>IF(H278,An,'2026'!An_max)</f>
        <v>2027</v>
      </c>
      <c r="K278" s="193">
        <f t="shared" si="104"/>
        <v>46651</v>
      </c>
      <c r="L278" s="143">
        <f>IF(t&lt;Tvie,1-EXP((T0-t)*PertePVj)+'2026'!Pspv,1-EXP((T0-t)*PertePVj)+Pspv)</f>
        <v>2.8723818951427726E-2</v>
      </c>
      <c r="M278" s="836"/>
      <c r="N278" s="836"/>
      <c r="O278" s="48">
        <f>IF(t&lt;Tnet,'2026'!Resal+('2026'!Salim-'2026'!Resal)*(1-EXP(('2026'!Tnet-t)/('2026'!Tau_j))),Resal+(Salim-Resal)*(1-EXP((Tnet-t)/(Tau_j))))*Salcycl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1.6373504194301046E-4</v>
      </c>
      <c r="Q278" s="301">
        <f t="shared" si="105"/>
        <v>0.5</v>
      </c>
      <c r="R278" s="173">
        <f t="shared" si="106"/>
        <v>0.9868181930648201</v>
      </c>
      <c r="S278" s="802">
        <f t="shared" si="107"/>
        <v>2</v>
      </c>
      <c r="T278" s="172">
        <f t="shared" si="108"/>
        <v>8</v>
      </c>
      <c r="U278" s="247">
        <f t="shared" si="109"/>
        <v>2.9868181930648201</v>
      </c>
      <c r="V278" s="378">
        <f t="shared" si="110"/>
        <v>43.406015069244106</v>
      </c>
      <c r="W278" s="397">
        <f t="shared" si="111"/>
        <v>43.959100346977856</v>
      </c>
      <c r="X278" s="153">
        <f t="shared" si="112"/>
        <v>46651</v>
      </c>
      <c r="Y278" s="380">
        <f t="shared" si="113"/>
        <v>42.375496851579825</v>
      </c>
      <c r="Z278" s="380">
        <f t="shared" si="114"/>
        <v>43.62867913205902</v>
      </c>
      <c r="AA278" s="381">
        <f t="shared" si="115"/>
        <v>45.730053813060785</v>
      </c>
      <c r="AB278" s="193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4.5951721150207875E-2</v>
      </c>
      <c r="AD278" s="227">
        <f>(INDEX(Models!$BJ278:$BT278,,AH278)*(1-AF278)+INDEX(Models!$BJ278:$BT278,,AH278+1)*AF278-ERP_i)*AE278*Ramure*Pc/MaxiM</f>
        <v>1.6373504194301046E-4</v>
      </c>
      <c r="AE278" s="301">
        <f t="shared" si="117"/>
        <v>0.5</v>
      </c>
      <c r="AF278" s="173">
        <f t="shared" si="118"/>
        <v>0.9868181930648201</v>
      </c>
      <c r="AG278" s="802">
        <f t="shared" si="124"/>
        <v>2</v>
      </c>
      <c r="AH278" s="172">
        <f t="shared" si="119"/>
        <v>8</v>
      </c>
      <c r="AI278" s="221">
        <f t="shared" si="120"/>
        <v>2.9868181930648201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46652</v>
      </c>
      <c r="B279" s="406">
        <f>'2026'!Wh/'2026'!Env_an*'2027'!Env_an</f>
        <v>42.728454341747437</v>
      </c>
      <c r="C279" s="832"/>
      <c r="D279" s="388">
        <f t="shared" si="102"/>
        <v>43.992676954440789</v>
      </c>
      <c r="E279" s="380">
        <f t="shared" si="100"/>
        <v>44.453322089473659</v>
      </c>
      <c r="F279" s="380">
        <f t="shared" si="103"/>
        <v>44.460355798754556</v>
      </c>
      <c r="G279" s="110">
        <f t="shared" si="101"/>
        <v>0.99301948490943959</v>
      </c>
      <c r="H279" s="409" t="b">
        <f>Wh_hp&gt;='2026'!Maxi_hp</f>
        <v>0</v>
      </c>
      <c r="I279" s="385">
        <f>IF(H279,Wh_hp,'2026'!Maxi_hp)</f>
        <v>44.460416215759921</v>
      </c>
      <c r="J279" s="85">
        <f>IF(H279,An,'2026'!An_max)</f>
        <v>2022</v>
      </c>
      <c r="K279" s="193">
        <f t="shared" si="104"/>
        <v>46652</v>
      </c>
      <c r="L279" s="143">
        <f>IF(t&lt;Tvie,1-EXP((T0-t)*PertePVj)+'2026'!Pspv,1-EXP((T0-t)*PertePVj)+Pspv)</f>
        <v>2.8737114906705719E-2</v>
      </c>
      <c r="M279" s="836"/>
      <c r="N279" s="836"/>
      <c r="O279" s="48">
        <f>IF(t&lt;Tnet,'2026'!Resal+('2026'!Salim-'2026'!Resal)*(1-EXP(('2026'!Tnet-t)/('2026'!Tau_j))),Resal+(Salim-Resal)*(1-EXP((Tnet-t)/(Tau_j))))*Salcycl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1.5979496213870177E-4</v>
      </c>
      <c r="Q279" s="301">
        <f t="shared" si="105"/>
        <v>0.5</v>
      </c>
      <c r="R279" s="173">
        <f t="shared" si="106"/>
        <v>0.98710266865963003</v>
      </c>
      <c r="S279" s="802">
        <f t="shared" si="107"/>
        <v>2</v>
      </c>
      <c r="T279" s="172">
        <f t="shared" si="108"/>
        <v>8</v>
      </c>
      <c r="U279" s="247">
        <f t="shared" si="109"/>
        <v>2.98710266865963</v>
      </c>
      <c r="V279" s="378">
        <f t="shared" si="110"/>
        <v>43.028749090905166</v>
      </c>
      <c r="W279" s="397">
        <f t="shared" si="111"/>
        <v>42.728454341747437</v>
      </c>
      <c r="X279" s="153">
        <f t="shared" si="112"/>
        <v>46652</v>
      </c>
      <c r="Y279" s="380">
        <f t="shared" si="113"/>
        <v>41.190886434681381</v>
      </c>
      <c r="Z279" s="380">
        <f t="shared" si="114"/>
        <v>42.409616455924606</v>
      </c>
      <c r="AA279" s="381">
        <f t="shared" si="115"/>
        <v>44.453322089473659</v>
      </c>
      <c r="AB279" s="193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4.597419354701035E-2</v>
      </c>
      <c r="AD279" s="227">
        <f>(INDEX(Models!$BJ279:$BT279,,AH279)*(1-AF279)+INDEX(Models!$BJ279:$BT279,,AH279+1)*AF279-ERP_i)*AE279*Ramure*Pc/MaxiM</f>
        <v>1.5979496213870177E-4</v>
      </c>
      <c r="AE279" s="301">
        <f t="shared" si="117"/>
        <v>0.5</v>
      </c>
      <c r="AF279" s="173">
        <f t="shared" si="118"/>
        <v>0.98710266865963003</v>
      </c>
      <c r="AG279" s="802">
        <f t="shared" si="124"/>
        <v>2</v>
      </c>
      <c r="AH279" s="172">
        <f t="shared" si="119"/>
        <v>8</v>
      </c>
      <c r="AI279" s="221">
        <f t="shared" si="120"/>
        <v>2.98710266865963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46653</v>
      </c>
      <c r="B280" s="406">
        <f>'2026'!Wh/'2026'!Env_an*'2027'!Env_an</f>
        <v>31.310678473664701</v>
      </c>
      <c r="C280" s="832"/>
      <c r="D280" s="388">
        <f t="shared" si="102"/>
        <v>32.237520425193026</v>
      </c>
      <c r="E280" s="380">
        <f t="shared" si="100"/>
        <v>32.577184818513288</v>
      </c>
      <c r="F280" s="380">
        <f t="shared" si="103"/>
        <v>32.58039866160788</v>
      </c>
      <c r="G280" s="110">
        <f t="shared" si="101"/>
        <v>0.7341416404632346</v>
      </c>
      <c r="H280" s="409" t="b">
        <f>Wh_hp&gt;='2026'!Maxi_hp</f>
        <v>0</v>
      </c>
      <c r="I280" s="385">
        <f>IF(H280,Wh_hp,'2026'!Maxi_hp)</f>
        <v>32.582079960856511</v>
      </c>
      <c r="J280" s="85">
        <f>IF(H280,An,'2026'!An_max)</f>
        <v>2022</v>
      </c>
      <c r="K280" s="193">
        <f t="shared" si="104"/>
        <v>46653</v>
      </c>
      <c r="L280" s="143">
        <f>IF(t&lt;Tvie,1-EXP((T0-t)*PertePVj)+'2026'!Pspv,1-EXP((T0-t)*PertePVj)+Pspv)</f>
        <v>2.8750410679973193E-2</v>
      </c>
      <c r="M280" s="836"/>
      <c r="N280" s="836"/>
      <c r="O280" s="48">
        <f>IF(t&lt;Tnet,'2026'!Resal+('2026'!Salim-'2026'!Resal)*(1-EXP(('2026'!Tnet-t)/('2026'!Tau_j))),Resal+(Salim-Resal)*(1-EXP((Tnet-t)/(Tau_j))))*Salcycl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1.590341958019372E-4</v>
      </c>
      <c r="Q280" s="301">
        <f t="shared" si="105"/>
        <v>0.5</v>
      </c>
      <c r="R280" s="173">
        <f t="shared" si="106"/>
        <v>0.98737599891519556</v>
      </c>
      <c r="S280" s="802">
        <f t="shared" si="107"/>
        <v>2</v>
      </c>
      <c r="T280" s="172">
        <f t="shared" si="108"/>
        <v>8</v>
      </c>
      <c r="U280" s="247">
        <f t="shared" si="109"/>
        <v>2.9873759989151956</v>
      </c>
      <c r="V280" s="378">
        <f t="shared" si="110"/>
        <v>42.646794142211398</v>
      </c>
      <c r="W280" s="397">
        <f t="shared" si="111"/>
        <v>31.310678473664701</v>
      </c>
      <c r="X280" s="153">
        <f t="shared" si="112"/>
        <v>46653</v>
      </c>
      <c r="Y280" s="380">
        <f t="shared" si="113"/>
        <v>30.185233302353794</v>
      </c>
      <c r="Z280" s="380">
        <f t="shared" si="114"/>
        <v>31.078760428085758</v>
      </c>
      <c r="AA280" s="381">
        <f t="shared" si="115"/>
        <v>32.577184818513288</v>
      </c>
      <c r="AB280" s="193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4.599612884830951E-2</v>
      </c>
      <c r="AD280" s="227">
        <f>(INDEX(Models!$BJ280:$BT280,,AH280)*(1-AF280)+INDEX(Models!$BJ280:$BT280,,AH280+1)*AF280-ERP_i)*AE280*Ramure*Pc/MaxiM</f>
        <v>1.590341958019372E-4</v>
      </c>
      <c r="AE280" s="301">
        <f t="shared" si="117"/>
        <v>0.5</v>
      </c>
      <c r="AF280" s="173">
        <f t="shared" si="118"/>
        <v>0.98737599891519556</v>
      </c>
      <c r="AG280" s="802">
        <f t="shared" si="124"/>
        <v>2</v>
      </c>
      <c r="AH280" s="172">
        <f t="shared" si="119"/>
        <v>8</v>
      </c>
      <c r="AI280" s="221">
        <f t="shared" si="120"/>
        <v>2.9873759989151956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46654</v>
      </c>
      <c r="B281" s="406">
        <f>'2026'!Wh/'2026'!Env_an*'2027'!Env_an</f>
        <v>19.340505315666395</v>
      </c>
      <c r="C281" s="832"/>
      <c r="D281" s="388">
        <f t="shared" si="102"/>
        <v>19.913285202115325</v>
      </c>
      <c r="E281" s="380">
        <f t="shared" si="100"/>
        <v>20.124394994125282</v>
      </c>
      <c r="F281" s="380">
        <f t="shared" si="103"/>
        <v>20.125127033221638</v>
      </c>
      <c r="G281" s="110">
        <f t="shared" si="101"/>
        <v>0.457587105185291</v>
      </c>
      <c r="H281" s="409" t="b">
        <f>Wh_hp&gt;='2026'!Maxi_hp</f>
        <v>0</v>
      </c>
      <c r="I281" s="385">
        <f>IF(H281,Wh_hp,'2026'!Maxi_hp)</f>
        <v>20.127284995760309</v>
      </c>
      <c r="J281" s="85">
        <f>IF(H281,An,'2026'!An_max)</f>
        <v>2022</v>
      </c>
      <c r="K281" s="193">
        <f t="shared" si="104"/>
        <v>46654</v>
      </c>
      <c r="L281" s="143">
        <f>IF(t&lt;Tvie,1-EXP((T0-t)*PertePVj)+'2026'!Pspv,1-EXP((T0-t)*PertePVj)+Pspv)</f>
        <v>2.8763706271232814E-2</v>
      </c>
      <c r="M281" s="836"/>
      <c r="N281" s="836"/>
      <c r="O281" s="48">
        <f>IF(t&lt;Tnet,'2026'!Resal+('2026'!Salim-'2026'!Resal)*(1-EXP(('2026'!Tnet-t)/('2026'!Tau_j))),Resal+(Salim-Resal)*(1-EXP((Tnet-t)/(Tau_j))))*Salcycl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1.6151586951397649E-4</v>
      </c>
      <c r="Q281" s="301">
        <f t="shared" si="105"/>
        <v>0.5</v>
      </c>
      <c r="R281" s="173">
        <f t="shared" si="106"/>
        <v>0.98763860870733122</v>
      </c>
      <c r="S281" s="802">
        <f t="shared" si="107"/>
        <v>2</v>
      </c>
      <c r="T281" s="172">
        <f t="shared" si="108"/>
        <v>8</v>
      </c>
      <c r="U281" s="247">
        <f t="shared" si="109"/>
        <v>2.9876386087073312</v>
      </c>
      <c r="V281" s="378">
        <f t="shared" si="110"/>
        <v>42.260991861271101</v>
      </c>
      <c r="W281" s="397">
        <f t="shared" si="111"/>
        <v>19.340505315666395</v>
      </c>
      <c r="X281" s="153">
        <f t="shared" si="112"/>
        <v>46654</v>
      </c>
      <c r="Y281" s="380">
        <f t="shared" si="113"/>
        <v>18.64610558339686</v>
      </c>
      <c r="Z281" s="380">
        <f t="shared" si="114"/>
        <v>19.198320433239569</v>
      </c>
      <c r="AA281" s="381">
        <f t="shared" si="115"/>
        <v>20.124394994125282</v>
      </c>
      <c r="AB281" s="193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4.6017510645962448E-2</v>
      </c>
      <c r="AD281" s="227">
        <f>(INDEX(Models!$BJ281:$BT281,,AH281)*(1-AF281)+INDEX(Models!$BJ281:$BT281,,AH281+1)*AF281-ERP_i)*AE281*Ramure*Pc/MaxiM</f>
        <v>1.6151586951397649E-4</v>
      </c>
      <c r="AE281" s="301">
        <f t="shared" si="117"/>
        <v>0.5</v>
      </c>
      <c r="AF281" s="173">
        <f t="shared" si="118"/>
        <v>0.98763860870733122</v>
      </c>
      <c r="AG281" s="802">
        <f t="shared" si="124"/>
        <v>2</v>
      </c>
      <c r="AH281" s="172">
        <f t="shared" si="119"/>
        <v>8</v>
      </c>
      <c r="AI281" s="221">
        <f t="shared" si="120"/>
        <v>2.9876386087073312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46655</v>
      </c>
      <c r="B282" s="406">
        <f>'2026'!Wh/'2026'!Env_an*'2027'!Env_an</f>
        <v>30.957044026265507</v>
      </c>
      <c r="C282" s="832"/>
      <c r="D282" s="388">
        <f t="shared" si="102"/>
        <v>31.874290538660876</v>
      </c>
      <c r="E282" s="380">
        <f t="shared" si="100"/>
        <v>32.214274138441318</v>
      </c>
      <c r="F282" s="380">
        <f t="shared" si="103"/>
        <v>32.217690408718212</v>
      </c>
      <c r="G282" s="110">
        <f t="shared" si="101"/>
        <v>0.73927711472109325</v>
      </c>
      <c r="H282" s="409" t="b">
        <f>Wh_hp&gt;='2026'!Maxi_hp</f>
        <v>0</v>
      </c>
      <c r="I282" s="385">
        <f>IF(H282,Wh_hp,'2026'!Maxi_hp)</f>
        <v>32.219433852063254</v>
      </c>
      <c r="J282" s="85">
        <f>IF(H282,An,'2026'!An_max)</f>
        <v>2022</v>
      </c>
      <c r="K282" s="193">
        <f t="shared" si="104"/>
        <v>46655</v>
      </c>
      <c r="L282" s="143">
        <f>IF(t&lt;Tvie,1-EXP((T0-t)*PertePVj)+'2026'!Pspv,1-EXP((T0-t)*PertePVj)+Pspv)</f>
        <v>2.8777001680486802E-2</v>
      </c>
      <c r="M282" s="836"/>
      <c r="N282" s="836"/>
      <c r="O282" s="48">
        <f>IF(t&lt;Tnet,'2026'!Resal+('2026'!Salim-'2026'!Resal)*(1-EXP(('2026'!Tnet-t)/('2026'!Tau_j))),Resal+(Salim-Resal)*(1-EXP((Tnet-t)/(Tau_j))))*Salcycl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1.6895509341299236E-4</v>
      </c>
      <c r="Q282" s="301">
        <f t="shared" si="105"/>
        <v>0.5</v>
      </c>
      <c r="R282" s="173">
        <f t="shared" si="106"/>
        <v>0.9878909076345499</v>
      </c>
      <c r="S282" s="802">
        <f t="shared" si="107"/>
        <v>2</v>
      </c>
      <c r="T282" s="172">
        <f t="shared" si="108"/>
        <v>8</v>
      </c>
      <c r="U282" s="247">
        <f t="shared" si="109"/>
        <v>2.9878909076345499</v>
      </c>
      <c r="V282" s="378">
        <f t="shared" si="110"/>
        <v>41.872114594159974</v>
      </c>
      <c r="W282" s="397">
        <f t="shared" si="111"/>
        <v>30.957044026265507</v>
      </c>
      <c r="X282" s="153">
        <f t="shared" si="112"/>
        <v>46655</v>
      </c>
      <c r="Y282" s="380">
        <f t="shared" si="113"/>
        <v>29.846831686228782</v>
      </c>
      <c r="Z282" s="380">
        <f t="shared" si="114"/>
        <v>30.731182990798334</v>
      </c>
      <c r="AA282" s="381">
        <f t="shared" si="115"/>
        <v>32.214274138441318</v>
      </c>
      <c r="AB282" s="193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4.6038322678616871E-2</v>
      </c>
      <c r="AD282" s="227">
        <f>(INDEX(Models!$BJ282:$BT282,,AH282)*(1-AF282)+INDEX(Models!$BJ282:$BT282,,AH282+1)*AF282-ERP_i)*AE282*Ramure*Pc/MaxiM</f>
        <v>1.6895509341299236E-4</v>
      </c>
      <c r="AE282" s="301">
        <f t="shared" si="117"/>
        <v>0.5</v>
      </c>
      <c r="AF282" s="173">
        <f t="shared" si="118"/>
        <v>0.9878909076345499</v>
      </c>
      <c r="AG282" s="802">
        <f t="shared" si="124"/>
        <v>2</v>
      </c>
      <c r="AH282" s="172">
        <f t="shared" si="119"/>
        <v>8</v>
      </c>
      <c r="AI282" s="221">
        <f t="shared" si="120"/>
        <v>2.9878909076345499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46656</v>
      </c>
      <c r="B283" s="406">
        <f>'2026'!Wh/'2026'!Env_an*'2027'!Env_an</f>
        <v>33.387247775066136</v>
      </c>
      <c r="C283" s="832"/>
      <c r="D283" s="388">
        <f t="shared" si="102"/>
        <v>34.37697097626139</v>
      </c>
      <c r="E283" s="380">
        <f t="shared" si="100"/>
        <v>34.745873863174403</v>
      </c>
      <c r="F283" s="380">
        <f t="shared" si="103"/>
        <v>34.750396308023412</v>
      </c>
      <c r="G283" s="110">
        <f t="shared" si="101"/>
        <v>0.80483910904385558</v>
      </c>
      <c r="H283" s="409" t="b">
        <f>Wh_hp&gt;='2026'!Maxi_hp</f>
        <v>0</v>
      </c>
      <c r="I283" s="385">
        <f>IF(H283,Wh_hp,'2026'!Maxi_hp)</f>
        <v>34.75190503320507</v>
      </c>
      <c r="J283" s="85">
        <f>IF(H283,An,'2026'!An_max)</f>
        <v>2022</v>
      </c>
      <c r="K283" s="193">
        <f t="shared" si="104"/>
        <v>46656</v>
      </c>
      <c r="L283" s="143">
        <f>IF(t&lt;Tvie,1-EXP((T0-t)*PertePVj)+'2026'!Pspv,1-EXP((T0-t)*PertePVj)+Pspv)</f>
        <v>2.8790296907737933E-2</v>
      </c>
      <c r="M283" s="836"/>
      <c r="N283" s="836"/>
      <c r="O283" s="48">
        <f>IF(t&lt;Tnet,'2026'!Resal+('2026'!Salim-'2026'!Resal)*(1-EXP(('2026'!Tnet-t)/('2026'!Tau_j))),Resal+(Salim-Resal)*(1-EXP((Tnet-t)/(Tau_j))))*Salcycl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1.8043622725341356E-4</v>
      </c>
      <c r="Q283" s="301">
        <f t="shared" si="105"/>
        <v>0.5</v>
      </c>
      <c r="R283" s="173">
        <f t="shared" si="106"/>
        <v>0.9881332904949276</v>
      </c>
      <c r="S283" s="802">
        <f t="shared" si="107"/>
        <v>2</v>
      </c>
      <c r="T283" s="172">
        <f t="shared" si="108"/>
        <v>8</v>
      </c>
      <c r="U283" s="247">
        <f t="shared" si="109"/>
        <v>2.9881332904949276</v>
      </c>
      <c r="V283" s="378">
        <f t="shared" si="110"/>
        <v>41.481046281071926</v>
      </c>
      <c r="W283" s="397">
        <f t="shared" si="111"/>
        <v>33.387247775066136</v>
      </c>
      <c r="X283" s="153">
        <f t="shared" si="112"/>
        <v>46656</v>
      </c>
      <c r="Y283" s="380">
        <f t="shared" si="113"/>
        <v>32.191259700960977</v>
      </c>
      <c r="Z283" s="380">
        <f t="shared" si="114"/>
        <v>33.145529331581344</v>
      </c>
      <c r="AA283" s="381">
        <f t="shared" si="115"/>
        <v>34.745873863174403</v>
      </c>
      <c r="AB283" s="193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4.605854893432957E-2</v>
      </c>
      <c r="AD283" s="227">
        <f>(INDEX(Models!$BJ283:$BT283,,AH283)*(1-AF283)+INDEX(Models!$BJ283:$BT283,,AH283+1)*AF283-ERP_i)*AE283*Ramure*Pc/MaxiM</f>
        <v>1.8043622725341356E-4</v>
      </c>
      <c r="AE283" s="301">
        <f t="shared" si="117"/>
        <v>0.5</v>
      </c>
      <c r="AF283" s="173">
        <f t="shared" si="118"/>
        <v>0.9881332904949276</v>
      </c>
      <c r="AG283" s="802">
        <f t="shared" si="124"/>
        <v>2</v>
      </c>
      <c r="AH283" s="172">
        <f t="shared" si="119"/>
        <v>8</v>
      </c>
      <c r="AI283" s="221">
        <f t="shared" si="120"/>
        <v>2.9881332904949276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46657</v>
      </c>
      <c r="B284" s="406">
        <f>'2026'!Wh/'2026'!Env_an*'2027'!Env_an</f>
        <v>16.338124864168933</v>
      </c>
      <c r="C284" s="832"/>
      <c r="D284" s="388">
        <f t="shared" si="102"/>
        <v>16.82267842919995</v>
      </c>
      <c r="E284" s="380">
        <f t="shared" si="100"/>
        <v>17.004289259947214</v>
      </c>
      <c r="F284" s="380">
        <f t="shared" si="103"/>
        <v>17.004754211649679</v>
      </c>
      <c r="G284" s="110">
        <f t="shared" si="101"/>
        <v>0.39756422371714339</v>
      </c>
      <c r="H284" s="409" t="b">
        <f>Wh_hp&gt;='2026'!Maxi_hp</f>
        <v>0</v>
      </c>
      <c r="I284" s="385">
        <f>IF(H284,Wh_hp,'2026'!Maxi_hp)</f>
        <v>17.007238726948835</v>
      </c>
      <c r="J284" s="85">
        <f>IF(H284,An,'2026'!An_max)</f>
        <v>2022</v>
      </c>
      <c r="K284" s="193">
        <f t="shared" si="104"/>
        <v>46657</v>
      </c>
      <c r="L284" s="143">
        <f>IF(t&lt;Tvie,1-EXP((T0-t)*PertePVj)+'2026'!Pspv,1-EXP((T0-t)*PertePVj)+Pspv)</f>
        <v>2.8803591952988539E-2</v>
      </c>
      <c r="M284" s="836"/>
      <c r="N284" s="836"/>
      <c r="O284" s="48">
        <f>IF(t&lt;Tnet,'2026'!Resal+('2026'!Salim-'2026'!Resal)*(1-EXP(('2026'!Tnet-t)/('2026'!Tau_j))),Resal+(Salim-Resal)*(1-EXP((Tnet-t)/(Tau_j))))*Salcycl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1.9604078262608679E-4</v>
      </c>
      <c r="Q284" s="301">
        <f t="shared" si="105"/>
        <v>0.5</v>
      </c>
      <c r="R284" s="173">
        <f t="shared" si="106"/>
        <v>0.98836613775399673</v>
      </c>
      <c r="S284" s="802">
        <f t="shared" si="107"/>
        <v>2</v>
      </c>
      <c r="T284" s="172">
        <f t="shared" si="108"/>
        <v>8</v>
      </c>
      <c r="U284" s="247">
        <f t="shared" si="109"/>
        <v>2.9883661377539967</v>
      </c>
      <c r="V284" s="378">
        <f t="shared" si="110"/>
        <v>41.088628201271113</v>
      </c>
      <c r="W284" s="397">
        <f t="shared" si="111"/>
        <v>16.338124864168933</v>
      </c>
      <c r="X284" s="153">
        <f t="shared" si="112"/>
        <v>46657</v>
      </c>
      <c r="Y284" s="380">
        <f t="shared" si="113"/>
        <v>15.753546435807541</v>
      </c>
      <c r="Z284" s="380">
        <f t="shared" si="114"/>
        <v>16.220762664769843</v>
      </c>
      <c r="AA284" s="381">
        <f t="shared" si="115"/>
        <v>17.004289259947214</v>
      </c>
      <c r="AB284" s="193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4.6078173759542568E-2</v>
      </c>
      <c r="AD284" s="227">
        <f>(INDEX(Models!$BJ284:$BT284,,AH284)*(1-AF284)+INDEX(Models!$BJ284:$BT284,,AH284+1)*AF284-ERP_i)*AE284*Ramure*Pc/MaxiM</f>
        <v>1.9604078262608679E-4</v>
      </c>
      <c r="AE284" s="301">
        <f t="shared" si="117"/>
        <v>0.5</v>
      </c>
      <c r="AF284" s="173">
        <f t="shared" si="118"/>
        <v>0.98836613775399673</v>
      </c>
      <c r="AG284" s="802">
        <f t="shared" si="124"/>
        <v>2</v>
      </c>
      <c r="AH284" s="172">
        <f t="shared" si="119"/>
        <v>8</v>
      </c>
      <c r="AI284" s="221">
        <f t="shared" si="120"/>
        <v>2.9883661377539967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46658</v>
      </c>
      <c r="B285" s="406">
        <f>'2026'!Wh/'2026'!Env_an*'2027'!Env_an</f>
        <v>18.663994002758255</v>
      </c>
      <c r="C285" s="832"/>
      <c r="D285" s="388">
        <f t="shared" si="102"/>
        <v>19.217790908218575</v>
      </c>
      <c r="E285" s="380">
        <f t="shared" si="100"/>
        <v>19.426493331266549</v>
      </c>
      <c r="F285" s="380">
        <f t="shared" si="103"/>
        <v>19.427443580417798</v>
      </c>
      <c r="G285" s="110">
        <f t="shared" si="101"/>
        <v>0.45854666349871603</v>
      </c>
      <c r="H285" s="409" t="b">
        <f>Wh_hp&gt;='2026'!Maxi_hp</f>
        <v>0</v>
      </c>
      <c r="I285" s="385">
        <f>IF(H285,Wh_hp,'2026'!Maxi_hp)</f>
        <v>19.430260578992954</v>
      </c>
      <c r="J285" s="85">
        <f>IF(H285,An,'2026'!An_max)</f>
        <v>2022</v>
      </c>
      <c r="K285" s="193">
        <f t="shared" si="104"/>
        <v>46658</v>
      </c>
      <c r="L285" s="143">
        <f>IF(t&lt;Tvie,1-EXP((T0-t)*PertePVj)+'2026'!Pspv,1-EXP((T0-t)*PertePVj)+Pspv)</f>
        <v>2.8816886816241061E-2</v>
      </c>
      <c r="M285" s="836"/>
      <c r="N285" s="836"/>
      <c r="O285" s="48">
        <f>IF(t&lt;Tnet,'2026'!Resal+('2026'!Salim-'2026'!Resal)*(1-EXP(('2026'!Tnet-t)/('2026'!Tau_j))),Resal+(Salim-Resal)*(1-EXP((Tnet-t)/(Tau_j))))*Salcycl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2.1585051453596588E-4</v>
      </c>
      <c r="Q285" s="301">
        <f t="shared" si="105"/>
        <v>0.5</v>
      </c>
      <c r="R285" s="173">
        <f t="shared" si="106"/>
        <v>0.98858981600328377</v>
      </c>
      <c r="S285" s="802">
        <f t="shared" si="107"/>
        <v>2</v>
      </c>
      <c r="T285" s="172">
        <f t="shared" si="108"/>
        <v>8</v>
      </c>
      <c r="U285" s="247">
        <f t="shared" si="109"/>
        <v>2.9885898160032838</v>
      </c>
      <c r="V285" s="378">
        <f t="shared" si="110"/>
        <v>40.695701462561729</v>
      </c>
      <c r="W285" s="397">
        <f t="shared" si="111"/>
        <v>18.663994002758255</v>
      </c>
      <c r="X285" s="153">
        <f t="shared" si="112"/>
        <v>46658</v>
      </c>
      <c r="Y285" s="380">
        <f t="shared" si="113"/>
        <v>17.99698138578313</v>
      </c>
      <c r="Z285" s="380">
        <f t="shared" si="114"/>
        <v>18.530986733063074</v>
      </c>
      <c r="AA285" s="381">
        <f t="shared" si="115"/>
        <v>19.426493331266549</v>
      </c>
      <c r="AB285" s="193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4.6097181973762426E-2</v>
      </c>
      <c r="AD285" s="227">
        <f>(INDEX(Models!$BJ285:$BT285,,AH285)*(1-AF285)+INDEX(Models!$BJ285:$BT285,,AH285+1)*AF285-ERP_i)*AE285*Ramure*Pc/MaxiM</f>
        <v>2.1585051453596588E-4</v>
      </c>
      <c r="AE285" s="301">
        <f t="shared" si="117"/>
        <v>0.5</v>
      </c>
      <c r="AF285" s="173">
        <f t="shared" si="118"/>
        <v>0.98858981600328377</v>
      </c>
      <c r="AG285" s="802">
        <f t="shared" si="124"/>
        <v>2</v>
      </c>
      <c r="AH285" s="172">
        <f t="shared" si="119"/>
        <v>8</v>
      </c>
      <c r="AI285" s="221">
        <f t="shared" si="120"/>
        <v>2.9885898160032838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46659</v>
      </c>
      <c r="B286" s="406">
        <f>'2026'!Wh/'2026'!Env_an*'2027'!Env_an</f>
        <v>24.15503173668959</v>
      </c>
      <c r="C286" s="832"/>
      <c r="D286" s="388">
        <f t="shared" si="102"/>
        <v>24.872098861078193</v>
      </c>
      <c r="E286" s="380">
        <f t="shared" si="100"/>
        <v>25.143798636667565</v>
      </c>
      <c r="F286" s="380">
        <f t="shared" si="103"/>
        <v>25.146378805490169</v>
      </c>
      <c r="G286" s="110">
        <f t="shared" si="101"/>
        <v>0.5992519119722074</v>
      </c>
      <c r="H286" s="409" t="b">
        <f>Wh_hp&gt;='2026'!Maxi_hp</f>
        <v>0</v>
      </c>
      <c r="I286" s="385">
        <f>IF(H286,Wh_hp,'2026'!Maxi_hp)</f>
        <v>25.149385845472246</v>
      </c>
      <c r="J286" s="85">
        <f>IF(H286,An,'2026'!An_max)</f>
        <v>2022</v>
      </c>
      <c r="K286" s="193">
        <f t="shared" si="104"/>
        <v>46659</v>
      </c>
      <c r="L286" s="143">
        <f>IF(t&lt;Tvie,1-EXP((T0-t)*PertePVj)+'2026'!Pspv,1-EXP((T0-t)*PertePVj)+Pspv)</f>
        <v>2.8830181497498164E-2</v>
      </c>
      <c r="M286" s="836"/>
      <c r="N286" s="836"/>
      <c r="O286" s="48">
        <f>IF(t&lt;Tnet,'2026'!Resal+('2026'!Salim-'2026'!Resal)*(1-EXP(('2026'!Tnet-t)/('2026'!Tau_j))),Resal+(Salim-Resal)*(1-EXP((Tnet-t)/(Tau_j))))*Salcycl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2.3994644618855011E-4</v>
      </c>
      <c r="Q286" s="301">
        <f t="shared" si="105"/>
        <v>0.5</v>
      </c>
      <c r="R286" s="173">
        <f t="shared" si="106"/>
        <v>0.98880467840919373</v>
      </c>
      <c r="S286" s="802">
        <f t="shared" si="107"/>
        <v>2</v>
      </c>
      <c r="T286" s="172">
        <f t="shared" si="108"/>
        <v>8</v>
      </c>
      <c r="U286" s="247">
        <f t="shared" si="109"/>
        <v>2.9888046784091937</v>
      </c>
      <c r="V286" s="378">
        <f t="shared" si="110"/>
        <v>40.303107007935978</v>
      </c>
      <c r="W286" s="397">
        <f t="shared" si="111"/>
        <v>24.15503173668959</v>
      </c>
      <c r="X286" s="153">
        <f t="shared" si="112"/>
        <v>46659</v>
      </c>
      <c r="Y286" s="380">
        <f t="shared" si="113"/>
        <v>23.292807210736136</v>
      </c>
      <c r="Z286" s="380">
        <f t="shared" si="114"/>
        <v>23.984278307425729</v>
      </c>
      <c r="AA286" s="381">
        <f t="shared" si="115"/>
        <v>25.143798636667565</v>
      </c>
      <c r="AB286" s="193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4.6115558989201097E-2</v>
      </c>
      <c r="AD286" s="227">
        <f>(INDEX(Models!$BJ286:$BT286,,AH286)*(1-AF286)+INDEX(Models!$BJ286:$BT286,,AH286+1)*AF286-ERP_i)*AE286*Ramure*Pc/MaxiM</f>
        <v>2.3994644618855011E-4</v>
      </c>
      <c r="AE286" s="301">
        <f t="shared" si="117"/>
        <v>0.5</v>
      </c>
      <c r="AF286" s="173">
        <f t="shared" si="118"/>
        <v>0.98880467840919373</v>
      </c>
      <c r="AG286" s="802">
        <f t="shared" si="124"/>
        <v>2</v>
      </c>
      <c r="AH286" s="172">
        <f t="shared" si="119"/>
        <v>8</v>
      </c>
      <c r="AI286" s="221">
        <f t="shared" si="120"/>
        <v>2.9888046784091937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46660</v>
      </c>
      <c r="B287" s="406">
        <f>'2026'!Wh/'2026'!Env_an*'2027'!Env_an</f>
        <v>25.902218597626831</v>
      </c>
      <c r="C287" s="832"/>
      <c r="D287" s="388">
        <f t="shared" si="102"/>
        <v>26.67151788349668</v>
      </c>
      <c r="E287" s="380">
        <f t="shared" si="100"/>
        <v>26.964575429002526</v>
      </c>
      <c r="F287" s="380">
        <f t="shared" si="103"/>
        <v>26.968184203417316</v>
      </c>
      <c r="G287" s="110">
        <f t="shared" si="101"/>
        <v>0.64890097978620209</v>
      </c>
      <c r="H287" s="409" t="b">
        <f>Wh_hp&gt;='2026'!Maxi_hp</f>
        <v>0</v>
      </c>
      <c r="I287" s="385">
        <f>IF(H287,Wh_hp,'2026'!Maxi_hp)</f>
        <v>26.97135071424043</v>
      </c>
      <c r="J287" s="85">
        <f>IF(H287,An,'2026'!An_max)</f>
        <v>2022</v>
      </c>
      <c r="K287" s="193">
        <f t="shared" si="104"/>
        <v>46660</v>
      </c>
      <c r="L287" s="143">
        <f>IF(t&lt;Tvie,1-EXP((T0-t)*PertePVj)+'2026'!Pspv,1-EXP((T0-t)*PertePVj)+Pspv)</f>
        <v>2.884347599676218E-2</v>
      </c>
      <c r="M287" s="836"/>
      <c r="N287" s="836"/>
      <c r="O287" s="48">
        <f>IF(t&lt;Tnet,'2026'!Resal+('2026'!Salim-'2026'!Resal)*(1-EXP(('2026'!Tnet-t)/('2026'!Tau_j))),Resal+(Salim-Resal)*(1-EXP((Tnet-t)/(Tau_j))))*Salcycl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2.6840781219048812E-4</v>
      </c>
      <c r="Q287" s="301">
        <f t="shared" si="105"/>
        <v>0.5</v>
      </c>
      <c r="R287" s="173">
        <f t="shared" si="106"/>
        <v>0.98901106515200254</v>
      </c>
      <c r="S287" s="802">
        <f t="shared" si="107"/>
        <v>2</v>
      </c>
      <c r="T287" s="172">
        <f t="shared" si="108"/>
        <v>8</v>
      </c>
      <c r="U287" s="247">
        <f t="shared" si="109"/>
        <v>2.9890110651520025</v>
      </c>
      <c r="V287" s="378">
        <f t="shared" si="110"/>
        <v>39.911685621011088</v>
      </c>
      <c r="W287" s="397">
        <f t="shared" si="111"/>
        <v>25.902218597626831</v>
      </c>
      <c r="X287" s="153">
        <f t="shared" si="112"/>
        <v>46660</v>
      </c>
      <c r="Y287" s="380">
        <f t="shared" si="113"/>
        <v>24.978739004833315</v>
      </c>
      <c r="Z287" s="380">
        <f t="shared" si="114"/>
        <v>25.720610825809615</v>
      </c>
      <c r="AA287" s="381">
        <f t="shared" si="115"/>
        <v>26.964575429002526</v>
      </c>
      <c r="AB287" s="193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4.6133290934554448E-2</v>
      </c>
      <c r="AD287" s="227">
        <f>(INDEX(Models!$BJ287:$BT287,,AH287)*(1-AF287)+INDEX(Models!$BJ287:$BT287,,AH287+1)*AF287-ERP_i)*AE287*Ramure*Pc/MaxiM</f>
        <v>2.6840781219048812E-4</v>
      </c>
      <c r="AE287" s="301">
        <f t="shared" si="117"/>
        <v>0.5</v>
      </c>
      <c r="AF287" s="173">
        <f t="shared" si="118"/>
        <v>0.98901106515200254</v>
      </c>
      <c r="AG287" s="802">
        <f t="shared" si="124"/>
        <v>2</v>
      </c>
      <c r="AH287" s="172">
        <f t="shared" si="119"/>
        <v>8</v>
      </c>
      <c r="AI287" s="221">
        <f t="shared" si="120"/>
        <v>2.9890110651520025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46661</v>
      </c>
      <c r="B288" s="406">
        <f>'2026'!Wh/'2026'!Env_an*'2027'!Env_an</f>
        <v>35.352248287048596</v>
      </c>
      <c r="C288" s="832"/>
      <c r="D288" s="388">
        <f t="shared" si="102"/>
        <v>36.402713015340019</v>
      </c>
      <c r="E288" s="380">
        <f t="shared" si="100"/>
        <v>36.805006407068497</v>
      </c>
      <c r="F288" s="380">
        <f t="shared" si="103"/>
        <v>36.814427012121179</v>
      </c>
      <c r="G288" s="110">
        <f t="shared" si="101"/>
        <v>0.89444850219954009</v>
      </c>
      <c r="H288" s="409" t="b">
        <f>Wh_hp&gt;='2026'!Maxi_hp</f>
        <v>0</v>
      </c>
      <c r="I288" s="385">
        <f>IF(H288,Wh_hp,'2026'!Maxi_hp)</f>
        <v>36.815887882487736</v>
      </c>
      <c r="J288" s="85">
        <f>IF(H288,An,'2026'!An_max)</f>
        <v>2022</v>
      </c>
      <c r="K288" s="193">
        <f t="shared" si="104"/>
        <v>46661</v>
      </c>
      <c r="L288" s="143">
        <f>IF(t&lt;Tvie,1-EXP((T0-t)*PertePVj)+'2026'!Pspv,1-EXP((T0-t)*PertePVj)+Pspv)</f>
        <v>2.8856770314035662E-2</v>
      </c>
      <c r="M288" s="836"/>
      <c r="N288" s="836"/>
      <c r="O288" s="48">
        <f>IF(t&lt;Tnet,'2026'!Resal+('2026'!Salim-'2026'!Resal)*(1-EXP(('2026'!Tnet-t)/('2026'!Tau_j))),Resal+(Salim-Resal)*(1-EXP((Tnet-t)/(Tau_j))))*Salcycl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3.0131091766621586E-4</v>
      </c>
      <c r="Q288" s="301">
        <f t="shared" si="105"/>
        <v>0.5</v>
      </c>
      <c r="R288" s="173">
        <f t="shared" si="106"/>
        <v>0.98920930385475092</v>
      </c>
      <c r="S288" s="802">
        <f t="shared" si="107"/>
        <v>2</v>
      </c>
      <c r="T288" s="172">
        <f t="shared" si="108"/>
        <v>8</v>
      </c>
      <c r="U288" s="247">
        <f t="shared" si="109"/>
        <v>2.9892093038547509</v>
      </c>
      <c r="V288" s="378">
        <f t="shared" si="110"/>
        <v>39.522277931611413</v>
      </c>
      <c r="W288" s="397">
        <f t="shared" si="111"/>
        <v>35.352248287048596</v>
      </c>
      <c r="X288" s="153">
        <f t="shared" si="112"/>
        <v>46661</v>
      </c>
      <c r="Y288" s="380">
        <f t="shared" si="113"/>
        <v>34.093383404099711</v>
      </c>
      <c r="Z288" s="380">
        <f t="shared" si="114"/>
        <v>35.106441935577706</v>
      </c>
      <c r="AA288" s="381">
        <f t="shared" si="115"/>
        <v>36.805006407068497</v>
      </c>
      <c r="AB288" s="193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4.6150364782019865E-2</v>
      </c>
      <c r="AD288" s="227">
        <f>(INDEX(Models!$BJ288:$BT288,,AH288)*(1-AF288)+INDEX(Models!$BJ288:$BT288,,AH288+1)*AF288-ERP_i)*AE288*Ramure*Pc/MaxiM</f>
        <v>3.0131091766621586E-4</v>
      </c>
      <c r="AE288" s="301">
        <f t="shared" si="117"/>
        <v>0.5</v>
      </c>
      <c r="AF288" s="173">
        <f t="shared" si="118"/>
        <v>0.98920930385475092</v>
      </c>
      <c r="AG288" s="802">
        <f t="shared" si="124"/>
        <v>2</v>
      </c>
      <c r="AH288" s="172">
        <f t="shared" si="119"/>
        <v>8</v>
      </c>
      <c r="AI288" s="221">
        <f t="shared" si="120"/>
        <v>2.9892093038547509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46662</v>
      </c>
      <c r="B289" s="406">
        <f>'2026'!Wh/'2026'!Env_an*'2027'!Env_an</f>
        <v>36.763765602542108</v>
      </c>
      <c r="C289" s="832"/>
      <c r="D289" s="388">
        <f t="shared" si="102"/>
        <v>37.856690702975015</v>
      </c>
      <c r="E289" s="380">
        <f t="shared" si="100"/>
        <v>38.27744788220113</v>
      </c>
      <c r="F289" s="380">
        <f t="shared" si="103"/>
        <v>38.289296823897182</v>
      </c>
      <c r="G289" s="110">
        <f t="shared" si="101"/>
        <v>0.93943612472786742</v>
      </c>
      <c r="H289" s="409" t="b">
        <f>Wh_hp&gt;='2026'!Maxi_hp</f>
        <v>0</v>
      </c>
      <c r="I289" s="385">
        <f>IF(H289,Wh_hp,'2026'!Maxi_hp)</f>
        <v>38.290278052871017</v>
      </c>
      <c r="J289" s="85">
        <f>IF(H289,An,'2026'!An_max)</f>
        <v>2022</v>
      </c>
      <c r="K289" s="193">
        <f t="shared" si="104"/>
        <v>46662</v>
      </c>
      <c r="L289" s="143">
        <f>IF(t&lt;Tvie,1-EXP((T0-t)*PertePVj)+'2026'!Pspv,1-EXP((T0-t)*PertePVj)+Pspv)</f>
        <v>2.8870064449321164E-2</v>
      </c>
      <c r="M289" s="836"/>
      <c r="N289" s="836"/>
      <c r="O289" s="48">
        <f>IF(t&lt;Tnet,'2026'!Resal+('2026'!Salim-'2026'!Resal)*(1-EXP(('2026'!Tnet-t)/('2026'!Tau_j))),Resal+(Salim-Resal)*(1-EXP((Tnet-t)/(Tau_j))))*Salcycl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3.3875393279649468E-4</v>
      </c>
      <c r="Q289" s="301">
        <f t="shared" si="105"/>
        <v>0.5</v>
      </c>
      <c r="R289" s="173">
        <f t="shared" si="106"/>
        <v>0.98939971000190763</v>
      </c>
      <c r="S289" s="802">
        <f t="shared" si="107"/>
        <v>2</v>
      </c>
      <c r="T289" s="172">
        <f t="shared" si="108"/>
        <v>8</v>
      </c>
      <c r="U289" s="247">
        <f t="shared" si="109"/>
        <v>2.9893997100019076</v>
      </c>
      <c r="V289" s="378">
        <f t="shared" si="110"/>
        <v>39.132717259486135</v>
      </c>
      <c r="W289" s="397">
        <f t="shared" si="111"/>
        <v>36.763765602542108</v>
      </c>
      <c r="X289" s="153">
        <f t="shared" si="112"/>
        <v>46662</v>
      </c>
      <c r="Y289" s="380">
        <f t="shared" si="113"/>
        <v>35.456247041689323</v>
      </c>
      <c r="Z289" s="380">
        <f t="shared" si="114"/>
        <v>36.510301807948977</v>
      </c>
      <c r="AA289" s="381">
        <f t="shared" si="115"/>
        <v>38.27744788220113</v>
      </c>
      <c r="AB289" s="193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4.616676847658565E-2</v>
      </c>
      <c r="AD289" s="227">
        <f>(INDEX(Models!$BJ289:$BT289,,AH289)*(1-AF289)+INDEX(Models!$BJ289:$BT289,,AH289+1)*AF289-ERP_i)*AE289*Ramure*Pc/MaxiM</f>
        <v>3.3875393279649468E-4</v>
      </c>
      <c r="AE289" s="301">
        <f t="shared" si="117"/>
        <v>0.5</v>
      </c>
      <c r="AF289" s="173">
        <f t="shared" si="118"/>
        <v>0.98939971000190763</v>
      </c>
      <c r="AG289" s="802">
        <f t="shared" si="124"/>
        <v>2</v>
      </c>
      <c r="AH289" s="172">
        <f t="shared" si="119"/>
        <v>8</v>
      </c>
      <c r="AI289" s="221">
        <f t="shared" si="120"/>
        <v>2.9893997100019076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46663</v>
      </c>
      <c r="B290" s="406">
        <f>'2026'!Wh/'2026'!Env_an*'2027'!Env_an</f>
        <v>33.291905259744119</v>
      </c>
      <c r="C290" s="832"/>
      <c r="D290" s="388">
        <f t="shared" si="102"/>
        <v>34.282087067298768</v>
      </c>
      <c r="E290" s="380">
        <f t="shared" si="100"/>
        <v>34.6652749692554</v>
      </c>
      <c r="F290" s="380">
        <f t="shared" si="103"/>
        <v>34.675776155904899</v>
      </c>
      <c r="G290" s="110">
        <f t="shared" si="101"/>
        <v>0.85928828091027243</v>
      </c>
      <c r="H290" s="409" t="b">
        <f>Wh_hp&gt;='2026'!Maxi_hp</f>
        <v>0</v>
      </c>
      <c r="I290" s="385">
        <f>IF(H290,Wh_hp,'2026'!Maxi_hp)</f>
        <v>34.678087657716873</v>
      </c>
      <c r="J290" s="85">
        <f>IF(H290,An,'2026'!An_max)</f>
        <v>2022</v>
      </c>
      <c r="K290" s="193">
        <f t="shared" si="104"/>
        <v>46663</v>
      </c>
      <c r="L290" s="143">
        <f>IF(t&lt;Tvie,1-EXP((T0-t)*PertePVj)+'2026'!Pspv,1-EXP((T0-t)*PertePVj)+Pspv)</f>
        <v>2.8883358402621018E-2</v>
      </c>
      <c r="M290" s="836"/>
      <c r="N290" s="836"/>
      <c r="O290" s="48">
        <f>IF(t&lt;Tnet,'2026'!Resal+('2026'!Salim-'2026'!Resal)*(1-EXP(('2026'!Tnet-t)/('2026'!Tau_j))),Resal+(Salim-Resal)*(1-EXP((Tnet-t)/(Tau_j))))*Salcycl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3.7898644950357547E-4</v>
      </c>
      <c r="Q290" s="301">
        <f t="shared" si="105"/>
        <v>0.5</v>
      </c>
      <c r="R290" s="173">
        <f t="shared" si="106"/>
        <v>0.98958258734769533</v>
      </c>
      <c r="S290" s="802">
        <f t="shared" si="107"/>
        <v>2</v>
      </c>
      <c r="T290" s="172">
        <f t="shared" si="108"/>
        <v>8</v>
      </c>
      <c r="U290" s="247">
        <f t="shared" si="109"/>
        <v>2.9895825873476953</v>
      </c>
      <c r="V290" s="378">
        <f t="shared" si="110"/>
        <v>38.740630061605479</v>
      </c>
      <c r="W290" s="397">
        <f t="shared" si="111"/>
        <v>33.291905259744119</v>
      </c>
      <c r="X290" s="153">
        <f t="shared" si="112"/>
        <v>46663</v>
      </c>
      <c r="Y290" s="380">
        <f t="shared" si="113"/>
        <v>32.109336855514464</v>
      </c>
      <c r="Z290" s="380">
        <f t="shared" si="114"/>
        <v>33.064346217667705</v>
      </c>
      <c r="AA290" s="381">
        <f t="shared" si="115"/>
        <v>34.6652749692554</v>
      </c>
      <c r="AB290" s="193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4.6182491066566127E-2</v>
      </c>
      <c r="AD290" s="227">
        <f>(INDEX(Models!$BJ290:$BT290,,AH290)*(1-AF290)+INDEX(Models!$BJ290:$BT290,,AH290+1)*AF290-ERP_i)*AE290*Ramure*Pc/MaxiM</f>
        <v>3.7898644950357547E-4</v>
      </c>
      <c r="AE290" s="301">
        <f t="shared" si="117"/>
        <v>0.5</v>
      </c>
      <c r="AF290" s="173">
        <f t="shared" si="118"/>
        <v>0.98958258734769533</v>
      </c>
      <c r="AG290" s="802">
        <f t="shared" si="124"/>
        <v>2</v>
      </c>
      <c r="AH290" s="172">
        <f t="shared" si="119"/>
        <v>8</v>
      </c>
      <c r="AI290" s="221">
        <f t="shared" si="120"/>
        <v>2.9895825873476953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46664</v>
      </c>
      <c r="B291" s="406">
        <f>'2026'!Wh/'2026'!Env_an*'2027'!Env_an</f>
        <v>38.774840976951076</v>
      </c>
      <c r="C291" s="832"/>
      <c r="D291" s="388">
        <f t="shared" si="102"/>
        <v>39.928645147556615</v>
      </c>
      <c r="E291" s="380">
        <f t="shared" si="100"/>
        <v>40.377453371050201</v>
      </c>
      <c r="F291" s="380">
        <f t="shared" si="103"/>
        <v>40.394405046621053</v>
      </c>
      <c r="G291" s="110">
        <f t="shared" si="101"/>
        <v>1.0111694837797949</v>
      </c>
      <c r="H291" s="409" t="b">
        <f>Wh_hp&gt;='2026'!Maxi_hp</f>
        <v>1</v>
      </c>
      <c r="I291" s="385">
        <f>IF(H291,Wh_hp,'2026'!Maxi_hp)</f>
        <v>40.394405046621053</v>
      </c>
      <c r="J291" s="85">
        <f>IF(H291,An,'2026'!An_max)</f>
        <v>2027</v>
      </c>
      <c r="K291" s="193">
        <f t="shared" si="104"/>
        <v>46664</v>
      </c>
      <c r="L291" s="143">
        <f>IF(t&lt;Tvie,1-EXP((T0-t)*PertePVj)+'2026'!Pspv,1-EXP((T0-t)*PertePVj)+Pspv)</f>
        <v>2.8896652173937887E-2</v>
      </c>
      <c r="M291" s="836"/>
      <c r="N291" s="836"/>
      <c r="O291" s="48">
        <f>IF(t&lt;Tnet,'2026'!Resal+('2026'!Salim-'2026'!Resal)*(1-EXP(('2026'!Tnet-t)/('2026'!Tau_j))),Resal+(Salim-Resal)*(1-EXP((Tnet-t)/(Tau_j))))*Salcycl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4.1965404741778437E-4</v>
      </c>
      <c r="Q291" s="301">
        <f t="shared" si="105"/>
        <v>0.5</v>
      </c>
      <c r="R291" s="173">
        <f t="shared" si="106"/>
        <v>0.98975822831402605</v>
      </c>
      <c r="S291" s="802">
        <f t="shared" si="107"/>
        <v>2</v>
      </c>
      <c r="T291" s="172">
        <f t="shared" si="108"/>
        <v>8</v>
      </c>
      <c r="U291" s="247">
        <f t="shared" si="109"/>
        <v>2.989758228314026</v>
      </c>
      <c r="V291" s="378">
        <f t="shared" si="110"/>
        <v>38.346530031750035</v>
      </c>
      <c r="W291" s="397">
        <f t="shared" si="111"/>
        <v>38.774840976951076</v>
      </c>
      <c r="X291" s="153">
        <f t="shared" si="112"/>
        <v>46664</v>
      </c>
      <c r="Y291" s="380">
        <f t="shared" si="113"/>
        <v>37.399243853955646</v>
      </c>
      <c r="Z291" s="380">
        <f t="shared" si="114"/>
        <v>38.512115046950044</v>
      </c>
      <c r="AA291" s="381">
        <f t="shared" si="115"/>
        <v>40.377453371050201</v>
      </c>
      <c r="AB291" s="193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4.6197522834304519E-2</v>
      </c>
      <c r="AD291" s="227">
        <f>(INDEX(Models!$BJ291:$BT291,,AH291)*(1-AF291)+INDEX(Models!$BJ291:$BT291,,AH291+1)*AF291-ERP_i)*AE291*Ramure*Pc/MaxiM</f>
        <v>4.1965404741778437E-4</v>
      </c>
      <c r="AE291" s="301">
        <f t="shared" si="117"/>
        <v>0.5</v>
      </c>
      <c r="AF291" s="173">
        <f t="shared" si="118"/>
        <v>0.98975822831402605</v>
      </c>
      <c r="AG291" s="802">
        <f t="shared" si="124"/>
        <v>2</v>
      </c>
      <c r="AH291" s="172">
        <f t="shared" si="119"/>
        <v>8</v>
      </c>
      <c r="AI291" s="221">
        <f t="shared" si="120"/>
        <v>2.989758228314026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46665</v>
      </c>
      <c r="B292" s="406">
        <f>'2026'!Wh/'2026'!Env_an*'2027'!Env_an</f>
        <v>39.026978237618465</v>
      </c>
      <c r="C292" s="832"/>
      <c r="D292" s="388">
        <f t="shared" si="102"/>
        <v>40.188835286026659</v>
      </c>
      <c r="E292" s="380">
        <f t="shared" si="100"/>
        <v>40.643079651198846</v>
      </c>
      <c r="F292" s="380">
        <f t="shared" si="103"/>
        <v>40.661814891212074</v>
      </c>
      <c r="G292" s="110">
        <f t="shared" si="101"/>
        <v>1.0283561778969417</v>
      </c>
      <c r="H292" s="409" t="b">
        <f>Wh_hp&gt;='2026'!Maxi_hp</f>
        <v>1</v>
      </c>
      <c r="I292" s="385">
        <f>IF(H292,Wh_hp,'2026'!Maxi_hp)</f>
        <v>40.661814891212074</v>
      </c>
      <c r="J292" s="85">
        <f>IF(H292,An,'2026'!An_max)</f>
        <v>2027</v>
      </c>
      <c r="K292" s="193">
        <f t="shared" si="104"/>
        <v>46665</v>
      </c>
      <c r="L292" s="143">
        <f>IF(t&lt;Tvie,1-EXP((T0-t)*PertePVj)+'2026'!Pspv,1-EXP((T0-t)*PertePVj)+Pspv)</f>
        <v>2.8909945763274214E-2</v>
      </c>
      <c r="M292" s="836"/>
      <c r="N292" s="836"/>
      <c r="O292" s="48">
        <f>IF(t&lt;Tnet,'2026'!Resal+('2026'!Salim-'2026'!Resal)*(1-EXP(('2026'!Tnet-t)/('2026'!Tau_j))),Resal+(Salim-Resal)*(1-EXP((Tnet-t)/(Tau_j))))*Salcycl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4.6075759440032552E-4</v>
      </c>
      <c r="Q292" s="301">
        <f t="shared" si="105"/>
        <v>0.5</v>
      </c>
      <c r="R292" s="173">
        <f t="shared" si="106"/>
        <v>0.98992691437800762</v>
      </c>
      <c r="S292" s="802">
        <f t="shared" si="107"/>
        <v>2</v>
      </c>
      <c r="T292" s="172">
        <f t="shared" si="108"/>
        <v>8</v>
      </c>
      <c r="U292" s="247">
        <f t="shared" si="109"/>
        <v>2.9899269143780076</v>
      </c>
      <c r="V292" s="378">
        <f t="shared" si="110"/>
        <v>37.95083753707911</v>
      </c>
      <c r="W292" s="397">
        <f t="shared" si="111"/>
        <v>39.026978237618465</v>
      </c>
      <c r="X292" s="153">
        <f t="shared" si="112"/>
        <v>46665</v>
      </c>
      <c r="Y292" s="380">
        <f t="shared" si="113"/>
        <v>37.644196734273052</v>
      </c>
      <c r="Z292" s="380">
        <f t="shared" si="114"/>
        <v>38.764887530293258</v>
      </c>
      <c r="AA292" s="381">
        <f t="shared" si="115"/>
        <v>40.643079651198846</v>
      </c>
      <c r="AB292" s="193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4.6211855425925923E-2</v>
      </c>
      <c r="AD292" s="227">
        <f>(INDEX(Models!$BJ292:$BT292,,AH292)*(1-AF292)+INDEX(Models!$BJ292:$BT292,,AH292+1)*AF292-ERP_i)*AE292*Ramure*Pc/MaxiM</f>
        <v>4.6075759440032552E-4</v>
      </c>
      <c r="AE292" s="301">
        <f t="shared" si="117"/>
        <v>0.5</v>
      </c>
      <c r="AF292" s="173">
        <f t="shared" si="118"/>
        <v>0.98992691437800762</v>
      </c>
      <c r="AG292" s="802">
        <f t="shared" si="124"/>
        <v>2</v>
      </c>
      <c r="AH292" s="172">
        <f t="shared" si="119"/>
        <v>8</v>
      </c>
      <c r="AI292" s="221">
        <f t="shared" si="120"/>
        <v>2.9899269143780076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46666</v>
      </c>
      <c r="B293" s="406">
        <f>'2026'!Wh/'2026'!Env_an*'2027'!Env_an</f>
        <v>15.641724885184425</v>
      </c>
      <c r="C293" s="832"/>
      <c r="D293" s="388">
        <f t="shared" si="102"/>
        <v>16.107609116116937</v>
      </c>
      <c r="E293" s="380">
        <f t="shared" si="100"/>
        <v>16.29067164970877</v>
      </c>
      <c r="F293" s="380">
        <f t="shared" si="103"/>
        <v>16.292033759755245</v>
      </c>
      <c r="G293" s="110">
        <f t="shared" si="101"/>
        <v>0.41633878211188818</v>
      </c>
      <c r="H293" s="409" t="b">
        <f>Wh_hp&gt;='2026'!Maxi_hp</f>
        <v>0</v>
      </c>
      <c r="I293" s="385">
        <f>IF(H293,Wh_hp,'2026'!Maxi_hp)</f>
        <v>16.298012203209971</v>
      </c>
      <c r="J293" s="85">
        <f>IF(H293,An,'2026'!An_max)</f>
        <v>2022</v>
      </c>
      <c r="K293" s="193">
        <f t="shared" si="104"/>
        <v>46666</v>
      </c>
      <c r="L293" s="143">
        <f>IF(t&lt;Tvie,1-EXP((T0-t)*PertePVj)+'2026'!Pspv,1-EXP((T0-t)*PertePVj)+Pspv)</f>
        <v>2.8923239170632442E-2</v>
      </c>
      <c r="M293" s="836"/>
      <c r="N293" s="836"/>
      <c r="O293" s="48">
        <f>IF(t&lt;Tnet,'2026'!Resal+('2026'!Salim-'2026'!Resal)*(1-EXP(('2026'!Tnet-t)/('2026'!Tau_j))),Resal+(Salim-Resal)*(1-EXP((Tnet-t)/(Tau_j))))*Salcycl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5.0229615554059825E-4</v>
      </c>
      <c r="Q293" s="301">
        <f t="shared" si="105"/>
        <v>0.5</v>
      </c>
      <c r="R293" s="173">
        <f t="shared" si="106"/>
        <v>0.99008891644904695</v>
      </c>
      <c r="S293" s="802">
        <f t="shared" si="107"/>
        <v>2</v>
      </c>
      <c r="T293" s="172">
        <f t="shared" si="108"/>
        <v>8</v>
      </c>
      <c r="U293" s="247">
        <f t="shared" si="109"/>
        <v>2.990088916449047</v>
      </c>
      <c r="V293" s="378">
        <f t="shared" si="110"/>
        <v>37.55397280168453</v>
      </c>
      <c r="W293" s="397">
        <f t="shared" si="111"/>
        <v>15.641724885184425</v>
      </c>
      <c r="X293" s="153">
        <f t="shared" si="112"/>
        <v>46666</v>
      </c>
      <c r="Y293" s="380">
        <f t="shared" si="113"/>
        <v>15.088228984585639</v>
      </c>
      <c r="Z293" s="380">
        <f t="shared" si="114"/>
        <v>15.537627500939509</v>
      </c>
      <c r="AA293" s="381">
        <f t="shared" si="115"/>
        <v>16.29067164970877</v>
      </c>
      <c r="AB293" s="193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4.6225481978990304E-2</v>
      </c>
      <c r="AD293" s="227">
        <f>(INDEX(Models!$BJ293:$BT293,,AH293)*(1-AF293)+INDEX(Models!$BJ293:$BT293,,AH293+1)*AF293-ERP_i)*AE293*Ramure*Pc/MaxiM</f>
        <v>5.0229615554059825E-4</v>
      </c>
      <c r="AE293" s="301">
        <f t="shared" si="117"/>
        <v>0.5</v>
      </c>
      <c r="AF293" s="173">
        <f t="shared" si="118"/>
        <v>0.99008891644904695</v>
      </c>
      <c r="AG293" s="802">
        <f t="shared" si="124"/>
        <v>2</v>
      </c>
      <c r="AH293" s="172">
        <f t="shared" si="119"/>
        <v>8</v>
      </c>
      <c r="AI293" s="221">
        <f t="shared" si="120"/>
        <v>2.990088916449047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46667</v>
      </c>
      <c r="B294" s="406">
        <f>'2026'!Wh/'2026'!Env_an*'2027'!Env_an</f>
        <v>30.043376683560343</v>
      </c>
      <c r="C294" s="832"/>
      <c r="D294" s="388">
        <f t="shared" si="102"/>
        <v>30.938633452754406</v>
      </c>
      <c r="E294" s="380">
        <f t="shared" si="100"/>
        <v>31.292166734964823</v>
      </c>
      <c r="F294" s="380">
        <f t="shared" si="103"/>
        <v>31.304545259084485</v>
      </c>
      <c r="G294" s="110">
        <f t="shared" si="101"/>
        <v>0.8084458876048789</v>
      </c>
      <c r="H294" s="409" t="b">
        <f>Wh_hp&gt;='2026'!Maxi_hp</f>
        <v>0</v>
      </c>
      <c r="I294" s="385">
        <f>IF(H294,Wh_hp,'2026'!Maxi_hp)</f>
        <v>31.308629885145589</v>
      </c>
      <c r="J294" s="85">
        <f>IF(H294,An,'2026'!An_max)</f>
        <v>2022</v>
      </c>
      <c r="K294" s="193">
        <f t="shared" si="104"/>
        <v>46667</v>
      </c>
      <c r="L294" s="143">
        <f>IF(t&lt;Tvie,1-EXP((T0-t)*PertePVj)+'2026'!Pspv,1-EXP((T0-t)*PertePVj)+Pspv)</f>
        <v>2.8936532396015013E-2</v>
      </c>
      <c r="M294" s="836"/>
      <c r="N294" s="836"/>
      <c r="O294" s="48">
        <f>IF(t&lt;Tnet,'2026'!Resal+('2026'!Salim-'2026'!Resal)*(1-EXP(('2026'!Tnet-t)/('2026'!Tau_j))),Resal+(Salim-Resal)*(1-EXP((Tnet-t)/(Tau_j))))*Salcycl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5.4426692307109109E-4</v>
      </c>
      <c r="Q294" s="301">
        <f t="shared" si="105"/>
        <v>0.5</v>
      </c>
      <c r="R294" s="173">
        <f t="shared" si="106"/>
        <v>0.99024449523556957</v>
      </c>
      <c r="S294" s="802">
        <f t="shared" si="107"/>
        <v>2</v>
      </c>
      <c r="T294" s="172">
        <f t="shared" si="108"/>
        <v>8</v>
      </c>
      <c r="U294" s="247">
        <f t="shared" si="109"/>
        <v>2.9902444952355696</v>
      </c>
      <c r="V294" s="378">
        <f t="shared" si="110"/>
        <v>37.156355902815207</v>
      </c>
      <c r="W294" s="397">
        <f t="shared" si="111"/>
        <v>30.043376683560343</v>
      </c>
      <c r="X294" s="153">
        <f t="shared" si="112"/>
        <v>46667</v>
      </c>
      <c r="Y294" s="380">
        <f t="shared" si="113"/>
        <v>28.981648560487084</v>
      </c>
      <c r="Z294" s="380">
        <f t="shared" si="114"/>
        <v>29.845267098758015</v>
      </c>
      <c r="AA294" s="381">
        <f t="shared" si="115"/>
        <v>31.292166734964823</v>
      </c>
      <c r="AB294" s="193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4.6238397246876832E-2</v>
      </c>
      <c r="AD294" s="227">
        <f>(INDEX(Models!$BJ294:$BT294,,AH294)*(1-AF294)+INDEX(Models!$BJ294:$BT294,,AH294+1)*AF294-ERP_i)*AE294*Ramure*Pc/MaxiM</f>
        <v>5.4426692307109109E-4</v>
      </c>
      <c r="AE294" s="301">
        <f t="shared" si="117"/>
        <v>0.5</v>
      </c>
      <c r="AF294" s="173">
        <f t="shared" si="118"/>
        <v>0.99024449523556957</v>
      </c>
      <c r="AG294" s="802">
        <f t="shared" si="124"/>
        <v>2</v>
      </c>
      <c r="AH294" s="172">
        <f t="shared" si="119"/>
        <v>8</v>
      </c>
      <c r="AI294" s="221">
        <f t="shared" si="120"/>
        <v>2.9902444952355696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46668</v>
      </c>
      <c r="B295" s="406">
        <f>'2026'!Wh/'2026'!Env_an*'2027'!Env_an</f>
        <v>15.193214719260627</v>
      </c>
      <c r="C295" s="832"/>
      <c r="D295" s="388">
        <f t="shared" si="102"/>
        <v>15.646168568103022</v>
      </c>
      <c r="E295" s="380">
        <f t="shared" si="100"/>
        <v>15.82592096566723</v>
      </c>
      <c r="F295" s="380">
        <f t="shared" si="103"/>
        <v>15.827424221989617</v>
      </c>
      <c r="G295" s="110">
        <f t="shared" si="101"/>
        <v>0.41312301146119196</v>
      </c>
      <c r="H295" s="409" t="b">
        <f>Wh_hp&gt;='2026'!Maxi_hp</f>
        <v>0</v>
      </c>
      <c r="I295" s="385">
        <f>IF(H295,Wh_hp,'2026'!Maxi_hp)</f>
        <v>15.834246656032258</v>
      </c>
      <c r="J295" s="85">
        <f>IF(H295,An,'2026'!An_max)</f>
        <v>2022</v>
      </c>
      <c r="K295" s="193">
        <f t="shared" si="104"/>
        <v>46668</v>
      </c>
      <c r="L295" s="143">
        <f>IF(t&lt;Tvie,1-EXP((T0-t)*PertePVj)+'2026'!Pspv,1-EXP((T0-t)*PertePVj)+Pspv)</f>
        <v>2.8949825439424592E-2</v>
      </c>
      <c r="M295" s="836"/>
      <c r="N295" s="836"/>
      <c r="O295" s="48">
        <f>IF(t&lt;Tnet,'2026'!Resal+('2026'!Salim-'2026'!Resal)*(1-EXP(('2026'!Tnet-t)/('2026'!Tau_j))),Resal+(Salim-Resal)*(1-EXP((Tnet-t)/(Tau_j))))*Salcycl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5.86665146143512E-4</v>
      </c>
      <c r="Q295" s="301">
        <f t="shared" si="105"/>
        <v>0.5</v>
      </c>
      <c r="R295" s="173">
        <f t="shared" si="106"/>
        <v>0.99039390160143093</v>
      </c>
      <c r="S295" s="802">
        <f t="shared" si="107"/>
        <v>2</v>
      </c>
      <c r="T295" s="172">
        <f t="shared" si="108"/>
        <v>8</v>
      </c>
      <c r="U295" s="247">
        <f t="shared" si="109"/>
        <v>2.9903939016014309</v>
      </c>
      <c r="V295" s="378">
        <f t="shared" si="110"/>
        <v>36.758406768088598</v>
      </c>
      <c r="W295" s="397">
        <f t="shared" si="111"/>
        <v>15.193214719260627</v>
      </c>
      <c r="X295" s="153">
        <f t="shared" si="112"/>
        <v>46668</v>
      </c>
      <c r="Y295" s="380">
        <f t="shared" si="113"/>
        <v>14.656995077314654</v>
      </c>
      <c r="Z295" s="380">
        <f t="shared" si="114"/>
        <v>15.09396266155589</v>
      </c>
      <c r="AA295" s="381">
        <f t="shared" si="115"/>
        <v>15.82592096566723</v>
      </c>
      <c r="AB295" s="193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4.6250597718720456E-2</v>
      </c>
      <c r="AD295" s="227">
        <f>(INDEX(Models!$BJ295:$BT295,,AH295)*(1-AF295)+INDEX(Models!$BJ295:$BT295,,AH295+1)*AF295-ERP_i)*AE295*Ramure*Pc/MaxiM</f>
        <v>5.86665146143512E-4</v>
      </c>
      <c r="AE295" s="301">
        <f t="shared" si="117"/>
        <v>0.5</v>
      </c>
      <c r="AF295" s="173">
        <f t="shared" si="118"/>
        <v>0.99039390160143093</v>
      </c>
      <c r="AG295" s="802">
        <f t="shared" si="124"/>
        <v>2</v>
      </c>
      <c r="AH295" s="172">
        <f t="shared" si="119"/>
        <v>8</v>
      </c>
      <c r="AI295" s="221">
        <f t="shared" si="120"/>
        <v>2.9903939016014309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46669</v>
      </c>
      <c r="B296" s="406">
        <f>'2026'!Wh/'2026'!Env_an*'2027'!Env_an</f>
        <v>35.479097956032497</v>
      </c>
      <c r="C296" s="832"/>
      <c r="D296" s="388">
        <f t="shared" si="102"/>
        <v>36.537333055723465</v>
      </c>
      <c r="E296" s="380">
        <f t="shared" si="100"/>
        <v>36.959338403397332</v>
      </c>
      <c r="F296" s="380">
        <f t="shared" si="103"/>
        <v>36.981935424127542</v>
      </c>
      <c r="G296" s="110">
        <f t="shared" si="101"/>
        <v>0.97574012171247682</v>
      </c>
      <c r="H296" s="409" t="b">
        <f>Wh_hp&gt;='2026'!Maxi_hp</f>
        <v>0</v>
      </c>
      <c r="I296" s="385">
        <f>IF(H296,Wh_hp,'2026'!Maxi_hp)</f>
        <v>36.982646782683823</v>
      </c>
      <c r="J296" s="85">
        <f>IF(H296,An,'2026'!An_max)</f>
        <v>2022</v>
      </c>
      <c r="K296" s="193">
        <f t="shared" si="104"/>
        <v>46669</v>
      </c>
      <c r="L296" s="143">
        <f>IF(t&lt;Tvie,1-EXP((T0-t)*PertePVj)+'2026'!Pspv,1-EXP((T0-t)*PertePVj)+Pspv)</f>
        <v>2.8963118300863511E-2</v>
      </c>
      <c r="M296" s="836"/>
      <c r="N296" s="836"/>
      <c r="O296" s="48">
        <f>IF(t&lt;Tnet,'2026'!Resal+('2026'!Salim-'2026'!Resal)*(1-EXP(('2026'!Tnet-t)/('2026'!Tau_j))),Resal+(Salim-Resal)*(1-EXP((Tnet-t)/(Tau_j))))*Salcycl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6.3294522807936268E-4</v>
      </c>
      <c r="Q296" s="301">
        <f t="shared" si="105"/>
        <v>0.5</v>
      </c>
      <c r="R296" s="173">
        <f t="shared" si="106"/>
        <v>0.99053737691209331</v>
      </c>
      <c r="S296" s="802">
        <f t="shared" si="107"/>
        <v>2</v>
      </c>
      <c r="T296" s="172">
        <f t="shared" si="108"/>
        <v>8</v>
      </c>
      <c r="U296" s="247">
        <f t="shared" si="109"/>
        <v>2.9905373769120933</v>
      </c>
      <c r="V296" s="378">
        <f t="shared" si="110"/>
        <v>36.360419244254047</v>
      </c>
      <c r="W296" s="397">
        <f t="shared" si="111"/>
        <v>35.479097956032497</v>
      </c>
      <c r="X296" s="153">
        <f t="shared" si="112"/>
        <v>46669</v>
      </c>
      <c r="Y296" s="380">
        <f t="shared" si="113"/>
        <v>34.228586380026087</v>
      </c>
      <c r="Z296" s="380">
        <f t="shared" si="114"/>
        <v>35.249522469354964</v>
      </c>
      <c r="AA296" s="381">
        <f t="shared" si="115"/>
        <v>36.959338403397332</v>
      </c>
      <c r="AB296" s="193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4.6262081733724904E-2</v>
      </c>
      <c r="AD296" s="227">
        <f>(INDEX(Models!$BJ296:$BT296,,AH296)*(1-AF296)+INDEX(Models!$BJ296:$BT296,,AH296+1)*AF296-ERP_i)*AE296*Ramure*Pc/MaxiM</f>
        <v>6.3294522807936268E-4</v>
      </c>
      <c r="AE296" s="301">
        <f t="shared" si="117"/>
        <v>0.5</v>
      </c>
      <c r="AF296" s="173">
        <f t="shared" si="118"/>
        <v>0.99053737691209331</v>
      </c>
      <c r="AG296" s="802">
        <f t="shared" si="124"/>
        <v>2</v>
      </c>
      <c r="AH296" s="172">
        <f t="shared" si="119"/>
        <v>8</v>
      </c>
      <c r="AI296" s="221">
        <f t="shared" si="120"/>
        <v>2.9905373769120933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46670</v>
      </c>
      <c r="B297" s="406">
        <f>'2026'!Wh/'2026'!Env_an*'2027'!Env_an</f>
        <v>31.062257246043078</v>
      </c>
      <c r="C297" s="832"/>
      <c r="D297" s="388">
        <f t="shared" si="102"/>
        <v>31.989189137416506</v>
      </c>
      <c r="E297" s="380">
        <f t="shared" ref="E297:E360" si="125">Wh_pvt/(1-Psa)</f>
        <v>32.360618208503737</v>
      </c>
      <c r="F297" s="380">
        <f t="shared" si="103"/>
        <v>32.378384320327307</v>
      </c>
      <c r="G297" s="110">
        <f t="shared" ref="G297:G360" si="126">+Wh_hp/MaxiM</f>
        <v>0.8636164478238767</v>
      </c>
      <c r="H297" s="409" t="b">
        <f>Wh_hp&gt;='2026'!Maxi_hp</f>
        <v>0</v>
      </c>
      <c r="I297" s="385">
        <f>IF(H297,Wh_hp,'2026'!Maxi_hp)</f>
        <v>32.382160198719454</v>
      </c>
      <c r="J297" s="85">
        <f>IF(H297,An,'2026'!An_max)</f>
        <v>2022</v>
      </c>
      <c r="K297" s="193">
        <f t="shared" si="104"/>
        <v>46670</v>
      </c>
      <c r="L297" s="143">
        <f>IF(t&lt;Tvie,1-EXP((T0-t)*PertePVj)+'2026'!Pspv,1-EXP((T0-t)*PertePVj)+Pspv)</f>
        <v>2.8976410980334322E-2</v>
      </c>
      <c r="M297" s="836"/>
      <c r="N297" s="836"/>
      <c r="O297" s="48">
        <f>IF(t&lt;Tnet,'2026'!Resal+('2026'!Salim-'2026'!Resal)*(1-EXP(('2026'!Tnet-t)/('2026'!Tau_j))),Resal+(Salim-Resal)*(1-EXP((Tnet-t)/(Tau_j))))*Salcycl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6.8133905520600913E-4</v>
      </c>
      <c r="Q297" s="301">
        <f t="shared" si="105"/>
        <v>0.5</v>
      </c>
      <c r="R297" s="173">
        <f t="shared" si="106"/>
        <v>0.99067515337068457</v>
      </c>
      <c r="S297" s="802">
        <f t="shared" si="107"/>
        <v>2</v>
      </c>
      <c r="T297" s="172">
        <f t="shared" si="108"/>
        <v>8</v>
      </c>
      <c r="U297" s="247">
        <f t="shared" si="109"/>
        <v>2.9906751533706846</v>
      </c>
      <c r="V297" s="378">
        <f t="shared" si="110"/>
        <v>35.962880376533491</v>
      </c>
      <c r="W297" s="397">
        <f t="shared" si="111"/>
        <v>31.062257246043078</v>
      </c>
      <c r="X297" s="153">
        <f t="shared" si="112"/>
        <v>46670</v>
      </c>
      <c r="Y297" s="380">
        <f t="shared" si="113"/>
        <v>29.968895416684056</v>
      </c>
      <c r="Z297" s="380">
        <f t="shared" si="114"/>
        <v>30.863200189544635</v>
      </c>
      <c r="AA297" s="381">
        <f t="shared" si="115"/>
        <v>32.360618208503737</v>
      </c>
      <c r="AB297" s="193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4.627284958868956E-2</v>
      </c>
      <c r="AD297" s="227">
        <f>(INDEX(Models!$BJ297:$BT297,,AH297)*(1-AF297)+INDEX(Models!$BJ297:$BT297,,AH297+1)*AF297-ERP_i)*AE297*Ramure*Pc/MaxiM</f>
        <v>6.8133905520600913E-4</v>
      </c>
      <c r="AE297" s="301">
        <f t="shared" si="117"/>
        <v>0.5</v>
      </c>
      <c r="AF297" s="173">
        <f t="shared" si="118"/>
        <v>0.99067515337068457</v>
      </c>
      <c r="AG297" s="802">
        <f t="shared" si="124"/>
        <v>2</v>
      </c>
      <c r="AH297" s="172">
        <f t="shared" si="119"/>
        <v>8</v>
      </c>
      <c r="AI297" s="221">
        <f t="shared" si="120"/>
        <v>2.9906751533706846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46671</v>
      </c>
      <c r="B298" s="406">
        <f>'2026'!Wh/'2026'!Env_an*'2027'!Env_an</f>
        <v>24.980423372705221</v>
      </c>
      <c r="C298" s="832"/>
      <c r="D298" s="388">
        <f t="shared" si="102"/>
        <v>25.726218828138983</v>
      </c>
      <c r="E298" s="380">
        <f t="shared" si="125"/>
        <v>26.026492686031773</v>
      </c>
      <c r="F298" s="380">
        <f t="shared" si="103"/>
        <v>26.037446200676843</v>
      </c>
      <c r="G298" s="110">
        <f t="shared" si="126"/>
        <v>0.70214527302425744</v>
      </c>
      <c r="H298" s="409" t="b">
        <f>Wh_hp&gt;='2026'!Maxi_hp</f>
        <v>0</v>
      </c>
      <c r="I298" s="385">
        <f>IF(H298,Wh_hp,'2026'!Maxi_hp)</f>
        <v>26.044587044663935</v>
      </c>
      <c r="J298" s="85">
        <f>IF(H298,An,'2026'!An_max)</f>
        <v>2022</v>
      </c>
      <c r="K298" s="193">
        <f t="shared" si="104"/>
        <v>46671</v>
      </c>
      <c r="L298" s="143">
        <f>IF(t&lt;Tvie,1-EXP((T0-t)*PertePVj)+'2026'!Pspv,1-EXP((T0-t)*PertePVj)+Pspv)</f>
        <v>2.8989703477839579E-2</v>
      </c>
      <c r="M298" s="836"/>
      <c r="N298" s="836"/>
      <c r="O298" s="48">
        <f>IF(t&lt;Tnet,'2026'!Resal+('2026'!Salim-'2026'!Resal)*(1-EXP(('2026'!Tnet-t)/('2026'!Tau_j))),Resal+(Salim-Resal)*(1-EXP((Tnet-t)/(Tau_j))))*Salcycl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7.3187026815025517E-4</v>
      </c>
      <c r="Q298" s="301">
        <f t="shared" si="105"/>
        <v>0.5</v>
      </c>
      <c r="R298" s="173">
        <f t="shared" si="106"/>
        <v>0.9908074543440506</v>
      </c>
      <c r="S298" s="802">
        <f t="shared" si="107"/>
        <v>2</v>
      </c>
      <c r="T298" s="172">
        <f t="shared" si="108"/>
        <v>8</v>
      </c>
      <c r="U298" s="247">
        <f t="shared" si="109"/>
        <v>2.9908074543440506</v>
      </c>
      <c r="V298" s="378">
        <f t="shared" si="110"/>
        <v>35.566210404522899</v>
      </c>
      <c r="W298" s="397">
        <f t="shared" si="111"/>
        <v>24.980423372705221</v>
      </c>
      <c r="X298" s="153">
        <f t="shared" si="112"/>
        <v>46671</v>
      </c>
      <c r="Y298" s="380">
        <f t="shared" si="113"/>
        <v>24.102331192418585</v>
      </c>
      <c r="Z298" s="380">
        <f t="shared" si="114"/>
        <v>24.821911033019123</v>
      </c>
      <c r="AA298" s="381">
        <f t="shared" si="115"/>
        <v>26.026492686031773</v>
      </c>
      <c r="AB298" s="193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4.6282903637613164E-2</v>
      </c>
      <c r="AD298" s="227">
        <f>(INDEX(Models!$BJ298:$BT298,,AH298)*(1-AF298)+INDEX(Models!$BJ298:$BT298,,AH298+1)*AF298-ERP_i)*AE298*Ramure*Pc/MaxiM</f>
        <v>7.3187026815025517E-4</v>
      </c>
      <c r="AE298" s="301">
        <f t="shared" si="117"/>
        <v>0.5</v>
      </c>
      <c r="AF298" s="173">
        <f t="shared" si="118"/>
        <v>0.9908074543440506</v>
      </c>
      <c r="AG298" s="802">
        <f t="shared" si="124"/>
        <v>2</v>
      </c>
      <c r="AH298" s="172">
        <f t="shared" si="119"/>
        <v>8</v>
      </c>
      <c r="AI298" s="221">
        <f t="shared" si="120"/>
        <v>2.9908074543440506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46672</v>
      </c>
      <c r="B299" s="406">
        <f>'2026'!Wh/'2026'!Env_an*'2027'!Env_an</f>
        <v>24.883405934394794</v>
      </c>
      <c r="C299" s="832"/>
      <c r="D299" s="388">
        <f t="shared" si="102"/>
        <v>25.626655722513284</v>
      </c>
      <c r="E299" s="380">
        <f t="shared" si="125"/>
        <v>25.927318731910525</v>
      </c>
      <c r="F299" s="380">
        <f t="shared" si="103"/>
        <v>25.939165857201406</v>
      </c>
      <c r="G299" s="110">
        <f t="shared" si="126"/>
        <v>0.7072692057335398</v>
      </c>
      <c r="H299" s="409" t="b">
        <f>Wh_hp&gt;='2026'!Maxi_hp</f>
        <v>0</v>
      </c>
      <c r="I299" s="385">
        <f>IF(H299,Wh_hp,'2026'!Maxi_hp)</f>
        <v>25.946681721732432</v>
      </c>
      <c r="J299" s="85">
        <f>IF(H299,An,'2026'!An_max)</f>
        <v>2022</v>
      </c>
      <c r="K299" s="193">
        <f t="shared" si="104"/>
        <v>46672</v>
      </c>
      <c r="L299" s="143">
        <f>IF(t&lt;Tvie,1-EXP((T0-t)*PertePVj)+'2026'!Pspv,1-EXP((T0-t)*PertePVj)+Pspv)</f>
        <v>2.9002995793381614E-2</v>
      </c>
      <c r="M299" s="836"/>
      <c r="N299" s="836"/>
      <c r="O299" s="48">
        <f>IF(t&lt;Tnet,'2026'!Resal+('2026'!Salim-'2026'!Resal)*(1-EXP(('2026'!Tnet-t)/('2026'!Tau_j))),Resal+(Salim-Resal)*(1-EXP((Tnet-t)/(Tau_j))))*Salcycl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7.8455982643351612E-4</v>
      </c>
      <c r="Q299" s="301">
        <f t="shared" si="105"/>
        <v>0.5</v>
      </c>
      <c r="R299" s="173">
        <f t="shared" si="106"/>
        <v>0.99093449467895223</v>
      </c>
      <c r="S299" s="802">
        <f t="shared" si="107"/>
        <v>2</v>
      </c>
      <c r="T299" s="172">
        <f t="shared" si="108"/>
        <v>8</v>
      </c>
      <c r="U299" s="247">
        <f t="shared" si="109"/>
        <v>2.9909344946789522</v>
      </c>
      <c r="V299" s="378">
        <f t="shared" si="110"/>
        <v>35.170829460001499</v>
      </c>
      <c r="W299" s="397">
        <f t="shared" si="111"/>
        <v>24.883405934394794</v>
      </c>
      <c r="X299" s="153">
        <f t="shared" si="112"/>
        <v>46672</v>
      </c>
      <c r="Y299" s="380">
        <f t="shared" si="113"/>
        <v>24.00992531530407</v>
      </c>
      <c r="Z299" s="380">
        <f t="shared" si="114"/>
        <v>24.727084853286531</v>
      </c>
      <c r="AA299" s="381">
        <f t="shared" si="115"/>
        <v>25.927318731910525</v>
      </c>
      <c r="AB299" s="193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4.6292248382274345E-2</v>
      </c>
      <c r="AD299" s="227">
        <f>(INDEX(Models!$BJ299:$BT299,,AH299)*(1-AF299)+INDEX(Models!$BJ299:$BT299,,AH299+1)*AF299-ERP_i)*AE299*Ramure*Pc/MaxiM</f>
        <v>7.8455982643351612E-4</v>
      </c>
      <c r="AE299" s="301">
        <f t="shared" si="117"/>
        <v>0.5</v>
      </c>
      <c r="AF299" s="173">
        <f t="shared" si="118"/>
        <v>0.99093449467895223</v>
      </c>
      <c r="AG299" s="802">
        <f t="shared" si="124"/>
        <v>2</v>
      </c>
      <c r="AH299" s="172">
        <f t="shared" si="119"/>
        <v>8</v>
      </c>
      <c r="AI299" s="221">
        <f t="shared" si="120"/>
        <v>2.9909344946789522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46673</v>
      </c>
      <c r="B300" s="406">
        <f>'2026'!Wh/'2026'!Env_an*'2027'!Env_an</f>
        <v>22.538490519148464</v>
      </c>
      <c r="C300" s="832"/>
      <c r="D300" s="388">
        <f t="shared" si="102"/>
        <v>23.212017090409372</v>
      </c>
      <c r="E300" s="380">
        <f t="shared" si="125"/>
        <v>23.48574892414997</v>
      </c>
      <c r="F300" s="380">
        <f t="shared" si="103"/>
        <v>23.495556303836636</v>
      </c>
      <c r="G300" s="110">
        <f t="shared" si="126"/>
        <v>0.64780955729565926</v>
      </c>
      <c r="H300" s="409" t="b">
        <f>Wh_hp&gt;='2026'!Maxi_hp</f>
        <v>0</v>
      </c>
      <c r="I300" s="385">
        <f>IF(H300,Wh_hp,'2026'!Maxi_hp)</f>
        <v>23.504348128002412</v>
      </c>
      <c r="J300" s="85">
        <f>IF(H300,An,'2026'!An_max)</f>
        <v>2022</v>
      </c>
      <c r="K300" s="193">
        <f t="shared" si="104"/>
        <v>46673</v>
      </c>
      <c r="L300" s="143">
        <f>IF(t&lt;Tvie,1-EXP((T0-t)*PertePVj)+'2026'!Pspv,1-EXP((T0-t)*PertePVj)+Pspv)</f>
        <v>2.9016287926963091E-2</v>
      </c>
      <c r="M300" s="836"/>
      <c r="N300" s="836"/>
      <c r="O300" s="48">
        <f>IF(t&lt;Tnet,'2026'!Resal+('2026'!Salim-'2026'!Resal)*(1-EXP(('2026'!Tnet-t)/('2026'!Tau_j))),Resal+(Salim-Resal)*(1-EXP((Tnet-t)/(Tau_j))))*Salcycl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8.3942571898168428E-4</v>
      </c>
      <c r="Q300" s="301">
        <f t="shared" si="105"/>
        <v>0.5</v>
      </c>
      <c r="R300" s="173">
        <f t="shared" si="106"/>
        <v>0.99105648100854626</v>
      </c>
      <c r="S300" s="802">
        <f t="shared" si="107"/>
        <v>2</v>
      </c>
      <c r="T300" s="172">
        <f t="shared" si="108"/>
        <v>8</v>
      </c>
      <c r="U300" s="247">
        <f t="shared" si="109"/>
        <v>2.9910564810085463</v>
      </c>
      <c r="V300" s="378">
        <f t="shared" si="110"/>
        <v>34.777157563864918</v>
      </c>
      <c r="W300" s="397">
        <f t="shared" si="111"/>
        <v>22.538490519148464</v>
      </c>
      <c r="X300" s="153">
        <f t="shared" si="112"/>
        <v>46673</v>
      </c>
      <c r="Y300" s="380">
        <f t="shared" si="113"/>
        <v>21.748421213996863</v>
      </c>
      <c r="Z300" s="380">
        <f t="shared" si="114"/>
        <v>22.398337833663845</v>
      </c>
      <c r="AA300" s="381">
        <f t="shared" si="115"/>
        <v>23.48574892414997</v>
      </c>
      <c r="AB300" s="193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4.6300890552736805E-2</v>
      </c>
      <c r="AD300" s="227">
        <f>(INDEX(Models!$BJ300:$BT300,,AH300)*(1-AF300)+INDEX(Models!$BJ300:$BT300,,AH300+1)*AF300-ERP_i)*AE300*Ramure*Pc/MaxiM</f>
        <v>8.3942571898168428E-4</v>
      </c>
      <c r="AE300" s="301">
        <f t="shared" si="117"/>
        <v>0.5</v>
      </c>
      <c r="AF300" s="173">
        <f t="shared" si="118"/>
        <v>0.99105648100854626</v>
      </c>
      <c r="AG300" s="802">
        <f t="shared" si="124"/>
        <v>2</v>
      </c>
      <c r="AH300" s="172">
        <f t="shared" si="119"/>
        <v>8</v>
      </c>
      <c r="AI300" s="221">
        <f t="shared" si="120"/>
        <v>2.9910564810085463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46674</v>
      </c>
      <c r="B301" s="406">
        <f>'2026'!Wh/'2026'!Env_an*'2027'!Env_an</f>
        <v>15.148320872993846</v>
      </c>
      <c r="C301" s="832"/>
      <c r="D301" s="388">
        <f t="shared" si="102"/>
        <v>15.601217667475025</v>
      </c>
      <c r="E301" s="380">
        <f t="shared" si="125"/>
        <v>15.786133210755875</v>
      </c>
      <c r="F301" s="380">
        <f t="shared" si="103"/>
        <v>15.788975086810972</v>
      </c>
      <c r="G301" s="110">
        <f t="shared" si="126"/>
        <v>0.4402266890514015</v>
      </c>
      <c r="H301" s="409" t="b">
        <f>Wh_hp&gt;='2026'!Maxi_hp</f>
        <v>0</v>
      </c>
      <c r="I301" s="385">
        <f>IF(H301,Wh_hp,'2026'!Maxi_hp)</f>
        <v>15.799040866811126</v>
      </c>
      <c r="J301" s="85">
        <f>IF(H301,An,'2026'!An_max)</f>
        <v>2022</v>
      </c>
      <c r="K301" s="193">
        <f t="shared" si="104"/>
        <v>46674</v>
      </c>
      <c r="L301" s="143">
        <f>IF(t&lt;Tvie,1-EXP((T0-t)*PertePVj)+'2026'!Pspv,1-EXP((T0-t)*PertePVj)+Pspv)</f>
        <v>2.9029579878586342E-2</v>
      </c>
      <c r="M301" s="836"/>
      <c r="N301" s="836"/>
      <c r="O301" s="48">
        <f>IF(t&lt;Tnet,'2026'!Resal+('2026'!Salim-'2026'!Resal)*(1-EXP(('2026'!Tnet-t)/('2026'!Tau_j))),Resal+(Salim-Resal)*(1-EXP((Tnet-t)/(Tau_j))))*Salcycl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8.9648266533736028E-4</v>
      </c>
      <c r="Q301" s="301">
        <f t="shared" si="105"/>
        <v>0.5</v>
      </c>
      <c r="R301" s="173">
        <f t="shared" si="106"/>
        <v>0.99117361204932708</v>
      </c>
      <c r="S301" s="802">
        <f t="shared" si="107"/>
        <v>2</v>
      </c>
      <c r="T301" s="172">
        <f t="shared" si="108"/>
        <v>8</v>
      </c>
      <c r="U301" s="247">
        <f t="shared" si="109"/>
        <v>2.9911736120493271</v>
      </c>
      <c r="V301" s="378">
        <f t="shared" si="110"/>
        <v>34.385614621830783</v>
      </c>
      <c r="W301" s="397">
        <f t="shared" si="111"/>
        <v>15.148320872993846</v>
      </c>
      <c r="X301" s="153">
        <f t="shared" si="112"/>
        <v>46674</v>
      </c>
      <c r="Y301" s="380">
        <f t="shared" si="113"/>
        <v>14.618052603278953</v>
      </c>
      <c r="Z301" s="380">
        <f t="shared" si="114"/>
        <v>15.055095706675656</v>
      </c>
      <c r="AA301" s="381">
        <f t="shared" si="115"/>
        <v>15.786133210755875</v>
      </c>
      <c r="AB301" s="193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4.6308839176786326E-2</v>
      </c>
      <c r="AD301" s="227">
        <f>(INDEX(Models!$BJ301:$BT301,,AH301)*(1-AF301)+INDEX(Models!$BJ301:$BT301,,AH301+1)*AF301-ERP_i)*AE301*Ramure*Pc/MaxiM</f>
        <v>8.9648266533736028E-4</v>
      </c>
      <c r="AE301" s="301">
        <f t="shared" si="117"/>
        <v>0.5</v>
      </c>
      <c r="AF301" s="173">
        <f t="shared" si="118"/>
        <v>0.99117361204932708</v>
      </c>
      <c r="AG301" s="802">
        <f t="shared" si="124"/>
        <v>2</v>
      </c>
      <c r="AH301" s="172">
        <f t="shared" si="119"/>
        <v>8</v>
      </c>
      <c r="AI301" s="221">
        <f t="shared" si="120"/>
        <v>2.9911736120493271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46675</v>
      </c>
      <c r="B302" s="406">
        <f>'2026'!Wh/'2026'!Env_an*'2027'!Env_an</f>
        <v>33.761286704150962</v>
      </c>
      <c r="C302" s="832"/>
      <c r="D302" s="388">
        <f t="shared" si="102"/>
        <v>34.771140474000774</v>
      </c>
      <c r="E302" s="380">
        <f t="shared" si="125"/>
        <v>35.185344950389883</v>
      </c>
      <c r="F302" s="380">
        <f t="shared" si="103"/>
        <v>35.218672045903297</v>
      </c>
      <c r="G302" s="110">
        <f t="shared" si="126"/>
        <v>0.99306833723717225</v>
      </c>
      <c r="H302" s="409" t="b">
        <f>Wh_hp&gt;='2026'!Maxi_hp</f>
        <v>0</v>
      </c>
      <c r="I302" s="385">
        <f>IF(H302,Wh_hp,'2026'!Maxi_hp)</f>
        <v>35.21896935140299</v>
      </c>
      <c r="J302" s="85">
        <f>IF(H302,An,'2026'!An_max)</f>
        <v>2022</v>
      </c>
      <c r="K302" s="193">
        <f t="shared" si="104"/>
        <v>46675</v>
      </c>
      <c r="L302" s="143">
        <f>IF(t&lt;Tvie,1-EXP((T0-t)*PertePVj)+'2026'!Pspv,1-EXP((T0-t)*PertePVj)+Pspv)</f>
        <v>2.9042871648254032E-2</v>
      </c>
      <c r="M302" s="836"/>
      <c r="N302" s="836"/>
      <c r="O302" s="48">
        <f>IF(t&lt;Tnet,'2026'!Resal+('2026'!Salim-'2026'!Resal)*(1-EXP(('2026'!Tnet-t)/('2026'!Tau_j))),Resal+(Salim-Resal)*(1-EXP((Tnet-t)/(Tau_j))))*Salcycl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9.5574180789518908E-4</v>
      </c>
      <c r="Q302" s="301">
        <f t="shared" si="105"/>
        <v>0.5</v>
      </c>
      <c r="R302" s="173">
        <f t="shared" si="106"/>
        <v>0.99128607888869302</v>
      </c>
      <c r="S302" s="802">
        <f t="shared" si="107"/>
        <v>2</v>
      </c>
      <c r="T302" s="172">
        <f t="shared" si="108"/>
        <v>8</v>
      </c>
      <c r="U302" s="247">
        <f t="shared" si="109"/>
        <v>2.991286078888693</v>
      </c>
      <c r="V302" s="378">
        <f t="shared" si="110"/>
        <v>33.996620422145369</v>
      </c>
      <c r="W302" s="397">
        <f t="shared" si="111"/>
        <v>33.761286704150962</v>
      </c>
      <c r="X302" s="153">
        <f t="shared" si="112"/>
        <v>46675</v>
      </c>
      <c r="Y302" s="380">
        <f t="shared" si="113"/>
        <v>32.581143001643476</v>
      </c>
      <c r="Z302" s="380">
        <f t="shared" si="114"/>
        <v>33.55569679678009</v>
      </c>
      <c r="AA302" s="381">
        <f t="shared" si="115"/>
        <v>35.185344950389883</v>
      </c>
      <c r="AB302" s="193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4.6316105637376703E-2</v>
      </c>
      <c r="AD302" s="227">
        <f>(INDEX(Models!$BJ302:$BT302,,AH302)*(1-AF302)+INDEX(Models!$BJ302:$BT302,,AH302+1)*AF302-ERP_i)*AE302*Ramure*Pc/MaxiM</f>
        <v>9.5574180789518908E-4</v>
      </c>
      <c r="AE302" s="301">
        <f t="shared" si="117"/>
        <v>0.5</v>
      </c>
      <c r="AF302" s="173">
        <f t="shared" si="118"/>
        <v>0.99128607888869302</v>
      </c>
      <c r="AG302" s="802">
        <f t="shared" si="124"/>
        <v>2</v>
      </c>
      <c r="AH302" s="172">
        <f t="shared" si="119"/>
        <v>8</v>
      </c>
      <c r="AI302" s="221">
        <f t="shared" si="120"/>
        <v>2.991286078888693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46676</v>
      </c>
      <c r="B303" s="406">
        <f>'2026'!Wh/'2026'!Env_an*'2027'!Env_an</f>
        <v>29.594702636378781</v>
      </c>
      <c r="C303" s="832"/>
      <c r="D303" s="388">
        <f t="shared" si="102"/>
        <v>30.480344501708991</v>
      </c>
      <c r="E303" s="380">
        <f t="shared" si="125"/>
        <v>30.845245797514377</v>
      </c>
      <c r="F303" s="380">
        <f t="shared" si="103"/>
        <v>30.871291661050158</v>
      </c>
      <c r="G303" s="110">
        <f t="shared" si="126"/>
        <v>0.880409410878498</v>
      </c>
      <c r="H303" s="409" t="b">
        <f>Wh_hp&gt;='2026'!Maxi_hp</f>
        <v>0</v>
      </c>
      <c r="I303" s="385">
        <f>IF(H303,Wh_hp,'2026'!Maxi_hp)</f>
        <v>30.876096250256072</v>
      </c>
      <c r="J303" s="85">
        <f>IF(H303,An,'2026'!An_max)</f>
        <v>2022</v>
      </c>
      <c r="K303" s="193">
        <f t="shared" si="104"/>
        <v>46676</v>
      </c>
      <c r="L303" s="143">
        <f>IF(t&lt;Tvie,1-EXP((T0-t)*PertePVj)+'2026'!Pspv,1-EXP((T0-t)*PertePVj)+Pspv)</f>
        <v>2.9056163235968491E-2</v>
      </c>
      <c r="M303" s="836"/>
      <c r="N303" s="836"/>
      <c r="O303" s="48">
        <f>IF(t&lt;Tnet,'2026'!Resal+('2026'!Salim-'2026'!Resal)*(1-EXP(('2026'!Tnet-t)/('2026'!Tau_j))),Resal+(Salim-Resal)*(1-EXP((Tnet-t)/(Tau_j))))*Salcycl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1.0172626748167532E-3</v>
      </c>
      <c r="Q303" s="301">
        <f t="shared" si="105"/>
        <v>0.5</v>
      </c>
      <c r="R303" s="173">
        <f t="shared" si="106"/>
        <v>0.99139406526332596</v>
      </c>
      <c r="S303" s="802">
        <f t="shared" si="107"/>
        <v>2</v>
      </c>
      <c r="T303" s="172">
        <f t="shared" si="108"/>
        <v>8</v>
      </c>
      <c r="U303" s="247">
        <f t="shared" si="109"/>
        <v>2.991394065263326</v>
      </c>
      <c r="V303" s="378">
        <f t="shared" si="110"/>
        <v>33.608865560050809</v>
      </c>
      <c r="W303" s="397">
        <f t="shared" si="111"/>
        <v>29.594702636378781</v>
      </c>
      <c r="X303" s="153">
        <f t="shared" si="112"/>
        <v>46676</v>
      </c>
      <c r="Y303" s="380">
        <f t="shared" si="113"/>
        <v>28.561682586694744</v>
      </c>
      <c r="Z303" s="380">
        <f t="shared" si="114"/>
        <v>29.416410615350649</v>
      </c>
      <c r="AA303" s="381">
        <f t="shared" si="115"/>
        <v>30.845245797514377</v>
      </c>
      <c r="AB303" s="193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4.632270371724094E-2</v>
      </c>
      <c r="AD303" s="227">
        <f>(INDEX(Models!$BJ303:$BT303,,AH303)*(1-AF303)+INDEX(Models!$BJ303:$BT303,,AH303+1)*AF303-ERP_i)*AE303*Ramure*Pc/MaxiM</f>
        <v>1.0172626748167532E-3</v>
      </c>
      <c r="AE303" s="301">
        <f t="shared" si="117"/>
        <v>0.5</v>
      </c>
      <c r="AF303" s="173">
        <f t="shared" si="118"/>
        <v>0.99139406526332596</v>
      </c>
      <c r="AG303" s="802">
        <f t="shared" si="124"/>
        <v>2</v>
      </c>
      <c r="AH303" s="172">
        <f t="shared" si="119"/>
        <v>8</v>
      </c>
      <c r="AI303" s="221">
        <f t="shared" si="120"/>
        <v>2.991394065263326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46677</v>
      </c>
      <c r="B304" s="406">
        <f>'2026'!Wh/'2026'!Env_an*'2027'!Env_an</f>
        <v>16.677418276314871</v>
      </c>
      <c r="C304" s="832"/>
      <c r="D304" s="388">
        <f t="shared" si="102"/>
        <v>17.176736643053083</v>
      </c>
      <c r="E304" s="380">
        <f t="shared" si="125"/>
        <v>17.383386429068988</v>
      </c>
      <c r="F304" s="380">
        <f t="shared" si="103"/>
        <v>17.388982532812072</v>
      </c>
      <c r="G304" s="110">
        <f t="shared" si="126"/>
        <v>0.50163347030210437</v>
      </c>
      <c r="H304" s="409" t="b">
        <f>Wh_hp&gt;='2026'!Maxi_hp</f>
        <v>0</v>
      </c>
      <c r="I304" s="385">
        <f>IF(H304,Wh_hp,'2026'!Maxi_hp)</f>
        <v>17.401400956915101</v>
      </c>
      <c r="J304" s="85">
        <f>IF(H304,An,'2026'!An_max)</f>
        <v>2022</v>
      </c>
      <c r="K304" s="193">
        <f t="shared" si="104"/>
        <v>46677</v>
      </c>
      <c r="L304" s="143">
        <f>IF(t&lt;Tvie,1-EXP((T0-t)*PertePVj)+'2026'!Pspv,1-EXP((T0-t)*PertePVj)+Pspv)</f>
        <v>2.9069454641732273E-2</v>
      </c>
      <c r="M304" s="836"/>
      <c r="N304" s="836"/>
      <c r="O304" s="48">
        <f>IF(t&lt;Tnet,'2026'!Resal+('2026'!Salim-'2026'!Resal)*(1-EXP(('2026'!Tnet-t)/('2026'!Tau_j))),Resal+(Salim-Resal)*(1-EXP((Tnet-t)/(Tau_j))))*Salcycl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1.1150384661243779E-3</v>
      </c>
      <c r="Q304" s="301">
        <f t="shared" si="105"/>
        <v>0.5</v>
      </c>
      <c r="R304" s="173">
        <f t="shared" si="106"/>
        <v>0.99149774782857092</v>
      </c>
      <c r="S304" s="802">
        <f t="shared" si="107"/>
        <v>2</v>
      </c>
      <c r="T304" s="172">
        <f t="shared" si="108"/>
        <v>8</v>
      </c>
      <c r="U304" s="247">
        <f t="shared" si="109"/>
        <v>2.9914977478285709</v>
      </c>
      <c r="V304" s="378">
        <f t="shared" si="110"/>
        <v>33.219843073100648</v>
      </c>
      <c r="W304" s="397">
        <f t="shared" si="111"/>
        <v>16.677418276314871</v>
      </c>
      <c r="X304" s="153">
        <f t="shared" si="112"/>
        <v>46677</v>
      </c>
      <c r="Y304" s="380">
        <f t="shared" si="113"/>
        <v>16.0961230974678</v>
      </c>
      <c r="Z304" s="380">
        <f t="shared" si="114"/>
        <v>16.578037609815254</v>
      </c>
      <c r="AA304" s="381">
        <f t="shared" si="115"/>
        <v>17.383386429068988</v>
      </c>
      <c r="AB304" s="193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4.6328649629913801E-2</v>
      </c>
      <c r="AD304" s="227">
        <f>(INDEX(Models!$BJ304:$BT304,,AH304)*(1-AF304)+INDEX(Models!$BJ304:$BT304,,AH304+1)*AF304-ERP_i)*AE304*Ramure*Pc/MaxiM</f>
        <v>1.1150384661243779E-3</v>
      </c>
      <c r="AE304" s="301">
        <f t="shared" si="117"/>
        <v>0.5</v>
      </c>
      <c r="AF304" s="173">
        <f t="shared" si="118"/>
        <v>0.99149774782857092</v>
      </c>
      <c r="AG304" s="802">
        <f t="shared" si="124"/>
        <v>2</v>
      </c>
      <c r="AH304" s="172">
        <f t="shared" si="119"/>
        <v>8</v>
      </c>
      <c r="AI304" s="221">
        <f t="shared" si="120"/>
        <v>2.9914977478285709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46678</v>
      </c>
      <c r="B305" s="406">
        <f>'2026'!Wh/'2026'!Env_an*'2027'!Env_an</f>
        <v>29.747723836031682</v>
      </c>
      <c r="C305" s="832"/>
      <c r="D305" s="388">
        <f t="shared" si="102"/>
        <v>30.638783798884095</v>
      </c>
      <c r="E305" s="380">
        <f t="shared" si="125"/>
        <v>31.009194935912973</v>
      </c>
      <c r="F305" s="380">
        <f t="shared" si="103"/>
        <v>31.042842676194777</v>
      </c>
      <c r="G305" s="110">
        <f t="shared" si="126"/>
        <v>0.90596674807887112</v>
      </c>
      <c r="H305" s="409" t="b">
        <f>Wh_hp&gt;='2026'!Maxi_hp</f>
        <v>0</v>
      </c>
      <c r="I305" s="385">
        <f>IF(H305,Wh_hp,'2026'!Maxi_hp)</f>
        <v>31.04755390716814</v>
      </c>
      <c r="J305" s="85">
        <f>IF(H305,An,'2026'!An_max)</f>
        <v>2022</v>
      </c>
      <c r="K305" s="193">
        <f t="shared" si="104"/>
        <v>46678</v>
      </c>
      <c r="L305" s="143">
        <f>IF(t&lt;Tvie,1-EXP((T0-t)*PertePVj)+'2026'!Pspv,1-EXP((T0-t)*PertePVj)+Pspv)</f>
        <v>2.9082745865547932E-2</v>
      </c>
      <c r="M305" s="836"/>
      <c r="N305" s="836"/>
      <c r="O305" s="48">
        <f>IF(t&lt;Tnet,'2026'!Resal+('2026'!Salim-'2026'!Resal)*(1-EXP(('2026'!Tnet-t)/('2026'!Tau_j))),Resal+(Salim-Resal)*(1-EXP((Tnet-t)/(Tau_j))))*Salcycl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1.2517988095265289E-3</v>
      </c>
      <c r="Q305" s="301">
        <f t="shared" si="105"/>
        <v>0.5</v>
      </c>
      <c r="R305" s="173">
        <f t="shared" si="106"/>
        <v>0.99159729641901162</v>
      </c>
      <c r="S305" s="802">
        <f t="shared" si="107"/>
        <v>2</v>
      </c>
      <c r="T305" s="172">
        <f t="shared" si="108"/>
        <v>8</v>
      </c>
      <c r="U305" s="247">
        <f t="shared" si="109"/>
        <v>2.9915972964190116</v>
      </c>
      <c r="V305" s="378">
        <f t="shared" si="110"/>
        <v>32.829818819284633</v>
      </c>
      <c r="W305" s="397">
        <f t="shared" si="111"/>
        <v>29.747723836031682</v>
      </c>
      <c r="X305" s="153">
        <f t="shared" si="112"/>
        <v>46678</v>
      </c>
      <c r="Y305" s="380">
        <f t="shared" si="113"/>
        <v>28.712369013631076</v>
      </c>
      <c r="Z305" s="380">
        <f t="shared" si="114"/>
        <v>29.572416074969663</v>
      </c>
      <c r="AA305" s="381">
        <f t="shared" si="115"/>
        <v>31.009194935912973</v>
      </c>
      <c r="AB305" s="193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4.6333962036509309E-2</v>
      </c>
      <c r="AD305" s="227">
        <f>(INDEX(Models!$BJ305:$BT305,,AH305)*(1-AF305)+INDEX(Models!$BJ305:$BT305,,AH305+1)*AF305-ERP_i)*AE305*Ramure*Pc/MaxiM</f>
        <v>1.2517988095265289E-3</v>
      </c>
      <c r="AE305" s="301">
        <f t="shared" si="117"/>
        <v>0.5</v>
      </c>
      <c r="AF305" s="173">
        <f t="shared" si="118"/>
        <v>0.99159729641901162</v>
      </c>
      <c r="AG305" s="802">
        <f t="shared" si="124"/>
        <v>2</v>
      </c>
      <c r="AH305" s="172">
        <f t="shared" si="119"/>
        <v>8</v>
      </c>
      <c r="AI305" s="221">
        <f t="shared" si="120"/>
        <v>2.9915972964190116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46679</v>
      </c>
      <c r="B306" s="406">
        <f>'2026'!Wh/'2026'!Env_an*'2027'!Env_an</f>
        <v>16.615037653383929</v>
      </c>
      <c r="C306" s="832"/>
      <c r="D306" s="388">
        <f t="shared" si="102"/>
        <v>17.112956878310296</v>
      </c>
      <c r="E306" s="380">
        <f t="shared" si="125"/>
        <v>17.320847835547397</v>
      </c>
      <c r="F306" s="380">
        <f t="shared" si="103"/>
        <v>17.328350106196606</v>
      </c>
      <c r="G306" s="110">
        <f t="shared" si="126"/>
        <v>0.51168124361509204</v>
      </c>
      <c r="H306" s="409" t="b">
        <f>Wh_hp&gt;='2026'!Maxi_hp</f>
        <v>0</v>
      </c>
      <c r="I306" s="385">
        <f>IF(H306,Wh_hp,'2026'!Maxi_hp)</f>
        <v>17.343995779122771</v>
      </c>
      <c r="J306" s="85">
        <f>IF(H306,An,'2026'!An_max)</f>
        <v>2022</v>
      </c>
      <c r="K306" s="193">
        <f t="shared" si="104"/>
        <v>46679</v>
      </c>
      <c r="L306" s="143">
        <f>IF(t&lt;Tvie,1-EXP((T0-t)*PertePVj)+'2026'!Pspv,1-EXP((T0-t)*PertePVj)+Pspv)</f>
        <v>2.909603690741791E-2</v>
      </c>
      <c r="M306" s="836"/>
      <c r="N306" s="836"/>
      <c r="O306" s="48">
        <f>IF(t&lt;Tnet,'2026'!Resal+('2026'!Salim-'2026'!Resal)*(1-EXP(('2026'!Tnet-t)/('2026'!Tau_j))),Resal+(Salim-Resal)*(1-EXP((Tnet-t)/(Tau_j))))*Salcycl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1.4282560653115213E-3</v>
      </c>
      <c r="Q306" s="301">
        <f t="shared" si="105"/>
        <v>0.5</v>
      </c>
      <c r="R306" s="173">
        <f t="shared" si="106"/>
        <v>0.9916928743004414</v>
      </c>
      <c r="S306" s="802">
        <f t="shared" si="107"/>
        <v>2</v>
      </c>
      <c r="T306" s="172">
        <f t="shared" si="108"/>
        <v>8</v>
      </c>
      <c r="U306" s="247">
        <f t="shared" si="109"/>
        <v>2.9916928743004414</v>
      </c>
      <c r="V306" s="378">
        <f t="shared" si="110"/>
        <v>32.439128095888975</v>
      </c>
      <c r="W306" s="397">
        <f t="shared" si="111"/>
        <v>16.615037653383929</v>
      </c>
      <c r="X306" s="153">
        <f t="shared" si="112"/>
        <v>46679</v>
      </c>
      <c r="Y306" s="380">
        <f t="shared" si="113"/>
        <v>16.037608097552706</v>
      </c>
      <c r="Z306" s="380">
        <f t="shared" si="114"/>
        <v>16.51822292131628</v>
      </c>
      <c r="AA306" s="381">
        <f t="shared" si="115"/>
        <v>17.320847835547397</v>
      </c>
      <c r="AB306" s="193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4.6338662047702893E-2</v>
      </c>
      <c r="AD306" s="227">
        <f>(INDEX(Models!$BJ306:$BT306,,AH306)*(1-AF306)+INDEX(Models!$BJ306:$BT306,,AH306+1)*AF306-ERP_i)*AE306*Ramure*Pc/MaxiM</f>
        <v>1.4282560653115213E-3</v>
      </c>
      <c r="AE306" s="301">
        <f t="shared" si="117"/>
        <v>0.5</v>
      </c>
      <c r="AF306" s="173">
        <f t="shared" si="118"/>
        <v>0.9916928743004414</v>
      </c>
      <c r="AG306" s="802">
        <f t="shared" si="124"/>
        <v>2</v>
      </c>
      <c r="AH306" s="172">
        <f t="shared" si="119"/>
        <v>8</v>
      </c>
      <c r="AI306" s="221">
        <f t="shared" si="120"/>
        <v>2.9916928743004414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46680</v>
      </c>
      <c r="B307" s="406">
        <f>'2026'!Wh/'2026'!Env_an*'2027'!Env_an</f>
        <v>8.7388879106282769</v>
      </c>
      <c r="C307" s="832"/>
      <c r="D307" s="388">
        <f t="shared" si="102"/>
        <v>9.0008980007320218</v>
      </c>
      <c r="E307" s="380">
        <f t="shared" si="125"/>
        <v>9.1107668625603697</v>
      </c>
      <c r="F307" s="380">
        <f t="shared" si="103"/>
        <v>9.1107668625603697</v>
      </c>
      <c r="G307" s="110">
        <f t="shared" si="126"/>
        <v>0.27223172349483526</v>
      </c>
      <c r="H307" s="409" t="b">
        <f>Wh_hp&gt;='2026'!Maxi_hp</f>
        <v>0</v>
      </c>
      <c r="I307" s="385">
        <f>IF(H307,Wh_hp,'2026'!Maxi_hp)</f>
        <v>9.1244045846018054</v>
      </c>
      <c r="J307" s="85">
        <f>IF(H307,An,'2026'!An_max)</f>
        <v>2022</v>
      </c>
      <c r="K307" s="193">
        <f t="shared" si="104"/>
        <v>46680</v>
      </c>
      <c r="L307" s="143">
        <f>IF(t&lt;Tvie,1-EXP((T0-t)*PertePVj)+'2026'!Pspv,1-EXP((T0-t)*PertePVj)+Pspv)</f>
        <v>2.910932776734465E-2</v>
      </c>
      <c r="M307" s="836"/>
      <c r="N307" s="836"/>
      <c r="O307" s="48">
        <f>IF(t&lt;Tnet,'2026'!Resal+('2026'!Salim-'2026'!Resal)*(1-EXP(('2026'!Tnet-t)/('2026'!Tau_j))),Resal+(Salim-Resal)*(1-EXP((Tnet-t)/(Tau_j))))*Salcycl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1.6451210310072378E-3</v>
      </c>
      <c r="Q307" s="301">
        <f t="shared" si="105"/>
        <v>0.5</v>
      </c>
      <c r="R307" s="173">
        <f t="shared" si="106"/>
        <v>0.991784638413435</v>
      </c>
      <c r="S307" s="802">
        <f t="shared" si="107"/>
        <v>2</v>
      </c>
      <c r="T307" s="172">
        <f t="shared" si="108"/>
        <v>8</v>
      </c>
      <c r="U307" s="247">
        <f t="shared" si="109"/>
        <v>2.991784638413435</v>
      </c>
      <c r="V307" s="378">
        <f t="shared" si="110"/>
        <v>32.048106922793686</v>
      </c>
      <c r="W307" s="397">
        <f t="shared" si="111"/>
        <v>8.7388879106282769</v>
      </c>
      <c r="X307" s="153">
        <f t="shared" si="112"/>
        <v>46680</v>
      </c>
      <c r="Y307" s="380">
        <f t="shared" si="113"/>
        <v>8.4356308493065253</v>
      </c>
      <c r="Z307" s="380">
        <f t="shared" si="114"/>
        <v>8.6885486600751776</v>
      </c>
      <c r="AA307" s="381">
        <f t="shared" si="115"/>
        <v>9.1107668625603697</v>
      </c>
      <c r="AB307" s="193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4.6342773210480026E-2</v>
      </c>
      <c r="AD307" s="227">
        <f>(INDEX(Models!$BJ307:$BT307,,AH307)*(1-AF307)+INDEX(Models!$BJ307:$BT307,,AH307+1)*AF307-ERP_i)*AE307*Ramure*Pc/MaxiM</f>
        <v>1.6451210310072378E-3</v>
      </c>
      <c r="AE307" s="301">
        <f t="shared" si="117"/>
        <v>0.5</v>
      </c>
      <c r="AF307" s="173">
        <f t="shared" si="118"/>
        <v>0.991784638413435</v>
      </c>
      <c r="AG307" s="802">
        <f t="shared" si="124"/>
        <v>2</v>
      </c>
      <c r="AH307" s="172">
        <f t="shared" si="119"/>
        <v>8</v>
      </c>
      <c r="AI307" s="221">
        <f t="shared" si="120"/>
        <v>2.991784638413435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46681</v>
      </c>
      <c r="B308" s="406">
        <f>'2026'!Wh/'2026'!Env_an*'2027'!Env_an</f>
        <v>16.892346348885745</v>
      </c>
      <c r="C308" s="832"/>
      <c r="D308" s="388">
        <f t="shared" si="102"/>
        <v>17.399052310638826</v>
      </c>
      <c r="E308" s="380">
        <f t="shared" si="125"/>
        <v>17.612441910787776</v>
      </c>
      <c r="F308" s="380">
        <f t="shared" si="103"/>
        <v>17.62363472393217</v>
      </c>
      <c r="G308" s="110">
        <f t="shared" si="126"/>
        <v>0.53292681721138002</v>
      </c>
      <c r="H308" s="409" t="b">
        <f>Wh_hp&gt;='2026'!Maxi_hp</f>
        <v>0</v>
      </c>
      <c r="I308" s="385">
        <f>IF(H308,Wh_hp,'2026'!Maxi_hp)</f>
        <v>17.644021025065648</v>
      </c>
      <c r="J308" s="85">
        <f>IF(H308,An,'2026'!An_max)</f>
        <v>2022</v>
      </c>
      <c r="K308" s="193">
        <f t="shared" si="104"/>
        <v>46681</v>
      </c>
      <c r="L308" s="143">
        <f>IF(t&lt;Tvie,1-EXP((T0-t)*PertePVj)+'2026'!Pspv,1-EXP((T0-t)*PertePVj)+Pspv)</f>
        <v>2.9122618445330595E-2</v>
      </c>
      <c r="M308" s="836"/>
      <c r="N308" s="836"/>
      <c r="O308" s="48">
        <f>IF(t&lt;Tnet,'2026'!Resal+('2026'!Salim-'2026'!Resal)*(1-EXP(('2026'!Tnet-t)/('2026'!Tau_j))),Resal+(Salim-Resal)*(1-EXP((Tnet-t)/(Tau_j))))*Salcycl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1.9031008510518442E-3</v>
      </c>
      <c r="Q308" s="301">
        <f t="shared" si="105"/>
        <v>0.5</v>
      </c>
      <c r="R308" s="173">
        <f t="shared" si="106"/>
        <v>0.99187273960872036</v>
      </c>
      <c r="S308" s="802">
        <f t="shared" si="107"/>
        <v>2</v>
      </c>
      <c r="T308" s="172">
        <f t="shared" si="108"/>
        <v>8</v>
      </c>
      <c r="U308" s="247">
        <f t="shared" si="109"/>
        <v>2.9918727396087204</v>
      </c>
      <c r="V308" s="378">
        <f t="shared" si="110"/>
        <v>31.657091974420094</v>
      </c>
      <c r="W308" s="397">
        <f t="shared" si="111"/>
        <v>16.892346348885745</v>
      </c>
      <c r="X308" s="153">
        <f t="shared" si="112"/>
        <v>46681</v>
      </c>
      <c r="Y308" s="380">
        <f t="shared" si="113"/>
        <v>16.307021565236798</v>
      </c>
      <c r="Z308" s="380">
        <f t="shared" si="114"/>
        <v>16.796170015954338</v>
      </c>
      <c r="AA308" s="381">
        <f t="shared" si="115"/>
        <v>17.612441910787776</v>
      </c>
      <c r="AB308" s="193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4.6346321479332514E-2</v>
      </c>
      <c r="AD308" s="227">
        <f>(INDEX(Models!$BJ308:$BT308,,AH308)*(1-AF308)+INDEX(Models!$BJ308:$BT308,,AH308+1)*AF308-ERP_i)*AE308*Ramure*Pc/MaxiM</f>
        <v>1.9031008510518442E-3</v>
      </c>
      <c r="AE308" s="301">
        <f t="shared" si="117"/>
        <v>0.5</v>
      </c>
      <c r="AF308" s="173">
        <f t="shared" si="118"/>
        <v>0.99187273960872036</v>
      </c>
      <c r="AG308" s="802">
        <f t="shared" si="124"/>
        <v>2</v>
      </c>
      <c r="AH308" s="172">
        <f t="shared" si="119"/>
        <v>8</v>
      </c>
      <c r="AI308" s="221">
        <f t="shared" si="120"/>
        <v>2.9918727396087204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46682</v>
      </c>
      <c r="B309" s="406">
        <f>'2026'!Wh/'2026'!Env_an*'2027'!Env_an</f>
        <v>28.949297173058458</v>
      </c>
      <c r="C309" s="832"/>
      <c r="D309" s="388">
        <f t="shared" si="102"/>
        <v>29.818073857786214</v>
      </c>
      <c r="E309" s="380">
        <f t="shared" si="125"/>
        <v>30.185497565110737</v>
      </c>
      <c r="F309" s="380">
        <f t="shared" si="103"/>
        <v>30.245070561026189</v>
      </c>
      <c r="G309" s="110">
        <f t="shared" si="126"/>
        <v>0.9256746312067633</v>
      </c>
      <c r="H309" s="409" t="b">
        <f>Wh_hp&gt;='2026'!Maxi_hp</f>
        <v>0</v>
      </c>
      <c r="I309" s="385">
        <f>IF(H309,Wh_hp,'2026'!Maxi_hp)</f>
        <v>30.251519935948156</v>
      </c>
      <c r="J309" s="85">
        <f>IF(H309,An,'2026'!An_max)</f>
        <v>2022</v>
      </c>
      <c r="K309" s="193">
        <f t="shared" si="104"/>
        <v>46682</v>
      </c>
      <c r="L309" s="143">
        <f>IF(t&lt;Tvie,1-EXP((T0-t)*PertePVj)+'2026'!Pspv,1-EXP((T0-t)*PertePVj)+Pspv)</f>
        <v>2.9135908941378408E-2</v>
      </c>
      <c r="M309" s="836"/>
      <c r="N309" s="836"/>
      <c r="O309" s="48">
        <f>IF(t&lt;Tnet,'2026'!Resal+('2026'!Salim-'2026'!Resal)*(1-EXP(('2026'!Tnet-t)/('2026'!Tau_j))),Resal+(Salim-Resal)*(1-EXP((Tnet-t)/(Tau_j))))*Salcycl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2.2028969239023099E-3</v>
      </c>
      <c r="Q309" s="301">
        <f t="shared" si="105"/>
        <v>0.5</v>
      </c>
      <c r="R309" s="173">
        <f t="shared" si="106"/>
        <v>0.99195732287456639</v>
      </c>
      <c r="S309" s="802">
        <f t="shared" si="107"/>
        <v>2</v>
      </c>
      <c r="T309" s="172">
        <f t="shared" si="108"/>
        <v>8</v>
      </c>
      <c r="U309" s="247">
        <f t="shared" si="109"/>
        <v>2.9919573228745664</v>
      </c>
      <c r="V309" s="378">
        <f t="shared" si="110"/>
        <v>31.266420507682504</v>
      </c>
      <c r="W309" s="397">
        <f t="shared" si="111"/>
        <v>28.949297173058458</v>
      </c>
      <c r="X309" s="153">
        <f t="shared" si="112"/>
        <v>46682</v>
      </c>
      <c r="Y309" s="380">
        <f t="shared" si="113"/>
        <v>27.947701314483638</v>
      </c>
      <c r="Z309" s="380">
        <f t="shared" si="114"/>
        <v>28.786419821140683</v>
      </c>
      <c r="AA309" s="381">
        <f t="shared" si="115"/>
        <v>30.185497565110737</v>
      </c>
      <c r="AB309" s="193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4.6349335171706682E-2</v>
      </c>
      <c r="AD309" s="227">
        <f>(INDEX(Models!$BJ309:$BT309,,AH309)*(1-AF309)+INDEX(Models!$BJ309:$BT309,,AH309+1)*AF309-ERP_i)*AE309*Ramure*Pc/MaxiM</f>
        <v>2.2028969239023099E-3</v>
      </c>
      <c r="AE309" s="301">
        <f t="shared" si="117"/>
        <v>0.5</v>
      </c>
      <c r="AF309" s="173">
        <f t="shared" si="118"/>
        <v>0.99195732287456639</v>
      </c>
      <c r="AG309" s="802">
        <f t="shared" si="124"/>
        <v>2</v>
      </c>
      <c r="AH309" s="172">
        <f t="shared" si="119"/>
        <v>8</v>
      </c>
      <c r="AI309" s="221">
        <f t="shared" si="120"/>
        <v>2.9919573228745664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46683</v>
      </c>
      <c r="B310" s="406">
        <f>'2026'!Wh/'2026'!Env_an*'2027'!Env_an</f>
        <v>18.869901282711833</v>
      </c>
      <c r="C310" s="832"/>
      <c r="D310" s="388">
        <f t="shared" si="102"/>
        <v>19.436458483879505</v>
      </c>
      <c r="E310" s="380">
        <f t="shared" si="125"/>
        <v>19.677075408818297</v>
      </c>
      <c r="F310" s="380">
        <f t="shared" si="103"/>
        <v>19.699644528417707</v>
      </c>
      <c r="G310" s="110">
        <f t="shared" si="126"/>
        <v>0.61028628022309317</v>
      </c>
      <c r="H310" s="409" t="b">
        <f>Wh_hp&gt;='2026'!Maxi_hp</f>
        <v>0</v>
      </c>
      <c r="I310" s="385">
        <f>IF(H310,Wh_hp,'2026'!Maxi_hp)</f>
        <v>19.725415747408835</v>
      </c>
      <c r="J310" s="85">
        <f>IF(H310,An,'2026'!An_max)</f>
        <v>2022</v>
      </c>
      <c r="K310" s="193">
        <f t="shared" si="104"/>
        <v>46683</v>
      </c>
      <c r="L310" s="143">
        <f>IF(t&lt;Tvie,1-EXP((T0-t)*PertePVj)+'2026'!Pspv,1-EXP((T0-t)*PertePVj)+Pspv)</f>
        <v>2.9149199255490532E-2</v>
      </c>
      <c r="M310" s="836"/>
      <c r="N310" s="836"/>
      <c r="O310" s="48">
        <f>IF(t&lt;Tnet,'2026'!Resal+('2026'!Salim-'2026'!Resal)*(1-EXP(('2026'!Tnet-t)/('2026'!Tau_j))),Resal+(Salim-Resal)*(1-EXP((Tnet-t)/(Tau_j))))*Salcycl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2.5773141424222331E-3</v>
      </c>
      <c r="Q310" s="301">
        <f t="shared" si="105"/>
        <v>0.5</v>
      </c>
      <c r="R310" s="173">
        <f t="shared" si="106"/>
        <v>0.99203852755638788</v>
      </c>
      <c r="S310" s="802">
        <f t="shared" si="107"/>
        <v>2</v>
      </c>
      <c r="T310" s="172">
        <f t="shared" si="108"/>
        <v>8</v>
      </c>
      <c r="U310" s="247">
        <f t="shared" si="109"/>
        <v>2.9920385275563879</v>
      </c>
      <c r="V310" s="378">
        <f t="shared" si="110"/>
        <v>30.875436265057957</v>
      </c>
      <c r="W310" s="397">
        <f t="shared" si="111"/>
        <v>18.869901282711833</v>
      </c>
      <c r="X310" s="153">
        <f t="shared" si="112"/>
        <v>46683</v>
      </c>
      <c r="Y310" s="380">
        <f t="shared" si="113"/>
        <v>18.218021743034026</v>
      </c>
      <c r="Z310" s="380">
        <f t="shared" si="114"/>
        <v>18.76500666123291</v>
      </c>
      <c r="AA310" s="381">
        <f t="shared" si="115"/>
        <v>19.677075408818297</v>
      </c>
      <c r="AB310" s="193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4.6351844907635206E-2</v>
      </c>
      <c r="AD310" s="227">
        <f>(INDEX(Models!$BJ310:$BT310,,AH310)*(1-AF310)+INDEX(Models!$BJ310:$BT310,,AH310+1)*AF310-ERP_i)*AE310*Ramure*Pc/MaxiM</f>
        <v>2.5773141424222331E-3</v>
      </c>
      <c r="AE310" s="301">
        <f t="shared" si="117"/>
        <v>0.5</v>
      </c>
      <c r="AF310" s="173">
        <f t="shared" si="118"/>
        <v>0.99203852755638788</v>
      </c>
      <c r="AG310" s="802">
        <f t="shared" si="124"/>
        <v>2</v>
      </c>
      <c r="AH310" s="172">
        <f t="shared" si="119"/>
        <v>8</v>
      </c>
      <c r="AI310" s="221">
        <f t="shared" si="120"/>
        <v>2.9920385275563879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46684</v>
      </c>
      <c r="B311" s="406">
        <f>'2026'!Wh/'2026'!Env_an*'2027'!Env_an</f>
        <v>24.469521412261606</v>
      </c>
      <c r="C311" s="832"/>
      <c r="D311" s="388">
        <f t="shared" si="102"/>
        <v>25.204548799137445</v>
      </c>
      <c r="E311" s="380">
        <f t="shared" si="125"/>
        <v>25.518015490310315</v>
      </c>
      <c r="F311" s="380">
        <f t="shared" si="103"/>
        <v>25.573547875893009</v>
      </c>
      <c r="G311" s="110">
        <f t="shared" si="126"/>
        <v>0.80199870906400639</v>
      </c>
      <c r="H311" s="409" t="b">
        <f>Wh_hp&gt;='2026'!Maxi_hp</f>
        <v>0</v>
      </c>
      <c r="I311" s="385">
        <f>IF(H311,Wh_hp,'2026'!Maxi_hp)</f>
        <v>25.593422126687972</v>
      </c>
      <c r="J311" s="85">
        <f>IF(H311,An,'2026'!An_max)</f>
        <v>2022</v>
      </c>
      <c r="K311" s="193">
        <f t="shared" si="104"/>
        <v>46684</v>
      </c>
      <c r="L311" s="143">
        <f>IF(t&lt;Tvie,1-EXP((T0-t)*PertePVj)+'2026'!Pspv,1-EXP((T0-t)*PertePVj)+Pspv)</f>
        <v>2.9162489387669299E-2</v>
      </c>
      <c r="M311" s="836"/>
      <c r="N311" s="836"/>
      <c r="O311" s="48">
        <f>IF(t&lt;Tnet,'2026'!Resal+('2026'!Salim-'2026'!Resal)*(1-EXP(('2026'!Tnet-t)/('2026'!Tau_j))),Resal+(Salim-Resal)*(1-EXP((Tnet-t)/(Tau_j))))*Salcycl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3.0238344074998624E-3</v>
      </c>
      <c r="Q311" s="301">
        <f t="shared" si="105"/>
        <v>0.5</v>
      </c>
      <c r="R311" s="173">
        <f t="shared" si="106"/>
        <v>0.99211648756878068</v>
      </c>
      <c r="S311" s="802">
        <f t="shared" si="107"/>
        <v>2</v>
      </c>
      <c r="T311" s="172">
        <f t="shared" si="108"/>
        <v>8</v>
      </c>
      <c r="U311" s="247">
        <f t="shared" si="109"/>
        <v>2.9921164875687807</v>
      </c>
      <c r="V311" s="378">
        <f t="shared" si="110"/>
        <v>30.484611737516676</v>
      </c>
      <c r="W311" s="397">
        <f t="shared" si="111"/>
        <v>24.469521412261606</v>
      </c>
      <c r="X311" s="153">
        <f t="shared" si="112"/>
        <v>46684</v>
      </c>
      <c r="Y311" s="380">
        <f t="shared" si="113"/>
        <v>23.625482632810098</v>
      </c>
      <c r="Z311" s="380">
        <f t="shared" si="114"/>
        <v>24.335156372263505</v>
      </c>
      <c r="AA311" s="381">
        <f t="shared" si="115"/>
        <v>25.518015490310315</v>
      </c>
      <c r="AB311" s="193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4.6353883533614401E-2</v>
      </c>
      <c r="AD311" s="227">
        <f>(INDEX(Models!$BJ311:$BT311,,AH311)*(1-AF311)+INDEX(Models!$BJ311:$BT311,,AH311+1)*AF311-ERP_i)*AE311*Ramure*Pc/MaxiM</f>
        <v>3.0238344074998624E-3</v>
      </c>
      <c r="AE311" s="301">
        <f t="shared" si="117"/>
        <v>0.5</v>
      </c>
      <c r="AF311" s="173">
        <f t="shared" si="118"/>
        <v>0.99211648756878068</v>
      </c>
      <c r="AG311" s="802">
        <f t="shared" si="124"/>
        <v>2</v>
      </c>
      <c r="AH311" s="172">
        <f t="shared" si="119"/>
        <v>8</v>
      </c>
      <c r="AI311" s="221">
        <f t="shared" si="120"/>
        <v>2.9921164875687807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46685</v>
      </c>
      <c r="B312" s="406">
        <f>'2026'!Wh/'2026'!Env_an*'2027'!Env_an</f>
        <v>20.556104955989586</v>
      </c>
      <c r="C312" s="832"/>
      <c r="D312" s="388">
        <f t="shared" si="102"/>
        <v>21.173869088237968</v>
      </c>
      <c r="E312" s="380">
        <f t="shared" si="125"/>
        <v>21.438413508908891</v>
      </c>
      <c r="F312" s="380">
        <f t="shared" si="103"/>
        <v>21.480067302888031</v>
      </c>
      <c r="G312" s="110">
        <f t="shared" si="126"/>
        <v>0.68195830810413949</v>
      </c>
      <c r="H312" s="409" t="b">
        <f>Wh_hp&gt;='2026'!Maxi_hp</f>
        <v>0</v>
      </c>
      <c r="I312" s="385">
        <f>IF(H312,Wh_hp,'2026'!Maxi_hp)</f>
        <v>21.511387732569521</v>
      </c>
      <c r="J312" s="85">
        <f>IF(H312,An,'2026'!An_max)</f>
        <v>2022</v>
      </c>
      <c r="K312" s="193">
        <f t="shared" si="104"/>
        <v>46685</v>
      </c>
      <c r="L312" s="143">
        <f>IF(t&lt;Tvie,1-EXP((T0-t)*PertePVj)+'2026'!Pspv,1-EXP((T0-t)*PertePVj)+Pspv)</f>
        <v>2.9175779337917374E-2</v>
      </c>
      <c r="M312" s="836"/>
      <c r="N312" s="836"/>
      <c r="O312" s="48">
        <f>IF(t&lt;Tnet,'2026'!Resal+('2026'!Salim-'2026'!Resal)*(1-EXP(('2026'!Tnet-t)/('2026'!Tau_j))),Resal+(Salim-Resal)*(1-EXP((Tnet-t)/(Tau_j))))*Salcycl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3.543677954028491E-3</v>
      </c>
      <c r="Q312" s="301">
        <f t="shared" si="105"/>
        <v>0.5</v>
      </c>
      <c r="R312" s="173">
        <f t="shared" si="106"/>
        <v>0.99219133160018913</v>
      </c>
      <c r="S312" s="802">
        <f t="shared" si="107"/>
        <v>2</v>
      </c>
      <c r="T312" s="172">
        <f t="shared" si="108"/>
        <v>8</v>
      </c>
      <c r="U312" s="247">
        <f t="shared" si="109"/>
        <v>2.9921913316001891</v>
      </c>
      <c r="V312" s="378">
        <f t="shared" si="110"/>
        <v>30.094301183499294</v>
      </c>
      <c r="W312" s="397">
        <f t="shared" si="111"/>
        <v>20.556104955989586</v>
      </c>
      <c r="X312" s="153">
        <f t="shared" si="112"/>
        <v>46685</v>
      </c>
      <c r="Y312" s="380">
        <f t="shared" si="113"/>
        <v>19.848137550751172</v>
      </c>
      <c r="Z312" s="380">
        <f t="shared" si="114"/>
        <v>20.444625430971573</v>
      </c>
      <c r="AA312" s="381">
        <f t="shared" si="115"/>
        <v>21.438413508908891</v>
      </c>
      <c r="AB312" s="193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4.6355486030920226E-2</v>
      </c>
      <c r="AD312" s="227">
        <f>(INDEX(Models!$BJ312:$BT312,,AH312)*(1-AF312)+INDEX(Models!$BJ312:$BT312,,AH312+1)*AF312-ERP_i)*AE312*Ramure*Pc/MaxiM</f>
        <v>3.543677954028491E-3</v>
      </c>
      <c r="AE312" s="301">
        <f t="shared" si="117"/>
        <v>0.5</v>
      </c>
      <c r="AF312" s="173">
        <f t="shared" si="118"/>
        <v>0.99219133160018913</v>
      </c>
      <c r="AG312" s="802">
        <f t="shared" si="124"/>
        <v>2</v>
      </c>
      <c r="AH312" s="172">
        <f t="shared" si="119"/>
        <v>8</v>
      </c>
      <c r="AI312" s="221">
        <f t="shared" si="120"/>
        <v>2.9921913316001891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46686</v>
      </c>
      <c r="B313" s="406">
        <f>'2026'!Wh/'2026'!Env_an*'2027'!Env_an</f>
        <v>15.355299875758494</v>
      </c>
      <c r="C313" s="832"/>
      <c r="D313" s="388">
        <f t="shared" si="102"/>
        <v>15.816982882157973</v>
      </c>
      <c r="E313" s="380">
        <f t="shared" si="125"/>
        <v>16.015496780765268</v>
      </c>
      <c r="F313" s="380">
        <f t="shared" si="103"/>
        <v>16.03606096407448</v>
      </c>
      <c r="G313" s="110">
        <f t="shared" si="126"/>
        <v>0.51545080776810404</v>
      </c>
      <c r="H313" s="409" t="b">
        <f>Wh_hp&gt;='2026'!Maxi_hp</f>
        <v>0</v>
      </c>
      <c r="I313" s="385">
        <f>IF(H313,Wh_hp,'2026'!Maxi_hp)</f>
        <v>16.077522083526727</v>
      </c>
      <c r="J313" s="85">
        <f>IF(H313,An,'2026'!An_max)</f>
        <v>2022</v>
      </c>
      <c r="K313" s="193">
        <f t="shared" si="104"/>
        <v>46686</v>
      </c>
      <c r="L313" s="143">
        <f>IF(t&lt;Tvie,1-EXP((T0-t)*PertePVj)+'2026'!Pspv,1-EXP((T0-t)*PertePVj)+Pspv)</f>
        <v>2.9189069106237198E-2</v>
      </c>
      <c r="M313" s="836"/>
      <c r="N313" s="836"/>
      <c r="O313" s="48">
        <f>IF(t&lt;Tnet,'2026'!Resal+('2026'!Salim-'2026'!Resal)*(1-EXP(('2026'!Tnet-t)/('2026'!Tau_j))),Resal+(Salim-Resal)*(1-EXP((Tnet-t)/(Tau_j))))*Salcycl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4.1380376199879731E-3</v>
      </c>
      <c r="Q313" s="301">
        <f t="shared" si="105"/>
        <v>0.5</v>
      </c>
      <c r="R313" s="173">
        <f t="shared" si="106"/>
        <v>0.9922631833104183</v>
      </c>
      <c r="S313" s="802">
        <f t="shared" si="107"/>
        <v>2</v>
      </c>
      <c r="T313" s="172">
        <f t="shared" si="108"/>
        <v>8</v>
      </c>
      <c r="U313" s="247">
        <f t="shared" si="109"/>
        <v>2.9922631833104183</v>
      </c>
      <c r="V313" s="378">
        <f t="shared" si="110"/>
        <v>29.704859760896397</v>
      </c>
      <c r="W313" s="397">
        <f t="shared" si="111"/>
        <v>15.355299875758494</v>
      </c>
      <c r="X313" s="153">
        <f t="shared" si="112"/>
        <v>46686</v>
      </c>
      <c r="Y313" s="380">
        <f t="shared" si="113"/>
        <v>14.827264635067495</v>
      </c>
      <c r="Z313" s="380">
        <f t="shared" si="114"/>
        <v>15.273071370773495</v>
      </c>
      <c r="AA313" s="381">
        <f t="shared" si="115"/>
        <v>16.015496780765268</v>
      </c>
      <c r="AB313" s="193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4.635668940868766E-2</v>
      </c>
      <c r="AD313" s="227">
        <f>(INDEX(Models!$BJ313:$BT313,,AH313)*(1-AF313)+INDEX(Models!$BJ313:$BT313,,AH313+1)*AF313-ERP_i)*AE313*Ramure*Pc/MaxiM</f>
        <v>4.1380376199879731E-3</v>
      </c>
      <c r="AE313" s="301">
        <f t="shared" si="117"/>
        <v>0.5</v>
      </c>
      <c r="AF313" s="173">
        <f t="shared" si="118"/>
        <v>0.9922631833104183</v>
      </c>
      <c r="AG313" s="802">
        <f t="shared" si="124"/>
        <v>2</v>
      </c>
      <c r="AH313" s="172">
        <f t="shared" si="119"/>
        <v>8</v>
      </c>
      <c r="AI313" s="221">
        <f t="shared" si="120"/>
        <v>2.9922631833104183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46687</v>
      </c>
      <c r="B314" s="406">
        <f>'2026'!Wh/'2026'!Env_an*'2027'!Env_an</f>
        <v>14.512660072945636</v>
      </c>
      <c r="C314" s="832"/>
      <c r="D314" s="388">
        <f t="shared" si="102"/>
        <v>14.949212333686248</v>
      </c>
      <c r="E314" s="380">
        <f t="shared" si="125"/>
        <v>15.13768048758126</v>
      </c>
      <c r="F314" s="380">
        <f t="shared" si="103"/>
        <v>15.157986317235393</v>
      </c>
      <c r="G314" s="110">
        <f t="shared" si="126"/>
        <v>0.49331213570938387</v>
      </c>
      <c r="H314" s="409" t="b">
        <f>Wh_hp&gt;='2026'!Maxi_hp</f>
        <v>0</v>
      </c>
      <c r="I314" s="385">
        <f>IF(H314,Wh_hp,'2026'!Maxi_hp)</f>
        <v>15.20541089305954</v>
      </c>
      <c r="J314" s="85">
        <f>IF(H314,An,'2026'!An_max)</f>
        <v>2022</v>
      </c>
      <c r="K314" s="193">
        <f t="shared" si="104"/>
        <v>46687</v>
      </c>
      <c r="L314" s="143">
        <f>IF(t&lt;Tvie,1-EXP((T0-t)*PertePVj)+'2026'!Pspv,1-EXP((T0-t)*PertePVj)+Pspv)</f>
        <v>2.9202358692631214E-2</v>
      </c>
      <c r="M314" s="836"/>
      <c r="N314" s="836"/>
      <c r="O314" s="48">
        <f>IF(t&lt;Tnet,'2026'!Resal+('2026'!Salim-'2026'!Resal)*(1-EXP(('2026'!Tnet-t)/('2026'!Tau_j))),Resal+(Salim-Resal)*(1-EXP((Tnet-t)/(Tau_j))))*Salcycl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4.8080904657326435E-3</v>
      </c>
      <c r="Q314" s="301">
        <f t="shared" si="105"/>
        <v>0.5</v>
      </c>
      <c r="R314" s="173">
        <f t="shared" si="106"/>
        <v>0.99233216152119574</v>
      </c>
      <c r="S314" s="802">
        <f t="shared" si="107"/>
        <v>2</v>
      </c>
      <c r="T314" s="172">
        <f t="shared" si="108"/>
        <v>8</v>
      </c>
      <c r="U314" s="247">
        <f t="shared" si="109"/>
        <v>2.9923321615211957</v>
      </c>
      <c r="V314" s="378">
        <f t="shared" si="110"/>
        <v>29.316642879215049</v>
      </c>
      <c r="W314" s="397">
        <f t="shared" si="111"/>
        <v>14.512660072945636</v>
      </c>
      <c r="X314" s="153">
        <f t="shared" si="112"/>
        <v>46687</v>
      </c>
      <c r="Y314" s="380">
        <f t="shared" si="113"/>
        <v>14.01437162006785</v>
      </c>
      <c r="Z314" s="380">
        <f t="shared" si="114"/>
        <v>14.435934971159138</v>
      </c>
      <c r="AA314" s="381">
        <f t="shared" si="115"/>
        <v>15.13768048758126</v>
      </c>
      <c r="AB314" s="193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4.6357532582209267E-2</v>
      </c>
      <c r="AD314" s="227">
        <f>(INDEX(Models!$BJ314:$BT314,,AH314)*(1-AF314)+INDEX(Models!$BJ314:$BT314,,AH314+1)*AF314-ERP_i)*AE314*Ramure*Pc/MaxiM</f>
        <v>4.8080904657326435E-3</v>
      </c>
      <c r="AE314" s="301">
        <f t="shared" si="117"/>
        <v>0.5</v>
      </c>
      <c r="AF314" s="173">
        <f t="shared" si="118"/>
        <v>0.99233216152119574</v>
      </c>
      <c r="AG314" s="802">
        <f t="shared" si="124"/>
        <v>2</v>
      </c>
      <c r="AH314" s="172">
        <f t="shared" si="119"/>
        <v>8</v>
      </c>
      <c r="AI314" s="221">
        <f t="shared" si="120"/>
        <v>2.9923321615211957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46688</v>
      </c>
      <c r="B315" s="406">
        <f>'2026'!Wh/'2026'!Env_an*'2027'!Env_an</f>
        <v>16.68498498350996</v>
      </c>
      <c r="C315" s="832"/>
      <c r="D315" s="388">
        <f t="shared" si="102"/>
        <v>17.187117768023999</v>
      </c>
      <c r="E315" s="380">
        <f t="shared" si="125"/>
        <v>17.40476800622082</v>
      </c>
      <c r="F315" s="380">
        <f t="shared" si="103"/>
        <v>17.443074706323216</v>
      </c>
      <c r="G315" s="110">
        <f t="shared" si="126"/>
        <v>0.57479485141207143</v>
      </c>
      <c r="H315" s="409" t="b">
        <f>Wh_hp&gt;='2026'!Maxi_hp</f>
        <v>0</v>
      </c>
      <c r="I315" s="385">
        <f>IF(H315,Wh_hp,'2026'!Maxi_hp)</f>
        <v>17.495740847674913</v>
      </c>
      <c r="J315" s="85">
        <f>IF(H315,An,'2026'!An_max)</f>
        <v>2022</v>
      </c>
      <c r="K315" s="193">
        <f t="shared" si="104"/>
        <v>46688</v>
      </c>
      <c r="L315" s="143">
        <f>IF(t&lt;Tvie,1-EXP((T0-t)*PertePVj)+'2026'!Pspv,1-EXP((T0-t)*PertePVj)+Pspv)</f>
        <v>2.9215648097101976E-2</v>
      </c>
      <c r="M315" s="836"/>
      <c r="N315" s="836"/>
      <c r="O315" s="48">
        <f>IF(t&lt;Tnet,'2026'!Resal+('2026'!Salim-'2026'!Resal)*(1-EXP(('2026'!Tnet-t)/('2026'!Tau_j))),Resal+(Salim-Resal)*(1-EXP((Tnet-t)/(Tau_j))))*Salcycl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5.5549939641340402E-3</v>
      </c>
      <c r="Q315" s="301">
        <f t="shared" si="105"/>
        <v>0.5</v>
      </c>
      <c r="R315" s="173">
        <f t="shared" si="106"/>
        <v>0.99239838039997785</v>
      </c>
      <c r="S315" s="802">
        <f t="shared" si="107"/>
        <v>2</v>
      </c>
      <c r="T315" s="172">
        <f t="shared" si="108"/>
        <v>8</v>
      </c>
      <c r="U315" s="247">
        <f t="shared" si="109"/>
        <v>2.9923983803999779</v>
      </c>
      <c r="V315" s="378">
        <f t="shared" si="110"/>
        <v>28.930006010906386</v>
      </c>
      <c r="W315" s="397">
        <f t="shared" si="111"/>
        <v>16.68498498350996</v>
      </c>
      <c r="X315" s="153">
        <f t="shared" si="112"/>
        <v>46688</v>
      </c>
      <c r="Y315" s="380">
        <f t="shared" si="113"/>
        <v>16.112997896050086</v>
      </c>
      <c r="Z315" s="380">
        <f t="shared" si="114"/>
        <v>16.597916792195861</v>
      </c>
      <c r="AA315" s="381">
        <f t="shared" si="115"/>
        <v>17.40476800622082</v>
      </c>
      <c r="AB315" s="193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4.6358056237036628E-2</v>
      </c>
      <c r="AD315" s="227">
        <f>(INDEX(Models!$BJ315:$BT315,,AH315)*(1-AF315)+INDEX(Models!$BJ315:$BT315,,AH315+1)*AF315-ERP_i)*AE315*Ramure*Pc/MaxiM</f>
        <v>5.5549939641340402E-3</v>
      </c>
      <c r="AE315" s="301">
        <f t="shared" si="117"/>
        <v>0.5</v>
      </c>
      <c r="AF315" s="173">
        <f t="shared" si="118"/>
        <v>0.99239838039997785</v>
      </c>
      <c r="AG315" s="802">
        <f t="shared" si="124"/>
        <v>2</v>
      </c>
      <c r="AH315" s="172">
        <f t="shared" si="119"/>
        <v>8</v>
      </c>
      <c r="AI315" s="221">
        <f t="shared" si="120"/>
        <v>2.9923983803999779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46689</v>
      </c>
      <c r="B316" s="406">
        <f>'2026'!Wh/'2026'!Env_an*'2027'!Env_an</f>
        <v>23.461691950181756</v>
      </c>
      <c r="C316" s="832"/>
      <c r="D316" s="388">
        <f t="shared" si="102"/>
        <v>24.168099825104839</v>
      </c>
      <c r="E316" s="380">
        <f t="shared" si="125"/>
        <v>24.475510972288561</v>
      </c>
      <c r="F316" s="380">
        <f t="shared" si="103"/>
        <v>24.592491440378453</v>
      </c>
      <c r="G316" s="110">
        <f t="shared" si="126"/>
        <v>0.82057028496628592</v>
      </c>
      <c r="H316" s="409" t="b">
        <f>Wh_hp&gt;='2026'!Maxi_hp</f>
        <v>0</v>
      </c>
      <c r="I316" s="385">
        <f>IF(H316,Wh_hp,'2026'!Maxi_hp)</f>
        <v>24.628264313045676</v>
      </c>
      <c r="J316" s="85">
        <f>IF(H316,An,'2026'!An_max)</f>
        <v>2022</v>
      </c>
      <c r="K316" s="193">
        <f t="shared" si="104"/>
        <v>46689</v>
      </c>
      <c r="L316" s="143">
        <f>IF(t&lt;Tvie,1-EXP((T0-t)*PertePVj)+'2026'!Pspv,1-EXP((T0-t)*PertePVj)+Pspv)</f>
        <v>2.9228937319652037E-2</v>
      </c>
      <c r="M316" s="836"/>
      <c r="N316" s="836"/>
      <c r="O316" s="48">
        <f>IF(t&lt;Tnet,'2026'!Resal+('2026'!Salim-'2026'!Resal)*(1-EXP(('2026'!Tnet-t)/('2026'!Tau_j))),Resal+(Salim-Resal)*(1-EXP((Tnet-t)/(Tau_j))))*Salcycl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6.3798819593748387E-3</v>
      </c>
      <c r="Q316" s="301">
        <f t="shared" si="105"/>
        <v>0.5</v>
      </c>
      <c r="R316" s="173">
        <f t="shared" si="106"/>
        <v>0.99246194963721379</v>
      </c>
      <c r="S316" s="802">
        <f t="shared" si="107"/>
        <v>2</v>
      </c>
      <c r="T316" s="172">
        <f t="shared" si="108"/>
        <v>8</v>
      </c>
      <c r="U316" s="247">
        <f t="shared" si="109"/>
        <v>2.9924619496372138</v>
      </c>
      <c r="V316" s="378">
        <f t="shared" si="110"/>
        <v>28.545304499044651</v>
      </c>
      <c r="W316" s="397">
        <f t="shared" si="111"/>
        <v>23.461691950181756</v>
      </c>
      <c r="X316" s="153">
        <f t="shared" si="112"/>
        <v>46689</v>
      </c>
      <c r="Y316" s="380">
        <f t="shared" si="113"/>
        <v>22.658639063713437</v>
      </c>
      <c r="Z316" s="380">
        <f t="shared" si="114"/>
        <v>23.340867826397492</v>
      </c>
      <c r="AA316" s="381">
        <f t="shared" si="115"/>
        <v>24.475510972288561</v>
      </c>
      <c r="AB316" s="193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4.6358302679593649E-2</v>
      </c>
      <c r="AD316" s="227">
        <f>(INDEX(Models!$BJ316:$BT316,,AH316)*(1-AF316)+INDEX(Models!$BJ316:$BT316,,AH316+1)*AF316-ERP_i)*AE316*Ramure*Pc/MaxiM</f>
        <v>6.3798819593748387E-3</v>
      </c>
      <c r="AE316" s="301">
        <f t="shared" si="117"/>
        <v>0.5</v>
      </c>
      <c r="AF316" s="173">
        <f t="shared" si="118"/>
        <v>0.99246194963721379</v>
      </c>
      <c r="AG316" s="802">
        <f t="shared" si="124"/>
        <v>2</v>
      </c>
      <c r="AH316" s="172">
        <f t="shared" si="119"/>
        <v>8</v>
      </c>
      <c r="AI316" s="221">
        <f t="shared" si="120"/>
        <v>2.9924619496372138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46690</v>
      </c>
      <c r="B317" s="406">
        <f>'2026'!Wh/'2026'!Env_an*'2027'!Env_an</f>
        <v>20.533458305223125</v>
      </c>
      <c r="C317" s="832"/>
      <c r="D317" s="388">
        <f t="shared" si="102"/>
        <v>21.151989572265677</v>
      </c>
      <c r="E317" s="380">
        <f t="shared" si="125"/>
        <v>21.422220146114906</v>
      </c>
      <c r="F317" s="380">
        <f t="shared" si="103"/>
        <v>21.518316340795305</v>
      </c>
      <c r="G317" s="110">
        <f t="shared" si="126"/>
        <v>0.72708151744788141</v>
      </c>
      <c r="H317" s="409" t="b">
        <f>Wh_hp&gt;='2026'!Maxi_hp</f>
        <v>0</v>
      </c>
      <c r="I317" s="385">
        <f>IF(H317,Wh_hp,'2026'!Maxi_hp)</f>
        <v>21.572507516990949</v>
      </c>
      <c r="J317" s="85">
        <f>IF(H317,An,'2026'!An_max)</f>
        <v>2022</v>
      </c>
      <c r="K317" s="193">
        <f t="shared" si="104"/>
        <v>46690</v>
      </c>
      <c r="L317" s="143">
        <f>IF(t&lt;Tvie,1-EXP((T0-t)*PertePVj)+'2026'!Pspv,1-EXP((T0-t)*PertePVj)+Pspv)</f>
        <v>2.924222636028373E-2</v>
      </c>
      <c r="M317" s="836"/>
      <c r="N317" s="836"/>
      <c r="O317" s="48">
        <f>IF(t&lt;Tnet,'2026'!Resal+('2026'!Salim-'2026'!Resal)*(1-EXP(('2026'!Tnet-t)/('2026'!Tau_j))),Resal+(Salim-Resal)*(1-EXP((Tnet-t)/(Tau_j))))*Salcycl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7.2843531408978961E-3</v>
      </c>
      <c r="Q317" s="301">
        <f t="shared" si="105"/>
        <v>0.5</v>
      </c>
      <c r="R317" s="173">
        <f t="shared" si="106"/>
        <v>0.9925229746172568</v>
      </c>
      <c r="S317" s="802">
        <f t="shared" si="107"/>
        <v>2</v>
      </c>
      <c r="T317" s="172">
        <f t="shared" si="108"/>
        <v>8</v>
      </c>
      <c r="U317" s="247">
        <f t="shared" si="109"/>
        <v>2.9925229746172568</v>
      </c>
      <c r="V317" s="378">
        <f t="shared" si="110"/>
        <v>28.160974066087967</v>
      </c>
      <c r="W317" s="397">
        <f t="shared" si="111"/>
        <v>20.533458305223125</v>
      </c>
      <c r="X317" s="153">
        <f t="shared" si="112"/>
        <v>46690</v>
      </c>
      <c r="Y317" s="380">
        <f t="shared" si="113"/>
        <v>19.831729089267117</v>
      </c>
      <c r="Z317" s="380">
        <f t="shared" si="114"/>
        <v>20.429122102119162</v>
      </c>
      <c r="AA317" s="381">
        <f t="shared" si="115"/>
        <v>21.422220146114906</v>
      </c>
      <c r="AB317" s="193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4.6358315675130934E-2</v>
      </c>
      <c r="AD317" s="227">
        <f>(INDEX(Models!$BJ317:$BT317,,AH317)*(1-AF317)+INDEX(Models!$BJ317:$BT317,,AH317+1)*AF317-ERP_i)*AE317*Ramure*Pc/MaxiM</f>
        <v>7.2843531408978961E-3</v>
      </c>
      <c r="AE317" s="301">
        <f t="shared" si="117"/>
        <v>0.5</v>
      </c>
      <c r="AF317" s="173">
        <f t="shared" si="118"/>
        <v>0.9925229746172568</v>
      </c>
      <c r="AG317" s="802">
        <f t="shared" si="124"/>
        <v>2</v>
      </c>
      <c r="AH317" s="172">
        <f t="shared" si="119"/>
        <v>8</v>
      </c>
      <c r="AI317" s="221">
        <f t="shared" si="120"/>
        <v>2.9925229746172568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46691</v>
      </c>
      <c r="B318" s="406">
        <f>'2026'!Wh/'2026'!Env_an*'2027'!Env_an</f>
        <v>19.68546481133621</v>
      </c>
      <c r="C318" s="832"/>
      <c r="D318" s="388">
        <f t="shared" si="102"/>
        <v>20.278729490569543</v>
      </c>
      <c r="E318" s="380">
        <f t="shared" si="125"/>
        <v>20.53893462850829</v>
      </c>
      <c r="F318" s="380">
        <f t="shared" si="103"/>
        <v>20.638161091030025</v>
      </c>
      <c r="G318" s="110">
        <f t="shared" si="126"/>
        <v>0.70626684236377646</v>
      </c>
      <c r="H318" s="409" t="b">
        <f>Wh_hp&gt;='2026'!Maxi_hp</f>
        <v>0</v>
      </c>
      <c r="I318" s="385">
        <f>IF(H318,Wh_hp,'2026'!Maxi_hp)</f>
        <v>20.701155143834445</v>
      </c>
      <c r="J318" s="85">
        <f>IF(H318,An,'2026'!An_max)</f>
        <v>2022</v>
      </c>
      <c r="K318" s="193">
        <f t="shared" si="104"/>
        <v>46691</v>
      </c>
      <c r="L318" s="143">
        <f>IF(t&lt;Tvie,1-EXP((T0-t)*PertePVj)+'2026'!Pspv,1-EXP((T0-t)*PertePVj)+Pspv)</f>
        <v>2.9255515218999606E-2</v>
      </c>
      <c r="M318" s="836"/>
      <c r="N318" s="836"/>
      <c r="O318" s="48">
        <f>IF(t&lt;Tnet,'2026'!Resal+('2026'!Salim-'2026'!Resal)*(1-EXP(('2026'!Tnet-t)/('2026'!Tau_j))),Resal+(Salim-Resal)*(1-EXP((Tnet-t)/(Tau_j))))*Salcycl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8.2345975338288403E-3</v>
      </c>
      <c r="Q318" s="301">
        <f t="shared" si="105"/>
        <v>0.5</v>
      </c>
      <c r="R318" s="173">
        <f t="shared" si="106"/>
        <v>0.99258155658311775</v>
      </c>
      <c r="S318" s="802">
        <f t="shared" si="107"/>
        <v>2</v>
      </c>
      <c r="T318" s="172">
        <f t="shared" si="108"/>
        <v>8</v>
      </c>
      <c r="U318" s="247">
        <f t="shared" si="109"/>
        <v>2.9925815565831178</v>
      </c>
      <c r="V318" s="378">
        <f t="shared" si="110"/>
        <v>27.77658789624919</v>
      </c>
      <c r="W318" s="397">
        <f t="shared" si="111"/>
        <v>19.68546481133621</v>
      </c>
      <c r="X318" s="153">
        <f t="shared" si="112"/>
        <v>46691</v>
      </c>
      <c r="Y318" s="380">
        <f t="shared" si="113"/>
        <v>19.013766246882085</v>
      </c>
      <c r="Z318" s="380">
        <f t="shared" si="114"/>
        <v>19.586787815922111</v>
      </c>
      <c r="AA318" s="381">
        <f t="shared" si="115"/>
        <v>20.53893462850829</v>
      </c>
      <c r="AB318" s="193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4.6358140273964829E-2</v>
      </c>
      <c r="AD318" s="227">
        <f>(INDEX(Models!$BJ318:$BT318,,AH318)*(1-AF318)+INDEX(Models!$BJ318:$BT318,,AH318+1)*AF318-ERP_i)*AE318*Ramure*Pc/MaxiM</f>
        <v>8.2345975338288403E-3</v>
      </c>
      <c r="AE318" s="301">
        <f t="shared" si="117"/>
        <v>0.5</v>
      </c>
      <c r="AF318" s="173">
        <f t="shared" si="118"/>
        <v>0.99258155658311775</v>
      </c>
      <c r="AG318" s="802">
        <f t="shared" si="124"/>
        <v>2</v>
      </c>
      <c r="AH318" s="172">
        <f t="shared" si="119"/>
        <v>8</v>
      </c>
      <c r="AI318" s="221">
        <f t="shared" si="120"/>
        <v>2.9925815565831178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46692</v>
      </c>
      <c r="B319" s="406">
        <f>'2026'!Wh/'2026'!Env_an*'2027'!Env_an</f>
        <v>17.939347727041625</v>
      </c>
      <c r="C319" s="832"/>
      <c r="D319" s="388">
        <f t="shared" si="102"/>
        <v>18.480242315315497</v>
      </c>
      <c r="E319" s="380">
        <f t="shared" si="125"/>
        <v>18.718397994444238</v>
      </c>
      <c r="F319" s="380">
        <f t="shared" si="103"/>
        <v>18.806055437017676</v>
      </c>
      <c r="G319" s="110">
        <f t="shared" si="126"/>
        <v>0.6518883715604048</v>
      </c>
      <c r="H319" s="409" t="b">
        <f>Wh_hp&gt;='2026'!Maxi_hp</f>
        <v>0</v>
      </c>
      <c r="I319" s="385">
        <f>IF(H319,Wh_hp,'2026'!Maxi_hp)</f>
        <v>18.881740725335344</v>
      </c>
      <c r="J319" s="85">
        <f>IF(H319,An,'2026'!An_max)</f>
        <v>2022</v>
      </c>
      <c r="K319" s="193">
        <f t="shared" si="104"/>
        <v>46692</v>
      </c>
      <c r="L319" s="143">
        <f>IF(t&lt;Tvie,1-EXP((T0-t)*PertePVj)+'2026'!Pspv,1-EXP((T0-t)*PertePVj)+Pspv)</f>
        <v>2.9268803895802109E-2</v>
      </c>
      <c r="M319" s="836"/>
      <c r="N319" s="836"/>
      <c r="O319" s="48">
        <f>IF(t&lt;Tnet,'2026'!Resal+('2026'!Salim-'2026'!Resal)*(1-EXP(('2026'!Tnet-t)/('2026'!Tau_j))),Resal+(Salim-Resal)*(1-EXP((Tnet-t)/(Tau_j))))*Salcycl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9.1943009682373365E-3</v>
      </c>
      <c r="Q319" s="301">
        <f t="shared" si="105"/>
        <v>0.5</v>
      </c>
      <c r="R319" s="173">
        <f t="shared" si="106"/>
        <v>0.99263779279525899</v>
      </c>
      <c r="S319" s="802">
        <f t="shared" si="107"/>
        <v>2</v>
      </c>
      <c r="T319" s="172">
        <f t="shared" si="108"/>
        <v>8</v>
      </c>
      <c r="U319" s="247">
        <f t="shared" si="109"/>
        <v>2.992637792795259</v>
      </c>
      <c r="V319" s="378">
        <f t="shared" si="110"/>
        <v>27.393715737708554</v>
      </c>
      <c r="W319" s="397">
        <f t="shared" si="111"/>
        <v>17.939347727041625</v>
      </c>
      <c r="X319" s="153">
        <f t="shared" si="112"/>
        <v>46692</v>
      </c>
      <c r="Y319" s="380">
        <f t="shared" si="113"/>
        <v>17.328186534275389</v>
      </c>
      <c r="Z319" s="380">
        <f t="shared" si="114"/>
        <v>17.850653820355216</v>
      </c>
      <c r="AA319" s="381">
        <f t="shared" si="115"/>
        <v>18.718397994444238</v>
      </c>
      <c r="AB319" s="193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4.6357822627052556E-2</v>
      </c>
      <c r="AD319" s="227">
        <f>(INDEX(Models!$BJ319:$BT319,,AH319)*(1-AF319)+INDEX(Models!$BJ319:$BT319,,AH319+1)*AF319-ERP_i)*AE319*Ramure*Pc/MaxiM</f>
        <v>9.1943009682373365E-3</v>
      </c>
      <c r="AE319" s="301">
        <f t="shared" si="117"/>
        <v>0.5</v>
      </c>
      <c r="AF319" s="173">
        <f t="shared" si="118"/>
        <v>0.99263779279525899</v>
      </c>
      <c r="AG319" s="802">
        <f t="shared" si="124"/>
        <v>2</v>
      </c>
      <c r="AH319" s="172">
        <f t="shared" si="119"/>
        <v>8</v>
      </c>
      <c r="AI319" s="221">
        <f t="shared" si="120"/>
        <v>2.992637792795259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46693</v>
      </c>
      <c r="B320" s="406">
        <f>'2026'!Wh/'2026'!Env_an*'2027'!Env_an</f>
        <v>24.817720419342105</v>
      </c>
      <c r="C320" s="832"/>
      <c r="D320" s="388">
        <f t="shared" si="102"/>
        <v>25.566356842497569</v>
      </c>
      <c r="E320" s="380">
        <f t="shared" si="125"/>
        <v>25.897249518678482</v>
      </c>
      <c r="F320" s="380">
        <f t="shared" si="103"/>
        <v>26.132011943915366</v>
      </c>
      <c r="G320" s="110">
        <f t="shared" si="126"/>
        <v>0.9176427869150936</v>
      </c>
      <c r="H320" s="409" t="b">
        <f>Wh_hp&gt;='2026'!Maxi_hp</f>
        <v>0</v>
      </c>
      <c r="I320" s="385">
        <f>IF(H320,Wh_hp,'2026'!Maxi_hp)</f>
        <v>26.159305907233136</v>
      </c>
      <c r="J320" s="85">
        <f>IF(H320,An,'2026'!An_max)</f>
        <v>2022</v>
      </c>
      <c r="K320" s="193">
        <f t="shared" si="104"/>
        <v>46693</v>
      </c>
      <c r="L320" s="143">
        <f>IF(t&lt;Tvie,1-EXP((T0-t)*PertePVj)+'2026'!Pspv,1-EXP((T0-t)*PertePVj)+Pspv)</f>
        <v>2.9282092390693903E-2</v>
      </c>
      <c r="M320" s="836"/>
      <c r="N320" s="836"/>
      <c r="O320" s="48">
        <f>IF(t&lt;Tnet,'2026'!Resal+('2026'!Salim-'2026'!Resal)*(1-EXP(('2026'!Tnet-t)/('2026'!Tau_j))),Resal+(Salim-Resal)*(1-EXP((Tnet-t)/(Tau_j))))*Salcycl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1.0163609064585485E-2</v>
      </c>
      <c r="Q320" s="301">
        <f t="shared" si="105"/>
        <v>0.5</v>
      </c>
      <c r="R320" s="173">
        <f t="shared" si="106"/>
        <v>0.99269177668461328</v>
      </c>
      <c r="S320" s="802">
        <f t="shared" si="107"/>
        <v>2</v>
      </c>
      <c r="T320" s="172">
        <f t="shared" si="108"/>
        <v>8</v>
      </c>
      <c r="U320" s="247">
        <f t="shared" si="109"/>
        <v>2.9926917766846133</v>
      </c>
      <c r="V320" s="378">
        <f t="shared" si="110"/>
        <v>27.012877915245326</v>
      </c>
      <c r="W320" s="397">
        <f t="shared" si="111"/>
        <v>24.817720419342105</v>
      </c>
      <c r="X320" s="153">
        <f t="shared" si="112"/>
        <v>46693</v>
      </c>
      <c r="Y320" s="380">
        <f t="shared" si="113"/>
        <v>23.973548470238462</v>
      </c>
      <c r="Z320" s="380">
        <f t="shared" si="114"/>
        <v>24.696720110254031</v>
      </c>
      <c r="AA320" s="381">
        <f t="shared" si="115"/>
        <v>25.897249518678482</v>
      </c>
      <c r="AB320" s="193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4.6357409792054008E-2</v>
      </c>
      <c r="AD320" s="227">
        <f>(INDEX(Models!$BJ320:$BT320,,AH320)*(1-AF320)+INDEX(Models!$BJ320:$BT320,,AH320+1)*AF320-ERP_i)*AE320*Ramure*Pc/MaxiM</f>
        <v>1.0163609064585485E-2</v>
      </c>
      <c r="AE320" s="301">
        <f t="shared" si="117"/>
        <v>0.5</v>
      </c>
      <c r="AF320" s="173">
        <f t="shared" si="118"/>
        <v>0.99269177668461328</v>
      </c>
      <c r="AG320" s="802">
        <f t="shared" si="124"/>
        <v>2</v>
      </c>
      <c r="AH320" s="172">
        <f t="shared" si="119"/>
        <v>8</v>
      </c>
      <c r="AI320" s="221">
        <f t="shared" si="120"/>
        <v>2.9926917766846133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46694</v>
      </c>
      <c r="B321" s="406">
        <f>'2026'!Wh/'2026'!Env_an*'2027'!Env_an</f>
        <v>8.9965934490000645</v>
      </c>
      <c r="C321" s="832"/>
      <c r="D321" s="388">
        <f t="shared" si="102"/>
        <v>9.2681061469778729</v>
      </c>
      <c r="E321" s="380">
        <f t="shared" si="125"/>
        <v>9.3885713997242703</v>
      </c>
      <c r="F321" s="380">
        <f t="shared" si="103"/>
        <v>9.3942207114657599</v>
      </c>
      <c r="G321" s="110">
        <f t="shared" si="126"/>
        <v>0.33421575556159422</v>
      </c>
      <c r="H321" s="409" t="b">
        <f>Wh_hp&gt;='2026'!Maxi_hp</f>
        <v>0</v>
      </c>
      <c r="I321" s="385">
        <f>IF(H321,Wh_hp,'2026'!Maxi_hp)</f>
        <v>9.4814767533858237</v>
      </c>
      <c r="J321" s="85">
        <f>IF(H321,An,'2026'!An_max)</f>
        <v>2022</v>
      </c>
      <c r="K321" s="193">
        <f t="shared" si="104"/>
        <v>46694</v>
      </c>
      <c r="L321" s="143">
        <f>IF(t&lt;Tvie,1-EXP((T0-t)*PertePVj)+'2026'!Pspv,1-EXP((T0-t)*PertePVj)+Pspv)</f>
        <v>2.9295380703677321E-2</v>
      </c>
      <c r="M321" s="836"/>
      <c r="N321" s="836"/>
      <c r="O321" s="48">
        <f>IF(t&lt;Tnet,'2026'!Resal+('2026'!Salim-'2026'!Resal)*(1-EXP(('2026'!Tnet-t)/('2026'!Tau_j))),Resal+(Salim-Resal)*(1-EXP((Tnet-t)/(Tau_j))))*Salcycl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1.1142636020994674E-2</v>
      </c>
      <c r="Q321" s="301">
        <f t="shared" si="105"/>
        <v>0.5</v>
      </c>
      <c r="R321" s="173">
        <f t="shared" si="106"/>
        <v>0.99274359800000678</v>
      </c>
      <c r="S321" s="802">
        <f t="shared" si="107"/>
        <v>2</v>
      </c>
      <c r="T321" s="172">
        <f t="shared" si="108"/>
        <v>8</v>
      </c>
      <c r="U321" s="247">
        <f t="shared" si="109"/>
        <v>2.9927435980000068</v>
      </c>
      <c r="V321" s="378">
        <f t="shared" si="110"/>
        <v>26.634593565524231</v>
      </c>
      <c r="W321" s="397">
        <f t="shared" si="111"/>
        <v>8.9965934490000645</v>
      </c>
      <c r="X321" s="153">
        <f t="shared" si="112"/>
        <v>46694</v>
      </c>
      <c r="Y321" s="380">
        <f t="shared" si="113"/>
        <v>8.6910541933686538</v>
      </c>
      <c r="Z321" s="380">
        <f t="shared" si="114"/>
        <v>8.9533458691779177</v>
      </c>
      <c r="AA321" s="381">
        <f t="shared" si="115"/>
        <v>9.3885713997242703</v>
      </c>
      <c r="AB321" s="193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4.6356949531121933E-2</v>
      </c>
      <c r="AD321" s="227">
        <f>(INDEX(Models!$BJ321:$BT321,,AH321)*(1-AF321)+INDEX(Models!$BJ321:$BT321,,AH321+1)*AF321-ERP_i)*AE321*Ramure*Pc/MaxiM</f>
        <v>1.1142636020994674E-2</v>
      </c>
      <c r="AE321" s="301">
        <f t="shared" si="117"/>
        <v>0.5</v>
      </c>
      <c r="AF321" s="173">
        <f t="shared" si="118"/>
        <v>0.99274359800000678</v>
      </c>
      <c r="AG321" s="802">
        <f t="shared" si="124"/>
        <v>2</v>
      </c>
      <c r="AH321" s="172">
        <f t="shared" si="119"/>
        <v>8</v>
      </c>
      <c r="AI321" s="221">
        <f t="shared" si="120"/>
        <v>2.9927435980000068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46695</v>
      </c>
      <c r="B322" s="406">
        <f>'2026'!Wh/'2026'!Env_an*'2027'!Env_an</f>
        <v>12.476731343980552</v>
      </c>
      <c r="C322" s="832"/>
      <c r="D322" s="388">
        <f t="shared" si="102"/>
        <v>12.853448818795087</v>
      </c>
      <c r="E322" s="380">
        <f t="shared" si="125"/>
        <v>13.021225272292737</v>
      </c>
      <c r="F322" s="380">
        <f t="shared" si="103"/>
        <v>13.060867511698431</v>
      </c>
      <c r="G322" s="110">
        <f t="shared" si="126"/>
        <v>0.47079915153545032</v>
      </c>
      <c r="H322" s="409" t="b">
        <f>Wh_hp&gt;='2026'!Maxi_hp</f>
        <v>0</v>
      </c>
      <c r="I322" s="385">
        <f>IF(H322,Wh_hp,'2026'!Maxi_hp)</f>
        <v>13.165201026271244</v>
      </c>
      <c r="J322" s="85">
        <f>IF(H322,An,'2026'!An_max)</f>
        <v>2022</v>
      </c>
      <c r="K322" s="193">
        <f t="shared" si="104"/>
        <v>46695</v>
      </c>
      <c r="L322" s="143">
        <f>IF(t&lt;Tvie,1-EXP((T0-t)*PertePVj)+'2026'!Pspv,1-EXP((T0-t)*PertePVj)+Pspv)</f>
        <v>2.9308668834754803E-2</v>
      </c>
      <c r="M322" s="836"/>
      <c r="N322" s="836"/>
      <c r="O322" s="48">
        <f>IF(t&lt;Tnet,'2026'!Resal+('2026'!Salim-'2026'!Resal)*(1-EXP(('2026'!Tnet-t)/('2026'!Tau_j))),Resal+(Salim-Resal)*(1-EXP((Tnet-t)/(Tau_j))))*Salcycl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1.2131460503942929E-2</v>
      </c>
      <c r="Q322" s="301">
        <f t="shared" si="105"/>
        <v>0.5</v>
      </c>
      <c r="R322" s="173">
        <f t="shared" si="106"/>
        <v>0.99279334295017874</v>
      </c>
      <c r="S322" s="802">
        <f t="shared" si="107"/>
        <v>2</v>
      </c>
      <c r="T322" s="172">
        <f t="shared" si="108"/>
        <v>8</v>
      </c>
      <c r="U322" s="247">
        <f t="shared" si="109"/>
        <v>2.9927933429501787</v>
      </c>
      <c r="V322" s="378">
        <f t="shared" si="110"/>
        <v>26.259380643268138</v>
      </c>
      <c r="W322" s="397">
        <f t="shared" si="111"/>
        <v>12.476731343980552</v>
      </c>
      <c r="X322" s="153">
        <f t="shared" si="112"/>
        <v>46695</v>
      </c>
      <c r="Y322" s="380">
        <f t="shared" si="113"/>
        <v>12.053663441387187</v>
      </c>
      <c r="Z322" s="380">
        <f t="shared" si="114"/>
        <v>12.417606971845139</v>
      </c>
      <c r="AA322" s="381">
        <f t="shared" si="115"/>
        <v>13.021225272292737</v>
      </c>
      <c r="AB322" s="193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4.6356490101742608E-2</v>
      </c>
      <c r="AD322" s="227">
        <f>(INDEX(Models!$BJ322:$BT322,,AH322)*(1-AF322)+INDEX(Models!$BJ322:$BT322,,AH322+1)*AF322-ERP_i)*AE322*Ramure*Pc/MaxiM</f>
        <v>1.2131460503942929E-2</v>
      </c>
      <c r="AE322" s="301">
        <f t="shared" si="117"/>
        <v>0.5</v>
      </c>
      <c r="AF322" s="173">
        <f t="shared" si="118"/>
        <v>0.99279334295017874</v>
      </c>
      <c r="AG322" s="802">
        <f t="shared" si="124"/>
        <v>2</v>
      </c>
      <c r="AH322" s="172">
        <f t="shared" si="119"/>
        <v>8</v>
      </c>
      <c r="AI322" s="221">
        <f t="shared" si="120"/>
        <v>2.9927933429501787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46696</v>
      </c>
      <c r="B323" s="406">
        <f>'2026'!Wh/'2026'!Env_an*'2027'!Env_an</f>
        <v>25.124288343770321</v>
      </c>
      <c r="C323" s="832"/>
      <c r="D323" s="388">
        <f t="shared" si="102"/>
        <v>25.883235455216436</v>
      </c>
      <c r="E323" s="380">
        <f t="shared" si="125"/>
        <v>26.222516099353594</v>
      </c>
      <c r="F323" s="380">
        <f t="shared" si="103"/>
        <v>26.556515815949737</v>
      </c>
      <c r="G323" s="110">
        <f t="shared" si="126"/>
        <v>0.96996484068369737</v>
      </c>
      <c r="H323" s="409" t="b">
        <f>Wh_hp&gt;='2026'!Maxi_hp</f>
        <v>0</v>
      </c>
      <c r="I323" s="385">
        <f>IF(H323,Wh_hp,'2026'!Maxi_hp)</f>
        <v>26.569385595807791</v>
      </c>
      <c r="J323" s="85">
        <f>IF(H323,An,'2026'!An_max)</f>
        <v>2022</v>
      </c>
      <c r="K323" s="193">
        <f t="shared" si="104"/>
        <v>46696</v>
      </c>
      <c r="L323" s="143">
        <f>IF(t&lt;Tvie,1-EXP((T0-t)*PertePVj)+'2026'!Pspv,1-EXP((T0-t)*PertePVj)+Pspv)</f>
        <v>2.9321956783929015E-2</v>
      </c>
      <c r="M323" s="836"/>
      <c r="N323" s="836"/>
      <c r="O323" s="48">
        <f>IF(t&lt;Tnet,'2026'!Resal+('2026'!Salim-'2026'!Resal)*(1-EXP(('2026'!Tnet-t)/('2026'!Tau_j))),Resal+(Salim-Resal)*(1-EXP((Tnet-t)/(Tau_j))))*Salcycl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1.3130120922371858E-2</v>
      </c>
      <c r="Q323" s="301">
        <f t="shared" si="105"/>
        <v>0.5</v>
      </c>
      <c r="R323" s="173">
        <f t="shared" si="106"/>
        <v>0.99284109434056855</v>
      </c>
      <c r="S323" s="802">
        <f t="shared" si="107"/>
        <v>2</v>
      </c>
      <c r="T323" s="172">
        <f t="shared" si="108"/>
        <v>8</v>
      </c>
      <c r="U323" s="247">
        <f t="shared" si="109"/>
        <v>2.9928410943405686</v>
      </c>
      <c r="V323" s="378">
        <f t="shared" si="110"/>
        <v>25.887755926259771</v>
      </c>
      <c r="W323" s="397">
        <f t="shared" si="111"/>
        <v>25.124288343770321</v>
      </c>
      <c r="X323" s="153">
        <f t="shared" si="112"/>
        <v>46696</v>
      </c>
      <c r="Y323" s="380">
        <f t="shared" si="113"/>
        <v>24.273690540910113</v>
      </c>
      <c r="Z323" s="380">
        <f t="shared" si="114"/>
        <v>25.006943044148819</v>
      </c>
      <c r="AA323" s="381">
        <f t="shared" si="115"/>
        <v>26.222516099353594</v>
      </c>
      <c r="AB323" s="193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4.6356080042019313E-2</v>
      </c>
      <c r="AD323" s="227">
        <f>(INDEX(Models!$BJ323:$BT323,,AH323)*(1-AF323)+INDEX(Models!$BJ323:$BT323,,AH323+1)*AF323-ERP_i)*AE323*Ramure*Pc/MaxiM</f>
        <v>1.3130120922371858E-2</v>
      </c>
      <c r="AE323" s="301">
        <f t="shared" si="117"/>
        <v>0.5</v>
      </c>
      <c r="AF323" s="173">
        <f t="shared" si="118"/>
        <v>0.99284109434056855</v>
      </c>
      <c r="AG323" s="802">
        <f t="shared" si="124"/>
        <v>2</v>
      </c>
      <c r="AH323" s="172">
        <f t="shared" si="119"/>
        <v>8</v>
      </c>
      <c r="AI323" s="221">
        <f t="shared" si="120"/>
        <v>2.9928410943405686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46697</v>
      </c>
      <c r="B324" s="406">
        <f>'2026'!Wh/'2026'!Env_an*'2027'!Env_an</f>
        <v>25.166504449291384</v>
      </c>
      <c r="C324" s="832"/>
      <c r="D324" s="388">
        <f t="shared" si="102"/>
        <v>25.927081732410663</v>
      </c>
      <c r="E324" s="380">
        <f t="shared" si="125"/>
        <v>26.268363097040435</v>
      </c>
      <c r="F324" s="380">
        <f t="shared" si="103"/>
        <v>26.636068394406347</v>
      </c>
      <c r="G324" s="110">
        <f t="shared" si="126"/>
        <v>0.98580540864963728</v>
      </c>
      <c r="H324" s="409" t="b">
        <f>Wh_hp&gt;='2026'!Maxi_hp</f>
        <v>0</v>
      </c>
      <c r="I324" s="385">
        <f>IF(H324,Wh_hp,'2026'!Maxi_hp)</f>
        <v>26.642580367893142</v>
      </c>
      <c r="J324" s="85">
        <f>IF(H324,An,'2026'!An_max)</f>
        <v>2022</v>
      </c>
      <c r="K324" s="193">
        <f t="shared" si="104"/>
        <v>46697</v>
      </c>
      <c r="L324" s="143">
        <f>IF(t&lt;Tvie,1-EXP((T0-t)*PertePVj)+'2026'!Pspv,1-EXP((T0-t)*PertePVj)+Pspv)</f>
        <v>2.93352445512024E-2</v>
      </c>
      <c r="M324" s="836"/>
      <c r="N324" s="836"/>
      <c r="O324" s="48">
        <f>IF(t&lt;Tnet,'2026'!Resal+('2026'!Salim-'2026'!Resal)*(1-EXP(('2026'!Tnet-t)/('2026'!Tau_j))),Resal+(Salim-Resal)*(1-EXP((Tnet-t)/(Tau_j))))*Salcycl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1.4084766641575923E-2</v>
      </c>
      <c r="Q324" s="301">
        <f t="shared" si="105"/>
        <v>0.5</v>
      </c>
      <c r="R324" s="173">
        <f t="shared" si="106"/>
        <v>0.9928869317050375</v>
      </c>
      <c r="S324" s="802">
        <f t="shared" si="107"/>
        <v>2</v>
      </c>
      <c r="T324" s="172">
        <f t="shared" si="108"/>
        <v>8</v>
      </c>
      <c r="U324" s="247">
        <f t="shared" si="109"/>
        <v>2.9928869317050375</v>
      </c>
      <c r="V324" s="378">
        <f t="shared" si="110"/>
        <v>25.521628845526475</v>
      </c>
      <c r="W324" s="397">
        <f t="shared" si="111"/>
        <v>25.166504449291384</v>
      </c>
      <c r="X324" s="153">
        <f t="shared" si="112"/>
        <v>46697</v>
      </c>
      <c r="Y324" s="380">
        <f t="shared" si="113"/>
        <v>24.315805335595368</v>
      </c>
      <c r="Z324" s="380">
        <f t="shared" si="114"/>
        <v>25.050672952839093</v>
      </c>
      <c r="AA324" s="381">
        <f t="shared" si="115"/>
        <v>26.268363097040435</v>
      </c>
      <c r="AB324" s="193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4.6355767951849765E-2</v>
      </c>
      <c r="AD324" s="227">
        <f>(INDEX(Models!$BJ324:$BT324,,AH324)*(1-AF324)+INDEX(Models!$BJ324:$BT324,,AH324+1)*AF324-ERP_i)*AE324*Ramure*Pc/MaxiM</f>
        <v>1.4084766641575923E-2</v>
      </c>
      <c r="AE324" s="301">
        <f t="shared" si="117"/>
        <v>0.5</v>
      </c>
      <c r="AF324" s="173">
        <f t="shared" si="118"/>
        <v>0.9928869317050375</v>
      </c>
      <c r="AG324" s="802">
        <f t="shared" si="124"/>
        <v>2</v>
      </c>
      <c r="AH324" s="172">
        <f t="shared" si="119"/>
        <v>8</v>
      </c>
      <c r="AI324" s="221">
        <f t="shared" si="120"/>
        <v>2.9928869317050375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46698</v>
      </c>
      <c r="B325" s="406">
        <f>'2026'!Wh/'2026'!Env_an*'2027'!Env_an</f>
        <v>24.94991344536594</v>
      </c>
      <c r="C325" s="832"/>
      <c r="D325" s="388">
        <f t="shared" si="102"/>
        <v>25.704296826836476</v>
      </c>
      <c r="E325" s="380">
        <f t="shared" si="125"/>
        <v>26.044057339027422</v>
      </c>
      <c r="F325" s="380">
        <f t="shared" si="103"/>
        <v>26.434730979353457</v>
      </c>
      <c r="G325" s="110">
        <f t="shared" si="126"/>
        <v>0.99137455080345616</v>
      </c>
      <c r="H325" s="409" t="b">
        <f>Wh_hp&gt;='2026'!Maxi_hp</f>
        <v>0</v>
      </c>
      <c r="I325" s="385">
        <f>IF(H325,Wh_hp,'2026'!Maxi_hp)</f>
        <v>26.438884406158653</v>
      </c>
      <c r="J325" s="85">
        <f>IF(H325,An,'2026'!An_max)</f>
        <v>2022</v>
      </c>
      <c r="K325" s="193">
        <f t="shared" si="104"/>
        <v>46698</v>
      </c>
      <c r="L325" s="143">
        <f>IF(t&lt;Tvie,1-EXP((T0-t)*PertePVj)+'2026'!Pspv,1-EXP((T0-t)*PertePVj)+Pspv)</f>
        <v>2.9348532136577399E-2</v>
      </c>
      <c r="M325" s="836"/>
      <c r="N325" s="836"/>
      <c r="O325" s="48">
        <f>IF(t&lt;Tnet,'2026'!Resal+('2026'!Salim-'2026'!Resal)*(1-EXP(('2026'!Tnet-t)/('2026'!Tau_j))),Resal+(Salim-Resal)*(1-EXP((Tnet-t)/(Tau_j))))*Salcycl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1.4959249332744368E-2</v>
      </c>
      <c r="Q325" s="301">
        <f t="shared" si="105"/>
        <v>0.5</v>
      </c>
      <c r="R325" s="173">
        <f t="shared" si="106"/>
        <v>0.99293093143270861</v>
      </c>
      <c r="S325" s="802">
        <f t="shared" si="107"/>
        <v>2</v>
      </c>
      <c r="T325" s="172">
        <f t="shared" si="108"/>
        <v>8</v>
      </c>
      <c r="U325" s="247">
        <f t="shared" si="109"/>
        <v>2.9929309314327086</v>
      </c>
      <c r="V325" s="378">
        <f t="shared" si="110"/>
        <v>25.162380586938177</v>
      </c>
      <c r="W325" s="397">
        <f t="shared" si="111"/>
        <v>24.94991344536594</v>
      </c>
      <c r="X325" s="153">
        <f t="shared" si="112"/>
        <v>46698</v>
      </c>
      <c r="Y325" s="380">
        <f t="shared" si="113"/>
        <v>24.107846651298317</v>
      </c>
      <c r="Z325" s="380">
        <f t="shared" si="114"/>
        <v>24.836769375483456</v>
      </c>
      <c r="AA325" s="381">
        <f t="shared" si="115"/>
        <v>26.044057339027422</v>
      </c>
      <c r="AB325" s="193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4.6355602271495024E-2</v>
      </c>
      <c r="AD325" s="227">
        <f>(INDEX(Models!$BJ325:$BT325,,AH325)*(1-AF325)+INDEX(Models!$BJ325:$BT325,,AH325+1)*AF325-ERP_i)*AE325*Ramure*Pc/MaxiM</f>
        <v>1.4959249332744368E-2</v>
      </c>
      <c r="AE325" s="301">
        <f t="shared" si="117"/>
        <v>0.5</v>
      </c>
      <c r="AF325" s="173">
        <f t="shared" si="118"/>
        <v>0.99293093143270861</v>
      </c>
      <c r="AG325" s="802">
        <f t="shared" si="124"/>
        <v>2</v>
      </c>
      <c r="AH325" s="172">
        <f t="shared" si="119"/>
        <v>8</v>
      </c>
      <c r="AI325" s="221">
        <f t="shared" si="120"/>
        <v>2.9929309314327086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46699</v>
      </c>
      <c r="B326" s="406">
        <f>'2026'!Wh/'2026'!Env_an*'2027'!Env_an</f>
        <v>18.041376493812834</v>
      </c>
      <c r="C326" s="832"/>
      <c r="D326" s="388">
        <f t="shared" si="102"/>
        <v>18.587128403772251</v>
      </c>
      <c r="E326" s="380">
        <f t="shared" si="125"/>
        <v>18.833833495235346</v>
      </c>
      <c r="F326" s="380">
        <f t="shared" si="103"/>
        <v>19.016628616494447</v>
      </c>
      <c r="G326" s="110">
        <f t="shared" si="126"/>
        <v>0.72265997213810096</v>
      </c>
      <c r="H326" s="409" t="b">
        <f>Wh_hp&gt;='2026'!Maxi_hp</f>
        <v>0</v>
      </c>
      <c r="I326" s="385">
        <f>IF(H326,Wh_hp,'2026'!Maxi_hp)</f>
        <v>19.117935070519479</v>
      </c>
      <c r="J326" s="85">
        <f>IF(H326,An,'2026'!An_max)</f>
        <v>2022</v>
      </c>
      <c r="K326" s="193">
        <f t="shared" si="104"/>
        <v>46699</v>
      </c>
      <c r="L326" s="143">
        <f>IF(t&lt;Tvie,1-EXP((T0-t)*PertePVj)+'2026'!Pspv,1-EXP((T0-t)*PertePVj)+Pspv)</f>
        <v>2.9361819540056455E-2</v>
      </c>
      <c r="M326" s="836"/>
      <c r="N326" s="836"/>
      <c r="O326" s="48">
        <f>IF(t&lt;Tnet,'2026'!Resal+('2026'!Salim-'2026'!Resal)*(1-EXP(('2026'!Tnet-t)/('2026'!Tau_j))),Resal+(Salim-Resal)*(1-EXP((Tnet-t)/(Tau_j))))*Salcycl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1.5751818807475365E-2</v>
      </c>
      <c r="Q326" s="301">
        <f t="shared" si="105"/>
        <v>0.5</v>
      </c>
      <c r="R326" s="173">
        <f t="shared" si="106"/>
        <v>0.99297316689007475</v>
      </c>
      <c r="S326" s="802">
        <f t="shared" si="107"/>
        <v>2</v>
      </c>
      <c r="T326" s="172">
        <f t="shared" si="108"/>
        <v>8</v>
      </c>
      <c r="U326" s="247">
        <f t="shared" si="109"/>
        <v>2.9929731668900748</v>
      </c>
      <c r="V326" s="378">
        <f t="shared" si="110"/>
        <v>24.81047557249893</v>
      </c>
      <c r="W326" s="397">
        <f t="shared" si="111"/>
        <v>18.041376493812834</v>
      </c>
      <c r="X326" s="153">
        <f t="shared" si="112"/>
        <v>46699</v>
      </c>
      <c r="Y326" s="380">
        <f t="shared" si="113"/>
        <v>17.433418098921166</v>
      </c>
      <c r="Z326" s="380">
        <f t="shared" si="114"/>
        <v>17.960779258302225</v>
      </c>
      <c r="AA326" s="381">
        <f t="shared" si="115"/>
        <v>18.833833495235346</v>
      </c>
      <c r="AB326" s="193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4.6355631059071929E-2</v>
      </c>
      <c r="AD326" s="227">
        <f>(INDEX(Models!$BJ326:$BT326,,AH326)*(1-AF326)+INDEX(Models!$BJ326:$BT326,,AH326+1)*AF326-ERP_i)*AE326*Ramure*Pc/MaxiM</f>
        <v>1.5751818807475365E-2</v>
      </c>
      <c r="AE326" s="301">
        <f t="shared" si="117"/>
        <v>0.5</v>
      </c>
      <c r="AF326" s="173">
        <f t="shared" si="118"/>
        <v>0.99297316689007475</v>
      </c>
      <c r="AG326" s="802">
        <f t="shared" si="124"/>
        <v>2</v>
      </c>
      <c r="AH326" s="172">
        <f t="shared" si="119"/>
        <v>8</v>
      </c>
      <c r="AI326" s="221">
        <f t="shared" si="120"/>
        <v>2.9929731668900748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46700</v>
      </c>
      <c r="B327" s="406">
        <f>'2026'!Wh/'2026'!Env_an*'2027'!Env_an</f>
        <v>10.057470343947271</v>
      </c>
      <c r="C327" s="832"/>
      <c r="D327" s="388">
        <f t="shared" si="102"/>
        <v>10.361850817973449</v>
      </c>
      <c r="E327" s="380">
        <f t="shared" si="125"/>
        <v>10.499950526472221</v>
      </c>
      <c r="F327" s="380">
        <f t="shared" si="103"/>
        <v>10.527447258919368</v>
      </c>
      <c r="G327" s="110">
        <f t="shared" si="126"/>
        <v>0.40536536366254039</v>
      </c>
      <c r="H327" s="409" t="b">
        <f>Wh_hp&gt;='2026'!Maxi_hp</f>
        <v>0</v>
      </c>
      <c r="I327" s="385">
        <f>IF(H327,Wh_hp,'2026'!Maxi_hp)</f>
        <v>10.653499434199968</v>
      </c>
      <c r="J327" s="85">
        <f>IF(H327,An,'2026'!An_max)</f>
        <v>2022</v>
      </c>
      <c r="K327" s="193">
        <f t="shared" si="104"/>
        <v>46700</v>
      </c>
      <c r="L327" s="143">
        <f>IF(t&lt;Tvie,1-EXP((T0-t)*PertePVj)+'2026'!Pspv,1-EXP((T0-t)*PertePVj)+Pspv)</f>
        <v>2.9375106761642122E-2</v>
      </c>
      <c r="M327" s="836"/>
      <c r="N327" s="836"/>
      <c r="O327" s="48">
        <f>IF(t&lt;Tnet,'2026'!Resal+('2026'!Salim-'2026'!Resal)*(1-EXP(('2026'!Tnet-t)/('2026'!Tau_j))),Resal+(Salim-Resal)*(1-EXP((Tnet-t)/(Tau_j))))*Salcycl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1.6460654047210362E-2</v>
      </c>
      <c r="Q327" s="301">
        <f t="shared" si="105"/>
        <v>0.5</v>
      </c>
      <c r="R327" s="173">
        <f t="shared" si="106"/>
        <v>0.9930137085385442</v>
      </c>
      <c r="S327" s="802">
        <f t="shared" si="107"/>
        <v>2</v>
      </c>
      <c r="T327" s="172">
        <f t="shared" si="108"/>
        <v>8</v>
      </c>
      <c r="U327" s="247">
        <f t="shared" si="109"/>
        <v>2.9930137085385442</v>
      </c>
      <c r="V327" s="378">
        <f t="shared" si="110"/>
        <v>24.466378088951856</v>
      </c>
      <c r="W327" s="397">
        <f t="shared" si="111"/>
        <v>10.057470343947271</v>
      </c>
      <c r="X327" s="153">
        <f t="shared" si="112"/>
        <v>46700</v>
      </c>
      <c r="Y327" s="380">
        <f t="shared" si="113"/>
        <v>9.7190765666336407</v>
      </c>
      <c r="Z327" s="380">
        <f t="shared" si="114"/>
        <v>10.013215851292731</v>
      </c>
      <c r="AA327" s="381">
        <f t="shared" si="115"/>
        <v>10.499950526472221</v>
      </c>
      <c r="AB327" s="193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4.6355901768522181E-2</v>
      </c>
      <c r="AD327" s="227">
        <f>(INDEX(Models!$BJ327:$BT327,,AH327)*(1-AF327)+INDEX(Models!$BJ327:$BT327,,AH327+1)*AF327-ERP_i)*AE327*Ramure*Pc/MaxiM</f>
        <v>1.6460654047210362E-2</v>
      </c>
      <c r="AE327" s="301">
        <f t="shared" si="117"/>
        <v>0.5</v>
      </c>
      <c r="AF327" s="173">
        <f t="shared" si="118"/>
        <v>0.9930137085385442</v>
      </c>
      <c r="AG327" s="802">
        <f t="shared" si="124"/>
        <v>2</v>
      </c>
      <c r="AH327" s="172">
        <f t="shared" si="119"/>
        <v>8</v>
      </c>
      <c r="AI327" s="221">
        <f t="shared" si="120"/>
        <v>2.9930137085385442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46701</v>
      </c>
      <c r="B328" s="406">
        <f>'2026'!Wh/'2026'!Env_an*'2027'!Env_an</f>
        <v>18.280697771730171</v>
      </c>
      <c r="C328" s="832"/>
      <c r="D328" s="388">
        <f t="shared" si="102"/>
        <v>18.834204799307241</v>
      </c>
      <c r="E328" s="380">
        <f t="shared" si="125"/>
        <v>19.086253154053228</v>
      </c>
      <c r="F328" s="380">
        <f t="shared" si="103"/>
        <v>19.301803204487882</v>
      </c>
      <c r="G328" s="110">
        <f t="shared" si="126"/>
        <v>0.75304194588820006</v>
      </c>
      <c r="H328" s="409" t="b">
        <f>Wh_hp&gt;='2026'!Maxi_hp</f>
        <v>0</v>
      </c>
      <c r="I328" s="385">
        <f>IF(H328,Wh_hp,'2026'!Maxi_hp)</f>
        <v>19.400426866804658</v>
      </c>
      <c r="J328" s="85">
        <f>IF(H328,An,'2026'!An_max)</f>
        <v>2022</v>
      </c>
      <c r="K328" s="193">
        <f t="shared" si="104"/>
        <v>46701</v>
      </c>
      <c r="L328" s="143">
        <f>IF(t&lt;Tvie,1-EXP((T0-t)*PertePVj)+'2026'!Pspv,1-EXP((T0-t)*PertePVj)+Pspv)</f>
        <v>2.9388393801336843E-2</v>
      </c>
      <c r="M328" s="836"/>
      <c r="N328" s="836"/>
      <c r="O328" s="48">
        <f>IF(t&lt;Tnet,'2026'!Resal+('2026'!Salim-'2026'!Resal)*(1-EXP(('2026'!Tnet-t)/('2026'!Tau_j))),Resal+(Salim-Resal)*(1-EXP((Tnet-t)/(Tau_j))))*Salcycl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1.7083868387650355E-2</v>
      </c>
      <c r="Q328" s="301">
        <f t="shared" si="105"/>
        <v>0.5</v>
      </c>
      <c r="R328" s="173">
        <f t="shared" si="106"/>
        <v>0.99305262404757944</v>
      </c>
      <c r="S328" s="802">
        <f t="shared" si="107"/>
        <v>2</v>
      </c>
      <c r="T328" s="172">
        <f t="shared" si="108"/>
        <v>8</v>
      </c>
      <c r="U328" s="247">
        <f t="shared" si="109"/>
        <v>2.9930526240475794</v>
      </c>
      <c r="V328" s="378">
        <f t="shared" si="110"/>
        <v>24.130552570391238</v>
      </c>
      <c r="W328" s="397">
        <f t="shared" si="111"/>
        <v>18.280697771730171</v>
      </c>
      <c r="X328" s="153">
        <f t="shared" si="112"/>
        <v>46701</v>
      </c>
      <c r="Y328" s="380">
        <f t="shared" si="113"/>
        <v>17.666569682628641</v>
      </c>
      <c r="Z328" s="380">
        <f t="shared" si="114"/>
        <v>18.201482003515913</v>
      </c>
      <c r="AA328" s="381">
        <f t="shared" si="115"/>
        <v>19.086253154053228</v>
      </c>
      <c r="AB328" s="193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4.6356461029619184E-2</v>
      </c>
      <c r="AD328" s="227">
        <f>(INDEX(Models!$BJ328:$BT328,,AH328)*(1-AF328)+INDEX(Models!$BJ328:$BT328,,AH328+1)*AF328-ERP_i)*AE328*Ramure*Pc/MaxiM</f>
        <v>1.7083868387650355E-2</v>
      </c>
      <c r="AE328" s="301">
        <f t="shared" si="117"/>
        <v>0.5</v>
      </c>
      <c r="AF328" s="173">
        <f t="shared" si="118"/>
        <v>0.99305262404757944</v>
      </c>
      <c r="AG328" s="802">
        <f t="shared" si="124"/>
        <v>2</v>
      </c>
      <c r="AH328" s="172">
        <f t="shared" si="119"/>
        <v>8</v>
      </c>
      <c r="AI328" s="221">
        <f t="shared" si="120"/>
        <v>2.9930526240475794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46702</v>
      </c>
      <c r="B329" s="406">
        <f>'2026'!Wh/'2026'!Env_an*'2027'!Env_an</f>
        <v>21.740752189660512</v>
      </c>
      <c r="C329" s="832"/>
      <c r="D329" s="388">
        <f t="shared" si="102"/>
        <v>22.399330141458393</v>
      </c>
      <c r="E329" s="380">
        <f t="shared" si="125"/>
        <v>22.700315141046136</v>
      </c>
      <c r="F329" s="380">
        <f t="shared" si="103"/>
        <v>23.05626519061812</v>
      </c>
      <c r="G329" s="110">
        <f t="shared" si="126"/>
        <v>0.91132063510538686</v>
      </c>
      <c r="H329" s="409" t="b">
        <f>Wh_hp&gt;='2026'!Maxi_hp</f>
        <v>0</v>
      </c>
      <c r="I329" s="385">
        <f>IF(H329,Wh_hp,'2026'!Maxi_hp)</f>
        <v>23.099620779371207</v>
      </c>
      <c r="J329" s="85">
        <f>IF(H329,An,'2026'!An_max)</f>
        <v>2022</v>
      </c>
      <c r="K329" s="193">
        <f t="shared" si="104"/>
        <v>46702</v>
      </c>
      <c r="L329" s="143">
        <f>IF(t&lt;Tvie,1-EXP((T0-t)*PertePVj)+'2026'!Pspv,1-EXP((T0-t)*PertePVj)+Pspv)</f>
        <v>2.9401680659143281E-2</v>
      </c>
      <c r="M329" s="836"/>
      <c r="N329" s="836"/>
      <c r="O329" s="48">
        <f>IF(t&lt;Tnet,'2026'!Resal+('2026'!Salim-'2026'!Resal)*(1-EXP(('2026'!Tnet-t)/('2026'!Tau_j))),Resal+(Salim-Resal)*(1-EXP((Tnet-t)/(Tau_j))))*Salcycl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1.7619516216505773E-2</v>
      </c>
      <c r="Q329" s="301">
        <f t="shared" si="105"/>
        <v>0.5</v>
      </c>
      <c r="R329" s="173">
        <f t="shared" si="106"/>
        <v>0.99308997840357627</v>
      </c>
      <c r="S329" s="802">
        <f t="shared" si="107"/>
        <v>2</v>
      </c>
      <c r="T329" s="172">
        <f t="shared" si="108"/>
        <v>8</v>
      </c>
      <c r="U329" s="247">
        <f t="shared" si="109"/>
        <v>2.9930899784035763</v>
      </c>
      <c r="V329" s="378">
        <f t="shared" si="110"/>
        <v>23.803463871190345</v>
      </c>
      <c r="W329" s="397">
        <f t="shared" si="111"/>
        <v>21.740752189660512</v>
      </c>
      <c r="X329" s="153">
        <f t="shared" si="112"/>
        <v>46702</v>
      </c>
      <c r="Y329" s="380">
        <f t="shared" si="113"/>
        <v>21.011501339015876</v>
      </c>
      <c r="Z329" s="380">
        <f t="shared" si="114"/>
        <v>21.647988586344351</v>
      </c>
      <c r="AA329" s="381">
        <f t="shared" si="115"/>
        <v>22.700315141046136</v>
      </c>
      <c r="AB329" s="193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4.6357354431568951E-2</v>
      </c>
      <c r="AD329" s="227">
        <f>(INDEX(Models!$BJ329:$BT329,,AH329)*(1-AF329)+INDEX(Models!$BJ329:$BT329,,AH329+1)*AF329-ERP_i)*AE329*Ramure*Pc/MaxiM</f>
        <v>1.7619516216505773E-2</v>
      </c>
      <c r="AE329" s="301">
        <f t="shared" si="117"/>
        <v>0.5</v>
      </c>
      <c r="AF329" s="173">
        <f t="shared" si="118"/>
        <v>0.99308997840357627</v>
      </c>
      <c r="AG329" s="802">
        <f t="shared" si="124"/>
        <v>2</v>
      </c>
      <c r="AH329" s="172">
        <f t="shared" si="119"/>
        <v>8</v>
      </c>
      <c r="AI329" s="221">
        <f t="shared" si="120"/>
        <v>2.9930899784035763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46703</v>
      </c>
      <c r="B330" s="406">
        <f>'2026'!Wh/'2026'!Env_an*'2027'!Env_an</f>
        <v>21.864888897408264</v>
      </c>
      <c r="C330" s="832"/>
      <c r="D330" s="388">
        <f t="shared" si="102"/>
        <v>22.527535621864903</v>
      </c>
      <c r="E330" s="380">
        <f t="shared" si="125"/>
        <v>22.831476684885263</v>
      </c>
      <c r="F330" s="380">
        <f t="shared" si="103"/>
        <v>23.209434134728049</v>
      </c>
      <c r="G330" s="110">
        <f t="shared" si="126"/>
        <v>0.92930667203345985</v>
      </c>
      <c r="H330" s="409" t="b">
        <f>Wh_hp&gt;='2026'!Maxi_hp</f>
        <v>0</v>
      </c>
      <c r="I330" s="385">
        <f>IF(H330,Wh_hp,'2026'!Maxi_hp)</f>
        <v>23.244988021571906</v>
      </c>
      <c r="J330" s="85">
        <f>IF(H330,An,'2026'!An_max)</f>
        <v>2022</v>
      </c>
      <c r="K330" s="193">
        <f t="shared" si="104"/>
        <v>46703</v>
      </c>
      <c r="L330" s="143">
        <f>IF(t&lt;Tvie,1-EXP((T0-t)*PertePVj)+'2026'!Pspv,1-EXP((T0-t)*PertePVj)+Pspv)</f>
        <v>2.9414967335063658E-2</v>
      </c>
      <c r="M330" s="836"/>
      <c r="N330" s="836"/>
      <c r="O330" s="48">
        <f>IF(t&lt;Tnet,'2026'!Resal+('2026'!Salim-'2026'!Resal)*(1-EXP(('2026'!Tnet-t)/('2026'!Tau_j))),Resal+(Salim-Resal)*(1-EXP((Tnet-t)/(Tau_j))))*Salcycl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1.8065601451724287E-2</v>
      </c>
      <c r="Q330" s="301">
        <f t="shared" si="105"/>
        <v>0.5</v>
      </c>
      <c r="R330" s="173">
        <f t="shared" si="106"/>
        <v>0.99312583401463961</v>
      </c>
      <c r="S330" s="802">
        <f t="shared" si="107"/>
        <v>2</v>
      </c>
      <c r="T330" s="172">
        <f t="shared" si="108"/>
        <v>8</v>
      </c>
      <c r="U330" s="247">
        <f t="shared" si="109"/>
        <v>2.9931258340146396</v>
      </c>
      <c r="V330" s="378">
        <f t="shared" si="110"/>
        <v>23.485577541630978</v>
      </c>
      <c r="W330" s="397">
        <f t="shared" si="111"/>
        <v>21.864888897408264</v>
      </c>
      <c r="X330" s="153">
        <f t="shared" si="112"/>
        <v>46703</v>
      </c>
      <c r="Y330" s="380">
        <f t="shared" si="113"/>
        <v>21.132587505508866</v>
      </c>
      <c r="Z330" s="380">
        <f t="shared" si="114"/>
        <v>21.773040789105409</v>
      </c>
      <c r="AA330" s="381">
        <f t="shared" si="115"/>
        <v>22.831476684885263</v>
      </c>
      <c r="AB330" s="193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4.6358626311742333E-2</v>
      </c>
      <c r="AD330" s="227">
        <f>(INDEX(Models!$BJ330:$BT330,,AH330)*(1-AF330)+INDEX(Models!$BJ330:$BT330,,AH330+1)*AF330-ERP_i)*AE330*Ramure*Pc/MaxiM</f>
        <v>1.8065601451724287E-2</v>
      </c>
      <c r="AE330" s="301">
        <f t="shared" si="117"/>
        <v>0.5</v>
      </c>
      <c r="AF330" s="173">
        <f t="shared" si="118"/>
        <v>0.99312583401463961</v>
      </c>
      <c r="AG330" s="802">
        <f t="shared" si="124"/>
        <v>2</v>
      </c>
      <c r="AH330" s="172">
        <f t="shared" si="119"/>
        <v>8</v>
      </c>
      <c r="AI330" s="221">
        <f t="shared" si="120"/>
        <v>2.9931258340146396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46704</v>
      </c>
      <c r="B331" s="406">
        <f>'2026'!Wh/'2026'!Env_an*'2027'!Env_an</f>
        <v>20.816036551585263</v>
      </c>
      <c r="C331" s="832"/>
      <c r="D331" s="388">
        <f t="shared" si="102"/>
        <v>21.447189899879852</v>
      </c>
      <c r="E331" s="380">
        <f t="shared" si="125"/>
        <v>21.737729352537485</v>
      </c>
      <c r="F331" s="380">
        <f t="shared" si="103"/>
        <v>22.085383424976513</v>
      </c>
      <c r="G331" s="110">
        <f t="shared" si="126"/>
        <v>0.89572469651486453</v>
      </c>
      <c r="H331" s="409" t="b">
        <f>Wh_hp&gt;='2026'!Maxi_hp</f>
        <v>0</v>
      </c>
      <c r="I331" s="385">
        <f>IF(H331,Wh_hp,'2026'!Maxi_hp)</f>
        <v>22.136158270343074</v>
      </c>
      <c r="J331" s="85">
        <f>IF(H331,An,'2026'!An_max)</f>
        <v>2022</v>
      </c>
      <c r="K331" s="193">
        <f t="shared" si="104"/>
        <v>46704</v>
      </c>
      <c r="L331" s="143">
        <f>IF(t&lt;Tvie,1-EXP((T0-t)*PertePVj)+'2026'!Pspv,1-EXP((T0-t)*PertePVj)+Pspv)</f>
        <v>2.9428253829100637E-2</v>
      </c>
      <c r="M331" s="836"/>
      <c r="N331" s="836"/>
      <c r="O331" s="48">
        <f>IF(t&lt;Tnet,'2026'!Resal+('2026'!Salim-'2026'!Resal)*(1-EXP(('2026'!Tnet-t)/('2026'!Tau_j))),Resal+(Salim-Resal)*(1-EXP((Tnet-t)/(Tau_j))))*Salcycl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1.8421108033603188E-2</v>
      </c>
      <c r="Q331" s="301">
        <f t="shared" si="105"/>
        <v>0.5</v>
      </c>
      <c r="R331" s="173">
        <f t="shared" si="106"/>
        <v>0.99316025081139037</v>
      </c>
      <c r="S331" s="802">
        <f t="shared" si="107"/>
        <v>2</v>
      </c>
      <c r="T331" s="172">
        <f t="shared" si="108"/>
        <v>8</v>
      </c>
      <c r="U331" s="247">
        <f t="shared" si="109"/>
        <v>2.9931602508113904</v>
      </c>
      <c r="V331" s="378">
        <f t="shared" si="110"/>
        <v>23.176052722911887</v>
      </c>
      <c r="W331" s="397">
        <f t="shared" si="111"/>
        <v>20.816036551585263</v>
      </c>
      <c r="X331" s="153">
        <f t="shared" si="112"/>
        <v>46704</v>
      </c>
      <c r="Y331" s="380">
        <f t="shared" si="113"/>
        <v>20.119914711217518</v>
      </c>
      <c r="Z331" s="380">
        <f t="shared" si="114"/>
        <v>20.729961273439727</v>
      </c>
      <c r="AA331" s="381">
        <f t="shared" si="115"/>
        <v>21.737729352537485</v>
      </c>
      <c r="AB331" s="193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4.6360319551044513E-2</v>
      </c>
      <c r="AD331" s="227">
        <f>(INDEX(Models!$BJ331:$BT331,,AH331)*(1-AF331)+INDEX(Models!$BJ331:$BT331,,AH331+1)*AF331-ERP_i)*AE331*Ramure*Pc/MaxiM</f>
        <v>1.8421108033603188E-2</v>
      </c>
      <c r="AE331" s="301">
        <f t="shared" si="117"/>
        <v>0.5</v>
      </c>
      <c r="AF331" s="173">
        <f t="shared" si="118"/>
        <v>0.99316025081139037</v>
      </c>
      <c r="AG331" s="802">
        <f t="shared" si="124"/>
        <v>2</v>
      </c>
      <c r="AH331" s="172">
        <f t="shared" si="119"/>
        <v>8</v>
      </c>
      <c r="AI331" s="221">
        <f t="shared" si="120"/>
        <v>2.9931602508113904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46705</v>
      </c>
      <c r="B332" s="406">
        <f>'2026'!Wh/'2026'!Env_an*'2027'!Env_an</f>
        <v>11.247100970500947</v>
      </c>
      <c r="C332" s="832"/>
      <c r="D332" s="388">
        <f t="shared" si="102"/>
        <v>11.588277713985276</v>
      </c>
      <c r="E332" s="380">
        <f t="shared" si="125"/>
        <v>11.745895888196239</v>
      </c>
      <c r="F332" s="380">
        <f t="shared" si="103"/>
        <v>11.806289302573692</v>
      </c>
      <c r="G332" s="110">
        <f t="shared" si="126"/>
        <v>0.48499770778767909</v>
      </c>
      <c r="H332" s="409" t="b">
        <f>Wh_hp&gt;='2026'!Maxi_hp</f>
        <v>0</v>
      </c>
      <c r="I332" s="385">
        <f>IF(H332,Wh_hp,'2026'!Maxi_hp)</f>
        <v>11.943103695327389</v>
      </c>
      <c r="J332" s="85">
        <f>IF(H332,An,'2026'!An_max)</f>
        <v>2022</v>
      </c>
      <c r="K332" s="193">
        <f t="shared" si="104"/>
        <v>46705</v>
      </c>
      <c r="L332" s="143">
        <f>IF(t&lt;Tvie,1-EXP((T0-t)*PertePVj)+'2026'!Pspv,1-EXP((T0-t)*PertePVj)+Pspv)</f>
        <v>2.9441540141256772E-2</v>
      </c>
      <c r="M332" s="836"/>
      <c r="N332" s="836"/>
      <c r="O332" s="48">
        <f>IF(t&lt;Tnet,'2026'!Resal+('2026'!Salim-'2026'!Resal)*(1-EXP(('2026'!Tnet-t)/('2026'!Tau_j))),Resal+(Salim-Resal)*(1-EXP((Tnet-t)/(Tau_j))))*Salcycl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1.8678820286610848E-2</v>
      </c>
      <c r="Q332" s="301">
        <f t="shared" si="105"/>
        <v>0.5</v>
      </c>
      <c r="R332" s="173">
        <f t="shared" si="106"/>
        <v>0.99319328634395188</v>
      </c>
      <c r="S332" s="802">
        <f t="shared" si="107"/>
        <v>2</v>
      </c>
      <c r="T332" s="172">
        <f t="shared" si="108"/>
        <v>8</v>
      </c>
      <c r="U332" s="247">
        <f t="shared" si="109"/>
        <v>2.9931932863439519</v>
      </c>
      <c r="V332" s="378">
        <f t="shared" si="110"/>
        <v>22.873854497091394</v>
      </c>
      <c r="W332" s="397">
        <f t="shared" si="111"/>
        <v>11.247100970500947</v>
      </c>
      <c r="X332" s="153">
        <f t="shared" si="112"/>
        <v>46705</v>
      </c>
      <c r="Y332" s="380">
        <f t="shared" si="113"/>
        <v>10.871542758454046</v>
      </c>
      <c r="Z332" s="380">
        <f t="shared" si="114"/>
        <v>11.20132707929444</v>
      </c>
      <c r="AA332" s="381">
        <f t="shared" si="115"/>
        <v>11.745895888196239</v>
      </c>
      <c r="AB332" s="193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4.6362475377382716E-2</v>
      </c>
      <c r="AD332" s="227">
        <f>(INDEX(Models!$BJ332:$BT332,,AH332)*(1-AF332)+INDEX(Models!$BJ332:$BT332,,AH332+1)*AF332-ERP_i)*AE332*Ramure*Pc/MaxiM</f>
        <v>1.8678820286610848E-2</v>
      </c>
      <c r="AE332" s="301">
        <f t="shared" si="117"/>
        <v>0.5</v>
      </c>
      <c r="AF332" s="173">
        <f t="shared" si="118"/>
        <v>0.99319328634395188</v>
      </c>
      <c r="AG332" s="802">
        <f t="shared" si="124"/>
        <v>2</v>
      </c>
      <c r="AH332" s="172">
        <f t="shared" si="119"/>
        <v>8</v>
      </c>
      <c r="AI332" s="221">
        <f t="shared" si="120"/>
        <v>2.9931932863439519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46706</v>
      </c>
      <c r="B333" s="406">
        <f>'2026'!Wh/'2026'!Env_an*'2027'!Env_an</f>
        <v>12.769447826956823</v>
      </c>
      <c r="C333" s="832"/>
      <c r="D333" s="388">
        <f t="shared" si="102"/>
        <v>13.156984520258296</v>
      </c>
      <c r="E333" s="380">
        <f t="shared" si="125"/>
        <v>13.336660733407239</v>
      </c>
      <c r="F333" s="380">
        <f t="shared" si="103"/>
        <v>13.432857627582234</v>
      </c>
      <c r="G333" s="110">
        <f t="shared" si="126"/>
        <v>0.55889631438501919</v>
      </c>
      <c r="H333" s="409" t="b">
        <f>Wh_hp&gt;='2026'!Maxi_hp</f>
        <v>0</v>
      </c>
      <c r="I333" s="385">
        <f>IF(H333,Wh_hp,'2026'!Maxi_hp)</f>
        <v>13.567075240802856</v>
      </c>
      <c r="J333" s="85">
        <f>IF(H333,An,'2026'!An_max)</f>
        <v>2022</v>
      </c>
      <c r="K333" s="193">
        <f t="shared" si="104"/>
        <v>46706</v>
      </c>
      <c r="L333" s="143">
        <f>IF(t&lt;Tvie,1-EXP((T0-t)*PertePVj)+'2026'!Pspv,1-EXP((T0-t)*PertePVj)+Pspv)</f>
        <v>2.9454826271534285E-2</v>
      </c>
      <c r="M333" s="836"/>
      <c r="N333" s="836"/>
      <c r="O333" s="48">
        <f>IF(t&lt;Tnet,'2026'!Resal+('2026'!Salim-'2026'!Resal)*(1-EXP(('2026'!Tnet-t)/('2026'!Tau_j))),Resal+(Salim-Resal)*(1-EXP((Tnet-t)/(Tau_j))))*Salcycl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1.8876099897987456E-2</v>
      </c>
      <c r="Q333" s="301">
        <f t="shared" si="105"/>
        <v>0.5</v>
      </c>
      <c r="R333" s="173">
        <f t="shared" si="106"/>
        <v>0.99322499587524726</v>
      </c>
      <c r="S333" s="802">
        <f t="shared" si="107"/>
        <v>2</v>
      </c>
      <c r="T333" s="172">
        <f t="shared" si="108"/>
        <v>8</v>
      </c>
      <c r="U333" s="247">
        <f t="shared" si="109"/>
        <v>2.9932249958752473</v>
      </c>
      <c r="V333" s="378">
        <f t="shared" si="110"/>
        <v>22.578029485801522</v>
      </c>
      <c r="W333" s="397">
        <f t="shared" si="111"/>
        <v>12.769447826956823</v>
      </c>
      <c r="X333" s="153">
        <f t="shared" si="112"/>
        <v>46706</v>
      </c>
      <c r="Y333" s="380">
        <f t="shared" si="113"/>
        <v>12.343689227457633</v>
      </c>
      <c r="Z333" s="380">
        <f t="shared" si="114"/>
        <v>12.718304682344533</v>
      </c>
      <c r="AA333" s="381">
        <f t="shared" si="115"/>
        <v>13.336660733407239</v>
      </c>
      <c r="AB333" s="193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4.6365133178635567E-2</v>
      </c>
      <c r="AD333" s="227">
        <f>(INDEX(Models!$BJ333:$BT333,,AH333)*(1-AF333)+INDEX(Models!$BJ333:$BT333,,AH333+1)*AF333-ERP_i)*AE333*Ramure*Pc/MaxiM</f>
        <v>1.8876099897987456E-2</v>
      </c>
      <c r="AE333" s="301">
        <f t="shared" si="117"/>
        <v>0.5</v>
      </c>
      <c r="AF333" s="173">
        <f t="shared" si="118"/>
        <v>0.99322499587524726</v>
      </c>
      <c r="AG333" s="802">
        <f t="shared" si="124"/>
        <v>2</v>
      </c>
      <c r="AH333" s="172">
        <f t="shared" si="119"/>
        <v>8</v>
      </c>
      <c r="AI333" s="221">
        <f t="shared" si="120"/>
        <v>2.9932249958752473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46707</v>
      </c>
      <c r="B334" s="406">
        <f>'2026'!Wh/'2026'!Env_an*'2027'!Env_an</f>
        <v>21.327085623299709</v>
      </c>
      <c r="C334" s="832"/>
      <c r="D334" s="388">
        <f t="shared" si="102"/>
        <v>21.974636683068699</v>
      </c>
      <c r="E334" s="380">
        <f t="shared" si="125"/>
        <v>22.275935452340022</v>
      </c>
      <c r="F334" s="380">
        <f t="shared" si="103"/>
        <v>22.680565571175944</v>
      </c>
      <c r="G334" s="110">
        <f t="shared" si="126"/>
        <v>0.95572179823160985</v>
      </c>
      <c r="H334" s="409" t="b">
        <f>Wh_hp&gt;='2026'!Maxi_hp</f>
        <v>0</v>
      </c>
      <c r="I334" s="385">
        <f>IF(H334,Wh_hp,'2026'!Maxi_hp)</f>
        <v>22.703232155133165</v>
      </c>
      <c r="J334" s="85">
        <f>IF(H334,An,'2026'!An_max)</f>
        <v>2022</v>
      </c>
      <c r="K334" s="193">
        <f t="shared" si="104"/>
        <v>46707</v>
      </c>
      <c r="L334" s="143">
        <f>IF(t&lt;Tvie,1-EXP((T0-t)*PertePVj)+'2026'!Pspv,1-EXP((T0-t)*PertePVj)+Pspv)</f>
        <v>2.9468112219935949E-2</v>
      </c>
      <c r="M334" s="836"/>
      <c r="N334" s="836"/>
      <c r="O334" s="48">
        <f>IF(t&lt;Tnet,'2026'!Resal+('2026'!Salim-'2026'!Resal)*(1-EXP(('2026'!Tnet-t)/('2026'!Tau_j))),Resal+(Salim-Resal)*(1-EXP((Tnet-t)/(Tau_j))))*Salcycl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1.9011983279703014E-2</v>
      </c>
      <c r="Q334" s="301">
        <f t="shared" si="105"/>
        <v>0.5</v>
      </c>
      <c r="R334" s="173">
        <f t="shared" si="106"/>
        <v>0.99325543247073655</v>
      </c>
      <c r="S334" s="802">
        <f t="shared" si="107"/>
        <v>2</v>
      </c>
      <c r="T334" s="172">
        <f t="shared" si="108"/>
        <v>8</v>
      </c>
      <c r="U334" s="247">
        <f t="shared" si="109"/>
        <v>2.9932554324707366</v>
      </c>
      <c r="V334" s="378">
        <f t="shared" si="110"/>
        <v>22.288541610875495</v>
      </c>
      <c r="W334" s="397">
        <f t="shared" si="111"/>
        <v>21.327085623299709</v>
      </c>
      <c r="X334" s="153">
        <f t="shared" si="112"/>
        <v>46707</v>
      </c>
      <c r="Y334" s="380">
        <f t="shared" si="113"/>
        <v>20.617045305454173</v>
      </c>
      <c r="Z334" s="380">
        <f t="shared" si="114"/>
        <v>21.243037518955049</v>
      </c>
      <c r="AA334" s="381">
        <f t="shared" si="115"/>
        <v>22.275935452340022</v>
      </c>
      <c r="AB334" s="193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4.6368330326458554E-2</v>
      </c>
      <c r="AD334" s="227">
        <f>(INDEX(Models!$BJ334:$BT334,,AH334)*(1-AF334)+INDEX(Models!$BJ334:$BT334,,AH334+1)*AF334-ERP_i)*AE334*Ramure*Pc/MaxiM</f>
        <v>1.9011983279703014E-2</v>
      </c>
      <c r="AE334" s="301">
        <f t="shared" si="117"/>
        <v>0.5</v>
      </c>
      <c r="AF334" s="173">
        <f t="shared" si="118"/>
        <v>0.99325543247073655</v>
      </c>
      <c r="AG334" s="802">
        <f t="shared" si="124"/>
        <v>2</v>
      </c>
      <c r="AH334" s="172">
        <f t="shared" si="119"/>
        <v>8</v>
      </c>
      <c r="AI334" s="221">
        <f t="shared" si="120"/>
        <v>2.9932554324707366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46708</v>
      </c>
      <c r="B335" s="406">
        <f>'2026'!Wh/'2026'!Env_an*'2027'!Env_an</f>
        <v>14.01902592487464</v>
      </c>
      <c r="C335" s="832"/>
      <c r="D335" s="388">
        <f t="shared" ref="D335:D379" si="127">Wh/(1-Ppv)</f>
        <v>14.444881216897185</v>
      </c>
      <c r="E335" s="380">
        <f t="shared" si="125"/>
        <v>14.643731453341481</v>
      </c>
      <c r="F335" s="380">
        <f t="shared" ref="F335:F379" si="128">Wh_sa/(1-Pvg*MEDIAN((-Sdif+Wh/Env_an)/Csdif,0,1))</f>
        <v>14.779559941025223</v>
      </c>
      <c r="G335" s="110">
        <f t="shared" si="126"/>
        <v>0.63071091720162498</v>
      </c>
      <c r="H335" s="409" t="b">
        <f>Wh_hp&gt;='2026'!Maxi_hp</f>
        <v>0</v>
      </c>
      <c r="I335" s="385">
        <f>IF(H335,Wh_hp,'2026'!Maxi_hp)</f>
        <v>14.903968962126475</v>
      </c>
      <c r="J335" s="85">
        <f>IF(H335,An,'2026'!An_max)</f>
        <v>2022</v>
      </c>
      <c r="K335" s="193">
        <f t="shared" ref="K335:K379" si="129">t</f>
        <v>46708</v>
      </c>
      <c r="L335" s="143">
        <f>IF(t&lt;Tvie,1-EXP((T0-t)*PertePVj)+'2026'!Pspv,1-EXP((T0-t)*PertePVj)+Pspv)</f>
        <v>2.9481397986464097E-2</v>
      </c>
      <c r="M335" s="836"/>
      <c r="N335" s="836"/>
      <c r="O335" s="48">
        <f>IF(t&lt;Tnet,'2026'!Resal+('2026'!Salim-'2026'!Resal)*(1-EXP(('2026'!Tnet-t)/('2026'!Tau_j))),Resal+(Salim-Resal)*(1-EXP((Tnet-t)/(Tau_j))))*Salcycl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1.9085475687743755E-2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0.99328464708473074</v>
      </c>
      <c r="S335" s="802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2.9932846470847307</v>
      </c>
      <c r="V335" s="378">
        <f t="shared" ref="V335:V379" si="135">MaxiM*(1-Ppv)*(1-Pvg)*(1-Psa)</f>
        <v>22.005356201719852</v>
      </c>
      <c r="W335" s="397">
        <f t="shared" ref="W335:W379" si="136">Wh*(A335&gt;Tmaj)</f>
        <v>14.01902592487464</v>
      </c>
      <c r="X335" s="153">
        <f t="shared" ref="X335:X379" si="137">t</f>
        <v>46708</v>
      </c>
      <c r="Y335" s="380">
        <f t="shared" ref="Y335:Y379" si="138">Wh_pvt_s*(1-Ppv)</f>
        <v>13.552972825630095</v>
      </c>
      <c r="Z335" s="380">
        <f t="shared" ref="Z335:Z379" si="139">Wh_sa_s*(1-Psa_s)</f>
        <v>13.964670844548191</v>
      </c>
      <c r="AA335" s="381">
        <f t="shared" ref="AA335:AA379" si="140">Wh_hp*(1-Pvg_s*MEDIAN((-Sdif+Wh/Env_an)/Csdif,0,1))</f>
        <v>14.643731453341481</v>
      </c>
      <c r="AB335" s="193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4.6372102012177931E-2</v>
      </c>
      <c r="AD335" s="227">
        <f>(INDEX(Models!$BJ335:$BT335,,AH335)*(1-AF335)+INDEX(Models!$BJ335:$BT335,,AH335+1)*AF335-ERP_i)*AE335*Ramure*Pc/MaxiM</f>
        <v>1.9085475687743755E-2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0.99328464708473074</v>
      </c>
      <c r="AG335" s="802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2.9932846470847307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46709</v>
      </c>
      <c r="B336" s="406">
        <f>'2026'!Wh/'2026'!Env_an*'2027'!Env_an</f>
        <v>11.620448489460285</v>
      </c>
      <c r="C336" s="832"/>
      <c r="D336" s="388">
        <f t="shared" si="127"/>
        <v>11.973606216006612</v>
      </c>
      <c r="E336" s="380">
        <f t="shared" si="125"/>
        <v>12.139095188394013</v>
      </c>
      <c r="F336" s="380">
        <f t="shared" si="128"/>
        <v>12.217350867423241</v>
      </c>
      <c r="G336" s="110">
        <f t="shared" si="126"/>
        <v>0.5279730765979519</v>
      </c>
      <c r="H336" s="409" t="b">
        <f>Wh_hp&gt;='2026'!Maxi_hp</f>
        <v>0</v>
      </c>
      <c r="I336" s="385">
        <f>IF(H336,Wh_hp,'2026'!Maxi_hp)</f>
        <v>12.349054372733571</v>
      </c>
      <c r="J336" s="85">
        <f>IF(H336,An,'2026'!An_max)</f>
        <v>2022</v>
      </c>
      <c r="K336" s="193">
        <f t="shared" si="129"/>
        <v>46709</v>
      </c>
      <c r="L336" s="143">
        <f>IF(t&lt;Tvie,1-EXP((T0-t)*PertePVj)+'2026'!Pspv,1-EXP((T0-t)*PertePVj)+Pspv)</f>
        <v>2.9494683571121283E-2</v>
      </c>
      <c r="M336" s="836"/>
      <c r="N336" s="836"/>
      <c r="O336" s="48">
        <f>IF(t&lt;Tnet,'2026'!Resal+('2026'!Salim-'2026'!Resal)*(1-EXP(('2026'!Tnet-t)/('2026'!Tau_j))),Resal+(Salim-Resal)*(1-EXP((Tnet-t)/(Tau_j))))*Salcycl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1.9095545300348255E-2</v>
      </c>
      <c r="Q336" s="301">
        <f t="shared" si="130"/>
        <v>0.5</v>
      </c>
      <c r="R336" s="173">
        <f t="shared" si="131"/>
        <v>0.99331268864339428</v>
      </c>
      <c r="S336" s="802">
        <f t="shared" si="132"/>
        <v>2</v>
      </c>
      <c r="T336" s="172">
        <f t="shared" si="133"/>
        <v>8</v>
      </c>
      <c r="U336" s="247">
        <f t="shared" si="134"/>
        <v>2.9933126886433943</v>
      </c>
      <c r="V336" s="378">
        <f t="shared" si="135"/>
        <v>21.7284401208235</v>
      </c>
      <c r="W336" s="397">
        <f t="shared" si="136"/>
        <v>11.620448489460285</v>
      </c>
      <c r="X336" s="153">
        <f t="shared" si="137"/>
        <v>46709</v>
      </c>
      <c r="Y336" s="380">
        <f t="shared" si="138"/>
        <v>11.234692476760742</v>
      </c>
      <c r="Z336" s="380">
        <f t="shared" si="139"/>
        <v>11.576126669867708</v>
      </c>
      <c r="AA336" s="381">
        <f t="shared" si="140"/>
        <v>12.139095188394013</v>
      </c>
      <c r="AB336" s="193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4.6376481095934556E-2</v>
      </c>
      <c r="AD336" s="227">
        <f>(INDEX(Models!$BJ336:$BT336,,AH336)*(1-AF336)+INDEX(Models!$BJ336:$BT336,,AH336+1)*AF336-ERP_i)*AE336*Ramure*Pc/MaxiM</f>
        <v>1.9095545300348255E-2</v>
      </c>
      <c r="AE336" s="301">
        <f t="shared" si="142"/>
        <v>0.5</v>
      </c>
      <c r="AF336" s="173">
        <f t="shared" si="143"/>
        <v>0.99331268864339428</v>
      </c>
      <c r="AG336" s="802">
        <f t="shared" ref="AG336:AG379" si="149">INDEX(Echel_vg,AH336)</f>
        <v>2</v>
      </c>
      <c r="AH336" s="172">
        <f t="shared" si="144"/>
        <v>8</v>
      </c>
      <c r="AI336" s="221">
        <f t="shared" si="145"/>
        <v>2.9933126886433943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46710</v>
      </c>
      <c r="B337" s="406">
        <f>'2026'!Wh/'2026'!Env_an*'2027'!Env_an</f>
        <v>8.3398323721306991</v>
      </c>
      <c r="C337" s="832"/>
      <c r="D337" s="388">
        <f t="shared" si="127"/>
        <v>8.5934063397852842</v>
      </c>
      <c r="E337" s="380">
        <f t="shared" si="125"/>
        <v>8.7126505356115231</v>
      </c>
      <c r="F337" s="380">
        <f t="shared" si="128"/>
        <v>8.7337142270961188</v>
      </c>
      <c r="G337" s="110">
        <f t="shared" si="126"/>
        <v>0.38218389873475722</v>
      </c>
      <c r="H337" s="409" t="b">
        <f>Wh_hp&gt;='2026'!Maxi_hp</f>
        <v>0</v>
      </c>
      <c r="I337" s="385">
        <f>IF(H337,Wh_hp,'2026'!Maxi_hp)</f>
        <v>8.8569305429618339</v>
      </c>
      <c r="J337" s="85">
        <f>IF(H337,An,'2026'!An_max)</f>
        <v>2022</v>
      </c>
      <c r="K337" s="193">
        <f t="shared" si="129"/>
        <v>46710</v>
      </c>
      <c r="L337" s="143">
        <f>IF(t&lt;Tvie,1-EXP((T0-t)*PertePVj)+'2026'!Pspv,1-EXP((T0-t)*PertePVj)+Pspv)</f>
        <v>2.9507968973909948E-2</v>
      </c>
      <c r="M337" s="836"/>
      <c r="N337" s="836"/>
      <c r="O337" s="48">
        <f>IF(t&lt;Tnet,'2026'!Resal+('2026'!Salim-'2026'!Resal)*(1-EXP(('2026'!Tnet-t)/('2026'!Tau_j))),Resal+(Salim-Resal)*(1-EXP((Tnet-t)/(Tau_j))))*Salcycl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1.9041117593403697E-2</v>
      </c>
      <c r="Q337" s="301">
        <f t="shared" si="130"/>
        <v>0.5</v>
      </c>
      <c r="R337" s="173">
        <f t="shared" si="131"/>
        <v>0.99333960412456479</v>
      </c>
      <c r="S337" s="802">
        <f t="shared" si="132"/>
        <v>2</v>
      </c>
      <c r="T337" s="172">
        <f t="shared" si="133"/>
        <v>8</v>
      </c>
      <c r="U337" s="247">
        <f t="shared" si="134"/>
        <v>2.9933396041245648</v>
      </c>
      <c r="V337" s="378">
        <f t="shared" si="135"/>
        <v>21.45776188688377</v>
      </c>
      <c r="W337" s="397">
        <f t="shared" si="136"/>
        <v>8.3398323721306991</v>
      </c>
      <c r="X337" s="153">
        <f t="shared" si="137"/>
        <v>46710</v>
      </c>
      <c r="Y337" s="380">
        <f t="shared" si="138"/>
        <v>8.0633764717050429</v>
      </c>
      <c r="Z337" s="380">
        <f t="shared" si="139"/>
        <v>8.3085447524795519</v>
      </c>
      <c r="AA337" s="381">
        <f t="shared" si="140"/>
        <v>8.7126505356115231</v>
      </c>
      <c r="AB337" s="193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4.6381497970135993E-2</v>
      </c>
      <c r="AD337" s="227">
        <f>(INDEX(Models!$BJ337:$BT337,,AH337)*(1-AF337)+INDEX(Models!$BJ337:$BT337,,AH337+1)*AF337-ERP_i)*AE337*Ramure*Pc/MaxiM</f>
        <v>1.9041117593403697E-2</v>
      </c>
      <c r="AE337" s="301">
        <f t="shared" si="142"/>
        <v>0.5</v>
      </c>
      <c r="AF337" s="173">
        <f t="shared" si="143"/>
        <v>0.99333960412456479</v>
      </c>
      <c r="AG337" s="802">
        <f t="shared" si="149"/>
        <v>2</v>
      </c>
      <c r="AH337" s="172">
        <f t="shared" si="144"/>
        <v>8</v>
      </c>
      <c r="AI337" s="221">
        <f t="shared" si="145"/>
        <v>2.9933396041245648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46711</v>
      </c>
      <c r="B338" s="406">
        <f>'2026'!Wh/'2026'!Env_an*'2027'!Env_an</f>
        <v>15.013685297875025</v>
      </c>
      <c r="C338" s="832"/>
      <c r="D338" s="388">
        <f t="shared" si="127"/>
        <v>15.470390632222214</v>
      </c>
      <c r="E338" s="380">
        <f t="shared" si="125"/>
        <v>15.685915418244907</v>
      </c>
      <c r="F338" s="380">
        <f t="shared" si="128"/>
        <v>15.861135411328178</v>
      </c>
      <c r="G338" s="110">
        <f t="shared" si="126"/>
        <v>0.70277652099724341</v>
      </c>
      <c r="H338" s="409" t="b">
        <f>Wh_hp&gt;='2026'!Maxi_hp</f>
        <v>0</v>
      </c>
      <c r="I338" s="385">
        <f>IF(H338,Wh_hp,'2026'!Maxi_hp)</f>
        <v>15.967385749042172</v>
      </c>
      <c r="J338" s="85">
        <f>IF(H338,An,'2026'!An_max)</f>
        <v>2022</v>
      </c>
      <c r="K338" s="193">
        <f t="shared" si="129"/>
        <v>46711</v>
      </c>
      <c r="L338" s="143">
        <f>IF(t&lt;Tvie,1-EXP((T0-t)*PertePVj)+'2026'!Pspv,1-EXP((T0-t)*PertePVj)+Pspv)</f>
        <v>2.9521254194832647E-2</v>
      </c>
      <c r="M338" s="836"/>
      <c r="N338" s="836"/>
      <c r="O338" s="48">
        <f>IF(t&lt;Tnet,'2026'!Resal+('2026'!Salim-'2026'!Resal)*(1-EXP(('2026'!Tnet-t)/('2026'!Tau_j))),Resal+(Salim-Resal)*(1-EXP((Tnet-t)/(Tau_j))))*Salcycl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1.8933639700955959E-2</v>
      </c>
      <c r="Q338" s="301">
        <f t="shared" si="130"/>
        <v>0.5</v>
      </c>
      <c r="R338" s="173">
        <f t="shared" si="131"/>
        <v>0.99336543863450366</v>
      </c>
      <c r="S338" s="802">
        <f t="shared" si="132"/>
        <v>2</v>
      </c>
      <c r="T338" s="172">
        <f t="shared" si="133"/>
        <v>8</v>
      </c>
      <c r="U338" s="247">
        <f t="shared" si="134"/>
        <v>2.9933654386345037</v>
      </c>
      <c r="V338" s="378">
        <f t="shared" si="135"/>
        <v>21.193020248516</v>
      </c>
      <c r="W338" s="397">
        <f t="shared" si="136"/>
        <v>15.013685297875025</v>
      </c>
      <c r="X338" s="153">
        <f t="shared" si="137"/>
        <v>46711</v>
      </c>
      <c r="Y338" s="380">
        <f t="shared" si="138"/>
        <v>14.51670254712301</v>
      </c>
      <c r="Z338" s="380">
        <f t="shared" si="139"/>
        <v>14.958290029400988</v>
      </c>
      <c r="AA338" s="381">
        <f t="shared" si="140"/>
        <v>15.685915418244907</v>
      </c>
      <c r="AB338" s="193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4.6387180438164789E-2</v>
      </c>
      <c r="AD338" s="227">
        <f>(INDEX(Models!$BJ338:$BT338,,AH338)*(1-AF338)+INDEX(Models!$BJ338:$BT338,,AH338+1)*AF338-ERP_i)*AE338*Ramure*Pc/MaxiM</f>
        <v>1.8933639700955959E-2</v>
      </c>
      <c r="AE338" s="301">
        <f t="shared" si="142"/>
        <v>0.5</v>
      </c>
      <c r="AF338" s="173">
        <f t="shared" si="143"/>
        <v>0.99336543863450366</v>
      </c>
      <c r="AG338" s="802">
        <f t="shared" si="149"/>
        <v>2</v>
      </c>
      <c r="AH338" s="172">
        <f t="shared" si="144"/>
        <v>8</v>
      </c>
      <c r="AI338" s="221">
        <f t="shared" si="145"/>
        <v>2.9933654386345037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46712</v>
      </c>
      <c r="B339" s="406">
        <f>'2026'!Wh/'2026'!Env_an*'2027'!Env_an</f>
        <v>3.419191276135678</v>
      </c>
      <c r="C339" s="832"/>
      <c r="D339" s="388">
        <f t="shared" si="127"/>
        <v>3.5232488062341631</v>
      </c>
      <c r="E339" s="380">
        <f t="shared" si="125"/>
        <v>3.5725275769156974</v>
      </c>
      <c r="F339" s="380">
        <f t="shared" si="128"/>
        <v>3.5725275769156974</v>
      </c>
      <c r="G339" s="110">
        <f t="shared" si="126"/>
        <v>0.16026439268063022</v>
      </c>
      <c r="H339" s="409" t="b">
        <f>Wh_hp&gt;='2026'!Maxi_hp</f>
        <v>0</v>
      </c>
      <c r="I339" s="385">
        <f>IF(H339,Wh_hp,'2026'!Maxi_hp)</f>
        <v>3.629559805133463</v>
      </c>
      <c r="J339" s="85">
        <f>IF(H339,An,'2026'!An_max)</f>
        <v>2022</v>
      </c>
      <c r="K339" s="193">
        <f t="shared" si="129"/>
        <v>46712</v>
      </c>
      <c r="L339" s="143">
        <f>IF(t&lt;Tvie,1-EXP((T0-t)*PertePVj)+'2026'!Pspv,1-EXP((T0-t)*PertePVj)+Pspv)</f>
        <v>2.953453923389171E-2</v>
      </c>
      <c r="M339" s="836"/>
      <c r="N339" s="836"/>
      <c r="O339" s="48">
        <f>IF(t&lt;Tnet,'2026'!Resal+('2026'!Salim-'2026'!Resal)*(1-EXP(('2026'!Tnet-t)/('2026'!Tau_j))),Resal+(Salim-Resal)*(1-EXP((Tnet-t)/(Tau_j))))*Salcycl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1.8831095095366013E-2</v>
      </c>
      <c r="Q339" s="301">
        <f t="shared" si="130"/>
        <v>0.5</v>
      </c>
      <c r="R339" s="173">
        <f t="shared" si="131"/>
        <v>0.99339023548168903</v>
      </c>
      <c r="S339" s="802">
        <f t="shared" si="132"/>
        <v>2</v>
      </c>
      <c r="T339" s="172">
        <f t="shared" si="133"/>
        <v>8</v>
      </c>
      <c r="U339" s="247">
        <f t="shared" si="134"/>
        <v>2.993390235481689</v>
      </c>
      <c r="V339" s="378">
        <f t="shared" si="135"/>
        <v>20.932935282454586</v>
      </c>
      <c r="W339" s="397">
        <f t="shared" si="136"/>
        <v>3.419191276135678</v>
      </c>
      <c r="X339" s="153">
        <f t="shared" si="137"/>
        <v>46712</v>
      </c>
      <c r="Y339" s="380">
        <f t="shared" si="138"/>
        <v>3.3061674923465345</v>
      </c>
      <c r="Z339" s="380">
        <f t="shared" si="139"/>
        <v>3.4067853272558182</v>
      </c>
      <c r="AA339" s="381">
        <f t="shared" si="140"/>
        <v>3.5725275769156974</v>
      </c>
      <c r="AB339" s="193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4.639355360917076E-2</v>
      </c>
      <c r="AD339" s="227">
        <f>(INDEX(Models!$BJ339:$BT339,,AH339)*(1-AF339)+INDEX(Models!$BJ339:$BT339,,AH339+1)*AF339-ERP_i)*AE339*Ramure*Pc/MaxiM</f>
        <v>1.8831095095366013E-2</v>
      </c>
      <c r="AE339" s="301">
        <f t="shared" si="142"/>
        <v>0.5</v>
      </c>
      <c r="AF339" s="173">
        <f t="shared" si="143"/>
        <v>0.99339023548168903</v>
      </c>
      <c r="AG339" s="802">
        <f t="shared" si="149"/>
        <v>2</v>
      </c>
      <c r="AH339" s="172">
        <f t="shared" si="144"/>
        <v>8</v>
      </c>
      <c r="AI339" s="221">
        <f t="shared" si="145"/>
        <v>2.993390235481689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46713</v>
      </c>
      <c r="B340" s="406">
        <f>'2026'!Wh/'2026'!Env_an*'2027'!Env_an</f>
        <v>9.5945289423195206</v>
      </c>
      <c r="C340" s="832"/>
      <c r="D340" s="388">
        <f t="shared" si="127"/>
        <v>9.8866581790426071</v>
      </c>
      <c r="E340" s="380">
        <f t="shared" si="125"/>
        <v>10.025488254175471</v>
      </c>
      <c r="F340" s="380">
        <f t="shared" si="128"/>
        <v>10.069686430023001</v>
      </c>
      <c r="G340" s="110">
        <f t="shared" si="126"/>
        <v>0.45732272556149967</v>
      </c>
      <c r="H340" s="409" t="b">
        <f>Wh_hp&gt;='2026'!Maxi_hp</f>
        <v>0</v>
      </c>
      <c r="I340" s="385">
        <f>IF(H340,Wh_hp,'2026'!Maxi_hp)</f>
        <v>10.192243033063592</v>
      </c>
      <c r="J340" s="85">
        <f>IF(H340,An,'2026'!An_max)</f>
        <v>2022</v>
      </c>
      <c r="K340" s="193">
        <f t="shared" si="129"/>
        <v>46713</v>
      </c>
      <c r="L340" s="143">
        <f>IF(t&lt;Tvie,1-EXP((T0-t)*PertePVj)+'2026'!Pspv,1-EXP((T0-t)*PertePVj)+Pspv)</f>
        <v>2.9547824091089914E-2</v>
      </c>
      <c r="M340" s="836"/>
      <c r="N340" s="836"/>
      <c r="O340" s="48">
        <f>IF(t&lt;Tnet,'2026'!Resal+('2026'!Salim-'2026'!Resal)*(1-EXP(('2026'!Tnet-t)/('2026'!Tau_j))),Resal+(Salim-Resal)*(1-EXP((Tnet-t)/(Tau_j))))*Salcycl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1.8733609884882957E-2</v>
      </c>
      <c r="Q340" s="301">
        <f t="shared" si="130"/>
        <v>0.5</v>
      </c>
      <c r="R340" s="173">
        <f t="shared" si="131"/>
        <v>0.9934140362477577</v>
      </c>
      <c r="S340" s="802">
        <f t="shared" si="132"/>
        <v>2</v>
      </c>
      <c r="T340" s="172">
        <f t="shared" si="133"/>
        <v>8</v>
      </c>
      <c r="U340" s="247">
        <f t="shared" si="134"/>
        <v>2.9934140362477577</v>
      </c>
      <c r="V340" s="378">
        <f t="shared" si="135"/>
        <v>20.677508703063111</v>
      </c>
      <c r="W340" s="397">
        <f t="shared" si="136"/>
        <v>9.5945289423195206</v>
      </c>
      <c r="X340" s="153">
        <f t="shared" si="137"/>
        <v>46713</v>
      </c>
      <c r="Y340" s="380">
        <f t="shared" si="138"/>
        <v>9.2778131462076079</v>
      </c>
      <c r="Z340" s="380">
        <f t="shared" si="139"/>
        <v>9.5602991847776071</v>
      </c>
      <c r="AA340" s="381">
        <f t="shared" si="140"/>
        <v>10.025488254175471</v>
      </c>
      <c r="AB340" s="193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4.6400639809649091E-2</v>
      </c>
      <c r="AD340" s="227">
        <f>(INDEX(Models!$BJ340:$BT340,,AH340)*(1-AF340)+INDEX(Models!$BJ340:$BT340,,AH340+1)*AF340-ERP_i)*AE340*Ramure*Pc/MaxiM</f>
        <v>1.8733609884882957E-2</v>
      </c>
      <c r="AE340" s="301">
        <f t="shared" si="142"/>
        <v>0.5</v>
      </c>
      <c r="AF340" s="173">
        <f t="shared" si="143"/>
        <v>0.9934140362477577</v>
      </c>
      <c r="AG340" s="802">
        <f t="shared" si="149"/>
        <v>2</v>
      </c>
      <c r="AH340" s="172">
        <f t="shared" si="144"/>
        <v>8</v>
      </c>
      <c r="AI340" s="221">
        <f t="shared" si="145"/>
        <v>2.9934140362477577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46714</v>
      </c>
      <c r="B341" s="406">
        <f>'2026'!Wh/'2026'!Env_an*'2027'!Env_an</f>
        <v>12.796698296815336</v>
      </c>
      <c r="C341" s="832"/>
      <c r="D341" s="388">
        <f t="shared" si="127"/>
        <v>13.186506035994549</v>
      </c>
      <c r="E341" s="380">
        <f t="shared" si="125"/>
        <v>13.372405623330438</v>
      </c>
      <c r="F341" s="380">
        <f t="shared" si="128"/>
        <v>13.489684014107176</v>
      </c>
      <c r="G341" s="110">
        <f t="shared" si="126"/>
        <v>0.62018153281172583</v>
      </c>
      <c r="H341" s="409" t="b">
        <f>Wh_hp&gt;='2026'!Maxi_hp</f>
        <v>0</v>
      </c>
      <c r="I341" s="385">
        <f>IF(H341,Wh_hp,'2026'!Maxi_hp)</f>
        <v>13.60365476086419</v>
      </c>
      <c r="J341" s="85">
        <f>IF(H341,An,'2026'!An_max)</f>
        <v>2022</v>
      </c>
      <c r="K341" s="193">
        <f t="shared" si="129"/>
        <v>46714</v>
      </c>
      <c r="L341" s="143">
        <f>IF(t&lt;Tvie,1-EXP((T0-t)*PertePVj)+'2026'!Pspv,1-EXP((T0-t)*PertePVj)+Pspv)</f>
        <v>2.9561108766429478E-2</v>
      </c>
      <c r="M341" s="836"/>
      <c r="N341" s="836"/>
      <c r="O341" s="48">
        <f>IF(t&lt;Tnet,'2026'!Resal+('2026'!Salim-'2026'!Resal)*(1-EXP(('2026'!Tnet-t)/('2026'!Tau_j))),Resal+(Salim-Resal)*(1-EXP((Tnet-t)/(Tau_j))))*Salcycl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1.864120017423793E-2</v>
      </c>
      <c r="Q341" s="301">
        <f t="shared" si="130"/>
        <v>0.5</v>
      </c>
      <c r="R341" s="173">
        <f t="shared" si="131"/>
        <v>0.99343688085570747</v>
      </c>
      <c r="S341" s="802">
        <f t="shared" si="132"/>
        <v>2</v>
      </c>
      <c r="T341" s="172">
        <f t="shared" si="133"/>
        <v>8</v>
      </c>
      <c r="U341" s="247">
        <f t="shared" si="134"/>
        <v>2.9934368808557075</v>
      </c>
      <c r="V341" s="378">
        <f t="shared" si="135"/>
        <v>20.426744520836372</v>
      </c>
      <c r="W341" s="397">
        <f t="shared" si="136"/>
        <v>12.796698296815336</v>
      </c>
      <c r="X341" s="153">
        <f t="shared" si="137"/>
        <v>46714</v>
      </c>
      <c r="Y341" s="380">
        <f t="shared" si="138"/>
        <v>12.374855163887322</v>
      </c>
      <c r="Z341" s="380">
        <f t="shared" si="139"/>
        <v>12.751812891749486</v>
      </c>
      <c r="AA341" s="381">
        <f t="shared" si="140"/>
        <v>13.372405623330438</v>
      </c>
      <c r="AB341" s="193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4.6408458512372873E-2</v>
      </c>
      <c r="AD341" s="227">
        <f>(INDEX(Models!$BJ341:$BT341,,AH341)*(1-AF341)+INDEX(Models!$BJ341:$BT341,,AH341+1)*AF341-ERP_i)*AE341*Ramure*Pc/MaxiM</f>
        <v>1.864120017423793E-2</v>
      </c>
      <c r="AE341" s="301">
        <f t="shared" si="142"/>
        <v>0.5</v>
      </c>
      <c r="AF341" s="173">
        <f t="shared" si="143"/>
        <v>0.99343688085570747</v>
      </c>
      <c r="AG341" s="802">
        <f t="shared" si="149"/>
        <v>2</v>
      </c>
      <c r="AH341" s="172">
        <f t="shared" si="144"/>
        <v>8</v>
      </c>
      <c r="AI341" s="221">
        <f t="shared" si="145"/>
        <v>2.9934368808557075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46715</v>
      </c>
      <c r="B342" s="406">
        <f>'2026'!Wh/'2026'!Env_an*'2027'!Env_an</f>
        <v>11.898083887459254</v>
      </c>
      <c r="C342" s="832"/>
      <c r="D342" s="388">
        <f t="shared" si="127"/>
        <v>12.260686244078023</v>
      </c>
      <c r="E342" s="380">
        <f t="shared" si="125"/>
        <v>12.434216628126974</v>
      </c>
      <c r="F342" s="380">
        <f t="shared" si="128"/>
        <v>12.5303932896273</v>
      </c>
      <c r="G342" s="110">
        <f t="shared" si="126"/>
        <v>0.58311563096795438</v>
      </c>
      <c r="H342" s="409" t="b">
        <f>Wh_hp&gt;='2026'!Maxi_hp</f>
        <v>0</v>
      </c>
      <c r="I342" s="385">
        <f>IF(H342,Wh_hp,'2026'!Maxi_hp)</f>
        <v>12.646209273203628</v>
      </c>
      <c r="J342" s="85">
        <f>IF(H342,An,'2026'!An_max)</f>
        <v>2022</v>
      </c>
      <c r="K342" s="193">
        <f t="shared" si="129"/>
        <v>46715</v>
      </c>
      <c r="L342" s="143">
        <f>IF(t&lt;Tvie,1-EXP((T0-t)*PertePVj)+'2026'!Pspv,1-EXP((T0-t)*PertePVj)+Pspv)</f>
        <v>2.9574393259912957E-2</v>
      </c>
      <c r="M342" s="836"/>
      <c r="N342" s="836"/>
      <c r="O342" s="48">
        <f>IF(t&lt;Tnet,'2026'!Resal+('2026'!Salim-'2026'!Resal)*(1-EXP(('2026'!Tnet-t)/('2026'!Tau_j))),Resal+(Salim-Resal)*(1-EXP((Tnet-t)/(Tau_j))))*Salcycl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1.8553935400960338E-2</v>
      </c>
      <c r="Q342" s="301">
        <f t="shared" si="130"/>
        <v>0.5</v>
      </c>
      <c r="R342" s="173">
        <f t="shared" si="131"/>
        <v>0.99345880763545535</v>
      </c>
      <c r="S342" s="802">
        <f t="shared" si="132"/>
        <v>2</v>
      </c>
      <c r="T342" s="172">
        <f t="shared" si="133"/>
        <v>8</v>
      </c>
      <c r="U342" s="247">
        <f t="shared" si="134"/>
        <v>2.9934588076354554</v>
      </c>
      <c r="V342" s="378">
        <f t="shared" si="135"/>
        <v>20.180645535093063</v>
      </c>
      <c r="W342" s="397">
        <f t="shared" si="136"/>
        <v>11.898083887459254</v>
      </c>
      <c r="X342" s="153">
        <f t="shared" si="137"/>
        <v>46715</v>
      </c>
      <c r="Y342" s="380">
        <f t="shared" si="138"/>
        <v>11.506391993537513</v>
      </c>
      <c r="Z342" s="380">
        <f t="shared" si="139"/>
        <v>11.857057268089294</v>
      </c>
      <c r="AA342" s="381">
        <f t="shared" si="140"/>
        <v>12.434216628126974</v>
      </c>
      <c r="AB342" s="193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4.6417026283112041E-2</v>
      </c>
      <c r="AD342" s="227">
        <f>(INDEX(Models!$BJ342:$BT342,,AH342)*(1-AF342)+INDEX(Models!$BJ342:$BT342,,AH342+1)*AF342-ERP_i)*AE342*Ramure*Pc/MaxiM</f>
        <v>1.8553935400960338E-2</v>
      </c>
      <c r="AE342" s="301">
        <f t="shared" si="142"/>
        <v>0.5</v>
      </c>
      <c r="AF342" s="173">
        <f t="shared" si="143"/>
        <v>0.99345880763545535</v>
      </c>
      <c r="AG342" s="802">
        <f t="shared" si="149"/>
        <v>2</v>
      </c>
      <c r="AH342" s="172">
        <f t="shared" si="144"/>
        <v>8</v>
      </c>
      <c r="AI342" s="221">
        <f t="shared" si="145"/>
        <v>2.9934588076354554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46716</v>
      </c>
      <c r="B343" s="406">
        <f>'2026'!Wh/'2026'!Env_an*'2027'!Env_an</f>
        <v>4.8290291475253557</v>
      </c>
      <c r="C343" s="832"/>
      <c r="D343" s="388">
        <f t="shared" si="127"/>
        <v>4.9762652801447418</v>
      </c>
      <c r="E343" s="380">
        <f t="shared" si="125"/>
        <v>5.0469741621358439</v>
      </c>
      <c r="F343" s="380">
        <f t="shared" si="128"/>
        <v>5.0469741621358439</v>
      </c>
      <c r="G343" s="110">
        <f t="shared" si="126"/>
        <v>0.23771387177104292</v>
      </c>
      <c r="H343" s="409" t="b">
        <f>Wh_hp&gt;='2026'!Maxi_hp</f>
        <v>0</v>
      </c>
      <c r="I343" s="385">
        <f>IF(H343,Wh_hp,'2026'!Maxi_hp)</f>
        <v>5.1261400512885871</v>
      </c>
      <c r="J343" s="85">
        <f>IF(H343,An,'2026'!An_max)</f>
        <v>2022</v>
      </c>
      <c r="K343" s="193">
        <f t="shared" si="129"/>
        <v>46716</v>
      </c>
      <c r="L343" s="143">
        <f>IF(t&lt;Tvie,1-EXP((T0-t)*PertePVj)+'2026'!Pspv,1-EXP((T0-t)*PertePVj)+Pspv)</f>
        <v>2.9587677571542903E-2</v>
      </c>
      <c r="M343" s="836"/>
      <c r="N343" s="836"/>
      <c r="O343" s="48">
        <f>IF(t&lt;Tnet,'2026'!Resal+('2026'!Salim-'2026'!Resal)*(1-EXP(('2026'!Tnet-t)/('2026'!Tau_j))),Resal+(Salim-Resal)*(1-EXP((Tnet-t)/(Tau_j))))*Salcycl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1.8471951599473662E-2</v>
      </c>
      <c r="Q343" s="301">
        <f t="shared" si="130"/>
        <v>0.5</v>
      </c>
      <c r="R343" s="173">
        <f t="shared" si="131"/>
        <v>0.99347985338685252</v>
      </c>
      <c r="S343" s="802">
        <f t="shared" si="132"/>
        <v>2</v>
      </c>
      <c r="T343" s="172">
        <f t="shared" si="133"/>
        <v>8</v>
      </c>
      <c r="U343" s="247">
        <f t="shared" si="134"/>
        <v>2.9934798533868525</v>
      </c>
      <c r="V343" s="378">
        <f t="shared" si="135"/>
        <v>19.939213136896964</v>
      </c>
      <c r="W343" s="397">
        <f t="shared" si="136"/>
        <v>4.8290291475253557</v>
      </c>
      <c r="X343" s="153">
        <f t="shared" si="137"/>
        <v>46716</v>
      </c>
      <c r="Y343" s="380">
        <f t="shared" si="138"/>
        <v>4.6702660613167604</v>
      </c>
      <c r="Z343" s="380">
        <f t="shared" si="139"/>
        <v>4.8126615391995626</v>
      </c>
      <c r="AA343" s="381">
        <f t="shared" si="140"/>
        <v>5.0469741621358439</v>
      </c>
      <c r="AB343" s="193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4.6426356745428957E-2</v>
      </c>
      <c r="AD343" s="227">
        <f>(INDEX(Models!$BJ343:$BT343,,AH343)*(1-AF343)+INDEX(Models!$BJ343:$BT343,,AH343+1)*AF343-ERP_i)*AE343*Ramure*Pc/MaxiM</f>
        <v>1.8471951599473662E-2</v>
      </c>
      <c r="AE343" s="301">
        <f t="shared" si="142"/>
        <v>0.5</v>
      </c>
      <c r="AF343" s="173">
        <f t="shared" si="143"/>
        <v>0.99347985338685252</v>
      </c>
      <c r="AG343" s="802">
        <f t="shared" si="149"/>
        <v>2</v>
      </c>
      <c r="AH343" s="172">
        <f t="shared" si="144"/>
        <v>8</v>
      </c>
      <c r="AI343" s="221">
        <f t="shared" si="145"/>
        <v>2.9934798533868525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46717</v>
      </c>
      <c r="B344" s="406">
        <f>'2026'!Wh/'2026'!Env_an*'2027'!Env_an</f>
        <v>9.6574506310401116</v>
      </c>
      <c r="C344" s="832"/>
      <c r="D344" s="388">
        <f t="shared" si="127"/>
        <v>9.9520406038032938</v>
      </c>
      <c r="E344" s="380">
        <f t="shared" si="125"/>
        <v>10.094008488537016</v>
      </c>
      <c r="F344" s="380">
        <f t="shared" si="128"/>
        <v>10.144705281399606</v>
      </c>
      <c r="G344" s="110">
        <f t="shared" si="126"/>
        <v>0.48356476862970377</v>
      </c>
      <c r="H344" s="409" t="b">
        <f>Wh_hp&gt;='2026'!Maxi_hp</f>
        <v>0</v>
      </c>
      <c r="I344" s="385">
        <f>IF(H344,Wh_hp,'2026'!Maxi_hp)</f>
        <v>10.260327974722742</v>
      </c>
      <c r="J344" s="85">
        <f>IF(H344,An,'2026'!An_max)</f>
        <v>2022</v>
      </c>
      <c r="K344" s="193">
        <f t="shared" si="129"/>
        <v>46717</v>
      </c>
      <c r="L344" s="143">
        <f>IF(t&lt;Tvie,1-EXP((T0-t)*PertePVj)+'2026'!Pspv,1-EXP((T0-t)*PertePVj)+Pspv)</f>
        <v>2.9600961701321871E-2</v>
      </c>
      <c r="M344" s="836"/>
      <c r="N344" s="836"/>
      <c r="O344" s="48">
        <f>IF(t&lt;Tnet,'2026'!Resal+('2026'!Salim-'2026'!Resal)*(1-EXP(('2026'!Tnet-t)/('2026'!Tau_j))),Resal+(Salim-Resal)*(1-EXP((Tnet-t)/(Tau_j))))*Salcycl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1.8395370393290887E-2</v>
      </c>
      <c r="Q344" s="301">
        <f t="shared" si="130"/>
        <v>0.5</v>
      </c>
      <c r="R344" s="173">
        <f t="shared" si="131"/>
        <v>0.99350005344025094</v>
      </c>
      <c r="S344" s="802">
        <f t="shared" si="132"/>
        <v>2</v>
      </c>
      <c r="T344" s="172">
        <f t="shared" si="133"/>
        <v>8</v>
      </c>
      <c r="U344" s="247">
        <f t="shared" si="134"/>
        <v>2.9935000534402509</v>
      </c>
      <c r="V344" s="378">
        <f t="shared" si="135"/>
        <v>19.702449003385873</v>
      </c>
      <c r="W344" s="397">
        <f t="shared" si="136"/>
        <v>9.6574506310401116</v>
      </c>
      <c r="X344" s="153">
        <f t="shared" si="137"/>
        <v>46717</v>
      </c>
      <c r="Y344" s="380">
        <f t="shared" si="138"/>
        <v>9.3403609623280985</v>
      </c>
      <c r="Z344" s="380">
        <f t="shared" si="139"/>
        <v>9.6252784614294296</v>
      </c>
      <c r="AA344" s="381">
        <f t="shared" si="140"/>
        <v>10.094008488537016</v>
      </c>
      <c r="AB344" s="193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4.6436460563698413E-2</v>
      </c>
      <c r="AD344" s="227">
        <f>(INDEX(Models!$BJ344:$BT344,,AH344)*(1-AF344)+INDEX(Models!$BJ344:$BT344,,AH344+1)*AF344-ERP_i)*AE344*Ramure*Pc/MaxiM</f>
        <v>1.8395370393290887E-2</v>
      </c>
      <c r="AE344" s="301">
        <f t="shared" si="142"/>
        <v>0.5</v>
      </c>
      <c r="AF344" s="173">
        <f t="shared" si="143"/>
        <v>0.99350005344025094</v>
      </c>
      <c r="AG344" s="802">
        <f t="shared" si="149"/>
        <v>2</v>
      </c>
      <c r="AH344" s="172">
        <f t="shared" si="144"/>
        <v>8</v>
      </c>
      <c r="AI344" s="221">
        <f t="shared" si="145"/>
        <v>2.9935000534402509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46718</v>
      </c>
      <c r="B345" s="406">
        <f>'2026'!Wh/'2026'!Env_an*'2027'!Env_an</f>
        <v>13.806711753336907</v>
      </c>
      <c r="C345" s="832"/>
      <c r="D345" s="388">
        <f t="shared" si="127"/>
        <v>14.228065170406907</v>
      </c>
      <c r="E345" s="380">
        <f t="shared" si="125"/>
        <v>14.431830051734565</v>
      </c>
      <c r="F345" s="380">
        <f t="shared" si="128"/>
        <v>14.58811258765418</v>
      </c>
      <c r="G345" s="110">
        <f t="shared" si="126"/>
        <v>0.70373913588748116</v>
      </c>
      <c r="H345" s="409" t="b">
        <f>Wh_hp&gt;='2026'!Maxi_hp</f>
        <v>0</v>
      </c>
      <c r="I345" s="385">
        <f>IF(H345,Wh_hp,'2026'!Maxi_hp)</f>
        <v>14.682791656561243</v>
      </c>
      <c r="J345" s="85">
        <f>IF(H345,An,'2026'!An_max)</f>
        <v>2022</v>
      </c>
      <c r="K345" s="193">
        <f t="shared" si="129"/>
        <v>46718</v>
      </c>
      <c r="L345" s="143">
        <f>IF(t&lt;Tvie,1-EXP((T0-t)*PertePVj)+'2026'!Pspv,1-EXP((T0-t)*PertePVj)+Pspv)</f>
        <v>2.9614245649252191E-2</v>
      </c>
      <c r="M345" s="836"/>
      <c r="N345" s="836"/>
      <c r="O345" s="48">
        <f>IF(t&lt;Tnet,'2026'!Resal+('2026'!Salim-'2026'!Resal)*(1-EXP(('2026'!Tnet-t)/('2026'!Tau_j))),Resal+(Salim-Resal)*(1-EXP((Tnet-t)/(Tau_j))))*Salcycl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1.8326390938298395E-2</v>
      </c>
      <c r="Q345" s="301">
        <f t="shared" si="130"/>
        <v>0.5</v>
      </c>
      <c r="R345" s="173">
        <f t="shared" si="131"/>
        <v>0.99351944171471152</v>
      </c>
      <c r="S345" s="802">
        <f t="shared" si="132"/>
        <v>2</v>
      </c>
      <c r="T345" s="172">
        <f t="shared" si="133"/>
        <v>8</v>
      </c>
      <c r="U345" s="247">
        <f t="shared" si="134"/>
        <v>2.9935194417147115</v>
      </c>
      <c r="V345" s="378">
        <f t="shared" si="135"/>
        <v>19.468091144505699</v>
      </c>
      <c r="W345" s="397">
        <f t="shared" si="136"/>
        <v>13.806711753336907</v>
      </c>
      <c r="X345" s="153">
        <f t="shared" si="137"/>
        <v>46718</v>
      </c>
      <c r="Y345" s="380">
        <f t="shared" si="138"/>
        <v>13.353973122549391</v>
      </c>
      <c r="Z345" s="380">
        <f t="shared" si="139"/>
        <v>13.76150985592743</v>
      </c>
      <c r="AA345" s="381">
        <f t="shared" si="140"/>
        <v>14.431830051734565</v>
      </c>
      <c r="AB345" s="193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4.6447345444354721E-2</v>
      </c>
      <c r="AD345" s="227">
        <f>(INDEX(Models!$BJ345:$BT345,,AH345)*(1-AF345)+INDEX(Models!$BJ345:$BT345,,AH345+1)*AF345-ERP_i)*AE345*Ramure*Pc/MaxiM</f>
        <v>1.8326390938298395E-2</v>
      </c>
      <c r="AE345" s="301">
        <f t="shared" si="142"/>
        <v>0.5</v>
      </c>
      <c r="AF345" s="173">
        <f t="shared" si="143"/>
        <v>0.99351944171471152</v>
      </c>
      <c r="AG345" s="802">
        <f t="shared" si="149"/>
        <v>2</v>
      </c>
      <c r="AH345" s="172">
        <f t="shared" si="144"/>
        <v>8</v>
      </c>
      <c r="AI345" s="221">
        <f t="shared" si="145"/>
        <v>2.9935194417147115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46719</v>
      </c>
      <c r="B346" s="406">
        <f>'2026'!Wh/'2026'!Env_an*'2027'!Env_an</f>
        <v>9.4281293663886387</v>
      </c>
      <c r="C346" s="832"/>
      <c r="D346" s="388">
        <f t="shared" si="127"/>
        <v>9.7159901503677784</v>
      </c>
      <c r="E346" s="380">
        <f t="shared" si="125"/>
        <v>9.8556830072001915</v>
      </c>
      <c r="F346" s="380">
        <f t="shared" si="128"/>
        <v>9.9048555032041623</v>
      </c>
      <c r="G346" s="110">
        <f t="shared" si="126"/>
        <v>0.4836129413855807</v>
      </c>
      <c r="H346" s="409" t="b">
        <f>Wh_hp&gt;='2026'!Maxi_hp</f>
        <v>0</v>
      </c>
      <c r="I346" s="385">
        <f>IF(H346,Wh_hp,'2026'!Maxi_hp)</f>
        <v>10.017285117579057</v>
      </c>
      <c r="J346" s="85">
        <f>IF(H346,An,'2026'!An_max)</f>
        <v>2022</v>
      </c>
      <c r="K346" s="193">
        <f t="shared" si="129"/>
        <v>46719</v>
      </c>
      <c r="L346" s="143">
        <f>IF(t&lt;Tvie,1-EXP((T0-t)*PertePVj)+'2026'!Pspv,1-EXP((T0-t)*PertePVj)+Pspv)</f>
        <v>2.9627529415336418E-2</v>
      </c>
      <c r="M346" s="836"/>
      <c r="N346" s="836"/>
      <c r="O346" s="48">
        <f>IF(t&lt;Tnet,'2026'!Resal+('2026'!Salim-'2026'!Resal)*(1-EXP(('2026'!Tnet-t)/('2026'!Tau_j))),Resal+(Salim-Resal)*(1-EXP((Tnet-t)/(Tau_j))))*Salcycl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1.8273914611000485E-2</v>
      </c>
      <c r="Q346" s="301">
        <f t="shared" si="130"/>
        <v>0.5</v>
      </c>
      <c r="R346" s="173">
        <f t="shared" si="131"/>
        <v>0.99353805077394641</v>
      </c>
      <c r="S346" s="802">
        <f t="shared" si="132"/>
        <v>2</v>
      </c>
      <c r="T346" s="172">
        <f t="shared" si="133"/>
        <v>8</v>
      </c>
      <c r="U346" s="247">
        <f t="shared" si="134"/>
        <v>2.9935380507739464</v>
      </c>
      <c r="V346" s="378">
        <f t="shared" si="135"/>
        <v>19.234432062358344</v>
      </c>
      <c r="W346" s="397">
        <f t="shared" si="136"/>
        <v>9.4281293663886387</v>
      </c>
      <c r="X346" s="153">
        <f t="shared" si="137"/>
        <v>46719</v>
      </c>
      <c r="Y346" s="380">
        <f t="shared" si="138"/>
        <v>9.1193641442065836</v>
      </c>
      <c r="Z346" s="380">
        <f t="shared" si="139"/>
        <v>9.3977976711478988</v>
      </c>
      <c r="AA346" s="381">
        <f t="shared" si="140"/>
        <v>9.8556830072001915</v>
      </c>
      <c r="AB346" s="193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4.6459016155225283E-2</v>
      </c>
      <c r="AD346" s="227">
        <f>(INDEX(Models!$BJ346:$BT346,,AH346)*(1-AF346)+INDEX(Models!$BJ346:$BT346,,AH346+1)*AF346-ERP_i)*AE346*Ramure*Pc/MaxiM</f>
        <v>1.8273914611000485E-2</v>
      </c>
      <c r="AE346" s="301">
        <f t="shared" si="142"/>
        <v>0.5</v>
      </c>
      <c r="AF346" s="173">
        <f t="shared" si="143"/>
        <v>0.99353805077394641</v>
      </c>
      <c r="AG346" s="802">
        <f t="shared" si="149"/>
        <v>2</v>
      </c>
      <c r="AH346" s="172">
        <f t="shared" si="144"/>
        <v>8</v>
      </c>
      <c r="AI346" s="221">
        <f t="shared" si="145"/>
        <v>2.9935380507739464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46720</v>
      </c>
      <c r="B347" s="406">
        <f>'2026'!Wh/'2026'!Env_an*'2027'!Env_an</f>
        <v>10.449547486797222</v>
      </c>
      <c r="C347" s="832"/>
      <c r="D347" s="388">
        <f t="shared" si="127"/>
        <v>10.768741747165699</v>
      </c>
      <c r="E347" s="380">
        <f t="shared" si="125"/>
        <v>10.9241785904875</v>
      </c>
      <c r="F347" s="380">
        <f t="shared" si="128"/>
        <v>10.995799506688428</v>
      </c>
      <c r="G347" s="110">
        <f t="shared" si="126"/>
        <v>0.54341396596429359</v>
      </c>
      <c r="H347" s="409" t="b">
        <f>Wh_hp&gt;='2026'!Maxi_hp</f>
        <v>0</v>
      </c>
      <c r="I347" s="385">
        <f>IF(H347,Wh_hp,'2026'!Maxi_hp)</f>
        <v>11.10599499175243</v>
      </c>
      <c r="J347" s="85">
        <f>IF(H347,An,'2026'!An_max)</f>
        <v>2022</v>
      </c>
      <c r="K347" s="193">
        <f t="shared" si="129"/>
        <v>46720</v>
      </c>
      <c r="L347" s="143">
        <f>IF(t&lt;Tvie,1-EXP((T0-t)*PertePVj)+'2026'!Pspv,1-EXP((T0-t)*PertePVj)+Pspv)</f>
        <v>2.9640812999576993E-2</v>
      </c>
      <c r="M347" s="836"/>
      <c r="N347" s="836"/>
      <c r="O347" s="48">
        <f>IF(t&lt;Tnet,'2026'!Resal+('2026'!Salim-'2026'!Resal)*(1-EXP(('2026'!Tnet-t)/('2026'!Tau_j))),Resal+(Salim-Resal)*(1-EXP((Tnet-t)/(Tau_j))))*Salcycl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1.8244512458804454E-2</v>
      </c>
      <c r="Q347" s="301">
        <f t="shared" si="130"/>
        <v>0.5</v>
      </c>
      <c r="R347" s="173">
        <f t="shared" si="131"/>
        <v>0.99355591188007564</v>
      </c>
      <c r="S347" s="802">
        <f t="shared" si="132"/>
        <v>2</v>
      </c>
      <c r="T347" s="172">
        <f t="shared" si="133"/>
        <v>8</v>
      </c>
      <c r="U347" s="247">
        <f t="shared" si="134"/>
        <v>2.9935559118800756</v>
      </c>
      <c r="V347" s="378">
        <f t="shared" si="135"/>
        <v>19.002382099055449</v>
      </c>
      <c r="W347" s="397">
        <f t="shared" si="136"/>
        <v>10.449547486797222</v>
      </c>
      <c r="X347" s="153">
        <f t="shared" si="137"/>
        <v>46720</v>
      </c>
      <c r="Y347" s="380">
        <f t="shared" si="138"/>
        <v>10.107761903013635</v>
      </c>
      <c r="Z347" s="380">
        <f t="shared" si="139"/>
        <v>10.416515903001626</v>
      </c>
      <c r="AA347" s="381">
        <f t="shared" si="140"/>
        <v>10.9241785904875</v>
      </c>
      <c r="AB347" s="193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4.647147456266728E-2</v>
      </c>
      <c r="AD347" s="227">
        <f>(INDEX(Models!$BJ347:$BT347,,AH347)*(1-AF347)+INDEX(Models!$BJ347:$BT347,,AH347+1)*AF347-ERP_i)*AE347*Ramure*Pc/MaxiM</f>
        <v>1.8244512458804454E-2</v>
      </c>
      <c r="AE347" s="301">
        <f t="shared" si="142"/>
        <v>0.5</v>
      </c>
      <c r="AF347" s="173">
        <f t="shared" si="143"/>
        <v>0.99355591188007564</v>
      </c>
      <c r="AG347" s="802">
        <f t="shared" si="149"/>
        <v>2</v>
      </c>
      <c r="AH347" s="172">
        <f t="shared" si="144"/>
        <v>8</v>
      </c>
      <c r="AI347" s="221">
        <f t="shared" si="145"/>
        <v>2.9935559118800756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46721</v>
      </c>
      <c r="B348" s="406">
        <f>'2026'!Wh/'2026'!Env_an*'2027'!Env_an</f>
        <v>4.4764529691131685</v>
      </c>
      <c r="C348" s="832"/>
      <c r="D348" s="388">
        <f t="shared" si="127"/>
        <v>4.6132548738697912</v>
      </c>
      <c r="E348" s="380">
        <f t="shared" si="125"/>
        <v>4.6801041382885638</v>
      </c>
      <c r="F348" s="380">
        <f t="shared" si="128"/>
        <v>4.6801041382885638</v>
      </c>
      <c r="G348" s="110">
        <f t="shared" si="126"/>
        <v>0.23410294316641941</v>
      </c>
      <c r="H348" s="409" t="b">
        <f>Wh_hp&gt;='2026'!Maxi_hp</f>
        <v>0</v>
      </c>
      <c r="I348" s="385">
        <f>IF(H348,Wh_hp,'2026'!Maxi_hp)</f>
        <v>4.7530492210096416</v>
      </c>
      <c r="J348" s="85">
        <f>IF(H348,An,'2026'!An_max)</f>
        <v>2022</v>
      </c>
      <c r="K348" s="193">
        <f t="shared" si="129"/>
        <v>46721</v>
      </c>
      <c r="L348" s="143">
        <f>IF(t&lt;Tvie,1-EXP((T0-t)*PertePVj)+'2026'!Pspv,1-EXP((T0-t)*PertePVj)+Pspv)</f>
        <v>2.9654096401976471E-2</v>
      </c>
      <c r="M348" s="836"/>
      <c r="N348" s="836"/>
      <c r="O348" s="48">
        <f>IF(t&lt;Tnet,'2026'!Resal+('2026'!Salim-'2026'!Resal)*(1-EXP(('2026'!Tnet-t)/('2026'!Tau_j))),Resal+(Salim-Resal)*(1-EXP((Tnet-t)/(Tau_j))))*Salcycl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1.823766576932281E-2</v>
      </c>
      <c r="Q348" s="301">
        <f t="shared" si="130"/>
        <v>0.5</v>
      </c>
      <c r="R348" s="173">
        <f t="shared" si="131"/>
        <v>0.99357305504528437</v>
      </c>
      <c r="S348" s="802">
        <f t="shared" si="132"/>
        <v>2</v>
      </c>
      <c r="T348" s="172">
        <f t="shared" si="133"/>
        <v>8</v>
      </c>
      <c r="U348" s="247">
        <f t="shared" si="134"/>
        <v>2.9935730550452844</v>
      </c>
      <c r="V348" s="378">
        <f t="shared" si="135"/>
        <v>18.772993011481272</v>
      </c>
      <c r="W348" s="397">
        <f t="shared" si="136"/>
        <v>4.4764529691131685</v>
      </c>
      <c r="X348" s="153">
        <f t="shared" si="137"/>
        <v>46721</v>
      </c>
      <c r="Y348" s="380">
        <f t="shared" si="138"/>
        <v>4.3302178974202867</v>
      </c>
      <c r="Z348" s="380">
        <f t="shared" si="139"/>
        <v>4.4625508093185369</v>
      </c>
      <c r="AA348" s="381">
        <f t="shared" si="140"/>
        <v>4.6801041382885638</v>
      </c>
      <c r="AB348" s="193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4.6484719686084371E-2</v>
      </c>
      <c r="AD348" s="227">
        <f>(INDEX(Models!$BJ348:$BT348,,AH348)*(1-AF348)+INDEX(Models!$BJ348:$BT348,,AH348+1)*AF348-ERP_i)*AE348*Ramure*Pc/MaxiM</f>
        <v>1.823766576932281E-2</v>
      </c>
      <c r="AE348" s="301">
        <f t="shared" si="142"/>
        <v>0.5</v>
      </c>
      <c r="AF348" s="173">
        <f t="shared" si="143"/>
        <v>0.99357305504528437</v>
      </c>
      <c r="AG348" s="802">
        <f t="shared" si="149"/>
        <v>2</v>
      </c>
      <c r="AH348" s="172">
        <f t="shared" si="144"/>
        <v>8</v>
      </c>
      <c r="AI348" s="221">
        <f t="shared" si="145"/>
        <v>2.9935730550452844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46722</v>
      </c>
      <c r="B349" s="406">
        <f>'2026'!Wh/'2026'!Env_an*'2027'!Env_an</f>
        <v>4.2242806631773666</v>
      </c>
      <c r="C349" s="832"/>
      <c r="D349" s="388">
        <f t="shared" si="127"/>
        <v>4.3534356925299571</v>
      </c>
      <c r="E349" s="380">
        <f t="shared" si="125"/>
        <v>4.4167672032082965</v>
      </c>
      <c r="F349" s="380">
        <f t="shared" si="128"/>
        <v>4.4167672032082965</v>
      </c>
      <c r="G349" s="110">
        <f t="shared" si="126"/>
        <v>0.2235997704641691</v>
      </c>
      <c r="H349" s="409" t="b">
        <f>Wh_hp&gt;='2026'!Maxi_hp</f>
        <v>0</v>
      </c>
      <c r="I349" s="385">
        <f>IF(H349,Wh_hp,'2026'!Maxi_hp)</f>
        <v>4.4857659812276731</v>
      </c>
      <c r="J349" s="85">
        <f>IF(H349,An,'2026'!An_max)</f>
        <v>2022</v>
      </c>
      <c r="K349" s="193">
        <f t="shared" si="129"/>
        <v>46722</v>
      </c>
      <c r="L349" s="143">
        <f>IF(t&lt;Tvie,1-EXP((T0-t)*PertePVj)+'2026'!Pspv,1-EXP((T0-t)*PertePVj)+Pspv)</f>
        <v>2.9667379622537404E-2</v>
      </c>
      <c r="M349" s="836"/>
      <c r="N349" s="836"/>
      <c r="O349" s="48">
        <f>IF(t&lt;Tnet,'2026'!Resal+('2026'!Salim-'2026'!Resal)*(1-EXP(('2026'!Tnet-t)/('2026'!Tau_j))),Resal+(Salim-Resal)*(1-EXP((Tnet-t)/(Tau_j))))*Salcycl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1.8252822930761237E-2</v>
      </c>
      <c r="Q349" s="301">
        <f t="shared" si="130"/>
        <v>0.5</v>
      </c>
      <c r="R349" s="173">
        <f t="shared" si="131"/>
        <v>0.99358950908146015</v>
      </c>
      <c r="S349" s="802">
        <f t="shared" si="132"/>
        <v>2</v>
      </c>
      <c r="T349" s="172">
        <f t="shared" si="133"/>
        <v>8</v>
      </c>
      <c r="U349" s="247">
        <f t="shared" si="134"/>
        <v>2.9935895090814602</v>
      </c>
      <c r="V349" s="378">
        <f t="shared" si="135"/>
        <v>18.547316071091934</v>
      </c>
      <c r="W349" s="397">
        <f t="shared" si="136"/>
        <v>4.2242806631773666</v>
      </c>
      <c r="X349" s="153">
        <f t="shared" si="137"/>
        <v>46722</v>
      </c>
      <c r="Y349" s="380">
        <f t="shared" si="138"/>
        <v>4.08645206244758</v>
      </c>
      <c r="Z349" s="380">
        <f t="shared" si="139"/>
        <v>4.2113930590707511</v>
      </c>
      <c r="AA349" s="381">
        <f t="shared" si="140"/>
        <v>4.4167672032082965</v>
      </c>
      <c r="AB349" s="193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4.64987477692652E-2</v>
      </c>
      <c r="AD349" s="227">
        <f>(INDEX(Models!$BJ349:$BT349,,AH349)*(1-AF349)+INDEX(Models!$BJ349:$BT349,,AH349+1)*AF349-ERP_i)*AE349*Ramure*Pc/MaxiM</f>
        <v>1.8252822930761237E-2</v>
      </c>
      <c r="AE349" s="301">
        <f t="shared" si="142"/>
        <v>0.5</v>
      </c>
      <c r="AF349" s="173">
        <f t="shared" si="143"/>
        <v>0.99358950908146015</v>
      </c>
      <c r="AG349" s="802">
        <f t="shared" si="149"/>
        <v>2</v>
      </c>
      <c r="AH349" s="172">
        <f t="shared" si="144"/>
        <v>8</v>
      </c>
      <c r="AI349" s="221">
        <f t="shared" si="145"/>
        <v>2.9935895090814602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46723</v>
      </c>
      <c r="B350" s="406">
        <f>'2026'!Wh/'2026'!Env_an*'2027'!Env_an</f>
        <v>5.3897529562440791</v>
      </c>
      <c r="C350" s="832"/>
      <c r="D350" s="388">
        <f t="shared" si="127"/>
        <v>5.5546176901167126</v>
      </c>
      <c r="E350" s="380">
        <f t="shared" si="125"/>
        <v>5.6357397165212273</v>
      </c>
      <c r="F350" s="380">
        <f t="shared" si="128"/>
        <v>5.6357397165212273</v>
      </c>
      <c r="G350" s="110">
        <f t="shared" si="126"/>
        <v>0.28871884756468141</v>
      </c>
      <c r="H350" s="409" t="b">
        <f>Wh_hp&gt;='2026'!Maxi_hp</f>
        <v>0</v>
      </c>
      <c r="I350" s="385">
        <f>IF(H350,Wh_hp,'2026'!Maxi_hp)</f>
        <v>5.724087583959065</v>
      </c>
      <c r="J350" s="85">
        <f>IF(H350,An,'2026'!An_max)</f>
        <v>2022</v>
      </c>
      <c r="K350" s="193">
        <f t="shared" si="129"/>
        <v>46723</v>
      </c>
      <c r="L350" s="143">
        <f>IF(t&lt;Tvie,1-EXP((T0-t)*PertePVj)+'2026'!Pspv,1-EXP((T0-t)*PertePVj)+Pspv)</f>
        <v>2.9680662661262125E-2</v>
      </c>
      <c r="M350" s="836"/>
      <c r="N350" s="836"/>
      <c r="O350" s="48">
        <f>IF(t&lt;Tnet,'2026'!Resal+('2026'!Salim-'2026'!Resal)*(1-EXP(('2026'!Tnet-t)/('2026'!Tau_j))),Resal+(Salim-Resal)*(1-EXP((Tnet-t)/(Tau_j))))*Salcycl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1.8289387244697627E-2</v>
      </c>
      <c r="Q350" s="301">
        <f t="shared" si="130"/>
        <v>0.5</v>
      </c>
      <c r="R350" s="173">
        <f t="shared" si="131"/>
        <v>0.99360530164788186</v>
      </c>
      <c r="S350" s="802">
        <f t="shared" si="132"/>
        <v>2</v>
      </c>
      <c r="T350" s="172">
        <f t="shared" si="133"/>
        <v>8</v>
      </c>
      <c r="U350" s="247">
        <f t="shared" si="134"/>
        <v>2.9936053016478819</v>
      </c>
      <c r="V350" s="378">
        <f t="shared" si="135"/>
        <v>18.326402040963742</v>
      </c>
      <c r="W350" s="397">
        <f t="shared" si="136"/>
        <v>5.3897529562440791</v>
      </c>
      <c r="X350" s="153">
        <f t="shared" si="137"/>
        <v>46723</v>
      </c>
      <c r="Y350" s="380">
        <f t="shared" si="138"/>
        <v>5.2141093904066134</v>
      </c>
      <c r="Z350" s="380">
        <f t="shared" si="139"/>
        <v>5.3736014420852163</v>
      </c>
      <c r="AA350" s="381">
        <f t="shared" si="140"/>
        <v>5.6357397165212273</v>
      </c>
      <c r="AB350" s="193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4.6513552367855017E-2</v>
      </c>
      <c r="AD350" s="227">
        <f>(INDEX(Models!$BJ350:$BT350,,AH350)*(1-AF350)+INDEX(Models!$BJ350:$BT350,,AH350+1)*AF350-ERP_i)*AE350*Ramure*Pc/MaxiM</f>
        <v>1.8289387244697627E-2</v>
      </c>
      <c r="AE350" s="301">
        <f t="shared" si="142"/>
        <v>0.5</v>
      </c>
      <c r="AF350" s="173">
        <f t="shared" si="143"/>
        <v>0.99360530164788186</v>
      </c>
      <c r="AG350" s="802">
        <f t="shared" si="149"/>
        <v>2</v>
      </c>
      <c r="AH350" s="172">
        <f t="shared" si="144"/>
        <v>8</v>
      </c>
      <c r="AI350" s="221">
        <f t="shared" si="145"/>
        <v>2.9936053016478819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46724</v>
      </c>
      <c r="B351" s="406">
        <f>'2026'!Wh/'2026'!Env_an*'2027'!Env_an</f>
        <v>9.6924264226526748</v>
      </c>
      <c r="C351" s="832"/>
      <c r="D351" s="388">
        <f t="shared" si="127"/>
        <v>9.9890404454175332</v>
      </c>
      <c r="E351" s="380">
        <f t="shared" si="125"/>
        <v>10.135495262566533</v>
      </c>
      <c r="F351" s="380">
        <f t="shared" si="128"/>
        <v>10.198351978840805</v>
      </c>
      <c r="G351" s="110">
        <f t="shared" si="126"/>
        <v>0.52859860396615344</v>
      </c>
      <c r="H351" s="409" t="b">
        <f>Wh_hp&gt;='2026'!Maxi_hp</f>
        <v>0</v>
      </c>
      <c r="I351" s="385">
        <f>IF(H351,Wh_hp,'2026'!Maxi_hp)</f>
        <v>10.305110354856382</v>
      </c>
      <c r="J351" s="85">
        <f>IF(H351,An,'2026'!An_max)</f>
        <v>2022</v>
      </c>
      <c r="K351" s="193">
        <f t="shared" si="129"/>
        <v>46724</v>
      </c>
      <c r="L351" s="143">
        <f>IF(t&lt;Tvie,1-EXP((T0-t)*PertePVj)+'2026'!Pspv,1-EXP((T0-t)*PertePVj)+Pspv)</f>
        <v>2.9693945518153297E-2</v>
      </c>
      <c r="M351" s="836"/>
      <c r="N351" s="836"/>
      <c r="O351" s="48">
        <f>IF(t&lt;Tnet,'2026'!Resal+('2026'!Salim-'2026'!Resal)*(1-EXP(('2026'!Tnet-t)/('2026'!Tau_j))),Resal+(Salim-Resal)*(1-EXP((Tnet-t)/(Tau_j))))*Salcycl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1.8346704451506254E-2</v>
      </c>
      <c r="Q351" s="301">
        <f t="shared" si="130"/>
        <v>0.5</v>
      </c>
      <c r="R351" s="173">
        <f t="shared" si="131"/>
        <v>0.99362045929704479</v>
      </c>
      <c r="S351" s="802">
        <f t="shared" si="132"/>
        <v>2</v>
      </c>
      <c r="T351" s="172">
        <f t="shared" si="133"/>
        <v>8</v>
      </c>
      <c r="U351" s="247">
        <f t="shared" si="134"/>
        <v>2.9936204592970448</v>
      </c>
      <c r="V351" s="378">
        <f t="shared" si="135"/>
        <v>18.111301142830094</v>
      </c>
      <c r="W351" s="397">
        <f t="shared" si="136"/>
        <v>9.6924264226526748</v>
      </c>
      <c r="X351" s="153">
        <f t="shared" si="137"/>
        <v>46724</v>
      </c>
      <c r="Y351" s="380">
        <f t="shared" si="138"/>
        <v>9.3769402356140805</v>
      </c>
      <c r="Z351" s="380">
        <f t="shared" si="139"/>
        <v>9.6638995421104141</v>
      </c>
      <c r="AA351" s="381">
        <f t="shared" si="140"/>
        <v>10.135495262566533</v>
      </c>
      <c r="AB351" s="193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4.6529124452148303E-2</v>
      </c>
      <c r="AD351" s="227">
        <f>(INDEX(Models!$BJ351:$BT351,,AH351)*(1-AF351)+INDEX(Models!$BJ351:$BT351,,AH351+1)*AF351-ERP_i)*AE351*Ramure*Pc/MaxiM</f>
        <v>1.8346704451506254E-2</v>
      </c>
      <c r="AE351" s="301">
        <f t="shared" si="142"/>
        <v>0.5</v>
      </c>
      <c r="AF351" s="173">
        <f t="shared" si="143"/>
        <v>0.99362045929704479</v>
      </c>
      <c r="AG351" s="802">
        <f t="shared" si="149"/>
        <v>2</v>
      </c>
      <c r="AH351" s="172">
        <f t="shared" si="144"/>
        <v>8</v>
      </c>
      <c r="AI351" s="221">
        <f t="shared" si="145"/>
        <v>2.9936204592970448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46725</v>
      </c>
      <c r="B352" s="406">
        <f>'2026'!Wh/'2026'!Env_an*'2027'!Env_an</f>
        <v>12.959386660027235</v>
      </c>
      <c r="C352" s="832"/>
      <c r="D352" s="388">
        <f t="shared" si="127"/>
        <v>13.356161188231361</v>
      </c>
      <c r="E352" s="380">
        <f t="shared" si="125"/>
        <v>13.552748348986778</v>
      </c>
      <c r="F352" s="380">
        <f t="shared" si="128"/>
        <v>13.705692722817457</v>
      </c>
      <c r="G352" s="110">
        <f t="shared" si="126"/>
        <v>0.71854609284571713</v>
      </c>
      <c r="H352" s="409" t="b">
        <f>Wh_hp&gt;='2026'!Maxi_hp</f>
        <v>0</v>
      </c>
      <c r="I352" s="385">
        <f>IF(H352,Wh_hp,'2026'!Maxi_hp)</f>
        <v>13.791486870148061</v>
      </c>
      <c r="J352" s="85">
        <f>IF(H352,An,'2026'!An_max)</f>
        <v>2022</v>
      </c>
      <c r="K352" s="193">
        <f t="shared" si="129"/>
        <v>46725</v>
      </c>
      <c r="L352" s="143">
        <f>IF(t&lt;Tvie,1-EXP((T0-t)*PertePVj)+'2026'!Pspv,1-EXP((T0-t)*PertePVj)+Pspv)</f>
        <v>2.9707228193213142E-2</v>
      </c>
      <c r="M352" s="836"/>
      <c r="N352" s="836"/>
      <c r="O352" s="48">
        <f>IF(t&lt;Tnet,'2026'!Resal+('2026'!Salim-'2026'!Resal)*(1-EXP(('2026'!Tnet-t)/('2026'!Tau_j))),Resal+(Salim-Resal)*(1-EXP((Tnet-t)/(Tau_j))))*Salcycl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1.8428929829195643E-2</v>
      </c>
      <c r="Q352" s="301">
        <f t="shared" si="130"/>
        <v>0.5</v>
      </c>
      <c r="R352" s="173">
        <f t="shared" si="131"/>
        <v>0.99363500751867972</v>
      </c>
      <c r="S352" s="802">
        <f t="shared" si="132"/>
        <v>2</v>
      </c>
      <c r="T352" s="172">
        <f t="shared" si="133"/>
        <v>8</v>
      </c>
      <c r="U352" s="247">
        <f t="shared" si="134"/>
        <v>2.9936350075186797</v>
      </c>
      <c r="V352" s="378">
        <f t="shared" si="135"/>
        <v>17.902974046255189</v>
      </c>
      <c r="W352" s="397">
        <f t="shared" si="136"/>
        <v>12.959386660027235</v>
      </c>
      <c r="X352" s="153">
        <f t="shared" si="137"/>
        <v>46725</v>
      </c>
      <c r="Y352" s="380">
        <f t="shared" si="138"/>
        <v>12.538054834471328</v>
      </c>
      <c r="Z352" s="380">
        <f t="shared" si="139"/>
        <v>12.921929544135587</v>
      </c>
      <c r="AA352" s="381">
        <f t="shared" si="140"/>
        <v>13.552748348986778</v>
      </c>
      <c r="AB352" s="193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4.6545452524273605E-2</v>
      </c>
      <c r="AD352" s="227">
        <f>(INDEX(Models!$BJ352:$BT352,,AH352)*(1-AF352)+INDEX(Models!$BJ352:$BT352,,AH352+1)*AF352-ERP_i)*AE352*Ramure*Pc/MaxiM</f>
        <v>1.8428929829195643E-2</v>
      </c>
      <c r="AE352" s="301">
        <f t="shared" si="142"/>
        <v>0.5</v>
      </c>
      <c r="AF352" s="173">
        <f t="shared" si="143"/>
        <v>0.99363500751867972</v>
      </c>
      <c r="AG352" s="802">
        <f t="shared" si="149"/>
        <v>2</v>
      </c>
      <c r="AH352" s="172">
        <f t="shared" si="144"/>
        <v>8</v>
      </c>
      <c r="AI352" s="221">
        <f t="shared" si="145"/>
        <v>2.9936350075186797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46726</v>
      </c>
      <c r="B353" s="406">
        <f>'2026'!Wh/'2026'!Env_an*'2027'!Env_an</f>
        <v>17.957688746495229</v>
      </c>
      <c r="C353" s="832"/>
      <c r="D353" s="388">
        <f t="shared" si="127"/>
        <v>18.507748483068287</v>
      </c>
      <c r="E353" s="380">
        <f t="shared" si="125"/>
        <v>18.781224333042719</v>
      </c>
      <c r="F353" s="380">
        <f t="shared" si="128"/>
        <v>19.135643499951627</v>
      </c>
      <c r="G353" s="110">
        <f t="shared" si="126"/>
        <v>1.0144026581276955</v>
      </c>
      <c r="H353" s="409" t="b">
        <f>Wh_hp&gt;='2026'!Maxi_hp</f>
        <v>1</v>
      </c>
      <c r="I353" s="385">
        <f>IF(H353,Wh_hp,'2026'!Maxi_hp)</f>
        <v>19.135643499951627</v>
      </c>
      <c r="J353" s="85">
        <f>IF(H353,An,'2026'!An_max)</f>
        <v>2027</v>
      </c>
      <c r="K353" s="193">
        <f t="shared" si="129"/>
        <v>46726</v>
      </c>
      <c r="L353" s="143">
        <f>IF(t&lt;Tvie,1-EXP((T0-t)*PertePVj)+'2026'!Pspv,1-EXP((T0-t)*PertePVj)+Pspv)</f>
        <v>2.9720510686444435E-2</v>
      </c>
      <c r="M353" s="836"/>
      <c r="N353" s="836"/>
      <c r="O353" s="48">
        <f>IF(t&lt;Tnet,'2026'!Resal+('2026'!Salim-'2026'!Resal)*(1-EXP(('2026'!Tnet-t)/('2026'!Tau_j))),Resal+(Salim-Resal)*(1-EXP((Tnet-t)/(Tau_j))))*Salcycl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1.8521413555274653E-2</v>
      </c>
      <c r="Q353" s="301">
        <f t="shared" si="130"/>
        <v>0.5</v>
      </c>
      <c r="R353" s="173">
        <f t="shared" si="131"/>
        <v>0.99364897078204839</v>
      </c>
      <c r="S353" s="802">
        <f t="shared" si="132"/>
        <v>2</v>
      </c>
      <c r="T353" s="172">
        <f t="shared" si="133"/>
        <v>8</v>
      </c>
      <c r="U353" s="247">
        <f t="shared" si="134"/>
        <v>2.9936489707820484</v>
      </c>
      <c r="V353" s="378">
        <f t="shared" si="135"/>
        <v>17.702722486591387</v>
      </c>
      <c r="W353" s="397">
        <f t="shared" si="136"/>
        <v>17.957688746495229</v>
      </c>
      <c r="X353" s="153">
        <f t="shared" si="137"/>
        <v>46726</v>
      </c>
      <c r="Y353" s="380">
        <f t="shared" si="138"/>
        <v>17.374526191113336</v>
      </c>
      <c r="Z353" s="380">
        <f t="shared" si="139"/>
        <v>17.906723147786323</v>
      </c>
      <c r="AA353" s="381">
        <f t="shared" si="140"/>
        <v>18.781224333042719</v>
      </c>
      <c r="AB353" s="193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4.6562522748735007E-2</v>
      </c>
      <c r="AD353" s="227">
        <f>(INDEX(Models!$BJ353:$BT353,,AH353)*(1-AF353)+INDEX(Models!$BJ353:$BT353,,AH353+1)*AF353-ERP_i)*AE353*Ramure*Pc/MaxiM</f>
        <v>1.8521413555274653E-2</v>
      </c>
      <c r="AE353" s="301">
        <f t="shared" si="142"/>
        <v>0.5</v>
      </c>
      <c r="AF353" s="173">
        <f t="shared" si="143"/>
        <v>0.99364897078204839</v>
      </c>
      <c r="AG353" s="802">
        <f t="shared" si="149"/>
        <v>2</v>
      </c>
      <c r="AH353" s="172">
        <f t="shared" si="144"/>
        <v>8</v>
      </c>
      <c r="AI353" s="221">
        <f t="shared" si="145"/>
        <v>2.9936489707820484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46727</v>
      </c>
      <c r="B354" s="406">
        <f>'2026'!Wh/'2026'!Env_an*'2027'!Env_an</f>
        <v>11.729226113099774</v>
      </c>
      <c r="C354" s="832"/>
      <c r="D354" s="388">
        <f t="shared" si="127"/>
        <v>12.088668067024392</v>
      </c>
      <c r="E354" s="380">
        <f t="shared" si="125"/>
        <v>12.267990220688855</v>
      </c>
      <c r="F354" s="380">
        <f t="shared" si="128"/>
        <v>12.389884823151702</v>
      </c>
      <c r="G354" s="110">
        <f t="shared" si="126"/>
        <v>0.66385525567682735</v>
      </c>
      <c r="H354" s="409" t="b">
        <f>Wh_hp&gt;='2026'!Maxi_hp</f>
        <v>0</v>
      </c>
      <c r="I354" s="385">
        <f>IF(H354,Wh_hp,'2026'!Maxi_hp)</f>
        <v>12.483813947652854</v>
      </c>
      <c r="J354" s="85">
        <f>IF(H354,An,'2026'!An_max)</f>
        <v>2022</v>
      </c>
      <c r="K354" s="193">
        <f t="shared" si="129"/>
        <v>46727</v>
      </c>
      <c r="L354" s="143">
        <f>IF(t&lt;Tvie,1-EXP((T0-t)*PertePVj)+'2026'!Pspv,1-EXP((T0-t)*PertePVj)+Pspv)</f>
        <v>2.9733792997849617E-2</v>
      </c>
      <c r="M354" s="836"/>
      <c r="N354" s="836"/>
      <c r="O354" s="48">
        <f>IF(t&lt;Tnet,'2026'!Resal+('2026'!Salim-'2026'!Resal)*(1-EXP(('2026'!Tnet-t)/('2026'!Tau_j))),Resal+(Salim-Resal)*(1-EXP((Tnet-t)/(Tau_j))))*Salcycl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1.8623056235292861E-2</v>
      </c>
      <c r="Q354" s="301">
        <f t="shared" si="130"/>
        <v>0.5</v>
      </c>
      <c r="R354" s="173">
        <f t="shared" si="131"/>
        <v>0.99366237257657142</v>
      </c>
      <c r="S354" s="802">
        <f t="shared" si="132"/>
        <v>2</v>
      </c>
      <c r="T354" s="172">
        <f t="shared" si="133"/>
        <v>8</v>
      </c>
      <c r="U354" s="247">
        <f t="shared" si="134"/>
        <v>2.9936623725765714</v>
      </c>
      <c r="V354" s="378">
        <f t="shared" si="135"/>
        <v>17.511593177939922</v>
      </c>
      <c r="W354" s="397">
        <f t="shared" si="136"/>
        <v>11.729226113099774</v>
      </c>
      <c r="X354" s="153">
        <f t="shared" si="137"/>
        <v>46727</v>
      </c>
      <c r="Y354" s="380">
        <f t="shared" si="138"/>
        <v>11.348760723639243</v>
      </c>
      <c r="Z354" s="380">
        <f t="shared" si="139"/>
        <v>11.696543321552671</v>
      </c>
      <c r="AA354" s="381">
        <f t="shared" si="140"/>
        <v>12.267990220688855</v>
      </c>
      <c r="AB354" s="193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4.658031909517589E-2</v>
      </c>
      <c r="AD354" s="227">
        <f>(INDEX(Models!$BJ354:$BT354,,AH354)*(1-AF354)+INDEX(Models!$BJ354:$BT354,,AH354+1)*AF354-ERP_i)*AE354*Ramure*Pc/MaxiM</f>
        <v>1.8623056235292861E-2</v>
      </c>
      <c r="AE354" s="301">
        <f t="shared" si="142"/>
        <v>0.5</v>
      </c>
      <c r="AF354" s="173">
        <f t="shared" si="143"/>
        <v>0.99366237257657142</v>
      </c>
      <c r="AG354" s="802">
        <f t="shared" si="149"/>
        <v>2</v>
      </c>
      <c r="AH354" s="172">
        <f t="shared" si="144"/>
        <v>8</v>
      </c>
      <c r="AI354" s="221">
        <f t="shared" si="145"/>
        <v>2.9936623725765714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46728</v>
      </c>
      <c r="B355" s="406">
        <f>'2026'!Wh/'2026'!Env_an*'2027'!Env_an</f>
        <v>14.387375494091275</v>
      </c>
      <c r="C355" s="832"/>
      <c r="D355" s="388">
        <f t="shared" si="127"/>
        <v>14.828479384363499</v>
      </c>
      <c r="E355" s="380">
        <f t="shared" si="125"/>
        <v>15.04930035990675</v>
      </c>
      <c r="F355" s="380">
        <f t="shared" si="128"/>
        <v>15.265890651841604</v>
      </c>
      <c r="G355" s="110">
        <f t="shared" si="126"/>
        <v>0.82634298934025074</v>
      </c>
      <c r="H355" s="409" t="b">
        <f>Wh_hp&gt;='2026'!Maxi_hp</f>
        <v>0</v>
      </c>
      <c r="I355" s="385">
        <f>IF(H355,Wh_hp,'2026'!Maxi_hp)</f>
        <v>15.32586816121578</v>
      </c>
      <c r="J355" s="85">
        <f>IF(H355,An,'2026'!An_max)</f>
        <v>2022</v>
      </c>
      <c r="K355" s="193">
        <f t="shared" si="129"/>
        <v>46728</v>
      </c>
      <c r="L355" s="143">
        <f>IF(t&lt;Tvie,1-EXP((T0-t)*PertePVj)+'2026'!Pspv,1-EXP((T0-t)*PertePVj)+Pspv)</f>
        <v>2.9747075127431022E-2</v>
      </c>
      <c r="M355" s="836"/>
      <c r="N355" s="836"/>
      <c r="O355" s="48">
        <f>IF(t&lt;Tnet,'2026'!Resal+('2026'!Salim-'2026'!Resal)*(1-EXP(('2026'!Tnet-t)/('2026'!Tau_j))),Resal+(Salim-Resal)*(1-EXP((Tnet-t)/(Tau_j))))*Salcycl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1.8732663155262903E-2</v>
      </c>
      <c r="Q355" s="301">
        <f t="shared" si="130"/>
        <v>0.5</v>
      </c>
      <c r="R355" s="173">
        <f t="shared" si="131"/>
        <v>0.99367523545085668</v>
      </c>
      <c r="S355" s="802">
        <f t="shared" si="132"/>
        <v>2</v>
      </c>
      <c r="T355" s="172">
        <f t="shared" si="133"/>
        <v>8</v>
      </c>
      <c r="U355" s="247">
        <f t="shared" si="134"/>
        <v>2.9936752354508567</v>
      </c>
      <c r="V355" s="378">
        <f t="shared" si="135"/>
        <v>17.330632435577602</v>
      </c>
      <c r="W355" s="397">
        <f t="shared" si="136"/>
        <v>14.387375494091275</v>
      </c>
      <c r="X355" s="153">
        <f t="shared" si="137"/>
        <v>46728</v>
      </c>
      <c r="Y355" s="380">
        <f t="shared" si="138"/>
        <v>13.921209019991815</v>
      </c>
      <c r="Z355" s="380">
        <f t="shared" si="139"/>
        <v>14.348020668755209</v>
      </c>
      <c r="AA355" s="381">
        <f t="shared" si="140"/>
        <v>15.04930035990675</v>
      </c>
      <c r="AB355" s="193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4.6598823492143185E-2</v>
      </c>
      <c r="AD355" s="227">
        <f>(INDEX(Models!$BJ355:$BT355,,AH355)*(1-AF355)+INDEX(Models!$BJ355:$BT355,,AH355+1)*AF355-ERP_i)*AE355*Ramure*Pc/MaxiM</f>
        <v>1.8732663155262903E-2</v>
      </c>
      <c r="AE355" s="301">
        <f t="shared" si="142"/>
        <v>0.5</v>
      </c>
      <c r="AF355" s="173">
        <f t="shared" si="143"/>
        <v>0.99367523545085668</v>
      </c>
      <c r="AG355" s="802">
        <f t="shared" si="149"/>
        <v>2</v>
      </c>
      <c r="AH355" s="172">
        <f t="shared" si="144"/>
        <v>8</v>
      </c>
      <c r="AI355" s="221">
        <f t="shared" si="145"/>
        <v>2.9936752354508567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46729</v>
      </c>
      <c r="B356" s="406">
        <f>'2026'!Wh/'2026'!Env_an*'2027'!Env_an</f>
        <v>4.6347649789765173</v>
      </c>
      <c r="C356" s="832"/>
      <c r="D356" s="388">
        <f t="shared" si="127"/>
        <v>4.7769280638800904</v>
      </c>
      <c r="E356" s="380">
        <f t="shared" si="125"/>
        <v>4.8483412841383959</v>
      </c>
      <c r="F356" s="380">
        <f t="shared" si="128"/>
        <v>4.8483412841383959</v>
      </c>
      <c r="G356" s="110">
        <f t="shared" si="126"/>
        <v>0.26498658167136535</v>
      </c>
      <c r="H356" s="409" t="b">
        <f>Wh_hp&gt;='2026'!Maxi_hp</f>
        <v>0</v>
      </c>
      <c r="I356" s="385">
        <f>IF(H356,Wh_hp,'2026'!Maxi_hp)</f>
        <v>4.9272457155162224</v>
      </c>
      <c r="J356" s="85">
        <f>IF(H356,An,'2026'!An_max)</f>
        <v>2022</v>
      </c>
      <c r="K356" s="193">
        <f t="shared" si="129"/>
        <v>46729</v>
      </c>
      <c r="L356" s="143">
        <f>IF(t&lt;Tvie,1-EXP((T0-t)*PertePVj)+'2026'!Pspv,1-EXP((T0-t)*PertePVj)+Pspv)</f>
        <v>2.9760357075191202E-2</v>
      </c>
      <c r="M356" s="836"/>
      <c r="N356" s="836"/>
      <c r="O356" s="48">
        <f>IF(t&lt;Tnet,'2026'!Resal+('2026'!Salim-'2026'!Resal)*(1-EXP(('2026'!Tnet-t)/('2026'!Tau_j))),Resal+(Salim-Resal)*(1-EXP((Tnet-t)/(Tau_j))))*Salcycl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1.8848941320729052E-2</v>
      </c>
      <c r="Q356" s="301">
        <f t="shared" si="130"/>
        <v>0.5</v>
      </c>
      <c r="R356" s="173">
        <f t="shared" si="131"/>
        <v>0.99368758105019062</v>
      </c>
      <c r="S356" s="802">
        <f t="shared" si="132"/>
        <v>2</v>
      </c>
      <c r="T356" s="172">
        <f t="shared" si="133"/>
        <v>8</v>
      </c>
      <c r="U356" s="247">
        <f t="shared" si="134"/>
        <v>2.9936875810501906</v>
      </c>
      <c r="V356" s="378">
        <f t="shared" si="135"/>
        <v>17.16088617457649</v>
      </c>
      <c r="W356" s="397">
        <f t="shared" si="136"/>
        <v>4.6347649789765173</v>
      </c>
      <c r="X356" s="153">
        <f t="shared" si="137"/>
        <v>46729</v>
      </c>
      <c r="Y356" s="380">
        <f t="shared" si="138"/>
        <v>4.4847593022275589</v>
      </c>
      <c r="Z356" s="380">
        <f t="shared" si="139"/>
        <v>4.6223212326267697</v>
      </c>
      <c r="AA356" s="381">
        <f t="shared" si="140"/>
        <v>4.8483412841383959</v>
      </c>
      <c r="AB356" s="193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4.6618015990553971E-2</v>
      </c>
      <c r="AD356" s="227">
        <f>(INDEX(Models!$BJ356:$BT356,,AH356)*(1-AF356)+INDEX(Models!$BJ356:$BT356,,AH356+1)*AF356-ERP_i)*AE356*Ramure*Pc/MaxiM</f>
        <v>1.8848941320729052E-2</v>
      </c>
      <c r="AE356" s="301">
        <f t="shared" si="142"/>
        <v>0.5</v>
      </c>
      <c r="AF356" s="173">
        <f t="shared" si="143"/>
        <v>0.99368758105019062</v>
      </c>
      <c r="AG356" s="802">
        <f t="shared" si="149"/>
        <v>2</v>
      </c>
      <c r="AH356" s="172">
        <f t="shared" si="144"/>
        <v>8</v>
      </c>
      <c r="AI356" s="221">
        <f t="shared" si="145"/>
        <v>2.9936875810501906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46730</v>
      </c>
      <c r="B357" s="406">
        <f>'2026'!Wh/'2026'!Env_an*'2027'!Env_an</f>
        <v>7.7162048525811562</v>
      </c>
      <c r="C357" s="832"/>
      <c r="D357" s="388">
        <f t="shared" si="127"/>
        <v>7.9529944366433121</v>
      </c>
      <c r="E357" s="380">
        <f t="shared" si="125"/>
        <v>8.0723505499843569</v>
      </c>
      <c r="F357" s="380">
        <f t="shared" si="128"/>
        <v>8.1061384618216348</v>
      </c>
      <c r="G357" s="110">
        <f t="shared" si="126"/>
        <v>0.44705818641601641</v>
      </c>
      <c r="H357" s="409" t="b">
        <f>Wh_hp&gt;='2026'!Maxi_hp</f>
        <v>0</v>
      </c>
      <c r="I357" s="385">
        <f>IF(H357,Wh_hp,'2026'!Maxi_hp)</f>
        <v>8.2098937851281431</v>
      </c>
      <c r="J357" s="85">
        <f>IF(H357,An,'2026'!An_max)</f>
        <v>2022</v>
      </c>
      <c r="K357" s="193">
        <f t="shared" si="129"/>
        <v>46730</v>
      </c>
      <c r="L357" s="143">
        <f>IF(t&lt;Tvie,1-EXP((T0-t)*PertePVj)+'2026'!Pspv,1-EXP((T0-t)*PertePVj)+Pspv)</f>
        <v>2.977363884113271E-2</v>
      </c>
      <c r="M357" s="836"/>
      <c r="N357" s="836"/>
      <c r="O357" s="48">
        <f>IF(t&lt;Tnet,'2026'!Resal+('2026'!Salim-'2026'!Resal)*(1-EXP(('2026'!Tnet-t)/('2026'!Tau_j))),Resal+(Salim-Resal)*(1-EXP((Tnet-t)/(Tau_j))))*Salcycl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1.8970498632957192E-2</v>
      </c>
      <c r="Q357" s="301">
        <f t="shared" si="130"/>
        <v>0.5</v>
      </c>
      <c r="R357" s="173">
        <f t="shared" si="131"/>
        <v>0.9936994301525508</v>
      </c>
      <c r="S357" s="802">
        <f t="shared" si="132"/>
        <v>2</v>
      </c>
      <c r="T357" s="172">
        <f t="shared" si="133"/>
        <v>8</v>
      </c>
      <c r="U357" s="247">
        <f t="shared" si="134"/>
        <v>2.9936994301525508</v>
      </c>
      <c r="V357" s="378">
        <f t="shared" si="135"/>
        <v>17.003399896585943</v>
      </c>
      <c r="W357" s="397">
        <f t="shared" si="136"/>
        <v>7.7162048525811562</v>
      </c>
      <c r="X357" s="153">
        <f t="shared" si="137"/>
        <v>46730</v>
      </c>
      <c r="Y357" s="380">
        <f t="shared" si="138"/>
        <v>7.466739123153638</v>
      </c>
      <c r="Z357" s="380">
        <f t="shared" si="139"/>
        <v>7.6958732745986635</v>
      </c>
      <c r="AA357" s="381">
        <f t="shared" si="140"/>
        <v>8.0723505499843569</v>
      </c>
      <c r="AB357" s="193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4.6637874935500971E-2</v>
      </c>
      <c r="AD357" s="227">
        <f>(INDEX(Models!$BJ357:$BT357,,AH357)*(1-AF357)+INDEX(Models!$BJ357:$BT357,,AH357+1)*AF357-ERP_i)*AE357*Ramure*Pc/MaxiM</f>
        <v>1.8970498632957192E-2</v>
      </c>
      <c r="AE357" s="301">
        <f t="shared" si="142"/>
        <v>0.5</v>
      </c>
      <c r="AF357" s="173">
        <f t="shared" si="143"/>
        <v>0.9936994301525508</v>
      </c>
      <c r="AG357" s="802">
        <f t="shared" si="149"/>
        <v>2</v>
      </c>
      <c r="AH357" s="172">
        <f t="shared" si="144"/>
        <v>8</v>
      </c>
      <c r="AI357" s="221">
        <f t="shared" si="145"/>
        <v>2.9936994301525508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46731</v>
      </c>
      <c r="B358" s="406">
        <f>'2026'!Wh/'2026'!Env_an*'2027'!Env_an</f>
        <v>11.235420856556591</v>
      </c>
      <c r="C358" s="832"/>
      <c r="D358" s="388">
        <f t="shared" si="127"/>
        <v>11.580364244812317</v>
      </c>
      <c r="E358" s="380">
        <f t="shared" si="125"/>
        <v>11.75483313509624</v>
      </c>
      <c r="F358" s="380">
        <f t="shared" si="128"/>
        <v>11.873521079135049</v>
      </c>
      <c r="G358" s="110">
        <f t="shared" si="126"/>
        <v>0.66030036028380645</v>
      </c>
      <c r="H358" s="409" t="b">
        <f>Wh_hp&gt;='2026'!Maxi_hp</f>
        <v>0</v>
      </c>
      <c r="I358" s="385">
        <f>IF(H358,Wh_hp,'2026'!Maxi_hp)</f>
        <v>11.96710133124366</v>
      </c>
      <c r="J358" s="85">
        <f>IF(H358,An,'2026'!An_max)</f>
        <v>2022</v>
      </c>
      <c r="K358" s="193">
        <f t="shared" si="129"/>
        <v>46731</v>
      </c>
      <c r="L358" s="143">
        <f>IF(t&lt;Tvie,1-EXP((T0-t)*PertePVj)+'2026'!Pspv,1-EXP((T0-t)*PertePVj)+Pspv)</f>
        <v>2.978692042525799E-2</v>
      </c>
      <c r="M358" s="836"/>
      <c r="N358" s="836"/>
      <c r="O358" s="48">
        <f>IF(t&lt;Tnet,'2026'!Resal+('2026'!Salim-'2026'!Resal)*(1-EXP(('2026'!Tnet-t)/('2026'!Tau_j))),Resal+(Salim-Resal)*(1-EXP((Tnet-t)/(Tau_j))))*Salcycl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1.9095845580910039E-2</v>
      </c>
      <c r="Q358" s="301">
        <f t="shared" si="130"/>
        <v>0.5</v>
      </c>
      <c r="R358" s="173">
        <f t="shared" si="131"/>
        <v>0.99371080270319512</v>
      </c>
      <c r="S358" s="802">
        <f t="shared" si="132"/>
        <v>2</v>
      </c>
      <c r="T358" s="172">
        <f t="shared" si="133"/>
        <v>8</v>
      </c>
      <c r="U358" s="247">
        <f t="shared" si="134"/>
        <v>2.9937108027031951</v>
      </c>
      <c r="V358" s="378">
        <f t="shared" si="135"/>
        <v>16.859218668627101</v>
      </c>
      <c r="W358" s="397">
        <f t="shared" si="136"/>
        <v>11.235420856556591</v>
      </c>
      <c r="X358" s="153">
        <f t="shared" si="137"/>
        <v>46731</v>
      </c>
      <c r="Y358" s="380">
        <f t="shared" si="138"/>
        <v>10.8725683953962</v>
      </c>
      <c r="Z358" s="380">
        <f t="shared" si="139"/>
        <v>11.206371697402595</v>
      </c>
      <c r="AA358" s="381">
        <f t="shared" si="140"/>
        <v>11.75483313509624</v>
      </c>
      <c r="AB358" s="193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4.6658377144981347E-2</v>
      </c>
      <c r="AD358" s="227">
        <f>(INDEX(Models!$BJ358:$BT358,,AH358)*(1-AF358)+INDEX(Models!$BJ358:$BT358,,AH358+1)*AF358-ERP_i)*AE358*Ramure*Pc/MaxiM</f>
        <v>1.9095845580910039E-2</v>
      </c>
      <c r="AE358" s="301">
        <f t="shared" si="142"/>
        <v>0.5</v>
      </c>
      <c r="AF358" s="173">
        <f t="shared" si="143"/>
        <v>0.99371080270319512</v>
      </c>
      <c r="AG358" s="802">
        <f t="shared" si="149"/>
        <v>2</v>
      </c>
      <c r="AH358" s="172">
        <f t="shared" si="144"/>
        <v>8</v>
      </c>
      <c r="AI358" s="221">
        <f t="shared" si="145"/>
        <v>2.9937108027031951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46732</v>
      </c>
      <c r="B359" s="406">
        <f>'2026'!Wh/'2026'!Env_an*'2027'!Env_an</f>
        <v>12.775019741215795</v>
      </c>
      <c r="C359" s="832"/>
      <c r="D359" s="388">
        <f t="shared" si="127"/>
        <v>13.167411254135647</v>
      </c>
      <c r="E359" s="380">
        <f t="shared" si="125"/>
        <v>13.366559058537186</v>
      </c>
      <c r="F359" s="380">
        <f t="shared" si="128"/>
        <v>13.539074728565572</v>
      </c>
      <c r="G359" s="110">
        <f t="shared" si="126"/>
        <v>0.75883482499053467</v>
      </c>
      <c r="H359" s="409" t="b">
        <f>Wh_hp&gt;='2026'!Maxi_hp</f>
        <v>0</v>
      </c>
      <c r="I359" s="385">
        <f>IF(H359,Wh_hp,'2026'!Maxi_hp)</f>
        <v>13.615221721331118</v>
      </c>
      <c r="J359" s="85">
        <f>IF(H359,An,'2026'!An_max)</f>
        <v>2022</v>
      </c>
      <c r="K359" s="193">
        <f t="shared" si="129"/>
        <v>46732</v>
      </c>
      <c r="L359" s="143">
        <f>IF(t&lt;Tvie,1-EXP((T0-t)*PertePVj)+'2026'!Pspv,1-EXP((T0-t)*PertePVj)+Pspv)</f>
        <v>2.9800201827569484E-2</v>
      </c>
      <c r="M359" s="836"/>
      <c r="N359" s="836"/>
      <c r="O359" s="48">
        <f>IF(t&lt;Tnet,'2026'!Resal+('2026'!Salim-'2026'!Resal)*(1-EXP(('2026'!Tnet-t)/('2026'!Tau_j))),Resal+(Salim-Resal)*(1-EXP((Tnet-t)/(Tau_j))))*Salcycl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1.9228988652733234E-2</v>
      </c>
      <c r="Q359" s="301">
        <f t="shared" si="130"/>
        <v>0.5</v>
      </c>
      <c r="R359" s="173">
        <f t="shared" si="131"/>
        <v>0.99372171784788632</v>
      </c>
      <c r="S359" s="802">
        <f t="shared" si="132"/>
        <v>2</v>
      </c>
      <c r="T359" s="172">
        <f t="shared" si="133"/>
        <v>8</v>
      </c>
      <c r="U359" s="247">
        <f t="shared" si="134"/>
        <v>2.9937217178478863</v>
      </c>
      <c r="V359" s="378">
        <f t="shared" si="135"/>
        <v>16.72442945364639</v>
      </c>
      <c r="W359" s="397">
        <f t="shared" si="136"/>
        <v>12.775019741215795</v>
      </c>
      <c r="X359" s="153">
        <f t="shared" si="137"/>
        <v>46732</v>
      </c>
      <c r="Y359" s="380">
        <f t="shared" si="138"/>
        <v>12.362882297873545</v>
      </c>
      <c r="Z359" s="380">
        <f t="shared" si="139"/>
        <v>12.742614790439617</v>
      </c>
      <c r="AA359" s="381">
        <f t="shared" si="140"/>
        <v>13.366559058537186</v>
      </c>
      <c r="AB359" s="193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4.6679498094093011E-2</v>
      </c>
      <c r="AD359" s="227">
        <f>(INDEX(Models!$BJ359:$BT359,,AH359)*(1-AF359)+INDEX(Models!$BJ359:$BT359,,AH359+1)*AF359-ERP_i)*AE359*Ramure*Pc/MaxiM</f>
        <v>1.9228988652733234E-2</v>
      </c>
      <c r="AE359" s="301">
        <f t="shared" si="142"/>
        <v>0.5</v>
      </c>
      <c r="AF359" s="173">
        <f t="shared" si="143"/>
        <v>0.99372171784788632</v>
      </c>
      <c r="AG359" s="802">
        <f t="shared" si="149"/>
        <v>2</v>
      </c>
      <c r="AH359" s="172">
        <f t="shared" si="144"/>
        <v>8</v>
      </c>
      <c r="AI359" s="221">
        <f t="shared" si="145"/>
        <v>2.9937217178478863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46733</v>
      </c>
      <c r="B360" s="406">
        <f>'2026'!Wh/'2026'!Env_an*'2027'!Env_an</f>
        <v>5.8489435544414352</v>
      </c>
      <c r="C360" s="832"/>
      <c r="D360" s="388">
        <f t="shared" si="127"/>
        <v>6.0286794881640606</v>
      </c>
      <c r="E360" s="380">
        <f t="shared" si="125"/>
        <v>6.1202117180667486</v>
      </c>
      <c r="F360" s="380">
        <f t="shared" si="128"/>
        <v>6.1291090389600553</v>
      </c>
      <c r="G360" s="110">
        <f t="shared" si="126"/>
        <v>0.34612309442867645</v>
      </c>
      <c r="H360" s="409" t="b">
        <f>Wh_hp&gt;='2026'!Maxi_hp</f>
        <v>0</v>
      </c>
      <c r="I360" s="385">
        <f>IF(H360,Wh_hp,'2026'!Maxi_hp)</f>
        <v>6.2242364696996182</v>
      </c>
      <c r="J360" s="85">
        <f>IF(H360,An,'2026'!An_max)</f>
        <v>2022</v>
      </c>
      <c r="K360" s="193">
        <f t="shared" si="129"/>
        <v>46733</v>
      </c>
      <c r="L360" s="143">
        <f>IF(t&lt;Tvie,1-EXP((T0-t)*PertePVj)+'2026'!Pspv,1-EXP((T0-t)*PertePVj)+Pspv)</f>
        <v>2.9813483048069855E-2</v>
      </c>
      <c r="M360" s="836"/>
      <c r="N360" s="836"/>
      <c r="O360" s="48">
        <f>IF(t&lt;Tnet,'2026'!Resal+('2026'!Salim-'2026'!Resal)*(1-EXP(('2026'!Tnet-t)/('2026'!Tau_j))),Resal+(Salim-Resal)*(1-EXP((Tnet-t)/(Tau_j))))*Salcycl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1.9374138164473441E-2</v>
      </c>
      <c r="Q360" s="301">
        <f t="shared" si="130"/>
        <v>0.5</v>
      </c>
      <c r="R360" s="173">
        <f t="shared" si="131"/>
        <v>0.99373219396480117</v>
      </c>
      <c r="S360" s="802">
        <f t="shared" si="132"/>
        <v>2</v>
      </c>
      <c r="T360" s="172">
        <f t="shared" si="133"/>
        <v>8</v>
      </c>
      <c r="U360" s="247">
        <f t="shared" si="134"/>
        <v>2.9937321939648012</v>
      </c>
      <c r="V360" s="378">
        <f t="shared" si="135"/>
        <v>16.595146729013539</v>
      </c>
      <c r="W360" s="397">
        <f t="shared" si="136"/>
        <v>5.8489435544414352</v>
      </c>
      <c r="X360" s="153">
        <f t="shared" si="137"/>
        <v>46733</v>
      </c>
      <c r="Y360" s="380">
        <f t="shared" si="138"/>
        <v>5.6604469128456953</v>
      </c>
      <c r="Z360" s="380">
        <f t="shared" si="139"/>
        <v>5.8343904125047263</v>
      </c>
      <c r="AA360" s="381">
        <f t="shared" si="140"/>
        <v>6.1202117180667486</v>
      </c>
      <c r="AB360" s="193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4.67012121032159E-2</v>
      </c>
      <c r="AD360" s="227">
        <f>(INDEX(Models!$BJ360:$BT360,,AH360)*(1-AF360)+INDEX(Models!$BJ360:$BT360,,AH360+1)*AF360-ERP_i)*AE360*Ramure*Pc/MaxiM</f>
        <v>1.9374138164473441E-2</v>
      </c>
      <c r="AE360" s="301">
        <f t="shared" si="142"/>
        <v>0.5</v>
      </c>
      <c r="AF360" s="173">
        <f t="shared" si="143"/>
        <v>0.99373219396480117</v>
      </c>
      <c r="AG360" s="802">
        <f t="shared" si="149"/>
        <v>2</v>
      </c>
      <c r="AH360" s="172">
        <f t="shared" si="144"/>
        <v>8</v>
      </c>
      <c r="AI360" s="221">
        <f t="shared" si="145"/>
        <v>2.9937321939648012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46734</v>
      </c>
      <c r="B361" s="406">
        <f>'2026'!Wh/'2026'!Env_an*'2027'!Env_an</f>
        <v>5.5094231526681305</v>
      </c>
      <c r="C361" s="832"/>
      <c r="D361" s="388">
        <f t="shared" si="127"/>
        <v>5.6788034844952486</v>
      </c>
      <c r="E361" s="380">
        <f t="shared" ref="E361:E379" si="150">Wh_pvt/(1-Psa)</f>
        <v>5.7653565809792129</v>
      </c>
      <c r="F361" s="380">
        <f t="shared" si="128"/>
        <v>5.770900871658883</v>
      </c>
      <c r="G361" s="110">
        <f t="shared" ref="G361:G379" si="151">+Wh_hp/MaxiM</f>
        <v>0.32824606799070238</v>
      </c>
      <c r="H361" s="409" t="b">
        <f>Wh_hp&gt;='2026'!Maxi_hp</f>
        <v>0</v>
      </c>
      <c r="I361" s="385">
        <f>IF(H361,Wh_hp,'2026'!Maxi_hp)</f>
        <v>5.8636677565978781</v>
      </c>
      <c r="J361" s="85">
        <f>IF(H361,An,'2026'!An_max)</f>
        <v>2022</v>
      </c>
      <c r="K361" s="193">
        <f t="shared" si="129"/>
        <v>46734</v>
      </c>
      <c r="L361" s="143">
        <f>IF(t&lt;Tvie,1-EXP((T0-t)*PertePVj)+'2026'!Pspv,1-EXP((T0-t)*PertePVj)+Pspv)</f>
        <v>2.9826764086761326E-2</v>
      </c>
      <c r="M361" s="836"/>
      <c r="N361" s="836"/>
      <c r="O361" s="48">
        <f>IF(t&lt;Tnet,'2026'!Resal+('2026'!Salim-'2026'!Resal)*(1-EXP(('2026'!Tnet-t)/('2026'!Tau_j))),Resal+(Salim-Resal)*(1-EXP((Tnet-t)/(Tau_j))))*Salcycl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1.9516738992844906E-2</v>
      </c>
      <c r="Q361" s="301">
        <f t="shared" si="130"/>
        <v>0.5</v>
      </c>
      <c r="R361" s="173">
        <f t="shared" si="131"/>
        <v>0.99374224869517702</v>
      </c>
      <c r="S361" s="802">
        <f t="shared" si="132"/>
        <v>2</v>
      </c>
      <c r="T361" s="172">
        <f t="shared" si="133"/>
        <v>8</v>
      </c>
      <c r="U361" s="247">
        <f t="shared" si="134"/>
        <v>2.993742248695177</v>
      </c>
      <c r="V361" s="378">
        <f t="shared" si="135"/>
        <v>16.472678499398825</v>
      </c>
      <c r="W361" s="397">
        <f t="shared" si="136"/>
        <v>5.5094231526681305</v>
      </c>
      <c r="X361" s="153">
        <f t="shared" si="137"/>
        <v>46734</v>
      </c>
      <c r="Y361" s="380">
        <f t="shared" si="138"/>
        <v>5.3320517172061175</v>
      </c>
      <c r="Z361" s="380">
        <f t="shared" si="139"/>
        <v>5.495978985842644</v>
      </c>
      <c r="AA361" s="381">
        <f t="shared" si="140"/>
        <v>5.7653565809792129</v>
      </c>
      <c r="AB361" s="193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4.6723492528681757E-2</v>
      </c>
      <c r="AD361" s="227">
        <f>(INDEX(Models!$BJ361:$BT361,,AH361)*(1-AF361)+INDEX(Models!$BJ361:$BT361,,AH361+1)*AF361-ERP_i)*AE361*Ramure*Pc/MaxiM</f>
        <v>1.9516738992844906E-2</v>
      </c>
      <c r="AE361" s="301">
        <f t="shared" si="142"/>
        <v>0.5</v>
      </c>
      <c r="AF361" s="173">
        <f t="shared" si="143"/>
        <v>0.99374224869517702</v>
      </c>
      <c r="AG361" s="802">
        <f t="shared" si="149"/>
        <v>2</v>
      </c>
      <c r="AH361" s="172">
        <f t="shared" si="144"/>
        <v>8</v>
      </c>
      <c r="AI361" s="221">
        <f t="shared" si="145"/>
        <v>2.993742248695177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46735</v>
      </c>
      <c r="B362" s="406">
        <f>'2026'!Wh/'2026'!Env_an*'2027'!Env_an</f>
        <v>12.545264692060366</v>
      </c>
      <c r="C362" s="832"/>
      <c r="D362" s="388">
        <f t="shared" si="127"/>
        <v>12.931130198351315</v>
      </c>
      <c r="E362" s="380">
        <f t="shared" si="150"/>
        <v>13.128978889789924</v>
      </c>
      <c r="F362" s="380">
        <f t="shared" si="128"/>
        <v>13.303391753770411</v>
      </c>
      <c r="G362" s="110">
        <f t="shared" si="151"/>
        <v>0.76182817259520896</v>
      </c>
      <c r="H362" s="409" t="b">
        <f>Wh_hp&gt;='2026'!Maxi_hp</f>
        <v>0</v>
      </c>
      <c r="I362" s="385">
        <f>IF(H362,Wh_hp,'2026'!Maxi_hp)</f>
        <v>13.378981463837262</v>
      </c>
      <c r="J362" s="85">
        <f>IF(H362,An,'2026'!An_max)</f>
        <v>2022</v>
      </c>
      <c r="K362" s="193">
        <f t="shared" si="129"/>
        <v>46735</v>
      </c>
      <c r="L362" s="143">
        <f>IF(t&lt;Tvie,1-EXP((T0-t)*PertePVj)+'2026'!Pspv,1-EXP((T0-t)*PertePVj)+Pspv)</f>
        <v>2.9840044943646671E-2</v>
      </c>
      <c r="M362" s="836"/>
      <c r="N362" s="836"/>
      <c r="O362" s="48">
        <f>IF(t&lt;Tnet,'2026'!Resal+('2026'!Salim-'2026'!Resal)*(1-EXP(('2026'!Tnet-t)/('2026'!Tau_j))),Resal+(Salim-Resal)*(1-EXP((Tnet-t)/(Tau_j))))*Salcycl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1.9655185680793108E-2</v>
      </c>
      <c r="Q362" s="301">
        <f t="shared" si="130"/>
        <v>0.5</v>
      </c>
      <c r="R362" s="173">
        <f t="shared" si="131"/>
        <v>0.99375189897274652</v>
      </c>
      <c r="S362" s="802">
        <f t="shared" si="132"/>
        <v>2</v>
      </c>
      <c r="T362" s="172">
        <f t="shared" si="133"/>
        <v>8</v>
      </c>
      <c r="U362" s="247">
        <f t="shared" si="134"/>
        <v>2.9937518989727465</v>
      </c>
      <c r="V362" s="378">
        <f t="shared" si="135"/>
        <v>16.358108561720265</v>
      </c>
      <c r="W362" s="397">
        <f t="shared" si="136"/>
        <v>12.545264692060366</v>
      </c>
      <c r="X362" s="153">
        <f t="shared" si="137"/>
        <v>46735</v>
      </c>
      <c r="Y362" s="380">
        <f t="shared" si="138"/>
        <v>12.141791997682317</v>
      </c>
      <c r="Z362" s="380">
        <f t="shared" si="139"/>
        <v>12.515247546964604</v>
      </c>
      <c r="AA362" s="381">
        <f t="shared" si="140"/>
        <v>13.128978889789924</v>
      </c>
      <c r="AB362" s="193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4.6746311954435571E-2</v>
      </c>
      <c r="AD362" s="227">
        <f>(INDEX(Models!$BJ362:$BT362,,AH362)*(1-AF362)+INDEX(Models!$BJ362:$BT362,,AH362+1)*AF362-ERP_i)*AE362*Ramure*Pc/MaxiM</f>
        <v>1.9655185680793108E-2</v>
      </c>
      <c r="AE362" s="301">
        <f t="shared" si="142"/>
        <v>0.5</v>
      </c>
      <c r="AF362" s="173">
        <f t="shared" si="143"/>
        <v>0.99375189897274652</v>
      </c>
      <c r="AG362" s="802">
        <f t="shared" si="149"/>
        <v>2</v>
      </c>
      <c r="AH362" s="172">
        <f t="shared" si="144"/>
        <v>8</v>
      </c>
      <c r="AI362" s="221">
        <f t="shared" si="145"/>
        <v>2.9937518989727465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46736</v>
      </c>
      <c r="B363" s="406">
        <f>'2026'!Wh/'2026'!Env_an*'2027'!Env_an</f>
        <v>6.6999620355699649</v>
      </c>
      <c r="C363" s="832"/>
      <c r="D363" s="388">
        <f t="shared" si="127"/>
        <v>6.906133075024953</v>
      </c>
      <c r="E363" s="380">
        <f t="shared" si="150"/>
        <v>7.0122047378614045</v>
      </c>
      <c r="F363" s="380">
        <f t="shared" si="128"/>
        <v>7.0345243844825722</v>
      </c>
      <c r="G363" s="110">
        <f t="shared" si="151"/>
        <v>0.4053702527301139</v>
      </c>
      <c r="H363" s="409" t="b">
        <f>Wh_hp&gt;='2026'!Maxi_hp</f>
        <v>0</v>
      </c>
      <c r="I363" s="385">
        <f>IF(H363,Wh_hp,'2026'!Maxi_hp)</f>
        <v>7.1358666165073297</v>
      </c>
      <c r="J363" s="85">
        <f>IF(H363,An,'2026'!An_max)</f>
        <v>2022</v>
      </c>
      <c r="K363" s="193">
        <f t="shared" si="129"/>
        <v>46736</v>
      </c>
      <c r="L363" s="143">
        <f>IF(t&lt;Tvie,1-EXP((T0-t)*PertePVj)+'2026'!Pspv,1-EXP((T0-t)*PertePVj)+Pspv)</f>
        <v>2.985332561872811E-2</v>
      </c>
      <c r="M363" s="836"/>
      <c r="N363" s="836"/>
      <c r="O363" s="48">
        <f>IF(t&lt;Tnet,'2026'!Resal+('2026'!Salim-'2026'!Resal)*(1-EXP(('2026'!Tnet-t)/('2026'!Tau_j))),Resal+(Salim-Resal)*(1-EXP((Tnet-t)/(Tau_j))))*Salcycl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1.9787798641754811E-2</v>
      </c>
      <c r="Q363" s="301">
        <f t="shared" si="130"/>
        <v>0.5</v>
      </c>
      <c r="R363" s="173">
        <f t="shared" si="131"/>
        <v>0.99376116105200296</v>
      </c>
      <c r="S363" s="802">
        <f t="shared" si="132"/>
        <v>2</v>
      </c>
      <c r="T363" s="172">
        <f t="shared" si="133"/>
        <v>8</v>
      </c>
      <c r="U363" s="247">
        <f t="shared" si="134"/>
        <v>2.993761161052003</v>
      </c>
      <c r="V363" s="378">
        <f t="shared" si="135"/>
        <v>16.252520475303847</v>
      </c>
      <c r="W363" s="397">
        <f t="shared" si="136"/>
        <v>6.6999620355699649</v>
      </c>
      <c r="X363" s="153">
        <f t="shared" si="137"/>
        <v>46736</v>
      </c>
      <c r="Y363" s="380">
        <f t="shared" si="138"/>
        <v>6.4846994447645852</v>
      </c>
      <c r="Z363" s="380">
        <f t="shared" si="139"/>
        <v>6.6842464299538173</v>
      </c>
      <c r="AA363" s="381">
        <f t="shared" si="140"/>
        <v>7.0122047378614045</v>
      </c>
      <c r="AB363" s="193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4.6769642383204038E-2</v>
      </c>
      <c r="AD363" s="227">
        <f>(INDEX(Models!$BJ363:$BT363,,AH363)*(1-AF363)+INDEX(Models!$BJ363:$BT363,,AH363+1)*AF363-ERP_i)*AE363*Ramure*Pc/MaxiM</f>
        <v>1.9787798641754811E-2</v>
      </c>
      <c r="AE363" s="301">
        <f t="shared" si="142"/>
        <v>0.5</v>
      </c>
      <c r="AF363" s="173">
        <f t="shared" si="143"/>
        <v>0.99376116105200296</v>
      </c>
      <c r="AG363" s="802">
        <f t="shared" si="149"/>
        <v>2</v>
      </c>
      <c r="AH363" s="172">
        <f t="shared" si="144"/>
        <v>8</v>
      </c>
      <c r="AI363" s="221">
        <f t="shared" si="145"/>
        <v>2.993761161052003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46737</v>
      </c>
      <c r="B364" s="406">
        <f>'2026'!Wh/'2026'!Env_an*'2027'!Env_an</f>
        <v>5.622467924144976</v>
      </c>
      <c r="C364" s="832"/>
      <c r="D364" s="388">
        <f t="shared" si="127"/>
        <v>5.7955616821021705</v>
      </c>
      <c r="E364" s="380">
        <f t="shared" si="150"/>
        <v>5.8849178036969283</v>
      </c>
      <c r="F364" s="380">
        <f t="shared" si="128"/>
        <v>5.8929626235159054</v>
      </c>
      <c r="G364" s="110">
        <f t="shared" si="151"/>
        <v>0.34152642746024087</v>
      </c>
      <c r="H364" s="409" t="b">
        <f>Wh_hp&gt;='2026'!Maxi_hp</f>
        <v>0</v>
      </c>
      <c r="I364" s="385">
        <f>IF(H364,Wh_hp,'2026'!Maxi_hp)</f>
        <v>5.9877220322580982</v>
      </c>
      <c r="J364" s="85">
        <f>IF(H364,An,'2026'!An_max)</f>
        <v>2022</v>
      </c>
      <c r="K364" s="193">
        <f t="shared" si="129"/>
        <v>46737</v>
      </c>
      <c r="L364" s="143">
        <f>IF(t&lt;Tvie,1-EXP((T0-t)*PertePVj)+'2026'!Pspv,1-EXP((T0-t)*PertePVj)+Pspv)</f>
        <v>2.986660611200842E-2</v>
      </c>
      <c r="M364" s="836"/>
      <c r="N364" s="836"/>
      <c r="O364" s="48">
        <f>IF(t&lt;Tnet,'2026'!Resal+('2026'!Salim-'2026'!Resal)*(1-EXP(('2026'!Tnet-t)/('2026'!Tau_j))),Resal+(Salim-Resal)*(1-EXP((Tnet-t)/(Tau_j))))*Salcycl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1.9912834631764909E-2</v>
      </c>
      <c r="Q364" s="301">
        <f t="shared" si="130"/>
        <v>0.5</v>
      </c>
      <c r="R364" s="173">
        <f t="shared" si="131"/>
        <v>0.99377005053534795</v>
      </c>
      <c r="S364" s="802">
        <f t="shared" si="132"/>
        <v>2</v>
      </c>
      <c r="T364" s="172">
        <f t="shared" si="133"/>
        <v>8</v>
      </c>
      <c r="U364" s="247">
        <f t="shared" si="134"/>
        <v>2.9937700505353479</v>
      </c>
      <c r="V364" s="378">
        <f t="shared" si="135"/>
        <v>16.156997527138113</v>
      </c>
      <c r="W364" s="397">
        <f t="shared" si="136"/>
        <v>5.622467924144976</v>
      </c>
      <c r="X364" s="153">
        <f t="shared" si="137"/>
        <v>46737</v>
      </c>
      <c r="Y364" s="380">
        <f t="shared" si="138"/>
        <v>5.4420041784618993</v>
      </c>
      <c r="Z364" s="380">
        <f t="shared" si="139"/>
        <v>5.6095421647656583</v>
      </c>
      <c r="AA364" s="381">
        <f t="shared" si="140"/>
        <v>5.8849178036969283</v>
      </c>
      <c r="AB364" s="193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4.6793455425711776E-2</v>
      </c>
      <c r="AD364" s="227">
        <f>(INDEX(Models!$BJ364:$BT364,,AH364)*(1-AF364)+INDEX(Models!$BJ364:$BT364,,AH364+1)*AF364-ERP_i)*AE364*Ramure*Pc/MaxiM</f>
        <v>1.9912834631764909E-2</v>
      </c>
      <c r="AE364" s="301">
        <f t="shared" si="142"/>
        <v>0.5</v>
      </c>
      <c r="AF364" s="173">
        <f t="shared" si="143"/>
        <v>0.99377005053534795</v>
      </c>
      <c r="AG364" s="802">
        <f t="shared" si="149"/>
        <v>2</v>
      </c>
      <c r="AH364" s="172">
        <f t="shared" si="144"/>
        <v>8</v>
      </c>
      <c r="AI364" s="221">
        <f t="shared" si="145"/>
        <v>2.9937700505353479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46738</v>
      </c>
      <c r="B365" s="406">
        <f>'2026'!Wh/'2026'!Env_an*'2027'!Env_an</f>
        <v>3.6302205113785795</v>
      </c>
      <c r="C365" s="832"/>
      <c r="D365" s="388">
        <f t="shared" si="127"/>
        <v>3.7420320026096192</v>
      </c>
      <c r="E365" s="380">
        <f t="shared" si="150"/>
        <v>3.7999477974588847</v>
      </c>
      <c r="F365" s="380">
        <f t="shared" si="128"/>
        <v>3.7999477974588847</v>
      </c>
      <c r="G365" s="110">
        <f t="shared" si="151"/>
        <v>0.22133989569461149</v>
      </c>
      <c r="H365" s="409" t="b">
        <f>Wh_hp&gt;='2026'!Maxi_hp</f>
        <v>0</v>
      </c>
      <c r="I365" s="385">
        <f>IF(H365,Wh_hp,'2026'!Maxi_hp)</f>
        <v>3.8659187328041593</v>
      </c>
      <c r="J365" s="85">
        <f>IF(H365,An,'2026'!An_max)</f>
        <v>2022</v>
      </c>
      <c r="K365" s="193">
        <f t="shared" si="129"/>
        <v>46738</v>
      </c>
      <c r="L365" s="143">
        <f>IF(t&lt;Tvie,1-EXP((T0-t)*PertePVj)+'2026'!Pspv,1-EXP((T0-t)*PertePVj)+Pspv)</f>
        <v>2.9879886423489821E-2</v>
      </c>
      <c r="M365" s="836"/>
      <c r="N365" s="836"/>
      <c r="O365" s="48">
        <f>IF(t&lt;Tnet,'2026'!Resal+('2026'!Salim-'2026'!Resal)*(1-EXP(('2026'!Tnet-t)/('2026'!Tau_j))),Resal+(Salim-Resal)*(1-EXP((Tnet-t)/(Tau_j))))*Salcycl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2.0028500367240385E-2</v>
      </c>
      <c r="Q365" s="301">
        <f t="shared" si="130"/>
        <v>0.5</v>
      </c>
      <c r="R365" s="173">
        <f t="shared" si="131"/>
        <v>0.99377858239916073</v>
      </c>
      <c r="S365" s="802">
        <f t="shared" si="132"/>
        <v>2</v>
      </c>
      <c r="T365" s="172">
        <f t="shared" si="133"/>
        <v>8</v>
      </c>
      <c r="U365" s="247">
        <f t="shared" si="134"/>
        <v>2.9937785823991607</v>
      </c>
      <c r="V365" s="378">
        <f t="shared" si="135"/>
        <v>16.072622729711881</v>
      </c>
      <c r="W365" s="397">
        <f t="shared" si="136"/>
        <v>3.6302205113785795</v>
      </c>
      <c r="X365" s="153">
        <f t="shared" si="137"/>
        <v>46738</v>
      </c>
      <c r="Y365" s="380">
        <f t="shared" si="138"/>
        <v>3.5138166656602632</v>
      </c>
      <c r="Z365" s="380">
        <f t="shared" si="139"/>
        <v>3.6220428960141748</v>
      </c>
      <c r="AA365" s="381">
        <f t="shared" si="140"/>
        <v>3.7999477974588847</v>
      </c>
      <c r="AB365" s="193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4.6817722486524369E-2</v>
      </c>
      <c r="AD365" s="227">
        <f>(INDEX(Models!$BJ365:$BT365,,AH365)*(1-AF365)+INDEX(Models!$BJ365:$BT365,,AH365+1)*AF365-ERP_i)*AE365*Ramure*Pc/MaxiM</f>
        <v>2.0028500367240385E-2</v>
      </c>
      <c r="AE365" s="301">
        <f t="shared" si="142"/>
        <v>0.5</v>
      </c>
      <c r="AF365" s="173">
        <f t="shared" si="143"/>
        <v>0.99377858239916073</v>
      </c>
      <c r="AG365" s="802">
        <f t="shared" si="149"/>
        <v>2</v>
      </c>
      <c r="AH365" s="172">
        <f t="shared" si="144"/>
        <v>8</v>
      </c>
      <c r="AI365" s="221">
        <f t="shared" si="145"/>
        <v>2.9937785823991607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46739</v>
      </c>
      <c r="B366" s="406">
        <f>'2026'!Wh/'2026'!Env_an*'2027'!Env_an</f>
        <v>14.608521778596176</v>
      </c>
      <c r="C366" s="832"/>
      <c r="D366" s="388">
        <f t="shared" si="127"/>
        <v>15.058673204776388</v>
      </c>
      <c r="E366" s="380">
        <f t="shared" si="150"/>
        <v>15.292628659277064</v>
      </c>
      <c r="F366" s="380">
        <f t="shared" si="128"/>
        <v>15.567014743197159</v>
      </c>
      <c r="G366" s="110">
        <f t="shared" si="151"/>
        <v>0.91067545820616791</v>
      </c>
      <c r="H366" s="409" t="b">
        <f>Wh_hp&gt;='2026'!Maxi_hp</f>
        <v>0</v>
      </c>
      <c r="I366" s="385">
        <f>IF(H366,Wh_hp,'2026'!Maxi_hp)</f>
        <v>15.600858513413073</v>
      </c>
      <c r="J366" s="85">
        <f>IF(H366,An,'2026'!An_max)</f>
        <v>2022</v>
      </c>
      <c r="K366" s="193">
        <f t="shared" si="129"/>
        <v>46739</v>
      </c>
      <c r="L366" s="143">
        <f>IF(t&lt;Tvie,1-EXP((T0-t)*PertePVj)+'2026'!Pspv,1-EXP((T0-t)*PertePVj)+Pspv)</f>
        <v>2.9893166553174866E-2</v>
      </c>
      <c r="M366" s="836"/>
      <c r="N366" s="836"/>
      <c r="O366" s="48">
        <f>IF(t&lt;Tnet,'2026'!Resal+('2026'!Salim-'2026'!Resal)*(1-EXP(('2026'!Tnet-t)/('2026'!Tau_j))),Resal+(Salim-Resal)*(1-EXP((Tnet-t)/(Tau_j))))*Salcycl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2.0127695056625313E-2</v>
      </c>
      <c r="Q366" s="301">
        <f t="shared" si="130"/>
        <v>0.5</v>
      </c>
      <c r="R366" s="173">
        <f t="shared" si="131"/>
        <v>0.99378677101882973</v>
      </c>
      <c r="S366" s="802">
        <f t="shared" si="132"/>
        <v>2</v>
      </c>
      <c r="T366" s="172">
        <f t="shared" si="133"/>
        <v>8</v>
      </c>
      <c r="U366" s="247">
        <f t="shared" si="134"/>
        <v>2.9937867710188297</v>
      </c>
      <c r="V366" s="378">
        <f t="shared" si="135"/>
        <v>16.000564916064103</v>
      </c>
      <c r="W366" s="397">
        <f t="shared" si="136"/>
        <v>14.608521778596176</v>
      </c>
      <c r="X366" s="153">
        <f t="shared" si="137"/>
        <v>46739</v>
      </c>
      <c r="Y366" s="380">
        <f t="shared" si="138"/>
        <v>14.140553686725321</v>
      </c>
      <c r="Z366" s="380">
        <f t="shared" si="139"/>
        <v>14.576285002017165</v>
      </c>
      <c r="AA366" s="381">
        <f t="shared" si="140"/>
        <v>15.292628659277064</v>
      </c>
      <c r="AB366" s="193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4.6842414945146599E-2</v>
      </c>
      <c r="AD366" s="227">
        <f>(INDEX(Models!$BJ366:$BT366,,AH366)*(1-AF366)+INDEX(Models!$BJ366:$BT366,,AH366+1)*AF366-ERP_i)*AE366*Ramure*Pc/MaxiM</f>
        <v>2.0127695056625313E-2</v>
      </c>
      <c r="AE366" s="301">
        <f t="shared" si="142"/>
        <v>0.5</v>
      </c>
      <c r="AF366" s="173">
        <f t="shared" si="143"/>
        <v>0.99378677101882973</v>
      </c>
      <c r="AG366" s="802">
        <f t="shared" si="149"/>
        <v>2</v>
      </c>
      <c r="AH366" s="172">
        <f t="shared" si="144"/>
        <v>8</v>
      </c>
      <c r="AI366" s="221">
        <f t="shared" si="145"/>
        <v>2.9937867710188297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46740</v>
      </c>
      <c r="B367" s="406">
        <f>'2026'!Wh/'2026'!Env_an*'2027'!Env_an</f>
        <v>13.986568801024829</v>
      </c>
      <c r="C367" s="832"/>
      <c r="D367" s="388">
        <f t="shared" si="127"/>
        <v>14.41775254621378</v>
      </c>
      <c r="E367" s="380">
        <f t="shared" si="150"/>
        <v>14.642604657063423</v>
      </c>
      <c r="F367" s="380">
        <f t="shared" si="128"/>
        <v>14.890730801118687</v>
      </c>
      <c r="G367" s="110">
        <f t="shared" si="151"/>
        <v>0.87418281028662703</v>
      </c>
      <c r="H367" s="409" t="b">
        <f>Wh_hp&gt;='2026'!Maxi_hp</f>
        <v>0</v>
      </c>
      <c r="I367" s="385">
        <f>IF(H367,Wh_hp,'2026'!Maxi_hp)</f>
        <v>14.936536539370893</v>
      </c>
      <c r="J367" s="85">
        <f>IF(H367,An,'2026'!An_max)</f>
        <v>2022</v>
      </c>
      <c r="K367" s="193">
        <f t="shared" si="129"/>
        <v>46740</v>
      </c>
      <c r="L367" s="143">
        <f>IF(t&lt;Tvie,1-EXP((T0-t)*PertePVj)+'2026'!Pspv,1-EXP((T0-t)*PertePVj)+Pspv)</f>
        <v>2.9906446501066108E-2</v>
      </c>
      <c r="M367" s="836"/>
      <c r="N367" s="836"/>
      <c r="O367" s="48">
        <f>IF(t&lt;Tnet,'2026'!Resal+('2026'!Salim-'2026'!Resal)*(1-EXP(('2026'!Tnet-t)/('2026'!Tau_j))),Resal+(Salim-Resal)*(1-EXP((Tnet-t)/(Tau_j))))*Salcycl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2.0203279883164074E-2</v>
      </c>
      <c r="Q367" s="301">
        <f t="shared" si="130"/>
        <v>0.5</v>
      </c>
      <c r="R367" s="173">
        <f t="shared" si="131"/>
        <v>0.99379463019279601</v>
      </c>
      <c r="S367" s="802">
        <f t="shared" si="132"/>
        <v>2</v>
      </c>
      <c r="T367" s="172">
        <f t="shared" si="133"/>
        <v>8</v>
      </c>
      <c r="U367" s="247">
        <f t="shared" si="134"/>
        <v>2.993794630192796</v>
      </c>
      <c r="V367" s="378">
        <f t="shared" si="135"/>
        <v>15.941991768058097</v>
      </c>
      <c r="W367" s="397">
        <f t="shared" si="136"/>
        <v>13.986568801024829</v>
      </c>
      <c r="X367" s="153">
        <f t="shared" si="137"/>
        <v>46740</v>
      </c>
      <c r="Y367" s="380">
        <f t="shared" si="138"/>
        <v>13.53895771494034</v>
      </c>
      <c r="Z367" s="380">
        <f t="shared" si="139"/>
        <v>13.956342319880408</v>
      </c>
      <c r="AA367" s="381">
        <f t="shared" si="140"/>
        <v>14.642604657063423</v>
      </c>
      <c r="AB367" s="193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4.6867504331066595E-2</v>
      </c>
      <c r="AD367" s="227">
        <f>(INDEX(Models!$BJ367:$BT367,,AH367)*(1-AF367)+INDEX(Models!$BJ367:$BT367,,AH367+1)*AF367-ERP_i)*AE367*Ramure*Pc/MaxiM</f>
        <v>2.0203279883164074E-2</v>
      </c>
      <c r="AE367" s="301">
        <f t="shared" si="142"/>
        <v>0.5</v>
      </c>
      <c r="AF367" s="173">
        <f t="shared" si="143"/>
        <v>0.99379463019279601</v>
      </c>
      <c r="AG367" s="802">
        <f t="shared" si="149"/>
        <v>2</v>
      </c>
      <c r="AH367" s="172">
        <f t="shared" si="144"/>
        <v>8</v>
      </c>
      <c r="AI367" s="221">
        <f t="shared" si="145"/>
        <v>2.993794630192796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46741</v>
      </c>
      <c r="B368" s="406">
        <f>'2026'!Wh/'2026'!Env_an*'2027'!Env_an</f>
        <v>4.222255139375962</v>
      </c>
      <c r="C368" s="832"/>
      <c r="D368" s="388">
        <f t="shared" si="127"/>
        <v>4.3524801541720626</v>
      </c>
      <c r="E368" s="380">
        <f t="shared" si="150"/>
        <v>4.4206174552486468</v>
      </c>
      <c r="F368" s="380">
        <f t="shared" si="128"/>
        <v>4.4206174552486468</v>
      </c>
      <c r="G368" s="110">
        <f t="shared" si="151"/>
        <v>0.26020531682615372</v>
      </c>
      <c r="H368" s="409" t="b">
        <f>Wh_hp&gt;='2026'!Maxi_hp</f>
        <v>0</v>
      </c>
      <c r="I368" s="385">
        <f>IF(H368,Wh_hp,'2026'!Maxi_hp)</f>
        <v>4.4982170424996788</v>
      </c>
      <c r="J368" s="85">
        <f>IF(H368,An,'2026'!An_max)</f>
        <v>2022</v>
      </c>
      <c r="K368" s="193">
        <f t="shared" si="129"/>
        <v>46741</v>
      </c>
      <c r="L368" s="143">
        <f>IF(t&lt;Tvie,1-EXP((T0-t)*PertePVj)+'2026'!Pspv,1-EXP((T0-t)*PertePVj)+Pspv)</f>
        <v>2.9919726267166102E-2</v>
      </c>
      <c r="M368" s="836"/>
      <c r="N368" s="836"/>
      <c r="O368" s="48">
        <f>IF(t&lt;Tnet,'2026'!Resal+('2026'!Salim-'2026'!Resal)*(1-EXP(('2026'!Tnet-t)/('2026'!Tau_j))),Resal+(Salim-Resal)*(1-EXP((Tnet-t)/(Tau_j))))*Salcycl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2.0253392487641412E-2</v>
      </c>
      <c r="Q368" s="301">
        <f t="shared" si="130"/>
        <v>0.5</v>
      </c>
      <c r="R368" s="173">
        <f t="shared" si="131"/>
        <v>0.99380217316563435</v>
      </c>
      <c r="S368" s="802">
        <f t="shared" si="132"/>
        <v>2</v>
      </c>
      <c r="T368" s="172">
        <f t="shared" si="133"/>
        <v>8</v>
      </c>
      <c r="U368" s="247">
        <f t="shared" si="134"/>
        <v>2.9938021731656344</v>
      </c>
      <c r="V368" s="378">
        <f t="shared" si="135"/>
        <v>15.89798471189205</v>
      </c>
      <c r="W368" s="397">
        <f t="shared" si="136"/>
        <v>4.222255139375962</v>
      </c>
      <c r="X368" s="153">
        <f t="shared" si="137"/>
        <v>46741</v>
      </c>
      <c r="Y368" s="380">
        <f t="shared" si="138"/>
        <v>4.087260177581455</v>
      </c>
      <c r="Z368" s="380">
        <f t="shared" si="139"/>
        <v>4.2133216067303643</v>
      </c>
      <c r="AA368" s="381">
        <f t="shared" si="140"/>
        <v>4.4206174552486468</v>
      </c>
      <c r="AB368" s="193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4.6892962491508379E-2</v>
      </c>
      <c r="AD368" s="227">
        <f>(INDEX(Models!$BJ368:$BT368,,AH368)*(1-AF368)+INDEX(Models!$BJ368:$BT368,,AH368+1)*AF368-ERP_i)*AE368*Ramure*Pc/MaxiM</f>
        <v>2.0253392487641412E-2</v>
      </c>
      <c r="AE368" s="301">
        <f t="shared" si="142"/>
        <v>0.5</v>
      </c>
      <c r="AF368" s="173">
        <f t="shared" si="143"/>
        <v>0.99380217316563435</v>
      </c>
      <c r="AG368" s="802">
        <f t="shared" si="149"/>
        <v>2</v>
      </c>
      <c r="AH368" s="172">
        <f t="shared" si="144"/>
        <v>8</v>
      </c>
      <c r="AI368" s="221">
        <f t="shared" si="145"/>
        <v>2.9938021731656344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46742</v>
      </c>
      <c r="B369" s="406">
        <f>'2026'!Wh/'2026'!Env_an*'2027'!Env_an</f>
        <v>14.972827230685677</v>
      </c>
      <c r="C369" s="832"/>
      <c r="D369" s="388">
        <f t="shared" si="127"/>
        <v>15.434838336941965</v>
      </c>
      <c r="E369" s="380">
        <f t="shared" si="150"/>
        <v>15.677384568671538</v>
      </c>
      <c r="F369" s="380">
        <f t="shared" si="128"/>
        <v>15.975151453613316</v>
      </c>
      <c r="G369" s="110">
        <f t="shared" si="151"/>
        <v>0.9419159560476128</v>
      </c>
      <c r="H369" s="409" t="b">
        <f>Wh_hp&gt;='2026'!Maxi_hp</f>
        <v>0</v>
      </c>
      <c r="I369" s="385">
        <f>IF(H369,Wh_hp,'2026'!Maxi_hp)</f>
        <v>15.99787926279242</v>
      </c>
      <c r="J369" s="85">
        <f>IF(H369,An,'2026'!An_max)</f>
        <v>2022</v>
      </c>
      <c r="K369" s="193">
        <f t="shared" si="129"/>
        <v>46742</v>
      </c>
      <c r="L369" s="143">
        <f>IF(t&lt;Tvie,1-EXP((T0-t)*PertePVj)+'2026'!Pspv,1-EXP((T0-t)*PertePVj)+Pspv)</f>
        <v>2.9933005851477179E-2</v>
      </c>
      <c r="M369" s="836"/>
      <c r="N369" s="836"/>
      <c r="O369" s="48">
        <f>IF(t&lt;Tnet,'2026'!Resal+('2026'!Salim-'2026'!Resal)*(1-EXP(('2026'!Tnet-t)/('2026'!Tau_j))),Resal+(Salim-Resal)*(1-EXP((Tnet-t)/(Tau_j))))*Salcycl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2.0276261001391582E-2</v>
      </c>
      <c r="Q369" s="301">
        <f t="shared" si="130"/>
        <v>0.5</v>
      </c>
      <c r="R369" s="173">
        <f t="shared" si="131"/>
        <v>0.99380941265022127</v>
      </c>
      <c r="S369" s="802">
        <f t="shared" si="132"/>
        <v>2</v>
      </c>
      <c r="T369" s="172">
        <f t="shared" si="133"/>
        <v>8</v>
      </c>
      <c r="U369" s="247">
        <f t="shared" si="134"/>
        <v>2.9938094126502213</v>
      </c>
      <c r="V369" s="378">
        <f t="shared" si="135"/>
        <v>15.869624951057361</v>
      </c>
      <c r="W369" s="397">
        <f t="shared" si="136"/>
        <v>14.972827230685677</v>
      </c>
      <c r="X369" s="153">
        <f t="shared" si="137"/>
        <v>46742</v>
      </c>
      <c r="Y369" s="380">
        <f t="shared" si="138"/>
        <v>14.494567478884541</v>
      </c>
      <c r="Z369" s="380">
        <f t="shared" si="139"/>
        <v>14.941821097219332</v>
      </c>
      <c r="AA369" s="381">
        <f t="shared" si="140"/>
        <v>15.677384568671538</v>
      </c>
      <c r="AB369" s="193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4.6918761750738634E-2</v>
      </c>
      <c r="AD369" s="227">
        <f>(INDEX(Models!$BJ369:$BT369,,AH369)*(1-AF369)+INDEX(Models!$BJ369:$BT369,,AH369+1)*AF369-ERP_i)*AE369*Ramure*Pc/MaxiM</f>
        <v>2.0276261001391582E-2</v>
      </c>
      <c r="AE369" s="301">
        <f t="shared" si="142"/>
        <v>0.5</v>
      </c>
      <c r="AF369" s="173">
        <f t="shared" si="143"/>
        <v>0.99380941265022127</v>
      </c>
      <c r="AG369" s="802">
        <f t="shared" si="149"/>
        <v>2</v>
      </c>
      <c r="AH369" s="172">
        <f t="shared" si="144"/>
        <v>8</v>
      </c>
      <c r="AI369" s="221">
        <f t="shared" si="145"/>
        <v>2.9938094126502213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46743</v>
      </c>
      <c r="B370" s="406">
        <f>'2026'!Wh/'2026'!Env_an*'2027'!Env_an</f>
        <v>14.905086444989353</v>
      </c>
      <c r="C370" s="832"/>
      <c r="D370" s="388">
        <f t="shared" si="127"/>
        <v>15.365217635285431</v>
      </c>
      <c r="E370" s="380">
        <f t="shared" si="150"/>
        <v>15.607583181606286</v>
      </c>
      <c r="F370" s="380">
        <f t="shared" si="128"/>
        <v>15.902254908267018</v>
      </c>
      <c r="G370" s="110">
        <f t="shared" si="151"/>
        <v>0.93824361561498104</v>
      </c>
      <c r="H370" s="409" t="b">
        <f>Wh_hp&gt;='2026'!Maxi_hp</f>
        <v>0</v>
      </c>
      <c r="I370" s="385">
        <f>IF(H370,Wh_hp,'2026'!Maxi_hp)</f>
        <v>15.926304409611507</v>
      </c>
      <c r="J370" s="85">
        <f>IF(H370,An,'2026'!An_max)</f>
        <v>2022</v>
      </c>
      <c r="K370" s="193">
        <f t="shared" si="129"/>
        <v>46743</v>
      </c>
      <c r="L370" s="143">
        <f>IF(t&lt;Tvie,1-EXP((T0-t)*PertePVj)+'2026'!Pspv,1-EXP((T0-t)*PertePVj)+Pspv)</f>
        <v>2.9946285254001892E-2</v>
      </c>
      <c r="M370" s="836"/>
      <c r="N370" s="836"/>
      <c r="O370" s="48">
        <f>IF(t&lt;Tnet,'2026'!Resal+('2026'!Salim-'2026'!Resal)*(1-EXP(('2026'!Tnet-t)/('2026'!Tau_j))),Resal+(Salim-Resal)*(1-EXP((Tnet-t)/(Tau_j))))*Salcycl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2.0270240766194814E-2</v>
      </c>
      <c r="Q370" s="301">
        <f t="shared" si="130"/>
        <v>0.5</v>
      </c>
      <c r="R370" s="173">
        <f t="shared" si="131"/>
        <v>0.99381636084901848</v>
      </c>
      <c r="S370" s="802">
        <f t="shared" si="132"/>
        <v>2</v>
      </c>
      <c r="T370" s="172">
        <f t="shared" si="133"/>
        <v>8</v>
      </c>
      <c r="U370" s="247">
        <f t="shared" si="134"/>
        <v>2.9938163608490185</v>
      </c>
      <c r="V370" s="378">
        <f t="shared" si="135"/>
        <v>15.857993436240761</v>
      </c>
      <c r="W370" s="397">
        <f t="shared" si="136"/>
        <v>14.905086444989353</v>
      </c>
      <c r="X370" s="153">
        <f t="shared" si="137"/>
        <v>46743</v>
      </c>
      <c r="Y370" s="380">
        <f t="shared" si="138"/>
        <v>14.429439525768986</v>
      </c>
      <c r="Z370" s="380">
        <f t="shared" si="139"/>
        <v>14.874887139159336</v>
      </c>
      <c r="AA370" s="381">
        <f t="shared" si="140"/>
        <v>15.607583181606286</v>
      </c>
      <c r="AB370" s="193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4.6944875059864603E-2</v>
      </c>
      <c r="AD370" s="227">
        <f>(INDEX(Models!$BJ370:$BT370,,AH370)*(1-AF370)+INDEX(Models!$BJ370:$BT370,,AH370+1)*AF370-ERP_i)*AE370*Ramure*Pc/MaxiM</f>
        <v>2.0270240766194814E-2</v>
      </c>
      <c r="AE370" s="301">
        <f t="shared" si="142"/>
        <v>0.5</v>
      </c>
      <c r="AF370" s="173">
        <f t="shared" si="143"/>
        <v>0.99381636084901848</v>
      </c>
      <c r="AG370" s="802">
        <f t="shared" si="149"/>
        <v>2</v>
      </c>
      <c r="AH370" s="172">
        <f t="shared" si="144"/>
        <v>8</v>
      </c>
      <c r="AI370" s="221">
        <f t="shared" si="145"/>
        <v>2.9938163608490185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46744</v>
      </c>
      <c r="B371" s="406">
        <f>'2026'!Wh/'2026'!Env_an*'2027'!Env_an</f>
        <v>14.624974359073748</v>
      </c>
      <c r="C371" s="832"/>
      <c r="D371" s="388">
        <f t="shared" si="127"/>
        <v>15.076664666204994</v>
      </c>
      <c r="E371" s="380">
        <f t="shared" si="150"/>
        <v>15.315375635722177</v>
      </c>
      <c r="F371" s="380">
        <f t="shared" si="128"/>
        <v>15.595723181870085</v>
      </c>
      <c r="G371" s="110">
        <f t="shared" si="151"/>
        <v>0.91976743683455719</v>
      </c>
      <c r="H371" s="409" t="b">
        <f>Wh_hp&gt;='2026'!Maxi_hp</f>
        <v>0</v>
      </c>
      <c r="I371" s="385">
        <f>IF(H371,Wh_hp,'2026'!Maxi_hp)</f>
        <v>15.626325591893499</v>
      </c>
      <c r="J371" s="85">
        <f>IF(H371,An,'2026'!An_max)</f>
        <v>2022</v>
      </c>
      <c r="K371" s="193">
        <f t="shared" si="129"/>
        <v>46744</v>
      </c>
      <c r="L371" s="143">
        <f>IF(t&lt;Tvie,1-EXP((T0-t)*PertePVj)+'2026'!Pspv,1-EXP((T0-t)*PertePVj)+Pspv)</f>
        <v>2.9959564474742795E-2</v>
      </c>
      <c r="M371" s="836"/>
      <c r="N371" s="836"/>
      <c r="O371" s="48">
        <f>IF(t&lt;Tnet,'2026'!Resal+('2026'!Salim-'2026'!Resal)*(1-EXP(('2026'!Tnet-t)/('2026'!Tau_j))),Resal+(Salim-Resal)*(1-EXP((Tnet-t)/(Tau_j))))*Salcycl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2.0233814403217577E-2</v>
      </c>
      <c r="Q371" s="301">
        <f t="shared" si="130"/>
        <v>0.5</v>
      </c>
      <c r="R371" s="173">
        <f t="shared" si="131"/>
        <v>0.99381636084901848</v>
      </c>
      <c r="S371" s="802">
        <f t="shared" si="132"/>
        <v>2</v>
      </c>
      <c r="T371" s="172">
        <f t="shared" si="133"/>
        <v>8</v>
      </c>
      <c r="U371" s="247">
        <f t="shared" si="134"/>
        <v>2.9938163608490185</v>
      </c>
      <c r="V371" s="378">
        <f t="shared" si="135"/>
        <v>15.864171460240858</v>
      </c>
      <c r="W371" s="397">
        <f t="shared" si="136"/>
        <v>14.624974359073748</v>
      </c>
      <c r="X371" s="153">
        <f t="shared" si="137"/>
        <v>46744</v>
      </c>
      <c r="Y371" s="380">
        <f t="shared" si="138"/>
        <v>14.158703307318875</v>
      </c>
      <c r="Z371" s="380">
        <f t="shared" si="139"/>
        <v>14.595992897607639</v>
      </c>
      <c r="AA371" s="381">
        <f t="shared" si="140"/>
        <v>15.315375635722177</v>
      </c>
      <c r="AB371" s="193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4.6971276136160922E-2</v>
      </c>
      <c r="AD371" s="227">
        <f>(INDEX(Models!$BJ371:$BT371,,AH371)*(1-AF371)+INDEX(Models!$BJ371:$BT371,,AH371+1)*AF371-ERP_i)*AE371*Ramure*Pc/MaxiM</f>
        <v>2.0233814403217577E-2</v>
      </c>
      <c r="AE371" s="301">
        <f t="shared" si="142"/>
        <v>0.5</v>
      </c>
      <c r="AF371" s="173">
        <f t="shared" si="143"/>
        <v>0.99381636084901848</v>
      </c>
      <c r="AG371" s="802">
        <f t="shared" si="149"/>
        <v>2</v>
      </c>
      <c r="AH371" s="172">
        <f t="shared" si="144"/>
        <v>8</v>
      </c>
      <c r="AI371" s="221">
        <f t="shared" si="145"/>
        <v>2.9938163608490185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46745</v>
      </c>
      <c r="B372" s="406">
        <f>'2026'!Wh/'2026'!Env_an*'2027'!Env_an</f>
        <v>15.823957209940193</v>
      </c>
      <c r="C372" s="832"/>
      <c r="D372" s="388">
        <f t="shared" si="127"/>
        <v>16.312901246248479</v>
      </c>
      <c r="E372" s="380">
        <f t="shared" si="150"/>
        <v>16.572156926787081</v>
      </c>
      <c r="F372" s="380">
        <f t="shared" si="128"/>
        <v>16.911181422989724</v>
      </c>
      <c r="G372" s="110">
        <f t="shared" si="151"/>
        <v>0.99577114872026962</v>
      </c>
      <c r="H372" s="409" t="b">
        <f>Wh_hp&gt;='2026'!Maxi_hp</f>
        <v>0</v>
      </c>
      <c r="I372" s="385">
        <f>IF(H372,Wh_hp,'2026'!Maxi_hp)</f>
        <v>16.912921484564905</v>
      </c>
      <c r="J372" s="85">
        <f>IF(H372,An,'2026'!An_max)</f>
        <v>2022</v>
      </c>
      <c r="K372" s="193">
        <f t="shared" si="129"/>
        <v>46745</v>
      </c>
      <c r="L372" s="143">
        <f>IF(t&lt;Tvie,1-EXP((T0-t)*PertePVj)+'2026'!Pspv,1-EXP((T0-t)*PertePVj)+Pspv)</f>
        <v>2.997284351370233E-2</v>
      </c>
      <c r="M372" s="836"/>
      <c r="N372" s="836"/>
      <c r="O372" s="48">
        <f>IF(t&lt;Tnet,'2026'!Resal+('2026'!Salim-'2026'!Resal)*(1-EXP(('2026'!Tnet-t)/('2026'!Tau_j))),Resal+(Salim-Resal)*(1-EXP((Tnet-t)/(Tau_j))))*Salcycl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2.0165717547853932E-2</v>
      </c>
      <c r="Q372" s="301">
        <f t="shared" si="130"/>
        <v>0.5</v>
      </c>
      <c r="R372" s="173">
        <f t="shared" si="131"/>
        <v>0.99381636084901848</v>
      </c>
      <c r="S372" s="802">
        <f t="shared" si="132"/>
        <v>2</v>
      </c>
      <c r="T372" s="172">
        <f t="shared" si="133"/>
        <v>8</v>
      </c>
      <c r="U372" s="247">
        <f t="shared" si="134"/>
        <v>2.9938163608490185</v>
      </c>
      <c r="V372" s="378">
        <f t="shared" si="135"/>
        <v>15.889239196441583</v>
      </c>
      <c r="W372" s="397">
        <f t="shared" si="136"/>
        <v>15.823957209940193</v>
      </c>
      <c r="X372" s="153">
        <f t="shared" si="137"/>
        <v>46745</v>
      </c>
      <c r="Y372" s="380">
        <f t="shared" si="138"/>
        <v>15.319929596275562</v>
      </c>
      <c r="Z372" s="380">
        <f t="shared" si="139"/>
        <v>15.793299696648202</v>
      </c>
      <c r="AA372" s="381">
        <f t="shared" si="140"/>
        <v>16.572156926787081</v>
      </c>
      <c r="AB372" s="193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4.6997939591070459E-2</v>
      </c>
      <c r="AD372" s="227">
        <f>(INDEX(Models!$BJ372:$BT372,,AH372)*(1-AF372)+INDEX(Models!$BJ372:$BT372,,AH372+1)*AF372-ERP_i)*AE372*Ramure*Pc/MaxiM</f>
        <v>2.0165717547853932E-2</v>
      </c>
      <c r="AE372" s="301">
        <f t="shared" si="142"/>
        <v>0.5</v>
      </c>
      <c r="AF372" s="173">
        <f t="shared" si="143"/>
        <v>0.99381636084901848</v>
      </c>
      <c r="AG372" s="802">
        <f t="shared" si="149"/>
        <v>2</v>
      </c>
      <c r="AH372" s="172">
        <f t="shared" si="144"/>
        <v>8</v>
      </c>
      <c r="AI372" s="221">
        <f t="shared" si="145"/>
        <v>2.9938163608490185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46746</v>
      </c>
      <c r="B373" s="406">
        <f>'2026'!Wh/'2026'!Env_an*'2027'!Env_an</f>
        <v>8.7753363652290002</v>
      </c>
      <c r="C373" s="832"/>
      <c r="D373" s="388">
        <f t="shared" si="127"/>
        <v>9.0466090925188123</v>
      </c>
      <c r="E373" s="380">
        <f t="shared" si="150"/>
        <v>9.1909228519827888</v>
      </c>
      <c r="F373" s="380">
        <f t="shared" si="128"/>
        <v>9.2574396601448488</v>
      </c>
      <c r="G373" s="110">
        <f t="shared" si="151"/>
        <v>0.54354263535110903</v>
      </c>
      <c r="H373" s="409" t="b">
        <f>Wh_hp&gt;='2026'!Maxi_hp</f>
        <v>0</v>
      </c>
      <c r="I373" s="385">
        <f>IF(H373,Wh_hp,'2026'!Maxi_hp)</f>
        <v>9.3608811966692667</v>
      </c>
      <c r="J373" s="85">
        <f>IF(H373,An,'2026'!An_max)</f>
        <v>2022</v>
      </c>
      <c r="K373" s="193">
        <f t="shared" si="129"/>
        <v>46746</v>
      </c>
      <c r="L373" s="143">
        <f>IF(t&lt;Tvie,1-EXP((T0-t)*PertePVj)+'2026'!Pspv,1-EXP((T0-t)*PertePVj)+Pspv)</f>
        <v>2.9986122370882939E-2</v>
      </c>
      <c r="M373" s="836"/>
      <c r="N373" s="836"/>
      <c r="O373" s="48">
        <f>IF(t&lt;Tnet,'2026'!Resal+('2026'!Salim-'2026'!Resal)*(1-EXP(('2026'!Tnet-t)/('2026'!Tau_j))),Resal+(Salim-Resal)*(1-EXP((Tnet-t)/(Tau_j))))*Salcycl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2.0063590434374726E-2</v>
      </c>
      <c r="Q373" s="301">
        <f t="shared" si="130"/>
        <v>0.5</v>
      </c>
      <c r="R373" s="173">
        <f t="shared" si="131"/>
        <v>0.99381636084901848</v>
      </c>
      <c r="S373" s="802">
        <f t="shared" si="132"/>
        <v>2</v>
      </c>
      <c r="T373" s="172">
        <f t="shared" si="133"/>
        <v>8</v>
      </c>
      <c r="U373" s="247">
        <f t="shared" si="134"/>
        <v>2.9938163608490185</v>
      </c>
      <c r="V373" s="378">
        <f t="shared" si="135"/>
        <v>15.935284447106026</v>
      </c>
      <c r="W373" s="397">
        <f t="shared" si="136"/>
        <v>8.7753363652290002</v>
      </c>
      <c r="X373" s="153">
        <f t="shared" si="137"/>
        <v>46746</v>
      </c>
      <c r="Y373" s="380">
        <f t="shared" si="138"/>
        <v>8.4960810811108303</v>
      </c>
      <c r="Z373" s="380">
        <f t="shared" si="139"/>
        <v>8.7587211658009814</v>
      </c>
      <c r="AA373" s="381">
        <f t="shared" si="140"/>
        <v>9.1909228519827888</v>
      </c>
      <c r="AB373" s="193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4.7024841046138015E-2</v>
      </c>
      <c r="AD373" s="227">
        <f>(INDEX(Models!$BJ373:$BT373,,AH373)*(1-AF373)+INDEX(Models!$BJ373:$BT373,,AH373+1)*AF373-ERP_i)*AE373*Ramure*Pc/MaxiM</f>
        <v>2.0063590434374726E-2</v>
      </c>
      <c r="AE373" s="301">
        <f t="shared" si="142"/>
        <v>0.5</v>
      </c>
      <c r="AF373" s="173">
        <f t="shared" si="143"/>
        <v>0.99381636084901848</v>
      </c>
      <c r="AG373" s="802">
        <f t="shared" si="149"/>
        <v>2</v>
      </c>
      <c r="AH373" s="172">
        <f t="shared" si="144"/>
        <v>8</v>
      </c>
      <c r="AI373" s="221">
        <f t="shared" si="145"/>
        <v>2.9938163608490185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46747</v>
      </c>
      <c r="B374" s="406">
        <f>'2026'!Wh/'2026'!Env_an*'2027'!Env_an</f>
        <v>14.666147500810956</v>
      </c>
      <c r="C374" s="832"/>
      <c r="D374" s="388">
        <f t="shared" si="127"/>
        <v>15.119730355456001</v>
      </c>
      <c r="E374" s="380">
        <f t="shared" si="150"/>
        <v>15.36182518526922</v>
      </c>
      <c r="F374" s="380">
        <f t="shared" si="128"/>
        <v>15.636242209924493</v>
      </c>
      <c r="G374" s="110">
        <f t="shared" si="151"/>
        <v>0.91426672871717307</v>
      </c>
      <c r="H374" s="409" t="b">
        <f>Wh_hp&gt;='2026'!Maxi_hp</f>
        <v>0</v>
      </c>
      <c r="I374" s="385">
        <f>IF(H374,Wh_hp,'2026'!Maxi_hp)</f>
        <v>15.668548082708286</v>
      </c>
      <c r="J374" s="85">
        <f>IF(H374,An,'2026'!An_max)</f>
        <v>2022</v>
      </c>
      <c r="K374" s="193">
        <f t="shared" si="129"/>
        <v>46747</v>
      </c>
      <c r="L374" s="143">
        <f>IF(t&lt;Tvie,1-EXP((T0-t)*PertePVj)+'2026'!Pspv,1-EXP((T0-t)*PertePVj)+Pspv)</f>
        <v>2.9999401046287066E-2</v>
      </c>
      <c r="M374" s="836"/>
      <c r="N374" s="836"/>
      <c r="O374" s="48">
        <f>IF(t&lt;Tnet,'2026'!Resal+('2026'!Salim-'2026'!Resal)*(1-EXP(('2026'!Tnet-t)/('2026'!Tau_j))),Resal+(Salim-Resal)*(1-EXP((Tnet-t)/(Tau_j))))*Salcycl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1.9927575578415343E-2</v>
      </c>
      <c r="Q374" s="301">
        <f t="shared" si="130"/>
        <v>0.5</v>
      </c>
      <c r="R374" s="173">
        <f t="shared" si="131"/>
        <v>0.99381636084901848</v>
      </c>
      <c r="S374" s="802">
        <f t="shared" si="132"/>
        <v>2</v>
      </c>
      <c r="T374" s="172">
        <f t="shared" si="133"/>
        <v>8</v>
      </c>
      <c r="U374" s="247">
        <f t="shared" si="134"/>
        <v>2.9938163608490185</v>
      </c>
      <c r="V374" s="378">
        <f t="shared" si="135"/>
        <v>16.002611925490061</v>
      </c>
      <c r="W374" s="397">
        <f t="shared" si="136"/>
        <v>14.666147500810956</v>
      </c>
      <c r="X374" s="153">
        <f t="shared" si="137"/>
        <v>46747</v>
      </c>
      <c r="Y374" s="380">
        <f t="shared" si="138"/>
        <v>14.199859374369803</v>
      </c>
      <c r="Z374" s="380">
        <f t="shared" si="139"/>
        <v>14.639021243581109</v>
      </c>
      <c r="AA374" s="381">
        <f t="shared" si="140"/>
        <v>15.36182518526922</v>
      </c>
      <c r="AB374" s="193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4.7051957236254834E-2</v>
      </c>
      <c r="AD374" s="227">
        <f>(INDEX(Models!$BJ374:$BT374,,AH374)*(1-AF374)+INDEX(Models!$BJ374:$BT374,,AH374+1)*AF374-ERP_i)*AE374*Ramure*Pc/MaxiM</f>
        <v>1.9927575578415343E-2</v>
      </c>
      <c r="AE374" s="301">
        <f t="shared" si="142"/>
        <v>0.5</v>
      </c>
      <c r="AF374" s="173">
        <f t="shared" si="143"/>
        <v>0.99381636084901848</v>
      </c>
      <c r="AG374" s="802">
        <f t="shared" si="149"/>
        <v>2</v>
      </c>
      <c r="AH374" s="172">
        <f t="shared" si="144"/>
        <v>8</v>
      </c>
      <c r="AI374" s="221">
        <f t="shared" si="145"/>
        <v>2.9938163608490185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46748</v>
      </c>
      <c r="B375" s="406">
        <f>'2026'!Wh/'2026'!Env_an*'2027'!Env_an</f>
        <v>6.3124381340569817</v>
      </c>
      <c r="C375" s="832"/>
      <c r="D375" s="388">
        <f t="shared" si="127"/>
        <v>6.5077532467773676</v>
      </c>
      <c r="E375" s="380">
        <f t="shared" si="150"/>
        <v>6.6123424038038445</v>
      </c>
      <c r="F375" s="380">
        <f t="shared" si="128"/>
        <v>6.6296266671729578</v>
      </c>
      <c r="G375" s="110">
        <f t="shared" si="151"/>
        <v>0.38558231543679622</v>
      </c>
      <c r="H375" s="409" t="b">
        <f>Wh_hp&gt;='2026'!Maxi_hp</f>
        <v>0</v>
      </c>
      <c r="I375" s="385">
        <f>IF(H375,Wh_hp,'2026'!Maxi_hp)</f>
        <v>6.728249126275637</v>
      </c>
      <c r="J375" s="85">
        <f>IF(H375,An,'2026'!An_max)</f>
        <v>2022</v>
      </c>
      <c r="K375" s="193">
        <f t="shared" si="129"/>
        <v>46748</v>
      </c>
      <c r="L375" s="143">
        <f>IF(t&lt;Tvie,1-EXP((T0-t)*PertePVj)+'2026'!Pspv,1-EXP((T0-t)*PertePVj)+Pspv)</f>
        <v>3.0012679539917375E-2</v>
      </c>
      <c r="M375" s="836"/>
      <c r="N375" s="836"/>
      <c r="O375" s="48">
        <f>IF(t&lt;Tnet,'2026'!Resal+('2026'!Salim-'2026'!Resal)*(1-EXP(('2026'!Tnet-t)/('2026'!Tau_j))),Resal+(Salim-Resal)*(1-EXP((Tnet-t)/(Tau_j))))*Salcycl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1.9765553263321512E-2</v>
      </c>
      <c r="Q375" s="301">
        <f t="shared" si="130"/>
        <v>0.5</v>
      </c>
      <c r="R375" s="173">
        <f t="shared" si="131"/>
        <v>0.99381636084901848</v>
      </c>
      <c r="S375" s="802">
        <f t="shared" si="132"/>
        <v>2</v>
      </c>
      <c r="T375" s="172">
        <f t="shared" si="133"/>
        <v>8</v>
      </c>
      <c r="U375" s="247">
        <f t="shared" si="134"/>
        <v>2.9938163608490185</v>
      </c>
      <c r="V375" s="378">
        <f t="shared" si="135"/>
        <v>16.089543651447148</v>
      </c>
      <c r="W375" s="397">
        <f t="shared" si="136"/>
        <v>6.3124381340569817</v>
      </c>
      <c r="X375" s="153">
        <f t="shared" si="137"/>
        <v>46748</v>
      </c>
      <c r="Y375" s="380">
        <f t="shared" si="138"/>
        <v>6.1119271366806771</v>
      </c>
      <c r="Z375" s="380">
        <f t="shared" si="139"/>
        <v>6.3010381762327352</v>
      </c>
      <c r="AA375" s="381">
        <f t="shared" si="140"/>
        <v>6.6123424038038445</v>
      </c>
      <c r="AB375" s="193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4.7079266099714918E-2</v>
      </c>
      <c r="AD375" s="227">
        <f>(INDEX(Models!$BJ375:$BT375,,AH375)*(1-AF375)+INDEX(Models!$BJ375:$BT375,,AH375+1)*AF375-ERP_i)*AE375*Ramure*Pc/MaxiM</f>
        <v>1.9765553263321512E-2</v>
      </c>
      <c r="AE375" s="301">
        <f t="shared" si="142"/>
        <v>0.5</v>
      </c>
      <c r="AF375" s="173">
        <f t="shared" si="143"/>
        <v>0.99381636084901848</v>
      </c>
      <c r="AG375" s="802">
        <f t="shared" si="149"/>
        <v>2</v>
      </c>
      <c r="AH375" s="172">
        <f t="shared" si="144"/>
        <v>8</v>
      </c>
      <c r="AI375" s="221">
        <f t="shared" si="145"/>
        <v>2.9938163608490185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46749</v>
      </c>
      <c r="B376" s="406">
        <f>'2026'!Wh/'2026'!Env_an*'2027'!Env_an</f>
        <v>12.930569820087801</v>
      </c>
      <c r="C376" s="832"/>
      <c r="D376" s="388">
        <f t="shared" si="127"/>
        <v>13.330841092871074</v>
      </c>
      <c r="E376" s="380">
        <f t="shared" si="150"/>
        <v>13.545882295865448</v>
      </c>
      <c r="F376" s="380">
        <f t="shared" si="128"/>
        <v>13.737471434565743</v>
      </c>
      <c r="G376" s="110">
        <f t="shared" si="151"/>
        <v>0.79389309724927559</v>
      </c>
      <c r="H376" s="409" t="b">
        <f>Wh_hp&gt;='2026'!Maxi_hp</f>
        <v>0</v>
      </c>
      <c r="I376" s="385">
        <f>IF(H376,Wh_hp,'2026'!Maxi_hp)</f>
        <v>13.804733458354512</v>
      </c>
      <c r="J376" s="85">
        <f>IF(H376,An,'2026'!An_max)</f>
        <v>2022</v>
      </c>
      <c r="K376" s="193">
        <f t="shared" si="129"/>
        <v>46749</v>
      </c>
      <c r="L376" s="143">
        <f>IF(t&lt;Tvie,1-EXP((T0-t)*PertePVj)+'2026'!Pspv,1-EXP((T0-t)*PertePVj)+Pspv)</f>
        <v>3.0025957851776197E-2</v>
      </c>
      <c r="M376" s="836"/>
      <c r="N376" s="836"/>
      <c r="O376" s="48">
        <f>IF(t&lt;Tnet,'2026'!Resal+('2026'!Salim-'2026'!Resal)*(1-EXP(('2026'!Tnet-t)/('2026'!Tau_j))),Resal+(Salim-Resal)*(1-EXP((Tnet-t)/(Tau_j))))*Salcycl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1.9585401132814553E-2</v>
      </c>
      <c r="Q376" s="301">
        <f t="shared" si="130"/>
        <v>0.5</v>
      </c>
      <c r="R376" s="173">
        <f t="shared" si="131"/>
        <v>0.99381636084901848</v>
      </c>
      <c r="S376" s="802">
        <f t="shared" si="132"/>
        <v>2</v>
      </c>
      <c r="T376" s="172">
        <f t="shared" si="133"/>
        <v>8</v>
      </c>
      <c r="U376" s="247">
        <f t="shared" si="134"/>
        <v>2.9938163608490185</v>
      </c>
      <c r="V376" s="378">
        <f t="shared" si="135"/>
        <v>16.19440186371768</v>
      </c>
      <c r="W376" s="397">
        <f t="shared" si="136"/>
        <v>12.930569820087801</v>
      </c>
      <c r="X376" s="153">
        <f t="shared" si="137"/>
        <v>46749</v>
      </c>
      <c r="Y376" s="380">
        <f t="shared" si="138"/>
        <v>12.520211393965463</v>
      </c>
      <c r="Z376" s="380">
        <f t="shared" si="139"/>
        <v>12.907779847630421</v>
      </c>
      <c r="AA376" s="381">
        <f t="shared" si="140"/>
        <v>13.545882295865448</v>
      </c>
      <c r="AB376" s="193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4.7106746854709704E-2</v>
      </c>
      <c r="AD376" s="227">
        <f>(INDEX(Models!$BJ376:$BT376,,AH376)*(1-AF376)+INDEX(Models!$BJ376:$BT376,,AH376+1)*AF376-ERP_i)*AE376*Ramure*Pc/MaxiM</f>
        <v>1.9585401132814553E-2</v>
      </c>
      <c r="AE376" s="301">
        <f t="shared" si="142"/>
        <v>0.5</v>
      </c>
      <c r="AF376" s="173">
        <f t="shared" si="143"/>
        <v>0.99381636084901848</v>
      </c>
      <c r="AG376" s="802">
        <f t="shared" si="149"/>
        <v>2</v>
      </c>
      <c r="AH376" s="172">
        <f t="shared" si="144"/>
        <v>8</v>
      </c>
      <c r="AI376" s="221">
        <f t="shared" si="145"/>
        <v>2.9938163608490185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46750</v>
      </c>
      <c r="B377" s="406">
        <f>'2026'!Wh/'2026'!Env_an*'2027'!Env_an</f>
        <v>9.8533832218122477</v>
      </c>
      <c r="C377" s="832"/>
      <c r="D377" s="388">
        <f t="shared" si="127"/>
        <v>10.158537940229543</v>
      </c>
      <c r="E377" s="380">
        <f t="shared" si="150"/>
        <v>10.323012292504757</v>
      </c>
      <c r="F377" s="380">
        <f t="shared" si="128"/>
        <v>10.410655320834133</v>
      </c>
      <c r="G377" s="110">
        <f t="shared" si="151"/>
        <v>0.59724225197587499</v>
      </c>
      <c r="H377" s="409" t="b">
        <f>Wh_hp&gt;='2026'!Maxi_hp</f>
        <v>0</v>
      </c>
      <c r="I377" s="385">
        <f>IF(H377,Wh_hp,'2026'!Maxi_hp)</f>
        <v>10.509716295214137</v>
      </c>
      <c r="J377" s="85">
        <f>IF(H377,An,'2026'!An_max)</f>
        <v>2022</v>
      </c>
      <c r="K377" s="193">
        <f t="shared" si="129"/>
        <v>46750</v>
      </c>
      <c r="L377" s="143">
        <f>IF(t&lt;Tvie,1-EXP((T0-t)*PertePVj)+'2026'!Pspv,1-EXP((T0-t)*PertePVj)+Pspv)</f>
        <v>3.0039235981866086E-2</v>
      </c>
      <c r="M377" s="836"/>
      <c r="N377" s="836"/>
      <c r="O377" s="48">
        <f>IF(t&lt;Tnet,'2026'!Resal+('2026'!Salim-'2026'!Resal)*(1-EXP(('2026'!Tnet-t)/('2026'!Tau_j))),Resal+(Salim-Resal)*(1-EXP((Tnet-t)/(Tau_j))))*Salcycl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1.9389740404734429E-2</v>
      </c>
      <c r="Q377" s="301">
        <f t="shared" si="130"/>
        <v>0.5</v>
      </c>
      <c r="R377" s="173">
        <f t="shared" si="131"/>
        <v>0.99381636084901848</v>
      </c>
      <c r="S377" s="802">
        <f t="shared" si="132"/>
        <v>2</v>
      </c>
      <c r="T377" s="172">
        <f t="shared" si="133"/>
        <v>8</v>
      </c>
      <c r="U377" s="247">
        <f t="shared" si="134"/>
        <v>2.9938163608490185</v>
      </c>
      <c r="V377" s="378">
        <f t="shared" si="135"/>
        <v>16.315594600669758</v>
      </c>
      <c r="W377" s="397">
        <f t="shared" si="136"/>
        <v>9.8533832218122477</v>
      </c>
      <c r="X377" s="153">
        <f t="shared" si="137"/>
        <v>46750</v>
      </c>
      <c r="Y377" s="380">
        <f t="shared" si="138"/>
        <v>9.5409642599741389</v>
      </c>
      <c r="Z377" s="380">
        <f t="shared" si="139"/>
        <v>9.8364435077249848</v>
      </c>
      <c r="AA377" s="381">
        <f t="shared" si="140"/>
        <v>10.323012292504757</v>
      </c>
      <c r="AB377" s="193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4.7134380062015035E-2</v>
      </c>
      <c r="AD377" s="227">
        <f>(INDEX(Models!$BJ377:$BT377,,AH377)*(1-AF377)+INDEX(Models!$BJ377:$BT377,,AH377+1)*AF377-ERP_i)*AE377*Ramure*Pc/MaxiM</f>
        <v>1.9389740404734429E-2</v>
      </c>
      <c r="AE377" s="301">
        <f t="shared" si="142"/>
        <v>0.5</v>
      </c>
      <c r="AF377" s="173">
        <f t="shared" si="143"/>
        <v>0.99381636084901848</v>
      </c>
      <c r="AG377" s="802">
        <f t="shared" si="149"/>
        <v>2</v>
      </c>
      <c r="AH377" s="172">
        <f t="shared" si="144"/>
        <v>8</v>
      </c>
      <c r="AI377" s="221">
        <f t="shared" si="145"/>
        <v>2.9938163608490185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46751</v>
      </c>
      <c r="B378" s="406">
        <f>'2026'!Wh/'2026'!Env_an*'2027'!Env_an</f>
        <v>11.807368245876823</v>
      </c>
      <c r="C378" s="832"/>
      <c r="D378" s="388">
        <f t="shared" si="127"/>
        <v>12.173203617156451</v>
      </c>
      <c r="E378" s="380">
        <f t="shared" si="150"/>
        <v>12.371023028800682</v>
      </c>
      <c r="F378" s="380">
        <f t="shared" si="128"/>
        <v>12.514259257837084</v>
      </c>
      <c r="G378" s="110">
        <f t="shared" si="151"/>
        <v>0.71209042355429863</v>
      </c>
      <c r="H378" s="409" t="b">
        <f>Wh_hp&gt;='2026'!Maxi_hp</f>
        <v>0</v>
      </c>
      <c r="I378" s="385">
        <f>IF(H378,Wh_hp,'2026'!Maxi_hp)</f>
        <v>12.598220111558174</v>
      </c>
      <c r="J378" s="85">
        <f>IF(H378,An,'2026'!An_max)</f>
        <v>2022</v>
      </c>
      <c r="K378" s="193">
        <f t="shared" si="129"/>
        <v>46751</v>
      </c>
      <c r="L378" s="143">
        <f>IF(t&lt;Tvie,1-EXP((T0-t)*PertePVj)+'2026'!Pspv,1-EXP((T0-t)*PertePVj)+Pspv)</f>
        <v>3.0052513930189595E-2</v>
      </c>
      <c r="M378" s="836"/>
      <c r="N378" s="836"/>
      <c r="O378" s="48">
        <f>IF(t&lt;Tnet,'2026'!Resal+('2026'!Salim-'2026'!Resal)*(1-EXP(('2026'!Tnet-t)/('2026'!Tau_j))),Resal+(Salim-Resal)*(1-EXP((Tnet-t)/(Tau_j))))*Salcycl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1.918115073906625E-2</v>
      </c>
      <c r="Q378" s="301">
        <f t="shared" si="130"/>
        <v>0.5</v>
      </c>
      <c r="R378" s="173">
        <f t="shared" si="131"/>
        <v>0.99381636084901848</v>
      </c>
      <c r="S378" s="802">
        <f t="shared" si="132"/>
        <v>2</v>
      </c>
      <c r="T378" s="172">
        <f t="shared" si="133"/>
        <v>8</v>
      </c>
      <c r="U378" s="247">
        <f t="shared" si="134"/>
        <v>2.9938163608490185</v>
      </c>
      <c r="V378" s="378">
        <f t="shared" si="135"/>
        <v>16.451530199511133</v>
      </c>
      <c r="W378" s="397">
        <f t="shared" si="136"/>
        <v>11.807368245876823</v>
      </c>
      <c r="X378" s="153">
        <f t="shared" si="137"/>
        <v>46751</v>
      </c>
      <c r="Y378" s="380">
        <f t="shared" si="138"/>
        <v>11.433332631324326</v>
      </c>
      <c r="Z378" s="380">
        <f t="shared" si="139"/>
        <v>11.787579013840993</v>
      </c>
      <c r="AA378" s="381">
        <f t="shared" si="140"/>
        <v>12.371023028800682</v>
      </c>
      <c r="AB378" s="193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4.7162147673752368E-2</v>
      </c>
      <c r="AD378" s="227">
        <f>(INDEX(Models!$BJ378:$BT378,,AH378)*(1-AF378)+INDEX(Models!$BJ378:$BT378,,AH378+1)*AF378-ERP_i)*AE378*Ramure*Pc/MaxiM</f>
        <v>1.918115073906625E-2</v>
      </c>
      <c r="AE378" s="301">
        <f t="shared" si="142"/>
        <v>0.5</v>
      </c>
      <c r="AF378" s="173">
        <f t="shared" si="143"/>
        <v>0.99381636084901848</v>
      </c>
      <c r="AG378" s="802">
        <f t="shared" si="149"/>
        <v>2</v>
      </c>
      <c r="AH378" s="172">
        <f t="shared" si="144"/>
        <v>8</v>
      </c>
      <c r="AI378" s="221">
        <f t="shared" si="145"/>
        <v>2.9938163608490185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46752</v>
      </c>
      <c r="B379" s="406">
        <f>'2026'!Wh/'2026'!Env_an*'2027'!Env_an</f>
        <v>10.737912898963623</v>
      </c>
      <c r="C379" s="832"/>
      <c r="D379" s="388">
        <f t="shared" si="127"/>
        <v>11.070764188993738</v>
      </c>
      <c r="E379" s="380">
        <f t="shared" si="150"/>
        <v>11.251328849885329</v>
      </c>
      <c r="F379" s="380">
        <f t="shared" si="128"/>
        <v>11.358042397312888</v>
      </c>
      <c r="G379" s="110">
        <f t="shared" si="151"/>
        <v>0.6405913600538381</v>
      </c>
      <c r="H379" s="409" t="b">
        <f>Wh_hp&gt;='2026'!Maxi_hp</f>
        <v>0</v>
      </c>
      <c r="I379" s="385">
        <f>IF(H379,Wh_hp,'2026'!Maxi_hp)</f>
        <v>11.452210730428593</v>
      </c>
      <c r="J379" s="85">
        <f>IF(H379,An,'2026'!An_max)</f>
        <v>2022</v>
      </c>
      <c r="K379" s="193">
        <f t="shared" si="129"/>
        <v>46752</v>
      </c>
      <c r="L379" s="143">
        <f>IF(t&lt;Tvie,1-EXP((T0-t)*PertePVj)+'2026'!Pspv,1-EXP((T0-t)*PertePVj)+Pspv)</f>
        <v>3.0065791696749056E-2</v>
      </c>
      <c r="M379" s="836"/>
      <c r="N379" s="836"/>
      <c r="O379" s="48">
        <f>IF(t&lt;Tnet,'2026'!Resal+('2026'!Salim-'2026'!Resal)*(1-EXP(('2026'!Tnet-t)/('2026'!Tau_j))),Resal+(Salim-Resal)*(1-EXP((Tnet-t)/(Tau_j))))*Salcycl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1.8962134657198551E-2</v>
      </c>
      <c r="Q379" s="302">
        <f t="shared" si="130"/>
        <v>0.5</v>
      </c>
      <c r="R379" s="173">
        <f t="shared" si="131"/>
        <v>0.99381636084901848</v>
      </c>
      <c r="S379" s="802">
        <f t="shared" si="132"/>
        <v>2</v>
      </c>
      <c r="T379" s="172">
        <f t="shared" si="133"/>
        <v>8</v>
      </c>
      <c r="U379" s="303">
        <f t="shared" si="134"/>
        <v>2.9938163608490185</v>
      </c>
      <c r="V379" s="378">
        <f t="shared" si="135"/>
        <v>16.600617290002599</v>
      </c>
      <c r="W379" s="397">
        <f t="shared" si="136"/>
        <v>10.737912898963623</v>
      </c>
      <c r="X379" s="153">
        <f t="shared" si="137"/>
        <v>46752</v>
      </c>
      <c r="Y379" s="380">
        <f t="shared" si="138"/>
        <v>10.398061609439615</v>
      </c>
      <c r="Z379" s="380">
        <f t="shared" si="139"/>
        <v>10.720378269397681</v>
      </c>
      <c r="AA379" s="381">
        <f t="shared" si="140"/>
        <v>11.251328849885329</v>
      </c>
      <c r="AB379" s="193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4.7190033068232572E-2</v>
      </c>
      <c r="AD379" s="227">
        <f>(INDEX(Models!$BJ379:$BT379,,AH379)*(1-AF379)+INDEX(Models!$BJ379:$BT379,,AH379+1)*AF379-ERP_i)*AE379*Ramure*Pc/MaxiM</f>
        <v>1.8962134657198551E-2</v>
      </c>
      <c r="AE379" s="302">
        <f t="shared" si="142"/>
        <v>0.5</v>
      </c>
      <c r="AF379" s="173">
        <f t="shared" si="143"/>
        <v>0.99381636084901848</v>
      </c>
      <c r="AG379" s="802">
        <f t="shared" si="149"/>
        <v>2</v>
      </c>
      <c r="AH379" s="172">
        <f t="shared" si="144"/>
        <v>8</v>
      </c>
      <c r="AI379" s="218">
        <f t="shared" si="145"/>
        <v>2.9938163608490185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40"/>
      <c r="D380" s="396"/>
      <c r="E380" s="382"/>
      <c r="F380" s="382"/>
      <c r="G380" s="122"/>
      <c r="H380" s="409" t="b">
        <f>Wh_hp&gt;='2026'!Maxi_hp</f>
        <v>0</v>
      </c>
      <c r="I380" s="385">
        <f>IF(H380,Wh_hp,'2026'!Maxi_hp)</f>
        <v>12.79301018817635</v>
      </c>
      <c r="J380" s="85">
        <f>IF(H380,An,'2026'!An_max)</f>
        <v>2024</v>
      </c>
      <c r="K380" s="230"/>
      <c r="L380" s="210"/>
      <c r="M380" s="841"/>
      <c r="N380" s="841"/>
      <c r="O380" s="149"/>
      <c r="P380" s="318"/>
      <c r="Q380" s="225"/>
      <c r="R380" s="225"/>
      <c r="S380" s="225"/>
      <c r="T380" s="225"/>
      <c r="U380" s="319"/>
      <c r="V380" s="378">
        <f>(V379+V15)/2</f>
        <v>16.596653304308845</v>
      </c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2.5220656390551044E-2</v>
      </c>
      <c r="M381" s="838"/>
      <c r="N381" s="838"/>
      <c r="O381" s="47">
        <f t="shared" si="152"/>
        <v>0</v>
      </c>
      <c r="P381" s="164">
        <f t="shared" si="152"/>
        <v>4.4161538276670017E-6</v>
      </c>
      <c r="Q381" s="306">
        <f t="shared" si="152"/>
        <v>0.5</v>
      </c>
      <c r="R381" s="307">
        <f t="shared" si="152"/>
        <v>0.49381763388519007</v>
      </c>
      <c r="S381" s="802">
        <f t="shared" si="152"/>
        <v>2</v>
      </c>
      <c r="T381" s="172">
        <f t="shared" si="152"/>
        <v>8</v>
      </c>
      <c r="U381" s="248">
        <f>+MIN(U15:U380)</f>
        <v>2.4938176338851901</v>
      </c>
      <c r="V381" s="57">
        <f>MIN(V15:V380)</f>
        <v>15.857993436240761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3.9357306110612951E-2</v>
      </c>
      <c r="AD381" s="164">
        <f t="shared" si="153"/>
        <v>4.4161538276670017E-6</v>
      </c>
      <c r="AE381" s="306">
        <f t="shared" si="153"/>
        <v>0.5</v>
      </c>
      <c r="AF381" s="307">
        <f t="shared" si="153"/>
        <v>0.49381763388519007</v>
      </c>
      <c r="AG381" s="802">
        <f t="shared" si="153"/>
        <v>2</v>
      </c>
      <c r="AH381" s="172">
        <f t="shared" si="153"/>
        <v>8</v>
      </c>
      <c r="AI381" s="222">
        <f>MIN(AI15:AI380)</f>
        <v>2.4938176338851901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30.529282073067392</v>
      </c>
      <c r="C382" s="370"/>
      <c r="D382" s="370">
        <f>AVERAGE(D15:D380)</f>
        <v>31.395978197055193</v>
      </c>
      <c r="E382" s="370">
        <f>AVERAGE(E15:E380)</f>
        <v>31.844286293144229</v>
      </c>
      <c r="F382" s="371">
        <f>AVERAGE(F15:F380)</f>
        <v>31.88445551099549</v>
      </c>
      <c r="G382" s="126">
        <f>AVERAGE(G15:G380)</f>
        <v>0.69481774510239636</v>
      </c>
      <c r="H382" s="94"/>
      <c r="I382" s="371">
        <f>AVERAGE(I15:I380)</f>
        <v>31.852969695892629</v>
      </c>
      <c r="J382" s="59">
        <f>AVERAGE(J15:J380)</f>
        <v>2022.4890710382513</v>
      </c>
      <c r="K382" s="196" t="s">
        <v>8</v>
      </c>
      <c r="L382" s="143">
        <f t="shared" ref="L382:V382" si="154">AVERAGE(L15:L380)</f>
        <v>2.764523041301848E-2</v>
      </c>
      <c r="M382" s="836"/>
      <c r="N382" s="836"/>
      <c r="O382" s="48">
        <f t="shared" si="154"/>
        <v>1.770857544060981E-2</v>
      </c>
      <c r="P382" s="165">
        <f t="shared" si="154"/>
        <v>4.7675574224900971E-3</v>
      </c>
      <c r="Q382" s="308">
        <f t="shared" si="154"/>
        <v>0.5</v>
      </c>
      <c r="R382" s="173">
        <f t="shared" si="154"/>
        <v>0.77370123088433251</v>
      </c>
      <c r="S382" s="802">
        <f t="shared" si="154"/>
        <v>2</v>
      </c>
      <c r="T382" s="172">
        <f t="shared" si="154"/>
        <v>8</v>
      </c>
      <c r="U382" s="247">
        <f t="shared" si="154"/>
        <v>2.7737012308843334</v>
      </c>
      <c r="V382" s="59">
        <f t="shared" si="154"/>
        <v>41.900001789145129</v>
      </c>
      <c r="X382" s="112" t="s">
        <v>8</v>
      </c>
      <c r="Y382" s="370">
        <f>AVERAGE(Y15:Y380)</f>
        <v>29.501171966235912</v>
      </c>
      <c r="Z382" s="370">
        <f>AVERAGE(Z15:Z380)</f>
        <v>30.338550344292198</v>
      </c>
      <c r="AA382" s="370">
        <f>AVERAGE(AA15:AA380)</f>
        <v>31.844286293144229</v>
      </c>
      <c r="AB382" s="196" t="s">
        <v>8</v>
      </c>
      <c r="AC382" s="48">
        <f t="shared" ref="AC382:AH382" si="155">AVERAGE(AC15:AC380)</f>
        <v>4.8879877654508047E-2</v>
      </c>
      <c r="AD382" s="165">
        <f t="shared" si="155"/>
        <v>4.7675574224900971E-3</v>
      </c>
      <c r="AE382" s="308">
        <f t="shared" si="155"/>
        <v>0.5</v>
      </c>
      <c r="AF382" s="173">
        <f t="shared" si="155"/>
        <v>0.77370123088433251</v>
      </c>
      <c r="AG382" s="802">
        <f t="shared" si="155"/>
        <v>2</v>
      </c>
      <c r="AH382" s="172">
        <f t="shared" si="155"/>
        <v>8</v>
      </c>
      <c r="AI382" s="221">
        <f>AVERAGE(AI15:AI380)</f>
        <v>2.7737012308843334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65.568956311583378</v>
      </c>
      <c r="C383" s="372"/>
      <c r="D383" s="372">
        <f>MAX(D15:D380)</f>
        <v>67.429539406343167</v>
      </c>
      <c r="E383" s="372">
        <f>MAX(E15:E380)</f>
        <v>67.72693802050604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60">
        <f>MAX(J15:J380)</f>
        <v>2027</v>
      </c>
      <c r="K383" s="196" t="s">
        <v>9</v>
      </c>
      <c r="L383" s="144">
        <f t="shared" ref="L383:T383" si="156">MAX(L15:L380)</f>
        <v>3.0065791696749056E-2</v>
      </c>
      <c r="M383" s="839"/>
      <c r="N383" s="839"/>
      <c r="O383" s="49">
        <f t="shared" si="156"/>
        <v>3.9299698189150085E-2</v>
      </c>
      <c r="P383" s="166">
        <f t="shared" si="156"/>
        <v>2.0276261001391582E-2</v>
      </c>
      <c r="Q383" s="309">
        <f t="shared" si="156"/>
        <v>0.5</v>
      </c>
      <c r="R383" s="310">
        <f t="shared" si="156"/>
        <v>0.99381636084901848</v>
      </c>
      <c r="S383" s="803">
        <f t="shared" si="156"/>
        <v>2</v>
      </c>
      <c r="T383" s="229">
        <f t="shared" si="156"/>
        <v>8</v>
      </c>
      <c r="U383" s="249">
        <f>+MAX(U15:U380)</f>
        <v>2.9938163608490185</v>
      </c>
      <c r="V383" s="60">
        <f>MAX(V15:V380)</f>
        <v>63.251694139370869</v>
      </c>
      <c r="X383" s="112" t="s">
        <v>9</v>
      </c>
      <c r="Y383" s="372">
        <f>MAX(Y15:Y380)</f>
        <v>63.027086832624441</v>
      </c>
      <c r="Z383" s="372">
        <f>MAX(Z15:Z380)</f>
        <v>64.815541901445201</v>
      </c>
      <c r="AA383" s="372">
        <f>MAX(AA15:AA380)</f>
        <v>67.72693802050604</v>
      </c>
      <c r="AB383" s="196" t="s">
        <v>9</v>
      </c>
      <c r="AC383" s="49">
        <f t="shared" ref="AC383:AH383" si="157">MAX(AC15:AC380)</f>
        <v>5.9534229743939765E-2</v>
      </c>
      <c r="AD383" s="166">
        <f t="shared" si="157"/>
        <v>2.0276261001391582E-2</v>
      </c>
      <c r="AE383" s="309">
        <f t="shared" si="157"/>
        <v>0.5</v>
      </c>
      <c r="AF383" s="310">
        <f t="shared" si="157"/>
        <v>0.99381636084901848</v>
      </c>
      <c r="AG383" s="803">
        <f t="shared" si="157"/>
        <v>2</v>
      </c>
      <c r="AH383" s="229">
        <f t="shared" si="157"/>
        <v>8</v>
      </c>
      <c r="AI383" s="223">
        <f>MAX(AI15:AI380)</f>
        <v>2.9938163608490185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80" sqref="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'2027'!An+1</f>
        <v>2028</v>
      </c>
      <c r="K1" s="1250"/>
      <c r="L1" s="113" t="str">
        <f>"Calcul pertes et enveloppes en "&amp;TEXT(An,0)</f>
        <v>Calcul pertes et enveloppes en 2028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2028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0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306.44444852827161</v>
      </c>
      <c r="AK4" s="825">
        <f>AM12-AK12</f>
        <v>-0.47163592351484951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306.44444852827161</v>
      </c>
      <c r="AA5" s="233">
        <f>Wh_Pvg_s-Wh_Pvg</f>
        <v>-0.47163592351484951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0</v>
      </c>
      <c r="AK5" s="510">
        <f>SUMIF(AK15:AK380,"VRAI",Wh)</f>
        <v>0</v>
      </c>
      <c r="AL5" s="510">
        <f>SUMIF(AJ15:AJ380,"VRAI",Wh_s)</f>
        <v>0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10957.043322483001</v>
      </c>
      <c r="AK6" s="510">
        <f>SUMIF(AK15:AK380,"FAUX",Wh)</f>
        <v>10957.043322483001</v>
      </c>
      <c r="AL6" s="510">
        <f>SUMIF(AJ15:AJ380,"FAUX",Wh_s)</f>
        <v>10650.578033910804</v>
      </c>
      <c r="AM6" s="510">
        <f>SUMIF(AK15:AK380,"FAUX",Wh_s)</f>
        <v>10650.578033910804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AND(YEAR(Tnet)=An,Resal_2028="I")</f>
        <v>0</v>
      </c>
      <c r="F7" s="316" t="b">
        <f>YEAR(Tnet)=An</f>
        <v>0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0</v>
      </c>
      <c r="AK7" s="510">
        <f>SUMIF(AK15:AK380,"VRAI",Wh_sa)</f>
        <v>0</v>
      </c>
      <c r="AL7" s="510">
        <f>SUMIF(AJ15:AJ380,"VRAI",Wh_pvt_s)</f>
        <v>0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AND(YEAR(Tnet)=An,Resal_2028&lt;&gt;"I")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11324.425346606122</v>
      </c>
      <c r="AK8" s="510">
        <f>SUMIF(AK15:AK380,"FAUX",Wh_sa)</f>
        <v>11630.853281733946</v>
      </c>
      <c r="AL8" s="510">
        <f>SUMIF(AJ15:AJ380,"FAUX",Wh_pvt_s)</f>
        <v>11007.704875362093</v>
      </c>
      <c r="AM8" s="510">
        <f>SUMIF(AK15:AK380,"FAUX",Wh_sa_s)</f>
        <v>11630.853281733946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11324.425346606122</v>
      </c>
      <c r="E9" s="180">
        <f>SUM(E$15:E$380)</f>
        <v>11630.853281733946</v>
      </c>
      <c r="F9" s="180">
        <f>SUM(F$15:F$380)</f>
        <v>11648.752627706708</v>
      </c>
      <c r="H9" s="1251">
        <f>+SUM(Wh)</f>
        <v>10957.043322483001</v>
      </c>
      <c r="I9" s="1252"/>
      <c r="J9" s="1253"/>
      <c r="K9" s="187"/>
      <c r="L9" s="228"/>
      <c r="M9" s="228"/>
      <c r="N9" s="228"/>
      <c r="O9" s="219">
        <f>Tnet_2028</f>
        <v>46507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10650.578033910804</v>
      </c>
      <c r="Y9" s="1246"/>
      <c r="Z9" s="510">
        <f>SUM(Z$15:Z$380)</f>
        <v>11007.704875362093</v>
      </c>
      <c r="AA9" s="510">
        <f>SUM(AA$15:AA$380)</f>
        <v>11630.853281733946</v>
      </c>
      <c r="AB9" s="510">
        <f>F9</f>
        <v>11648.752627706708</v>
      </c>
      <c r="AC9" s="321">
        <f>IF(An_Tnet,Tnet,'2027'!Tnet_s)</f>
        <v>46507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0</v>
      </c>
      <c r="AK9" s="510">
        <f>SUMIF(AK15:AK380,"VRAI",Wh_hp)</f>
        <v>0</v>
      </c>
      <c r="AL9" s="510">
        <f>SUMIF(AJ15:AJ380,"VRAI",Wh_sa_s)</f>
        <v>0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IF(Inflex,'2027'!Resal+('2027'!Salim-'2027'!Resal)*(1-EXP(-(Tnet-'2027'!Tnet)/('2027'!Tau_j))),IF(An_Tnet,Resal_2028,'2027'!Resal))</f>
        <v>0</v>
      </c>
      <c r="P10" s="416" t="b">
        <f>NOT(Acti_tai)</f>
        <v>1</v>
      </c>
      <c r="Q10" s="253">
        <f>IF(Acti_tai,'2027'!PousD,Dens-Dd)</f>
        <v>0</v>
      </c>
      <c r="R10" s="270"/>
      <c r="S10" s="271"/>
      <c r="T10" s="272"/>
      <c r="U10" s="262">
        <f>IF(Acti_tai,'2027'!PousH,Hdtf-Hdd)</f>
        <v>0.5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IF(OR(Inflex,GainD),'2027'!Resal_s+('2027'!Salim-'2027'!Resal_s)*(1-EXP(('2027'!Tnet_s-Tnet)/('2027'!Tau_j))),IF(Acti_net,'2027'!Resal+('2027'!Salim-'2027'!Resal)*(1-EXP(('2027'!Tnet-Tnet)/'2027'!Tau_j)),'2027'!Resal_s))</f>
        <v>3.8926630477392636E-2</v>
      </c>
      <c r="AD10" s="422"/>
      <c r="AE10" s="422"/>
      <c r="AF10" s="256"/>
      <c r="AG10" s="257"/>
      <c r="AH10" s="258"/>
      <c r="AI10" s="467"/>
      <c r="AJ10" s="510">
        <f>SUMIF(AJ15:AJ380,"FAUX",Wh_sa)</f>
        <v>11630.853281733946</v>
      </c>
      <c r="AK10" s="510">
        <f>SUMIF(AK15:AK380,"FAUX",Wh_hp)</f>
        <v>11648.752627706708</v>
      </c>
      <c r="AL10" s="510">
        <f>SUMIF(AJ15:AJ380,"FAUX",Wh_sa_s)</f>
        <v>11630.853281733946</v>
      </c>
      <c r="AM10" s="510">
        <f>SUMIF(AK15:AK380,"FAUX",Wh_hp)</f>
        <v>11648.752627706708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367.38202412312057</v>
      </c>
      <c r="E11" s="51">
        <f>(E$9-D$9)*Prod_an/D$9</f>
        <v>296.48693489076828</v>
      </c>
      <c r="F11" s="182">
        <f>(F$9-E$9)*Prod_an/E$9</f>
        <v>16.862383568682851</v>
      </c>
      <c r="G11" s="181" t="s">
        <v>6</v>
      </c>
      <c r="K11" s="190"/>
      <c r="L11" s="207">
        <f>Tvie_2028</f>
        <v>44522</v>
      </c>
      <c r="M11" s="835"/>
      <c r="N11" s="835"/>
      <c r="O11" s="198">
        <f>IF(An_Tnet,Salim_2027,'2027'!Salim)</f>
        <v>0.08</v>
      </c>
      <c r="P11" s="252">
        <f>Ttai_2028</f>
        <v>44562</v>
      </c>
      <c r="Q11" s="268">
        <f>Dens_2028</f>
        <v>0.5</v>
      </c>
      <c r="R11" s="273"/>
      <c r="S11" s="226"/>
      <c r="T11" s="226"/>
      <c r="U11" s="262">
        <f>Htf_2028</f>
        <v>3.4938163608490185</v>
      </c>
      <c r="V11" s="422"/>
      <c r="W11" s="513"/>
      <c r="X11" s="520" t="s">
        <v>43</v>
      </c>
      <c r="Y11" s="50">
        <f>Z$9-Prod_an_s</f>
        <v>357.12684145128878</v>
      </c>
      <c r="Z11" s="51">
        <f>(AA$9-Z$9)*Prod_an_s/Z$9</f>
        <v>602.93138341903989</v>
      </c>
      <c r="AA11" s="182">
        <f>(AB$9-AA$9)*Prod_an_s/AA$9</f>
        <v>16.390747645168002</v>
      </c>
      <c r="AB11" s="521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0</v>
      </c>
      <c r="AK11" s="825">
        <f>IF($AK7=0,0,($AK9-$AK7)*$AK5/$AK7)</f>
        <v>0</v>
      </c>
      <c r="AL11" s="824">
        <f>IF($AL7=0,0,($AL9-$AL7)*$AL5/$AL7)</f>
        <v>0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K12" s="187"/>
      <c r="L12" s="208">
        <f>Pspv_2028</f>
        <v>0</v>
      </c>
      <c r="M12" s="208"/>
      <c r="N12" s="208"/>
      <c r="O12" s="201">
        <f>IF(An_Tnet,Tau_2028*365,'2027'!Tau_j)</f>
        <v>1095</v>
      </c>
      <c r="P12" s="277">
        <f>INDEX(Croivg,MIN(MAX(Ttai-$A$15,0)+1,366))</f>
        <v>2.3909964587625958E-6</v>
      </c>
      <c r="Q12" s="276">
        <f>'2027'!Df</f>
        <v>0.5</v>
      </c>
      <c r="R12" s="274"/>
      <c r="S12" s="275"/>
      <c r="T12" s="275"/>
      <c r="U12" s="263">
        <f>'2027'!Hdf</f>
        <v>2.9938163608490185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'2027'!Df_s</f>
        <v>0.5</v>
      </c>
      <c r="AF12" s="199"/>
      <c r="AG12" s="199"/>
      <c r="AH12" s="199"/>
      <c r="AI12" s="293">
        <f>'2027'!Hdf_s</f>
        <v>2.9938163608490185</v>
      </c>
      <c r="AJ12" s="824">
        <f>IF($AJ8=0,0,($AJ10-$AJ8)*$AJ6/$AJ8)</f>
        <v>296.48693489076828</v>
      </c>
      <c r="AK12" s="825">
        <f>IF($AK8=0,0,($AK10-$AK8)*$AK6/$AK8)</f>
        <v>16.862383568682851</v>
      </c>
      <c r="AL12" s="824">
        <f>IF($AL8=0,0,($AL10-$AL8)*$AL6/$AL8)</f>
        <v>602.93138341903989</v>
      </c>
      <c r="AM12" s="825">
        <f>IF($AM8=0,0,($AM10-$AM8)*$AM6/$AM8)</f>
        <v>16.390747645168002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296.48693489076828</v>
      </c>
      <c r="AK13" s="73">
        <f>+AK11+AK12</f>
        <v>16.862383568682851</v>
      </c>
      <c r="AL13" s="73">
        <f>+AL11+AL12</f>
        <v>602.93138341903989</v>
      </c>
      <c r="AM13" s="73">
        <f>+AM11+AM12</f>
        <v>16.390747645168002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411"/>
      <c r="D14" s="53" t="s">
        <v>30</v>
      </c>
      <c r="E14" s="158" t="s">
        <v>29</v>
      </c>
      <c r="F14" s="158" t="str">
        <f>"Hors pertes "&amp; TEXT(An,0)</f>
        <v>Hors pertes 2028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2028</v>
      </c>
      <c r="W14" s="829" t="s">
        <v>116</v>
      </c>
      <c r="X14" s="254" t="s">
        <v>2</v>
      </c>
      <c r="Y14" s="107" t="str">
        <f>"Wh / Jour "&amp; TEXT(An,0)</f>
        <v>Wh / Jour 2028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129">
        <f>DATE(An,1,1)</f>
        <v>46753</v>
      </c>
      <c r="B15" s="405">
        <f>'2027'!Wh/'2027'!Env_an*'2028'!Env_an</f>
        <v>0</v>
      </c>
      <c r="C15" s="832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Wh_hp&gt;='2027'!Maxi_hp</f>
        <v>1</v>
      </c>
      <c r="I15" s="391">
        <f>IF(H15,Wh_hp,'2027'!Maxi_hp)</f>
        <v>0</v>
      </c>
      <c r="J15" s="84">
        <f>IF(H15,An,'2027'!An_max)</f>
        <v>2028</v>
      </c>
      <c r="K15" s="193">
        <f t="shared" ref="K15:K78" si="3">t</f>
        <v>46753</v>
      </c>
      <c r="L15" s="142">
        <f>IF(t&lt;Tvie,1-EXP((T0-t)*PertePVj)+'2027'!Pspv,1-EXP((T0-t)*PertePVj)+Pspv)</f>
        <v>3.0079069281547133E-2</v>
      </c>
      <c r="M15" s="836"/>
      <c r="N15" s="836"/>
      <c r="O15" s="48">
        <f>IF(t&lt;Tnet,'2027'!Resal+('2027'!Salim-'2027'!Resal)*(1-EXP(('2027'!Tnet-t)/('2027'!Tau_j))),Resal+(Salim-Resal)*(1-EXP((Tnet-t)/(Tau_j))))*Salcycl</f>
        <v>1.6106033604694817E-2</v>
      </c>
      <c r="P15" s="298">
        <f>(INDEX(Models!$BJ15:$BT15,,T15)*(1-R15)+INDEX(Models!$BJ15:$BT15,,T15+1)*R15-ERP_i)*Q15*Ramure*Pc/MaxiM</f>
        <v>1.8735097380331692E-2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0.99381755634724778</v>
      </c>
      <c r="S15" s="801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2.9938175563472478</v>
      </c>
      <c r="V15" s="377">
        <f t="shared" ref="V15:V78" si="9">MaxiM*(1-Ppv)*(1-Pvg)*(1-Psa)</f>
        <v>16.761264673757367</v>
      </c>
      <c r="W15" s="397">
        <f t="shared" ref="W15:W78" si="10">Wh*(A15&gt;Tmaj)</f>
        <v>0</v>
      </c>
      <c r="X15" s="152">
        <f t="shared" ref="X15:X78" si="11">t</f>
        <v>46753</v>
      </c>
      <c r="Y15" s="380">
        <f t="shared" ref="Y15:Y78" si="12">Wh_pvt_s*(1-Ppv)</f>
        <v>0</v>
      </c>
      <c r="Z15" s="380">
        <f>Wh_sa_s*(1-Psa_s)</f>
        <v>0</v>
      </c>
      <c r="AA15" s="381">
        <f t="shared" ref="AA15:AA78" si="13">Wh_hp*(1-Pvg_s*MEDIAN((-Sdif+Wh/Env_an)/Csdif,0,1))</f>
        <v>0</v>
      </c>
      <c r="AB15" s="193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4.7218021071016227E-2</v>
      </c>
      <c r="AD15" s="227">
        <f>(INDEX(Models!$BJ15:$BT15,,AH15)*(1-AF15)+INDEX(Models!$BJ15:$BT15,,AH15+1)*AF15-ERP_i)*AE15*Ramure*Pc/MaxiM</f>
        <v>1.8735097380331692E-2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0.99381755634724778</v>
      </c>
      <c r="AG15" s="801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2.9938175563472478</v>
      </c>
      <c r="AJ15" s="261" t="b">
        <f t="shared" ref="AJ15:AJ78" si="18">t&lt;Tnet</f>
        <v>0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46754</v>
      </c>
      <c r="B16" s="406">
        <f>'2027'!Wh/'2027'!Env_an*'2028'!Env_an</f>
        <v>0</v>
      </c>
      <c r="C16" s="832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21">+Wh_hp/MaxiM</f>
        <v>0</v>
      </c>
      <c r="H16" s="409" t="b">
        <f>Wh_hp&gt;='2027'!Maxi_hp</f>
        <v>1</v>
      </c>
      <c r="I16" s="385">
        <f>IF(H16,Wh_hp,'2027'!Maxi_hp)</f>
        <v>0</v>
      </c>
      <c r="J16" s="85">
        <f>IF(H16,An,'2027'!An_max)</f>
        <v>2028</v>
      </c>
      <c r="K16" s="193">
        <f t="shared" si="3"/>
        <v>46754</v>
      </c>
      <c r="L16" s="143">
        <f>IF(t&lt;Tvie,1-EXP((T0-t)*PertePVj)+'2027'!Pspv,1-EXP((T0-t)*PertePVj)+Pspv)</f>
        <v>3.0092346684586158E-2</v>
      </c>
      <c r="M16" s="836"/>
      <c r="N16" s="836"/>
      <c r="O16" s="48">
        <f>IF(t&lt;Tnet,'2027'!Resal+('2027'!Salim-'2027'!Resal)*(1-EXP(('2027'!Tnet-t)/('2027'!Tau_j))),Resal+(Salim-Resal)*(1-EXP((Tnet-t)/(Tau_j))))*Salcycl</f>
        <v>1.6163753114156187E-2</v>
      </c>
      <c r="P16" s="165">
        <f>(INDEX(Models!$BJ16:$BT16,,T16)*(1-R16)+INDEX(Models!$BJ16:$BT16,,T16+1)*R16-ERP_i)*Q16*Ramure*Pc/MaxiM</f>
        <v>1.8515124846312993E-2</v>
      </c>
      <c r="Q16" s="301">
        <f t="shared" si="4"/>
        <v>0.5</v>
      </c>
      <c r="R16" s="173">
        <f t="shared" si="5"/>
        <v>0.99384677096124197</v>
      </c>
      <c r="S16" s="802">
        <f t="shared" si="6"/>
        <v>2</v>
      </c>
      <c r="T16" s="172">
        <f t="shared" si="7"/>
        <v>8</v>
      </c>
      <c r="U16" s="247">
        <f t="shared" si="8"/>
        <v>2.993846770961242</v>
      </c>
      <c r="V16" s="378">
        <f t="shared" si="9"/>
        <v>16.931660509995609</v>
      </c>
      <c r="W16" s="397">
        <f t="shared" si="10"/>
        <v>0</v>
      </c>
      <c r="X16" s="153">
        <f t="shared" si="11"/>
        <v>46754</v>
      </c>
      <c r="Y16" s="380">
        <f t="shared" si="12"/>
        <v>0</v>
      </c>
      <c r="Z16" s="380">
        <f t="shared" ref="Z16:Z78" si="22">Wh_sa_s*(1-Psa_s)</f>
        <v>0</v>
      </c>
      <c r="AA16" s="381">
        <f t="shared" si="13"/>
        <v>0</v>
      </c>
      <c r="AB16" s="193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4.7246097962445097E-2</v>
      </c>
      <c r="AD16" s="227">
        <f>(INDEX(Models!$BJ16:$BT16,,AH16)*(1-AF16)+INDEX(Models!$BJ16:$BT16,,AH16+1)*AF16-ERP_i)*AE16*Ramure*Pc/MaxiM</f>
        <v>1.8515124846312993E-2</v>
      </c>
      <c r="AE16" s="301">
        <f t="shared" si="15"/>
        <v>0.5</v>
      </c>
      <c r="AF16" s="173">
        <f t="shared" ref="AF16:AF78" si="23">(Hp_vg_s-AG16)/(INDEX(Echel_vg,AH16+1)-AG16)</f>
        <v>0.99384677096124197</v>
      </c>
      <c r="AG16" s="802">
        <f t="shared" ref="AG16:AG79" si="24">INDEX(Echel_vg,AH16)</f>
        <v>2</v>
      </c>
      <c r="AH16" s="172">
        <f t="shared" si="16"/>
        <v>8</v>
      </c>
      <c r="AI16" s="221">
        <f t="shared" si="17"/>
        <v>2.993846770961242</v>
      </c>
      <c r="AJ16" s="261" t="b">
        <f t="shared" si="18"/>
        <v>0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46755</v>
      </c>
      <c r="B17" s="406">
        <f>'2027'!Wh/'2027'!Env_an*'2028'!Env_an</f>
        <v>0</v>
      </c>
      <c r="C17" s="832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21"/>
        <v>0</v>
      </c>
      <c r="H17" s="409" t="b">
        <f>Wh_hp&gt;='2027'!Maxi_hp</f>
        <v>1</v>
      </c>
      <c r="I17" s="385">
        <f>IF(H17,Wh_hp,'2027'!Maxi_hp)</f>
        <v>0</v>
      </c>
      <c r="J17" s="85">
        <f>IF(H17,An,'2027'!An_max)</f>
        <v>2028</v>
      </c>
      <c r="K17" s="193">
        <f t="shared" si="3"/>
        <v>46755</v>
      </c>
      <c r="L17" s="143">
        <f>IF(t&lt;Tvie,1-EXP((T0-t)*PertePVj)+'2027'!Pspv,1-EXP((T0-t)*PertePVj)+Pspv)</f>
        <v>3.0105623905868684E-2</v>
      </c>
      <c r="M17" s="836"/>
      <c r="N17" s="836"/>
      <c r="O17" s="48">
        <f>IF(t&lt;Tnet,'2027'!Resal+('2027'!Salim-'2027'!Resal)*(1-EXP(('2027'!Tnet-t)/('2027'!Tau_j))),Resal+(Salim-Resal)*(1-EXP((Tnet-t)/(Tau_j))))*Salcycl</f>
        <v>1.6221451180702163E-2</v>
      </c>
      <c r="P17" s="165">
        <f>(INDEX(Models!$BJ17:$BT17,,T17)*(1-R17)+INDEX(Models!$BJ17:$BT17,,T17+1)*R17-ERP_i)*Q17*Ramure*Pc/MaxiM</f>
        <v>1.8303765131632895E-2</v>
      </c>
      <c r="Q17" s="301">
        <f t="shared" si="4"/>
        <v>0.5</v>
      </c>
      <c r="R17" s="173">
        <f t="shared" si="5"/>
        <v>0.9938772075567317</v>
      </c>
      <c r="S17" s="802">
        <f t="shared" si="6"/>
        <v>2</v>
      </c>
      <c r="T17" s="172">
        <f t="shared" si="7"/>
        <v>8</v>
      </c>
      <c r="U17" s="247">
        <f t="shared" si="8"/>
        <v>2.9938772075567317</v>
      </c>
      <c r="V17" s="378">
        <f t="shared" si="9"/>
        <v>17.110217604509245</v>
      </c>
      <c r="W17" s="397">
        <f t="shared" si="10"/>
        <v>0</v>
      </c>
      <c r="X17" s="153">
        <f t="shared" si="11"/>
        <v>46755</v>
      </c>
      <c r="Y17" s="380">
        <f t="shared" si="12"/>
        <v>0</v>
      </c>
      <c r="Z17" s="380">
        <f t="shared" si="22"/>
        <v>0</v>
      </c>
      <c r="AA17" s="381">
        <f t="shared" si="13"/>
        <v>0</v>
      </c>
      <c r="AB17" s="193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4.7274251472018053E-2</v>
      </c>
      <c r="AD17" s="227">
        <f>(INDEX(Models!$BJ17:$BT17,,AH17)*(1-AF17)+INDEX(Models!$BJ17:$BT17,,AH17+1)*AF17-ERP_i)*AE17*Ramure*Pc/MaxiM</f>
        <v>1.8303765131632895E-2</v>
      </c>
      <c r="AE17" s="301">
        <f t="shared" si="15"/>
        <v>0.5</v>
      </c>
      <c r="AF17" s="173">
        <f>(Hp_vg_s-AG17)/(INDEX(Echel_vg,AH17+1)-AG17)</f>
        <v>0.9938772075567317</v>
      </c>
      <c r="AG17" s="802">
        <f>INDEX(Echel_vg,AH17)</f>
        <v>2</v>
      </c>
      <c r="AH17" s="172">
        <f t="shared" si="16"/>
        <v>8</v>
      </c>
      <c r="AI17" s="221">
        <f t="shared" si="17"/>
        <v>2.9938772075567317</v>
      </c>
      <c r="AJ17" s="261" t="b">
        <f t="shared" si="18"/>
        <v>0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46756</v>
      </c>
      <c r="B18" s="406">
        <f>'2027'!Wh/'2027'!Env_an*'2028'!Env_an</f>
        <v>0</v>
      </c>
      <c r="C18" s="832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21"/>
        <v>0</v>
      </c>
      <c r="H18" s="409" t="b">
        <f>Wh_hp&gt;='2027'!Maxi_hp</f>
        <v>1</v>
      </c>
      <c r="I18" s="385">
        <f>IF(H18,Wh_hp,'2027'!Maxi_hp)</f>
        <v>0</v>
      </c>
      <c r="J18" s="85">
        <f>IF(H18,An,'2027'!An_max)</f>
        <v>2028</v>
      </c>
      <c r="K18" s="193">
        <f t="shared" si="3"/>
        <v>46756</v>
      </c>
      <c r="L18" s="143">
        <f>IF(t&lt;Tvie,1-EXP((T0-t)*PertePVj)+'2027'!Pspv,1-EXP((T0-t)*PertePVj)+Pspv)</f>
        <v>3.0118900945397264E-2</v>
      </c>
      <c r="M18" s="836"/>
      <c r="N18" s="836"/>
      <c r="O18" s="48">
        <f>IF(t&lt;Tnet,'2027'!Resal+('2027'!Salim-'2027'!Resal)*(1-EXP(('2027'!Tnet-t)/('2027'!Tau_j))),Resal+(Salim-Resal)*(1-EXP((Tnet-t)/(Tau_j))))*Salcycl</f>
        <v>1.6279124442909899E-2</v>
      </c>
      <c r="P18" s="165">
        <f>(INDEX(Models!$BJ18:$BT18,,T18)*(1-R18)+INDEX(Models!$BJ18:$BT18,,T18+1)*R18-ERP_i)*Q18*Ramure*Pc/MaxiM</f>
        <v>1.8102592167735618E-2</v>
      </c>
      <c r="Q18" s="301">
        <f t="shared" si="4"/>
        <v>0.5</v>
      </c>
      <c r="R18" s="173">
        <f t="shared" si="5"/>
        <v>0.99390891708802664</v>
      </c>
      <c r="S18" s="802">
        <f t="shared" si="6"/>
        <v>2</v>
      </c>
      <c r="T18" s="172">
        <f t="shared" si="7"/>
        <v>8</v>
      </c>
      <c r="U18" s="247">
        <f t="shared" si="8"/>
        <v>2.9939089170880266</v>
      </c>
      <c r="V18" s="378">
        <f t="shared" si="9"/>
        <v>17.295345884242185</v>
      </c>
      <c r="W18" s="397">
        <f t="shared" si="10"/>
        <v>0</v>
      </c>
      <c r="X18" s="153">
        <f t="shared" si="11"/>
        <v>46756</v>
      </c>
      <c r="Y18" s="380">
        <f t="shared" si="12"/>
        <v>0</v>
      </c>
      <c r="Z18" s="380">
        <f>Wh_sa_s*(1-Psa_s)</f>
        <v>0</v>
      </c>
      <c r="AA18" s="381">
        <f t="shared" si="13"/>
        <v>0</v>
      </c>
      <c r="AB18" s="193">
        <f>t</f>
        <v>46756</v>
      </c>
      <c r="AC18" s="119">
        <f>IF(OR(t&lt;Tnet,NoTnet),'2027'!Resal_s+('2027'!Salim-'2027'!Resal_s)*(1-EXP(('2027'!Tnet_s-t)/'2027'!Tau_j)),Resal_s+(Salim-Resal_s)*(1-EXP((Tnet_s-t)/Tau_j)))*Salcycl</f>
        <v>4.7302470760095854E-2</v>
      </c>
      <c r="AD18" s="227">
        <f>(INDEX(Models!$BJ18:$BT18,,AH18)*(1-AF18)+INDEX(Models!$BJ18:$BT18,,AH18+1)*AF18-ERP_i)*AE18*Ramure*Pc/MaxiM</f>
        <v>1.8102592167735618E-2</v>
      </c>
      <c r="AE18" s="301">
        <f t="shared" si="15"/>
        <v>0.5</v>
      </c>
      <c r="AF18" s="173">
        <f t="shared" si="23"/>
        <v>0.99390891708802664</v>
      </c>
      <c r="AG18" s="802">
        <f t="shared" si="24"/>
        <v>2</v>
      </c>
      <c r="AH18" s="172">
        <f t="shared" si="16"/>
        <v>8</v>
      </c>
      <c r="AI18" s="221">
        <f t="shared" si="17"/>
        <v>2.9939089170880266</v>
      </c>
      <c r="AJ18" s="261" t="b">
        <f t="shared" si="18"/>
        <v>0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46757</v>
      </c>
      <c r="B19" s="406">
        <f>'2027'!Wh/'2027'!Env_an*'2028'!Env_an</f>
        <v>0</v>
      </c>
      <c r="C19" s="832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21"/>
        <v>0</v>
      </c>
      <c r="H19" s="409" t="b">
        <f>Wh_hp&gt;='2027'!Maxi_hp</f>
        <v>1</v>
      </c>
      <c r="I19" s="385">
        <f>IF(H19,Wh_hp,'2027'!Maxi_hp)</f>
        <v>0</v>
      </c>
      <c r="J19" s="85">
        <f>IF(H19,An,'2027'!An_max)</f>
        <v>2028</v>
      </c>
      <c r="K19" s="193">
        <f t="shared" si="3"/>
        <v>46757</v>
      </c>
      <c r="L19" s="143">
        <f>IF(t&lt;Tvie,1-EXP((T0-t)*PertePVj)+'2027'!Pspv,1-EXP((T0-t)*PertePVj)+Pspv)</f>
        <v>3.0132177803174232E-2</v>
      </c>
      <c r="M19" s="836"/>
      <c r="N19" s="836"/>
      <c r="O19" s="48">
        <f>IF(t&lt;Tnet,'2027'!Resal+('2027'!Salim-'2027'!Resal)*(1-EXP(('2027'!Tnet-t)/('2027'!Tau_j))),Resal+(Salim-Resal)*(1-EXP((Tnet-t)/(Tau_j))))*Salcycl</f>
        <v>1.6336769977292193E-2</v>
      </c>
      <c r="P19" s="165">
        <f>(INDEX(Models!$BJ19:$BT19,,T19)*(1-R19)+INDEX(Models!$BJ19:$BT19,,T19+1)*R19-ERP_i)*Q19*Ramure*Pc/MaxiM</f>
        <v>1.7913027993825256E-2</v>
      </c>
      <c r="Q19" s="301">
        <f t="shared" si="4"/>
        <v>0.5</v>
      </c>
      <c r="R19" s="173">
        <f t="shared" si="5"/>
        <v>0.9939419526205886</v>
      </c>
      <c r="S19" s="802">
        <f t="shared" si="6"/>
        <v>2</v>
      </c>
      <c r="T19" s="172">
        <f t="shared" si="7"/>
        <v>8</v>
      </c>
      <c r="U19" s="247">
        <f t="shared" si="8"/>
        <v>2.9939419526205886</v>
      </c>
      <c r="V19" s="378">
        <f t="shared" si="9"/>
        <v>17.485455559900238</v>
      </c>
      <c r="W19" s="397">
        <f t="shared" si="10"/>
        <v>0</v>
      </c>
      <c r="X19" s="153">
        <f t="shared" si="11"/>
        <v>46757</v>
      </c>
      <c r="Y19" s="380">
        <f t="shared" si="12"/>
        <v>0</v>
      </c>
      <c r="Z19" s="380">
        <f t="shared" si="22"/>
        <v>0</v>
      </c>
      <c r="AA19" s="381">
        <f t="shared" si="13"/>
        <v>0</v>
      </c>
      <c r="AB19" s="193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4.7330746387525262E-2</v>
      </c>
      <c r="AD19" s="227">
        <f>(INDEX(Models!$BJ19:$BT19,,AH19)*(1-AF19)+INDEX(Models!$BJ19:$BT19,,AH19+1)*AF19-ERP_i)*AE19*Ramure*Pc/MaxiM</f>
        <v>1.7913027993825256E-2</v>
      </c>
      <c r="AE19" s="301">
        <f t="shared" si="15"/>
        <v>0.5</v>
      </c>
      <c r="AF19" s="173">
        <f t="shared" si="23"/>
        <v>0.9939419526205886</v>
      </c>
      <c r="AG19" s="802">
        <f t="shared" si="24"/>
        <v>2</v>
      </c>
      <c r="AH19" s="172">
        <f t="shared" si="16"/>
        <v>8</v>
      </c>
      <c r="AI19" s="221">
        <f t="shared" si="17"/>
        <v>2.9939419526205886</v>
      </c>
      <c r="AJ19" s="261" t="b">
        <f t="shared" si="18"/>
        <v>0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46758</v>
      </c>
      <c r="B20" s="406">
        <f>'2027'!Wh/'2027'!Env_an*'2028'!Env_an</f>
        <v>0</v>
      </c>
      <c r="C20" s="832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1"/>
        <v>0</v>
      </c>
      <c r="H20" s="409" t="b">
        <f>Wh_hp&gt;='2027'!Maxi_hp</f>
        <v>1</v>
      </c>
      <c r="I20" s="385">
        <f>IF(H20,Wh_hp,'2027'!Maxi_hp)</f>
        <v>0</v>
      </c>
      <c r="J20" s="85">
        <f>IF(H20,An,'2027'!An_max)</f>
        <v>2028</v>
      </c>
      <c r="K20" s="193">
        <f t="shared" si="3"/>
        <v>46758</v>
      </c>
      <c r="L20" s="143">
        <f>IF(t&lt;Tvie,1-EXP((T0-t)*PertePVj)+'2027'!Pspv,1-EXP((T0-t)*PertePVj)+Pspv)</f>
        <v>3.0145454479202249E-2</v>
      </c>
      <c r="M20" s="836"/>
      <c r="N20" s="836"/>
      <c r="O20" s="48">
        <f>IF(t&lt;Tnet,'2027'!Resal+('2027'!Salim-'2027'!Resal)*(1-EXP(('2027'!Tnet-t)/('2027'!Tau_j))),Resal+(Salim-Resal)*(1-EXP((Tnet-t)/(Tau_j))))*Salcycl</f>
        <v>1.6394385291158688E-2</v>
      </c>
      <c r="P20" s="165">
        <f>(INDEX(Models!$BJ20:$BT20,,T20)*(1-R20)+INDEX(Models!$BJ20:$BT20,,T20+1)*R20-ERP_i)*Q20*Ramure*Pc/MaxiM</f>
        <v>1.7736354587548801E-2</v>
      </c>
      <c r="Q20" s="301">
        <f t="shared" si="4"/>
        <v>0.5</v>
      </c>
      <c r="R20" s="173">
        <f t="shared" si="5"/>
        <v>0.99397636941733936</v>
      </c>
      <c r="S20" s="802">
        <f t="shared" si="6"/>
        <v>2</v>
      </c>
      <c r="T20" s="172">
        <f t="shared" si="7"/>
        <v>8</v>
      </c>
      <c r="U20" s="247">
        <f t="shared" si="8"/>
        <v>2.9939763694173394</v>
      </c>
      <c r="V20" s="378">
        <f t="shared" si="9"/>
        <v>17.678957142225528</v>
      </c>
      <c r="W20" s="397">
        <f t="shared" si="10"/>
        <v>0</v>
      </c>
      <c r="X20" s="153">
        <f t="shared" si="11"/>
        <v>46758</v>
      </c>
      <c r="Y20" s="380">
        <f t="shared" si="12"/>
        <v>0</v>
      </c>
      <c r="Z20" s="380">
        <f t="shared" si="22"/>
        <v>0</v>
      </c>
      <c r="AA20" s="381">
        <f t="shared" si="13"/>
        <v>0</v>
      </c>
      <c r="AB20" s="193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4.7359070273871907E-2</v>
      </c>
      <c r="AD20" s="227">
        <f>(INDEX(Models!$BJ20:$BT20,,AH20)*(1-AF20)+INDEX(Models!$BJ20:$BT20,,AH20+1)*AF20-ERP_i)*AE20*Ramure*Pc/MaxiM</f>
        <v>1.7736354587548801E-2</v>
      </c>
      <c r="AE20" s="301">
        <f t="shared" si="15"/>
        <v>0.5</v>
      </c>
      <c r="AF20" s="173">
        <f t="shared" si="23"/>
        <v>0.99397636941733936</v>
      </c>
      <c r="AG20" s="802">
        <f t="shared" si="24"/>
        <v>2</v>
      </c>
      <c r="AH20" s="172">
        <f t="shared" si="16"/>
        <v>8</v>
      </c>
      <c r="AI20" s="221">
        <f t="shared" si="17"/>
        <v>2.9939763694173394</v>
      </c>
      <c r="AJ20" s="261" t="b">
        <f t="shared" si="18"/>
        <v>0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46759</v>
      </c>
      <c r="B21" s="406">
        <f>'2027'!Wh/'2027'!Env_an*'2028'!Env_an</f>
        <v>5.776578891566861</v>
      </c>
      <c r="C21" s="832"/>
      <c r="D21" s="388">
        <f t="shared" si="0"/>
        <v>5.9562106460628703</v>
      </c>
      <c r="E21" s="380">
        <f t="shared" si="1"/>
        <v>6.0558411528083047</v>
      </c>
      <c r="F21" s="380">
        <f t="shared" si="2"/>
        <v>6.0593671375748501</v>
      </c>
      <c r="G21" s="110">
        <f t="shared" si="21"/>
        <v>0.31768401504840305</v>
      </c>
      <c r="H21" s="409" t="b">
        <f>Wh_hp&gt;='2027'!Maxi_hp</f>
        <v>0</v>
      </c>
      <c r="I21" s="385">
        <f>IF(H21,Wh_hp,'2027'!Maxi_hp)</f>
        <v>6.1641621547056991</v>
      </c>
      <c r="J21" s="85">
        <f>IF(H21,An,'2027'!An_max)</f>
        <v>2022</v>
      </c>
      <c r="K21" s="193">
        <f t="shared" si="3"/>
        <v>46759</v>
      </c>
      <c r="L21" s="143">
        <f>IF(t&lt;Tvie,1-EXP((T0-t)*PertePVj)+'2027'!Pspv,1-EXP((T0-t)*PertePVj)+Pspv)</f>
        <v>3.015873097348365E-2</v>
      </c>
      <c r="M21" s="836"/>
      <c r="N21" s="836"/>
      <c r="O21" s="48">
        <f>IF(t&lt;Tnet,'2027'!Resal+('2027'!Salim-'2027'!Resal)*(1-EXP(('2027'!Tnet-t)/('2027'!Tau_j))),Resal+(Salim-Resal)*(1-EXP((Tnet-t)/(Tau_j))))*Salcycl</f>
        <v>1.6451968311492454E-2</v>
      </c>
      <c r="P21" s="165">
        <f>(INDEX(Models!$BJ21:$BT21,,T21)*(1-R21)+INDEX(Models!$BJ21:$BT21,,T21+1)*R21-ERP_i)*Q21*Ramure*Pc/MaxiM</f>
        <v>1.7573727960120848E-2</v>
      </c>
      <c r="Q21" s="301">
        <f t="shared" si="4"/>
        <v>0.5</v>
      </c>
      <c r="R21" s="173">
        <f t="shared" si="5"/>
        <v>0.99401222502840225</v>
      </c>
      <c r="S21" s="802">
        <f t="shared" si="6"/>
        <v>2</v>
      </c>
      <c r="T21" s="172">
        <f t="shared" si="7"/>
        <v>8</v>
      </c>
      <c r="U21" s="247">
        <f t="shared" si="8"/>
        <v>2.9940122250284023</v>
      </c>
      <c r="V21" s="378">
        <f t="shared" si="9"/>
        <v>17.874261451704875</v>
      </c>
      <c r="W21" s="397">
        <f t="shared" si="10"/>
        <v>5.776578891566861</v>
      </c>
      <c r="X21" s="153">
        <f t="shared" si="11"/>
        <v>46759</v>
      </c>
      <c r="Y21" s="380">
        <f t="shared" si="12"/>
        <v>5.594888560396206</v>
      </c>
      <c r="Z21" s="380">
        <f t="shared" si="22"/>
        <v>5.7688703699030119</v>
      </c>
      <c r="AA21" s="381">
        <f t="shared" si="13"/>
        <v>6.0558411528083047</v>
      </c>
      <c r="AB21" s="193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4.7387435645040693E-2</v>
      </c>
      <c r="AD21" s="227">
        <f>(INDEX(Models!$BJ21:$BT21,,AH21)*(1-AF21)+INDEX(Models!$BJ21:$BT21,,AH21+1)*AF21-ERP_i)*AE21*Ramure*Pc/MaxiM</f>
        <v>1.7573727960120848E-2</v>
      </c>
      <c r="AE21" s="301">
        <f t="shared" si="15"/>
        <v>0.5</v>
      </c>
      <c r="AF21" s="173">
        <f t="shared" si="23"/>
        <v>0.99401222502840225</v>
      </c>
      <c r="AG21" s="802">
        <f t="shared" si="24"/>
        <v>2</v>
      </c>
      <c r="AH21" s="172">
        <f t="shared" si="16"/>
        <v>8</v>
      </c>
      <c r="AI21" s="221">
        <f t="shared" si="17"/>
        <v>2.9940122250284023</v>
      </c>
      <c r="AJ21" s="261" t="b">
        <f t="shared" si="18"/>
        <v>0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46760</v>
      </c>
      <c r="B22" s="406">
        <f>'2027'!Wh/'2027'!Env_an*'2028'!Env_an</f>
        <v>7.5465260203663682</v>
      </c>
      <c r="C22" s="832"/>
      <c r="D22" s="388">
        <f t="shared" si="0"/>
        <v>7.7813035683245992</v>
      </c>
      <c r="E22" s="380">
        <f t="shared" si="1"/>
        <v>7.9119256421442792</v>
      </c>
      <c r="F22" s="380">
        <f t="shared" si="2"/>
        <v>7.935163036701752</v>
      </c>
      <c r="G22" s="110">
        <f t="shared" si="21"/>
        <v>0.41155990378221974</v>
      </c>
      <c r="H22" s="409" t="b">
        <f>Wh_hp&gt;='2027'!Maxi_hp</f>
        <v>0</v>
      </c>
      <c r="I22" s="385">
        <f>IF(H22,Wh_hp,'2027'!Maxi_hp)</f>
        <v>8.052237097122509</v>
      </c>
      <c r="J22" s="85">
        <f>IF(H22,An,'2027'!An_max)</f>
        <v>2022</v>
      </c>
      <c r="K22" s="193">
        <f t="shared" si="3"/>
        <v>46760</v>
      </c>
      <c r="L22" s="143">
        <f>IF(t&lt;Tvie,1-EXP((T0-t)*PertePVj)+'2027'!Pspv,1-EXP((T0-t)*PertePVj)+Pspv)</f>
        <v>3.0172007286020985E-2</v>
      </c>
      <c r="M22" s="836"/>
      <c r="N22" s="836"/>
      <c r="O22" s="48">
        <f>IF(t&lt;Tnet,'2027'!Resal+('2027'!Salim-'2027'!Resal)*(1-EXP(('2027'!Tnet-t)/('2027'!Tau_j))),Resal+(Salim-Resal)*(1-EXP((Tnet-t)/(Tau_j))))*Salcycl</f>
        <v>1.6509517370069525E-2</v>
      </c>
      <c r="P22" s="165">
        <f>(INDEX(Models!$BJ22:$BT22,,T22)*(1-R22)+INDEX(Models!$BJ22:$BT22,,T22+1)*R22-ERP_i)*Q22*Ramure*Pc/MaxiM</f>
        <v>1.7426193861962608E-2</v>
      </c>
      <c r="Q22" s="301">
        <f t="shared" si="4"/>
        <v>0.5</v>
      </c>
      <c r="R22" s="173">
        <f t="shared" si="5"/>
        <v>0.99404957938439953</v>
      </c>
      <c r="S22" s="802">
        <f t="shared" si="6"/>
        <v>2</v>
      </c>
      <c r="T22" s="172">
        <f t="shared" si="7"/>
        <v>8</v>
      </c>
      <c r="U22" s="247">
        <f t="shared" si="8"/>
        <v>2.9940495793843995</v>
      </c>
      <c r="V22" s="378">
        <f t="shared" si="9"/>
        <v>18.069779639426333</v>
      </c>
      <c r="W22" s="397">
        <f t="shared" si="10"/>
        <v>7.5465260203663682</v>
      </c>
      <c r="X22" s="153">
        <f t="shared" si="11"/>
        <v>46760</v>
      </c>
      <c r="Y22" s="380">
        <f t="shared" si="12"/>
        <v>7.3093754335710734</v>
      </c>
      <c r="Z22" s="380">
        <f t="shared" si="22"/>
        <v>7.5367750657685431</v>
      </c>
      <c r="AA22" s="381">
        <f t="shared" si="13"/>
        <v>7.9119256421442792</v>
      </c>
      <c r="AB22" s="193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4.7415836971145139E-2</v>
      </c>
      <c r="AD22" s="227">
        <f>(INDEX(Models!$BJ22:$BT22,,AH22)*(1-AF22)+INDEX(Models!$BJ22:$BT22,,AH22+1)*AF22-ERP_i)*AE22*Ramure*Pc/MaxiM</f>
        <v>1.7426193861962608E-2</v>
      </c>
      <c r="AE22" s="301">
        <f t="shared" si="15"/>
        <v>0.5</v>
      </c>
      <c r="AF22" s="173">
        <f t="shared" si="23"/>
        <v>0.99404957938439953</v>
      </c>
      <c r="AG22" s="802">
        <f t="shared" si="24"/>
        <v>2</v>
      </c>
      <c r="AH22" s="172">
        <f t="shared" si="16"/>
        <v>8</v>
      </c>
      <c r="AI22" s="221">
        <f t="shared" si="17"/>
        <v>2.9940495793843995</v>
      </c>
      <c r="AJ22" s="261" t="b">
        <f t="shared" si="18"/>
        <v>0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46761</v>
      </c>
      <c r="B23" s="406">
        <f>'2027'!Wh/'2027'!Env_an*'2028'!Env_an</f>
        <v>2.2671195243635149</v>
      </c>
      <c r="C23" s="832"/>
      <c r="D23" s="388">
        <f t="shared" si="0"/>
        <v>2.3376831528716639</v>
      </c>
      <c r="E23" s="380">
        <f t="shared" si="1"/>
        <v>2.377064047068381</v>
      </c>
      <c r="F23" s="380">
        <f t="shared" si="2"/>
        <v>2.377064047068381</v>
      </c>
      <c r="G23" s="110">
        <f t="shared" si="21"/>
        <v>0.12195783467386387</v>
      </c>
      <c r="H23" s="409" t="b">
        <f>Wh_hp&gt;='2027'!Maxi_hp</f>
        <v>0</v>
      </c>
      <c r="I23" s="385">
        <f>IF(H23,Wh_hp,'2027'!Maxi_hp)</f>
        <v>2.4188853930491918</v>
      </c>
      <c r="J23" s="85">
        <f>IF(H23,An,'2027'!An_max)</f>
        <v>2022</v>
      </c>
      <c r="K23" s="193">
        <f t="shared" si="3"/>
        <v>46761</v>
      </c>
      <c r="L23" s="143">
        <f>IF(t&lt;Tvie,1-EXP((T0-t)*PertePVj)+'2027'!Pspv,1-EXP((T0-t)*PertePVj)+Pspv)</f>
        <v>3.018528341681681E-2</v>
      </c>
      <c r="M23" s="836"/>
      <c r="N23" s="836"/>
      <c r="O23" s="48">
        <f>IF(t&lt;Tnet,'2027'!Resal+('2027'!Salim-'2027'!Resal)*(1-EXP(('2027'!Tnet-t)/('2027'!Tau_j))),Resal+(Salim-Resal)*(1-EXP((Tnet-t)/(Tau_j))))*Salcycl</f>
        <v>1.6567031185081058E-2</v>
      </c>
      <c r="P23" s="165">
        <f>(INDEX(Models!$BJ23:$BT23,,T23)*(1-R23)+INDEX(Models!$BJ23:$BT23,,T23+1)*R23-ERP_i)*Q23*Ramure*Pc/MaxiM</f>
        <v>1.729096422735879E-2</v>
      </c>
      <c r="Q23" s="301">
        <f t="shared" si="4"/>
        <v>0.5</v>
      </c>
      <c r="R23" s="173">
        <f t="shared" si="5"/>
        <v>0.99408849489343476</v>
      </c>
      <c r="S23" s="802">
        <f t="shared" si="6"/>
        <v>2</v>
      </c>
      <c r="T23" s="172">
        <f t="shared" si="7"/>
        <v>8</v>
      </c>
      <c r="U23" s="247">
        <f t="shared" si="8"/>
        <v>2.9940884948934348</v>
      </c>
      <c r="V23" s="378">
        <f t="shared" si="9"/>
        <v>18.267943570221917</v>
      </c>
      <c r="W23" s="397">
        <f t="shared" si="10"/>
        <v>2.2671195243635149</v>
      </c>
      <c r="X23" s="153">
        <f t="shared" si="11"/>
        <v>46761</v>
      </c>
      <c r="Y23" s="380">
        <f t="shared" si="12"/>
        <v>2.1959378648516199</v>
      </c>
      <c r="Z23" s="380">
        <f t="shared" si="22"/>
        <v>2.2642859788602405</v>
      </c>
      <c r="AA23" s="381">
        <f t="shared" si="13"/>
        <v>2.377064047068381</v>
      </c>
      <c r="AB23" s="193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4.7444269895558278E-2</v>
      </c>
      <c r="AD23" s="227">
        <f>(INDEX(Models!$BJ23:$BT23,,AH23)*(1-AF23)+INDEX(Models!$BJ23:$BT23,,AH23+1)*AF23-ERP_i)*AE23*Ramure*Pc/MaxiM</f>
        <v>1.729096422735879E-2</v>
      </c>
      <c r="AE23" s="301">
        <f t="shared" si="15"/>
        <v>0.5</v>
      </c>
      <c r="AF23" s="173">
        <f t="shared" si="23"/>
        <v>0.99408849489343476</v>
      </c>
      <c r="AG23" s="802">
        <f t="shared" si="24"/>
        <v>2</v>
      </c>
      <c r="AH23" s="172">
        <f t="shared" si="16"/>
        <v>8</v>
      </c>
      <c r="AI23" s="221">
        <f t="shared" si="17"/>
        <v>2.9940884948934348</v>
      </c>
      <c r="AJ23" s="261" t="b">
        <f t="shared" si="18"/>
        <v>0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46762</v>
      </c>
      <c r="B24" s="406">
        <f>'2027'!Wh/'2027'!Env_an*'2028'!Env_an</f>
        <v>1.8749183199951494</v>
      </c>
      <c r="C24" s="832"/>
      <c r="D24" s="388">
        <f t="shared" si="0"/>
        <v>1.9333012320224972</v>
      </c>
      <c r="E24" s="380">
        <f t="shared" si="1"/>
        <v>1.9659847630949863</v>
      </c>
      <c r="F24" s="380">
        <f t="shared" si="2"/>
        <v>1.9659847630949863</v>
      </c>
      <c r="G24" s="110">
        <f t="shared" si="21"/>
        <v>9.9756681422565996E-2</v>
      </c>
      <c r="H24" s="409" t="b">
        <f>Wh_hp&gt;='2027'!Maxi_hp</f>
        <v>0</v>
      </c>
      <c r="I24" s="385">
        <f>IF(H24,Wh_hp,'2027'!Maxi_hp)</f>
        <v>2.0003417507562942</v>
      </c>
      <c r="J24" s="85">
        <f>IF(H24,An,'2027'!An_max)</f>
        <v>2022</v>
      </c>
      <c r="K24" s="193">
        <f t="shared" si="3"/>
        <v>46762</v>
      </c>
      <c r="L24" s="143">
        <f>IF(t&lt;Tvie,1-EXP((T0-t)*PertePVj)+'2027'!Pspv,1-EXP((T0-t)*PertePVj)+Pspv)</f>
        <v>3.0198559365873567E-2</v>
      </c>
      <c r="M24" s="836"/>
      <c r="N24" s="836"/>
      <c r="O24" s="48">
        <f>IF(t&lt;Tnet,'2027'!Resal+('2027'!Salim-'2027'!Resal)*(1-EXP(('2027'!Tnet-t)/('2027'!Tau_j))),Resal+(Salim-Resal)*(1-EXP((Tnet-t)/(Tau_j))))*Salcycl</f>
        <v>1.662450883954792E-2</v>
      </c>
      <c r="P24" s="165">
        <f>(INDEX(Models!$BJ24:$BT24,,T24)*(1-R24)+INDEX(Models!$BJ24:$BT24,,T24+1)*R24-ERP_i)*Q24*Ramure*Pc/MaxiM</f>
        <v>1.7177220161397538E-2</v>
      </c>
      <c r="Q24" s="301">
        <f t="shared" si="4"/>
        <v>0.5</v>
      </c>
      <c r="R24" s="173">
        <f t="shared" si="5"/>
        <v>0.99412903654190421</v>
      </c>
      <c r="S24" s="802">
        <f t="shared" si="6"/>
        <v>2</v>
      </c>
      <c r="T24" s="172">
        <f t="shared" si="7"/>
        <v>8</v>
      </c>
      <c r="U24" s="247">
        <f t="shared" si="8"/>
        <v>2.9941290365419042</v>
      </c>
      <c r="V24" s="378">
        <f t="shared" si="9"/>
        <v>18.472070331031627</v>
      </c>
      <c r="W24" s="397">
        <f t="shared" si="10"/>
        <v>1.8749183199951494</v>
      </c>
      <c r="X24" s="153">
        <f t="shared" si="11"/>
        <v>46762</v>
      </c>
      <c r="Y24" s="380">
        <f t="shared" si="12"/>
        <v>1.8161026410601291</v>
      </c>
      <c r="Z24" s="380">
        <f t="shared" si="22"/>
        <v>1.8726540969795111</v>
      </c>
      <c r="AA24" s="381">
        <f t="shared" si="13"/>
        <v>1.9659847630949863</v>
      </c>
      <c r="AB24" s="193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4.7472731156139626E-2</v>
      </c>
      <c r="AD24" s="227">
        <f>(INDEX(Models!$BJ24:$BT24,,AH24)*(1-AF24)+INDEX(Models!$BJ24:$BT24,,AH24+1)*AF24-ERP_i)*AE24*Ramure*Pc/MaxiM</f>
        <v>1.7177220161397538E-2</v>
      </c>
      <c r="AE24" s="301">
        <f t="shared" si="15"/>
        <v>0.5</v>
      </c>
      <c r="AF24" s="173">
        <f t="shared" si="23"/>
        <v>0.99412903654190421</v>
      </c>
      <c r="AG24" s="802">
        <f t="shared" si="24"/>
        <v>2</v>
      </c>
      <c r="AH24" s="172">
        <f t="shared" si="16"/>
        <v>8</v>
      </c>
      <c r="AI24" s="221">
        <f t="shared" si="17"/>
        <v>2.9941290365419042</v>
      </c>
      <c r="AJ24" s="261" t="b">
        <f t="shared" si="18"/>
        <v>0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46763</v>
      </c>
      <c r="B25" s="406">
        <f>'2027'!Wh/'2027'!Env_an*'2028'!Env_an</f>
        <v>18.816215191762339</v>
      </c>
      <c r="C25" s="832"/>
      <c r="D25" s="388">
        <f t="shared" si="0"/>
        <v>19.402397217691984</v>
      </c>
      <c r="E25" s="380">
        <f t="shared" si="1"/>
        <v>19.73155807817637</v>
      </c>
      <c r="F25" s="380">
        <f t="shared" si="2"/>
        <v>20.074424837955931</v>
      </c>
      <c r="G25" s="110">
        <f t="shared" si="21"/>
        <v>1.0071655941106643</v>
      </c>
      <c r="H25" s="409" t="b">
        <f>Wh_hp&gt;='2027'!Maxi_hp</f>
        <v>1</v>
      </c>
      <c r="I25" s="385">
        <f>IF(H25,Wh_hp,'2027'!Maxi_hp)</f>
        <v>20.074424837955931</v>
      </c>
      <c r="J25" s="85">
        <f>IF(H25,An,'2027'!An_max)</f>
        <v>2028</v>
      </c>
      <c r="K25" s="193">
        <f t="shared" si="3"/>
        <v>46763</v>
      </c>
      <c r="L25" s="143">
        <f>IF(t&lt;Tvie,1-EXP((T0-t)*PertePVj)+'2027'!Pspv,1-EXP((T0-t)*PertePVj)+Pspv)</f>
        <v>3.0211835133193699E-2</v>
      </c>
      <c r="M25" s="836"/>
      <c r="N25" s="836"/>
      <c r="O25" s="48">
        <f>IF(t&lt;Tnet,'2027'!Resal+('2027'!Salim-'2027'!Resal)*(1-EXP(('2027'!Tnet-t)/('2027'!Tau_j))),Resal+(Salim-Resal)*(1-EXP((Tnet-t)/(Tau_j))))*Salcycl</f>
        <v>1.6681949756843926E-2</v>
      </c>
      <c r="P25" s="165">
        <f>(INDEX(Models!$BJ25:$BT25,,T25)*(1-R25)+INDEX(Models!$BJ25:$BT25,,T25+1)*R25-ERP_i)*Q25*Ramure*Pc/MaxiM</f>
        <v>1.7079779996051585E-2</v>
      </c>
      <c r="Q25" s="301">
        <f t="shared" si="4"/>
        <v>0.5</v>
      </c>
      <c r="R25" s="173">
        <f t="shared" si="5"/>
        <v>0.99417127199927036</v>
      </c>
      <c r="S25" s="802">
        <f t="shared" si="6"/>
        <v>2</v>
      </c>
      <c r="T25" s="172">
        <f t="shared" si="7"/>
        <v>8</v>
      </c>
      <c r="U25" s="247">
        <f t="shared" si="8"/>
        <v>2.9941712719992704</v>
      </c>
      <c r="V25" s="378">
        <f t="shared" si="9"/>
        <v>18.682345089813374</v>
      </c>
      <c r="W25" s="397">
        <f t="shared" si="10"/>
        <v>18.816215191762339</v>
      </c>
      <c r="X25" s="153">
        <f t="shared" si="11"/>
        <v>46763</v>
      </c>
      <c r="Y25" s="380">
        <f t="shared" si="12"/>
        <v>18.226475185896842</v>
      </c>
      <c r="Z25" s="380">
        <f t="shared" si="22"/>
        <v>18.794285026565696</v>
      </c>
      <c r="AA25" s="381">
        <f t="shared" si="13"/>
        <v>19.73155807817637</v>
      </c>
      <c r="AB25" s="193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4.7501218499684666E-2</v>
      </c>
      <c r="AD25" s="227">
        <f>(INDEX(Models!$BJ25:$BT25,,AH25)*(1-AF25)+INDEX(Models!$BJ25:$BT25,,AH25+1)*AF25-ERP_i)*AE25*Ramure*Pc/MaxiM</f>
        <v>1.7079779996051585E-2</v>
      </c>
      <c r="AE25" s="301">
        <f t="shared" si="15"/>
        <v>0.5</v>
      </c>
      <c r="AF25" s="173">
        <f t="shared" si="23"/>
        <v>0.99417127199927036</v>
      </c>
      <c r="AG25" s="802">
        <f t="shared" si="24"/>
        <v>2</v>
      </c>
      <c r="AH25" s="172">
        <f t="shared" si="16"/>
        <v>8</v>
      </c>
      <c r="AI25" s="221">
        <f t="shared" si="17"/>
        <v>2.9941712719992704</v>
      </c>
      <c r="AJ25" s="261" t="b">
        <f t="shared" si="18"/>
        <v>0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46764</v>
      </c>
      <c r="B26" s="406">
        <f>'2027'!Wh/'2027'!Env_an*'2028'!Env_an</f>
        <v>16.89186039871797</v>
      </c>
      <c r="C26" s="832"/>
      <c r="D26" s="388">
        <f t="shared" si="0"/>
        <v>17.418331393626733</v>
      </c>
      <c r="E26" s="380">
        <f t="shared" si="1"/>
        <v>17.714866814516832</v>
      </c>
      <c r="F26" s="380">
        <f t="shared" si="2"/>
        <v>17.974039679472543</v>
      </c>
      <c r="G26" s="110">
        <f t="shared" si="21"/>
        <v>0.89146411137776194</v>
      </c>
      <c r="H26" s="409" t="b">
        <f>Wh_hp&gt;='2027'!Maxi_hp</f>
        <v>0</v>
      </c>
      <c r="I26" s="385">
        <f>IF(H26,Wh_hp,'2027'!Maxi_hp)</f>
        <v>18.021186492350228</v>
      </c>
      <c r="J26" s="85">
        <f>IF(H26,An,'2027'!An_max)</f>
        <v>2022</v>
      </c>
      <c r="K26" s="193">
        <f t="shared" si="3"/>
        <v>46764</v>
      </c>
      <c r="L26" s="143">
        <f>IF(t&lt;Tvie,1-EXP((T0-t)*PertePVj)+'2027'!Pspv,1-EXP((T0-t)*PertePVj)+Pspv)</f>
        <v>3.0225110718779646E-2</v>
      </c>
      <c r="M26" s="836"/>
      <c r="N26" s="836"/>
      <c r="O26" s="48">
        <f>IF(t&lt;Tnet,'2027'!Resal+('2027'!Salim-'2027'!Resal)*(1-EXP(('2027'!Tnet-t)/('2027'!Tau_j))),Resal+(Salim-Resal)*(1-EXP((Tnet-t)/(Tau_j))))*Salcycl</f>
        <v>1.673935367366668E-2</v>
      </c>
      <c r="P26" s="165">
        <f>(INDEX(Models!$BJ26:$BT26,,T26)*(1-R26)+INDEX(Models!$BJ26:$BT26,,T26+1)*R26-ERP_i)*Q26*Ramure*Pc/MaxiM</f>
        <v>1.6998071981028502E-2</v>
      </c>
      <c r="Q26" s="301">
        <f t="shared" si="4"/>
        <v>0.5</v>
      </c>
      <c r="R26" s="173">
        <f t="shared" si="5"/>
        <v>0.99421527172694146</v>
      </c>
      <c r="S26" s="802">
        <f t="shared" si="6"/>
        <v>2</v>
      </c>
      <c r="T26" s="172">
        <f t="shared" si="7"/>
        <v>8</v>
      </c>
      <c r="U26" s="247">
        <f t="shared" si="8"/>
        <v>2.9942152717269415</v>
      </c>
      <c r="V26" s="378">
        <f t="shared" si="9"/>
        <v>18.898868091554093</v>
      </c>
      <c r="W26" s="397">
        <f t="shared" si="10"/>
        <v>16.89186039871797</v>
      </c>
      <c r="X26" s="153">
        <f t="shared" si="11"/>
        <v>46764</v>
      </c>
      <c r="Y26" s="380">
        <f t="shared" si="12"/>
        <v>16.362899181314049</v>
      </c>
      <c r="Z26" s="380">
        <f t="shared" si="22"/>
        <v>16.872883967373021</v>
      </c>
      <c r="AA26" s="381">
        <f t="shared" si="13"/>
        <v>17.714866814516832</v>
      </c>
      <c r="AB26" s="193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4.7529730590682745E-2</v>
      </c>
      <c r="AD26" s="227">
        <f>(INDEX(Models!$BJ26:$BT26,,AH26)*(1-AF26)+INDEX(Models!$BJ26:$BT26,,AH26+1)*AF26-ERP_i)*AE26*Ramure*Pc/MaxiM</f>
        <v>1.6998071981028502E-2</v>
      </c>
      <c r="AE26" s="301">
        <f t="shared" si="15"/>
        <v>0.5</v>
      </c>
      <c r="AF26" s="173">
        <f t="shared" si="23"/>
        <v>0.99421527172694146</v>
      </c>
      <c r="AG26" s="802">
        <f t="shared" si="24"/>
        <v>2</v>
      </c>
      <c r="AH26" s="172">
        <f t="shared" si="16"/>
        <v>8</v>
      </c>
      <c r="AI26" s="221">
        <f t="shared" si="17"/>
        <v>2.9942152717269415</v>
      </c>
      <c r="AJ26" s="261" t="b">
        <f t="shared" si="18"/>
        <v>0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46765</v>
      </c>
      <c r="B27" s="406">
        <f>'2027'!Wh/'2027'!Env_an*'2028'!Env_an</f>
        <v>5.739339323107906</v>
      </c>
      <c r="C27" s="832"/>
      <c r="D27" s="388">
        <f t="shared" si="0"/>
        <v>5.9182991376205276</v>
      </c>
      <c r="E27" s="380">
        <f t="shared" si="1"/>
        <v>6.0194054085105053</v>
      </c>
      <c r="F27" s="380">
        <f t="shared" si="2"/>
        <v>6.0194268614145532</v>
      </c>
      <c r="G27" s="110">
        <f t="shared" si="21"/>
        <v>0.29506644426971168</v>
      </c>
      <c r="H27" s="409" t="b">
        <f>Wh_hp&gt;='2027'!Maxi_hp</f>
        <v>0</v>
      </c>
      <c r="I27" s="385">
        <f>IF(H27,Wh_hp,'2027'!Maxi_hp)</f>
        <v>6.1230639003066996</v>
      </c>
      <c r="J27" s="85">
        <f>IF(H27,An,'2027'!An_max)</f>
        <v>2022</v>
      </c>
      <c r="K27" s="193">
        <f t="shared" si="3"/>
        <v>46765</v>
      </c>
      <c r="L27" s="143">
        <f>IF(t&lt;Tvie,1-EXP((T0-t)*PertePVj)+'2027'!Pspv,1-EXP((T0-t)*PertePVj)+Pspv)</f>
        <v>3.0238386122634076E-2</v>
      </c>
      <c r="M27" s="836"/>
      <c r="N27" s="836"/>
      <c r="O27" s="48">
        <f>IF(t&lt;Tnet,'2027'!Resal+('2027'!Salim-'2027'!Resal)*(1-EXP(('2027'!Tnet-t)/('2027'!Tau_j))),Resal+(Salim-Resal)*(1-EXP((Tnet-t)/(Tau_j))))*Salcycl</f>
        <v>1.6796720610814685E-2</v>
      </c>
      <c r="P27" s="165">
        <f>(INDEX(Models!$BJ27:$BT27,,T27)*(1-R27)+INDEX(Models!$BJ27:$BT27,,T27+1)*R27-ERP_i)*Q27*Ramure*Pc/MaxiM</f>
        <v>1.6931522487558734E-2</v>
      </c>
      <c r="Q27" s="301">
        <f t="shared" si="4"/>
        <v>0.5</v>
      </c>
      <c r="R27" s="173">
        <f t="shared" si="5"/>
        <v>0.99426110909141041</v>
      </c>
      <c r="S27" s="802">
        <f t="shared" si="6"/>
        <v>2</v>
      </c>
      <c r="T27" s="172">
        <f t="shared" si="7"/>
        <v>8</v>
      </c>
      <c r="U27" s="247">
        <f t="shared" si="8"/>
        <v>2.9942611090914104</v>
      </c>
      <c r="V27" s="378">
        <f t="shared" si="9"/>
        <v>19.121739487150389</v>
      </c>
      <c r="W27" s="397">
        <f t="shared" si="10"/>
        <v>5.739339323107906</v>
      </c>
      <c r="X27" s="153">
        <f t="shared" si="11"/>
        <v>46765</v>
      </c>
      <c r="Y27" s="380">
        <f t="shared" si="12"/>
        <v>5.5597722325101566</v>
      </c>
      <c r="Z27" s="380">
        <f t="shared" si="22"/>
        <v>5.7331329194199618</v>
      </c>
      <c r="AA27" s="381">
        <f t="shared" si="13"/>
        <v>6.0194054085105053</v>
      </c>
      <c r="AB27" s="193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4.7558266915499456E-2</v>
      </c>
      <c r="AD27" s="227">
        <f>(INDEX(Models!$BJ27:$BT27,,AH27)*(1-AF27)+INDEX(Models!$BJ27:$BT27,,AH27+1)*AF27-ERP_i)*AE27*Ramure*Pc/MaxiM</f>
        <v>1.6931522487558734E-2</v>
      </c>
      <c r="AE27" s="301">
        <f t="shared" si="15"/>
        <v>0.5</v>
      </c>
      <c r="AF27" s="173">
        <f t="shared" si="23"/>
        <v>0.99426110909141041</v>
      </c>
      <c r="AG27" s="802">
        <f t="shared" si="24"/>
        <v>2</v>
      </c>
      <c r="AH27" s="172">
        <f t="shared" si="16"/>
        <v>8</v>
      </c>
      <c r="AI27" s="221">
        <f t="shared" si="17"/>
        <v>2.9942611090914104</v>
      </c>
      <c r="AJ27" s="261" t="b">
        <f t="shared" si="18"/>
        <v>0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46766</v>
      </c>
      <c r="B28" s="406">
        <f>'2027'!Wh/'2027'!Env_an*'2028'!Env_an</f>
        <v>19.417658211734057</v>
      </c>
      <c r="C28" s="832"/>
      <c r="D28" s="388">
        <f t="shared" si="0"/>
        <v>20.02339930652597</v>
      </c>
      <c r="E28" s="380">
        <f t="shared" si="1"/>
        <v>20.366660030158947</v>
      </c>
      <c r="F28" s="380">
        <f t="shared" si="2"/>
        <v>20.716342707250174</v>
      </c>
      <c r="G28" s="110">
        <f t="shared" si="21"/>
        <v>1.0034416130426371</v>
      </c>
      <c r="H28" s="409" t="b">
        <f>Wh_hp&gt;='2027'!Maxi_hp</f>
        <v>1</v>
      </c>
      <c r="I28" s="385">
        <f>IF(H28,Wh_hp,'2027'!Maxi_hp)</f>
        <v>20.716342707250174</v>
      </c>
      <c r="J28" s="85">
        <f>IF(H28,An,'2027'!An_max)</f>
        <v>2028</v>
      </c>
      <c r="K28" s="193">
        <f t="shared" si="3"/>
        <v>46766</v>
      </c>
      <c r="L28" s="143">
        <f>IF(t&lt;Tvie,1-EXP((T0-t)*PertePVj)+'2027'!Pspv,1-EXP((T0-t)*PertePVj)+Pspv)</f>
        <v>3.0251661344759317E-2</v>
      </c>
      <c r="M28" s="836"/>
      <c r="N28" s="836"/>
      <c r="O28" s="48">
        <f>IF(t&lt;Tnet,'2027'!Resal+('2027'!Salim-'2027'!Resal)*(1-EXP(('2027'!Tnet-t)/('2027'!Tau_j))),Resal+(Salim-Resal)*(1-EXP((Tnet-t)/(Tau_j))))*Salcycl</f>
        <v>1.6854050842144794E-2</v>
      </c>
      <c r="P28" s="165">
        <f>(INDEX(Models!$BJ28:$BT28,,T28)*(1-R28)+INDEX(Models!$BJ28:$BT28,,T28+1)*R28-ERP_i)*Q28*Ramure*Pc/MaxiM</f>
        <v>1.6879556494730521E-2</v>
      </c>
      <c r="Q28" s="301">
        <f t="shared" si="4"/>
        <v>0.5</v>
      </c>
      <c r="R28" s="173">
        <f t="shared" si="5"/>
        <v>0.99430886048179978</v>
      </c>
      <c r="S28" s="802">
        <f t="shared" si="6"/>
        <v>2</v>
      </c>
      <c r="T28" s="172">
        <f t="shared" si="7"/>
        <v>8</v>
      </c>
      <c r="U28" s="247">
        <f t="shared" si="8"/>
        <v>2.9943088604817998</v>
      </c>
      <c r="V28" s="378">
        <f t="shared" si="9"/>
        <v>19.351059353474298</v>
      </c>
      <c r="W28" s="397">
        <f t="shared" si="10"/>
        <v>19.417658211734057</v>
      </c>
      <c r="X28" s="153">
        <f t="shared" si="11"/>
        <v>46766</v>
      </c>
      <c r="Y28" s="380">
        <f t="shared" si="12"/>
        <v>18.810669435442332</v>
      </c>
      <c r="Z28" s="380">
        <f t="shared" si="22"/>
        <v>19.397475288823149</v>
      </c>
      <c r="AA28" s="381">
        <f t="shared" si="13"/>
        <v>20.366660030158947</v>
      </c>
      <c r="AB28" s="193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4.7586827683116881E-2</v>
      </c>
      <c r="AD28" s="227">
        <f>(INDEX(Models!$BJ28:$BT28,,AH28)*(1-AF28)+INDEX(Models!$BJ28:$BT28,,AH28+1)*AF28-ERP_i)*AE28*Ramure*Pc/MaxiM</f>
        <v>1.6879556494730521E-2</v>
      </c>
      <c r="AE28" s="301">
        <f t="shared" si="15"/>
        <v>0.5</v>
      </c>
      <c r="AF28" s="173">
        <f t="shared" si="23"/>
        <v>0.99430886048179978</v>
      </c>
      <c r="AG28" s="802">
        <f t="shared" si="24"/>
        <v>2</v>
      </c>
      <c r="AH28" s="172">
        <f t="shared" si="16"/>
        <v>8</v>
      </c>
      <c r="AI28" s="221">
        <f t="shared" si="17"/>
        <v>2.9943088604817998</v>
      </c>
      <c r="AJ28" s="261" t="b">
        <f t="shared" si="18"/>
        <v>0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46767</v>
      </c>
      <c r="B29" s="406">
        <f>'2027'!Wh/'2027'!Env_an*'2028'!Env_an</f>
        <v>19.979830324688756</v>
      </c>
      <c r="C29" s="832"/>
      <c r="D29" s="388">
        <f t="shared" si="0"/>
        <v>20.603390631468717</v>
      </c>
      <c r="E29" s="380">
        <f t="shared" si="1"/>
        <v>20.957815476548795</v>
      </c>
      <c r="F29" s="380">
        <f t="shared" si="2"/>
        <v>21.316824874836076</v>
      </c>
      <c r="G29" s="110">
        <f t="shared" si="21"/>
        <v>1.020059431011934</v>
      </c>
      <c r="H29" s="409" t="b">
        <f>Wh_hp&gt;='2027'!Maxi_hp</f>
        <v>1</v>
      </c>
      <c r="I29" s="385">
        <f>IF(H29,Wh_hp,'2027'!Maxi_hp)</f>
        <v>21.316824874836076</v>
      </c>
      <c r="J29" s="85">
        <f>IF(H29,An,'2027'!An_max)</f>
        <v>2028</v>
      </c>
      <c r="K29" s="193">
        <f t="shared" si="3"/>
        <v>46767</v>
      </c>
      <c r="L29" s="143">
        <f>IF(t&lt;Tvie,1-EXP((T0-t)*PertePVj)+'2027'!Pspv,1-EXP((T0-t)*PertePVj)+Pspv)</f>
        <v>3.0264936385157926E-2</v>
      </c>
      <c r="M29" s="836"/>
      <c r="N29" s="836"/>
      <c r="O29" s="48">
        <f>IF(t&lt;Tnet,'2027'!Resal+('2027'!Salim-'2027'!Resal)*(1-EXP(('2027'!Tnet-t)/('2027'!Tau_j))),Resal+(Salim-Resal)*(1-EXP((Tnet-t)/(Tau_j))))*Salcycl</f>
        <v>1.6911344862095584E-2</v>
      </c>
      <c r="P29" s="165">
        <f>(INDEX(Models!$BJ29:$BT29,,T29)*(1-R29)+INDEX(Models!$BJ29:$BT29,,T29+1)*R29-ERP_i)*Q29*Ramure*Pc/MaxiM</f>
        <v>1.6841598145842192E-2</v>
      </c>
      <c r="Q29" s="301">
        <f t="shared" si="4"/>
        <v>0.5</v>
      </c>
      <c r="R29" s="173">
        <f t="shared" si="5"/>
        <v>0.99435860543197219</v>
      </c>
      <c r="S29" s="802">
        <f t="shared" si="6"/>
        <v>2</v>
      </c>
      <c r="T29" s="172">
        <f t="shared" si="7"/>
        <v>8</v>
      </c>
      <c r="U29" s="247">
        <f t="shared" si="8"/>
        <v>2.9943586054319722</v>
      </c>
      <c r="V29" s="378">
        <f t="shared" si="9"/>
        <v>19.586927699759684</v>
      </c>
      <c r="W29" s="397">
        <f t="shared" si="10"/>
        <v>19.979830324688756</v>
      </c>
      <c r="X29" s="153">
        <f t="shared" si="11"/>
        <v>46767</v>
      </c>
      <c r="Y29" s="380">
        <f t="shared" si="12"/>
        <v>19.355815305368029</v>
      </c>
      <c r="Z29" s="380">
        <f t="shared" si="22"/>
        <v>19.959900421890637</v>
      </c>
      <c r="AA29" s="381">
        <f t="shared" si="13"/>
        <v>20.957815476548795</v>
      </c>
      <c r="AB29" s="193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4.7615413723572204E-2</v>
      </c>
      <c r="AD29" s="227">
        <f>(INDEX(Models!$BJ29:$BT29,,AH29)*(1-AF29)+INDEX(Models!$BJ29:$BT29,,AH29+1)*AF29-ERP_i)*AE29*Ramure*Pc/MaxiM</f>
        <v>1.6841598145842192E-2</v>
      </c>
      <c r="AE29" s="301">
        <f t="shared" si="15"/>
        <v>0.5</v>
      </c>
      <c r="AF29" s="173">
        <f t="shared" si="23"/>
        <v>0.99435860543197219</v>
      </c>
      <c r="AG29" s="802">
        <f t="shared" si="24"/>
        <v>2</v>
      </c>
      <c r="AH29" s="172">
        <f t="shared" si="16"/>
        <v>8</v>
      </c>
      <c r="AI29" s="221">
        <f t="shared" si="17"/>
        <v>2.9943586054319722</v>
      </c>
      <c r="AJ29" s="261" t="b">
        <f t="shared" si="18"/>
        <v>0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46768</v>
      </c>
      <c r="B30" s="406">
        <f>'2027'!Wh/'2027'!Env_an*'2028'!Env_an</f>
        <v>19.706676595369032</v>
      </c>
      <c r="C30" s="832"/>
      <c r="D30" s="388">
        <f t="shared" si="0"/>
        <v>20.32199010465278</v>
      </c>
      <c r="E30" s="380">
        <f t="shared" si="1"/>
        <v>20.672778279464367</v>
      </c>
      <c r="F30" s="380">
        <f t="shared" si="2"/>
        <v>21.023059834290592</v>
      </c>
      <c r="G30" s="110">
        <f t="shared" si="21"/>
        <v>0.99365186102950709</v>
      </c>
      <c r="H30" s="409" t="b">
        <f>Wh_hp&gt;='2027'!Maxi_hp</f>
        <v>0</v>
      </c>
      <c r="I30" s="385">
        <f>IF(H30,Wh_hp,'2027'!Maxi_hp)</f>
        <v>21.026241804609086</v>
      </c>
      <c r="J30" s="85">
        <f>IF(H30,An,'2027'!An_max)</f>
        <v>2022</v>
      </c>
      <c r="K30" s="193">
        <f t="shared" si="3"/>
        <v>46768</v>
      </c>
      <c r="L30" s="143">
        <f>IF(t&lt;Tvie,1-EXP((T0-t)*PertePVj)+'2027'!Pspv,1-EXP((T0-t)*PertePVj)+Pspv)</f>
        <v>3.0278211243832454E-2</v>
      </c>
      <c r="M30" s="836"/>
      <c r="N30" s="836"/>
      <c r="O30" s="48">
        <f>IF(t&lt;Tnet,'2027'!Resal+('2027'!Salim-'2027'!Resal)*(1-EXP(('2027'!Tnet-t)/('2027'!Tau_j))),Resal+(Salim-Resal)*(1-EXP((Tnet-t)/(Tau_j))))*Salcycl</f>
        <v>1.6968603352169941E-2</v>
      </c>
      <c r="P30" s="165">
        <f>(INDEX(Models!$BJ30:$BT30,,T30)*(1-R30)+INDEX(Models!$BJ30:$BT30,,T30+1)*R30-ERP_i)*Q30*Ramure*Pc/MaxiM</f>
        <v>1.6810617137041739E-2</v>
      </c>
      <c r="Q30" s="301">
        <f t="shared" si="4"/>
        <v>0.5</v>
      </c>
      <c r="R30" s="173">
        <f t="shared" si="5"/>
        <v>0.99441042674736568</v>
      </c>
      <c r="S30" s="802">
        <f t="shared" si="6"/>
        <v>2</v>
      </c>
      <c r="T30" s="172">
        <f t="shared" si="7"/>
        <v>8</v>
      </c>
      <c r="U30" s="247">
        <f t="shared" si="8"/>
        <v>2.9944104267473657</v>
      </c>
      <c r="V30" s="378">
        <f t="shared" si="9"/>
        <v>19.829574666222197</v>
      </c>
      <c r="W30" s="397">
        <f t="shared" si="10"/>
        <v>19.706676595369032</v>
      </c>
      <c r="X30" s="153">
        <f t="shared" si="11"/>
        <v>46768</v>
      </c>
      <c r="Y30" s="380">
        <f t="shared" si="12"/>
        <v>19.09173118955589</v>
      </c>
      <c r="Z30" s="380">
        <f t="shared" si="22"/>
        <v>19.687843885661547</v>
      </c>
      <c r="AA30" s="381">
        <f t="shared" si="13"/>
        <v>20.672778279464367</v>
      </c>
      <c r="AB30" s="193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4.7644026385230596E-2</v>
      </c>
      <c r="AD30" s="227">
        <f>(INDEX(Models!$BJ30:$BT30,,AH30)*(1-AF30)+INDEX(Models!$BJ30:$BT30,,AH30+1)*AF30-ERP_i)*AE30*Ramure*Pc/MaxiM</f>
        <v>1.6810617137041739E-2</v>
      </c>
      <c r="AE30" s="301">
        <f t="shared" si="15"/>
        <v>0.5</v>
      </c>
      <c r="AF30" s="173">
        <f t="shared" si="23"/>
        <v>0.99441042674736568</v>
      </c>
      <c r="AG30" s="802">
        <f t="shared" si="24"/>
        <v>2</v>
      </c>
      <c r="AH30" s="172">
        <f t="shared" si="16"/>
        <v>8</v>
      </c>
      <c r="AI30" s="221">
        <f t="shared" si="17"/>
        <v>2.9944104267473657</v>
      </c>
      <c r="AJ30" s="261" t="b">
        <f t="shared" si="18"/>
        <v>0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46769</v>
      </c>
      <c r="B31" s="406">
        <f>'2027'!Wh/'2027'!Env_an*'2028'!Env_an</f>
        <v>13.224043231411168</v>
      </c>
      <c r="C31" s="832"/>
      <c r="D31" s="388">
        <f t="shared" si="0"/>
        <v>13.637132230367223</v>
      </c>
      <c r="E31" s="380">
        <f t="shared" si="1"/>
        <v>13.873337272721473</v>
      </c>
      <c r="F31" s="380">
        <f t="shared" si="2"/>
        <v>13.993624773484553</v>
      </c>
      <c r="G31" s="110">
        <f t="shared" si="21"/>
        <v>0.65315645738449801</v>
      </c>
      <c r="H31" s="409" t="b">
        <f>Wh_hp&gt;='2027'!Maxi_hp</f>
        <v>0</v>
      </c>
      <c r="I31" s="385">
        <f>IF(H31,Wh_hp,'2027'!Maxi_hp)</f>
        <v>14.110078337543527</v>
      </c>
      <c r="J31" s="85">
        <f>IF(H31,An,'2027'!An_max)</f>
        <v>2022</v>
      </c>
      <c r="K31" s="193">
        <f t="shared" si="3"/>
        <v>46769</v>
      </c>
      <c r="L31" s="143">
        <f>IF(t&lt;Tvie,1-EXP((T0-t)*PertePVj)+'2027'!Pspv,1-EXP((T0-t)*PertePVj)+Pspv)</f>
        <v>3.0291485920785233E-2</v>
      </c>
      <c r="M31" s="836"/>
      <c r="N31" s="836"/>
      <c r="O31" s="48">
        <f>IF(t&lt;Tnet,'2027'!Resal+('2027'!Salim-'2027'!Resal)*(1-EXP(('2027'!Tnet-t)/('2027'!Tau_j))),Resal+(Salim-Resal)*(1-EXP((Tnet-t)/(Tau_j))))*Salcycl</f>
        <v>1.7025827146773784E-2</v>
      </c>
      <c r="P31" s="165">
        <f>(INDEX(Models!$BJ31:$BT31,,T31)*(1-R31)+INDEX(Models!$BJ31:$BT31,,T31+1)*R31-ERP_i)*Q31*Ramure*Pc/MaxiM</f>
        <v>1.677978697537123E-2</v>
      </c>
      <c r="Q31" s="301">
        <f t="shared" si="4"/>
        <v>0.5</v>
      </c>
      <c r="R31" s="173">
        <f t="shared" si="5"/>
        <v>0.99446441063671953</v>
      </c>
      <c r="S31" s="802">
        <f t="shared" si="6"/>
        <v>2</v>
      </c>
      <c r="T31" s="172">
        <f t="shared" si="7"/>
        <v>8</v>
      </c>
      <c r="U31" s="247">
        <f t="shared" si="8"/>
        <v>2.9944644106367195</v>
      </c>
      <c r="V31" s="378">
        <f t="shared" si="9"/>
        <v>20.079232742134359</v>
      </c>
      <c r="W31" s="397">
        <f t="shared" si="10"/>
        <v>13.224043231411168</v>
      </c>
      <c r="X31" s="153">
        <f t="shared" si="11"/>
        <v>46769</v>
      </c>
      <c r="Y31" s="380">
        <f t="shared" si="12"/>
        <v>12.811748430560213</v>
      </c>
      <c r="Z31" s="380">
        <f t="shared" si="22"/>
        <v>13.211958278746875</v>
      </c>
      <c r="AA31" s="381">
        <f t="shared" si="13"/>
        <v>13.873337272721473</v>
      </c>
      <c r="AB31" s="193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4.7672667432012823E-2</v>
      </c>
      <c r="AD31" s="227">
        <f>(INDEX(Models!$BJ31:$BT31,,AH31)*(1-AF31)+INDEX(Models!$BJ31:$BT31,,AH31+1)*AF31-ERP_i)*AE31*Ramure*Pc/MaxiM</f>
        <v>1.677978697537123E-2</v>
      </c>
      <c r="AE31" s="301">
        <f t="shared" si="15"/>
        <v>0.5</v>
      </c>
      <c r="AF31" s="173">
        <f t="shared" si="23"/>
        <v>0.99446441063671953</v>
      </c>
      <c r="AG31" s="802">
        <f t="shared" si="24"/>
        <v>2</v>
      </c>
      <c r="AH31" s="172">
        <f t="shared" si="16"/>
        <v>8</v>
      </c>
      <c r="AI31" s="221">
        <f t="shared" si="17"/>
        <v>2.9944644106367195</v>
      </c>
      <c r="AJ31" s="261" t="b">
        <f t="shared" si="18"/>
        <v>0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46770</v>
      </c>
      <c r="B32" s="406">
        <f>'2027'!Wh/'2027'!Env_an*'2028'!Env_an</f>
        <v>4.1953744827078356</v>
      </c>
      <c r="C32" s="832"/>
      <c r="D32" s="388">
        <f t="shared" si="0"/>
        <v>4.3264876545209567</v>
      </c>
      <c r="E32" s="380">
        <f t="shared" si="1"/>
        <v>4.40168165798804</v>
      </c>
      <c r="F32" s="380">
        <f t="shared" si="2"/>
        <v>4.40168165798804</v>
      </c>
      <c r="G32" s="110">
        <f t="shared" si="21"/>
        <v>0.20284744780792716</v>
      </c>
      <c r="H32" s="409" t="b">
        <f>Wh_hp&gt;='2027'!Maxi_hp</f>
        <v>0</v>
      </c>
      <c r="I32" s="385">
        <f>IF(H32,Wh_hp,'2027'!Maxi_hp)</f>
        <v>4.4766449642017561</v>
      </c>
      <c r="J32" s="85">
        <f>IF(H32,An,'2027'!An_max)</f>
        <v>2022</v>
      </c>
      <c r="K32" s="193">
        <f t="shared" si="3"/>
        <v>46770</v>
      </c>
      <c r="L32" s="143">
        <f>IF(t&lt;Tvie,1-EXP((T0-t)*PertePVj)+'2027'!Pspv,1-EXP((T0-t)*PertePVj)+Pspv)</f>
        <v>3.0304760416018928E-2</v>
      </c>
      <c r="M32" s="836"/>
      <c r="N32" s="836"/>
      <c r="O32" s="48">
        <f>IF(t&lt;Tnet,'2027'!Resal+('2027'!Salim-'2027'!Resal)*(1-EXP(('2027'!Tnet-t)/('2027'!Tau_j))),Resal+(Salim-Resal)*(1-EXP((Tnet-t)/(Tau_j))))*Salcycl</f>
        <v>1.7083017198807084E-2</v>
      </c>
      <c r="P32" s="165">
        <f>(INDEX(Models!$BJ32:$BT32,,T32)*(1-R32)+INDEX(Models!$BJ32:$BT32,,T32+1)*R32-ERP_i)*Q32*Ramure*Pc/MaxiM</f>
        <v>1.674902368441036E-2</v>
      </c>
      <c r="Q32" s="301">
        <f t="shared" si="4"/>
        <v>0.5</v>
      </c>
      <c r="R32" s="173">
        <f t="shared" si="5"/>
        <v>0.99452064684886121</v>
      </c>
      <c r="S32" s="802">
        <f t="shared" si="6"/>
        <v>2</v>
      </c>
      <c r="T32" s="172">
        <f t="shared" si="7"/>
        <v>8</v>
      </c>
      <c r="U32" s="247">
        <f t="shared" si="8"/>
        <v>2.9945206468488612</v>
      </c>
      <c r="V32" s="378">
        <f t="shared" si="9"/>
        <v>20.336001762457396</v>
      </c>
      <c r="W32" s="397">
        <f t="shared" si="10"/>
        <v>4.1953744827078356</v>
      </c>
      <c r="X32" s="153">
        <f t="shared" si="11"/>
        <v>46770</v>
      </c>
      <c r="Y32" s="380">
        <f t="shared" si="12"/>
        <v>4.0646866138531612</v>
      </c>
      <c r="Z32" s="380">
        <f t="shared" si="22"/>
        <v>4.1917155493070117</v>
      </c>
      <c r="AA32" s="381">
        <f t="shared" si="13"/>
        <v>4.40168165798804</v>
      </c>
      <c r="AB32" s="193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4.7701338941672007E-2</v>
      </c>
      <c r="AD32" s="227">
        <f>(INDEX(Models!$BJ32:$BT32,,AH32)*(1-AF32)+INDEX(Models!$BJ32:$BT32,,AH32+1)*AF32-ERP_i)*AE32*Ramure*Pc/MaxiM</f>
        <v>1.674902368441036E-2</v>
      </c>
      <c r="AE32" s="301">
        <f t="shared" si="15"/>
        <v>0.5</v>
      </c>
      <c r="AF32" s="173">
        <f t="shared" si="23"/>
        <v>0.99452064684886121</v>
      </c>
      <c r="AG32" s="802">
        <f t="shared" si="24"/>
        <v>2</v>
      </c>
      <c r="AH32" s="172">
        <f t="shared" si="16"/>
        <v>8</v>
      </c>
      <c r="AI32" s="221">
        <f t="shared" si="17"/>
        <v>2.9945206468488612</v>
      </c>
      <c r="AJ32" s="261" t="b">
        <f t="shared" si="18"/>
        <v>0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46771</v>
      </c>
      <c r="B33" s="406">
        <f>'2027'!Wh/'2027'!Env_an*'2028'!Env_an</f>
        <v>10.608019694318438</v>
      </c>
      <c r="C33" s="832"/>
      <c r="D33" s="388">
        <f t="shared" si="0"/>
        <v>10.939689583026992</v>
      </c>
      <c r="E33" s="380">
        <f t="shared" si="1"/>
        <v>11.130467742912447</v>
      </c>
      <c r="F33" s="380">
        <f t="shared" si="2"/>
        <v>11.187903809732713</v>
      </c>
      <c r="G33" s="110">
        <f t="shared" si="21"/>
        <v>0.5089566278833455</v>
      </c>
      <c r="H33" s="409" t="b">
        <f>Wh_hp&gt;='2027'!Maxi_hp</f>
        <v>0</v>
      </c>
      <c r="I33" s="385">
        <f>IF(H33,Wh_hp,'2027'!Maxi_hp)</f>
        <v>11.319682789711347</v>
      </c>
      <c r="J33" s="85">
        <f>IF(H33,An,'2027'!An_max)</f>
        <v>2022</v>
      </c>
      <c r="K33" s="193">
        <f t="shared" si="3"/>
        <v>46771</v>
      </c>
      <c r="L33" s="143">
        <f>IF(t&lt;Tvie,1-EXP((T0-t)*PertePVj)+'2027'!Pspv,1-EXP((T0-t)*PertePVj)+Pspv)</f>
        <v>3.031803472953587E-2</v>
      </c>
      <c r="M33" s="836"/>
      <c r="N33" s="836"/>
      <c r="O33" s="48">
        <f>IF(t&lt;Tnet,'2027'!Resal+('2027'!Salim-'2027'!Resal)*(1-EXP(('2027'!Tnet-t)/('2027'!Tau_j))),Resal+(Salim-Resal)*(1-EXP((Tnet-t)/(Tau_j))))*Salcycl</f>
        <v>1.7140174545399286E-2</v>
      </c>
      <c r="P33" s="165">
        <f>(INDEX(Models!$BJ33:$BT33,,T33)*(1-R33)+INDEX(Models!$BJ33:$BT33,,T33+1)*R33-ERP_i)*Q33*Ramure*Pc/MaxiM</f>
        <v>1.6718247578454401E-2</v>
      </c>
      <c r="Q33" s="301">
        <f t="shared" si="4"/>
        <v>0.5</v>
      </c>
      <c r="R33" s="173">
        <f t="shared" si="5"/>
        <v>0.99457922881472216</v>
      </c>
      <c r="S33" s="802">
        <f t="shared" si="6"/>
        <v>2</v>
      </c>
      <c r="T33" s="172">
        <f t="shared" si="7"/>
        <v>8</v>
      </c>
      <c r="U33" s="247">
        <f t="shared" si="8"/>
        <v>2.9945792288147222</v>
      </c>
      <c r="V33" s="378">
        <f t="shared" si="9"/>
        <v>20.599981536257246</v>
      </c>
      <c r="W33" s="397">
        <f t="shared" si="10"/>
        <v>10.608019694318438</v>
      </c>
      <c r="X33" s="153">
        <f t="shared" si="11"/>
        <v>46771</v>
      </c>
      <c r="Y33" s="380">
        <f t="shared" si="12"/>
        <v>10.277862818641825</v>
      </c>
      <c r="Z33" s="380">
        <f t="shared" si="22"/>
        <v>10.599210036638269</v>
      </c>
      <c r="AA33" s="381">
        <f t="shared" si="13"/>
        <v>11.130467742912447</v>
      </c>
      <c r="AB33" s="193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4.7730043206177818E-2</v>
      </c>
      <c r="AD33" s="227">
        <f>(INDEX(Models!$BJ33:$BT33,,AH33)*(1-AF33)+INDEX(Models!$BJ33:$BT33,,AH33+1)*AF33-ERP_i)*AE33*Ramure*Pc/MaxiM</f>
        <v>1.6718247578454401E-2</v>
      </c>
      <c r="AE33" s="301">
        <f t="shared" si="15"/>
        <v>0.5</v>
      </c>
      <c r="AF33" s="173">
        <f t="shared" si="23"/>
        <v>0.99457922881472216</v>
      </c>
      <c r="AG33" s="802">
        <f t="shared" si="24"/>
        <v>2</v>
      </c>
      <c r="AH33" s="172">
        <f t="shared" si="16"/>
        <v>8</v>
      </c>
      <c r="AI33" s="221">
        <f t="shared" si="17"/>
        <v>2.9945792288147222</v>
      </c>
      <c r="AJ33" s="261" t="b">
        <f t="shared" si="18"/>
        <v>0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46772</v>
      </c>
      <c r="B34" s="406">
        <f>'2027'!Wh/'2027'!Env_an*'2028'!Env_an</f>
        <v>6.1405590589199051</v>
      </c>
      <c r="C34" s="832"/>
      <c r="D34" s="388">
        <f t="shared" si="0"/>
        <v>6.3326362035152188</v>
      </c>
      <c r="E34" s="380">
        <f t="shared" si="1"/>
        <v>6.4434460805631026</v>
      </c>
      <c r="F34" s="380">
        <f t="shared" si="2"/>
        <v>6.4434460805631026</v>
      </c>
      <c r="G34" s="110">
        <f t="shared" si="21"/>
        <v>0.28930144931907026</v>
      </c>
      <c r="H34" s="409" t="b">
        <f>Wh_hp&gt;='2027'!Maxi_hp</f>
        <v>0</v>
      </c>
      <c r="I34" s="385">
        <f>IF(H34,Wh_hp,'2027'!Maxi_hp)</f>
        <v>6.552768311666</v>
      </c>
      <c r="J34" s="85">
        <f>IF(H34,An,'2027'!An_max)</f>
        <v>2022</v>
      </c>
      <c r="K34" s="193">
        <f t="shared" si="3"/>
        <v>46772</v>
      </c>
      <c r="L34" s="143">
        <f>IF(t&lt;Tvie,1-EXP((T0-t)*PertePVj)+'2027'!Pspv,1-EXP((T0-t)*PertePVj)+Pspv)</f>
        <v>3.0331308861338502E-2</v>
      </c>
      <c r="M34" s="836"/>
      <c r="N34" s="836"/>
      <c r="O34" s="48">
        <f>IF(t&lt;Tnet,'2027'!Resal+('2027'!Salim-'2027'!Resal)*(1-EXP(('2027'!Tnet-t)/('2027'!Tau_j))),Resal+(Salim-Resal)*(1-EXP((Tnet-t)/(Tau_j))))*Salcycl</f>
        <v>1.7197300274172492E-2</v>
      </c>
      <c r="P34" s="165">
        <f>(INDEX(Models!$BJ34:$BT34,,T34)*(1-R34)+INDEX(Models!$BJ34:$BT34,,T34+1)*R34-ERP_i)*Q34*Ramure*Pc/MaxiM</f>
        <v>1.6687461030046556E-2</v>
      </c>
      <c r="Q34" s="301">
        <f t="shared" si="4"/>
        <v>0.5</v>
      </c>
      <c r="R34" s="173">
        <f t="shared" si="5"/>
        <v>0.99464025379476473</v>
      </c>
      <c r="S34" s="802">
        <f t="shared" si="6"/>
        <v>2</v>
      </c>
      <c r="T34" s="172">
        <f t="shared" si="7"/>
        <v>8</v>
      </c>
      <c r="U34" s="247">
        <f t="shared" si="8"/>
        <v>2.9946402537947647</v>
      </c>
      <c r="V34" s="378">
        <f t="shared" si="9"/>
        <v>20.871270203220025</v>
      </c>
      <c r="W34" s="397">
        <f t="shared" si="10"/>
        <v>6.1405590589199051</v>
      </c>
      <c r="X34" s="153">
        <f t="shared" si="11"/>
        <v>46772</v>
      </c>
      <c r="Y34" s="380">
        <f t="shared" si="12"/>
        <v>5.9496106748561397</v>
      </c>
      <c r="Z34" s="380">
        <f t="shared" si="22"/>
        <v>6.1357149397797279</v>
      </c>
      <c r="AA34" s="381">
        <f t="shared" si="13"/>
        <v>6.4434460805631026</v>
      </c>
      <c r="AB34" s="193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4.7758782635220147E-2</v>
      </c>
      <c r="AD34" s="227">
        <f>(INDEX(Models!$BJ34:$BT34,,AH34)*(1-AF34)+INDEX(Models!$BJ34:$BT34,,AH34+1)*AF34-ERP_i)*AE34*Ramure*Pc/MaxiM</f>
        <v>1.6687461030046556E-2</v>
      </c>
      <c r="AE34" s="301">
        <f t="shared" si="15"/>
        <v>0.5</v>
      </c>
      <c r="AF34" s="173">
        <f t="shared" si="23"/>
        <v>0.99464025379476473</v>
      </c>
      <c r="AG34" s="802">
        <f t="shared" si="24"/>
        <v>2</v>
      </c>
      <c r="AH34" s="172">
        <f t="shared" si="16"/>
        <v>8</v>
      </c>
      <c r="AI34" s="221">
        <f t="shared" si="17"/>
        <v>2.9946402537947647</v>
      </c>
      <c r="AJ34" s="261" t="b">
        <f t="shared" si="18"/>
        <v>0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46773</v>
      </c>
      <c r="B35" s="406">
        <f>'2027'!Wh/'2027'!Env_an*'2028'!Env_an</f>
        <v>17.285661094004109</v>
      </c>
      <c r="C35" s="832"/>
      <c r="D35" s="388">
        <f t="shared" si="0"/>
        <v>17.826601891342335</v>
      </c>
      <c r="E35" s="380">
        <f t="shared" si="1"/>
        <v>18.139589543357012</v>
      </c>
      <c r="F35" s="380">
        <f t="shared" si="2"/>
        <v>18.365653726569132</v>
      </c>
      <c r="G35" s="110">
        <f t="shared" si="21"/>
        <v>0.81369273167599354</v>
      </c>
      <c r="H35" s="409" t="b">
        <f>Wh_hp&gt;='2027'!Maxi_hp</f>
        <v>0</v>
      </c>
      <c r="I35" s="385">
        <f>IF(H35,Wh_hp,'2027'!Maxi_hp)</f>
        <v>18.44683212449177</v>
      </c>
      <c r="J35" s="85">
        <f>IF(H35,An,'2027'!An_max)</f>
        <v>2022</v>
      </c>
      <c r="K35" s="193">
        <f t="shared" si="3"/>
        <v>46773</v>
      </c>
      <c r="L35" s="143">
        <f>IF(t&lt;Tvie,1-EXP((T0-t)*PertePVj)+'2027'!Pspv,1-EXP((T0-t)*PertePVj)+Pspv)</f>
        <v>3.0344582811429599E-2</v>
      </c>
      <c r="M35" s="836"/>
      <c r="N35" s="836"/>
      <c r="O35" s="48">
        <f>IF(t&lt;Tnet,'2027'!Resal+('2027'!Salim-'2027'!Resal)*(1-EXP(('2027'!Tnet-t)/('2027'!Tau_j))),Resal+(Salim-Resal)*(1-EXP((Tnet-t)/(Tau_j))))*Salcycl</f>
        <v>1.7254395490403848E-2</v>
      </c>
      <c r="P35" s="165">
        <f>(INDEX(Models!$BJ35:$BT35,,T35)*(1-R35)+INDEX(Models!$BJ35:$BT35,,T35+1)*R35-ERP_i)*Q35*Ramure*Pc/MaxiM</f>
        <v>1.6656704493499475E-2</v>
      </c>
      <c r="Q35" s="301">
        <f t="shared" si="4"/>
        <v>0.5</v>
      </c>
      <c r="R35" s="173">
        <f t="shared" si="5"/>
        <v>0.99470382303200111</v>
      </c>
      <c r="S35" s="802">
        <f t="shared" si="6"/>
        <v>2</v>
      </c>
      <c r="T35" s="172">
        <f t="shared" si="7"/>
        <v>8</v>
      </c>
      <c r="U35" s="247">
        <f t="shared" si="8"/>
        <v>2.9947038230320011</v>
      </c>
      <c r="V35" s="378">
        <f t="shared" si="9"/>
        <v>21.14996505903521</v>
      </c>
      <c r="W35" s="397">
        <f t="shared" si="10"/>
        <v>17.285661094004109</v>
      </c>
      <c r="X35" s="153">
        <f t="shared" si="11"/>
        <v>46773</v>
      </c>
      <c r="Y35" s="380">
        <f t="shared" si="12"/>
        <v>16.748608650719866</v>
      </c>
      <c r="Z35" s="380">
        <f t="shared" si="22"/>
        <v>17.27274282577719</v>
      </c>
      <c r="AA35" s="381">
        <f t="shared" si="13"/>
        <v>18.139589543357012</v>
      </c>
      <c r="AB35" s="193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4.7787559663789295E-2</v>
      </c>
      <c r="AD35" s="227">
        <f>(INDEX(Models!$BJ35:$BT35,,AH35)*(1-AF35)+INDEX(Models!$BJ35:$BT35,,AH35+1)*AF35-ERP_i)*AE35*Ramure*Pc/MaxiM</f>
        <v>1.6656704493499475E-2</v>
      </c>
      <c r="AE35" s="301">
        <f t="shared" si="15"/>
        <v>0.5</v>
      </c>
      <c r="AF35" s="173">
        <f t="shared" si="23"/>
        <v>0.99470382303200111</v>
      </c>
      <c r="AG35" s="802">
        <f t="shared" si="24"/>
        <v>2</v>
      </c>
      <c r="AH35" s="172">
        <f t="shared" si="16"/>
        <v>8</v>
      </c>
      <c r="AI35" s="221">
        <f t="shared" si="17"/>
        <v>2.9947038230320011</v>
      </c>
      <c r="AJ35" s="261" t="b">
        <f t="shared" si="18"/>
        <v>0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46774</v>
      </c>
      <c r="B36" s="406">
        <f>'2027'!Wh/'2027'!Env_an*'2028'!Env_an</f>
        <v>21.317665467060561</v>
      </c>
      <c r="C36" s="832"/>
      <c r="D36" s="388">
        <f t="shared" si="0"/>
        <v>21.985085540803148</v>
      </c>
      <c r="E36" s="380">
        <f t="shared" si="1"/>
        <v>22.372384203810462</v>
      </c>
      <c r="F36" s="380">
        <f t="shared" si="2"/>
        <v>22.747598159398137</v>
      </c>
      <c r="G36" s="110">
        <f t="shared" si="21"/>
        <v>0.99433923703666549</v>
      </c>
      <c r="H36" s="409" t="b">
        <f>Wh_hp&gt;='2027'!Maxi_hp</f>
        <v>0</v>
      </c>
      <c r="I36" s="385">
        <f>IF(H36,Wh_hp,'2027'!Maxi_hp)</f>
        <v>22.750634528837967</v>
      </c>
      <c r="J36" s="85">
        <f>IF(H36,An,'2027'!An_max)</f>
        <v>2022</v>
      </c>
      <c r="K36" s="193">
        <f t="shared" si="3"/>
        <v>46774</v>
      </c>
      <c r="L36" s="143">
        <f>IF(t&lt;Tvie,1-EXP((T0-t)*PertePVj)+'2027'!Pspv,1-EXP((T0-t)*PertePVj)+Pspv)</f>
        <v>3.0357856579811382E-2</v>
      </c>
      <c r="M36" s="836"/>
      <c r="N36" s="836"/>
      <c r="O36" s="48">
        <f>IF(t&lt;Tnet,'2027'!Resal+('2027'!Salim-'2027'!Resal)*(1-EXP(('2027'!Tnet-t)/('2027'!Tau_j))),Resal+(Salim-Resal)*(1-EXP((Tnet-t)/(Tau_j))))*Salcycl</f>
        <v>1.7311461285442746E-2</v>
      </c>
      <c r="P36" s="165">
        <f>(INDEX(Models!$BJ36:$BT36,,T36)*(1-R36)+INDEX(Models!$BJ36:$BT36,,T36+1)*R36-ERP_i)*Q36*Ramure*Pc/MaxiM</f>
        <v>1.6625960169085803E-2</v>
      </c>
      <c r="Q36" s="301">
        <f t="shared" si="4"/>
        <v>0.5</v>
      </c>
      <c r="R36" s="173">
        <f t="shared" si="5"/>
        <v>0.99477004191078322</v>
      </c>
      <c r="S36" s="802">
        <f t="shared" si="6"/>
        <v>2</v>
      </c>
      <c r="T36" s="172">
        <f t="shared" si="7"/>
        <v>8</v>
      </c>
      <c r="U36" s="247">
        <f t="shared" si="8"/>
        <v>2.9947700419107832</v>
      </c>
      <c r="V36" s="378">
        <f t="shared" si="9"/>
        <v>21.436164613002049</v>
      </c>
      <c r="W36" s="397">
        <f t="shared" si="10"/>
        <v>21.317665467060561</v>
      </c>
      <c r="X36" s="153">
        <f t="shared" si="11"/>
        <v>46774</v>
      </c>
      <c r="Y36" s="380">
        <f t="shared" si="12"/>
        <v>20.655916036251888</v>
      </c>
      <c r="Z36" s="380">
        <f t="shared" si="22"/>
        <v>21.302617853833084</v>
      </c>
      <c r="AA36" s="381">
        <f t="shared" si="13"/>
        <v>22.372384203810462</v>
      </c>
      <c r="AB36" s="193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4.7816376664726483E-2</v>
      </c>
      <c r="AD36" s="227">
        <f>(INDEX(Models!$BJ36:$BT36,,AH36)*(1-AF36)+INDEX(Models!$BJ36:$BT36,,AH36+1)*AF36-ERP_i)*AE36*Ramure*Pc/MaxiM</f>
        <v>1.6625960169085803E-2</v>
      </c>
      <c r="AE36" s="301">
        <f t="shared" si="15"/>
        <v>0.5</v>
      </c>
      <c r="AF36" s="173">
        <f t="shared" si="23"/>
        <v>0.99477004191078322</v>
      </c>
      <c r="AG36" s="802">
        <f t="shared" si="24"/>
        <v>2</v>
      </c>
      <c r="AH36" s="172">
        <f t="shared" si="16"/>
        <v>8</v>
      </c>
      <c r="AI36" s="221">
        <f t="shared" si="17"/>
        <v>2.9947700419107832</v>
      </c>
      <c r="AJ36" s="261" t="b">
        <f t="shared" si="18"/>
        <v>0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46775</v>
      </c>
      <c r="B37" s="406">
        <f>'2027'!Wh/'2027'!Env_an*'2028'!Env_an</f>
        <v>21.388308608891357</v>
      </c>
      <c r="C37" s="832"/>
      <c r="D37" s="388">
        <f t="shared" si="0"/>
        <v>22.058242358814827</v>
      </c>
      <c r="E37" s="380">
        <f t="shared" si="1"/>
        <v>22.448132722982209</v>
      </c>
      <c r="F37" s="380">
        <f t="shared" si="2"/>
        <v>22.818227224667091</v>
      </c>
      <c r="G37" s="110">
        <f t="shared" si="21"/>
        <v>0.98382177958607264</v>
      </c>
      <c r="H37" s="409" t="b">
        <f>Wh_hp&gt;='2027'!Maxi_hp</f>
        <v>0</v>
      </c>
      <c r="I37" s="385">
        <f>IF(H37,Wh_hp,'2027'!Maxi_hp)</f>
        <v>22.826917337644495</v>
      </c>
      <c r="J37" s="85">
        <f>IF(H37,An,'2027'!An_max)</f>
        <v>2022</v>
      </c>
      <c r="K37" s="193">
        <f t="shared" si="3"/>
        <v>46775</v>
      </c>
      <c r="L37" s="143">
        <f>IF(t&lt;Tvie,1-EXP((T0-t)*PertePVj)+'2027'!Pspv,1-EXP((T0-t)*PertePVj)+Pspv)</f>
        <v>3.0371130166486404E-2</v>
      </c>
      <c r="M37" s="836"/>
      <c r="N37" s="836"/>
      <c r="O37" s="48">
        <f>IF(t&lt;Tnet,'2027'!Resal+('2027'!Salim-'2027'!Resal)*(1-EXP(('2027'!Tnet-t)/('2027'!Tau_j))),Resal+(Salim-Resal)*(1-EXP((Tnet-t)/(Tau_j))))*Salcycl</f>
        <v>1.7368498706719422E-2</v>
      </c>
      <c r="P37" s="165">
        <f>(INDEX(Models!$BJ37:$BT37,,T37)*(1-R37)+INDEX(Models!$BJ37:$BT37,,T37+1)*R37-ERP_i)*Q37*Ramure*Pc/MaxiM</f>
        <v>1.6593877582765724E-2</v>
      </c>
      <c r="Q37" s="301">
        <f t="shared" si="4"/>
        <v>0.5</v>
      </c>
      <c r="R37" s="173">
        <f t="shared" si="5"/>
        <v>0.99483902012156022</v>
      </c>
      <c r="S37" s="802">
        <f t="shared" si="6"/>
        <v>2</v>
      </c>
      <c r="T37" s="172">
        <f t="shared" si="7"/>
        <v>8</v>
      </c>
      <c r="U37" s="247">
        <f t="shared" si="8"/>
        <v>2.9948390201215602</v>
      </c>
      <c r="V37" s="378">
        <f t="shared" si="9"/>
        <v>21.731744785088576</v>
      </c>
      <c r="W37" s="397">
        <f t="shared" si="10"/>
        <v>21.388308608891357</v>
      </c>
      <c r="X37" s="153">
        <f t="shared" si="11"/>
        <v>46775</v>
      </c>
      <c r="Y37" s="380">
        <f t="shared" si="12"/>
        <v>20.72494105053438</v>
      </c>
      <c r="Z37" s="380">
        <f t="shared" si="22"/>
        <v>21.374096518075905</v>
      </c>
      <c r="AA37" s="381">
        <f t="shared" si="13"/>
        <v>22.448132722982209</v>
      </c>
      <c r="AB37" s="193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4.7845235867066731E-2</v>
      </c>
      <c r="AD37" s="227">
        <f>(INDEX(Models!$BJ37:$BT37,,AH37)*(1-AF37)+INDEX(Models!$BJ37:$BT37,,AH37+1)*AF37-ERP_i)*AE37*Ramure*Pc/MaxiM</f>
        <v>1.6593877582765724E-2</v>
      </c>
      <c r="AE37" s="301">
        <f t="shared" si="15"/>
        <v>0.5</v>
      </c>
      <c r="AF37" s="173">
        <f t="shared" si="23"/>
        <v>0.99483902012156022</v>
      </c>
      <c r="AG37" s="802">
        <f t="shared" si="24"/>
        <v>2</v>
      </c>
      <c r="AH37" s="172">
        <f t="shared" si="16"/>
        <v>8</v>
      </c>
      <c r="AI37" s="221">
        <f t="shared" si="17"/>
        <v>2.9948390201215602</v>
      </c>
      <c r="AJ37" s="261" t="b">
        <f t="shared" si="18"/>
        <v>0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46776</v>
      </c>
      <c r="B38" s="406">
        <f>'2027'!Wh/'2027'!Env_an*'2028'!Env_an</f>
        <v>21.9197977081439</v>
      </c>
      <c r="C38" s="832"/>
      <c r="D38" s="388">
        <f t="shared" si="0"/>
        <v>22.606688453530161</v>
      </c>
      <c r="E38" s="380">
        <f t="shared" si="1"/>
        <v>23.007607722751544</v>
      </c>
      <c r="F38" s="380">
        <f t="shared" si="2"/>
        <v>23.390798715761449</v>
      </c>
      <c r="G38" s="110">
        <f t="shared" si="21"/>
        <v>0.99446185322767955</v>
      </c>
      <c r="H38" s="409" t="b">
        <f>Wh_hp&gt;='2027'!Maxi_hp</f>
        <v>0</v>
      </c>
      <c r="I38" s="385">
        <f>IF(H38,Wh_hp,'2027'!Maxi_hp)</f>
        <v>23.393832011186525</v>
      </c>
      <c r="J38" s="85">
        <f>IF(H38,An,'2027'!An_max)</f>
        <v>2022</v>
      </c>
      <c r="K38" s="193">
        <f t="shared" si="3"/>
        <v>46776</v>
      </c>
      <c r="L38" s="143">
        <f>IF(t&lt;Tvie,1-EXP((T0-t)*PertePVj)+'2027'!Pspv,1-EXP((T0-t)*PertePVj)+Pspv)</f>
        <v>3.0384403571457219E-2</v>
      </c>
      <c r="M38" s="836"/>
      <c r="N38" s="836"/>
      <c r="O38" s="48">
        <f>IF(t&lt;Tnet,'2027'!Resal+('2027'!Salim-'2027'!Resal)*(1-EXP(('2027'!Tnet-t)/('2027'!Tau_j))),Resal+(Salim-Resal)*(1-EXP((Tnet-t)/(Tau_j))))*Salcycl</f>
        <v>1.7425508729659204E-2</v>
      </c>
      <c r="P38" s="165">
        <f>(INDEX(Models!$BJ38:$BT38,,T38)*(1-R38)+INDEX(Models!$BJ38:$BT38,,T38+1)*R38-ERP_i)*Q38*Ramure*Pc/MaxiM</f>
        <v>1.6509701491953591E-2</v>
      </c>
      <c r="Q38" s="301">
        <f t="shared" si="4"/>
        <v>0.5</v>
      </c>
      <c r="R38" s="173">
        <f t="shared" si="5"/>
        <v>0.99491087183178983</v>
      </c>
      <c r="S38" s="802">
        <f t="shared" si="6"/>
        <v>2</v>
      </c>
      <c r="T38" s="172">
        <f t="shared" si="7"/>
        <v>8</v>
      </c>
      <c r="U38" s="247">
        <f t="shared" si="8"/>
        <v>2.9949108718317898</v>
      </c>
      <c r="V38" s="378">
        <f t="shared" si="9"/>
        <v>22.039009958693946</v>
      </c>
      <c r="W38" s="397">
        <f t="shared" si="10"/>
        <v>21.9197977081439</v>
      </c>
      <c r="X38" s="153">
        <f t="shared" si="11"/>
        <v>46776</v>
      </c>
      <c r="Y38" s="380">
        <f t="shared" si="12"/>
        <v>21.240533359126726</v>
      </c>
      <c r="Z38" s="380">
        <f t="shared" si="22"/>
        <v>21.906138306111785</v>
      </c>
      <c r="AA38" s="381">
        <f t="shared" si="13"/>
        <v>23.007607722751544</v>
      </c>
      <c r="AB38" s="193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4.7874139280919242E-2</v>
      </c>
      <c r="AD38" s="227">
        <f>(INDEX(Models!$BJ38:$BT38,,AH38)*(1-AF38)+INDEX(Models!$BJ38:$BT38,,AH38+1)*AF38-ERP_i)*AE38*Ramure*Pc/MaxiM</f>
        <v>1.6509701491953591E-2</v>
      </c>
      <c r="AE38" s="301">
        <f t="shared" si="15"/>
        <v>0.5</v>
      </c>
      <c r="AF38" s="173">
        <f t="shared" si="23"/>
        <v>0.99491087183178983</v>
      </c>
      <c r="AG38" s="802">
        <f t="shared" si="24"/>
        <v>2</v>
      </c>
      <c r="AH38" s="172">
        <f t="shared" si="16"/>
        <v>8</v>
      </c>
      <c r="AI38" s="221">
        <f t="shared" si="17"/>
        <v>2.9949108718317898</v>
      </c>
      <c r="AJ38" s="261" t="b">
        <f t="shared" si="18"/>
        <v>0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46777</v>
      </c>
      <c r="B39" s="406">
        <f>'2027'!Wh/'2027'!Env_an*'2028'!Env_an</f>
        <v>20.529790762059804</v>
      </c>
      <c r="C39" s="832"/>
      <c r="D39" s="388">
        <f t="shared" si="0"/>
        <v>21.173413337329077</v>
      </c>
      <c r="E39" s="380">
        <f t="shared" si="1"/>
        <v>21.55016391048801</v>
      </c>
      <c r="F39" s="380">
        <f t="shared" si="2"/>
        <v>21.866235331686401</v>
      </c>
      <c r="G39" s="110">
        <f t="shared" si="21"/>
        <v>0.91647996988725811</v>
      </c>
      <c r="H39" s="409" t="b">
        <f>Wh_hp&gt;='2027'!Maxi_hp</f>
        <v>0</v>
      </c>
      <c r="I39" s="385">
        <f>IF(H39,Wh_hp,'2027'!Maxi_hp)</f>
        <v>21.908704752489474</v>
      </c>
      <c r="J39" s="85">
        <f>IF(H39,An,'2027'!An_max)</f>
        <v>2022</v>
      </c>
      <c r="K39" s="193">
        <f t="shared" si="3"/>
        <v>46777</v>
      </c>
      <c r="L39" s="143">
        <f>IF(t&lt;Tvie,1-EXP((T0-t)*PertePVj)+'2027'!Pspv,1-EXP((T0-t)*PertePVj)+Pspv)</f>
        <v>3.0397676794726158E-2</v>
      </c>
      <c r="M39" s="836"/>
      <c r="N39" s="836"/>
      <c r="O39" s="48">
        <f>IF(t&lt;Tnet,'2027'!Resal+('2027'!Salim-'2027'!Resal)*(1-EXP(('2027'!Tnet-t)/('2027'!Tau_j))),Resal+(Salim-Resal)*(1-EXP((Tnet-t)/(Tau_j))))*Salcycl</f>
        <v>1.7482492231791207E-2</v>
      </c>
      <c r="P39" s="165">
        <f>(INDEX(Models!$BJ39:$BT39,,T39)*(1-R39)+INDEX(Models!$BJ39:$BT39,,T39+1)*R39-ERP_i)*Q39*Ramure*Pc/MaxiM</f>
        <v>1.6365818018385082E-2</v>
      </c>
      <c r="Q39" s="301">
        <f t="shared" si="4"/>
        <v>0.5</v>
      </c>
      <c r="R39" s="173">
        <f t="shared" si="5"/>
        <v>0.99498571586319828</v>
      </c>
      <c r="S39" s="802">
        <f t="shared" si="6"/>
        <v>2</v>
      </c>
      <c r="T39" s="172">
        <f t="shared" si="7"/>
        <v>8</v>
      </c>
      <c r="U39" s="247">
        <f t="shared" si="8"/>
        <v>2.9949857158631983</v>
      </c>
      <c r="V39" s="378">
        <f t="shared" si="9"/>
        <v>22.357261052568798</v>
      </c>
      <c r="W39" s="397">
        <f t="shared" si="10"/>
        <v>20.529790762059804</v>
      </c>
      <c r="X39" s="153">
        <f t="shared" si="11"/>
        <v>46777</v>
      </c>
      <c r="Y39" s="380">
        <f t="shared" si="12"/>
        <v>19.894149693106662</v>
      </c>
      <c r="Z39" s="380">
        <f t="shared" si="22"/>
        <v>20.517844498702676</v>
      </c>
      <c r="AA39" s="381">
        <f t="shared" si="13"/>
        <v>21.55016391048801</v>
      </c>
      <c r="AB39" s="193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4.7903088629545211E-2</v>
      </c>
      <c r="AD39" s="227">
        <f>(INDEX(Models!$BJ39:$BT39,,AH39)*(1-AF39)+INDEX(Models!$BJ39:$BT39,,AH39+1)*AF39-ERP_i)*AE39*Ramure*Pc/MaxiM</f>
        <v>1.6365818018385082E-2</v>
      </c>
      <c r="AE39" s="301">
        <f t="shared" si="15"/>
        <v>0.5</v>
      </c>
      <c r="AF39" s="173">
        <f t="shared" si="23"/>
        <v>0.99498571586319828</v>
      </c>
      <c r="AG39" s="802">
        <f t="shared" si="24"/>
        <v>2</v>
      </c>
      <c r="AH39" s="172">
        <f t="shared" si="16"/>
        <v>8</v>
      </c>
      <c r="AI39" s="221">
        <f t="shared" si="17"/>
        <v>2.9949857158631983</v>
      </c>
      <c r="AJ39" s="261" t="b">
        <f t="shared" si="18"/>
        <v>0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46778</v>
      </c>
      <c r="B40" s="406">
        <f>'2027'!Wh/'2027'!Env_an*'2028'!Env_an</f>
        <v>22.094763289737759</v>
      </c>
      <c r="C40" s="832"/>
      <c r="D40" s="388">
        <f t="shared" si="0"/>
        <v>22.787760738435846</v>
      </c>
      <c r="E40" s="380">
        <f t="shared" si="1"/>
        <v>23.194580930220631</v>
      </c>
      <c r="F40" s="380">
        <f t="shared" si="2"/>
        <v>23.561292940479831</v>
      </c>
      <c r="G40" s="110">
        <f t="shared" si="21"/>
        <v>0.97336218161511823</v>
      </c>
      <c r="H40" s="409" t="b">
        <f>Wh_hp&gt;='2027'!Maxi_hp</f>
        <v>0</v>
      </c>
      <c r="I40" s="385">
        <f>IF(H40,Wh_hp,'2027'!Maxi_hp)</f>
        <v>23.575691488486939</v>
      </c>
      <c r="J40" s="85">
        <f>IF(H40,An,'2027'!An_max)</f>
        <v>2022</v>
      </c>
      <c r="K40" s="193">
        <f t="shared" si="3"/>
        <v>46778</v>
      </c>
      <c r="L40" s="143">
        <f>IF(t&lt;Tvie,1-EXP((T0-t)*PertePVj)+'2027'!Pspv,1-EXP((T0-t)*PertePVj)+Pspv)</f>
        <v>3.0410949836295886E-2</v>
      </c>
      <c r="M40" s="836"/>
      <c r="N40" s="836"/>
      <c r="O40" s="48">
        <f>IF(t&lt;Tnet,'2027'!Resal+('2027'!Salim-'2027'!Resal)*(1-EXP(('2027'!Tnet-t)/('2027'!Tau_j))),Resal+(Salim-Resal)*(1-EXP((Tnet-t)/(Tau_j))))*Salcycl</f>
        <v>1.7539449969313045E-2</v>
      </c>
      <c r="P40" s="165">
        <f>(INDEX(Models!$BJ40:$BT40,,T40)*(1-R40)+INDEX(Models!$BJ40:$BT40,,T40+1)*R40-ERP_i)*Q40*Ramure*Pc/MaxiM</f>
        <v>1.6165596507738963E-2</v>
      </c>
      <c r="Q40" s="301">
        <f t="shared" si="4"/>
        <v>0.5</v>
      </c>
      <c r="R40" s="173">
        <f t="shared" si="5"/>
        <v>0.99506367587559064</v>
      </c>
      <c r="S40" s="802">
        <f t="shared" si="6"/>
        <v>2</v>
      </c>
      <c r="T40" s="172">
        <f t="shared" si="7"/>
        <v>8</v>
      </c>
      <c r="U40" s="247">
        <f t="shared" si="8"/>
        <v>2.9950636758755906</v>
      </c>
      <c r="V40" s="378">
        <f t="shared" si="9"/>
        <v>22.685558651797457</v>
      </c>
      <c r="W40" s="397">
        <f t="shared" si="10"/>
        <v>22.094763289737759</v>
      </c>
      <c r="X40" s="153">
        <f t="shared" si="11"/>
        <v>46778</v>
      </c>
      <c r="Y40" s="380">
        <f t="shared" si="12"/>
        <v>21.411256880118181</v>
      </c>
      <c r="Z40" s="380">
        <f t="shared" si="22"/>
        <v>22.082816298825914</v>
      </c>
      <c r="AA40" s="381">
        <f t="shared" si="13"/>
        <v>23.194580930220631</v>
      </c>
      <c r="AB40" s="193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4.7932085289205527E-2</v>
      </c>
      <c r="AD40" s="227">
        <f>(INDEX(Models!$BJ40:$BT40,,AH40)*(1-AF40)+INDEX(Models!$BJ40:$BT40,,AH40+1)*AF40-ERP_i)*AE40*Ramure*Pc/MaxiM</f>
        <v>1.6165596507738963E-2</v>
      </c>
      <c r="AE40" s="301">
        <f t="shared" si="15"/>
        <v>0.5</v>
      </c>
      <c r="AF40" s="173">
        <f t="shared" si="23"/>
        <v>0.99506367587559064</v>
      </c>
      <c r="AG40" s="802">
        <f t="shared" si="24"/>
        <v>2</v>
      </c>
      <c r="AH40" s="172">
        <f t="shared" si="16"/>
        <v>8</v>
      </c>
      <c r="AI40" s="221">
        <f t="shared" si="17"/>
        <v>2.9950636758755906</v>
      </c>
      <c r="AJ40" s="261" t="b">
        <f t="shared" si="18"/>
        <v>0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46779</v>
      </c>
      <c r="B41" s="406">
        <f>'2027'!Wh/'2027'!Env_an*'2028'!Env_an</f>
        <v>18.498943329789693</v>
      </c>
      <c r="C41" s="832"/>
      <c r="D41" s="388">
        <f t="shared" si="0"/>
        <v>19.079419848163937</v>
      </c>
      <c r="E41" s="380">
        <f t="shared" si="1"/>
        <v>19.421162045199996</v>
      </c>
      <c r="F41" s="380">
        <f t="shared" si="2"/>
        <v>19.646020448234264</v>
      </c>
      <c r="G41" s="110">
        <f t="shared" si="21"/>
        <v>0.79986900861330823</v>
      </c>
      <c r="H41" s="409" t="b">
        <f>Wh_hp&gt;='2027'!Maxi_hp</f>
        <v>0</v>
      </c>
      <c r="I41" s="385">
        <f>IF(H41,Wh_hp,'2027'!Maxi_hp)</f>
        <v>19.735165141649773</v>
      </c>
      <c r="J41" s="85">
        <f>IF(H41,An,'2027'!An_max)</f>
        <v>2022</v>
      </c>
      <c r="K41" s="193">
        <f t="shared" si="3"/>
        <v>46779</v>
      </c>
      <c r="L41" s="143">
        <f>IF(t&lt;Tvie,1-EXP((T0-t)*PertePVj)+'2027'!Pspv,1-EXP((T0-t)*PertePVj)+Pspv)</f>
        <v>3.0424222696168846E-2</v>
      </c>
      <c r="M41" s="836"/>
      <c r="N41" s="836"/>
      <c r="O41" s="48">
        <f>IF(t&lt;Tnet,'2027'!Resal+('2027'!Salim-'2027'!Resal)*(1-EXP(('2027'!Tnet-t)/('2027'!Tau_j))),Resal+(Salim-Resal)*(1-EXP((Tnet-t)/(Tau_j))))*Salcycl</f>
        <v>1.7596382556342455E-2</v>
      </c>
      <c r="P41" s="165">
        <f>(INDEX(Models!$BJ41:$BT41,,T41)*(1-R41)+INDEX(Models!$BJ41:$BT41,,T41+1)*R41-ERP_i)*Q41*Ramure*Pc/MaxiM</f>
        <v>1.5912315984849927E-2</v>
      </c>
      <c r="Q41" s="301">
        <f t="shared" si="4"/>
        <v>0.5</v>
      </c>
      <c r="R41" s="173">
        <f t="shared" si="5"/>
        <v>0.99514488055741257</v>
      </c>
      <c r="S41" s="802">
        <f t="shared" si="6"/>
        <v>2</v>
      </c>
      <c r="T41" s="172">
        <f t="shared" si="7"/>
        <v>8</v>
      </c>
      <c r="U41" s="247">
        <f t="shared" si="8"/>
        <v>2.9951448805574126</v>
      </c>
      <c r="V41" s="378">
        <f t="shared" si="9"/>
        <v>23.022963673711171</v>
      </c>
      <c r="W41" s="397">
        <f t="shared" si="10"/>
        <v>18.498943329789693</v>
      </c>
      <c r="X41" s="153">
        <f t="shared" si="11"/>
        <v>46779</v>
      </c>
      <c r="Y41" s="380">
        <f t="shared" si="12"/>
        <v>17.927166377222825</v>
      </c>
      <c r="Z41" s="380">
        <f t="shared" si="22"/>
        <v>18.489701162991285</v>
      </c>
      <c r="AA41" s="381">
        <f t="shared" si="13"/>
        <v>19.421162045199996</v>
      </c>
      <c r="AB41" s="193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4.7961130237257156E-2</v>
      </c>
      <c r="AD41" s="227">
        <f>(INDEX(Models!$BJ41:$BT41,,AH41)*(1-AF41)+INDEX(Models!$BJ41:$BT41,,AH41+1)*AF41-ERP_i)*AE41*Ramure*Pc/MaxiM</f>
        <v>1.5912315984849927E-2</v>
      </c>
      <c r="AE41" s="301">
        <f t="shared" si="15"/>
        <v>0.5</v>
      </c>
      <c r="AF41" s="173">
        <f t="shared" si="23"/>
        <v>0.99514488055741257</v>
      </c>
      <c r="AG41" s="802">
        <f t="shared" si="24"/>
        <v>2</v>
      </c>
      <c r="AH41" s="172">
        <f t="shared" si="16"/>
        <v>8</v>
      </c>
      <c r="AI41" s="221">
        <f t="shared" si="17"/>
        <v>2.9951448805574126</v>
      </c>
      <c r="AJ41" s="261" t="b">
        <f t="shared" si="18"/>
        <v>0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46780</v>
      </c>
      <c r="B42" s="406">
        <f>'2027'!Wh/'2027'!Env_an*'2028'!Env_an</f>
        <v>4.4128759892506606</v>
      </c>
      <c r="C42" s="832"/>
      <c r="D42" s="388">
        <f t="shared" si="0"/>
        <v>4.5514094946921126</v>
      </c>
      <c r="E42" s="380">
        <f t="shared" si="1"/>
        <v>4.6332007329300353</v>
      </c>
      <c r="F42" s="380">
        <f t="shared" si="2"/>
        <v>4.6332007329300353</v>
      </c>
      <c r="G42" s="110">
        <f t="shared" si="21"/>
        <v>0.18589074390159582</v>
      </c>
      <c r="H42" s="409" t="b">
        <f>Wh_hp&gt;='2027'!Maxi_hp</f>
        <v>0</v>
      </c>
      <c r="I42" s="385">
        <f>IF(H42,Wh_hp,'2027'!Maxi_hp)</f>
        <v>4.7066426478923402</v>
      </c>
      <c r="J42" s="85">
        <f>IF(H42,An,'2027'!An_max)</f>
        <v>2022</v>
      </c>
      <c r="K42" s="193">
        <f t="shared" si="3"/>
        <v>46780</v>
      </c>
      <c r="L42" s="143">
        <f>IF(t&lt;Tvie,1-EXP((T0-t)*PertePVj)+'2027'!Pspv,1-EXP((T0-t)*PertePVj)+Pspv)</f>
        <v>3.0437495374347479E-2</v>
      </c>
      <c r="M42" s="836"/>
      <c r="N42" s="836"/>
      <c r="O42" s="48">
        <f>IF(t&lt;Tnet,'2027'!Resal+('2027'!Salim-'2027'!Resal)*(1-EXP(('2027'!Tnet-t)/('2027'!Tau_j))),Resal+(Salim-Resal)*(1-EXP((Tnet-t)/(Tau_j))))*Salcycl</f>
        <v>1.7653290447055062E-2</v>
      </c>
      <c r="P42" s="165">
        <f>(INDEX(Models!$BJ42:$BT42,,T42)*(1-R42)+INDEX(Models!$BJ42:$BT42,,T42+1)*R42-ERP_i)*Q42*Ramure*Pc/MaxiM</f>
        <v>1.5609137395364377E-2</v>
      </c>
      <c r="Q42" s="301">
        <f t="shared" si="4"/>
        <v>0.5</v>
      </c>
      <c r="R42" s="173">
        <f t="shared" si="5"/>
        <v>0.99522946382325861</v>
      </c>
      <c r="S42" s="802">
        <f t="shared" si="6"/>
        <v>2</v>
      </c>
      <c r="T42" s="172">
        <f t="shared" si="7"/>
        <v>8</v>
      </c>
      <c r="U42" s="247">
        <f t="shared" si="8"/>
        <v>2.9952294638232586</v>
      </c>
      <c r="V42" s="378">
        <f t="shared" si="9"/>
        <v>23.36853740240721</v>
      </c>
      <c r="W42" s="397">
        <f t="shared" si="10"/>
        <v>4.4128759892506606</v>
      </c>
      <c r="X42" s="153">
        <f t="shared" si="11"/>
        <v>46780</v>
      </c>
      <c r="Y42" s="380">
        <f t="shared" si="12"/>
        <v>4.2765970926038754</v>
      </c>
      <c r="Z42" s="380">
        <f t="shared" si="22"/>
        <v>4.4108523918786098</v>
      </c>
      <c r="AA42" s="381">
        <f t="shared" si="13"/>
        <v>4.6332007329300353</v>
      </c>
      <c r="AB42" s="193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4.7990224008881317E-2</v>
      </c>
      <c r="AD42" s="227">
        <f>(INDEX(Models!$BJ42:$BT42,,AH42)*(1-AF42)+INDEX(Models!$BJ42:$BT42,,AH42+1)*AF42-ERP_i)*AE42*Ramure*Pc/MaxiM</f>
        <v>1.5609137395364377E-2</v>
      </c>
      <c r="AE42" s="301">
        <f t="shared" si="15"/>
        <v>0.5</v>
      </c>
      <c r="AF42" s="173">
        <f t="shared" si="23"/>
        <v>0.99522946382325861</v>
      </c>
      <c r="AG42" s="802">
        <f t="shared" si="24"/>
        <v>2</v>
      </c>
      <c r="AH42" s="172">
        <f t="shared" si="16"/>
        <v>8</v>
      </c>
      <c r="AI42" s="221">
        <f t="shared" si="17"/>
        <v>2.9952294638232586</v>
      </c>
      <c r="AJ42" s="261" t="b">
        <f t="shared" si="18"/>
        <v>0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46781</v>
      </c>
      <c r="B43" s="406">
        <f>'2027'!Wh/'2027'!Env_an*'2028'!Env_an</f>
        <v>6.6330602170288557</v>
      </c>
      <c r="C43" s="832"/>
      <c r="D43" s="388">
        <f t="shared" si="0"/>
        <v>6.8413856637918347</v>
      </c>
      <c r="E43" s="380">
        <f t="shared" si="1"/>
        <v>6.9647322838511645</v>
      </c>
      <c r="F43" s="380">
        <f t="shared" si="2"/>
        <v>6.9647322838511645</v>
      </c>
      <c r="G43" s="110">
        <f t="shared" si="21"/>
        <v>0.27535735324929778</v>
      </c>
      <c r="H43" s="409" t="b">
        <f>Wh_hp&gt;='2027'!Maxi_hp</f>
        <v>0</v>
      </c>
      <c r="I43" s="385">
        <f>IF(H43,Wh_hp,'2027'!Maxi_hp)</f>
        <v>7.0726171921905499</v>
      </c>
      <c r="J43" s="85">
        <f>IF(H43,An,'2027'!An_max)</f>
        <v>2022</v>
      </c>
      <c r="K43" s="193">
        <f t="shared" si="3"/>
        <v>46781</v>
      </c>
      <c r="L43" s="143">
        <f>IF(t&lt;Tvie,1-EXP((T0-t)*PertePVj)+'2027'!Pspv,1-EXP((T0-t)*PertePVj)+Pspv)</f>
        <v>3.0450767870834339E-2</v>
      </c>
      <c r="M43" s="836"/>
      <c r="N43" s="836"/>
      <c r="O43" s="48">
        <f>IF(t&lt;Tnet,'2027'!Resal+('2027'!Salim-'2027'!Resal)*(1-EXP(('2027'!Tnet-t)/('2027'!Tau_j))),Resal+(Salim-Resal)*(1-EXP((Tnet-t)/(Tau_j))))*Salcycl</f>
        <v>1.7710173920873876E-2</v>
      </c>
      <c r="P43" s="165">
        <f>(INDEX(Models!$BJ43:$BT43,,T43)*(1-R43)+INDEX(Models!$BJ43:$BT43,,T43+1)*R43-ERP_i)*Q43*Ramure*Pc/MaxiM</f>
        <v>1.5259081384568225E-2</v>
      </c>
      <c r="Q43" s="301">
        <f t="shared" si="4"/>
        <v>0.5</v>
      </c>
      <c r="R43" s="173">
        <f t="shared" si="5"/>
        <v>0.99531756501854396</v>
      </c>
      <c r="S43" s="802">
        <f t="shared" si="6"/>
        <v>2</v>
      </c>
      <c r="T43" s="172">
        <f t="shared" si="7"/>
        <v>8</v>
      </c>
      <c r="U43" s="247">
        <f t="shared" si="8"/>
        <v>2.995317565018544</v>
      </c>
      <c r="V43" s="378">
        <f t="shared" si="9"/>
        <v>23.721341501400886</v>
      </c>
      <c r="W43" s="397">
        <f t="shared" si="10"/>
        <v>6.6330602170288557</v>
      </c>
      <c r="X43" s="153">
        <f t="shared" si="11"/>
        <v>46781</v>
      </c>
      <c r="Y43" s="380">
        <f t="shared" si="12"/>
        <v>6.4283928212677344</v>
      </c>
      <c r="Z43" s="380">
        <f t="shared" si="22"/>
        <v>6.6302902506051682</v>
      </c>
      <c r="AA43" s="381">
        <f t="shared" si="13"/>
        <v>6.9647322838511645</v>
      </c>
      <c r="AB43" s="193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4.8019366662729226E-2</v>
      </c>
      <c r="AD43" s="227">
        <f>(INDEX(Models!$BJ43:$BT43,,AH43)*(1-AF43)+INDEX(Models!$BJ43:$BT43,,AH43+1)*AF43-ERP_i)*AE43*Ramure*Pc/MaxiM</f>
        <v>1.5259081384568225E-2</v>
      </c>
      <c r="AE43" s="301">
        <f t="shared" si="15"/>
        <v>0.5</v>
      </c>
      <c r="AF43" s="173">
        <f t="shared" si="23"/>
        <v>0.99531756501854396</v>
      </c>
      <c r="AG43" s="802">
        <f t="shared" si="24"/>
        <v>2</v>
      </c>
      <c r="AH43" s="172">
        <f t="shared" si="16"/>
        <v>8</v>
      </c>
      <c r="AI43" s="221">
        <f t="shared" si="17"/>
        <v>2.995317565018544</v>
      </c>
      <c r="AJ43" s="261" t="b">
        <f t="shared" si="18"/>
        <v>0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46782</v>
      </c>
      <c r="B44" s="406">
        <f>'2027'!Wh/'2027'!Env_an*'2028'!Env_an</f>
        <v>4.7816565304747813</v>
      </c>
      <c r="C44" s="832"/>
      <c r="D44" s="388">
        <f t="shared" si="0"/>
        <v>4.9319021972019472</v>
      </c>
      <c r="E44" s="380">
        <f t="shared" si="1"/>
        <v>5.0211124684818769</v>
      </c>
      <c r="F44" s="380">
        <f t="shared" si="2"/>
        <v>5.0211124684818769</v>
      </c>
      <c r="G44" s="110">
        <f t="shared" si="21"/>
        <v>0.19561841643501698</v>
      </c>
      <c r="H44" s="409" t="b">
        <f>Wh_hp&gt;='2027'!Maxi_hp</f>
        <v>0</v>
      </c>
      <c r="I44" s="385">
        <f>IF(H44,Wh_hp,'2027'!Maxi_hp)</f>
        <v>5.0966884891748485</v>
      </c>
      <c r="J44" s="85">
        <f>IF(H44,An,'2027'!An_max)</f>
        <v>2022</v>
      </c>
      <c r="K44" s="193">
        <f t="shared" si="3"/>
        <v>46782</v>
      </c>
      <c r="L44" s="143">
        <f>IF(t&lt;Tvie,1-EXP((T0-t)*PertePVj)+'2027'!Pspv,1-EXP((T0-t)*PertePVj)+Pspv)</f>
        <v>3.0464040185631869E-2</v>
      </c>
      <c r="M44" s="836"/>
      <c r="N44" s="836"/>
      <c r="O44" s="48">
        <f>IF(t&lt;Tnet,'2027'!Resal+('2027'!Salim-'2027'!Resal)*(1-EXP(('2027'!Tnet-t)/('2027'!Tau_j))),Resal+(Salim-Resal)*(1-EXP((Tnet-t)/(Tau_j))))*Salcycl</f>
        <v>1.7767033070841081E-2</v>
      </c>
      <c r="P44" s="165">
        <f>(INDEX(Models!$BJ44:$BT44,,T44)*(1-R44)+INDEX(Models!$BJ44:$BT44,,T44+1)*R44-ERP_i)*Q44*Ramure*Pc/MaxiM</f>
        <v>1.483354471558875E-2</v>
      </c>
      <c r="Q44" s="301">
        <f t="shared" si="4"/>
        <v>0.5</v>
      </c>
      <c r="R44" s="173">
        <f t="shared" si="5"/>
        <v>0.99540932913153712</v>
      </c>
      <c r="S44" s="802">
        <f t="shared" si="6"/>
        <v>2</v>
      </c>
      <c r="T44" s="172">
        <f t="shared" si="7"/>
        <v>8</v>
      </c>
      <c r="U44" s="247">
        <f t="shared" si="8"/>
        <v>2.9954093291315371</v>
      </c>
      <c r="V44" s="378">
        <f t="shared" si="9"/>
        <v>24.081207180614641</v>
      </c>
      <c r="W44" s="397">
        <f t="shared" si="10"/>
        <v>4.7816565304747813</v>
      </c>
      <c r="X44" s="153">
        <f t="shared" si="11"/>
        <v>46782</v>
      </c>
      <c r="Y44" s="380">
        <f t="shared" si="12"/>
        <v>4.6342415534407255</v>
      </c>
      <c r="Z44" s="380">
        <f t="shared" si="22"/>
        <v>4.7798552560423015</v>
      </c>
      <c r="AA44" s="381">
        <f t="shared" si="13"/>
        <v>5.0211124684818769</v>
      </c>
      <c r="AB44" s="193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4.804855775567185E-2</v>
      </c>
      <c r="AD44" s="227">
        <f>(INDEX(Models!$BJ44:$BT44,,AH44)*(1-AF44)+INDEX(Models!$BJ44:$BT44,,AH44+1)*AF44-ERP_i)*AE44*Ramure*Pc/MaxiM</f>
        <v>1.483354471558875E-2</v>
      </c>
      <c r="AE44" s="301">
        <f t="shared" si="15"/>
        <v>0.5</v>
      </c>
      <c r="AF44" s="173">
        <f t="shared" si="23"/>
        <v>0.99540932913153712</v>
      </c>
      <c r="AG44" s="802">
        <f t="shared" si="24"/>
        <v>2</v>
      </c>
      <c r="AH44" s="172">
        <f t="shared" si="16"/>
        <v>8</v>
      </c>
      <c r="AI44" s="221">
        <f t="shared" si="17"/>
        <v>2.9954093291315371</v>
      </c>
      <c r="AJ44" s="261" t="b">
        <f t="shared" si="18"/>
        <v>0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46783</v>
      </c>
      <c r="B45" s="406">
        <f>'2027'!Wh/'2027'!Env_an*'2028'!Env_an</f>
        <v>11.090188302216015</v>
      </c>
      <c r="C45" s="832"/>
      <c r="D45" s="388">
        <f t="shared" si="0"/>
        <v>11.43881256532498</v>
      </c>
      <c r="E45" s="380">
        <f t="shared" si="1"/>
        <v>11.646396394960027</v>
      </c>
      <c r="F45" s="380">
        <f t="shared" si="2"/>
        <v>11.683173190373022</v>
      </c>
      <c r="G45" s="110">
        <f t="shared" si="21"/>
        <v>0.4485467696736104</v>
      </c>
      <c r="H45" s="409" t="b">
        <f>Wh_hp&gt;='2027'!Maxi_hp</f>
        <v>0</v>
      </c>
      <c r="I45" s="385">
        <f>IF(H45,Wh_hp,'2027'!Maxi_hp)</f>
        <v>11.815810990102225</v>
      </c>
      <c r="J45" s="85">
        <f>IF(H45,An,'2027'!An_max)</f>
        <v>2022</v>
      </c>
      <c r="K45" s="193">
        <f t="shared" si="3"/>
        <v>46783</v>
      </c>
      <c r="L45" s="143">
        <f>IF(t&lt;Tvie,1-EXP((T0-t)*PertePVj)+'2027'!Pspv,1-EXP((T0-t)*PertePVj)+Pspv)</f>
        <v>3.0477312318742511E-2</v>
      </c>
      <c r="M45" s="836"/>
      <c r="N45" s="836"/>
      <c r="O45" s="48">
        <f>IF(t&lt;Tnet,'2027'!Resal+('2027'!Salim-'2027'!Resal)*(1-EXP(('2027'!Tnet-t)/('2027'!Tau_j))),Resal+(Salim-Resal)*(1-EXP((Tnet-t)/(Tau_j))))*Salcycl</f>
        <v>1.7823867795267345E-2</v>
      </c>
      <c r="P45" s="165">
        <f>(INDEX(Models!$BJ45:$BT45,,T45)*(1-R45)+INDEX(Models!$BJ45:$BT45,,T45+1)*R45-ERP_i)*Q45*Ramure*Pc/MaxiM</f>
        <v>1.4341824423797037E-2</v>
      </c>
      <c r="Q45" s="301">
        <f t="shared" si="4"/>
        <v>0.5</v>
      </c>
      <c r="R45" s="173">
        <f t="shared" si="5"/>
        <v>0.99550490701296734</v>
      </c>
      <c r="S45" s="802">
        <f t="shared" si="6"/>
        <v>2</v>
      </c>
      <c r="T45" s="172">
        <f t="shared" si="7"/>
        <v>8</v>
      </c>
      <c r="U45" s="247">
        <f t="shared" si="8"/>
        <v>2.9955049070129673</v>
      </c>
      <c r="V45" s="378">
        <f t="shared" si="9"/>
        <v>24.44706698249389</v>
      </c>
      <c r="W45" s="397">
        <f t="shared" si="10"/>
        <v>11.090188302216015</v>
      </c>
      <c r="X45" s="153">
        <f t="shared" si="11"/>
        <v>46783</v>
      </c>
      <c r="Y45" s="380">
        <f t="shared" si="12"/>
        <v>10.748577715993889</v>
      </c>
      <c r="Z45" s="380">
        <f t="shared" si="22"/>
        <v>11.086463321142636</v>
      </c>
      <c r="AA45" s="381">
        <f t="shared" si="13"/>
        <v>11.646396394960027</v>
      </c>
      <c r="AB45" s="193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4.8077796326742028E-2</v>
      </c>
      <c r="AD45" s="227">
        <f>(INDEX(Models!$BJ45:$BT45,,AH45)*(1-AF45)+INDEX(Models!$BJ45:$BT45,,AH45+1)*AF45-ERP_i)*AE45*Ramure*Pc/MaxiM</f>
        <v>1.4341824423797037E-2</v>
      </c>
      <c r="AE45" s="301">
        <f t="shared" si="15"/>
        <v>0.5</v>
      </c>
      <c r="AF45" s="173">
        <f t="shared" si="23"/>
        <v>0.99550490701296734</v>
      </c>
      <c r="AG45" s="802">
        <f t="shared" si="24"/>
        <v>2</v>
      </c>
      <c r="AH45" s="172">
        <f t="shared" si="16"/>
        <v>8</v>
      </c>
      <c r="AI45" s="221">
        <f t="shared" si="17"/>
        <v>2.9955049070129673</v>
      </c>
      <c r="AJ45" s="261" t="b">
        <f t="shared" si="18"/>
        <v>0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46784</v>
      </c>
      <c r="B46" s="406">
        <f>'2027'!Wh/'2027'!Env_an*'2028'!Env_an</f>
        <v>14.301941321240266</v>
      </c>
      <c r="C46" s="832"/>
      <c r="D46" s="388">
        <f t="shared" si="0"/>
        <v>14.751730193846535</v>
      </c>
      <c r="E46" s="380">
        <f t="shared" si="1"/>
        <v>15.020303399277882</v>
      </c>
      <c r="F46" s="380">
        <f t="shared" si="2"/>
        <v>15.10248513556393</v>
      </c>
      <c r="G46" s="110">
        <f t="shared" si="21"/>
        <v>0.57143745336054508</v>
      </c>
      <c r="H46" s="409" t="b">
        <f>Wh_hp&gt;='2027'!Maxi_hp</f>
        <v>0</v>
      </c>
      <c r="I46" s="385">
        <f>IF(H46,Wh_hp,'2027'!Maxi_hp)</f>
        <v>15.230246512611631</v>
      </c>
      <c r="J46" s="85">
        <f>IF(H46,An,'2027'!An_max)</f>
        <v>2022</v>
      </c>
      <c r="K46" s="193">
        <f t="shared" si="3"/>
        <v>46784</v>
      </c>
      <c r="L46" s="143">
        <f>IF(t&lt;Tvie,1-EXP((T0-t)*PertePVj)+'2027'!Pspv,1-EXP((T0-t)*PertePVj)+Pspv)</f>
        <v>3.0490584270168708E-2</v>
      </c>
      <c r="M46" s="836"/>
      <c r="N46" s="836"/>
      <c r="O46" s="48">
        <f>IF(t&lt;Tnet,'2027'!Resal+('2027'!Salim-'2027'!Resal)*(1-EXP(('2027'!Tnet-t)/('2027'!Tau_j))),Resal+(Salim-Resal)*(1-EXP((Tnet-t)/(Tau_j))))*Salcycl</f>
        <v>1.7880677792717431E-2</v>
      </c>
      <c r="P46" s="165">
        <f>(INDEX(Models!$BJ46:$BT46,,T46)*(1-R46)+INDEX(Models!$BJ46:$BT46,,T46+1)*R46-ERP_i)*Q46*Ramure*Pc/MaxiM</f>
        <v>1.378751598332238E-2</v>
      </c>
      <c r="Q46" s="301">
        <f t="shared" si="4"/>
        <v>0.5</v>
      </c>
      <c r="R46" s="173">
        <f t="shared" si="5"/>
        <v>0.9956044556034076</v>
      </c>
      <c r="S46" s="802">
        <f t="shared" si="6"/>
        <v>2</v>
      </c>
      <c r="T46" s="172">
        <f t="shared" si="7"/>
        <v>8</v>
      </c>
      <c r="U46" s="247">
        <f t="shared" si="8"/>
        <v>2.9956044556034076</v>
      </c>
      <c r="V46" s="378">
        <f t="shared" si="9"/>
        <v>24.817983856272896</v>
      </c>
      <c r="W46" s="397">
        <f t="shared" si="10"/>
        <v>14.301941321240266</v>
      </c>
      <c r="X46" s="153">
        <f t="shared" si="11"/>
        <v>46784</v>
      </c>
      <c r="Y46" s="380">
        <f t="shared" si="12"/>
        <v>13.861774598441627</v>
      </c>
      <c r="Z46" s="380">
        <f t="shared" si="22"/>
        <v>14.297720448652584</v>
      </c>
      <c r="AA46" s="381">
        <f t="shared" si="13"/>
        <v>15.020303399277882</v>
      </c>
      <c r="AB46" s="193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4.8107080890259425E-2</v>
      </c>
      <c r="AD46" s="227">
        <f>(INDEX(Models!$BJ46:$BT46,,AH46)*(1-AF46)+INDEX(Models!$BJ46:$BT46,,AH46+1)*AF46-ERP_i)*AE46*Ramure*Pc/MaxiM</f>
        <v>1.378751598332238E-2</v>
      </c>
      <c r="AE46" s="301">
        <f t="shared" si="15"/>
        <v>0.5</v>
      </c>
      <c r="AF46" s="173">
        <f t="shared" si="23"/>
        <v>0.9956044556034076</v>
      </c>
      <c r="AG46" s="802">
        <f t="shared" si="24"/>
        <v>2</v>
      </c>
      <c r="AH46" s="172">
        <f t="shared" si="16"/>
        <v>8</v>
      </c>
      <c r="AI46" s="221">
        <f t="shared" si="17"/>
        <v>2.9956044556034076</v>
      </c>
      <c r="AJ46" s="261" t="b">
        <f t="shared" si="18"/>
        <v>0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46785</v>
      </c>
      <c r="B47" s="406">
        <f>'2027'!Wh/'2027'!Env_an*'2028'!Env_an</f>
        <v>5.7701501246754088</v>
      </c>
      <c r="C47" s="832"/>
      <c r="D47" s="388">
        <f t="shared" si="0"/>
        <v>5.9516999222979479</v>
      </c>
      <c r="E47" s="380">
        <f t="shared" si="1"/>
        <v>6.060408268718553</v>
      </c>
      <c r="F47" s="380">
        <f t="shared" si="2"/>
        <v>6.060408268718553</v>
      </c>
      <c r="G47" s="110">
        <f t="shared" si="21"/>
        <v>0.22602030407665105</v>
      </c>
      <c r="H47" s="409" t="b">
        <f>Wh_hp&gt;='2027'!Maxi_hp</f>
        <v>0</v>
      </c>
      <c r="I47" s="385">
        <f>IF(H47,Wh_hp,'2027'!Maxi_hp)</f>
        <v>6.1412851991901132</v>
      </c>
      <c r="J47" s="85">
        <f>IF(H47,An,'2027'!An_max)</f>
        <v>2022</v>
      </c>
      <c r="K47" s="193">
        <f t="shared" si="3"/>
        <v>46785</v>
      </c>
      <c r="L47" s="143">
        <f>IF(t&lt;Tvie,1-EXP((T0-t)*PertePVj)+'2027'!Pspv,1-EXP((T0-t)*PertePVj)+Pspv)</f>
        <v>3.0503856039913235E-2</v>
      </c>
      <c r="M47" s="836"/>
      <c r="N47" s="836"/>
      <c r="O47" s="48">
        <f>IF(t&lt;Tnet,'2027'!Resal+('2027'!Salim-'2027'!Resal)*(1-EXP(('2027'!Tnet-t)/('2027'!Tau_j))),Resal+(Salim-Resal)*(1-EXP((Tnet-t)/(Tau_j))))*Salcycl</f>
        <v>1.7937462560354979E-2</v>
      </c>
      <c r="P47" s="165">
        <f>(INDEX(Models!$BJ47:$BT47,,T47)*(1-R47)+INDEX(Models!$BJ47:$BT47,,T47+1)*R47-ERP_i)*Q47*Ramure*Pc/MaxiM</f>
        <v>1.3173974101988379E-2</v>
      </c>
      <c r="Q47" s="301">
        <f t="shared" si="4"/>
        <v>0.5</v>
      </c>
      <c r="R47" s="173">
        <f t="shared" si="5"/>
        <v>0.99570813816865256</v>
      </c>
      <c r="S47" s="802">
        <f t="shared" si="6"/>
        <v>2</v>
      </c>
      <c r="T47" s="172">
        <f t="shared" si="7"/>
        <v>8</v>
      </c>
      <c r="U47" s="247">
        <f t="shared" si="8"/>
        <v>2.9957081381686526</v>
      </c>
      <c r="V47" s="378">
        <f t="shared" si="9"/>
        <v>25.193021218294081</v>
      </c>
      <c r="W47" s="397">
        <f t="shared" si="10"/>
        <v>5.7701501246754088</v>
      </c>
      <c r="X47" s="153">
        <f t="shared" si="11"/>
        <v>46785</v>
      </c>
      <c r="Y47" s="380">
        <f t="shared" si="12"/>
        <v>5.5927149304304482</v>
      </c>
      <c r="Z47" s="380">
        <f t="shared" si="22"/>
        <v>5.7686819749338731</v>
      </c>
      <c r="AA47" s="381">
        <f t="shared" si="13"/>
        <v>6.060408268718553</v>
      </c>
      <c r="AB47" s="193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4.8136409438033378E-2</v>
      </c>
      <c r="AD47" s="227">
        <f>(INDEX(Models!$BJ47:$BT47,,AH47)*(1-AF47)+INDEX(Models!$BJ47:$BT47,,AH47+1)*AF47-ERP_i)*AE47*Ramure*Pc/MaxiM</f>
        <v>1.3173974101988379E-2</v>
      </c>
      <c r="AE47" s="301">
        <f t="shared" si="15"/>
        <v>0.5</v>
      </c>
      <c r="AF47" s="173">
        <f t="shared" si="23"/>
        <v>0.99570813816865256</v>
      </c>
      <c r="AG47" s="802">
        <f t="shared" si="24"/>
        <v>2</v>
      </c>
      <c r="AH47" s="172">
        <f t="shared" si="16"/>
        <v>8</v>
      </c>
      <c r="AI47" s="221">
        <f t="shared" si="17"/>
        <v>2.9957081381686526</v>
      </c>
      <c r="AJ47" s="261" t="b">
        <f t="shared" si="18"/>
        <v>0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46786</v>
      </c>
      <c r="B48" s="406">
        <f>'2027'!Wh/'2027'!Env_an*'2028'!Env_an</f>
        <v>13.339899994587174</v>
      </c>
      <c r="C48" s="832"/>
      <c r="D48" s="388">
        <f t="shared" si="0"/>
        <v>13.759809868480302</v>
      </c>
      <c r="E48" s="380">
        <f t="shared" si="1"/>
        <v>14.011943889002197</v>
      </c>
      <c r="F48" s="380">
        <f t="shared" si="2"/>
        <v>14.067649817732827</v>
      </c>
      <c r="G48" s="110">
        <f t="shared" si="21"/>
        <v>0.51720070260092155</v>
      </c>
      <c r="H48" s="409" t="b">
        <f>Wh_hp&gt;='2027'!Maxi_hp</f>
        <v>0</v>
      </c>
      <c r="I48" s="385">
        <f>IF(H48,Wh_hp,'2027'!Maxi_hp)</f>
        <v>14.189329287709032</v>
      </c>
      <c r="J48" s="85">
        <f>IF(H48,An,'2027'!An_max)</f>
        <v>2022</v>
      </c>
      <c r="K48" s="193">
        <f t="shared" si="3"/>
        <v>46786</v>
      </c>
      <c r="L48" s="143">
        <f>IF(t&lt;Tvie,1-EXP((T0-t)*PertePVj)+'2027'!Pspv,1-EXP((T0-t)*PertePVj)+Pspv)</f>
        <v>3.0517127627978202E-2</v>
      </c>
      <c r="M48" s="836"/>
      <c r="N48" s="836"/>
      <c r="O48" s="48">
        <f>IF(t&lt;Tnet,'2027'!Resal+('2027'!Salim-'2027'!Resal)*(1-EXP(('2027'!Tnet-t)/('2027'!Tau_j))),Resal+(Salim-Resal)*(1-EXP((Tnet-t)/(Tau_j))))*Salcycl</f>
        <v>1.7994221395633267E-2</v>
      </c>
      <c r="P48" s="165">
        <f>(INDEX(Models!$BJ48:$BT48,,T48)*(1-R48)+INDEX(Models!$BJ48:$BT48,,T48+1)*R48-ERP_i)*Q48*Ramure*Pc/MaxiM</f>
        <v>1.2504303926709077E-2</v>
      </c>
      <c r="Q48" s="301">
        <f t="shared" si="4"/>
        <v>0.5</v>
      </c>
      <c r="R48" s="173">
        <f t="shared" si="5"/>
        <v>0.9958161245432855</v>
      </c>
      <c r="S48" s="802">
        <f t="shared" si="6"/>
        <v>2</v>
      </c>
      <c r="T48" s="172">
        <f t="shared" si="7"/>
        <v>8</v>
      </c>
      <c r="U48" s="247">
        <f t="shared" si="8"/>
        <v>2.9958161245432855</v>
      </c>
      <c r="V48" s="378">
        <f t="shared" si="9"/>
        <v>25.571242958415599</v>
      </c>
      <c r="W48" s="397">
        <f t="shared" si="10"/>
        <v>13.339899994587174</v>
      </c>
      <c r="X48" s="153">
        <f t="shared" si="11"/>
        <v>46786</v>
      </c>
      <c r="Y48" s="380">
        <f t="shared" si="12"/>
        <v>12.930039303437166</v>
      </c>
      <c r="Z48" s="380">
        <f t="shared" si="22"/>
        <v>13.337047689972488</v>
      </c>
      <c r="AA48" s="381">
        <f t="shared" si="13"/>
        <v>14.011943889002197</v>
      </c>
      <c r="AB48" s="193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4.816577945044636E-2</v>
      </c>
      <c r="AD48" s="227">
        <f>(INDEX(Models!$BJ48:$BT48,,AH48)*(1-AF48)+INDEX(Models!$BJ48:$BT48,,AH48+1)*AF48-ERP_i)*AE48*Ramure*Pc/MaxiM</f>
        <v>1.2504303926709077E-2</v>
      </c>
      <c r="AE48" s="301">
        <f t="shared" si="15"/>
        <v>0.5</v>
      </c>
      <c r="AF48" s="173">
        <f t="shared" si="23"/>
        <v>0.9958161245432855</v>
      </c>
      <c r="AG48" s="802">
        <f t="shared" si="24"/>
        <v>2</v>
      </c>
      <c r="AH48" s="172">
        <f t="shared" si="16"/>
        <v>8</v>
      </c>
      <c r="AI48" s="221">
        <f t="shared" si="17"/>
        <v>2.9958161245432855</v>
      </c>
      <c r="AJ48" s="261" t="b">
        <f t="shared" si="18"/>
        <v>0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46787</v>
      </c>
      <c r="B49" s="406">
        <f>'2027'!Wh/'2027'!Env_an*'2028'!Env_an</f>
        <v>12.179735993123954</v>
      </c>
      <c r="C49" s="832"/>
      <c r="D49" s="388">
        <f t="shared" si="0"/>
        <v>12.563298509816512</v>
      </c>
      <c r="E49" s="380">
        <f t="shared" si="1"/>
        <v>12.794246863758742</v>
      </c>
      <c r="F49" s="380">
        <f t="shared" si="2"/>
        <v>12.830812011006422</v>
      </c>
      <c r="G49" s="110">
        <f t="shared" si="21"/>
        <v>0.46511923146021744</v>
      </c>
      <c r="H49" s="409" t="b">
        <f>Wh_hp&gt;='2027'!Maxi_hp</f>
        <v>0</v>
      </c>
      <c r="I49" s="385">
        <f>IF(H49,Wh_hp,'2027'!Maxi_hp)</f>
        <v>12.946736780036268</v>
      </c>
      <c r="J49" s="85">
        <f>IF(H49,An,'2027'!An_max)</f>
        <v>2022</v>
      </c>
      <c r="K49" s="193">
        <f t="shared" si="3"/>
        <v>46787</v>
      </c>
      <c r="L49" s="143">
        <f>IF(t&lt;Tvie,1-EXP((T0-t)*PertePVj)+'2027'!Pspv,1-EXP((T0-t)*PertePVj)+Pspv)</f>
        <v>3.0530399034366384E-2</v>
      </c>
      <c r="M49" s="836"/>
      <c r="N49" s="836"/>
      <c r="O49" s="48">
        <f>IF(t&lt;Tnet,'2027'!Resal+('2027'!Salim-'2027'!Resal)*(1-EXP(('2027'!Tnet-t)/('2027'!Tau_j))),Resal+(Salim-Resal)*(1-EXP((Tnet-t)/(Tau_j))))*Salcycl</f>
        <v>1.8050953401283699E-2</v>
      </c>
      <c r="P49" s="165">
        <f>(INDEX(Models!$BJ49:$BT49,,T49)*(1-R49)+INDEX(Models!$BJ49:$BT49,,T49+1)*R49-ERP_i)*Q49*Ramure*Pc/MaxiM</f>
        <v>1.1781355779946424E-2</v>
      </c>
      <c r="Q49" s="301">
        <f t="shared" si="4"/>
        <v>0.5</v>
      </c>
      <c r="R49" s="173">
        <f t="shared" si="5"/>
        <v>0.99592859138265144</v>
      </c>
      <c r="S49" s="802">
        <f t="shared" si="6"/>
        <v>2</v>
      </c>
      <c r="T49" s="172">
        <f t="shared" si="7"/>
        <v>8</v>
      </c>
      <c r="U49" s="247">
        <f t="shared" si="8"/>
        <v>2.9959285913826514</v>
      </c>
      <c r="V49" s="378">
        <f t="shared" si="9"/>
        <v>25.951713435035753</v>
      </c>
      <c r="W49" s="397">
        <f t="shared" si="10"/>
        <v>12.179735993123954</v>
      </c>
      <c r="X49" s="153">
        <f t="shared" si="11"/>
        <v>46787</v>
      </c>
      <c r="Y49" s="380">
        <f t="shared" si="12"/>
        <v>11.805837959027988</v>
      </c>
      <c r="Z49" s="380">
        <f t="shared" si="22"/>
        <v>12.177625731914507</v>
      </c>
      <c r="AA49" s="381">
        <f t="shared" si="13"/>
        <v>12.794246863758742</v>
      </c>
      <c r="AB49" s="193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4.8195187916131949E-2</v>
      </c>
      <c r="AD49" s="227">
        <f>(INDEX(Models!$BJ49:$BT49,,AH49)*(1-AF49)+INDEX(Models!$BJ49:$BT49,,AH49+1)*AF49-ERP_i)*AE49*Ramure*Pc/MaxiM</f>
        <v>1.1781355779946424E-2</v>
      </c>
      <c r="AE49" s="301">
        <f t="shared" si="15"/>
        <v>0.5</v>
      </c>
      <c r="AF49" s="173">
        <f t="shared" si="23"/>
        <v>0.99592859138265144</v>
      </c>
      <c r="AG49" s="802">
        <f t="shared" si="24"/>
        <v>2</v>
      </c>
      <c r="AH49" s="172">
        <f t="shared" si="16"/>
        <v>8</v>
      </c>
      <c r="AI49" s="221">
        <f t="shared" si="17"/>
        <v>2.9959285913826514</v>
      </c>
      <c r="AJ49" s="261" t="b">
        <f t="shared" si="18"/>
        <v>0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46788</v>
      </c>
      <c r="B50" s="406">
        <f>'2027'!Wh/'2027'!Env_an*'2028'!Env_an</f>
        <v>9.5698065999685031</v>
      </c>
      <c r="C50" s="832"/>
      <c r="D50" s="388">
        <f t="shared" si="0"/>
        <v>9.8713127207348919</v>
      </c>
      <c r="E50" s="380">
        <f t="shared" si="1"/>
        <v>10.053355437660665</v>
      </c>
      <c r="F50" s="380">
        <f t="shared" si="2"/>
        <v>10.063389771815327</v>
      </c>
      <c r="G50" s="110">
        <f t="shared" si="21"/>
        <v>0.35976654411047532</v>
      </c>
      <c r="H50" s="409" t="b">
        <f>Wh_hp&gt;='2027'!Maxi_hp</f>
        <v>0</v>
      </c>
      <c r="I50" s="385">
        <f>IF(H50,Wh_hp,'2027'!Maxi_hp)</f>
        <v>10.165216263192344</v>
      </c>
      <c r="J50" s="85">
        <f>IF(H50,An,'2027'!An_max)</f>
        <v>2022</v>
      </c>
      <c r="K50" s="193">
        <f t="shared" si="3"/>
        <v>46788</v>
      </c>
      <c r="L50" s="143">
        <f>IF(t&lt;Tvie,1-EXP((T0-t)*PertePVj)+'2027'!Pspv,1-EXP((T0-t)*PertePVj)+Pspv)</f>
        <v>3.0543670259080113E-2</v>
      </c>
      <c r="M50" s="836"/>
      <c r="N50" s="836"/>
      <c r="O50" s="48">
        <f>IF(t&lt;Tnet,'2027'!Resal+('2027'!Salim-'2027'!Resal)*(1-EXP(('2027'!Tnet-t)/('2027'!Tau_j))),Resal+(Salim-Resal)*(1-EXP((Tnet-t)/(Tau_j))))*Salcycl</f>
        <v>1.8107657493519565E-2</v>
      </c>
      <c r="P50" s="165">
        <f>(INDEX(Models!$BJ50:$BT50,,T50)*(1-R50)+INDEX(Models!$BJ50:$BT50,,T50+1)*R50-ERP_i)*Q50*Ramure*Pc/MaxiM</f>
        <v>1.1007722762772201E-2</v>
      </c>
      <c r="Q50" s="301">
        <f t="shared" si="4"/>
        <v>0.5</v>
      </c>
      <c r="R50" s="173">
        <f t="shared" si="5"/>
        <v>0.99604572242343226</v>
      </c>
      <c r="S50" s="802">
        <f t="shared" si="6"/>
        <v>2</v>
      </c>
      <c r="T50" s="172">
        <f t="shared" si="7"/>
        <v>8</v>
      </c>
      <c r="U50" s="247">
        <f t="shared" si="8"/>
        <v>2.9960457224234323</v>
      </c>
      <c r="V50" s="378">
        <f t="shared" si="9"/>
        <v>26.333497471774823</v>
      </c>
      <c r="W50" s="397">
        <f t="shared" si="10"/>
        <v>9.5698065999685031</v>
      </c>
      <c r="X50" s="153">
        <f t="shared" si="11"/>
        <v>46788</v>
      </c>
      <c r="Y50" s="380">
        <f t="shared" si="12"/>
        <v>9.2762778669287602</v>
      </c>
      <c r="Z50" s="380">
        <f t="shared" si="22"/>
        <v>9.5685360777496573</v>
      </c>
      <c r="AA50" s="381">
        <f t="shared" si="13"/>
        <v>10.053355437660665</v>
      </c>
      <c r="AB50" s="193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4.8224631359877784E-2</v>
      </c>
      <c r="AD50" s="227">
        <f>(INDEX(Models!$BJ50:$BT50,,AH50)*(1-AF50)+INDEX(Models!$BJ50:$BT50,,AH50+1)*AF50-ERP_i)*AE50*Ramure*Pc/MaxiM</f>
        <v>1.1007722762772201E-2</v>
      </c>
      <c r="AE50" s="301">
        <f t="shared" si="15"/>
        <v>0.5</v>
      </c>
      <c r="AF50" s="173">
        <f t="shared" si="23"/>
        <v>0.99604572242343226</v>
      </c>
      <c r="AG50" s="802">
        <f t="shared" si="24"/>
        <v>2</v>
      </c>
      <c r="AH50" s="172">
        <f t="shared" si="16"/>
        <v>8</v>
      </c>
      <c r="AI50" s="221">
        <f t="shared" si="17"/>
        <v>2.9960457224234323</v>
      </c>
      <c r="AJ50" s="261" t="b">
        <f t="shared" si="18"/>
        <v>0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46789</v>
      </c>
      <c r="B51" s="406">
        <f>'2027'!Wh/'2027'!Env_an*'2028'!Env_an</f>
        <v>21.031304639711763</v>
      </c>
      <c r="C51" s="832"/>
      <c r="D51" s="388">
        <f t="shared" si="0"/>
        <v>21.694213446595072</v>
      </c>
      <c r="E51" s="380">
        <f t="shared" si="1"/>
        <v>22.095564627346629</v>
      </c>
      <c r="F51" s="380">
        <f t="shared" si="2"/>
        <v>22.253286858278432</v>
      </c>
      <c r="G51" s="110">
        <f t="shared" si="21"/>
        <v>0.78468357432957303</v>
      </c>
      <c r="H51" s="409" t="b">
        <f>Wh_hp&gt;='2027'!Maxi_hp</f>
        <v>0</v>
      </c>
      <c r="I51" s="385">
        <f>IF(H51,Wh_hp,'2027'!Maxi_hp)</f>
        <v>22.322890993589862</v>
      </c>
      <c r="J51" s="85">
        <f>IF(H51,An,'2027'!An_max)</f>
        <v>2022</v>
      </c>
      <c r="K51" s="193">
        <f t="shared" si="3"/>
        <v>46789</v>
      </c>
      <c r="L51" s="143">
        <f>IF(t&lt;Tvie,1-EXP((T0-t)*PertePVj)+'2027'!Pspv,1-EXP((T0-t)*PertePVj)+Pspv)</f>
        <v>3.0556941302121943E-2</v>
      </c>
      <c r="M51" s="836"/>
      <c r="N51" s="836"/>
      <c r="O51" s="48">
        <f>IF(t&lt;Tnet,'2027'!Resal+('2027'!Salim-'2027'!Resal)*(1-EXP(('2027'!Tnet-t)/('2027'!Tau_j))),Resal+(Salim-Resal)*(1-EXP((Tnet-t)/(Tau_j))))*Salcycl</f>
        <v>1.8164332413339895E-2</v>
      </c>
      <c r="P51" s="165">
        <f>(INDEX(Models!$BJ51:$BT51,,T51)*(1-R51)+INDEX(Models!$BJ51:$BT51,,T51+1)*R51-ERP_i)*Q51*Ramure*Pc/MaxiM</f>
        <v>1.018460301815941E-2</v>
      </c>
      <c r="Q51" s="301">
        <f t="shared" si="4"/>
        <v>0.5</v>
      </c>
      <c r="R51" s="173">
        <f t="shared" si="5"/>
        <v>0.99616770875302674</v>
      </c>
      <c r="S51" s="802">
        <f t="shared" si="6"/>
        <v>2</v>
      </c>
      <c r="T51" s="172">
        <f t="shared" si="7"/>
        <v>8</v>
      </c>
      <c r="U51" s="247">
        <f t="shared" si="8"/>
        <v>2.9961677087530267</v>
      </c>
      <c r="V51" s="378">
        <f t="shared" si="9"/>
        <v>26.718675165301367</v>
      </c>
      <c r="W51" s="397">
        <f t="shared" si="10"/>
        <v>21.031304639711763</v>
      </c>
      <c r="X51" s="153">
        <f t="shared" si="11"/>
        <v>46789</v>
      </c>
      <c r="Y51" s="380">
        <f t="shared" si="12"/>
        <v>20.386769904243167</v>
      </c>
      <c r="Z51" s="380">
        <f t="shared" si="22"/>
        <v>21.029362912377714</v>
      </c>
      <c r="AA51" s="381">
        <f t="shared" si="13"/>
        <v>22.095564627346629</v>
      </c>
      <c r="AB51" s="193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4.8254105878305073E-2</v>
      </c>
      <c r="AD51" s="227">
        <f>(INDEX(Models!$BJ51:$BT51,,AH51)*(1-AF51)+INDEX(Models!$BJ51:$BT51,,AH51+1)*AF51-ERP_i)*AE51*Ramure*Pc/MaxiM</f>
        <v>1.018460301815941E-2</v>
      </c>
      <c r="AE51" s="301">
        <f t="shared" si="15"/>
        <v>0.5</v>
      </c>
      <c r="AF51" s="173">
        <f t="shared" si="23"/>
        <v>0.99616770875302674</v>
      </c>
      <c r="AG51" s="802">
        <f t="shared" si="24"/>
        <v>2</v>
      </c>
      <c r="AH51" s="172">
        <f t="shared" si="16"/>
        <v>8</v>
      </c>
      <c r="AI51" s="221">
        <f t="shared" si="17"/>
        <v>2.9961677087530267</v>
      </c>
      <c r="AJ51" s="261" t="b">
        <f t="shared" si="18"/>
        <v>0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46790</v>
      </c>
      <c r="B52" s="406">
        <f>'2027'!Wh/'2027'!Env_an*'2028'!Env_an</f>
        <v>14.420505006663729</v>
      </c>
      <c r="C52" s="832"/>
      <c r="D52" s="388">
        <f t="shared" si="0"/>
        <v>14.875244383449612</v>
      </c>
      <c r="E52" s="380">
        <f t="shared" si="1"/>
        <v>15.151316162845125</v>
      </c>
      <c r="F52" s="380">
        <f t="shared" si="2"/>
        <v>15.198350889514055</v>
      </c>
      <c r="G52" s="110">
        <f t="shared" si="21"/>
        <v>0.52861264716675627</v>
      </c>
      <c r="H52" s="409" t="b">
        <f>Wh_hp&gt;='2027'!Maxi_hp</f>
        <v>0</v>
      </c>
      <c r="I52" s="385">
        <f>IF(H52,Wh_hp,'2027'!Maxi_hp)</f>
        <v>15.294127889599769</v>
      </c>
      <c r="J52" s="85">
        <f>IF(H52,An,'2027'!An_max)</f>
        <v>2022</v>
      </c>
      <c r="K52" s="193">
        <f t="shared" si="3"/>
        <v>46790</v>
      </c>
      <c r="L52" s="143">
        <f>IF(t&lt;Tvie,1-EXP((T0-t)*PertePVj)+'2027'!Pspv,1-EXP((T0-t)*PertePVj)+Pspv)</f>
        <v>3.0570212163494315E-2</v>
      </c>
      <c r="M52" s="836"/>
      <c r="N52" s="836"/>
      <c r="O52" s="48">
        <f>IF(t&lt;Tnet,'2027'!Resal+('2027'!Salim-'2027'!Resal)*(1-EXP(('2027'!Tnet-t)/('2027'!Tau_j))),Resal+(Salim-Resal)*(1-EXP((Tnet-t)/(Tau_j))))*Salcycl</f>
        <v>1.8220976740787154E-2</v>
      </c>
      <c r="P52" s="165">
        <f>(INDEX(Models!$BJ52:$BT52,,T52)*(1-R52)+INDEX(Models!$BJ52:$BT52,,T52+1)*R52-ERP_i)*Q52*Ramure*Pc/MaxiM</f>
        <v>9.3397497702671431E-3</v>
      </c>
      <c r="Q52" s="301">
        <f t="shared" si="4"/>
        <v>0.5</v>
      </c>
      <c r="R52" s="173">
        <f t="shared" si="5"/>
        <v>0.99629474908792792</v>
      </c>
      <c r="S52" s="802">
        <f t="shared" si="6"/>
        <v>2</v>
      </c>
      <c r="T52" s="172">
        <f t="shared" si="7"/>
        <v>8</v>
      </c>
      <c r="U52" s="247">
        <f t="shared" si="8"/>
        <v>2.9962947490879279</v>
      </c>
      <c r="V52" s="378">
        <f t="shared" si="9"/>
        <v>27.109016625234897</v>
      </c>
      <c r="W52" s="397">
        <f t="shared" si="10"/>
        <v>14.420505006663729</v>
      </c>
      <c r="X52" s="153">
        <f t="shared" si="11"/>
        <v>46790</v>
      </c>
      <c r="Y52" s="380">
        <f t="shared" si="12"/>
        <v>13.978940965741929</v>
      </c>
      <c r="Z52" s="380">
        <f t="shared" si="22"/>
        <v>14.419755964935829</v>
      </c>
      <c r="AA52" s="381">
        <f t="shared" si="13"/>
        <v>15.151316162845125</v>
      </c>
      <c r="AB52" s="193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4.8283607182804868E-2</v>
      </c>
      <c r="AD52" s="227">
        <f>(INDEX(Models!$BJ52:$BT52,,AH52)*(1-AF52)+INDEX(Models!$BJ52:$BT52,,AH52+1)*AF52-ERP_i)*AE52*Ramure*Pc/MaxiM</f>
        <v>9.3397497702671431E-3</v>
      </c>
      <c r="AE52" s="301">
        <f t="shared" si="15"/>
        <v>0.5</v>
      </c>
      <c r="AF52" s="173">
        <f t="shared" si="23"/>
        <v>0.99629474908792792</v>
      </c>
      <c r="AG52" s="802">
        <f t="shared" si="24"/>
        <v>2</v>
      </c>
      <c r="AH52" s="172">
        <f t="shared" si="16"/>
        <v>8</v>
      </c>
      <c r="AI52" s="221">
        <f t="shared" si="17"/>
        <v>2.9962947490879279</v>
      </c>
      <c r="AJ52" s="261" t="b">
        <f t="shared" si="18"/>
        <v>0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46791</v>
      </c>
      <c r="B53" s="406">
        <f>'2027'!Wh/'2027'!Env_an*'2028'!Env_an</f>
        <v>27.965839838655651</v>
      </c>
      <c r="C53" s="832"/>
      <c r="D53" s="388">
        <f t="shared" si="0"/>
        <v>28.848115689916863</v>
      </c>
      <c r="E53" s="380">
        <f t="shared" si="1"/>
        <v>29.385206412824253</v>
      </c>
      <c r="F53" s="380">
        <f t="shared" si="2"/>
        <v>29.637565329868831</v>
      </c>
      <c r="G53" s="110">
        <f t="shared" si="21"/>
        <v>1.0168253644254313</v>
      </c>
      <c r="H53" s="409" t="b">
        <f>Wh_hp&gt;='2027'!Maxi_hp</f>
        <v>1</v>
      </c>
      <c r="I53" s="385">
        <f>IF(H53,Wh_hp,'2027'!Maxi_hp)</f>
        <v>29.637565329868831</v>
      </c>
      <c r="J53" s="85">
        <f>IF(H53,An,'2027'!An_max)</f>
        <v>2028</v>
      </c>
      <c r="K53" s="193">
        <f t="shared" si="3"/>
        <v>46791</v>
      </c>
      <c r="L53" s="143">
        <f>IF(t&lt;Tvie,1-EXP((T0-t)*PertePVj)+'2027'!Pspv,1-EXP((T0-t)*PertePVj)+Pspv)</f>
        <v>3.0583482843199672E-2</v>
      </c>
      <c r="M53" s="836"/>
      <c r="N53" s="836"/>
      <c r="O53" s="48">
        <f>IF(t&lt;Tnet,'2027'!Resal+('2027'!Salim-'2027'!Resal)*(1-EXP(('2027'!Tnet-t)/('2027'!Tau_j))),Resal+(Salim-Resal)*(1-EXP((Tnet-t)/(Tau_j))))*Salcycl</f>
        <v>1.8277588911983694E-2</v>
      </c>
      <c r="P53" s="165">
        <f>(INDEX(Models!$BJ53:$BT53,,T53)*(1-R53)+INDEX(Models!$BJ53:$BT53,,T53+1)*R53-ERP_i)*Q53*Ramure*Pc/MaxiM</f>
        <v>8.5148329235481008E-3</v>
      </c>
      <c r="Q53" s="301">
        <f t="shared" si="4"/>
        <v>0.5</v>
      </c>
      <c r="R53" s="173">
        <f t="shared" si="5"/>
        <v>0.99642705006129439</v>
      </c>
      <c r="S53" s="802">
        <f t="shared" si="6"/>
        <v>2</v>
      </c>
      <c r="T53" s="172">
        <f t="shared" si="7"/>
        <v>8</v>
      </c>
      <c r="U53" s="247">
        <f t="shared" si="8"/>
        <v>2.9964270500612944</v>
      </c>
      <c r="V53" s="378">
        <f t="shared" si="9"/>
        <v>27.503090321176312</v>
      </c>
      <c r="W53" s="397">
        <f t="shared" si="10"/>
        <v>27.965839838655651</v>
      </c>
      <c r="X53" s="153">
        <f t="shared" si="11"/>
        <v>46791</v>
      </c>
      <c r="Y53" s="380">
        <f t="shared" si="12"/>
        <v>27.110232245101979</v>
      </c>
      <c r="Z53" s="380">
        <f t="shared" si="22"/>
        <v>27.965515096249362</v>
      </c>
      <c r="AA53" s="381">
        <f t="shared" si="13"/>
        <v>29.385206412824253</v>
      </c>
      <c r="AB53" s="193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4.8313130649145671E-2</v>
      </c>
      <c r="AD53" s="227">
        <f>(INDEX(Models!$BJ53:$BT53,,AH53)*(1-AF53)+INDEX(Models!$BJ53:$BT53,,AH53+1)*AF53-ERP_i)*AE53*Ramure*Pc/MaxiM</f>
        <v>8.5148329235481008E-3</v>
      </c>
      <c r="AE53" s="301">
        <f t="shared" si="15"/>
        <v>0.5</v>
      </c>
      <c r="AF53" s="173">
        <f t="shared" si="23"/>
        <v>0.99642705006129439</v>
      </c>
      <c r="AG53" s="802">
        <f t="shared" si="24"/>
        <v>2</v>
      </c>
      <c r="AH53" s="172">
        <f t="shared" si="16"/>
        <v>8</v>
      </c>
      <c r="AI53" s="221">
        <f t="shared" si="17"/>
        <v>2.9964270500612944</v>
      </c>
      <c r="AJ53" s="261" t="b">
        <f t="shared" si="18"/>
        <v>0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46792</v>
      </c>
      <c r="B54" s="406">
        <f>'2027'!Wh/'2027'!Env_an*'2028'!Env_an</f>
        <v>28.20368886142078</v>
      </c>
      <c r="C54" s="832"/>
      <c r="D54" s="388">
        <f t="shared" si="0"/>
        <v>29.093866725359536</v>
      </c>
      <c r="E54" s="380">
        <f t="shared" si="1"/>
        <v>29.637240855702956</v>
      </c>
      <c r="F54" s="380">
        <f t="shared" si="2"/>
        <v>29.867502380139104</v>
      </c>
      <c r="G54" s="110">
        <f t="shared" si="21"/>
        <v>1.0108637230245661</v>
      </c>
      <c r="H54" s="409" t="b">
        <f>Wh_hp&gt;='2027'!Maxi_hp</f>
        <v>1</v>
      </c>
      <c r="I54" s="385">
        <f>IF(H54,Wh_hp,'2027'!Maxi_hp)</f>
        <v>29.867502380139104</v>
      </c>
      <c r="J54" s="85">
        <f>IF(H54,An,'2027'!An_max)</f>
        <v>2028</v>
      </c>
      <c r="K54" s="193">
        <f t="shared" si="3"/>
        <v>46792</v>
      </c>
      <c r="L54" s="143">
        <f>IF(t&lt;Tvie,1-EXP((T0-t)*PertePVj)+'2027'!Pspv,1-EXP((T0-t)*PertePVj)+Pspv)</f>
        <v>3.0596753341240679E-2</v>
      </c>
      <c r="M54" s="836"/>
      <c r="N54" s="836"/>
      <c r="O54" s="48">
        <f>IF(t&lt;Tnet,'2027'!Resal+('2027'!Salim-'2027'!Resal)*(1-EXP(('2027'!Tnet-t)/('2027'!Tau_j))),Resal+(Salim-Resal)*(1-EXP((Tnet-t)/(Tau_j))))*Salcycl</f>
        <v>1.8334167238744842E-2</v>
      </c>
      <c r="P54" s="165">
        <f>(INDEX(Models!$BJ54:$BT54,,T54)*(1-R54)+INDEX(Models!$BJ54:$BT54,,T54+1)*R54-ERP_i)*Q54*Ramure*Pc/MaxiM</f>
        <v>7.7094335343307089E-3</v>
      </c>
      <c r="Q54" s="301">
        <f t="shared" si="4"/>
        <v>0.5</v>
      </c>
      <c r="R54" s="173">
        <f t="shared" si="5"/>
        <v>0.99656482651988565</v>
      </c>
      <c r="S54" s="802">
        <f t="shared" si="6"/>
        <v>2</v>
      </c>
      <c r="T54" s="172">
        <f t="shared" si="7"/>
        <v>8</v>
      </c>
      <c r="U54" s="247">
        <f t="shared" si="8"/>
        <v>2.9965648265198856</v>
      </c>
      <c r="V54" s="378">
        <f t="shared" si="9"/>
        <v>27.900584637693417</v>
      </c>
      <c r="W54" s="397">
        <f t="shared" si="10"/>
        <v>28.20368886142078</v>
      </c>
      <c r="X54" s="153">
        <f t="shared" si="11"/>
        <v>46792</v>
      </c>
      <c r="Y54" s="380">
        <f t="shared" si="12"/>
        <v>27.341531408694092</v>
      </c>
      <c r="Z54" s="380">
        <f t="shared" si="22"/>
        <v>28.204497460610025</v>
      </c>
      <c r="AA54" s="381">
        <f t="shared" si="13"/>
        <v>29.637240855702956</v>
      </c>
      <c r="AB54" s="193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4.8342671373109151E-2</v>
      </c>
      <c r="AD54" s="227">
        <f>(INDEX(Models!$BJ54:$BT54,,AH54)*(1-AF54)+INDEX(Models!$BJ54:$BT54,,AH54+1)*AF54-ERP_i)*AE54*Ramure*Pc/MaxiM</f>
        <v>7.7094335343307089E-3</v>
      </c>
      <c r="AE54" s="301">
        <f t="shared" si="15"/>
        <v>0.5</v>
      </c>
      <c r="AF54" s="173">
        <f t="shared" si="23"/>
        <v>0.99656482651988565</v>
      </c>
      <c r="AG54" s="802">
        <f t="shared" si="24"/>
        <v>2</v>
      </c>
      <c r="AH54" s="172">
        <f t="shared" si="16"/>
        <v>8</v>
      </c>
      <c r="AI54" s="221">
        <f t="shared" si="17"/>
        <v>2.9965648265198856</v>
      </c>
      <c r="AJ54" s="261" t="b">
        <f t="shared" si="18"/>
        <v>0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46793</v>
      </c>
      <c r="B55" s="406">
        <f>'2027'!Wh/'2027'!Env_an*'2028'!Env_an</f>
        <v>27.236905305255871</v>
      </c>
      <c r="C55" s="832"/>
      <c r="D55" s="388">
        <f t="shared" si="0"/>
        <v>28.096953723437331</v>
      </c>
      <c r="E55" s="380">
        <f t="shared" si="1"/>
        <v>28.623357590115347</v>
      </c>
      <c r="F55" s="380">
        <f t="shared" si="2"/>
        <v>28.812110916089718</v>
      </c>
      <c r="G55" s="110">
        <f t="shared" si="21"/>
        <v>0.96203411538592187</v>
      </c>
      <c r="H55" s="409" t="b">
        <f>Wh_hp&gt;='2027'!Maxi_hp</f>
        <v>0</v>
      </c>
      <c r="I55" s="385">
        <f>IF(H55,Wh_hp,'2027'!Maxi_hp)</f>
        <v>28.822898257849857</v>
      </c>
      <c r="J55" s="85">
        <f>IF(H55,An,'2027'!An_max)</f>
        <v>2022</v>
      </c>
      <c r="K55" s="193">
        <f t="shared" si="3"/>
        <v>46793</v>
      </c>
      <c r="L55" s="143">
        <f>IF(t&lt;Tvie,1-EXP((T0-t)*PertePVj)+'2027'!Pspv,1-EXP((T0-t)*PertePVj)+Pspv)</f>
        <v>3.0610023657619667E-2</v>
      </c>
      <c r="M55" s="836"/>
      <c r="N55" s="836"/>
      <c r="O55" s="48">
        <f>IF(t&lt;Tnet,'2027'!Resal+('2027'!Salim-'2027'!Resal)*(1-EXP(('2027'!Tnet-t)/('2027'!Tau_j))),Resal+(Salim-Resal)*(1-EXP((Tnet-t)/(Tau_j))))*Salcycl</f>
        <v>1.8390709930542908E-2</v>
      </c>
      <c r="P55" s="165">
        <f>(INDEX(Models!$BJ55:$BT55,,T55)*(1-R55)+INDEX(Models!$BJ55:$BT55,,T55+1)*R55-ERP_i)*Q55*Ramure*Pc/MaxiM</f>
        <v>6.9231049212778303E-3</v>
      </c>
      <c r="Q55" s="301">
        <f t="shared" si="4"/>
        <v>0.5</v>
      </c>
      <c r="R55" s="173">
        <f t="shared" si="5"/>
        <v>0.99670830183054804</v>
      </c>
      <c r="S55" s="802">
        <f t="shared" si="6"/>
        <v>2</v>
      </c>
      <c r="T55" s="172">
        <f t="shared" si="7"/>
        <v>8</v>
      </c>
      <c r="U55" s="247">
        <f t="shared" si="8"/>
        <v>2.996708301830548</v>
      </c>
      <c r="V55" s="378">
        <f t="shared" si="9"/>
        <v>28.30118806126265</v>
      </c>
      <c r="W55" s="397">
        <f t="shared" si="10"/>
        <v>27.236905305255871</v>
      </c>
      <c r="X55" s="153">
        <f t="shared" si="11"/>
        <v>46793</v>
      </c>
      <c r="Y55" s="380">
        <f t="shared" si="12"/>
        <v>26.405002353456677</v>
      </c>
      <c r="Z55" s="380">
        <f t="shared" si="22"/>
        <v>27.238782118508983</v>
      </c>
      <c r="AA55" s="381">
        <f t="shared" si="13"/>
        <v>28.623357590115347</v>
      </c>
      <c r="AB55" s="193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4.8372224231461432E-2</v>
      </c>
      <c r="AD55" s="227">
        <f>(INDEX(Models!$BJ55:$BT55,,AH55)*(1-AF55)+INDEX(Models!$BJ55:$BT55,,AH55+1)*AF55-ERP_i)*AE55*Ramure*Pc/MaxiM</f>
        <v>6.9231049212778303E-3</v>
      </c>
      <c r="AE55" s="301">
        <f t="shared" si="15"/>
        <v>0.5</v>
      </c>
      <c r="AF55" s="173">
        <f t="shared" si="23"/>
        <v>0.99670830183054804</v>
      </c>
      <c r="AG55" s="802">
        <f t="shared" si="24"/>
        <v>2</v>
      </c>
      <c r="AH55" s="172">
        <f t="shared" si="16"/>
        <v>8</v>
      </c>
      <c r="AI55" s="221">
        <f t="shared" si="17"/>
        <v>2.996708301830548</v>
      </c>
      <c r="AJ55" s="261" t="b">
        <f t="shared" si="18"/>
        <v>0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46794</v>
      </c>
      <c r="B56" s="406">
        <f>'2027'!Wh/'2027'!Env_an*'2028'!Env_an</f>
        <v>14.247526157084092</v>
      </c>
      <c r="C56" s="832"/>
      <c r="D56" s="388">
        <f t="shared" si="0"/>
        <v>14.697615556311886</v>
      </c>
      <c r="E56" s="380">
        <f t="shared" si="1"/>
        <v>14.973841226569798</v>
      </c>
      <c r="F56" s="380">
        <f t="shared" si="2"/>
        <v>14.999739542310877</v>
      </c>
      <c r="G56" s="110">
        <f t="shared" si="21"/>
        <v>0.49414808184692549</v>
      </c>
      <c r="H56" s="409" t="b">
        <f>Wh_hp&gt;='2027'!Maxi_hp</f>
        <v>0</v>
      </c>
      <c r="I56" s="385">
        <f>IF(H56,Wh_hp,'2027'!Maxi_hp)</f>
        <v>15.066561571107581</v>
      </c>
      <c r="J56" s="85">
        <f>IF(H56,An,'2027'!An_max)</f>
        <v>2022</v>
      </c>
      <c r="K56" s="193">
        <f t="shared" si="3"/>
        <v>46794</v>
      </c>
      <c r="L56" s="143">
        <f>IF(t&lt;Tvie,1-EXP((T0-t)*PertePVj)+'2027'!Pspv,1-EXP((T0-t)*PertePVj)+Pspv)</f>
        <v>3.062329379233919E-2</v>
      </c>
      <c r="M56" s="836"/>
      <c r="N56" s="836"/>
      <c r="O56" s="48">
        <f>IF(t&lt;Tnet,'2027'!Resal+('2027'!Salim-'2027'!Resal)*(1-EXP(('2027'!Tnet-t)/('2027'!Tau_j))),Resal+(Salim-Resal)*(1-EXP((Tnet-t)/(Tau_j))))*Salcycl</f>
        <v>1.8447215118574386E-2</v>
      </c>
      <c r="P56" s="165">
        <f>(INDEX(Models!$BJ56:$BT56,,T56)*(1-R56)+INDEX(Models!$BJ56:$BT56,,T56+1)*R56-ERP_i)*Q56*Ramure*Pc/MaxiM</f>
        <v>6.1553773441019978E-3</v>
      </c>
      <c r="Q56" s="301">
        <f t="shared" si="4"/>
        <v>0.5</v>
      </c>
      <c r="R56" s="173">
        <f t="shared" si="5"/>
        <v>0.9968577081964094</v>
      </c>
      <c r="S56" s="802">
        <f t="shared" si="6"/>
        <v>2</v>
      </c>
      <c r="T56" s="172">
        <f t="shared" si="7"/>
        <v>8</v>
      </c>
      <c r="U56" s="247">
        <f t="shared" si="8"/>
        <v>2.9968577081964094</v>
      </c>
      <c r="V56" s="378">
        <f t="shared" si="9"/>
        <v>28.704589169816984</v>
      </c>
      <c r="W56" s="397">
        <f t="shared" si="10"/>
        <v>14.247526157084092</v>
      </c>
      <c r="X56" s="153">
        <f t="shared" si="11"/>
        <v>46794</v>
      </c>
      <c r="Y56" s="380">
        <f t="shared" si="12"/>
        <v>13.812726817213434</v>
      </c>
      <c r="Z56" s="380">
        <f t="shared" si="22"/>
        <v>14.249080598656823</v>
      </c>
      <c r="AA56" s="381">
        <f t="shared" si="13"/>
        <v>14.973841226569798</v>
      </c>
      <c r="AB56" s="193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4.8401783947525014E-2</v>
      </c>
      <c r="AD56" s="227">
        <f>(INDEX(Models!$BJ56:$BT56,,AH56)*(1-AF56)+INDEX(Models!$BJ56:$BT56,,AH56+1)*AF56-ERP_i)*AE56*Ramure*Pc/MaxiM</f>
        <v>6.1553773441019978E-3</v>
      </c>
      <c r="AE56" s="301">
        <f t="shared" si="15"/>
        <v>0.5</v>
      </c>
      <c r="AF56" s="173">
        <f t="shared" si="23"/>
        <v>0.9968577081964094</v>
      </c>
      <c r="AG56" s="802">
        <f t="shared" si="24"/>
        <v>2</v>
      </c>
      <c r="AH56" s="172">
        <f t="shared" si="16"/>
        <v>8</v>
      </c>
      <c r="AI56" s="221">
        <f t="shared" si="17"/>
        <v>2.9968577081964094</v>
      </c>
      <c r="AJ56" s="261" t="b">
        <f t="shared" si="18"/>
        <v>0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46795</v>
      </c>
      <c r="B57" s="406">
        <f>'2027'!Wh/'2027'!Env_an*'2028'!Env_an</f>
        <v>22.796896719791771</v>
      </c>
      <c r="C57" s="832"/>
      <c r="D57" s="388">
        <f t="shared" si="0"/>
        <v>23.517388697755962</v>
      </c>
      <c r="E57" s="380">
        <f t="shared" si="1"/>
        <v>23.960750783947219</v>
      </c>
      <c r="F57" s="380">
        <f t="shared" si="2"/>
        <v>24.050480146737062</v>
      </c>
      <c r="G57" s="110">
        <f t="shared" si="21"/>
        <v>0.78180003090440098</v>
      </c>
      <c r="H57" s="409" t="b">
        <f>Wh_hp&gt;='2027'!Maxi_hp</f>
        <v>0</v>
      </c>
      <c r="I57" s="385">
        <f>IF(H57,Wh_hp,'2027'!Maxi_hp)</f>
        <v>24.090968807798074</v>
      </c>
      <c r="J57" s="85">
        <f>IF(H57,An,'2027'!An_max)</f>
        <v>2022</v>
      </c>
      <c r="K57" s="193">
        <f t="shared" si="3"/>
        <v>46795</v>
      </c>
      <c r="L57" s="143">
        <f>IF(t&lt;Tvie,1-EXP((T0-t)*PertePVj)+'2027'!Pspv,1-EXP((T0-t)*PertePVj)+Pspv)</f>
        <v>3.063656374540169E-2</v>
      </c>
      <c r="M57" s="836"/>
      <c r="N57" s="836"/>
      <c r="O57" s="48">
        <f>IF(t&lt;Tnet,'2027'!Resal+('2027'!Salim-'2027'!Resal)*(1-EXP(('2027'!Tnet-t)/('2027'!Tau_j))),Resal+(Salim-Resal)*(1-EXP((Tnet-t)/(Tau_j))))*Salcycl</f>
        <v>1.8503680881664764E-2</v>
      </c>
      <c r="P57" s="165">
        <f>(INDEX(Models!$BJ57:$BT57,,T57)*(1-R57)+INDEX(Models!$BJ57:$BT57,,T57+1)*R57-ERP_i)*Q57*Ramure*Pc/MaxiM</f>
        <v>5.4057621849069688E-3</v>
      </c>
      <c r="Q57" s="301">
        <f t="shared" si="4"/>
        <v>0.5</v>
      </c>
      <c r="R57" s="173">
        <f t="shared" si="5"/>
        <v>0.99701328698293201</v>
      </c>
      <c r="S57" s="802">
        <f t="shared" si="6"/>
        <v>2</v>
      </c>
      <c r="T57" s="172">
        <f t="shared" si="7"/>
        <v>8</v>
      </c>
      <c r="U57" s="247">
        <f t="shared" si="8"/>
        <v>2.997013286982932</v>
      </c>
      <c r="V57" s="378">
        <f t="shared" si="9"/>
        <v>29.110476630428735</v>
      </c>
      <c r="W57" s="397">
        <f t="shared" si="10"/>
        <v>22.796896719791771</v>
      </c>
      <c r="X57" s="153">
        <f t="shared" si="11"/>
        <v>46795</v>
      </c>
      <c r="Y57" s="380">
        <f t="shared" si="12"/>
        <v>22.101776566672928</v>
      </c>
      <c r="Z57" s="380">
        <f t="shared" si="22"/>
        <v>22.800299392423142</v>
      </c>
      <c r="AA57" s="381">
        <f t="shared" si="13"/>
        <v>23.960750783947219</v>
      </c>
      <c r="AB57" s="193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4.8431345160583894E-2</v>
      </c>
      <c r="AD57" s="227">
        <f>(INDEX(Models!$BJ57:$BT57,,AH57)*(1-AF57)+INDEX(Models!$BJ57:$BT57,,AH57+1)*AF57-ERP_i)*AE57*Ramure*Pc/MaxiM</f>
        <v>5.4057621849069688E-3</v>
      </c>
      <c r="AE57" s="301">
        <f t="shared" si="15"/>
        <v>0.5</v>
      </c>
      <c r="AF57" s="173">
        <f t="shared" si="23"/>
        <v>0.99701328698293201</v>
      </c>
      <c r="AG57" s="802">
        <f t="shared" si="24"/>
        <v>2</v>
      </c>
      <c r="AH57" s="172">
        <f t="shared" si="16"/>
        <v>8</v>
      </c>
      <c r="AI57" s="221">
        <f t="shared" si="17"/>
        <v>2.997013286982932</v>
      </c>
      <c r="AJ57" s="261" t="b">
        <f t="shared" si="18"/>
        <v>0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46796</v>
      </c>
      <c r="B58" s="406">
        <f>'2027'!Wh/'2027'!Env_an*'2028'!Env_an</f>
        <v>25.131340727061929</v>
      </c>
      <c r="C58" s="832"/>
      <c r="D58" s="388">
        <f t="shared" si="0"/>
        <v>25.925967308840129</v>
      </c>
      <c r="E58" s="380">
        <f t="shared" si="1"/>
        <v>26.416255797377225</v>
      </c>
      <c r="F58" s="380">
        <f t="shared" si="2"/>
        <v>26.514431940113301</v>
      </c>
      <c r="G58" s="110">
        <f t="shared" si="21"/>
        <v>0.85054504346137361</v>
      </c>
      <c r="H58" s="409" t="b">
        <f>Wh_hp&gt;='2027'!Maxi_hp</f>
        <v>0</v>
      </c>
      <c r="I58" s="385">
        <f>IF(H58,Wh_hp,'2027'!Maxi_hp)</f>
        <v>26.541007451756311</v>
      </c>
      <c r="J58" s="85">
        <f>IF(H58,An,'2027'!An_max)</f>
        <v>2022</v>
      </c>
      <c r="K58" s="193">
        <f t="shared" si="3"/>
        <v>46796</v>
      </c>
      <c r="L58" s="143">
        <f>IF(t&lt;Tvie,1-EXP((T0-t)*PertePVj)+'2027'!Pspv,1-EXP((T0-t)*PertePVj)+Pspv)</f>
        <v>3.0649833516809721E-2</v>
      </c>
      <c r="M58" s="836"/>
      <c r="N58" s="836"/>
      <c r="O58" s="48">
        <f>IF(t&lt;Tnet,'2027'!Resal+('2027'!Salim-'2027'!Resal)*(1-EXP(('2027'!Tnet-t)/('2027'!Tau_j))),Resal+(Salim-Resal)*(1-EXP((Tnet-t)/(Tau_j))))*Salcycl</f>
        <v>1.8560105273729866E-2</v>
      </c>
      <c r="P58" s="165">
        <f>(INDEX(Models!$BJ58:$BT58,,T58)*(1-R58)+INDEX(Models!$BJ58:$BT58,,T58+1)*R58-ERP_i)*Q58*Ramure*Pc/MaxiM</f>
        <v>4.7006362495795916E-3</v>
      </c>
      <c r="Q58" s="301">
        <f t="shared" si="4"/>
        <v>0.5</v>
      </c>
      <c r="R58" s="173">
        <f t="shared" si="5"/>
        <v>0.99717528905397135</v>
      </c>
      <c r="S58" s="802">
        <f t="shared" si="6"/>
        <v>2</v>
      </c>
      <c r="T58" s="172">
        <f t="shared" si="7"/>
        <v>8</v>
      </c>
      <c r="U58" s="247">
        <f t="shared" si="8"/>
        <v>2.9971752890539713</v>
      </c>
      <c r="V58" s="378">
        <f t="shared" si="9"/>
        <v>29.517741988556324</v>
      </c>
      <c r="W58" s="397">
        <f t="shared" si="10"/>
        <v>25.131340727061929</v>
      </c>
      <c r="X58" s="153">
        <f t="shared" si="11"/>
        <v>46796</v>
      </c>
      <c r="Y58" s="380">
        <f t="shared" si="12"/>
        <v>24.365682914392924</v>
      </c>
      <c r="Z58" s="380">
        <f t="shared" si="22"/>
        <v>25.136100200809583</v>
      </c>
      <c r="AA58" s="381">
        <f t="shared" si="13"/>
        <v>26.416255797377225</v>
      </c>
      <c r="AB58" s="193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4.8460902498330058E-2</v>
      </c>
      <c r="AD58" s="227">
        <f>(INDEX(Models!$BJ58:$BT58,,AH58)*(1-AF58)+INDEX(Models!$BJ58:$BT58,,AH58+1)*AF58-ERP_i)*AE58*Ramure*Pc/MaxiM</f>
        <v>4.7006362495795916E-3</v>
      </c>
      <c r="AE58" s="301">
        <f t="shared" si="15"/>
        <v>0.5</v>
      </c>
      <c r="AF58" s="173">
        <f t="shared" si="23"/>
        <v>0.99717528905397135</v>
      </c>
      <c r="AG58" s="802">
        <f t="shared" si="24"/>
        <v>2</v>
      </c>
      <c r="AH58" s="172">
        <f t="shared" si="16"/>
        <v>8</v>
      </c>
      <c r="AI58" s="221">
        <f t="shared" si="17"/>
        <v>2.9971752890539713</v>
      </c>
      <c r="AJ58" s="261" t="b">
        <f t="shared" si="18"/>
        <v>0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46797</v>
      </c>
      <c r="B59" s="406">
        <f>'2027'!Wh/'2027'!Env_an*'2028'!Env_an</f>
        <v>16.144283540872443</v>
      </c>
      <c r="C59" s="832"/>
      <c r="D59" s="388">
        <f t="shared" si="0"/>
        <v>16.654976812099303</v>
      </c>
      <c r="E59" s="380">
        <f t="shared" si="1"/>
        <v>16.970915631339572</v>
      </c>
      <c r="F59" s="380">
        <f t="shared" si="2"/>
        <v>16.994545082240936</v>
      </c>
      <c r="G59" s="110">
        <f t="shared" si="21"/>
        <v>0.53804162721804705</v>
      </c>
      <c r="H59" s="409" t="b">
        <f>Wh_hp&gt;='2027'!Maxi_hp</f>
        <v>0</v>
      </c>
      <c r="I59" s="385">
        <f>IF(H59,Wh_hp,'2027'!Maxi_hp)</f>
        <v>17.04015432936102</v>
      </c>
      <c r="J59" s="85">
        <f>IF(H59,An,'2027'!An_max)</f>
        <v>2022</v>
      </c>
      <c r="K59" s="193">
        <f t="shared" si="3"/>
        <v>46797</v>
      </c>
      <c r="L59" s="143">
        <f>IF(t&lt;Tvie,1-EXP((T0-t)*PertePVj)+'2027'!Pspv,1-EXP((T0-t)*PertePVj)+Pspv)</f>
        <v>3.0663103106565615E-2</v>
      </c>
      <c r="M59" s="836"/>
      <c r="N59" s="836"/>
      <c r="O59" s="48">
        <f>IF(t&lt;Tnet,'2027'!Resal+('2027'!Salim-'2027'!Resal)*(1-EXP(('2027'!Tnet-t)/('2027'!Tau_j))),Resal+(Salim-Resal)*(1-EXP((Tnet-t)/(Tau_j))))*Salcycl</f>
        <v>1.8616486352500471E-2</v>
      </c>
      <c r="P59" s="165">
        <f>(INDEX(Models!$BJ59:$BT59,,T59)*(1-R59)+INDEX(Models!$BJ59:$BT59,,T59+1)*R59-ERP_i)*Q59*Ramure*Pc/MaxiM</f>
        <v>4.0640769665622615E-3</v>
      </c>
      <c r="Q59" s="301">
        <f t="shared" si="4"/>
        <v>0.5</v>
      </c>
      <c r="R59" s="173">
        <f t="shared" si="5"/>
        <v>0.99734397511795292</v>
      </c>
      <c r="S59" s="802">
        <f t="shared" si="6"/>
        <v>2</v>
      </c>
      <c r="T59" s="172">
        <f t="shared" si="7"/>
        <v>8</v>
      </c>
      <c r="U59" s="247">
        <f t="shared" si="8"/>
        <v>2.9973439751179529</v>
      </c>
      <c r="V59" s="378">
        <f t="shared" si="9"/>
        <v>29.925303640184431</v>
      </c>
      <c r="W59" s="397">
        <f t="shared" si="10"/>
        <v>16.144283540872443</v>
      </c>
      <c r="X59" s="153">
        <f t="shared" si="11"/>
        <v>46797</v>
      </c>
      <c r="Y59" s="380">
        <f t="shared" si="12"/>
        <v>15.652840854678221</v>
      </c>
      <c r="Z59" s="380">
        <f t="shared" si="22"/>
        <v>16.147988284406594</v>
      </c>
      <c r="AA59" s="381">
        <f t="shared" si="13"/>
        <v>16.970915631339572</v>
      </c>
      <c r="AB59" s="193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4.8490450651543414E-2</v>
      </c>
      <c r="AD59" s="227">
        <f>(INDEX(Models!$BJ59:$BT59,,AH59)*(1-AF59)+INDEX(Models!$BJ59:$BT59,,AH59+1)*AF59-ERP_i)*AE59*Ramure*Pc/MaxiM</f>
        <v>4.0640769665622615E-3</v>
      </c>
      <c r="AE59" s="301">
        <f t="shared" si="15"/>
        <v>0.5</v>
      </c>
      <c r="AF59" s="173">
        <f t="shared" si="23"/>
        <v>0.99734397511795292</v>
      </c>
      <c r="AG59" s="802">
        <f t="shared" si="24"/>
        <v>2</v>
      </c>
      <c r="AH59" s="172">
        <f t="shared" si="16"/>
        <v>8</v>
      </c>
      <c r="AI59" s="221">
        <f t="shared" si="17"/>
        <v>2.9973439751179529</v>
      </c>
      <c r="AJ59" s="261" t="b">
        <f t="shared" si="18"/>
        <v>0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46798</v>
      </c>
      <c r="B60" s="406">
        <f>'2027'!Wh/'2027'!Env_an*'2028'!Env_an</f>
        <v>20.791685528607164</v>
      </c>
      <c r="C60" s="832"/>
      <c r="D60" s="388">
        <f t="shared" si="0"/>
        <v>21.449684026114255</v>
      </c>
      <c r="E60" s="380">
        <f t="shared" si="1"/>
        <v>21.857831426214815</v>
      </c>
      <c r="F60" s="380">
        <f t="shared" si="2"/>
        <v>21.899961010229219</v>
      </c>
      <c r="G60" s="110">
        <f t="shared" si="21"/>
        <v>0.68437297100263816</v>
      </c>
      <c r="H60" s="409" t="b">
        <f>Wh_hp&gt;='2027'!Maxi_hp</f>
        <v>0</v>
      </c>
      <c r="I60" s="385">
        <f>IF(H60,Wh_hp,'2027'!Maxi_hp)</f>
        <v>21.934451021953191</v>
      </c>
      <c r="J60" s="85">
        <f>IF(H60,An,'2027'!An_max)</f>
        <v>2022</v>
      </c>
      <c r="K60" s="193">
        <f t="shared" si="3"/>
        <v>46798</v>
      </c>
      <c r="L60" s="143">
        <f>IF(t&lt;Tvie,1-EXP((T0-t)*PertePVj)+'2027'!Pspv,1-EXP((T0-t)*PertePVj)+Pspv)</f>
        <v>3.0676372514672035E-2</v>
      </c>
      <c r="M60" s="836"/>
      <c r="N60" s="836"/>
      <c r="O60" s="48">
        <f>IF(t&lt;Tnet,'2027'!Resal+('2027'!Salim-'2027'!Resal)*(1-EXP(('2027'!Tnet-t)/('2027'!Tau_j))),Resal+(Salim-Resal)*(1-EXP((Tnet-t)/(Tau_j))))*Salcycl</f>
        <v>1.8672822209208531E-2</v>
      </c>
      <c r="P60" s="165">
        <f>(INDEX(Models!$BJ60:$BT60,,T60)*(1-R60)+INDEX(Models!$BJ60:$BT60,,T60+1)*R60-ERP_i)*Q60*Ramure*Pc/MaxiM</f>
        <v>3.4935950755549056E-3</v>
      </c>
      <c r="Q60" s="301">
        <f t="shared" si="4"/>
        <v>0.5</v>
      </c>
      <c r="R60" s="173">
        <f t="shared" si="5"/>
        <v>0.99751961608428319</v>
      </c>
      <c r="S60" s="802">
        <f t="shared" si="6"/>
        <v>2</v>
      </c>
      <c r="T60" s="172">
        <f t="shared" si="7"/>
        <v>8</v>
      </c>
      <c r="U60" s="247">
        <f t="shared" si="8"/>
        <v>2.9975196160842832</v>
      </c>
      <c r="V60" s="378">
        <f t="shared" si="9"/>
        <v>30.332849672312491</v>
      </c>
      <c r="W60" s="397">
        <f t="shared" si="10"/>
        <v>20.791685528607164</v>
      </c>
      <c r="X60" s="153">
        <f t="shared" si="11"/>
        <v>46798</v>
      </c>
      <c r="Y60" s="380">
        <f t="shared" si="12"/>
        <v>20.159304376550523</v>
      </c>
      <c r="Z60" s="380">
        <f t="shared" si="22"/>
        <v>20.797289785299967</v>
      </c>
      <c r="AA60" s="381">
        <f t="shared" si="13"/>
        <v>21.857831426214815</v>
      </c>
      <c r="AB60" s="193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4.8519984450191497E-2</v>
      </c>
      <c r="AD60" s="227">
        <f>(INDEX(Models!$BJ60:$BT60,,AH60)*(1-AF60)+INDEX(Models!$BJ60:$BT60,,AH60+1)*AF60-ERP_i)*AE60*Ramure*Pc/MaxiM</f>
        <v>3.4935950755549056E-3</v>
      </c>
      <c r="AE60" s="301">
        <f t="shared" si="15"/>
        <v>0.5</v>
      </c>
      <c r="AF60" s="173">
        <f t="shared" si="23"/>
        <v>0.99751961608428319</v>
      </c>
      <c r="AG60" s="802">
        <f t="shared" si="24"/>
        <v>2</v>
      </c>
      <c r="AH60" s="172">
        <f t="shared" si="16"/>
        <v>8</v>
      </c>
      <c r="AI60" s="221">
        <f t="shared" si="17"/>
        <v>2.9975196160842832</v>
      </c>
      <c r="AJ60" s="261" t="b">
        <f t="shared" si="18"/>
        <v>0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46799</v>
      </c>
      <c r="B61" s="406">
        <f>'2027'!Wh/'2027'!Env_an*'2028'!Env_an</f>
        <v>9.8787421820267038</v>
      </c>
      <c r="C61" s="832"/>
      <c r="D61" s="388">
        <f t="shared" si="0"/>
        <v>10.191516161832288</v>
      </c>
      <c r="E61" s="380">
        <f t="shared" si="1"/>
        <v>10.386037409310275</v>
      </c>
      <c r="F61" s="380">
        <f t="shared" si="2"/>
        <v>10.386984239945091</v>
      </c>
      <c r="G61" s="110">
        <f t="shared" si="21"/>
        <v>0.320433068815629</v>
      </c>
      <c r="H61" s="409" t="b">
        <f>Wh_hp&gt;='2027'!Maxi_hp</f>
        <v>0</v>
      </c>
      <c r="I61" s="385">
        <f>IF(H61,Wh_hp,'2027'!Maxi_hp)</f>
        <v>10.417141926380237</v>
      </c>
      <c r="J61" s="85">
        <f>IF(H61,An,'2027'!An_max)</f>
        <v>2022</v>
      </c>
      <c r="K61" s="193">
        <f t="shared" si="3"/>
        <v>46799</v>
      </c>
      <c r="L61" s="143">
        <f>IF(t&lt;Tvie,1-EXP((T0-t)*PertePVj)+'2027'!Pspv,1-EXP((T0-t)*PertePVj)+Pspv)</f>
        <v>3.0689641741131424E-2</v>
      </c>
      <c r="M61" s="836"/>
      <c r="N61" s="836"/>
      <c r="O61" s="48">
        <f>IF(t&lt;Tnet,'2027'!Resal+('2027'!Salim-'2027'!Resal)*(1-EXP(('2027'!Tnet-t)/('2027'!Tau_j))),Resal+(Salim-Resal)*(1-EXP((Tnet-t)/(Tau_j))))*Salcycl</f>
        <v>1.8729110998927646E-2</v>
      </c>
      <c r="P61" s="165">
        <f>(INDEX(Models!$BJ61:$BT61,,T61)*(1-R61)+INDEX(Models!$BJ61:$BT61,,T61+1)*R61-ERP_i)*Q61*Ramure*Pc/MaxiM</f>
        <v>2.986787352069753E-3</v>
      </c>
      <c r="Q61" s="301">
        <f t="shared" si="4"/>
        <v>0.5</v>
      </c>
      <c r="R61" s="173">
        <f t="shared" si="5"/>
        <v>0.99770249343007134</v>
      </c>
      <c r="S61" s="802">
        <f t="shared" si="6"/>
        <v>2</v>
      </c>
      <c r="T61" s="172">
        <f t="shared" si="7"/>
        <v>8</v>
      </c>
      <c r="U61" s="247">
        <f t="shared" si="8"/>
        <v>2.9977024934300713</v>
      </c>
      <c r="V61" s="378">
        <f t="shared" si="9"/>
        <v>30.740068152307369</v>
      </c>
      <c r="W61" s="397">
        <f t="shared" si="10"/>
        <v>9.8787421820267038</v>
      </c>
      <c r="X61" s="153">
        <f t="shared" si="11"/>
        <v>46799</v>
      </c>
      <c r="Y61" s="380">
        <f t="shared" si="12"/>
        <v>9.5785315801009663</v>
      </c>
      <c r="Z61" s="380">
        <f t="shared" si="22"/>
        <v>9.8818004971147531</v>
      </c>
      <c r="AA61" s="381">
        <f t="shared" si="13"/>
        <v>10.386037409310275</v>
      </c>
      <c r="AB61" s="193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4.8549498940135938E-2</v>
      </c>
      <c r="AD61" s="227">
        <f>(INDEX(Models!$BJ61:$BT61,,AH61)*(1-AF61)+INDEX(Models!$BJ61:$BT61,,AH61+1)*AF61-ERP_i)*AE61*Ramure*Pc/MaxiM</f>
        <v>2.986787352069753E-3</v>
      </c>
      <c r="AE61" s="301">
        <f t="shared" si="15"/>
        <v>0.5</v>
      </c>
      <c r="AF61" s="173">
        <f t="shared" si="23"/>
        <v>0.99770249343007134</v>
      </c>
      <c r="AG61" s="802">
        <f t="shared" si="24"/>
        <v>2</v>
      </c>
      <c r="AH61" s="172">
        <f t="shared" si="16"/>
        <v>8</v>
      </c>
      <c r="AI61" s="221">
        <f t="shared" si="17"/>
        <v>2.9977024934300713</v>
      </c>
      <c r="AJ61" s="261" t="b">
        <f t="shared" si="18"/>
        <v>0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46800</v>
      </c>
      <c r="B62" s="406">
        <f>'2027'!Wh/'2027'!Env_an*'2028'!Env_an</f>
        <v>11.875776307527877</v>
      </c>
      <c r="C62" s="832"/>
      <c r="D62" s="388">
        <f t="shared" si="0"/>
        <v>12.251946735089495</v>
      </c>
      <c r="E62" s="380">
        <f t="shared" si="1"/>
        <v>12.486510211824829</v>
      </c>
      <c r="F62" s="380">
        <f t="shared" si="2"/>
        <v>12.490196156139653</v>
      </c>
      <c r="G62" s="110">
        <f t="shared" si="21"/>
        <v>0.3804291562954476</v>
      </c>
      <c r="H62" s="409" t="b">
        <f>Wh_hp&gt;='2027'!Maxi_hp</f>
        <v>0</v>
      </c>
      <c r="I62" s="385">
        <f>IF(H62,Wh_hp,'2027'!Maxi_hp)</f>
        <v>12.518314703244648</v>
      </c>
      <c r="J62" s="85">
        <f>IF(H62,An,'2027'!An_max)</f>
        <v>2022</v>
      </c>
      <c r="K62" s="193">
        <f t="shared" si="3"/>
        <v>46800</v>
      </c>
      <c r="L62" s="143">
        <f>IF(t&lt;Tvie,1-EXP((T0-t)*PertePVj)+'2027'!Pspv,1-EXP((T0-t)*PertePVj)+Pspv)</f>
        <v>3.0702910785946225E-2</v>
      </c>
      <c r="M62" s="836"/>
      <c r="N62" s="836"/>
      <c r="O62" s="48">
        <f>IF(t&lt;Tnet,'2027'!Resal+('2027'!Salim-'2027'!Resal)*(1-EXP(('2027'!Tnet-t)/('2027'!Tau_j))),Resal+(Salim-Resal)*(1-EXP((Tnet-t)/(Tau_j))))*Salcycl</f>
        <v>1.8785350971258569E-2</v>
      </c>
      <c r="P62" s="165">
        <f>(INDEX(Models!$BJ62:$BT62,,T62)*(1-R62)+INDEX(Models!$BJ62:$BT62,,T62+1)*R62-ERP_i)*Q62*Ramure*Pc/MaxiM</f>
        <v>2.5413385064711755E-3</v>
      </c>
      <c r="Q62" s="301">
        <f t="shared" si="4"/>
        <v>0.5</v>
      </c>
      <c r="R62" s="173">
        <f t="shared" si="5"/>
        <v>0.9978928995772276</v>
      </c>
      <c r="S62" s="802">
        <f t="shared" si="6"/>
        <v>2</v>
      </c>
      <c r="T62" s="172">
        <f t="shared" si="7"/>
        <v>8</v>
      </c>
      <c r="U62" s="247">
        <f t="shared" si="8"/>
        <v>2.9978928995772276</v>
      </c>
      <c r="V62" s="378">
        <f t="shared" si="9"/>
        <v>31.146647132628029</v>
      </c>
      <c r="W62" s="397">
        <f t="shared" si="10"/>
        <v>11.875776307527877</v>
      </c>
      <c r="X62" s="153">
        <f t="shared" si="11"/>
        <v>46800</v>
      </c>
      <c r="Y62" s="380">
        <f t="shared" si="12"/>
        <v>11.515179789298502</v>
      </c>
      <c r="Z62" s="380">
        <f t="shared" si="22"/>
        <v>11.879928163856849</v>
      </c>
      <c r="AA62" s="381">
        <f t="shared" si="13"/>
        <v>12.486510211824829</v>
      </c>
      <c r="AB62" s="193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4.8578989459644339E-2</v>
      </c>
      <c r="AD62" s="227">
        <f>(INDEX(Models!$BJ62:$BT62,,AH62)*(1-AF62)+INDEX(Models!$BJ62:$BT62,,AH62+1)*AF62-ERP_i)*AE62*Ramure*Pc/MaxiM</f>
        <v>2.5413385064711755E-3</v>
      </c>
      <c r="AE62" s="301">
        <f t="shared" si="15"/>
        <v>0.5</v>
      </c>
      <c r="AF62" s="173">
        <f t="shared" si="23"/>
        <v>0.9978928995772276</v>
      </c>
      <c r="AG62" s="802">
        <f t="shared" si="24"/>
        <v>2</v>
      </c>
      <c r="AH62" s="172">
        <f t="shared" si="16"/>
        <v>8</v>
      </c>
      <c r="AI62" s="221">
        <f t="shared" si="17"/>
        <v>2.9978928995772276</v>
      </c>
      <c r="AJ62" s="261" t="b">
        <f t="shared" si="18"/>
        <v>0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46801</v>
      </c>
      <c r="B63" s="406">
        <f>'2027'!Wh/'2027'!Env_an*'2028'!Env_an</f>
        <v>27.837487190102774</v>
      </c>
      <c r="C63" s="832"/>
      <c r="D63" s="388">
        <f t="shared" si="0"/>
        <v>28.719644964284658</v>
      </c>
      <c r="E63" s="380">
        <f t="shared" si="1"/>
        <v>29.271158686183092</v>
      </c>
      <c r="F63" s="380">
        <f t="shared" si="2"/>
        <v>29.323723365159804</v>
      </c>
      <c r="G63" s="110">
        <f t="shared" si="21"/>
        <v>0.88194526285665364</v>
      </c>
      <c r="H63" s="409" t="b">
        <f>Wh_hp&gt;='2027'!Maxi_hp</f>
        <v>0</v>
      </c>
      <c r="I63" s="385">
        <f>IF(H63,Wh_hp,'2027'!Maxi_hp)</f>
        <v>29.334371482242279</v>
      </c>
      <c r="J63" s="85">
        <f>IF(H63,An,'2027'!An_max)</f>
        <v>2022</v>
      </c>
      <c r="K63" s="193">
        <f t="shared" si="3"/>
        <v>46801</v>
      </c>
      <c r="L63" s="143">
        <f>IF(t&lt;Tvie,1-EXP((T0-t)*PertePVj)+'2027'!Pspv,1-EXP((T0-t)*PertePVj)+Pspv)</f>
        <v>3.0716179649118991E-2</v>
      </c>
      <c r="M63" s="836"/>
      <c r="N63" s="836"/>
      <c r="O63" s="48">
        <f>IF(t&lt;Tnet,'2027'!Resal+('2027'!Salim-'2027'!Resal)*(1-EXP(('2027'!Tnet-t)/('2027'!Tau_j))),Resal+(Salim-Resal)*(1-EXP((Tnet-t)/(Tau_j))))*Salcycl</f>
        <v>1.8841540501051815E-2</v>
      </c>
      <c r="P63" s="165">
        <f>(INDEX(Models!$BJ63:$BT63,,T63)*(1-R63)+INDEX(Models!$BJ63:$BT63,,T63+1)*R63-ERP_i)*Q63*Ramure*Pc/MaxiM</f>
        <v>2.1550224269064324E-3</v>
      </c>
      <c r="Q63" s="301">
        <f t="shared" si="4"/>
        <v>0.5</v>
      </c>
      <c r="R63" s="173">
        <f t="shared" si="5"/>
        <v>0.99809113827997598</v>
      </c>
      <c r="S63" s="802">
        <f t="shared" si="6"/>
        <v>2</v>
      </c>
      <c r="T63" s="172">
        <f t="shared" si="7"/>
        <v>8</v>
      </c>
      <c r="U63" s="247">
        <f t="shared" si="8"/>
        <v>2.998091138279976</v>
      </c>
      <c r="V63" s="378">
        <f t="shared" si="9"/>
        <v>31.552274656551091</v>
      </c>
      <c r="W63" s="397">
        <f t="shared" si="10"/>
        <v>27.837487190102774</v>
      </c>
      <c r="X63" s="153">
        <f t="shared" si="11"/>
        <v>46801</v>
      </c>
      <c r="Y63" s="380">
        <f t="shared" si="12"/>
        <v>26.992938583725522</v>
      </c>
      <c r="Z63" s="380">
        <f t="shared" si="22"/>
        <v>27.848332982545887</v>
      </c>
      <c r="AA63" s="381">
        <f t="shared" si="13"/>
        <v>29.271158686183092</v>
      </c>
      <c r="AB63" s="193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4.8608451714923909E-2</v>
      </c>
      <c r="AD63" s="227">
        <f>(INDEX(Models!$BJ63:$BT63,,AH63)*(1-AF63)+INDEX(Models!$BJ63:$BT63,,AH63+1)*AF63-ERP_i)*AE63*Ramure*Pc/MaxiM</f>
        <v>2.1550224269064324E-3</v>
      </c>
      <c r="AE63" s="301">
        <f t="shared" si="15"/>
        <v>0.5</v>
      </c>
      <c r="AF63" s="173">
        <f t="shared" si="23"/>
        <v>0.99809113827997598</v>
      </c>
      <c r="AG63" s="802">
        <f t="shared" si="24"/>
        <v>2</v>
      </c>
      <c r="AH63" s="172">
        <f t="shared" si="16"/>
        <v>8</v>
      </c>
      <c r="AI63" s="221">
        <f t="shared" si="17"/>
        <v>2.998091138279976</v>
      </c>
      <c r="AJ63" s="261" t="b">
        <f t="shared" si="18"/>
        <v>0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46802</v>
      </c>
      <c r="B64" s="406">
        <f>'2027'!Wh/'2027'!Env_an*'2028'!Env_an</f>
        <v>16.808790244946042</v>
      </c>
      <c r="C64" s="832"/>
      <c r="D64" s="388">
        <f t="shared" si="0"/>
        <v>17.34169083750324</v>
      </c>
      <c r="E64" s="380">
        <f t="shared" si="1"/>
        <v>17.675720922006178</v>
      </c>
      <c r="F64" s="380">
        <f t="shared" si="2"/>
        <v>17.686145285039185</v>
      </c>
      <c r="G64" s="110">
        <f t="shared" si="21"/>
        <v>0.52533676955904041</v>
      </c>
      <c r="H64" s="409" t="b">
        <f>Wh_hp&gt;='2027'!Maxi_hp</f>
        <v>0</v>
      </c>
      <c r="I64" s="385">
        <f>IF(H64,Wh_hp,'2027'!Maxi_hp)</f>
        <v>17.708043029969524</v>
      </c>
      <c r="J64" s="85">
        <f>IF(H64,An,'2027'!An_max)</f>
        <v>2022</v>
      </c>
      <c r="K64" s="193">
        <f t="shared" si="3"/>
        <v>46802</v>
      </c>
      <c r="L64" s="143">
        <f>IF(t&lt;Tvie,1-EXP((T0-t)*PertePVj)+'2027'!Pspv,1-EXP((T0-t)*PertePVj)+Pspv)</f>
        <v>3.0729448330652054E-2</v>
      </c>
      <c r="M64" s="836"/>
      <c r="N64" s="836"/>
      <c r="O64" s="48">
        <f>IF(t&lt;Tnet,'2027'!Resal+('2027'!Salim-'2027'!Resal)*(1-EXP(('2027'!Tnet-t)/('2027'!Tau_j))),Resal+(Salim-Resal)*(1-EXP((Tnet-t)/(Tau_j))))*Salcycl</f>
        <v>1.8897678118863802E-2</v>
      </c>
      <c r="P64" s="165">
        <f>(INDEX(Models!$BJ64:$BT64,,T64)*(1-R64)+INDEX(Models!$BJ64:$BT64,,T64+1)*R64-ERP_i)*Q64*Ramure*Pc/MaxiM</f>
        <v>1.8257028732568215E-3</v>
      </c>
      <c r="Q64" s="301">
        <f t="shared" si="4"/>
        <v>0.5</v>
      </c>
      <c r="R64" s="173">
        <f t="shared" si="5"/>
        <v>0.99829752502278479</v>
      </c>
      <c r="S64" s="802">
        <f t="shared" si="6"/>
        <v>2</v>
      </c>
      <c r="T64" s="172">
        <f t="shared" si="7"/>
        <v>8</v>
      </c>
      <c r="U64" s="247">
        <f t="shared" si="8"/>
        <v>2.9982975250227848</v>
      </c>
      <c r="V64" s="378">
        <f t="shared" si="9"/>
        <v>31.956638766176237</v>
      </c>
      <c r="W64" s="397">
        <f t="shared" si="10"/>
        <v>16.808790244946042</v>
      </c>
      <c r="X64" s="153">
        <f t="shared" si="11"/>
        <v>46802</v>
      </c>
      <c r="Y64" s="380">
        <f t="shared" si="12"/>
        <v>16.299264545867036</v>
      </c>
      <c r="Z64" s="380">
        <f t="shared" si="22"/>
        <v>16.816011296118781</v>
      </c>
      <c r="AA64" s="381">
        <f t="shared" si="13"/>
        <v>17.675720922006178</v>
      </c>
      <c r="AB64" s="193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4.8637881853920074E-2</v>
      </c>
      <c r="AD64" s="227">
        <f>(INDEX(Models!$BJ64:$BT64,,AH64)*(1-AF64)+INDEX(Models!$BJ64:$BT64,,AH64+1)*AF64-ERP_i)*AE64*Ramure*Pc/MaxiM</f>
        <v>1.8257028732568215E-3</v>
      </c>
      <c r="AE64" s="301">
        <f t="shared" si="15"/>
        <v>0.5</v>
      </c>
      <c r="AF64" s="173">
        <f t="shared" si="23"/>
        <v>0.99829752502278479</v>
      </c>
      <c r="AG64" s="802">
        <f t="shared" si="24"/>
        <v>2</v>
      </c>
      <c r="AH64" s="172">
        <f t="shared" si="16"/>
        <v>8</v>
      </c>
      <c r="AI64" s="221">
        <f t="shared" si="17"/>
        <v>2.9982975250227848</v>
      </c>
      <c r="AJ64" s="261" t="b">
        <f t="shared" si="18"/>
        <v>0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46803</v>
      </c>
      <c r="B65" s="406">
        <f>'2027'!Wh/'2027'!Env_an*'2028'!Env_an</f>
        <v>21.171003685197199</v>
      </c>
      <c r="C65" s="832"/>
      <c r="D65" s="388">
        <f t="shared" si="0"/>
        <v>21.842501524433679</v>
      </c>
      <c r="E65" s="380">
        <f t="shared" si="1"/>
        <v>22.264497523587117</v>
      </c>
      <c r="F65" s="380">
        <f t="shared" si="2"/>
        <v>22.281990057290013</v>
      </c>
      <c r="G65" s="110">
        <f t="shared" si="21"/>
        <v>0.65373694673701899</v>
      </c>
      <c r="H65" s="409" t="b">
        <f>Wh_hp&gt;='2027'!Maxi_hp</f>
        <v>0</v>
      </c>
      <c r="I65" s="385">
        <f>IF(H65,Wh_hp,'2027'!Maxi_hp)</f>
        <v>22.299083982726547</v>
      </c>
      <c r="J65" s="85">
        <f>IF(H65,An,'2027'!An_max)</f>
        <v>2022</v>
      </c>
      <c r="K65" s="193">
        <f t="shared" si="3"/>
        <v>46803</v>
      </c>
      <c r="L65" s="143">
        <f>IF(t&lt;Tvie,1-EXP((T0-t)*PertePVj)+'2027'!Pspv,1-EXP((T0-t)*PertePVj)+Pspv)</f>
        <v>3.0742716830548078E-2</v>
      </c>
      <c r="M65" s="836"/>
      <c r="N65" s="836"/>
      <c r="O65" s="48">
        <f>IF(t&lt;Tnet,'2027'!Resal+('2027'!Salim-'2027'!Resal)*(1-EXP(('2027'!Tnet-t)/('2027'!Tau_j))),Resal+(Salim-Resal)*(1-EXP((Tnet-t)/(Tau_j))))*Salcycl</f>
        <v>1.8953762540851141E-2</v>
      </c>
      <c r="P65" s="165">
        <f>(INDEX(Models!$BJ65:$BT65,,T65)*(1-R65)+INDEX(Models!$BJ65:$BT65,,T65+1)*R65-ERP_i)*Q65*Ramure*Pc/MaxiM</f>
        <v>1.551317978310726E-3</v>
      </c>
      <c r="Q65" s="301">
        <f t="shared" si="4"/>
        <v>0.5</v>
      </c>
      <c r="R65" s="173">
        <f t="shared" si="5"/>
        <v>0.99851238742869519</v>
      </c>
      <c r="S65" s="802">
        <f t="shared" si="6"/>
        <v>2</v>
      </c>
      <c r="T65" s="172">
        <f t="shared" si="7"/>
        <v>8</v>
      </c>
      <c r="U65" s="247">
        <f t="shared" si="8"/>
        <v>2.9985123874286952</v>
      </c>
      <c r="V65" s="378">
        <f t="shared" si="9"/>
        <v>32.359756378362768</v>
      </c>
      <c r="W65" s="397">
        <f t="shared" si="10"/>
        <v>21.171003685197199</v>
      </c>
      <c r="X65" s="153">
        <f t="shared" si="11"/>
        <v>46803</v>
      </c>
      <c r="Y65" s="380">
        <f t="shared" si="12"/>
        <v>20.529785269278516</v>
      </c>
      <c r="Z65" s="380">
        <f t="shared" si="22"/>
        <v>21.18094506563472</v>
      </c>
      <c r="AA65" s="381">
        <f t="shared" si="13"/>
        <v>22.264497523587117</v>
      </c>
      <c r="AB65" s="193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4.866727653765713E-2</v>
      </c>
      <c r="AD65" s="227">
        <f>(INDEX(Models!$BJ65:$BT65,,AH65)*(1-AF65)+INDEX(Models!$BJ65:$BT65,,AH65+1)*AF65-ERP_i)*AE65*Ramure*Pc/MaxiM</f>
        <v>1.551317978310726E-3</v>
      </c>
      <c r="AE65" s="301">
        <f t="shared" si="15"/>
        <v>0.5</v>
      </c>
      <c r="AF65" s="173">
        <f t="shared" si="23"/>
        <v>0.99851238742869519</v>
      </c>
      <c r="AG65" s="802">
        <f t="shared" si="24"/>
        <v>2</v>
      </c>
      <c r="AH65" s="172">
        <f t="shared" si="16"/>
        <v>8</v>
      </c>
      <c r="AI65" s="221">
        <f t="shared" si="17"/>
        <v>2.9985123874286952</v>
      </c>
      <c r="AJ65" s="261" t="b">
        <f t="shared" si="18"/>
        <v>0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46804</v>
      </c>
      <c r="B66" s="406">
        <f>'2027'!Wh/'2027'!Env_an*'2028'!Env_an</f>
        <v>18.670857150461938</v>
      </c>
      <c r="C66" s="832"/>
      <c r="D66" s="388">
        <f t="shared" si="0"/>
        <v>19.263319519521101</v>
      </c>
      <c r="E66" s="380">
        <f t="shared" si="1"/>
        <v>19.636607354620882</v>
      </c>
      <c r="F66" s="380">
        <f t="shared" si="2"/>
        <v>19.646701329668776</v>
      </c>
      <c r="G66" s="110">
        <f t="shared" si="21"/>
        <v>0.56942851886620471</v>
      </c>
      <c r="H66" s="409" t="b">
        <f>Wh_hp&gt;='2027'!Maxi_hp</f>
        <v>0</v>
      </c>
      <c r="I66" s="385">
        <f>IF(H66,Wh_hp,'2027'!Maxi_hp)</f>
        <v>19.662801372105708</v>
      </c>
      <c r="J66" s="85">
        <f>IF(H66,An,'2027'!An_max)</f>
        <v>2022</v>
      </c>
      <c r="K66" s="193">
        <f t="shared" si="3"/>
        <v>46804</v>
      </c>
      <c r="L66" s="143">
        <f>IF(t&lt;Tvie,1-EXP((T0-t)*PertePVj)+'2027'!Pspv,1-EXP((T0-t)*PertePVj)+Pspv)</f>
        <v>3.0755985148809506E-2</v>
      </c>
      <c r="M66" s="836"/>
      <c r="N66" s="836"/>
      <c r="O66" s="48">
        <f>IF(t&lt;Tnet,'2027'!Resal+('2027'!Salim-'2027'!Resal)*(1-EXP(('2027'!Tnet-t)/('2027'!Tau_j))),Resal+(Salim-Resal)*(1-EXP((Tnet-t)/(Tau_j))))*Salcycl</f>
        <v>1.9009792697817548E-2</v>
      </c>
      <c r="P66" s="165">
        <f>(INDEX(Models!$BJ66:$BT66,,T66)*(1-R66)+INDEX(Models!$BJ66:$BT66,,T66+1)*R66-ERP_i)*Q66*Ramure*Pc/MaxiM</f>
        <v>1.3325245058484869E-3</v>
      </c>
      <c r="Q66" s="301">
        <f t="shared" si="4"/>
        <v>0.5</v>
      </c>
      <c r="R66" s="173">
        <f t="shared" si="5"/>
        <v>0.99873606567798179</v>
      </c>
      <c r="S66" s="802">
        <f t="shared" si="6"/>
        <v>2</v>
      </c>
      <c r="T66" s="172">
        <f t="shared" si="7"/>
        <v>8</v>
      </c>
      <c r="U66" s="247">
        <f t="shared" si="8"/>
        <v>2.9987360656779818</v>
      </c>
      <c r="V66" s="378">
        <f t="shared" si="9"/>
        <v>32.761904103556262</v>
      </c>
      <c r="W66" s="397">
        <f t="shared" si="10"/>
        <v>18.670857150461938</v>
      </c>
      <c r="X66" s="153">
        <f t="shared" si="11"/>
        <v>46804</v>
      </c>
      <c r="Y66" s="380">
        <f t="shared" si="12"/>
        <v>18.105837489141873</v>
      </c>
      <c r="Z66" s="380">
        <f t="shared" si="22"/>
        <v>18.680370692742105</v>
      </c>
      <c r="AA66" s="381">
        <f t="shared" si="13"/>
        <v>19.636607354620882</v>
      </c>
      <c r="AB66" s="193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4.8696633008438385E-2</v>
      </c>
      <c r="AD66" s="227">
        <f>(INDEX(Models!$BJ66:$BT66,,AH66)*(1-AF66)+INDEX(Models!$BJ66:$BT66,,AH66+1)*AF66-ERP_i)*AE66*Ramure*Pc/MaxiM</f>
        <v>1.3325245058484869E-3</v>
      </c>
      <c r="AE66" s="301">
        <f t="shared" si="15"/>
        <v>0.5</v>
      </c>
      <c r="AF66" s="173">
        <f t="shared" si="23"/>
        <v>0.99873606567798179</v>
      </c>
      <c r="AG66" s="802">
        <f t="shared" si="24"/>
        <v>2</v>
      </c>
      <c r="AH66" s="172">
        <f t="shared" si="16"/>
        <v>8</v>
      </c>
      <c r="AI66" s="221">
        <f t="shared" si="17"/>
        <v>2.9987360656779818</v>
      </c>
      <c r="AJ66" s="261" t="b">
        <f t="shared" si="18"/>
        <v>0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46805</v>
      </c>
      <c r="B67" s="406">
        <f>'2027'!Wh/'2027'!Env_an*'2028'!Env_an</f>
        <v>30.5159030997117</v>
      </c>
      <c r="C67" s="832"/>
      <c r="D67" s="388">
        <f t="shared" si="0"/>
        <v>31.484662659694436</v>
      </c>
      <c r="E67" s="380">
        <f t="shared" si="1"/>
        <v>32.096609155844106</v>
      </c>
      <c r="F67" s="380">
        <f t="shared" si="2"/>
        <v>32.129214396114179</v>
      </c>
      <c r="G67" s="110">
        <f t="shared" si="21"/>
        <v>0.92003068253691078</v>
      </c>
      <c r="H67" s="409" t="b">
        <f>Wh_hp&gt;='2027'!Maxi_hp</f>
        <v>0</v>
      </c>
      <c r="I67" s="385">
        <f>IF(H67,Wh_hp,'2027'!Maxi_hp)</f>
        <v>32.133415210523701</v>
      </c>
      <c r="J67" s="85">
        <f>IF(H67,An,'2027'!An_max)</f>
        <v>2022</v>
      </c>
      <c r="K67" s="193">
        <f t="shared" si="3"/>
        <v>46805</v>
      </c>
      <c r="L67" s="143">
        <f>IF(t&lt;Tvie,1-EXP((T0-t)*PertePVj)+'2027'!Pspv,1-EXP((T0-t)*PertePVj)+Pspv)</f>
        <v>3.076925328543878E-2</v>
      </c>
      <c r="M67" s="836"/>
      <c r="N67" s="836"/>
      <c r="O67" s="48">
        <f>IF(t&lt;Tnet,'2027'!Resal+('2027'!Salim-'2027'!Resal)*(1-EXP(('2027'!Tnet-t)/('2027'!Tau_j))),Resal+(Salim-Resal)*(1-EXP((Tnet-t)/(Tau_j))))*Salcycl</f>
        <v>1.906576776314238E-2</v>
      </c>
      <c r="P67" s="165">
        <f>(INDEX(Models!$BJ67:$BT67,,T67)*(1-R67)+INDEX(Models!$BJ67:$BT67,,T67+1)*R67-ERP_i)*Q67*Ramure*Pc/MaxiM</f>
        <v>1.1454809332440354E-3</v>
      </c>
      <c r="Q67" s="301">
        <f t="shared" si="4"/>
        <v>0.5</v>
      </c>
      <c r="R67" s="173">
        <f t="shared" si="5"/>
        <v>0.99896891293705137</v>
      </c>
      <c r="S67" s="802">
        <f t="shared" si="6"/>
        <v>2</v>
      </c>
      <c r="T67" s="172">
        <f t="shared" si="7"/>
        <v>8</v>
      </c>
      <c r="U67" s="247">
        <f t="shared" si="8"/>
        <v>2.9989689129370514</v>
      </c>
      <c r="V67" s="378">
        <f t="shared" si="9"/>
        <v>33.164015363109279</v>
      </c>
      <c r="W67" s="397">
        <f t="shared" si="10"/>
        <v>30.5159030997117</v>
      </c>
      <c r="X67" s="153">
        <f t="shared" si="11"/>
        <v>46805</v>
      </c>
      <c r="Y67" s="380">
        <f t="shared" si="12"/>
        <v>29.593203909993758</v>
      </c>
      <c r="Z67" s="380">
        <f t="shared" si="22"/>
        <v>30.532671410091954</v>
      </c>
      <c r="AA67" s="381">
        <f t="shared" si="13"/>
        <v>32.096609155844106</v>
      </c>
      <c r="AB67" s="193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4.8725949154270518E-2</v>
      </c>
      <c r="AD67" s="227">
        <f>(INDEX(Models!$BJ67:$BT67,,AH67)*(1-AF67)+INDEX(Models!$BJ67:$BT67,,AH67+1)*AF67-ERP_i)*AE67*Ramure*Pc/MaxiM</f>
        <v>1.1454809332440354E-3</v>
      </c>
      <c r="AE67" s="301">
        <f t="shared" si="15"/>
        <v>0.5</v>
      </c>
      <c r="AF67" s="173">
        <f t="shared" si="23"/>
        <v>0.99896891293705137</v>
      </c>
      <c r="AG67" s="802">
        <f t="shared" si="24"/>
        <v>2</v>
      </c>
      <c r="AH67" s="172">
        <f t="shared" si="16"/>
        <v>8</v>
      </c>
      <c r="AI67" s="221">
        <f t="shared" si="17"/>
        <v>2.9989689129370514</v>
      </c>
      <c r="AJ67" s="261" t="b">
        <f t="shared" si="18"/>
        <v>0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46806</v>
      </c>
      <c r="B68" s="406">
        <f>'2027'!Wh/'2027'!Env_an*'2028'!Env_an</f>
        <v>32.095587142062335</v>
      </c>
      <c r="C68" s="832"/>
      <c r="D68" s="388">
        <f t="shared" si="0"/>
        <v>33.114948755504685</v>
      </c>
      <c r="E68" s="380">
        <f t="shared" si="1"/>
        <v>33.76050660175941</v>
      </c>
      <c r="F68" s="380">
        <f t="shared" si="2"/>
        <v>33.791837453565641</v>
      </c>
      <c r="G68" s="110">
        <f t="shared" si="21"/>
        <v>0.95612566124624243</v>
      </c>
      <c r="H68" s="409" t="b">
        <f>Wh_hp&gt;='2027'!Maxi_hp</f>
        <v>0</v>
      </c>
      <c r="I68" s="385">
        <f>IF(H68,Wh_hp,'2027'!Maxi_hp)</f>
        <v>33.793930327105848</v>
      </c>
      <c r="J68" s="85">
        <f>IF(H68,An,'2027'!An_max)</f>
        <v>2022</v>
      </c>
      <c r="K68" s="193">
        <f t="shared" si="3"/>
        <v>46806</v>
      </c>
      <c r="L68" s="143">
        <f>IF(t&lt;Tvie,1-EXP((T0-t)*PertePVj)+'2027'!Pspv,1-EXP((T0-t)*PertePVj)+Pspv)</f>
        <v>3.0782521240438343E-2</v>
      </c>
      <c r="M68" s="836"/>
      <c r="N68" s="836"/>
      <c r="O68" s="48">
        <f>IF(t&lt;Tnet,'2027'!Resal+('2027'!Salim-'2027'!Resal)*(1-EXP(('2027'!Tnet-t)/('2027'!Tau_j))),Resal+(Salim-Resal)*(1-EXP((Tnet-t)/(Tau_j))))*Salcycl</f>
        <v>1.9121687179335108E-2</v>
      </c>
      <c r="P68" s="165">
        <f>(INDEX(Models!$BJ68:$BT68,,T68)*(1-R68)+INDEX(Models!$BJ68:$BT68,,T68+1)*R68-ERP_i)*Q68*Ramure*Pc/MaxiM</f>
        <v>9.8908176227655107E-4</v>
      </c>
      <c r="Q68" s="301">
        <f t="shared" si="4"/>
        <v>0.5</v>
      </c>
      <c r="R68" s="173">
        <f t="shared" si="5"/>
        <v>0.99921129579742907</v>
      </c>
      <c r="S68" s="802">
        <f t="shared" si="6"/>
        <v>2</v>
      </c>
      <c r="T68" s="172">
        <f t="shared" si="7"/>
        <v>8</v>
      </c>
      <c r="U68" s="247">
        <f t="shared" si="8"/>
        <v>2.9992112957974291</v>
      </c>
      <c r="V68" s="378">
        <f t="shared" si="9"/>
        <v>33.566297375610823</v>
      </c>
      <c r="W68" s="397">
        <f t="shared" si="10"/>
        <v>32.095587142062335</v>
      </c>
      <c r="X68" s="153">
        <f t="shared" si="11"/>
        <v>46806</v>
      </c>
      <c r="Y68" s="380">
        <f t="shared" si="12"/>
        <v>31.125940105229972</v>
      </c>
      <c r="Z68" s="380">
        <f t="shared" si="22"/>
        <v>32.114505554590323</v>
      </c>
      <c r="AA68" s="381">
        <f t="shared" si="13"/>
        <v>33.76050660175941</v>
      </c>
      <c r="AB68" s="193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4.8755223568929161E-2</v>
      </c>
      <c r="AD68" s="227">
        <f>(INDEX(Models!$BJ68:$BT68,,AH68)*(1-AF68)+INDEX(Models!$BJ68:$BT68,,AH68+1)*AF68-ERP_i)*AE68*Ramure*Pc/MaxiM</f>
        <v>9.8908176227655107E-4</v>
      </c>
      <c r="AE68" s="301">
        <f t="shared" si="15"/>
        <v>0.5</v>
      </c>
      <c r="AF68" s="173">
        <f t="shared" si="23"/>
        <v>0.99921129579742907</v>
      </c>
      <c r="AG68" s="802">
        <f t="shared" si="24"/>
        <v>2</v>
      </c>
      <c r="AH68" s="172">
        <f t="shared" si="16"/>
        <v>8</v>
      </c>
      <c r="AI68" s="221">
        <f t="shared" si="17"/>
        <v>2.9992112957974291</v>
      </c>
      <c r="AJ68" s="261" t="b">
        <f t="shared" si="18"/>
        <v>0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46807</v>
      </c>
      <c r="B69" s="406">
        <f>'2027'!Wh/'2027'!Env_an*'2028'!Env_an</f>
        <v>22.856090932311197</v>
      </c>
      <c r="C69" s="832"/>
      <c r="D69" s="388">
        <f t="shared" si="0"/>
        <v>23.582327308560249</v>
      </c>
      <c r="E69" s="380">
        <f t="shared" si="1"/>
        <v>24.043421237943118</v>
      </c>
      <c r="F69" s="380">
        <f t="shared" si="2"/>
        <v>24.054469202664833</v>
      </c>
      <c r="G69" s="110">
        <f t="shared" si="21"/>
        <v>0.67258102470683145</v>
      </c>
      <c r="H69" s="409" t="b">
        <f>Wh_hp&gt;='2027'!Maxi_hp</f>
        <v>0</v>
      </c>
      <c r="I69" s="385">
        <f>IF(H69,Wh_hp,'2027'!Maxi_hp)</f>
        <v>24.064164791213923</v>
      </c>
      <c r="J69" s="85">
        <f>IF(H69,An,'2027'!An_max)</f>
        <v>2022</v>
      </c>
      <c r="K69" s="193">
        <f t="shared" si="3"/>
        <v>46807</v>
      </c>
      <c r="L69" s="143">
        <f>IF(t&lt;Tvie,1-EXP((T0-t)*PertePVj)+'2027'!Pspv,1-EXP((T0-t)*PertePVj)+Pspv)</f>
        <v>3.0795789013810859E-2</v>
      </c>
      <c r="M69" s="836"/>
      <c r="N69" s="836"/>
      <c r="O69" s="48">
        <f>IF(t&lt;Tnet,'2027'!Resal+('2027'!Salim-'2027'!Resal)*(1-EXP(('2027'!Tnet-t)/('2027'!Tau_j))),Resal+(Salim-Resal)*(1-EXP((Tnet-t)/(Tau_j))))*Salcycl</f>
        <v>1.9177550682979036E-2</v>
      </c>
      <c r="P69" s="165">
        <f>(INDEX(Models!$BJ69:$BT69,,T69)*(1-R69)+INDEX(Models!$BJ69:$BT69,,T69+1)*R69-ERP_i)*Q69*Ramure*Pc/MaxiM</f>
        <v>8.6227880761162055E-4</v>
      </c>
      <c r="Q69" s="301">
        <f t="shared" si="4"/>
        <v>0.5</v>
      </c>
      <c r="R69" s="173">
        <f t="shared" si="5"/>
        <v>0.9994635947246473</v>
      </c>
      <c r="S69" s="802">
        <f t="shared" si="6"/>
        <v>2</v>
      </c>
      <c r="T69" s="172">
        <f t="shared" si="7"/>
        <v>8</v>
      </c>
      <c r="U69" s="247">
        <f t="shared" si="8"/>
        <v>2.9994635947246473</v>
      </c>
      <c r="V69" s="378">
        <f t="shared" si="9"/>
        <v>33.968957047621558</v>
      </c>
      <c r="W69" s="397">
        <f t="shared" si="10"/>
        <v>22.856090932311197</v>
      </c>
      <c r="X69" s="153">
        <f t="shared" si="11"/>
        <v>46807</v>
      </c>
      <c r="Y69" s="380">
        <f t="shared" si="12"/>
        <v>22.166161667700539</v>
      </c>
      <c r="Z69" s="380">
        <f t="shared" si="22"/>
        <v>22.870476021916911</v>
      </c>
      <c r="AA69" s="381">
        <f t="shared" si="13"/>
        <v>24.043421237943118</v>
      </c>
      <c r="AB69" s="193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4.8784455607140148E-2</v>
      </c>
      <c r="AD69" s="227">
        <f>(INDEX(Models!$BJ69:$BT69,,AH69)*(1-AF69)+INDEX(Models!$BJ69:$BT69,,AH69+1)*AF69-ERP_i)*AE69*Ramure*Pc/MaxiM</f>
        <v>8.6227880761162055E-4</v>
      </c>
      <c r="AE69" s="301">
        <f t="shared" si="15"/>
        <v>0.5</v>
      </c>
      <c r="AF69" s="173">
        <f t="shared" si="23"/>
        <v>0.9994635947246473</v>
      </c>
      <c r="AG69" s="802">
        <f t="shared" si="24"/>
        <v>2</v>
      </c>
      <c r="AH69" s="172">
        <f t="shared" si="16"/>
        <v>8</v>
      </c>
      <c r="AI69" s="221">
        <f t="shared" si="17"/>
        <v>2.9994635947246473</v>
      </c>
      <c r="AJ69" s="261" t="b">
        <f t="shared" si="18"/>
        <v>0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46808</v>
      </c>
      <c r="B70" s="406">
        <f>'2027'!Wh/'2027'!Env_an*'2028'!Env_an</f>
        <v>25.235873773212898</v>
      </c>
      <c r="C70" s="832"/>
      <c r="D70" s="388">
        <f t="shared" si="0"/>
        <v>26.038082531836451</v>
      </c>
      <c r="E70" s="380">
        <f t="shared" si="1"/>
        <v>26.548703254673292</v>
      </c>
      <c r="F70" s="380">
        <f t="shared" si="2"/>
        <v>26.561291594834135</v>
      </c>
      <c r="G70" s="110">
        <f t="shared" si="21"/>
        <v>0.73398117164840726</v>
      </c>
      <c r="H70" s="409" t="b">
        <f>Wh_hp&gt;='2027'!Maxi_hp</f>
        <v>0</v>
      </c>
      <c r="I70" s="385">
        <f>IF(H70,Wh_hp,'2027'!Maxi_hp)</f>
        <v>26.56899815763115</v>
      </c>
      <c r="J70" s="85">
        <f>IF(H70,An,'2027'!An_max)</f>
        <v>2022</v>
      </c>
      <c r="K70" s="193">
        <f t="shared" si="3"/>
        <v>46808</v>
      </c>
      <c r="L70" s="143">
        <f>IF(t&lt;Tvie,1-EXP((T0-t)*PertePVj)+'2027'!Pspv,1-EXP((T0-t)*PertePVj)+Pspv)</f>
        <v>3.0809056605558549E-2</v>
      </c>
      <c r="M70" s="836"/>
      <c r="N70" s="836"/>
      <c r="O70" s="48">
        <f>IF(t&lt;Tnet,'2027'!Resal+('2027'!Salim-'2027'!Resal)*(1-EXP(('2027'!Tnet-t)/('2027'!Tau_j))),Resal+(Salim-Resal)*(1-EXP((Tnet-t)/(Tau_j))))*Salcycl</f>
        <v>1.9233358327848234E-2</v>
      </c>
      <c r="P70" s="165">
        <f>(INDEX(Models!$BJ70:$BT70,,T70)*(1-R70)+INDEX(Models!$BJ70:$BT70,,T70+1)*R70-ERP_i)*Q70*Ramure*Pc/MaxiM</f>
        <v>7.6407011695593815E-4</v>
      </c>
      <c r="Q70" s="301">
        <f t="shared" si="4"/>
        <v>0.5</v>
      </c>
      <c r="R70" s="173">
        <f t="shared" si="5"/>
        <v>0.9997262045167834</v>
      </c>
      <c r="S70" s="802">
        <f t="shared" si="6"/>
        <v>2</v>
      </c>
      <c r="T70" s="172">
        <f t="shared" si="7"/>
        <v>8</v>
      </c>
      <c r="U70" s="247">
        <f t="shared" si="8"/>
        <v>2.9997262045167834</v>
      </c>
      <c r="V70" s="378">
        <f t="shared" si="9"/>
        <v>34.372201190620871</v>
      </c>
      <c r="W70" s="397">
        <f t="shared" si="10"/>
        <v>25.235873773212898</v>
      </c>
      <c r="X70" s="153">
        <f t="shared" si="11"/>
        <v>46808</v>
      </c>
      <c r="Y70" s="380">
        <f t="shared" si="12"/>
        <v>24.474750423499508</v>
      </c>
      <c r="Z70" s="380">
        <f t="shared" si="22"/>
        <v>25.252764267256232</v>
      </c>
      <c r="AA70" s="381">
        <f t="shared" si="13"/>
        <v>26.548703254673292</v>
      </c>
      <c r="AB70" s="193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4.8813645434412689E-2</v>
      </c>
      <c r="AD70" s="227">
        <f>(INDEX(Models!$BJ70:$BT70,,AH70)*(1-AF70)+INDEX(Models!$BJ70:$BT70,,AH70+1)*AF70-ERP_i)*AE70*Ramure*Pc/MaxiM</f>
        <v>7.6407011695593815E-4</v>
      </c>
      <c r="AE70" s="301">
        <f t="shared" si="15"/>
        <v>0.5</v>
      </c>
      <c r="AF70" s="173">
        <f t="shared" si="23"/>
        <v>0.9997262045167834</v>
      </c>
      <c r="AG70" s="802">
        <f t="shared" si="24"/>
        <v>2</v>
      </c>
      <c r="AH70" s="172">
        <f t="shared" si="16"/>
        <v>8</v>
      </c>
      <c r="AI70" s="221">
        <f t="shared" si="17"/>
        <v>2.9997262045167834</v>
      </c>
      <c r="AJ70" s="261" t="b">
        <f t="shared" si="18"/>
        <v>0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46809</v>
      </c>
      <c r="B71" s="406">
        <f>'2027'!Wh/'2027'!Env_an*'2028'!Env_an</f>
        <v>35.539246022185814</v>
      </c>
      <c r="C71" s="832"/>
      <c r="D71" s="388">
        <f t="shared" si="0"/>
        <v>36.669484763040444</v>
      </c>
      <c r="E71" s="380">
        <f t="shared" si="1"/>
        <v>37.390718463379457</v>
      </c>
      <c r="F71" s="380">
        <f t="shared" si="2"/>
        <v>37.41666676630485</v>
      </c>
      <c r="G71" s="110">
        <f t="shared" si="21"/>
        <v>1.0219405426181241</v>
      </c>
      <c r="H71" s="409" t="b">
        <f>Wh_hp&gt;='2027'!Maxi_hp</f>
        <v>1</v>
      </c>
      <c r="I71" s="385">
        <f>IF(H71,Wh_hp,'2027'!Maxi_hp)</f>
        <v>37.41666676630485</v>
      </c>
      <c r="J71" s="85">
        <f>IF(H71,An,'2027'!An_max)</f>
        <v>2028</v>
      </c>
      <c r="K71" s="193">
        <f t="shared" si="3"/>
        <v>46809</v>
      </c>
      <c r="L71" s="143">
        <f>IF(t&lt;Tvie,1-EXP((T0-t)*PertePVj)+'2027'!Pspv,1-EXP((T0-t)*PertePVj)+Pspv)</f>
        <v>3.0822324015684188E-2</v>
      </c>
      <c r="M71" s="836"/>
      <c r="N71" s="836"/>
      <c r="O71" s="48">
        <f>IF(t&lt;Tnet,'2027'!Resal+('2027'!Salim-'2027'!Resal)*(1-EXP(('2027'!Tnet-t)/('2027'!Tau_j))),Resal+(Salim-Resal)*(1-EXP((Tnet-t)/(Tau_j))))*Salcycl</f>
        <v>1.9289110506004046E-2</v>
      </c>
      <c r="P71" s="165">
        <f>(INDEX(Models!$BJ71:$BT71,,T71)*(1-R71)+INDEX(Models!$BJ71:$BT71,,T71+1)*R71-ERP_i)*Q71*Ramure*Pc/MaxiM</f>
        <v>6.9349584471167889E-4</v>
      </c>
      <c r="Q71" s="301">
        <f t="shared" si="4"/>
        <v>0.5</v>
      </c>
      <c r="R71" s="173">
        <f t="shared" si="5"/>
        <v>0.99999953477234849</v>
      </c>
      <c r="S71" s="802">
        <f t="shared" si="6"/>
        <v>2</v>
      </c>
      <c r="T71" s="172">
        <f t="shared" si="7"/>
        <v>8</v>
      </c>
      <c r="U71" s="247">
        <f t="shared" si="8"/>
        <v>2.9999995347723485</v>
      </c>
      <c r="V71" s="378">
        <f t="shared" si="9"/>
        <v>34.776236522662387</v>
      </c>
      <c r="W71" s="397">
        <f t="shared" si="10"/>
        <v>35.539246022185814</v>
      </c>
      <c r="X71" s="153">
        <f t="shared" si="11"/>
        <v>46809</v>
      </c>
      <c r="Y71" s="380">
        <f t="shared" si="12"/>
        <v>34.468272259852462</v>
      </c>
      <c r="Z71" s="380">
        <f t="shared" si="22"/>
        <v>35.56445130130119</v>
      </c>
      <c r="AA71" s="381">
        <f t="shared" si="13"/>
        <v>37.390718463379457</v>
      </c>
      <c r="AB71" s="193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4.8842794071125406E-2</v>
      </c>
      <c r="AD71" s="227">
        <f>(INDEX(Models!$BJ71:$BT71,,AH71)*(1-AF71)+INDEX(Models!$BJ71:$BT71,,AH71+1)*AF71-ERP_i)*AE71*Ramure*Pc/MaxiM</f>
        <v>6.9349584471167889E-4</v>
      </c>
      <c r="AE71" s="301">
        <f t="shared" si="15"/>
        <v>0.5</v>
      </c>
      <c r="AF71" s="173">
        <f t="shared" si="23"/>
        <v>0.99999953477234849</v>
      </c>
      <c r="AG71" s="802">
        <f t="shared" si="24"/>
        <v>2</v>
      </c>
      <c r="AH71" s="172">
        <f t="shared" si="16"/>
        <v>8</v>
      </c>
      <c r="AI71" s="221">
        <f t="shared" si="17"/>
        <v>2.9999995347723485</v>
      </c>
      <c r="AJ71" s="261" t="b">
        <f t="shared" si="18"/>
        <v>0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46810</v>
      </c>
      <c r="B72" s="406">
        <f>'2027'!Wh/'2027'!Env_an*'2028'!Env_an</f>
        <v>22.732446765759022</v>
      </c>
      <c r="C72" s="832"/>
      <c r="D72" s="388">
        <f t="shared" si="0"/>
        <v>23.455717688748386</v>
      </c>
      <c r="E72" s="380">
        <f t="shared" si="1"/>
        <v>23.918414830512564</v>
      </c>
      <c r="F72" s="380">
        <f t="shared" si="2"/>
        <v>23.926085159028609</v>
      </c>
      <c r="G72" s="110">
        <f t="shared" si="21"/>
        <v>0.64593928709792525</v>
      </c>
      <c r="H72" s="409" t="b">
        <f>Wh_hp&gt;='2027'!Maxi_hp</f>
        <v>0</v>
      </c>
      <c r="I72" s="385">
        <f>IF(H72,Wh_hp,'2027'!Maxi_hp)</f>
        <v>23.933924564086386</v>
      </c>
      <c r="J72" s="85">
        <f>IF(H72,An,'2027'!An_max)</f>
        <v>2022</v>
      </c>
      <c r="K72" s="193">
        <f t="shared" si="3"/>
        <v>46810</v>
      </c>
      <c r="L72" s="143">
        <f>IF(t&lt;Tvie,1-EXP((T0-t)*PertePVj)+'2027'!Pspv,1-EXP((T0-t)*PertePVj)+Pspv)</f>
        <v>3.0835591244190108E-2</v>
      </c>
      <c r="M72" s="836"/>
      <c r="N72" s="836"/>
      <c r="O72" s="48">
        <f>IF(t&lt;Tnet,'2027'!Resal+('2027'!Salim-'2027'!Resal)*(1-EXP(('2027'!Tnet-t)/('2027'!Tau_j))),Resal+(Salim-Resal)*(1-EXP((Tnet-t)/(Tau_j))))*Salcycl</f>
        <v>1.9344807966701849E-2</v>
      </c>
      <c r="P72" s="165">
        <f>(INDEX(Models!$BJ72:$BT72,,T72)*(1-R72)+INDEX(Models!$BJ72:$BT72,,T72+1)*R72-ERP_i)*Q72*Ramure*Pc/MaxiM</f>
        <v>6.4829793063409533E-4</v>
      </c>
      <c r="Q72" s="301">
        <f t="shared" si="4"/>
        <v>0.5</v>
      </c>
      <c r="R72" s="173">
        <f t="shared" si="5"/>
        <v>2.8401036715886008E-4</v>
      </c>
      <c r="S72" s="802">
        <f t="shared" si="6"/>
        <v>3</v>
      </c>
      <c r="T72" s="172">
        <f t="shared" si="7"/>
        <v>9</v>
      </c>
      <c r="U72" s="247">
        <f t="shared" si="8"/>
        <v>3.0002840103671589</v>
      </c>
      <c r="V72" s="378">
        <f t="shared" si="9"/>
        <v>35.181316726147529</v>
      </c>
      <c r="W72" s="397">
        <f t="shared" si="10"/>
        <v>22.732446765759022</v>
      </c>
      <c r="X72" s="153">
        <f t="shared" si="11"/>
        <v>46810</v>
      </c>
      <c r="Y72" s="380">
        <f t="shared" si="12"/>
        <v>22.047982816317905</v>
      </c>
      <c r="Z72" s="380">
        <f t="shared" si="22"/>
        <v>22.749476370704304</v>
      </c>
      <c r="AA72" s="381">
        <f t="shared" si="13"/>
        <v>23.918414830512564</v>
      </c>
      <c r="AB72" s="193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4.8871903430533874E-2</v>
      </c>
      <c r="AD72" s="227">
        <f>(INDEX(Models!$BJ72:$BT72,,AH72)*(1-AF72)+INDEX(Models!$BJ72:$BT72,,AH72+1)*AF72-ERP_i)*AE72*Ramure*Pc/MaxiM</f>
        <v>6.4829793063409533E-4</v>
      </c>
      <c r="AE72" s="301">
        <f t="shared" si="15"/>
        <v>0.5</v>
      </c>
      <c r="AF72" s="173">
        <f t="shared" si="23"/>
        <v>2.8401036715886008E-4</v>
      </c>
      <c r="AG72" s="802">
        <f t="shared" si="24"/>
        <v>3</v>
      </c>
      <c r="AH72" s="172">
        <f t="shared" si="16"/>
        <v>9</v>
      </c>
      <c r="AI72" s="221">
        <f t="shared" si="17"/>
        <v>3.0002840103671589</v>
      </c>
      <c r="AJ72" s="261" t="b">
        <f t="shared" si="18"/>
        <v>0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46811</v>
      </c>
      <c r="B73" s="406">
        <f>'2027'!Wh/'2027'!Env_an*'2028'!Env_an</f>
        <v>33.152472243683135</v>
      </c>
      <c r="C73" s="832"/>
      <c r="D73" s="388">
        <f t="shared" si="0"/>
        <v>34.207742030025159</v>
      </c>
      <c r="E73" s="380">
        <f t="shared" si="1"/>
        <v>34.884517430144882</v>
      </c>
      <c r="F73" s="380">
        <f t="shared" si="2"/>
        <v>34.903573406466528</v>
      </c>
      <c r="G73" s="110">
        <f t="shared" si="21"/>
        <v>0.93149630790746407</v>
      </c>
      <c r="H73" s="409" t="b">
        <f>Wh_hp&gt;='2027'!Maxi_hp</f>
        <v>0</v>
      </c>
      <c r="I73" s="385">
        <f>IF(H73,Wh_hp,'2027'!Maxi_hp)</f>
        <v>34.905638121982101</v>
      </c>
      <c r="J73" s="85">
        <f>IF(H73,An,'2027'!An_max)</f>
        <v>2022</v>
      </c>
      <c r="K73" s="193">
        <f t="shared" si="3"/>
        <v>46811</v>
      </c>
      <c r="L73" s="143">
        <f>IF(t&lt;Tvie,1-EXP((T0-t)*PertePVj)+'2027'!Pspv,1-EXP((T0-t)*PertePVj)+Pspv)</f>
        <v>3.0848858291078751E-2</v>
      </c>
      <c r="M73" s="836"/>
      <c r="N73" s="836"/>
      <c r="O73" s="48">
        <f>IF(t&lt;Tnet,'2027'!Resal+('2027'!Salim-'2027'!Resal)*(1-EXP(('2027'!Tnet-t)/('2027'!Tau_j))),Resal+(Salim-Resal)*(1-EXP((Tnet-t)/(Tau_j))))*Salcycl</f>
        <v>1.940045183296411E-2</v>
      </c>
      <c r="P73" s="165">
        <f>(INDEX(Models!$BJ73:$BT73,,T73)*(1-R73)+INDEX(Models!$BJ73:$BT73,,T73+1)*R73-ERP_i)*Q73*Ramure*Pc/MaxiM</f>
        <v>6.0513268224853282E-4</v>
      </c>
      <c r="Q73" s="301">
        <f t="shared" si="4"/>
        <v>0.5</v>
      </c>
      <c r="R73" s="173">
        <f t="shared" si="5"/>
        <v>5.8007193974640714E-4</v>
      </c>
      <c r="S73" s="802">
        <f t="shared" si="6"/>
        <v>3</v>
      </c>
      <c r="T73" s="172">
        <f t="shared" si="7"/>
        <v>9</v>
      </c>
      <c r="U73" s="247">
        <f t="shared" si="8"/>
        <v>3.0005800719397464</v>
      </c>
      <c r="V73" s="378">
        <f t="shared" si="9"/>
        <v>35.588449669932679</v>
      </c>
      <c r="W73" s="397">
        <f t="shared" si="10"/>
        <v>33.152472243683135</v>
      </c>
      <c r="X73" s="153">
        <f t="shared" si="11"/>
        <v>46811</v>
      </c>
      <c r="Y73" s="380">
        <f t="shared" si="12"/>
        <v>32.155107598688375</v>
      </c>
      <c r="Z73" s="380">
        <f t="shared" si="22"/>
        <v>33.178630468296937</v>
      </c>
      <c r="AA73" s="381">
        <f t="shared" si="13"/>
        <v>34.884517430144882</v>
      </c>
      <c r="AB73" s="193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4.8900976350437511E-2</v>
      </c>
      <c r="AD73" s="227">
        <f>(INDEX(Models!$BJ73:$BT73,,AH73)*(1-AF73)+INDEX(Models!$BJ73:$BT73,,AH73+1)*AF73-ERP_i)*AE73*Ramure*Pc/MaxiM</f>
        <v>6.0513268224853282E-4</v>
      </c>
      <c r="AE73" s="301">
        <f t="shared" si="15"/>
        <v>0.5</v>
      </c>
      <c r="AF73" s="173">
        <f t="shared" si="23"/>
        <v>5.8007193974640714E-4</v>
      </c>
      <c r="AG73" s="802">
        <f t="shared" si="24"/>
        <v>3</v>
      </c>
      <c r="AH73" s="172">
        <f t="shared" si="16"/>
        <v>9</v>
      </c>
      <c r="AI73" s="221">
        <f t="shared" si="17"/>
        <v>3.0005800719397464</v>
      </c>
      <c r="AJ73" s="261" t="b">
        <f t="shared" si="18"/>
        <v>0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46812</v>
      </c>
      <c r="B74" s="406">
        <f>'2027'!Wh/'2027'!Env_an*'2028'!Env_an</f>
        <v>34.980449750552985</v>
      </c>
      <c r="C74" s="832"/>
      <c r="D74" s="388">
        <f t="shared" si="0"/>
        <v>36.094399629357632</v>
      </c>
      <c r="E74" s="380">
        <f t="shared" si="1"/>
        <v>36.810588035699844</v>
      </c>
      <c r="F74" s="380">
        <f t="shared" si="2"/>
        <v>36.830519634524769</v>
      </c>
      <c r="G74" s="110">
        <f t="shared" si="21"/>
        <v>0.97171526312321055</v>
      </c>
      <c r="H74" s="409" t="b">
        <f>Wh_hp&gt;='2027'!Maxi_hp</f>
        <v>0</v>
      </c>
      <c r="I74" s="385">
        <f>IF(H74,Wh_hp,'2027'!Maxi_hp)</f>
        <v>36.831357903305943</v>
      </c>
      <c r="J74" s="85">
        <f>IF(H74,An,'2027'!An_max)</f>
        <v>2022</v>
      </c>
      <c r="K74" s="193">
        <f t="shared" si="3"/>
        <v>46812</v>
      </c>
      <c r="L74" s="143">
        <f>IF(t&lt;Tvie,1-EXP((T0-t)*PertePVj)+'2027'!Pspv,1-EXP((T0-t)*PertePVj)+Pspv)</f>
        <v>3.0862125156352671E-2</v>
      </c>
      <c r="M74" s="836"/>
      <c r="N74" s="836"/>
      <c r="O74" s="48">
        <f>IF(t&lt;Tnet,'2027'!Resal+('2027'!Salim-'2027'!Resal)*(1-EXP(('2027'!Tnet-t)/('2027'!Tau_j))),Resal+(Salim-Resal)*(1-EXP((Tnet-t)/(Tau_j))))*Salcycl</f>
        <v>1.9456043615701975E-2</v>
      </c>
      <c r="P74" s="165">
        <f>(INDEX(Models!$BJ74:$BT74,,T74)*(1-R74)+INDEX(Models!$BJ74:$BT74,,T74+1)*R74-ERP_i)*Q74*Ramure*Pc/MaxiM</f>
        <v>5.639398722071939E-4</v>
      </c>
      <c r="Q74" s="301">
        <f t="shared" si="4"/>
        <v>0.5</v>
      </c>
      <c r="R74" s="173">
        <f t="shared" si="5"/>
        <v>8.88176384805206E-4</v>
      </c>
      <c r="S74" s="802">
        <f t="shared" si="6"/>
        <v>3</v>
      </c>
      <c r="T74" s="172">
        <f t="shared" si="7"/>
        <v>9</v>
      </c>
      <c r="U74" s="247">
        <f t="shared" si="8"/>
        <v>3.0008881763848052</v>
      </c>
      <c r="V74" s="378">
        <f t="shared" si="9"/>
        <v>35.997842342903603</v>
      </c>
      <c r="W74" s="397">
        <f t="shared" si="10"/>
        <v>34.980449750552985</v>
      </c>
      <c r="X74" s="153">
        <f t="shared" si="11"/>
        <v>46812</v>
      </c>
      <c r="Y74" s="380">
        <f t="shared" si="12"/>
        <v>33.928979467294269</v>
      </c>
      <c r="Z74" s="380">
        <f t="shared" si="22"/>
        <v>35.009445351383143</v>
      </c>
      <c r="AA74" s="381">
        <f t="shared" si="13"/>
        <v>36.810588035699844</v>
      </c>
      <c r="AB74" s="193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4.8930016618313928E-2</v>
      </c>
      <c r="AD74" s="227">
        <f>(INDEX(Models!$BJ74:$BT74,,AH74)*(1-AF74)+INDEX(Models!$BJ74:$BT74,,AH74+1)*AF74-ERP_i)*AE74*Ramure*Pc/MaxiM</f>
        <v>5.639398722071939E-4</v>
      </c>
      <c r="AE74" s="301">
        <f t="shared" si="15"/>
        <v>0.5</v>
      </c>
      <c r="AF74" s="173">
        <f t="shared" si="23"/>
        <v>8.88176384805206E-4</v>
      </c>
      <c r="AG74" s="802">
        <f t="shared" si="24"/>
        <v>3</v>
      </c>
      <c r="AH74" s="172">
        <f t="shared" si="16"/>
        <v>9</v>
      </c>
      <c r="AI74" s="221">
        <f t="shared" si="17"/>
        <v>3.0008881763848052</v>
      </c>
      <c r="AJ74" s="261" t="b">
        <f t="shared" si="18"/>
        <v>0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46813</v>
      </c>
      <c r="B75" s="406">
        <f>'2027'!Wh/'2027'!Env_an*'2028'!Env_an</f>
        <v>16.164194146771145</v>
      </c>
      <c r="C75" s="832"/>
      <c r="D75" s="388">
        <f t="shared" si="0"/>
        <v>16.679170057874249</v>
      </c>
      <c r="E75" s="380">
        <f t="shared" si="1"/>
        <v>17.011083258649986</v>
      </c>
      <c r="F75" s="380">
        <f t="shared" si="2"/>
        <v>17.01291887297528</v>
      </c>
      <c r="G75" s="110">
        <f t="shared" si="21"/>
        <v>0.44376789657089244</v>
      </c>
      <c r="H75" s="409" t="b">
        <f>Wh_hp&gt;='2027'!Maxi_hp</f>
        <v>0</v>
      </c>
      <c r="I75" s="385">
        <f>IF(H75,Wh_hp,'2027'!Maxi_hp)</f>
        <v>17.020005743772145</v>
      </c>
      <c r="J75" s="85">
        <f>IF(H75,An,'2027'!An_max)</f>
        <v>2022</v>
      </c>
      <c r="K75" s="193">
        <f t="shared" si="3"/>
        <v>46813</v>
      </c>
      <c r="L75" s="143">
        <f>IF(t&lt;Tvie,1-EXP((T0-t)*PertePVj)+'2027'!Pspv,1-EXP((T0-t)*PertePVj)+Pspv)</f>
        <v>3.0875391840014421E-2</v>
      </c>
      <c r="M75" s="836"/>
      <c r="N75" s="836"/>
      <c r="O75" s="48">
        <f>IF(t&lt;Tnet,'2027'!Resal+('2027'!Salim-'2027'!Resal)*(1-EXP(('2027'!Tnet-t)/('2027'!Tau_j))),Resal+(Salim-Resal)*(1-EXP((Tnet-t)/(Tau_j))))*Salcycl</f>
        <v>1.9511585225294985E-2</v>
      </c>
      <c r="P75" s="165">
        <f>(INDEX(Models!$BJ75:$BT75,,T75)*(1-R75)+INDEX(Models!$BJ75:$BT75,,T75+1)*R75-ERP_i)*Q75*Ramure*Pc/MaxiM</f>
        <v>5.2466259554862882E-4</v>
      </c>
      <c r="Q75" s="301">
        <f t="shared" si="4"/>
        <v>0.5</v>
      </c>
      <c r="R75" s="173">
        <f t="shared" si="5"/>
        <v>1.2087973540668706E-3</v>
      </c>
      <c r="S75" s="802">
        <f t="shared" si="6"/>
        <v>3</v>
      </c>
      <c r="T75" s="172">
        <f t="shared" si="7"/>
        <v>9</v>
      </c>
      <c r="U75" s="247">
        <f t="shared" si="8"/>
        <v>3.0012087973540669</v>
      </c>
      <c r="V75" s="378">
        <f t="shared" si="9"/>
        <v>36.409701642524674</v>
      </c>
      <c r="W75" s="397">
        <f t="shared" si="10"/>
        <v>16.164194146771145</v>
      </c>
      <c r="X75" s="153">
        <f t="shared" si="11"/>
        <v>46813</v>
      </c>
      <c r="Y75" s="380">
        <f t="shared" si="12"/>
        <v>15.678727729256213</v>
      </c>
      <c r="Z75" s="380">
        <f t="shared" si="22"/>
        <v>16.178237140241855</v>
      </c>
      <c r="AA75" s="381">
        <f t="shared" si="13"/>
        <v>17.011083258649986</v>
      </c>
      <c r="AB75" s="193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4.895902898979905E-2</v>
      </c>
      <c r="AD75" s="227">
        <f>(INDEX(Models!$BJ75:$BT75,,AH75)*(1-AF75)+INDEX(Models!$BJ75:$BT75,,AH75+1)*AF75-ERP_i)*AE75*Ramure*Pc/MaxiM</f>
        <v>5.2466259554862882E-4</v>
      </c>
      <c r="AE75" s="301">
        <f t="shared" si="15"/>
        <v>0.5</v>
      </c>
      <c r="AF75" s="173">
        <f t="shared" si="23"/>
        <v>1.2087973540668706E-3</v>
      </c>
      <c r="AG75" s="802">
        <f t="shared" si="24"/>
        <v>3</v>
      </c>
      <c r="AH75" s="172">
        <f t="shared" si="16"/>
        <v>9</v>
      </c>
      <c r="AI75" s="221">
        <f t="shared" si="17"/>
        <v>3.0012087973540669</v>
      </c>
      <c r="AJ75" s="261" t="b">
        <f t="shared" si="18"/>
        <v>0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46814</v>
      </c>
      <c r="B76" s="406">
        <f>'2027'!Wh/'2027'!Env_an*'2028'!Env_an</f>
        <v>27.884048559987232</v>
      </c>
      <c r="C76" s="832"/>
      <c r="D76" s="388">
        <f t="shared" si="0"/>
        <v>28.772801804469481</v>
      </c>
      <c r="E76" s="380">
        <f t="shared" si="1"/>
        <v>29.347037607174688</v>
      </c>
      <c r="F76" s="380">
        <f t="shared" si="2"/>
        <v>29.356380445933731</v>
      </c>
      <c r="G76" s="110">
        <f t="shared" si="21"/>
        <v>0.75709204480258563</v>
      </c>
      <c r="H76" s="409" t="b">
        <f>Wh_hp&gt;='2027'!Maxi_hp</f>
        <v>0</v>
      </c>
      <c r="I76" s="385">
        <f>IF(H76,Wh_hp,'2027'!Maxi_hp)</f>
        <v>29.361338384403382</v>
      </c>
      <c r="J76" s="85">
        <f>IF(H76,An,'2027'!An_max)</f>
        <v>2022</v>
      </c>
      <c r="K76" s="193">
        <f t="shared" si="3"/>
        <v>46814</v>
      </c>
      <c r="L76" s="143">
        <f>IF(t&lt;Tvie,1-EXP((T0-t)*PertePVj)+'2027'!Pspv,1-EXP((T0-t)*PertePVj)+Pspv)</f>
        <v>3.0888658342066333E-2</v>
      </c>
      <c r="M76" s="836"/>
      <c r="N76" s="836"/>
      <c r="O76" s="48">
        <f>IF(t&lt;Tnet,'2027'!Resal+('2027'!Salim-'2027'!Resal)*(1-EXP(('2027'!Tnet-t)/('2027'!Tau_j))),Resal+(Salim-Resal)*(1-EXP((Tnet-t)/(Tau_j))))*Salcycl</f>
        <v>1.9567078980565318E-2</v>
      </c>
      <c r="P76" s="165">
        <f>(INDEX(Models!$BJ76:$BT76,,T76)*(1-R76)+INDEX(Models!$BJ76:$BT76,,T76+1)*R76-ERP_i)*Q76*Ramure*Pc/MaxiM</f>
        <v>4.8724694024490119E-4</v>
      </c>
      <c r="Q76" s="301">
        <f t="shared" si="4"/>
        <v>0.5</v>
      </c>
      <c r="R76" s="173">
        <f t="shared" si="5"/>
        <v>1.5424257639247152E-3</v>
      </c>
      <c r="S76" s="802">
        <f t="shared" si="6"/>
        <v>3</v>
      </c>
      <c r="T76" s="172">
        <f t="shared" si="7"/>
        <v>9</v>
      </c>
      <c r="U76" s="247">
        <f t="shared" si="8"/>
        <v>3.0015424257639247</v>
      </c>
      <c r="V76" s="378">
        <f t="shared" si="9"/>
        <v>36.824234377395484</v>
      </c>
      <c r="W76" s="397">
        <f t="shared" si="10"/>
        <v>27.884048559987232</v>
      </c>
      <c r="X76" s="153">
        <f t="shared" si="11"/>
        <v>46814</v>
      </c>
      <c r="Y76" s="380">
        <f t="shared" si="12"/>
        <v>27.047300927197579</v>
      </c>
      <c r="Z76" s="380">
        <f t="shared" si="22"/>
        <v>27.909384365397759</v>
      </c>
      <c r="AA76" s="381">
        <f t="shared" si="13"/>
        <v>29.347037607174688</v>
      </c>
      <c r="AB76" s="193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4.8988019200461093E-2</v>
      </c>
      <c r="AD76" s="227">
        <f>(INDEX(Models!$BJ76:$BT76,,AH76)*(1-AF76)+INDEX(Models!$BJ76:$BT76,,AH76+1)*AF76-ERP_i)*AE76*Ramure*Pc/MaxiM</f>
        <v>4.8724694024490119E-4</v>
      </c>
      <c r="AE76" s="301">
        <f t="shared" si="15"/>
        <v>0.5</v>
      </c>
      <c r="AF76" s="173">
        <f t="shared" si="23"/>
        <v>1.5424257639247152E-3</v>
      </c>
      <c r="AG76" s="802">
        <f t="shared" si="24"/>
        <v>3</v>
      </c>
      <c r="AH76" s="172">
        <f t="shared" si="16"/>
        <v>9</v>
      </c>
      <c r="AI76" s="221">
        <f t="shared" si="17"/>
        <v>3.0015424257639247</v>
      </c>
      <c r="AJ76" s="261" t="b">
        <f t="shared" si="18"/>
        <v>0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46815</v>
      </c>
      <c r="B77" s="406">
        <f>'2027'!Wh/'2027'!Env_an*'2028'!Env_an</f>
        <v>5.4920151409368021</v>
      </c>
      <c r="C77" s="832"/>
      <c r="D77" s="388">
        <f t="shared" si="0"/>
        <v>5.6671406957693158</v>
      </c>
      <c r="E77" s="380">
        <f t="shared" si="1"/>
        <v>5.7805700920312821</v>
      </c>
      <c r="F77" s="380">
        <f t="shared" si="2"/>
        <v>5.7805700920312821</v>
      </c>
      <c r="G77" s="110">
        <f t="shared" si="21"/>
        <v>0.14740311237638998</v>
      </c>
      <c r="H77" s="409" t="b">
        <f>Wh_hp&gt;='2027'!Maxi_hp</f>
        <v>0</v>
      </c>
      <c r="I77" s="385">
        <f>IF(H77,Wh_hp,'2027'!Maxi_hp)</f>
        <v>5.7831789540560674</v>
      </c>
      <c r="J77" s="85">
        <f>IF(H77,An,'2027'!An_max)</f>
        <v>2022</v>
      </c>
      <c r="K77" s="193">
        <f t="shared" si="3"/>
        <v>46815</v>
      </c>
      <c r="L77" s="143">
        <f>IF(t&lt;Tvie,1-EXP((T0-t)*PertePVj)+'2027'!Pspv,1-EXP((T0-t)*PertePVj)+Pspv)</f>
        <v>3.090192466251096E-2</v>
      </c>
      <c r="M77" s="836"/>
      <c r="N77" s="836"/>
      <c r="O77" s="48">
        <f>IF(t&lt;Tnet,'2027'!Resal+('2027'!Salim-'2027'!Resal)*(1-EXP(('2027'!Tnet-t)/('2027'!Tau_j))),Resal+(Salim-Resal)*(1-EXP((Tnet-t)/(Tau_j))))*Salcycl</f>
        <v>1.9622527615110599E-2</v>
      </c>
      <c r="P77" s="165">
        <f>(INDEX(Models!$BJ77:$BT77,,T77)*(1-R77)+INDEX(Models!$BJ77:$BT77,,T77+1)*R77-ERP_i)*Q77*Ramure*Pc/MaxiM</f>
        <v>4.5164174902471001E-4</v>
      </c>
      <c r="Q77" s="301">
        <f t="shared" si="4"/>
        <v>0.5</v>
      </c>
      <c r="R77" s="173">
        <f t="shared" si="5"/>
        <v>1.8895703090229254E-3</v>
      </c>
      <c r="S77" s="802">
        <f t="shared" si="6"/>
        <v>3</v>
      </c>
      <c r="T77" s="172">
        <f t="shared" si="7"/>
        <v>9</v>
      </c>
      <c r="U77" s="247">
        <f t="shared" si="8"/>
        <v>3.0018895703090229</v>
      </c>
      <c r="V77" s="378">
        <f t="shared" si="9"/>
        <v>37.241647269940252</v>
      </c>
      <c r="W77" s="397">
        <f t="shared" si="10"/>
        <v>5.4920151409368021</v>
      </c>
      <c r="X77" s="153">
        <f t="shared" si="11"/>
        <v>46815</v>
      </c>
      <c r="Y77" s="380">
        <f t="shared" si="12"/>
        <v>5.3273491231702401</v>
      </c>
      <c r="Z77" s="380">
        <f t="shared" si="22"/>
        <v>5.4972239226819095</v>
      </c>
      <c r="AA77" s="381">
        <f t="shared" si="13"/>
        <v>5.7805700920312821</v>
      </c>
      <c r="AB77" s="193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4.9016993970884472E-2</v>
      </c>
      <c r="AD77" s="227">
        <f>(INDEX(Models!$BJ77:$BT77,,AH77)*(1-AF77)+INDEX(Models!$BJ77:$BT77,,AH77+1)*AF77-ERP_i)*AE77*Ramure*Pc/MaxiM</f>
        <v>4.5164174902471001E-4</v>
      </c>
      <c r="AE77" s="301">
        <f t="shared" si="15"/>
        <v>0.5</v>
      </c>
      <c r="AF77" s="173">
        <f t="shared" si="23"/>
        <v>1.8895703090229254E-3</v>
      </c>
      <c r="AG77" s="802">
        <f t="shared" si="24"/>
        <v>3</v>
      </c>
      <c r="AH77" s="172">
        <f t="shared" si="16"/>
        <v>9</v>
      </c>
      <c r="AI77" s="221">
        <f t="shared" si="17"/>
        <v>3.0018895703090229</v>
      </c>
      <c r="AJ77" s="261" t="b">
        <f t="shared" si="18"/>
        <v>0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46816</v>
      </c>
      <c r="B78" s="406">
        <f>'2027'!Wh/'2027'!Env_an*'2028'!Env_an</f>
        <v>14.243093254379867</v>
      </c>
      <c r="C78" s="832"/>
      <c r="D78" s="388">
        <f t="shared" si="0"/>
        <v>14.697468290889519</v>
      </c>
      <c r="E78" s="380">
        <f t="shared" si="1"/>
        <v>14.992489514259489</v>
      </c>
      <c r="F78" s="380">
        <f t="shared" si="2"/>
        <v>14.993189133499699</v>
      </c>
      <c r="G78" s="110">
        <f t="shared" si="21"/>
        <v>0.37804023503340095</v>
      </c>
      <c r="H78" s="409" t="b">
        <f>Wh_hp&gt;='2027'!Maxi_hp</f>
        <v>0</v>
      </c>
      <c r="I78" s="385">
        <f>IF(H78,Wh_hp,'2027'!Maxi_hp)</f>
        <v>14.998749007725031</v>
      </c>
      <c r="J78" s="85">
        <f>IF(H78,An,'2027'!An_max)</f>
        <v>2022</v>
      </c>
      <c r="K78" s="193">
        <f t="shared" si="3"/>
        <v>46816</v>
      </c>
      <c r="L78" s="143">
        <f>IF(t&lt;Tvie,1-EXP((T0-t)*PertePVj)+'2027'!Pspv,1-EXP((T0-t)*PertePVj)+Pspv)</f>
        <v>3.0915190801350856E-2</v>
      </c>
      <c r="M78" s="836"/>
      <c r="N78" s="836"/>
      <c r="O78" s="48">
        <f>IF(t&lt;Tnet,'2027'!Resal+('2027'!Salim-'2027'!Resal)*(1-EXP(('2027'!Tnet-t)/('2027'!Tau_j))),Resal+(Salim-Resal)*(1-EXP((Tnet-t)/(Tau_j))))*Salcycl</f>
        <v>1.9677934280985975E-2</v>
      </c>
      <c r="P78" s="165">
        <f>(INDEX(Models!$BJ78:$BT78,,T78)*(1-R78)+INDEX(Models!$BJ78:$BT78,,T78+1)*R78-ERP_i)*Q78*Ramure*Pc/MaxiM</f>
        <v>4.177984044001021E-4</v>
      </c>
      <c r="Q78" s="301">
        <f t="shared" si="4"/>
        <v>0.5</v>
      </c>
      <c r="R78" s="173">
        <f t="shared" si="5"/>
        <v>2.2507579809185607E-3</v>
      </c>
      <c r="S78" s="802">
        <f t="shared" si="6"/>
        <v>3</v>
      </c>
      <c r="T78" s="172">
        <f t="shared" si="7"/>
        <v>9</v>
      </c>
      <c r="U78" s="247">
        <f t="shared" si="8"/>
        <v>3.0022507579809186</v>
      </c>
      <c r="V78" s="378">
        <f t="shared" si="9"/>
        <v>37.662146947731799</v>
      </c>
      <c r="W78" s="397">
        <f t="shared" si="10"/>
        <v>14.243093254379867</v>
      </c>
      <c r="X78" s="153">
        <f t="shared" si="11"/>
        <v>46816</v>
      </c>
      <c r="Y78" s="380">
        <f t="shared" si="12"/>
        <v>13.816405375001644</v>
      </c>
      <c r="Z78" s="380">
        <f t="shared" si="22"/>
        <v>14.257168458173066</v>
      </c>
      <c r="AA78" s="381">
        <f t="shared" si="13"/>
        <v>14.992489514259489</v>
      </c>
      <c r="AB78" s="193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4.9045961005145432E-2</v>
      </c>
      <c r="AD78" s="227">
        <f>(INDEX(Models!$BJ78:$BT78,,AH78)*(1-AF78)+INDEX(Models!$BJ78:$BT78,,AH78+1)*AF78-ERP_i)*AE78*Ramure*Pc/MaxiM</f>
        <v>4.177984044001021E-4</v>
      </c>
      <c r="AE78" s="301">
        <f t="shared" si="15"/>
        <v>0.5</v>
      </c>
      <c r="AF78" s="173">
        <f t="shared" si="23"/>
        <v>2.2507579809185607E-3</v>
      </c>
      <c r="AG78" s="802">
        <f t="shared" si="24"/>
        <v>3</v>
      </c>
      <c r="AH78" s="172">
        <f t="shared" si="16"/>
        <v>9</v>
      </c>
      <c r="AI78" s="221">
        <f t="shared" si="17"/>
        <v>3.0022507579809186</v>
      </c>
      <c r="AJ78" s="261" t="b">
        <f t="shared" si="18"/>
        <v>0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46817</v>
      </c>
      <c r="B79" s="406">
        <f>'2027'!Wh/'2027'!Env_an*'2028'!Env_an</f>
        <v>21.805220725935808</v>
      </c>
      <c r="C79" s="832"/>
      <c r="D79" s="388">
        <f t="shared" ref="D79:D142" si="25">Wh/(1-Ppv)</f>
        <v>22.501146461282243</v>
      </c>
      <c r="E79" s="380">
        <f t="shared" si="1"/>
        <v>22.954106795435909</v>
      </c>
      <c r="F79" s="380">
        <f t="shared" ref="F79:F142" si="26">Wh_sa/(1-Pvg*MEDIAN((-Sdif+Wh/Env_an)/Csdif,0,1))</f>
        <v>22.957553721251752</v>
      </c>
      <c r="G79" s="110">
        <f t="shared" si="21"/>
        <v>0.57238282610472391</v>
      </c>
      <c r="H79" s="409" t="b">
        <f>Wh_hp&gt;='2027'!Maxi_hp</f>
        <v>0</v>
      </c>
      <c r="I79" s="385">
        <f>IF(H79,Wh_hp,'2027'!Maxi_hp)</f>
        <v>22.962955608308192</v>
      </c>
      <c r="J79" s="85">
        <f>IF(H79,An,'2027'!An_max)</f>
        <v>2022</v>
      </c>
      <c r="K79" s="193">
        <f t="shared" ref="K79:K142" si="27">t</f>
        <v>46817</v>
      </c>
      <c r="L79" s="143">
        <f>IF(t&lt;Tvie,1-EXP((T0-t)*PertePVj)+'2027'!Pspv,1-EXP((T0-t)*PertePVj)+Pspv)</f>
        <v>3.0928456758588463E-2</v>
      </c>
      <c r="M79" s="836"/>
      <c r="N79" s="836"/>
      <c r="O79" s="48">
        <f>IF(t&lt;Tnet,'2027'!Resal+('2027'!Salim-'2027'!Resal)*(1-EXP(('2027'!Tnet-t)/('2027'!Tau_j))),Resal+(Salim-Resal)*(1-EXP((Tnet-t)/(Tau_j))))*Salcycl</f>
        <v>1.9733302549752463E-2</v>
      </c>
      <c r="P79" s="165">
        <f>(INDEX(Models!$BJ79:$BT79,,T79)*(1-R79)+INDEX(Models!$BJ79:$BT79,,T79+1)*R79-ERP_i)*Q79*Ramure*Pc/MaxiM</f>
        <v>3.8566450883462117E-4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2.6265345908167426E-3</v>
      </c>
      <c r="S79" s="802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3.0026265345908167</v>
      </c>
      <c r="V79" s="378">
        <f t="shared" ref="V79:V142" si="33">MaxiM*(1-Ppv)*(1-Pvg)*(1-Psa)</f>
        <v>38.086545178077785</v>
      </c>
      <c r="W79" s="397">
        <f t="shared" ref="W79:W142" si="34">Wh*(A79&gt;Tmaj)</f>
        <v>21.805220725935808</v>
      </c>
      <c r="X79" s="153">
        <f t="shared" ref="X79:X142" si="35">t</f>
        <v>46817</v>
      </c>
      <c r="Y79" s="380">
        <f t="shared" ref="Y79:Y142" si="36">Wh_pvt_s*(1-Ppv)</f>
        <v>21.152540549719209</v>
      </c>
      <c r="Z79" s="380">
        <f t="shared" ref="Z79:Z142" si="37">Wh_sa_s*(1-Psa_s)</f>
        <v>21.827635634585718</v>
      </c>
      <c r="AA79" s="381">
        <f t="shared" ref="AA79:AA142" si="38">Wh_hp*(1-Pvg_s*MEDIAN((-Sdif+Wh/Env_an)/Csdif,0,1))</f>
        <v>22.954106795435909</v>
      </c>
      <c r="AB79" s="193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4.9074928982824596E-2</v>
      </c>
      <c r="AD79" s="227">
        <f>(INDEX(Models!$BJ79:$BT79,,AH79)*(1-AF79)+INDEX(Models!$BJ79:$BT79,,AH79+1)*AF79-ERP_i)*AE79*Ramure*Pc/MaxiM</f>
        <v>3.8566450883462117E-4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2.6265345908167426E-3</v>
      </c>
      <c r="AG79" s="802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3.0026265345908167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46818</v>
      </c>
      <c r="B80" s="406">
        <f>'2027'!Wh/'2027'!Env_an*'2028'!Env_an</f>
        <v>35.343415301387878</v>
      </c>
      <c r="C80" s="832"/>
      <c r="D80" s="388">
        <f t="shared" si="25"/>
        <v>36.471919308935654</v>
      </c>
      <c r="E80" s="380">
        <f t="shared" ref="E80:E143" si="47">Wh_pvt/(1-Psa)</f>
        <v>37.208219230792118</v>
      </c>
      <c r="F80" s="380">
        <f t="shared" si="26"/>
        <v>37.219922936201463</v>
      </c>
      <c r="G80" s="110">
        <f t="shared" ref="G80:G143" si="48">+Wh_hp/MaxiM</f>
        <v>0.91761182054125945</v>
      </c>
      <c r="H80" s="409" t="b">
        <f>Wh_hp&gt;='2027'!Maxi_hp</f>
        <v>0</v>
      </c>
      <c r="I80" s="385">
        <f>IF(H80,Wh_hp,'2027'!Maxi_hp)</f>
        <v>37.221481723491209</v>
      </c>
      <c r="J80" s="85">
        <f>IF(H80,An,'2027'!An_max)</f>
        <v>2022</v>
      </c>
      <c r="K80" s="193">
        <f t="shared" si="27"/>
        <v>46818</v>
      </c>
      <c r="L80" s="143">
        <f>IF(t&lt;Tvie,1-EXP((T0-t)*PertePVj)+'2027'!Pspv,1-EXP((T0-t)*PertePVj)+Pspv)</f>
        <v>3.0941722534226224E-2</v>
      </c>
      <c r="M80" s="836"/>
      <c r="N80" s="836"/>
      <c r="O80" s="48">
        <f>IF(t&lt;Tnet,'2027'!Resal+('2027'!Salim-'2027'!Resal)*(1-EXP(('2027'!Tnet-t)/('2027'!Tau_j))),Resal+(Salim-Resal)*(1-EXP((Tnet-t)/(Tau_j))))*Salcycl</f>
        <v>1.9788636410933931E-2</v>
      </c>
      <c r="P80" s="165">
        <f>(INDEX(Models!$BJ80:$BT80,,T80)*(1-R80)+INDEX(Models!$BJ80:$BT80,,T80+1)*R80-ERP_i)*Q80*Ramure*Pc/MaxiM</f>
        <v>3.5637176848647749E-4</v>
      </c>
      <c r="Q80" s="301">
        <f t="shared" si="28"/>
        <v>0.5</v>
      </c>
      <c r="R80" s="173">
        <f t="shared" si="29"/>
        <v>3.0174652952523751E-3</v>
      </c>
      <c r="S80" s="802">
        <f t="shared" si="30"/>
        <v>3</v>
      </c>
      <c r="T80" s="172">
        <f t="shared" si="31"/>
        <v>9</v>
      </c>
      <c r="U80" s="247">
        <f t="shared" si="32"/>
        <v>3.0030174652952524</v>
      </c>
      <c r="V80" s="378">
        <f t="shared" si="33"/>
        <v>38.515124033209382</v>
      </c>
      <c r="W80" s="397">
        <f t="shared" si="34"/>
        <v>35.343415301387878</v>
      </c>
      <c r="X80" s="153">
        <f t="shared" si="35"/>
        <v>46818</v>
      </c>
      <c r="Y80" s="380">
        <f t="shared" si="36"/>
        <v>34.286396539065123</v>
      </c>
      <c r="Z80" s="380">
        <f t="shared" si="37"/>
        <v>35.381150273778125</v>
      </c>
      <c r="AA80" s="381">
        <f t="shared" si="38"/>
        <v>37.208219230792118</v>
      </c>
      <c r="AB80" s="193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4.9103907544760302E-2</v>
      </c>
      <c r="AD80" s="227">
        <f>(INDEX(Models!$BJ80:$BT80,,AH80)*(1-AF80)+INDEX(Models!$BJ80:$BT80,,AH80+1)*AF80-ERP_i)*AE80*Ramure*Pc/MaxiM</f>
        <v>3.5637176848647749E-4</v>
      </c>
      <c r="AE80" s="301">
        <f t="shared" si="40"/>
        <v>0.5</v>
      </c>
      <c r="AF80" s="173">
        <f t="shared" si="41"/>
        <v>3.0174652952523751E-3</v>
      </c>
      <c r="AG80" s="802">
        <f t="shared" ref="AG80:AG143" si="49">INDEX(Echel_vg,AH80)</f>
        <v>3</v>
      </c>
      <c r="AH80" s="172">
        <f t="shared" si="42"/>
        <v>9</v>
      </c>
      <c r="AI80" s="221">
        <f t="shared" si="43"/>
        <v>3.0030174652952524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46819</v>
      </c>
      <c r="B81" s="406">
        <f>'2027'!Wh/'2027'!Env_an*'2028'!Env_an</f>
        <v>31.710314014225254</v>
      </c>
      <c r="C81" s="832"/>
      <c r="D81" s="388">
        <f t="shared" si="25"/>
        <v>32.723262207372628</v>
      </c>
      <c r="E81" s="380">
        <f t="shared" si="47"/>
        <v>33.385767381082459</v>
      </c>
      <c r="F81" s="380">
        <f t="shared" si="26"/>
        <v>33.393803294406858</v>
      </c>
      <c r="G81" s="110">
        <f t="shared" si="48"/>
        <v>0.81411119266174692</v>
      </c>
      <c r="H81" s="409" t="b">
        <f>Wh_hp&gt;='2027'!Maxi_hp</f>
        <v>0</v>
      </c>
      <c r="I81" s="385">
        <f>IF(H81,Wh_hp,'2027'!Maxi_hp)</f>
        <v>33.396703977303218</v>
      </c>
      <c r="J81" s="85">
        <f>IF(H81,An,'2027'!An_max)</f>
        <v>2022</v>
      </c>
      <c r="K81" s="193">
        <f t="shared" si="27"/>
        <v>46819</v>
      </c>
      <c r="L81" s="143">
        <f>IF(t&lt;Tvie,1-EXP((T0-t)*PertePVj)+'2027'!Pspv,1-EXP((T0-t)*PertePVj)+Pspv)</f>
        <v>3.0954988128266581E-2</v>
      </c>
      <c r="M81" s="836"/>
      <c r="N81" s="836"/>
      <c r="O81" s="48">
        <f>IF(t&lt;Tnet,'2027'!Resal+('2027'!Salim-'2027'!Resal)*(1-EXP(('2027'!Tnet-t)/('2027'!Tau_j))),Resal+(Salim-Resal)*(1-EXP((Tnet-t)/(Tau_j))))*Salcycl</f>
        <v>1.9843940267948775E-2</v>
      </c>
      <c r="P81" s="165">
        <f>(INDEX(Models!$BJ81:$BT81,,T81)*(1-R81)+INDEX(Models!$BJ81:$BT81,,T81+1)*R81-ERP_i)*Q81*Ramure*Pc/MaxiM</f>
        <v>3.2760499727465094E-4</v>
      </c>
      <c r="Q81" s="301">
        <f t="shared" si="28"/>
        <v>0.5</v>
      </c>
      <c r="R81" s="173">
        <f t="shared" si="29"/>
        <v>3.4241351234625128E-3</v>
      </c>
      <c r="S81" s="802">
        <f t="shared" si="30"/>
        <v>3</v>
      </c>
      <c r="T81" s="172">
        <f t="shared" si="31"/>
        <v>9</v>
      </c>
      <c r="U81" s="247">
        <f t="shared" si="32"/>
        <v>3.0034241351234625</v>
      </c>
      <c r="V81" s="378">
        <f t="shared" si="33"/>
        <v>38.947450883806901</v>
      </c>
      <c r="W81" s="397">
        <f t="shared" si="34"/>
        <v>31.710314014225254</v>
      </c>
      <c r="X81" s="153">
        <f t="shared" si="35"/>
        <v>46819</v>
      </c>
      <c r="Y81" s="380">
        <f t="shared" si="36"/>
        <v>30.762748234618609</v>
      </c>
      <c r="Z81" s="380">
        <f t="shared" si="37"/>
        <v>31.745427568116398</v>
      </c>
      <c r="AA81" s="381">
        <f t="shared" si="38"/>
        <v>33.385767381082459</v>
      </c>
      <c r="AB81" s="193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4.9132907272801993E-2</v>
      </c>
      <c r="AD81" s="227">
        <f>(INDEX(Models!$BJ81:$BT81,,AH81)*(1-AF81)+INDEX(Models!$BJ81:$BT81,,AH81+1)*AF81-ERP_i)*AE81*Ramure*Pc/MaxiM</f>
        <v>3.2760499727465094E-4</v>
      </c>
      <c r="AE81" s="301">
        <f t="shared" si="40"/>
        <v>0.5</v>
      </c>
      <c r="AF81" s="173">
        <f t="shared" si="41"/>
        <v>3.4241351234625128E-3</v>
      </c>
      <c r="AG81" s="802">
        <f t="shared" si="49"/>
        <v>3</v>
      </c>
      <c r="AH81" s="172">
        <f t="shared" si="42"/>
        <v>9</v>
      </c>
      <c r="AI81" s="221">
        <f t="shared" si="43"/>
        <v>3.0034241351234625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46820</v>
      </c>
      <c r="B82" s="406">
        <f>'2027'!Wh/'2027'!Env_an*'2028'!Env_an</f>
        <v>28.304914338698126</v>
      </c>
      <c r="C82" s="832"/>
      <c r="D82" s="388">
        <f t="shared" si="25"/>
        <v>29.209480950567915</v>
      </c>
      <c r="E82" s="380">
        <f t="shared" si="47"/>
        <v>29.802527979548238</v>
      </c>
      <c r="F82" s="380">
        <f t="shared" si="26"/>
        <v>29.807865472198536</v>
      </c>
      <c r="G82" s="110">
        <f t="shared" si="48"/>
        <v>0.71862235907993199</v>
      </c>
      <c r="H82" s="409" t="b">
        <f>Wh_hp&gt;='2027'!Maxi_hp</f>
        <v>0</v>
      </c>
      <c r="I82" s="385">
        <f>IF(H82,Wh_hp,'2027'!Maxi_hp)</f>
        <v>29.811446608214982</v>
      </c>
      <c r="J82" s="85">
        <f>IF(H82,An,'2027'!An_max)</f>
        <v>2022</v>
      </c>
      <c r="K82" s="193">
        <f t="shared" si="27"/>
        <v>46820</v>
      </c>
      <c r="L82" s="143">
        <f>IF(t&lt;Tvie,1-EXP((T0-t)*PertePVj)+'2027'!Pspv,1-EXP((T0-t)*PertePVj)+Pspv)</f>
        <v>3.0968253540712198E-2</v>
      </c>
      <c r="M82" s="836"/>
      <c r="N82" s="836"/>
      <c r="O82" s="48">
        <f>IF(t&lt;Tnet,'2027'!Resal+('2027'!Salim-'2027'!Resal)*(1-EXP(('2027'!Tnet-t)/('2027'!Tau_j))),Resal+(Salim-Resal)*(1-EXP((Tnet-t)/(Tau_j))))*Salcycl</f>
        <v>1.9899218931605331E-2</v>
      </c>
      <c r="P82" s="165">
        <f>(INDEX(Models!$BJ82:$BT82,,T82)*(1-R82)+INDEX(Models!$BJ82:$BT82,,T82+1)*R82-ERP_i)*Q82*Ramure*Pc/MaxiM</f>
        <v>2.9935900768518069E-4</v>
      </c>
      <c r="Q82" s="301">
        <f t="shared" si="28"/>
        <v>0.5</v>
      </c>
      <c r="R82" s="173">
        <f t="shared" si="29"/>
        <v>3.8471495050491633E-3</v>
      </c>
      <c r="S82" s="802">
        <f t="shared" si="30"/>
        <v>3</v>
      </c>
      <c r="T82" s="172">
        <f t="shared" si="31"/>
        <v>9</v>
      </c>
      <c r="U82" s="247">
        <f t="shared" si="32"/>
        <v>3.0038471495050492</v>
      </c>
      <c r="V82" s="378">
        <f t="shared" si="33"/>
        <v>39.383006122184014</v>
      </c>
      <c r="W82" s="397">
        <f t="shared" si="34"/>
        <v>28.304914338698126</v>
      </c>
      <c r="X82" s="153">
        <f t="shared" si="35"/>
        <v>46820</v>
      </c>
      <c r="Y82" s="380">
        <f t="shared" si="36"/>
        <v>27.45981879378774</v>
      </c>
      <c r="Z82" s="380">
        <f t="shared" si="37"/>
        <v>28.337377897186794</v>
      </c>
      <c r="AA82" s="381">
        <f t="shared" si="38"/>
        <v>29.802527979548238</v>
      </c>
      <c r="AB82" s="193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4.9161939663873166E-2</v>
      </c>
      <c r="AD82" s="227">
        <f>(INDEX(Models!$BJ82:$BT82,,AH82)*(1-AF82)+INDEX(Models!$BJ82:$BT82,,AH82+1)*AF82-ERP_i)*AE82*Ramure*Pc/MaxiM</f>
        <v>2.9935900768518069E-4</v>
      </c>
      <c r="AE82" s="301">
        <f t="shared" si="40"/>
        <v>0.5</v>
      </c>
      <c r="AF82" s="173">
        <f t="shared" si="41"/>
        <v>3.8471495050491633E-3</v>
      </c>
      <c r="AG82" s="802">
        <f t="shared" si="49"/>
        <v>3</v>
      </c>
      <c r="AH82" s="172">
        <f t="shared" si="42"/>
        <v>9</v>
      </c>
      <c r="AI82" s="221">
        <f t="shared" si="43"/>
        <v>3.0038471495050492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46821</v>
      </c>
      <c r="B83" s="406">
        <f>'2027'!Wh/'2027'!Env_an*'2028'!Env_an</f>
        <v>23.915338688491069</v>
      </c>
      <c r="C83" s="832"/>
      <c r="D83" s="388">
        <f t="shared" si="25"/>
        <v>24.679961375115727</v>
      </c>
      <c r="E83" s="380">
        <f t="shared" si="47"/>
        <v>25.182464295088682</v>
      </c>
      <c r="F83" s="380">
        <f t="shared" si="26"/>
        <v>25.185401706843816</v>
      </c>
      <c r="G83" s="110">
        <f t="shared" si="48"/>
        <v>0.60047385046808432</v>
      </c>
      <c r="H83" s="409" t="b">
        <f>Wh_hp&gt;='2027'!Maxi_hp</f>
        <v>0</v>
      </c>
      <c r="I83" s="385">
        <f>IF(H83,Wh_hp,'2027'!Maxi_hp)</f>
        <v>25.189299753187651</v>
      </c>
      <c r="J83" s="85">
        <f>IF(H83,An,'2027'!An_max)</f>
        <v>2022</v>
      </c>
      <c r="K83" s="193">
        <f t="shared" si="27"/>
        <v>46821</v>
      </c>
      <c r="L83" s="143">
        <f>IF(t&lt;Tvie,1-EXP((T0-t)*PertePVj)+'2027'!Pspv,1-EXP((T0-t)*PertePVj)+Pspv)</f>
        <v>3.0981518771565408E-2</v>
      </c>
      <c r="M83" s="836"/>
      <c r="N83" s="836"/>
      <c r="O83" s="48">
        <f>IF(t&lt;Tnet,'2027'!Resal+('2027'!Salim-'2027'!Resal)*(1-EXP(('2027'!Tnet-t)/('2027'!Tau_j))),Resal+(Salim-Resal)*(1-EXP((Tnet-t)/(Tau_j))))*Salcycl</f>
        <v>1.9954477611270168E-2</v>
      </c>
      <c r="P83" s="165">
        <f>(INDEX(Models!$BJ83:$BT83,,T83)*(1-R83)+INDEX(Models!$BJ83:$BT83,,T83+1)*R83-ERP_i)*Q83*Ramure*Pc/MaxiM</f>
        <v>2.7162689370858415E-4</v>
      </c>
      <c r="Q83" s="301">
        <f t="shared" si="28"/>
        <v>0.5</v>
      </c>
      <c r="R83" s="173">
        <f t="shared" si="29"/>
        <v>4.287134796386205E-3</v>
      </c>
      <c r="S83" s="802">
        <f t="shared" si="30"/>
        <v>3</v>
      </c>
      <c r="T83" s="172">
        <f t="shared" si="31"/>
        <v>9</v>
      </c>
      <c r="U83" s="247">
        <f t="shared" si="32"/>
        <v>3.0042871347963862</v>
      </c>
      <c r="V83" s="378">
        <f t="shared" si="33"/>
        <v>39.821270269615049</v>
      </c>
      <c r="W83" s="397">
        <f t="shared" si="34"/>
        <v>23.915338688491069</v>
      </c>
      <c r="X83" s="153">
        <f t="shared" si="35"/>
        <v>46821</v>
      </c>
      <c r="Y83" s="380">
        <f t="shared" si="36"/>
        <v>23.2019006614318</v>
      </c>
      <c r="Z83" s="380">
        <f t="shared" si="37"/>
        <v>23.943713263361619</v>
      </c>
      <c r="AA83" s="381">
        <f t="shared" si="38"/>
        <v>25.182464295088682</v>
      </c>
      <c r="AB83" s="193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4.9191017098698067E-2</v>
      </c>
      <c r="AD83" s="227">
        <f>(INDEX(Models!$BJ83:$BT83,,AH83)*(1-AF83)+INDEX(Models!$BJ83:$BT83,,AH83+1)*AF83-ERP_i)*AE83*Ramure*Pc/MaxiM</f>
        <v>2.7162689370858415E-4</v>
      </c>
      <c r="AE83" s="301">
        <f t="shared" si="40"/>
        <v>0.5</v>
      </c>
      <c r="AF83" s="173">
        <f t="shared" si="41"/>
        <v>4.287134796386205E-3</v>
      </c>
      <c r="AG83" s="802">
        <f t="shared" si="49"/>
        <v>3</v>
      </c>
      <c r="AH83" s="172">
        <f t="shared" si="42"/>
        <v>9</v>
      </c>
      <c r="AI83" s="221">
        <f t="shared" si="43"/>
        <v>3.0042871347963862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46822</v>
      </c>
      <c r="B84" s="406">
        <f>'2027'!Wh/'2027'!Env_an*'2028'!Env_an</f>
        <v>17.259587014826991</v>
      </c>
      <c r="C84" s="832"/>
      <c r="D84" s="388">
        <f t="shared" si="25"/>
        <v>17.811655424190878</v>
      </c>
      <c r="E84" s="380">
        <f t="shared" si="47"/>
        <v>18.175338901110095</v>
      </c>
      <c r="F84" s="380">
        <f t="shared" si="26"/>
        <v>18.176155544707736</v>
      </c>
      <c r="G84" s="110">
        <f t="shared" si="48"/>
        <v>0.42859923449854109</v>
      </c>
      <c r="H84" s="409" t="b">
        <f>Wh_hp&gt;='2027'!Maxi_hp</f>
        <v>0</v>
      </c>
      <c r="I84" s="385">
        <f>IF(H84,Wh_hp,'2027'!Maxi_hp)</f>
        <v>18.179775420005882</v>
      </c>
      <c r="J84" s="85">
        <f>IF(H84,An,'2027'!An_max)</f>
        <v>2022</v>
      </c>
      <c r="K84" s="193">
        <f t="shared" si="27"/>
        <v>46822</v>
      </c>
      <c r="L84" s="143">
        <f>IF(t&lt;Tvie,1-EXP((T0-t)*PertePVj)+'2027'!Pspv,1-EXP((T0-t)*PertePVj)+Pspv)</f>
        <v>3.0994783820828764E-2</v>
      </c>
      <c r="M84" s="836"/>
      <c r="N84" s="836"/>
      <c r="O84" s="48">
        <f>IF(t&lt;Tnet,'2027'!Resal+('2027'!Salim-'2027'!Resal)*(1-EXP(('2027'!Tnet-t)/('2027'!Tau_j))),Resal+(Salim-Resal)*(1-EXP((Tnet-t)/(Tau_j))))*Salcycl</f>
        <v>2.0009721903837787E-2</v>
      </c>
      <c r="P84" s="165">
        <f>(INDEX(Models!$BJ84:$BT84,,T84)*(1-R84)+INDEX(Models!$BJ84:$BT84,,T84+1)*R84-ERP_i)*Q84*Ramure*Pc/MaxiM</f>
        <v>2.4440016412827383E-4</v>
      </c>
      <c r="Q84" s="301">
        <f t="shared" si="28"/>
        <v>0.5</v>
      </c>
      <c r="R84" s="173">
        <f t="shared" si="29"/>
        <v>4.7447388040509075E-3</v>
      </c>
      <c r="S84" s="802">
        <f t="shared" si="30"/>
        <v>3</v>
      </c>
      <c r="T84" s="172">
        <f t="shared" si="31"/>
        <v>9</v>
      </c>
      <c r="U84" s="247">
        <f t="shared" si="32"/>
        <v>3.0047447388040509</v>
      </c>
      <c r="V84" s="378">
        <f t="shared" si="33"/>
        <v>40.261723978952389</v>
      </c>
      <c r="W84" s="397">
        <f t="shared" si="34"/>
        <v>17.259587014826991</v>
      </c>
      <c r="X84" s="153">
        <f t="shared" si="35"/>
        <v>46822</v>
      </c>
      <c r="Y84" s="380">
        <f t="shared" si="36"/>
        <v>16.74513295833497</v>
      </c>
      <c r="Z84" s="380">
        <f t="shared" si="37"/>
        <v>17.280745943104147</v>
      </c>
      <c r="AA84" s="381">
        <f t="shared" si="38"/>
        <v>18.175338901110095</v>
      </c>
      <c r="AB84" s="193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4.9220152805585872E-2</v>
      </c>
      <c r="AD84" s="227">
        <f>(INDEX(Models!$BJ84:$BT84,,AH84)*(1-AF84)+INDEX(Models!$BJ84:$BT84,,AH84+1)*AF84-ERP_i)*AE84*Ramure*Pc/MaxiM</f>
        <v>2.4440016412827383E-4</v>
      </c>
      <c r="AE84" s="301">
        <f t="shared" si="40"/>
        <v>0.5</v>
      </c>
      <c r="AF84" s="173">
        <f t="shared" si="41"/>
        <v>4.7447388040509075E-3</v>
      </c>
      <c r="AG84" s="802">
        <f t="shared" si="49"/>
        <v>3</v>
      </c>
      <c r="AH84" s="172">
        <f t="shared" si="42"/>
        <v>9</v>
      </c>
      <c r="AI84" s="221">
        <f t="shared" si="43"/>
        <v>3.0047447388040509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46823</v>
      </c>
      <c r="B85" s="406">
        <f>'2027'!Wh/'2027'!Env_an*'2028'!Env_an</f>
        <v>13.507338489354913</v>
      </c>
      <c r="C85" s="832"/>
      <c r="D85" s="388">
        <f t="shared" si="25"/>
        <v>13.939577589961633</v>
      </c>
      <c r="E85" s="380">
        <f t="shared" si="47"/>
        <v>14.225001647447289</v>
      </c>
      <c r="F85" s="380">
        <f t="shared" si="26"/>
        <v>14.225142506939738</v>
      </c>
      <c r="G85" s="110">
        <f t="shared" si="48"/>
        <v>0.33177531705268221</v>
      </c>
      <c r="H85" s="409" t="b">
        <f>Wh_hp&gt;='2027'!Maxi_hp</f>
        <v>0</v>
      </c>
      <c r="I85" s="385">
        <f>IF(H85,Wh_hp,'2027'!Maxi_hp)</f>
        <v>14.228092826357823</v>
      </c>
      <c r="J85" s="85">
        <f>IF(H85,An,'2027'!An_max)</f>
        <v>2022</v>
      </c>
      <c r="K85" s="193">
        <f t="shared" si="27"/>
        <v>46823</v>
      </c>
      <c r="L85" s="143">
        <f>IF(t&lt;Tvie,1-EXP((T0-t)*PertePVj)+'2027'!Pspv,1-EXP((T0-t)*PertePVj)+Pspv)</f>
        <v>3.1008048688504819E-2</v>
      </c>
      <c r="M85" s="836"/>
      <c r="N85" s="836"/>
      <c r="O85" s="48">
        <f>IF(t&lt;Tnet,'2027'!Resal+('2027'!Salim-'2027'!Resal)*(1-EXP(('2027'!Tnet-t)/('2027'!Tau_j))),Resal+(Salim-Resal)*(1-EXP((Tnet-t)/(Tau_j))))*Salcycl</f>
        <v>2.0064957780646382E-2</v>
      </c>
      <c r="P85" s="165">
        <f>(INDEX(Models!$BJ85:$BT85,,T85)*(1-R85)+INDEX(Models!$BJ85:$BT85,,T85+1)*R85-ERP_i)*Q85*Ramure*Pc/MaxiM</f>
        <v>2.1766886796384984E-4</v>
      </c>
      <c r="Q85" s="301">
        <f t="shared" si="28"/>
        <v>0.5</v>
      </c>
      <c r="R85" s="173">
        <f t="shared" si="29"/>
        <v>5.2206313034059981E-3</v>
      </c>
      <c r="S85" s="802">
        <f t="shared" si="30"/>
        <v>3</v>
      </c>
      <c r="T85" s="172">
        <f t="shared" si="31"/>
        <v>9</v>
      </c>
      <c r="U85" s="247">
        <f t="shared" si="32"/>
        <v>3.005220631303406</v>
      </c>
      <c r="V85" s="378">
        <f t="shared" si="33"/>
        <v>40.703848032288846</v>
      </c>
      <c r="W85" s="397">
        <f t="shared" si="34"/>
        <v>13.507338489354913</v>
      </c>
      <c r="X85" s="153">
        <f t="shared" si="35"/>
        <v>46823</v>
      </c>
      <c r="Y85" s="380">
        <f t="shared" si="36"/>
        <v>13.105063243063634</v>
      </c>
      <c r="Z85" s="380">
        <f t="shared" si="37"/>
        <v>13.524429408651342</v>
      </c>
      <c r="AA85" s="381">
        <f t="shared" si="38"/>
        <v>14.225001647447289</v>
      </c>
      <c r="AB85" s="193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4.9249360819699266E-2</v>
      </c>
      <c r="AD85" s="227">
        <f>(INDEX(Models!$BJ85:$BT85,,AH85)*(1-AF85)+INDEX(Models!$BJ85:$BT85,,AH85+1)*AF85-ERP_i)*AE85*Ramure*Pc/MaxiM</f>
        <v>2.1766886796384984E-4</v>
      </c>
      <c r="AE85" s="301">
        <f t="shared" si="40"/>
        <v>0.5</v>
      </c>
      <c r="AF85" s="173">
        <f t="shared" si="41"/>
        <v>5.2206313034059981E-3</v>
      </c>
      <c r="AG85" s="802">
        <f t="shared" si="49"/>
        <v>3</v>
      </c>
      <c r="AH85" s="172">
        <f t="shared" si="42"/>
        <v>9</v>
      </c>
      <c r="AI85" s="221">
        <f t="shared" si="43"/>
        <v>3.005220631303406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46824</v>
      </c>
      <c r="B86" s="406">
        <f>'2027'!Wh/'2027'!Env_an*'2028'!Env_an</f>
        <v>8.6031107097489556</v>
      </c>
      <c r="C86" s="832"/>
      <c r="D86" s="388">
        <f t="shared" si="25"/>
        <v>8.8785345111257516</v>
      </c>
      <c r="E86" s="380">
        <f t="shared" si="47"/>
        <v>9.0608403548736351</v>
      </c>
      <c r="F86" s="380">
        <f t="shared" si="26"/>
        <v>9.0608403548736351</v>
      </c>
      <c r="G86" s="110">
        <f t="shared" si="48"/>
        <v>0.20904168235151258</v>
      </c>
      <c r="H86" s="409" t="b">
        <f>Wh_hp&gt;='2027'!Maxi_hp</f>
        <v>0</v>
      </c>
      <c r="I86" s="385">
        <f>IF(H86,Wh_hp,'2027'!Maxi_hp)</f>
        <v>9.0625850333182196</v>
      </c>
      <c r="J86" s="85">
        <f>IF(H86,An,'2027'!An_max)</f>
        <v>2022</v>
      </c>
      <c r="K86" s="193">
        <f t="shared" si="27"/>
        <v>46824</v>
      </c>
      <c r="L86" s="143">
        <f>IF(t&lt;Tvie,1-EXP((T0-t)*PertePVj)+'2027'!Pspv,1-EXP((T0-t)*PertePVj)+Pspv)</f>
        <v>3.1021313374595905E-2</v>
      </c>
      <c r="M86" s="836"/>
      <c r="N86" s="836"/>
      <c r="O86" s="48">
        <f>IF(t&lt;Tnet,'2027'!Resal+('2027'!Salim-'2027'!Resal)*(1-EXP(('2027'!Tnet-t)/('2027'!Tau_j))),Resal+(Salim-Resal)*(1-EXP((Tnet-t)/(Tau_j))))*Salcycl</f>
        <v>2.01201915724986E-2</v>
      </c>
      <c r="P86" s="165">
        <f>(INDEX(Models!$BJ86:$BT86,,T86)*(1-R86)+INDEX(Models!$BJ86:$BT86,,T86+1)*R86-ERP_i)*Q86*Ramure*Pc/MaxiM</f>
        <v>1.9292922679920989E-4</v>
      </c>
      <c r="Q86" s="301">
        <f t="shared" si="28"/>
        <v>0.5</v>
      </c>
      <c r="R86" s="173">
        <f t="shared" si="29"/>
        <v>5.7155045502521595E-3</v>
      </c>
      <c r="S86" s="802">
        <f t="shared" si="30"/>
        <v>3</v>
      </c>
      <c r="T86" s="172">
        <f t="shared" si="31"/>
        <v>9</v>
      </c>
      <c r="U86" s="247">
        <f t="shared" si="32"/>
        <v>3.0057155045502522</v>
      </c>
      <c r="V86" s="378">
        <f t="shared" si="33"/>
        <v>41.147061301333892</v>
      </c>
      <c r="W86" s="397">
        <f t="shared" si="34"/>
        <v>8.6031107097489556</v>
      </c>
      <c r="X86" s="153">
        <f t="shared" si="35"/>
        <v>46824</v>
      </c>
      <c r="Y86" s="380">
        <f t="shared" si="36"/>
        <v>8.3471063560440957</v>
      </c>
      <c r="Z86" s="380">
        <f t="shared" si="37"/>
        <v>8.6143343205143061</v>
      </c>
      <c r="AA86" s="381">
        <f t="shared" si="38"/>
        <v>9.0608403548736351</v>
      </c>
      <c r="AB86" s="193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4.9278655938260939E-2</v>
      </c>
      <c r="AD86" s="227">
        <f>(INDEX(Models!$BJ86:$BT86,,AH86)*(1-AF86)+INDEX(Models!$BJ86:$BT86,,AH86+1)*AF86-ERP_i)*AE86*Ramure*Pc/MaxiM</f>
        <v>1.9292922679920989E-4</v>
      </c>
      <c r="AE86" s="301">
        <f t="shared" si="40"/>
        <v>0.5</v>
      </c>
      <c r="AF86" s="173">
        <f t="shared" si="41"/>
        <v>5.7155045502521595E-3</v>
      </c>
      <c r="AG86" s="802">
        <f t="shared" si="49"/>
        <v>3</v>
      </c>
      <c r="AH86" s="172">
        <f t="shared" si="42"/>
        <v>9</v>
      </c>
      <c r="AI86" s="221">
        <f t="shared" si="43"/>
        <v>3.0057155045502522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46825</v>
      </c>
      <c r="B87" s="406">
        <f>'2027'!Wh/'2027'!Env_an*'2028'!Env_an</f>
        <v>12.810699651882206</v>
      </c>
      <c r="C87" s="832"/>
      <c r="D87" s="388">
        <f t="shared" si="25"/>
        <v>13.221008056037574</v>
      </c>
      <c r="E87" s="380">
        <f t="shared" si="47"/>
        <v>13.49323997397088</v>
      </c>
      <c r="F87" s="380">
        <f t="shared" si="26"/>
        <v>13.493266445804867</v>
      </c>
      <c r="G87" s="110">
        <f t="shared" si="48"/>
        <v>0.30796550223434754</v>
      </c>
      <c r="H87" s="409" t="b">
        <f>Wh_hp&gt;='2027'!Maxi_hp</f>
        <v>0</v>
      </c>
      <c r="I87" s="385">
        <f>IF(H87,Wh_hp,'2027'!Maxi_hp)</f>
        <v>13.495546182179719</v>
      </c>
      <c r="J87" s="85">
        <f>IF(H87,An,'2027'!An_max)</f>
        <v>2022</v>
      </c>
      <c r="K87" s="193">
        <f t="shared" si="27"/>
        <v>46825</v>
      </c>
      <c r="L87" s="143">
        <f>IF(t&lt;Tvie,1-EXP((T0-t)*PertePVj)+'2027'!Pspv,1-EXP((T0-t)*PertePVj)+Pspv)</f>
        <v>3.1034577879104575E-2</v>
      </c>
      <c r="M87" s="836"/>
      <c r="N87" s="836"/>
      <c r="O87" s="48">
        <f>IF(t&lt;Tnet,'2027'!Resal+('2027'!Salim-'2027'!Resal)*(1-EXP(('2027'!Tnet-t)/('2027'!Tau_j))),Resal+(Salim-Resal)*(1-EXP((Tnet-t)/(Tau_j))))*Salcycl</f>
        <v>2.0175429952958304E-2</v>
      </c>
      <c r="P87" s="165">
        <f>(INDEX(Models!$BJ87:$BT87,,T87)*(1-R87)+INDEX(Models!$BJ87:$BT87,,T87+1)*R87-ERP_i)*Q87*Ramure*Pc/MaxiM</f>
        <v>1.7128428579185324E-4</v>
      </c>
      <c r="Q87" s="301">
        <f t="shared" si="28"/>
        <v>0.5</v>
      </c>
      <c r="R87" s="173">
        <f t="shared" si="29"/>
        <v>6.230073783289658E-3</v>
      </c>
      <c r="S87" s="802">
        <f t="shared" si="30"/>
        <v>3</v>
      </c>
      <c r="T87" s="172">
        <f t="shared" si="31"/>
        <v>9</v>
      </c>
      <c r="U87" s="247">
        <f t="shared" si="32"/>
        <v>3.0062300737832897</v>
      </c>
      <c r="V87" s="378">
        <f t="shared" si="33"/>
        <v>41.590796423283855</v>
      </c>
      <c r="W87" s="397">
        <f t="shared" si="34"/>
        <v>12.810699651882206</v>
      </c>
      <c r="X87" s="153">
        <f t="shared" si="35"/>
        <v>46825</v>
      </c>
      <c r="Y87" s="380">
        <f t="shared" si="36"/>
        <v>12.42980565927674</v>
      </c>
      <c r="Z87" s="380">
        <f t="shared" si="37"/>
        <v>12.82791457312282</v>
      </c>
      <c r="AA87" s="381">
        <f t="shared" si="38"/>
        <v>13.49323997397088</v>
      </c>
      <c r="AB87" s="193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4.9308053672172482E-2</v>
      </c>
      <c r="AD87" s="227">
        <f>(INDEX(Models!$BJ87:$BT87,,AH87)*(1-AF87)+INDEX(Models!$BJ87:$BT87,,AH87+1)*AF87-ERP_i)*AE87*Ramure*Pc/MaxiM</f>
        <v>1.7128428579185324E-4</v>
      </c>
      <c r="AE87" s="301">
        <f t="shared" si="40"/>
        <v>0.5</v>
      </c>
      <c r="AF87" s="173">
        <f t="shared" si="41"/>
        <v>6.230073783289658E-3</v>
      </c>
      <c r="AG87" s="802">
        <f t="shared" si="49"/>
        <v>3</v>
      </c>
      <c r="AH87" s="172">
        <f t="shared" si="42"/>
        <v>9</v>
      </c>
      <c r="AI87" s="221">
        <f t="shared" si="43"/>
        <v>3.0062300737832897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46826</v>
      </c>
      <c r="B88" s="406">
        <f>'2027'!Wh/'2027'!Env_an*'2028'!Env_an</f>
        <v>15.181645819923286</v>
      </c>
      <c r="C88" s="832"/>
      <c r="D88" s="388">
        <f t="shared" si="25"/>
        <v>15.66810672512973</v>
      </c>
      <c r="E88" s="380">
        <f t="shared" si="47"/>
        <v>15.991628237401892</v>
      </c>
      <c r="F88" s="380">
        <f t="shared" si="26"/>
        <v>15.991841549745477</v>
      </c>
      <c r="G88" s="110">
        <f t="shared" si="48"/>
        <v>0.3611204730074159</v>
      </c>
      <c r="H88" s="409" t="b">
        <f>Wh_hp&gt;='2027'!Maxi_hp</f>
        <v>0</v>
      </c>
      <c r="I88" s="385">
        <f>IF(H88,Wh_hp,'2027'!Maxi_hp)</f>
        <v>15.994063855850605</v>
      </c>
      <c r="J88" s="85">
        <f>IF(H88,An,'2027'!An_max)</f>
        <v>2022</v>
      </c>
      <c r="K88" s="193">
        <f t="shared" si="27"/>
        <v>46826</v>
      </c>
      <c r="L88" s="143">
        <f>IF(t&lt;Tvie,1-EXP((T0-t)*PertePVj)+'2027'!Pspv,1-EXP((T0-t)*PertePVj)+Pspv)</f>
        <v>3.1047842202033271E-2</v>
      </c>
      <c r="M88" s="836"/>
      <c r="N88" s="836"/>
      <c r="O88" s="48">
        <f>IF(t&lt;Tnet,'2027'!Resal+('2027'!Salim-'2027'!Resal)*(1-EXP(('2027'!Tnet-t)/('2027'!Tau_j))),Resal+(Salim-Resal)*(1-EXP((Tnet-t)/(Tau_j))))*Salcycl</f>
        <v>2.0230679920103148E-2</v>
      </c>
      <c r="P88" s="165">
        <f>(INDEX(Models!$BJ88:$BT88,,T88)*(1-R88)+INDEX(Models!$BJ88:$BT88,,T88+1)*R88-ERP_i)*Q88*Ramure*Pc/MaxiM</f>
        <v>1.526411014149742E-4</v>
      </c>
      <c r="Q88" s="301">
        <f t="shared" si="28"/>
        <v>0.5</v>
      </c>
      <c r="R88" s="173">
        <f t="shared" si="29"/>
        <v>6.7650777149212971E-3</v>
      </c>
      <c r="S88" s="802">
        <f t="shared" si="30"/>
        <v>3</v>
      </c>
      <c r="T88" s="172">
        <f t="shared" si="31"/>
        <v>9</v>
      </c>
      <c r="U88" s="247">
        <f t="shared" si="32"/>
        <v>3.0067650777149213</v>
      </c>
      <c r="V88" s="378">
        <f t="shared" si="33"/>
        <v>42.034534424052602</v>
      </c>
      <c r="W88" s="397">
        <f t="shared" si="34"/>
        <v>15.181645819923286</v>
      </c>
      <c r="X88" s="153">
        <f t="shared" si="35"/>
        <v>46826</v>
      </c>
      <c r="Y88" s="380">
        <f t="shared" si="36"/>
        <v>14.730630984074233</v>
      </c>
      <c r="Z88" s="380">
        <f t="shared" si="37"/>
        <v>15.202640156714191</v>
      </c>
      <c r="AA88" s="381">
        <f t="shared" si="38"/>
        <v>15.991628237401892</v>
      </c>
      <c r="AB88" s="193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4.933757019453363E-2</v>
      </c>
      <c r="AD88" s="227">
        <f>(INDEX(Models!$BJ88:$BT88,,AH88)*(1-AF88)+INDEX(Models!$BJ88:$BT88,,AH88+1)*AF88-ERP_i)*AE88*Ramure*Pc/MaxiM</f>
        <v>1.526411014149742E-4</v>
      </c>
      <c r="AE88" s="301">
        <f t="shared" si="40"/>
        <v>0.5</v>
      </c>
      <c r="AF88" s="173">
        <f t="shared" si="41"/>
        <v>6.7650777149212971E-3</v>
      </c>
      <c r="AG88" s="802">
        <f t="shared" si="49"/>
        <v>3</v>
      </c>
      <c r="AH88" s="172">
        <f t="shared" si="42"/>
        <v>9</v>
      </c>
      <c r="AI88" s="221">
        <f t="shared" si="43"/>
        <v>3.0067650777149213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46827</v>
      </c>
      <c r="B89" s="406">
        <f>'2027'!Wh/'2027'!Env_an*'2028'!Env_an</f>
        <v>12.748161386315749</v>
      </c>
      <c r="C89" s="832"/>
      <c r="D89" s="388">
        <f t="shared" si="25"/>
        <v>13.156826988548568</v>
      </c>
      <c r="E89" s="380">
        <f t="shared" si="47"/>
        <v>13.429252108942924</v>
      </c>
      <c r="F89" s="380">
        <f t="shared" si="26"/>
        <v>13.429252407876616</v>
      </c>
      <c r="G89" s="110">
        <f t="shared" si="48"/>
        <v>0.30007272960020737</v>
      </c>
      <c r="H89" s="409" t="b">
        <f>Wh_hp&gt;='2027'!Maxi_hp</f>
        <v>0</v>
      </c>
      <c r="I89" s="385">
        <f>IF(H89,Wh_hp,'2027'!Maxi_hp)</f>
        <v>13.431085760338645</v>
      </c>
      <c r="J89" s="85">
        <f>IF(H89,An,'2027'!An_max)</f>
        <v>2022</v>
      </c>
      <c r="K89" s="193">
        <f t="shared" si="27"/>
        <v>46827</v>
      </c>
      <c r="L89" s="143">
        <f>IF(t&lt;Tvie,1-EXP((T0-t)*PertePVj)+'2027'!Pspv,1-EXP((T0-t)*PertePVj)+Pspv)</f>
        <v>3.1061106343384548E-2</v>
      </c>
      <c r="M89" s="836"/>
      <c r="N89" s="836"/>
      <c r="O89" s="48">
        <f>IF(t&lt;Tnet,'2027'!Resal+('2027'!Salim-'2027'!Resal)*(1-EXP(('2027'!Tnet-t)/('2027'!Tau_j))),Resal+(Salim-Resal)*(1-EXP((Tnet-t)/(Tau_j))))*Salcycl</f>
        <v>2.0285948776919575E-2</v>
      </c>
      <c r="P89" s="165">
        <f>(INDEX(Models!$BJ89:$BT89,,T89)*(1-R89)+INDEX(Models!$BJ89:$BT89,,T89+1)*R89-ERP_i)*Q89*Ramure*Pc/MaxiM</f>
        <v>1.3690994019822318E-4</v>
      </c>
      <c r="Q89" s="301">
        <f t="shared" si="28"/>
        <v>0.5</v>
      </c>
      <c r="R89" s="173">
        <f t="shared" si="29"/>
        <v>7.3212790076930823E-3</v>
      </c>
      <c r="S89" s="802">
        <f t="shared" si="30"/>
        <v>3</v>
      </c>
      <c r="T89" s="172">
        <f t="shared" si="31"/>
        <v>9</v>
      </c>
      <c r="U89" s="247">
        <f t="shared" si="32"/>
        <v>3.0073212790076931</v>
      </c>
      <c r="V89" s="378">
        <f t="shared" si="33"/>
        <v>42.477756432644981</v>
      </c>
      <c r="W89" s="397">
        <f t="shared" si="34"/>
        <v>12.748161386315749</v>
      </c>
      <c r="X89" s="153">
        <f t="shared" si="35"/>
        <v>46827</v>
      </c>
      <c r="Y89" s="380">
        <f t="shared" si="36"/>
        <v>12.369752229523904</v>
      </c>
      <c r="Z89" s="380">
        <f t="shared" si="37"/>
        <v>12.766287234938522</v>
      </c>
      <c r="AA89" s="381">
        <f t="shared" si="38"/>
        <v>13.429252108942924</v>
      </c>
      <c r="AB89" s="193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4.9367222286557245E-2</v>
      </c>
      <c r="AD89" s="227">
        <f>(INDEX(Models!$BJ89:$BT89,,AH89)*(1-AF89)+INDEX(Models!$BJ89:$BT89,,AH89+1)*AF89-ERP_i)*AE89*Ramure*Pc/MaxiM</f>
        <v>1.3690994019822318E-4</v>
      </c>
      <c r="AE89" s="301">
        <f t="shared" si="40"/>
        <v>0.5</v>
      </c>
      <c r="AF89" s="173">
        <f t="shared" si="41"/>
        <v>7.3212790076930823E-3</v>
      </c>
      <c r="AG89" s="802">
        <f t="shared" si="49"/>
        <v>3</v>
      </c>
      <c r="AH89" s="172">
        <f t="shared" si="42"/>
        <v>9</v>
      </c>
      <c r="AI89" s="221">
        <f t="shared" si="43"/>
        <v>3.0073212790076931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46828</v>
      </c>
      <c r="B90" s="406">
        <f>'2027'!Wh/'2027'!Env_an*'2028'!Env_an</f>
        <v>12.243462567583185</v>
      </c>
      <c r="C90" s="832"/>
      <c r="D90" s="388">
        <f t="shared" si="25"/>
        <v>12.636122105072154</v>
      </c>
      <c r="E90" s="380">
        <f t="shared" si="47"/>
        <v>12.898493510221671</v>
      </c>
      <c r="F90" s="380">
        <f t="shared" si="26"/>
        <v>12.898493510221671</v>
      </c>
      <c r="G90" s="110">
        <f t="shared" si="48"/>
        <v>0.28522740882679504</v>
      </c>
      <c r="H90" s="409" t="b">
        <f>Wh_hp&gt;='2027'!Maxi_hp</f>
        <v>0</v>
      </c>
      <c r="I90" s="385">
        <f>IF(H90,Wh_hp,'2027'!Maxi_hp)</f>
        <v>12.900088201183433</v>
      </c>
      <c r="J90" s="85">
        <f>IF(H90,An,'2027'!An_max)</f>
        <v>2022</v>
      </c>
      <c r="K90" s="193">
        <f t="shared" si="27"/>
        <v>46828</v>
      </c>
      <c r="L90" s="143">
        <f>IF(t&lt;Tvie,1-EXP((T0-t)*PertePVj)+'2027'!Pspv,1-EXP((T0-t)*PertePVj)+Pspv)</f>
        <v>3.1074370303160848E-2</v>
      </c>
      <c r="M90" s="836"/>
      <c r="N90" s="836"/>
      <c r="O90" s="48">
        <f>IF(t&lt;Tnet,'2027'!Resal+('2027'!Salim-'2027'!Resal)*(1-EXP(('2027'!Tnet-t)/('2027'!Tau_j))),Resal+(Salim-Resal)*(1-EXP((Tnet-t)/(Tau_j))))*Salcycl</f>
        <v>2.0341244110530808E-2</v>
      </c>
      <c r="P90" s="165">
        <f>(INDEX(Models!$BJ90:$BT90,,T90)*(1-R90)+INDEX(Models!$BJ90:$BT90,,T90+1)*R90-ERP_i)*Q90*Ramure*Pc/MaxiM</f>
        <v>1.2400456303478702E-4</v>
      </c>
      <c r="Q90" s="301">
        <f t="shared" si="28"/>
        <v>0.5</v>
      </c>
      <c r="R90" s="173">
        <f t="shared" si="29"/>
        <v>7.8994647334575951E-3</v>
      </c>
      <c r="S90" s="802">
        <f t="shared" si="30"/>
        <v>3</v>
      </c>
      <c r="T90" s="172">
        <f t="shared" si="31"/>
        <v>9</v>
      </c>
      <c r="U90" s="247">
        <f t="shared" si="32"/>
        <v>3.0078994647334576</v>
      </c>
      <c r="V90" s="378">
        <f t="shared" si="33"/>
        <v>42.919943678313921</v>
      </c>
      <c r="W90" s="397">
        <f t="shared" si="34"/>
        <v>12.243462567583185</v>
      </c>
      <c r="X90" s="153">
        <f t="shared" si="35"/>
        <v>46828</v>
      </c>
      <c r="Y90" s="380">
        <f t="shared" si="36"/>
        <v>11.880332659862344</v>
      </c>
      <c r="Z90" s="380">
        <f t="shared" si="37"/>
        <v>12.261346274408599</v>
      </c>
      <c r="AA90" s="381">
        <f t="shared" si="38"/>
        <v>12.898493510221671</v>
      </c>
      <c r="AB90" s="193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4.9397027281376168E-2</v>
      </c>
      <c r="AD90" s="227">
        <f>(INDEX(Models!$BJ90:$BT90,,AH90)*(1-AF90)+INDEX(Models!$BJ90:$BT90,,AH90+1)*AF90-ERP_i)*AE90*Ramure*Pc/MaxiM</f>
        <v>1.2400456303478702E-4</v>
      </c>
      <c r="AE90" s="301">
        <f t="shared" si="40"/>
        <v>0.5</v>
      </c>
      <c r="AF90" s="173">
        <f t="shared" si="41"/>
        <v>7.8994647334575951E-3</v>
      </c>
      <c r="AG90" s="802">
        <f t="shared" si="49"/>
        <v>3</v>
      </c>
      <c r="AH90" s="172">
        <f t="shared" si="42"/>
        <v>9</v>
      </c>
      <c r="AI90" s="221">
        <f t="shared" si="43"/>
        <v>3.0078994647334576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46829</v>
      </c>
      <c r="B91" s="406">
        <f>'2027'!Wh/'2027'!Env_an*'2028'!Env_an</f>
        <v>14.451546846936527</v>
      </c>
      <c r="C91" s="832"/>
      <c r="D91" s="388">
        <f t="shared" si="25"/>
        <v>14.915225932981951</v>
      </c>
      <c r="E91" s="380">
        <f t="shared" si="47"/>
        <v>15.225779671259403</v>
      </c>
      <c r="F91" s="380">
        <f t="shared" si="26"/>
        <v>15.225862098714984</v>
      </c>
      <c r="G91" s="110">
        <f t="shared" si="48"/>
        <v>0.33325155502360498</v>
      </c>
      <c r="H91" s="409" t="b">
        <f>Wh_hp&gt;='2027'!Maxi_hp</f>
        <v>0</v>
      </c>
      <c r="I91" s="385">
        <f>IF(H91,Wh_hp,'2027'!Maxi_hp)</f>
        <v>15.227507547270084</v>
      </c>
      <c r="J91" s="85">
        <f>IF(H91,An,'2027'!An_max)</f>
        <v>2022</v>
      </c>
      <c r="K91" s="193">
        <f t="shared" si="27"/>
        <v>46829</v>
      </c>
      <c r="L91" s="143">
        <f>IF(t&lt;Tvie,1-EXP((T0-t)*PertePVj)+'2027'!Pspv,1-EXP((T0-t)*PertePVj)+Pspv)</f>
        <v>3.1087634081364723E-2</v>
      </c>
      <c r="M91" s="836"/>
      <c r="N91" s="836"/>
      <c r="O91" s="48">
        <f>IF(t&lt;Tnet,'2027'!Resal+('2027'!Salim-'2027'!Resal)*(1-EXP(('2027'!Tnet-t)/('2027'!Tau_j))),Resal+(Salim-Resal)*(1-EXP((Tnet-t)/(Tau_j))))*Salcycl</f>
        <v>2.0396573770449438E-2</v>
      </c>
      <c r="P91" s="165">
        <f>(INDEX(Models!$BJ91:$BT91,,T91)*(1-R91)+INDEX(Models!$BJ91:$BT91,,T91+1)*R91-ERP_i)*Q91*Ramure*Pc/MaxiM</f>
        <v>1.1384247833156817E-4</v>
      </c>
      <c r="Q91" s="301">
        <f t="shared" si="28"/>
        <v>0.5</v>
      </c>
      <c r="R91" s="173">
        <f t="shared" si="29"/>
        <v>8.5004468120826182E-3</v>
      </c>
      <c r="S91" s="802">
        <f t="shared" si="30"/>
        <v>3</v>
      </c>
      <c r="T91" s="172">
        <f t="shared" si="31"/>
        <v>9</v>
      </c>
      <c r="U91" s="247">
        <f t="shared" si="32"/>
        <v>3.0085004468120826</v>
      </c>
      <c r="V91" s="378">
        <f t="shared" si="33"/>
        <v>43.36057748659767</v>
      </c>
      <c r="W91" s="397">
        <f t="shared" si="34"/>
        <v>14.451546846936527</v>
      </c>
      <c r="X91" s="153">
        <f t="shared" si="35"/>
        <v>46829</v>
      </c>
      <c r="Y91" s="380">
        <f t="shared" si="36"/>
        <v>14.023277001349758</v>
      </c>
      <c r="Z91" s="380">
        <f t="shared" si="37"/>
        <v>14.473215013675826</v>
      </c>
      <c r="AA91" s="381">
        <f t="shared" si="38"/>
        <v>15.225779671259403</v>
      </c>
      <c r="AB91" s="193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4.9427003006232768E-2</v>
      </c>
      <c r="AD91" s="227">
        <f>(INDEX(Models!$BJ91:$BT91,,AH91)*(1-AF91)+INDEX(Models!$BJ91:$BT91,,AH91+1)*AF91-ERP_i)*AE91*Ramure*Pc/MaxiM</f>
        <v>1.1384247833156817E-4</v>
      </c>
      <c r="AE91" s="301">
        <f t="shared" si="40"/>
        <v>0.5</v>
      </c>
      <c r="AF91" s="173">
        <f t="shared" si="41"/>
        <v>8.5004468120826182E-3</v>
      </c>
      <c r="AG91" s="802">
        <f t="shared" si="49"/>
        <v>3</v>
      </c>
      <c r="AH91" s="172">
        <f t="shared" si="42"/>
        <v>9</v>
      </c>
      <c r="AI91" s="221">
        <f t="shared" si="43"/>
        <v>3.0085004468120826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46830</v>
      </c>
      <c r="B92" s="406">
        <f>'2027'!Wh/'2027'!Env_an*'2028'!Env_an</f>
        <v>26.553903420414322</v>
      </c>
      <c r="C92" s="832"/>
      <c r="D92" s="388">
        <f t="shared" si="25"/>
        <v>27.406262795348805</v>
      </c>
      <c r="E92" s="380">
        <f t="shared" si="47"/>
        <v>27.978477093724472</v>
      </c>
      <c r="F92" s="380">
        <f t="shared" si="26"/>
        <v>27.979778946747832</v>
      </c>
      <c r="G92" s="110">
        <f t="shared" si="48"/>
        <v>0.6062291500753525</v>
      </c>
      <c r="H92" s="409" t="b">
        <f>Wh_hp&gt;='2027'!Maxi_hp</f>
        <v>0</v>
      </c>
      <c r="I92" s="385">
        <f>IF(H92,Wh_hp,'2027'!Maxi_hp)</f>
        <v>27.981446472007683</v>
      </c>
      <c r="J92" s="85">
        <f>IF(H92,An,'2027'!An_max)</f>
        <v>2022</v>
      </c>
      <c r="K92" s="193">
        <f t="shared" si="27"/>
        <v>46830</v>
      </c>
      <c r="L92" s="143">
        <f>IF(t&lt;Tvie,1-EXP((T0-t)*PertePVj)+'2027'!Pspv,1-EXP((T0-t)*PertePVj)+Pspv)</f>
        <v>3.1100897677998618E-2</v>
      </c>
      <c r="M92" s="836"/>
      <c r="N92" s="836"/>
      <c r="O92" s="48">
        <f>IF(t&lt;Tnet,'2027'!Resal+('2027'!Salim-'2027'!Resal)*(1-EXP(('2027'!Tnet-t)/('2027'!Tau_j))),Resal+(Salim-Resal)*(1-EXP((Tnet-t)/(Tau_j))))*Salcycl</f>
        <v>2.045194584604507E-2</v>
      </c>
      <c r="P92" s="165">
        <f>(INDEX(Models!$BJ92:$BT92,,T92)*(1-R92)+INDEX(Models!$BJ92:$BT92,,T92+1)*R92-ERP_i)*Q92*Ramure*Pc/MaxiM</f>
        <v>1.063451670448516E-4</v>
      </c>
      <c r="Q92" s="301">
        <f t="shared" si="28"/>
        <v>0.5</v>
      </c>
      <c r="R92" s="173">
        <f t="shared" si="29"/>
        <v>9.1250624262895208E-3</v>
      </c>
      <c r="S92" s="802">
        <f t="shared" si="30"/>
        <v>3</v>
      </c>
      <c r="T92" s="172">
        <f t="shared" si="31"/>
        <v>9</v>
      </c>
      <c r="U92" s="247">
        <f t="shared" si="32"/>
        <v>3.0091250624262895</v>
      </c>
      <c r="V92" s="378">
        <f t="shared" si="33"/>
        <v>43.799139274802769</v>
      </c>
      <c r="W92" s="397">
        <f t="shared" si="34"/>
        <v>26.553903420414322</v>
      </c>
      <c r="X92" s="153">
        <f t="shared" si="35"/>
        <v>46830</v>
      </c>
      <c r="Y92" s="380">
        <f t="shared" si="36"/>
        <v>25.76762054520853</v>
      </c>
      <c r="Z92" s="380">
        <f t="shared" si="37"/>
        <v>26.59474085945121</v>
      </c>
      <c r="AA92" s="381">
        <f t="shared" si="38"/>
        <v>27.978477093724472</v>
      </c>
      <c r="AB92" s="193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4.9457167723529621E-2</v>
      </c>
      <c r="AD92" s="227">
        <f>(INDEX(Models!$BJ92:$BT92,,AH92)*(1-AF92)+INDEX(Models!$BJ92:$BT92,,AH92+1)*AF92-ERP_i)*AE92*Ramure*Pc/MaxiM</f>
        <v>1.063451670448516E-4</v>
      </c>
      <c r="AE92" s="301">
        <f t="shared" si="40"/>
        <v>0.5</v>
      </c>
      <c r="AF92" s="173">
        <f t="shared" si="41"/>
        <v>9.1250624262895208E-3</v>
      </c>
      <c r="AG92" s="802">
        <f t="shared" si="49"/>
        <v>3</v>
      </c>
      <c r="AH92" s="172">
        <f t="shared" si="42"/>
        <v>9</v>
      </c>
      <c r="AI92" s="221">
        <f t="shared" si="43"/>
        <v>3.0091250624262895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46831</v>
      </c>
      <c r="B93" s="406">
        <f>'2027'!Wh/'2027'!Env_an*'2028'!Env_an</f>
        <v>31.829704450237685</v>
      </c>
      <c r="C93" s="832"/>
      <c r="D93" s="388">
        <f t="shared" si="25"/>
        <v>32.851862595233001</v>
      </c>
      <c r="E93" s="380">
        <f t="shared" si="47"/>
        <v>33.539673034327514</v>
      </c>
      <c r="F93" s="380">
        <f t="shared" si="26"/>
        <v>33.541711804135922</v>
      </c>
      <c r="G93" s="110">
        <f t="shared" si="48"/>
        <v>0.71945966899648317</v>
      </c>
      <c r="H93" s="409" t="b">
        <f>Wh_hp&gt;='2027'!Maxi_hp</f>
        <v>0</v>
      </c>
      <c r="I93" s="385">
        <f>IF(H93,Wh_hp,'2027'!Maxi_hp)</f>
        <v>33.543069625939346</v>
      </c>
      <c r="J93" s="85">
        <f>IF(H93,An,'2027'!An_max)</f>
        <v>2022</v>
      </c>
      <c r="K93" s="193">
        <f t="shared" si="27"/>
        <v>46831</v>
      </c>
      <c r="L93" s="143">
        <f>IF(t&lt;Tvie,1-EXP((T0-t)*PertePVj)+'2027'!Pspv,1-EXP((T0-t)*PertePVj)+Pspv)</f>
        <v>3.1114161093065085E-2</v>
      </c>
      <c r="M93" s="836"/>
      <c r="N93" s="836"/>
      <c r="O93" s="48">
        <f>IF(t&lt;Tnet,'2027'!Resal+('2027'!Salim-'2027'!Resal)*(1-EXP(('2027'!Tnet-t)/('2027'!Tau_j))),Resal+(Salim-Resal)*(1-EXP((Tnet-t)/(Tau_j))))*Salcycl</f>
        <v>2.0507368643413577E-2</v>
      </c>
      <c r="P93" s="165">
        <f>(INDEX(Models!$BJ93:$BT93,,T93)*(1-R93)+INDEX(Models!$BJ93:$BT93,,T93+1)*R93-ERP_i)*Q93*Ramure*Pc/MaxiM</f>
        <v>1.0142862117388504E-4</v>
      </c>
      <c r="Q93" s="301">
        <f t="shared" si="28"/>
        <v>0.5</v>
      </c>
      <c r="R93" s="173">
        <f t="shared" si="29"/>
        <v>9.7741744089110405E-3</v>
      </c>
      <c r="S93" s="802">
        <f t="shared" si="30"/>
        <v>3</v>
      </c>
      <c r="T93" s="172">
        <f t="shared" si="31"/>
        <v>9</v>
      </c>
      <c r="U93" s="247">
        <f t="shared" si="32"/>
        <v>3.009774174408911</v>
      </c>
      <c r="V93" s="378">
        <f t="shared" si="33"/>
        <v>44.2393257173403</v>
      </c>
      <c r="W93" s="397">
        <f t="shared" si="34"/>
        <v>31.829704450237685</v>
      </c>
      <c r="X93" s="153">
        <f t="shared" si="35"/>
        <v>46831</v>
      </c>
      <c r="Y93" s="380">
        <f t="shared" si="36"/>
        <v>30.887961488694209</v>
      </c>
      <c r="Z93" s="380">
        <f t="shared" si="37"/>
        <v>31.879877121066183</v>
      </c>
      <c r="AA93" s="381">
        <f t="shared" si="38"/>
        <v>33.539673034327514</v>
      </c>
      <c r="AB93" s="193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4.9487540071202991E-2</v>
      </c>
      <c r="AD93" s="227">
        <f>(INDEX(Models!$BJ93:$BT93,,AH93)*(1-AF93)+INDEX(Models!$BJ93:$BT93,,AH93+1)*AF93-ERP_i)*AE93*Ramure*Pc/MaxiM</f>
        <v>1.0142862117388504E-4</v>
      </c>
      <c r="AE93" s="301">
        <f t="shared" si="40"/>
        <v>0.5</v>
      </c>
      <c r="AF93" s="173">
        <f t="shared" si="41"/>
        <v>9.7741744089110405E-3</v>
      </c>
      <c r="AG93" s="802">
        <f t="shared" si="49"/>
        <v>3</v>
      </c>
      <c r="AH93" s="172">
        <f t="shared" si="42"/>
        <v>9</v>
      </c>
      <c r="AI93" s="221">
        <f t="shared" si="43"/>
        <v>3.009774174408911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46832</v>
      </c>
      <c r="B94" s="406">
        <f>'2027'!Wh/'2027'!Env_an*'2028'!Env_an</f>
        <v>42.811289250087228</v>
      </c>
      <c r="C94" s="832"/>
      <c r="D94" s="388">
        <f t="shared" si="25"/>
        <v>44.186707648661042</v>
      </c>
      <c r="E94" s="380">
        <f t="shared" si="47"/>
        <v>45.114388073312313</v>
      </c>
      <c r="F94" s="380">
        <f t="shared" si="26"/>
        <v>45.118614548470788</v>
      </c>
      <c r="G94" s="110">
        <f t="shared" si="48"/>
        <v>0.95807879065671464</v>
      </c>
      <c r="H94" s="409" t="b">
        <f>Wh_hp&gt;='2027'!Maxi_hp</f>
        <v>0</v>
      </c>
      <c r="I94" s="385">
        <f>IF(H94,Wh_hp,'2027'!Maxi_hp)</f>
        <v>45.118882566979195</v>
      </c>
      <c r="J94" s="85">
        <f>IF(H94,An,'2027'!An_max)</f>
        <v>2022</v>
      </c>
      <c r="K94" s="193">
        <f t="shared" si="27"/>
        <v>46832</v>
      </c>
      <c r="L94" s="143">
        <f>IF(t&lt;Tvie,1-EXP((T0-t)*PertePVj)+'2027'!Pspv,1-EXP((T0-t)*PertePVj)+Pspv)</f>
        <v>3.1127424326566455E-2</v>
      </c>
      <c r="M94" s="836"/>
      <c r="N94" s="836"/>
      <c r="O94" s="48">
        <f>IF(t&lt;Tnet,'2027'!Resal+('2027'!Salim-'2027'!Resal)*(1-EXP(('2027'!Tnet-t)/('2027'!Tau_j))),Resal+(Salim-Resal)*(1-EXP((Tnet-t)/(Tau_j))))*Salcycl</f>
        <v>2.0562850661827954E-2</v>
      </c>
      <c r="P94" s="165">
        <f>(INDEX(Models!$BJ94:$BT94,,T94)*(1-R94)+INDEX(Models!$BJ94:$BT94,,T94+1)*R94-ERP_i)*Q94*Ramure*Pc/MaxiM</f>
        <v>9.9641197544870914E-5</v>
      </c>
      <c r="Q94" s="301">
        <f t="shared" si="28"/>
        <v>0.5</v>
      </c>
      <c r="R94" s="173">
        <f t="shared" si="29"/>
        <v>1.0448671598611181E-2</v>
      </c>
      <c r="S94" s="802">
        <f t="shared" si="30"/>
        <v>3</v>
      </c>
      <c r="T94" s="172">
        <f t="shared" si="31"/>
        <v>9</v>
      </c>
      <c r="U94" s="247">
        <f t="shared" si="32"/>
        <v>3.0104486715986112</v>
      </c>
      <c r="V94" s="378">
        <f t="shared" si="33"/>
        <v>44.684251663383684</v>
      </c>
      <c r="W94" s="397">
        <f t="shared" si="34"/>
        <v>42.811289250087228</v>
      </c>
      <c r="X94" s="153">
        <f t="shared" si="35"/>
        <v>46832</v>
      </c>
      <c r="Y94" s="380">
        <f t="shared" si="36"/>
        <v>41.545650893072576</v>
      </c>
      <c r="Z94" s="380">
        <f t="shared" si="37"/>
        <v>42.880407533669192</v>
      </c>
      <c r="AA94" s="381">
        <f t="shared" si="38"/>
        <v>45.114388073312313</v>
      </c>
      <c r="AB94" s="193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4.9518139002857169E-2</v>
      </c>
      <c r="AD94" s="227">
        <f>(INDEX(Models!$BJ94:$BT94,,AH94)*(1-AF94)+INDEX(Models!$BJ94:$BT94,,AH94+1)*AF94-ERP_i)*AE94*Ramure*Pc/MaxiM</f>
        <v>9.9641197544870914E-5</v>
      </c>
      <c r="AE94" s="301">
        <f t="shared" si="40"/>
        <v>0.5</v>
      </c>
      <c r="AF94" s="173">
        <f t="shared" si="41"/>
        <v>1.0448671598611181E-2</v>
      </c>
      <c r="AG94" s="802">
        <f t="shared" si="49"/>
        <v>3</v>
      </c>
      <c r="AH94" s="172">
        <f t="shared" si="42"/>
        <v>9</v>
      </c>
      <c r="AI94" s="221">
        <f t="shared" si="43"/>
        <v>3.0104486715986112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46833</v>
      </c>
      <c r="B95" s="406">
        <f>'2027'!Wh/'2027'!Env_an*'2028'!Env_an</f>
        <v>41.784391353791406</v>
      </c>
      <c r="C95" s="832"/>
      <c r="D95" s="388">
        <f t="shared" si="25"/>
        <v>43.127408499313624</v>
      </c>
      <c r="E95" s="380">
        <f t="shared" si="47"/>
        <v>44.035346921374916</v>
      </c>
      <c r="F95" s="380">
        <f t="shared" si="26"/>
        <v>44.039279779402449</v>
      </c>
      <c r="G95" s="110">
        <f t="shared" si="48"/>
        <v>0.92580388333939601</v>
      </c>
      <c r="H95" s="409" t="b">
        <f>Wh_hp&gt;='2027'!Maxi_hp</f>
        <v>0</v>
      </c>
      <c r="I95" s="385">
        <f>IF(H95,Wh_hp,'2027'!Maxi_hp)</f>
        <v>44.0397438016956</v>
      </c>
      <c r="J95" s="85">
        <f>IF(H95,An,'2027'!An_max)</f>
        <v>2022</v>
      </c>
      <c r="K95" s="193">
        <f t="shared" si="27"/>
        <v>46833</v>
      </c>
      <c r="L95" s="143">
        <f>IF(t&lt;Tvie,1-EXP((T0-t)*PertePVj)+'2027'!Pspv,1-EXP((T0-t)*PertePVj)+Pspv)</f>
        <v>3.1140687378505283E-2</v>
      </c>
      <c r="M95" s="836"/>
      <c r="N95" s="836"/>
      <c r="O95" s="48">
        <f>IF(t&lt;Tnet,'2027'!Resal+('2027'!Salim-'2027'!Resal)*(1-EXP(('2027'!Tnet-t)/('2027'!Tau_j))),Resal+(Salim-Resal)*(1-EXP((Tnet-t)/(Tau_j))))*Salcycl</f>
        <v>2.0618400569942474E-2</v>
      </c>
      <c r="P95" s="165">
        <f>(INDEX(Models!$BJ95:$BT95,,T95)*(1-R95)+INDEX(Models!$BJ95:$BT95,,T95+1)*R95-ERP_i)*Q95*Ramure*Pc/MaxiM</f>
        <v>9.9889777369256658E-5</v>
      </c>
      <c r="Q95" s="301">
        <f t="shared" si="28"/>
        <v>0.5</v>
      </c>
      <c r="R95" s="173">
        <f t="shared" si="29"/>
        <v>1.1149469159785763E-2</v>
      </c>
      <c r="S95" s="802">
        <f t="shared" si="30"/>
        <v>3</v>
      </c>
      <c r="T95" s="172">
        <f t="shared" si="31"/>
        <v>9</v>
      </c>
      <c r="U95" s="247">
        <f t="shared" si="32"/>
        <v>3.0111494691597858</v>
      </c>
      <c r="V95" s="378">
        <f t="shared" si="33"/>
        <v>45.132613636068108</v>
      </c>
      <c r="W95" s="397">
        <f t="shared" si="34"/>
        <v>41.784391353791406</v>
      </c>
      <c r="X95" s="153">
        <f t="shared" si="35"/>
        <v>46833</v>
      </c>
      <c r="Y95" s="380">
        <f t="shared" si="36"/>
        <v>40.550095335287402</v>
      </c>
      <c r="Z95" s="380">
        <f t="shared" si="37"/>
        <v>41.853440233307794</v>
      </c>
      <c r="AA95" s="381">
        <f t="shared" si="38"/>
        <v>44.035346921374916</v>
      </c>
      <c r="AB95" s="193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4.9548983728069929E-2</v>
      </c>
      <c r="AD95" s="227">
        <f>(INDEX(Models!$BJ95:$BT95,,AH95)*(1-AF95)+INDEX(Models!$BJ95:$BT95,,AH95+1)*AF95-ERP_i)*AE95*Ramure*Pc/MaxiM</f>
        <v>9.9889777369256658E-5</v>
      </c>
      <c r="AE95" s="301">
        <f t="shared" si="40"/>
        <v>0.5</v>
      </c>
      <c r="AF95" s="173">
        <f t="shared" si="41"/>
        <v>1.1149469159785763E-2</v>
      </c>
      <c r="AG95" s="802">
        <f t="shared" si="49"/>
        <v>3</v>
      </c>
      <c r="AH95" s="172">
        <f t="shared" si="42"/>
        <v>9</v>
      </c>
      <c r="AI95" s="221">
        <f t="shared" si="43"/>
        <v>3.0111494691597858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46834</v>
      </c>
      <c r="B96" s="406">
        <f>'2027'!Wh/'2027'!Env_an*'2028'!Env_an</f>
        <v>44.576298628305956</v>
      </c>
      <c r="C96" s="832"/>
      <c r="D96" s="388">
        <f t="shared" si="25"/>
        <v>46.009681971410245</v>
      </c>
      <c r="E96" s="380">
        <f t="shared" si="47"/>
        <v>46.980967776248882</v>
      </c>
      <c r="F96" s="380">
        <f t="shared" si="26"/>
        <v>46.985614714724704</v>
      </c>
      <c r="G96" s="110">
        <f t="shared" si="48"/>
        <v>0.97791048127235913</v>
      </c>
      <c r="H96" s="409" t="b">
        <f>Wh_hp&gt;='2027'!Maxi_hp</f>
        <v>0</v>
      </c>
      <c r="I96" s="385">
        <f>IF(H96,Wh_hp,'2027'!Maxi_hp)</f>
        <v>46.985765354828146</v>
      </c>
      <c r="J96" s="85">
        <f>IF(H96,An,'2027'!An_max)</f>
        <v>2022</v>
      </c>
      <c r="K96" s="193">
        <f t="shared" si="27"/>
        <v>46834</v>
      </c>
      <c r="L96" s="143">
        <f>IF(t&lt;Tvie,1-EXP((T0-t)*PertePVj)+'2027'!Pspv,1-EXP((T0-t)*PertePVj)+Pspv)</f>
        <v>3.115395024888401E-2</v>
      </c>
      <c r="M96" s="836"/>
      <c r="N96" s="836"/>
      <c r="O96" s="48">
        <f>IF(t&lt;Tnet,'2027'!Resal+('2027'!Salim-'2027'!Resal)*(1-EXP(('2027'!Tnet-t)/('2027'!Tau_j))),Resal+(Salim-Resal)*(1-EXP((Tnet-t)/(Tau_j))))*Salcycl</f>
        <v>2.067402718191072E-2</v>
      </c>
      <c r="P96" s="165">
        <f>(INDEX(Models!$BJ96:$BT96,,T96)*(1-R96)+INDEX(Models!$BJ96:$BT96,,T96+1)*R96-ERP_i)*Q96*Ramure*Pc/MaxiM</f>
        <v>1.0212349796178285E-4</v>
      </c>
      <c r="Q96" s="301">
        <f t="shared" si="28"/>
        <v>0.5</v>
      </c>
      <c r="R96" s="173">
        <f t="shared" si="29"/>
        <v>1.187750886208061E-2</v>
      </c>
      <c r="S96" s="802">
        <f t="shared" si="30"/>
        <v>3</v>
      </c>
      <c r="T96" s="172">
        <f t="shared" si="31"/>
        <v>9</v>
      </c>
      <c r="U96" s="247">
        <f t="shared" si="32"/>
        <v>3.0118775088620806</v>
      </c>
      <c r="V96" s="378">
        <f t="shared" si="33"/>
        <v>45.583062902175406</v>
      </c>
      <c r="W96" s="397">
        <f t="shared" si="34"/>
        <v>44.576298628305956</v>
      </c>
      <c r="X96" s="153">
        <f t="shared" si="35"/>
        <v>46834</v>
      </c>
      <c r="Y96" s="380">
        <f t="shared" si="36"/>
        <v>43.260571805001049</v>
      </c>
      <c r="Z96" s="380">
        <f t="shared" si="37"/>
        <v>44.651646993982304</v>
      </c>
      <c r="AA96" s="381">
        <f t="shared" si="38"/>
        <v>46.980967776248882</v>
      </c>
      <c r="AB96" s="193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4.9580093653246601E-2</v>
      </c>
      <c r="AD96" s="227">
        <f>(INDEX(Models!$BJ96:$BT96,,AH96)*(1-AF96)+INDEX(Models!$BJ96:$BT96,,AH96+1)*AF96-ERP_i)*AE96*Ramure*Pc/MaxiM</f>
        <v>1.0212349796178285E-4</v>
      </c>
      <c r="AE96" s="301">
        <f t="shared" si="40"/>
        <v>0.5</v>
      </c>
      <c r="AF96" s="173">
        <f t="shared" si="41"/>
        <v>1.187750886208061E-2</v>
      </c>
      <c r="AG96" s="802">
        <f t="shared" si="49"/>
        <v>3</v>
      </c>
      <c r="AH96" s="172">
        <f t="shared" si="42"/>
        <v>9</v>
      </c>
      <c r="AI96" s="221">
        <f t="shared" si="43"/>
        <v>3.0118775088620806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46835</v>
      </c>
      <c r="B97" s="406">
        <f>'2027'!Wh/'2027'!Env_an*'2028'!Env_an</f>
        <v>44.283300633463291</v>
      </c>
      <c r="C97" s="832"/>
      <c r="D97" s="388">
        <f t="shared" si="25"/>
        <v>45.707888115285193</v>
      </c>
      <c r="E97" s="380">
        <f t="shared" si="47"/>
        <v>46.675458201749755</v>
      </c>
      <c r="F97" s="380">
        <f t="shared" si="26"/>
        <v>46.680150416956401</v>
      </c>
      <c r="G97" s="110">
        <f t="shared" si="48"/>
        <v>0.96195862522824471</v>
      </c>
      <c r="H97" s="409" t="b">
        <f>Wh_hp&gt;='2027'!Maxi_hp</f>
        <v>0</v>
      </c>
      <c r="I97" s="385">
        <f>IF(H97,Wh_hp,'2027'!Maxi_hp)</f>
        <v>46.68041860984021</v>
      </c>
      <c r="J97" s="85">
        <f>IF(H97,An,'2027'!An_max)</f>
        <v>2022</v>
      </c>
      <c r="K97" s="193">
        <f t="shared" si="27"/>
        <v>46835</v>
      </c>
      <c r="L97" s="143">
        <f>IF(t&lt;Tvie,1-EXP((T0-t)*PertePVj)+'2027'!Pspv,1-EXP((T0-t)*PertePVj)+Pspv)</f>
        <v>3.1167212937705302E-2</v>
      </c>
      <c r="M97" s="836"/>
      <c r="N97" s="836"/>
      <c r="O97" s="48">
        <f>IF(t&lt;Tnet,'2027'!Resal+('2027'!Salim-'2027'!Resal)*(1-EXP(('2027'!Tnet-t)/('2027'!Tau_j))),Resal+(Salim-Resal)*(1-EXP((Tnet-t)/(Tau_j))))*Salcycl</f>
        <v>2.0729739433565705E-2</v>
      </c>
      <c r="P97" s="165">
        <f>(INDEX(Models!$BJ97:$BT97,,T97)*(1-R97)+INDEX(Models!$BJ97:$BT97,,T97+1)*R97-ERP_i)*Q97*Ramure*Pc/MaxiM</f>
        <v>1.0629411613890413E-4</v>
      </c>
      <c r="Q97" s="301">
        <f t="shared" si="28"/>
        <v>0.5</v>
      </c>
      <c r="R97" s="173">
        <f t="shared" si="29"/>
        <v>1.2633759314640169E-2</v>
      </c>
      <c r="S97" s="802">
        <f t="shared" si="30"/>
        <v>3</v>
      </c>
      <c r="T97" s="172">
        <f t="shared" si="31"/>
        <v>9</v>
      </c>
      <c r="U97" s="247">
        <f t="shared" si="32"/>
        <v>3.0126337593146402</v>
      </c>
      <c r="V97" s="378">
        <f t="shared" si="33"/>
        <v>46.034251037132563</v>
      </c>
      <c r="W97" s="397">
        <f t="shared" si="34"/>
        <v>44.283300633463291</v>
      </c>
      <c r="X97" s="153">
        <f t="shared" si="35"/>
        <v>46835</v>
      </c>
      <c r="Y97" s="380">
        <f t="shared" si="36"/>
        <v>42.97724731967498</v>
      </c>
      <c r="Z97" s="380">
        <f t="shared" si="37"/>
        <v>44.359819252185979</v>
      </c>
      <c r="AA97" s="381">
        <f t="shared" si="38"/>
        <v>46.675458201749755</v>
      </c>
      <c r="AB97" s="193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4.961148832336406E-2</v>
      </c>
      <c r="AD97" s="227">
        <f>(INDEX(Models!$BJ97:$BT97,,AH97)*(1-AF97)+INDEX(Models!$BJ97:$BT97,,AH97+1)*AF97-ERP_i)*AE97*Ramure*Pc/MaxiM</f>
        <v>1.0629411613890413E-4</v>
      </c>
      <c r="AE97" s="301">
        <f t="shared" si="40"/>
        <v>0.5</v>
      </c>
      <c r="AF97" s="173">
        <f t="shared" si="41"/>
        <v>1.2633759314640169E-2</v>
      </c>
      <c r="AG97" s="802">
        <f t="shared" si="49"/>
        <v>3</v>
      </c>
      <c r="AH97" s="172">
        <f t="shared" si="42"/>
        <v>9</v>
      </c>
      <c r="AI97" s="221">
        <f t="shared" si="43"/>
        <v>3.0126337593146402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46836</v>
      </c>
      <c r="B98" s="406">
        <f>'2027'!Wh/'2027'!Env_an*'2028'!Env_an</f>
        <v>36.888030456989021</v>
      </c>
      <c r="C98" s="832"/>
      <c r="D98" s="388">
        <f t="shared" si="25"/>
        <v>38.075234367238231</v>
      </c>
      <c r="E98" s="380">
        <f t="shared" si="47"/>
        <v>38.883448079892659</v>
      </c>
      <c r="F98" s="380">
        <f t="shared" si="26"/>
        <v>38.886528646665653</v>
      </c>
      <c r="G98" s="110">
        <f t="shared" si="48"/>
        <v>0.79352356581811168</v>
      </c>
      <c r="H98" s="409" t="b">
        <f>Wh_hp&gt;='2027'!Maxi_hp</f>
        <v>0</v>
      </c>
      <c r="I98" s="385">
        <f>IF(H98,Wh_hp,'2027'!Maxi_hp)</f>
        <v>38.887810174833888</v>
      </c>
      <c r="J98" s="85">
        <f>IF(H98,An,'2027'!An_max)</f>
        <v>2022</v>
      </c>
      <c r="K98" s="193">
        <f t="shared" si="27"/>
        <v>46836</v>
      </c>
      <c r="L98" s="143">
        <f>IF(t&lt;Tvie,1-EXP((T0-t)*PertePVj)+'2027'!Pspv,1-EXP((T0-t)*PertePVj)+Pspv)</f>
        <v>3.1180475444971489E-2</v>
      </c>
      <c r="M98" s="836"/>
      <c r="N98" s="836"/>
      <c r="O98" s="48">
        <f>IF(t&lt;Tnet,'2027'!Resal+('2027'!Salim-'2027'!Resal)*(1-EXP(('2027'!Tnet-t)/('2027'!Tau_j))),Resal+(Salim-Resal)*(1-EXP((Tnet-t)/(Tau_j))))*Salcycl</f>
        <v>2.0785546358795485E-2</v>
      </c>
      <c r="P98" s="165">
        <f>(INDEX(Models!$BJ98:$BT98,,T98)*(1-R98)+INDEX(Models!$BJ98:$BT98,,T98+1)*R98-ERP_i)*Q98*Ramure*Pc/MaxiM</f>
        <v>1.1235656527089043E-4</v>
      </c>
      <c r="Q98" s="301">
        <f t="shared" si="28"/>
        <v>0.5</v>
      </c>
      <c r="R98" s="173">
        <f t="shared" si="29"/>
        <v>1.3419216149887614E-2</v>
      </c>
      <c r="S98" s="802">
        <f t="shared" si="30"/>
        <v>3</v>
      </c>
      <c r="T98" s="172">
        <f t="shared" si="31"/>
        <v>9</v>
      </c>
      <c r="U98" s="247">
        <f t="shared" si="32"/>
        <v>3.0134192161498876</v>
      </c>
      <c r="V98" s="378">
        <f t="shared" si="33"/>
        <v>46.484829920200269</v>
      </c>
      <c r="W98" s="397">
        <f t="shared" si="34"/>
        <v>36.888030456989021</v>
      </c>
      <c r="X98" s="153">
        <f t="shared" si="35"/>
        <v>46836</v>
      </c>
      <c r="Y98" s="380">
        <f t="shared" si="36"/>
        <v>35.800933002093529</v>
      </c>
      <c r="Z98" s="380">
        <f t="shared" si="37"/>
        <v>36.95314978146898</v>
      </c>
      <c r="AA98" s="381">
        <f t="shared" si="38"/>
        <v>38.883448079892659</v>
      </c>
      <c r="AB98" s="193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4.9643187364905278E-2</v>
      </c>
      <c r="AD98" s="227">
        <f>(INDEX(Models!$BJ98:$BT98,,AH98)*(1-AF98)+INDEX(Models!$BJ98:$BT98,,AH98+1)*AF98-ERP_i)*AE98*Ramure*Pc/MaxiM</f>
        <v>1.1235656527089043E-4</v>
      </c>
      <c r="AE98" s="301">
        <f t="shared" si="40"/>
        <v>0.5</v>
      </c>
      <c r="AF98" s="173">
        <f t="shared" si="41"/>
        <v>1.3419216149887614E-2</v>
      </c>
      <c r="AG98" s="802">
        <f t="shared" si="49"/>
        <v>3</v>
      </c>
      <c r="AH98" s="172">
        <f t="shared" si="42"/>
        <v>9</v>
      </c>
      <c r="AI98" s="221">
        <f t="shared" si="43"/>
        <v>3.0134192161498876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46837</v>
      </c>
      <c r="B99" s="406">
        <f>'2027'!Wh/'2027'!Env_an*'2028'!Env_an</f>
        <v>40.515377488166564</v>
      </c>
      <c r="C99" s="832"/>
      <c r="D99" s="388">
        <f t="shared" si="25"/>
        <v>41.819896369101542</v>
      </c>
      <c r="E99" s="380">
        <f t="shared" si="47"/>
        <v>42.71003574538625</v>
      </c>
      <c r="F99" s="380">
        <f t="shared" si="26"/>
        <v>42.714169376315752</v>
      </c>
      <c r="G99" s="110">
        <f t="shared" si="48"/>
        <v>0.86323131967883793</v>
      </c>
      <c r="H99" s="409" t="b">
        <f>Wh_hp&gt;='2027'!Maxi_hp</f>
        <v>0</v>
      </c>
      <c r="I99" s="385">
        <f>IF(H99,Wh_hp,'2027'!Maxi_hp)</f>
        <v>42.715167261365842</v>
      </c>
      <c r="J99" s="85">
        <f>IF(H99,An,'2027'!An_max)</f>
        <v>2022</v>
      </c>
      <c r="K99" s="193">
        <f t="shared" si="27"/>
        <v>46837</v>
      </c>
      <c r="L99" s="143">
        <f>IF(t&lt;Tvie,1-EXP((T0-t)*PertePVj)+'2027'!Pspv,1-EXP((T0-t)*PertePVj)+Pspv)</f>
        <v>3.1193737770685015E-2</v>
      </c>
      <c r="M99" s="836"/>
      <c r="N99" s="836"/>
      <c r="O99" s="48">
        <f>IF(t&lt;Tnet,'2027'!Resal+('2027'!Salim-'2027'!Resal)*(1-EXP(('2027'!Tnet-t)/('2027'!Tau_j))),Resal+(Salim-Resal)*(1-EXP((Tnet-t)/(Tau_j))))*Salcycl</f>
        <v>2.084145706623209E-2</v>
      </c>
      <c r="P99" s="165">
        <f>(INDEX(Models!$BJ99:$BT99,,T99)*(1-R99)+INDEX(Models!$BJ99:$BT99,,T99+1)*R99-ERP_i)*Q99*Ramure*Pc/MaxiM</f>
        <v>1.2026945295143256E-4</v>
      </c>
      <c r="Q99" s="301">
        <f t="shared" si="28"/>
        <v>0.5</v>
      </c>
      <c r="R99" s="173">
        <f t="shared" si="29"/>
        <v>1.4234902151291084E-2</v>
      </c>
      <c r="S99" s="802">
        <f t="shared" si="30"/>
        <v>3</v>
      </c>
      <c r="T99" s="172">
        <f t="shared" si="31"/>
        <v>9</v>
      </c>
      <c r="U99" s="247">
        <f t="shared" si="32"/>
        <v>3.0142349021512911</v>
      </c>
      <c r="V99" s="378">
        <f t="shared" si="33"/>
        <v>46.933451734995842</v>
      </c>
      <c r="W99" s="397">
        <f t="shared" si="34"/>
        <v>40.515377488166564</v>
      </c>
      <c r="X99" s="153">
        <f t="shared" si="35"/>
        <v>46837</v>
      </c>
      <c r="Y99" s="380">
        <f t="shared" si="36"/>
        <v>39.322301647308976</v>
      </c>
      <c r="Z99" s="380">
        <f t="shared" si="37"/>
        <v>40.588405732250983</v>
      </c>
      <c r="AA99" s="381">
        <f t="shared" si="38"/>
        <v>42.71003574538625</v>
      </c>
      <c r="AB99" s="193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4.9675210430243116E-2</v>
      </c>
      <c r="AD99" s="227">
        <f>(INDEX(Models!$BJ99:$BT99,,AH99)*(1-AF99)+INDEX(Models!$BJ99:$BT99,,AH99+1)*AF99-ERP_i)*AE99*Ramure*Pc/MaxiM</f>
        <v>1.2026945295143256E-4</v>
      </c>
      <c r="AE99" s="301">
        <f t="shared" si="40"/>
        <v>0.5</v>
      </c>
      <c r="AF99" s="173">
        <f t="shared" si="41"/>
        <v>1.4234902151291084E-2</v>
      </c>
      <c r="AG99" s="802">
        <f t="shared" si="49"/>
        <v>3</v>
      </c>
      <c r="AH99" s="172">
        <f t="shared" si="42"/>
        <v>9</v>
      </c>
      <c r="AI99" s="221">
        <f t="shared" si="43"/>
        <v>3.0142349021512911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46838</v>
      </c>
      <c r="B100" s="406">
        <f>'2027'!Wh/'2027'!Env_an*'2028'!Env_an</f>
        <v>42.397557970999507</v>
      </c>
      <c r="C100" s="832"/>
      <c r="D100" s="388">
        <f t="shared" si="25"/>
        <v>43.763278602625121</v>
      </c>
      <c r="E100" s="380">
        <f t="shared" si="47"/>
        <v>44.697340411956297</v>
      </c>
      <c r="F100" s="380">
        <f t="shared" si="26"/>
        <v>44.70225497188563</v>
      </c>
      <c r="G100" s="110">
        <f t="shared" si="48"/>
        <v>0.89484611977604056</v>
      </c>
      <c r="H100" s="409" t="b">
        <f>Wh_hp&gt;='2027'!Maxi_hp</f>
        <v>0</v>
      </c>
      <c r="I100" s="385">
        <f>IF(H100,Wh_hp,'2027'!Maxi_hp)</f>
        <v>44.703118513444139</v>
      </c>
      <c r="J100" s="85">
        <f>IF(H100,An,'2027'!An_max)</f>
        <v>2022</v>
      </c>
      <c r="K100" s="193">
        <f t="shared" si="27"/>
        <v>46838</v>
      </c>
      <c r="L100" s="143">
        <f>IF(t&lt;Tvie,1-EXP((T0-t)*PertePVj)+'2027'!Pspv,1-EXP((T0-t)*PertePVj)+Pspv)</f>
        <v>3.1206999914848543E-2</v>
      </c>
      <c r="M100" s="836"/>
      <c r="N100" s="836"/>
      <c r="O100" s="48">
        <f>IF(t&lt;Tnet,'2027'!Resal+('2027'!Salim-'2027'!Resal)*(1-EXP(('2027'!Tnet-t)/('2027'!Tau_j))),Resal+(Salim-Resal)*(1-EXP((Tnet-t)/(Tau_j))))*Salcycl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1.293706960955985E-4</v>
      </c>
      <c r="Q100" s="301">
        <f t="shared" si="28"/>
        <v>0.5</v>
      </c>
      <c r="R100" s="173">
        <f t="shared" si="29"/>
        <v>1.5081867319255871E-2</v>
      </c>
      <c r="S100" s="802">
        <f t="shared" si="30"/>
        <v>3</v>
      </c>
      <c r="T100" s="172">
        <f t="shared" si="31"/>
        <v>9</v>
      </c>
      <c r="U100" s="247">
        <f t="shared" si="32"/>
        <v>3.0150818673192559</v>
      </c>
      <c r="V100" s="378">
        <f t="shared" si="33"/>
        <v>47.378798570744053</v>
      </c>
      <c r="W100" s="397">
        <f t="shared" si="34"/>
        <v>42.397557970999507</v>
      </c>
      <c r="X100" s="153">
        <f t="shared" si="35"/>
        <v>46838</v>
      </c>
      <c r="Y100" s="380">
        <f t="shared" si="36"/>
        <v>41.150009619963093</v>
      </c>
      <c r="Z100" s="380">
        <f t="shared" si="37"/>
        <v>42.475543915311363</v>
      </c>
      <c r="AA100" s="381">
        <f t="shared" si="38"/>
        <v>44.697340411956297</v>
      </c>
      <c r="AB100" s="193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4.97075771436866E-2</v>
      </c>
      <c r="AD100" s="227">
        <f>(INDEX(Models!$BJ100:$BT100,,AH100)*(1-AF100)+INDEX(Models!$BJ100:$BT100,,AH100+1)*AF100-ERP_i)*AE100*Ramure*Pc/MaxiM</f>
        <v>1.293706960955985E-4</v>
      </c>
      <c r="AE100" s="301">
        <f t="shared" si="40"/>
        <v>0.5</v>
      </c>
      <c r="AF100" s="173">
        <f t="shared" si="41"/>
        <v>1.5081867319255871E-2</v>
      </c>
      <c r="AG100" s="802">
        <f t="shared" si="49"/>
        <v>3</v>
      </c>
      <c r="AH100" s="172">
        <f t="shared" si="42"/>
        <v>9</v>
      </c>
      <c r="AI100" s="221">
        <f t="shared" si="43"/>
        <v>3.0150818673192559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46839</v>
      </c>
      <c r="B101" s="406">
        <f>'2027'!Wh/'2027'!Env_an*'2028'!Env_an</f>
        <v>36.420458918415449</v>
      </c>
      <c r="C101" s="832"/>
      <c r="D101" s="388">
        <f t="shared" si="25"/>
        <v>37.59415838836302</v>
      </c>
      <c r="E101" s="380">
        <f t="shared" si="47"/>
        <v>38.398751485011161</v>
      </c>
      <c r="F101" s="380">
        <f t="shared" si="26"/>
        <v>38.402254616988621</v>
      </c>
      <c r="G101" s="110">
        <f t="shared" si="48"/>
        <v>0.76158632986564612</v>
      </c>
      <c r="H101" s="409" t="b">
        <f>Wh_hp&gt;='2027'!Maxi_hp</f>
        <v>0</v>
      </c>
      <c r="I101" s="385">
        <f>IF(H101,Wh_hp,'2027'!Maxi_hp)</f>
        <v>38.404052832194026</v>
      </c>
      <c r="J101" s="85">
        <f>IF(H101,An,'2027'!An_max)</f>
        <v>2022</v>
      </c>
      <c r="K101" s="193">
        <f t="shared" si="27"/>
        <v>46839</v>
      </c>
      <c r="L101" s="143">
        <f>IF(t&lt;Tvie,1-EXP((T0-t)*PertePVj)+'2027'!Pspv,1-EXP((T0-t)*PertePVj)+Pspv)</f>
        <v>3.1220261877464406E-2</v>
      </c>
      <c r="M101" s="836"/>
      <c r="N101" s="836"/>
      <c r="O101" s="48">
        <f>IF(t&lt;Tnet,'2027'!Resal+('2027'!Salim-'2027'!Resal)*(1-EXP(('2027'!Tnet-t)/('2027'!Tau_j))),Resal+(Salim-Resal)*(1-EXP((Tnet-t)/(Tau_j))))*Salcycl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1.3832832571018824E-4</v>
      </c>
      <c r="Q101" s="301">
        <f t="shared" si="28"/>
        <v>0.5</v>
      </c>
      <c r="R101" s="173">
        <f t="shared" si="29"/>
        <v>1.5961188868919951E-2</v>
      </c>
      <c r="S101" s="802">
        <f t="shared" si="30"/>
        <v>3</v>
      </c>
      <c r="T101" s="172">
        <f t="shared" si="31"/>
        <v>9</v>
      </c>
      <c r="U101" s="247">
        <f t="shared" si="32"/>
        <v>3.01596118886892</v>
      </c>
      <c r="V101" s="378">
        <f t="shared" si="33"/>
        <v>47.819586173180284</v>
      </c>
      <c r="W101" s="397">
        <f t="shared" si="34"/>
        <v>36.420458918415449</v>
      </c>
      <c r="X101" s="153">
        <f t="shared" si="35"/>
        <v>46839</v>
      </c>
      <c r="Y101" s="380">
        <f t="shared" si="36"/>
        <v>35.349596347698096</v>
      </c>
      <c r="Z101" s="380">
        <f t="shared" si="37"/>
        <v>36.488785795834758</v>
      </c>
      <c r="AA101" s="381">
        <f t="shared" si="38"/>
        <v>38.398751485011161</v>
      </c>
      <c r="AB101" s="193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4.9740307049356995E-2</v>
      </c>
      <c r="AD101" s="227">
        <f>(INDEX(Models!$BJ101:$BT101,,AH101)*(1-AF101)+INDEX(Models!$BJ101:$BT101,,AH101+1)*AF101-ERP_i)*AE101*Ramure*Pc/MaxiM</f>
        <v>1.3832832571018824E-4</v>
      </c>
      <c r="AE101" s="301">
        <f t="shared" si="40"/>
        <v>0.5</v>
      </c>
      <c r="AF101" s="173">
        <f t="shared" si="41"/>
        <v>1.5961188868919951E-2</v>
      </c>
      <c r="AG101" s="802">
        <f t="shared" si="49"/>
        <v>3</v>
      </c>
      <c r="AH101" s="172">
        <f t="shared" si="42"/>
        <v>9</v>
      </c>
      <c r="AI101" s="221">
        <f t="shared" si="43"/>
        <v>3.01596118886892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46840</v>
      </c>
      <c r="B102" s="406">
        <f>'2027'!Wh/'2027'!Env_an*'2028'!Env_an</f>
        <v>27.735106797443958</v>
      </c>
      <c r="C102" s="832"/>
      <c r="D102" s="388">
        <f t="shared" si="25"/>
        <v>28.629300739415822</v>
      </c>
      <c r="E102" s="380">
        <f t="shared" si="47"/>
        <v>29.243708230596791</v>
      </c>
      <c r="F102" s="380">
        <f t="shared" si="26"/>
        <v>29.245397531837241</v>
      </c>
      <c r="G102" s="110">
        <f t="shared" si="48"/>
        <v>0.57471625759313261</v>
      </c>
      <c r="H102" s="409" t="b">
        <f>Wh_hp&gt;='2027'!Maxi_hp</f>
        <v>0</v>
      </c>
      <c r="I102" s="385">
        <f>IF(H102,Wh_hp,'2027'!Maxi_hp)</f>
        <v>29.247996056103595</v>
      </c>
      <c r="J102" s="85">
        <f>IF(H102,An,'2027'!An_max)</f>
        <v>2022</v>
      </c>
      <c r="K102" s="193">
        <f t="shared" si="27"/>
        <v>46840</v>
      </c>
      <c r="L102" s="143">
        <f>IF(t&lt;Tvie,1-EXP((T0-t)*PertePVj)+'2027'!Pspv,1-EXP((T0-t)*PertePVj)+Pspv)</f>
        <v>3.1233523658535156E-2</v>
      </c>
      <c r="M102" s="836"/>
      <c r="N102" s="836"/>
      <c r="O102" s="48">
        <f>IF(t&lt;Tnet,'2027'!Resal+('2027'!Salim-'2027'!Resal)*(1-EXP(('2027'!Tnet-t)/('2027'!Tau_j))),Resal+(Salim-Resal)*(1-EXP((Tnet-t)/(Tau_j))))*Salcycl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1.4715737282425742E-4</v>
      </c>
      <c r="Q102" s="301">
        <f t="shared" si="28"/>
        <v>0.5</v>
      </c>
      <c r="R102" s="173">
        <f t="shared" si="29"/>
        <v>1.6873971153306133E-2</v>
      </c>
      <c r="S102" s="802">
        <f t="shared" si="30"/>
        <v>3</v>
      </c>
      <c r="T102" s="172">
        <f t="shared" si="31"/>
        <v>9</v>
      </c>
      <c r="U102" s="247">
        <f t="shared" si="32"/>
        <v>3.0168739711533061</v>
      </c>
      <c r="V102" s="378">
        <f t="shared" si="33"/>
        <v>48.25446805222073</v>
      </c>
      <c r="W102" s="397">
        <f t="shared" si="34"/>
        <v>27.735106797443958</v>
      </c>
      <c r="X102" s="153">
        <f t="shared" si="35"/>
        <v>46840</v>
      </c>
      <c r="Y102" s="380">
        <f t="shared" si="36"/>
        <v>26.920227066116293</v>
      </c>
      <c r="Z102" s="380">
        <f t="shared" si="37"/>
        <v>27.788148871315421</v>
      </c>
      <c r="AA102" s="381">
        <f t="shared" si="38"/>
        <v>29.243708230596791</v>
      </c>
      <c r="AB102" s="193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4.9773419561013908E-2</v>
      </c>
      <c r="AD102" s="227">
        <f>(INDEX(Models!$BJ102:$BT102,,AH102)*(1-AF102)+INDEX(Models!$BJ102:$BT102,,AH102+1)*AF102-ERP_i)*AE102*Ramure*Pc/MaxiM</f>
        <v>1.4715737282425742E-4</v>
      </c>
      <c r="AE102" s="301">
        <f t="shared" si="40"/>
        <v>0.5</v>
      </c>
      <c r="AF102" s="173">
        <f t="shared" si="41"/>
        <v>1.6873971153306133E-2</v>
      </c>
      <c r="AG102" s="802">
        <f t="shared" si="49"/>
        <v>3</v>
      </c>
      <c r="AH102" s="172">
        <f t="shared" si="42"/>
        <v>9</v>
      </c>
      <c r="AI102" s="221">
        <f t="shared" si="43"/>
        <v>3.0168739711533061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46841</v>
      </c>
      <c r="B103" s="406">
        <f>'2027'!Wh/'2027'!Env_an*'2028'!Env_an</f>
        <v>7.7241652278886805</v>
      </c>
      <c r="C103" s="832"/>
      <c r="D103" s="388">
        <f t="shared" si="25"/>
        <v>7.9733053891813901</v>
      </c>
      <c r="E103" s="380">
        <f t="shared" si="47"/>
        <v>8.1448882208973874</v>
      </c>
      <c r="F103" s="380">
        <f t="shared" si="26"/>
        <v>8.1448882208973874</v>
      </c>
      <c r="G103" s="110">
        <f t="shared" si="48"/>
        <v>0.15864068190315309</v>
      </c>
      <c r="H103" s="409" t="b">
        <f>Wh_hp&gt;='2027'!Maxi_hp</f>
        <v>0</v>
      </c>
      <c r="I103" s="385">
        <f>IF(H103,Wh_hp,'2027'!Maxi_hp)</f>
        <v>8.146149983745957</v>
      </c>
      <c r="J103" s="85">
        <f>IF(H103,An,'2027'!An_max)</f>
        <v>2022</v>
      </c>
      <c r="K103" s="193">
        <f t="shared" si="27"/>
        <v>46841</v>
      </c>
      <c r="L103" s="143">
        <f>IF(t&lt;Tvie,1-EXP((T0-t)*PertePVj)+'2027'!Pspv,1-EXP((T0-t)*PertePVj)+Pspv)</f>
        <v>3.1246785258063237E-2</v>
      </c>
      <c r="M103" s="836"/>
      <c r="N103" s="836"/>
      <c r="O103" s="48">
        <f>IF(t&lt;Tnet,'2027'!Resal+('2027'!Salim-'2027'!Resal)*(1-EXP(('2027'!Tnet-t)/('2027'!Tau_j))),Resal+(Salim-Resal)*(1-EXP((Tnet-t)/(Tau_j))))*Salcycl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1.5587343475626105E-4</v>
      </c>
      <c r="Q103" s="301">
        <f t="shared" si="28"/>
        <v>0.5</v>
      </c>
      <c r="R103" s="173">
        <f t="shared" si="29"/>
        <v>1.7821345504924757E-2</v>
      </c>
      <c r="S103" s="802">
        <f t="shared" si="30"/>
        <v>3</v>
      </c>
      <c r="T103" s="172">
        <f t="shared" si="31"/>
        <v>9</v>
      </c>
      <c r="U103" s="247">
        <f t="shared" si="32"/>
        <v>3.0178213455049248</v>
      </c>
      <c r="V103" s="378">
        <f t="shared" si="33"/>
        <v>48.682098078970036</v>
      </c>
      <c r="W103" s="397">
        <f t="shared" si="34"/>
        <v>7.7241652278886805</v>
      </c>
      <c r="X103" s="153">
        <f t="shared" si="35"/>
        <v>46841</v>
      </c>
      <c r="Y103" s="380">
        <f t="shared" si="36"/>
        <v>7.4973906813905264</v>
      </c>
      <c r="Z103" s="380">
        <f t="shared" si="37"/>
        <v>7.7392163115430108</v>
      </c>
      <c r="AA103" s="381">
        <f t="shared" si="38"/>
        <v>8.1448882208973874</v>
      </c>
      <c r="AB103" s="193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4.9806933913904658E-2</v>
      </c>
      <c r="AD103" s="227">
        <f>(INDEX(Models!$BJ103:$BT103,,AH103)*(1-AF103)+INDEX(Models!$BJ103:$BT103,,AH103+1)*AF103-ERP_i)*AE103*Ramure*Pc/MaxiM</f>
        <v>1.5587343475626105E-4</v>
      </c>
      <c r="AE103" s="301">
        <f t="shared" si="40"/>
        <v>0.5</v>
      </c>
      <c r="AF103" s="173">
        <f t="shared" si="41"/>
        <v>1.7821345504924757E-2</v>
      </c>
      <c r="AG103" s="802">
        <f t="shared" si="49"/>
        <v>3</v>
      </c>
      <c r="AH103" s="172">
        <f t="shared" si="42"/>
        <v>9</v>
      </c>
      <c r="AI103" s="221">
        <f t="shared" si="43"/>
        <v>3.0178213455049248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46842</v>
      </c>
      <c r="B104" s="406">
        <f>'2027'!Wh/'2027'!Env_an*'2028'!Env_an</f>
        <v>26.976132048613419</v>
      </c>
      <c r="C104" s="832"/>
      <c r="D104" s="388">
        <f t="shared" si="25"/>
        <v>27.846618647298154</v>
      </c>
      <c r="E104" s="380">
        <f t="shared" si="47"/>
        <v>28.447512278088137</v>
      </c>
      <c r="F104" s="380">
        <f t="shared" si="26"/>
        <v>28.449179577452615</v>
      </c>
      <c r="G104" s="110">
        <f t="shared" si="48"/>
        <v>0.54934123118793643</v>
      </c>
      <c r="H104" s="409" t="b">
        <f>Wh_hp&gt;='2027'!Maxi_hp</f>
        <v>0</v>
      </c>
      <c r="I104" s="385">
        <f>IF(H104,Wh_hp,'2027'!Maxi_hp)</f>
        <v>28.452173225194628</v>
      </c>
      <c r="J104" s="85">
        <f>IF(H104,An,'2027'!An_max)</f>
        <v>2022</v>
      </c>
      <c r="K104" s="193">
        <f t="shared" si="27"/>
        <v>46842</v>
      </c>
      <c r="L104" s="143">
        <f>IF(t&lt;Tvie,1-EXP((T0-t)*PertePVj)+'2027'!Pspv,1-EXP((T0-t)*PertePVj)+Pspv)</f>
        <v>3.126004667605109E-2</v>
      </c>
      <c r="M104" s="836"/>
      <c r="N104" s="836"/>
      <c r="O104" s="48">
        <f>IF(t&lt;Tnet,'2027'!Resal+('2027'!Salim-'2027'!Resal)*(1-EXP(('2027'!Tnet-t)/('2027'!Tau_j))),Resal+(Salim-Resal)*(1-EXP((Tnet-t)/(Tau_j))))*Salcycl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1.6449263546489359E-4</v>
      </c>
      <c r="Q104" s="301">
        <f t="shared" si="28"/>
        <v>0.5</v>
      </c>
      <c r="R104" s="173">
        <f t="shared" si="29"/>
        <v>1.8804469988588757E-2</v>
      </c>
      <c r="S104" s="802">
        <f t="shared" si="30"/>
        <v>3</v>
      </c>
      <c r="T104" s="172">
        <f t="shared" si="31"/>
        <v>9</v>
      </c>
      <c r="U104" s="247">
        <f t="shared" si="32"/>
        <v>3.0188044699885888</v>
      </c>
      <c r="V104" s="378">
        <f t="shared" si="33"/>
        <v>49.101130489345906</v>
      </c>
      <c r="W104" s="397">
        <f t="shared" si="34"/>
        <v>26.976132048613419</v>
      </c>
      <c r="X104" s="153">
        <f t="shared" si="35"/>
        <v>46842</v>
      </c>
      <c r="Y104" s="380">
        <f t="shared" si="36"/>
        <v>26.184714997927102</v>
      </c>
      <c r="Z104" s="380">
        <f t="shared" si="37"/>
        <v>27.029663541884364</v>
      </c>
      <c r="AA104" s="381">
        <f t="shared" si="38"/>
        <v>28.447512278088137</v>
      </c>
      <c r="AB104" s="193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4.9840869118663846E-2</v>
      </c>
      <c r="AD104" s="227">
        <f>(INDEX(Models!$BJ104:$BT104,,AH104)*(1-AF104)+INDEX(Models!$BJ104:$BT104,,AH104+1)*AF104-ERP_i)*AE104*Ramure*Pc/MaxiM</f>
        <v>1.6449263546489359E-4</v>
      </c>
      <c r="AE104" s="301">
        <f t="shared" si="40"/>
        <v>0.5</v>
      </c>
      <c r="AF104" s="173">
        <f t="shared" si="41"/>
        <v>1.8804469988588757E-2</v>
      </c>
      <c r="AG104" s="802">
        <f t="shared" si="49"/>
        <v>3</v>
      </c>
      <c r="AH104" s="172">
        <f t="shared" si="42"/>
        <v>9</v>
      </c>
      <c r="AI104" s="221">
        <f t="shared" si="43"/>
        <v>3.0188044699885888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46843</v>
      </c>
      <c r="B105" s="406">
        <f>'2027'!Wh/'2027'!Env_an*'2028'!Env_an</f>
        <v>29.670978068250161</v>
      </c>
      <c r="C105" s="832"/>
      <c r="D105" s="388">
        <f t="shared" si="25"/>
        <v>30.628843316284073</v>
      </c>
      <c r="E105" s="380">
        <f t="shared" si="47"/>
        <v>31.291587069996574</v>
      </c>
      <c r="F105" s="380">
        <f t="shared" si="26"/>
        <v>31.293902220652654</v>
      </c>
      <c r="G105" s="110">
        <f t="shared" si="48"/>
        <v>0.59923060302462194</v>
      </c>
      <c r="H105" s="409" t="b">
        <f>Wh_hp&gt;='2027'!Maxi_hp</f>
        <v>0</v>
      </c>
      <c r="I105" s="385">
        <f>IF(H105,Wh_hp,'2027'!Maxi_hp)</f>
        <v>31.296982474541696</v>
      </c>
      <c r="J105" s="85">
        <f>IF(H105,An,'2027'!An_max)</f>
        <v>2022</v>
      </c>
      <c r="K105" s="193">
        <f t="shared" si="27"/>
        <v>46843</v>
      </c>
      <c r="L105" s="143">
        <f>IF(t&lt;Tvie,1-EXP((T0-t)*PertePVj)+'2027'!Pspv,1-EXP((T0-t)*PertePVj)+Pspv)</f>
        <v>3.127330791250138E-2</v>
      </c>
      <c r="M105" s="836"/>
      <c r="N105" s="836"/>
      <c r="O105" s="48">
        <f>IF(t&lt;Tnet,'2027'!Resal+('2027'!Salim-'2027'!Resal)*(1-EXP(('2027'!Tnet-t)/('2027'!Tau_j))),Resal+(Salim-Resal)*(1-EXP((Tnet-t)/(Tau_j))))*Salcycl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1.7303159742078415E-4</v>
      </c>
      <c r="Q105" s="301">
        <f t="shared" si="28"/>
        <v>0.5</v>
      </c>
      <c r="R105" s="173">
        <f t="shared" si="29"/>
        <v>1.9824529057874241E-2</v>
      </c>
      <c r="S105" s="802">
        <f t="shared" si="30"/>
        <v>3</v>
      </c>
      <c r="T105" s="172">
        <f t="shared" si="31"/>
        <v>9</v>
      </c>
      <c r="U105" s="247">
        <f t="shared" si="32"/>
        <v>3.0198245290578742</v>
      </c>
      <c r="V105" s="378">
        <f t="shared" si="33"/>
        <v>49.510219887993969</v>
      </c>
      <c r="W105" s="397">
        <f t="shared" si="34"/>
        <v>29.670978068250161</v>
      </c>
      <c r="X105" s="153">
        <f t="shared" si="35"/>
        <v>46843</v>
      </c>
      <c r="Y105" s="380">
        <f t="shared" si="36"/>
        <v>28.801127581453116</v>
      </c>
      <c r="Z105" s="380">
        <f t="shared" si="37"/>
        <v>29.730911532322786</v>
      </c>
      <c r="AA105" s="381">
        <f t="shared" si="38"/>
        <v>31.291587069996574</v>
      </c>
      <c r="AB105" s="193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4.9875243917244939E-2</v>
      </c>
      <c r="AD105" s="227">
        <f>(INDEX(Models!$BJ105:$BT105,,AH105)*(1-AF105)+INDEX(Models!$BJ105:$BT105,,AH105+1)*AF105-ERP_i)*AE105*Ramure*Pc/MaxiM</f>
        <v>1.7303159742078415E-4</v>
      </c>
      <c r="AE105" s="301">
        <f t="shared" si="40"/>
        <v>0.5</v>
      </c>
      <c r="AF105" s="173">
        <f t="shared" si="41"/>
        <v>1.9824529057874241E-2</v>
      </c>
      <c r="AG105" s="802">
        <f t="shared" si="49"/>
        <v>3</v>
      </c>
      <c r="AH105" s="172">
        <f t="shared" si="42"/>
        <v>9</v>
      </c>
      <c r="AI105" s="221">
        <f t="shared" si="43"/>
        <v>3.0198245290578742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46844</v>
      </c>
      <c r="B106" s="406">
        <f>'2027'!Wh/'2027'!Env_an*'2028'!Env_an</f>
        <v>20.219895291979476</v>
      </c>
      <c r="C106" s="832"/>
      <c r="D106" s="388">
        <f t="shared" si="25"/>
        <v>20.872937903241855</v>
      </c>
      <c r="E106" s="380">
        <f t="shared" si="47"/>
        <v>21.325823942749288</v>
      </c>
      <c r="F106" s="380">
        <f t="shared" si="26"/>
        <v>21.326405369746652</v>
      </c>
      <c r="G106" s="110">
        <f t="shared" si="48"/>
        <v>0.40508070442074851</v>
      </c>
      <c r="H106" s="409" t="b">
        <f>Wh_hp&gt;='2027'!Maxi_hp</f>
        <v>0</v>
      </c>
      <c r="I106" s="385">
        <f>IF(H106,Wh_hp,'2027'!Maxi_hp)</f>
        <v>21.329674123347726</v>
      </c>
      <c r="J106" s="85">
        <f>IF(H106,An,'2027'!An_max)</f>
        <v>2022</v>
      </c>
      <c r="K106" s="193">
        <f t="shared" si="27"/>
        <v>46844</v>
      </c>
      <c r="L106" s="143">
        <f>IF(t&lt;Tvie,1-EXP((T0-t)*PertePVj)+'2027'!Pspv,1-EXP((T0-t)*PertePVj)+Pspv)</f>
        <v>3.1286568967416439E-2</v>
      </c>
      <c r="M106" s="836"/>
      <c r="N106" s="836"/>
      <c r="O106" s="48">
        <f>IF(t&lt;Tnet,'2027'!Resal+('2027'!Salim-'2027'!Resal)*(1-EXP(('2027'!Tnet-t)/('2027'!Tau_j))),Resal+(Salim-Resal)*(1-EXP((Tnet-t)/(Tau_j))))*Salcycl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1.8150742473996783E-4</v>
      </c>
      <c r="Q106" s="301">
        <f t="shared" si="28"/>
        <v>0.5</v>
      </c>
      <c r="R106" s="173">
        <f t="shared" si="29"/>
        <v>2.0882733107313367E-2</v>
      </c>
      <c r="S106" s="802">
        <f t="shared" si="30"/>
        <v>3</v>
      </c>
      <c r="T106" s="172">
        <f t="shared" si="31"/>
        <v>9</v>
      </c>
      <c r="U106" s="247">
        <f t="shared" si="32"/>
        <v>3.0208827331073134</v>
      </c>
      <c r="V106" s="378">
        <f t="shared" si="33"/>
        <v>49.908021253882652</v>
      </c>
      <c r="W106" s="397">
        <f t="shared" si="34"/>
        <v>20.219895291979476</v>
      </c>
      <c r="X106" s="153">
        <f t="shared" si="35"/>
        <v>46844</v>
      </c>
      <c r="Y106" s="380">
        <f t="shared" si="36"/>
        <v>19.627539166847018</v>
      </c>
      <c r="Z106" s="380">
        <f t="shared" si="37"/>
        <v>20.26145043320539</v>
      </c>
      <c r="AA106" s="381">
        <f t="shared" si="38"/>
        <v>21.325823942749288</v>
      </c>
      <c r="AB106" s="193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4.9910076740823039E-2</v>
      </c>
      <c r="AD106" s="227">
        <f>(INDEX(Models!$BJ106:$BT106,,AH106)*(1-AF106)+INDEX(Models!$BJ106:$BT106,,AH106+1)*AF106-ERP_i)*AE106*Ramure*Pc/MaxiM</f>
        <v>1.8150742473996783E-4</v>
      </c>
      <c r="AE106" s="301">
        <f t="shared" si="40"/>
        <v>0.5</v>
      </c>
      <c r="AF106" s="173">
        <f t="shared" si="41"/>
        <v>2.0882733107313367E-2</v>
      </c>
      <c r="AG106" s="802">
        <f t="shared" si="49"/>
        <v>3</v>
      </c>
      <c r="AH106" s="172">
        <f t="shared" si="42"/>
        <v>9</v>
      </c>
      <c r="AI106" s="221">
        <f t="shared" si="43"/>
        <v>3.0208827331073134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46845</v>
      </c>
      <c r="B107" s="406">
        <f>'2027'!Wh/'2027'!Env_an*'2028'!Env_an</f>
        <v>27.605785050802908</v>
      </c>
      <c r="C107" s="832"/>
      <c r="D107" s="388">
        <f t="shared" si="25"/>
        <v>28.497760092543423</v>
      </c>
      <c r="E107" s="380">
        <f t="shared" si="47"/>
        <v>29.117781879884475</v>
      </c>
      <c r="F107" s="380">
        <f t="shared" si="26"/>
        <v>29.119747994223196</v>
      </c>
      <c r="G107" s="110">
        <f t="shared" si="48"/>
        <v>0.54878582123886688</v>
      </c>
      <c r="H107" s="409" t="b">
        <f>Wh_hp&gt;='2027'!Maxi_hp</f>
        <v>0</v>
      </c>
      <c r="I107" s="385">
        <f>IF(H107,Wh_hp,'2027'!Maxi_hp)</f>
        <v>29.123289882556353</v>
      </c>
      <c r="J107" s="85">
        <f>IF(H107,An,'2027'!An_max)</f>
        <v>2022</v>
      </c>
      <c r="K107" s="193">
        <f t="shared" si="27"/>
        <v>46845</v>
      </c>
      <c r="L107" s="143">
        <f>IF(t&lt;Tvie,1-EXP((T0-t)*PertePVj)+'2027'!Pspv,1-EXP((T0-t)*PertePVj)+Pspv)</f>
        <v>3.1299829840798821E-2</v>
      </c>
      <c r="M107" s="836"/>
      <c r="N107" s="836"/>
      <c r="O107" s="48">
        <f>IF(t&lt;Tnet,'2027'!Resal+('2027'!Salim-'2027'!Resal)*(1-EXP(('2027'!Tnet-t)/('2027'!Tau_j))),Resal+(Salim-Resal)*(1-EXP((Tnet-t)/(Tau_j))))*Salcycl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1.8992245006184597E-4</v>
      </c>
      <c r="Q107" s="301">
        <f t="shared" si="28"/>
        <v>0.5</v>
      </c>
      <c r="R107" s="173">
        <f t="shared" si="29"/>
        <v>2.1980317912126957E-2</v>
      </c>
      <c r="S107" s="802">
        <f t="shared" si="30"/>
        <v>3</v>
      </c>
      <c r="T107" s="172">
        <f t="shared" si="31"/>
        <v>9</v>
      </c>
      <c r="U107" s="247">
        <f t="shared" si="32"/>
        <v>3.021980317912127</v>
      </c>
      <c r="V107" s="378">
        <f t="shared" si="33"/>
        <v>50.297228336201208</v>
      </c>
      <c r="W107" s="397">
        <f t="shared" si="34"/>
        <v>27.605785050802908</v>
      </c>
      <c r="X107" s="153">
        <f t="shared" si="35"/>
        <v>46845</v>
      </c>
      <c r="Y107" s="380">
        <f t="shared" si="36"/>
        <v>26.797620722281675</v>
      </c>
      <c r="Z107" s="380">
        <f t="shared" si="37"/>
        <v>27.663483034051307</v>
      </c>
      <c r="AA107" s="381">
        <f t="shared" si="38"/>
        <v>29.117781879884475</v>
      </c>
      <c r="AB107" s="193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4.9945385669567272E-2</v>
      </c>
      <c r="AD107" s="227">
        <f>(INDEX(Models!$BJ107:$BT107,,AH107)*(1-AF107)+INDEX(Models!$BJ107:$BT107,,AH107+1)*AF107-ERP_i)*AE107*Ramure*Pc/MaxiM</f>
        <v>1.8992245006184597E-4</v>
      </c>
      <c r="AE107" s="301">
        <f t="shared" si="40"/>
        <v>0.5</v>
      </c>
      <c r="AF107" s="173">
        <f t="shared" si="41"/>
        <v>2.1980317912126957E-2</v>
      </c>
      <c r="AG107" s="802">
        <f t="shared" si="49"/>
        <v>3</v>
      </c>
      <c r="AH107" s="172">
        <f t="shared" si="42"/>
        <v>9</v>
      </c>
      <c r="AI107" s="221">
        <f t="shared" si="43"/>
        <v>3.021980317912127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46846</v>
      </c>
      <c r="B108" s="406">
        <f>'2027'!Wh/'2027'!Env_an*'2028'!Env_an</f>
        <v>42.871160989560686</v>
      </c>
      <c r="C108" s="832"/>
      <c r="D108" s="388">
        <f t="shared" si="25"/>
        <v>44.256983934194182</v>
      </c>
      <c r="E108" s="380">
        <f t="shared" si="47"/>
        <v>45.222522552490055</v>
      </c>
      <c r="F108" s="380">
        <f t="shared" si="26"/>
        <v>45.229469441533872</v>
      </c>
      <c r="G108" s="110">
        <f t="shared" si="48"/>
        <v>0.84586048640309663</v>
      </c>
      <c r="H108" s="409" t="b">
        <f>Wh_hp&gt;='2027'!Maxi_hp</f>
        <v>0</v>
      </c>
      <c r="I108" s="385">
        <f>IF(H108,Wh_hp,'2027'!Maxi_hp)</f>
        <v>45.231418078824802</v>
      </c>
      <c r="J108" s="85">
        <f>IF(H108,An,'2027'!An_max)</f>
        <v>2022</v>
      </c>
      <c r="K108" s="193">
        <f t="shared" si="27"/>
        <v>46846</v>
      </c>
      <c r="L108" s="143">
        <f>IF(t&lt;Tvie,1-EXP((T0-t)*PertePVj)+'2027'!Pspv,1-EXP((T0-t)*PertePVj)+Pspv)</f>
        <v>3.1313090532650856E-2</v>
      </c>
      <c r="M108" s="836"/>
      <c r="N108" s="836"/>
      <c r="O108" s="48">
        <f>IF(t&lt;Tnet,'2027'!Resal+('2027'!Salim-'2027'!Resal)*(1-EXP(('2027'!Tnet-t)/('2027'!Tau_j))),Resal+(Salim-Resal)*(1-EXP((Tnet-t)/(Tau_j))))*Salcycl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1.9695003731319265E-4</v>
      </c>
      <c r="Q108" s="301">
        <f t="shared" si="28"/>
        <v>0.5</v>
      </c>
      <c r="R108" s="173">
        <f t="shared" si="29"/>
        <v>2.3118543946979653E-2</v>
      </c>
      <c r="S108" s="802">
        <f t="shared" si="30"/>
        <v>3</v>
      </c>
      <c r="T108" s="172">
        <f t="shared" si="31"/>
        <v>9</v>
      </c>
      <c r="U108" s="247">
        <f t="shared" si="32"/>
        <v>3.0231185439469797</v>
      </c>
      <c r="V108" s="378">
        <f t="shared" si="33"/>
        <v>50.681291522508886</v>
      </c>
      <c r="W108" s="397">
        <f t="shared" si="34"/>
        <v>42.871160989560686</v>
      </c>
      <c r="X108" s="153">
        <f t="shared" si="35"/>
        <v>46846</v>
      </c>
      <c r="Y108" s="380">
        <f t="shared" si="36"/>
        <v>41.616966399169613</v>
      </c>
      <c r="Z108" s="380">
        <f t="shared" si="37"/>
        <v>42.962247133135605</v>
      </c>
      <c r="AA108" s="381">
        <f t="shared" si="38"/>
        <v>45.222522552490055</v>
      </c>
      <c r="AB108" s="193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4.9981188394144331E-2</v>
      </c>
      <c r="AD108" s="227">
        <f>(INDEX(Models!$BJ108:$BT108,,AH108)*(1-AF108)+INDEX(Models!$BJ108:$BT108,,AH108+1)*AF108-ERP_i)*AE108*Ramure*Pc/MaxiM</f>
        <v>1.9695003731319265E-4</v>
      </c>
      <c r="AE108" s="301">
        <f t="shared" si="40"/>
        <v>0.5</v>
      </c>
      <c r="AF108" s="173">
        <f t="shared" si="41"/>
        <v>2.3118543946979653E-2</v>
      </c>
      <c r="AG108" s="802">
        <f t="shared" si="49"/>
        <v>3</v>
      </c>
      <c r="AH108" s="172">
        <f t="shared" si="42"/>
        <v>9</v>
      </c>
      <c r="AI108" s="221">
        <f t="shared" si="43"/>
        <v>3.0231185439469797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46847</v>
      </c>
      <c r="B109" s="406">
        <f>'2027'!Wh/'2027'!Env_an*'2028'!Env_an</f>
        <v>51.306603134367016</v>
      </c>
      <c r="C109" s="832"/>
      <c r="D109" s="388">
        <f t="shared" si="25"/>
        <v>52.965829296181504</v>
      </c>
      <c r="E109" s="380">
        <f t="shared" si="47"/>
        <v>54.124542954190339</v>
      </c>
      <c r="F109" s="380">
        <f t="shared" si="26"/>
        <v>54.135481479246053</v>
      </c>
      <c r="G109" s="110">
        <f t="shared" si="48"/>
        <v>1.0048310592931584</v>
      </c>
      <c r="H109" s="409" t="b">
        <f>Wh_hp&gt;='2027'!Maxi_hp</f>
        <v>1</v>
      </c>
      <c r="I109" s="385">
        <f>IF(H109,Wh_hp,'2027'!Maxi_hp)</f>
        <v>54.135481479246053</v>
      </c>
      <c r="J109" s="85">
        <f>IF(H109,An,'2027'!An_max)</f>
        <v>2028</v>
      </c>
      <c r="K109" s="193">
        <f t="shared" si="27"/>
        <v>46847</v>
      </c>
      <c r="L109" s="143">
        <f>IF(t&lt;Tvie,1-EXP((T0-t)*PertePVj)+'2027'!Pspv,1-EXP((T0-t)*PertePVj)+Pspv)</f>
        <v>3.132635104297532E-2</v>
      </c>
      <c r="M109" s="836"/>
      <c r="N109" s="836"/>
      <c r="O109" s="48">
        <f>IF(t&lt;Tnet,'2027'!Resal+('2027'!Salim-'2027'!Resal)*(1-EXP(('2027'!Tnet-t)/('2027'!Tau_j))),Resal+(Salim-Resal)*(1-EXP((Tnet-t)/(Tau_j))))*Salcycl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2.0205833137199904E-4</v>
      </c>
      <c r="Q109" s="301">
        <f t="shared" si="28"/>
        <v>0.5</v>
      </c>
      <c r="R109" s="173">
        <f t="shared" si="29"/>
        <v>2.4298695574998419E-2</v>
      </c>
      <c r="S109" s="802">
        <f t="shared" si="30"/>
        <v>3</v>
      </c>
      <c r="T109" s="172">
        <f t="shared" si="31"/>
        <v>9</v>
      </c>
      <c r="U109" s="247">
        <f t="shared" si="32"/>
        <v>3.0242986955749984</v>
      </c>
      <c r="V109" s="378">
        <f t="shared" si="33"/>
        <v>51.059929587027582</v>
      </c>
      <c r="W109" s="397">
        <f t="shared" si="34"/>
        <v>51.306603134367016</v>
      </c>
      <c r="X109" s="153">
        <f t="shared" si="35"/>
        <v>46847</v>
      </c>
      <c r="Y109" s="380">
        <f t="shared" si="36"/>
        <v>49.806649973432933</v>
      </c>
      <c r="Z109" s="380">
        <f t="shared" si="37"/>
        <v>51.417368509053567</v>
      </c>
      <c r="AA109" s="381">
        <f t="shared" si="38"/>
        <v>54.124542954190339</v>
      </c>
      <c r="AB109" s="193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5.0017502178781537E-2</v>
      </c>
      <c r="AD109" s="227">
        <f>(INDEX(Models!$BJ109:$BT109,,AH109)*(1-AF109)+INDEX(Models!$BJ109:$BT109,,AH109+1)*AF109-ERP_i)*AE109*Ramure*Pc/MaxiM</f>
        <v>2.0205833137199904E-4</v>
      </c>
      <c r="AE109" s="301">
        <f t="shared" si="40"/>
        <v>0.5</v>
      </c>
      <c r="AF109" s="173">
        <f t="shared" si="41"/>
        <v>2.4298695574998419E-2</v>
      </c>
      <c r="AG109" s="802">
        <f t="shared" si="49"/>
        <v>3</v>
      </c>
      <c r="AH109" s="172">
        <f t="shared" si="42"/>
        <v>9</v>
      </c>
      <c r="AI109" s="221">
        <f t="shared" si="43"/>
        <v>3.0242986955749984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46848</v>
      </c>
      <c r="B110" s="406">
        <f>'2027'!Wh/'2027'!Env_an*'2028'!Env_an</f>
        <v>12.515013824407811</v>
      </c>
      <c r="C110" s="832"/>
      <c r="D110" s="388">
        <f t="shared" si="25"/>
        <v>12.919919066919858</v>
      </c>
      <c r="E110" s="380">
        <f t="shared" si="47"/>
        <v>13.203341174856602</v>
      </c>
      <c r="F110" s="380">
        <f t="shared" si="26"/>
        <v>13.203341174856602</v>
      </c>
      <c r="G110" s="110">
        <f t="shared" si="48"/>
        <v>0.24327737720385464</v>
      </c>
      <c r="H110" s="409" t="b">
        <f>Wh_hp&gt;='2027'!Maxi_hp</f>
        <v>0</v>
      </c>
      <c r="I110" s="385">
        <f>IF(H110,Wh_hp,'2027'!Maxi_hp)</f>
        <v>13.206034136650299</v>
      </c>
      <c r="J110" s="85">
        <f>IF(H110,An,'2027'!An_max)</f>
        <v>2022</v>
      </c>
      <c r="K110" s="193">
        <f t="shared" si="27"/>
        <v>46848</v>
      </c>
      <c r="L110" s="143">
        <f>IF(t&lt;Tvie,1-EXP((T0-t)*PertePVj)+'2027'!Pspv,1-EXP((T0-t)*PertePVj)+Pspv)</f>
        <v>3.1339611371774434E-2</v>
      </c>
      <c r="M110" s="836"/>
      <c r="N110" s="836"/>
      <c r="O110" s="48">
        <f>IF(t&lt;Tnet,'2027'!Resal+('2027'!Salim-'2027'!Resal)*(1-EXP(('2027'!Tnet-t)/('2027'!Tau_j))),Resal+(Salim-Resal)*(1-EXP((Tnet-t)/(Tau_j))))*Salcycl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2.0528195133094135E-4</v>
      </c>
      <c r="Q110" s="301">
        <f t="shared" si="28"/>
        <v>0.5</v>
      </c>
      <c r="R110" s="173">
        <f t="shared" si="29"/>
        <v>2.5522080098038469E-2</v>
      </c>
      <c r="S110" s="802">
        <f t="shared" si="30"/>
        <v>3</v>
      </c>
      <c r="T110" s="172">
        <f t="shared" si="31"/>
        <v>9</v>
      </c>
      <c r="U110" s="247">
        <f t="shared" si="32"/>
        <v>3.0255220800980385</v>
      </c>
      <c r="V110" s="378">
        <f t="shared" si="33"/>
        <v>51.432833014572424</v>
      </c>
      <c r="W110" s="397">
        <f t="shared" si="34"/>
        <v>12.515013824407811</v>
      </c>
      <c r="X110" s="153">
        <f t="shared" si="35"/>
        <v>46848</v>
      </c>
      <c r="Y110" s="380">
        <f t="shared" si="36"/>
        <v>12.149380880675144</v>
      </c>
      <c r="Z110" s="380">
        <f t="shared" si="37"/>
        <v>12.542456596042463</v>
      </c>
      <c r="AA110" s="381">
        <f t="shared" si="38"/>
        <v>13.203341174856602</v>
      </c>
      <c r="AB110" s="193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5.0054343825688262E-2</v>
      </c>
      <c r="AD110" s="227">
        <f>(INDEX(Models!$BJ110:$BT110,,AH110)*(1-AF110)+INDEX(Models!$BJ110:$BT110,,AH110+1)*AF110-ERP_i)*AE110*Ramure*Pc/MaxiM</f>
        <v>2.0528195133094135E-4</v>
      </c>
      <c r="AE110" s="301">
        <f t="shared" si="40"/>
        <v>0.5</v>
      </c>
      <c r="AF110" s="173">
        <f t="shared" si="41"/>
        <v>2.5522080098038469E-2</v>
      </c>
      <c r="AG110" s="802">
        <f t="shared" si="49"/>
        <v>3</v>
      </c>
      <c r="AH110" s="172">
        <f t="shared" si="42"/>
        <v>9</v>
      </c>
      <c r="AI110" s="221">
        <f t="shared" si="43"/>
        <v>3.0255220800980385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46849</v>
      </c>
      <c r="B111" s="406">
        <f>'2027'!Wh/'2027'!Env_an*'2028'!Env_an</f>
        <v>42.420422325920256</v>
      </c>
      <c r="C111" s="832"/>
      <c r="D111" s="388">
        <f t="shared" si="25"/>
        <v>43.793473473095169</v>
      </c>
      <c r="E111" s="380">
        <f t="shared" si="47"/>
        <v>44.756810220155181</v>
      </c>
      <c r="F111" s="380">
        <f t="shared" si="26"/>
        <v>44.763667896472718</v>
      </c>
      <c r="G111" s="110">
        <f t="shared" si="48"/>
        <v>0.81888815184167085</v>
      </c>
      <c r="H111" s="409" t="b">
        <f>Wh_hp&gt;='2027'!Maxi_hp</f>
        <v>0</v>
      </c>
      <c r="I111" s="385">
        <f>IF(H111,Wh_hp,'2027'!Maxi_hp)</f>
        <v>44.766045147251283</v>
      </c>
      <c r="J111" s="85">
        <f>IF(H111,An,'2027'!An_max)</f>
        <v>2022</v>
      </c>
      <c r="K111" s="193">
        <f t="shared" si="27"/>
        <v>46849</v>
      </c>
      <c r="L111" s="143">
        <f>IF(t&lt;Tvie,1-EXP((T0-t)*PertePVj)+'2027'!Pspv,1-EXP((T0-t)*PertePVj)+Pspv)</f>
        <v>3.1352871519050862E-2</v>
      </c>
      <c r="M111" s="836"/>
      <c r="N111" s="836"/>
      <c r="O111" s="48">
        <f>IF(t&lt;Tnet,'2027'!Resal+('2027'!Salim-'2027'!Resal)*(1-EXP(('2027'!Tnet-t)/('2027'!Tau_j))),Resal+(Salim-Resal)*(1-EXP((Tnet-t)/(Tau_j))))*Salcycl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2.066516895907268E-4</v>
      </c>
      <c r="Q111" s="301">
        <f t="shared" si="28"/>
        <v>0.5</v>
      </c>
      <c r="R111" s="173">
        <f t="shared" si="29"/>
        <v>2.6790026658987554E-2</v>
      </c>
      <c r="S111" s="802">
        <f t="shared" si="30"/>
        <v>3</v>
      </c>
      <c r="T111" s="172">
        <f t="shared" si="31"/>
        <v>9</v>
      </c>
      <c r="U111" s="247">
        <f t="shared" si="32"/>
        <v>3.0267900266589876</v>
      </c>
      <c r="V111" s="378">
        <f t="shared" si="33"/>
        <v>51.799692459087574</v>
      </c>
      <c r="W111" s="397">
        <f t="shared" si="34"/>
        <v>42.420422325920256</v>
      </c>
      <c r="X111" s="153">
        <f t="shared" si="35"/>
        <v>46849</v>
      </c>
      <c r="Y111" s="380">
        <f t="shared" si="36"/>
        <v>41.181901108650571</v>
      </c>
      <c r="Z111" s="380">
        <f t="shared" si="37"/>
        <v>42.514864183031044</v>
      </c>
      <c r="AA111" s="381">
        <f t="shared" si="38"/>
        <v>44.756810220155181</v>
      </c>
      <c r="AB111" s="193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5.0091729640610781E-2</v>
      </c>
      <c r="AD111" s="227">
        <f>(INDEX(Models!$BJ111:$BT111,,AH111)*(1-AF111)+INDEX(Models!$BJ111:$BT111,,AH111+1)*AF111-ERP_i)*AE111*Ramure*Pc/MaxiM</f>
        <v>2.066516895907268E-4</v>
      </c>
      <c r="AE111" s="301">
        <f t="shared" si="40"/>
        <v>0.5</v>
      </c>
      <c r="AF111" s="173">
        <f t="shared" si="41"/>
        <v>2.6790026658987554E-2</v>
      </c>
      <c r="AG111" s="802">
        <f t="shared" si="49"/>
        <v>3</v>
      </c>
      <c r="AH111" s="172">
        <f t="shared" si="42"/>
        <v>9</v>
      </c>
      <c r="AI111" s="221">
        <f t="shared" si="43"/>
        <v>3.0267900266589876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46850</v>
      </c>
      <c r="B112" s="406">
        <f>'2027'!Wh/'2027'!Env_an*'2028'!Env_an</f>
        <v>36.134905139044911</v>
      </c>
      <c r="C112" s="832"/>
      <c r="D112" s="388">
        <f t="shared" si="25"/>
        <v>37.305019278786588</v>
      </c>
      <c r="E112" s="380">
        <f t="shared" si="47"/>
        <v>38.127891082556843</v>
      </c>
      <c r="F112" s="380">
        <f t="shared" si="26"/>
        <v>38.132302802120613</v>
      </c>
      <c r="G112" s="110">
        <f t="shared" si="48"/>
        <v>0.69270507835715622</v>
      </c>
      <c r="H112" s="409" t="b">
        <f>Wh_hp&gt;='2027'!Maxi_hp</f>
        <v>0</v>
      </c>
      <c r="I112" s="385">
        <f>IF(H112,Wh_hp,'2027'!Maxi_hp)</f>
        <v>38.135731064829805</v>
      </c>
      <c r="J112" s="85">
        <f>IF(H112,An,'2027'!An_max)</f>
        <v>2022</v>
      </c>
      <c r="K112" s="193">
        <f t="shared" si="27"/>
        <v>46850</v>
      </c>
      <c r="L112" s="143">
        <f>IF(t&lt;Tvie,1-EXP((T0-t)*PertePVj)+'2027'!Pspv,1-EXP((T0-t)*PertePVj)+Pspv)</f>
        <v>3.1366131484806936E-2</v>
      </c>
      <c r="M112" s="836"/>
      <c r="N112" s="836"/>
      <c r="O112" s="48">
        <f>IF(t&lt;Tnet,'2027'!Resal+('2027'!Salim-'2027'!Resal)*(1-EXP(('2027'!Tnet-t)/('2027'!Tau_j))),Resal+(Salim-Resal)*(1-EXP((Tnet-t)/(Tau_j))))*Salcycl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2.0619448747556787E-4</v>
      </c>
      <c r="Q112" s="301">
        <f t="shared" si="28"/>
        <v>0.5</v>
      </c>
      <c r="R112" s="173">
        <f t="shared" si="29"/>
        <v>2.810388498673122E-2</v>
      </c>
      <c r="S112" s="802">
        <f t="shared" si="30"/>
        <v>3</v>
      </c>
      <c r="T112" s="172">
        <f t="shared" si="31"/>
        <v>9</v>
      </c>
      <c r="U112" s="247">
        <f t="shared" si="32"/>
        <v>3.0281038849867312</v>
      </c>
      <c r="V112" s="378">
        <f t="shared" si="33"/>
        <v>52.160198765392906</v>
      </c>
      <c r="W112" s="397">
        <f t="shared" si="34"/>
        <v>36.134905139044911</v>
      </c>
      <c r="X112" s="153">
        <f t="shared" si="35"/>
        <v>46850</v>
      </c>
      <c r="Y112" s="380">
        <f t="shared" si="36"/>
        <v>35.080579138222049</v>
      </c>
      <c r="Z112" s="380">
        <f t="shared" si="37"/>
        <v>36.216552278929328</v>
      </c>
      <c r="AA112" s="381">
        <f t="shared" si="38"/>
        <v>38.127891082556843</v>
      </c>
      <c r="AB112" s="193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5.012967539927566E-2</v>
      </c>
      <c r="AD112" s="227">
        <f>(INDEX(Models!$BJ112:$BT112,,AH112)*(1-AF112)+INDEX(Models!$BJ112:$BT112,,AH112+1)*AF112-ERP_i)*AE112*Ramure*Pc/MaxiM</f>
        <v>2.0619448747556787E-4</v>
      </c>
      <c r="AE112" s="301">
        <f t="shared" si="40"/>
        <v>0.5</v>
      </c>
      <c r="AF112" s="173">
        <f t="shared" si="41"/>
        <v>2.810388498673122E-2</v>
      </c>
      <c r="AG112" s="802">
        <f t="shared" si="49"/>
        <v>3</v>
      </c>
      <c r="AH112" s="172">
        <f t="shared" si="42"/>
        <v>9</v>
      </c>
      <c r="AI112" s="221">
        <f t="shared" si="43"/>
        <v>3.0281038849867312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46851</v>
      </c>
      <c r="B113" s="406">
        <f>'2027'!Wh/'2027'!Env_an*'2028'!Env_an</f>
        <v>33.616676271163286</v>
      </c>
      <c r="C113" s="832"/>
      <c r="D113" s="388">
        <f t="shared" si="25"/>
        <v>34.705720658996107</v>
      </c>
      <c r="E113" s="380">
        <f t="shared" si="47"/>
        <v>35.473371406127846</v>
      </c>
      <c r="F113" s="380">
        <f t="shared" si="26"/>
        <v>35.476887024671385</v>
      </c>
      <c r="G113" s="110">
        <f t="shared" si="48"/>
        <v>0.64007929568984778</v>
      </c>
      <c r="H113" s="409" t="b">
        <f>Wh_hp&gt;='2027'!Maxi_hp</f>
        <v>0</v>
      </c>
      <c r="I113" s="385">
        <f>IF(H113,Wh_hp,'2027'!Maxi_hp)</f>
        <v>35.480581616370678</v>
      </c>
      <c r="J113" s="85">
        <f>IF(H113,An,'2027'!An_max)</f>
        <v>2022</v>
      </c>
      <c r="K113" s="193">
        <f t="shared" si="27"/>
        <v>46851</v>
      </c>
      <c r="L113" s="143">
        <f>IF(t&lt;Tvie,1-EXP((T0-t)*PertePVj)+'2027'!Pspv,1-EXP((T0-t)*PertePVj)+Pspv)</f>
        <v>3.1379391269045209E-2</v>
      </c>
      <c r="M113" s="836"/>
      <c r="N113" s="836"/>
      <c r="O113" s="48">
        <f>IF(t&lt;Tnet,'2027'!Resal+('2027'!Salim-'2027'!Resal)*(1-EXP(('2027'!Tnet-t)/('2027'!Tau_j))),Resal+(Salim-Resal)*(1-EXP((Tnet-t)/(Tau_j))))*Salcycl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2.0393341192859887E-4</v>
      </c>
      <c r="Q113" s="301">
        <f t="shared" si="28"/>
        <v>0.5</v>
      </c>
      <c r="R113" s="173">
        <f t="shared" si="29"/>
        <v>2.9465023974297289E-2</v>
      </c>
      <c r="S113" s="802">
        <f t="shared" si="30"/>
        <v>3</v>
      </c>
      <c r="T113" s="172">
        <f t="shared" si="31"/>
        <v>9</v>
      </c>
      <c r="U113" s="247">
        <f t="shared" si="32"/>
        <v>3.0294650239742973</v>
      </c>
      <c r="V113" s="378">
        <f t="shared" si="33"/>
        <v>52.51404296903366</v>
      </c>
      <c r="W113" s="397">
        <f t="shared" si="34"/>
        <v>33.616676271163286</v>
      </c>
      <c r="X113" s="153">
        <f t="shared" si="35"/>
        <v>46851</v>
      </c>
      <c r="Y113" s="380">
        <f t="shared" si="36"/>
        <v>32.63644740938819</v>
      </c>
      <c r="Z113" s="380">
        <f t="shared" si="37"/>
        <v>33.693736345489349</v>
      </c>
      <c r="AA113" s="381">
        <f t="shared" si="38"/>
        <v>35.473371406127846</v>
      </c>
      <c r="AB113" s="193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5.0168196314463537E-2</v>
      </c>
      <c r="AD113" s="227">
        <f>(INDEX(Models!$BJ113:$BT113,,AH113)*(1-AF113)+INDEX(Models!$BJ113:$BT113,,AH113+1)*AF113-ERP_i)*AE113*Ramure*Pc/MaxiM</f>
        <v>2.0393341192859887E-4</v>
      </c>
      <c r="AE113" s="301">
        <f t="shared" si="40"/>
        <v>0.5</v>
      </c>
      <c r="AF113" s="173">
        <f t="shared" si="41"/>
        <v>2.9465023974297289E-2</v>
      </c>
      <c r="AG113" s="802">
        <f t="shared" si="49"/>
        <v>3</v>
      </c>
      <c r="AH113" s="172">
        <f t="shared" si="42"/>
        <v>9</v>
      </c>
      <c r="AI113" s="221">
        <f t="shared" si="43"/>
        <v>3.0294650239742973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46852</v>
      </c>
      <c r="B114" s="406">
        <f>'2027'!Wh/'2027'!Env_an*'2028'!Env_an</f>
        <v>55.077084681226026</v>
      </c>
      <c r="C114" s="832"/>
      <c r="D114" s="388">
        <f t="shared" si="25"/>
        <v>56.862137924925548</v>
      </c>
      <c r="E114" s="380">
        <f t="shared" si="47"/>
        <v>58.123341378488369</v>
      </c>
      <c r="F114" s="380">
        <f t="shared" si="26"/>
        <v>58.134973098692669</v>
      </c>
      <c r="G114" s="110">
        <f t="shared" si="48"/>
        <v>1.0419247187108807</v>
      </c>
      <c r="H114" s="409" t="b">
        <f>Wh_hp&gt;='2027'!Maxi_hp</f>
        <v>1</v>
      </c>
      <c r="I114" s="385">
        <f>IF(H114,Wh_hp,'2027'!Maxi_hp)</f>
        <v>58.134973098692669</v>
      </c>
      <c r="J114" s="85">
        <f>IF(H114,An,'2027'!An_max)</f>
        <v>2028</v>
      </c>
      <c r="K114" s="193">
        <f t="shared" si="27"/>
        <v>46852</v>
      </c>
      <c r="L114" s="143">
        <f>IF(t&lt;Tvie,1-EXP((T0-t)*PertePVj)+'2027'!Pspv,1-EXP((T0-t)*PertePVj)+Pspv)</f>
        <v>3.1392650871768235E-2</v>
      </c>
      <c r="M114" s="836"/>
      <c r="N114" s="836"/>
      <c r="O114" s="48">
        <f>IF(t&lt;Tnet,'2027'!Resal+('2027'!Salim-'2027'!Resal)*(1-EXP(('2027'!Tnet-t)/('2027'!Tau_j))),Resal+(Salim-Resal)*(1-EXP((Tnet-t)/(Tau_j))))*Salcycl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2.0008128643246543E-4</v>
      </c>
      <c r="Q114" s="301">
        <f t="shared" si="28"/>
        <v>0.5</v>
      </c>
      <c r="R114" s="173">
        <f t="shared" si="29"/>
        <v>3.0874830080639626E-2</v>
      </c>
      <c r="S114" s="802">
        <f t="shared" si="30"/>
        <v>3</v>
      </c>
      <c r="T114" s="172">
        <f t="shared" si="31"/>
        <v>9</v>
      </c>
      <c r="U114" s="247">
        <f t="shared" si="32"/>
        <v>3.0308748300806396</v>
      </c>
      <c r="V114" s="378">
        <f t="shared" si="33"/>
        <v>52.860906063702984</v>
      </c>
      <c r="W114" s="397">
        <f t="shared" si="34"/>
        <v>55.077084681226026</v>
      </c>
      <c r="X114" s="153">
        <f t="shared" si="35"/>
        <v>46852</v>
      </c>
      <c r="Y114" s="380">
        <f t="shared" si="36"/>
        <v>53.472089720452331</v>
      </c>
      <c r="Z114" s="380">
        <f t="shared" si="37"/>
        <v>55.205124933832479</v>
      </c>
      <c r="AA114" s="381">
        <f t="shared" si="38"/>
        <v>58.123341378488369</v>
      </c>
      <c r="AB114" s="193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5.0207307003446403E-2</v>
      </c>
      <c r="AD114" s="227">
        <f>(INDEX(Models!$BJ114:$BT114,,AH114)*(1-AF114)+INDEX(Models!$BJ114:$BT114,,AH114+1)*AF114-ERP_i)*AE114*Ramure*Pc/MaxiM</f>
        <v>2.0008128643246543E-4</v>
      </c>
      <c r="AE114" s="301">
        <f t="shared" si="40"/>
        <v>0.5</v>
      </c>
      <c r="AF114" s="173">
        <f t="shared" si="41"/>
        <v>3.0874830080639626E-2</v>
      </c>
      <c r="AG114" s="802">
        <f t="shared" si="49"/>
        <v>3</v>
      </c>
      <c r="AH114" s="172">
        <f t="shared" si="42"/>
        <v>9</v>
      </c>
      <c r="AI114" s="221">
        <f t="shared" si="43"/>
        <v>3.0308748300806396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46853</v>
      </c>
      <c r="B115" s="406">
        <f>'2027'!Wh/'2027'!Env_an*'2028'!Env_an</f>
        <v>44.433873669505807</v>
      </c>
      <c r="C115" s="832"/>
      <c r="D115" s="388">
        <f t="shared" si="25"/>
        <v>45.874607476642844</v>
      </c>
      <c r="E115" s="380">
        <f t="shared" si="47"/>
        <v>46.894925310138412</v>
      </c>
      <c r="F115" s="380">
        <f t="shared" si="26"/>
        <v>46.901926298915711</v>
      </c>
      <c r="G115" s="110">
        <f t="shared" si="48"/>
        <v>0.83517775297383112</v>
      </c>
      <c r="H115" s="409" t="b">
        <f>Wh_hp&gt;='2027'!Maxi_hp</f>
        <v>0</v>
      </c>
      <c r="I115" s="385">
        <f>IF(H115,Wh_hp,'2027'!Maxi_hp)</f>
        <v>46.904067064445634</v>
      </c>
      <c r="J115" s="85">
        <f>IF(H115,An,'2027'!An_max)</f>
        <v>2022</v>
      </c>
      <c r="K115" s="193">
        <f t="shared" si="27"/>
        <v>46853</v>
      </c>
      <c r="L115" s="143">
        <f>IF(t&lt;Tvie,1-EXP((T0-t)*PertePVj)+'2027'!Pspv,1-EXP((T0-t)*PertePVj)+Pspv)</f>
        <v>3.1405910292978345E-2</v>
      </c>
      <c r="M115" s="836"/>
      <c r="N115" s="836"/>
      <c r="O115" s="48">
        <f>IF(t&lt;Tnet,'2027'!Resal+('2027'!Salim-'2027'!Resal)*(1-EXP(('2027'!Tnet-t)/('2027'!Tau_j))),Resal+(Salim-Resal)*(1-EXP((Tnet-t)/(Tau_j))))*Salcycl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1.9522594675551753E-4</v>
      </c>
      <c r="Q115" s="301">
        <f t="shared" si="28"/>
        <v>0.5</v>
      </c>
      <c r="R115" s="173">
        <f t="shared" si="29"/>
        <v>3.2334705546536835E-2</v>
      </c>
      <c r="S115" s="802">
        <f t="shared" si="30"/>
        <v>3</v>
      </c>
      <c r="T115" s="172">
        <f t="shared" si="31"/>
        <v>9</v>
      </c>
      <c r="U115" s="247">
        <f t="shared" si="32"/>
        <v>3.0323347055465368</v>
      </c>
      <c r="V115" s="378">
        <f t="shared" si="33"/>
        <v>53.200448823249658</v>
      </c>
      <c r="W115" s="397">
        <f t="shared" si="34"/>
        <v>44.433873669505807</v>
      </c>
      <c r="X115" s="153">
        <f t="shared" si="35"/>
        <v>46853</v>
      </c>
      <c r="Y115" s="380">
        <f t="shared" si="36"/>
        <v>43.13981987303324</v>
      </c>
      <c r="Z115" s="380">
        <f t="shared" si="37"/>
        <v>44.538594991924931</v>
      </c>
      <c r="AA115" s="381">
        <f t="shared" si="38"/>
        <v>46.894925310138412</v>
      </c>
      <c r="AB115" s="193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5.0247021455518862E-2</v>
      </c>
      <c r="AD115" s="227">
        <f>(INDEX(Models!$BJ115:$BT115,,AH115)*(1-AF115)+INDEX(Models!$BJ115:$BT115,,AH115+1)*AF115-ERP_i)*AE115*Ramure*Pc/MaxiM</f>
        <v>1.9522594675551753E-4</v>
      </c>
      <c r="AE115" s="301">
        <f t="shared" si="40"/>
        <v>0.5</v>
      </c>
      <c r="AF115" s="173">
        <f t="shared" si="41"/>
        <v>3.2334705546536835E-2</v>
      </c>
      <c r="AG115" s="802">
        <f t="shared" si="49"/>
        <v>3</v>
      </c>
      <c r="AH115" s="172">
        <f t="shared" si="42"/>
        <v>9</v>
      </c>
      <c r="AI115" s="221">
        <f t="shared" si="43"/>
        <v>3.0323347055465368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46854</v>
      </c>
      <c r="B116" s="406">
        <f>'2027'!Wh/'2027'!Env_an*'2028'!Env_an</f>
        <v>37.074877617924116</v>
      </c>
      <c r="C116" s="832"/>
      <c r="D116" s="388">
        <f t="shared" si="25"/>
        <v>38.277525686768129</v>
      </c>
      <c r="E116" s="380">
        <f t="shared" si="47"/>
        <v>39.131235043745214</v>
      </c>
      <c r="F116" s="380">
        <f t="shared" si="26"/>
        <v>39.13539131211143</v>
      </c>
      <c r="G116" s="110">
        <f t="shared" si="48"/>
        <v>0.69251182006939205</v>
      </c>
      <c r="H116" s="409" t="b">
        <f>Wh_hp&gt;='2027'!Maxi_hp</f>
        <v>0</v>
      </c>
      <c r="I116" s="385">
        <f>IF(H116,Wh_hp,'2027'!Maxi_hp)</f>
        <v>39.138623490789477</v>
      </c>
      <c r="J116" s="85">
        <f>IF(H116,An,'2027'!An_max)</f>
        <v>2022</v>
      </c>
      <c r="K116" s="193">
        <f t="shared" si="27"/>
        <v>46854</v>
      </c>
      <c r="L116" s="143">
        <f>IF(t&lt;Tvie,1-EXP((T0-t)*PertePVj)+'2027'!Pspv,1-EXP((T0-t)*PertePVj)+Pspv)</f>
        <v>3.1419169532678204E-2</v>
      </c>
      <c r="M116" s="836"/>
      <c r="N116" s="836"/>
      <c r="O116" s="48">
        <f>IF(t&lt;Tnet,'2027'!Resal+('2027'!Salim-'2027'!Resal)*(1-EXP(('2027'!Tnet-t)/('2027'!Tau_j))),Resal+(Salim-Resal)*(1-EXP((Tnet-t)/(Tau_j))))*Salcycl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1.893718697505476E-4</v>
      </c>
      <c r="Q116" s="301">
        <f t="shared" si="28"/>
        <v>0.5</v>
      </c>
      <c r="R116" s="173">
        <f t="shared" si="29"/>
        <v>3.384606641516541E-2</v>
      </c>
      <c r="S116" s="802">
        <f t="shared" si="30"/>
        <v>3</v>
      </c>
      <c r="T116" s="172">
        <f t="shared" si="31"/>
        <v>9</v>
      </c>
      <c r="U116" s="247">
        <f t="shared" si="32"/>
        <v>3.0338460664151654</v>
      </c>
      <c r="V116" s="378">
        <f t="shared" si="33"/>
        <v>53.532362501607174</v>
      </c>
      <c r="W116" s="397">
        <f t="shared" si="34"/>
        <v>37.074877617924116</v>
      </c>
      <c r="X116" s="153">
        <f t="shared" si="35"/>
        <v>46854</v>
      </c>
      <c r="Y116" s="380">
        <f t="shared" si="36"/>
        <v>35.995784743483178</v>
      </c>
      <c r="Z116" s="380">
        <f t="shared" si="37"/>
        <v>37.163428813799563</v>
      </c>
      <c r="AA116" s="381">
        <f t="shared" si="38"/>
        <v>39.131235043745214</v>
      </c>
      <c r="AB116" s="193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5.0287352999357555E-2</v>
      </c>
      <c r="AD116" s="227">
        <f>(INDEX(Models!$BJ116:$BT116,,AH116)*(1-AF116)+INDEX(Models!$BJ116:$BT116,,AH116+1)*AF116-ERP_i)*AE116*Ramure*Pc/MaxiM</f>
        <v>1.893718697505476E-4</v>
      </c>
      <c r="AE116" s="301">
        <f t="shared" si="40"/>
        <v>0.5</v>
      </c>
      <c r="AF116" s="173">
        <f t="shared" si="41"/>
        <v>3.384606641516541E-2</v>
      </c>
      <c r="AG116" s="802">
        <f t="shared" si="49"/>
        <v>3</v>
      </c>
      <c r="AH116" s="172">
        <f t="shared" si="42"/>
        <v>9</v>
      </c>
      <c r="AI116" s="221">
        <f t="shared" si="43"/>
        <v>3.0338460664151654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46855</v>
      </c>
      <c r="B117" s="406">
        <f>'2027'!Wh/'2027'!Env_an*'2028'!Env_an</f>
        <v>8.573038293587592</v>
      </c>
      <c r="C117" s="832"/>
      <c r="D117" s="388">
        <f t="shared" si="25"/>
        <v>8.8512547256925238</v>
      </c>
      <c r="E117" s="380">
        <f t="shared" si="47"/>
        <v>9.0492141271802637</v>
      </c>
      <c r="F117" s="380">
        <f t="shared" si="26"/>
        <v>9.0492141271802637</v>
      </c>
      <c r="G117" s="110">
        <f t="shared" si="48"/>
        <v>0.15915440533621078</v>
      </c>
      <c r="H117" s="409" t="b">
        <f>Wh_hp&gt;='2027'!Maxi_hp</f>
        <v>0</v>
      </c>
      <c r="I117" s="385">
        <f>IF(H117,Wh_hp,'2027'!Maxi_hp)</f>
        <v>9.0508539778178534</v>
      </c>
      <c r="J117" s="85">
        <f>IF(H117,An,'2027'!An_max)</f>
        <v>2022</v>
      </c>
      <c r="K117" s="193">
        <f t="shared" si="27"/>
        <v>46855</v>
      </c>
      <c r="L117" s="143">
        <f>IF(t&lt;Tvie,1-EXP((T0-t)*PertePVj)+'2027'!Pspv,1-EXP((T0-t)*PertePVj)+Pspv)</f>
        <v>3.1432428590870143E-2</v>
      </c>
      <c r="M117" s="836"/>
      <c r="N117" s="836"/>
      <c r="O117" s="48">
        <f>IF(t&lt;Tnet,'2027'!Resal+('2027'!Salim-'2027'!Resal)*(1-EXP(('2027'!Tnet-t)/('2027'!Tau_j))),Resal+(Salim-Resal)*(1-EXP((Tnet-t)/(Tau_j))))*Salcycl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1.8252113420959713E-4</v>
      </c>
      <c r="Q117" s="301">
        <f t="shared" si="28"/>
        <v>0.5</v>
      </c>
      <c r="R117" s="173">
        <f t="shared" si="29"/>
        <v>3.5410340348086766E-2</v>
      </c>
      <c r="S117" s="802">
        <f t="shared" si="30"/>
        <v>3</v>
      </c>
      <c r="T117" s="172">
        <f t="shared" si="31"/>
        <v>9</v>
      </c>
      <c r="U117" s="247">
        <f t="shared" si="32"/>
        <v>3.0354103403480868</v>
      </c>
      <c r="V117" s="378">
        <f t="shared" si="33"/>
        <v>53.856338533687094</v>
      </c>
      <c r="W117" s="397">
        <f t="shared" si="34"/>
        <v>8.573038293587592</v>
      </c>
      <c r="X117" s="153">
        <f t="shared" si="35"/>
        <v>46855</v>
      </c>
      <c r="Y117" s="380">
        <f t="shared" si="36"/>
        <v>8.3236589819875366</v>
      </c>
      <c r="Z117" s="380">
        <f t="shared" si="37"/>
        <v>8.59378243469145</v>
      </c>
      <c r="AA117" s="381">
        <f t="shared" si="38"/>
        <v>9.0492141271802637</v>
      </c>
      <c r="AB117" s="193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5.0328314269951609E-2</v>
      </c>
      <c r="AD117" s="227">
        <f>(INDEX(Models!$BJ117:$BT117,,AH117)*(1-AF117)+INDEX(Models!$BJ117:$BT117,,AH117+1)*AF117-ERP_i)*AE117*Ramure*Pc/MaxiM</f>
        <v>1.8252113420959713E-4</v>
      </c>
      <c r="AE117" s="301">
        <f t="shared" si="40"/>
        <v>0.5</v>
      </c>
      <c r="AF117" s="173">
        <f t="shared" si="41"/>
        <v>3.5410340348086766E-2</v>
      </c>
      <c r="AG117" s="802">
        <f t="shared" si="49"/>
        <v>3</v>
      </c>
      <c r="AH117" s="172">
        <f t="shared" si="42"/>
        <v>9</v>
      </c>
      <c r="AI117" s="221">
        <f t="shared" si="43"/>
        <v>3.0354103403480868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46856</v>
      </c>
      <c r="B118" s="406">
        <f>'2027'!Wh/'2027'!Env_an*'2028'!Env_an</f>
        <v>39.57649076582905</v>
      </c>
      <c r="C118" s="832"/>
      <c r="D118" s="388">
        <f t="shared" si="25"/>
        <v>40.861405760870404</v>
      </c>
      <c r="E118" s="380">
        <f t="shared" si="47"/>
        <v>41.777820059152212</v>
      </c>
      <c r="F118" s="380">
        <f t="shared" si="26"/>
        <v>41.782309218160115</v>
      </c>
      <c r="G118" s="110">
        <f t="shared" si="48"/>
        <v>0.73052092614614339</v>
      </c>
      <c r="H118" s="409" t="b">
        <f>Wh_hp&gt;='2027'!Maxi_hp</f>
        <v>0</v>
      </c>
      <c r="I118" s="385">
        <f>IF(H118,Wh_hp,'2027'!Maxi_hp)</f>
        <v>41.785097562255523</v>
      </c>
      <c r="J118" s="85">
        <f>IF(H118,An,'2027'!An_max)</f>
        <v>2022</v>
      </c>
      <c r="K118" s="193">
        <f t="shared" si="27"/>
        <v>46856</v>
      </c>
      <c r="L118" s="143">
        <f>IF(t&lt;Tvie,1-EXP((T0-t)*PertePVj)+'2027'!Pspv,1-EXP((T0-t)*PertePVj)+Pspv)</f>
        <v>3.1445687467556716E-2</v>
      </c>
      <c r="M118" s="836"/>
      <c r="N118" s="836"/>
      <c r="O118" s="48">
        <f>IF(t&lt;Tnet,'2027'!Resal+('2027'!Salim-'2027'!Resal)*(1-EXP(('2027'!Tnet-t)/('2027'!Tau_j))),Resal+(Salim-Resal)*(1-EXP((Tnet-t)/(Tau_j))))*Salcycl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1.746733998057715E-4</v>
      </c>
      <c r="Q118" s="301">
        <f t="shared" si="28"/>
        <v>0.5</v>
      </c>
      <c r="R118" s="173">
        <f t="shared" si="29"/>
        <v>3.7028964227650452E-2</v>
      </c>
      <c r="S118" s="802">
        <f t="shared" si="30"/>
        <v>3</v>
      </c>
      <c r="T118" s="172">
        <f t="shared" si="31"/>
        <v>9</v>
      </c>
      <c r="U118" s="247">
        <f t="shared" si="32"/>
        <v>3.0370289642276505</v>
      </c>
      <c r="V118" s="378">
        <f t="shared" si="33"/>
        <v>54.17206854127209</v>
      </c>
      <c r="W118" s="397">
        <f t="shared" si="34"/>
        <v>39.57649076582905</v>
      </c>
      <c r="X118" s="153">
        <f t="shared" si="35"/>
        <v>46856</v>
      </c>
      <c r="Y118" s="380">
        <f t="shared" si="36"/>
        <v>38.425915036134128</v>
      </c>
      <c r="Z118" s="380">
        <f t="shared" si="37"/>
        <v>39.67347472302643</v>
      </c>
      <c r="AA118" s="381">
        <f t="shared" si="38"/>
        <v>41.777820059152212</v>
      </c>
      <c r="AB118" s="193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5.036991717486182E-2</v>
      </c>
      <c r="AD118" s="227">
        <f>(INDEX(Models!$BJ118:$BT118,,AH118)*(1-AF118)+INDEX(Models!$BJ118:$BT118,,AH118+1)*AF118-ERP_i)*AE118*Ramure*Pc/MaxiM</f>
        <v>1.746733998057715E-4</v>
      </c>
      <c r="AE118" s="301">
        <f t="shared" si="40"/>
        <v>0.5</v>
      </c>
      <c r="AF118" s="173">
        <f t="shared" si="41"/>
        <v>3.7028964227650452E-2</v>
      </c>
      <c r="AG118" s="802">
        <f t="shared" si="49"/>
        <v>3</v>
      </c>
      <c r="AH118" s="172">
        <f t="shared" si="42"/>
        <v>9</v>
      </c>
      <c r="AI118" s="221">
        <f t="shared" si="43"/>
        <v>3.0370289642276505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46857</v>
      </c>
      <c r="B119" s="406">
        <f>'2027'!Wh/'2027'!Env_an*'2028'!Env_an</f>
        <v>43.367763240305258</v>
      </c>
      <c r="C119" s="832"/>
      <c r="D119" s="388">
        <f t="shared" si="25"/>
        <v>44.776380999531888</v>
      </c>
      <c r="E119" s="380">
        <f t="shared" si="47"/>
        <v>45.783398597614138</v>
      </c>
      <c r="F119" s="380">
        <f t="shared" si="26"/>
        <v>45.788779210437767</v>
      </c>
      <c r="G119" s="110">
        <f t="shared" si="48"/>
        <v>0.79600347168039209</v>
      </c>
      <c r="H119" s="409" t="b">
        <f>Wh_hp&gt;='2027'!Maxi_hp</f>
        <v>0</v>
      </c>
      <c r="I119" s="385">
        <f>IF(H119,Wh_hp,'2027'!Maxi_hp)</f>
        <v>45.790974578011351</v>
      </c>
      <c r="J119" s="85">
        <f>IF(H119,An,'2027'!An_max)</f>
        <v>2022</v>
      </c>
      <c r="K119" s="193">
        <f t="shared" si="27"/>
        <v>46857</v>
      </c>
      <c r="L119" s="143">
        <f>IF(t&lt;Tvie,1-EXP((T0-t)*PertePVj)+'2027'!Pspv,1-EXP((T0-t)*PertePVj)+Pspv)</f>
        <v>3.1458946162740475E-2</v>
      </c>
      <c r="M119" s="836"/>
      <c r="N119" s="836"/>
      <c r="O119" s="48">
        <f>IF(t&lt;Tnet,'2027'!Resal+('2027'!Salim-'2027'!Resal)*(1-EXP(('2027'!Tnet-t)/('2027'!Tau_j))),Resal+(Salim-Resal)*(1-EXP((Tnet-t)/(Tau_j))))*Salcycl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1.6582588426414103E-4</v>
      </c>
      <c r="Q119" s="301">
        <f t="shared" si="28"/>
        <v>0.5</v>
      </c>
      <c r="R119" s="173">
        <f t="shared" si="29"/>
        <v>3.870338153718178E-2</v>
      </c>
      <c r="S119" s="802">
        <f t="shared" si="30"/>
        <v>3</v>
      </c>
      <c r="T119" s="172">
        <f t="shared" si="31"/>
        <v>9</v>
      </c>
      <c r="U119" s="247">
        <f t="shared" si="32"/>
        <v>3.0387033815371818</v>
      </c>
      <c r="V119" s="378">
        <f t="shared" si="33"/>
        <v>54.479244324726324</v>
      </c>
      <c r="W119" s="397">
        <f t="shared" si="34"/>
        <v>43.367763240305258</v>
      </c>
      <c r="X119" s="153">
        <f t="shared" si="35"/>
        <v>46857</v>
      </c>
      <c r="Y119" s="380">
        <f t="shared" si="36"/>
        <v>42.107669046891225</v>
      </c>
      <c r="Z119" s="380">
        <f t="shared" si="37"/>
        <v>43.475357993411833</v>
      </c>
      <c r="AA119" s="381">
        <f t="shared" si="38"/>
        <v>45.783398597614138</v>
      </c>
      <c r="AB119" s="193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5.0412172859587191E-2</v>
      </c>
      <c r="AD119" s="227">
        <f>(INDEX(Models!$BJ119:$BT119,,AH119)*(1-AF119)+INDEX(Models!$BJ119:$BT119,,AH119+1)*AF119-ERP_i)*AE119*Ramure*Pc/MaxiM</f>
        <v>1.6582588426414103E-4</v>
      </c>
      <c r="AE119" s="301">
        <f t="shared" si="40"/>
        <v>0.5</v>
      </c>
      <c r="AF119" s="173">
        <f t="shared" si="41"/>
        <v>3.870338153718178E-2</v>
      </c>
      <c r="AG119" s="802">
        <f t="shared" si="49"/>
        <v>3</v>
      </c>
      <c r="AH119" s="172">
        <f t="shared" si="42"/>
        <v>9</v>
      </c>
      <c r="AI119" s="221">
        <f t="shared" si="43"/>
        <v>3.0387033815371818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46858</v>
      </c>
      <c r="B120" s="406">
        <f>'2027'!Wh/'2027'!Env_an*'2028'!Env_an</f>
        <v>39.460828788922178</v>
      </c>
      <c r="C120" s="832"/>
      <c r="D120" s="388">
        <f t="shared" si="25"/>
        <v>40.743104100320302</v>
      </c>
      <c r="E120" s="380">
        <f t="shared" si="47"/>
        <v>41.661974069026648</v>
      </c>
      <c r="F120" s="380">
        <f t="shared" si="26"/>
        <v>41.665876885565631</v>
      </c>
      <c r="G120" s="110">
        <f t="shared" si="48"/>
        <v>0.72033824643672095</v>
      </c>
      <c r="H120" s="409" t="b">
        <f>Wh_hp&gt;='2027'!Maxi_hp</f>
        <v>0</v>
      </c>
      <c r="I120" s="385">
        <f>IF(H120,Wh_hp,'2027'!Maxi_hp)</f>
        <v>41.668451970182822</v>
      </c>
      <c r="J120" s="85">
        <f>IF(H120,An,'2027'!An_max)</f>
        <v>2022</v>
      </c>
      <c r="K120" s="193">
        <f t="shared" si="27"/>
        <v>46858</v>
      </c>
      <c r="L120" s="143">
        <f>IF(t&lt;Tvie,1-EXP((T0-t)*PertePVj)+'2027'!Pspv,1-EXP((T0-t)*PertePVj)+Pspv)</f>
        <v>3.1472204676423754E-2</v>
      </c>
      <c r="M120" s="836"/>
      <c r="N120" s="836"/>
      <c r="O120" s="48">
        <f>IF(t&lt;Tnet,'2027'!Resal+('2027'!Salim-'2027'!Resal)*(1-EXP(('2027'!Tnet-t)/('2027'!Tau_j))),Resal+(Salim-Resal)*(1-EXP((Tnet-t)/(Tau_j))))*Salcycl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1.5597333833342536E-4</v>
      </c>
      <c r="Q120" s="301">
        <f t="shared" si="28"/>
        <v>0.5</v>
      </c>
      <c r="R120" s="173">
        <f t="shared" si="29"/>
        <v>4.0435039510824389E-2</v>
      </c>
      <c r="S120" s="802">
        <f t="shared" si="30"/>
        <v>3</v>
      </c>
      <c r="T120" s="172">
        <f t="shared" si="31"/>
        <v>9</v>
      </c>
      <c r="U120" s="247">
        <f t="shared" si="32"/>
        <v>3.0404350395108244</v>
      </c>
      <c r="V120" s="378">
        <f t="shared" si="33"/>
        <v>54.777557887095405</v>
      </c>
      <c r="W120" s="397">
        <f t="shared" si="34"/>
        <v>39.460828788922178</v>
      </c>
      <c r="X120" s="153">
        <f t="shared" si="35"/>
        <v>46858</v>
      </c>
      <c r="Y120" s="380">
        <f t="shared" si="36"/>
        <v>38.3148775953252</v>
      </c>
      <c r="Z120" s="380">
        <f t="shared" si="37"/>
        <v>39.559915348143988</v>
      </c>
      <c r="AA120" s="381">
        <f t="shared" si="38"/>
        <v>41.661974069026648</v>
      </c>
      <c r="AB120" s="193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5.0455091671842353E-2</v>
      </c>
      <c r="AD120" s="227">
        <f>(INDEX(Models!$BJ120:$BT120,,AH120)*(1-AF120)+INDEX(Models!$BJ120:$BT120,,AH120+1)*AF120-ERP_i)*AE120*Ramure*Pc/MaxiM</f>
        <v>1.5597333833342536E-4</v>
      </c>
      <c r="AE120" s="301">
        <f t="shared" si="40"/>
        <v>0.5</v>
      </c>
      <c r="AF120" s="173">
        <f t="shared" si="41"/>
        <v>4.0435039510824389E-2</v>
      </c>
      <c r="AG120" s="802">
        <f t="shared" si="49"/>
        <v>3</v>
      </c>
      <c r="AH120" s="172">
        <f t="shared" si="42"/>
        <v>9</v>
      </c>
      <c r="AI120" s="221">
        <f t="shared" si="43"/>
        <v>3.0404350395108244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46859</v>
      </c>
      <c r="B121" s="406">
        <f>'2027'!Wh/'2027'!Env_an*'2028'!Env_an</f>
        <v>54.652434972300313</v>
      </c>
      <c r="C121" s="832"/>
      <c r="D121" s="388">
        <f t="shared" si="25"/>
        <v>56.429132330913191</v>
      </c>
      <c r="E121" s="380">
        <f t="shared" si="47"/>
        <v>57.705329084403758</v>
      </c>
      <c r="F121" s="380">
        <f t="shared" si="26"/>
        <v>57.71361366851054</v>
      </c>
      <c r="G121" s="110">
        <f t="shared" si="48"/>
        <v>0.99246955334313514</v>
      </c>
      <c r="H121" s="409" t="b">
        <f>Wh_hp&gt;='2027'!Maxi_hp</f>
        <v>0</v>
      </c>
      <c r="I121" s="385">
        <f>IF(H121,Wh_hp,'2027'!Maxi_hp)</f>
        <v>57.713702978018006</v>
      </c>
      <c r="J121" s="85">
        <f>IF(H121,An,'2027'!An_max)</f>
        <v>2022</v>
      </c>
      <c r="K121" s="193">
        <f t="shared" si="27"/>
        <v>46859</v>
      </c>
      <c r="L121" s="143">
        <f>IF(t&lt;Tvie,1-EXP((T0-t)*PertePVj)+'2027'!Pspv,1-EXP((T0-t)*PertePVj)+Pspv)</f>
        <v>3.1485463008609105E-2</v>
      </c>
      <c r="M121" s="836"/>
      <c r="N121" s="836"/>
      <c r="O121" s="48">
        <f>IF(t&lt;Tnet,'2027'!Resal+('2027'!Salim-'2027'!Resal)*(1-EXP(('2027'!Tnet-t)/('2027'!Tau_j))),Resal+(Salim-Resal)*(1-EXP((Tnet-t)/(Tau_j))))*Salcycl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1.4510715548575546E-4</v>
      </c>
      <c r="Q121" s="301">
        <f t="shared" si="28"/>
        <v>0.5</v>
      </c>
      <c r="R121" s="173">
        <f t="shared" si="29"/>
        <v>4.2225386045501079E-2</v>
      </c>
      <c r="S121" s="802">
        <f t="shared" si="30"/>
        <v>3</v>
      </c>
      <c r="T121" s="172">
        <f t="shared" si="31"/>
        <v>9</v>
      </c>
      <c r="U121" s="247">
        <f t="shared" si="32"/>
        <v>3.0422253860455011</v>
      </c>
      <c r="V121" s="378">
        <f t="shared" si="33"/>
        <v>55.067028987805529</v>
      </c>
      <c r="W121" s="397">
        <f t="shared" si="34"/>
        <v>54.652434972300313</v>
      </c>
      <c r="X121" s="153">
        <f t="shared" si="35"/>
        <v>46859</v>
      </c>
      <c r="Y121" s="380">
        <f t="shared" si="36"/>
        <v>53.066156949197342</v>
      </c>
      <c r="Z121" s="380">
        <f t="shared" si="37"/>
        <v>54.791285956370778</v>
      </c>
      <c r="AA121" s="381">
        <f t="shared" si="38"/>
        <v>57.705329084403758</v>
      </c>
      <c r="AB121" s="193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5.0498683124581022E-2</v>
      </c>
      <c r="AD121" s="227">
        <f>(INDEX(Models!$BJ121:$BT121,,AH121)*(1-AF121)+INDEX(Models!$BJ121:$BT121,,AH121+1)*AF121-ERP_i)*AE121*Ramure*Pc/MaxiM</f>
        <v>1.4510715548575546E-4</v>
      </c>
      <c r="AE121" s="301">
        <f t="shared" si="40"/>
        <v>0.5</v>
      </c>
      <c r="AF121" s="173">
        <f t="shared" si="41"/>
        <v>4.2225386045501079E-2</v>
      </c>
      <c r="AG121" s="802">
        <f t="shared" si="49"/>
        <v>3</v>
      </c>
      <c r="AH121" s="172">
        <f t="shared" si="42"/>
        <v>9</v>
      </c>
      <c r="AI121" s="221">
        <f t="shared" si="43"/>
        <v>3.0422253860455011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46860</v>
      </c>
      <c r="B122" s="406">
        <f>'2027'!Wh/'2027'!Env_an*'2028'!Env_an</f>
        <v>34.866221854586925</v>
      </c>
      <c r="C122" s="832"/>
      <c r="D122" s="388">
        <f t="shared" si="25"/>
        <v>36.000181534423888</v>
      </c>
      <c r="E122" s="380">
        <f t="shared" si="47"/>
        <v>36.816643201700195</v>
      </c>
      <c r="F122" s="380">
        <f t="shared" si="26"/>
        <v>36.818964756519399</v>
      </c>
      <c r="G122" s="110">
        <f t="shared" si="48"/>
        <v>0.62990101489295647</v>
      </c>
      <c r="H122" s="409" t="b">
        <f>Wh_hp&gt;='2027'!Maxi_hp</f>
        <v>0</v>
      </c>
      <c r="I122" s="385">
        <f>IF(H122,Wh_hp,'2027'!Maxi_hp)</f>
        <v>36.821545007941346</v>
      </c>
      <c r="J122" s="85">
        <f>IF(H122,An,'2027'!An_max)</f>
        <v>2022</v>
      </c>
      <c r="K122" s="193">
        <f t="shared" si="27"/>
        <v>46860</v>
      </c>
      <c r="L122" s="143">
        <f>IF(t&lt;Tvie,1-EXP((T0-t)*PertePVj)+'2027'!Pspv,1-EXP((T0-t)*PertePVj)+Pspv)</f>
        <v>3.1498721159299081E-2</v>
      </c>
      <c r="M122" s="836"/>
      <c r="N122" s="836"/>
      <c r="O122" s="48">
        <f>IF(t&lt;Tnet,'2027'!Resal+('2027'!Salim-'2027'!Resal)*(1-EXP(('2027'!Tnet-t)/('2027'!Tau_j))),Resal+(Salim-Resal)*(1-EXP((Tnet-t)/(Tau_j))))*Salcycl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1.3377135100322971E-4</v>
      </c>
      <c r="Q122" s="301">
        <f t="shared" si="28"/>
        <v>0.5</v>
      </c>
      <c r="R122" s="173">
        <f t="shared" si="29"/>
        <v>4.4075866368224137E-2</v>
      </c>
      <c r="S122" s="802">
        <f t="shared" si="30"/>
        <v>3</v>
      </c>
      <c r="T122" s="172">
        <f t="shared" si="31"/>
        <v>9</v>
      </c>
      <c r="U122" s="247">
        <f t="shared" si="32"/>
        <v>3.0440758663682241</v>
      </c>
      <c r="V122" s="378">
        <f t="shared" si="33"/>
        <v>55.347991511800103</v>
      </c>
      <c r="W122" s="397">
        <f t="shared" si="34"/>
        <v>34.866221854586925</v>
      </c>
      <c r="X122" s="153">
        <f t="shared" si="35"/>
        <v>46860</v>
      </c>
      <c r="Y122" s="380">
        <f t="shared" si="36"/>
        <v>33.854757563727063</v>
      </c>
      <c r="Z122" s="380">
        <f t="shared" si="37"/>
        <v>34.955821229530343</v>
      </c>
      <c r="AA122" s="381">
        <f t="shared" si="38"/>
        <v>36.816643201700195</v>
      </c>
      <c r="AB122" s="193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5.0542955857635623E-2</v>
      </c>
      <c r="AD122" s="227">
        <f>(INDEX(Models!$BJ122:$BT122,,AH122)*(1-AF122)+INDEX(Models!$BJ122:$BT122,,AH122+1)*AF122-ERP_i)*AE122*Ramure*Pc/MaxiM</f>
        <v>1.3377135100322971E-4</v>
      </c>
      <c r="AE122" s="301">
        <f t="shared" si="40"/>
        <v>0.5</v>
      </c>
      <c r="AF122" s="173">
        <f t="shared" si="41"/>
        <v>4.4075866368224137E-2</v>
      </c>
      <c r="AG122" s="802">
        <f t="shared" si="49"/>
        <v>3</v>
      </c>
      <c r="AH122" s="172">
        <f t="shared" si="42"/>
        <v>9</v>
      </c>
      <c r="AI122" s="221">
        <f t="shared" si="43"/>
        <v>3.0440758663682241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46861</v>
      </c>
      <c r="B123" s="406">
        <f>'2027'!Wh/'2027'!Env_an*'2028'!Env_an</f>
        <v>11.471461547991938</v>
      </c>
      <c r="C123" s="832"/>
      <c r="D123" s="388">
        <f t="shared" si="25"/>
        <v>11.84471186093683</v>
      </c>
      <c r="E123" s="380">
        <f t="shared" si="47"/>
        <v>12.114097881499882</v>
      </c>
      <c r="F123" s="380">
        <f t="shared" si="26"/>
        <v>12.114097881499882</v>
      </c>
      <c r="G123" s="110">
        <f t="shared" si="48"/>
        <v>0.20621948215275762</v>
      </c>
      <c r="H123" s="409" t="b">
        <f>Wh_hp&gt;='2027'!Maxi_hp</f>
        <v>0</v>
      </c>
      <c r="I123" s="385">
        <f>IF(H123,Wh_hp,'2027'!Maxi_hp)</f>
        <v>12.115576343034617</v>
      </c>
      <c r="J123" s="85">
        <f>IF(H123,An,'2027'!An_max)</f>
        <v>2022</v>
      </c>
      <c r="K123" s="193">
        <f t="shared" si="27"/>
        <v>46861</v>
      </c>
      <c r="L123" s="143">
        <f>IF(t&lt;Tvie,1-EXP((T0-t)*PertePVj)+'2027'!Pspv,1-EXP((T0-t)*PertePVj)+Pspv)</f>
        <v>3.1511979128496126E-2</v>
      </c>
      <c r="M123" s="836"/>
      <c r="N123" s="836"/>
      <c r="O123" s="48">
        <f>IF(t&lt;Tnet,'2027'!Resal+('2027'!Salim-'2027'!Resal)*(1-EXP(('2027'!Tnet-t)/('2027'!Tau_j))),Resal+(Salim-Resal)*(1-EXP((Tnet-t)/(Tau_j))))*Salcycl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1.2323108542523829E-4</v>
      </c>
      <c r="Q123" s="301">
        <f t="shared" si="28"/>
        <v>0.5</v>
      </c>
      <c r="R123" s="173">
        <f t="shared" si="29"/>
        <v>4.5987919452860737E-2</v>
      </c>
      <c r="S123" s="802">
        <f t="shared" si="30"/>
        <v>3</v>
      </c>
      <c r="T123" s="172">
        <f t="shared" si="31"/>
        <v>9</v>
      </c>
      <c r="U123" s="247">
        <f t="shared" si="32"/>
        <v>3.0459879194528607</v>
      </c>
      <c r="V123" s="378">
        <f t="shared" si="33"/>
        <v>55.620583407524499</v>
      </c>
      <c r="W123" s="397">
        <f t="shared" si="34"/>
        <v>11.471461547991938</v>
      </c>
      <c r="X123" s="153">
        <f t="shared" si="35"/>
        <v>46861</v>
      </c>
      <c r="Y123" s="380">
        <f t="shared" si="36"/>
        <v>11.138843087668862</v>
      </c>
      <c r="Z123" s="380">
        <f t="shared" si="37"/>
        <v>11.501270896097878</v>
      </c>
      <c r="AA123" s="381">
        <f t="shared" si="38"/>
        <v>12.114097881499882</v>
      </c>
      <c r="AB123" s="193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5.0587917597882948E-2</v>
      </c>
      <c r="AD123" s="227">
        <f>(INDEX(Models!$BJ123:$BT123,,AH123)*(1-AF123)+INDEX(Models!$BJ123:$BT123,,AH123+1)*AF123-ERP_i)*AE123*Ramure*Pc/MaxiM</f>
        <v>1.2323108542523829E-4</v>
      </c>
      <c r="AE123" s="301">
        <f t="shared" si="40"/>
        <v>0.5</v>
      </c>
      <c r="AF123" s="173">
        <f t="shared" si="41"/>
        <v>4.5987919452860737E-2</v>
      </c>
      <c r="AG123" s="802">
        <f t="shared" si="49"/>
        <v>3</v>
      </c>
      <c r="AH123" s="172">
        <f t="shared" si="42"/>
        <v>9</v>
      </c>
      <c r="AI123" s="221">
        <f t="shared" si="43"/>
        <v>3.0459879194528607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46862</v>
      </c>
      <c r="B124" s="406">
        <f>'2027'!Wh/'2027'!Env_an*'2028'!Env_an</f>
        <v>11.495604594136541</v>
      </c>
      <c r="C124" s="832"/>
      <c r="D124" s="388">
        <f t="shared" si="25"/>
        <v>11.869802944097867</v>
      </c>
      <c r="E124" s="380">
        <f t="shared" si="47"/>
        <v>12.140520345843981</v>
      </c>
      <c r="F124" s="380">
        <f t="shared" si="26"/>
        <v>12.140520345843981</v>
      </c>
      <c r="G124" s="110">
        <f t="shared" si="48"/>
        <v>0.20567768709044729</v>
      </c>
      <c r="H124" s="409" t="b">
        <f>Wh_hp&gt;='2027'!Maxi_hp</f>
        <v>0</v>
      </c>
      <c r="I124" s="385">
        <f>IF(H124,Wh_hp,'2027'!Maxi_hp)</f>
        <v>12.141883816288592</v>
      </c>
      <c r="J124" s="85">
        <f>IF(H124,An,'2027'!An_max)</f>
        <v>2022</v>
      </c>
      <c r="K124" s="193">
        <f t="shared" si="27"/>
        <v>46862</v>
      </c>
      <c r="L124" s="143">
        <f>IF(t&lt;Tvie,1-EXP((T0-t)*PertePVj)+'2027'!Pspv,1-EXP((T0-t)*PertePVj)+Pspv)</f>
        <v>3.1525236916202681E-2</v>
      </c>
      <c r="M124" s="836"/>
      <c r="N124" s="836"/>
      <c r="O124" s="48">
        <f>IF(t&lt;Tnet,'2027'!Resal+('2027'!Salim-'2027'!Resal)*(1-EXP(('2027'!Tnet-t)/('2027'!Tau_j))),Resal+(Salim-Resal)*(1-EXP((Tnet-t)/(Tau_j))))*Salcycl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1.1347433945571808E-4</v>
      </c>
      <c r="Q124" s="301">
        <f t="shared" si="28"/>
        <v>0.5</v>
      </c>
      <c r="R124" s="173">
        <f t="shared" si="29"/>
        <v>4.7962974181530171E-2</v>
      </c>
      <c r="S124" s="802">
        <f t="shared" si="30"/>
        <v>3</v>
      </c>
      <c r="T124" s="172">
        <f t="shared" si="31"/>
        <v>9</v>
      </c>
      <c r="U124" s="247">
        <f t="shared" si="32"/>
        <v>3.0479629741815302</v>
      </c>
      <c r="V124" s="378">
        <f t="shared" si="33"/>
        <v>55.885012616579687</v>
      </c>
      <c r="W124" s="397">
        <f t="shared" si="34"/>
        <v>11.495604594136541</v>
      </c>
      <c r="X124" s="153">
        <f t="shared" si="35"/>
        <v>46862</v>
      </c>
      <c r="Y124" s="380">
        <f t="shared" si="36"/>
        <v>11.162448745729483</v>
      </c>
      <c r="Z124" s="380">
        <f t="shared" si="37"/>
        <v>11.52580239694243</v>
      </c>
      <c r="AA124" s="381">
        <f t="shared" si="38"/>
        <v>12.140520345843981</v>
      </c>
      <c r="AB124" s="193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5.0633575117889067E-2</v>
      </c>
      <c r="AD124" s="227">
        <f>(INDEX(Models!$BJ124:$BT124,,AH124)*(1-AF124)+INDEX(Models!$BJ124:$BT124,,AH124+1)*AF124-ERP_i)*AE124*Ramure*Pc/MaxiM</f>
        <v>1.1347433945571808E-4</v>
      </c>
      <c r="AE124" s="301">
        <f t="shared" si="40"/>
        <v>0.5</v>
      </c>
      <c r="AF124" s="173">
        <f t="shared" si="41"/>
        <v>4.7962974181530171E-2</v>
      </c>
      <c r="AG124" s="802">
        <f t="shared" si="49"/>
        <v>3</v>
      </c>
      <c r="AH124" s="172">
        <f t="shared" si="42"/>
        <v>9</v>
      </c>
      <c r="AI124" s="221">
        <f t="shared" si="43"/>
        <v>3.0479629741815302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46863</v>
      </c>
      <c r="B125" s="406">
        <f>'2027'!Wh/'2027'!Env_an*'2028'!Env_an</f>
        <v>11.033757566226571</v>
      </c>
      <c r="C125" s="832"/>
      <c r="D125" s="388">
        <f t="shared" si="25"/>
        <v>11.393078097394772</v>
      </c>
      <c r="E125" s="380">
        <f t="shared" si="47"/>
        <v>11.653656589557409</v>
      </c>
      <c r="F125" s="380">
        <f t="shared" si="26"/>
        <v>11.653656589557409</v>
      </c>
      <c r="G125" s="110">
        <f t="shared" si="48"/>
        <v>0.19651429318484898</v>
      </c>
      <c r="H125" s="409" t="b">
        <f>Wh_hp&gt;='2027'!Maxi_hp</f>
        <v>0</v>
      </c>
      <c r="I125" s="385">
        <f>IF(H125,Wh_hp,'2027'!Maxi_hp)</f>
        <v>11.654860886678643</v>
      </c>
      <c r="J125" s="85">
        <f>IF(H125,An,'2027'!An_max)</f>
        <v>2022</v>
      </c>
      <c r="K125" s="193">
        <f t="shared" si="27"/>
        <v>46863</v>
      </c>
      <c r="L125" s="143">
        <f>IF(t&lt;Tvie,1-EXP((T0-t)*PertePVj)+'2027'!Pspv,1-EXP((T0-t)*PertePVj)+Pspv)</f>
        <v>3.153849452242119E-2</v>
      </c>
      <c r="M125" s="836"/>
      <c r="N125" s="836"/>
      <c r="O125" s="48">
        <f>IF(t&lt;Tnet,'2027'!Resal+('2027'!Salim-'2027'!Resal)*(1-EXP(('2027'!Tnet-t)/('2027'!Tau_j))),Resal+(Salim-Resal)*(1-EXP((Tnet-t)/(Tau_j))))*Salcycl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1.0449112665270826E-4</v>
      </c>
      <c r="Q125" s="301">
        <f t="shared" si="28"/>
        <v>0.5</v>
      </c>
      <c r="R125" s="173">
        <f t="shared" si="29"/>
        <v>5.0002445247002925E-2</v>
      </c>
      <c r="S125" s="802">
        <f t="shared" si="30"/>
        <v>3</v>
      </c>
      <c r="T125" s="172">
        <f t="shared" si="31"/>
        <v>9</v>
      </c>
      <c r="U125" s="247">
        <f t="shared" si="32"/>
        <v>3.0500024452470029</v>
      </c>
      <c r="V125" s="378">
        <f t="shared" si="33"/>
        <v>56.141487001607388</v>
      </c>
      <c r="W125" s="397">
        <f t="shared" si="34"/>
        <v>11.033757566226571</v>
      </c>
      <c r="X125" s="153">
        <f t="shared" si="35"/>
        <v>46863</v>
      </c>
      <c r="Y125" s="380">
        <f t="shared" si="36"/>
        <v>10.714138097387155</v>
      </c>
      <c r="Z125" s="380">
        <f t="shared" si="37"/>
        <v>11.063050040490433</v>
      </c>
      <c r="AA125" s="381">
        <f t="shared" si="38"/>
        <v>11.653656589557409</v>
      </c>
      <c r="AB125" s="193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5.0679934193033106E-2</v>
      </c>
      <c r="AD125" s="227">
        <f>(INDEX(Models!$BJ125:$BT125,,AH125)*(1-AF125)+INDEX(Models!$BJ125:$BT125,,AH125+1)*AF125-ERP_i)*AE125*Ramure*Pc/MaxiM</f>
        <v>1.0449112665270826E-4</v>
      </c>
      <c r="AE125" s="301">
        <f t="shared" si="40"/>
        <v>0.5</v>
      </c>
      <c r="AF125" s="173">
        <f t="shared" si="41"/>
        <v>5.0002445247002925E-2</v>
      </c>
      <c r="AG125" s="802">
        <f t="shared" si="49"/>
        <v>3</v>
      </c>
      <c r="AH125" s="172">
        <f t="shared" si="42"/>
        <v>9</v>
      </c>
      <c r="AI125" s="221">
        <f t="shared" si="43"/>
        <v>3.0500024452470029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46864</v>
      </c>
      <c r="B126" s="406">
        <f>'2027'!Wh/'2027'!Env_an*'2028'!Env_an</f>
        <v>29.348992363272721</v>
      </c>
      <c r="C126" s="832"/>
      <c r="D126" s="388">
        <f t="shared" si="25"/>
        <v>30.305173686133017</v>
      </c>
      <c r="E126" s="380">
        <f t="shared" si="47"/>
        <v>31.000265000320088</v>
      </c>
      <c r="F126" s="380">
        <f t="shared" si="26"/>
        <v>31.001204983904419</v>
      </c>
      <c r="G126" s="110">
        <f t="shared" si="48"/>
        <v>0.52042818074641051</v>
      </c>
      <c r="H126" s="409" t="b">
        <f>Wh_hp&gt;='2027'!Maxi_hp</f>
        <v>0</v>
      </c>
      <c r="I126" s="385">
        <f>IF(H126,Wh_hp,'2027'!Maxi_hp)</f>
        <v>31.003225427552021</v>
      </c>
      <c r="J126" s="85">
        <f>IF(H126,An,'2027'!An_max)</f>
        <v>2022</v>
      </c>
      <c r="K126" s="193">
        <f t="shared" si="27"/>
        <v>46864</v>
      </c>
      <c r="L126" s="143">
        <f>IF(t&lt;Tvie,1-EXP((T0-t)*PertePVj)+'2027'!Pspv,1-EXP((T0-t)*PertePVj)+Pspv)</f>
        <v>3.1551751947154316E-2</v>
      </c>
      <c r="M126" s="836"/>
      <c r="N126" s="836"/>
      <c r="O126" s="48">
        <f>IF(t&lt;Tnet,'2027'!Resal+('2027'!Salim-'2027'!Resal)*(1-EXP(('2027'!Tnet-t)/('2027'!Tau_j))),Resal+(Salim-Resal)*(1-EXP((Tnet-t)/(Tau_j))))*Salcycl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9.6273107887088143E-5</v>
      </c>
      <c r="Q126" s="301">
        <f t="shared" si="28"/>
        <v>0.5</v>
      </c>
      <c r="R126" s="173">
        <f t="shared" si="29"/>
        <v>5.2107728793885588E-2</v>
      </c>
      <c r="S126" s="802">
        <f t="shared" si="30"/>
        <v>3</v>
      </c>
      <c r="T126" s="172">
        <f t="shared" si="31"/>
        <v>9</v>
      </c>
      <c r="U126" s="247">
        <f t="shared" si="32"/>
        <v>3.0521077287938856</v>
      </c>
      <c r="V126" s="378">
        <f t="shared" si="33"/>
        <v>56.390214363177975</v>
      </c>
      <c r="W126" s="397">
        <f t="shared" si="34"/>
        <v>29.348992363272721</v>
      </c>
      <c r="X126" s="153">
        <f t="shared" si="35"/>
        <v>46864</v>
      </c>
      <c r="Y126" s="380">
        <f t="shared" si="36"/>
        <v>28.499218620849298</v>
      </c>
      <c r="Z126" s="380">
        <f t="shared" si="37"/>
        <v>29.427714571377045</v>
      </c>
      <c r="AA126" s="381">
        <f t="shared" si="38"/>
        <v>31.000265000320088</v>
      </c>
      <c r="AB126" s="193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5.0726999557158724E-2</v>
      </c>
      <c r="AD126" s="227">
        <f>(INDEX(Models!$BJ126:$BT126,,AH126)*(1-AF126)+INDEX(Models!$BJ126:$BT126,,AH126+1)*AF126-ERP_i)*AE126*Ramure*Pc/MaxiM</f>
        <v>9.6273107887088143E-5</v>
      </c>
      <c r="AE126" s="301">
        <f t="shared" si="40"/>
        <v>0.5</v>
      </c>
      <c r="AF126" s="173">
        <f t="shared" si="41"/>
        <v>5.2107728793885588E-2</v>
      </c>
      <c r="AG126" s="802">
        <f t="shared" si="49"/>
        <v>3</v>
      </c>
      <c r="AH126" s="172">
        <f t="shared" si="42"/>
        <v>9</v>
      </c>
      <c r="AI126" s="221">
        <f t="shared" si="43"/>
        <v>3.0521077287938856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46865</v>
      </c>
      <c r="B127" s="406">
        <f>'2027'!Wh/'2027'!Env_an*'2028'!Env_an</f>
        <v>9.6355042167493128</v>
      </c>
      <c r="C127" s="832"/>
      <c r="D127" s="388">
        <f t="shared" si="25"/>
        <v>9.9495622403050401</v>
      </c>
      <c r="E127" s="380">
        <f t="shared" si="47"/>
        <v>10.178416735854114</v>
      </c>
      <c r="F127" s="380">
        <f t="shared" si="26"/>
        <v>10.178416735854114</v>
      </c>
      <c r="G127" s="110">
        <f t="shared" si="48"/>
        <v>0.17012908104613048</v>
      </c>
      <c r="H127" s="409" t="b">
        <f>Wh_hp&gt;='2027'!Maxi_hp</f>
        <v>0</v>
      </c>
      <c r="I127" s="385">
        <f>IF(H127,Wh_hp,'2027'!Maxi_hp)</f>
        <v>10.179309228480937</v>
      </c>
      <c r="J127" s="85">
        <f>IF(H127,An,'2027'!An_max)</f>
        <v>2022</v>
      </c>
      <c r="K127" s="193">
        <f t="shared" si="27"/>
        <v>46865</v>
      </c>
      <c r="L127" s="143">
        <f>IF(t&lt;Tvie,1-EXP((T0-t)*PertePVj)+'2027'!Pspv,1-EXP((T0-t)*PertePVj)+Pspv)</f>
        <v>3.1565009190404281E-2</v>
      </c>
      <c r="M127" s="836"/>
      <c r="N127" s="836"/>
      <c r="O127" s="48">
        <f>IF(t&lt;Tnet,'2027'!Resal+('2027'!Salim-'2027'!Resal)*(1-EXP(('2027'!Tnet-t)/('2027'!Tau_j))),Resal+(Salim-Resal)*(1-EXP((Tnet-t)/(Tau_j))))*Salcycl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8.8813333552803967E-5</v>
      </c>
      <c r="Q127" s="301">
        <f t="shared" si="28"/>
        <v>0.5</v>
      </c>
      <c r="R127" s="173">
        <f t="shared" si="29"/>
        <v>5.4280197797918817E-2</v>
      </c>
      <c r="S127" s="802">
        <f t="shared" si="30"/>
        <v>3</v>
      </c>
      <c r="T127" s="172">
        <f t="shared" si="31"/>
        <v>9</v>
      </c>
      <c r="U127" s="247">
        <f t="shared" si="32"/>
        <v>3.0542801977979188</v>
      </c>
      <c r="V127" s="378">
        <f t="shared" si="33"/>
        <v>56.631402440167932</v>
      </c>
      <c r="W127" s="397">
        <f t="shared" si="34"/>
        <v>9.6355042167493128</v>
      </c>
      <c r="X127" s="153">
        <f t="shared" si="35"/>
        <v>46865</v>
      </c>
      <c r="Y127" s="380">
        <f t="shared" si="36"/>
        <v>9.3566411118458568</v>
      </c>
      <c r="Z127" s="380">
        <f t="shared" si="37"/>
        <v>9.6616099176919032</v>
      </c>
      <c r="AA127" s="381">
        <f t="shared" si="38"/>
        <v>10.178416735854114</v>
      </c>
      <c r="AB127" s="193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5.0774774856852466E-2</v>
      </c>
      <c r="AD127" s="227">
        <f>(INDEX(Models!$BJ127:$BT127,,AH127)*(1-AF127)+INDEX(Models!$BJ127:$BT127,,AH127+1)*AF127-ERP_i)*AE127*Ramure*Pc/MaxiM</f>
        <v>8.8813333552803967E-5</v>
      </c>
      <c r="AE127" s="301">
        <f t="shared" si="40"/>
        <v>0.5</v>
      </c>
      <c r="AF127" s="173">
        <f t="shared" si="41"/>
        <v>5.4280197797918817E-2</v>
      </c>
      <c r="AG127" s="802">
        <f t="shared" si="49"/>
        <v>3</v>
      </c>
      <c r="AH127" s="172">
        <f t="shared" si="42"/>
        <v>9</v>
      </c>
      <c r="AI127" s="221">
        <f t="shared" si="43"/>
        <v>3.0542801977979188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46866</v>
      </c>
      <c r="B128" s="406">
        <f>'2027'!Wh/'2027'!Env_an*'2028'!Env_an</f>
        <v>34.549045508664015</v>
      </c>
      <c r="C128" s="832"/>
      <c r="D128" s="388">
        <f t="shared" si="25"/>
        <v>35.67561972711826</v>
      </c>
      <c r="E128" s="380">
        <f t="shared" si="47"/>
        <v>36.498544649034123</v>
      </c>
      <c r="F128" s="380">
        <f t="shared" si="26"/>
        <v>36.499860748865657</v>
      </c>
      <c r="G128" s="110">
        <f t="shared" si="48"/>
        <v>0.60753182472503142</v>
      </c>
      <c r="H128" s="409" t="b">
        <f>Wh_hp&gt;='2027'!Maxi_hp</f>
        <v>0</v>
      </c>
      <c r="I128" s="385">
        <f>IF(H128,Wh_hp,'2027'!Maxi_hp)</f>
        <v>36.501517073169801</v>
      </c>
      <c r="J128" s="85">
        <f>IF(H128,An,'2027'!An_max)</f>
        <v>2022</v>
      </c>
      <c r="K128" s="193">
        <f t="shared" si="27"/>
        <v>46866</v>
      </c>
      <c r="L128" s="143">
        <f>IF(t&lt;Tvie,1-EXP((T0-t)*PertePVj)+'2027'!Pspv,1-EXP((T0-t)*PertePVj)+Pspv)</f>
        <v>3.1578266252173859E-2</v>
      </c>
      <c r="M128" s="836"/>
      <c r="N128" s="836"/>
      <c r="O128" s="48">
        <f>IF(t&lt;Tnet,'2027'!Resal+('2027'!Salim-'2027'!Resal)*(1-EXP(('2027'!Tnet-t)/('2027'!Tau_j))),Resal+(Salim-Resal)*(1-EXP((Tnet-t)/(Tau_j))))*Salcycl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8.2066540458182558E-5</v>
      </c>
      <c r="Q128" s="301">
        <f t="shared" si="28"/>
        <v>0.5</v>
      </c>
      <c r="R128" s="173">
        <f t="shared" si="29"/>
        <v>5.6521197184500327E-2</v>
      </c>
      <c r="S128" s="802">
        <f t="shared" si="30"/>
        <v>3</v>
      </c>
      <c r="T128" s="172">
        <f t="shared" si="31"/>
        <v>9</v>
      </c>
      <c r="U128" s="247">
        <f t="shared" si="32"/>
        <v>3.0565211971845003</v>
      </c>
      <c r="V128" s="378">
        <f t="shared" si="33"/>
        <v>56.865261180887117</v>
      </c>
      <c r="W128" s="397">
        <f t="shared" si="34"/>
        <v>34.549045508664015</v>
      </c>
      <c r="X128" s="153">
        <f t="shared" si="35"/>
        <v>46866</v>
      </c>
      <c r="Y128" s="380">
        <f t="shared" si="36"/>
        <v>33.549585667121057</v>
      </c>
      <c r="Z128" s="380">
        <f t="shared" si="37"/>
        <v>34.643569529654172</v>
      </c>
      <c r="AA128" s="381">
        <f t="shared" si="38"/>
        <v>36.498544649034123</v>
      </c>
      <c r="AB128" s="193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5.0823262604500583E-2</v>
      </c>
      <c r="AD128" s="227">
        <f>(INDEX(Models!$BJ128:$BT128,,AH128)*(1-AF128)+INDEX(Models!$BJ128:$BT128,,AH128+1)*AF128-ERP_i)*AE128*Ramure*Pc/MaxiM</f>
        <v>8.2066540458182558E-5</v>
      </c>
      <c r="AE128" s="301">
        <f t="shared" si="40"/>
        <v>0.5</v>
      </c>
      <c r="AF128" s="173">
        <f t="shared" si="41"/>
        <v>5.6521197184500327E-2</v>
      </c>
      <c r="AG128" s="802">
        <f t="shared" si="49"/>
        <v>3</v>
      </c>
      <c r="AH128" s="172">
        <f t="shared" si="42"/>
        <v>9</v>
      </c>
      <c r="AI128" s="221">
        <f t="shared" si="43"/>
        <v>3.0565211971845003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46867</v>
      </c>
      <c r="B129" s="406">
        <f>'2027'!Wh/'2027'!Env_an*'2028'!Env_an</f>
        <v>45.59524723644784</v>
      </c>
      <c r="C129" s="832"/>
      <c r="D129" s="388">
        <f t="shared" si="25"/>
        <v>47.082660184814408</v>
      </c>
      <c r="E129" s="380">
        <f t="shared" si="47"/>
        <v>48.171805261903202</v>
      </c>
      <c r="F129" s="380">
        <f t="shared" si="26"/>
        <v>48.174407750272785</v>
      </c>
      <c r="G129" s="110">
        <f t="shared" si="48"/>
        <v>0.79861005400470775</v>
      </c>
      <c r="H129" s="409" t="b">
        <f>Wh_hp&gt;='2027'!Maxi_hp</f>
        <v>0</v>
      </c>
      <c r="I129" s="385">
        <f>IF(H129,Wh_hp,'2027'!Maxi_hp)</f>
        <v>48.17544330333763</v>
      </c>
      <c r="J129" s="85">
        <f>IF(H129,An,'2027'!An_max)</f>
        <v>2022</v>
      </c>
      <c r="K129" s="193">
        <f t="shared" si="27"/>
        <v>46867</v>
      </c>
      <c r="L129" s="143">
        <f>IF(t&lt;Tvie,1-EXP((T0-t)*PertePVj)+'2027'!Pspv,1-EXP((T0-t)*PertePVj)+Pspv)</f>
        <v>3.1591523132465271E-2</v>
      </c>
      <c r="M129" s="836"/>
      <c r="N129" s="836"/>
      <c r="O129" s="48">
        <f>IF(t&lt;Tnet,'2027'!Resal+('2027'!Salim-'2027'!Resal)*(1-EXP(('2027'!Tnet-t)/('2027'!Tau_j))),Resal+(Salim-Resal)*(1-EXP((Tnet-t)/(Tau_j))))*Salcycl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7.5839287632732346E-5</v>
      </c>
      <c r="Q129" s="301">
        <f t="shared" si="28"/>
        <v>0.5</v>
      </c>
      <c r="R129" s="173">
        <f t="shared" si="29"/>
        <v>5.8832038689466515E-2</v>
      </c>
      <c r="S129" s="802">
        <f t="shared" si="30"/>
        <v>3</v>
      </c>
      <c r="T129" s="172">
        <f t="shared" si="31"/>
        <v>9</v>
      </c>
      <c r="U129" s="247">
        <f t="shared" si="32"/>
        <v>3.0588320386894665</v>
      </c>
      <c r="V129" s="378">
        <f t="shared" si="33"/>
        <v>57.092009046714125</v>
      </c>
      <c r="W129" s="397">
        <f t="shared" si="34"/>
        <v>45.59524723644784</v>
      </c>
      <c r="X129" s="153">
        <f t="shared" si="35"/>
        <v>46867</v>
      </c>
      <c r="Y129" s="380">
        <f t="shared" si="36"/>
        <v>44.276784895346822</v>
      </c>
      <c r="Z129" s="380">
        <f t="shared" si="37"/>
        <v>45.721186826623878</v>
      </c>
      <c r="AA129" s="381">
        <f t="shared" si="38"/>
        <v>48.171805261903202</v>
      </c>
      <c r="AB129" s="193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5.087246413032815E-2</v>
      </c>
      <c r="AD129" s="227">
        <f>(INDEX(Models!$BJ129:$BT129,,AH129)*(1-AF129)+INDEX(Models!$BJ129:$BT129,,AH129+1)*AF129-ERP_i)*AE129*Ramure*Pc/MaxiM</f>
        <v>7.5839287632732346E-5</v>
      </c>
      <c r="AE129" s="301">
        <f t="shared" si="40"/>
        <v>0.5</v>
      </c>
      <c r="AF129" s="173">
        <f t="shared" si="41"/>
        <v>5.8832038689466515E-2</v>
      </c>
      <c r="AG129" s="802">
        <f t="shared" si="49"/>
        <v>3</v>
      </c>
      <c r="AH129" s="172">
        <f t="shared" si="42"/>
        <v>9</v>
      </c>
      <c r="AI129" s="221">
        <f t="shared" si="43"/>
        <v>3.0588320386894665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46868</v>
      </c>
      <c r="B130" s="406">
        <f>'2027'!Wh/'2027'!Env_an*'2028'!Env_an</f>
        <v>56.929238584747687</v>
      </c>
      <c r="C130" s="832"/>
      <c r="D130" s="388">
        <f t="shared" si="25"/>
        <v>58.787194937650746</v>
      </c>
      <c r="E130" s="380">
        <f t="shared" si="47"/>
        <v>60.150981382779577</v>
      </c>
      <c r="F130" s="380">
        <f t="shared" si="26"/>
        <v>60.155159743218867</v>
      </c>
      <c r="G130" s="110">
        <f t="shared" si="48"/>
        <v>0.99332331375595817</v>
      </c>
      <c r="H130" s="409" t="b">
        <f>Wh_hp&gt;='2027'!Maxi_hp</f>
        <v>0</v>
      </c>
      <c r="I130" s="385">
        <f>IF(H130,Wh_hp,'2027'!Maxi_hp)</f>
        <v>60.155199341869753</v>
      </c>
      <c r="J130" s="85">
        <f>IF(H130,An,'2027'!An_max)</f>
        <v>2022</v>
      </c>
      <c r="K130" s="193">
        <f t="shared" si="27"/>
        <v>46868</v>
      </c>
      <c r="L130" s="143">
        <f>IF(t&lt;Tvie,1-EXP((T0-t)*PertePVj)+'2027'!Pspv,1-EXP((T0-t)*PertePVj)+Pspv)</f>
        <v>3.1604779831281182E-2</v>
      </c>
      <c r="M130" s="836"/>
      <c r="N130" s="836"/>
      <c r="O130" s="48">
        <f>IF(t&lt;Tnet,'2027'!Resal+('2027'!Salim-'2027'!Resal)*(1-EXP(('2027'!Tnet-t)/('2027'!Tau_j))),Resal+(Salim-Resal)*(1-EXP((Tnet-t)/(Tau_j))))*Salcycl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7.0128546272621014E-5</v>
      </c>
      <c r="Q130" s="301">
        <f t="shared" si="28"/>
        <v>0.5</v>
      </c>
      <c r="R130" s="173">
        <f t="shared" si="29"/>
        <v>6.1213995467325422E-2</v>
      </c>
      <c r="S130" s="802">
        <f t="shared" si="30"/>
        <v>3</v>
      </c>
      <c r="T130" s="172">
        <f t="shared" si="31"/>
        <v>9</v>
      </c>
      <c r="U130" s="247">
        <f t="shared" si="32"/>
        <v>3.0612139954673254</v>
      </c>
      <c r="V130" s="378">
        <f t="shared" si="33"/>
        <v>57.311853771924895</v>
      </c>
      <c r="W130" s="397">
        <f t="shared" si="34"/>
        <v>56.929238584747687</v>
      </c>
      <c r="X130" s="153">
        <f t="shared" si="35"/>
        <v>46868</v>
      </c>
      <c r="Y130" s="380">
        <f t="shared" si="36"/>
        <v>55.283698179880403</v>
      </c>
      <c r="Z130" s="380">
        <f t="shared" si="37"/>
        <v>57.087950279482577</v>
      </c>
      <c r="AA130" s="381">
        <f t="shared" si="38"/>
        <v>60.150981382779577</v>
      </c>
      <c r="AB130" s="193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5.0922379533676336E-2</v>
      </c>
      <c r="AD130" s="227">
        <f>(INDEX(Models!$BJ130:$BT130,,AH130)*(1-AF130)+INDEX(Models!$BJ130:$BT130,,AH130+1)*AF130-ERP_i)*AE130*Ramure*Pc/MaxiM</f>
        <v>7.0128546272621014E-5</v>
      </c>
      <c r="AE130" s="301">
        <f t="shared" si="40"/>
        <v>0.5</v>
      </c>
      <c r="AF130" s="173">
        <f t="shared" si="41"/>
        <v>6.1213995467325422E-2</v>
      </c>
      <c r="AG130" s="802">
        <f t="shared" si="49"/>
        <v>3</v>
      </c>
      <c r="AH130" s="172">
        <f t="shared" si="42"/>
        <v>9</v>
      </c>
      <c r="AI130" s="221">
        <f t="shared" si="43"/>
        <v>3.0612139954673254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46869</v>
      </c>
      <c r="B131" s="406">
        <f>'2027'!Wh/'2027'!Env_an*'2028'!Env_an</f>
        <v>45.251083126701737</v>
      </c>
      <c r="C131" s="832"/>
      <c r="D131" s="388">
        <f t="shared" si="25"/>
        <v>46.728548057708799</v>
      </c>
      <c r="E131" s="380">
        <f t="shared" si="47"/>
        <v>47.815693478986745</v>
      </c>
      <c r="F131" s="380">
        <f t="shared" si="26"/>
        <v>47.817851995274907</v>
      </c>
      <c r="G131" s="110">
        <f t="shared" si="48"/>
        <v>0.78661773287763348</v>
      </c>
      <c r="H131" s="409" t="b">
        <f>Wh_hp&gt;='2027'!Maxi_hp</f>
        <v>0</v>
      </c>
      <c r="I131" s="385">
        <f>IF(H131,Wh_hp,'2027'!Maxi_hp)</f>
        <v>47.818782462690812</v>
      </c>
      <c r="J131" s="85">
        <f>IF(H131,An,'2027'!An_max)</f>
        <v>2022</v>
      </c>
      <c r="K131" s="193">
        <f t="shared" si="27"/>
        <v>46869</v>
      </c>
      <c r="L131" s="143">
        <f>IF(t&lt;Tvie,1-EXP((T0-t)*PertePVj)+'2027'!Pspv,1-EXP((T0-t)*PertePVj)+Pspv)</f>
        <v>3.1618036348624035E-2</v>
      </c>
      <c r="M131" s="836"/>
      <c r="N131" s="836"/>
      <c r="O131" s="48">
        <f>IF(t&lt;Tnet,'2027'!Resal+('2027'!Salim-'2027'!Resal)*(1-EXP(('2027'!Tnet-t)/('2027'!Tau_j))),Resal+(Salim-Resal)*(1-EXP((Tnet-t)/(Tau_j))))*Salcycl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6.4932403727215702E-5</v>
      </c>
      <c r="Q131" s="301">
        <f t="shared" si="28"/>
        <v>0.5</v>
      </c>
      <c r="R131" s="173">
        <f t="shared" si="29"/>
        <v>6.3668296454460371E-2</v>
      </c>
      <c r="S131" s="802">
        <f t="shared" si="30"/>
        <v>3</v>
      </c>
      <c r="T131" s="172">
        <f t="shared" si="31"/>
        <v>9</v>
      </c>
      <c r="U131" s="247">
        <f t="shared" si="32"/>
        <v>3.0636682964544604</v>
      </c>
      <c r="V131" s="378">
        <f t="shared" si="33"/>
        <v>57.525003041170073</v>
      </c>
      <c r="W131" s="397">
        <f t="shared" si="34"/>
        <v>45.251083126701737</v>
      </c>
      <c r="X131" s="153">
        <f t="shared" si="35"/>
        <v>46869</v>
      </c>
      <c r="Y131" s="380">
        <f t="shared" si="36"/>
        <v>43.943608382775643</v>
      </c>
      <c r="Z131" s="380">
        <f t="shared" si="37"/>
        <v>45.378383770265714</v>
      </c>
      <c r="AA131" s="381">
        <f t="shared" si="38"/>
        <v>47.815693478986745</v>
      </c>
      <c r="AB131" s="193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5.0973007633825118E-2</v>
      </c>
      <c r="AD131" s="227">
        <f>(INDEX(Models!$BJ131:$BT131,,AH131)*(1-AF131)+INDEX(Models!$BJ131:$BT131,,AH131+1)*AF131-ERP_i)*AE131*Ramure*Pc/MaxiM</f>
        <v>6.4932403727215702E-5</v>
      </c>
      <c r="AE131" s="301">
        <f t="shared" si="40"/>
        <v>0.5</v>
      </c>
      <c r="AF131" s="173">
        <f t="shared" si="41"/>
        <v>6.3668296454460371E-2</v>
      </c>
      <c r="AG131" s="802">
        <f t="shared" si="49"/>
        <v>3</v>
      </c>
      <c r="AH131" s="172">
        <f t="shared" si="42"/>
        <v>9</v>
      </c>
      <c r="AI131" s="221">
        <f t="shared" si="43"/>
        <v>3.0636682964544604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46870</v>
      </c>
      <c r="B132" s="406">
        <f>'2027'!Wh/'2027'!Env_an*'2028'!Env_an</f>
        <v>24.124547249889321</v>
      </c>
      <c r="C132" s="832"/>
      <c r="D132" s="388">
        <f t="shared" si="25"/>
        <v>24.912563848502508</v>
      </c>
      <c r="E132" s="380">
        <f t="shared" si="47"/>
        <v>25.493821004042204</v>
      </c>
      <c r="F132" s="380">
        <f t="shared" si="26"/>
        <v>25.494079655957641</v>
      </c>
      <c r="G132" s="110">
        <f t="shared" si="48"/>
        <v>0.41785281456016793</v>
      </c>
      <c r="H132" s="409" t="b">
        <f>Wh_hp&gt;='2027'!Maxi_hp</f>
        <v>0</v>
      </c>
      <c r="I132" s="385">
        <f>IF(H132,Wh_hp,'2027'!Maxi_hp)</f>
        <v>25.495334159248106</v>
      </c>
      <c r="J132" s="85">
        <f>IF(H132,An,'2027'!An_max)</f>
        <v>2022</v>
      </c>
      <c r="K132" s="193">
        <f t="shared" si="27"/>
        <v>46870</v>
      </c>
      <c r="L132" s="143">
        <f>IF(t&lt;Tvie,1-EXP((T0-t)*PertePVj)+'2027'!Pspv,1-EXP((T0-t)*PertePVj)+Pspv)</f>
        <v>3.1631292684496382E-2</v>
      </c>
      <c r="M132" s="836"/>
      <c r="N132" s="836"/>
      <c r="O132" s="48">
        <f>IF(t&lt;Tnet,'2027'!Resal+('2027'!Salim-'2027'!Resal)*(1-EXP(('2027'!Tnet-t)/('2027'!Tau_j))),Resal+(Salim-Resal)*(1-EXP((Tnet-t)/(Tau_j))))*Salcycl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6.0250033461949832E-5</v>
      </c>
      <c r="Q132" s="301">
        <f t="shared" si="28"/>
        <v>0.5</v>
      </c>
      <c r="R132" s="173">
        <f t="shared" si="29"/>
        <v>6.6196120497337585E-2</v>
      </c>
      <c r="S132" s="802">
        <f t="shared" si="30"/>
        <v>3</v>
      </c>
      <c r="T132" s="172">
        <f t="shared" si="31"/>
        <v>9</v>
      </c>
      <c r="U132" s="247">
        <f t="shared" si="32"/>
        <v>3.0661961204973376</v>
      </c>
      <c r="V132" s="378">
        <f t="shared" si="33"/>
        <v>57.731664474895076</v>
      </c>
      <c r="W132" s="397">
        <f t="shared" si="34"/>
        <v>24.124547249889321</v>
      </c>
      <c r="X132" s="153">
        <f t="shared" si="35"/>
        <v>46870</v>
      </c>
      <c r="Y132" s="380">
        <f t="shared" si="36"/>
        <v>23.427759109282821</v>
      </c>
      <c r="Z132" s="380">
        <f t="shared" si="37"/>
        <v>24.193015462291097</v>
      </c>
      <c r="AA132" s="381">
        <f t="shared" si="38"/>
        <v>25.493821004042204</v>
      </c>
      <c r="AB132" s="193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5.1024345920717688E-2</v>
      </c>
      <c r="AD132" s="227">
        <f>(INDEX(Models!$BJ132:$BT132,,AH132)*(1-AF132)+INDEX(Models!$BJ132:$BT132,,AH132+1)*AF132-ERP_i)*AE132*Ramure*Pc/MaxiM</f>
        <v>6.0250033461949832E-5</v>
      </c>
      <c r="AE132" s="301">
        <f t="shared" si="40"/>
        <v>0.5</v>
      </c>
      <c r="AF132" s="173">
        <f t="shared" si="41"/>
        <v>6.6196120497337585E-2</v>
      </c>
      <c r="AG132" s="802">
        <f t="shared" si="49"/>
        <v>3</v>
      </c>
      <c r="AH132" s="172">
        <f t="shared" si="42"/>
        <v>9</v>
      </c>
      <c r="AI132" s="221">
        <f t="shared" si="43"/>
        <v>3.0661961204973376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46871</v>
      </c>
      <c r="B133" s="406">
        <f>'2027'!Wh/'2027'!Env_an*'2028'!Env_an</f>
        <v>43.723838062585585</v>
      </c>
      <c r="C133" s="832"/>
      <c r="D133" s="388">
        <f t="shared" si="25"/>
        <v>45.152674062152315</v>
      </c>
      <c r="E133" s="380">
        <f t="shared" si="47"/>
        <v>46.209201242377937</v>
      </c>
      <c r="F133" s="380">
        <f t="shared" si="26"/>
        <v>46.210884822158683</v>
      </c>
      <c r="G133" s="110">
        <f t="shared" si="48"/>
        <v>0.75472872403011249</v>
      </c>
      <c r="H133" s="409" t="b">
        <f>Wh_hp&gt;='2027'!Maxi_hp</f>
        <v>0</v>
      </c>
      <c r="I133" s="385">
        <f>IF(H133,Wh_hp,'2027'!Maxi_hp)</f>
        <v>46.211775667555173</v>
      </c>
      <c r="J133" s="85">
        <f>IF(H133,An,'2027'!An_max)</f>
        <v>2022</v>
      </c>
      <c r="K133" s="193">
        <f t="shared" si="27"/>
        <v>46871</v>
      </c>
      <c r="L133" s="143">
        <f>IF(t&lt;Tvie,1-EXP((T0-t)*PertePVj)+'2027'!Pspv,1-EXP((T0-t)*PertePVj)+Pspv)</f>
        <v>3.1644548838900444E-2</v>
      </c>
      <c r="M133" s="836"/>
      <c r="N133" s="836"/>
      <c r="O133" s="48">
        <f>IF(t&lt;Tnet,'2027'!Resal+('2027'!Salim-'2027'!Resal)*(1-EXP(('2027'!Tnet-t)/('2027'!Tau_j))),Resal+(Salim-Resal)*(1-EXP((Tnet-t)/(Tau_j))))*Salcycl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5.6081665780648007E-5</v>
      </c>
      <c r="Q133" s="301">
        <f t="shared" si="28"/>
        <v>0.5</v>
      </c>
      <c r="R133" s="173">
        <f t="shared" si="29"/>
        <v>6.8798590258469794E-2</v>
      </c>
      <c r="S133" s="802">
        <f t="shared" si="30"/>
        <v>3</v>
      </c>
      <c r="T133" s="172">
        <f t="shared" si="31"/>
        <v>9</v>
      </c>
      <c r="U133" s="247">
        <f t="shared" si="32"/>
        <v>3.0687985902584698</v>
      </c>
      <c r="V133" s="378">
        <f t="shared" si="33"/>
        <v>57.932045652768544</v>
      </c>
      <c r="W133" s="397">
        <f t="shared" si="34"/>
        <v>43.723838062585585</v>
      </c>
      <c r="X133" s="153">
        <f t="shared" si="35"/>
        <v>46871</v>
      </c>
      <c r="Y133" s="380">
        <f t="shared" si="36"/>
        <v>42.461420148326603</v>
      </c>
      <c r="Z133" s="380">
        <f t="shared" si="37"/>
        <v>43.849002034752367</v>
      </c>
      <c r="AA133" s="381">
        <f t="shared" si="38"/>
        <v>46.209201242377937</v>
      </c>
      <c r="AB133" s="193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5.107639050598986E-2</v>
      </c>
      <c r="AD133" s="227">
        <f>(INDEX(Models!$BJ133:$BT133,,AH133)*(1-AF133)+INDEX(Models!$BJ133:$BT133,,AH133+1)*AF133-ERP_i)*AE133*Ramure*Pc/MaxiM</f>
        <v>5.6081665780648007E-5</v>
      </c>
      <c r="AE133" s="301">
        <f t="shared" si="40"/>
        <v>0.5</v>
      </c>
      <c r="AF133" s="173">
        <f t="shared" si="41"/>
        <v>6.8798590258469794E-2</v>
      </c>
      <c r="AG133" s="802">
        <f t="shared" si="49"/>
        <v>3</v>
      </c>
      <c r="AH133" s="172">
        <f t="shared" si="42"/>
        <v>9</v>
      </c>
      <c r="AI133" s="221">
        <f t="shared" si="43"/>
        <v>3.0687985902584698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46872</v>
      </c>
      <c r="B134" s="406">
        <f>'2027'!Wh/'2027'!Env_an*'2028'!Env_an</f>
        <v>43.125035679863565</v>
      </c>
      <c r="C134" s="832"/>
      <c r="D134" s="388">
        <f t="shared" si="25"/>
        <v>44.534913271525703</v>
      </c>
      <c r="E134" s="380">
        <f t="shared" si="47"/>
        <v>45.579989220456874</v>
      </c>
      <c r="F134" s="380">
        <f t="shared" si="26"/>
        <v>45.581497913770413</v>
      </c>
      <c r="G134" s="110">
        <f t="shared" si="48"/>
        <v>0.74190447218727584</v>
      </c>
      <c r="H134" s="409" t="b">
        <f>Wh_hp&gt;='2027'!Maxi_hp</f>
        <v>0</v>
      </c>
      <c r="I134" s="385">
        <f>IF(H134,Wh_hp,'2027'!Maxi_hp)</f>
        <v>45.582361552210081</v>
      </c>
      <c r="J134" s="85">
        <f>IF(H134,An,'2027'!An_max)</f>
        <v>2022</v>
      </c>
      <c r="K134" s="193">
        <f t="shared" si="27"/>
        <v>46872</v>
      </c>
      <c r="L134" s="143">
        <f>IF(t&lt;Tvie,1-EXP((T0-t)*PertePVj)+'2027'!Pspv,1-EXP((T0-t)*PertePVj)+Pspv)</f>
        <v>3.1657804811838997E-2</v>
      </c>
      <c r="M134" s="836"/>
      <c r="N134" s="836"/>
      <c r="O134" s="48">
        <f>IF(t&lt;Tnet,'2027'!Resal+('2027'!Salim-'2027'!Resal)*(1-EXP(('2027'!Tnet-t)/('2027'!Tau_j))),Resal+(Salim-Resal)*(1-EXP((Tnet-t)/(Tau_j))))*Salcycl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5.2428559019895194E-5</v>
      </c>
      <c r="Q134" s="301">
        <f t="shared" si="28"/>
        <v>0.5</v>
      </c>
      <c r="R134" s="173">
        <f t="shared" si="29"/>
        <v>7.1476765915748697E-2</v>
      </c>
      <c r="S134" s="802">
        <f t="shared" si="30"/>
        <v>3</v>
      </c>
      <c r="T134" s="172">
        <f t="shared" si="31"/>
        <v>9</v>
      </c>
      <c r="U134" s="247">
        <f t="shared" si="32"/>
        <v>3.0714767659157487</v>
      </c>
      <c r="V134" s="378">
        <f t="shared" si="33"/>
        <v>58.126354096495774</v>
      </c>
      <c r="W134" s="397">
        <f t="shared" si="34"/>
        <v>43.125035679863565</v>
      </c>
      <c r="X134" s="153">
        <f t="shared" si="35"/>
        <v>46872</v>
      </c>
      <c r="Y134" s="380">
        <f t="shared" si="36"/>
        <v>41.880338768257509</v>
      </c>
      <c r="Z134" s="380">
        <f t="shared" si="37"/>
        <v>43.249523749318428</v>
      </c>
      <c r="AA134" s="381">
        <f t="shared" si="38"/>
        <v>45.579989220456874</v>
      </c>
      <c r="AB134" s="193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5.1129136074751606E-2</v>
      </c>
      <c r="AD134" s="227">
        <f>(INDEX(Models!$BJ134:$BT134,,AH134)*(1-AF134)+INDEX(Models!$BJ134:$BT134,,AH134+1)*AF134-ERP_i)*AE134*Ramure*Pc/MaxiM</f>
        <v>5.2428559019895194E-5</v>
      </c>
      <c r="AE134" s="301">
        <f t="shared" si="40"/>
        <v>0.5</v>
      </c>
      <c r="AF134" s="173">
        <f t="shared" si="41"/>
        <v>7.1476765915748697E-2</v>
      </c>
      <c r="AG134" s="802">
        <f t="shared" si="49"/>
        <v>3</v>
      </c>
      <c r="AH134" s="172">
        <f t="shared" si="42"/>
        <v>9</v>
      </c>
      <c r="AI134" s="221">
        <f t="shared" si="43"/>
        <v>3.0714767659157487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46873</v>
      </c>
      <c r="B135" s="406">
        <f>'2027'!Wh/'2027'!Env_an*'2028'!Env_an</f>
        <v>48.924152809632041</v>
      </c>
      <c r="C135" s="832"/>
      <c r="D135" s="388">
        <f t="shared" si="25"/>
        <v>50.524311335891795</v>
      </c>
      <c r="E135" s="380">
        <f t="shared" si="47"/>
        <v>51.713362006955279</v>
      </c>
      <c r="F135" s="380">
        <f t="shared" si="26"/>
        <v>51.715324891482126</v>
      </c>
      <c r="G135" s="110">
        <f t="shared" si="48"/>
        <v>0.83897715698639896</v>
      </c>
      <c r="H135" s="409" t="b">
        <f>Wh_hp&gt;='2027'!Maxi_hp</f>
        <v>0</v>
      </c>
      <c r="I135" s="385">
        <f>IF(H135,Wh_hp,'2027'!Maxi_hp)</f>
        <v>51.715899228512008</v>
      </c>
      <c r="J135" s="85">
        <f>IF(H135,An,'2027'!An_max)</f>
        <v>2022</v>
      </c>
      <c r="K135" s="193">
        <f t="shared" si="27"/>
        <v>46873</v>
      </c>
      <c r="L135" s="143">
        <f>IF(t&lt;Tvie,1-EXP((T0-t)*PertePVj)+'2027'!Pspv,1-EXP((T0-t)*PertePVj)+Pspv)</f>
        <v>3.1671060603314372E-2</v>
      </c>
      <c r="M135" s="836"/>
      <c r="N135" s="836"/>
      <c r="O135" s="48">
        <f>IF(t&lt;Tnet,'2027'!Resal+('2027'!Salim-'2027'!Resal)*(1-EXP(('2027'!Tnet-t)/('2027'!Tau_j))),Resal+(Salim-Resal)*(1-EXP((Tnet-t)/(Tau_j))))*Salcycl</f>
        <v>2.2993103231299494E-2</v>
      </c>
      <c r="P135" s="165">
        <f>(INDEX(Models!$BJ135:$BT135,,T135)*(1-R135)+INDEX(Models!$BJ135:$BT135,,T135+1)*R135-ERP_i)*Q135*Ramure*Pc/MaxiM</f>
        <v>4.9294164428903184E-5</v>
      </c>
      <c r="Q135" s="301">
        <f t="shared" si="28"/>
        <v>0.5</v>
      </c>
      <c r="R135" s="173">
        <f t="shared" si="29"/>
        <v>7.4231638673808664E-2</v>
      </c>
      <c r="S135" s="802">
        <f t="shared" si="30"/>
        <v>3</v>
      </c>
      <c r="T135" s="172">
        <f t="shared" si="31"/>
        <v>9</v>
      </c>
      <c r="U135" s="247">
        <f t="shared" si="32"/>
        <v>3.0742316386738087</v>
      </c>
      <c r="V135" s="378">
        <f t="shared" si="33"/>
        <v>58.313385114180619</v>
      </c>
      <c r="W135" s="397">
        <f t="shared" si="34"/>
        <v>48.924152809632041</v>
      </c>
      <c r="X135" s="153">
        <f t="shared" si="35"/>
        <v>46873</v>
      </c>
      <c r="Y135" s="380">
        <f t="shared" si="36"/>
        <v>47.512549605986131</v>
      </c>
      <c r="Z135" s="380">
        <f t="shared" si="37"/>
        <v>49.066538934164953</v>
      </c>
      <c r="AA135" s="381">
        <f t="shared" si="38"/>
        <v>51.713362006955279</v>
      </c>
      <c r="AB135" s="193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5.118257583860697E-2</v>
      </c>
      <c r="AD135" s="227">
        <f>(INDEX(Models!$BJ135:$BT135,,AH135)*(1-AF135)+INDEX(Models!$BJ135:$BT135,,AH135+1)*AF135-ERP_i)*AE135*Ramure*Pc/MaxiM</f>
        <v>4.9294164428903184E-5</v>
      </c>
      <c r="AE135" s="301">
        <f t="shared" si="40"/>
        <v>0.5</v>
      </c>
      <c r="AF135" s="173">
        <f t="shared" si="41"/>
        <v>7.4231638673808664E-2</v>
      </c>
      <c r="AG135" s="802">
        <f t="shared" si="49"/>
        <v>3</v>
      </c>
      <c r="AH135" s="172">
        <f t="shared" si="42"/>
        <v>9</v>
      </c>
      <c r="AI135" s="221">
        <f t="shared" si="43"/>
        <v>3.0742316386738087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46874</v>
      </c>
      <c r="B136" s="406">
        <f>'2027'!Wh/'2027'!Env_an*'2028'!Env_an</f>
        <v>31.446442872280617</v>
      </c>
      <c r="C136" s="832"/>
      <c r="D136" s="388">
        <f t="shared" si="25"/>
        <v>32.47540383659485</v>
      </c>
      <c r="E136" s="380">
        <f t="shared" si="47"/>
        <v>33.241899742963803</v>
      </c>
      <c r="F136" s="380">
        <f t="shared" si="26"/>
        <v>33.242427568684569</v>
      </c>
      <c r="G136" s="110">
        <f t="shared" si="48"/>
        <v>0.53760232788646833</v>
      </c>
      <c r="H136" s="409" t="b">
        <f>Wh_hp&gt;='2027'!Maxi_hp</f>
        <v>0</v>
      </c>
      <c r="I136" s="385">
        <f>IF(H136,Wh_hp,'2027'!Maxi_hp)</f>
        <v>33.243433014495245</v>
      </c>
      <c r="J136" s="85">
        <f>IF(H136,An,'2027'!An_max)</f>
        <v>2022</v>
      </c>
      <c r="K136" s="193">
        <f t="shared" si="27"/>
        <v>46874</v>
      </c>
      <c r="L136" s="143">
        <f>IF(t&lt;Tvie,1-EXP((T0-t)*PertePVj)+'2027'!Pspv,1-EXP((T0-t)*PertePVj)+Pspv)</f>
        <v>3.1684316213329122E-2</v>
      </c>
      <c r="M136" s="836"/>
      <c r="N136" s="836"/>
      <c r="O136" s="48">
        <f>IF(t&lt;Tnet,'2027'!Resal+('2027'!Salim-'2027'!Resal)*(1-EXP(('2027'!Tnet-t)/('2027'!Tau_j))),Resal+(Salim-Resal)*(1-EXP((Tnet-t)/(Tau_j))))*Salcycl</f>
        <v>2.3058125807963067E-2</v>
      </c>
      <c r="P136" s="165">
        <f>(INDEX(Models!$BJ136:$BT136,,T136)*(1-R136)+INDEX(Models!$BJ136:$BT136,,T136+1)*R136-ERP_i)*Q136*Ramure*Pc/MaxiM</f>
        <v>4.6775108757007833E-5</v>
      </c>
      <c r="Q136" s="301">
        <f t="shared" si="28"/>
        <v>0.5</v>
      </c>
      <c r="R136" s="173">
        <f t="shared" si="29"/>
        <v>7.7064124109243792E-2</v>
      </c>
      <c r="S136" s="802">
        <f t="shared" si="30"/>
        <v>3</v>
      </c>
      <c r="T136" s="172">
        <f t="shared" si="31"/>
        <v>9</v>
      </c>
      <c r="U136" s="247">
        <f t="shared" si="32"/>
        <v>3.0770641241092438</v>
      </c>
      <c r="V136" s="378">
        <f t="shared" si="33"/>
        <v>58.492066763616414</v>
      </c>
      <c r="W136" s="397">
        <f t="shared" si="34"/>
        <v>31.446442872280617</v>
      </c>
      <c r="X136" s="153">
        <f t="shared" si="35"/>
        <v>46874</v>
      </c>
      <c r="Y136" s="380">
        <f t="shared" si="36"/>
        <v>30.539412480985408</v>
      </c>
      <c r="Z136" s="380">
        <f t="shared" si="37"/>
        <v>31.538694448858614</v>
      </c>
      <c r="AA136" s="381">
        <f t="shared" si="38"/>
        <v>33.241899742963803</v>
      </c>
      <c r="AB136" s="193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5.1236701490434626E-2</v>
      </c>
      <c r="AD136" s="227">
        <f>(INDEX(Models!$BJ136:$BT136,,AH136)*(1-AF136)+INDEX(Models!$BJ136:$BT136,,AH136+1)*AF136-ERP_i)*AE136*Ramure*Pc/MaxiM</f>
        <v>4.6775108757007833E-5</v>
      </c>
      <c r="AE136" s="301">
        <f t="shared" si="40"/>
        <v>0.5</v>
      </c>
      <c r="AF136" s="173">
        <f t="shared" si="41"/>
        <v>7.7064124109243792E-2</v>
      </c>
      <c r="AG136" s="802">
        <f t="shared" si="49"/>
        <v>3</v>
      </c>
      <c r="AH136" s="172">
        <f t="shared" si="42"/>
        <v>9</v>
      </c>
      <c r="AI136" s="221">
        <f t="shared" si="43"/>
        <v>3.0770641241092438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46875</v>
      </c>
      <c r="B137" s="406">
        <f>'2027'!Wh/'2027'!Env_an*'2028'!Env_an</f>
        <v>35.048289511785804</v>
      </c>
      <c r="C137" s="832"/>
      <c r="D137" s="388">
        <f t="shared" si="25"/>
        <v>36.195602205826177</v>
      </c>
      <c r="E137" s="380">
        <f t="shared" si="47"/>
        <v>37.052381422141018</v>
      </c>
      <c r="F137" s="380">
        <f t="shared" si="26"/>
        <v>37.05307892846848</v>
      </c>
      <c r="G137" s="110">
        <f t="shared" si="48"/>
        <v>0.5974377000484653</v>
      </c>
      <c r="H137" s="409" t="b">
        <f>Wh_hp&gt;='2027'!Maxi_hp</f>
        <v>0</v>
      </c>
      <c r="I137" s="385">
        <f>IF(H137,Wh_hp,'2027'!Maxi_hp)</f>
        <v>37.054002471299164</v>
      </c>
      <c r="J137" s="85">
        <f>IF(H137,An,'2027'!An_max)</f>
        <v>2022</v>
      </c>
      <c r="K137" s="193">
        <f t="shared" si="27"/>
        <v>46875</v>
      </c>
      <c r="L137" s="143">
        <f>IF(t&lt;Tvie,1-EXP((T0-t)*PertePVj)+'2027'!Pspv,1-EXP((T0-t)*PertePVj)+Pspv)</f>
        <v>3.1697571641885691E-2</v>
      </c>
      <c r="M137" s="836"/>
      <c r="N137" s="836"/>
      <c r="O137" s="48">
        <f>IF(t&lt;Tnet,'2027'!Resal+('2027'!Salim-'2027'!Resal)*(1-EXP(('2027'!Tnet-t)/('2027'!Tau_j))),Resal+(Salim-Resal)*(1-EXP((Tnet-t)/(Tau_j))))*Salcycl</f>
        <v>2.312345882855631E-2</v>
      </c>
      <c r="P137" s="165">
        <f>(INDEX(Models!$BJ137:$BT137,,T137)*(1-R137)+INDEX(Models!$BJ137:$BT137,,T137+1)*R137-ERP_i)*Q137*Ramure*Pc/MaxiM</f>
        <v>4.4299992477345815E-5</v>
      </c>
      <c r="Q137" s="301">
        <f t="shared" si="28"/>
        <v>0.5</v>
      </c>
      <c r="R137" s="173">
        <f t="shared" si="29"/>
        <v>7.9975055374807535E-2</v>
      </c>
      <c r="S137" s="802">
        <f t="shared" si="30"/>
        <v>3</v>
      </c>
      <c r="T137" s="172">
        <f t="shared" si="31"/>
        <v>9</v>
      </c>
      <c r="U137" s="247">
        <f t="shared" si="32"/>
        <v>3.0799750553748075</v>
      </c>
      <c r="V137" s="378">
        <f t="shared" si="33"/>
        <v>58.662847390292022</v>
      </c>
      <c r="W137" s="397">
        <f t="shared" si="34"/>
        <v>35.048289511785804</v>
      </c>
      <c r="X137" s="153">
        <f t="shared" si="35"/>
        <v>46875</v>
      </c>
      <c r="Y137" s="380">
        <f t="shared" si="36"/>
        <v>34.03767892677034</v>
      </c>
      <c r="Z137" s="380">
        <f t="shared" si="37"/>
        <v>35.151909083286881</v>
      </c>
      <c r="AA137" s="381">
        <f t="shared" si="38"/>
        <v>37.052381422141018</v>
      </c>
      <c r="AB137" s="193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5.1291503161480796E-2</v>
      </c>
      <c r="AD137" s="227">
        <f>(INDEX(Models!$BJ137:$BT137,,AH137)*(1-AF137)+INDEX(Models!$BJ137:$BT137,,AH137+1)*AF137-ERP_i)*AE137*Ramure*Pc/MaxiM</f>
        <v>4.4299992477345815E-5</v>
      </c>
      <c r="AE137" s="301">
        <f t="shared" si="40"/>
        <v>0.5</v>
      </c>
      <c r="AF137" s="173">
        <f t="shared" si="41"/>
        <v>7.9975055374807535E-2</v>
      </c>
      <c r="AG137" s="802">
        <f t="shared" si="49"/>
        <v>3</v>
      </c>
      <c r="AH137" s="172">
        <f t="shared" si="42"/>
        <v>9</v>
      </c>
      <c r="AI137" s="221">
        <f t="shared" si="43"/>
        <v>3.0799750553748075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46876</v>
      </c>
      <c r="B138" s="406">
        <f>'2027'!Wh/'2027'!Env_an*'2028'!Env_an</f>
        <v>19.725325689374355</v>
      </c>
      <c r="C138" s="832"/>
      <c r="D138" s="388">
        <f t="shared" si="25"/>
        <v>20.371316996139608</v>
      </c>
      <c r="E138" s="380">
        <f t="shared" si="47"/>
        <v>20.854923884138366</v>
      </c>
      <c r="F138" s="380">
        <f t="shared" si="26"/>
        <v>20.854967934129139</v>
      </c>
      <c r="G138" s="110">
        <f t="shared" si="48"/>
        <v>0.3353023125996285</v>
      </c>
      <c r="H138" s="409" t="b">
        <f>Wh_hp&gt;='2027'!Maxi_hp</f>
        <v>0</v>
      </c>
      <c r="I138" s="385">
        <f>IF(H138,Wh_hp,'2027'!Maxi_hp)</f>
        <v>20.855778646437024</v>
      </c>
      <c r="J138" s="85">
        <f>IF(H138,An,'2027'!An_max)</f>
        <v>2022</v>
      </c>
      <c r="K138" s="193">
        <f t="shared" si="27"/>
        <v>46876</v>
      </c>
      <c r="L138" s="143">
        <f>IF(t&lt;Tvie,1-EXP((T0-t)*PertePVj)+'2027'!Pspv,1-EXP((T0-t)*PertePVj)+Pspv)</f>
        <v>3.1710826888986632E-2</v>
      </c>
      <c r="M138" s="836"/>
      <c r="N138" s="836"/>
      <c r="O138" s="48">
        <f>IF(t&lt;Tnet,'2027'!Resal+('2027'!Salim-'2027'!Resal)*(1-EXP(('2027'!Tnet-t)/('2027'!Tau_j))),Resal+(Salim-Resal)*(1-EXP((Tnet-t)/(Tau_j))))*Salcycl</f>
        <v>2.3189098684103834E-2</v>
      </c>
      <c r="P138" s="165">
        <f>(INDEX(Models!$BJ138:$BT138,,T138)*(1-R138)+INDEX(Models!$BJ138:$BT138,,T138+1)*R138-ERP_i)*Q138*Ramure*Pc/MaxiM</f>
        <v>4.1866554279035195E-5</v>
      </c>
      <c r="Q138" s="301">
        <f t="shared" si="28"/>
        <v>0.5</v>
      </c>
      <c r="R138" s="173">
        <f t="shared" si="29"/>
        <v>8.2965176291097897E-2</v>
      </c>
      <c r="S138" s="802">
        <f t="shared" si="30"/>
        <v>3</v>
      </c>
      <c r="T138" s="172">
        <f t="shared" si="31"/>
        <v>9</v>
      </c>
      <c r="U138" s="247">
        <f t="shared" si="32"/>
        <v>3.0829651762910979</v>
      </c>
      <c r="V138" s="378">
        <f t="shared" si="33"/>
        <v>58.826142197847609</v>
      </c>
      <c r="W138" s="397">
        <f t="shared" si="34"/>
        <v>19.725325689374355</v>
      </c>
      <c r="X138" s="153">
        <f t="shared" si="35"/>
        <v>46876</v>
      </c>
      <c r="Y138" s="380">
        <f t="shared" si="36"/>
        <v>19.156716996049923</v>
      </c>
      <c r="Z138" s="380">
        <f t="shared" si="37"/>
        <v>19.784086746009319</v>
      </c>
      <c r="AA138" s="381">
        <f t="shared" si="38"/>
        <v>20.854923884138366</v>
      </c>
      <c r="AB138" s="193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5.1346969381340861E-2</v>
      </c>
      <c r="AD138" s="227">
        <f>(INDEX(Models!$BJ138:$BT138,,AH138)*(1-AF138)+INDEX(Models!$BJ138:$BT138,,AH138+1)*AF138-ERP_i)*AE138*Ramure*Pc/MaxiM</f>
        <v>4.1866554279035195E-5</v>
      </c>
      <c r="AE138" s="301">
        <f t="shared" si="40"/>
        <v>0.5</v>
      </c>
      <c r="AF138" s="173">
        <f t="shared" si="41"/>
        <v>8.2965176291097897E-2</v>
      </c>
      <c r="AG138" s="802">
        <f t="shared" si="49"/>
        <v>3</v>
      </c>
      <c r="AH138" s="172">
        <f t="shared" si="42"/>
        <v>9</v>
      </c>
      <c r="AI138" s="221">
        <f t="shared" si="43"/>
        <v>3.0829651762910979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46877</v>
      </c>
      <c r="B139" s="406">
        <f>'2027'!Wh/'2027'!Env_an*'2028'!Env_an</f>
        <v>39.703965940926871</v>
      </c>
      <c r="C139" s="832"/>
      <c r="D139" s="388">
        <f t="shared" si="25"/>
        <v>41.004805759371017</v>
      </c>
      <c r="E139" s="380">
        <f t="shared" si="47"/>
        <v>41.981077435607894</v>
      </c>
      <c r="F139" s="380">
        <f t="shared" si="26"/>
        <v>41.981960810017398</v>
      </c>
      <c r="G139" s="110">
        <f t="shared" si="48"/>
        <v>0.67313735655466389</v>
      </c>
      <c r="H139" s="409" t="b">
        <f>Wh_hp&gt;='2027'!Maxi_hp</f>
        <v>0</v>
      </c>
      <c r="I139" s="385">
        <f>IF(H139,Wh_hp,'2027'!Maxi_hp)</f>
        <v>41.982717028924689</v>
      </c>
      <c r="J139" s="85">
        <f>IF(H139,An,'2027'!An_max)</f>
        <v>2022</v>
      </c>
      <c r="K139" s="193">
        <f t="shared" si="27"/>
        <v>46877</v>
      </c>
      <c r="L139" s="143">
        <f>IF(t&lt;Tvie,1-EXP((T0-t)*PertePVj)+'2027'!Pspv,1-EXP((T0-t)*PertePVj)+Pspv)</f>
        <v>3.1724081954634276E-2</v>
      </c>
      <c r="M139" s="836"/>
      <c r="N139" s="836"/>
      <c r="O139" s="48">
        <f>IF(t&lt;Tnet,'2027'!Resal+('2027'!Salim-'2027'!Resal)*(1-EXP(('2027'!Tnet-t)/('2027'!Tau_j))),Resal+(Salim-Resal)*(1-EXP((Tnet-t)/(Tau_j))))*Salcycl</f>
        <v>2.3255040982078527E-2</v>
      </c>
      <c r="P139" s="165">
        <f>(INDEX(Models!$BJ139:$BT139,,T139)*(1-R139)+INDEX(Models!$BJ139:$BT139,,T139+1)*R139-ERP_i)*Q139*Ramure*Pc/MaxiM</f>
        <v>3.9472711854240489E-5</v>
      </c>
      <c r="Q139" s="301">
        <f t="shared" si="28"/>
        <v>0.5</v>
      </c>
      <c r="R139" s="173">
        <f t="shared" si="29"/>
        <v>8.6035134357674181E-2</v>
      </c>
      <c r="S139" s="802">
        <f t="shared" si="30"/>
        <v>3</v>
      </c>
      <c r="T139" s="172">
        <f t="shared" si="31"/>
        <v>9</v>
      </c>
      <c r="U139" s="247">
        <f t="shared" si="32"/>
        <v>3.0860351343576742</v>
      </c>
      <c r="V139" s="378">
        <f t="shared" si="33"/>
        <v>58.982366313645414</v>
      </c>
      <c r="W139" s="397">
        <f t="shared" si="34"/>
        <v>39.703965940926871</v>
      </c>
      <c r="X139" s="153">
        <f t="shared" si="35"/>
        <v>46877</v>
      </c>
      <c r="Y139" s="380">
        <f t="shared" si="36"/>
        <v>38.559768520990765</v>
      </c>
      <c r="Z139" s="380">
        <f t="shared" si="37"/>
        <v>39.823120458092568</v>
      </c>
      <c r="AA139" s="381">
        <f t="shared" si="38"/>
        <v>41.981077435607894</v>
      </c>
      <c r="AB139" s="193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5.1403087041424246E-2</v>
      </c>
      <c r="AD139" s="227">
        <f>(INDEX(Models!$BJ139:$BT139,,AH139)*(1-AF139)+INDEX(Models!$BJ139:$BT139,,AH139+1)*AF139-ERP_i)*AE139*Ramure*Pc/MaxiM</f>
        <v>3.9472711854240489E-5</v>
      </c>
      <c r="AE139" s="301">
        <f t="shared" si="40"/>
        <v>0.5</v>
      </c>
      <c r="AF139" s="173">
        <f t="shared" si="41"/>
        <v>8.6035134357674181E-2</v>
      </c>
      <c r="AG139" s="802">
        <f t="shared" si="49"/>
        <v>3</v>
      </c>
      <c r="AH139" s="172">
        <f t="shared" si="42"/>
        <v>9</v>
      </c>
      <c r="AI139" s="221">
        <f t="shared" si="43"/>
        <v>3.0860351343576742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46878</v>
      </c>
      <c r="B140" s="406">
        <f>'2027'!Wh/'2027'!Env_an*'2028'!Env_an</f>
        <v>41.621523261784176</v>
      </c>
      <c r="C140" s="832"/>
      <c r="D140" s="388">
        <f t="shared" si="25"/>
        <v>42.985777357043681</v>
      </c>
      <c r="E140" s="380">
        <f t="shared" si="47"/>
        <v>44.01219817727754</v>
      </c>
      <c r="F140" s="380">
        <f t="shared" si="26"/>
        <v>44.013140716796116</v>
      </c>
      <c r="G140" s="110">
        <f t="shared" si="48"/>
        <v>0.70386450008819357</v>
      </c>
      <c r="H140" s="409" t="b">
        <f>Wh_hp&gt;='2027'!Maxi_hp</f>
        <v>0</v>
      </c>
      <c r="I140" s="385">
        <f>IF(H140,Wh_hp,'2027'!Maxi_hp)</f>
        <v>44.0138157587295</v>
      </c>
      <c r="J140" s="85">
        <f>IF(H140,An,'2027'!An_max)</f>
        <v>2022</v>
      </c>
      <c r="K140" s="193">
        <f t="shared" si="27"/>
        <v>46878</v>
      </c>
      <c r="L140" s="143">
        <f>IF(t&lt;Tvie,1-EXP((T0-t)*PertePVj)+'2027'!Pspv,1-EXP((T0-t)*PertePVj)+Pspv)</f>
        <v>3.1737336838831287E-2</v>
      </c>
      <c r="M140" s="836"/>
      <c r="N140" s="836"/>
      <c r="O140" s="48">
        <f>IF(t&lt;Tnet,'2027'!Resal+('2027'!Salim-'2027'!Resal)*(1-EXP(('2027'!Tnet-t)/('2027'!Tau_j))),Resal+(Salim-Resal)*(1-EXP((Tnet-t)/(Tau_j))))*Salcycl</f>
        <v>2.3321280525447036E-2</v>
      </c>
      <c r="P140" s="165">
        <f>(INDEX(Models!$BJ140:$BT140,,T140)*(1-R140)+INDEX(Models!$BJ140:$BT140,,T140+1)*R140-ERP_i)*Q140*Ramure*Pc/MaxiM</f>
        <v>3.7116556962868134E-5</v>
      </c>
      <c r="Q140" s="301">
        <f t="shared" si="28"/>
        <v>0.5</v>
      </c>
      <c r="R140" s="173">
        <f t="shared" si="29"/>
        <v>8.918547371901564E-2</v>
      </c>
      <c r="S140" s="802">
        <f t="shared" si="30"/>
        <v>3</v>
      </c>
      <c r="T140" s="172">
        <f t="shared" si="31"/>
        <v>9</v>
      </c>
      <c r="U140" s="247">
        <f t="shared" si="32"/>
        <v>3.0891854737190156</v>
      </c>
      <c r="V140" s="378">
        <f t="shared" si="33"/>
        <v>59.131934794364639</v>
      </c>
      <c r="W140" s="397">
        <f t="shared" si="34"/>
        <v>41.621523261784176</v>
      </c>
      <c r="X140" s="153">
        <f t="shared" si="35"/>
        <v>46878</v>
      </c>
      <c r="Y140" s="380">
        <f t="shared" si="36"/>
        <v>40.422388130568287</v>
      </c>
      <c r="Z140" s="380">
        <f t="shared" si="37"/>
        <v>41.74733744105955</v>
      </c>
      <c r="AA140" s="381">
        <f t="shared" si="38"/>
        <v>44.01219817727754</v>
      </c>
      <c r="AB140" s="193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5.145984136250846E-2</v>
      </c>
      <c r="AD140" s="227">
        <f>(INDEX(Models!$BJ140:$BT140,,AH140)*(1-AF140)+INDEX(Models!$BJ140:$BT140,,AH140+1)*AF140-ERP_i)*AE140*Ramure*Pc/MaxiM</f>
        <v>3.7116556962868134E-5</v>
      </c>
      <c r="AE140" s="301">
        <f t="shared" si="40"/>
        <v>0.5</v>
      </c>
      <c r="AF140" s="173">
        <f t="shared" si="41"/>
        <v>8.918547371901564E-2</v>
      </c>
      <c r="AG140" s="802">
        <f t="shared" si="49"/>
        <v>3</v>
      </c>
      <c r="AH140" s="172">
        <f t="shared" si="42"/>
        <v>9</v>
      </c>
      <c r="AI140" s="221">
        <f t="shared" si="43"/>
        <v>3.0891854737190156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46879</v>
      </c>
      <c r="B141" s="406">
        <f>'2027'!Wh/'2027'!Env_an*'2028'!Env_an</f>
        <v>47.872296104252669</v>
      </c>
      <c r="C141" s="832"/>
      <c r="D141" s="388">
        <f t="shared" si="25"/>
        <v>49.442112420674377</v>
      </c>
      <c r="E141" s="380">
        <f t="shared" si="47"/>
        <v>50.626147197866828</v>
      </c>
      <c r="F141" s="380">
        <f t="shared" si="26"/>
        <v>50.627424713201002</v>
      </c>
      <c r="G141" s="110">
        <f t="shared" si="48"/>
        <v>0.80761916838446912</v>
      </c>
      <c r="H141" s="409" t="b">
        <f>Wh_hp&gt;='2027'!Maxi_hp</f>
        <v>0</v>
      </c>
      <c r="I141" s="385">
        <f>IF(H141,Wh_hp,'2027'!Maxi_hp)</f>
        <v>50.627897365958461</v>
      </c>
      <c r="J141" s="85">
        <f>IF(H141,An,'2027'!An_max)</f>
        <v>2022</v>
      </c>
      <c r="K141" s="193">
        <f t="shared" si="27"/>
        <v>46879</v>
      </c>
      <c r="L141" s="143">
        <f>IF(t&lt;Tvie,1-EXP((T0-t)*PertePVj)+'2027'!Pspv,1-EXP((T0-t)*PertePVj)+Pspv)</f>
        <v>3.1750591541579998E-2</v>
      </c>
      <c r="M141" s="836"/>
      <c r="N141" s="836"/>
      <c r="O141" s="48">
        <f>IF(t&lt;Tnet,'2027'!Resal+('2027'!Salim-'2027'!Resal)*(1-EXP(('2027'!Tnet-t)/('2027'!Tau_j))),Resal+(Salim-Resal)*(1-EXP((Tnet-t)/(Tau_j))))*Salcycl</f>
        <v>2.3387811293732876E-2</v>
      </c>
      <c r="P141" s="165">
        <f>(INDEX(Models!$BJ141:$BT141,,T141)*(1-R141)+INDEX(Models!$BJ141:$BT141,,T141+1)*R141-ERP_i)*Q141*Ramure*Pc/MaxiM</f>
        <v>3.4796351104625209E-5</v>
      </c>
      <c r="Q141" s="301">
        <f t="shared" si="28"/>
        <v>0.5</v>
      </c>
      <c r="R141" s="173">
        <f t="shared" si="29"/>
        <v>9.2416628124168287E-2</v>
      </c>
      <c r="S141" s="802">
        <f t="shared" si="30"/>
        <v>3</v>
      </c>
      <c r="T141" s="172">
        <f t="shared" si="31"/>
        <v>9</v>
      </c>
      <c r="U141" s="247">
        <f t="shared" si="32"/>
        <v>3.0924166281241683</v>
      </c>
      <c r="V141" s="378">
        <f t="shared" si="33"/>
        <v>59.275262622341899</v>
      </c>
      <c r="W141" s="397">
        <f t="shared" si="34"/>
        <v>47.872296104252669</v>
      </c>
      <c r="X141" s="153">
        <f t="shared" si="35"/>
        <v>46879</v>
      </c>
      <c r="Y141" s="380">
        <f t="shared" si="36"/>
        <v>46.493428217347301</v>
      </c>
      <c r="Z141" s="380">
        <f t="shared" si="37"/>
        <v>48.018029044160151</v>
      </c>
      <c r="AA141" s="381">
        <f t="shared" si="38"/>
        <v>50.626147197866828</v>
      </c>
      <c r="AB141" s="193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5.1517215866993218E-2</v>
      </c>
      <c r="AD141" s="227">
        <f>(INDEX(Models!$BJ141:$BT141,,AH141)*(1-AF141)+INDEX(Models!$BJ141:$BT141,,AH141+1)*AF141-ERP_i)*AE141*Ramure*Pc/MaxiM</f>
        <v>3.4796351104625209E-5</v>
      </c>
      <c r="AE141" s="301">
        <f t="shared" si="40"/>
        <v>0.5</v>
      </c>
      <c r="AF141" s="173">
        <f t="shared" si="41"/>
        <v>9.2416628124168287E-2</v>
      </c>
      <c r="AG141" s="802">
        <f t="shared" si="49"/>
        <v>3</v>
      </c>
      <c r="AH141" s="172">
        <f t="shared" si="42"/>
        <v>9</v>
      </c>
      <c r="AI141" s="221">
        <f t="shared" si="43"/>
        <v>3.0924166281241683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46880</v>
      </c>
      <c r="B142" s="406">
        <f>'2027'!Wh/'2027'!Env_an*'2028'!Env_an</f>
        <v>54.298559628212431</v>
      </c>
      <c r="C142" s="832"/>
      <c r="D142" s="388">
        <f t="shared" si="25"/>
        <v>56.079872051275309</v>
      </c>
      <c r="E142" s="380">
        <f t="shared" si="47"/>
        <v>57.426796100681855</v>
      </c>
      <c r="F142" s="380">
        <f t="shared" si="26"/>
        <v>57.428438631516656</v>
      </c>
      <c r="G142" s="110">
        <f t="shared" si="48"/>
        <v>0.91391719649211833</v>
      </c>
      <c r="H142" s="409" t="b">
        <f>Wh_hp&gt;='2027'!Maxi_hp</f>
        <v>0</v>
      </c>
      <c r="I142" s="385">
        <f>IF(H142,Wh_hp,'2027'!Maxi_hp)</f>
        <v>57.428663358551631</v>
      </c>
      <c r="J142" s="85">
        <f>IF(H142,An,'2027'!An_max)</f>
        <v>2022</v>
      </c>
      <c r="K142" s="193">
        <f t="shared" si="27"/>
        <v>46880</v>
      </c>
      <c r="L142" s="143">
        <f>IF(t&lt;Tvie,1-EXP((T0-t)*PertePVj)+'2027'!Pspv,1-EXP((T0-t)*PertePVj)+Pspv)</f>
        <v>3.1763846062882961E-2</v>
      </c>
      <c r="M142" s="836"/>
      <c r="N142" s="836"/>
      <c r="O142" s="48">
        <f>IF(t&lt;Tnet,'2027'!Resal+('2027'!Salim-'2027'!Resal)*(1-EXP(('2027'!Tnet-t)/('2027'!Tau_j))),Resal+(Salim-Resal)*(1-EXP((Tnet-t)/(Tau_j))))*Salcycl</f>
        <v>2.3454626426400151E-2</v>
      </c>
      <c r="P142" s="165">
        <f>(INDEX(Models!$BJ142:$BT142,,T142)*(1-R142)+INDEX(Models!$BJ142:$BT142,,T142+1)*R142-ERP_i)*Q142*Ramure*Pc/MaxiM</f>
        <v>3.2611604820385124E-5</v>
      </c>
      <c r="Q142" s="301">
        <f t="shared" si="28"/>
        <v>0.5</v>
      </c>
      <c r="R142" s="173">
        <f t="shared" si="29"/>
        <v>9.5728913922301206E-2</v>
      </c>
      <c r="S142" s="802">
        <f t="shared" si="30"/>
        <v>3</v>
      </c>
      <c r="T142" s="172">
        <f t="shared" si="31"/>
        <v>9</v>
      </c>
      <c r="U142" s="247">
        <f t="shared" si="32"/>
        <v>3.0957289139223012</v>
      </c>
      <c r="V142" s="378">
        <f t="shared" si="33"/>
        <v>59.412758704290006</v>
      </c>
      <c r="W142" s="397">
        <f t="shared" si="34"/>
        <v>54.298559628212431</v>
      </c>
      <c r="X142" s="153">
        <f t="shared" si="35"/>
        <v>46880</v>
      </c>
      <c r="Y142" s="380">
        <f t="shared" si="36"/>
        <v>52.734980231645359</v>
      </c>
      <c r="Z142" s="380">
        <f t="shared" si="37"/>
        <v>54.464998045373832</v>
      </c>
      <c r="AA142" s="381">
        <f t="shared" si="38"/>
        <v>57.426796100681855</v>
      </c>
      <c r="AB142" s="193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5.1575192356462539E-2</v>
      </c>
      <c r="AD142" s="227">
        <f>(INDEX(Models!$BJ142:$BT142,,AH142)*(1-AF142)+INDEX(Models!$BJ142:$BT142,,AH142+1)*AF142-ERP_i)*AE142*Ramure*Pc/MaxiM</f>
        <v>3.2611604820385124E-5</v>
      </c>
      <c r="AE142" s="301">
        <f t="shared" si="40"/>
        <v>0.5</v>
      </c>
      <c r="AF142" s="173">
        <f t="shared" si="41"/>
        <v>9.5728913922301206E-2</v>
      </c>
      <c r="AG142" s="802">
        <f t="shared" si="49"/>
        <v>3</v>
      </c>
      <c r="AH142" s="172">
        <f t="shared" si="42"/>
        <v>9</v>
      </c>
      <c r="AI142" s="221">
        <f t="shared" si="43"/>
        <v>3.0957289139223012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46881</v>
      </c>
      <c r="B143" s="406">
        <f>'2027'!Wh/'2027'!Env_an*'2028'!Env_an</f>
        <v>57.452886592386612</v>
      </c>
      <c r="C143" s="832"/>
      <c r="D143" s="388">
        <f t="shared" ref="D143:D206" si="50">Wh/(1-Ppv)</f>
        <v>59.338491804195861</v>
      </c>
      <c r="E143" s="380">
        <f t="shared" si="47"/>
        <v>60.767856193741579</v>
      </c>
      <c r="F143" s="380">
        <f t="shared" ref="F143:F206" si="51">Wh_sa/(1-Pvg*MEDIAN((-Sdif+Wh/Env_an)/Csdif,0,1))</f>
        <v>60.769622702865064</v>
      </c>
      <c r="G143" s="110">
        <f t="shared" si="48"/>
        <v>0.96486619094231463</v>
      </c>
      <c r="H143" s="409" t="b">
        <f>Wh_hp&gt;='2027'!Maxi_hp</f>
        <v>0</v>
      </c>
      <c r="I143" s="385">
        <f>IF(H143,Wh_hp,'2027'!Maxi_hp)</f>
        <v>60.769713742557045</v>
      </c>
      <c r="J143" s="85">
        <f>IF(H143,An,'2027'!An_max)</f>
        <v>2022</v>
      </c>
      <c r="K143" s="193">
        <f t="shared" ref="K143:K206" si="52">t</f>
        <v>46881</v>
      </c>
      <c r="L143" s="143">
        <f>IF(t&lt;Tvie,1-EXP((T0-t)*PertePVj)+'2027'!Pspv,1-EXP((T0-t)*PertePVj)+Pspv)</f>
        <v>3.177710040274262E-2</v>
      </c>
      <c r="M143" s="836"/>
      <c r="N143" s="836"/>
      <c r="O143" s="48">
        <f>IF(t&lt;Tnet,'2027'!Resal+('2027'!Salim-'2027'!Resal)*(1-EXP(('2027'!Tnet-t)/('2027'!Tau_j))),Resal+(Salim-Resal)*(1-EXP((Tnet-t)/(Tau_j))))*Salcycl</f>
        <v>2.3521718208860027E-2</v>
      </c>
      <c r="P143" s="165">
        <f>(INDEX(Models!$BJ143:$BT143,,T143)*(1-R143)+INDEX(Models!$BJ143:$BT143,,T143+1)*R143-ERP_i)*Q143*Ramure*Pc/MaxiM</f>
        <v>3.0604984751351223E-5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9.9122523139646646E-2</v>
      </c>
      <c r="S143" s="802">
        <f t="shared" ref="S143:S206" si="55">INDEX(Echel_vg,T143)</f>
        <v>3</v>
      </c>
      <c r="T143" s="172">
        <f t="shared" ref="T143:T206" si="56">MIN(MATCH(Hp_vg,Echel_vg),10)</f>
        <v>9</v>
      </c>
      <c r="U143" s="247">
        <f t="shared" ref="U143:U206" si="57">IF(OR(t&lt;Ttai,Notai),Hdd+PousH*Croivg,Hdtf+PousH*(Croivg-Croi_tai))</f>
        <v>3.0991225231396466</v>
      </c>
      <c r="V143" s="378">
        <f t="shared" ref="V143:V206" si="58">MaxiM*(1-Ppv)*(1-Pvg)*(1-Psa)</f>
        <v>59.544835210860171</v>
      </c>
      <c r="W143" s="397">
        <f t="shared" ref="W143:W206" si="59">Wh*(A143&gt;Tmaj)</f>
        <v>57.452886592386612</v>
      </c>
      <c r="X143" s="153">
        <f t="shared" ref="X143:X206" si="60">t</f>
        <v>46881</v>
      </c>
      <c r="Y143" s="380">
        <f t="shared" ref="Y143:Y206" si="61">Wh_pvt_s*(1-Ppv)</f>
        <v>55.798863706343042</v>
      </c>
      <c r="Z143" s="380">
        <f t="shared" ref="Z143:Z206" si="62">Wh_sa_s*(1-Psa_s)</f>
        <v>57.630183844601461</v>
      </c>
      <c r="AA143" s="381">
        <f t="shared" ref="AA143:AA206" si="63">Wh_hp*(1-Pvg_s*MEDIAN((-Sdif+Wh/Env_an)/Csdif,0,1))</f>
        <v>60.767856193741579</v>
      </c>
      <c r="AB143" s="193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5.1633750895152708E-2</v>
      </c>
      <c r="AD143" s="227">
        <f>(INDEX(Models!$BJ143:$BT143,,AH143)*(1-AF143)+INDEX(Models!$BJ143:$BT143,,AH143+1)*AF143-ERP_i)*AE143*Ramure*Pc/MaxiM</f>
        <v>3.0604984751351223E-5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9.9122523139646646E-2</v>
      </c>
      <c r="AG143" s="802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3.0991225231396466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46882</v>
      </c>
      <c r="B144" s="406">
        <f>'2027'!Wh/'2027'!Env_an*'2028'!Env_an</f>
        <v>56.276836768915068</v>
      </c>
      <c r="C144" s="832"/>
      <c r="D144" s="388">
        <f t="shared" si="50"/>
        <v>58.12463967285489</v>
      </c>
      <c r="E144" s="380">
        <f t="shared" ref="E144:E169" si="72">Wh_pvt/(1-Psa)</f>
        <v>59.528870854344902</v>
      </c>
      <c r="F144" s="380">
        <f t="shared" si="51"/>
        <v>59.530444771833146</v>
      </c>
      <c r="G144" s="110">
        <f t="shared" ref="G144:G169" si="73">+Wh_hp/MaxiM</f>
        <v>0.9431021773475301</v>
      </c>
      <c r="H144" s="409" t="b">
        <f>Wh_hp&gt;='2027'!Maxi_hp</f>
        <v>0</v>
      </c>
      <c r="I144" s="385">
        <f>IF(H144,Wh_hp,'2027'!Maxi_hp)</f>
        <v>59.530580514371692</v>
      </c>
      <c r="J144" s="85">
        <f>IF(H144,An,'2027'!An_max)</f>
        <v>2022</v>
      </c>
      <c r="K144" s="193">
        <f t="shared" si="52"/>
        <v>46882</v>
      </c>
      <c r="L144" s="143">
        <f>IF(t&lt;Tvie,1-EXP((T0-t)*PertePVj)+'2027'!Pspv,1-EXP((T0-t)*PertePVj)+Pspv)</f>
        <v>3.1790354561161638E-2</v>
      </c>
      <c r="M144" s="836"/>
      <c r="N144" s="836"/>
      <c r="O144" s="48">
        <f>IF(t&lt;Tnet,'2027'!Resal+('2027'!Salim-'2027'!Resal)*(1-EXP(('2027'!Tnet-t)/('2027'!Tau_j))),Resal+(Salim-Resal)*(1-EXP((Tnet-t)/(Tau_j))))*Salcycl</f>
        <v>2.3589078061397848E-2</v>
      </c>
      <c r="P144" s="165">
        <f>(INDEX(Models!$BJ144:$BT144,,T144)*(1-R144)+INDEX(Models!$BJ144:$BT144,,T144+1)*R144-ERP_i)*Q144*Ramure*Pc/MaxiM</f>
        <v>2.8777920197197651E-5</v>
      </c>
      <c r="Q144" s="301">
        <f t="shared" si="53"/>
        <v>0.5</v>
      </c>
      <c r="R144" s="173">
        <f t="shared" si="54"/>
        <v>0.10259751668636463</v>
      </c>
      <c r="S144" s="802">
        <f t="shared" si="55"/>
        <v>3</v>
      </c>
      <c r="T144" s="172">
        <f t="shared" si="56"/>
        <v>9</v>
      </c>
      <c r="U144" s="247">
        <f t="shared" si="57"/>
        <v>3.1025975166863646</v>
      </c>
      <c r="V144" s="378">
        <f t="shared" si="58"/>
        <v>59.671906695386312</v>
      </c>
      <c r="W144" s="397">
        <f t="shared" si="59"/>
        <v>56.276836768915068</v>
      </c>
      <c r="X144" s="153">
        <f t="shared" si="60"/>
        <v>46882</v>
      </c>
      <c r="Y144" s="380">
        <f t="shared" si="61"/>
        <v>54.657034629549905</v>
      </c>
      <c r="Z144" s="380">
        <f t="shared" si="62"/>
        <v>56.451652683935777</v>
      </c>
      <c r="AA144" s="381">
        <f t="shared" si="63"/>
        <v>59.528870854344902</v>
      </c>
      <c r="AB144" s="193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5.16928697999069E-2</v>
      </c>
      <c r="AD144" s="227">
        <f>(INDEX(Models!$BJ144:$BT144,,AH144)*(1-AF144)+INDEX(Models!$BJ144:$BT144,,AH144+1)*AF144-ERP_i)*AE144*Ramure*Pc/MaxiM</f>
        <v>2.8777920197197651E-5</v>
      </c>
      <c r="AE144" s="301">
        <f t="shared" si="65"/>
        <v>0.5</v>
      </c>
      <c r="AF144" s="173">
        <f t="shared" si="66"/>
        <v>0.10259751668636463</v>
      </c>
      <c r="AG144" s="802">
        <f t="shared" ref="AG144:AG207" si="74">INDEX(Echel_vg,AH144)</f>
        <v>3</v>
      </c>
      <c r="AH144" s="172">
        <f t="shared" si="67"/>
        <v>9</v>
      </c>
      <c r="AI144" s="221">
        <f t="shared" si="68"/>
        <v>3.1025975166863646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46883</v>
      </c>
      <c r="B145" s="406">
        <f>'2027'!Wh/'2027'!Env_an*'2028'!Env_an</f>
        <v>60.033224443866665</v>
      </c>
      <c r="C145" s="832"/>
      <c r="D145" s="388">
        <f t="shared" si="50"/>
        <v>62.005213997155948</v>
      </c>
      <c r="E145" s="380">
        <f t="shared" si="72"/>
        <v>63.507593872839401</v>
      </c>
      <c r="F145" s="380">
        <f t="shared" si="51"/>
        <v>63.509317018832242</v>
      </c>
      <c r="G145" s="110">
        <f t="shared" si="73"/>
        <v>1.0039943016367112</v>
      </c>
      <c r="H145" s="409" t="b">
        <f>Wh_hp&gt;='2027'!Maxi_hp</f>
        <v>1</v>
      </c>
      <c r="I145" s="385">
        <f>IF(H145,Wh_hp,'2027'!Maxi_hp)</f>
        <v>63.509317018832242</v>
      </c>
      <c r="J145" s="85">
        <f>IF(H145,An,'2027'!An_max)</f>
        <v>2028</v>
      </c>
      <c r="K145" s="193">
        <f t="shared" si="52"/>
        <v>46883</v>
      </c>
      <c r="L145" s="143">
        <f>IF(t&lt;Tvie,1-EXP((T0-t)*PertePVj)+'2027'!Pspv,1-EXP((T0-t)*PertePVj)+Pspv)</f>
        <v>3.1803608538142236E-2</v>
      </c>
      <c r="M145" s="836"/>
      <c r="N145" s="836"/>
      <c r="O145" s="48">
        <f>IF(t&lt;Tnet,'2027'!Resal+('2027'!Salim-'2027'!Resal)*(1-EXP(('2027'!Tnet-t)/('2027'!Tau_j))),Resal+(Salim-Resal)*(1-EXP((Tnet-t)/(Tau_j))))*Salcycl</f>
        <v>2.3656696531310122E-2</v>
      </c>
      <c r="P145" s="165">
        <f>(INDEX(Models!$BJ145:$BT145,,T145)*(1-R145)+INDEX(Models!$BJ145:$BT145,,T145+1)*R145-ERP_i)*Q145*Ramure*Pc/MaxiM</f>
        <v>2.7132176406945665E-5</v>
      </c>
      <c r="Q145" s="301">
        <f t="shared" si="53"/>
        <v>0.5</v>
      </c>
      <c r="R145" s="173">
        <f t="shared" si="54"/>
        <v>0.10615381774472876</v>
      </c>
      <c r="S145" s="802">
        <f t="shared" si="55"/>
        <v>3</v>
      </c>
      <c r="T145" s="172">
        <f t="shared" si="56"/>
        <v>9</v>
      </c>
      <c r="U145" s="247">
        <f t="shared" si="57"/>
        <v>3.1061538177447288</v>
      </c>
      <c r="V145" s="378">
        <f t="shared" si="58"/>
        <v>59.79438762351591</v>
      </c>
      <c r="W145" s="397">
        <f t="shared" si="59"/>
        <v>60.033224443866665</v>
      </c>
      <c r="X145" s="153">
        <f t="shared" si="60"/>
        <v>46883</v>
      </c>
      <c r="Y145" s="380">
        <f t="shared" si="61"/>
        <v>58.305673070639301</v>
      </c>
      <c r="Z145" s="380">
        <f t="shared" si="62"/>
        <v>60.220915492780229</v>
      </c>
      <c r="AA145" s="381">
        <f t="shared" si="63"/>
        <v>63.507593872839401</v>
      </c>
      <c r="AB145" s="193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5.1752525637171122E-2</v>
      </c>
      <c r="AD145" s="227">
        <f>(INDEX(Models!$BJ145:$BT145,,AH145)*(1-AF145)+INDEX(Models!$BJ145:$BT145,,AH145+1)*AF145-ERP_i)*AE145*Ramure*Pc/MaxiM</f>
        <v>2.7132176406945665E-5</v>
      </c>
      <c r="AE145" s="301">
        <f t="shared" si="65"/>
        <v>0.5</v>
      </c>
      <c r="AF145" s="173">
        <f t="shared" si="66"/>
        <v>0.10615381774472876</v>
      </c>
      <c r="AG145" s="802">
        <f t="shared" si="74"/>
        <v>3</v>
      </c>
      <c r="AH145" s="172">
        <f t="shared" si="67"/>
        <v>9</v>
      </c>
      <c r="AI145" s="221">
        <f t="shared" si="68"/>
        <v>3.1061538177447288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46884</v>
      </c>
      <c r="B146" s="406">
        <f>'2027'!Wh/'2027'!Env_an*'2028'!Env_an</f>
        <v>45.712478436678374</v>
      </c>
      <c r="C146" s="832"/>
      <c r="D146" s="388">
        <f t="shared" si="50"/>
        <v>47.214702113964428</v>
      </c>
      <c r="E146" s="380">
        <f t="shared" si="72"/>
        <v>48.362071131282903</v>
      </c>
      <c r="F146" s="380">
        <f t="shared" si="51"/>
        <v>48.362892246516438</v>
      </c>
      <c r="G146" s="110">
        <f t="shared" si="73"/>
        <v>0.76297824878367448</v>
      </c>
      <c r="H146" s="409" t="b">
        <f>Wh_hp&gt;='2027'!Maxi_hp</f>
        <v>0</v>
      </c>
      <c r="I146" s="385">
        <f>IF(H146,Wh_hp,'2027'!Maxi_hp)</f>
        <v>48.363301649060638</v>
      </c>
      <c r="J146" s="85">
        <f>IF(H146,An,'2027'!An_max)</f>
        <v>2022</v>
      </c>
      <c r="K146" s="193">
        <f t="shared" si="52"/>
        <v>46884</v>
      </c>
      <c r="L146" s="143">
        <f>IF(t&lt;Tvie,1-EXP((T0-t)*PertePVj)+'2027'!Pspv,1-EXP((T0-t)*PertePVj)+Pspv)</f>
        <v>3.1816862333687079E-2</v>
      </c>
      <c r="M146" s="836"/>
      <c r="N146" s="836"/>
      <c r="O146" s="48">
        <f>IF(t&lt;Tnet,'2027'!Resal+('2027'!Salim-'2027'!Resal)*(1-EXP(('2027'!Tnet-t)/('2027'!Tau_j))),Resal+(Salim-Resal)*(1-EXP((Tnet-t)/(Tau_j))))*Salcycl</f>
        <v>2.3724563288529284E-2</v>
      </c>
      <c r="P146" s="165">
        <f>(INDEX(Models!$BJ146:$BT146,,T146)*(1-R146)+INDEX(Models!$BJ146:$BT146,,T146+1)*R146-ERP_i)*Q146*Ramure*Pc/MaxiM</f>
        <v>2.5669834910544913E-5</v>
      </c>
      <c r="Q146" s="301">
        <f t="shared" si="53"/>
        <v>0.5</v>
      </c>
      <c r="R146" s="173">
        <f t="shared" si="54"/>
        <v>0.1097912053925576</v>
      </c>
      <c r="S146" s="802">
        <f t="shared" si="55"/>
        <v>3</v>
      </c>
      <c r="T146" s="172">
        <f t="shared" si="56"/>
        <v>9</v>
      </c>
      <c r="U146" s="247">
        <f t="shared" si="57"/>
        <v>3.1097912053925576</v>
      </c>
      <c r="V146" s="378">
        <f t="shared" si="58"/>
        <v>59.912692382762188</v>
      </c>
      <c r="W146" s="397">
        <f t="shared" si="59"/>
        <v>45.712478436678374</v>
      </c>
      <c r="X146" s="153">
        <f t="shared" si="60"/>
        <v>46884</v>
      </c>
      <c r="Y146" s="380">
        <f t="shared" si="61"/>
        <v>44.397298328809107</v>
      </c>
      <c r="Z146" s="380">
        <f t="shared" si="62"/>
        <v>45.856301975908572</v>
      </c>
      <c r="AA146" s="381">
        <f t="shared" si="63"/>
        <v>48.362071131282903</v>
      </c>
      <c r="AB146" s="193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5.1812693227554399E-2</v>
      </c>
      <c r="AD146" s="227">
        <f>(INDEX(Models!$BJ146:$BT146,,AH146)*(1-AF146)+INDEX(Models!$BJ146:$BT146,,AH146+1)*AF146-ERP_i)*AE146*Ramure*Pc/MaxiM</f>
        <v>2.5669834910544913E-5</v>
      </c>
      <c r="AE146" s="301">
        <f t="shared" si="65"/>
        <v>0.5</v>
      </c>
      <c r="AF146" s="173">
        <f t="shared" si="66"/>
        <v>0.1097912053925576</v>
      </c>
      <c r="AG146" s="802">
        <f t="shared" si="74"/>
        <v>3</v>
      </c>
      <c r="AH146" s="172">
        <f t="shared" si="67"/>
        <v>9</v>
      </c>
      <c r="AI146" s="221">
        <f t="shared" si="68"/>
        <v>3.1097912053925576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46885</v>
      </c>
      <c r="B147" s="406">
        <f>'2027'!Wh/'2027'!Env_an*'2028'!Env_an</f>
        <v>48.440139999802717</v>
      </c>
      <c r="C147" s="832"/>
      <c r="D147" s="388">
        <f t="shared" si="50"/>
        <v>50.03268620281824</v>
      </c>
      <c r="E147" s="380">
        <f t="shared" si="72"/>
        <v>51.252110610015961</v>
      </c>
      <c r="F147" s="380">
        <f t="shared" si="51"/>
        <v>51.25301607817331</v>
      </c>
      <c r="G147" s="110">
        <f t="shared" si="73"/>
        <v>0.80696393785605336</v>
      </c>
      <c r="H147" s="409" t="b">
        <f>Wh_hp&gt;='2027'!Maxi_hp</f>
        <v>0</v>
      </c>
      <c r="I147" s="385">
        <f>IF(H147,Wh_hp,'2027'!Maxi_hp)</f>
        <v>51.253351704584936</v>
      </c>
      <c r="J147" s="85">
        <f>IF(H147,An,'2027'!An_max)</f>
        <v>2022</v>
      </c>
      <c r="K147" s="193">
        <f t="shared" si="52"/>
        <v>46885</v>
      </c>
      <c r="L147" s="143">
        <f>IF(t&lt;Tvie,1-EXP((T0-t)*PertePVj)+'2027'!Pspv,1-EXP((T0-t)*PertePVj)+Pspv)</f>
        <v>3.1830115947798499E-2</v>
      </c>
      <c r="M147" s="836"/>
      <c r="N147" s="836"/>
      <c r="O147" s="48">
        <f>IF(t&lt;Tnet,'2027'!Resal+('2027'!Salim-'2027'!Resal)*(1-EXP(('2027'!Tnet-t)/('2027'!Tau_j))),Resal+(Salim-Resal)*(1-EXP((Tnet-t)/(Tau_j))))*Salcycl</f>
        <v>2.3792667124998647E-2</v>
      </c>
      <c r="P147" s="165">
        <f>(INDEX(Models!$BJ147:$BT147,,T147)*(1-R147)+INDEX(Models!$BJ147:$BT147,,T147+1)*R147-ERP_i)*Q147*Ramure*Pc/MaxiM</f>
        <v>2.4393273044147261E-5</v>
      </c>
      <c r="Q147" s="301">
        <f t="shared" si="53"/>
        <v>0.5</v>
      </c>
      <c r="R147" s="173">
        <f t="shared" si="54"/>
        <v>0.11350930851800989</v>
      </c>
      <c r="S147" s="802">
        <f t="shared" si="55"/>
        <v>3</v>
      </c>
      <c r="T147" s="172">
        <f t="shared" si="56"/>
        <v>9</v>
      </c>
      <c r="U147" s="247">
        <f t="shared" si="57"/>
        <v>3.1135093085180099</v>
      </c>
      <c r="V147" s="378">
        <f t="shared" si="58"/>
        <v>60.027235273104935</v>
      </c>
      <c r="W147" s="397">
        <f t="shared" si="59"/>
        <v>48.440139999802717</v>
      </c>
      <c r="X147" s="153">
        <f t="shared" si="60"/>
        <v>46885</v>
      </c>
      <c r="Y147" s="380">
        <f t="shared" si="61"/>
        <v>47.046755670837314</v>
      </c>
      <c r="Z147" s="380">
        <f t="shared" si="62"/>
        <v>48.593492160618233</v>
      </c>
      <c r="AA147" s="381">
        <f t="shared" si="63"/>
        <v>51.252110610015961</v>
      </c>
      <c r="AB147" s="193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5.1873345658435509E-2</v>
      </c>
      <c r="AD147" s="227">
        <f>(INDEX(Models!$BJ147:$BT147,,AH147)*(1-AF147)+INDEX(Models!$BJ147:$BT147,,AH147+1)*AF147-ERP_i)*AE147*Ramure*Pc/MaxiM</f>
        <v>2.4393273044147261E-5</v>
      </c>
      <c r="AE147" s="301">
        <f t="shared" si="65"/>
        <v>0.5</v>
      </c>
      <c r="AF147" s="173">
        <f t="shared" si="66"/>
        <v>0.11350930851800989</v>
      </c>
      <c r="AG147" s="802">
        <f t="shared" si="74"/>
        <v>3</v>
      </c>
      <c r="AH147" s="172">
        <f t="shared" si="67"/>
        <v>9</v>
      </c>
      <c r="AI147" s="221">
        <f t="shared" si="68"/>
        <v>3.1135093085180099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46886</v>
      </c>
      <c r="B148" s="406">
        <f>'2027'!Wh/'2027'!Env_an*'2028'!Env_an</f>
        <v>54.229898662337156</v>
      </c>
      <c r="C148" s="832"/>
      <c r="D148" s="388">
        <f t="shared" si="50"/>
        <v>56.013559115569542</v>
      </c>
      <c r="E148" s="380">
        <f t="shared" si="72"/>
        <v>57.382769138033325</v>
      </c>
      <c r="F148" s="380">
        <f t="shared" si="51"/>
        <v>57.383918775351091</v>
      </c>
      <c r="G148" s="110">
        <f t="shared" si="73"/>
        <v>0.90174819679221541</v>
      </c>
      <c r="H148" s="409" t="b">
        <f>Wh_hp&gt;='2027'!Maxi_hp</f>
        <v>0</v>
      </c>
      <c r="I148" s="385">
        <f>IF(H148,Wh_hp,'2027'!Maxi_hp)</f>
        <v>57.384101419419501</v>
      </c>
      <c r="J148" s="85">
        <f>IF(H148,An,'2027'!An_max)</f>
        <v>2022</v>
      </c>
      <c r="K148" s="193">
        <f t="shared" si="52"/>
        <v>46886</v>
      </c>
      <c r="L148" s="143">
        <f>IF(t&lt;Tvie,1-EXP((T0-t)*PertePVj)+'2027'!Pspv,1-EXP((T0-t)*PertePVj)+Pspv)</f>
        <v>3.1843369380479158E-2</v>
      </c>
      <c r="M148" s="836"/>
      <c r="N148" s="836"/>
      <c r="O148" s="48">
        <f>IF(t&lt;Tnet,'2027'!Resal+('2027'!Salim-'2027'!Resal)*(1-EXP(('2027'!Tnet-t)/('2027'!Tau_j))),Resal+(Salim-Resal)*(1-EXP((Tnet-t)/(Tau_j))))*Salcycl</f>
        <v>2.3860995958040532E-2</v>
      </c>
      <c r="P148" s="165">
        <f>(INDEX(Models!$BJ148:$BT148,,T148)*(1-R148)+INDEX(Models!$BJ148:$BT148,,T148+1)*R148-ERP_i)*Q148*Ramure*Pc/MaxiM</f>
        <v>2.330514252691941E-5</v>
      </c>
      <c r="Q148" s="301">
        <f t="shared" si="53"/>
        <v>0.5</v>
      </c>
      <c r="R148" s="173">
        <f t="shared" si="54"/>
        <v>0.11730760008361196</v>
      </c>
      <c r="S148" s="802">
        <f t="shared" si="55"/>
        <v>3</v>
      </c>
      <c r="T148" s="172">
        <f t="shared" si="56"/>
        <v>9</v>
      </c>
      <c r="U148" s="247">
        <f t="shared" si="57"/>
        <v>3.117307600083612</v>
      </c>
      <c r="V148" s="378">
        <f t="shared" si="58"/>
        <v>60.138430512444714</v>
      </c>
      <c r="W148" s="397">
        <f t="shared" si="59"/>
        <v>54.229898662337156</v>
      </c>
      <c r="X148" s="153">
        <f t="shared" si="60"/>
        <v>46886</v>
      </c>
      <c r="Y148" s="380">
        <f t="shared" si="61"/>
        <v>52.670263410640651</v>
      </c>
      <c r="Z148" s="380">
        <f t="shared" si="62"/>
        <v>54.402626336336809</v>
      </c>
      <c r="AA148" s="381">
        <f t="shared" si="63"/>
        <v>57.382769138033325</v>
      </c>
      <c r="AB148" s="193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5.1934454305051593E-2</v>
      </c>
      <c r="AD148" s="227">
        <f>(INDEX(Models!$BJ148:$BT148,,AH148)*(1-AF148)+INDEX(Models!$BJ148:$BT148,,AH148+1)*AF148-ERP_i)*AE148*Ramure*Pc/MaxiM</f>
        <v>2.330514252691941E-5</v>
      </c>
      <c r="AE148" s="301">
        <f t="shared" si="65"/>
        <v>0.5</v>
      </c>
      <c r="AF148" s="173">
        <f t="shared" si="66"/>
        <v>0.11730760008361196</v>
      </c>
      <c r="AG148" s="802">
        <f t="shared" si="74"/>
        <v>3</v>
      </c>
      <c r="AH148" s="172">
        <f t="shared" si="67"/>
        <v>9</v>
      </c>
      <c r="AI148" s="221">
        <f t="shared" si="68"/>
        <v>3.117307600083612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46887</v>
      </c>
      <c r="B149" s="406">
        <f>'2027'!Wh/'2027'!Env_an*'2028'!Env_an</f>
        <v>55.980658051627209</v>
      </c>
      <c r="C149" s="832"/>
      <c r="D149" s="388">
        <f t="shared" si="50"/>
        <v>57.822693787154755</v>
      </c>
      <c r="E149" s="380">
        <f t="shared" si="72"/>
        <v>59.240286402923559</v>
      </c>
      <c r="F149" s="380">
        <f t="shared" si="51"/>
        <v>59.241479693725985</v>
      </c>
      <c r="G149" s="110">
        <f t="shared" si="73"/>
        <v>0.92921127688597438</v>
      </c>
      <c r="H149" s="409" t="b">
        <f>Wh_hp&gt;='2027'!Maxi_hp</f>
        <v>0</v>
      </c>
      <c r="I149" s="385">
        <f>IF(H149,Wh_hp,'2027'!Maxi_hp)</f>
        <v>59.241610255931469</v>
      </c>
      <c r="J149" s="85">
        <f>IF(H149,An,'2027'!An_max)</f>
        <v>2022</v>
      </c>
      <c r="K149" s="193">
        <f t="shared" si="52"/>
        <v>46887</v>
      </c>
      <c r="L149" s="143">
        <f>IF(t&lt;Tvie,1-EXP((T0-t)*PertePVj)+'2027'!Pspv,1-EXP((T0-t)*PertePVj)+Pspv)</f>
        <v>3.1856622631731391E-2</v>
      </c>
      <c r="M149" s="836"/>
      <c r="N149" s="836"/>
      <c r="O149" s="48">
        <f>IF(t&lt;Tnet,'2027'!Resal+('2027'!Salim-'2027'!Resal)*(1-EXP(('2027'!Tnet-t)/('2027'!Tau_j))),Resal+(Salim-Resal)*(1-EXP((Tnet-t)/(Tau_j))))*Salcycl</f>
        <v>2.3929536837938786E-2</v>
      </c>
      <c r="P149" s="165">
        <f>(INDEX(Models!$BJ149:$BT149,,T149)*(1-R149)+INDEX(Models!$BJ149:$BT149,,T149+1)*R149-ERP_i)*Q149*Ramure*Pc/MaxiM</f>
        <v>2.2408897223990358E-5</v>
      </c>
      <c r="Q149" s="301">
        <f t="shared" si="53"/>
        <v>0.5</v>
      </c>
      <c r="R149" s="173">
        <f t="shared" si="54"/>
        <v>0.12118539179865184</v>
      </c>
      <c r="S149" s="802">
        <f t="shared" si="55"/>
        <v>3</v>
      </c>
      <c r="T149" s="172">
        <f t="shared" si="56"/>
        <v>9</v>
      </c>
      <c r="U149" s="247">
        <f t="shared" si="57"/>
        <v>3.1211853917986518</v>
      </c>
      <c r="V149" s="378">
        <f t="shared" si="58"/>
        <v>60.245212886895366</v>
      </c>
      <c r="W149" s="397">
        <f t="shared" si="59"/>
        <v>55.980658051627209</v>
      </c>
      <c r="X149" s="153">
        <f t="shared" si="60"/>
        <v>46887</v>
      </c>
      <c r="Y149" s="380">
        <f t="shared" si="61"/>
        <v>54.370960276013101</v>
      </c>
      <c r="Z149" s="380">
        <f t="shared" si="62"/>
        <v>56.160029131027279</v>
      </c>
      <c r="AA149" s="381">
        <f t="shared" si="63"/>
        <v>59.240286402923559</v>
      </c>
      <c r="AB149" s="193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5.1995988860449927E-2</v>
      </c>
      <c r="AD149" s="227">
        <f>(INDEX(Models!$BJ149:$BT149,,AH149)*(1-AF149)+INDEX(Models!$BJ149:$BT149,,AH149+1)*AF149-ERP_i)*AE149*Ramure*Pc/MaxiM</f>
        <v>2.2408897223990358E-5</v>
      </c>
      <c r="AE149" s="301">
        <f t="shared" si="65"/>
        <v>0.5</v>
      </c>
      <c r="AF149" s="173">
        <f t="shared" si="66"/>
        <v>0.12118539179865184</v>
      </c>
      <c r="AG149" s="802">
        <f t="shared" si="74"/>
        <v>3</v>
      </c>
      <c r="AH149" s="172">
        <f t="shared" si="67"/>
        <v>9</v>
      </c>
      <c r="AI149" s="221">
        <f t="shared" si="68"/>
        <v>3.1211853917986518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46888</v>
      </c>
      <c r="B150" s="406">
        <f>'2027'!Wh/'2027'!Env_an*'2028'!Env_an</f>
        <v>54.713404486174944</v>
      </c>
      <c r="C150" s="832"/>
      <c r="D150" s="388">
        <f t="shared" si="50"/>
        <v>56.514515056354789</v>
      </c>
      <c r="E150" s="380">
        <f t="shared" si="72"/>
        <v>57.904113962440704</v>
      </c>
      <c r="F150" s="380">
        <f t="shared" si="51"/>
        <v>57.905201837233619</v>
      </c>
      <c r="G150" s="110">
        <f t="shared" si="73"/>
        <v>0.90665330169022706</v>
      </c>
      <c r="H150" s="409" t="b">
        <f>Wh_hp&gt;='2027'!Maxi_hp</f>
        <v>0</v>
      </c>
      <c r="I150" s="385">
        <f>IF(H150,Wh_hp,'2027'!Maxi_hp)</f>
        <v>57.905364539166378</v>
      </c>
      <c r="J150" s="85">
        <f>IF(H150,An,'2027'!An_max)</f>
        <v>2022</v>
      </c>
      <c r="K150" s="193">
        <f t="shared" si="52"/>
        <v>46888</v>
      </c>
      <c r="L150" s="143">
        <f>IF(t&lt;Tvie,1-EXP((T0-t)*PertePVj)+'2027'!Pspv,1-EXP((T0-t)*PertePVj)+Pspv)</f>
        <v>3.1869875701557859E-2</v>
      </c>
      <c r="M150" s="836"/>
      <c r="N150" s="836"/>
      <c r="O150" s="48">
        <f>IF(t&lt;Tnet,'2027'!Resal+('2027'!Salim-'2027'!Resal)*(1-EXP(('2027'!Tnet-t)/('2027'!Tau_j))),Resal+(Salim-Resal)*(1-EXP((Tnet-t)/(Tau_j))))*Salcycl</f>
        <v>2.3998275959930482E-2</v>
      </c>
      <c r="P150" s="165">
        <f>(INDEX(Models!$BJ150:$BT150,,T150)*(1-R150)+INDEX(Models!$BJ150:$BT150,,T150+1)*R150-ERP_i)*Q150*Ramure*Pc/MaxiM</f>
        <v>2.1677886208732923E-5</v>
      </c>
      <c r="Q150" s="301">
        <f t="shared" si="53"/>
        <v>0.5</v>
      </c>
      <c r="R150" s="173">
        <f t="shared" si="54"/>
        <v>0.1251418292597779</v>
      </c>
      <c r="S150" s="802">
        <f t="shared" si="55"/>
        <v>3</v>
      </c>
      <c r="T150" s="172">
        <f t="shared" si="56"/>
        <v>9</v>
      </c>
      <c r="U150" s="247">
        <f t="shared" si="57"/>
        <v>3.1251418292597779</v>
      </c>
      <c r="V150" s="378">
        <f t="shared" si="58"/>
        <v>60.346381820047007</v>
      </c>
      <c r="W150" s="397">
        <f t="shared" si="59"/>
        <v>54.713404486174944</v>
      </c>
      <c r="X150" s="153">
        <f t="shared" si="60"/>
        <v>46888</v>
      </c>
      <c r="Y150" s="380">
        <f t="shared" si="61"/>
        <v>53.140416987644528</v>
      </c>
      <c r="Z150" s="380">
        <f t="shared" si="62"/>
        <v>54.889746382133147</v>
      </c>
      <c r="AA150" s="381">
        <f t="shared" si="63"/>
        <v>57.904113962440704</v>
      </c>
      <c r="AB150" s="193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5.2057917374624084E-2</v>
      </c>
      <c r="AD150" s="227">
        <f>(INDEX(Models!$BJ150:$BT150,,AH150)*(1-AF150)+INDEX(Models!$BJ150:$BT150,,AH150+1)*AF150-ERP_i)*AE150*Ramure*Pc/MaxiM</f>
        <v>2.1677886208732923E-5</v>
      </c>
      <c r="AE150" s="301">
        <f t="shared" si="65"/>
        <v>0.5</v>
      </c>
      <c r="AF150" s="173">
        <f t="shared" si="66"/>
        <v>0.1251418292597779</v>
      </c>
      <c r="AG150" s="802">
        <f t="shared" si="74"/>
        <v>3</v>
      </c>
      <c r="AH150" s="172">
        <f t="shared" si="67"/>
        <v>9</v>
      </c>
      <c r="AI150" s="221">
        <f t="shared" si="68"/>
        <v>3.1251418292597779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46889</v>
      </c>
      <c r="B151" s="406">
        <f>'2027'!Wh/'2027'!Env_an*'2028'!Env_an</f>
        <v>58.431425379446594</v>
      </c>
      <c r="C151" s="832"/>
      <c r="D151" s="388">
        <f t="shared" si="50"/>
        <v>60.355755699559921</v>
      </c>
      <c r="E151" s="380">
        <f t="shared" si="72"/>
        <v>61.844171666300618</v>
      </c>
      <c r="F151" s="380">
        <f t="shared" si="51"/>
        <v>61.845409568672054</v>
      </c>
      <c r="G151" s="110">
        <f t="shared" si="73"/>
        <v>0.96673207886693402</v>
      </c>
      <c r="H151" s="409" t="b">
        <f>Wh_hp&gt;='2027'!Maxi_hp</f>
        <v>0</v>
      </c>
      <c r="I151" s="385">
        <f>IF(H151,Wh_hp,'2027'!Maxi_hp)</f>
        <v>61.845469570151174</v>
      </c>
      <c r="J151" s="85">
        <f>IF(H151,An,'2027'!An_max)</f>
        <v>2022</v>
      </c>
      <c r="K151" s="193">
        <f t="shared" si="52"/>
        <v>46889</v>
      </c>
      <c r="L151" s="143">
        <f>IF(t&lt;Tvie,1-EXP((T0-t)*PertePVj)+'2027'!Pspv,1-EXP((T0-t)*PertePVj)+Pspv)</f>
        <v>3.1883128589960785E-2</v>
      </c>
      <c r="M151" s="836"/>
      <c r="N151" s="836"/>
      <c r="O151" s="48">
        <f>IF(t&lt;Tnet,'2027'!Resal+('2027'!Salim-'2027'!Resal)*(1-EXP(('2027'!Tnet-t)/('2027'!Tau_j))),Resal+(Salim-Resal)*(1-EXP((Tnet-t)/(Tau_j))))*Salcycl</f>
        <v>2.4067198680773071E-2</v>
      </c>
      <c r="P151" s="165">
        <f>(INDEX(Models!$BJ151:$BT151,,T151)*(1-R151)+INDEX(Models!$BJ151:$BT151,,T151+1)*R151-ERP_i)*Q151*Ramure*Pc/MaxiM</f>
        <v>2.1014786636482538E-5</v>
      </c>
      <c r="Q151" s="301">
        <f t="shared" si="53"/>
        <v>0.5</v>
      </c>
      <c r="R151" s="173">
        <f t="shared" si="54"/>
        <v>0.12917588761975152</v>
      </c>
      <c r="S151" s="802">
        <f t="shared" si="55"/>
        <v>3</v>
      </c>
      <c r="T151" s="172">
        <f t="shared" si="56"/>
        <v>9</v>
      </c>
      <c r="U151" s="247">
        <f t="shared" si="57"/>
        <v>3.1291758876197515</v>
      </c>
      <c r="V151" s="378">
        <f t="shared" si="58"/>
        <v>60.442151760013246</v>
      </c>
      <c r="W151" s="397">
        <f t="shared" si="59"/>
        <v>58.431425379446594</v>
      </c>
      <c r="X151" s="153">
        <f t="shared" si="60"/>
        <v>46889</v>
      </c>
      <c r="Y151" s="380">
        <f t="shared" si="61"/>
        <v>56.751824878944277</v>
      </c>
      <c r="Z151" s="380">
        <f t="shared" si="62"/>
        <v>58.620840680409373</v>
      </c>
      <c r="AA151" s="381">
        <f t="shared" si="63"/>
        <v>61.844171666300618</v>
      </c>
      <c r="AB151" s="193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5.2120206303089119E-2</v>
      </c>
      <c r="AD151" s="227">
        <f>(INDEX(Models!$BJ151:$BT151,,AH151)*(1-AF151)+INDEX(Models!$BJ151:$BT151,,AH151+1)*AF151-ERP_i)*AE151*Ramure*Pc/MaxiM</f>
        <v>2.1014786636482538E-5</v>
      </c>
      <c r="AE151" s="301">
        <f t="shared" si="65"/>
        <v>0.5</v>
      </c>
      <c r="AF151" s="173">
        <f t="shared" si="66"/>
        <v>0.12917588761975152</v>
      </c>
      <c r="AG151" s="802">
        <f t="shared" si="74"/>
        <v>3</v>
      </c>
      <c r="AH151" s="172">
        <f t="shared" si="67"/>
        <v>9</v>
      </c>
      <c r="AI151" s="221">
        <f t="shared" si="68"/>
        <v>3.1291758876197515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46890</v>
      </c>
      <c r="B152" s="406">
        <f>'2027'!Wh/'2027'!Env_an*'2028'!Env_an</f>
        <v>55.790321528091333</v>
      </c>
      <c r="C152" s="832"/>
      <c r="D152" s="388">
        <f t="shared" si="50"/>
        <v>57.628460890201154</v>
      </c>
      <c r="E152" s="380">
        <f t="shared" si="72"/>
        <v>59.053800517940815</v>
      </c>
      <c r="F152" s="380">
        <f t="shared" si="51"/>
        <v>59.054871484313935</v>
      </c>
      <c r="G152" s="110">
        <f t="shared" si="73"/>
        <v>0.92165334147320832</v>
      </c>
      <c r="H152" s="409" t="b">
        <f>Wh_hp&gt;='2027'!Maxi_hp</f>
        <v>0</v>
      </c>
      <c r="I152" s="385">
        <f>IF(H152,Wh_hp,'2027'!Maxi_hp)</f>
        <v>59.055002518702814</v>
      </c>
      <c r="J152" s="85">
        <f>IF(H152,An,'2027'!An_max)</f>
        <v>2022</v>
      </c>
      <c r="K152" s="193">
        <f t="shared" si="52"/>
        <v>46890</v>
      </c>
      <c r="L152" s="143">
        <f>IF(t&lt;Tvie,1-EXP((T0-t)*PertePVj)+'2027'!Pspv,1-EXP((T0-t)*PertePVj)+Pspv)</f>
        <v>3.1896381296942944E-2</v>
      </c>
      <c r="M152" s="836"/>
      <c r="N152" s="836"/>
      <c r="O152" s="48">
        <f>IF(t&lt;Tnet,'2027'!Resal+('2027'!Salim-'2027'!Resal)*(1-EXP(('2027'!Tnet-t)/('2027'!Tau_j))),Resal+(Salim-Resal)*(1-EXP((Tnet-t)/(Tau_j))))*Salcycl</f>
        <v>2.4136289540021019E-2</v>
      </c>
      <c r="P152" s="165">
        <f>(INDEX(Models!$BJ152:$BT152,,T152)*(1-R152)+INDEX(Models!$BJ152:$BT152,,T152+1)*R152-ERP_i)*Q152*Ramure*Pc/MaxiM</f>
        <v>2.0420595470353952E-5</v>
      </c>
      <c r="Q152" s="301">
        <f t="shared" si="53"/>
        <v>0.5</v>
      </c>
      <c r="R152" s="173">
        <f t="shared" si="54"/>
        <v>0.13328636784370884</v>
      </c>
      <c r="S152" s="802">
        <f t="shared" si="55"/>
        <v>3</v>
      </c>
      <c r="T152" s="172">
        <f t="shared" si="56"/>
        <v>9</v>
      </c>
      <c r="U152" s="247">
        <f t="shared" si="57"/>
        <v>3.1332863678437088</v>
      </c>
      <c r="V152" s="378">
        <f t="shared" si="58"/>
        <v>60.532731241908245</v>
      </c>
      <c r="W152" s="397">
        <f t="shared" si="59"/>
        <v>55.790321528091333</v>
      </c>
      <c r="X152" s="153">
        <f t="shared" si="60"/>
        <v>46890</v>
      </c>
      <c r="Y152" s="380">
        <f t="shared" si="61"/>
        <v>54.186895796748125</v>
      </c>
      <c r="Z152" s="380">
        <f t="shared" si="62"/>
        <v>55.972206641827128</v>
      </c>
      <c r="AA152" s="381">
        <f t="shared" si="63"/>
        <v>59.053800517940815</v>
      </c>
      <c r="AB152" s="193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5.218282056507921E-2</v>
      </c>
      <c r="AD152" s="227">
        <f>(INDEX(Models!$BJ152:$BT152,,AH152)*(1-AF152)+INDEX(Models!$BJ152:$BT152,,AH152+1)*AF152-ERP_i)*AE152*Ramure*Pc/MaxiM</f>
        <v>2.0420595470353952E-5</v>
      </c>
      <c r="AE152" s="301">
        <f t="shared" si="65"/>
        <v>0.5</v>
      </c>
      <c r="AF152" s="173">
        <f t="shared" si="66"/>
        <v>0.13328636784370884</v>
      </c>
      <c r="AG152" s="802">
        <f t="shared" si="74"/>
        <v>3</v>
      </c>
      <c r="AH152" s="172">
        <f t="shared" si="67"/>
        <v>9</v>
      </c>
      <c r="AI152" s="221">
        <f t="shared" si="68"/>
        <v>3.1332863678437088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46891</v>
      </c>
      <c r="B153" s="406">
        <f>'2027'!Wh/'2027'!Env_an*'2028'!Env_an</f>
        <v>54.598773372320998</v>
      </c>
      <c r="C153" s="832"/>
      <c r="D153" s="388">
        <f t="shared" si="50"/>
        <v>56.398426510434511</v>
      </c>
      <c r="E153" s="380">
        <f t="shared" si="72"/>
        <v>57.797444417333011</v>
      </c>
      <c r="F153" s="380">
        <f t="shared" si="51"/>
        <v>57.798431261575992</v>
      </c>
      <c r="G153" s="110">
        <f t="shared" si="73"/>
        <v>0.90069489464791463</v>
      </c>
      <c r="H153" s="409" t="b">
        <f>Wh_hp&gt;='2027'!Maxi_hp</f>
        <v>0</v>
      </c>
      <c r="I153" s="385">
        <f>IF(H153,Wh_hp,'2027'!Maxi_hp)</f>
        <v>57.798589542149266</v>
      </c>
      <c r="J153" s="85">
        <f>IF(H153,An,'2027'!An_max)</f>
        <v>2022</v>
      </c>
      <c r="K153" s="193">
        <f t="shared" si="52"/>
        <v>46891</v>
      </c>
      <c r="L153" s="143">
        <f>IF(t&lt;Tvie,1-EXP((T0-t)*PertePVj)+'2027'!Pspv,1-EXP((T0-t)*PertePVj)+Pspv)</f>
        <v>3.1909633822506556E-2</v>
      </c>
      <c r="M153" s="836"/>
      <c r="N153" s="836"/>
      <c r="O153" s="48">
        <f>IF(t&lt;Tnet,'2027'!Resal+('2027'!Salim-'2027'!Resal)*(1-EXP(('2027'!Tnet-t)/('2027'!Tau_j))),Resal+(Salim-Resal)*(1-EXP((Tnet-t)/(Tau_j))))*Salcycl</f>
        <v>2.4205532286111678E-2</v>
      </c>
      <c r="P153" s="165">
        <f>(INDEX(Models!$BJ153:$BT153,,T153)*(1-R153)+INDEX(Models!$BJ153:$BT153,,T153+1)*R153-ERP_i)*Q153*Ramure*Pc/MaxiM</f>
        <v>1.9896414586105007E-5</v>
      </c>
      <c r="Q153" s="301">
        <f t="shared" si="53"/>
        <v>0.5</v>
      </c>
      <c r="R153" s="173">
        <f t="shared" si="54"/>
        <v>0.13747189361100531</v>
      </c>
      <c r="S153" s="802">
        <f t="shared" si="55"/>
        <v>3</v>
      </c>
      <c r="T153" s="172">
        <f t="shared" si="56"/>
        <v>9</v>
      </c>
      <c r="U153" s="247">
        <f t="shared" si="57"/>
        <v>3.1374718936110053</v>
      </c>
      <c r="V153" s="378">
        <f t="shared" si="58"/>
        <v>60.618328790269828</v>
      </c>
      <c r="W153" s="397">
        <f t="shared" si="59"/>
        <v>54.598773372320998</v>
      </c>
      <c r="X153" s="153">
        <f t="shared" si="60"/>
        <v>46891</v>
      </c>
      <c r="Y153" s="380">
        <f t="shared" si="61"/>
        <v>53.029836365456447</v>
      </c>
      <c r="Z153" s="380">
        <f t="shared" si="62"/>
        <v>54.777775110855458</v>
      </c>
      <c r="AA153" s="381">
        <f t="shared" si="63"/>
        <v>57.797444417333011</v>
      </c>
      <c r="AB153" s="193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5.2245723611474774E-2</v>
      </c>
      <c r="AD153" s="227">
        <f>(INDEX(Models!$BJ153:$BT153,,AH153)*(1-AF153)+INDEX(Models!$BJ153:$BT153,,AH153+1)*AF153-ERP_i)*AE153*Ramure*Pc/MaxiM</f>
        <v>1.9896414586105007E-5</v>
      </c>
      <c r="AE153" s="301">
        <f t="shared" si="65"/>
        <v>0.5</v>
      </c>
      <c r="AF153" s="173">
        <f t="shared" si="66"/>
        <v>0.13747189361100531</v>
      </c>
      <c r="AG153" s="802">
        <f t="shared" si="74"/>
        <v>3</v>
      </c>
      <c r="AH153" s="172">
        <f t="shared" si="67"/>
        <v>9</v>
      </c>
      <c r="AI153" s="221">
        <f t="shared" si="68"/>
        <v>3.1374718936110053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46892</v>
      </c>
      <c r="B154" s="406">
        <f>'2027'!Wh/'2027'!Env_an*'2028'!Env_an</f>
        <v>51.890523775902828</v>
      </c>
      <c r="C154" s="832"/>
      <c r="D154" s="388">
        <f t="shared" si="50"/>
        <v>53.60164292122267</v>
      </c>
      <c r="E154" s="380">
        <f t="shared" si="72"/>
        <v>54.935189701979944</v>
      </c>
      <c r="F154" s="380">
        <f t="shared" si="51"/>
        <v>54.936036406681055</v>
      </c>
      <c r="G154" s="110">
        <f t="shared" si="73"/>
        <v>0.85487708019705688</v>
      </c>
      <c r="H154" s="409" t="b">
        <f>Wh_hp&gt;='2027'!Maxi_hp</f>
        <v>0</v>
      </c>
      <c r="I154" s="385">
        <f>IF(H154,Wh_hp,'2027'!Maxi_hp)</f>
        <v>54.936251111183481</v>
      </c>
      <c r="J154" s="85">
        <f>IF(H154,An,'2027'!An_max)</f>
        <v>2022</v>
      </c>
      <c r="K154" s="193">
        <f t="shared" si="52"/>
        <v>46892</v>
      </c>
      <c r="L154" s="143">
        <f>IF(t&lt;Tvie,1-EXP((T0-t)*PertePVj)+'2027'!Pspv,1-EXP((T0-t)*PertePVj)+Pspv)</f>
        <v>3.1922886166654285E-2</v>
      </c>
      <c r="M154" s="836"/>
      <c r="N154" s="836"/>
      <c r="O154" s="48">
        <f>IF(t&lt;Tnet,'2027'!Resal+('2027'!Salim-'2027'!Resal)*(1-EXP(('2027'!Tnet-t)/('2027'!Tau_j))),Resal+(Salim-Resal)*(1-EXP((Tnet-t)/(Tau_j))))*Salcycl</f>
        <v>2.427490990732312E-2</v>
      </c>
      <c r="P154" s="165">
        <f>(INDEX(Models!$BJ154:$BT154,,T154)*(1-R154)+INDEX(Models!$BJ154:$BT154,,T154+1)*R154-ERP_i)*Q154*Ramure*Pc/MaxiM</f>
        <v>1.9443444537916026E-5</v>
      </c>
      <c r="Q154" s="301">
        <f t="shared" si="53"/>
        <v>0.5</v>
      </c>
      <c r="R154" s="173">
        <f t="shared" si="54"/>
        <v>0.14173090891866602</v>
      </c>
      <c r="S154" s="802">
        <f t="shared" si="55"/>
        <v>3</v>
      </c>
      <c r="T154" s="172">
        <f t="shared" si="56"/>
        <v>9</v>
      </c>
      <c r="U154" s="247">
        <f t="shared" si="57"/>
        <v>3.141730908918666</v>
      </c>
      <c r="V154" s="378">
        <f t="shared" si="58"/>
        <v>60.699152907182757</v>
      </c>
      <c r="W154" s="397">
        <f t="shared" si="59"/>
        <v>51.890523775902828</v>
      </c>
      <c r="X154" s="153">
        <f t="shared" si="60"/>
        <v>46892</v>
      </c>
      <c r="Y154" s="380">
        <f t="shared" si="61"/>
        <v>50.399635331196016</v>
      </c>
      <c r="Z154" s="380">
        <f t="shared" si="62"/>
        <v>52.061591593283239</v>
      </c>
      <c r="AA154" s="381">
        <f t="shared" si="63"/>
        <v>54.935189701979944</v>
      </c>
      <c r="AB154" s="193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5.2308877502486126E-2</v>
      </c>
      <c r="AD154" s="227">
        <f>(INDEX(Models!$BJ154:$BT154,,AH154)*(1-AF154)+INDEX(Models!$BJ154:$BT154,,AH154+1)*AF154-ERP_i)*AE154*Ramure*Pc/MaxiM</f>
        <v>1.9443444537916026E-5</v>
      </c>
      <c r="AE154" s="301">
        <f t="shared" si="65"/>
        <v>0.5</v>
      </c>
      <c r="AF154" s="173">
        <f t="shared" si="66"/>
        <v>0.14173090891866602</v>
      </c>
      <c r="AG154" s="802">
        <f t="shared" si="74"/>
        <v>3</v>
      </c>
      <c r="AH154" s="172">
        <f t="shared" si="67"/>
        <v>9</v>
      </c>
      <c r="AI154" s="221">
        <f t="shared" si="68"/>
        <v>3.141730908918666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46893</v>
      </c>
      <c r="B155" s="406">
        <f>'2027'!Wh/'2027'!Env_an*'2028'!Env_an</f>
        <v>54.34112032310253</v>
      </c>
      <c r="C155" s="832"/>
      <c r="D155" s="388">
        <f t="shared" si="50"/>
        <v>56.133817689800686</v>
      </c>
      <c r="E155" s="380">
        <f t="shared" si="72"/>
        <v>57.534459863039899</v>
      </c>
      <c r="F155" s="380">
        <f t="shared" si="51"/>
        <v>57.535390776410352</v>
      </c>
      <c r="G155" s="110">
        <f t="shared" si="73"/>
        <v>0.89412744048342352</v>
      </c>
      <c r="H155" s="409" t="b">
        <f>Wh_hp&gt;='2027'!Maxi_hp</f>
        <v>0</v>
      </c>
      <c r="I155" s="385">
        <f>IF(H155,Wh_hp,'2027'!Maxi_hp)</f>
        <v>57.535551497709676</v>
      </c>
      <c r="J155" s="85">
        <f>IF(H155,An,'2027'!An_max)</f>
        <v>2022</v>
      </c>
      <c r="K155" s="193">
        <f t="shared" si="52"/>
        <v>46893</v>
      </c>
      <c r="L155" s="143">
        <f>IF(t&lt;Tvie,1-EXP((T0-t)*PertePVj)+'2027'!Pspv,1-EXP((T0-t)*PertePVj)+Pspv)</f>
        <v>3.1936138329388575E-2</v>
      </c>
      <c r="M155" s="836"/>
      <c r="N155" s="836"/>
      <c r="O155" s="48">
        <f>IF(t&lt;Tnet,'2027'!Resal+('2027'!Salim-'2027'!Resal)*(1-EXP(('2027'!Tnet-t)/('2027'!Tau_j))),Resal+(Salim-Resal)*(1-EXP((Tnet-t)/(Tau_j))))*Salcycl</f>
        <v>2.4344404667627467E-2</v>
      </c>
      <c r="P155" s="165">
        <f>(INDEX(Models!$BJ155:$BT155,,T155)*(1-R155)+INDEX(Models!$BJ155:$BT155,,T155+1)*R155-ERP_i)*Q155*Ramure*Pc/MaxiM</f>
        <v>1.9062977936086526E-5</v>
      </c>
      <c r="Q155" s="301">
        <f t="shared" si="53"/>
        <v>0.5</v>
      </c>
      <c r="R155" s="173">
        <f t="shared" si="54"/>
        <v>0.14606167643960877</v>
      </c>
      <c r="S155" s="802">
        <f t="shared" si="55"/>
        <v>3</v>
      </c>
      <c r="T155" s="172">
        <f t="shared" si="56"/>
        <v>9</v>
      </c>
      <c r="U155" s="247">
        <f t="shared" si="57"/>
        <v>3.1460616764396088</v>
      </c>
      <c r="V155" s="378">
        <f t="shared" si="58"/>
        <v>60.775412080181475</v>
      </c>
      <c r="W155" s="397">
        <f t="shared" si="59"/>
        <v>54.34112032310253</v>
      </c>
      <c r="X155" s="153">
        <f t="shared" si="60"/>
        <v>46893</v>
      </c>
      <c r="Y155" s="380">
        <f t="shared" si="61"/>
        <v>52.780052931870721</v>
      </c>
      <c r="Z155" s="380">
        <f t="shared" si="62"/>
        <v>54.521251150504568</v>
      </c>
      <c r="AA155" s="381">
        <f t="shared" si="63"/>
        <v>57.534459863039899</v>
      </c>
      <c r="AB155" s="193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5.2372242995037094E-2</v>
      </c>
      <c r="AD155" s="227">
        <f>(INDEX(Models!$BJ155:$BT155,,AH155)*(1-AF155)+INDEX(Models!$BJ155:$BT155,,AH155+1)*AF155-ERP_i)*AE155*Ramure*Pc/MaxiM</f>
        <v>1.9062977936086526E-5</v>
      </c>
      <c r="AE155" s="301">
        <f t="shared" si="65"/>
        <v>0.5</v>
      </c>
      <c r="AF155" s="173">
        <f t="shared" si="66"/>
        <v>0.14606167643960877</v>
      </c>
      <c r="AG155" s="802">
        <f t="shared" si="74"/>
        <v>3</v>
      </c>
      <c r="AH155" s="172">
        <f t="shared" si="67"/>
        <v>9</v>
      </c>
      <c r="AI155" s="221">
        <f t="shared" si="68"/>
        <v>3.1460616764396088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46894</v>
      </c>
      <c r="B156" s="406">
        <f>'2027'!Wh/'2027'!Env_an*'2028'!Env_an</f>
        <v>42.018799298953887</v>
      </c>
      <c r="C156" s="832"/>
      <c r="D156" s="388">
        <f t="shared" si="50"/>
        <v>43.405581152870212</v>
      </c>
      <c r="E156" s="380">
        <f t="shared" si="72"/>
        <v>44.491803972633591</v>
      </c>
      <c r="F156" s="380">
        <f t="shared" si="51"/>
        <v>44.492269174030007</v>
      </c>
      <c r="G156" s="110">
        <f t="shared" si="73"/>
        <v>0.6905555432942857</v>
      </c>
      <c r="H156" s="409" t="b">
        <f>Wh_hp&gt;='2027'!Maxi_hp</f>
        <v>0</v>
      </c>
      <c r="I156" s="385">
        <f>IF(H156,Wh_hp,'2027'!Maxi_hp)</f>
        <v>44.49262600996402</v>
      </c>
      <c r="J156" s="85">
        <f>IF(H156,An,'2027'!An_max)</f>
        <v>2022</v>
      </c>
      <c r="K156" s="193">
        <f t="shared" si="52"/>
        <v>46894</v>
      </c>
      <c r="L156" s="143">
        <f>IF(t&lt;Tvie,1-EXP((T0-t)*PertePVj)+'2027'!Pspv,1-EXP((T0-t)*PertePVj)+Pspv)</f>
        <v>3.1949390310711756E-2</v>
      </c>
      <c r="M156" s="836"/>
      <c r="N156" s="836"/>
      <c r="O156" s="48">
        <f>IF(t&lt;Tnet,'2027'!Resal+('2027'!Salim-'2027'!Resal)*(1-EXP(('2027'!Tnet-t)/('2027'!Tau_j))),Resal+(Salim-Resal)*(1-EXP((Tnet-t)/(Tau_j))))*Salcycl</f>
        <v>2.4413998147422955E-2</v>
      </c>
      <c r="P156" s="165">
        <f>(INDEX(Models!$BJ156:$BT156,,T156)*(1-R156)+INDEX(Models!$BJ156:$BT156,,T156+1)*R156-ERP_i)*Q156*Ramure*Pc/MaxiM</f>
        <v>1.8739816161195093E-5</v>
      </c>
      <c r="Q156" s="301">
        <f t="shared" si="53"/>
        <v>0.5</v>
      </c>
      <c r="R156" s="173">
        <f t="shared" si="54"/>
        <v>0.15046227668516421</v>
      </c>
      <c r="S156" s="802">
        <f t="shared" si="55"/>
        <v>3</v>
      </c>
      <c r="T156" s="172">
        <f t="shared" si="56"/>
        <v>9</v>
      </c>
      <c r="U156" s="247">
        <f t="shared" si="57"/>
        <v>3.1504622766851642</v>
      </c>
      <c r="V156" s="378">
        <f t="shared" si="58"/>
        <v>60.847315785244845</v>
      </c>
      <c r="W156" s="397">
        <f t="shared" si="59"/>
        <v>42.018799298953887</v>
      </c>
      <c r="X156" s="153">
        <f t="shared" si="60"/>
        <v>46894</v>
      </c>
      <c r="Y156" s="380">
        <f t="shared" si="61"/>
        <v>40.811892260222798</v>
      </c>
      <c r="Z156" s="380">
        <f t="shared" si="62"/>
        <v>42.158841543751564</v>
      </c>
      <c r="AA156" s="381">
        <f t="shared" si="63"/>
        <v>44.491803972633591</v>
      </c>
      <c r="AB156" s="193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5.2435779639706359E-2</v>
      </c>
      <c r="AD156" s="227">
        <f>(INDEX(Models!$BJ156:$BT156,,AH156)*(1-AF156)+INDEX(Models!$BJ156:$BT156,,AH156+1)*AF156-ERP_i)*AE156*Ramure*Pc/MaxiM</f>
        <v>1.8739816161195093E-5</v>
      </c>
      <c r="AE156" s="301">
        <f t="shared" si="65"/>
        <v>0.5</v>
      </c>
      <c r="AF156" s="173">
        <f t="shared" si="66"/>
        <v>0.15046227668516421</v>
      </c>
      <c r="AG156" s="802">
        <f t="shared" si="74"/>
        <v>3</v>
      </c>
      <c r="AH156" s="172">
        <f t="shared" si="67"/>
        <v>9</v>
      </c>
      <c r="AI156" s="221">
        <f t="shared" si="68"/>
        <v>3.1504622766851642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46895</v>
      </c>
      <c r="B157" s="406">
        <f>'2027'!Wh/'2027'!Env_an*'2028'!Env_an</f>
        <v>19.993198072337382</v>
      </c>
      <c r="C157" s="832"/>
      <c r="D157" s="388">
        <f t="shared" si="50"/>
        <v>20.653333168803378</v>
      </c>
      <c r="E157" s="380">
        <f t="shared" si="72"/>
        <v>21.171693964462396</v>
      </c>
      <c r="F157" s="380">
        <f t="shared" si="51"/>
        <v>21.171709634216455</v>
      </c>
      <c r="G157" s="110">
        <f t="shared" si="73"/>
        <v>0.32820848236792766</v>
      </c>
      <c r="H157" s="409" t="b">
        <f>Wh_hp&gt;='2027'!Maxi_hp</f>
        <v>0</v>
      </c>
      <c r="I157" s="385">
        <f>IF(H157,Wh_hp,'2027'!Maxi_hp)</f>
        <v>21.172070560817748</v>
      </c>
      <c r="J157" s="85">
        <f>IF(H157,An,'2027'!An_max)</f>
        <v>2022</v>
      </c>
      <c r="K157" s="193">
        <f t="shared" si="52"/>
        <v>46895</v>
      </c>
      <c r="L157" s="143">
        <f>IF(t&lt;Tvie,1-EXP((T0-t)*PertePVj)+'2027'!Pspv,1-EXP((T0-t)*PertePVj)+Pspv)</f>
        <v>3.1962642110626605E-2</v>
      </c>
      <c r="M157" s="836"/>
      <c r="N157" s="836"/>
      <c r="O157" s="48">
        <f>IF(t&lt;Tnet,'2027'!Resal+('2027'!Salim-'2027'!Resal)*(1-EXP(('2027'!Tnet-t)/('2027'!Tau_j))),Resal+(Salim-Resal)*(1-EXP((Tnet-t)/(Tau_j))))*Salcycl</f>
        <v>2.4483671289085653E-2</v>
      </c>
      <c r="P157" s="165">
        <f>(INDEX(Models!$BJ157:$BT157,,T157)*(1-R157)+INDEX(Models!$BJ157:$BT157,,T157+1)*R157-ERP_i)*Q157*Ramure*Pc/MaxiM</f>
        <v>1.8362657312394006E-5</v>
      </c>
      <c r="Q157" s="301">
        <f t="shared" si="53"/>
        <v>0.5</v>
      </c>
      <c r="R157" s="173">
        <f t="shared" si="54"/>
        <v>0.15493060801693659</v>
      </c>
      <c r="S157" s="802">
        <f t="shared" si="55"/>
        <v>3</v>
      </c>
      <c r="T157" s="172">
        <f t="shared" si="56"/>
        <v>9</v>
      </c>
      <c r="U157" s="247">
        <f t="shared" si="57"/>
        <v>3.1549306080169366</v>
      </c>
      <c r="V157" s="378">
        <f t="shared" si="58"/>
        <v>60.915079333401621</v>
      </c>
      <c r="W157" s="397">
        <f t="shared" si="59"/>
        <v>19.993198072337382</v>
      </c>
      <c r="X157" s="153">
        <f t="shared" si="60"/>
        <v>46895</v>
      </c>
      <c r="Y157" s="380">
        <f t="shared" si="61"/>
        <v>19.419015032852876</v>
      </c>
      <c r="Z157" s="380">
        <f t="shared" si="62"/>
        <v>20.06019176283904</v>
      </c>
      <c r="AA157" s="381">
        <f t="shared" si="63"/>
        <v>21.171693964462396</v>
      </c>
      <c r="AB157" s="193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5.2499445886997051E-2</v>
      </c>
      <c r="AD157" s="227">
        <f>(INDEX(Models!$BJ157:$BT157,,AH157)*(1-AF157)+INDEX(Models!$BJ157:$BT157,,AH157+1)*AF157-ERP_i)*AE157*Ramure*Pc/MaxiM</f>
        <v>1.8362657312394006E-5</v>
      </c>
      <c r="AE157" s="301">
        <f t="shared" si="65"/>
        <v>0.5</v>
      </c>
      <c r="AF157" s="173">
        <f t="shared" si="66"/>
        <v>0.15493060801693659</v>
      </c>
      <c r="AG157" s="802">
        <f t="shared" si="74"/>
        <v>3</v>
      </c>
      <c r="AH157" s="172">
        <f t="shared" si="67"/>
        <v>9</v>
      </c>
      <c r="AI157" s="221">
        <f t="shared" si="68"/>
        <v>3.1549306080169366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46896</v>
      </c>
      <c r="B158" s="406">
        <f>'2027'!Wh/'2027'!Env_an*'2028'!Env_an</f>
        <v>17.173632199388258</v>
      </c>
      <c r="C158" s="832"/>
      <c r="D158" s="388">
        <f t="shared" si="50"/>
        <v>17.740913772846554</v>
      </c>
      <c r="E158" s="380">
        <f t="shared" si="72"/>
        <v>18.187478283004538</v>
      </c>
      <c r="F158" s="380">
        <f t="shared" si="51"/>
        <v>18.187478283004538</v>
      </c>
      <c r="G158" s="110">
        <f t="shared" si="73"/>
        <v>0.28162726911033953</v>
      </c>
      <c r="H158" s="409" t="b">
        <f>Wh_hp&gt;='2027'!Maxi_hp</f>
        <v>0</v>
      </c>
      <c r="I158" s="385">
        <f>IF(H158,Wh_hp,'2027'!Maxi_hp)</f>
        <v>18.1877934787436</v>
      </c>
      <c r="J158" s="85">
        <f>IF(H158,An,'2027'!An_max)</f>
        <v>2022</v>
      </c>
      <c r="K158" s="193">
        <f t="shared" si="52"/>
        <v>46896</v>
      </c>
      <c r="L158" s="143">
        <f>IF(t&lt;Tvie,1-EXP((T0-t)*PertePVj)+'2027'!Pspv,1-EXP((T0-t)*PertePVj)+Pspv)</f>
        <v>3.1975893729135341E-2</v>
      </c>
      <c r="M158" s="836"/>
      <c r="N158" s="836"/>
      <c r="O158" s="48">
        <f>IF(t&lt;Tnet,'2027'!Resal+('2027'!Salim-'2027'!Resal)*(1-EXP(('2027'!Tnet-t)/('2027'!Tau_j))),Resal+(Salim-Resal)*(1-EXP((Tnet-t)/(Tau_j))))*Salcycl</f>
        <v>2.4553404447238913E-2</v>
      </c>
      <c r="P158" s="165">
        <f>(INDEX(Models!$BJ158:$BT158,,T158)*(1-R158)+INDEX(Models!$BJ158:$BT158,,T158+1)*R158-ERP_i)*Q158*Ramure*Pc/MaxiM</f>
        <v>1.7929937010586286E-5</v>
      </c>
      <c r="Q158" s="301">
        <f t="shared" si="53"/>
        <v>0.5</v>
      </c>
      <c r="R158" s="173">
        <f t="shared" si="54"/>
        <v>0.15946438754776615</v>
      </c>
      <c r="S158" s="802">
        <f t="shared" si="55"/>
        <v>3</v>
      </c>
      <c r="T158" s="172">
        <f t="shared" si="56"/>
        <v>9</v>
      </c>
      <c r="U158" s="247">
        <f t="shared" si="57"/>
        <v>3.1594643875477662</v>
      </c>
      <c r="V158" s="378">
        <f t="shared" si="58"/>
        <v>60.978911351500898</v>
      </c>
      <c r="W158" s="397">
        <f t="shared" si="59"/>
        <v>17.173632199388258</v>
      </c>
      <c r="X158" s="153">
        <f t="shared" si="60"/>
        <v>46896</v>
      </c>
      <c r="Y158" s="380">
        <f t="shared" si="61"/>
        <v>16.680494066247686</v>
      </c>
      <c r="Z158" s="380">
        <f t="shared" si="62"/>
        <v>17.231486239021702</v>
      </c>
      <c r="AA158" s="381">
        <f t="shared" si="63"/>
        <v>18.187478283004538</v>
      </c>
      <c r="AB158" s="193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5.2563199202616713E-2</v>
      </c>
      <c r="AD158" s="227">
        <f>(INDEX(Models!$BJ158:$BT158,,AH158)*(1-AF158)+INDEX(Models!$BJ158:$BT158,,AH158+1)*AF158-ERP_i)*AE158*Ramure*Pc/MaxiM</f>
        <v>1.7929937010586286E-5</v>
      </c>
      <c r="AE158" s="301">
        <f t="shared" si="65"/>
        <v>0.5</v>
      </c>
      <c r="AF158" s="173">
        <f t="shared" si="66"/>
        <v>0.15946438754776615</v>
      </c>
      <c r="AG158" s="802">
        <f t="shared" si="74"/>
        <v>3</v>
      </c>
      <c r="AH158" s="172">
        <f t="shared" si="67"/>
        <v>9</v>
      </c>
      <c r="AI158" s="221">
        <f t="shared" si="68"/>
        <v>3.1594643875477662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46897</v>
      </c>
      <c r="B159" s="406">
        <f>'2027'!Wh/'2027'!Env_an*'2028'!Env_an</f>
        <v>41.855128139399874</v>
      </c>
      <c r="C159" s="832"/>
      <c r="D159" s="388">
        <f t="shared" si="50"/>
        <v>43.238283879149094</v>
      </c>
      <c r="E159" s="380">
        <f t="shared" si="72"/>
        <v>44.329825026828225</v>
      </c>
      <c r="F159" s="380">
        <f t="shared" si="51"/>
        <v>44.33025103218683</v>
      </c>
      <c r="G159" s="110">
        <f t="shared" si="73"/>
        <v>0.68570563715413779</v>
      </c>
      <c r="H159" s="409" t="b">
        <f>Wh_hp&gt;='2027'!Maxi_hp</f>
        <v>0</v>
      </c>
      <c r="I159" s="385">
        <f>IF(H159,Wh_hp,'2027'!Maxi_hp)</f>
        <v>44.330586248471548</v>
      </c>
      <c r="J159" s="85">
        <f>IF(H159,An,'2027'!An_max)</f>
        <v>2022</v>
      </c>
      <c r="K159" s="193">
        <f t="shared" si="52"/>
        <v>46897</v>
      </c>
      <c r="L159" s="143">
        <f>IF(t&lt;Tvie,1-EXP((T0-t)*PertePVj)+'2027'!Pspv,1-EXP((T0-t)*PertePVj)+Pspv)</f>
        <v>3.1989145166240629E-2</v>
      </c>
      <c r="M159" s="836"/>
      <c r="N159" s="836"/>
      <c r="O159" s="48">
        <f>IF(t&lt;Tnet,'2027'!Resal+('2027'!Salim-'2027'!Resal)*(1-EXP(('2027'!Tnet-t)/('2027'!Tau_j))),Resal+(Salim-Resal)*(1-EXP((Tnet-t)/(Tau_j))))*Salcycl</f>
        <v>2.462317744359559E-2</v>
      </c>
      <c r="P159" s="165">
        <f>(INDEX(Models!$BJ159:$BT159,,T159)*(1-R159)+INDEX(Models!$BJ159:$BT159,,T159+1)*R159-ERP_i)*Q159*Ramure*Pc/MaxiM</f>
        <v>1.744017664471142E-5</v>
      </c>
      <c r="Q159" s="301">
        <f t="shared" si="53"/>
        <v>0.5</v>
      </c>
      <c r="R159" s="173">
        <f t="shared" si="54"/>
        <v>0.16406115296548318</v>
      </c>
      <c r="S159" s="802">
        <f t="shared" si="55"/>
        <v>3</v>
      </c>
      <c r="T159" s="172">
        <f t="shared" si="56"/>
        <v>9</v>
      </c>
      <c r="U159" s="247">
        <f t="shared" si="57"/>
        <v>3.1640611529654832</v>
      </c>
      <c r="V159" s="378">
        <f t="shared" si="58"/>
        <v>61.039020430143673</v>
      </c>
      <c r="W159" s="397">
        <f t="shared" si="59"/>
        <v>41.855128139399874</v>
      </c>
      <c r="X159" s="153">
        <f t="shared" si="60"/>
        <v>46897</v>
      </c>
      <c r="Y159" s="380">
        <f t="shared" si="61"/>
        <v>40.653435219315611</v>
      </c>
      <c r="Z159" s="380">
        <f t="shared" si="62"/>
        <v>41.996879493977573</v>
      </c>
      <c r="AA159" s="381">
        <f t="shared" si="63"/>
        <v>44.329825026828225</v>
      </c>
      <c r="AB159" s="193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5.2626996191362498E-2</v>
      </c>
      <c r="AD159" s="227">
        <f>(INDEX(Models!$BJ159:$BT159,,AH159)*(1-AF159)+INDEX(Models!$BJ159:$BT159,,AH159+1)*AF159-ERP_i)*AE159*Ramure*Pc/MaxiM</f>
        <v>1.744017664471142E-5</v>
      </c>
      <c r="AE159" s="301">
        <f t="shared" si="65"/>
        <v>0.5</v>
      </c>
      <c r="AF159" s="173">
        <f t="shared" si="66"/>
        <v>0.16406115296548318</v>
      </c>
      <c r="AG159" s="802">
        <f t="shared" si="74"/>
        <v>3</v>
      </c>
      <c r="AH159" s="172">
        <f t="shared" si="67"/>
        <v>9</v>
      </c>
      <c r="AI159" s="221">
        <f t="shared" si="68"/>
        <v>3.1640611529654832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46898</v>
      </c>
      <c r="B160" s="406">
        <f>'2027'!Wh/'2027'!Env_an*'2028'!Env_an</f>
        <v>27.926811026839687</v>
      </c>
      <c r="C160" s="832"/>
      <c r="D160" s="388">
        <f t="shared" si="50"/>
        <v>28.850082813854598</v>
      </c>
      <c r="E160" s="380">
        <f t="shared" si="72"/>
        <v>29.58051353612916</v>
      </c>
      <c r="F160" s="380">
        <f t="shared" si="51"/>
        <v>29.580625677038991</v>
      </c>
      <c r="G160" s="110">
        <f t="shared" si="73"/>
        <v>0.45709409918655197</v>
      </c>
      <c r="H160" s="409" t="b">
        <f>Wh_hp&gt;='2027'!Maxi_hp</f>
        <v>0</v>
      </c>
      <c r="I160" s="385">
        <f>IF(H160,Wh_hp,'2027'!Maxi_hp)</f>
        <v>29.580999563850057</v>
      </c>
      <c r="J160" s="85">
        <f>IF(H160,An,'2027'!An_max)</f>
        <v>2022</v>
      </c>
      <c r="K160" s="193">
        <f t="shared" si="52"/>
        <v>46898</v>
      </c>
      <c r="L160" s="143">
        <f>IF(t&lt;Tvie,1-EXP((T0-t)*PertePVj)+'2027'!Pspv,1-EXP((T0-t)*PertePVj)+Pspv)</f>
        <v>3.2002396421944801E-2</v>
      </c>
      <c r="M160" s="836"/>
      <c r="N160" s="836"/>
      <c r="O160" s="48">
        <f>IF(t&lt;Tnet,'2027'!Resal+('2027'!Salim-'2027'!Resal)*(1-EXP(('2027'!Tnet-t)/('2027'!Tau_j))),Resal+(Salim-Resal)*(1-EXP((Tnet-t)/(Tau_j))))*Salcycl</f>
        <v>2.4692969626184058E-2</v>
      </c>
      <c r="P160" s="165">
        <f>(INDEX(Models!$BJ160:$BT160,,T160)*(1-R160)+INDEX(Models!$BJ160:$BT160,,T160+1)*R160-ERP_i)*Q160*Ramure*Pc/MaxiM</f>
        <v>1.6891893410427867E-5</v>
      </c>
      <c r="Q160" s="301">
        <f t="shared" si="53"/>
        <v>0.5</v>
      </c>
      <c r="R160" s="173">
        <f t="shared" si="54"/>
        <v>0.16871826530631573</v>
      </c>
      <c r="S160" s="802">
        <f t="shared" si="55"/>
        <v>3</v>
      </c>
      <c r="T160" s="172">
        <f t="shared" si="56"/>
        <v>9</v>
      </c>
      <c r="U160" s="247">
        <f t="shared" si="57"/>
        <v>3.1687182653063157</v>
      </c>
      <c r="V160" s="378">
        <f t="shared" si="58"/>
        <v>61.095615125401395</v>
      </c>
      <c r="W160" s="397">
        <f t="shared" si="59"/>
        <v>27.926811026839687</v>
      </c>
      <c r="X160" s="153">
        <f t="shared" si="60"/>
        <v>46898</v>
      </c>
      <c r="Y160" s="380">
        <f t="shared" si="61"/>
        <v>27.125125105782725</v>
      </c>
      <c r="Z160" s="380">
        <f t="shared" si="62"/>
        <v>28.021892828576068</v>
      </c>
      <c r="AA160" s="381">
        <f t="shared" si="63"/>
        <v>29.58051353612916</v>
      </c>
      <c r="AB160" s="193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5.2690792729119341E-2</v>
      </c>
      <c r="AD160" s="227">
        <f>(INDEX(Models!$BJ160:$BT160,,AH160)*(1-AF160)+INDEX(Models!$BJ160:$BT160,,AH160+1)*AF160-ERP_i)*AE160*Ramure*Pc/MaxiM</f>
        <v>1.6891893410427867E-5</v>
      </c>
      <c r="AE160" s="301">
        <f t="shared" si="65"/>
        <v>0.5</v>
      </c>
      <c r="AF160" s="173">
        <f t="shared" si="66"/>
        <v>0.16871826530631573</v>
      </c>
      <c r="AG160" s="802">
        <f t="shared" si="74"/>
        <v>3</v>
      </c>
      <c r="AH160" s="172">
        <f t="shared" si="67"/>
        <v>9</v>
      </c>
      <c r="AI160" s="221">
        <f t="shared" si="68"/>
        <v>3.1687182653063157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46899</v>
      </c>
      <c r="B161" s="406">
        <f>'2027'!Wh/'2027'!Env_an*'2028'!Env_an</f>
        <v>43.728681401276681</v>
      </c>
      <c r="C161" s="832"/>
      <c r="D161" s="388">
        <f t="shared" si="50"/>
        <v>45.17498788918418</v>
      </c>
      <c r="E161" s="380">
        <f t="shared" si="72"/>
        <v>46.32204968512886</v>
      </c>
      <c r="F161" s="380">
        <f t="shared" si="51"/>
        <v>46.322497002832243</v>
      </c>
      <c r="G161" s="110">
        <f t="shared" si="73"/>
        <v>0.71511325278219617</v>
      </c>
      <c r="H161" s="409" t="b">
        <f>Wh_hp&gt;='2027'!Maxi_hp</f>
        <v>0</v>
      </c>
      <c r="I161" s="385">
        <f>IF(H161,Wh_hp,'2027'!Maxi_hp)</f>
        <v>46.32279287527755</v>
      </c>
      <c r="J161" s="85">
        <f>IF(H161,An,'2027'!An_max)</f>
        <v>2022</v>
      </c>
      <c r="K161" s="193">
        <f t="shared" si="52"/>
        <v>46899</v>
      </c>
      <c r="L161" s="143">
        <f>IF(t&lt;Tvie,1-EXP((T0-t)*PertePVj)+'2027'!Pspv,1-EXP((T0-t)*PertePVj)+Pspv)</f>
        <v>3.201564749625041E-2</v>
      </c>
      <c r="M161" s="836"/>
      <c r="N161" s="836"/>
      <c r="O161" s="48">
        <f>IF(t&lt;Tnet,'2027'!Resal+('2027'!Salim-'2027'!Resal)*(1-EXP(('2027'!Tnet-t)/('2027'!Tau_j))),Resal+(Salim-Resal)*(1-EXP((Tnet-t)/(Tau_j))))*Salcycl</f>
        <v>2.4762759932726627E-2</v>
      </c>
      <c r="P161" s="165">
        <f>(INDEX(Models!$BJ161:$BT161,,T161)*(1-R161)+INDEX(Models!$BJ161:$BT161,,T161+1)*R161-ERP_i)*Q161*Ramure*Pc/MaxiM</f>
        <v>1.6283606830837309E-5</v>
      </c>
      <c r="Q161" s="301">
        <f t="shared" si="53"/>
        <v>0.5</v>
      </c>
      <c r="R161" s="173">
        <f t="shared" si="54"/>
        <v>0.17343291269729155</v>
      </c>
      <c r="S161" s="802">
        <f t="shared" si="55"/>
        <v>3</v>
      </c>
      <c r="T161" s="172">
        <f t="shared" si="56"/>
        <v>9</v>
      </c>
      <c r="U161" s="247">
        <f t="shared" si="57"/>
        <v>3.1734329126972916</v>
      </c>
      <c r="V161" s="378">
        <f t="shared" si="58"/>
        <v>61.148903950479564</v>
      </c>
      <c r="W161" s="397">
        <f t="shared" si="59"/>
        <v>43.728681401276681</v>
      </c>
      <c r="X161" s="153">
        <f t="shared" si="60"/>
        <v>46899</v>
      </c>
      <c r="Y161" s="380">
        <f t="shared" si="61"/>
        <v>42.473557251460299</v>
      </c>
      <c r="Z161" s="380">
        <f t="shared" si="62"/>
        <v>43.878351072101417</v>
      </c>
      <c r="AA161" s="381">
        <f t="shared" si="63"/>
        <v>46.32204968512886</v>
      </c>
      <c r="AB161" s="193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5.2754544102394524E-2</v>
      </c>
      <c r="AD161" s="227">
        <f>(INDEX(Models!$BJ161:$BT161,,AH161)*(1-AF161)+INDEX(Models!$BJ161:$BT161,,AH161+1)*AF161-ERP_i)*AE161*Ramure*Pc/MaxiM</f>
        <v>1.6283606830837309E-5</v>
      </c>
      <c r="AE161" s="301">
        <f t="shared" si="65"/>
        <v>0.5</v>
      </c>
      <c r="AF161" s="173">
        <f t="shared" si="66"/>
        <v>0.17343291269729155</v>
      </c>
      <c r="AG161" s="802">
        <f t="shared" si="74"/>
        <v>3</v>
      </c>
      <c r="AH161" s="172">
        <f t="shared" si="67"/>
        <v>9</v>
      </c>
      <c r="AI161" s="221">
        <f t="shared" si="68"/>
        <v>3.1734329126972916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46900</v>
      </c>
      <c r="B162" s="406">
        <f>'2027'!Wh/'2027'!Env_an*'2028'!Env_an</f>
        <v>57.408954109964426</v>
      </c>
      <c r="C162" s="832"/>
      <c r="D162" s="388">
        <f t="shared" si="50"/>
        <v>59.308541354620864</v>
      </c>
      <c r="E162" s="380">
        <f t="shared" si="72"/>
        <v>60.818826503311996</v>
      </c>
      <c r="F162" s="380">
        <f t="shared" si="51"/>
        <v>60.819692115724088</v>
      </c>
      <c r="G162" s="110">
        <f t="shared" si="73"/>
        <v>0.93806737580094779</v>
      </c>
      <c r="H162" s="409" t="b">
        <f>Wh_hp&gt;='2027'!Maxi_hp</f>
        <v>0</v>
      </c>
      <c r="I162" s="385">
        <f>IF(H162,Wh_hp,'2027'!Maxi_hp)</f>
        <v>60.819773004939982</v>
      </c>
      <c r="J162" s="85">
        <f>IF(H162,An,'2027'!An_max)</f>
        <v>2022</v>
      </c>
      <c r="K162" s="193">
        <f t="shared" si="52"/>
        <v>46900</v>
      </c>
      <c r="L162" s="143">
        <f>IF(t&lt;Tvie,1-EXP((T0-t)*PertePVj)+'2027'!Pspv,1-EXP((T0-t)*PertePVj)+Pspv)</f>
        <v>3.2028898389159899E-2</v>
      </c>
      <c r="M162" s="836"/>
      <c r="N162" s="836"/>
      <c r="O162" s="48">
        <f>IF(t&lt;Tnet,'2027'!Resal+('2027'!Salim-'2027'!Resal)*(1-EXP(('2027'!Tnet-t)/('2027'!Tau_j))),Resal+(Salim-Resal)*(1-EXP((Tnet-t)/(Tau_j))))*Salcycl</f>
        <v>2.4832526957896606E-2</v>
      </c>
      <c r="P162" s="165">
        <f>(INDEX(Models!$BJ162:$BT162,,T162)*(1-R162)+INDEX(Models!$BJ162:$BT162,,T162+1)*R162-ERP_i)*Q162*Ramure*Pc/MaxiM</f>
        <v>1.5613845440979375E-5</v>
      </c>
      <c r="Q162" s="301">
        <f t="shared" si="53"/>
        <v>0.5</v>
      </c>
      <c r="R162" s="173">
        <f t="shared" si="54"/>
        <v>0.17820211507883377</v>
      </c>
      <c r="S162" s="802">
        <f t="shared" si="55"/>
        <v>3</v>
      </c>
      <c r="T162" s="172">
        <f t="shared" si="56"/>
        <v>9</v>
      </c>
      <c r="U162" s="247">
        <f t="shared" si="57"/>
        <v>3.1782021150788338</v>
      </c>
      <c r="V162" s="378">
        <f t="shared" si="58"/>
        <v>61.199095379030403</v>
      </c>
      <c r="W162" s="397">
        <f t="shared" si="59"/>
        <v>57.408954109964426</v>
      </c>
      <c r="X162" s="153">
        <f t="shared" si="60"/>
        <v>46900</v>
      </c>
      <c r="Y162" s="380">
        <f t="shared" si="61"/>
        <v>55.761412985231992</v>
      </c>
      <c r="Z162" s="380">
        <f t="shared" si="62"/>
        <v>57.606485247790097</v>
      </c>
      <c r="AA162" s="381">
        <f t="shared" si="63"/>
        <v>60.818826503311996</v>
      </c>
      <c r="AB162" s="193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5.2818205154730513E-2</v>
      </c>
      <c r="AD162" s="227">
        <f>(INDEX(Models!$BJ162:$BT162,,AH162)*(1-AF162)+INDEX(Models!$BJ162:$BT162,,AH162+1)*AF162-ERP_i)*AE162*Ramure*Pc/MaxiM</f>
        <v>1.5613845440979375E-5</v>
      </c>
      <c r="AE162" s="301">
        <f t="shared" si="65"/>
        <v>0.5</v>
      </c>
      <c r="AF162" s="173">
        <f t="shared" si="66"/>
        <v>0.17820211507883377</v>
      </c>
      <c r="AG162" s="802">
        <f t="shared" si="74"/>
        <v>3</v>
      </c>
      <c r="AH162" s="172">
        <f t="shared" si="67"/>
        <v>9</v>
      </c>
      <c r="AI162" s="221">
        <f t="shared" si="68"/>
        <v>3.1782021150788338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46901</v>
      </c>
      <c r="B163" s="406">
        <f>'2027'!Wh/'2027'!Env_an*'2028'!Env_an</f>
        <v>62.431916206701423</v>
      </c>
      <c r="C163" s="832"/>
      <c r="D163" s="388">
        <f t="shared" si="50"/>
        <v>64.498589632488944</v>
      </c>
      <c r="E163" s="380">
        <f t="shared" si="72"/>
        <v>66.145768019606123</v>
      </c>
      <c r="F163" s="380">
        <f t="shared" si="51"/>
        <v>66.146752375052472</v>
      </c>
      <c r="G163" s="110">
        <f t="shared" si="73"/>
        <v>1.0193725542453589</v>
      </c>
      <c r="H163" s="409" t="b">
        <f>Wh_hp&gt;='2027'!Maxi_hp</f>
        <v>1</v>
      </c>
      <c r="I163" s="385">
        <f>IF(H163,Wh_hp,'2027'!Maxi_hp)</f>
        <v>66.146752375052472</v>
      </c>
      <c r="J163" s="85">
        <f>IF(H163,An,'2027'!An_max)</f>
        <v>2028</v>
      </c>
      <c r="K163" s="193">
        <f t="shared" si="52"/>
        <v>46901</v>
      </c>
      <c r="L163" s="143">
        <f>IF(t&lt;Tvie,1-EXP((T0-t)*PertePVj)+'2027'!Pspv,1-EXP((T0-t)*PertePVj)+Pspv)</f>
        <v>3.2042149100675821E-2</v>
      </c>
      <c r="M163" s="836"/>
      <c r="N163" s="836"/>
      <c r="O163" s="48">
        <f>IF(t&lt;Tnet,'2027'!Resal+('2027'!Salim-'2027'!Resal)*(1-EXP(('2027'!Tnet-t)/('2027'!Tau_j))),Resal+(Salim-Resal)*(1-EXP((Tnet-t)/(Tau_j))))*Salcycl</f>
        <v>2.4902249024139192E-2</v>
      </c>
      <c r="P163" s="165">
        <f>(INDEX(Models!$BJ163:$BT163,,T163)*(1-R163)+INDEX(Models!$BJ163:$BT163,,T163+1)*R163-ERP_i)*Q163*Ramure*Pc/MaxiM</f>
        <v>1.4881387384903607E-5</v>
      </c>
      <c r="Q163" s="301">
        <f t="shared" si="53"/>
        <v>0.5</v>
      </c>
      <c r="R163" s="173">
        <f t="shared" si="54"/>
        <v>0.18302272991005575</v>
      </c>
      <c r="S163" s="802">
        <f t="shared" si="55"/>
        <v>3</v>
      </c>
      <c r="T163" s="172">
        <f t="shared" si="56"/>
        <v>9</v>
      </c>
      <c r="U163" s="247">
        <f t="shared" si="57"/>
        <v>3.1830227299100557</v>
      </c>
      <c r="V163" s="378">
        <f t="shared" si="58"/>
        <v>61.245435681677513</v>
      </c>
      <c r="W163" s="397">
        <f t="shared" si="59"/>
        <v>62.431916206701423</v>
      </c>
      <c r="X163" s="153">
        <f t="shared" si="60"/>
        <v>46901</v>
      </c>
      <c r="Y163" s="380">
        <f t="shared" si="61"/>
        <v>60.640493103256055</v>
      </c>
      <c r="Z163" s="380">
        <f t="shared" si="62"/>
        <v>62.647865345495482</v>
      </c>
      <c r="AA163" s="381">
        <f t="shared" si="63"/>
        <v>66.145768019606123</v>
      </c>
      <c r="AB163" s="193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5.2881730439260061E-2</v>
      </c>
      <c r="AD163" s="227">
        <f>(INDEX(Models!$BJ163:$BT163,,AH163)*(1-AF163)+INDEX(Models!$BJ163:$BT163,,AH163+1)*AF163-ERP_i)*AE163*Ramure*Pc/MaxiM</f>
        <v>1.4881387384903607E-5</v>
      </c>
      <c r="AE163" s="301">
        <f t="shared" si="65"/>
        <v>0.5</v>
      </c>
      <c r="AF163" s="173">
        <f t="shared" si="66"/>
        <v>0.18302272991005575</v>
      </c>
      <c r="AG163" s="802">
        <f t="shared" si="74"/>
        <v>3</v>
      </c>
      <c r="AH163" s="172">
        <f t="shared" si="67"/>
        <v>9</v>
      </c>
      <c r="AI163" s="221">
        <f t="shared" si="68"/>
        <v>3.1830227299100557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46902</v>
      </c>
      <c r="B164" s="406">
        <f>'2027'!Wh/'2027'!Env_an*'2028'!Env_an</f>
        <v>50.210082988953353</v>
      </c>
      <c r="C164" s="832"/>
      <c r="D164" s="388">
        <f t="shared" si="50"/>
        <v>51.872889181676221</v>
      </c>
      <c r="E164" s="380">
        <f t="shared" si="72"/>
        <v>53.201430202971274</v>
      </c>
      <c r="F164" s="380">
        <f t="shared" si="51"/>
        <v>53.201987665620813</v>
      </c>
      <c r="G164" s="110">
        <f t="shared" si="73"/>
        <v>0.81925631008025368</v>
      </c>
      <c r="H164" s="409" t="b">
        <f>Wh_hp&gt;='2027'!Maxi_hp</f>
        <v>0</v>
      </c>
      <c r="I164" s="385">
        <f>IF(H164,Wh_hp,'2027'!Maxi_hp)</f>
        <v>53.20217402589779</v>
      </c>
      <c r="J164" s="85">
        <f>IF(H164,An,'2027'!An_max)</f>
        <v>2022</v>
      </c>
      <c r="K164" s="193">
        <f t="shared" si="52"/>
        <v>46902</v>
      </c>
      <c r="L164" s="143">
        <f>IF(t&lt;Tvie,1-EXP((T0-t)*PertePVj)+'2027'!Pspv,1-EXP((T0-t)*PertePVj)+Pspv)</f>
        <v>3.2055399630800729E-2</v>
      </c>
      <c r="M164" s="836"/>
      <c r="N164" s="836"/>
      <c r="O164" s="48">
        <f>IF(t&lt;Tnet,'2027'!Resal+('2027'!Salim-'2027'!Resal)*(1-EXP(('2027'!Tnet-t)/('2027'!Tau_j))),Resal+(Salim-Resal)*(1-EXP((Tnet-t)/(Tau_j))))*Salcycl</f>
        <v>2.4971904255702775E-2</v>
      </c>
      <c r="P164" s="165">
        <f>(INDEX(Models!$BJ164:$BT164,,T164)*(1-R164)+INDEX(Models!$BJ164:$BT164,,T164+1)*R164-ERP_i)*Q164*Ramure*Pc/MaxiM</f>
        <v>1.412542990887364E-5</v>
      </c>
      <c r="Q164" s="301">
        <f t="shared" si="53"/>
        <v>0.5</v>
      </c>
      <c r="R164" s="173">
        <f t="shared" si="54"/>
        <v>0.18789145885014324</v>
      </c>
      <c r="S164" s="802">
        <f t="shared" si="55"/>
        <v>3</v>
      </c>
      <c r="T164" s="172">
        <f t="shared" si="56"/>
        <v>9</v>
      </c>
      <c r="U164" s="247">
        <f t="shared" si="57"/>
        <v>3.1878914588501432</v>
      </c>
      <c r="V164" s="378">
        <f t="shared" si="58"/>
        <v>61.287168915297052</v>
      </c>
      <c r="W164" s="397">
        <f t="shared" si="59"/>
        <v>50.210082988953353</v>
      </c>
      <c r="X164" s="153">
        <f t="shared" si="60"/>
        <v>46902</v>
      </c>
      <c r="Y164" s="380">
        <f t="shared" si="61"/>
        <v>48.769575582690422</v>
      </c>
      <c r="Z164" s="380">
        <f t="shared" si="62"/>
        <v>50.384676523933742</v>
      </c>
      <c r="AA164" s="381">
        <f t="shared" si="63"/>
        <v>53.201430202971274</v>
      </c>
      <c r="AB164" s="193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5.294507437659484E-2</v>
      </c>
      <c r="AD164" s="227">
        <f>(INDEX(Models!$BJ164:$BT164,,AH164)*(1-AF164)+INDEX(Models!$BJ164:$BT164,,AH164+1)*AF164-ERP_i)*AE164*Ramure*Pc/MaxiM</f>
        <v>1.412542990887364E-5</v>
      </c>
      <c r="AE164" s="301">
        <f t="shared" si="65"/>
        <v>0.5</v>
      </c>
      <c r="AF164" s="173">
        <f t="shared" si="66"/>
        <v>0.18789145885014324</v>
      </c>
      <c r="AG164" s="802">
        <f t="shared" si="74"/>
        <v>3</v>
      </c>
      <c r="AH164" s="172">
        <f t="shared" si="67"/>
        <v>9</v>
      </c>
      <c r="AI164" s="221">
        <f t="shared" si="68"/>
        <v>3.1878914588501432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46903</v>
      </c>
      <c r="B165" s="406">
        <f>'2027'!Wh/'2027'!Env_an*'2028'!Env_an</f>
        <v>59.351810025613631</v>
      </c>
      <c r="C165" s="832"/>
      <c r="D165" s="388">
        <f t="shared" si="50"/>
        <v>61.318201982360499</v>
      </c>
      <c r="E165" s="380">
        <f t="shared" si="72"/>
        <v>62.893138668766063</v>
      </c>
      <c r="F165" s="380">
        <f t="shared" si="51"/>
        <v>62.893941483003061</v>
      </c>
      <c r="G165" s="110">
        <f t="shared" si="73"/>
        <v>0.96783132119556392</v>
      </c>
      <c r="H165" s="409" t="b">
        <f>Wh_hp&gt;='2027'!Maxi_hp</f>
        <v>0</v>
      </c>
      <c r="I165" s="385">
        <f>IF(H165,Wh_hp,'2027'!Maxi_hp)</f>
        <v>62.893978575156851</v>
      </c>
      <c r="J165" s="85">
        <f>IF(H165,An,'2027'!An_max)</f>
        <v>2022</v>
      </c>
      <c r="K165" s="193">
        <f t="shared" si="52"/>
        <v>46903</v>
      </c>
      <c r="L165" s="143">
        <f>IF(t&lt;Tvie,1-EXP((T0-t)*PertePVj)+'2027'!Pspv,1-EXP((T0-t)*PertePVj)+Pspv)</f>
        <v>3.2068649979536956E-2</v>
      </c>
      <c r="M165" s="836"/>
      <c r="N165" s="836"/>
      <c r="O165" s="48">
        <f>IF(t&lt;Tnet,'2027'!Resal+('2027'!Salim-'2027'!Resal)*(1-EXP(('2027'!Tnet-t)/('2027'!Tau_j))),Resal+(Salim-Resal)*(1-EXP((Tnet-t)/(Tau_j))))*Salcycl</f>
        <v>2.5041470655489891E-2</v>
      </c>
      <c r="P165" s="165">
        <f>(INDEX(Models!$BJ165:$BT165,,T165)*(1-R165)+INDEX(Models!$BJ165:$BT165,,T165+1)*R165-ERP_i)*Q165*Ramure*Pc/MaxiM</f>
        <v>1.337941493910328E-5</v>
      </c>
      <c r="Q165" s="301">
        <f t="shared" si="53"/>
        <v>0.5</v>
      </c>
      <c r="R165" s="173">
        <f t="shared" si="54"/>
        <v>0.19280485539976988</v>
      </c>
      <c r="S165" s="802">
        <f t="shared" si="55"/>
        <v>3</v>
      </c>
      <c r="T165" s="172">
        <f t="shared" si="56"/>
        <v>9</v>
      </c>
      <c r="U165" s="247">
        <f t="shared" si="57"/>
        <v>3.1928048553997699</v>
      </c>
      <c r="V165" s="378">
        <f t="shared" si="58"/>
        <v>61.324501732163554</v>
      </c>
      <c r="W165" s="397">
        <f t="shared" si="59"/>
        <v>59.351810025613631</v>
      </c>
      <c r="X165" s="153">
        <f t="shared" si="60"/>
        <v>46903</v>
      </c>
      <c r="Y165" s="380">
        <f t="shared" si="61"/>
        <v>57.649301203209987</v>
      </c>
      <c r="Z165" s="380">
        <f t="shared" si="62"/>
        <v>59.559287135385397</v>
      </c>
      <c r="AA165" s="381">
        <f t="shared" si="63"/>
        <v>62.893138668766063</v>
      </c>
      <c r="AB165" s="193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5.3008191417171564E-2</v>
      </c>
      <c r="AD165" s="227">
        <f>(INDEX(Models!$BJ165:$BT165,,AH165)*(1-AF165)+INDEX(Models!$BJ165:$BT165,,AH165+1)*AF165-ERP_i)*AE165*Ramure*Pc/MaxiM</f>
        <v>1.337941493910328E-5</v>
      </c>
      <c r="AE165" s="301">
        <f t="shared" si="65"/>
        <v>0.5</v>
      </c>
      <c r="AF165" s="173">
        <f t="shared" si="66"/>
        <v>0.19280485539976988</v>
      </c>
      <c r="AG165" s="802">
        <f t="shared" si="74"/>
        <v>3</v>
      </c>
      <c r="AH165" s="172">
        <f t="shared" si="67"/>
        <v>9</v>
      </c>
      <c r="AI165" s="221">
        <f t="shared" si="68"/>
        <v>3.1928048553997699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46904</v>
      </c>
      <c r="B166" s="406">
        <f>'2027'!Wh/'2027'!Env_an*'2028'!Env_an</f>
        <v>61.88113619457868</v>
      </c>
      <c r="C166" s="832"/>
      <c r="D166" s="388">
        <f t="shared" si="50"/>
        <v>63.932202739022536</v>
      </c>
      <c r="E166" s="380">
        <f t="shared" si="72"/>
        <v>65.578950935200396</v>
      </c>
      <c r="F166" s="380">
        <f t="shared" si="51"/>
        <v>65.579780102115706</v>
      </c>
      <c r="G166" s="110">
        <f t="shared" si="73"/>
        <v>1.008531837726554</v>
      </c>
      <c r="H166" s="409" t="b">
        <f>Wh_hp&gt;='2027'!Maxi_hp</f>
        <v>1</v>
      </c>
      <c r="I166" s="385">
        <f>IF(H166,Wh_hp,'2027'!Maxi_hp)</f>
        <v>65.579780102115706</v>
      </c>
      <c r="J166" s="85">
        <f>IF(H166,An,'2027'!An_max)</f>
        <v>2028</v>
      </c>
      <c r="K166" s="193">
        <f t="shared" si="52"/>
        <v>46904</v>
      </c>
      <c r="L166" s="143">
        <f>IF(t&lt;Tvie,1-EXP((T0-t)*PertePVj)+'2027'!Pspv,1-EXP((T0-t)*PertePVj)+Pspv)</f>
        <v>3.2081900146886944E-2</v>
      </c>
      <c r="M166" s="836"/>
      <c r="N166" s="836"/>
      <c r="O166" s="48">
        <f>IF(t&lt;Tnet,'2027'!Resal+('2027'!Salim-'2027'!Resal)*(1-EXP(('2027'!Tnet-t)/('2027'!Tau_j))),Resal+(Salim-Resal)*(1-EXP((Tnet-t)/(Tau_j))))*Salcycl</f>
        <v>2.5110926184303224E-2</v>
      </c>
      <c r="P166" s="165">
        <f>(INDEX(Models!$BJ166:$BT166,,T166)*(1-R166)+INDEX(Models!$BJ166:$BT166,,T166+1)*R166-ERP_i)*Q166*Ramure*Pc/MaxiM</f>
        <v>1.2643636712613356E-5</v>
      </c>
      <c r="Q166" s="301">
        <f t="shared" si="53"/>
        <v>0.5</v>
      </c>
      <c r="R166" s="173">
        <f t="shared" si="54"/>
        <v>0.19775933347685237</v>
      </c>
      <c r="S166" s="802">
        <f t="shared" si="55"/>
        <v>3</v>
      </c>
      <c r="T166" s="172">
        <f t="shared" si="56"/>
        <v>9</v>
      </c>
      <c r="U166" s="247">
        <f t="shared" si="57"/>
        <v>3.1977593334768524</v>
      </c>
      <c r="V166" s="378">
        <f t="shared" si="58"/>
        <v>61.357642743408064</v>
      </c>
      <c r="W166" s="397">
        <f t="shared" si="59"/>
        <v>61.88113619457868</v>
      </c>
      <c r="X166" s="153">
        <f t="shared" si="60"/>
        <v>46904</v>
      </c>
      <c r="Y166" s="380">
        <f t="shared" si="61"/>
        <v>60.106366712790113</v>
      </c>
      <c r="Z166" s="380">
        <f t="shared" si="62"/>
        <v>62.098608055693539</v>
      </c>
      <c r="AA166" s="381">
        <f t="shared" si="63"/>
        <v>65.578950935200396</v>
      </c>
      <c r="AB166" s="193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5.3071036207118248E-2</v>
      </c>
      <c r="AD166" s="227">
        <f>(INDEX(Models!$BJ166:$BT166,,AH166)*(1-AF166)+INDEX(Models!$BJ166:$BT166,,AH166+1)*AF166-ERP_i)*AE166*Ramure*Pc/MaxiM</f>
        <v>1.2643636712613356E-5</v>
      </c>
      <c r="AE166" s="301">
        <f t="shared" si="65"/>
        <v>0.5</v>
      </c>
      <c r="AF166" s="173">
        <f t="shared" si="66"/>
        <v>0.19775933347685237</v>
      </c>
      <c r="AG166" s="802">
        <f t="shared" si="74"/>
        <v>3</v>
      </c>
      <c r="AH166" s="172">
        <f t="shared" si="67"/>
        <v>9</v>
      </c>
      <c r="AI166" s="221">
        <f t="shared" si="68"/>
        <v>3.1977593334768524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46905</v>
      </c>
      <c r="B167" s="406">
        <f>'2027'!Wh/'2027'!Env_an*'2028'!Env_an</f>
        <v>44.573064990424989</v>
      </c>
      <c r="C167" s="832"/>
      <c r="D167" s="388">
        <f t="shared" si="50"/>
        <v>46.051081360469503</v>
      </c>
      <c r="E167" s="380">
        <f t="shared" si="72"/>
        <v>47.240611719003752</v>
      </c>
      <c r="F167" s="380">
        <f t="shared" si="51"/>
        <v>47.240954449749601</v>
      </c>
      <c r="G167" s="110">
        <f t="shared" si="73"/>
        <v>0.72609839199614024</v>
      </c>
      <c r="H167" s="409" t="b">
        <f>Wh_hp&gt;='2027'!Maxi_hp</f>
        <v>0</v>
      </c>
      <c r="I167" s="385">
        <f>IF(H167,Wh_hp,'2027'!Maxi_hp)</f>
        <v>47.241165214979837</v>
      </c>
      <c r="J167" s="85">
        <f>IF(H167,An,'2027'!An_max)</f>
        <v>2022</v>
      </c>
      <c r="K167" s="193">
        <f t="shared" si="52"/>
        <v>46905</v>
      </c>
      <c r="L167" s="143">
        <f>IF(t&lt;Tvie,1-EXP((T0-t)*PertePVj)+'2027'!Pspv,1-EXP((T0-t)*PertePVj)+Pspv)</f>
        <v>3.2095150132853356E-2</v>
      </c>
      <c r="M167" s="836"/>
      <c r="N167" s="836"/>
      <c r="O167" s="48">
        <f>IF(t&lt;Tnet,'2027'!Resal+('2027'!Salim-'2027'!Resal)*(1-EXP(('2027'!Tnet-t)/('2027'!Tau_j))),Resal+(Salim-Resal)*(1-EXP((Tnet-t)/(Tau_j))))*Salcycl</f>
        <v>2.5180248842030364E-2</v>
      </c>
      <c r="P167" s="165">
        <f>(INDEX(Models!$BJ167:$BT167,,T167)*(1-R167)+INDEX(Models!$BJ167:$BT167,,T167+1)*R167-ERP_i)*Q167*Ramure*Pc/MaxiM</f>
        <v>1.1918431261130224E-5</v>
      </c>
      <c r="Q167" s="301">
        <f t="shared" si="53"/>
        <v>0.5</v>
      </c>
      <c r="R167" s="173">
        <f t="shared" si="54"/>
        <v>0.20275117689126487</v>
      </c>
      <c r="S167" s="802">
        <f t="shared" si="55"/>
        <v>3</v>
      </c>
      <c r="T167" s="172">
        <f t="shared" si="56"/>
        <v>9</v>
      </c>
      <c r="U167" s="247">
        <f t="shared" si="57"/>
        <v>3.2027511768912649</v>
      </c>
      <c r="V167" s="378">
        <f t="shared" si="58"/>
        <v>61.386800486792474</v>
      </c>
      <c r="W167" s="397">
        <f t="shared" si="59"/>
        <v>44.573064990424989</v>
      </c>
      <c r="X167" s="153">
        <f t="shared" si="60"/>
        <v>46905</v>
      </c>
      <c r="Y167" s="380">
        <f t="shared" si="61"/>
        <v>43.29491595732722</v>
      </c>
      <c r="Z167" s="380">
        <f t="shared" si="62"/>
        <v>44.730549664328912</v>
      </c>
      <c r="AA167" s="381">
        <f t="shared" si="63"/>
        <v>47.240611719003752</v>
      </c>
      <c r="AB167" s="193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5.3133563756650112E-2</v>
      </c>
      <c r="AD167" s="227">
        <f>(INDEX(Models!$BJ167:$BT167,,AH167)*(1-AF167)+INDEX(Models!$BJ167:$BT167,,AH167+1)*AF167-ERP_i)*AE167*Ramure*Pc/MaxiM</f>
        <v>1.1918431261130224E-5</v>
      </c>
      <c r="AE167" s="301">
        <f t="shared" si="65"/>
        <v>0.5</v>
      </c>
      <c r="AF167" s="173">
        <f t="shared" si="66"/>
        <v>0.20275117689126487</v>
      </c>
      <c r="AG167" s="802">
        <f t="shared" si="74"/>
        <v>3</v>
      </c>
      <c r="AH167" s="172">
        <f t="shared" si="67"/>
        <v>9</v>
      </c>
      <c r="AI167" s="221">
        <f t="shared" si="68"/>
        <v>3.2027511768912649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46906</v>
      </c>
      <c r="B168" s="406">
        <f>'2027'!Wh/'2027'!Env_an*'2028'!Env_an</f>
        <v>59.016743874124316</v>
      </c>
      <c r="C168" s="832"/>
      <c r="D168" s="388">
        <f t="shared" si="50"/>
        <v>60.974538750320448</v>
      </c>
      <c r="E168" s="380">
        <f t="shared" si="72"/>
        <v>62.553990526517786</v>
      </c>
      <c r="F168" s="380">
        <f t="shared" si="51"/>
        <v>62.554652345172734</v>
      </c>
      <c r="G168" s="110">
        <f t="shared" si="73"/>
        <v>0.96099346642938765</v>
      </c>
      <c r="H168" s="409" t="b">
        <f>Wh_hp&gt;='2027'!Maxi_hp</f>
        <v>0</v>
      </c>
      <c r="I168" s="385">
        <f>IF(H168,Wh_hp,'2027'!Maxi_hp)</f>
        <v>62.554689658440559</v>
      </c>
      <c r="J168" s="85">
        <f>IF(H168,An,'2027'!An_max)</f>
        <v>2022</v>
      </c>
      <c r="K168" s="193">
        <f t="shared" si="52"/>
        <v>46906</v>
      </c>
      <c r="L168" s="143">
        <f>IF(t&lt;Tvie,1-EXP((T0-t)*PertePVj)+'2027'!Pspv,1-EXP((T0-t)*PertePVj)+Pspv)</f>
        <v>3.2108399937438525E-2</v>
      </c>
      <c r="M168" s="836"/>
      <c r="N168" s="836"/>
      <c r="O168" s="48">
        <f>IF(t&lt;Tnet,'2027'!Resal+('2027'!Salim-'2027'!Resal)*(1-EXP(('2027'!Tnet-t)/('2027'!Tau_j))),Resal+(Salim-Resal)*(1-EXP((Tnet-t)/(Tau_j))))*Salcycl</f>
        <v>2.5249416750283537E-2</v>
      </c>
      <c r="P168" s="165">
        <f>(INDEX(Models!$BJ168:$BT168,,T168)*(1-R168)+INDEX(Models!$BJ168:$BT168,,T168+1)*R168-ERP_i)*Q168*Ramure*Pc/MaxiM</f>
        <v>1.1204174622806954E-5</v>
      </c>
      <c r="Q168" s="301">
        <f t="shared" si="53"/>
        <v>0.5</v>
      </c>
      <c r="R168" s="173">
        <f t="shared" si="54"/>
        <v>0.20777654967353687</v>
      </c>
      <c r="S168" s="802">
        <f t="shared" si="55"/>
        <v>3</v>
      </c>
      <c r="T168" s="172">
        <f t="shared" si="56"/>
        <v>9</v>
      </c>
      <c r="U168" s="247">
        <f t="shared" si="57"/>
        <v>3.2077765496735369</v>
      </c>
      <c r="V168" s="378">
        <f t="shared" si="58"/>
        <v>61.41218342225983</v>
      </c>
      <c r="W168" s="397">
        <f t="shared" si="59"/>
        <v>59.016743874124316</v>
      </c>
      <c r="X168" s="153">
        <f t="shared" si="60"/>
        <v>46906</v>
      </c>
      <c r="Y168" s="380">
        <f t="shared" si="61"/>
        <v>57.324720892443246</v>
      </c>
      <c r="Z168" s="380">
        <f t="shared" si="62"/>
        <v>59.226385360445278</v>
      </c>
      <c r="AA168" s="381">
        <f t="shared" si="63"/>
        <v>62.553990526517786</v>
      </c>
      <c r="AB168" s="193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5.3195729609957894E-2</v>
      </c>
      <c r="AD168" s="227">
        <f>(INDEX(Models!$BJ168:$BT168,,AH168)*(1-AF168)+INDEX(Models!$BJ168:$BT168,,AH168+1)*AF168-ERP_i)*AE168*Ramure*Pc/MaxiM</f>
        <v>1.1204174622806954E-5</v>
      </c>
      <c r="AE168" s="301">
        <f t="shared" si="65"/>
        <v>0.5</v>
      </c>
      <c r="AF168" s="173">
        <f t="shared" si="66"/>
        <v>0.20777654967353687</v>
      </c>
      <c r="AG168" s="802">
        <f t="shared" si="74"/>
        <v>3</v>
      </c>
      <c r="AH168" s="172">
        <f t="shared" si="67"/>
        <v>9</v>
      </c>
      <c r="AI168" s="221">
        <f t="shared" si="68"/>
        <v>3.2077765496735369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46907</v>
      </c>
      <c r="B169" s="406">
        <f>'2027'!Wh/'2027'!Env_an*'2028'!Env_an</f>
        <v>29.995504837623503</v>
      </c>
      <c r="C169" s="832"/>
      <c r="D169" s="388">
        <f t="shared" si="50"/>
        <v>30.990986443706962</v>
      </c>
      <c r="E169" s="380">
        <f t="shared" si="72"/>
        <v>31.796010826077428</v>
      </c>
      <c r="F169" s="380">
        <f t="shared" si="51"/>
        <v>31.79610062402088</v>
      </c>
      <c r="G169" s="110">
        <f t="shared" si="73"/>
        <v>0.48825201997809703</v>
      </c>
      <c r="H169" s="409" t="b">
        <f>Wh_hp&gt;='2027'!Maxi_hp</f>
        <v>0</v>
      </c>
      <c r="I169" s="385">
        <f>IF(H169,Wh_hp,'2027'!Maxi_hp)</f>
        <v>31.79633352939906</v>
      </c>
      <c r="J169" s="85">
        <f>IF(H169,An,'2027'!An_max)</f>
        <v>2022</v>
      </c>
      <c r="K169" s="193">
        <f t="shared" si="52"/>
        <v>46907</v>
      </c>
      <c r="L169" s="143">
        <f>IF(t&lt;Tvie,1-EXP((T0-t)*PertePVj)+'2027'!Pspv,1-EXP((T0-t)*PertePVj)+Pspv)</f>
        <v>3.2121649560645116E-2</v>
      </c>
      <c r="M169" s="836"/>
      <c r="N169" s="836"/>
      <c r="O169" s="48">
        <f>IF(t&lt;Tnet,'2027'!Resal+('2027'!Salim-'2027'!Resal)*(1-EXP(('2027'!Tnet-t)/('2027'!Tau_j))),Resal+(Salim-Resal)*(1-EXP((Tnet-t)/(Tau_j))))*Salcycl</f>
        <v>2.5318408235986221E-2</v>
      </c>
      <c r="P169" s="165">
        <f>(INDEX(Models!$BJ169:$BT169,,T169)*(1-R169)+INDEX(Models!$BJ169:$BT169,,T169+1)*R169-ERP_i)*Q169*Ramure*Pc/MaxiM</f>
        <v>1.0501280897574203E-5</v>
      </c>
      <c r="Q169" s="301">
        <f t="shared" si="53"/>
        <v>0.5</v>
      </c>
      <c r="R169" s="173">
        <f t="shared" si="54"/>
        <v>0.21283150720319677</v>
      </c>
      <c r="S169" s="802">
        <f t="shared" si="55"/>
        <v>3</v>
      </c>
      <c r="T169" s="172">
        <f t="shared" si="56"/>
        <v>9</v>
      </c>
      <c r="U169" s="247">
        <f t="shared" si="57"/>
        <v>3.2128315072031968</v>
      </c>
      <c r="V169" s="378">
        <f t="shared" si="58"/>
        <v>61.43399992453039</v>
      </c>
      <c r="W169" s="397">
        <f t="shared" si="59"/>
        <v>29.995504837623503</v>
      </c>
      <c r="X169" s="153">
        <f t="shared" si="60"/>
        <v>46907</v>
      </c>
      <c r="Y169" s="380">
        <f t="shared" si="61"/>
        <v>29.135688801537434</v>
      </c>
      <c r="Z169" s="380">
        <f t="shared" si="62"/>
        <v>30.102635096974424</v>
      </c>
      <c r="AA169" s="381">
        <f t="shared" si="63"/>
        <v>31.796010826077428</v>
      </c>
      <c r="AB169" s="193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5.325749001551431E-2</v>
      </c>
      <c r="AD169" s="227">
        <f>(INDEX(Models!$BJ169:$BT169,,AH169)*(1-AF169)+INDEX(Models!$BJ169:$BT169,,AH169+1)*AF169-ERP_i)*AE169*Ramure*Pc/MaxiM</f>
        <v>1.0501280897574203E-5</v>
      </c>
      <c r="AE169" s="301">
        <f t="shared" si="65"/>
        <v>0.5</v>
      </c>
      <c r="AF169" s="173">
        <f t="shared" si="66"/>
        <v>0.21283150720319677</v>
      </c>
      <c r="AG169" s="802">
        <f t="shared" si="74"/>
        <v>3</v>
      </c>
      <c r="AH169" s="172">
        <f t="shared" si="67"/>
        <v>9</v>
      </c>
      <c r="AI169" s="221">
        <f t="shared" si="68"/>
        <v>3.2128315072031968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46908</v>
      </c>
      <c r="B170" s="406">
        <f>'2027'!Wh/'2027'!Env_an*'2028'!Env_an</f>
        <v>33.14798076843654</v>
      </c>
      <c r="C170" s="832"/>
      <c r="D170" s="388">
        <f t="shared" si="50"/>
        <v>34.248554611869736</v>
      </c>
      <c r="E170" s="380">
        <f t="shared" ref="E170:E232" si="75">Wh_pvt/(1-Psa)</f>
        <v>35.140678102296043</v>
      </c>
      <c r="F170" s="380">
        <f t="shared" si="51"/>
        <v>35.140796235238476</v>
      </c>
      <c r="G170" s="110">
        <f t="shared" ref="G170:G232" si="76">+Wh_hp/MaxiM</f>
        <v>0.53940506114242637</v>
      </c>
      <c r="H170" s="409" t="b">
        <f>Wh_hp&gt;='2027'!Maxi_hp</f>
        <v>0</v>
      </c>
      <c r="I170" s="385">
        <f>IF(H170,Wh_hp,'2027'!Maxi_hp)</f>
        <v>35.141012790309702</v>
      </c>
      <c r="J170" s="85">
        <f>IF(H170,An,'2027'!An_max)</f>
        <v>2022</v>
      </c>
      <c r="K170" s="193">
        <f t="shared" si="52"/>
        <v>46908</v>
      </c>
      <c r="L170" s="143">
        <f>IF(t&lt;Tvie,1-EXP((T0-t)*PertePVj)+'2027'!Pspv,1-EXP((T0-t)*PertePVj)+Pspv)</f>
        <v>3.2134899002475348E-2</v>
      </c>
      <c r="M170" s="836"/>
      <c r="N170" s="836"/>
      <c r="O170" s="48">
        <f>IF(t&lt;Tnet,'2027'!Resal+('2027'!Salim-'2027'!Resal)*(1-EXP(('2027'!Tnet-t)/('2027'!Tau_j))),Resal+(Salim-Resal)*(1-EXP((Tnet-t)/(Tau_j))))*Salcycl</f>
        <v>2.5387201915378372E-2</v>
      </c>
      <c r="P170" s="165">
        <f>(INDEX(Models!$BJ170:$BT170,,T170)*(1-R170)+INDEX(Models!$BJ170:$BT170,,T170+1)*R170-ERP_i)*Q170*Ramure*Pc/MaxiM</f>
        <v>9.8291917584290398E-6</v>
      </c>
      <c r="Q170" s="301">
        <f t="shared" si="53"/>
        <v>0.5</v>
      </c>
      <c r="R170" s="173">
        <f t="shared" si="54"/>
        <v>0.21791200807346867</v>
      </c>
      <c r="S170" s="802">
        <f t="shared" si="55"/>
        <v>3</v>
      </c>
      <c r="T170" s="172">
        <f t="shared" si="56"/>
        <v>9</v>
      </c>
      <c r="U170" s="247">
        <f t="shared" si="57"/>
        <v>3.2179120080734687</v>
      </c>
      <c r="V170" s="378">
        <f t="shared" si="58"/>
        <v>61.452457107723461</v>
      </c>
      <c r="W170" s="397">
        <f t="shared" si="59"/>
        <v>33.14798076843654</v>
      </c>
      <c r="X170" s="153">
        <f t="shared" si="60"/>
        <v>46908</v>
      </c>
      <c r="Y170" s="380">
        <f t="shared" si="61"/>
        <v>32.197986937626609</v>
      </c>
      <c r="Z170" s="380">
        <f t="shared" si="62"/>
        <v>33.267019241051194</v>
      </c>
      <c r="AA170" s="381">
        <f t="shared" si="63"/>
        <v>35.140678102296043</v>
      </c>
      <c r="AB170" s="193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5.3318802095695172E-2</v>
      </c>
      <c r="AD170" s="227">
        <f>(INDEX(Models!$BJ170:$BT170,,AH170)*(1-AF170)+INDEX(Models!$BJ170:$BT170,,AH170+1)*AF170-ERP_i)*AE170*Ramure*Pc/MaxiM</f>
        <v>9.8291917584290398E-6</v>
      </c>
      <c r="AE170" s="301">
        <f t="shared" si="65"/>
        <v>0.5</v>
      </c>
      <c r="AF170" s="173">
        <f t="shared" si="66"/>
        <v>0.21791200807346867</v>
      </c>
      <c r="AG170" s="802">
        <f t="shared" si="74"/>
        <v>3</v>
      </c>
      <c r="AH170" s="172">
        <f t="shared" si="67"/>
        <v>9</v>
      </c>
      <c r="AI170" s="221">
        <f t="shared" si="68"/>
        <v>3.2179120080734687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46909</v>
      </c>
      <c r="B171" s="406">
        <f>'2027'!Wh/'2027'!Env_an*'2028'!Env_an</f>
        <v>53.008746191990888</v>
      </c>
      <c r="C171" s="832"/>
      <c r="D171" s="388">
        <f t="shared" si="50"/>
        <v>54.769483673407834</v>
      </c>
      <c r="E171" s="380">
        <f t="shared" si="75"/>
        <v>56.200100896730255</v>
      </c>
      <c r="F171" s="380">
        <f t="shared" si="51"/>
        <v>56.200516624266328</v>
      </c>
      <c r="G171" s="110">
        <f t="shared" si="76"/>
        <v>0.86238132834235459</v>
      </c>
      <c r="H171" s="409" t="b">
        <f>Wh_hp&gt;='2027'!Maxi_hp</f>
        <v>0</v>
      </c>
      <c r="I171" s="385">
        <f>IF(H171,Wh_hp,'2027'!Maxi_hp)</f>
        <v>56.200613424709161</v>
      </c>
      <c r="J171" s="85">
        <f>IF(H171,An,'2027'!An_max)</f>
        <v>2022</v>
      </c>
      <c r="K171" s="193">
        <f t="shared" si="52"/>
        <v>46909</v>
      </c>
      <c r="L171" s="143">
        <f>IF(t&lt;Tvie,1-EXP((T0-t)*PertePVj)+'2027'!Pspv,1-EXP((T0-t)*PertePVj)+Pspv)</f>
        <v>3.2148148262931997E-2</v>
      </c>
      <c r="M171" s="836"/>
      <c r="N171" s="836"/>
      <c r="O171" s="48">
        <f>IF(t&lt;Tnet,'2027'!Resal+('2027'!Salim-'2027'!Resal)*(1-EXP(('2027'!Tnet-t)/('2027'!Tau_j))),Resal+(Salim-Resal)*(1-EXP((Tnet-t)/(Tau_j))))*Salcycl</f>
        <v>2.5455776777896507E-2</v>
      </c>
      <c r="P171" s="165">
        <f>(INDEX(Models!$BJ171:$BT171,,T171)*(1-R171)+INDEX(Models!$BJ171:$BT171,,T171+1)*R171-ERP_i)*Q171*Ramure*Pc/MaxiM</f>
        <v>9.2073451756230495E-6</v>
      </c>
      <c r="Q171" s="301">
        <f t="shared" si="53"/>
        <v>0.5</v>
      </c>
      <c r="R171" s="173">
        <f t="shared" si="54"/>
        <v>0.22301392662060859</v>
      </c>
      <c r="S171" s="802">
        <f t="shared" si="55"/>
        <v>3</v>
      </c>
      <c r="T171" s="172">
        <f t="shared" si="56"/>
        <v>9</v>
      </c>
      <c r="U171" s="247">
        <f t="shared" si="57"/>
        <v>3.2230139266206086</v>
      </c>
      <c r="V171" s="378">
        <f t="shared" si="58"/>
        <v>61.467761994175063</v>
      </c>
      <c r="W171" s="397">
        <f t="shared" si="59"/>
        <v>53.008746191990888</v>
      </c>
      <c r="X171" s="153">
        <f t="shared" si="60"/>
        <v>46909</v>
      </c>
      <c r="Y171" s="380">
        <f t="shared" si="61"/>
        <v>51.489873989372924</v>
      </c>
      <c r="Z171" s="380">
        <f t="shared" si="62"/>
        <v>53.200160641280611</v>
      </c>
      <c r="AA171" s="381">
        <f t="shared" si="63"/>
        <v>56.200100896730255</v>
      </c>
      <c r="AB171" s="193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5.3379624014592862E-2</v>
      </c>
      <c r="AD171" s="227">
        <f>(INDEX(Models!$BJ171:$BT171,,AH171)*(1-AF171)+INDEX(Models!$BJ171:$BT171,,AH171+1)*AF171-ERP_i)*AE171*Ramure*Pc/MaxiM</f>
        <v>9.2073451756230495E-6</v>
      </c>
      <c r="AE171" s="301">
        <f t="shared" si="65"/>
        <v>0.5</v>
      </c>
      <c r="AF171" s="173">
        <f t="shared" si="66"/>
        <v>0.22301392662060859</v>
      </c>
      <c r="AG171" s="802">
        <f t="shared" si="74"/>
        <v>3</v>
      </c>
      <c r="AH171" s="172">
        <f t="shared" si="67"/>
        <v>9</v>
      </c>
      <c r="AI171" s="221">
        <f t="shared" si="68"/>
        <v>3.2230139266206086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46910</v>
      </c>
      <c r="B172" s="406">
        <f>'2027'!Wh/'2027'!Env_an*'2028'!Env_an</f>
        <v>27.680377220556355</v>
      </c>
      <c r="C172" s="832"/>
      <c r="D172" s="388">
        <f t="shared" si="50"/>
        <v>28.600199604084317</v>
      </c>
      <c r="E172" s="380">
        <f t="shared" si="75"/>
        <v>29.349314810332427</v>
      </c>
      <c r="F172" s="380">
        <f t="shared" si="51"/>
        <v>29.349369214571272</v>
      </c>
      <c r="G172" s="110">
        <f t="shared" si="76"/>
        <v>0.45022989992707707</v>
      </c>
      <c r="H172" s="409" t="b">
        <f>Wh_hp&gt;='2027'!Maxi_hp</f>
        <v>0</v>
      </c>
      <c r="I172" s="385">
        <f>IF(H172,Wh_hp,'2027'!Maxi_hp)</f>
        <v>29.349558396562763</v>
      </c>
      <c r="J172" s="85">
        <f>IF(H172,An,'2027'!An_max)</f>
        <v>2022</v>
      </c>
      <c r="K172" s="193">
        <f t="shared" si="52"/>
        <v>46910</v>
      </c>
      <c r="L172" s="143">
        <f>IF(t&lt;Tvie,1-EXP((T0-t)*PertePVj)+'2027'!Pspv,1-EXP((T0-t)*PertePVj)+Pspv)</f>
        <v>3.2161397342017284E-2</v>
      </c>
      <c r="M172" s="836"/>
      <c r="N172" s="836"/>
      <c r="O172" s="48">
        <f>IF(t&lt;Tnet,'2027'!Resal+('2027'!Salim-'2027'!Resal)*(1-EXP(('2027'!Tnet-t)/('2027'!Tau_j))),Resal+(Salim-Resal)*(1-EXP((Tnet-t)/(Tau_j))))*Salcycl</f>
        <v>2.5524112269373411E-2</v>
      </c>
      <c r="P172" s="165">
        <f>(INDEX(Models!$BJ172:$BT172,,T172)*(1-R172)+INDEX(Models!$BJ172:$BT172,,T172+1)*R172-ERP_i)*Q172*Ramure*Pc/MaxiM</f>
        <v>8.6370771717218823E-6</v>
      </c>
      <c r="Q172" s="301">
        <f t="shared" si="53"/>
        <v>0.5</v>
      </c>
      <c r="R172" s="173">
        <f t="shared" si="54"/>
        <v>0.22813306603843442</v>
      </c>
      <c r="S172" s="802">
        <f t="shared" si="55"/>
        <v>3</v>
      </c>
      <c r="T172" s="172">
        <f t="shared" si="56"/>
        <v>9</v>
      </c>
      <c r="U172" s="247">
        <f t="shared" si="57"/>
        <v>3.2281330660384344</v>
      </c>
      <c r="V172" s="378">
        <f t="shared" si="58"/>
        <v>61.480122616478511</v>
      </c>
      <c r="W172" s="397">
        <f t="shared" si="59"/>
        <v>27.680377220556355</v>
      </c>
      <c r="X172" s="153">
        <f t="shared" si="60"/>
        <v>46910</v>
      </c>
      <c r="Y172" s="380">
        <f t="shared" si="61"/>
        <v>26.887417678219048</v>
      </c>
      <c r="Z172" s="380">
        <f t="shared" si="62"/>
        <v>27.780889917366309</v>
      </c>
      <c r="AA172" s="381">
        <f t="shared" si="63"/>
        <v>29.349314810332427</v>
      </c>
      <c r="AB172" s="193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5.3439915142889635E-2</v>
      </c>
      <c r="AD172" s="227">
        <f>(INDEX(Models!$BJ172:$BT172,,AH172)*(1-AF172)+INDEX(Models!$BJ172:$BT172,,AH172+1)*AF172-ERP_i)*AE172*Ramure*Pc/MaxiM</f>
        <v>8.6370771717218823E-6</v>
      </c>
      <c r="AE172" s="301">
        <f t="shared" si="65"/>
        <v>0.5</v>
      </c>
      <c r="AF172" s="173">
        <f t="shared" si="66"/>
        <v>0.22813306603843442</v>
      </c>
      <c r="AG172" s="802">
        <f t="shared" si="74"/>
        <v>3</v>
      </c>
      <c r="AH172" s="172">
        <f t="shared" si="67"/>
        <v>9</v>
      </c>
      <c r="AI172" s="221">
        <f t="shared" si="68"/>
        <v>3.2281330660384344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46911</v>
      </c>
      <c r="B173" s="406">
        <f>'2027'!Wh/'2027'!Env_an*'2028'!Env_an</f>
        <v>24.943197141584328</v>
      </c>
      <c r="C173" s="832"/>
      <c r="D173" s="388">
        <f t="shared" si="50"/>
        <v>25.772415492808889</v>
      </c>
      <c r="E173" s="380">
        <f t="shared" si="75"/>
        <v>26.449311248646708</v>
      </c>
      <c r="F173" s="380">
        <f t="shared" si="51"/>
        <v>26.44934366175757</v>
      </c>
      <c r="G173" s="110">
        <f t="shared" si="76"/>
        <v>0.40564527311528475</v>
      </c>
      <c r="H173" s="409" t="b">
        <f>Wh_hp&gt;='2027'!Maxi_hp</f>
        <v>0</v>
      </c>
      <c r="I173" s="385">
        <f>IF(H173,Wh_hp,'2027'!Maxi_hp)</f>
        <v>26.449516701435005</v>
      </c>
      <c r="J173" s="85">
        <f>IF(H173,An,'2027'!An_max)</f>
        <v>2022</v>
      </c>
      <c r="K173" s="193">
        <f t="shared" si="52"/>
        <v>46911</v>
      </c>
      <c r="L173" s="143">
        <f>IF(t&lt;Tvie,1-EXP((T0-t)*PertePVj)+'2027'!Pspv,1-EXP((T0-t)*PertePVj)+Pspv)</f>
        <v>3.2174646239733873E-2</v>
      </c>
      <c r="M173" s="836"/>
      <c r="N173" s="836"/>
      <c r="O173" s="48">
        <f>IF(t&lt;Tnet,'2027'!Resal+('2027'!Salim-'2027'!Resal)*(1-EXP(('2027'!Tnet-t)/('2027'!Tau_j))),Resal+(Salim-Resal)*(1-EXP((Tnet-t)/(Tau_j))))*Salcycl</f>
        <v>2.5592188373995964E-2</v>
      </c>
      <c r="P173" s="165">
        <f>(INDEX(Models!$BJ173:$BT173,,T173)*(1-R173)+INDEX(Models!$BJ173:$BT173,,T173+1)*R173-ERP_i)*Q173*Ramure*Pc/MaxiM</f>
        <v>8.119743092098584E-6</v>
      </c>
      <c r="Q173" s="301">
        <f t="shared" si="53"/>
        <v>0.5</v>
      </c>
      <c r="R173" s="173">
        <f t="shared" si="54"/>
        <v>0.23326517199170116</v>
      </c>
      <c r="S173" s="802">
        <f t="shared" si="55"/>
        <v>3</v>
      </c>
      <c r="T173" s="172">
        <f t="shared" si="56"/>
        <v>9</v>
      </c>
      <c r="U173" s="247">
        <f t="shared" si="57"/>
        <v>3.2332651719917012</v>
      </c>
      <c r="V173" s="378">
        <f t="shared" si="58"/>
        <v>61.489746903305466</v>
      </c>
      <c r="W173" s="397">
        <f t="shared" si="59"/>
        <v>24.943197141584328</v>
      </c>
      <c r="X173" s="153">
        <f t="shared" si="60"/>
        <v>46911</v>
      </c>
      <c r="Y173" s="380">
        <f t="shared" si="61"/>
        <v>24.22881352827326</v>
      </c>
      <c r="Z173" s="380">
        <f t="shared" si="62"/>
        <v>25.034282718610022</v>
      </c>
      <c r="AA173" s="381">
        <f t="shared" si="63"/>
        <v>26.449311248646708</v>
      </c>
      <c r="AB173" s="193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5.3499636218659059E-2</v>
      </c>
      <c r="AD173" s="227">
        <f>(INDEX(Models!$BJ173:$BT173,,AH173)*(1-AF173)+INDEX(Models!$BJ173:$BT173,,AH173+1)*AF173-ERP_i)*AE173*Ramure*Pc/MaxiM</f>
        <v>8.119743092098584E-6</v>
      </c>
      <c r="AE173" s="301">
        <f t="shared" si="65"/>
        <v>0.5</v>
      </c>
      <c r="AF173" s="173">
        <f t="shared" si="66"/>
        <v>0.23326517199170116</v>
      </c>
      <c r="AG173" s="802">
        <f t="shared" si="74"/>
        <v>3</v>
      </c>
      <c r="AH173" s="172">
        <f t="shared" si="67"/>
        <v>9</v>
      </c>
      <c r="AI173" s="221">
        <f t="shared" si="68"/>
        <v>3.2332651719917012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46912</v>
      </c>
      <c r="B174" s="406">
        <f>'2027'!Wh/'2027'!Env_an*'2028'!Env_an</f>
        <v>51.256639733792596</v>
      </c>
      <c r="C174" s="832"/>
      <c r="D174" s="388">
        <f t="shared" si="50"/>
        <v>52.961354240828335</v>
      </c>
      <c r="E174" s="380">
        <f t="shared" si="75"/>
        <v>54.356131805359936</v>
      </c>
      <c r="F174" s="380">
        <f t="shared" si="51"/>
        <v>54.356448993375906</v>
      </c>
      <c r="G174" s="110">
        <f t="shared" si="76"/>
        <v>0.8334825683693633</v>
      </c>
      <c r="H174" s="409" t="b">
        <f>Wh_hp&gt;='2027'!Maxi_hp</f>
        <v>0</v>
      </c>
      <c r="I174" s="385">
        <f>IF(H174,Wh_hp,'2027'!Maxi_hp)</f>
        <v>54.356542817414159</v>
      </c>
      <c r="J174" s="85">
        <f>IF(H174,An,'2027'!An_max)</f>
        <v>2022</v>
      </c>
      <c r="K174" s="193">
        <f t="shared" si="52"/>
        <v>46912</v>
      </c>
      <c r="L174" s="143">
        <f>IF(t&lt;Tvie,1-EXP((T0-t)*PertePVj)+'2027'!Pspv,1-EXP((T0-t)*PertePVj)+Pspv)</f>
        <v>3.2187894956084095E-2</v>
      </c>
      <c r="M174" s="836"/>
      <c r="N174" s="836"/>
      <c r="O174" s="48">
        <f>IF(t&lt;Tnet,'2027'!Resal+('2027'!Salim-'2027'!Resal)*(1-EXP(('2027'!Tnet-t)/('2027'!Tau_j))),Resal+(Salim-Resal)*(1-EXP((Tnet-t)/(Tau_j))))*Salcycl</f>
        <v>2.5659985694457852E-2</v>
      </c>
      <c r="P174" s="165">
        <f>(INDEX(Models!$BJ174:$BT174,,T174)*(1-R174)+INDEX(Models!$BJ174:$BT174,,T174+1)*R174-ERP_i)*Q174*Ramure*Pc/MaxiM</f>
        <v>7.6567111548623519E-6</v>
      </c>
      <c r="Q174" s="301">
        <f t="shared" si="53"/>
        <v>0.5</v>
      </c>
      <c r="R174" s="173">
        <f t="shared" si="54"/>
        <v>0.23840594663600712</v>
      </c>
      <c r="S174" s="802">
        <f t="shared" si="55"/>
        <v>3</v>
      </c>
      <c r="T174" s="172">
        <f t="shared" si="56"/>
        <v>9</v>
      </c>
      <c r="U174" s="247">
        <f t="shared" si="57"/>
        <v>3.2384059466360071</v>
      </c>
      <c r="V174" s="378">
        <f t="shared" si="58"/>
        <v>61.496842670430766</v>
      </c>
      <c r="W174" s="397">
        <f t="shared" si="59"/>
        <v>51.256639733792596</v>
      </c>
      <c r="X174" s="153">
        <f t="shared" si="60"/>
        <v>46912</v>
      </c>
      <c r="Y174" s="380">
        <f t="shared" si="61"/>
        <v>49.788982792113472</v>
      </c>
      <c r="Z174" s="380">
        <f t="shared" si="62"/>
        <v>51.444885358046044</v>
      </c>
      <c r="AA174" s="381">
        <f t="shared" si="63"/>
        <v>54.356131805359936</v>
      </c>
      <c r="AB174" s="193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5.3558749502973735E-2</v>
      </c>
      <c r="AD174" s="227">
        <f>(INDEX(Models!$BJ174:$BT174,,AH174)*(1-AF174)+INDEX(Models!$BJ174:$BT174,,AH174+1)*AF174-ERP_i)*AE174*Ramure*Pc/MaxiM</f>
        <v>7.6567111548623519E-6</v>
      </c>
      <c r="AE174" s="301">
        <f t="shared" si="65"/>
        <v>0.5</v>
      </c>
      <c r="AF174" s="173">
        <f t="shared" si="66"/>
        <v>0.23840594663600712</v>
      </c>
      <c r="AG174" s="802">
        <f t="shared" si="74"/>
        <v>3</v>
      </c>
      <c r="AH174" s="172">
        <f t="shared" si="67"/>
        <v>9</v>
      </c>
      <c r="AI174" s="221">
        <f t="shared" si="68"/>
        <v>3.2384059466360071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46913</v>
      </c>
      <c r="B175" s="406">
        <f>'2027'!Wh/'2027'!Env_an*'2028'!Env_an</f>
        <v>63.063113899545094</v>
      </c>
      <c r="C175" s="832"/>
      <c r="D175" s="388">
        <f t="shared" si="50"/>
        <v>65.161385008273399</v>
      </c>
      <c r="E175" s="380">
        <f t="shared" si="75"/>
        <v>66.882093090457374</v>
      </c>
      <c r="F175" s="380">
        <f t="shared" si="51"/>
        <v>66.882577946073681</v>
      </c>
      <c r="G175" s="110">
        <f t="shared" si="76"/>
        <v>1.0253895155984705</v>
      </c>
      <c r="H175" s="409" t="b">
        <f>Wh_hp&gt;='2027'!Maxi_hp</f>
        <v>1</v>
      </c>
      <c r="I175" s="385">
        <f>IF(H175,Wh_hp,'2027'!Maxi_hp)</f>
        <v>66.882577946073681</v>
      </c>
      <c r="J175" s="85">
        <f>IF(H175,An,'2027'!An_max)</f>
        <v>2028</v>
      </c>
      <c r="K175" s="193">
        <f t="shared" si="52"/>
        <v>46913</v>
      </c>
      <c r="L175" s="143">
        <f>IF(t&lt;Tvie,1-EXP((T0-t)*PertePVj)+'2027'!Pspv,1-EXP((T0-t)*PertePVj)+Pspv)</f>
        <v>3.2201143491070505E-2</v>
      </c>
      <c r="M175" s="836"/>
      <c r="N175" s="836"/>
      <c r="O175" s="48">
        <f>IF(t&lt;Tnet,'2027'!Resal+('2027'!Salim-'2027'!Resal)*(1-EXP(('2027'!Tnet-t)/('2027'!Tau_j))),Resal+(Salim-Resal)*(1-EXP((Tnet-t)/(Tau_j))))*Salcycl</f>
        <v>2.5727485529747608E-2</v>
      </c>
      <c r="P175" s="165">
        <f>(INDEX(Models!$BJ175:$BT175,,T175)*(1-R175)+INDEX(Models!$BJ175:$BT175,,T175+1)*R175-ERP_i)*Q175*Ramure*Pc/MaxiM</f>
        <v>7.2493559787281466E-6</v>
      </c>
      <c r="Q175" s="301">
        <f t="shared" si="53"/>
        <v>0.5</v>
      </c>
      <c r="R175" s="173">
        <f t="shared" si="54"/>
        <v>0.24355106294701834</v>
      </c>
      <c r="S175" s="802">
        <f t="shared" si="55"/>
        <v>3</v>
      </c>
      <c r="T175" s="172">
        <f t="shared" si="56"/>
        <v>9</v>
      </c>
      <c r="U175" s="247">
        <f t="shared" si="57"/>
        <v>3.2435510629470183</v>
      </c>
      <c r="V175" s="378">
        <f t="shared" si="58"/>
        <v>61.501617619659584</v>
      </c>
      <c r="W175" s="397">
        <f t="shared" si="59"/>
        <v>63.063113899545094</v>
      </c>
      <c r="X175" s="153">
        <f t="shared" si="60"/>
        <v>46913</v>
      </c>
      <c r="Y175" s="380">
        <f t="shared" si="61"/>
        <v>61.257855711639522</v>
      </c>
      <c r="Z175" s="380">
        <f t="shared" si="62"/>
        <v>63.296061262781954</v>
      </c>
      <c r="AA175" s="381">
        <f t="shared" si="63"/>
        <v>66.882093090457374</v>
      </c>
      <c r="AB175" s="193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5.3617218929218481E-2</v>
      </c>
      <c r="AD175" s="227">
        <f>(INDEX(Models!$BJ175:$BT175,,AH175)*(1-AF175)+INDEX(Models!$BJ175:$BT175,,AH175+1)*AF175-ERP_i)*AE175*Ramure*Pc/MaxiM</f>
        <v>7.2493559787281466E-6</v>
      </c>
      <c r="AE175" s="301">
        <f t="shared" si="65"/>
        <v>0.5</v>
      </c>
      <c r="AF175" s="173">
        <f t="shared" si="66"/>
        <v>0.24355106294701834</v>
      </c>
      <c r="AG175" s="802">
        <f t="shared" si="74"/>
        <v>3</v>
      </c>
      <c r="AH175" s="172">
        <f t="shared" si="67"/>
        <v>9</v>
      </c>
      <c r="AI175" s="221">
        <f t="shared" si="68"/>
        <v>3.2435510629470183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46914</v>
      </c>
      <c r="B176" s="406">
        <f>'2027'!Wh/'2027'!Env_an*'2028'!Env_an</f>
        <v>60.380689788645363</v>
      </c>
      <c r="C176" s="832"/>
      <c r="D176" s="388">
        <f t="shared" si="50"/>
        <v>62.390563860250992</v>
      </c>
      <c r="E176" s="380">
        <f t="shared" si="75"/>
        <v>64.04251951387927</v>
      </c>
      <c r="F176" s="380">
        <f t="shared" si="51"/>
        <v>64.042949818579174</v>
      </c>
      <c r="G176" s="110">
        <f t="shared" si="76"/>
        <v>0.9817313457203608</v>
      </c>
      <c r="H176" s="409" t="b">
        <f>Wh_hp&gt;='2027'!Maxi_hp</f>
        <v>0</v>
      </c>
      <c r="I176" s="385">
        <f>IF(H176,Wh_hp,'2027'!Maxi_hp)</f>
        <v>64.04296071880799</v>
      </c>
      <c r="J176" s="85">
        <f>IF(H176,An,'2027'!An_max)</f>
        <v>2022</v>
      </c>
      <c r="K176" s="193">
        <f t="shared" si="52"/>
        <v>46914</v>
      </c>
      <c r="L176" s="143">
        <f>IF(t&lt;Tvie,1-EXP((T0-t)*PertePVj)+'2027'!Pspv,1-EXP((T0-t)*PertePVj)+Pspv)</f>
        <v>3.2214391844695656E-2</v>
      </c>
      <c r="M176" s="836"/>
      <c r="N176" s="836"/>
      <c r="O176" s="48">
        <f>IF(t&lt;Tnet,'2027'!Resal+('2027'!Salim-'2027'!Resal)*(1-EXP(('2027'!Tnet-t)/('2027'!Tau_j))),Resal+(Salim-Resal)*(1-EXP((Tnet-t)/(Tau_j))))*Salcycl</f>
        <v>2.5794669950020731E-2</v>
      </c>
      <c r="P176" s="165">
        <f>(INDEX(Models!$BJ176:$BT176,,T176)*(1-R176)+INDEX(Models!$BJ176:$BT176,,T176+1)*R176-ERP_i)*Q176*Ramure*Pc/MaxiM</f>
        <v>6.8990521302387578E-6</v>
      </c>
      <c r="Q176" s="301">
        <f t="shared" si="53"/>
        <v>0.5</v>
      </c>
      <c r="R176" s="173">
        <f t="shared" si="54"/>
        <v>0.24869617925803</v>
      </c>
      <c r="S176" s="802">
        <f t="shared" si="55"/>
        <v>3</v>
      </c>
      <c r="T176" s="172">
        <f t="shared" si="56"/>
        <v>9</v>
      </c>
      <c r="U176" s="247">
        <f t="shared" si="57"/>
        <v>3.24869617925803</v>
      </c>
      <c r="V176" s="378">
        <f t="shared" si="58"/>
        <v>61.504279332864151</v>
      </c>
      <c r="W176" s="397">
        <f t="shared" si="59"/>
        <v>60.380689788645363</v>
      </c>
      <c r="X176" s="153">
        <f t="shared" si="60"/>
        <v>46914</v>
      </c>
      <c r="Y176" s="380">
        <f t="shared" si="61"/>
        <v>58.652682225322984</v>
      </c>
      <c r="Z176" s="380">
        <f t="shared" si="62"/>
        <v>60.605036622853724</v>
      </c>
      <c r="AA176" s="381">
        <f t="shared" si="63"/>
        <v>64.04251951387927</v>
      </c>
      <c r="AB176" s="193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5.3675010245038499E-2</v>
      </c>
      <c r="AD176" s="227">
        <f>(INDEX(Models!$BJ176:$BT176,,AH176)*(1-AF176)+INDEX(Models!$BJ176:$BT176,,AH176+1)*AF176-ERP_i)*AE176*Ramure*Pc/MaxiM</f>
        <v>6.8990521302387578E-6</v>
      </c>
      <c r="AE176" s="301">
        <f t="shared" si="65"/>
        <v>0.5</v>
      </c>
      <c r="AF176" s="173">
        <f t="shared" si="66"/>
        <v>0.24869617925803</v>
      </c>
      <c r="AG176" s="802">
        <f t="shared" si="74"/>
        <v>3</v>
      </c>
      <c r="AH176" s="172">
        <f t="shared" si="67"/>
        <v>9</v>
      </c>
      <c r="AI176" s="221">
        <f t="shared" si="68"/>
        <v>3.24869617925803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46915</v>
      </c>
      <c r="B177" s="406">
        <f>'2027'!Wh/'2027'!Env_an*'2028'!Env_an</f>
        <v>48.689582429204776</v>
      </c>
      <c r="C177" s="832"/>
      <c r="D177" s="388">
        <f t="shared" si="50"/>
        <v>50.310986800716393</v>
      </c>
      <c r="E177" s="380">
        <f t="shared" si="75"/>
        <v>51.646647709875154</v>
      </c>
      <c r="F177" s="380">
        <f t="shared" si="51"/>
        <v>51.646887368905148</v>
      </c>
      <c r="G177" s="110">
        <f t="shared" si="76"/>
        <v>0.79162642494874547</v>
      </c>
      <c r="H177" s="409" t="b">
        <f>Wh_hp&gt;='2027'!Maxi_hp</f>
        <v>0</v>
      </c>
      <c r="I177" s="385">
        <f>IF(H177,Wh_hp,'2027'!Maxi_hp)</f>
        <v>51.646983281304863</v>
      </c>
      <c r="J177" s="85">
        <f>IF(H177,An,'2027'!An_max)</f>
        <v>2022</v>
      </c>
      <c r="K177" s="193">
        <f t="shared" si="52"/>
        <v>46915</v>
      </c>
      <c r="L177" s="143">
        <f>IF(t&lt;Tvie,1-EXP((T0-t)*PertePVj)+'2027'!Pspv,1-EXP((T0-t)*PertePVj)+Pspv)</f>
        <v>3.2227640016961989E-2</v>
      </c>
      <c r="M177" s="836"/>
      <c r="N177" s="836"/>
      <c r="O177" s="48">
        <f>IF(t&lt;Tnet,'2027'!Resal+('2027'!Salim-'2027'!Resal)*(1-EXP(('2027'!Tnet-t)/('2027'!Tau_j))),Resal+(Salim-Resal)*(1-EXP((Tnet-t)/(Tau_j))))*Salcycl</f>
        <v>2.58615218680181E-2</v>
      </c>
      <c r="P177" s="165">
        <f>(INDEX(Models!$BJ177:$BT177,,T177)*(1-R177)+INDEX(Models!$BJ177:$BT177,,T177+1)*R177-ERP_i)*Q177*Ramure*Pc/MaxiM</f>
        <v>6.6071032078148932E-6</v>
      </c>
      <c r="Q177" s="301">
        <f t="shared" si="53"/>
        <v>0.5</v>
      </c>
      <c r="R177" s="173">
        <f t="shared" si="54"/>
        <v>0.25383695390233596</v>
      </c>
      <c r="S177" s="802">
        <f t="shared" si="55"/>
        <v>3</v>
      </c>
      <c r="T177" s="172">
        <f t="shared" si="56"/>
        <v>9</v>
      </c>
      <c r="U177" s="247">
        <f t="shared" si="57"/>
        <v>3.253836953902336</v>
      </c>
      <c r="V177" s="378">
        <f t="shared" si="58"/>
        <v>61.505635907683597</v>
      </c>
      <c r="W177" s="397">
        <f t="shared" si="59"/>
        <v>48.689582429204776</v>
      </c>
      <c r="X177" s="153">
        <f t="shared" si="60"/>
        <v>46915</v>
      </c>
      <c r="Y177" s="380">
        <f t="shared" si="61"/>
        <v>47.296550113300221</v>
      </c>
      <c r="Z177" s="380">
        <f t="shared" si="62"/>
        <v>48.871565327748336</v>
      </c>
      <c r="AA177" s="381">
        <f t="shared" si="63"/>
        <v>51.646647709875154</v>
      </c>
      <c r="AB177" s="193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5.3732091145892585E-2</v>
      </c>
      <c r="AD177" s="227">
        <f>(INDEX(Models!$BJ177:$BT177,,AH177)*(1-AF177)+INDEX(Models!$BJ177:$BT177,,AH177+1)*AF177-ERP_i)*AE177*Ramure*Pc/MaxiM</f>
        <v>6.6071032078148932E-6</v>
      </c>
      <c r="AE177" s="301">
        <f t="shared" si="65"/>
        <v>0.5</v>
      </c>
      <c r="AF177" s="173">
        <f t="shared" si="66"/>
        <v>0.25383695390233596</v>
      </c>
      <c r="AG177" s="802">
        <f t="shared" si="74"/>
        <v>3</v>
      </c>
      <c r="AH177" s="172">
        <f t="shared" si="67"/>
        <v>9</v>
      </c>
      <c r="AI177" s="221">
        <f t="shared" si="68"/>
        <v>3.253836953902336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46916</v>
      </c>
      <c r="B178" s="406">
        <f>'2027'!Wh/'2027'!Env_an*'2028'!Env_an</f>
        <v>54.433822354466855</v>
      </c>
      <c r="C178" s="832"/>
      <c r="D178" s="388">
        <f t="shared" si="50"/>
        <v>56.247284763266201</v>
      </c>
      <c r="E178" s="380">
        <f t="shared" si="75"/>
        <v>57.744485225967686</v>
      </c>
      <c r="F178" s="380">
        <f t="shared" si="51"/>
        <v>57.744793378569582</v>
      </c>
      <c r="G178" s="110">
        <f t="shared" si="76"/>
        <v>0.88501532971257746</v>
      </c>
      <c r="H178" s="409" t="b">
        <f>Wh_hp&gt;='2027'!Maxi_hp</f>
        <v>0</v>
      </c>
      <c r="I178" s="385">
        <f>IF(H178,Wh_hp,'2027'!Maxi_hp)</f>
        <v>57.744850509610608</v>
      </c>
      <c r="J178" s="85">
        <f>IF(H178,An,'2027'!An_max)</f>
        <v>2022</v>
      </c>
      <c r="K178" s="193">
        <f t="shared" si="52"/>
        <v>46916</v>
      </c>
      <c r="L178" s="143">
        <f>IF(t&lt;Tvie,1-EXP((T0-t)*PertePVj)+'2027'!Pspv,1-EXP((T0-t)*PertePVj)+Pspv)</f>
        <v>3.2240888007871948E-2</v>
      </c>
      <c r="M178" s="836"/>
      <c r="N178" s="836"/>
      <c r="O178" s="48">
        <f>IF(t&lt;Tnet,'2027'!Resal+('2027'!Salim-'2027'!Resal)*(1-EXP(('2027'!Tnet-t)/('2027'!Tau_j))),Resal+(Salim-Resal)*(1-EXP((Tnet-t)/(Tau_j))))*Salcycl</f>
        <v>2.5928025106511664E-2</v>
      </c>
      <c r="P178" s="165">
        <f>(INDEX(Models!$BJ178:$BT178,,T178)*(1-R178)+INDEX(Models!$BJ178:$BT178,,T178+1)*R178-ERP_i)*Q178*Ramure*Pc/MaxiM</f>
        <v>6.3853265427086536E-6</v>
      </c>
      <c r="Q178" s="301">
        <f t="shared" si="53"/>
        <v>0.5</v>
      </c>
      <c r="R178" s="173">
        <f t="shared" si="54"/>
        <v>0.25896905985560226</v>
      </c>
      <c r="S178" s="802">
        <f t="shared" si="55"/>
        <v>3</v>
      </c>
      <c r="T178" s="172">
        <f t="shared" si="56"/>
        <v>9</v>
      </c>
      <c r="U178" s="247">
        <f t="shared" si="57"/>
        <v>3.2589690598556023</v>
      </c>
      <c r="V178" s="378">
        <f t="shared" si="58"/>
        <v>61.506014000748856</v>
      </c>
      <c r="W178" s="397">
        <f t="shared" si="59"/>
        <v>54.433822354466855</v>
      </c>
      <c r="X178" s="153">
        <f t="shared" si="60"/>
        <v>46916</v>
      </c>
      <c r="Y178" s="380">
        <f t="shared" si="61"/>
        <v>52.876906186103596</v>
      </c>
      <c r="Z178" s="380">
        <f t="shared" si="62"/>
        <v>54.638499943706762</v>
      </c>
      <c r="AA178" s="381">
        <f t="shared" si="63"/>
        <v>57.744485225967686</v>
      </c>
      <c r="AB178" s="193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5.3788431399231937E-2</v>
      </c>
      <c r="AD178" s="227">
        <f>(INDEX(Models!$BJ178:$BT178,,AH178)*(1-AF178)+INDEX(Models!$BJ178:$BT178,,AH178+1)*AF178-ERP_i)*AE178*Ramure*Pc/MaxiM</f>
        <v>6.3853265427086536E-6</v>
      </c>
      <c r="AE178" s="301">
        <f t="shared" si="65"/>
        <v>0.5</v>
      </c>
      <c r="AF178" s="173">
        <f t="shared" si="66"/>
        <v>0.25896905985560226</v>
      </c>
      <c r="AG178" s="802">
        <f t="shared" si="74"/>
        <v>3</v>
      </c>
      <c r="AH178" s="172">
        <f t="shared" si="67"/>
        <v>9</v>
      </c>
      <c r="AI178" s="221">
        <f t="shared" si="68"/>
        <v>3.2589690598556023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46917</v>
      </c>
      <c r="B179" s="406">
        <f>'2027'!Wh/'2027'!Env_an*'2028'!Env_an</f>
        <v>55.336252783467906</v>
      </c>
      <c r="C179" s="832"/>
      <c r="D179" s="388">
        <f t="shared" si="50"/>
        <v>57.180562409542205</v>
      </c>
      <c r="E179" s="380">
        <f t="shared" si="75"/>
        <v>58.706591196053644</v>
      </c>
      <c r="F179" s="380">
        <f t="shared" si="51"/>
        <v>58.706902531869666</v>
      </c>
      <c r="G179" s="110">
        <f t="shared" si="76"/>
        <v>0.89970394593407355</v>
      </c>
      <c r="H179" s="409" t="b">
        <f>Wh_hp&gt;='2027'!Maxi_hp</f>
        <v>0</v>
      </c>
      <c r="I179" s="385">
        <f>IF(H179,Wh_hp,'2027'!Maxi_hp)</f>
        <v>58.706951596633296</v>
      </c>
      <c r="J179" s="85">
        <f>IF(H179,An,'2027'!An_max)</f>
        <v>2022</v>
      </c>
      <c r="K179" s="193">
        <f t="shared" si="52"/>
        <v>46917</v>
      </c>
      <c r="L179" s="143">
        <f>IF(t&lt;Tvie,1-EXP((T0-t)*PertePVj)+'2027'!Pspv,1-EXP((T0-t)*PertePVj)+Pspv)</f>
        <v>3.2254135817428087E-2</v>
      </c>
      <c r="M179" s="836"/>
      <c r="N179" s="836"/>
      <c r="O179" s="48">
        <f>IF(t&lt;Tnet,'2027'!Resal+('2027'!Salim-'2027'!Resal)*(1-EXP(('2027'!Tnet-t)/('2027'!Tau_j))),Resal+(Salim-Resal)*(1-EXP((Tnet-t)/(Tau_j))))*Salcycl</f>
        <v>2.5994164461281506E-2</v>
      </c>
      <c r="P179" s="165">
        <f>(INDEX(Models!$BJ179:$BT179,,T179)*(1-R179)+INDEX(Models!$BJ179:$BT179,,T179+1)*R179-ERP_i)*Q179*Ramure*Pc/MaxiM</f>
        <v>6.1901400302166727E-6</v>
      </c>
      <c r="Q179" s="301">
        <f t="shared" si="53"/>
        <v>0.5</v>
      </c>
      <c r="R179" s="173">
        <f t="shared" si="54"/>
        <v>0.26408819927342853</v>
      </c>
      <c r="S179" s="802">
        <f t="shared" si="55"/>
        <v>3</v>
      </c>
      <c r="T179" s="172">
        <f t="shared" si="56"/>
        <v>9</v>
      </c>
      <c r="U179" s="247">
        <f t="shared" si="57"/>
        <v>3.2640881992734285</v>
      </c>
      <c r="V179" s="378">
        <f t="shared" si="58"/>
        <v>61.504902756774761</v>
      </c>
      <c r="W179" s="397">
        <f t="shared" si="59"/>
        <v>55.336252783467906</v>
      </c>
      <c r="X179" s="153">
        <f t="shared" si="60"/>
        <v>46917</v>
      </c>
      <c r="Y179" s="380">
        <f t="shared" si="61"/>
        <v>53.754018214819695</v>
      </c>
      <c r="Z179" s="380">
        <f t="shared" si="62"/>
        <v>55.545593326016665</v>
      </c>
      <c r="AA179" s="381">
        <f t="shared" si="63"/>
        <v>58.706591196053644</v>
      </c>
      <c r="AB179" s="193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5.3844002958384402E-2</v>
      </c>
      <c r="AD179" s="227">
        <f>(INDEX(Models!$BJ179:$BT179,,AH179)*(1-AF179)+INDEX(Models!$BJ179:$BT179,,AH179+1)*AF179-ERP_i)*AE179*Ramure*Pc/MaxiM</f>
        <v>6.1901400302166727E-6</v>
      </c>
      <c r="AE179" s="301">
        <f t="shared" si="65"/>
        <v>0.5</v>
      </c>
      <c r="AF179" s="173">
        <f t="shared" si="66"/>
        <v>0.26408819927342853</v>
      </c>
      <c r="AG179" s="802">
        <f t="shared" si="74"/>
        <v>3</v>
      </c>
      <c r="AH179" s="172">
        <f t="shared" si="67"/>
        <v>9</v>
      </c>
      <c r="AI179" s="221">
        <f t="shared" si="68"/>
        <v>3.2640881992734285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46918</v>
      </c>
      <c r="B180" s="406">
        <f>'2027'!Wh/'2027'!Env_an*'2028'!Env_an</f>
        <v>58.699909365131539</v>
      </c>
      <c r="C180" s="832"/>
      <c r="D180" s="388">
        <f t="shared" si="50"/>
        <v>60.657157112399318</v>
      </c>
      <c r="E180" s="380">
        <f t="shared" si="75"/>
        <v>62.280173818373505</v>
      </c>
      <c r="F180" s="380">
        <f t="shared" si="51"/>
        <v>62.280524476234447</v>
      </c>
      <c r="G180" s="110">
        <f t="shared" si="76"/>
        <v>0.95444193744094985</v>
      </c>
      <c r="H180" s="409" t="b">
        <f>Wh_hp&gt;='2027'!Maxi_hp</f>
        <v>0</v>
      </c>
      <c r="I180" s="385">
        <f>IF(H180,Wh_hp,'2027'!Maxi_hp)</f>
        <v>62.280547455261207</v>
      </c>
      <c r="J180" s="85">
        <f>IF(H180,An,'2027'!An_max)</f>
        <v>2022</v>
      </c>
      <c r="K180" s="193">
        <f t="shared" si="52"/>
        <v>46918</v>
      </c>
      <c r="L180" s="143">
        <f>IF(t&lt;Tvie,1-EXP((T0-t)*PertePVj)+'2027'!Pspv,1-EXP((T0-t)*PertePVj)+Pspv)</f>
        <v>3.2267383445632736E-2</v>
      </c>
      <c r="M180" s="836"/>
      <c r="N180" s="836"/>
      <c r="O180" s="48">
        <f>IF(t&lt;Tnet,'2027'!Resal+('2027'!Salim-'2027'!Resal)*(1-EXP(('2027'!Tnet-t)/('2027'!Tau_j))),Resal+(Salim-Resal)*(1-EXP((Tnet-t)/(Tau_j))))*Salcycl</f>
        <v>2.6059925759156673E-2</v>
      </c>
      <c r="P180" s="165">
        <f>(INDEX(Models!$BJ180:$BT180,,T180)*(1-R180)+INDEX(Models!$BJ180:$BT180,,T180+1)*R180-ERP_i)*Q180*Ramure*Pc/MaxiM</f>
        <v>6.0222390152248681E-6</v>
      </c>
      <c r="Q180" s="301">
        <f t="shared" si="53"/>
        <v>0.5</v>
      </c>
      <c r="R180" s="173">
        <f t="shared" si="54"/>
        <v>0.26919011782056845</v>
      </c>
      <c r="S180" s="802">
        <f t="shared" si="55"/>
        <v>3</v>
      </c>
      <c r="T180" s="172">
        <f t="shared" si="56"/>
        <v>9</v>
      </c>
      <c r="U180" s="247">
        <f t="shared" si="57"/>
        <v>3.2691901178205685</v>
      </c>
      <c r="V180" s="378">
        <f t="shared" si="58"/>
        <v>61.501788694907511</v>
      </c>
      <c r="W180" s="397">
        <f t="shared" si="59"/>
        <v>58.699909365131539</v>
      </c>
      <c r="X180" s="153">
        <f t="shared" si="60"/>
        <v>46918</v>
      </c>
      <c r="Y180" s="380">
        <f t="shared" si="61"/>
        <v>57.022046149704195</v>
      </c>
      <c r="Z180" s="380">
        <f t="shared" si="62"/>
        <v>58.923348427308788</v>
      </c>
      <c r="AA180" s="381">
        <f t="shared" si="63"/>
        <v>62.280173818373505</v>
      </c>
      <c r="AB180" s="193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5.3898780065292695E-2</v>
      </c>
      <c r="AD180" s="227">
        <f>(INDEX(Models!$BJ180:$BT180,,AH180)*(1-AF180)+INDEX(Models!$BJ180:$BT180,,AH180+1)*AF180-ERP_i)*AE180*Ramure*Pc/MaxiM</f>
        <v>6.0222390152248681E-6</v>
      </c>
      <c r="AE180" s="301">
        <f t="shared" si="65"/>
        <v>0.5</v>
      </c>
      <c r="AF180" s="173">
        <f t="shared" si="66"/>
        <v>0.26919011782056845</v>
      </c>
      <c r="AG180" s="802">
        <f t="shared" si="74"/>
        <v>3</v>
      </c>
      <c r="AH180" s="172">
        <f t="shared" si="67"/>
        <v>9</v>
      </c>
      <c r="AI180" s="221">
        <f t="shared" si="68"/>
        <v>3.2691901178205685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46919</v>
      </c>
      <c r="B181" s="406">
        <f>'2027'!Wh/'2027'!Env_an*'2028'!Env_an</f>
        <v>55.624352506271691</v>
      </c>
      <c r="C181" s="832"/>
      <c r="D181" s="388">
        <f t="shared" si="50"/>
        <v>57.479837938525286</v>
      </c>
      <c r="E181" s="380">
        <f t="shared" si="75"/>
        <v>59.021799926794003</v>
      </c>
      <c r="F181" s="380">
        <f t="shared" si="51"/>
        <v>59.022099755308453</v>
      </c>
      <c r="G181" s="110">
        <f t="shared" si="76"/>
        <v>0.90451679084825265</v>
      </c>
      <c r="H181" s="409" t="b">
        <f>Wh_hp&gt;='2027'!Maxi_hp</f>
        <v>0</v>
      </c>
      <c r="I181" s="385">
        <f>IF(H181,Wh_hp,'2027'!Maxi_hp)</f>
        <v>59.022144290710564</v>
      </c>
      <c r="J181" s="85">
        <f>IF(H181,An,'2027'!An_max)</f>
        <v>2022</v>
      </c>
      <c r="K181" s="193">
        <f t="shared" si="52"/>
        <v>46919</v>
      </c>
      <c r="L181" s="143">
        <f>IF(t&lt;Tvie,1-EXP((T0-t)*PertePVj)+'2027'!Pspv,1-EXP((T0-t)*PertePVj)+Pspv)</f>
        <v>3.228063089248856E-2</v>
      </c>
      <c r="M181" s="836"/>
      <c r="N181" s="836"/>
      <c r="O181" s="48">
        <f>IF(t&lt;Tnet,'2027'!Resal+('2027'!Salim-'2027'!Resal)*(1-EXP(('2027'!Tnet-t)/('2027'!Tau_j))),Resal+(Salim-Resal)*(1-EXP((Tnet-t)/(Tau_j))))*Salcycl</f>
        <v>2.6125295910684587E-2</v>
      </c>
      <c r="P181" s="165">
        <f>(INDEX(Models!$BJ181:$BT181,,T181)*(1-R181)+INDEX(Models!$BJ181:$BT181,,T181+1)*R181-ERP_i)*Q181*Ramure*Pc/MaxiM</f>
        <v>5.8823034901224422E-6</v>
      </c>
      <c r="Q181" s="301">
        <f t="shared" si="53"/>
        <v>0.5</v>
      </c>
      <c r="R181" s="173">
        <f t="shared" si="54"/>
        <v>0.27427061869084035</v>
      </c>
      <c r="S181" s="802">
        <f t="shared" si="55"/>
        <v>3</v>
      </c>
      <c r="T181" s="172">
        <f t="shared" si="56"/>
        <v>9</v>
      </c>
      <c r="U181" s="247">
        <f t="shared" si="57"/>
        <v>3.2742706186908404</v>
      </c>
      <c r="V181" s="378">
        <f t="shared" si="58"/>
        <v>61.496158432539708</v>
      </c>
      <c r="W181" s="397">
        <f t="shared" si="59"/>
        <v>55.624352506271691</v>
      </c>
      <c r="X181" s="153">
        <f t="shared" si="60"/>
        <v>46919</v>
      </c>
      <c r="Y181" s="380">
        <f t="shared" si="61"/>
        <v>54.034945248608004</v>
      </c>
      <c r="Z181" s="380">
        <f t="shared" si="62"/>
        <v>55.837412139887469</v>
      </c>
      <c r="AA181" s="381">
        <f t="shared" si="63"/>
        <v>59.021799926794003</v>
      </c>
      <c r="AB181" s="193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5.3952739341331546E-2</v>
      </c>
      <c r="AD181" s="227">
        <f>(INDEX(Models!$BJ181:$BT181,,AH181)*(1-AF181)+INDEX(Models!$BJ181:$BT181,,AH181+1)*AF181-ERP_i)*AE181*Ramure*Pc/MaxiM</f>
        <v>5.8823034901224422E-6</v>
      </c>
      <c r="AE181" s="301">
        <f t="shared" si="65"/>
        <v>0.5</v>
      </c>
      <c r="AF181" s="173">
        <f t="shared" si="66"/>
        <v>0.27427061869084035</v>
      </c>
      <c r="AG181" s="802">
        <f t="shared" si="74"/>
        <v>3</v>
      </c>
      <c r="AH181" s="172">
        <f t="shared" si="67"/>
        <v>9</v>
      </c>
      <c r="AI181" s="221">
        <f t="shared" si="68"/>
        <v>3.2742706186908404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46920</v>
      </c>
      <c r="B182" s="406">
        <f>'2027'!Wh/'2027'!Env_an*'2028'!Env_an</f>
        <v>55.787593928090402</v>
      </c>
      <c r="C182" s="832"/>
      <c r="D182" s="388">
        <f t="shared" si="50"/>
        <v>57.649313845302792</v>
      </c>
      <c r="E182" s="380">
        <f t="shared" si="75"/>
        <v>59.199771425944405</v>
      </c>
      <c r="F182" s="380">
        <f t="shared" si="51"/>
        <v>59.20006782599075</v>
      </c>
      <c r="G182" s="110">
        <f t="shared" si="76"/>
        <v>0.90729908509427859</v>
      </c>
      <c r="H182" s="409" t="b">
        <f>Wh_hp&gt;='2027'!Maxi_hp</f>
        <v>0</v>
      </c>
      <c r="I182" s="385">
        <f>IF(H182,Wh_hp,'2027'!Maxi_hp)</f>
        <v>59.20011033031976</v>
      </c>
      <c r="J182" s="85">
        <f>IF(H182,An,'2027'!An_max)</f>
        <v>2022</v>
      </c>
      <c r="K182" s="193">
        <f t="shared" si="52"/>
        <v>46920</v>
      </c>
      <c r="L182" s="143">
        <f>IF(t&lt;Tvie,1-EXP((T0-t)*PertePVj)+'2027'!Pspv,1-EXP((T0-t)*PertePVj)+Pspv)</f>
        <v>3.2293878157997891E-2</v>
      </c>
      <c r="M182" s="836"/>
      <c r="N182" s="836"/>
      <c r="O182" s="48">
        <f>IF(t&lt;Tnet,'2027'!Resal+('2027'!Salim-'2027'!Resal)*(1-EXP(('2027'!Tnet-t)/('2027'!Tau_j))),Resal+(Salim-Resal)*(1-EXP((Tnet-t)/(Tau_j))))*Salcycl</f>
        <v>2.6190262957031012E-2</v>
      </c>
      <c r="P182" s="165">
        <f>(INDEX(Models!$BJ182:$BT182,,T182)*(1-R182)+INDEX(Models!$BJ182:$BT182,,T182+1)*R182-ERP_i)*Q182*Ramure*Pc/MaxiM</f>
        <v>5.7709987496150839E-6</v>
      </c>
      <c r="Q182" s="301">
        <f t="shared" si="53"/>
        <v>0.5</v>
      </c>
      <c r="R182" s="173">
        <f t="shared" si="54"/>
        <v>0.27932557622050025</v>
      </c>
      <c r="S182" s="802">
        <f t="shared" si="55"/>
        <v>3</v>
      </c>
      <c r="T182" s="172">
        <f t="shared" si="56"/>
        <v>9</v>
      </c>
      <c r="U182" s="247">
        <f t="shared" si="57"/>
        <v>3.2793255762205002</v>
      </c>
      <c r="V182" s="378">
        <f t="shared" si="58"/>
        <v>61.487498674796612</v>
      </c>
      <c r="W182" s="397">
        <f t="shared" si="59"/>
        <v>55.787593928090402</v>
      </c>
      <c r="X182" s="153">
        <f t="shared" si="60"/>
        <v>46920</v>
      </c>
      <c r="Y182" s="380">
        <f t="shared" si="61"/>
        <v>54.194094534759323</v>
      </c>
      <c r="Z182" s="380">
        <f t="shared" si="62"/>
        <v>56.002636866244423</v>
      </c>
      <c r="AA182" s="381">
        <f t="shared" si="63"/>
        <v>59.199771425944405</v>
      </c>
      <c r="AB182" s="193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5.4005859865513393E-2</v>
      </c>
      <c r="AD182" s="227">
        <f>(INDEX(Models!$BJ182:$BT182,,AH182)*(1-AF182)+INDEX(Models!$BJ182:$BT182,,AH182+1)*AF182-ERP_i)*AE182*Ramure*Pc/MaxiM</f>
        <v>5.7709987496150839E-6</v>
      </c>
      <c r="AE182" s="301">
        <f t="shared" si="65"/>
        <v>0.5</v>
      </c>
      <c r="AF182" s="173">
        <f t="shared" si="66"/>
        <v>0.27932557622050025</v>
      </c>
      <c r="AG182" s="802">
        <f t="shared" si="74"/>
        <v>3</v>
      </c>
      <c r="AH182" s="172">
        <f t="shared" si="67"/>
        <v>9</v>
      </c>
      <c r="AI182" s="221">
        <f t="shared" si="68"/>
        <v>3.2793255762205002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46921</v>
      </c>
      <c r="B183" s="406">
        <f>'2027'!Wh/'2027'!Env_an*'2028'!Env_an</f>
        <v>59.402530724145976</v>
      </c>
      <c r="C183" s="832"/>
      <c r="D183" s="388">
        <f t="shared" si="50"/>
        <v>61.385727097568378</v>
      </c>
      <c r="E183" s="380">
        <f t="shared" si="75"/>
        <v>63.040853103259451</v>
      </c>
      <c r="F183" s="380">
        <f t="shared" si="51"/>
        <v>63.041194468439237</v>
      </c>
      <c r="G183" s="110">
        <f t="shared" si="76"/>
        <v>0.96628268761585645</v>
      </c>
      <c r="H183" s="409" t="b">
        <f>Wh_hp&gt;='2027'!Maxi_hp</f>
        <v>0</v>
      </c>
      <c r="I183" s="385">
        <f>IF(H183,Wh_hp,'2027'!Maxi_hp)</f>
        <v>63.041210680811361</v>
      </c>
      <c r="J183" s="85">
        <f>IF(H183,An,'2027'!An_max)</f>
        <v>2022</v>
      </c>
      <c r="K183" s="193">
        <f t="shared" si="52"/>
        <v>46921</v>
      </c>
      <c r="L183" s="143">
        <f>IF(t&lt;Tvie,1-EXP((T0-t)*PertePVj)+'2027'!Pspv,1-EXP((T0-t)*PertePVj)+Pspv)</f>
        <v>3.2307125242163393E-2</v>
      </c>
      <c r="M183" s="836"/>
      <c r="N183" s="836"/>
      <c r="O183" s="48">
        <f>IF(t&lt;Tnet,'2027'!Resal+('2027'!Salim-'2027'!Resal)*(1-EXP(('2027'!Tnet-t)/('2027'!Tau_j))),Resal+(Salim-Resal)*(1-EXP((Tnet-t)/(Tau_j))))*Salcycl</f>
        <v>2.6254816110753074E-2</v>
      </c>
      <c r="P183" s="165">
        <f>(INDEX(Models!$BJ183:$BT183,,T183)*(1-R183)+INDEX(Models!$BJ183:$BT183,,T183+1)*R183-ERP_i)*Q183*Ramure*Pc/MaxiM</f>
        <v>5.6889763058264467E-6</v>
      </c>
      <c r="Q183" s="301">
        <f t="shared" si="53"/>
        <v>0.5</v>
      </c>
      <c r="R183" s="173">
        <f t="shared" si="54"/>
        <v>0.28435094900277225</v>
      </c>
      <c r="S183" s="802">
        <f t="shared" si="55"/>
        <v>3</v>
      </c>
      <c r="T183" s="172">
        <f t="shared" si="56"/>
        <v>9</v>
      </c>
      <c r="U183" s="247">
        <f t="shared" si="57"/>
        <v>3.2843509490027722</v>
      </c>
      <c r="V183" s="378">
        <f t="shared" si="58"/>
        <v>61.475296212763865</v>
      </c>
      <c r="W183" s="397">
        <f t="shared" si="59"/>
        <v>59.402530724145976</v>
      </c>
      <c r="X183" s="153">
        <f t="shared" si="60"/>
        <v>46921</v>
      </c>
      <c r="Y183" s="380">
        <f t="shared" si="61"/>
        <v>57.70641265006148</v>
      </c>
      <c r="Z183" s="380">
        <f t="shared" si="62"/>
        <v>59.63298289708127</v>
      </c>
      <c r="AA183" s="381">
        <f t="shared" si="63"/>
        <v>63.040853103259451</v>
      </c>
      <c r="AB183" s="193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5.4058123239483509E-2</v>
      </c>
      <c r="AD183" s="227">
        <f>(INDEX(Models!$BJ183:$BT183,,AH183)*(1-AF183)+INDEX(Models!$BJ183:$BT183,,AH183+1)*AF183-ERP_i)*AE183*Ramure*Pc/MaxiM</f>
        <v>5.6889763058264467E-6</v>
      </c>
      <c r="AE183" s="301">
        <f t="shared" si="65"/>
        <v>0.5</v>
      </c>
      <c r="AF183" s="173">
        <f t="shared" si="66"/>
        <v>0.28435094900277225</v>
      </c>
      <c r="AG183" s="802">
        <f t="shared" si="74"/>
        <v>3</v>
      </c>
      <c r="AH183" s="172">
        <f t="shared" si="67"/>
        <v>9</v>
      </c>
      <c r="AI183" s="221">
        <f t="shared" si="68"/>
        <v>3.2843509490027722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46922</v>
      </c>
      <c r="B184" s="406">
        <f>'2027'!Wh/'2027'!Env_an*'2028'!Env_an</f>
        <v>59.878380711277785</v>
      </c>
      <c r="C184" s="832"/>
      <c r="D184" s="388">
        <f t="shared" si="50"/>
        <v>61.878310742167812</v>
      </c>
      <c r="E184" s="380">
        <f t="shared" si="75"/>
        <v>63.550903527009105</v>
      </c>
      <c r="F184" s="380">
        <f t="shared" si="51"/>
        <v>63.551249261781173</v>
      </c>
      <c r="G184" s="110">
        <f t="shared" si="76"/>
        <v>0.97428093513552227</v>
      </c>
      <c r="H184" s="409" t="b">
        <f>Wh_hp&gt;='2027'!Maxi_hp</f>
        <v>0</v>
      </c>
      <c r="I184" s="385">
        <f>IF(H184,Wh_hp,'2027'!Maxi_hp)</f>
        <v>63.551261625570454</v>
      </c>
      <c r="J184" s="85">
        <f>IF(H184,An,'2027'!An_max)</f>
        <v>2022</v>
      </c>
      <c r="K184" s="193">
        <f t="shared" si="52"/>
        <v>46922</v>
      </c>
      <c r="L184" s="143">
        <f>IF(t&lt;Tvie,1-EXP((T0-t)*PertePVj)+'2027'!Pspv,1-EXP((T0-t)*PertePVj)+Pspv)</f>
        <v>3.2320372144987286E-2</v>
      </c>
      <c r="M184" s="836"/>
      <c r="N184" s="836"/>
      <c r="O184" s="48">
        <f>IF(t&lt;Tnet,'2027'!Resal+('2027'!Salim-'2027'!Resal)*(1-EXP(('2027'!Tnet-t)/('2027'!Tau_j))),Resal+(Salim-Resal)*(1-EXP((Tnet-t)/(Tau_j))))*Salcycl</f>
        <v>2.6318945790132553E-2</v>
      </c>
      <c r="P184" s="165">
        <f>(INDEX(Models!$BJ184:$BT184,,T184)*(1-R184)+INDEX(Models!$BJ184:$BT184,,T184+1)*R184-ERP_i)*Q184*Ramure*Pc/MaxiM</f>
        <v>5.6477569392424794E-6</v>
      </c>
      <c r="Q184" s="301">
        <f t="shared" si="53"/>
        <v>0.5</v>
      </c>
      <c r="R184" s="173">
        <f t="shared" si="54"/>
        <v>0.28934279241718475</v>
      </c>
      <c r="S184" s="802">
        <f t="shared" si="55"/>
        <v>3</v>
      </c>
      <c r="T184" s="172">
        <f t="shared" si="56"/>
        <v>9</v>
      </c>
      <c r="U184" s="247">
        <f t="shared" si="57"/>
        <v>3.2893427924171847</v>
      </c>
      <c r="V184" s="378">
        <f t="shared" si="58"/>
        <v>61.459037251698639</v>
      </c>
      <c r="W184" s="397">
        <f t="shared" si="59"/>
        <v>59.878380711277785</v>
      </c>
      <c r="X184" s="153">
        <f t="shared" si="60"/>
        <v>46922</v>
      </c>
      <c r="Y184" s="380">
        <f t="shared" si="61"/>
        <v>58.169346531522031</v>
      </c>
      <c r="Z184" s="380">
        <f t="shared" si="62"/>
        <v>60.112195045856161</v>
      </c>
      <c r="AA184" s="381">
        <f t="shared" si="63"/>
        <v>63.550903527009105</v>
      </c>
      <c r="AB184" s="193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5.4109513638802856E-2</v>
      </c>
      <c r="AD184" s="227">
        <f>(INDEX(Models!$BJ184:$BT184,,AH184)*(1-AF184)+INDEX(Models!$BJ184:$BT184,,AH184+1)*AF184-ERP_i)*AE184*Ramure*Pc/MaxiM</f>
        <v>5.6477569392424794E-6</v>
      </c>
      <c r="AE184" s="301">
        <f t="shared" si="65"/>
        <v>0.5</v>
      </c>
      <c r="AF184" s="173">
        <f t="shared" si="66"/>
        <v>0.28934279241718475</v>
      </c>
      <c r="AG184" s="802">
        <f t="shared" si="74"/>
        <v>3</v>
      </c>
      <c r="AH184" s="172">
        <f t="shared" si="67"/>
        <v>9</v>
      </c>
      <c r="AI184" s="221">
        <f t="shared" si="68"/>
        <v>3.2893427924171847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46923</v>
      </c>
      <c r="B185" s="406">
        <f>'2027'!Wh/'2027'!Env_an*'2028'!Env_an</f>
        <v>32.378072684751466</v>
      </c>
      <c r="C185" s="832"/>
      <c r="D185" s="388">
        <f t="shared" si="50"/>
        <v>33.459954087506567</v>
      </c>
      <c r="E185" s="380">
        <f t="shared" si="75"/>
        <v>34.366636820069601</v>
      </c>
      <c r="F185" s="380">
        <f t="shared" si="51"/>
        <v>34.36669953333417</v>
      </c>
      <c r="G185" s="110">
        <f t="shared" si="76"/>
        <v>0.52700020985721485</v>
      </c>
      <c r="H185" s="409" t="b">
        <f>Wh_hp&gt;='2027'!Maxi_hp</f>
        <v>0</v>
      </c>
      <c r="I185" s="385">
        <f>IF(H185,Wh_hp,'2027'!Maxi_hp)</f>
        <v>34.366821926226663</v>
      </c>
      <c r="J185" s="85">
        <f>IF(H185,An,'2027'!An_max)</f>
        <v>2022</v>
      </c>
      <c r="K185" s="193">
        <f t="shared" si="52"/>
        <v>46923</v>
      </c>
      <c r="L185" s="143">
        <f>IF(t&lt;Tvie,1-EXP((T0-t)*PertePVj)+'2027'!Pspv,1-EXP((T0-t)*PertePVj)+Pspv)</f>
        <v>3.2333618866472347E-2</v>
      </c>
      <c r="M185" s="836"/>
      <c r="N185" s="836"/>
      <c r="O185" s="48">
        <f>IF(t&lt;Tnet,'2027'!Resal+('2027'!Salim-'2027'!Resal)*(1-EXP(('2027'!Tnet-t)/('2027'!Tau_j))),Resal+(Salim-Resal)*(1-EXP((Tnet-t)/(Tau_j))))*Salcycl</f>
        <v>2.6382643646804066E-2</v>
      </c>
      <c r="P185" s="165">
        <f>(INDEX(Models!$BJ185:$BT185,,T185)*(1-R185)+INDEX(Models!$BJ185:$BT185,,T185+1)*R185-ERP_i)*Q185*Ramure*Pc/MaxiM</f>
        <v>5.6271634548898918E-6</v>
      </c>
      <c r="Q185" s="301">
        <f t="shared" si="53"/>
        <v>0.5</v>
      </c>
      <c r="R185" s="173">
        <f t="shared" si="54"/>
        <v>0.29429727049426679</v>
      </c>
      <c r="S185" s="802">
        <f t="shared" si="55"/>
        <v>3</v>
      </c>
      <c r="T185" s="172">
        <f t="shared" si="56"/>
        <v>9</v>
      </c>
      <c r="U185" s="247">
        <f t="shared" si="57"/>
        <v>3.2942972704942668</v>
      </c>
      <c r="V185" s="378">
        <f t="shared" si="58"/>
        <v>61.438210016951402</v>
      </c>
      <c r="W185" s="397">
        <f t="shared" si="59"/>
        <v>32.378072684751466</v>
      </c>
      <c r="X185" s="153">
        <f t="shared" si="60"/>
        <v>46923</v>
      </c>
      <c r="Y185" s="380">
        <f t="shared" si="61"/>
        <v>31.454323909036109</v>
      </c>
      <c r="Z185" s="380">
        <f t="shared" si="62"/>
        <v>32.505339156446055</v>
      </c>
      <c r="AA185" s="381">
        <f t="shared" si="63"/>
        <v>34.366636820069601</v>
      </c>
      <c r="AB185" s="193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5.4160017850119577E-2</v>
      </c>
      <c r="AD185" s="227">
        <f>(INDEX(Models!$BJ185:$BT185,,AH185)*(1-AF185)+INDEX(Models!$BJ185:$BT185,,AH185+1)*AF185-ERP_i)*AE185*Ramure*Pc/MaxiM</f>
        <v>5.6271634548898918E-6</v>
      </c>
      <c r="AE185" s="301">
        <f t="shared" si="65"/>
        <v>0.5</v>
      </c>
      <c r="AF185" s="173">
        <f t="shared" si="66"/>
        <v>0.29429727049426679</v>
      </c>
      <c r="AG185" s="802">
        <f t="shared" si="74"/>
        <v>3</v>
      </c>
      <c r="AH185" s="172">
        <f t="shared" si="67"/>
        <v>9</v>
      </c>
      <c r="AI185" s="221">
        <f t="shared" si="68"/>
        <v>3.2942972704942668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46924</v>
      </c>
      <c r="B186" s="406">
        <f>'2027'!Wh/'2027'!Env_an*'2028'!Env_an</f>
        <v>21.78812194699616</v>
      </c>
      <c r="C186" s="832"/>
      <c r="D186" s="388">
        <f t="shared" si="50"/>
        <v>22.51645880954214</v>
      </c>
      <c r="E186" s="380">
        <f t="shared" si="75"/>
        <v>23.128102351335311</v>
      </c>
      <c r="F186" s="380">
        <f t="shared" si="51"/>
        <v>23.128112537834376</v>
      </c>
      <c r="G186" s="110">
        <f t="shared" si="76"/>
        <v>0.35478248463260559</v>
      </c>
      <c r="H186" s="409" t="b">
        <f>Wh_hp&gt;='2027'!Maxi_hp</f>
        <v>0</v>
      </c>
      <c r="I186" s="385">
        <f>IF(H186,Wh_hp,'2027'!Maxi_hp)</f>
        <v>23.128224796765007</v>
      </c>
      <c r="J186" s="85">
        <f>IF(H186,An,'2027'!An_max)</f>
        <v>2022</v>
      </c>
      <c r="K186" s="193">
        <f t="shared" si="52"/>
        <v>46924</v>
      </c>
      <c r="L186" s="143">
        <f>IF(t&lt;Tvie,1-EXP((T0-t)*PertePVj)+'2027'!Pspv,1-EXP((T0-t)*PertePVj)+Pspv)</f>
        <v>3.2346865406620795E-2</v>
      </c>
      <c r="M186" s="836"/>
      <c r="N186" s="836"/>
      <c r="O186" s="48">
        <f>IF(t&lt;Tnet,'2027'!Resal+('2027'!Salim-'2027'!Resal)*(1-EXP(('2027'!Tnet-t)/('2027'!Tau_j))),Resal+(Salim-Resal)*(1-EXP((Tnet-t)/(Tau_j))))*Salcycl</f>
        <v>2.6445902586463482E-2</v>
      </c>
      <c r="P186" s="165">
        <f>(INDEX(Models!$BJ186:$BT186,,T186)*(1-R186)+INDEX(Models!$BJ186:$BT186,,T186+1)*R186-ERP_i)*Q186*Ramure*Pc/MaxiM</f>
        <v>5.627642268317632E-6</v>
      </c>
      <c r="Q186" s="301">
        <f t="shared" si="53"/>
        <v>0.5</v>
      </c>
      <c r="R186" s="173">
        <f t="shared" si="54"/>
        <v>0.29921066704389343</v>
      </c>
      <c r="S186" s="802">
        <f t="shared" si="55"/>
        <v>3</v>
      </c>
      <c r="T186" s="172">
        <f t="shared" si="56"/>
        <v>9</v>
      </c>
      <c r="U186" s="247">
        <f t="shared" si="57"/>
        <v>3.2992106670438934</v>
      </c>
      <c r="V186" s="378">
        <f t="shared" si="58"/>
        <v>61.412301540390935</v>
      </c>
      <c r="W186" s="397">
        <f t="shared" si="59"/>
        <v>21.78812194699616</v>
      </c>
      <c r="X186" s="153">
        <f t="shared" si="60"/>
        <v>46924</v>
      </c>
      <c r="Y186" s="380">
        <f t="shared" si="61"/>
        <v>21.166770367602538</v>
      </c>
      <c r="Z186" s="380">
        <f t="shared" si="62"/>
        <v>21.874336589109586</v>
      </c>
      <c r="AA186" s="381">
        <f t="shared" si="63"/>
        <v>23.128102351335311</v>
      </c>
      <c r="AB186" s="193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5.4209625293937559E-2</v>
      </c>
      <c r="AD186" s="227">
        <f>(INDEX(Models!$BJ186:$BT186,,AH186)*(1-AF186)+INDEX(Models!$BJ186:$BT186,,AH186+1)*AF186-ERP_i)*AE186*Ramure*Pc/MaxiM</f>
        <v>5.627642268317632E-6</v>
      </c>
      <c r="AE186" s="301">
        <f t="shared" si="65"/>
        <v>0.5</v>
      </c>
      <c r="AF186" s="173">
        <f t="shared" si="66"/>
        <v>0.29921066704389343</v>
      </c>
      <c r="AG186" s="802">
        <f t="shared" si="74"/>
        <v>3</v>
      </c>
      <c r="AH186" s="172">
        <f t="shared" si="67"/>
        <v>9</v>
      </c>
      <c r="AI186" s="221">
        <f t="shared" si="68"/>
        <v>3.2992106670438934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46925</v>
      </c>
      <c r="B187" s="406">
        <f>'2027'!Wh/'2027'!Env_an*'2028'!Env_an</f>
        <v>45.199758140910689</v>
      </c>
      <c r="C187" s="832"/>
      <c r="D187" s="388">
        <f t="shared" si="50"/>
        <v>46.711342401744666</v>
      </c>
      <c r="E187" s="380">
        <f t="shared" si="75"/>
        <v>47.983318604926872</v>
      </c>
      <c r="F187" s="380">
        <f t="shared" si="51"/>
        <v>47.983487602987807</v>
      </c>
      <c r="G187" s="110">
        <f t="shared" si="76"/>
        <v>0.73638112837715375</v>
      </c>
      <c r="H187" s="409" t="b">
        <f>Wh_hp&gt;='2027'!Maxi_hp</f>
        <v>0</v>
      </c>
      <c r="I187" s="385">
        <f>IF(H187,Wh_hp,'2027'!Maxi_hp)</f>
        <v>47.983583041866694</v>
      </c>
      <c r="J187" s="85">
        <f>IF(H187,An,'2027'!An_max)</f>
        <v>2022</v>
      </c>
      <c r="K187" s="193">
        <f t="shared" si="52"/>
        <v>46925</v>
      </c>
      <c r="L187" s="143">
        <f>IF(t&lt;Tvie,1-EXP((T0-t)*PertePVj)+'2027'!Pspv,1-EXP((T0-t)*PertePVj)+Pspv)</f>
        <v>3.2360111765435295E-2</v>
      </c>
      <c r="M187" s="836"/>
      <c r="N187" s="836"/>
      <c r="O187" s="48">
        <f>IF(t&lt;Tnet,'2027'!Resal+('2027'!Salim-'2027'!Resal)*(1-EXP(('2027'!Tnet-t)/('2027'!Tau_j))),Resal+(Salim-Resal)*(1-EXP((Tnet-t)/(Tau_j))))*Salcycl</f>
        <v>2.6508716782494546E-2</v>
      </c>
      <c r="P187" s="165">
        <f>(INDEX(Models!$BJ187:$BT187,,T187)*(1-R187)+INDEX(Models!$BJ187:$BT187,,T187+1)*R187-ERP_i)*Q187*Ramure*Pc/MaxiM</f>
        <v>5.6496355192581204E-6</v>
      </c>
      <c r="Q187" s="301">
        <f t="shared" si="53"/>
        <v>0.5</v>
      </c>
      <c r="R187" s="173">
        <f t="shared" si="54"/>
        <v>0.30407939598398137</v>
      </c>
      <c r="S187" s="802">
        <f t="shared" si="55"/>
        <v>3</v>
      </c>
      <c r="T187" s="172">
        <f t="shared" si="56"/>
        <v>9</v>
      </c>
      <c r="U187" s="247">
        <f t="shared" si="57"/>
        <v>3.3040793959839814</v>
      </c>
      <c r="V187" s="378">
        <f t="shared" si="58"/>
        <v>61.38079892375525</v>
      </c>
      <c r="W187" s="397">
        <f t="shared" si="59"/>
        <v>45.199758140910689</v>
      </c>
      <c r="X187" s="153">
        <f t="shared" si="60"/>
        <v>46925</v>
      </c>
      <c r="Y187" s="380">
        <f t="shared" si="61"/>
        <v>43.911327788588906</v>
      </c>
      <c r="Z187" s="380">
        <f t="shared" si="62"/>
        <v>45.37982396395838</v>
      </c>
      <c r="AA187" s="381">
        <f t="shared" si="63"/>
        <v>47.983318604926872</v>
      </c>
      <c r="AB187" s="193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5.425832803280032E-2</v>
      </c>
      <c r="AD187" s="227">
        <f>(INDEX(Models!$BJ187:$BT187,,AH187)*(1-AF187)+INDEX(Models!$BJ187:$BT187,,AH187+1)*AF187-ERP_i)*AE187*Ramure*Pc/MaxiM</f>
        <v>5.6496355192581204E-6</v>
      </c>
      <c r="AE187" s="301">
        <f t="shared" si="65"/>
        <v>0.5</v>
      </c>
      <c r="AF187" s="173">
        <f t="shared" si="66"/>
        <v>0.30407939598398137</v>
      </c>
      <c r="AG187" s="802">
        <f t="shared" si="74"/>
        <v>3</v>
      </c>
      <c r="AH187" s="172">
        <f t="shared" si="67"/>
        <v>9</v>
      </c>
      <c r="AI187" s="221">
        <f t="shared" si="68"/>
        <v>3.3040793959839814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46926</v>
      </c>
      <c r="B188" s="406">
        <f>'2027'!Wh/'2027'!Env_an*'2028'!Env_an</f>
        <v>44.692787362968083</v>
      </c>
      <c r="C188" s="832"/>
      <c r="D188" s="388">
        <f t="shared" si="50"/>
        <v>46.188049626202407</v>
      </c>
      <c r="E188" s="380">
        <f t="shared" si="75"/>
        <v>47.448815991650008</v>
      </c>
      <c r="F188" s="380">
        <f t="shared" si="51"/>
        <v>47.448981390392923</v>
      </c>
      <c r="G188" s="110">
        <f t="shared" si="76"/>
        <v>0.72856806401291851</v>
      </c>
      <c r="H188" s="409" t="b">
        <f>Wh_hp&gt;='2027'!Maxi_hp</f>
        <v>0</v>
      </c>
      <c r="I188" s="385">
        <f>IF(H188,Wh_hp,'2027'!Maxi_hp)</f>
        <v>47.44907922821023</v>
      </c>
      <c r="J188" s="85">
        <f>IF(H188,An,'2027'!An_max)</f>
        <v>2022</v>
      </c>
      <c r="K188" s="193">
        <f t="shared" si="52"/>
        <v>46926</v>
      </c>
      <c r="L188" s="143">
        <f>IF(t&lt;Tvie,1-EXP((T0-t)*PertePVj)+'2027'!Pspv,1-EXP((T0-t)*PertePVj)+Pspv)</f>
        <v>3.237335794291829E-2</v>
      </c>
      <c r="M188" s="836"/>
      <c r="N188" s="836"/>
      <c r="O188" s="48">
        <f>IF(t&lt;Tnet,'2027'!Resal+('2027'!Salim-'2027'!Resal)*(1-EXP(('2027'!Tnet-t)/('2027'!Tau_j))),Resal+(Salim-Resal)*(1-EXP((Tnet-t)/(Tau_j))))*Salcycl</f>
        <v>2.6571081682406416E-2</v>
      </c>
      <c r="P188" s="165">
        <f>(INDEX(Models!$BJ188:$BT188,,T188)*(1-R188)+INDEX(Models!$BJ188:$BT188,,T188+1)*R188-ERP_i)*Q188*Ramure*Pc/MaxiM</f>
        <v>5.6935339627914116E-6</v>
      </c>
      <c r="Q188" s="301">
        <f t="shared" si="53"/>
        <v>0.5</v>
      </c>
      <c r="R188" s="173">
        <f t="shared" si="54"/>
        <v>0.30890001081520291</v>
      </c>
      <c r="S188" s="802">
        <f t="shared" si="55"/>
        <v>3</v>
      </c>
      <c r="T188" s="172">
        <f t="shared" si="56"/>
        <v>9</v>
      </c>
      <c r="U188" s="247">
        <f t="shared" si="57"/>
        <v>3.3089000108152029</v>
      </c>
      <c r="V188" s="378">
        <f t="shared" si="58"/>
        <v>61.343189334562666</v>
      </c>
      <c r="W188" s="397">
        <f t="shared" si="59"/>
        <v>44.692787362968083</v>
      </c>
      <c r="X188" s="153">
        <f t="shared" si="60"/>
        <v>46926</v>
      </c>
      <c r="Y188" s="380">
        <f t="shared" si="61"/>
        <v>43.41939576663421</v>
      </c>
      <c r="Z188" s="380">
        <f t="shared" si="62"/>
        <v>44.872054860259659</v>
      </c>
      <c r="AA188" s="381">
        <f t="shared" si="63"/>
        <v>47.448815991650008</v>
      </c>
      <c r="AB188" s="193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5.4306120764821608E-2</v>
      </c>
      <c r="AD188" s="227">
        <f>(INDEX(Models!$BJ188:$BT188,,AH188)*(1-AF188)+INDEX(Models!$BJ188:$BT188,,AH188+1)*AF188-ERP_i)*AE188*Ramure*Pc/MaxiM</f>
        <v>5.6935339627914116E-6</v>
      </c>
      <c r="AE188" s="301">
        <f t="shared" si="65"/>
        <v>0.5</v>
      </c>
      <c r="AF188" s="173">
        <f t="shared" si="66"/>
        <v>0.30890001081520291</v>
      </c>
      <c r="AG188" s="802">
        <f t="shared" si="74"/>
        <v>3</v>
      </c>
      <c r="AH188" s="172">
        <f t="shared" si="67"/>
        <v>9</v>
      </c>
      <c r="AI188" s="221">
        <f t="shared" si="68"/>
        <v>3.3089000108152029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46927</v>
      </c>
      <c r="B189" s="406">
        <f>'2027'!Wh/'2027'!Env_an*'2028'!Env_an</f>
        <v>48.075797417817085</v>
      </c>
      <c r="C189" s="832"/>
      <c r="D189" s="388">
        <f t="shared" si="50"/>
        <v>49.684923352166876</v>
      </c>
      <c r="E189" s="380">
        <f t="shared" si="75"/>
        <v>51.044388238207624</v>
      </c>
      <c r="F189" s="380">
        <f t="shared" si="51"/>
        <v>51.044591639373884</v>
      </c>
      <c r="G189" s="110">
        <f t="shared" si="76"/>
        <v>0.78428267102713112</v>
      </c>
      <c r="H189" s="409" t="b">
        <f>Wh_hp&gt;='2027'!Maxi_hp</f>
        <v>0</v>
      </c>
      <c r="I189" s="385">
        <f>IF(H189,Wh_hp,'2027'!Maxi_hp)</f>
        <v>51.044676183708283</v>
      </c>
      <c r="J189" s="85">
        <f>IF(H189,An,'2027'!An_max)</f>
        <v>2022</v>
      </c>
      <c r="K189" s="193">
        <f t="shared" si="52"/>
        <v>46927</v>
      </c>
      <c r="L189" s="143">
        <f>IF(t&lt;Tvie,1-EXP((T0-t)*PertePVj)+'2027'!Pspv,1-EXP((T0-t)*PertePVj)+Pspv)</f>
        <v>3.2386603939072223E-2</v>
      </c>
      <c r="M189" s="836"/>
      <c r="N189" s="836"/>
      <c r="O189" s="48">
        <f>IF(t&lt;Tnet,'2027'!Resal+('2027'!Salim-'2027'!Resal)*(1-EXP(('2027'!Tnet-t)/('2027'!Tau_j))),Resal+(Salim-Resal)*(1-EXP((Tnet-t)/(Tau_j))))*Salcycl</f>
        <v>2.6632994007030977E-2</v>
      </c>
      <c r="P189" s="165">
        <f>(INDEX(Models!$BJ189:$BT189,,T189)*(1-R189)+INDEX(Models!$BJ189:$BT189,,T189+1)*R189-ERP_i)*Q189*Ramure*Pc/MaxiM</f>
        <v>5.7597226017669411E-6</v>
      </c>
      <c r="Q189" s="301">
        <f t="shared" si="53"/>
        <v>0.5</v>
      </c>
      <c r="R189" s="173">
        <f t="shared" si="54"/>
        <v>0.31366921319674557</v>
      </c>
      <c r="S189" s="802">
        <f t="shared" si="55"/>
        <v>3</v>
      </c>
      <c r="T189" s="172">
        <f t="shared" si="56"/>
        <v>9</v>
      </c>
      <c r="U189" s="247">
        <f t="shared" si="57"/>
        <v>3.3136692131967456</v>
      </c>
      <c r="V189" s="378">
        <f t="shared" si="58"/>
        <v>61.298960006919401</v>
      </c>
      <c r="W189" s="397">
        <f t="shared" si="59"/>
        <v>48.075797417817085</v>
      </c>
      <c r="X189" s="153">
        <f t="shared" si="60"/>
        <v>46927</v>
      </c>
      <c r="Y189" s="380">
        <f t="shared" si="61"/>
        <v>46.706672079769305</v>
      </c>
      <c r="Z189" s="380">
        <f t="shared" si="62"/>
        <v>48.269972563327684</v>
      </c>
      <c r="AA189" s="381">
        <f t="shared" si="63"/>
        <v>51.044388238207624</v>
      </c>
      <c r="AB189" s="193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5.4353000802608131E-2</v>
      </c>
      <c r="AD189" s="227">
        <f>(INDEX(Models!$BJ189:$BT189,,AH189)*(1-AF189)+INDEX(Models!$BJ189:$BT189,,AH189+1)*AF189-ERP_i)*AE189*Ramure*Pc/MaxiM</f>
        <v>5.7597226017669411E-6</v>
      </c>
      <c r="AE189" s="301">
        <f t="shared" si="65"/>
        <v>0.5</v>
      </c>
      <c r="AF189" s="173">
        <f t="shared" si="66"/>
        <v>0.31366921319674557</v>
      </c>
      <c r="AG189" s="802">
        <f t="shared" si="74"/>
        <v>3</v>
      </c>
      <c r="AH189" s="172">
        <f t="shared" si="67"/>
        <v>9</v>
      </c>
      <c r="AI189" s="221">
        <f t="shared" si="68"/>
        <v>3.3136692131967456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46928</v>
      </c>
      <c r="B190" s="406">
        <f>'2027'!Wh/'2027'!Env_an*'2028'!Env_an</f>
        <v>40.048696928879309</v>
      </c>
      <c r="C190" s="832"/>
      <c r="D190" s="388">
        <f t="shared" si="50"/>
        <v>41.389717559152174</v>
      </c>
      <c r="E190" s="380">
        <f t="shared" si="75"/>
        <v>42.524896352693339</v>
      </c>
      <c r="F190" s="380">
        <f t="shared" si="51"/>
        <v>42.525022088556589</v>
      </c>
      <c r="G190" s="110">
        <f t="shared" si="76"/>
        <v>0.65388002577987603</v>
      </c>
      <c r="H190" s="409" t="b">
        <f>Wh_hp&gt;='2027'!Maxi_hp</f>
        <v>0</v>
      </c>
      <c r="I190" s="385">
        <f>IF(H190,Wh_hp,'2027'!Maxi_hp)</f>
        <v>42.525136744519635</v>
      </c>
      <c r="J190" s="85">
        <f>IF(H190,An,'2027'!An_max)</f>
        <v>2022</v>
      </c>
      <c r="K190" s="193">
        <f t="shared" si="52"/>
        <v>46928</v>
      </c>
      <c r="L190" s="143">
        <f>IF(t&lt;Tvie,1-EXP((T0-t)*PertePVj)+'2027'!Pspv,1-EXP((T0-t)*PertePVj)+Pspv)</f>
        <v>3.2399849753899534E-2</v>
      </c>
      <c r="M190" s="836"/>
      <c r="N190" s="836"/>
      <c r="O190" s="48">
        <f>IF(t&lt;Tnet,'2027'!Resal+('2027'!Salim-'2027'!Resal)*(1-EXP(('2027'!Tnet-t)/('2027'!Tau_j))),Resal+(Salim-Resal)*(1-EXP((Tnet-t)/(Tau_j))))*Salcycl</f>
        <v>2.6694451742485331E-2</v>
      </c>
      <c r="P190" s="165">
        <f>(INDEX(Models!$BJ190:$BT190,,T190)*(1-R190)+INDEX(Models!$BJ190:$BT190,,T190+1)*R190-ERP_i)*Q190*Ramure*Pc/MaxiM</f>
        <v>5.8486319053745463E-6</v>
      </c>
      <c r="Q190" s="301">
        <f t="shared" si="53"/>
        <v>0.5</v>
      </c>
      <c r="R190" s="173">
        <f t="shared" si="54"/>
        <v>0.31838386058772139</v>
      </c>
      <c r="S190" s="802">
        <f t="shared" si="55"/>
        <v>3</v>
      </c>
      <c r="T190" s="172">
        <f t="shared" si="56"/>
        <v>9</v>
      </c>
      <c r="U190" s="247">
        <f t="shared" si="57"/>
        <v>3.3183838605877214</v>
      </c>
      <c r="V190" s="378">
        <f t="shared" si="58"/>
        <v>61.247598234360041</v>
      </c>
      <c r="W190" s="397">
        <f t="shared" si="59"/>
        <v>40.048696928879309</v>
      </c>
      <c r="X190" s="153">
        <f t="shared" si="60"/>
        <v>46928</v>
      </c>
      <c r="Y190" s="380">
        <f t="shared" si="61"/>
        <v>38.908736534472879</v>
      </c>
      <c r="Z190" s="380">
        <f t="shared" si="62"/>
        <v>40.211585875195233</v>
      </c>
      <c r="AA190" s="381">
        <f t="shared" si="63"/>
        <v>42.524896352693339</v>
      </c>
      <c r="AB190" s="193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5.4398968037733676E-2</v>
      </c>
      <c r="AD190" s="227">
        <f>(INDEX(Models!$BJ190:$BT190,,AH190)*(1-AF190)+INDEX(Models!$BJ190:$BT190,,AH190+1)*AF190-ERP_i)*AE190*Ramure*Pc/MaxiM</f>
        <v>5.8486319053745463E-6</v>
      </c>
      <c r="AE190" s="301">
        <f t="shared" si="65"/>
        <v>0.5</v>
      </c>
      <c r="AF190" s="173">
        <f t="shared" si="66"/>
        <v>0.31838386058772139</v>
      </c>
      <c r="AG190" s="802">
        <f t="shared" si="74"/>
        <v>3</v>
      </c>
      <c r="AH190" s="172">
        <f t="shared" si="67"/>
        <v>9</v>
      </c>
      <c r="AI190" s="221">
        <f t="shared" si="68"/>
        <v>3.3183838605877214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46929</v>
      </c>
      <c r="B191" s="406">
        <f>'2027'!Wh/'2027'!Env_an*'2028'!Env_an</f>
        <v>12.525361187171269</v>
      </c>
      <c r="C191" s="832"/>
      <c r="D191" s="388">
        <f t="shared" si="50"/>
        <v>12.944946988700906</v>
      </c>
      <c r="E191" s="380">
        <f t="shared" si="75"/>
        <v>13.300816370938088</v>
      </c>
      <c r="F191" s="380">
        <f t="shared" si="51"/>
        <v>13.300816370938088</v>
      </c>
      <c r="G191" s="110">
        <f t="shared" si="76"/>
        <v>0.20469763932027263</v>
      </c>
      <c r="H191" s="409" t="b">
        <f>Wh_hp&gt;='2027'!Maxi_hp</f>
        <v>0</v>
      </c>
      <c r="I191" s="385">
        <f>IF(H191,Wh_hp,'2027'!Maxi_hp)</f>
        <v>13.300890225268683</v>
      </c>
      <c r="J191" s="85">
        <f>IF(H191,An,'2027'!An_max)</f>
        <v>2022</v>
      </c>
      <c r="K191" s="193">
        <f t="shared" si="52"/>
        <v>46929</v>
      </c>
      <c r="L191" s="143">
        <f>IF(t&lt;Tvie,1-EXP((T0-t)*PertePVj)+'2027'!Pspv,1-EXP((T0-t)*PertePVj)+Pspv)</f>
        <v>3.241309538740289E-2</v>
      </c>
      <c r="M191" s="836"/>
      <c r="N191" s="836"/>
      <c r="O191" s="48">
        <f>IF(t&lt;Tnet,'2027'!Resal+('2027'!Salim-'2027'!Resal)*(1-EXP(('2027'!Tnet-t)/('2027'!Tau_j))),Resal+(Salim-Resal)*(1-EXP((Tnet-t)/(Tau_j))))*Salcycl</f>
        <v>2.675545412496241E-2</v>
      </c>
      <c r="P191" s="165">
        <f>(INDEX(Models!$BJ191:$BT191,,T191)*(1-R191)+INDEX(Models!$BJ191:$BT191,,T191+1)*R191-ERP_i)*Q191*Ramure*Pc/MaxiM</f>
        <v>5.9606328724148521E-6</v>
      </c>
      <c r="Q191" s="301">
        <f t="shared" si="53"/>
        <v>0.5</v>
      </c>
      <c r="R191" s="173">
        <f t="shared" si="54"/>
        <v>0.32304097292855349</v>
      </c>
      <c r="S191" s="802">
        <f t="shared" si="55"/>
        <v>3</v>
      </c>
      <c r="T191" s="172">
        <f t="shared" si="56"/>
        <v>9</v>
      </c>
      <c r="U191" s="247">
        <f t="shared" si="57"/>
        <v>3.3230409729285535</v>
      </c>
      <c r="V191" s="378">
        <f t="shared" si="58"/>
        <v>61.189208481756886</v>
      </c>
      <c r="W191" s="397">
        <f t="shared" si="59"/>
        <v>12.525361187171269</v>
      </c>
      <c r="X191" s="153">
        <f t="shared" si="60"/>
        <v>46929</v>
      </c>
      <c r="Y191" s="380">
        <f t="shared" si="61"/>
        <v>12.169017705903844</v>
      </c>
      <c r="Z191" s="380">
        <f t="shared" si="62"/>
        <v>12.576666393367613</v>
      </c>
      <c r="AA191" s="381">
        <f t="shared" si="63"/>
        <v>13.300816370938088</v>
      </c>
      <c r="AB191" s="193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5.4444024891037751E-2</v>
      </c>
      <c r="AD191" s="227">
        <f>(INDEX(Models!$BJ191:$BT191,,AH191)*(1-AF191)+INDEX(Models!$BJ191:$BT191,,AH191+1)*AF191-ERP_i)*AE191*Ramure*Pc/MaxiM</f>
        <v>5.9606328724148521E-6</v>
      </c>
      <c r="AE191" s="301">
        <f t="shared" si="65"/>
        <v>0.5</v>
      </c>
      <c r="AF191" s="173">
        <f t="shared" si="66"/>
        <v>0.32304097292855349</v>
      </c>
      <c r="AG191" s="802">
        <f t="shared" si="74"/>
        <v>3</v>
      </c>
      <c r="AH191" s="172">
        <f t="shared" si="67"/>
        <v>9</v>
      </c>
      <c r="AI191" s="221">
        <f t="shared" si="68"/>
        <v>3.3230409729285535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46930</v>
      </c>
      <c r="B192" s="406">
        <f>'2027'!Wh/'2027'!Env_an*'2028'!Env_an</f>
        <v>18.427151699786624</v>
      </c>
      <c r="C192" s="832"/>
      <c r="D192" s="388">
        <f t="shared" si="50"/>
        <v>19.044701687906905</v>
      </c>
      <c r="E192" s="380">
        <f t="shared" si="75"/>
        <v>19.56947680970865</v>
      </c>
      <c r="F192" s="380">
        <f t="shared" si="51"/>
        <v>19.569477061033673</v>
      </c>
      <c r="G192" s="110">
        <f t="shared" si="76"/>
        <v>0.30146760477225681</v>
      </c>
      <c r="H192" s="409" t="b">
        <f>Wh_hp&gt;='2027'!Maxi_hp</f>
        <v>0</v>
      </c>
      <c r="I192" s="385">
        <f>IF(H192,Wh_hp,'2027'!Maxi_hp)</f>
        <v>19.569588262631058</v>
      </c>
      <c r="J192" s="85">
        <f>IF(H192,An,'2027'!An_max)</f>
        <v>2022</v>
      </c>
      <c r="K192" s="193">
        <f t="shared" si="52"/>
        <v>46930</v>
      </c>
      <c r="L192" s="143">
        <f>IF(t&lt;Tvie,1-EXP((T0-t)*PertePVj)+'2027'!Pspv,1-EXP((T0-t)*PertePVj)+Pspv)</f>
        <v>3.2426340839584511E-2</v>
      </c>
      <c r="M192" s="836"/>
      <c r="N192" s="836"/>
      <c r="O192" s="48">
        <f>IF(t&lt;Tnet,'2027'!Resal+('2027'!Salim-'2027'!Resal)*(1-EXP(('2027'!Tnet-t)/('2027'!Tau_j))),Resal+(Salim-Resal)*(1-EXP((Tnet-t)/(Tau_j))))*Salcycl</f>
        <v>2.6816001618469358E-2</v>
      </c>
      <c r="P192" s="165">
        <f>(INDEX(Models!$BJ192:$BT192,,T192)*(1-R192)+INDEX(Models!$BJ192:$BT192,,T192+1)*R192-ERP_i)*Q192*Ramure*Pc/MaxiM</f>
        <v>6.1178826369231935E-6</v>
      </c>
      <c r="Q192" s="301">
        <f t="shared" si="53"/>
        <v>0.5</v>
      </c>
      <c r="R192" s="173">
        <f t="shared" si="54"/>
        <v>0.32763773834627052</v>
      </c>
      <c r="S192" s="802">
        <f t="shared" si="55"/>
        <v>3</v>
      </c>
      <c r="T192" s="172">
        <f t="shared" si="56"/>
        <v>9</v>
      </c>
      <c r="U192" s="247">
        <f t="shared" si="57"/>
        <v>3.3276377383462705</v>
      </c>
      <c r="V192" s="378">
        <f t="shared" si="58"/>
        <v>61.124442260417673</v>
      </c>
      <c r="W192" s="397">
        <f t="shared" si="59"/>
        <v>18.427151699786624</v>
      </c>
      <c r="X192" s="153">
        <f t="shared" si="60"/>
        <v>46930</v>
      </c>
      <c r="Y192" s="380">
        <f t="shared" si="61"/>
        <v>17.903181555774545</v>
      </c>
      <c r="Z192" s="380">
        <f t="shared" si="62"/>
        <v>18.503171708197929</v>
      </c>
      <c r="AA192" s="381">
        <f t="shared" si="63"/>
        <v>19.56947680970865</v>
      </c>
      <c r="AB192" s="193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5.4488176249132735E-2</v>
      </c>
      <c r="AD192" s="227">
        <f>(INDEX(Models!$BJ192:$BT192,,AH192)*(1-AF192)+INDEX(Models!$BJ192:$BT192,,AH192+1)*AF192-ERP_i)*AE192*Ramure*Pc/MaxiM</f>
        <v>6.1178826369231935E-6</v>
      </c>
      <c r="AE192" s="301">
        <f t="shared" si="65"/>
        <v>0.5</v>
      </c>
      <c r="AF192" s="173">
        <f t="shared" si="66"/>
        <v>0.32763773834627052</v>
      </c>
      <c r="AG192" s="802">
        <f t="shared" si="74"/>
        <v>3</v>
      </c>
      <c r="AH192" s="172">
        <f t="shared" si="67"/>
        <v>9</v>
      </c>
      <c r="AI192" s="221">
        <f t="shared" si="68"/>
        <v>3.3276377383462705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46931</v>
      </c>
      <c r="B193" s="406">
        <f>'2027'!Wh/'2027'!Env_an*'2028'!Env_an</f>
        <v>63.768629454074166</v>
      </c>
      <c r="C193" s="832"/>
      <c r="D193" s="388">
        <f t="shared" si="50"/>
        <v>65.906612691735603</v>
      </c>
      <c r="E193" s="380">
        <f t="shared" si="75"/>
        <v>67.726845896073783</v>
      </c>
      <c r="F193" s="380">
        <f t="shared" si="51"/>
        <v>67.727273228607231</v>
      </c>
      <c r="G193" s="110">
        <f t="shared" si="76"/>
        <v>1.0444694332725442</v>
      </c>
      <c r="H193" s="409" t="b">
        <f>Wh_hp&gt;='2027'!Maxi_hp</f>
        <v>1</v>
      </c>
      <c r="I193" s="385">
        <f>IF(H193,Wh_hp,'2027'!Maxi_hp)</f>
        <v>67.727273228607231</v>
      </c>
      <c r="J193" s="85">
        <f>IF(H193,An,'2027'!An_max)</f>
        <v>2028</v>
      </c>
      <c r="K193" s="193">
        <f t="shared" si="52"/>
        <v>46931</v>
      </c>
      <c r="L193" s="143">
        <f>IF(t&lt;Tvie,1-EXP((T0-t)*PertePVj)+'2027'!Pspv,1-EXP((T0-t)*PertePVj)+Pspv)</f>
        <v>3.2439586110447061E-2</v>
      </c>
      <c r="M193" s="836"/>
      <c r="N193" s="836"/>
      <c r="O193" s="48">
        <f>IF(t&lt;Tnet,'2027'!Resal+('2027'!Salim-'2027'!Resal)*(1-EXP(('2027'!Tnet-t)/('2027'!Tau_j))),Resal+(Salim-Resal)*(1-EXP((Tnet-t)/(Tau_j))))*Salcycl</f>
        <v>2.6876095885689334E-2</v>
      </c>
      <c r="P193" s="165">
        <f>(INDEX(Models!$BJ193:$BT193,,T193)*(1-R193)+INDEX(Models!$BJ193:$BT193,,T193+1)*R193-ERP_i)*Q193*Ramure*Pc/MaxiM</f>
        <v>6.3096078298106436E-6</v>
      </c>
      <c r="Q193" s="301">
        <f t="shared" si="53"/>
        <v>0.5</v>
      </c>
      <c r="R193" s="173">
        <f t="shared" si="54"/>
        <v>0.33217151787710009</v>
      </c>
      <c r="S193" s="802">
        <f t="shared" si="55"/>
        <v>3</v>
      </c>
      <c r="T193" s="172">
        <f t="shared" si="56"/>
        <v>9</v>
      </c>
      <c r="U193" s="247">
        <f t="shared" si="57"/>
        <v>3.3321715178771001</v>
      </c>
      <c r="V193" s="378">
        <f t="shared" si="58"/>
        <v>61.053610017359276</v>
      </c>
      <c r="W193" s="397">
        <f t="shared" si="59"/>
        <v>63.768629454074166</v>
      </c>
      <c r="X193" s="153">
        <f t="shared" si="60"/>
        <v>46931</v>
      </c>
      <c r="Y193" s="380">
        <f t="shared" si="61"/>
        <v>61.956380564640035</v>
      </c>
      <c r="Z193" s="380">
        <f t="shared" si="62"/>
        <v>64.03360418144635</v>
      </c>
      <c r="AA193" s="381">
        <f t="shared" si="63"/>
        <v>67.726845896073783</v>
      </c>
      <c r="AB193" s="193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5.4531429387612164E-2</v>
      </c>
      <c r="AD193" s="227">
        <f>(INDEX(Models!$BJ193:$BT193,,AH193)*(1-AF193)+INDEX(Models!$BJ193:$BT193,,AH193+1)*AF193-ERP_i)*AE193*Ramure*Pc/MaxiM</f>
        <v>6.3096078298106436E-6</v>
      </c>
      <c r="AE193" s="301">
        <f t="shared" si="65"/>
        <v>0.5</v>
      </c>
      <c r="AF193" s="173">
        <f t="shared" si="66"/>
        <v>0.33217151787710009</v>
      </c>
      <c r="AG193" s="802">
        <f t="shared" si="74"/>
        <v>3</v>
      </c>
      <c r="AH193" s="172">
        <f t="shared" si="67"/>
        <v>9</v>
      </c>
      <c r="AI193" s="221">
        <f t="shared" si="68"/>
        <v>3.3321715178771001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46932</v>
      </c>
      <c r="B194" s="406">
        <f>'2027'!Wh/'2027'!Env_an*'2028'!Env_an</f>
        <v>61.878171858499627</v>
      </c>
      <c r="C194" s="832"/>
      <c r="D194" s="388">
        <f t="shared" si="50"/>
        <v>63.953648828556396</v>
      </c>
      <c r="E194" s="380">
        <f t="shared" si="75"/>
        <v>65.723972651374353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Wh_hp&gt;='2027'!Maxi_hp</f>
        <v>1</v>
      </c>
      <c r="I194" s="385">
        <f>IF(H194,Wh_hp,'2027'!Maxi_hp)</f>
        <v>65.724402245637052</v>
      </c>
      <c r="J194" s="85">
        <f>IF(H194,An,'2027'!An_max)</f>
        <v>2028</v>
      </c>
      <c r="K194" s="193">
        <f t="shared" si="52"/>
        <v>46932</v>
      </c>
      <c r="L194" s="143">
        <f>IF(t&lt;Tvie,1-EXP((T0-t)*PertePVj)+'2027'!Pspv,1-EXP((T0-t)*PertePVj)+Pspv)</f>
        <v>3.2452831199992982E-2</v>
      </c>
      <c r="M194" s="836"/>
      <c r="N194" s="836"/>
      <c r="O194" s="48">
        <f>IF(t&lt;Tnet,'2027'!Resal+('2027'!Salim-'2027'!Resal)*(1-EXP(('2027'!Tnet-t)/('2027'!Tau_j))),Resal+(Salim-Resal)*(1-EXP((Tnet-t)/(Tau_j))))*Salcycl</f>
        <v>2.6935739752197378E-2</v>
      </c>
      <c r="P194" s="165">
        <f>(INDEX(Models!$BJ194:$BT194,,T194)*(1-R194)+INDEX(Models!$BJ194:$BT194,,T194+1)*R194-ERP_i)*Q194*Ramure*Pc/MaxiM</f>
        <v>6.5362977527077391E-6</v>
      </c>
      <c r="Q194" s="301">
        <f t="shared" si="53"/>
        <v>0.5</v>
      </c>
      <c r="R194" s="173">
        <f t="shared" si="54"/>
        <v>0.33663984920887247</v>
      </c>
      <c r="S194" s="802">
        <f t="shared" si="55"/>
        <v>3</v>
      </c>
      <c r="T194" s="172">
        <f t="shared" si="56"/>
        <v>9</v>
      </c>
      <c r="U194" s="247">
        <f t="shared" si="57"/>
        <v>3.3366398492088725</v>
      </c>
      <c r="V194" s="378">
        <f t="shared" si="58"/>
        <v>60.977021328915114</v>
      </c>
      <c r="W194" s="397">
        <f t="shared" si="59"/>
        <v>61.878171858499627</v>
      </c>
      <c r="X194" s="153">
        <f t="shared" si="60"/>
        <v>46932</v>
      </c>
      <c r="Y194" s="380">
        <f t="shared" si="61"/>
        <v>60.120639151650948</v>
      </c>
      <c r="Z194" s="380">
        <f t="shared" si="62"/>
        <v>62.137166114821163</v>
      </c>
      <c r="AA194" s="381">
        <f t="shared" si="63"/>
        <v>65.723972651374353</v>
      </c>
      <c r="AB194" s="193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5.4573793881556962E-2</v>
      </c>
      <c r="AD194" s="227">
        <f>(INDEX(Models!$BJ194:$BT194,,AH194)*(1-AF194)+INDEX(Models!$BJ194:$BT194,,AH194+1)*AF194-ERP_i)*AE194*Ramure*Pc/MaxiM</f>
        <v>6.5362977527077391E-6</v>
      </c>
      <c r="AE194" s="301">
        <f t="shared" si="65"/>
        <v>0.5</v>
      </c>
      <c r="AF194" s="173">
        <f t="shared" si="66"/>
        <v>0.33663984920887247</v>
      </c>
      <c r="AG194" s="802">
        <f t="shared" si="74"/>
        <v>3</v>
      </c>
      <c r="AH194" s="172">
        <f t="shared" si="67"/>
        <v>9</v>
      </c>
      <c r="AI194" s="221">
        <f t="shared" si="68"/>
        <v>3.3366398492088725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46933</v>
      </c>
      <c r="B195" s="406">
        <f>'2027'!Wh/'2027'!Env_an*'2028'!Env_an</f>
        <v>15.199964949001608</v>
      </c>
      <c r="C195" s="832"/>
      <c r="D195" s="388">
        <f t="shared" si="50"/>
        <v>15.710007239706687</v>
      </c>
      <c r="E195" s="380">
        <f t="shared" si="75"/>
        <v>16.145863818963164</v>
      </c>
      <c r="F195" s="380">
        <f t="shared" si="51"/>
        <v>16.145863818963164</v>
      </c>
      <c r="G195" s="110">
        <f t="shared" si="76"/>
        <v>0.24960777088793346</v>
      </c>
      <c r="H195" s="409" t="b">
        <f>Wh_hp&gt;='2027'!Maxi_hp</f>
        <v>0</v>
      </c>
      <c r="I195" s="385">
        <f>IF(H195,Wh_hp,'2027'!Maxi_hp)</f>
        <v>16.145965733793666</v>
      </c>
      <c r="J195" s="85">
        <f>IF(H195,An,'2027'!An_max)</f>
        <v>2022</v>
      </c>
      <c r="K195" s="193">
        <f t="shared" si="52"/>
        <v>46933</v>
      </c>
      <c r="L195" s="143">
        <f>IF(t&lt;Tvie,1-EXP((T0-t)*PertePVj)+'2027'!Pspv,1-EXP((T0-t)*PertePVj)+Pspv)</f>
        <v>3.2466076108224828E-2</v>
      </c>
      <c r="M195" s="836"/>
      <c r="N195" s="836"/>
      <c r="O195" s="48">
        <f>IF(t&lt;Tnet,'2027'!Resal+('2027'!Salim-'2027'!Resal)*(1-EXP(('2027'!Tnet-t)/('2027'!Tau_j))),Resal+(Salim-Resal)*(1-EXP((Tnet-t)/(Tau_j))))*Salcycl</f>
        <v>2.6994937164313743E-2</v>
      </c>
      <c r="P195" s="165">
        <f>(INDEX(Models!$BJ195:$BT195,,T195)*(1-R195)+INDEX(Models!$BJ195:$BT195,,T195+1)*R195-ERP_i)*Q195*Ramure*Pc/MaxiM</f>
        <v>6.7984307132627301E-6</v>
      </c>
      <c r="Q195" s="301">
        <f t="shared" si="53"/>
        <v>0.5</v>
      </c>
      <c r="R195" s="173">
        <f t="shared" si="54"/>
        <v>0.34104044945442835</v>
      </c>
      <c r="S195" s="802">
        <f t="shared" si="55"/>
        <v>3</v>
      </c>
      <c r="T195" s="172">
        <f t="shared" si="56"/>
        <v>9</v>
      </c>
      <c r="U195" s="247">
        <f t="shared" si="57"/>
        <v>3.3410404494544284</v>
      </c>
      <c r="V195" s="378">
        <f t="shared" si="58"/>
        <v>60.89498559689212</v>
      </c>
      <c r="W195" s="397">
        <f t="shared" si="59"/>
        <v>15.199964949001608</v>
      </c>
      <c r="X195" s="153">
        <f t="shared" si="60"/>
        <v>46933</v>
      </c>
      <c r="Y195" s="380">
        <f t="shared" si="61"/>
        <v>14.768489017499673</v>
      </c>
      <c r="Z195" s="380">
        <f t="shared" si="62"/>
        <v>15.264052921364671</v>
      </c>
      <c r="AA195" s="381">
        <f t="shared" si="63"/>
        <v>16.145863818963164</v>
      </c>
      <c r="AB195" s="193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5.4615281504035433E-2</v>
      </c>
      <c r="AD195" s="227">
        <f>(INDEX(Models!$BJ195:$BT195,,AH195)*(1-AF195)+INDEX(Models!$BJ195:$BT195,,AH195+1)*AF195-ERP_i)*AE195*Ramure*Pc/MaxiM</f>
        <v>6.7984307132627301E-6</v>
      </c>
      <c r="AE195" s="301">
        <f t="shared" si="65"/>
        <v>0.5</v>
      </c>
      <c r="AF195" s="173">
        <f t="shared" si="66"/>
        <v>0.34104044945442835</v>
      </c>
      <c r="AG195" s="802">
        <f t="shared" si="74"/>
        <v>3</v>
      </c>
      <c r="AH195" s="172">
        <f t="shared" si="67"/>
        <v>9</v>
      </c>
      <c r="AI195" s="221">
        <f t="shared" si="68"/>
        <v>3.3410404494544284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46934</v>
      </c>
      <c r="B196" s="406">
        <f>'2027'!Wh/'2027'!Env_an*'2028'!Env_an</f>
        <v>51.566320148602472</v>
      </c>
      <c r="C196" s="832"/>
      <c r="D196" s="388">
        <f t="shared" si="50"/>
        <v>53.2973829490792</v>
      </c>
      <c r="E196" s="380">
        <f t="shared" si="75"/>
        <v>54.779367138087274</v>
      </c>
      <c r="F196" s="380">
        <f t="shared" si="51"/>
        <v>54.779671479738759</v>
      </c>
      <c r="G196" s="110">
        <f t="shared" si="76"/>
        <v>0.84801999879815981</v>
      </c>
      <c r="H196" s="409" t="b">
        <f>Wh_hp&gt;='2027'!Maxi_hp</f>
        <v>0</v>
      </c>
      <c r="I196" s="385">
        <f>IF(H196,Wh_hp,'2027'!Maxi_hp)</f>
        <v>54.779749779399616</v>
      </c>
      <c r="J196" s="85">
        <f>IF(H196,An,'2027'!An_max)</f>
        <v>2022</v>
      </c>
      <c r="K196" s="193">
        <f t="shared" si="52"/>
        <v>46934</v>
      </c>
      <c r="L196" s="143">
        <f>IF(t&lt;Tvie,1-EXP((T0-t)*PertePVj)+'2027'!Pspv,1-EXP((T0-t)*PertePVj)+Pspv)</f>
        <v>3.2479320835144931E-2</v>
      </c>
      <c r="M196" s="836"/>
      <c r="N196" s="836"/>
      <c r="O196" s="48">
        <f>IF(t&lt;Tnet,'2027'!Resal+('2027'!Salim-'2027'!Resal)*(1-EXP(('2027'!Tnet-t)/('2027'!Tau_j))),Resal+(Salim-Resal)*(1-EXP((Tnet-t)/(Tau_j))))*Salcycl</f>
        <v>2.7053693140928446E-2</v>
      </c>
      <c r="P196" s="165">
        <f>(INDEX(Models!$BJ196:$BT196,,T196)*(1-R196)+INDEX(Models!$BJ196:$BT196,,T196+1)*R196-ERP_i)*Q196*Ramure*Pc/MaxiM</f>
        <v>7.0964731955149918E-6</v>
      </c>
      <c r="Q196" s="301">
        <f t="shared" si="53"/>
        <v>0.5</v>
      </c>
      <c r="R196" s="173">
        <f t="shared" si="54"/>
        <v>0.3453712169753711</v>
      </c>
      <c r="S196" s="802">
        <f t="shared" si="55"/>
        <v>3</v>
      </c>
      <c r="T196" s="172">
        <f t="shared" si="56"/>
        <v>9</v>
      </c>
      <c r="U196" s="247">
        <f t="shared" si="57"/>
        <v>3.3453712169753711</v>
      </c>
      <c r="V196" s="378">
        <f t="shared" si="58"/>
        <v>60.807812046105354</v>
      </c>
      <c r="W196" s="397">
        <f t="shared" si="59"/>
        <v>51.566320148602472</v>
      </c>
      <c r="X196" s="153">
        <f t="shared" si="60"/>
        <v>46934</v>
      </c>
      <c r="Y196" s="380">
        <f t="shared" si="61"/>
        <v>50.10339815494941</v>
      </c>
      <c r="Z196" s="380">
        <f t="shared" si="62"/>
        <v>51.785351190837268</v>
      </c>
      <c r="AA196" s="381">
        <f t="shared" si="63"/>
        <v>54.779367138087274</v>
      </c>
      <c r="AB196" s="193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5.465590611338611E-2</v>
      </c>
      <c r="AD196" s="227">
        <f>(INDEX(Models!$BJ196:$BT196,,AH196)*(1-AF196)+INDEX(Models!$BJ196:$BT196,,AH196+1)*AF196-ERP_i)*AE196*Ramure*Pc/MaxiM</f>
        <v>7.0964731955149918E-6</v>
      </c>
      <c r="AE196" s="301">
        <f t="shared" si="65"/>
        <v>0.5</v>
      </c>
      <c r="AF196" s="173">
        <f t="shared" si="66"/>
        <v>0.3453712169753711</v>
      </c>
      <c r="AG196" s="802">
        <f t="shared" si="74"/>
        <v>3</v>
      </c>
      <c r="AH196" s="172">
        <f t="shared" si="67"/>
        <v>9</v>
      </c>
      <c r="AI196" s="221">
        <f t="shared" si="68"/>
        <v>3.3453712169753711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46935</v>
      </c>
      <c r="B197" s="406">
        <f>'2027'!Wh/'2027'!Env_an*'2028'!Env_an</f>
        <v>57.253801505569058</v>
      </c>
      <c r="C197" s="832"/>
      <c r="D197" s="388">
        <f t="shared" si="50"/>
        <v>59.176601085345546</v>
      </c>
      <c r="E197" s="380">
        <f t="shared" si="75"/>
        <v>60.825708529506713</v>
      </c>
      <c r="F197" s="380">
        <f t="shared" si="51"/>
        <v>60.826123703215636</v>
      </c>
      <c r="G197" s="110">
        <f t="shared" si="76"/>
        <v>0.94297954837451226</v>
      </c>
      <c r="H197" s="409" t="b">
        <f>Wh_hp&gt;='2027'!Maxi_hp</f>
        <v>0</v>
      </c>
      <c r="I197" s="385">
        <f>IF(H197,Wh_hp,'2027'!Maxi_hp)</f>
        <v>60.826157831959122</v>
      </c>
      <c r="J197" s="85">
        <f>IF(H197,An,'2027'!An_max)</f>
        <v>2022</v>
      </c>
      <c r="K197" s="193">
        <f t="shared" si="52"/>
        <v>46935</v>
      </c>
      <c r="L197" s="143">
        <f>IF(t&lt;Tvie,1-EXP((T0-t)*PertePVj)+'2027'!Pspv,1-EXP((T0-t)*PertePVj)+Pspv)</f>
        <v>3.2492565380755734E-2</v>
      </c>
      <c r="M197" s="836"/>
      <c r="N197" s="836"/>
      <c r="O197" s="48">
        <f>IF(t&lt;Tnet,'2027'!Resal+('2027'!Salim-'2027'!Resal)*(1-EXP(('2027'!Tnet-t)/('2027'!Tau_j))),Resal+(Salim-Resal)*(1-EXP((Tnet-t)/(Tau_j))))*Salcycl</f>
        <v>2.7112013719678727E-2</v>
      </c>
      <c r="P197" s="165">
        <f>(INDEX(Models!$BJ197:$BT197,,T197)*(1-R197)+INDEX(Models!$BJ197:$BT197,,T197+1)*R197-ERP_i)*Q197*Ramure*Pc/MaxiM</f>
        <v>7.4308791469147869E-6</v>
      </c>
      <c r="Q197" s="301">
        <f t="shared" si="53"/>
        <v>0.5</v>
      </c>
      <c r="R197" s="173">
        <f t="shared" si="54"/>
        <v>0.34963023228303181</v>
      </c>
      <c r="S197" s="802">
        <f t="shared" si="55"/>
        <v>3</v>
      </c>
      <c r="T197" s="172">
        <f t="shared" si="56"/>
        <v>9</v>
      </c>
      <c r="U197" s="247">
        <f t="shared" si="57"/>
        <v>3.3496302322830318</v>
      </c>
      <c r="V197" s="378">
        <f t="shared" si="58"/>
        <v>60.715809742083636</v>
      </c>
      <c r="W197" s="397">
        <f t="shared" si="59"/>
        <v>57.253801505569058</v>
      </c>
      <c r="X197" s="153">
        <f t="shared" si="60"/>
        <v>46935</v>
      </c>
      <c r="Y197" s="380">
        <f t="shared" si="61"/>
        <v>55.630521150178446</v>
      </c>
      <c r="Z197" s="380">
        <f t="shared" si="62"/>
        <v>57.498804825279144</v>
      </c>
      <c r="AA197" s="381">
        <f t="shared" si="63"/>
        <v>60.825708529506713</v>
      </c>
      <c r="AB197" s="193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5.4695683530158662E-2</v>
      </c>
      <c r="AD197" s="227">
        <f>(INDEX(Models!$BJ197:$BT197,,AH197)*(1-AF197)+INDEX(Models!$BJ197:$BT197,,AH197+1)*AF197-ERP_i)*AE197*Ramure*Pc/MaxiM</f>
        <v>7.4308791469147869E-6</v>
      </c>
      <c r="AE197" s="301">
        <f t="shared" si="65"/>
        <v>0.5</v>
      </c>
      <c r="AF197" s="173">
        <f t="shared" si="66"/>
        <v>0.34963023228303181</v>
      </c>
      <c r="AG197" s="802">
        <f t="shared" si="74"/>
        <v>3</v>
      </c>
      <c r="AH197" s="172">
        <f t="shared" si="67"/>
        <v>9</v>
      </c>
      <c r="AI197" s="221">
        <f t="shared" si="68"/>
        <v>3.3496302322830318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46936</v>
      </c>
      <c r="B198" s="406">
        <f>'2027'!Wh/'2027'!Env_an*'2028'!Env_an</f>
        <v>53.246058116158864</v>
      </c>
      <c r="C198" s="832"/>
      <c r="D198" s="388">
        <f t="shared" si="50"/>
        <v>55.035015871390648</v>
      </c>
      <c r="E198" s="380">
        <f t="shared" si="75"/>
        <v>56.572073792790079</v>
      </c>
      <c r="F198" s="380">
        <f t="shared" si="51"/>
        <v>56.572440836623493</v>
      </c>
      <c r="G198" s="110">
        <f t="shared" si="76"/>
        <v>0.87836710507638605</v>
      </c>
      <c r="H198" s="409" t="b">
        <f>Wh_hp&gt;='2027'!Maxi_hp</f>
        <v>0</v>
      </c>
      <c r="I198" s="385">
        <f>IF(H198,Wh_hp,'2027'!Maxi_hp)</f>
        <v>56.572512342917904</v>
      </c>
      <c r="J198" s="85">
        <f>IF(H198,An,'2027'!An_max)</f>
        <v>2022</v>
      </c>
      <c r="K198" s="193">
        <f t="shared" si="52"/>
        <v>46936</v>
      </c>
      <c r="L198" s="143">
        <f>IF(t&lt;Tvie,1-EXP((T0-t)*PertePVj)+'2027'!Pspv,1-EXP((T0-t)*PertePVj)+Pspv)</f>
        <v>3.250580974506001E-2</v>
      </c>
      <c r="M198" s="836"/>
      <c r="N198" s="836"/>
      <c r="O198" s="48">
        <f>IF(t&lt;Tnet,'2027'!Resal+('2027'!Salim-'2027'!Resal)*(1-EXP(('2027'!Tnet-t)/('2027'!Tau_j))),Resal+(Salim-Resal)*(1-EXP((Tnet-t)/(Tau_j))))*Salcycl</f>
        <v>2.7169905897904783E-2</v>
      </c>
      <c r="P198" s="165">
        <f>(INDEX(Models!$BJ198:$BT198,,T198)*(1-R198)+INDEX(Models!$BJ198:$BT198,,T198+1)*R198-ERP_i)*Q198*Ramure*Pc/MaxiM</f>
        <v>7.8524751537951164E-6</v>
      </c>
      <c r="Q198" s="301">
        <f t="shared" si="53"/>
        <v>0.5</v>
      </c>
      <c r="R198" s="173">
        <f t="shared" si="54"/>
        <v>0.35381575805032828</v>
      </c>
      <c r="S198" s="802">
        <f t="shared" si="55"/>
        <v>3</v>
      </c>
      <c r="T198" s="172">
        <f t="shared" si="56"/>
        <v>9</v>
      </c>
      <c r="U198" s="247">
        <f t="shared" si="57"/>
        <v>3.3538157580503283</v>
      </c>
      <c r="V198" s="378">
        <f t="shared" si="58"/>
        <v>60.619284530086006</v>
      </c>
      <c r="W198" s="397">
        <f t="shared" si="59"/>
        <v>53.246058116158864</v>
      </c>
      <c r="X198" s="153">
        <f t="shared" si="60"/>
        <v>46936</v>
      </c>
      <c r="Y198" s="380">
        <f t="shared" si="61"/>
        <v>51.737353785169127</v>
      </c>
      <c r="Z198" s="380">
        <f t="shared" si="62"/>
        <v>53.47562218594414</v>
      </c>
      <c r="AA198" s="381">
        <f t="shared" si="63"/>
        <v>56.572073792790079</v>
      </c>
      <c r="AB198" s="193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5.473463140466614E-2</v>
      </c>
      <c r="AD198" s="227">
        <f>(INDEX(Models!$BJ198:$BT198,,AH198)*(1-AF198)+INDEX(Models!$BJ198:$BT198,,AH198+1)*AF198-ERP_i)*AE198*Ramure*Pc/MaxiM</f>
        <v>7.8524751537951164E-6</v>
      </c>
      <c r="AE198" s="301">
        <f t="shared" si="65"/>
        <v>0.5</v>
      </c>
      <c r="AF198" s="173">
        <f t="shared" si="66"/>
        <v>0.35381575805032828</v>
      </c>
      <c r="AG198" s="802">
        <f t="shared" si="74"/>
        <v>3</v>
      </c>
      <c r="AH198" s="172">
        <f t="shared" si="67"/>
        <v>9</v>
      </c>
      <c r="AI198" s="221">
        <f t="shared" si="68"/>
        <v>3.3538157580503283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46937</v>
      </c>
      <c r="B199" s="406">
        <f>'2027'!Wh/'2027'!Env_an*'2028'!Env_an</f>
        <v>49.566204814656764</v>
      </c>
      <c r="C199" s="832"/>
      <c r="D199" s="388">
        <f t="shared" si="50"/>
        <v>51.232228413283003</v>
      </c>
      <c r="E199" s="380">
        <f t="shared" si="75"/>
        <v>52.666190671817645</v>
      </c>
      <c r="F199" s="380">
        <f t="shared" si="51"/>
        <v>52.666516765789247</v>
      </c>
      <c r="G199" s="110">
        <f t="shared" si="76"/>
        <v>0.81902327809769326</v>
      </c>
      <c r="H199" s="409" t="b">
        <f>Wh_hp&gt;='2027'!Maxi_hp</f>
        <v>0</v>
      </c>
      <c r="I199" s="385">
        <f>IF(H199,Wh_hp,'2027'!Maxi_hp)</f>
        <v>52.666622044945932</v>
      </c>
      <c r="J199" s="85">
        <f>IF(H199,An,'2027'!An_max)</f>
        <v>2022</v>
      </c>
      <c r="K199" s="193">
        <f t="shared" si="52"/>
        <v>46937</v>
      </c>
      <c r="L199" s="143">
        <f>IF(t&lt;Tvie,1-EXP((T0-t)*PertePVj)+'2027'!Pspv,1-EXP((T0-t)*PertePVj)+Pspv)</f>
        <v>3.2519053928059982E-2</v>
      </c>
      <c r="M199" s="836"/>
      <c r="N199" s="836"/>
      <c r="O199" s="48">
        <f>IF(t&lt;Tnet,'2027'!Resal+('2027'!Salim-'2027'!Resal)*(1-EXP(('2027'!Tnet-t)/('2027'!Tau_j))),Resal+(Salim-Resal)*(1-EXP((Tnet-t)/(Tau_j))))*Salcycl</f>
        <v>2.7227377568850249E-2</v>
      </c>
      <c r="P199" s="165">
        <f>(INDEX(Models!$BJ199:$BT199,,T199)*(1-R199)+INDEX(Models!$BJ199:$BT199,,T199+1)*R199-ERP_i)*Q199*Ramure*Pc/MaxiM</f>
        <v>8.3506041734809706E-6</v>
      </c>
      <c r="Q199" s="301">
        <f t="shared" si="53"/>
        <v>0.5</v>
      </c>
      <c r="R199" s="173">
        <f t="shared" si="54"/>
        <v>0.35792623827428516</v>
      </c>
      <c r="S199" s="802">
        <f t="shared" si="55"/>
        <v>3</v>
      </c>
      <c r="T199" s="172">
        <f t="shared" si="56"/>
        <v>9</v>
      </c>
      <c r="U199" s="247">
        <f t="shared" si="57"/>
        <v>3.3579262382742852</v>
      </c>
      <c r="V199" s="378">
        <f t="shared" si="58"/>
        <v>60.518545845496448</v>
      </c>
      <c r="W199" s="397">
        <f t="shared" si="59"/>
        <v>49.566204814656764</v>
      </c>
      <c r="X199" s="153">
        <f t="shared" si="60"/>
        <v>46937</v>
      </c>
      <c r="Y199" s="380">
        <f t="shared" si="61"/>
        <v>48.162669717483055</v>
      </c>
      <c r="Z199" s="380">
        <f t="shared" si="62"/>
        <v>49.78151757202852</v>
      </c>
      <c r="AA199" s="381">
        <f t="shared" si="63"/>
        <v>52.666190671817645</v>
      </c>
      <c r="AB199" s="193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5.4772769076172192E-2</v>
      </c>
      <c r="AD199" s="227">
        <f>(INDEX(Models!$BJ199:$BT199,,AH199)*(1-AF199)+INDEX(Models!$BJ199:$BT199,,AH199+1)*AF199-ERP_i)*AE199*Ramure*Pc/MaxiM</f>
        <v>8.3506041734809706E-6</v>
      </c>
      <c r="AE199" s="301">
        <f t="shared" si="65"/>
        <v>0.5</v>
      </c>
      <c r="AF199" s="173">
        <f t="shared" si="66"/>
        <v>0.35792623827428516</v>
      </c>
      <c r="AG199" s="802">
        <f t="shared" si="74"/>
        <v>3</v>
      </c>
      <c r="AH199" s="172">
        <f t="shared" si="67"/>
        <v>9</v>
      </c>
      <c r="AI199" s="221">
        <f t="shared" si="68"/>
        <v>3.3579262382742852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46938</v>
      </c>
      <c r="B200" s="406">
        <f>'2027'!Wh/'2027'!Env_an*'2028'!Env_an</f>
        <v>59.434619223090529</v>
      </c>
      <c r="C200" s="832"/>
      <c r="D200" s="388">
        <f t="shared" si="50"/>
        <v>61.433181796052715</v>
      </c>
      <c r="E200" s="380">
        <f t="shared" si="75"/>
        <v>63.15636776205362</v>
      </c>
      <c r="F200" s="380">
        <f t="shared" si="51"/>
        <v>63.156918460346134</v>
      </c>
      <c r="G200" s="110">
        <f t="shared" si="76"/>
        <v>0.98379023217648376</v>
      </c>
      <c r="H200" s="409" t="b">
        <f>Wh_hp&gt;='2027'!Maxi_hp</f>
        <v>0</v>
      </c>
      <c r="I200" s="385">
        <f>IF(H200,Wh_hp,'2027'!Maxi_hp)</f>
        <v>63.156930543219005</v>
      </c>
      <c r="J200" s="85">
        <f>IF(H200,An,'2027'!An_max)</f>
        <v>2022</v>
      </c>
      <c r="K200" s="193">
        <f t="shared" si="52"/>
        <v>46938</v>
      </c>
      <c r="L200" s="143">
        <f>IF(t&lt;Tvie,1-EXP((T0-t)*PertePVj)+'2027'!Pspv,1-EXP((T0-t)*PertePVj)+Pspv)</f>
        <v>3.2532297929758203E-2</v>
      </c>
      <c r="M200" s="836"/>
      <c r="N200" s="836"/>
      <c r="O200" s="48">
        <f>IF(t&lt;Tnet,'2027'!Resal+('2027'!Salim-'2027'!Resal)*(1-EXP(('2027'!Tnet-t)/('2027'!Tau_j))),Resal+(Salim-Resal)*(1-EXP((Tnet-t)/(Tau_j))))*Salcycl</f>
        <v>2.7284437453609405E-2</v>
      </c>
      <c r="P200" s="165">
        <f>(INDEX(Models!$BJ200:$BT200,,T200)*(1-R200)+INDEX(Models!$BJ200:$BT200,,T200+1)*R200-ERP_i)*Q200*Ramure*Pc/MaxiM</f>
        <v>8.9262247227328003E-6</v>
      </c>
      <c r="Q200" s="301">
        <f t="shared" si="53"/>
        <v>0.5</v>
      </c>
      <c r="R200" s="173">
        <f t="shared" si="54"/>
        <v>0.36196029663425922</v>
      </c>
      <c r="S200" s="802">
        <f t="shared" si="55"/>
        <v>3</v>
      </c>
      <c r="T200" s="172">
        <f t="shared" si="56"/>
        <v>9</v>
      </c>
      <c r="U200" s="247">
        <f t="shared" si="57"/>
        <v>3.3619602966342592</v>
      </c>
      <c r="V200" s="378">
        <f t="shared" si="58"/>
        <v>60.413902266888208</v>
      </c>
      <c r="W200" s="397">
        <f t="shared" si="59"/>
        <v>59.434619223090529</v>
      </c>
      <c r="X200" s="153">
        <f t="shared" si="60"/>
        <v>46938</v>
      </c>
      <c r="Y200" s="380">
        <f t="shared" si="61"/>
        <v>57.75275211729295</v>
      </c>
      <c r="Z200" s="380">
        <f t="shared" si="62"/>
        <v>59.694759828891819</v>
      </c>
      <c r="AA200" s="381">
        <f t="shared" si="63"/>
        <v>63.15636776205362</v>
      </c>
      <c r="AB200" s="193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5.4810117424796648E-2</v>
      </c>
      <c r="AD200" s="227">
        <f>(INDEX(Models!$BJ200:$BT200,,AH200)*(1-AF200)+INDEX(Models!$BJ200:$BT200,,AH200+1)*AF200-ERP_i)*AE200*Ramure*Pc/MaxiM</f>
        <v>8.9262247227328003E-6</v>
      </c>
      <c r="AE200" s="301">
        <f t="shared" si="65"/>
        <v>0.5</v>
      </c>
      <c r="AF200" s="173">
        <f t="shared" si="66"/>
        <v>0.36196029663425922</v>
      </c>
      <c r="AG200" s="802">
        <f t="shared" si="74"/>
        <v>3</v>
      </c>
      <c r="AH200" s="172">
        <f t="shared" si="67"/>
        <v>9</v>
      </c>
      <c r="AI200" s="221">
        <f t="shared" si="68"/>
        <v>3.3619602966342592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46939</v>
      </c>
      <c r="B201" s="406">
        <f>'2027'!Wh/'2027'!Env_an*'2028'!Env_an</f>
        <v>43.755947294501013</v>
      </c>
      <c r="C201" s="832"/>
      <c r="D201" s="388">
        <f t="shared" si="50"/>
        <v>45.227914266535059</v>
      </c>
      <c r="E201" s="380">
        <f t="shared" si="75"/>
        <v>46.499254811120089</v>
      </c>
      <c r="F201" s="380">
        <f t="shared" si="51"/>
        <v>46.499525642175385</v>
      </c>
      <c r="G201" s="110">
        <f t="shared" si="76"/>
        <v>0.7255667433097438</v>
      </c>
      <c r="H201" s="409" t="b">
        <f>Wh_hp&gt;='2027'!Maxi_hp</f>
        <v>0</v>
      </c>
      <c r="I201" s="385">
        <f>IF(H201,Wh_hp,'2027'!Maxi_hp)</f>
        <v>46.499687245486641</v>
      </c>
      <c r="J201" s="85">
        <f>IF(H201,An,'2027'!An_max)</f>
        <v>2022</v>
      </c>
      <c r="K201" s="193">
        <f t="shared" si="52"/>
        <v>46939</v>
      </c>
      <c r="L201" s="143">
        <f>IF(t&lt;Tvie,1-EXP((T0-t)*PertePVj)+'2027'!Pspv,1-EXP((T0-t)*PertePVj)+Pspv)</f>
        <v>3.2545541750157225E-2</v>
      </c>
      <c r="M201" s="836"/>
      <c r="N201" s="836"/>
      <c r="O201" s="48">
        <f>IF(t&lt;Tnet,'2027'!Resal+('2027'!Salim-'2027'!Resal)*(1-EXP(('2027'!Tnet-t)/('2027'!Tau_j))),Resal+(Salim-Resal)*(1-EXP((Tnet-t)/(Tau_j))))*Salcycl</f>
        <v>2.7341095029355108E-2</v>
      </c>
      <c r="P201" s="165">
        <f>(INDEX(Models!$BJ201:$BT201,,T201)*(1-R201)+INDEX(Models!$BJ201:$BT201,,T201+1)*R201-ERP_i)*Q201*Ramure*Pc/MaxiM</f>
        <v>9.5802648732921158E-6</v>
      </c>
      <c r="Q201" s="301">
        <f t="shared" si="53"/>
        <v>0.5</v>
      </c>
      <c r="R201" s="173">
        <f t="shared" si="54"/>
        <v>0.36591673409538528</v>
      </c>
      <c r="S201" s="802">
        <f t="shared" si="55"/>
        <v>3</v>
      </c>
      <c r="T201" s="172">
        <f t="shared" si="56"/>
        <v>9</v>
      </c>
      <c r="U201" s="247">
        <f t="shared" si="57"/>
        <v>3.3659167340953853</v>
      </c>
      <c r="V201" s="378">
        <f t="shared" si="58"/>
        <v>60.305662235546187</v>
      </c>
      <c r="W201" s="397">
        <f t="shared" si="59"/>
        <v>43.755947294501013</v>
      </c>
      <c r="X201" s="153">
        <f t="shared" si="60"/>
        <v>46939</v>
      </c>
      <c r="Y201" s="380">
        <f t="shared" si="61"/>
        <v>42.518582644754304</v>
      </c>
      <c r="Z201" s="380">
        <f t="shared" si="62"/>
        <v>43.948924191916831</v>
      </c>
      <c r="AA201" s="381">
        <f t="shared" si="63"/>
        <v>46.499254811120089</v>
      </c>
      <c r="AB201" s="193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5.4846698717274066E-2</v>
      </c>
      <c r="AD201" s="227">
        <f>(INDEX(Models!$BJ201:$BT201,,AH201)*(1-AF201)+INDEX(Models!$BJ201:$BT201,,AH201+1)*AF201-ERP_i)*AE201*Ramure*Pc/MaxiM</f>
        <v>9.5802648732921158E-6</v>
      </c>
      <c r="AE201" s="301">
        <f t="shared" si="65"/>
        <v>0.5</v>
      </c>
      <c r="AF201" s="173">
        <f t="shared" si="66"/>
        <v>0.36591673409538528</v>
      </c>
      <c r="AG201" s="802">
        <f t="shared" si="74"/>
        <v>3</v>
      </c>
      <c r="AH201" s="172">
        <f t="shared" si="67"/>
        <v>9</v>
      </c>
      <c r="AI201" s="221">
        <f t="shared" si="68"/>
        <v>3.3659167340953853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46940</v>
      </c>
      <c r="B202" s="406">
        <f>'2027'!Wh/'2027'!Env_an*'2028'!Env_an</f>
        <v>58.983852277148102</v>
      </c>
      <c r="C202" s="832"/>
      <c r="D202" s="388">
        <f t="shared" si="50"/>
        <v>60.968926469481488</v>
      </c>
      <c r="E202" s="380">
        <f t="shared" si="75"/>
        <v>62.686367474765113</v>
      </c>
      <c r="F202" s="380">
        <f t="shared" si="51"/>
        <v>62.686995434233452</v>
      </c>
      <c r="G202" s="110">
        <f t="shared" si="76"/>
        <v>0.97989340202484498</v>
      </c>
      <c r="H202" s="409" t="b">
        <f>Wh_hp&gt;='2027'!Maxi_hp</f>
        <v>0</v>
      </c>
      <c r="I202" s="385">
        <f>IF(H202,Wh_hp,'2027'!Maxi_hp)</f>
        <v>62.68701261444199</v>
      </c>
      <c r="J202" s="85">
        <f>IF(H202,An,'2027'!An_max)</f>
        <v>2022</v>
      </c>
      <c r="K202" s="193">
        <f t="shared" si="52"/>
        <v>46940</v>
      </c>
      <c r="L202" s="143">
        <f>IF(t&lt;Tvie,1-EXP((T0-t)*PertePVj)+'2027'!Pspv,1-EXP((T0-t)*PertePVj)+Pspv)</f>
        <v>3.2558785389259381E-2</v>
      </c>
      <c r="M202" s="836"/>
      <c r="N202" s="836"/>
      <c r="O202" s="48">
        <f>IF(t&lt;Tnet,'2027'!Resal+('2027'!Salim-'2027'!Resal)*(1-EXP(('2027'!Tnet-t)/('2027'!Tau_j))),Resal+(Salim-Resal)*(1-EXP((Tnet-t)/(Tau_j))))*Salcycl</f>
        <v>2.7397360454408139E-2</v>
      </c>
      <c r="P202" s="165">
        <f>(INDEX(Models!$BJ202:$BT202,,T202)*(1-R202)+INDEX(Models!$BJ202:$BT202,,T202+1)*R202-ERP_i)*Q202*Ramure*Pc/MaxiM</f>
        <v>1.0313621432002485E-5</v>
      </c>
      <c r="Q202" s="301">
        <f t="shared" si="53"/>
        <v>0.5</v>
      </c>
      <c r="R202" s="173">
        <f t="shared" si="54"/>
        <v>0.36979452581042471</v>
      </c>
      <c r="S202" s="802">
        <f t="shared" si="55"/>
        <v>3</v>
      </c>
      <c r="T202" s="172">
        <f t="shared" si="56"/>
        <v>9</v>
      </c>
      <c r="U202" s="247">
        <f t="shared" si="57"/>
        <v>3.3697945258104247</v>
      </c>
      <c r="V202" s="378">
        <f t="shared" si="58"/>
        <v>60.194134057481769</v>
      </c>
      <c r="W202" s="397">
        <f t="shared" si="59"/>
        <v>58.983852277148102</v>
      </c>
      <c r="X202" s="153">
        <f t="shared" si="60"/>
        <v>46940</v>
      </c>
      <c r="Y202" s="380">
        <f t="shared" si="61"/>
        <v>57.31700345864239</v>
      </c>
      <c r="Z202" s="380">
        <f t="shared" si="62"/>
        <v>59.245980627054891</v>
      </c>
      <c r="AA202" s="381">
        <f t="shared" si="63"/>
        <v>62.686367474765113</v>
      </c>
      <c r="AB202" s="193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5.4882536447740035E-2</v>
      </c>
      <c r="AD202" s="227">
        <f>(INDEX(Models!$BJ202:$BT202,,AH202)*(1-AF202)+INDEX(Models!$BJ202:$BT202,,AH202+1)*AF202-ERP_i)*AE202*Ramure*Pc/MaxiM</f>
        <v>1.0313621432002485E-5</v>
      </c>
      <c r="AE202" s="301">
        <f t="shared" si="65"/>
        <v>0.5</v>
      </c>
      <c r="AF202" s="173">
        <f t="shared" si="66"/>
        <v>0.36979452581042471</v>
      </c>
      <c r="AG202" s="802">
        <f t="shared" si="74"/>
        <v>3</v>
      </c>
      <c r="AH202" s="172">
        <f t="shared" si="67"/>
        <v>9</v>
      </c>
      <c r="AI202" s="221">
        <f t="shared" si="68"/>
        <v>3.3697945258104247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46941</v>
      </c>
      <c r="B203" s="406">
        <f>'2027'!Wh/'2027'!Env_an*'2028'!Env_an</f>
        <v>61.850517171185814</v>
      </c>
      <c r="C203" s="832"/>
      <c r="D203" s="388">
        <f t="shared" si="50"/>
        <v>63.932942829299662</v>
      </c>
      <c r="E203" s="380">
        <f t="shared" si="75"/>
        <v>65.737654737042902</v>
      </c>
      <c r="F203" s="380">
        <f t="shared" si="51"/>
        <v>65.738386218533648</v>
      </c>
      <c r="G203" s="110">
        <f t="shared" si="76"/>
        <v>1.0294757370422234</v>
      </c>
      <c r="H203" s="409" t="b">
        <f>Wh_hp&gt;='2027'!Maxi_hp</f>
        <v>1</v>
      </c>
      <c r="I203" s="385">
        <f>IF(H203,Wh_hp,'2027'!Maxi_hp)</f>
        <v>65.738386218533648</v>
      </c>
      <c r="J203" s="85">
        <f>IF(H203,An,'2027'!An_max)</f>
        <v>2028</v>
      </c>
      <c r="K203" s="193">
        <f t="shared" si="52"/>
        <v>46941</v>
      </c>
      <c r="L203" s="143">
        <f>IF(t&lt;Tvie,1-EXP((T0-t)*PertePVj)+'2027'!Pspv,1-EXP((T0-t)*PertePVj)+Pspv)</f>
        <v>3.2572028847067225E-2</v>
      </c>
      <c r="M203" s="836"/>
      <c r="N203" s="836"/>
      <c r="O203" s="48">
        <f>IF(t&lt;Tnet,'2027'!Resal+('2027'!Salim-'2027'!Resal)*(1-EXP(('2027'!Tnet-t)/('2027'!Tau_j))),Resal+(Salim-Resal)*(1-EXP((Tnet-t)/(Tau_j))))*Salcycl</f>
        <v>2.7453244490730042E-2</v>
      </c>
      <c r="P203" s="165">
        <f>(INDEX(Models!$BJ203:$BT203,,T203)*(1-R203)+INDEX(Models!$BJ203:$BT203,,T203+1)*R203-ERP_i)*Q203*Ramure*Pc/MaxiM</f>
        <v>1.1127159226454089E-5</v>
      </c>
      <c r="Q203" s="301">
        <f t="shared" si="53"/>
        <v>0.5</v>
      </c>
      <c r="R203" s="173">
        <f t="shared" si="54"/>
        <v>0.37359281737602723</v>
      </c>
      <c r="S203" s="802">
        <f t="shared" si="55"/>
        <v>3</v>
      </c>
      <c r="T203" s="172">
        <f t="shared" si="56"/>
        <v>9</v>
      </c>
      <c r="U203" s="247">
        <f t="shared" si="57"/>
        <v>3.3735928173760272</v>
      </c>
      <c r="V203" s="378">
        <f t="shared" si="58"/>
        <v>60.079625916088055</v>
      </c>
      <c r="W203" s="397">
        <f t="shared" si="59"/>
        <v>61.850517171185814</v>
      </c>
      <c r="X203" s="153">
        <f t="shared" si="60"/>
        <v>46941</v>
      </c>
      <c r="Y203" s="380">
        <f t="shared" si="61"/>
        <v>60.103878261554229</v>
      </c>
      <c r="Z203" s="380">
        <f t="shared" si="62"/>
        <v>62.127496882197235</v>
      </c>
      <c r="AA203" s="381">
        <f t="shared" si="63"/>
        <v>65.737654737042902</v>
      </c>
      <c r="AB203" s="193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5.4917655174749558E-2</v>
      </c>
      <c r="AD203" s="227">
        <f>(INDEX(Models!$BJ203:$BT203,,AH203)*(1-AF203)+INDEX(Models!$BJ203:$BT203,,AH203+1)*AF203-ERP_i)*AE203*Ramure*Pc/MaxiM</f>
        <v>1.1127159226454089E-5</v>
      </c>
      <c r="AE203" s="301">
        <f t="shared" si="65"/>
        <v>0.5</v>
      </c>
      <c r="AF203" s="173">
        <f t="shared" si="66"/>
        <v>0.37359281737602723</v>
      </c>
      <c r="AG203" s="802">
        <f t="shared" si="74"/>
        <v>3</v>
      </c>
      <c r="AH203" s="172">
        <f t="shared" si="67"/>
        <v>9</v>
      </c>
      <c r="AI203" s="221">
        <f t="shared" si="68"/>
        <v>3.3735928173760272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46942</v>
      </c>
      <c r="B204" s="406">
        <f>'2027'!Wh/'2027'!Env_an*'2028'!Env_an</f>
        <v>60.895893606113937</v>
      </c>
      <c r="C204" s="832"/>
      <c r="D204" s="388">
        <f t="shared" si="50"/>
        <v>62.947040035029467</v>
      </c>
      <c r="E204" s="380">
        <f t="shared" si="75"/>
        <v>64.72761639790923</v>
      </c>
      <c r="F204" s="380">
        <f t="shared" si="51"/>
        <v>64.728394543927067</v>
      </c>
      <c r="G204" s="110">
        <f t="shared" si="76"/>
        <v>1.0155672058317351</v>
      </c>
      <c r="H204" s="409" t="b">
        <f>Wh_hp&gt;='2027'!Maxi_hp</f>
        <v>1</v>
      </c>
      <c r="I204" s="385">
        <f>IF(H204,Wh_hp,'2027'!Maxi_hp)</f>
        <v>64.728394543927067</v>
      </c>
      <c r="J204" s="85">
        <f>IF(H204,An,'2027'!An_max)</f>
        <v>2028</v>
      </c>
      <c r="K204" s="193">
        <f t="shared" si="52"/>
        <v>46942</v>
      </c>
      <c r="L204" s="143">
        <f>IF(t&lt;Tvie,1-EXP((T0-t)*PertePVj)+'2027'!Pspv,1-EXP((T0-t)*PertePVj)+Pspv)</f>
        <v>3.2585272123583309E-2</v>
      </c>
      <c r="M204" s="836"/>
      <c r="N204" s="836"/>
      <c r="O204" s="48">
        <f>IF(t&lt;Tnet,'2027'!Resal+('2027'!Salim-'2027'!Resal)*(1-EXP(('2027'!Tnet-t)/('2027'!Tau_j))),Resal+(Salim-Resal)*(1-EXP((Tnet-t)/(Tau_j))))*Salcycl</f>
        <v>2.7508758424437871E-2</v>
      </c>
      <c r="P204" s="165">
        <f>(INDEX(Models!$BJ204:$BT204,,T204)*(1-R204)+INDEX(Models!$BJ204:$BT204,,T204+1)*R204-ERP_i)*Q204*Ramure*Pc/MaxiM</f>
        <v>1.202171046136079E-5</v>
      </c>
      <c r="Q204" s="301">
        <f t="shared" si="53"/>
        <v>0.5</v>
      </c>
      <c r="R204" s="173">
        <f t="shared" si="54"/>
        <v>0.37731092050147907</v>
      </c>
      <c r="S204" s="802">
        <f t="shared" si="55"/>
        <v>3</v>
      </c>
      <c r="T204" s="172">
        <f t="shared" si="56"/>
        <v>9</v>
      </c>
      <c r="U204" s="247">
        <f t="shared" si="57"/>
        <v>3.3773109205014791</v>
      </c>
      <c r="V204" s="378">
        <f t="shared" si="58"/>
        <v>59.962445869095454</v>
      </c>
      <c r="W204" s="397">
        <f t="shared" si="59"/>
        <v>60.895893606113937</v>
      </c>
      <c r="X204" s="153">
        <f t="shared" si="60"/>
        <v>46942</v>
      </c>
      <c r="Y204" s="380">
        <f t="shared" si="61"/>
        <v>59.177435340289342</v>
      </c>
      <c r="Z204" s="380">
        <f t="shared" si="62"/>
        <v>61.170699220375134</v>
      </c>
      <c r="AA204" s="381">
        <f t="shared" si="63"/>
        <v>64.72761639790923</v>
      </c>
      <c r="AB204" s="193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5.495208035575036E-2</v>
      </c>
      <c r="AD204" s="227">
        <f>(INDEX(Models!$BJ204:$BT204,,AH204)*(1-AF204)+INDEX(Models!$BJ204:$BT204,,AH204+1)*AF204-ERP_i)*AE204*Ramure*Pc/MaxiM</f>
        <v>1.202171046136079E-5</v>
      </c>
      <c r="AE204" s="301">
        <f t="shared" si="65"/>
        <v>0.5</v>
      </c>
      <c r="AF204" s="173">
        <f t="shared" si="66"/>
        <v>0.37731092050147907</v>
      </c>
      <c r="AG204" s="802">
        <f t="shared" si="74"/>
        <v>3</v>
      </c>
      <c r="AH204" s="172">
        <f t="shared" si="67"/>
        <v>9</v>
      </c>
      <c r="AI204" s="221">
        <f t="shared" si="68"/>
        <v>3.3773109205014791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46943</v>
      </c>
      <c r="B205" s="406">
        <f>'2027'!Wh/'2027'!Env_an*'2028'!Env_an</f>
        <v>60.255790753228837</v>
      </c>
      <c r="C205" s="832"/>
      <c r="D205" s="388">
        <f t="shared" si="50"/>
        <v>62.286229348570508</v>
      </c>
      <c r="E205" s="380">
        <f t="shared" si="75"/>
        <v>64.051746170602826</v>
      </c>
      <c r="F205" s="380">
        <f t="shared" si="51"/>
        <v>64.052578735294119</v>
      </c>
      <c r="G205" s="110">
        <f t="shared" si="76"/>
        <v>1.0069050210726642</v>
      </c>
      <c r="H205" s="409" t="b">
        <f>Wh_hp&gt;='2027'!Maxi_hp</f>
        <v>1</v>
      </c>
      <c r="I205" s="385">
        <f>IF(H205,Wh_hp,'2027'!Maxi_hp)</f>
        <v>64.052578735294119</v>
      </c>
      <c r="J205" s="85">
        <f>IF(H205,An,'2027'!An_max)</f>
        <v>2028</v>
      </c>
      <c r="K205" s="193">
        <f t="shared" si="52"/>
        <v>46943</v>
      </c>
      <c r="L205" s="143">
        <f>IF(t&lt;Tvie,1-EXP((T0-t)*PertePVj)+'2027'!Pspv,1-EXP((T0-t)*PertePVj)+Pspv)</f>
        <v>3.2598515218810076E-2</v>
      </c>
      <c r="M205" s="836"/>
      <c r="N205" s="836"/>
      <c r="O205" s="48">
        <f>IF(t&lt;Tnet,'2027'!Resal+('2027'!Salim-'2027'!Resal)*(1-EXP(('2027'!Tnet-t)/('2027'!Tau_j))),Resal+(Salim-Resal)*(1-EXP((Tnet-t)/(Tau_j))))*Salcycl</f>
        <v>2.7563913984949669E-2</v>
      </c>
      <c r="P205" s="165">
        <f>(INDEX(Models!$BJ205:$BT205,,T205)*(1-R205)+INDEX(Models!$BJ205:$BT205,,T205+1)*R205-ERP_i)*Q205*Ramure*Pc/MaxiM</f>
        <v>1.2998144770082161E-5</v>
      </c>
      <c r="Q205" s="301">
        <f t="shared" si="53"/>
        <v>0.5</v>
      </c>
      <c r="R205" s="173">
        <f t="shared" si="54"/>
        <v>0.38094830814930791</v>
      </c>
      <c r="S205" s="802">
        <f t="shared" si="55"/>
        <v>3</v>
      </c>
      <c r="T205" s="172">
        <f t="shared" si="56"/>
        <v>9</v>
      </c>
      <c r="U205" s="247">
        <f t="shared" si="57"/>
        <v>3.3809483081493079</v>
      </c>
      <c r="V205" s="378">
        <f t="shared" si="58"/>
        <v>59.842576501443844</v>
      </c>
      <c r="W205" s="397">
        <f t="shared" si="59"/>
        <v>60.255790753228837</v>
      </c>
      <c r="X205" s="153">
        <f t="shared" si="60"/>
        <v>46943</v>
      </c>
      <c r="Y205" s="380">
        <f t="shared" si="61"/>
        <v>58.556625378634912</v>
      </c>
      <c r="Z205" s="380">
        <f t="shared" si="62"/>
        <v>60.529807220504161</v>
      </c>
      <c r="AA205" s="381">
        <f t="shared" si="63"/>
        <v>64.051746170602826</v>
      </c>
      <c r="AB205" s="193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5.49858381802414E-2</v>
      </c>
      <c r="AD205" s="227">
        <f>(INDEX(Models!$BJ205:$BT205,,AH205)*(1-AF205)+INDEX(Models!$BJ205:$BT205,,AH205+1)*AF205-ERP_i)*AE205*Ramure*Pc/MaxiM</f>
        <v>1.2998144770082161E-5</v>
      </c>
      <c r="AE205" s="301">
        <f t="shared" si="65"/>
        <v>0.5</v>
      </c>
      <c r="AF205" s="173">
        <f t="shared" si="66"/>
        <v>0.38094830814930791</v>
      </c>
      <c r="AG205" s="802">
        <f t="shared" si="74"/>
        <v>3</v>
      </c>
      <c r="AH205" s="172">
        <f t="shared" si="67"/>
        <v>9</v>
      </c>
      <c r="AI205" s="221">
        <f t="shared" si="68"/>
        <v>3.3809483081493079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46944</v>
      </c>
      <c r="B206" s="406">
        <f>'2027'!Wh/'2027'!Env_an*'2028'!Env_an</f>
        <v>59.219638400081628</v>
      </c>
      <c r="C206" s="832"/>
      <c r="D206" s="388">
        <f t="shared" si="50"/>
        <v>61.215999778719713</v>
      </c>
      <c r="E206" s="380">
        <f t="shared" si="75"/>
        <v>62.954729017576909</v>
      </c>
      <c r="F206" s="380">
        <f t="shared" si="51"/>
        <v>62.955602031167253</v>
      </c>
      <c r="G206" s="110">
        <f t="shared" si="76"/>
        <v>0.99162703213142811</v>
      </c>
      <c r="H206" s="409" t="b">
        <f>Wh_hp&gt;='2027'!Maxi_hp</f>
        <v>0</v>
      </c>
      <c r="I206" s="385">
        <f>IF(H206,Wh_hp,'2027'!Maxi_hp)</f>
        <v>62.955611805473744</v>
      </c>
      <c r="J206" s="85">
        <f>IF(H206,An,'2027'!An_max)</f>
        <v>2022</v>
      </c>
      <c r="K206" s="193">
        <f t="shared" si="52"/>
        <v>46944</v>
      </c>
      <c r="L206" s="143">
        <f>IF(t&lt;Tvie,1-EXP((T0-t)*PertePVj)+'2027'!Pspv,1-EXP((T0-t)*PertePVj)+Pspv)</f>
        <v>3.2611758132749968E-2</v>
      </c>
      <c r="M206" s="836"/>
      <c r="N206" s="836"/>
      <c r="O206" s="48">
        <f>IF(t&lt;Tnet,'2027'!Resal+('2027'!Salim-'2027'!Resal)*(1-EXP(('2027'!Tnet-t)/('2027'!Tau_j))),Resal+(Salim-Resal)*(1-EXP((Tnet-t)/(Tau_j))))*Salcycl</f>
        <v>2.7618723263374678E-2</v>
      </c>
      <c r="P206" s="165">
        <f>(INDEX(Models!$BJ206:$BT206,,T206)*(1-R206)+INDEX(Models!$BJ206:$BT206,,T206+1)*R206-ERP_i)*Q206*Ramure*Pc/MaxiM</f>
        <v>1.4035005894073433E-5</v>
      </c>
      <c r="Q206" s="301">
        <f t="shared" si="53"/>
        <v>0.5</v>
      </c>
      <c r="R206" s="173">
        <f t="shared" si="54"/>
        <v>0.38450460920767249</v>
      </c>
      <c r="S206" s="802">
        <f t="shared" si="55"/>
        <v>3</v>
      </c>
      <c r="T206" s="172">
        <f t="shared" si="56"/>
        <v>9</v>
      </c>
      <c r="U206" s="247">
        <f t="shared" si="57"/>
        <v>3.3845046092076725</v>
      </c>
      <c r="V206" s="378">
        <f t="shared" si="58"/>
        <v>59.719659246455087</v>
      </c>
      <c r="W206" s="397">
        <f t="shared" si="59"/>
        <v>59.219638400081628</v>
      </c>
      <c r="X206" s="153">
        <f t="shared" si="60"/>
        <v>46944</v>
      </c>
      <c r="Y206" s="380">
        <f t="shared" si="61"/>
        <v>57.550918651771298</v>
      </c>
      <c r="Z206" s="380">
        <f t="shared" si="62"/>
        <v>59.491025589360767</v>
      </c>
      <c r="AA206" s="381">
        <f t="shared" si="63"/>
        <v>62.954729017576909</v>
      </c>
      <c r="AB206" s="193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5.5018955402843205E-2</v>
      </c>
      <c r="AD206" s="227">
        <f>(INDEX(Models!$BJ206:$BT206,,AH206)*(1-AF206)+INDEX(Models!$BJ206:$BT206,,AH206+1)*AF206-ERP_i)*AE206*Ramure*Pc/MaxiM</f>
        <v>1.4035005894073433E-5</v>
      </c>
      <c r="AE206" s="301">
        <f t="shared" si="65"/>
        <v>0.5</v>
      </c>
      <c r="AF206" s="173">
        <f t="shared" si="66"/>
        <v>0.38450460920767249</v>
      </c>
      <c r="AG206" s="802">
        <f t="shared" si="74"/>
        <v>3</v>
      </c>
      <c r="AH206" s="172">
        <f t="shared" si="67"/>
        <v>9</v>
      </c>
      <c r="AI206" s="221">
        <f t="shared" si="68"/>
        <v>3.3845046092076725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46945</v>
      </c>
      <c r="B207" s="406">
        <f>'2027'!Wh/'2027'!Env_an*'2028'!Env_an</f>
        <v>58.291836869532496</v>
      </c>
      <c r="C207" s="832"/>
      <c r="D207" s="388">
        <f t="shared" ref="D207:D270" si="77">Wh/(1-Ppv)</f>
        <v>60.257745881049111</v>
      </c>
      <c r="E207" s="380">
        <f t="shared" si="75"/>
        <v>61.972729535166216</v>
      </c>
      <c r="F207" s="380">
        <f t="shared" ref="F207:F270" si="78">Wh_sa/(1-Pvg*MEDIAN((-Sdif+Wh/Env_an)/Csdif,0,1))</f>
        <v>61.973636707861679</v>
      </c>
      <c r="G207" s="110">
        <f t="shared" si="76"/>
        <v>0.97815733877467681</v>
      </c>
      <c r="H207" s="409" t="b">
        <f>Wh_hp&gt;='2027'!Maxi_hp</f>
        <v>0</v>
      </c>
      <c r="I207" s="385">
        <f>IF(H207,Wh_hp,'2027'!Maxi_hp)</f>
        <v>61.973663730586807</v>
      </c>
      <c r="J207" s="85">
        <f>IF(H207,An,'2027'!An_max)</f>
        <v>2022</v>
      </c>
      <c r="K207" s="193">
        <f t="shared" ref="K207:K270" si="79">t</f>
        <v>46945</v>
      </c>
      <c r="L207" s="143">
        <f>IF(t&lt;Tvie,1-EXP((T0-t)*PertePVj)+'2027'!Pspv,1-EXP((T0-t)*PertePVj)+Pspv)</f>
        <v>3.262500086540554E-2</v>
      </c>
      <c r="M207" s="836"/>
      <c r="N207" s="836"/>
      <c r="O207" s="48">
        <f>IF(t&lt;Tnet,'2027'!Resal+('2027'!Salim-'2027'!Resal)*(1-EXP(('2027'!Tnet-t)/('2027'!Tau_j))),Resal+(Salim-Resal)*(1-EXP((Tnet-t)/(Tau_j))))*Salcycl</f>
        <v>2.7673198630761332E-2</v>
      </c>
      <c r="P207" s="165">
        <f>(INDEX(Models!$BJ207:$BT207,,T207)*(1-R207)+INDEX(Models!$BJ207:$BT207,,T207+1)*R207-ERP_i)*Q207*Ramure*Pc/MaxiM</f>
        <v>1.510950605186337E-5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0.38797960275439047</v>
      </c>
      <c r="S207" s="802">
        <f t="shared" ref="S207:S270" si="82">INDEX(Echel_vg,T207)</f>
        <v>3</v>
      </c>
      <c r="T207" s="172">
        <f t="shared" ref="T207:T270" si="83">MIN(MATCH(Hp_vg,Echel_vg),10)</f>
        <v>9</v>
      </c>
      <c r="U207" s="247">
        <f t="shared" ref="U207:U270" si="84">IF(OR(t&lt;Ttai,Notai),Hdd+PousH*Croivg,Hdtf+PousH*(Croivg-Croi_tai))</f>
        <v>3.3879796027543905</v>
      </c>
      <c r="V207" s="378">
        <f t="shared" ref="V207:V270" si="85">MaxiM*(1-Ppv)*(1-Pvg)*(1-Psa)</f>
        <v>59.59348979546013</v>
      </c>
      <c r="W207" s="397">
        <f t="shared" ref="W207:W270" si="86">Wh*(A207&gt;Tmaj)</f>
        <v>58.291836869532496</v>
      </c>
      <c r="X207" s="153">
        <f t="shared" ref="X207:X270" si="87">t</f>
        <v>46945</v>
      </c>
      <c r="Y207" s="380">
        <f t="shared" ref="Y207:Y270" si="88">Wh_pvt_s*(1-Ppv)</f>
        <v>56.65048635310724</v>
      </c>
      <c r="Z207" s="380">
        <f t="shared" ref="Z207:Z270" si="89">Wh_sa_s*(1-Psa_s)</f>
        <v>58.561040345043331</v>
      </c>
      <c r="AA207" s="381">
        <f t="shared" ref="AA207:AA270" si="90">Wh_hp*(1-Pvg_s*MEDIAN((-Sdif+Wh/Env_an)/Csdif,0,1))</f>
        <v>61.972729535166216</v>
      </c>
      <c r="AB207" s="193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5.505145917749088E-2</v>
      </c>
      <c r="AD207" s="227">
        <f>(INDEX(Models!$BJ207:$BT207,,AH207)*(1-AF207)+INDEX(Models!$BJ207:$BT207,,AH207+1)*AF207-ERP_i)*AE207*Ramure*Pc/MaxiM</f>
        <v>1.510950605186337E-5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0.38797960275439047</v>
      </c>
      <c r="AG207" s="802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3.3879796027543905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46946</v>
      </c>
      <c r="B208" s="406">
        <f>'2027'!Wh/'2027'!Env_an*'2028'!Env_an</f>
        <v>57.136752075393339</v>
      </c>
      <c r="C208" s="832"/>
      <c r="D208" s="388">
        <f t="shared" si="77"/>
        <v>59.064514062664351</v>
      </c>
      <c r="E208" s="380">
        <f t="shared" si="75"/>
        <v>60.748920813583176</v>
      </c>
      <c r="F208" s="380">
        <f t="shared" si="78"/>
        <v>60.749851204208355</v>
      </c>
      <c r="G208" s="110">
        <f t="shared" si="76"/>
        <v>0.96086426044946494</v>
      </c>
      <c r="H208" s="409" t="b">
        <f>Wh_hp&gt;='2027'!Maxi_hp</f>
        <v>0</v>
      </c>
      <c r="I208" s="385">
        <f>IF(H208,Wh_hp,'2027'!Maxi_hp)</f>
        <v>60.749902162317959</v>
      </c>
      <c r="J208" s="85">
        <f>IF(H208,An,'2027'!An_max)</f>
        <v>2022</v>
      </c>
      <c r="K208" s="193">
        <f t="shared" si="79"/>
        <v>46946</v>
      </c>
      <c r="L208" s="143">
        <f>IF(t&lt;Tvie,1-EXP((T0-t)*PertePVj)+'2027'!Pspv,1-EXP((T0-t)*PertePVj)+Pspv)</f>
        <v>3.2638243416779122E-2</v>
      </c>
      <c r="M208" s="836"/>
      <c r="N208" s="836"/>
      <c r="O208" s="48">
        <f>IF(t&lt;Tnet,'2027'!Resal+('2027'!Salim-'2027'!Resal)*(1-EXP(('2027'!Tnet-t)/('2027'!Tau_j))),Resal+(Salim-Resal)*(1-EXP((Tnet-t)/(Tau_j))))*Salcycl</f>
        <v>2.772735265680969E-2</v>
      </c>
      <c r="P208" s="165">
        <f>(INDEX(Models!$BJ208:$BT208,,T208)*(1-R208)+INDEX(Models!$BJ208:$BT208,,T208+1)*R208-ERP_i)*Q208*Ramure*Pc/MaxiM</f>
        <v>1.6222034049374944E-5</v>
      </c>
      <c r="Q208" s="301">
        <f t="shared" si="80"/>
        <v>0.5</v>
      </c>
      <c r="R208" s="173">
        <f t="shared" si="81"/>
        <v>0.39137321197173591</v>
      </c>
      <c r="S208" s="802">
        <f t="shared" si="82"/>
        <v>3</v>
      </c>
      <c r="T208" s="172">
        <f t="shared" si="83"/>
        <v>9</v>
      </c>
      <c r="U208" s="247">
        <f t="shared" si="84"/>
        <v>3.3913732119717359</v>
      </c>
      <c r="V208" s="378">
        <f t="shared" si="85"/>
        <v>59.46386249099475</v>
      </c>
      <c r="W208" s="397">
        <f t="shared" si="86"/>
        <v>57.136752075393339</v>
      </c>
      <c r="X208" s="153">
        <f t="shared" si="87"/>
        <v>46946</v>
      </c>
      <c r="Y208" s="380">
        <f t="shared" si="88"/>
        <v>55.529142955794818</v>
      </c>
      <c r="Z208" s="380">
        <f t="shared" si="89"/>
        <v>57.402665112508735</v>
      </c>
      <c r="AA208" s="381">
        <f t="shared" si="90"/>
        <v>60.748920813583176</v>
      </c>
      <c r="AB208" s="193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5.508337689393538E-2</v>
      </c>
      <c r="AD208" s="227">
        <f>(INDEX(Models!$BJ208:$BT208,,AH208)*(1-AF208)+INDEX(Models!$BJ208:$BT208,,AH208+1)*AF208-ERP_i)*AE208*Ramure*Pc/MaxiM</f>
        <v>1.6222034049374944E-5</v>
      </c>
      <c r="AE208" s="301">
        <f t="shared" si="92"/>
        <v>0.5</v>
      </c>
      <c r="AF208" s="173">
        <f t="shared" si="93"/>
        <v>0.39137321197173591</v>
      </c>
      <c r="AG208" s="802">
        <f t="shared" ref="AG208:AG271" si="99">INDEX(Echel_vg,AH208)</f>
        <v>3</v>
      </c>
      <c r="AH208" s="172">
        <f t="shared" si="94"/>
        <v>9</v>
      </c>
      <c r="AI208" s="221">
        <f t="shared" si="95"/>
        <v>3.3913732119717359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46947</v>
      </c>
      <c r="B209" s="406">
        <f>'2027'!Wh/'2027'!Env_an*'2028'!Env_an</f>
        <v>56.983774437108266</v>
      </c>
      <c r="C209" s="832"/>
      <c r="D209" s="388">
        <f t="shared" si="77"/>
        <v>58.90718143446032</v>
      </c>
      <c r="E209" s="380">
        <f t="shared" si="75"/>
        <v>60.590456916771693</v>
      </c>
      <c r="F209" s="380">
        <f t="shared" si="78"/>
        <v>60.591450090632819</v>
      </c>
      <c r="G209" s="110">
        <f t="shared" si="76"/>
        <v>0.96044445274525025</v>
      </c>
      <c r="H209" s="409" t="b">
        <f>Wh_hp&gt;='2027'!Maxi_hp</f>
        <v>0</v>
      </c>
      <c r="I209" s="385">
        <f>IF(H209,Wh_hp,'2027'!Maxi_hp)</f>
        <v>60.591505110474671</v>
      </c>
      <c r="J209" s="85">
        <f>IF(H209,An,'2027'!An_max)</f>
        <v>2022</v>
      </c>
      <c r="K209" s="193">
        <f t="shared" si="79"/>
        <v>46947</v>
      </c>
      <c r="L209" s="143">
        <f>IF(t&lt;Tvie,1-EXP((T0-t)*PertePVj)+'2027'!Pspv,1-EXP((T0-t)*PertePVj)+Pspv)</f>
        <v>3.265148578687338E-2</v>
      </c>
      <c r="M209" s="836"/>
      <c r="N209" s="836"/>
      <c r="O209" s="48">
        <f>IF(t&lt;Tnet,'2027'!Resal+('2027'!Salim-'2027'!Resal)*(1-EXP(('2027'!Tnet-t)/('2027'!Tau_j))),Resal+(Salim-Resal)*(1-EXP((Tnet-t)/(Tau_j))))*Salcycl</f>
        <v>2.7781198029642729E-2</v>
      </c>
      <c r="P209" s="165">
        <f>(INDEX(Models!$BJ209:$BT209,,T209)*(1-R209)+INDEX(Models!$BJ209:$BT209,,T209+1)*R209-ERP_i)*Q209*Ramure*Pc/MaxiM</f>
        <v>1.7373009534470345E-5</v>
      </c>
      <c r="Q209" s="301">
        <f t="shared" si="80"/>
        <v>0.5</v>
      </c>
      <c r="R209" s="173">
        <f t="shared" si="81"/>
        <v>0.39468549776986883</v>
      </c>
      <c r="S209" s="802">
        <f t="shared" si="82"/>
        <v>3</v>
      </c>
      <c r="T209" s="172">
        <f t="shared" si="83"/>
        <v>9</v>
      </c>
      <c r="U209" s="247">
        <f t="shared" si="84"/>
        <v>3.3946854977698688</v>
      </c>
      <c r="V209" s="378">
        <f t="shared" si="85"/>
        <v>59.330571729527605</v>
      </c>
      <c r="W209" s="397">
        <f t="shared" si="86"/>
        <v>56.983774437108266</v>
      </c>
      <c r="X209" s="153">
        <f t="shared" si="87"/>
        <v>46947</v>
      </c>
      <c r="Y209" s="380">
        <f t="shared" si="88"/>
        <v>55.381698690246573</v>
      </c>
      <c r="Z209" s="380">
        <f t="shared" si="89"/>
        <v>57.251029878611931</v>
      </c>
      <c r="AA209" s="381">
        <f t="shared" si="90"/>
        <v>60.590456916771693</v>
      </c>
      <c r="AB209" s="193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5.511473601770106E-2</v>
      </c>
      <c r="AD209" s="227">
        <f>(INDEX(Models!$BJ209:$BT209,,AH209)*(1-AF209)+INDEX(Models!$BJ209:$BT209,,AH209+1)*AF209-ERP_i)*AE209*Ramure*Pc/MaxiM</f>
        <v>1.7373009534470345E-5</v>
      </c>
      <c r="AE209" s="301">
        <f t="shared" si="92"/>
        <v>0.5</v>
      </c>
      <c r="AF209" s="173">
        <f t="shared" si="93"/>
        <v>0.39468549776986883</v>
      </c>
      <c r="AG209" s="802">
        <f t="shared" si="99"/>
        <v>3</v>
      </c>
      <c r="AH209" s="172">
        <f t="shared" si="94"/>
        <v>9</v>
      </c>
      <c r="AI209" s="221">
        <f t="shared" si="95"/>
        <v>3.3946854977698688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46948</v>
      </c>
      <c r="B210" s="406">
        <f>'2027'!Wh/'2027'!Env_an*'2028'!Env_an</f>
        <v>54.46980095532075</v>
      </c>
      <c r="C210" s="832"/>
      <c r="D210" s="388">
        <f t="shared" si="77"/>
        <v>56.309123145415413</v>
      </c>
      <c r="E210" s="380">
        <f t="shared" si="75"/>
        <v>57.921349276053846</v>
      </c>
      <c r="F210" s="380">
        <f t="shared" si="78"/>
        <v>57.922301908379964</v>
      </c>
      <c r="G210" s="110">
        <f t="shared" si="76"/>
        <v>0.92019844582595911</v>
      </c>
      <c r="H210" s="409" t="b">
        <f>Wh_hp&gt;='2027'!Maxi_hp</f>
        <v>0</v>
      </c>
      <c r="I210" s="385">
        <f>IF(H210,Wh_hp,'2027'!Maxi_hp)</f>
        <v>57.922415298819374</v>
      </c>
      <c r="J210" s="85">
        <f>IF(H210,An,'2027'!An_max)</f>
        <v>2022</v>
      </c>
      <c r="K210" s="193">
        <f t="shared" si="79"/>
        <v>46948</v>
      </c>
      <c r="L210" s="143">
        <f>IF(t&lt;Tvie,1-EXP((T0-t)*PertePVj)+'2027'!Pspv,1-EXP((T0-t)*PertePVj)+Pspv)</f>
        <v>3.2664727975690644E-2</v>
      </c>
      <c r="M210" s="836"/>
      <c r="N210" s="836"/>
      <c r="O210" s="48">
        <f>IF(t&lt;Tnet,'2027'!Resal+('2027'!Salim-'2027'!Resal)*(1-EXP(('2027'!Tnet-t)/('2027'!Tau_j))),Resal+(Salim-Resal)*(1-EXP((Tnet-t)/(Tau_j))))*Salcycl</f>
        <v>2.7834747477213418E-2</v>
      </c>
      <c r="P210" s="165">
        <f>(INDEX(Models!$BJ210:$BT210,,T210)*(1-R210)+INDEX(Models!$BJ210:$BT210,,T210+1)*R210-ERP_i)*Q210*Ramure*Pc/MaxiM</f>
        <v>1.8562886292183829E-5</v>
      </c>
      <c r="Q210" s="301">
        <f t="shared" si="80"/>
        <v>0.5</v>
      </c>
      <c r="R210" s="173">
        <f t="shared" si="81"/>
        <v>0.39791665217502104</v>
      </c>
      <c r="S210" s="802">
        <f t="shared" si="82"/>
        <v>3</v>
      </c>
      <c r="T210" s="172">
        <f t="shared" si="83"/>
        <v>9</v>
      </c>
      <c r="U210" s="247">
        <f t="shared" si="84"/>
        <v>3.397916652175021</v>
      </c>
      <c r="V210" s="378">
        <f t="shared" si="85"/>
        <v>59.193411957781841</v>
      </c>
      <c r="W210" s="397">
        <f t="shared" si="86"/>
        <v>54.46980095532075</v>
      </c>
      <c r="X210" s="153">
        <f t="shared" si="87"/>
        <v>46948</v>
      </c>
      <c r="Y210" s="380">
        <f t="shared" si="88"/>
        <v>52.939593274578435</v>
      </c>
      <c r="Z210" s="380">
        <f t="shared" si="89"/>
        <v>54.727243806372904</v>
      </c>
      <c r="AA210" s="381">
        <f t="shared" si="90"/>
        <v>57.921349276053846</v>
      </c>
      <c r="AB210" s="193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5.5145563934600315E-2</v>
      </c>
      <c r="AD210" s="227">
        <f>(INDEX(Models!$BJ210:$BT210,,AH210)*(1-AF210)+INDEX(Models!$BJ210:$BT210,,AH210+1)*AF210-ERP_i)*AE210*Ramure*Pc/MaxiM</f>
        <v>1.8562886292183829E-5</v>
      </c>
      <c r="AE210" s="301">
        <f t="shared" si="92"/>
        <v>0.5</v>
      </c>
      <c r="AF210" s="173">
        <f t="shared" si="93"/>
        <v>0.39791665217502104</v>
      </c>
      <c r="AG210" s="802">
        <f t="shared" si="99"/>
        <v>3</v>
      </c>
      <c r="AH210" s="172">
        <f t="shared" si="94"/>
        <v>9</v>
      </c>
      <c r="AI210" s="221">
        <f t="shared" si="95"/>
        <v>3.397916652175021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46949</v>
      </c>
      <c r="B211" s="406">
        <f>'2027'!Wh/'2027'!Env_an*'2028'!Env_an</f>
        <v>55.590336368763445</v>
      </c>
      <c r="C211" s="832"/>
      <c r="D211" s="388">
        <f t="shared" si="77"/>
        <v>57.468283202234005</v>
      </c>
      <c r="E211" s="380">
        <f t="shared" si="75"/>
        <v>59.116937154976135</v>
      </c>
      <c r="F211" s="380">
        <f t="shared" si="78"/>
        <v>59.11800923682982</v>
      </c>
      <c r="G211" s="110">
        <f t="shared" si="76"/>
        <v>0.94137500771311422</v>
      </c>
      <c r="H211" s="409" t="b">
        <f>Wh_hp&gt;='2027'!Maxi_hp</f>
        <v>0</v>
      </c>
      <c r="I211" s="385">
        <f>IF(H211,Wh_hp,'2027'!Maxi_hp)</f>
        <v>59.11809989916042</v>
      </c>
      <c r="J211" s="85">
        <f>IF(H211,An,'2027'!An_max)</f>
        <v>2022</v>
      </c>
      <c r="K211" s="193">
        <f t="shared" si="79"/>
        <v>46949</v>
      </c>
      <c r="L211" s="143">
        <f>IF(t&lt;Tvie,1-EXP((T0-t)*PertePVj)+'2027'!Pspv,1-EXP((T0-t)*PertePVj)+Pspv)</f>
        <v>3.2677969983233468E-2</v>
      </c>
      <c r="M211" s="836"/>
      <c r="N211" s="836"/>
      <c r="O211" s="48">
        <f>IF(t&lt;Tnet,'2027'!Resal+('2027'!Salim-'2027'!Resal)*(1-EXP(('2027'!Tnet-t)/('2027'!Tau_j))),Resal+(Salim-Resal)*(1-EXP((Tnet-t)/(Tau_j))))*Salcycl</f>
        <v>2.7888013690901315E-2</v>
      </c>
      <c r="P211" s="165">
        <f>(INDEX(Models!$BJ211:$BT211,,T211)*(1-R211)+INDEX(Models!$BJ211:$BT211,,T211+1)*R211-ERP_i)*Q211*Ramure*Pc/MaxiM</f>
        <v>1.9792155509408312E-5</v>
      </c>
      <c r="Q211" s="301">
        <f t="shared" si="80"/>
        <v>0.5</v>
      </c>
      <c r="R211" s="173">
        <f t="shared" si="81"/>
        <v>0.40106699153636249</v>
      </c>
      <c r="S211" s="802">
        <f t="shared" si="82"/>
        <v>3</v>
      </c>
      <c r="T211" s="172">
        <f t="shared" si="83"/>
        <v>9</v>
      </c>
      <c r="U211" s="247">
        <f t="shared" si="84"/>
        <v>3.4010669915363625</v>
      </c>
      <c r="V211" s="378">
        <f t="shared" si="85"/>
        <v>59.05217768469231</v>
      </c>
      <c r="W211" s="397">
        <f t="shared" si="86"/>
        <v>55.590336368763445</v>
      </c>
      <c r="X211" s="153">
        <f t="shared" si="87"/>
        <v>46949</v>
      </c>
      <c r="Y211" s="380">
        <f t="shared" si="88"/>
        <v>54.029876131748992</v>
      </c>
      <c r="Z211" s="380">
        <f t="shared" si="89"/>
        <v>55.855107663383308</v>
      </c>
      <c r="AA211" s="381">
        <f t="shared" si="90"/>
        <v>59.116937154976135</v>
      </c>
      <c r="AB211" s="193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5.5175887800849317E-2</v>
      </c>
      <c r="AD211" s="227">
        <f>(INDEX(Models!$BJ211:$BT211,,AH211)*(1-AF211)+INDEX(Models!$BJ211:$BT211,,AH211+1)*AF211-ERP_i)*AE211*Ramure*Pc/MaxiM</f>
        <v>1.9792155509408312E-5</v>
      </c>
      <c r="AE211" s="301">
        <f t="shared" si="92"/>
        <v>0.5</v>
      </c>
      <c r="AF211" s="173">
        <f t="shared" si="93"/>
        <v>0.40106699153636249</v>
      </c>
      <c r="AG211" s="802">
        <f t="shared" si="99"/>
        <v>3</v>
      </c>
      <c r="AH211" s="172">
        <f t="shared" si="94"/>
        <v>9</v>
      </c>
      <c r="AI211" s="221">
        <f t="shared" si="95"/>
        <v>3.4010669915363625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46950</v>
      </c>
      <c r="B212" s="406">
        <f>'2027'!Wh/'2027'!Env_an*'2028'!Env_an</f>
        <v>55.991652356166483</v>
      </c>
      <c r="C212" s="832"/>
      <c r="D212" s="388">
        <f t="shared" si="77"/>
        <v>57.883948786310256</v>
      </c>
      <c r="E212" s="380">
        <f t="shared" si="75"/>
        <v>59.547773681675501</v>
      </c>
      <c r="F212" s="380">
        <f t="shared" si="78"/>
        <v>59.54893674384445</v>
      </c>
      <c r="G212" s="110">
        <f t="shared" si="76"/>
        <v>0.95051329295375919</v>
      </c>
      <c r="H212" s="409" t="b">
        <f>Wh_hp&gt;='2027'!Maxi_hp</f>
        <v>0</v>
      </c>
      <c r="I212" s="385">
        <f>IF(H212,Wh_hp,'2027'!Maxi_hp)</f>
        <v>59.549018604675425</v>
      </c>
      <c r="J212" s="85">
        <f>IF(H212,An,'2027'!An_max)</f>
        <v>2022</v>
      </c>
      <c r="K212" s="193">
        <f t="shared" si="79"/>
        <v>46950</v>
      </c>
      <c r="L212" s="143">
        <f>IF(t&lt;Tvie,1-EXP((T0-t)*PertePVj)+'2027'!Pspv,1-EXP((T0-t)*PertePVj)+Pspv)</f>
        <v>3.2691211809504406E-2</v>
      </c>
      <c r="M212" s="836"/>
      <c r="N212" s="836"/>
      <c r="O212" s="48">
        <f>IF(t&lt;Tnet,'2027'!Resal+('2027'!Salim-'2027'!Resal)*(1-EXP(('2027'!Tnet-t)/('2027'!Tau_j))),Resal+(Salim-Resal)*(1-EXP((Tnet-t)/(Tau_j))))*Salcycl</f>
        <v>2.7941009251824571E-2</v>
      </c>
      <c r="P212" s="165">
        <f>(INDEX(Models!$BJ212:$BT212,,T212)*(1-R212)+INDEX(Models!$BJ212:$BT212,,T212+1)*R212-ERP_i)*Q212*Ramure*Pc/MaxiM</f>
        <v>2.1016957193653956E-5</v>
      </c>
      <c r="Q212" s="301">
        <f t="shared" si="80"/>
        <v>0.5</v>
      </c>
      <c r="R212" s="173">
        <f t="shared" si="81"/>
        <v>0.40413694960293878</v>
      </c>
      <c r="S212" s="802">
        <f t="shared" si="82"/>
        <v>3</v>
      </c>
      <c r="T212" s="172">
        <f t="shared" si="83"/>
        <v>9</v>
      </c>
      <c r="U212" s="247">
        <f t="shared" si="84"/>
        <v>3.4041369496029388</v>
      </c>
      <c r="V212" s="378">
        <f t="shared" si="85"/>
        <v>58.906666092509177</v>
      </c>
      <c r="W212" s="397">
        <f t="shared" si="86"/>
        <v>55.991652356166483</v>
      </c>
      <c r="X212" s="153">
        <f t="shared" si="87"/>
        <v>46950</v>
      </c>
      <c r="Y212" s="380">
        <f t="shared" si="88"/>
        <v>54.421174610886062</v>
      </c>
      <c r="Z212" s="380">
        <f t="shared" si="89"/>
        <v>56.260395103707779</v>
      </c>
      <c r="AA212" s="381">
        <f t="shared" si="90"/>
        <v>59.547773681675501</v>
      </c>
      <c r="AB212" s="193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5.5205734399762035E-2</v>
      </c>
      <c r="AD212" s="227">
        <f>(INDEX(Models!$BJ212:$BT212,,AH212)*(1-AF212)+INDEX(Models!$BJ212:$BT212,,AH212+1)*AF212-ERP_i)*AE212*Ramure*Pc/MaxiM</f>
        <v>2.1016957193653956E-5</v>
      </c>
      <c r="AE212" s="301">
        <f t="shared" si="92"/>
        <v>0.5</v>
      </c>
      <c r="AF212" s="173">
        <f t="shared" si="93"/>
        <v>0.40413694960293878</v>
      </c>
      <c r="AG212" s="802">
        <f t="shared" si="99"/>
        <v>3</v>
      </c>
      <c r="AH212" s="172">
        <f t="shared" si="94"/>
        <v>9</v>
      </c>
      <c r="AI212" s="221">
        <f t="shared" si="95"/>
        <v>3.4041369496029388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46951</v>
      </c>
      <c r="B213" s="406">
        <f>'2027'!Wh/'2027'!Env_an*'2028'!Env_an</f>
        <v>57.701057848005505</v>
      </c>
      <c r="C213" s="832"/>
      <c r="D213" s="388">
        <f t="shared" si="77"/>
        <v>59.651942008906673</v>
      </c>
      <c r="E213" s="380">
        <f t="shared" si="75"/>
        <v>61.369915880495881</v>
      </c>
      <c r="F213" s="380">
        <f t="shared" si="78"/>
        <v>61.371242371752118</v>
      </c>
      <c r="G213" s="110">
        <f t="shared" si="76"/>
        <v>0.98203353073192712</v>
      </c>
      <c r="H213" s="409" t="b">
        <f>Wh_hp&gt;='2027'!Maxi_hp</f>
        <v>0</v>
      </c>
      <c r="I213" s="385">
        <f>IF(H213,Wh_hp,'2027'!Maxi_hp)</f>
        <v>61.371274698126008</v>
      </c>
      <c r="J213" s="85">
        <f>IF(H213,An,'2027'!An_max)</f>
        <v>2022</v>
      </c>
      <c r="K213" s="193">
        <f t="shared" si="79"/>
        <v>46951</v>
      </c>
      <c r="L213" s="143">
        <f>IF(t&lt;Tvie,1-EXP((T0-t)*PertePVj)+'2027'!Pspv,1-EXP((T0-t)*PertePVj)+Pspv)</f>
        <v>3.2704453454505789E-2</v>
      </c>
      <c r="M213" s="836"/>
      <c r="N213" s="836"/>
      <c r="O213" s="48">
        <f>IF(t&lt;Tnet,'2027'!Resal+('2027'!Salim-'2027'!Resal)*(1-EXP(('2027'!Tnet-t)/('2027'!Tau_j))),Resal+(Salim-Resal)*(1-EXP((Tnet-t)/(Tau_j))))*Salcycl</f>
        <v>2.7993746560359967E-2</v>
      </c>
      <c r="P213" s="165">
        <f>(INDEX(Models!$BJ213:$BT213,,T213)*(1-R213)+INDEX(Models!$BJ213:$BT213,,T213+1)*R213-ERP_i)*Q213*Ramure*Pc/MaxiM</f>
        <v>2.218356978514208E-5</v>
      </c>
      <c r="Q213" s="301">
        <f t="shared" si="80"/>
        <v>0.5</v>
      </c>
      <c r="R213" s="173">
        <f t="shared" si="81"/>
        <v>0.40712707051922958</v>
      </c>
      <c r="S213" s="802">
        <f t="shared" si="82"/>
        <v>3</v>
      </c>
      <c r="T213" s="172">
        <f t="shared" si="83"/>
        <v>9</v>
      </c>
      <c r="U213" s="247">
        <f t="shared" si="84"/>
        <v>3.4071270705192296</v>
      </c>
      <c r="V213" s="378">
        <f t="shared" si="85"/>
        <v>58.756674990459324</v>
      </c>
      <c r="W213" s="397">
        <f t="shared" si="86"/>
        <v>57.701057848005505</v>
      </c>
      <c r="X213" s="153">
        <f t="shared" si="87"/>
        <v>46951</v>
      </c>
      <c r="Y213" s="380">
        <f t="shared" si="88"/>
        <v>56.083931788898482</v>
      </c>
      <c r="Z213" s="380">
        <f t="shared" si="89"/>
        <v>57.980140598384033</v>
      </c>
      <c r="AA213" s="381">
        <f t="shared" si="90"/>
        <v>61.369915880495881</v>
      </c>
      <c r="AB213" s="193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5.5235130005924622E-2</v>
      </c>
      <c r="AD213" s="227">
        <f>(INDEX(Models!$BJ213:$BT213,,AH213)*(1-AF213)+INDEX(Models!$BJ213:$BT213,,AH213+1)*AF213-ERP_i)*AE213*Ramure*Pc/MaxiM</f>
        <v>2.218356978514208E-5</v>
      </c>
      <c r="AE213" s="301">
        <f t="shared" si="92"/>
        <v>0.5</v>
      </c>
      <c r="AF213" s="173">
        <f t="shared" si="93"/>
        <v>0.40712707051922958</v>
      </c>
      <c r="AG213" s="802">
        <f t="shared" si="99"/>
        <v>3</v>
      </c>
      <c r="AH213" s="172">
        <f t="shared" si="94"/>
        <v>9</v>
      </c>
      <c r="AI213" s="221">
        <f t="shared" si="95"/>
        <v>3.4071270705192296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46952</v>
      </c>
      <c r="B214" s="406">
        <f>'2027'!Wh/'2027'!Env_an*'2028'!Env_an</f>
        <v>42.383326180938177</v>
      </c>
      <c r="C214" s="832"/>
      <c r="D214" s="388">
        <f t="shared" si="77"/>
        <v>43.816914625927858</v>
      </c>
      <c r="E214" s="380">
        <f t="shared" si="75"/>
        <v>45.081274777275674</v>
      </c>
      <c r="F214" s="380">
        <f t="shared" si="78"/>
        <v>45.081909651297153</v>
      </c>
      <c r="G214" s="110">
        <f t="shared" si="76"/>
        <v>0.72323361868024361</v>
      </c>
      <c r="H214" s="409" t="b">
        <f>Wh_hp&gt;='2027'!Maxi_hp</f>
        <v>0</v>
      </c>
      <c r="I214" s="385">
        <f>IF(H214,Wh_hp,'2027'!Maxi_hp)</f>
        <v>45.082293640742087</v>
      </c>
      <c r="J214" s="85">
        <f>IF(H214,An,'2027'!An_max)</f>
        <v>2022</v>
      </c>
      <c r="K214" s="193">
        <f t="shared" si="79"/>
        <v>46952</v>
      </c>
      <c r="L214" s="143">
        <f>IF(t&lt;Tvie,1-EXP((T0-t)*PertePVj)+'2027'!Pspv,1-EXP((T0-t)*PertePVj)+Pspv)</f>
        <v>3.271769491824017E-2</v>
      </c>
      <c r="M214" s="836"/>
      <c r="N214" s="836"/>
      <c r="O214" s="48">
        <f>IF(t&lt;Tnet,'2027'!Resal+('2027'!Salim-'2027'!Resal)*(1-EXP(('2027'!Tnet-t)/('2027'!Tau_j))),Resal+(Salim-Resal)*(1-EXP((Tnet-t)/(Tau_j))))*Salcycl</f>
        <v>2.8046237769326566E-2</v>
      </c>
      <c r="P214" s="165">
        <f>(INDEX(Models!$BJ214:$BT214,,T214)*(1-R214)+INDEX(Models!$BJ214:$BT214,,T214+1)*R214-ERP_i)*Q214*Ramure*Pc/MaxiM</f>
        <v>2.3291437882332527E-5</v>
      </c>
      <c r="Q214" s="301">
        <f t="shared" si="80"/>
        <v>0.5</v>
      </c>
      <c r="R214" s="173">
        <f t="shared" si="81"/>
        <v>0.41003800178479333</v>
      </c>
      <c r="S214" s="802">
        <f t="shared" si="82"/>
        <v>3</v>
      </c>
      <c r="T214" s="172">
        <f t="shared" si="83"/>
        <v>9</v>
      </c>
      <c r="U214" s="247">
        <f t="shared" si="84"/>
        <v>3.4100380017847933</v>
      </c>
      <c r="V214" s="378">
        <f t="shared" si="85"/>
        <v>58.601999109101406</v>
      </c>
      <c r="W214" s="397">
        <f t="shared" si="86"/>
        <v>42.383326180938177</v>
      </c>
      <c r="X214" s="153">
        <f t="shared" si="87"/>
        <v>46952</v>
      </c>
      <c r="Y214" s="380">
        <f t="shared" si="88"/>
        <v>41.196455376360142</v>
      </c>
      <c r="Z214" s="380">
        <f t="shared" si="89"/>
        <v>42.589898688240758</v>
      </c>
      <c r="AA214" s="381">
        <f t="shared" si="90"/>
        <v>45.081274777275674</v>
      </c>
      <c r="AB214" s="193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5.5264100257669618E-2</v>
      </c>
      <c r="AD214" s="227">
        <f>(INDEX(Models!$BJ214:$BT214,,AH214)*(1-AF214)+INDEX(Models!$BJ214:$BT214,,AH214+1)*AF214-ERP_i)*AE214*Ramure*Pc/MaxiM</f>
        <v>2.3291437882332527E-5</v>
      </c>
      <c r="AE214" s="301">
        <f t="shared" si="92"/>
        <v>0.5</v>
      </c>
      <c r="AF214" s="173">
        <f t="shared" si="93"/>
        <v>0.41003800178479333</v>
      </c>
      <c r="AG214" s="802">
        <f t="shared" si="99"/>
        <v>3</v>
      </c>
      <c r="AH214" s="172">
        <f t="shared" si="94"/>
        <v>9</v>
      </c>
      <c r="AI214" s="221">
        <f t="shared" si="95"/>
        <v>3.4100380017847933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46953</v>
      </c>
      <c r="B215" s="406">
        <f>'2027'!Wh/'2027'!Env_an*'2028'!Env_an</f>
        <v>39.80010486318259</v>
      </c>
      <c r="C215" s="832"/>
      <c r="D215" s="388">
        <f t="shared" si="77"/>
        <v>41.146880793285852</v>
      </c>
      <c r="E215" s="380">
        <f t="shared" si="75"/>
        <v>42.336471926220987</v>
      </c>
      <c r="F215" s="380">
        <f t="shared" si="78"/>
        <v>42.337032824858376</v>
      </c>
      <c r="G215" s="110">
        <f t="shared" si="76"/>
        <v>0.6810062688712708</v>
      </c>
      <c r="H215" s="409" t="b">
        <f>Wh_hp&gt;='2027'!Maxi_hp</f>
        <v>0</v>
      </c>
      <c r="I215" s="385">
        <f>IF(H215,Wh_hp,'2027'!Maxi_hp)</f>
        <v>42.337467031367346</v>
      </c>
      <c r="J215" s="85">
        <f>IF(H215,An,'2027'!An_max)</f>
        <v>2022</v>
      </c>
      <c r="K215" s="193">
        <f t="shared" si="79"/>
        <v>46953</v>
      </c>
      <c r="L215" s="143">
        <f>IF(t&lt;Tvie,1-EXP((T0-t)*PertePVj)+'2027'!Pspv,1-EXP((T0-t)*PertePVj)+Pspv)</f>
        <v>3.2730936200710103E-2</v>
      </c>
      <c r="M215" s="836"/>
      <c r="N215" s="836"/>
      <c r="O215" s="48">
        <f>IF(t&lt;Tnet,'2027'!Resal+('2027'!Salim-'2027'!Resal)*(1-EXP(('2027'!Tnet-t)/('2027'!Tau_j))),Resal+(Salim-Resal)*(1-EXP((Tnet-t)/(Tau_j))))*Salcycl</f>
        <v>2.8098494721246786E-2</v>
      </c>
      <c r="P215" s="165">
        <f>(INDEX(Models!$BJ215:$BT215,,T215)*(1-R215)+INDEX(Models!$BJ215:$BT215,,T215+1)*R215-ERP_i)*Q215*Ramure*Pc/MaxiM</f>
        <v>2.4340039359651495E-5</v>
      </c>
      <c r="Q215" s="301">
        <f t="shared" si="80"/>
        <v>0.5</v>
      </c>
      <c r="R215" s="173">
        <f t="shared" si="81"/>
        <v>0.41287048722022845</v>
      </c>
      <c r="S215" s="802">
        <f t="shared" si="82"/>
        <v>3</v>
      </c>
      <c r="T215" s="172">
        <f t="shared" si="83"/>
        <v>9</v>
      </c>
      <c r="U215" s="247">
        <f t="shared" si="84"/>
        <v>3.4128704872202285</v>
      </c>
      <c r="V215" s="378">
        <f t="shared" si="85"/>
        <v>58.442433247406598</v>
      </c>
      <c r="W215" s="397">
        <f t="shared" si="86"/>
        <v>39.80010486318259</v>
      </c>
      <c r="X215" s="153">
        <f t="shared" si="87"/>
        <v>46953</v>
      </c>
      <c r="Y215" s="380">
        <f t="shared" si="88"/>
        <v>38.686482728203821</v>
      </c>
      <c r="Z215" s="380">
        <f t="shared" si="89"/>
        <v>39.995575353406878</v>
      </c>
      <c r="AA215" s="381">
        <f t="shared" si="90"/>
        <v>42.336471926220987</v>
      </c>
      <c r="AB215" s="193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5.5292670038579315E-2</v>
      </c>
      <c r="AD215" s="227">
        <f>(INDEX(Models!$BJ215:$BT215,,AH215)*(1-AF215)+INDEX(Models!$BJ215:$BT215,,AH215+1)*AF215-ERP_i)*AE215*Ramure*Pc/MaxiM</f>
        <v>2.4340039359651495E-5</v>
      </c>
      <c r="AE215" s="301">
        <f t="shared" si="92"/>
        <v>0.5</v>
      </c>
      <c r="AF215" s="173">
        <f t="shared" si="93"/>
        <v>0.41287048722022845</v>
      </c>
      <c r="AG215" s="802">
        <f t="shared" si="99"/>
        <v>3</v>
      </c>
      <c r="AH215" s="172">
        <f t="shared" si="94"/>
        <v>9</v>
      </c>
      <c r="AI215" s="221">
        <f t="shared" si="95"/>
        <v>3.4128704872202285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46954</v>
      </c>
      <c r="B216" s="406">
        <f>'2027'!Wh/'2027'!Env_an*'2028'!Env_an</f>
        <v>54.919467281743231</v>
      </c>
      <c r="C216" s="832"/>
      <c r="D216" s="388">
        <f t="shared" si="77"/>
        <v>56.778637039940278</v>
      </c>
      <c r="E216" s="380">
        <f t="shared" si="75"/>
        <v>58.423283366192067</v>
      </c>
      <c r="F216" s="380">
        <f t="shared" si="78"/>
        <v>58.424641373354461</v>
      </c>
      <c r="G216" s="110">
        <f t="shared" si="76"/>
        <v>0.94237220491610119</v>
      </c>
      <c r="H216" s="409" t="b">
        <f>Wh_hp&gt;='2027'!Maxi_hp</f>
        <v>0</v>
      </c>
      <c r="I216" s="385">
        <f>IF(H216,Wh_hp,'2027'!Maxi_hp)</f>
        <v>58.424753973984458</v>
      </c>
      <c r="J216" s="85">
        <f>IF(H216,An,'2027'!An_max)</f>
        <v>2022</v>
      </c>
      <c r="K216" s="193">
        <f t="shared" si="79"/>
        <v>46954</v>
      </c>
      <c r="L216" s="143">
        <f>IF(t&lt;Tvie,1-EXP((T0-t)*PertePVj)+'2027'!Pspv,1-EXP((T0-t)*PertePVj)+Pspv)</f>
        <v>3.2744177301917921E-2</v>
      </c>
      <c r="M216" s="836"/>
      <c r="N216" s="836"/>
      <c r="O216" s="48">
        <f>IF(t&lt;Tnet,'2027'!Resal+('2027'!Salim-'2027'!Resal)*(1-EXP(('2027'!Tnet-t)/('2027'!Tau_j))),Resal+(Salim-Resal)*(1-EXP((Tnet-t)/(Tau_j))))*Salcycl</f>
        <v>2.8150528890053737E-2</v>
      </c>
      <c r="P216" s="165">
        <f>(INDEX(Models!$BJ216:$BT216,,T216)*(1-R216)+INDEX(Models!$BJ216:$BT216,,T216+1)*R216-ERP_i)*Q216*Ramure*Pc/MaxiM</f>
        <v>2.5328879376052599E-5</v>
      </c>
      <c r="Q216" s="301">
        <f t="shared" si="80"/>
        <v>0.5</v>
      </c>
      <c r="R216" s="173">
        <f t="shared" si="81"/>
        <v>0.41562535997828842</v>
      </c>
      <c r="S216" s="802">
        <f t="shared" si="82"/>
        <v>3</v>
      </c>
      <c r="T216" s="172">
        <f t="shared" si="83"/>
        <v>9</v>
      </c>
      <c r="U216" s="247">
        <f t="shared" si="84"/>
        <v>3.4156253599782884</v>
      </c>
      <c r="V216" s="378">
        <f t="shared" si="85"/>
        <v>58.277772283422252</v>
      </c>
      <c r="W216" s="397">
        <f t="shared" si="86"/>
        <v>54.919467281743231</v>
      </c>
      <c r="X216" s="153">
        <f t="shared" si="87"/>
        <v>46954</v>
      </c>
      <c r="Y216" s="380">
        <f t="shared" si="88"/>
        <v>53.384064588436033</v>
      </c>
      <c r="Z216" s="380">
        <f t="shared" si="89"/>
        <v>55.191256889542927</v>
      </c>
      <c r="AA216" s="381">
        <f t="shared" si="90"/>
        <v>58.423283366192067</v>
      </c>
      <c r="AB216" s="193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5.5320863368651836E-2</v>
      </c>
      <c r="AD216" s="227">
        <f>(INDEX(Models!$BJ216:$BT216,,AH216)*(1-AF216)+INDEX(Models!$BJ216:$BT216,,AH216+1)*AF216-ERP_i)*AE216*Ramure*Pc/MaxiM</f>
        <v>2.5328879376052599E-5</v>
      </c>
      <c r="AE216" s="301">
        <f t="shared" si="92"/>
        <v>0.5</v>
      </c>
      <c r="AF216" s="173">
        <f t="shared" si="93"/>
        <v>0.41562535997828842</v>
      </c>
      <c r="AG216" s="802">
        <f t="shared" si="99"/>
        <v>3</v>
      </c>
      <c r="AH216" s="172">
        <f t="shared" si="94"/>
        <v>9</v>
      </c>
      <c r="AI216" s="221">
        <f t="shared" si="95"/>
        <v>3.4156253599782884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46955</v>
      </c>
      <c r="B217" s="406">
        <f>'2027'!Wh/'2027'!Env_an*'2028'!Env_an</f>
        <v>47.169055321578803</v>
      </c>
      <c r="C217" s="832"/>
      <c r="D217" s="388">
        <f t="shared" si="77"/>
        <v>48.766520633185323</v>
      </c>
      <c r="E217" s="380">
        <f t="shared" si="75"/>
        <v>50.181764382538795</v>
      </c>
      <c r="F217" s="380">
        <f t="shared" si="78"/>
        <v>50.182727696307559</v>
      </c>
      <c r="G217" s="110">
        <f t="shared" si="76"/>
        <v>0.81174494932012486</v>
      </c>
      <c r="H217" s="409" t="b">
        <f>Wh_hp&gt;='2027'!Maxi_hp</f>
        <v>0</v>
      </c>
      <c r="I217" s="385">
        <f>IF(H217,Wh_hp,'2027'!Maxi_hp)</f>
        <v>50.183055073170451</v>
      </c>
      <c r="J217" s="85">
        <f>IF(H217,An,'2027'!An_max)</f>
        <v>2022</v>
      </c>
      <c r="K217" s="193">
        <f t="shared" si="79"/>
        <v>46955</v>
      </c>
      <c r="L217" s="143">
        <f>IF(t&lt;Tvie,1-EXP((T0-t)*PertePVj)+'2027'!Pspv,1-EXP((T0-t)*PertePVj)+Pspv)</f>
        <v>3.2757418221866286E-2</v>
      </c>
      <c r="M217" s="836"/>
      <c r="N217" s="836"/>
      <c r="O217" s="48">
        <f>IF(t&lt;Tnet,'2027'!Resal+('2027'!Salim-'2027'!Resal)*(1-EXP(('2027'!Tnet-t)/('2027'!Tau_j))),Resal+(Salim-Resal)*(1-EXP((Tnet-t)/(Tau_j))))*Salcycl</f>
        <v>2.8202351327565399E-2</v>
      </c>
      <c r="P217" s="165">
        <f>(INDEX(Models!$BJ217:$BT217,,T217)*(1-R217)+INDEX(Models!$BJ217:$BT217,,T217+1)*R217-ERP_i)*Q217*Ramure*Pc/MaxiM</f>
        <v>2.6257484287222211E-5</v>
      </c>
      <c r="Q217" s="301">
        <f t="shared" si="80"/>
        <v>0.5</v>
      </c>
      <c r="R217" s="173">
        <f t="shared" si="81"/>
        <v>0.41830353563556733</v>
      </c>
      <c r="S217" s="802">
        <f t="shared" si="82"/>
        <v>3</v>
      </c>
      <c r="T217" s="172">
        <f t="shared" si="83"/>
        <v>9</v>
      </c>
      <c r="U217" s="247">
        <f t="shared" si="84"/>
        <v>3.4183035356355673</v>
      </c>
      <c r="V217" s="378">
        <f t="shared" si="85"/>
        <v>58.107811175059162</v>
      </c>
      <c r="W217" s="397">
        <f t="shared" si="86"/>
        <v>47.169055321578803</v>
      </c>
      <c r="X217" s="153">
        <f t="shared" si="87"/>
        <v>46955</v>
      </c>
      <c r="Y217" s="380">
        <f t="shared" si="88"/>
        <v>45.851427335975877</v>
      </c>
      <c r="Z217" s="380">
        <f t="shared" si="89"/>
        <v>47.404268794374985</v>
      </c>
      <c r="AA217" s="381">
        <f t="shared" si="90"/>
        <v>50.181764382538795</v>
      </c>
      <c r="AB217" s="193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5.5348703305662612E-2</v>
      </c>
      <c r="AD217" s="227">
        <f>(INDEX(Models!$BJ217:$BT217,,AH217)*(1-AF217)+INDEX(Models!$BJ217:$BT217,,AH217+1)*AF217-ERP_i)*AE217*Ramure*Pc/MaxiM</f>
        <v>2.6257484287222211E-5</v>
      </c>
      <c r="AE217" s="301">
        <f t="shared" si="92"/>
        <v>0.5</v>
      </c>
      <c r="AF217" s="173">
        <f t="shared" si="93"/>
        <v>0.41830353563556733</v>
      </c>
      <c r="AG217" s="802">
        <f t="shared" si="99"/>
        <v>3</v>
      </c>
      <c r="AH217" s="172">
        <f t="shared" si="94"/>
        <v>9</v>
      </c>
      <c r="AI217" s="221">
        <f t="shared" si="95"/>
        <v>3.4183035356355673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46956</v>
      </c>
      <c r="B218" s="406">
        <f>'2027'!Wh/'2027'!Env_an*'2028'!Env_an</f>
        <v>44.632816879411187</v>
      </c>
      <c r="C218" s="832"/>
      <c r="D218" s="388">
        <f t="shared" si="77"/>
        <v>46.145019578754805</v>
      </c>
      <c r="E218" s="380">
        <f t="shared" si="75"/>
        <v>47.486707718201124</v>
      </c>
      <c r="F218" s="380">
        <f t="shared" si="78"/>
        <v>47.487573389526112</v>
      </c>
      <c r="G218" s="110">
        <f t="shared" si="76"/>
        <v>0.77042315229779323</v>
      </c>
      <c r="H218" s="409" t="b">
        <f>Wh_hp&gt;='2027'!Maxi_hp</f>
        <v>0</v>
      </c>
      <c r="I218" s="385">
        <f>IF(H218,Wh_hp,'2027'!Maxi_hp)</f>
        <v>47.487963460820495</v>
      </c>
      <c r="J218" s="85">
        <f>IF(H218,An,'2027'!An_max)</f>
        <v>2022</v>
      </c>
      <c r="K218" s="193">
        <f t="shared" si="79"/>
        <v>46956</v>
      </c>
      <c r="L218" s="143">
        <f>IF(t&lt;Tvie,1-EXP((T0-t)*PertePVj)+'2027'!Pspv,1-EXP((T0-t)*PertePVj)+Pspv)</f>
        <v>3.2770658960557419E-2</v>
      </c>
      <c r="M218" s="836"/>
      <c r="N218" s="836"/>
      <c r="O218" s="48">
        <f>IF(t&lt;Tnet,'2027'!Resal+('2027'!Salim-'2027'!Resal)*(1-EXP(('2027'!Tnet-t)/('2027'!Tau_j))),Resal+(Salim-Resal)*(1-EXP((Tnet-t)/(Tau_j))))*Salcycl</f>
        <v>2.8253972614994825E-2</v>
      </c>
      <c r="P218" s="165">
        <f>(INDEX(Models!$BJ218:$BT218,,T218)*(1-R218)+INDEX(Models!$BJ218:$BT218,,T218+1)*R218-ERP_i)*Q218*Ramure*Pc/MaxiM</f>
        <v>2.7125395492858683E-5</v>
      </c>
      <c r="Q218" s="301">
        <f t="shared" si="80"/>
        <v>0.5</v>
      </c>
      <c r="R218" s="173">
        <f t="shared" si="81"/>
        <v>0.42090600539669953</v>
      </c>
      <c r="S218" s="802">
        <f t="shared" si="82"/>
        <v>3</v>
      </c>
      <c r="T218" s="172">
        <f t="shared" si="83"/>
        <v>9</v>
      </c>
      <c r="U218" s="247">
        <f t="shared" si="84"/>
        <v>3.4209060053966995</v>
      </c>
      <c r="V218" s="378">
        <f t="shared" si="85"/>
        <v>57.93234495483668</v>
      </c>
      <c r="W218" s="397">
        <f t="shared" si="86"/>
        <v>44.632816879411187</v>
      </c>
      <c r="X218" s="153">
        <f t="shared" si="87"/>
        <v>46956</v>
      </c>
      <c r="Y218" s="380">
        <f t="shared" si="88"/>
        <v>43.387077865985795</v>
      </c>
      <c r="Z218" s="380">
        <f t="shared" si="89"/>
        <v>44.857073731199513</v>
      </c>
      <c r="AA218" s="381">
        <f t="shared" si="90"/>
        <v>47.486707718201124</v>
      </c>
      <c r="AB218" s="193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5.5376211857148798E-2</v>
      </c>
      <c r="AD218" s="227">
        <f>(INDEX(Models!$BJ218:$BT218,,AH218)*(1-AF218)+INDEX(Models!$BJ218:$BT218,,AH218+1)*AF218-ERP_i)*AE218*Ramure*Pc/MaxiM</f>
        <v>2.7125395492858683E-5</v>
      </c>
      <c r="AE218" s="301">
        <f t="shared" si="92"/>
        <v>0.5</v>
      </c>
      <c r="AF218" s="173">
        <f t="shared" si="93"/>
        <v>0.42090600539669953</v>
      </c>
      <c r="AG218" s="802">
        <f t="shared" si="99"/>
        <v>3</v>
      </c>
      <c r="AH218" s="172">
        <f t="shared" si="94"/>
        <v>9</v>
      </c>
      <c r="AI218" s="221">
        <f t="shared" si="95"/>
        <v>3.4209060053966995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46957</v>
      </c>
      <c r="B219" s="406">
        <f>'2027'!Wh/'2027'!Env_an*'2028'!Env_an</f>
        <v>54.340727885647375</v>
      </c>
      <c r="C219" s="832"/>
      <c r="D219" s="388">
        <f t="shared" si="77"/>
        <v>56.182613025741638</v>
      </c>
      <c r="E219" s="380">
        <f t="shared" si="75"/>
        <v>57.819209027996258</v>
      </c>
      <c r="F219" s="380">
        <f t="shared" si="78"/>
        <v>57.820687869790525</v>
      </c>
      <c r="G219" s="110">
        <f t="shared" si="76"/>
        <v>0.94095348133188195</v>
      </c>
      <c r="H219" s="409" t="b">
        <f>Wh_hp&gt;='2027'!Maxi_hp</f>
        <v>0</v>
      </c>
      <c r="I219" s="385">
        <f>IF(H219,Wh_hp,'2027'!Maxi_hp)</f>
        <v>57.820813582801875</v>
      </c>
      <c r="J219" s="85">
        <f>IF(H219,An,'2027'!An_max)</f>
        <v>2022</v>
      </c>
      <c r="K219" s="193">
        <f t="shared" si="79"/>
        <v>46957</v>
      </c>
      <c r="L219" s="143">
        <f>IF(t&lt;Tvie,1-EXP((T0-t)*PertePVj)+'2027'!Pspv,1-EXP((T0-t)*PertePVj)+Pspv)</f>
        <v>3.2783899517994097E-2</v>
      </c>
      <c r="M219" s="836"/>
      <c r="N219" s="836"/>
      <c r="O219" s="48">
        <f>IF(t&lt;Tnet,'2027'!Resal+('2027'!Salim-'2027'!Resal)*(1-EXP(('2027'!Tnet-t)/('2027'!Tau_j))),Resal+(Salim-Resal)*(1-EXP((Tnet-t)/(Tau_j))))*Salcycl</f>
        <v>2.8305402819713051E-2</v>
      </c>
      <c r="P219" s="165">
        <f>(INDEX(Models!$BJ219:$BT219,,T219)*(1-R219)+INDEX(Models!$BJ219:$BT219,,T219+1)*R219-ERP_i)*Q219*Ramure*Pc/MaxiM</f>
        <v>2.793241519990574E-5</v>
      </c>
      <c r="Q219" s="301">
        <f t="shared" si="80"/>
        <v>0.5</v>
      </c>
      <c r="R219" s="173">
        <f t="shared" si="81"/>
        <v>0.42343382943957675</v>
      </c>
      <c r="S219" s="802">
        <f t="shared" si="82"/>
        <v>3</v>
      </c>
      <c r="T219" s="172">
        <f t="shared" si="83"/>
        <v>9</v>
      </c>
      <c r="U219" s="247">
        <f t="shared" si="84"/>
        <v>3.4234338294395767</v>
      </c>
      <c r="V219" s="378">
        <f t="shared" si="85"/>
        <v>57.750569958913772</v>
      </c>
      <c r="W219" s="397">
        <f t="shared" si="86"/>
        <v>54.340727885647375</v>
      </c>
      <c r="X219" s="153">
        <f t="shared" si="87"/>
        <v>46957</v>
      </c>
      <c r="Y219" s="380">
        <f t="shared" si="88"/>
        <v>52.825307882852691</v>
      </c>
      <c r="Z219" s="380">
        <f t="shared" si="89"/>
        <v>54.615827689931486</v>
      </c>
      <c r="AA219" s="381">
        <f t="shared" si="90"/>
        <v>57.819209027996258</v>
      </c>
      <c r="AB219" s="193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5.5403409903336497E-2</v>
      </c>
      <c r="AD219" s="227">
        <f>(INDEX(Models!$BJ219:$BT219,,AH219)*(1-AF219)+INDEX(Models!$BJ219:$BT219,,AH219+1)*AF219-ERP_i)*AE219*Ramure*Pc/MaxiM</f>
        <v>2.793241519990574E-5</v>
      </c>
      <c r="AE219" s="301">
        <f t="shared" si="92"/>
        <v>0.5</v>
      </c>
      <c r="AF219" s="173">
        <f t="shared" si="93"/>
        <v>0.42343382943957675</v>
      </c>
      <c r="AG219" s="802">
        <f t="shared" si="99"/>
        <v>3</v>
      </c>
      <c r="AH219" s="172">
        <f t="shared" si="94"/>
        <v>9</v>
      </c>
      <c r="AI219" s="221">
        <f t="shared" si="95"/>
        <v>3.4234338294395767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46958</v>
      </c>
      <c r="B220" s="406">
        <f>'2027'!Wh/'2027'!Env_an*'2028'!Env_an</f>
        <v>28.667222071725131</v>
      </c>
      <c r="C220" s="832"/>
      <c r="D220" s="388">
        <f t="shared" si="77"/>
        <v>29.639306555181879</v>
      </c>
      <c r="E220" s="380">
        <f t="shared" si="75"/>
        <v>30.50430654379474</v>
      </c>
      <c r="F220" s="380">
        <f t="shared" si="78"/>
        <v>30.504555417107326</v>
      </c>
      <c r="G220" s="110">
        <f t="shared" si="76"/>
        <v>0.49801176584352747</v>
      </c>
      <c r="H220" s="409" t="b">
        <f>Wh_hp&gt;='2027'!Maxi_hp</f>
        <v>0</v>
      </c>
      <c r="I220" s="385">
        <f>IF(H220,Wh_hp,'2027'!Maxi_hp)</f>
        <v>30.505137185195856</v>
      </c>
      <c r="J220" s="85">
        <f>IF(H220,An,'2027'!An_max)</f>
        <v>2022</v>
      </c>
      <c r="K220" s="193">
        <f t="shared" si="79"/>
        <v>46958</v>
      </c>
      <c r="L220" s="143">
        <f>IF(t&lt;Tvie,1-EXP((T0-t)*PertePVj)+'2027'!Pspv,1-EXP((T0-t)*PertePVj)+Pspv)</f>
        <v>3.2797139894178651E-2</v>
      </c>
      <c r="M220" s="836"/>
      <c r="N220" s="836"/>
      <c r="O220" s="48">
        <f>IF(t&lt;Tnet,'2027'!Resal+('2027'!Salim-'2027'!Resal)*(1-EXP(('2027'!Tnet-t)/('2027'!Tau_j))),Resal+(Salim-Resal)*(1-EXP((Tnet-t)/(Tau_j))))*Salcycl</f>
        <v>2.8356651457425861E-2</v>
      </c>
      <c r="P220" s="165">
        <f>(INDEX(Models!$BJ220:$BT220,,T220)*(1-R220)+INDEX(Models!$BJ220:$BT220,,T220+1)*R220-ERP_i)*Q220*Ramure*Pc/MaxiM</f>
        <v>2.8840187643469852E-5</v>
      </c>
      <c r="Q220" s="301">
        <f t="shared" si="80"/>
        <v>0.5</v>
      </c>
      <c r="R220" s="173">
        <f t="shared" si="81"/>
        <v>0.4258881304267117</v>
      </c>
      <c r="S220" s="802">
        <f t="shared" si="82"/>
        <v>3</v>
      </c>
      <c r="T220" s="172">
        <f t="shared" si="83"/>
        <v>9</v>
      </c>
      <c r="U220" s="247">
        <f t="shared" si="84"/>
        <v>3.4258881304267117</v>
      </c>
      <c r="V220" s="378">
        <f t="shared" si="85"/>
        <v>57.562152439477408</v>
      </c>
      <c r="W220" s="397">
        <f t="shared" si="86"/>
        <v>28.667222071725131</v>
      </c>
      <c r="X220" s="153">
        <f t="shared" si="87"/>
        <v>46958</v>
      </c>
      <c r="Y220" s="380">
        <f t="shared" si="88"/>
        <v>27.868444632111622</v>
      </c>
      <c r="Z220" s="380">
        <f t="shared" si="89"/>
        <v>28.813443158204212</v>
      </c>
      <c r="AA220" s="381">
        <f t="shared" si="90"/>
        <v>30.50430654379474</v>
      </c>
      <c r="AB220" s="193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5.5430317131221117E-2</v>
      </c>
      <c r="AD220" s="227">
        <f>(INDEX(Models!$BJ220:$BT220,,AH220)*(1-AF220)+INDEX(Models!$BJ220:$BT220,,AH220+1)*AF220-ERP_i)*AE220*Ramure*Pc/MaxiM</f>
        <v>2.8840187643469852E-5</v>
      </c>
      <c r="AE220" s="301">
        <f t="shared" si="92"/>
        <v>0.5</v>
      </c>
      <c r="AF220" s="173">
        <f t="shared" si="93"/>
        <v>0.4258881304267117</v>
      </c>
      <c r="AG220" s="802">
        <f t="shared" si="99"/>
        <v>3</v>
      </c>
      <c r="AH220" s="172">
        <f t="shared" si="94"/>
        <v>9</v>
      </c>
      <c r="AI220" s="221">
        <f t="shared" si="95"/>
        <v>3.4258881304267117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46959</v>
      </c>
      <c r="B221" s="406">
        <f>'2027'!Wh/'2027'!Env_an*'2028'!Env_an</f>
        <v>50.805631599955127</v>
      </c>
      <c r="C221" s="832"/>
      <c r="D221" s="388">
        <f t="shared" si="77"/>
        <v>52.529132399742032</v>
      </c>
      <c r="E221" s="380">
        <f t="shared" si="75"/>
        <v>54.064996073311647</v>
      </c>
      <c r="F221" s="380">
        <f t="shared" si="78"/>
        <v>54.066347307540568</v>
      </c>
      <c r="G221" s="110">
        <f t="shared" si="76"/>
        <v>0.88561102863880581</v>
      </c>
      <c r="H221" s="409" t="b">
        <f>Wh_hp&gt;='2027'!Maxi_hp</f>
        <v>0</v>
      </c>
      <c r="I221" s="385">
        <f>IF(H221,Wh_hp,'2027'!Maxi_hp)</f>
        <v>54.066590490635548</v>
      </c>
      <c r="J221" s="85">
        <f>IF(H221,An,'2027'!An_max)</f>
        <v>2022</v>
      </c>
      <c r="K221" s="193">
        <f t="shared" si="79"/>
        <v>46959</v>
      </c>
      <c r="L221" s="143">
        <f>IF(t&lt;Tvie,1-EXP((T0-t)*PertePVj)+'2027'!Pspv,1-EXP((T0-t)*PertePVj)+Pspv)</f>
        <v>3.2810380089113522E-2</v>
      </c>
      <c r="M221" s="836"/>
      <c r="N221" s="836"/>
      <c r="O221" s="48">
        <f>IF(t&lt;Tnet,'2027'!Resal+('2027'!Salim-'2027'!Resal)*(1-EXP(('2027'!Tnet-t)/('2027'!Tau_j))),Resal+(Salim-Resal)*(1-EXP((Tnet-t)/(Tau_j))))*Salcycl</f>
        <v>2.8407727459870621E-2</v>
      </c>
      <c r="P221" s="165">
        <f>(INDEX(Models!$BJ221:$BT221,,T221)*(1-R221)+INDEX(Models!$BJ221:$BT221,,T221+1)*R221-ERP_i)*Q221*Ramure*Pc/MaxiM</f>
        <v>2.9873712353447626E-5</v>
      </c>
      <c r="Q221" s="301">
        <f t="shared" si="80"/>
        <v>0.5</v>
      </c>
      <c r="R221" s="173">
        <f t="shared" si="81"/>
        <v>0.4282700872045706</v>
      </c>
      <c r="S221" s="802">
        <f t="shared" si="82"/>
        <v>3</v>
      </c>
      <c r="T221" s="172">
        <f t="shared" si="83"/>
        <v>9</v>
      </c>
      <c r="U221" s="247">
        <f t="shared" si="84"/>
        <v>3.4282700872045706</v>
      </c>
      <c r="V221" s="378">
        <f t="shared" si="85"/>
        <v>57.367604896424552</v>
      </c>
      <c r="W221" s="397">
        <f t="shared" si="86"/>
        <v>50.805631599955127</v>
      </c>
      <c r="X221" s="153">
        <f t="shared" si="87"/>
        <v>46959</v>
      </c>
      <c r="Y221" s="380">
        <f t="shared" si="88"/>
        <v>49.391197814436978</v>
      </c>
      <c r="Z221" s="380">
        <f t="shared" si="89"/>
        <v>51.066716182280487</v>
      </c>
      <c r="AA221" s="381">
        <f t="shared" si="90"/>
        <v>54.064996073311647</v>
      </c>
      <c r="AB221" s="193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5.5456951979900644E-2</v>
      </c>
      <c r="AD221" s="227">
        <f>(INDEX(Models!$BJ221:$BT221,,AH221)*(1-AF221)+INDEX(Models!$BJ221:$BT221,,AH221+1)*AF221-ERP_i)*AE221*Ramure*Pc/MaxiM</f>
        <v>2.9873712353447626E-5</v>
      </c>
      <c r="AE221" s="301">
        <f t="shared" si="92"/>
        <v>0.5</v>
      </c>
      <c r="AF221" s="173">
        <f t="shared" si="93"/>
        <v>0.4282700872045706</v>
      </c>
      <c r="AG221" s="802">
        <f t="shared" si="99"/>
        <v>3</v>
      </c>
      <c r="AH221" s="172">
        <f t="shared" si="94"/>
        <v>9</v>
      </c>
      <c r="AI221" s="221">
        <f t="shared" si="95"/>
        <v>3.4282700872045706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46960</v>
      </c>
      <c r="B222" s="406">
        <f>'2027'!Wh/'2027'!Env_an*'2028'!Env_an</f>
        <v>57.503313770653016</v>
      </c>
      <c r="C222" s="832"/>
      <c r="D222" s="388">
        <f t="shared" si="77"/>
        <v>59.454836745253282</v>
      </c>
      <c r="E222" s="380">
        <f t="shared" si="75"/>
        <v>61.196403098185137</v>
      </c>
      <c r="F222" s="380">
        <f t="shared" si="78"/>
        <v>61.19830236076286</v>
      </c>
      <c r="G222" s="110">
        <f t="shared" si="76"/>
        <v>1.0058752442346581</v>
      </c>
      <c r="H222" s="409" t="b">
        <f>Wh_hp&gt;='2027'!Maxi_hp</f>
        <v>1</v>
      </c>
      <c r="I222" s="385">
        <f>IF(H222,Wh_hp,'2027'!Maxi_hp)</f>
        <v>61.19830236076286</v>
      </c>
      <c r="J222" s="85">
        <f>IF(H222,An,'2027'!An_max)</f>
        <v>2028</v>
      </c>
      <c r="K222" s="193">
        <f t="shared" si="79"/>
        <v>46960</v>
      </c>
      <c r="L222" s="143">
        <f>IF(t&lt;Tvie,1-EXP((T0-t)*PertePVj)+'2027'!Pspv,1-EXP((T0-t)*PertePVj)+Pspv)</f>
        <v>3.2823620102801265E-2</v>
      </c>
      <c r="M222" s="836"/>
      <c r="N222" s="836"/>
      <c r="O222" s="48">
        <f>IF(t&lt;Tnet,'2027'!Resal+('2027'!Salim-'2027'!Resal)*(1-EXP(('2027'!Tnet-t)/('2027'!Tau_j))),Resal+(Salim-Resal)*(1-EXP((Tnet-t)/(Tau_j))))*Salcycl</f>
        <v>2.8458639148082596E-2</v>
      </c>
      <c r="P222" s="165">
        <f>(INDEX(Models!$BJ222:$BT222,,T222)*(1-R222)+INDEX(Models!$BJ222:$BT222,,T222+1)*R222-ERP_i)*Q222*Ramure*Pc/MaxiM</f>
        <v>3.1034563124476873E-5</v>
      </c>
      <c r="Q222" s="301">
        <f t="shared" si="80"/>
        <v>0.5</v>
      </c>
      <c r="R222" s="173">
        <f t="shared" si="81"/>
        <v>0.43058092870953635</v>
      </c>
      <c r="S222" s="802">
        <f t="shared" si="82"/>
        <v>3</v>
      </c>
      <c r="T222" s="172">
        <f t="shared" si="83"/>
        <v>9</v>
      </c>
      <c r="U222" s="247">
        <f t="shared" si="84"/>
        <v>3.4305809287095363</v>
      </c>
      <c r="V222" s="378">
        <f t="shared" si="85"/>
        <v>57.167441091967277</v>
      </c>
      <c r="W222" s="397">
        <f t="shared" si="86"/>
        <v>57.503313770653016</v>
      </c>
      <c r="X222" s="153">
        <f t="shared" si="87"/>
        <v>46960</v>
      </c>
      <c r="Y222" s="380">
        <f t="shared" si="88"/>
        <v>55.903783959496465</v>
      </c>
      <c r="Z222" s="380">
        <f t="shared" si="89"/>
        <v>57.801022772535539</v>
      </c>
      <c r="AA222" s="381">
        <f t="shared" si="90"/>
        <v>61.196403098185137</v>
      </c>
      <c r="AB222" s="193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5.5483331597152151E-2</v>
      </c>
      <c r="AD222" s="227">
        <f>(INDEX(Models!$BJ222:$BT222,,AH222)*(1-AF222)+INDEX(Models!$BJ222:$BT222,,AH222+1)*AF222-ERP_i)*AE222*Ramure*Pc/MaxiM</f>
        <v>3.1034563124476873E-5</v>
      </c>
      <c r="AE222" s="301">
        <f t="shared" si="92"/>
        <v>0.5</v>
      </c>
      <c r="AF222" s="173">
        <f t="shared" si="93"/>
        <v>0.43058092870953635</v>
      </c>
      <c r="AG222" s="802">
        <f t="shared" si="99"/>
        <v>3</v>
      </c>
      <c r="AH222" s="172">
        <f t="shared" si="94"/>
        <v>9</v>
      </c>
      <c r="AI222" s="221">
        <f t="shared" si="95"/>
        <v>3.4305809287095363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46961</v>
      </c>
      <c r="B223" s="406">
        <f>'2027'!Wh/'2027'!Env_an*'2028'!Env_an</f>
        <v>45.180548874932242</v>
      </c>
      <c r="C223" s="832"/>
      <c r="D223" s="388">
        <f t="shared" si="77"/>
        <v>46.714506584594623</v>
      </c>
      <c r="E223" s="380">
        <f t="shared" si="75"/>
        <v>48.085391980364065</v>
      </c>
      <c r="F223" s="380">
        <f t="shared" si="78"/>
        <v>48.086487068683269</v>
      </c>
      <c r="G223" s="110">
        <f t="shared" si="76"/>
        <v>0.7931599800569592</v>
      </c>
      <c r="H223" s="409" t="b">
        <f>Wh_hp&gt;='2027'!Maxi_hp</f>
        <v>0</v>
      </c>
      <c r="I223" s="385">
        <f>IF(H223,Wh_hp,'2027'!Maxi_hp)</f>
        <v>48.086909443668787</v>
      </c>
      <c r="J223" s="85">
        <f>IF(H223,An,'2027'!An_max)</f>
        <v>2022</v>
      </c>
      <c r="K223" s="193">
        <f t="shared" si="79"/>
        <v>46961</v>
      </c>
      <c r="L223" s="143">
        <f>IF(t&lt;Tvie,1-EXP((T0-t)*PertePVj)+'2027'!Pspv,1-EXP((T0-t)*PertePVj)+Pspv)</f>
        <v>3.2836859935244322E-2</v>
      </c>
      <c r="M223" s="836"/>
      <c r="N223" s="836"/>
      <c r="O223" s="48">
        <f>IF(t&lt;Tnet,'2027'!Resal+('2027'!Salim-'2027'!Resal)*(1-EXP(('2027'!Tnet-t)/('2027'!Tau_j))),Resal+(Salim-Resal)*(1-EXP((Tnet-t)/(Tau_j))))*Salcycl</f>
        <v>2.8509394211224344E-2</v>
      </c>
      <c r="P223" s="165">
        <f>(INDEX(Models!$BJ223:$BT223,,T223)*(1-R223)+INDEX(Models!$BJ223:$BT223,,T223+1)*R223-ERP_i)*Q223*Ramure*Pc/MaxiM</f>
        <v>3.232433788076644E-5</v>
      </c>
      <c r="Q223" s="301">
        <f t="shared" si="80"/>
        <v>0.5</v>
      </c>
      <c r="R223" s="173">
        <f t="shared" si="81"/>
        <v>0.43282192809611786</v>
      </c>
      <c r="S223" s="802">
        <f t="shared" si="82"/>
        <v>3</v>
      </c>
      <c r="T223" s="172">
        <f t="shared" si="83"/>
        <v>9</v>
      </c>
      <c r="U223" s="247">
        <f t="shared" si="84"/>
        <v>3.4328219280961179</v>
      </c>
      <c r="V223" s="378">
        <f t="shared" si="85"/>
        <v>56.962174693975697</v>
      </c>
      <c r="W223" s="397">
        <f t="shared" si="86"/>
        <v>45.180548874932242</v>
      </c>
      <c r="X223" s="153">
        <f t="shared" si="87"/>
        <v>46961</v>
      </c>
      <c r="Y223" s="380">
        <f t="shared" si="88"/>
        <v>43.924871961352125</v>
      </c>
      <c r="Z223" s="380">
        <f t="shared" si="89"/>
        <v>45.416197269895093</v>
      </c>
      <c r="AA223" s="381">
        <f t="shared" si="90"/>
        <v>48.085391980364065</v>
      </c>
      <c r="AB223" s="193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5.5509471807133261E-2</v>
      </c>
      <c r="AD223" s="227">
        <f>(INDEX(Models!$BJ223:$BT223,,AH223)*(1-AF223)+INDEX(Models!$BJ223:$BT223,,AH223+1)*AF223-ERP_i)*AE223*Ramure*Pc/MaxiM</f>
        <v>3.232433788076644E-5</v>
      </c>
      <c r="AE223" s="301">
        <f t="shared" si="92"/>
        <v>0.5</v>
      </c>
      <c r="AF223" s="173">
        <f t="shared" si="93"/>
        <v>0.43282192809611786</v>
      </c>
      <c r="AG223" s="802">
        <f t="shared" si="99"/>
        <v>3</v>
      </c>
      <c r="AH223" s="172">
        <f t="shared" si="94"/>
        <v>9</v>
      </c>
      <c r="AI223" s="221">
        <f t="shared" si="95"/>
        <v>3.4328219280961179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46962</v>
      </c>
      <c r="B224" s="406">
        <f>'2027'!Wh/'2027'!Env_an*'2028'!Env_an</f>
        <v>28.06689355675439</v>
      </c>
      <c r="C224" s="832"/>
      <c r="D224" s="388">
        <f t="shared" si="77"/>
        <v>29.020210357001474</v>
      </c>
      <c r="E224" s="380">
        <f t="shared" si="75"/>
        <v>29.873394494531944</v>
      </c>
      <c r="F224" s="380">
        <f t="shared" si="78"/>
        <v>29.873674668721307</v>
      </c>
      <c r="G224" s="110">
        <f t="shared" si="76"/>
        <v>0.49453854981780032</v>
      </c>
      <c r="H224" s="409" t="b">
        <f>Wh_hp&gt;='2027'!Maxi_hp</f>
        <v>0</v>
      </c>
      <c r="I224" s="385">
        <f>IF(H224,Wh_hp,'2027'!Maxi_hp)</f>
        <v>29.87434338366489</v>
      </c>
      <c r="J224" s="85">
        <f>IF(H224,An,'2027'!An_max)</f>
        <v>2022</v>
      </c>
      <c r="K224" s="193">
        <f t="shared" si="79"/>
        <v>46962</v>
      </c>
      <c r="L224" s="143">
        <f>IF(t&lt;Tvie,1-EXP((T0-t)*PertePVj)+'2027'!Pspv,1-EXP((T0-t)*PertePVj)+Pspv)</f>
        <v>3.2850099586445136E-2</v>
      </c>
      <c r="M224" s="836"/>
      <c r="N224" s="836"/>
      <c r="O224" s="48">
        <f>IF(t&lt;Tnet,'2027'!Resal+('2027'!Salim-'2027'!Resal)*(1-EXP(('2027'!Tnet-t)/('2027'!Tau_j))),Resal+(Salim-Resal)*(1-EXP((Tnet-t)/(Tau_j))))*Salcycl</f>
        <v>2.855999969091683E-2</v>
      </c>
      <c r="P224" s="165">
        <f>(INDEX(Models!$BJ224:$BT224,,T224)*(1-R224)+INDEX(Models!$BJ224:$BT224,,T224+1)*R224-ERP_i)*Q224*Ramure*Pc/MaxiM</f>
        <v>3.3744651093668977E-5</v>
      </c>
      <c r="Q224" s="301">
        <f t="shared" si="80"/>
        <v>0.5</v>
      </c>
      <c r="R224" s="173">
        <f t="shared" si="81"/>
        <v>0.43499439710015153</v>
      </c>
      <c r="S224" s="802">
        <f t="shared" si="82"/>
        <v>3</v>
      </c>
      <c r="T224" s="172">
        <f t="shared" si="83"/>
        <v>9</v>
      </c>
      <c r="U224" s="247">
        <f t="shared" si="84"/>
        <v>3.4349943971001515</v>
      </c>
      <c r="V224" s="378">
        <f t="shared" si="85"/>
        <v>56.752319272593226</v>
      </c>
      <c r="W224" s="397">
        <f t="shared" si="86"/>
        <v>28.06689355675439</v>
      </c>
      <c r="X224" s="153">
        <f t="shared" si="87"/>
        <v>46962</v>
      </c>
      <c r="Y224" s="380">
        <f t="shared" si="88"/>
        <v>27.28751930151174</v>
      </c>
      <c r="Z224" s="380">
        <f t="shared" si="89"/>
        <v>28.214363967616141</v>
      </c>
      <c r="AA224" s="381">
        <f t="shared" si="90"/>
        <v>29.873394494531944</v>
      </c>
      <c r="AB224" s="193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5.5535387088985588E-2</v>
      </c>
      <c r="AD224" s="227">
        <f>(INDEX(Models!$BJ224:$BT224,,AH224)*(1-AF224)+INDEX(Models!$BJ224:$BT224,,AH224+1)*AF224-ERP_i)*AE224*Ramure*Pc/MaxiM</f>
        <v>3.3744651093668977E-5</v>
      </c>
      <c r="AE224" s="301">
        <f t="shared" si="92"/>
        <v>0.5</v>
      </c>
      <c r="AF224" s="173">
        <f t="shared" si="93"/>
        <v>0.43499439710015153</v>
      </c>
      <c r="AG224" s="802">
        <f t="shared" si="99"/>
        <v>3</v>
      </c>
      <c r="AH224" s="172">
        <f t="shared" si="94"/>
        <v>9</v>
      </c>
      <c r="AI224" s="221">
        <f t="shared" si="95"/>
        <v>3.4349943971001515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46963</v>
      </c>
      <c r="B225" s="406">
        <f>'2027'!Wh/'2027'!Env_an*'2028'!Env_an</f>
        <v>46.162501096586752</v>
      </c>
      <c r="C225" s="832"/>
      <c r="D225" s="388">
        <f t="shared" si="77"/>
        <v>47.731104569594109</v>
      </c>
      <c r="E225" s="380">
        <f t="shared" si="75"/>
        <v>49.136934979185455</v>
      </c>
      <c r="F225" s="380">
        <f t="shared" si="78"/>
        <v>49.138214698554414</v>
      </c>
      <c r="G225" s="110">
        <f t="shared" si="76"/>
        <v>0.81647311299180403</v>
      </c>
      <c r="H225" s="409" t="b">
        <f>Wh_hp&gt;='2027'!Maxi_hp</f>
        <v>0</v>
      </c>
      <c r="I225" s="385">
        <f>IF(H225,Wh_hp,'2027'!Maxi_hp)</f>
        <v>49.138631982876142</v>
      </c>
      <c r="J225" s="85">
        <f>IF(H225,An,'2027'!An_max)</f>
        <v>2022</v>
      </c>
      <c r="K225" s="193">
        <f t="shared" si="79"/>
        <v>46963</v>
      </c>
      <c r="L225" s="143">
        <f>IF(t&lt;Tvie,1-EXP((T0-t)*PertePVj)+'2027'!Pspv,1-EXP((T0-t)*PertePVj)+Pspv)</f>
        <v>3.2863339056406371E-2</v>
      </c>
      <c r="M225" s="836"/>
      <c r="N225" s="836"/>
      <c r="O225" s="48">
        <f>IF(t&lt;Tnet,'2027'!Resal+('2027'!Salim-'2027'!Resal)*(1-EXP(('2027'!Tnet-t)/('2027'!Tau_j))),Resal+(Salim-Resal)*(1-EXP((Tnet-t)/(Tau_j))))*Salcycl</f>
        <v>2.861046197095644E-2</v>
      </c>
      <c r="P225" s="165">
        <f>(INDEX(Models!$BJ225:$BT225,,T225)*(1-R225)+INDEX(Models!$BJ225:$BT225,,T225+1)*R225-ERP_i)*Q225*Ramure*Pc/MaxiM</f>
        <v>3.5297125459034957E-5</v>
      </c>
      <c r="Q225" s="301">
        <f t="shared" si="80"/>
        <v>0.5</v>
      </c>
      <c r="R225" s="173">
        <f t="shared" si="81"/>
        <v>0.43709968064703375</v>
      </c>
      <c r="S225" s="802">
        <f t="shared" si="82"/>
        <v>3</v>
      </c>
      <c r="T225" s="172">
        <f t="shared" si="83"/>
        <v>9</v>
      </c>
      <c r="U225" s="247">
        <f t="shared" si="84"/>
        <v>3.4370996806470338</v>
      </c>
      <c r="V225" s="378">
        <f t="shared" si="85"/>
        <v>56.538388306258639</v>
      </c>
      <c r="W225" s="397">
        <f t="shared" si="86"/>
        <v>46.162501096586752</v>
      </c>
      <c r="X225" s="153">
        <f t="shared" si="87"/>
        <v>46963</v>
      </c>
      <c r="Y225" s="380">
        <f t="shared" si="88"/>
        <v>44.881749787902301</v>
      </c>
      <c r="Z225" s="380">
        <f t="shared" si="89"/>
        <v>46.406833284670554</v>
      </c>
      <c r="AA225" s="381">
        <f t="shared" si="90"/>
        <v>49.136934979185455</v>
      </c>
      <c r="AB225" s="193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5.5561090566014666E-2</v>
      </c>
      <c r="AD225" s="227">
        <f>(INDEX(Models!$BJ225:$BT225,,AH225)*(1-AF225)+INDEX(Models!$BJ225:$BT225,,AH225+1)*AF225-ERP_i)*AE225*Ramure*Pc/MaxiM</f>
        <v>3.5297125459034957E-5</v>
      </c>
      <c r="AE225" s="301">
        <f t="shared" si="92"/>
        <v>0.5</v>
      </c>
      <c r="AF225" s="173">
        <f t="shared" si="93"/>
        <v>0.43709968064703375</v>
      </c>
      <c r="AG225" s="802">
        <f t="shared" si="99"/>
        <v>3</v>
      </c>
      <c r="AH225" s="172">
        <f t="shared" si="94"/>
        <v>9</v>
      </c>
      <c r="AI225" s="221">
        <f t="shared" si="95"/>
        <v>3.4370996806470338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46964</v>
      </c>
      <c r="B226" s="406">
        <f>'2027'!Wh/'2027'!Env_an*'2028'!Env_an</f>
        <v>56.530866210771229</v>
      </c>
      <c r="C226" s="832"/>
      <c r="D226" s="388">
        <f t="shared" si="77"/>
        <v>58.452587275820299</v>
      </c>
      <c r="E226" s="380">
        <f t="shared" si="75"/>
        <v>60.17731651292344</v>
      </c>
      <c r="F226" s="380">
        <f t="shared" si="78"/>
        <v>60.179550846641447</v>
      </c>
      <c r="G226" s="110">
        <f t="shared" si="76"/>
        <v>1.003728264484145</v>
      </c>
      <c r="H226" s="409" t="b">
        <f>Wh_hp&gt;='2027'!Maxi_hp</f>
        <v>0</v>
      </c>
      <c r="I226" s="385">
        <f>IF(H226,Wh_hp,'2027'!Maxi_hp)</f>
        <v>60.179550846641455</v>
      </c>
      <c r="J226" s="85">
        <f>IF(H226,An,'2027'!An_max)</f>
        <v>2027</v>
      </c>
      <c r="K226" s="193">
        <f t="shared" si="79"/>
        <v>46964</v>
      </c>
      <c r="L226" s="143">
        <f>IF(t&lt;Tvie,1-EXP((T0-t)*PertePVj)+'2027'!Pspv,1-EXP((T0-t)*PertePVj)+Pspv)</f>
        <v>3.2876578345130247E-2</v>
      </c>
      <c r="M226" s="836"/>
      <c r="N226" s="836"/>
      <c r="O226" s="48">
        <f>IF(t&lt;Tnet,'2027'!Resal+('2027'!Salim-'2027'!Resal)*(1-EXP(('2027'!Tnet-t)/('2027'!Tau_j))),Resal+(Salim-Resal)*(1-EXP((Tnet-t)/(Tau_j))))*Salcycl</f>
        <v>2.8660786772250653E-2</v>
      </c>
      <c r="P226" s="165">
        <f>(INDEX(Models!$BJ226:$BT226,,T226)*(1-R226)+INDEX(Models!$BJ226:$BT226,,T226+1)*R226-ERP_i)*Q226*Ramure*Pc/MaxiM</f>
        <v>3.7127789865051571E-5</v>
      </c>
      <c r="Q226" s="301">
        <f t="shared" si="80"/>
        <v>0.5</v>
      </c>
      <c r="R226" s="173">
        <f t="shared" si="81"/>
        <v>0.43913915171250695</v>
      </c>
      <c r="S226" s="802">
        <f t="shared" si="82"/>
        <v>3</v>
      </c>
      <c r="T226" s="172">
        <f t="shared" si="83"/>
        <v>9</v>
      </c>
      <c r="U226" s="247">
        <f t="shared" si="84"/>
        <v>3.4391391517125069</v>
      </c>
      <c r="V226" s="378">
        <f t="shared" si="85"/>
        <v>56.320887047875097</v>
      </c>
      <c r="W226" s="397">
        <f t="shared" si="86"/>
        <v>56.530866210771229</v>
      </c>
      <c r="X226" s="153">
        <f t="shared" si="87"/>
        <v>46964</v>
      </c>
      <c r="Y226" s="380">
        <f t="shared" si="88"/>
        <v>54.963814056833229</v>
      </c>
      <c r="Z226" s="380">
        <f t="shared" si="89"/>
        <v>56.832264451607671</v>
      </c>
      <c r="AA226" s="381">
        <f t="shared" si="90"/>
        <v>60.17731651292344</v>
      </c>
      <c r="AB226" s="193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5.5586594005025039E-2</v>
      </c>
      <c r="AD226" s="227">
        <f>(INDEX(Models!$BJ226:$BT226,,AH226)*(1-AF226)+INDEX(Models!$BJ226:$BT226,,AH226+1)*AF226-ERP_i)*AE226*Ramure*Pc/MaxiM</f>
        <v>3.7127789865051571E-5</v>
      </c>
      <c r="AE226" s="301">
        <f t="shared" si="92"/>
        <v>0.5</v>
      </c>
      <c r="AF226" s="173">
        <f t="shared" si="93"/>
        <v>0.43913915171250695</v>
      </c>
      <c r="AG226" s="802">
        <f t="shared" si="99"/>
        <v>3</v>
      </c>
      <c r="AH226" s="172">
        <f t="shared" si="94"/>
        <v>9</v>
      </c>
      <c r="AI226" s="221">
        <f t="shared" si="95"/>
        <v>3.4391391517125069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46965</v>
      </c>
      <c r="B227" s="406">
        <f>'2027'!Wh/'2027'!Env_an*'2028'!Env_an</f>
        <v>56.035468524781159</v>
      </c>
      <c r="C227" s="832"/>
      <c r="D227" s="388">
        <f t="shared" si="77"/>
        <v>57.941142111835724</v>
      </c>
      <c r="E227" s="380">
        <f t="shared" si="75"/>
        <v>59.653862926705692</v>
      </c>
      <c r="F227" s="380">
        <f t="shared" si="78"/>
        <v>59.656202786604148</v>
      </c>
      <c r="G227" s="110">
        <f t="shared" si="76"/>
        <v>0.99884383480650329</v>
      </c>
      <c r="H227" s="409" t="b">
        <f>Wh_hp&gt;='2027'!Maxi_hp</f>
        <v>0</v>
      </c>
      <c r="I227" s="385">
        <f>IF(H227,Wh_hp,'2027'!Maxi_hp)</f>
        <v>59.656206328517612</v>
      </c>
      <c r="J227" s="85">
        <f>IF(H227,An,'2027'!An_max)</f>
        <v>2022</v>
      </c>
      <c r="K227" s="193">
        <f t="shared" si="79"/>
        <v>46965</v>
      </c>
      <c r="L227" s="143">
        <f>IF(t&lt;Tvie,1-EXP((T0-t)*PertePVj)+'2027'!Pspv,1-EXP((T0-t)*PertePVj)+Pspv)</f>
        <v>3.2889817452619541E-2</v>
      </c>
      <c r="M227" s="836"/>
      <c r="N227" s="836"/>
      <c r="O227" s="48">
        <f>IF(t&lt;Tnet,'2027'!Resal+('2027'!Salim-'2027'!Resal)*(1-EXP(('2027'!Tnet-t)/('2027'!Tau_j))),Resal+(Salim-Resal)*(1-EXP((Tnet-t)/(Tau_j))))*Salcycl</f>
        <v>2.871097915275524E-2</v>
      </c>
      <c r="P227" s="165">
        <f>(INDEX(Models!$BJ227:$BT227,,T227)*(1-R227)+INDEX(Models!$BJ227:$BT227,,T227+1)*R227-ERP_i)*Q227*Ramure*Pc/MaxiM</f>
        <v>3.928729334036043E-5</v>
      </c>
      <c r="Q227" s="301">
        <f t="shared" si="80"/>
        <v>0.5</v>
      </c>
      <c r="R227" s="173">
        <f t="shared" si="81"/>
        <v>0.44111420644117594</v>
      </c>
      <c r="S227" s="802">
        <f t="shared" si="82"/>
        <v>3</v>
      </c>
      <c r="T227" s="172">
        <f t="shared" si="83"/>
        <v>9</v>
      </c>
      <c r="U227" s="247">
        <f t="shared" si="84"/>
        <v>3.4411142064411759</v>
      </c>
      <c r="V227" s="378">
        <f t="shared" si="85"/>
        <v>56.100326133151732</v>
      </c>
      <c r="W227" s="397">
        <f t="shared" si="86"/>
        <v>56.035468524781159</v>
      </c>
      <c r="X227" s="153">
        <f t="shared" si="87"/>
        <v>46965</v>
      </c>
      <c r="Y227" s="380">
        <f t="shared" si="88"/>
        <v>54.483503960615955</v>
      </c>
      <c r="Z227" s="380">
        <f t="shared" si="89"/>
        <v>56.336397800202782</v>
      </c>
      <c r="AA227" s="381">
        <f t="shared" si="90"/>
        <v>59.653862926705692</v>
      </c>
      <c r="AB227" s="193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5.5611907825297846E-2</v>
      </c>
      <c r="AD227" s="227">
        <f>(INDEX(Models!$BJ227:$BT227,,AH227)*(1-AF227)+INDEX(Models!$BJ227:$BT227,,AH227+1)*AF227-ERP_i)*AE227*Ramure*Pc/MaxiM</f>
        <v>3.928729334036043E-5</v>
      </c>
      <c r="AE227" s="301">
        <f t="shared" si="92"/>
        <v>0.5</v>
      </c>
      <c r="AF227" s="173">
        <f t="shared" si="93"/>
        <v>0.44111420644117594</v>
      </c>
      <c r="AG227" s="802">
        <f t="shared" si="99"/>
        <v>3</v>
      </c>
      <c r="AH227" s="172">
        <f t="shared" si="94"/>
        <v>9</v>
      </c>
      <c r="AI227" s="221">
        <f t="shared" si="95"/>
        <v>3.4411142064411759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46966</v>
      </c>
      <c r="B228" s="406">
        <f>'2027'!Wh/'2027'!Env_an*'2028'!Env_an</f>
        <v>56.04646568507178</v>
      </c>
      <c r="C228" s="832"/>
      <c r="D228" s="388">
        <f t="shared" si="77"/>
        <v>57.953306599455992</v>
      </c>
      <c r="E228" s="380">
        <f t="shared" si="75"/>
        <v>59.669462609926669</v>
      </c>
      <c r="F228" s="380">
        <f t="shared" si="78"/>
        <v>59.671955685390998</v>
      </c>
      <c r="G228" s="110">
        <f t="shared" si="76"/>
        <v>1.0030289075718304</v>
      </c>
      <c r="H228" s="409" t="b">
        <f>Wh_hp&gt;='2027'!Maxi_hp</f>
        <v>1</v>
      </c>
      <c r="I228" s="385">
        <f>IF(H228,Wh_hp,'2027'!Maxi_hp)</f>
        <v>59.671955685390998</v>
      </c>
      <c r="J228" s="85">
        <f>IF(H228,An,'2027'!An_max)</f>
        <v>2028</v>
      </c>
      <c r="K228" s="193">
        <f t="shared" si="79"/>
        <v>46966</v>
      </c>
      <c r="L228" s="143">
        <f>IF(t&lt;Tvie,1-EXP((T0-t)*PertePVj)+'2027'!Pspv,1-EXP((T0-t)*PertePVj)+Pspv)</f>
        <v>3.2903056378876472E-2</v>
      </c>
      <c r="M228" s="836"/>
      <c r="N228" s="836"/>
      <c r="O228" s="48">
        <f>IF(t&lt;Tnet,'2027'!Resal+('2027'!Salim-'2027'!Resal)*(1-EXP(('2027'!Tnet-t)/('2027'!Tau_j))),Resal+(Salim-Resal)*(1-EXP((Tnet-t)/(Tau_j))))*Salcycl</f>
        <v>2.8761043512149521E-2</v>
      </c>
      <c r="P228" s="165">
        <f>(INDEX(Models!$BJ228:$BT228,,T228)*(1-R228)+INDEX(Models!$BJ228:$BT228,,T228+1)*R228-ERP_i)*Q228*Ramure*Pc/MaxiM</f>
        <v>4.1779684203292859E-5</v>
      </c>
      <c r="Q228" s="301">
        <f t="shared" si="80"/>
        <v>0.5</v>
      </c>
      <c r="R228" s="173">
        <f t="shared" si="81"/>
        <v>0.44302625952581298</v>
      </c>
      <c r="S228" s="802">
        <f t="shared" si="82"/>
        <v>3</v>
      </c>
      <c r="T228" s="172">
        <f t="shared" si="83"/>
        <v>9</v>
      </c>
      <c r="U228" s="247">
        <f t="shared" si="84"/>
        <v>3.443026259525813</v>
      </c>
      <c r="V228" s="378">
        <f t="shared" si="85"/>
        <v>55.877218754094677</v>
      </c>
      <c r="W228" s="397">
        <f t="shared" si="86"/>
        <v>56.04646568507178</v>
      </c>
      <c r="X228" s="153">
        <f t="shared" si="87"/>
        <v>46966</v>
      </c>
      <c r="Y228" s="380">
        <f t="shared" si="88"/>
        <v>54.495555203744146</v>
      </c>
      <c r="Z228" s="380">
        <f t="shared" si="89"/>
        <v>56.349630265291893</v>
      </c>
      <c r="AA228" s="381">
        <f t="shared" si="90"/>
        <v>59.669462609926669</v>
      </c>
      <c r="AB228" s="193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5.5637041116614355E-2</v>
      </c>
      <c r="AD228" s="227">
        <f>(INDEX(Models!$BJ228:$BT228,,AH228)*(1-AF228)+INDEX(Models!$BJ228:$BT228,,AH228+1)*AF228-ERP_i)*AE228*Ramure*Pc/MaxiM</f>
        <v>4.1779684203292859E-5</v>
      </c>
      <c r="AE228" s="301">
        <f t="shared" si="92"/>
        <v>0.5</v>
      </c>
      <c r="AF228" s="173">
        <f t="shared" si="93"/>
        <v>0.44302625952581298</v>
      </c>
      <c r="AG228" s="802">
        <f t="shared" si="99"/>
        <v>3</v>
      </c>
      <c r="AH228" s="172">
        <f t="shared" si="94"/>
        <v>9</v>
      </c>
      <c r="AI228" s="221">
        <f t="shared" si="95"/>
        <v>3.443026259525813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46967</v>
      </c>
      <c r="B229" s="406">
        <f>'2027'!Wh/'2027'!Env_an*'2028'!Env_an</f>
        <v>55.648857274895136</v>
      </c>
      <c r="C229" s="832"/>
      <c r="D229" s="388">
        <f t="shared" si="77"/>
        <v>57.542958271667821</v>
      </c>
      <c r="E229" s="380">
        <f t="shared" si="75"/>
        <v>59.250009318498819</v>
      </c>
      <c r="F229" s="380">
        <f t="shared" si="78"/>
        <v>59.252652302740785</v>
      </c>
      <c r="G229" s="110">
        <f t="shared" si="76"/>
        <v>0.99994212357182377</v>
      </c>
      <c r="H229" s="409" t="b">
        <f>Wh_hp&gt;='2027'!Maxi_hp</f>
        <v>0</v>
      </c>
      <c r="I229" s="385">
        <f>IF(H229,Wh_hp,'2027'!Maxi_hp)</f>
        <v>59.252652502044675</v>
      </c>
      <c r="J229" s="85">
        <f>IF(H229,An,'2027'!An_max)</f>
        <v>2022</v>
      </c>
      <c r="K229" s="193">
        <f t="shared" si="79"/>
        <v>46967</v>
      </c>
      <c r="L229" s="143">
        <f>IF(t&lt;Tvie,1-EXP((T0-t)*PertePVj)+'2027'!Pspv,1-EXP((T0-t)*PertePVj)+Pspv)</f>
        <v>3.2916295123903594E-2</v>
      </c>
      <c r="M229" s="836"/>
      <c r="N229" s="836"/>
      <c r="O229" s="48">
        <f>IF(t&lt;Tnet,'2027'!Resal+('2027'!Salim-'2027'!Resal)*(1-EXP(('2027'!Tnet-t)/('2027'!Tau_j))),Resal+(Salim-Resal)*(1-EXP((Tnet-t)/(Tau_j))))*Salcycl</f>
        <v>2.8810983600943176E-2</v>
      </c>
      <c r="P229" s="165">
        <f>(INDEX(Models!$BJ229:$BT229,,T229)*(1-R229)+INDEX(Models!$BJ229:$BT229,,T229+1)*R229-ERP_i)*Q229*Ramure*Pc/MaxiM</f>
        <v>4.4609020304432695E-5</v>
      </c>
      <c r="Q229" s="301">
        <f t="shared" si="80"/>
        <v>0.5</v>
      </c>
      <c r="R229" s="173">
        <f t="shared" si="81"/>
        <v>0.44487673984853604</v>
      </c>
      <c r="S229" s="802">
        <f t="shared" si="82"/>
        <v>3</v>
      </c>
      <c r="T229" s="172">
        <f t="shared" si="83"/>
        <v>9</v>
      </c>
      <c r="U229" s="247">
        <f t="shared" si="84"/>
        <v>3.444876739848536</v>
      </c>
      <c r="V229" s="378">
        <f t="shared" si="85"/>
        <v>55.652078013145292</v>
      </c>
      <c r="W229" s="397">
        <f t="shared" si="86"/>
        <v>55.648857274895136</v>
      </c>
      <c r="X229" s="153">
        <f t="shared" si="87"/>
        <v>46967</v>
      </c>
      <c r="Y229" s="380">
        <f t="shared" si="88"/>
        <v>54.110301497659407</v>
      </c>
      <c r="Z229" s="380">
        <f t="shared" si="89"/>
        <v>55.952035201122598</v>
      </c>
      <c r="AA229" s="381">
        <f t="shared" si="90"/>
        <v>59.250009318498819</v>
      </c>
      <c r="AB229" s="193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5.5662001665652688E-2</v>
      </c>
      <c r="AD229" s="227">
        <f>(INDEX(Models!$BJ229:$BT229,,AH229)*(1-AF229)+INDEX(Models!$BJ229:$BT229,,AH229+1)*AF229-ERP_i)*AE229*Ramure*Pc/MaxiM</f>
        <v>4.4609020304432695E-5</v>
      </c>
      <c r="AE229" s="301">
        <f t="shared" si="92"/>
        <v>0.5</v>
      </c>
      <c r="AF229" s="173">
        <f t="shared" si="93"/>
        <v>0.44487673984853604</v>
      </c>
      <c r="AG229" s="802">
        <f t="shared" si="99"/>
        <v>3</v>
      </c>
      <c r="AH229" s="172">
        <f t="shared" si="94"/>
        <v>9</v>
      </c>
      <c r="AI229" s="221">
        <f t="shared" si="95"/>
        <v>3.444876739848536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46968</v>
      </c>
      <c r="B230" s="406">
        <f>'2027'!Wh/'2027'!Env_an*'2028'!Env_an</f>
        <v>53.089327028889819</v>
      </c>
      <c r="C230" s="832"/>
      <c r="D230" s="388">
        <f t="shared" si="77"/>
        <v>54.897061670525318</v>
      </c>
      <c r="E230" s="380">
        <f t="shared" si="75"/>
        <v>56.528520127444011</v>
      </c>
      <c r="F230" s="380">
        <f t="shared" si="78"/>
        <v>56.531058510808982</v>
      </c>
      <c r="G230" s="110">
        <f t="shared" si="76"/>
        <v>0.95784889392457973</v>
      </c>
      <c r="H230" s="409" t="b">
        <f>Wh_hp&gt;='2027'!Maxi_hp</f>
        <v>0</v>
      </c>
      <c r="I230" s="385">
        <f>IF(H230,Wh_hp,'2027'!Maxi_hp)</f>
        <v>56.531206587752195</v>
      </c>
      <c r="J230" s="85">
        <f>IF(H230,An,'2027'!An_max)</f>
        <v>2022</v>
      </c>
      <c r="K230" s="193">
        <f t="shared" si="79"/>
        <v>46968</v>
      </c>
      <c r="L230" s="143">
        <f>IF(t&lt;Tvie,1-EXP((T0-t)*PertePVj)+'2027'!Pspv,1-EXP((T0-t)*PertePVj)+Pspv)</f>
        <v>3.2929533687703461E-2</v>
      </c>
      <c r="M230" s="836"/>
      <c r="N230" s="836"/>
      <c r="O230" s="48">
        <f>IF(t&lt;Tnet,'2027'!Resal+('2027'!Salim-'2027'!Resal)*(1-EXP(('2027'!Tnet-t)/('2027'!Tau_j))),Resal+(Salim-Resal)*(1-EXP((Tnet-t)/(Tau_j))))*Salcycl</f>
        <v>2.8860802533668951E-2</v>
      </c>
      <c r="P230" s="165">
        <f>(INDEX(Models!$BJ230:$BT230,,T230)*(1-R230)+INDEX(Models!$BJ230:$BT230,,T230+1)*R230-ERP_i)*Q230*Ramure*Pc/MaxiM</f>
        <v>4.7779342326028131E-5</v>
      </c>
      <c r="Q230" s="301">
        <f t="shared" si="80"/>
        <v>0.5</v>
      </c>
      <c r="R230" s="173">
        <f t="shared" si="81"/>
        <v>0.44666708638321273</v>
      </c>
      <c r="S230" s="802">
        <f t="shared" si="82"/>
        <v>3</v>
      </c>
      <c r="T230" s="172">
        <f t="shared" si="83"/>
        <v>9</v>
      </c>
      <c r="U230" s="247">
        <f t="shared" si="84"/>
        <v>3.4466670863832127</v>
      </c>
      <c r="V230" s="378">
        <f t="shared" si="85"/>
        <v>55.425416917848828</v>
      </c>
      <c r="W230" s="397">
        <f t="shared" si="86"/>
        <v>53.089327028889819</v>
      </c>
      <c r="X230" s="153">
        <f t="shared" si="87"/>
        <v>46968</v>
      </c>
      <c r="Y230" s="380">
        <f t="shared" si="88"/>
        <v>51.622828772826701</v>
      </c>
      <c r="Z230" s="380">
        <f t="shared" si="89"/>
        <v>53.380627959489473</v>
      </c>
      <c r="AA230" s="381">
        <f t="shared" si="90"/>
        <v>56.528520127444011</v>
      </c>
      <c r="AB230" s="193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5.5686795990016941E-2</v>
      </c>
      <c r="AD230" s="227">
        <f>(INDEX(Models!$BJ230:$BT230,,AH230)*(1-AF230)+INDEX(Models!$BJ230:$BT230,,AH230+1)*AF230-ERP_i)*AE230*Ramure*Pc/MaxiM</f>
        <v>4.7779342326028131E-5</v>
      </c>
      <c r="AE230" s="301">
        <f t="shared" si="92"/>
        <v>0.5</v>
      </c>
      <c r="AF230" s="173">
        <f t="shared" si="93"/>
        <v>0.44666708638321273</v>
      </c>
      <c r="AG230" s="802">
        <f t="shared" si="99"/>
        <v>3</v>
      </c>
      <c r="AH230" s="172">
        <f t="shared" si="94"/>
        <v>9</v>
      </c>
      <c r="AI230" s="221">
        <f t="shared" si="95"/>
        <v>3.4466670863832127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46969</v>
      </c>
      <c r="B231" s="406">
        <f>'2027'!Wh/'2027'!Env_an*'2028'!Env_an</f>
        <v>42.37796021237174</v>
      </c>
      <c r="C231" s="832"/>
      <c r="D231" s="388">
        <f t="shared" si="77"/>
        <v>43.821564007224865</v>
      </c>
      <c r="E231" s="380">
        <f t="shared" si="75"/>
        <v>45.126184696507437</v>
      </c>
      <c r="F231" s="380">
        <f t="shared" si="78"/>
        <v>45.127731479603703</v>
      </c>
      <c r="G231" s="110">
        <f t="shared" si="76"/>
        <v>0.76773492034544399</v>
      </c>
      <c r="H231" s="409" t="b">
        <f>Wh_hp&gt;='2027'!Maxi_hp</f>
        <v>0</v>
      </c>
      <c r="I231" s="385">
        <f>IF(H231,Wh_hp,'2027'!Maxi_hp)</f>
        <v>45.128429594310724</v>
      </c>
      <c r="J231" s="85">
        <f>IF(H231,An,'2027'!An_max)</f>
        <v>2022</v>
      </c>
      <c r="K231" s="193">
        <f t="shared" si="79"/>
        <v>46969</v>
      </c>
      <c r="L231" s="143">
        <f>IF(t&lt;Tvie,1-EXP((T0-t)*PertePVj)+'2027'!Pspv,1-EXP((T0-t)*PertePVj)+Pspv)</f>
        <v>3.2942772070278403E-2</v>
      </c>
      <c r="M231" s="836"/>
      <c r="N231" s="836"/>
      <c r="O231" s="48">
        <f>IF(t&lt;Tnet,'2027'!Resal+('2027'!Salim-'2027'!Resal)*(1-EXP(('2027'!Tnet-t)/('2027'!Tau_j))),Resal+(Salim-Resal)*(1-EXP((Tnet-t)/(Tau_j))))*Salcycl</f>
        <v>2.8910502805781123E-2</v>
      </c>
      <c r="P231" s="165">
        <f>(INDEX(Models!$BJ231:$BT231,,T231)*(1-R231)+INDEX(Models!$BJ231:$BT231,,T231+1)*R231-ERP_i)*Q231*Ramure*Pc/MaxiM</f>
        <v>5.1294644887227522E-5</v>
      </c>
      <c r="Q231" s="301">
        <f t="shared" si="80"/>
        <v>0.5</v>
      </c>
      <c r="R231" s="173">
        <f t="shared" si="81"/>
        <v>0.44839874435685489</v>
      </c>
      <c r="S231" s="802">
        <f t="shared" si="82"/>
        <v>3</v>
      </c>
      <c r="T231" s="172">
        <f t="shared" si="83"/>
        <v>9</v>
      </c>
      <c r="U231" s="247">
        <f t="shared" si="84"/>
        <v>3.4483987443568549</v>
      </c>
      <c r="V231" s="378">
        <f t="shared" si="85"/>
        <v>55.19774838301533</v>
      </c>
      <c r="W231" s="397">
        <f t="shared" si="86"/>
        <v>42.37796021237174</v>
      </c>
      <c r="X231" s="153">
        <f t="shared" si="87"/>
        <v>46969</v>
      </c>
      <c r="Y231" s="380">
        <f t="shared" si="88"/>
        <v>41.208378414545315</v>
      </c>
      <c r="Z231" s="380">
        <f t="shared" si="89"/>
        <v>42.612140444639778</v>
      </c>
      <c r="AA231" s="381">
        <f t="shared" si="90"/>
        <v>45.126184696507437</v>
      </c>
      <c r="AB231" s="193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5.5711429379099189E-2</v>
      </c>
      <c r="AD231" s="227">
        <f>(INDEX(Models!$BJ231:$BT231,,AH231)*(1-AF231)+INDEX(Models!$BJ231:$BT231,,AH231+1)*AF231-ERP_i)*AE231*Ramure*Pc/MaxiM</f>
        <v>5.1294644887227522E-5</v>
      </c>
      <c r="AE231" s="301">
        <f t="shared" si="92"/>
        <v>0.5</v>
      </c>
      <c r="AF231" s="173">
        <f t="shared" si="93"/>
        <v>0.44839874435685489</v>
      </c>
      <c r="AG231" s="802">
        <f t="shared" si="99"/>
        <v>3</v>
      </c>
      <c r="AH231" s="172">
        <f t="shared" si="94"/>
        <v>9</v>
      </c>
      <c r="AI231" s="221">
        <f t="shared" si="95"/>
        <v>3.4483987443568549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46970</v>
      </c>
      <c r="B232" s="406">
        <f>'2027'!Wh/'2027'!Env_an*'2028'!Env_an</f>
        <v>50.565579190455914</v>
      </c>
      <c r="C232" s="832"/>
      <c r="D232" s="388">
        <f t="shared" si="77"/>
        <v>52.288809741384341</v>
      </c>
      <c r="E232" s="380">
        <f t="shared" si="75"/>
        <v>53.848259998800195</v>
      </c>
      <c r="F232" s="380">
        <f t="shared" si="78"/>
        <v>53.850890385758476</v>
      </c>
      <c r="G232" s="110">
        <f t="shared" si="76"/>
        <v>0.91987705087386262</v>
      </c>
      <c r="H232" s="409" t="b">
        <f>Wh_hp&gt;='2027'!Maxi_hp</f>
        <v>0</v>
      </c>
      <c r="I232" s="385">
        <f>IF(H232,Wh_hp,'2027'!Maxi_hp)</f>
        <v>53.85119889796897</v>
      </c>
      <c r="J232" s="85">
        <f>IF(H232,An,'2027'!An_max)</f>
        <v>2022</v>
      </c>
      <c r="K232" s="193">
        <f t="shared" si="79"/>
        <v>46970</v>
      </c>
      <c r="L232" s="143">
        <f>IF(t&lt;Tvie,1-EXP((T0-t)*PertePVj)+'2027'!Pspv,1-EXP((T0-t)*PertePVj)+Pspv)</f>
        <v>3.2956010271631087E-2</v>
      </c>
      <c r="M232" s="836"/>
      <c r="N232" s="836"/>
      <c r="O232" s="48">
        <f>IF(t&lt;Tnet,'2027'!Resal+('2027'!Salim-'2027'!Resal)*(1-EXP(('2027'!Tnet-t)/('2027'!Tau_j))),Resal+(Salim-Resal)*(1-EXP((Tnet-t)/(Tau_j))))*Salcycl</f>
        <v>2.8960086313849318E-2</v>
      </c>
      <c r="P232" s="165">
        <f>(INDEX(Models!$BJ232:$BT232,,T232)*(1-R232)+INDEX(Models!$BJ232:$BT232,,T232+1)*R232-ERP_i)*Q232*Ramure*Pc/MaxiM</f>
        <v>5.5158845438138981E-5</v>
      </c>
      <c r="Q232" s="301">
        <f t="shared" si="80"/>
        <v>0.5</v>
      </c>
      <c r="R232" s="173">
        <f t="shared" si="81"/>
        <v>0.45007316166638667</v>
      </c>
      <c r="S232" s="802">
        <f t="shared" si="82"/>
        <v>3</v>
      </c>
      <c r="T232" s="172">
        <f t="shared" si="83"/>
        <v>9</v>
      </c>
      <c r="U232" s="247">
        <f t="shared" si="84"/>
        <v>3.4500731616663867</v>
      </c>
      <c r="V232" s="378">
        <f t="shared" si="85"/>
        <v>54.969585230263988</v>
      </c>
      <c r="W232" s="397">
        <f t="shared" si="86"/>
        <v>50.565579190455914</v>
      </c>
      <c r="X232" s="153">
        <f t="shared" si="87"/>
        <v>46970</v>
      </c>
      <c r="Y232" s="380">
        <f t="shared" si="88"/>
        <v>49.171264900528669</v>
      </c>
      <c r="Z232" s="380">
        <f t="shared" si="89"/>
        <v>50.846978444424529</v>
      </c>
      <c r="AA232" s="381">
        <f t="shared" si="90"/>
        <v>53.848259998800195</v>
      </c>
      <c r="AB232" s="193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5.5735905940926089E-2</v>
      </c>
      <c r="AD232" s="227">
        <f>(INDEX(Models!$BJ232:$BT232,,AH232)*(1-AF232)+INDEX(Models!$BJ232:$BT232,,AH232+1)*AF232-ERP_i)*AE232*Ramure*Pc/MaxiM</f>
        <v>5.5158845438138981E-5</v>
      </c>
      <c r="AE232" s="301">
        <f t="shared" si="92"/>
        <v>0.5</v>
      </c>
      <c r="AF232" s="173">
        <f t="shared" si="93"/>
        <v>0.45007316166638667</v>
      </c>
      <c r="AG232" s="802">
        <f t="shared" si="99"/>
        <v>3</v>
      </c>
      <c r="AH232" s="172">
        <f t="shared" si="94"/>
        <v>9</v>
      </c>
      <c r="AI232" s="221">
        <f t="shared" si="95"/>
        <v>3.4500731616663867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46971</v>
      </c>
      <c r="B233" s="406">
        <f>'2027'!Wh/'2027'!Env_an*'2028'!Env_an</f>
        <v>53.314860753947819</v>
      </c>
      <c r="C233" s="832"/>
      <c r="D233" s="388">
        <f t="shared" si="77"/>
        <v>55.132539125326083</v>
      </c>
      <c r="E233" s="380">
        <f t="shared" ref="E233:E296" si="100">Wh_pvt/(1-Psa)</f>
        <v>56.779692708555849</v>
      </c>
      <c r="F233" s="380">
        <f t="shared" si="78"/>
        <v>56.782939001957281</v>
      </c>
      <c r="G233" s="110">
        <f t="shared" ref="G233:G296" si="101">+Wh_hp/MaxiM</f>
        <v>0.97397219915314426</v>
      </c>
      <c r="H233" s="409" t="b">
        <f>Wh_hp&gt;='2027'!Maxi_hp</f>
        <v>0</v>
      </c>
      <c r="I233" s="385">
        <f>IF(H233,Wh_hp,'2027'!Maxi_hp)</f>
        <v>56.783052579043542</v>
      </c>
      <c r="J233" s="85">
        <f>IF(H233,An,'2027'!An_max)</f>
        <v>2022</v>
      </c>
      <c r="K233" s="193">
        <f t="shared" si="79"/>
        <v>46971</v>
      </c>
      <c r="L233" s="143">
        <f>IF(t&lt;Tvie,1-EXP((T0-t)*PertePVj)+'2027'!Pspv,1-EXP((T0-t)*PertePVj)+Pspv)</f>
        <v>3.2969248291763953E-2</v>
      </c>
      <c r="M233" s="836"/>
      <c r="N233" s="836"/>
      <c r="O233" s="48">
        <f>IF(t&lt;Tnet,'2027'!Resal+('2027'!Salim-'2027'!Resal)*(1-EXP(('2027'!Tnet-t)/('2027'!Tau_j))),Resal+(Salim-Resal)*(1-EXP((Tnet-t)/(Tau_j))))*Salcycl</f>
        <v>2.9009554378612638E-2</v>
      </c>
      <c r="P233" s="165">
        <f>(INDEX(Models!$BJ233:$BT233,,T233)*(1-R233)+INDEX(Models!$BJ233:$BT233,,T233+1)*R233-ERP_i)*Q233*Ramure*Pc/MaxiM</f>
        <v>5.9377864399717058E-5</v>
      </c>
      <c r="Q233" s="301">
        <f t="shared" si="80"/>
        <v>0.5</v>
      </c>
      <c r="R233" s="173">
        <f t="shared" si="81"/>
        <v>0.45169178554595035</v>
      </c>
      <c r="S233" s="802">
        <f t="shared" si="82"/>
        <v>3</v>
      </c>
      <c r="T233" s="172">
        <f t="shared" si="83"/>
        <v>9</v>
      </c>
      <c r="U233" s="247">
        <f t="shared" si="84"/>
        <v>3.4516917855459504</v>
      </c>
      <c r="V233" s="378">
        <f t="shared" si="85"/>
        <v>54.739491633939998</v>
      </c>
      <c r="W233" s="397">
        <f t="shared" si="86"/>
        <v>53.314860753947819</v>
      </c>
      <c r="X233" s="153">
        <f t="shared" si="87"/>
        <v>46971</v>
      </c>
      <c r="Y233" s="380">
        <f t="shared" si="88"/>
        <v>51.846042517369547</v>
      </c>
      <c r="Z233" s="380">
        <f t="shared" si="89"/>
        <v>53.613644060217098</v>
      </c>
      <c r="AA233" s="381">
        <f t="shared" si="90"/>
        <v>56.779692708555849</v>
      </c>
      <c r="AB233" s="193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5.5760228654102413E-2</v>
      </c>
      <c r="AD233" s="227">
        <f>(INDEX(Models!$BJ233:$BT233,,AH233)*(1-AF233)+INDEX(Models!$BJ233:$BT233,,AH233+1)*AF233-ERP_i)*AE233*Ramure*Pc/MaxiM</f>
        <v>5.9377864399717058E-5</v>
      </c>
      <c r="AE233" s="301">
        <f t="shared" si="92"/>
        <v>0.5</v>
      </c>
      <c r="AF233" s="173">
        <f t="shared" si="93"/>
        <v>0.45169178554595035</v>
      </c>
      <c r="AG233" s="802">
        <f t="shared" si="99"/>
        <v>3</v>
      </c>
      <c r="AH233" s="172">
        <f t="shared" si="94"/>
        <v>9</v>
      </c>
      <c r="AI233" s="221">
        <f t="shared" si="95"/>
        <v>3.4516917855459504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46972</v>
      </c>
      <c r="B234" s="406">
        <f>'2027'!Wh/'2027'!Env_an*'2028'!Env_an</f>
        <v>54.697354562934045</v>
      </c>
      <c r="C234" s="832"/>
      <c r="D234" s="388">
        <f t="shared" si="77"/>
        <v>56.562940979294048</v>
      </c>
      <c r="E234" s="380">
        <f t="shared" si="100"/>
        <v>58.255790626194667</v>
      </c>
      <c r="F234" s="380">
        <f t="shared" si="78"/>
        <v>58.259512816427652</v>
      </c>
      <c r="G234" s="110">
        <f t="shared" si="101"/>
        <v>1.0035125626922676</v>
      </c>
      <c r="H234" s="409" t="b">
        <f>Wh_hp&gt;='2027'!Maxi_hp</f>
        <v>1</v>
      </c>
      <c r="I234" s="385">
        <f>IF(H234,Wh_hp,'2027'!Maxi_hp)</f>
        <v>58.259512816427652</v>
      </c>
      <c r="J234" s="85">
        <f>IF(H234,An,'2027'!An_max)</f>
        <v>2028</v>
      </c>
      <c r="K234" s="193">
        <f t="shared" si="79"/>
        <v>46972</v>
      </c>
      <c r="L234" s="143">
        <f>IF(t&lt;Tvie,1-EXP((T0-t)*PertePVj)+'2027'!Pspv,1-EXP((T0-t)*PertePVj)+Pspv)</f>
        <v>3.2982486130679445E-2</v>
      </c>
      <c r="M234" s="836"/>
      <c r="N234" s="836"/>
      <c r="O234" s="48">
        <f>IF(t&lt;Tnet,'2027'!Resal+('2027'!Salim-'2027'!Resal)*(1-EXP(('2027'!Tnet-t)/('2027'!Tau_j))),Resal+(Salim-Resal)*(1-EXP((Tnet-t)/(Tau_j))))*Salcycl</f>
        <v>2.9058907770439426E-2</v>
      </c>
      <c r="P234" s="165">
        <f>(INDEX(Models!$BJ234:$BT234,,T234)*(1-R234)+INDEX(Models!$BJ234:$BT234,,T234+1)*R234-ERP_i)*Q234*Ramure*Pc/MaxiM</f>
        <v>6.3889827652890665E-5</v>
      </c>
      <c r="Q234" s="301">
        <f t="shared" si="80"/>
        <v>0.5</v>
      </c>
      <c r="R234" s="173">
        <f t="shared" si="81"/>
        <v>0.45325605947887171</v>
      </c>
      <c r="S234" s="802">
        <f t="shared" si="82"/>
        <v>3</v>
      </c>
      <c r="T234" s="172">
        <f t="shared" si="83"/>
        <v>9</v>
      </c>
      <c r="U234" s="247">
        <f t="shared" si="84"/>
        <v>3.4532560594788717</v>
      </c>
      <c r="V234" s="378">
        <f t="shared" si="85"/>
        <v>54.505899174983483</v>
      </c>
      <c r="W234" s="397">
        <f t="shared" si="86"/>
        <v>54.697354562934045</v>
      </c>
      <c r="X234" s="153">
        <f t="shared" si="87"/>
        <v>46972</v>
      </c>
      <c r="Y234" s="380">
        <f t="shared" si="88"/>
        <v>53.191790832509042</v>
      </c>
      <c r="Z234" s="380">
        <f t="shared" si="89"/>
        <v>55.006026333145812</v>
      </c>
      <c r="AA234" s="381">
        <f t="shared" si="90"/>
        <v>58.255790626194667</v>
      </c>
      <c r="AB234" s="193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5.5784399423936412E-2</v>
      </c>
      <c r="AD234" s="227">
        <f>(INDEX(Models!$BJ234:$BT234,,AH234)*(1-AF234)+INDEX(Models!$BJ234:$BT234,,AH234+1)*AF234-ERP_i)*AE234*Ramure*Pc/MaxiM</f>
        <v>6.3889827652890665E-5</v>
      </c>
      <c r="AE234" s="301">
        <f t="shared" si="92"/>
        <v>0.5</v>
      </c>
      <c r="AF234" s="173">
        <f t="shared" si="93"/>
        <v>0.45325605947887171</v>
      </c>
      <c r="AG234" s="802">
        <f t="shared" si="99"/>
        <v>3</v>
      </c>
      <c r="AH234" s="172">
        <f t="shared" si="94"/>
        <v>9</v>
      </c>
      <c r="AI234" s="221">
        <f t="shared" si="95"/>
        <v>3.4532560594788717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46973</v>
      </c>
      <c r="B235" s="406">
        <f>'2027'!Wh/'2027'!Env_an*'2028'!Env_an</f>
        <v>52.149177612493055</v>
      </c>
      <c r="C235" s="832"/>
      <c r="D235" s="388">
        <f t="shared" si="77"/>
        <v>53.928590488549908</v>
      </c>
      <c r="E235" s="380">
        <f t="shared" si="100"/>
        <v>55.545414566297865</v>
      </c>
      <c r="F235" s="380">
        <f t="shared" si="78"/>
        <v>55.549008662817641</v>
      </c>
      <c r="G235" s="110">
        <f t="shared" si="101"/>
        <v>0.96093271653453149</v>
      </c>
      <c r="H235" s="409" t="b">
        <f>Wh_hp&gt;='2027'!Maxi_hp</f>
        <v>0</v>
      </c>
      <c r="I235" s="385">
        <f>IF(H235,Wh_hp,'2027'!Maxi_hp)</f>
        <v>55.54920055473837</v>
      </c>
      <c r="J235" s="85">
        <f>IF(H235,An,'2027'!An_max)</f>
        <v>2022</v>
      </c>
      <c r="K235" s="193">
        <f t="shared" si="79"/>
        <v>46973</v>
      </c>
      <c r="L235" s="143">
        <f>IF(t&lt;Tvie,1-EXP((T0-t)*PertePVj)+'2027'!Pspv,1-EXP((T0-t)*PertePVj)+Pspv)</f>
        <v>3.2995723788380005E-2</v>
      </c>
      <c r="M235" s="836"/>
      <c r="N235" s="836"/>
      <c r="O235" s="48">
        <f>IF(t&lt;Tnet,'2027'!Resal+('2027'!Salim-'2027'!Resal)*(1-EXP(('2027'!Tnet-t)/('2027'!Tau_j))),Resal+(Salim-Resal)*(1-EXP((Tnet-t)/(Tau_j))))*Salcycl</f>
        <v>2.9108146736723767E-2</v>
      </c>
      <c r="P235" s="165">
        <f>(INDEX(Models!$BJ235:$BT235,,T235)*(1-R235)+INDEX(Models!$BJ235:$BT235,,T235+1)*R235-ERP_i)*Q235*Ramure*Pc/MaxiM</f>
        <v>6.8525434526564035E-5</v>
      </c>
      <c r="Q235" s="301">
        <f t="shared" si="80"/>
        <v>0.5</v>
      </c>
      <c r="R235" s="173">
        <f t="shared" si="81"/>
        <v>0.45476742034749984</v>
      </c>
      <c r="S235" s="802">
        <f t="shared" si="82"/>
        <v>3</v>
      </c>
      <c r="T235" s="172">
        <f t="shared" si="83"/>
        <v>9</v>
      </c>
      <c r="U235" s="247">
        <f t="shared" si="84"/>
        <v>3.4547674203474998</v>
      </c>
      <c r="V235" s="378">
        <f t="shared" si="85"/>
        <v>54.269125486143651</v>
      </c>
      <c r="W235" s="397">
        <f t="shared" si="86"/>
        <v>52.149177612493055</v>
      </c>
      <c r="X235" s="153">
        <f t="shared" si="87"/>
        <v>46973</v>
      </c>
      <c r="Y235" s="380">
        <f t="shared" si="88"/>
        <v>50.7150351348577</v>
      </c>
      <c r="Z235" s="380">
        <f t="shared" si="89"/>
        <v>52.445512788776107</v>
      </c>
      <c r="AA235" s="381">
        <f t="shared" si="90"/>
        <v>55.545414566297865</v>
      </c>
      <c r="AB235" s="193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5.5808419141813774E-2</v>
      </c>
      <c r="AD235" s="227">
        <f>(INDEX(Models!$BJ235:$BT235,,AH235)*(1-AF235)+INDEX(Models!$BJ235:$BT235,,AH235+1)*AF235-ERP_i)*AE235*Ramure*Pc/MaxiM</f>
        <v>6.8525434526564035E-5</v>
      </c>
      <c r="AE235" s="301">
        <f t="shared" si="92"/>
        <v>0.5</v>
      </c>
      <c r="AF235" s="173">
        <f t="shared" si="93"/>
        <v>0.45476742034749984</v>
      </c>
      <c r="AG235" s="802">
        <f t="shared" si="99"/>
        <v>3</v>
      </c>
      <c r="AH235" s="172">
        <f t="shared" si="94"/>
        <v>9</v>
      </c>
      <c r="AI235" s="221">
        <f t="shared" si="95"/>
        <v>3.4547674203474998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46974</v>
      </c>
      <c r="B236" s="406">
        <f>'2027'!Wh/'2027'!Env_an*'2028'!Env_an</f>
        <v>50.645508460884848</v>
      </c>
      <c r="C236" s="832"/>
      <c r="D236" s="388">
        <f t="shared" si="77"/>
        <v>52.374330714720443</v>
      </c>
      <c r="E236" s="380">
        <f t="shared" si="100"/>
        <v>53.947286364626912</v>
      </c>
      <c r="F236" s="380">
        <f t="shared" si="78"/>
        <v>53.950886456758013</v>
      </c>
      <c r="G236" s="110">
        <f t="shared" si="101"/>
        <v>0.93736192761130366</v>
      </c>
      <c r="H236" s="409" t="b">
        <f>Wh_hp&gt;='2027'!Maxi_hp</f>
        <v>0</v>
      </c>
      <c r="I236" s="385">
        <f>IF(H236,Wh_hp,'2027'!Maxi_hp)</f>
        <v>53.951205583725304</v>
      </c>
      <c r="J236" s="85">
        <f>IF(H236,An,'2027'!An_max)</f>
        <v>2022</v>
      </c>
      <c r="K236" s="193">
        <f t="shared" si="79"/>
        <v>46974</v>
      </c>
      <c r="L236" s="143">
        <f>IF(t&lt;Tvie,1-EXP((T0-t)*PertePVj)+'2027'!Pspv,1-EXP((T0-t)*PertePVj)+Pspv)</f>
        <v>3.3008961264868075E-2</v>
      </c>
      <c r="M236" s="836"/>
      <c r="N236" s="836"/>
      <c r="O236" s="48">
        <f>IF(t&lt;Tnet,'2027'!Resal+('2027'!Salim-'2027'!Resal)*(1-EXP(('2027'!Tnet-t)/('2027'!Tau_j))),Resal+(Salim-Resal)*(1-EXP((Tnet-t)/(Tau_j))))*Salcycl</f>
        <v>2.9157271030741838E-2</v>
      </c>
      <c r="P236" s="165">
        <f>(INDEX(Models!$BJ236:$BT236,,T236)*(1-R236)+INDEX(Models!$BJ236:$BT236,,T236+1)*R236-ERP_i)*Q236*Ramure*Pc/MaxiM</f>
        <v>7.3286294609527423E-5</v>
      </c>
      <c r="Q236" s="301">
        <f t="shared" si="80"/>
        <v>0.5</v>
      </c>
      <c r="R236" s="173">
        <f t="shared" si="81"/>
        <v>0.45622729581339705</v>
      </c>
      <c r="S236" s="802">
        <f t="shared" si="82"/>
        <v>3</v>
      </c>
      <c r="T236" s="172">
        <f t="shared" si="83"/>
        <v>9</v>
      </c>
      <c r="U236" s="247">
        <f t="shared" si="84"/>
        <v>3.456227295813397</v>
      </c>
      <c r="V236" s="378">
        <f t="shared" si="85"/>
        <v>54.029478745186587</v>
      </c>
      <c r="W236" s="397">
        <f t="shared" si="86"/>
        <v>50.645508460884848</v>
      </c>
      <c r="X236" s="153">
        <f t="shared" si="87"/>
        <v>46974</v>
      </c>
      <c r="Y236" s="380">
        <f t="shared" si="88"/>
        <v>49.253965068243069</v>
      </c>
      <c r="Z236" s="380">
        <f t="shared" si="89"/>
        <v>50.935285949153659</v>
      </c>
      <c r="AA236" s="381">
        <f t="shared" si="90"/>
        <v>53.947286364626912</v>
      </c>
      <c r="AB236" s="193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5.583228774688119E-2</v>
      </c>
      <c r="AD236" s="227">
        <f>(INDEX(Models!$BJ236:$BT236,,AH236)*(1-AF236)+INDEX(Models!$BJ236:$BT236,,AH236+1)*AF236-ERP_i)*AE236*Ramure*Pc/MaxiM</f>
        <v>7.3286294609527423E-5</v>
      </c>
      <c r="AE236" s="301">
        <f t="shared" si="92"/>
        <v>0.5</v>
      </c>
      <c r="AF236" s="173">
        <f t="shared" si="93"/>
        <v>0.45622729581339705</v>
      </c>
      <c r="AG236" s="802">
        <f t="shared" si="99"/>
        <v>3</v>
      </c>
      <c r="AH236" s="172">
        <f t="shared" si="94"/>
        <v>9</v>
      </c>
      <c r="AI236" s="221">
        <f t="shared" si="95"/>
        <v>3.456227295813397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46975</v>
      </c>
      <c r="B237" s="406">
        <f>'2027'!Wh/'2027'!Env_an*'2028'!Env_an</f>
        <v>47.797042139051591</v>
      </c>
      <c r="C237" s="832"/>
      <c r="D237" s="388">
        <f t="shared" si="77"/>
        <v>49.429306513428358</v>
      </c>
      <c r="E237" s="380">
        <f t="shared" si="100"/>
        <v>50.916384698542494</v>
      </c>
      <c r="F237" s="380">
        <f t="shared" si="78"/>
        <v>50.919731989442532</v>
      </c>
      <c r="G237" s="110">
        <f t="shared" si="101"/>
        <v>0.88862011826870813</v>
      </c>
      <c r="H237" s="409" t="b">
        <f>Wh_hp&gt;='2027'!Maxi_hp</f>
        <v>0</v>
      </c>
      <c r="I237" s="385">
        <f>IF(H237,Wh_hp,'2027'!Maxi_hp)</f>
        <v>50.920302507199573</v>
      </c>
      <c r="J237" s="85">
        <f>IF(H237,An,'2027'!An_max)</f>
        <v>2022</v>
      </c>
      <c r="K237" s="193">
        <f t="shared" si="79"/>
        <v>46975</v>
      </c>
      <c r="L237" s="143">
        <f>IF(t&lt;Tvie,1-EXP((T0-t)*PertePVj)+'2027'!Pspv,1-EXP((T0-t)*PertePVj)+Pspv)</f>
        <v>3.3022198560146321E-2</v>
      </c>
      <c r="M237" s="836"/>
      <c r="N237" s="836"/>
      <c r="O237" s="48">
        <f>IF(t&lt;Tnet,'2027'!Resal+('2027'!Salim-'2027'!Resal)*(1-EXP(('2027'!Tnet-t)/('2027'!Tau_j))),Resal+(Salim-Resal)*(1-EXP((Tnet-t)/(Tau_j))))*Salcycl</f>
        <v>2.9206279941488132E-2</v>
      </c>
      <c r="P237" s="165">
        <f>(INDEX(Models!$BJ237:$BT237,,T237)*(1-R237)+INDEX(Models!$BJ237:$BT237,,T237+1)*R237-ERP_i)*Q237*Ramure*Pc/MaxiM</f>
        <v>7.8173963396226047E-5</v>
      </c>
      <c r="Q237" s="301">
        <f t="shared" si="80"/>
        <v>0.5</v>
      </c>
      <c r="R237" s="173">
        <f t="shared" si="81"/>
        <v>0.45763710191973983</v>
      </c>
      <c r="S237" s="802">
        <f t="shared" si="82"/>
        <v>3</v>
      </c>
      <c r="T237" s="172">
        <f t="shared" si="83"/>
        <v>9</v>
      </c>
      <c r="U237" s="247">
        <f t="shared" si="84"/>
        <v>3.4576371019197398</v>
      </c>
      <c r="V237" s="378">
        <f t="shared" si="85"/>
        <v>53.787267077301877</v>
      </c>
      <c r="W237" s="397">
        <f t="shared" si="86"/>
        <v>47.797042139051591</v>
      </c>
      <c r="X237" s="153">
        <f t="shared" si="87"/>
        <v>46975</v>
      </c>
      <c r="Y237" s="380">
        <f t="shared" si="88"/>
        <v>46.48494259481437</v>
      </c>
      <c r="Z237" s="380">
        <f t="shared" si="89"/>
        <v>48.072398896435004</v>
      </c>
      <c r="AA237" s="381">
        <f t="shared" si="90"/>
        <v>50.916384698542494</v>
      </c>
      <c r="AB237" s="193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5.5856004289104692E-2</v>
      </c>
      <c r="AD237" s="227">
        <f>(INDEX(Models!$BJ237:$BT237,,AH237)*(1-AF237)+INDEX(Models!$BJ237:$BT237,,AH237+1)*AF237-ERP_i)*AE237*Ramure*Pc/MaxiM</f>
        <v>7.8173963396226047E-5</v>
      </c>
      <c r="AE237" s="301">
        <f t="shared" si="92"/>
        <v>0.5</v>
      </c>
      <c r="AF237" s="173">
        <f t="shared" si="93"/>
        <v>0.45763710191973983</v>
      </c>
      <c r="AG237" s="802">
        <f t="shared" si="99"/>
        <v>3</v>
      </c>
      <c r="AH237" s="172">
        <f t="shared" si="94"/>
        <v>9</v>
      </c>
      <c r="AI237" s="221">
        <f t="shared" si="95"/>
        <v>3.4576371019197398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46976</v>
      </c>
      <c r="B238" s="406">
        <f>'2027'!Wh/'2027'!Env_an*'2028'!Env_an</f>
        <v>0</v>
      </c>
      <c r="C238" s="832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Wh_hp&gt;='2027'!Maxi_hp</f>
        <v>1</v>
      </c>
      <c r="I238" s="385">
        <f>IF(H238,Wh_hp,'2027'!Maxi_hp)</f>
        <v>0</v>
      </c>
      <c r="J238" s="85">
        <f>IF(H238,An,'2027'!An_max)</f>
        <v>2028</v>
      </c>
      <c r="K238" s="193">
        <f t="shared" si="79"/>
        <v>46976</v>
      </c>
      <c r="L238" s="143">
        <f>IF(t&lt;Tvie,1-EXP((T0-t)*PertePVj)+'2027'!Pspv,1-EXP((T0-t)*PertePVj)+Pspv)</f>
        <v>3.3035435674217073E-2</v>
      </c>
      <c r="M238" s="836"/>
      <c r="N238" s="836"/>
      <c r="O238" s="48">
        <f>IF(t&lt;Tnet,'2027'!Resal+('2027'!Salim-'2027'!Resal)*(1-EXP(('2027'!Tnet-t)/('2027'!Tau_j))),Resal+(Salim-Resal)*(1-EXP((Tnet-t)/(Tau_j))))*Salcycl</f>
        <v>2.9255172324015196E-2</v>
      </c>
      <c r="P238" s="165">
        <f>(INDEX(Models!$BJ238:$BT238,,T238)*(1-R238)+INDEX(Models!$BJ238:$BT238,,T238+1)*R238-ERP_i)*Q238*Ramure*Pc/MaxiM</f>
        <v>8.3189932126623086E-5</v>
      </c>
      <c r="Q238" s="301">
        <f t="shared" si="80"/>
        <v>0.5</v>
      </c>
      <c r="R238" s="173">
        <f t="shared" si="81"/>
        <v>0.4589982409073059</v>
      </c>
      <c r="S238" s="802">
        <f t="shared" si="82"/>
        <v>3</v>
      </c>
      <c r="T238" s="172">
        <f t="shared" si="83"/>
        <v>9</v>
      </c>
      <c r="U238" s="247">
        <f t="shared" si="84"/>
        <v>3.4589982409073059</v>
      </c>
      <c r="V238" s="378">
        <f t="shared" si="85"/>
        <v>53.542798550113005</v>
      </c>
      <c r="W238" s="397">
        <f t="shared" si="86"/>
        <v>0</v>
      </c>
      <c r="X238" s="153">
        <f t="shared" si="87"/>
        <v>46976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5.5879566992783763E-2</v>
      </c>
      <c r="AD238" s="227">
        <f>(INDEX(Models!$BJ238:$BT238,,AH238)*(1-AF238)+INDEX(Models!$BJ238:$BT238,,AH238+1)*AF238-ERP_i)*AE238*Ramure*Pc/MaxiM</f>
        <v>8.3189932126623086E-5</v>
      </c>
      <c r="AE238" s="301">
        <f t="shared" si="92"/>
        <v>0.5</v>
      </c>
      <c r="AF238" s="173">
        <f t="shared" si="93"/>
        <v>0.4589982409073059</v>
      </c>
      <c r="AG238" s="802">
        <f t="shared" si="99"/>
        <v>3</v>
      </c>
      <c r="AH238" s="172">
        <f t="shared" si="94"/>
        <v>9</v>
      </c>
      <c r="AI238" s="221">
        <f t="shared" si="95"/>
        <v>3.4589982409073059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46977</v>
      </c>
      <c r="B239" s="406">
        <f>'2027'!Wh/'2027'!Env_an*'2028'!Env_an</f>
        <v>35.523759007375752</v>
      </c>
      <c r="C239" s="832"/>
      <c r="D239" s="388">
        <f t="shared" si="77"/>
        <v>36.737897762811386</v>
      </c>
      <c r="E239" s="380">
        <f t="shared" si="100"/>
        <v>37.846963151091323</v>
      </c>
      <c r="F239" s="380">
        <f t="shared" si="78"/>
        <v>37.848713808532658</v>
      </c>
      <c r="G239" s="110">
        <f t="shared" si="101"/>
        <v>0.66650424029024768</v>
      </c>
      <c r="H239" s="409" t="b">
        <f>Wh_hp&gt;='2027'!Maxi_hp</f>
        <v>0</v>
      </c>
      <c r="I239" s="385">
        <f>IF(H239,Wh_hp,'2027'!Maxi_hp)</f>
        <v>37.850144925351806</v>
      </c>
      <c r="J239" s="85">
        <f>IF(H239,An,'2027'!An_max)</f>
        <v>2022</v>
      </c>
      <c r="K239" s="193">
        <f t="shared" si="79"/>
        <v>46977</v>
      </c>
      <c r="L239" s="143">
        <f>IF(t&lt;Tvie,1-EXP((T0-t)*PertePVj)+'2027'!Pspv,1-EXP((T0-t)*PertePVj)+Pspv)</f>
        <v>3.3048672607082774E-2</v>
      </c>
      <c r="M239" s="836"/>
      <c r="N239" s="836"/>
      <c r="O239" s="48">
        <f>IF(t&lt;Tnet,'2027'!Resal+('2027'!Salim-'2027'!Resal)*(1-EXP(('2027'!Tnet-t)/('2027'!Tau_j))),Resal+(Salim-Resal)*(1-EXP((Tnet-t)/(Tau_j))))*Salcycl</f>
        <v>2.9303946629809181E-2</v>
      </c>
      <c r="P239" s="165">
        <f>(INDEX(Models!$BJ239:$BT239,,T239)*(1-R239)+INDEX(Models!$BJ239:$BT239,,T239+1)*R239-ERP_i)*Q239*Ramure*Pc/MaxiM</f>
        <v>8.8335617212818778E-5</v>
      </c>
      <c r="Q239" s="301">
        <f t="shared" si="80"/>
        <v>0.5</v>
      </c>
      <c r="R239" s="173">
        <f t="shared" si="81"/>
        <v>0.46031209923504957</v>
      </c>
      <c r="S239" s="802">
        <f t="shared" si="82"/>
        <v>3</v>
      </c>
      <c r="T239" s="172">
        <f t="shared" si="83"/>
        <v>9</v>
      </c>
      <c r="U239" s="247">
        <f t="shared" si="84"/>
        <v>3.4603120992350496</v>
      </c>
      <c r="V239" s="378">
        <f t="shared" si="85"/>
        <v>53.296381172873666</v>
      </c>
      <c r="W239" s="397">
        <f t="shared" si="86"/>
        <v>35.523759007375752</v>
      </c>
      <c r="X239" s="153">
        <f t="shared" si="87"/>
        <v>46977</v>
      </c>
      <c r="Y239" s="380">
        <f t="shared" si="88"/>
        <v>34.550336471372567</v>
      </c>
      <c r="Z239" s="380">
        <f t="shared" si="89"/>
        <v>35.731205379826903</v>
      </c>
      <c r="AA239" s="381">
        <f t="shared" si="90"/>
        <v>37.846963151091323</v>
      </c>
      <c r="AB239" s="193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5.5902973319628457E-2</v>
      </c>
      <c r="AD239" s="227">
        <f>(INDEX(Models!$BJ239:$BT239,,AH239)*(1-AF239)+INDEX(Models!$BJ239:$BT239,,AH239+1)*AF239-ERP_i)*AE239*Ramure*Pc/MaxiM</f>
        <v>8.8335617212818778E-5</v>
      </c>
      <c r="AE239" s="301">
        <f t="shared" si="92"/>
        <v>0.5</v>
      </c>
      <c r="AF239" s="173">
        <f t="shared" si="93"/>
        <v>0.46031209923504957</v>
      </c>
      <c r="AG239" s="802">
        <f t="shared" si="99"/>
        <v>3</v>
      </c>
      <c r="AH239" s="172">
        <f t="shared" si="94"/>
        <v>9</v>
      </c>
      <c r="AI239" s="221">
        <f t="shared" si="95"/>
        <v>3.4603120992350496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46978</v>
      </c>
      <c r="B240" s="406">
        <f>'2027'!Wh/'2027'!Env_an*'2028'!Env_an</f>
        <v>35.589153765538526</v>
      </c>
      <c r="C240" s="832"/>
      <c r="D240" s="388">
        <f t="shared" si="77"/>
        <v>36.806031440892475</v>
      </c>
      <c r="E240" s="380">
        <f t="shared" si="100"/>
        <v>37.919054309951356</v>
      </c>
      <c r="F240" s="380">
        <f t="shared" si="78"/>
        <v>37.920955956561016</v>
      </c>
      <c r="G240" s="110">
        <f t="shared" si="101"/>
        <v>0.67085262782990129</v>
      </c>
      <c r="H240" s="409" t="b">
        <f>Wh_hp&gt;='2027'!Maxi_hp</f>
        <v>0</v>
      </c>
      <c r="I240" s="385">
        <f>IF(H240,Wh_hp,'2027'!Maxi_hp)</f>
        <v>37.922472113762595</v>
      </c>
      <c r="J240" s="85">
        <f>IF(H240,An,'2027'!An_max)</f>
        <v>2022</v>
      </c>
      <c r="K240" s="193">
        <f t="shared" si="79"/>
        <v>46978</v>
      </c>
      <c r="L240" s="143">
        <f>IF(t&lt;Tvie,1-EXP((T0-t)*PertePVj)+'2027'!Pspv,1-EXP((T0-t)*PertePVj)+Pspv)</f>
        <v>3.3061909358746089E-2</v>
      </c>
      <c r="M240" s="836"/>
      <c r="N240" s="836"/>
      <c r="O240" s="48">
        <f>IF(t&lt;Tnet,'2027'!Resal+('2027'!Salim-'2027'!Resal)*(1-EXP(('2027'!Tnet-t)/('2027'!Tau_j))),Resal+(Salim-Resal)*(1-EXP((Tnet-t)/(Tau_j))))*Salcycl</f>
        <v>2.9352600936748217E-2</v>
      </c>
      <c r="P240" s="165">
        <f>(INDEX(Models!$BJ240:$BT240,,T240)*(1-R240)+INDEX(Models!$BJ240:$BT240,,T240+1)*R240-ERP_i)*Q240*Ramure*Pc/MaxiM</f>
        <v>9.4648177002625738E-5</v>
      </c>
      <c r="Q240" s="301">
        <f t="shared" si="80"/>
        <v>0.5</v>
      </c>
      <c r="R240" s="173">
        <f t="shared" si="81"/>
        <v>0.46158004579599821</v>
      </c>
      <c r="S240" s="802">
        <f t="shared" si="82"/>
        <v>3</v>
      </c>
      <c r="T240" s="172">
        <f t="shared" si="83"/>
        <v>9</v>
      </c>
      <c r="U240" s="247">
        <f t="shared" si="84"/>
        <v>3.4615800457959982</v>
      </c>
      <c r="V240" s="378">
        <f t="shared" si="85"/>
        <v>53.048267940653048</v>
      </c>
      <c r="W240" s="397">
        <f t="shared" si="86"/>
        <v>35.589153765538526</v>
      </c>
      <c r="X240" s="153">
        <f t="shared" si="87"/>
        <v>46978</v>
      </c>
      <c r="Y240" s="380">
        <f t="shared" si="88"/>
        <v>34.614821977343738</v>
      </c>
      <c r="Z240" s="380">
        <f t="shared" si="89"/>
        <v>35.798384935262902</v>
      </c>
      <c r="AA240" s="381">
        <f t="shared" si="90"/>
        <v>37.919054309951356</v>
      </c>
      <c r="AB240" s="193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5.5926220030543088E-2</v>
      </c>
      <c r="AD240" s="227">
        <f>(INDEX(Models!$BJ240:$BT240,,AH240)*(1-AF240)+INDEX(Models!$BJ240:$BT240,,AH240+1)*AF240-ERP_i)*AE240*Ramure*Pc/MaxiM</f>
        <v>9.4648177002625738E-5</v>
      </c>
      <c r="AE240" s="301">
        <f t="shared" si="92"/>
        <v>0.5</v>
      </c>
      <c r="AF240" s="173">
        <f t="shared" si="93"/>
        <v>0.46158004579599821</v>
      </c>
      <c r="AG240" s="802">
        <f t="shared" si="99"/>
        <v>3</v>
      </c>
      <c r="AH240" s="172">
        <f t="shared" si="94"/>
        <v>9</v>
      </c>
      <c r="AI240" s="221">
        <f t="shared" si="95"/>
        <v>3.4615800457959982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46979</v>
      </c>
      <c r="B241" s="406">
        <f>'2027'!Wh/'2027'!Env_an*'2028'!Env_an</f>
        <v>35.994071124460902</v>
      </c>
      <c r="C241" s="832"/>
      <c r="D241" s="388">
        <f t="shared" si="77"/>
        <v>37.225303468955715</v>
      </c>
      <c r="E241" s="380">
        <f t="shared" si="100"/>
        <v>38.352922853885858</v>
      </c>
      <c r="F241" s="380">
        <f t="shared" si="78"/>
        <v>38.355056035284761</v>
      </c>
      <c r="G241" s="110">
        <f t="shared" si="101"/>
        <v>0.68169009549711201</v>
      </c>
      <c r="H241" s="409" t="b">
        <f>Wh_hp&gt;='2027'!Maxi_hp</f>
        <v>0</v>
      </c>
      <c r="I241" s="385">
        <f>IF(H241,Wh_hp,'2027'!Maxi_hp)</f>
        <v>38.356655660783957</v>
      </c>
      <c r="J241" s="85">
        <f>IF(H241,An,'2027'!An_max)</f>
        <v>2022</v>
      </c>
      <c r="K241" s="193">
        <f t="shared" si="79"/>
        <v>46979</v>
      </c>
      <c r="L241" s="143">
        <f>IF(t&lt;Tvie,1-EXP((T0-t)*PertePVj)+'2027'!Pspv,1-EXP((T0-t)*PertePVj)+Pspv)</f>
        <v>3.3075145929209349E-2</v>
      </c>
      <c r="M241" s="836"/>
      <c r="N241" s="836"/>
      <c r="O241" s="48">
        <f>IF(t&lt;Tnet,'2027'!Resal+('2027'!Salim-'2027'!Resal)*(1-EXP(('2027'!Tnet-t)/('2027'!Tau_j))),Resal+(Salim-Resal)*(1-EXP((Tnet-t)/(Tau_j))))*Salcycl</f>
        <v>2.940113297821037E-2</v>
      </c>
      <c r="P241" s="165">
        <f>(INDEX(Models!$BJ241:$BT241,,T241)*(1-R241)+INDEX(Models!$BJ241:$BT241,,T241+1)*R241-ERP_i)*Q241*Ramure*Pc/MaxiM</f>
        <v>1.0198970719429995E-4</v>
      </c>
      <c r="Q241" s="301">
        <f t="shared" si="80"/>
        <v>0.5</v>
      </c>
      <c r="R241" s="173">
        <f t="shared" si="81"/>
        <v>0.46280343031903826</v>
      </c>
      <c r="S241" s="802">
        <f t="shared" si="82"/>
        <v>3</v>
      </c>
      <c r="T241" s="172">
        <f t="shared" si="83"/>
        <v>9</v>
      </c>
      <c r="U241" s="247">
        <f t="shared" si="84"/>
        <v>3.4628034303190383</v>
      </c>
      <c r="V241" s="378">
        <f t="shared" si="85"/>
        <v>52.79877486238945</v>
      </c>
      <c r="W241" s="397">
        <f t="shared" si="86"/>
        <v>35.994071124460902</v>
      </c>
      <c r="X241" s="153">
        <f t="shared" si="87"/>
        <v>46979</v>
      </c>
      <c r="Y241" s="380">
        <f t="shared" si="88"/>
        <v>35.009548309438159</v>
      </c>
      <c r="Z241" s="380">
        <f t="shared" si="89"/>
        <v>36.20710354278993</v>
      </c>
      <c r="AA241" s="381">
        <f t="shared" si="90"/>
        <v>38.352922853885858</v>
      </c>
      <c r="AB241" s="193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5.59493032453071E-2</v>
      </c>
      <c r="AD241" s="227">
        <f>(INDEX(Models!$BJ241:$BT241,,AH241)*(1-AF241)+INDEX(Models!$BJ241:$BT241,,AH241+1)*AF241-ERP_i)*AE241*Ramure*Pc/MaxiM</f>
        <v>1.0198970719429995E-4</v>
      </c>
      <c r="AE241" s="301">
        <f t="shared" si="92"/>
        <v>0.5</v>
      </c>
      <c r="AF241" s="173">
        <f t="shared" si="93"/>
        <v>0.46280343031903826</v>
      </c>
      <c r="AG241" s="802">
        <f t="shared" si="99"/>
        <v>3</v>
      </c>
      <c r="AH241" s="172">
        <f t="shared" si="94"/>
        <v>9</v>
      </c>
      <c r="AI241" s="221">
        <f t="shared" si="95"/>
        <v>3.4628034303190383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46980</v>
      </c>
      <c r="B242" s="406">
        <f>'2027'!Wh/'2027'!Env_an*'2028'!Env_an</f>
        <v>37.28142327855744</v>
      </c>
      <c r="C242" s="832"/>
      <c r="D242" s="388">
        <f t="shared" si="77"/>
        <v>38.557219291615702</v>
      </c>
      <c r="E242" s="380">
        <f t="shared" si="100"/>
        <v>39.727166064509433</v>
      </c>
      <c r="F242" s="380">
        <f t="shared" si="78"/>
        <v>39.729731189688202</v>
      </c>
      <c r="G242" s="110">
        <f t="shared" si="101"/>
        <v>0.70943835159968405</v>
      </c>
      <c r="H242" s="409" t="b">
        <f>Wh_hp&gt;='2027'!Maxi_hp</f>
        <v>0</v>
      </c>
      <c r="I242" s="385">
        <f>IF(H242,Wh_hp,'2027'!Maxi_hp)</f>
        <v>39.731371026563743</v>
      </c>
      <c r="J242" s="85">
        <f>IF(H242,An,'2027'!An_max)</f>
        <v>2022</v>
      </c>
      <c r="K242" s="193">
        <f t="shared" si="79"/>
        <v>46980</v>
      </c>
      <c r="L242" s="143">
        <f>IF(t&lt;Tvie,1-EXP((T0-t)*PertePVj)+'2027'!Pspv,1-EXP((T0-t)*PertePVj)+Pspv)</f>
        <v>3.3088382318475107E-2</v>
      </c>
      <c r="M242" s="836"/>
      <c r="N242" s="836"/>
      <c r="O242" s="48">
        <f>IF(t&lt;Tnet,'2027'!Resal+('2027'!Salim-'2027'!Resal)*(1-EXP(('2027'!Tnet-t)/('2027'!Tau_j))),Resal+(Salim-Resal)*(1-EXP((Tnet-t)/(Tau_j))))*Salcycl</f>
        <v>2.9449540170923775E-2</v>
      </c>
      <c r="P242" s="165">
        <f>(INDEX(Models!$BJ242:$BT242,,T242)*(1-R242)+INDEX(Models!$BJ242:$BT242,,T242+1)*R242-ERP_i)*Q242*Ramure*Pc/MaxiM</f>
        <v>1.1037430506957687E-4</v>
      </c>
      <c r="Q242" s="301">
        <f t="shared" si="80"/>
        <v>0.5</v>
      </c>
      <c r="R242" s="173">
        <f t="shared" si="81"/>
        <v>0.46398358194705747</v>
      </c>
      <c r="S242" s="802">
        <f t="shared" si="82"/>
        <v>3</v>
      </c>
      <c r="T242" s="172">
        <f t="shared" si="83"/>
        <v>9</v>
      </c>
      <c r="U242" s="247">
        <f t="shared" si="84"/>
        <v>3.4639835819470575</v>
      </c>
      <c r="V242" s="378">
        <f t="shared" si="85"/>
        <v>52.548209755999814</v>
      </c>
      <c r="W242" s="397">
        <f t="shared" si="86"/>
        <v>37.28142327855744</v>
      </c>
      <c r="X242" s="153">
        <f t="shared" si="87"/>
        <v>46980</v>
      </c>
      <c r="Y242" s="380">
        <f t="shared" si="88"/>
        <v>36.262616695931072</v>
      </c>
      <c r="Z242" s="380">
        <f t="shared" si="89"/>
        <v>37.503548445184798</v>
      </c>
      <c r="AA242" s="381">
        <f t="shared" si="90"/>
        <v>39.727166064509433</v>
      </c>
      <c r="AB242" s="193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5.5972218499399172E-2</v>
      </c>
      <c r="AD242" s="227">
        <f>(INDEX(Models!$BJ242:$BT242,,AH242)*(1-AF242)+INDEX(Models!$BJ242:$BT242,,AH242+1)*AF242-ERP_i)*AE242*Ramure*Pc/MaxiM</f>
        <v>1.1037430506957687E-4</v>
      </c>
      <c r="AE242" s="301">
        <f t="shared" si="92"/>
        <v>0.5</v>
      </c>
      <c r="AF242" s="173">
        <f t="shared" si="93"/>
        <v>0.46398358194705747</v>
      </c>
      <c r="AG242" s="802">
        <f t="shared" si="99"/>
        <v>3</v>
      </c>
      <c r="AH242" s="172">
        <f t="shared" si="94"/>
        <v>9</v>
      </c>
      <c r="AI242" s="221">
        <f t="shared" si="95"/>
        <v>3.4639835819470575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46981</v>
      </c>
      <c r="B243" s="406">
        <f>'2027'!Wh/'2027'!Env_an*'2028'!Env_an</f>
        <v>25.932153596474201</v>
      </c>
      <c r="C243" s="832"/>
      <c r="D243" s="388">
        <f t="shared" si="77"/>
        <v>26.819936917213834</v>
      </c>
      <c r="E243" s="380">
        <f t="shared" si="100"/>
        <v>27.635112480940361</v>
      </c>
      <c r="F243" s="380">
        <f t="shared" si="78"/>
        <v>27.636038986313718</v>
      </c>
      <c r="G243" s="110">
        <f t="shared" si="101"/>
        <v>0.49582146436940611</v>
      </c>
      <c r="H243" s="409" t="b">
        <f>Wh_hp&gt;='2027'!Maxi_hp</f>
        <v>0</v>
      </c>
      <c r="I243" s="385">
        <f>IF(H243,Wh_hp,'2027'!Maxi_hp)</f>
        <v>27.638192909314213</v>
      </c>
      <c r="J243" s="85">
        <f>IF(H243,An,'2027'!An_max)</f>
        <v>2022</v>
      </c>
      <c r="K243" s="193">
        <f t="shared" si="79"/>
        <v>46981</v>
      </c>
      <c r="L243" s="143">
        <f>IF(t&lt;Tvie,1-EXP((T0-t)*PertePVj)+'2027'!Pspv,1-EXP((T0-t)*PertePVj)+Pspv)</f>
        <v>3.3101618526545695E-2</v>
      </c>
      <c r="M243" s="836"/>
      <c r="N243" s="836"/>
      <c r="O243" s="48">
        <f>IF(t&lt;Tnet,'2027'!Resal+('2027'!Salim-'2027'!Resal)*(1-EXP(('2027'!Tnet-t)/('2027'!Tau_j))),Resal+(Salim-Resal)*(1-EXP((Tnet-t)/(Tau_j))))*Salcycl</f>
        <v>2.9497819641180912E-2</v>
      </c>
      <c r="P243" s="165">
        <f>(INDEX(Models!$BJ243:$BT243,,T243)*(1-R243)+INDEX(Models!$BJ243:$BT243,,T243+1)*R243-ERP_i)*Q243*Ramure*Pc/MaxiM</f>
        <v>1.1981605116805533E-4</v>
      </c>
      <c r="Q243" s="301">
        <f t="shared" si="80"/>
        <v>0.5</v>
      </c>
      <c r="R243" s="173">
        <f t="shared" si="81"/>
        <v>0.46512180798190972</v>
      </c>
      <c r="S243" s="802">
        <f t="shared" si="82"/>
        <v>3</v>
      </c>
      <c r="T243" s="172">
        <f t="shared" si="83"/>
        <v>9</v>
      </c>
      <c r="U243" s="247">
        <f t="shared" si="84"/>
        <v>3.4651218079819097</v>
      </c>
      <c r="V243" s="378">
        <f t="shared" si="85"/>
        <v>52.296880386898373</v>
      </c>
      <c r="W243" s="397">
        <f t="shared" si="86"/>
        <v>25.932153596474201</v>
      </c>
      <c r="X243" s="153">
        <f t="shared" si="87"/>
        <v>46981</v>
      </c>
      <c r="Y243" s="380">
        <f t="shared" si="88"/>
        <v>25.224140829235235</v>
      </c>
      <c r="Z243" s="380">
        <f t="shared" si="89"/>
        <v>26.087685440941812</v>
      </c>
      <c r="AA243" s="381">
        <f t="shared" si="90"/>
        <v>27.635112480940361</v>
      </c>
      <c r="AB243" s="193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5.5994960797275263E-2</v>
      </c>
      <c r="AD243" s="227">
        <f>(INDEX(Models!$BJ243:$BT243,,AH243)*(1-AF243)+INDEX(Models!$BJ243:$BT243,,AH243+1)*AF243-ERP_i)*AE243*Ramure*Pc/MaxiM</f>
        <v>1.1981605116805533E-4</v>
      </c>
      <c r="AE243" s="301">
        <f t="shared" si="92"/>
        <v>0.5</v>
      </c>
      <c r="AF243" s="173">
        <f t="shared" si="93"/>
        <v>0.46512180798190972</v>
      </c>
      <c r="AG243" s="802">
        <f t="shared" si="99"/>
        <v>3</v>
      </c>
      <c r="AH243" s="172">
        <f t="shared" si="94"/>
        <v>9</v>
      </c>
      <c r="AI243" s="221">
        <f t="shared" si="95"/>
        <v>3.4651218079819097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46982</v>
      </c>
      <c r="B244" s="406">
        <f>'2027'!Wh/'2027'!Env_an*'2028'!Env_an</f>
        <v>39.568263250731412</v>
      </c>
      <c r="C244" s="832"/>
      <c r="D244" s="388">
        <f t="shared" si="77"/>
        <v>40.923436911895031</v>
      </c>
      <c r="E244" s="380">
        <f t="shared" si="100"/>
        <v>42.16937183316103</v>
      </c>
      <c r="F244" s="380">
        <f t="shared" si="78"/>
        <v>42.172985838163413</v>
      </c>
      <c r="G244" s="110">
        <f t="shared" si="101"/>
        <v>0.76023489651303022</v>
      </c>
      <c r="H244" s="409" t="b">
        <f>Wh_hp&gt;='2027'!Maxi_hp</f>
        <v>0</v>
      </c>
      <c r="I244" s="385">
        <f>IF(H244,Wh_hp,'2027'!Maxi_hp)</f>
        <v>42.174690936516853</v>
      </c>
      <c r="J244" s="85">
        <f>IF(H244,An,'2027'!An_max)</f>
        <v>2022</v>
      </c>
      <c r="K244" s="193">
        <f t="shared" si="79"/>
        <v>46982</v>
      </c>
      <c r="L244" s="143">
        <f>IF(t&lt;Tvie,1-EXP((T0-t)*PertePVj)+'2027'!Pspv,1-EXP((T0-t)*PertePVj)+Pspv)</f>
        <v>3.3114854553423778E-2</v>
      </c>
      <c r="M244" s="836"/>
      <c r="N244" s="836"/>
      <c r="O244" s="48">
        <f>IF(t&lt;Tnet,'2027'!Resal+('2027'!Salim-'2027'!Resal)*(1-EXP(('2027'!Tnet-t)/('2027'!Tau_j))),Resal+(Salim-Resal)*(1-EXP((Tnet-t)/(Tau_j))))*Salcycl</f>
        <v>2.9545968249074645E-2</v>
      </c>
      <c r="P244" s="165">
        <f>(INDEX(Models!$BJ244:$BT244,,T244)*(1-R244)+INDEX(Models!$BJ244:$BT244,,T244+1)*R244-ERP_i)*Q244*Ramure*Pc/MaxiM</f>
        <v>1.303289424556495E-4</v>
      </c>
      <c r="Q244" s="301">
        <f t="shared" si="80"/>
        <v>0.5</v>
      </c>
      <c r="R244" s="173">
        <f t="shared" si="81"/>
        <v>0.46621939278672331</v>
      </c>
      <c r="S244" s="802">
        <f t="shared" si="82"/>
        <v>3</v>
      </c>
      <c r="T244" s="172">
        <f t="shared" si="83"/>
        <v>9</v>
      </c>
      <c r="U244" s="247">
        <f t="shared" si="84"/>
        <v>3.4662193927867233</v>
      </c>
      <c r="V244" s="378">
        <f t="shared" si="85"/>
        <v>52.045094463311159</v>
      </c>
      <c r="W244" s="397">
        <f t="shared" si="86"/>
        <v>39.568263250731412</v>
      </c>
      <c r="X244" s="153">
        <f t="shared" si="87"/>
        <v>46982</v>
      </c>
      <c r="Y244" s="380">
        <f t="shared" si="88"/>
        <v>38.488940090114518</v>
      </c>
      <c r="Z244" s="380">
        <f t="shared" si="89"/>
        <v>39.807148006537624</v>
      </c>
      <c r="AA244" s="381">
        <f t="shared" si="90"/>
        <v>42.16937183316103</v>
      </c>
      <c r="AB244" s="193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5.6017524661484498E-2</v>
      </c>
      <c r="AD244" s="227">
        <f>(INDEX(Models!$BJ244:$BT244,,AH244)*(1-AF244)+INDEX(Models!$BJ244:$BT244,,AH244+1)*AF244-ERP_i)*AE244*Ramure*Pc/MaxiM</f>
        <v>1.303289424556495E-4</v>
      </c>
      <c r="AE244" s="301">
        <f t="shared" si="92"/>
        <v>0.5</v>
      </c>
      <c r="AF244" s="173">
        <f t="shared" si="93"/>
        <v>0.46621939278672331</v>
      </c>
      <c r="AG244" s="802">
        <f t="shared" si="99"/>
        <v>3</v>
      </c>
      <c r="AH244" s="172">
        <f t="shared" si="94"/>
        <v>9</v>
      </c>
      <c r="AI244" s="221">
        <f t="shared" si="95"/>
        <v>3.4662193927867233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46983</v>
      </c>
      <c r="B245" s="406">
        <f>'2027'!Wh/'2027'!Env_an*'2028'!Env_an</f>
        <v>39.171136834170753</v>
      </c>
      <c r="C245" s="832"/>
      <c r="D245" s="388">
        <f t="shared" si="77"/>
        <v>40.513263903116261</v>
      </c>
      <c r="E245" s="380">
        <f t="shared" si="100"/>
        <v>41.748776467915398</v>
      </c>
      <c r="F245" s="380">
        <f t="shared" si="78"/>
        <v>41.752639250718119</v>
      </c>
      <c r="G245" s="110">
        <f t="shared" si="101"/>
        <v>0.75626205172485117</v>
      </c>
      <c r="H245" s="409" t="b">
        <f>Wh_hp&gt;='2027'!Maxi_hp</f>
        <v>0</v>
      </c>
      <c r="I245" s="385">
        <f>IF(H245,Wh_hp,'2027'!Maxi_hp)</f>
        <v>41.754513954757151</v>
      </c>
      <c r="J245" s="85">
        <f>IF(H245,An,'2027'!An_max)</f>
        <v>2022</v>
      </c>
      <c r="K245" s="193">
        <f t="shared" si="79"/>
        <v>46983</v>
      </c>
      <c r="L245" s="143">
        <f>IF(t&lt;Tvie,1-EXP((T0-t)*PertePVj)+'2027'!Pspv,1-EXP((T0-t)*PertePVj)+Pspv)</f>
        <v>3.3128090399111798E-2</v>
      </c>
      <c r="M245" s="836"/>
      <c r="N245" s="836"/>
      <c r="O245" s="48">
        <f>IF(t&lt;Tnet,'2027'!Resal+('2027'!Salim-'2027'!Resal)*(1-EXP(('2027'!Tnet-t)/('2027'!Tau_j))),Resal+(Salim-Resal)*(1-EXP((Tnet-t)/(Tau_j))))*Salcycl</f>
        <v>2.9593982610452128E-2</v>
      </c>
      <c r="P245" s="165">
        <f>(INDEX(Models!$BJ245:$BT245,,T245)*(1-R245)+INDEX(Models!$BJ245:$BT245,,T245+1)*R245-ERP_i)*Q245*Ramure*Pc/MaxiM</f>
        <v>1.4192682093202484E-4</v>
      </c>
      <c r="Q245" s="301">
        <f t="shared" si="80"/>
        <v>0.5</v>
      </c>
      <c r="R245" s="173">
        <f t="shared" si="81"/>
        <v>0.46727759683616288</v>
      </c>
      <c r="S245" s="802">
        <f t="shared" si="82"/>
        <v>3</v>
      </c>
      <c r="T245" s="172">
        <f t="shared" si="83"/>
        <v>9</v>
      </c>
      <c r="U245" s="247">
        <f t="shared" si="84"/>
        <v>3.4672775968361629</v>
      </c>
      <c r="V245" s="378">
        <f t="shared" si="85"/>
        <v>51.79315963775786</v>
      </c>
      <c r="W245" s="397">
        <f t="shared" si="86"/>
        <v>39.171136834170753</v>
      </c>
      <c r="X245" s="153">
        <f t="shared" si="87"/>
        <v>46983</v>
      </c>
      <c r="Y245" s="380">
        <f t="shared" si="88"/>
        <v>38.103628189511873</v>
      </c>
      <c r="Z245" s="380">
        <f t="shared" si="89"/>
        <v>39.40917903514287</v>
      </c>
      <c r="AA245" s="381">
        <f t="shared" si="90"/>
        <v>41.748776467915398</v>
      </c>
      <c r="AB245" s="193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5.6039904177085306E-2</v>
      </c>
      <c r="AD245" s="227">
        <f>(INDEX(Models!$BJ245:$BT245,,AH245)*(1-AF245)+INDEX(Models!$BJ245:$BT245,,AH245+1)*AF245-ERP_i)*AE245*Ramure*Pc/MaxiM</f>
        <v>1.4192682093202484E-4</v>
      </c>
      <c r="AE245" s="301">
        <f t="shared" si="92"/>
        <v>0.5</v>
      </c>
      <c r="AF245" s="173">
        <f t="shared" si="93"/>
        <v>0.46727759683616288</v>
      </c>
      <c r="AG245" s="802">
        <f t="shared" si="99"/>
        <v>3</v>
      </c>
      <c r="AH245" s="172">
        <f t="shared" si="94"/>
        <v>9</v>
      </c>
      <c r="AI245" s="221">
        <f t="shared" si="95"/>
        <v>3.4672775968361629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46984</v>
      </c>
      <c r="B246" s="406">
        <f>'2027'!Wh/'2027'!Env_an*'2028'!Env_an</f>
        <v>51.120864319376992</v>
      </c>
      <c r="C246" s="832"/>
      <c r="D246" s="388">
        <f t="shared" si="77"/>
        <v>52.87315064491046</v>
      </c>
      <c r="E246" s="380">
        <f t="shared" si="100"/>
        <v>54.488284703584334</v>
      </c>
      <c r="F246" s="380">
        <f t="shared" si="78"/>
        <v>54.496612934964283</v>
      </c>
      <c r="G246" s="110">
        <f t="shared" si="101"/>
        <v>0.99183934725367973</v>
      </c>
      <c r="H246" s="409" t="b">
        <f>Wh_hp&gt;='2027'!Maxi_hp</f>
        <v>0</v>
      </c>
      <c r="I246" s="385">
        <f>IF(H246,Wh_hp,'2027'!Maxi_hp)</f>
        <v>54.496702481805315</v>
      </c>
      <c r="J246" s="85">
        <f>IF(H246,An,'2027'!An_max)</f>
        <v>2022</v>
      </c>
      <c r="K246" s="193">
        <f t="shared" si="79"/>
        <v>46984</v>
      </c>
      <c r="L246" s="143">
        <f>IF(t&lt;Tvie,1-EXP((T0-t)*PertePVj)+'2027'!Pspv,1-EXP((T0-t)*PertePVj)+Pspv)</f>
        <v>3.3141326063612198E-2</v>
      </c>
      <c r="M246" s="836"/>
      <c r="N246" s="836"/>
      <c r="O246" s="48">
        <f>IF(t&lt;Tnet,'2027'!Resal+('2027'!Salim-'2027'!Resal)*(1-EXP(('2027'!Tnet-t)/('2027'!Tau_j))),Resal+(Salim-Resal)*(1-EXP((Tnet-t)/(Tau_j))))*Salcycl</f>
        <v>2.964185911632548E-2</v>
      </c>
      <c r="P246" s="165">
        <f>(INDEX(Models!$BJ246:$BT246,,T246)*(1-R246)+INDEX(Models!$BJ246:$BT246,,T246+1)*R246-ERP_i)*Q246*Ramure*Pc/MaxiM</f>
        <v>1.5462329762564307E-4</v>
      </c>
      <c r="Q246" s="301">
        <f t="shared" si="80"/>
        <v>0.5</v>
      </c>
      <c r="R246" s="173">
        <f t="shared" si="81"/>
        <v>0.46829765590544792</v>
      </c>
      <c r="S246" s="802">
        <f t="shared" si="82"/>
        <v>3</v>
      </c>
      <c r="T246" s="172">
        <f t="shared" si="83"/>
        <v>9</v>
      </c>
      <c r="U246" s="247">
        <f t="shared" si="84"/>
        <v>3.4682976559054479</v>
      </c>
      <c r="V246" s="378">
        <f t="shared" si="85"/>
        <v>51.541383507367669</v>
      </c>
      <c r="W246" s="397">
        <f t="shared" si="86"/>
        <v>51.120864319376992</v>
      </c>
      <c r="X246" s="153">
        <f t="shared" si="87"/>
        <v>46984</v>
      </c>
      <c r="Y246" s="380">
        <f t="shared" si="88"/>
        <v>49.728981120454399</v>
      </c>
      <c r="Z246" s="380">
        <f t="shared" si="89"/>
        <v>51.433557417437207</v>
      </c>
      <c r="AA246" s="381">
        <f t="shared" si="90"/>
        <v>54.488284703584334</v>
      </c>
      <c r="AB246" s="193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5.6062093030911253E-2</v>
      </c>
      <c r="AD246" s="227">
        <f>(INDEX(Models!$BJ246:$BT246,,AH246)*(1-AF246)+INDEX(Models!$BJ246:$BT246,,AH246+1)*AF246-ERP_i)*AE246*Ramure*Pc/MaxiM</f>
        <v>1.5462329762564307E-4</v>
      </c>
      <c r="AE246" s="301">
        <f t="shared" si="92"/>
        <v>0.5</v>
      </c>
      <c r="AF246" s="173">
        <f t="shared" si="93"/>
        <v>0.46829765590544792</v>
      </c>
      <c r="AG246" s="802">
        <f t="shared" si="99"/>
        <v>3</v>
      </c>
      <c r="AH246" s="172">
        <f t="shared" si="94"/>
        <v>9</v>
      </c>
      <c r="AI246" s="221">
        <f t="shared" si="95"/>
        <v>3.4682976559054479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46985</v>
      </c>
      <c r="B247" s="406">
        <f>'2027'!Wh/'2027'!Env_an*'2028'!Env_an</f>
        <v>36.889996748897168</v>
      </c>
      <c r="C247" s="832"/>
      <c r="D247" s="388">
        <f t="shared" si="77"/>
        <v>38.155009354877038</v>
      </c>
      <c r="E247" s="380">
        <f t="shared" si="100"/>
        <v>39.322477752436079</v>
      </c>
      <c r="F247" s="380">
        <f t="shared" si="78"/>
        <v>39.326444803351968</v>
      </c>
      <c r="G247" s="110">
        <f t="shared" si="101"/>
        <v>0.7191890386708123</v>
      </c>
      <c r="H247" s="409" t="b">
        <f>Wh_hp&gt;='2027'!Maxi_hp</f>
        <v>0</v>
      </c>
      <c r="I247" s="385">
        <f>IF(H247,Wh_hp,'2027'!Maxi_hp)</f>
        <v>39.328875280006322</v>
      </c>
      <c r="J247" s="85">
        <f>IF(H247,An,'2027'!An_max)</f>
        <v>2022</v>
      </c>
      <c r="K247" s="193">
        <f t="shared" si="79"/>
        <v>46985</v>
      </c>
      <c r="L247" s="143">
        <f>IF(t&lt;Tvie,1-EXP((T0-t)*PertePVj)+'2027'!Pspv,1-EXP((T0-t)*PertePVj)+Pspv)</f>
        <v>3.315456154692753E-2</v>
      </c>
      <c r="M247" s="836"/>
      <c r="N247" s="836"/>
      <c r="O247" s="48">
        <f>IF(t&lt;Tnet,'2027'!Resal+('2027'!Salim-'2027'!Resal)*(1-EXP(('2027'!Tnet-t)/('2027'!Tau_j))),Resal+(Salim-Resal)*(1-EXP((Tnet-t)/(Tau_j))))*Salcycl</f>
        <v>2.9689593949524511E-2</v>
      </c>
      <c r="P247" s="165">
        <f>(INDEX(Models!$BJ247:$BT247,,T247)*(1-R247)+INDEX(Models!$BJ247:$BT247,,T247+1)*R247-ERP_i)*Q247*Ramure*Pc/MaxiM</f>
        <v>1.6843055050954717E-4</v>
      </c>
      <c r="Q247" s="301">
        <f t="shared" si="80"/>
        <v>0.5</v>
      </c>
      <c r="R247" s="173">
        <f t="shared" si="81"/>
        <v>0.46928078038911236</v>
      </c>
      <c r="S247" s="802">
        <f t="shared" si="82"/>
        <v>3</v>
      </c>
      <c r="T247" s="172">
        <f t="shared" si="83"/>
        <v>9</v>
      </c>
      <c r="U247" s="247">
        <f t="shared" si="84"/>
        <v>3.4692807803891124</v>
      </c>
      <c r="V247" s="378">
        <f t="shared" si="85"/>
        <v>51.290415156592729</v>
      </c>
      <c r="W247" s="397">
        <f t="shared" si="86"/>
        <v>36.889996748897168</v>
      </c>
      <c r="X247" s="153">
        <f t="shared" si="87"/>
        <v>46985</v>
      </c>
      <c r="Y247" s="380">
        <f t="shared" si="88"/>
        <v>35.88651099197201</v>
      </c>
      <c r="Z247" s="380">
        <f t="shared" si="89"/>
        <v>37.11711258563674</v>
      </c>
      <c r="AA247" s="381">
        <f t="shared" si="90"/>
        <v>39.322477752436079</v>
      </c>
      <c r="AB247" s="193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5.6084084545326297E-2</v>
      </c>
      <c r="AD247" s="227">
        <f>(INDEX(Models!$BJ247:$BT247,,AH247)*(1-AF247)+INDEX(Models!$BJ247:$BT247,,AH247+1)*AF247-ERP_i)*AE247*Ramure*Pc/MaxiM</f>
        <v>1.6843055050954717E-4</v>
      </c>
      <c r="AE247" s="301">
        <f t="shared" si="92"/>
        <v>0.5</v>
      </c>
      <c r="AF247" s="173">
        <f t="shared" si="93"/>
        <v>0.46928078038911236</v>
      </c>
      <c r="AG247" s="802">
        <f t="shared" si="99"/>
        <v>3</v>
      </c>
      <c r="AH247" s="172">
        <f t="shared" si="94"/>
        <v>9</v>
      </c>
      <c r="AI247" s="221">
        <f t="shared" si="95"/>
        <v>3.4692807803891124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46986</v>
      </c>
      <c r="B248" s="406">
        <f>'2027'!Wh/'2027'!Env_an*'2028'!Env_an</f>
        <v>26.984202438986177</v>
      </c>
      <c r="C248" s="832"/>
      <c r="D248" s="388">
        <f t="shared" si="77"/>
        <v>27.909912755329952</v>
      </c>
      <c r="E248" s="380">
        <f t="shared" si="100"/>
        <v>28.765312108380197</v>
      </c>
      <c r="F248" s="380">
        <f t="shared" si="78"/>
        <v>28.767037980688919</v>
      </c>
      <c r="G248" s="110">
        <f t="shared" si="101"/>
        <v>0.52861842694990158</v>
      </c>
      <c r="H248" s="409" t="b">
        <f>Wh_hp&gt;='2027'!Maxi_hp</f>
        <v>0</v>
      </c>
      <c r="I248" s="385">
        <f>IF(H248,Wh_hp,'2027'!Maxi_hp)</f>
        <v>28.770301944261828</v>
      </c>
      <c r="J248" s="85">
        <f>IF(H248,An,'2027'!An_max)</f>
        <v>2022</v>
      </c>
      <c r="K248" s="193">
        <f t="shared" si="79"/>
        <v>46986</v>
      </c>
      <c r="L248" s="143">
        <f>IF(t&lt;Tvie,1-EXP((T0-t)*PertePVj)+'2027'!Pspv,1-EXP((T0-t)*PertePVj)+Pspv)</f>
        <v>3.3167796849060127E-2</v>
      </c>
      <c r="M248" s="836"/>
      <c r="N248" s="836"/>
      <c r="O248" s="48">
        <f>IF(t&lt;Tnet,'2027'!Resal+('2027'!Salim-'2027'!Resal)*(1-EXP(('2027'!Tnet-t)/('2027'!Tau_j))),Resal+(Salim-Resal)*(1-EXP((Tnet-t)/(Tau_j))))*Salcycl</f>
        <v>2.9737183098425123E-2</v>
      </c>
      <c r="P248" s="165">
        <f>(INDEX(Models!$BJ248:$BT248,,T248)*(1-R248)+INDEX(Models!$BJ248:$BT248,,T248+1)*R248-ERP_i)*Q248*Ramure*Pc/MaxiM</f>
        <v>1.8364374885813521E-4</v>
      </c>
      <c r="Q248" s="301">
        <f t="shared" si="80"/>
        <v>0.5</v>
      </c>
      <c r="R248" s="173">
        <f t="shared" si="81"/>
        <v>0.47022815474073054</v>
      </c>
      <c r="S248" s="802">
        <f t="shared" si="82"/>
        <v>3</v>
      </c>
      <c r="T248" s="172">
        <f t="shared" si="83"/>
        <v>9</v>
      </c>
      <c r="U248" s="247">
        <f t="shared" si="84"/>
        <v>3.4702281547407305</v>
      </c>
      <c r="V248" s="378">
        <f t="shared" si="85"/>
        <v>51.040342702107978</v>
      </c>
      <c r="W248" s="397">
        <f t="shared" si="86"/>
        <v>26.984202438986177</v>
      </c>
      <c r="X248" s="153">
        <f t="shared" si="87"/>
        <v>46986</v>
      </c>
      <c r="Y248" s="380">
        <f t="shared" si="88"/>
        <v>26.250856773205506</v>
      </c>
      <c r="Z248" s="380">
        <f t="shared" si="89"/>
        <v>27.151409197638483</v>
      </c>
      <c r="AA248" s="381">
        <f t="shared" si="90"/>
        <v>28.765312108380197</v>
      </c>
      <c r="AB248" s="193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5.6105871706204631E-2</v>
      </c>
      <c r="AD248" s="227">
        <f>(INDEX(Models!$BJ248:$BT248,,AH248)*(1-AF248)+INDEX(Models!$BJ248:$BT248,,AH248+1)*AF248-ERP_i)*AE248*Ramure*Pc/MaxiM</f>
        <v>1.8364374885813521E-4</v>
      </c>
      <c r="AE248" s="301">
        <f t="shared" si="92"/>
        <v>0.5</v>
      </c>
      <c r="AF248" s="173">
        <f t="shared" si="93"/>
        <v>0.47022815474073054</v>
      </c>
      <c r="AG248" s="802">
        <f t="shared" si="99"/>
        <v>3</v>
      </c>
      <c r="AH248" s="172">
        <f t="shared" si="94"/>
        <v>9</v>
      </c>
      <c r="AI248" s="221">
        <f t="shared" si="95"/>
        <v>3.4702281547407305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46987</v>
      </c>
      <c r="B249" s="406">
        <f>'2027'!Wh/'2027'!Env_an*'2028'!Env_an</f>
        <v>45.648071643439081</v>
      </c>
      <c r="C249" s="832"/>
      <c r="D249" s="388">
        <f t="shared" si="77"/>
        <v>47.214704254771334</v>
      </c>
      <c r="E249" s="380">
        <f t="shared" si="100"/>
        <v>48.664147511236557</v>
      </c>
      <c r="F249" s="380">
        <f t="shared" si="78"/>
        <v>48.672488767325966</v>
      </c>
      <c r="G249" s="110">
        <f t="shared" si="101"/>
        <v>0.89872345236602935</v>
      </c>
      <c r="H249" s="409" t="b">
        <f>Wh_hp&gt;='2027'!Maxi_hp</f>
        <v>0</v>
      </c>
      <c r="I249" s="385">
        <f>IF(H249,Wh_hp,'2027'!Maxi_hp)</f>
        <v>48.673786569897885</v>
      </c>
      <c r="J249" s="85">
        <f>IF(H249,An,'2027'!An_max)</f>
        <v>2022</v>
      </c>
      <c r="K249" s="193">
        <f t="shared" si="79"/>
        <v>46987</v>
      </c>
      <c r="L249" s="143">
        <f>IF(t&lt;Tvie,1-EXP((T0-t)*PertePVj)+'2027'!Pspv,1-EXP((T0-t)*PertePVj)+Pspv)</f>
        <v>3.3181031970012542E-2</v>
      </c>
      <c r="M249" s="836"/>
      <c r="N249" s="836"/>
      <c r="O249" s="48">
        <f>IF(t&lt;Tnet,'2027'!Resal+('2027'!Salim-'2027'!Resal)*(1-EXP(('2027'!Tnet-t)/('2027'!Tau_j))),Resal+(Salim-Resal)*(1-EXP((Tnet-t)/(Tau_j))))*Salcycl</f>
        <v>2.9784622367638191E-2</v>
      </c>
      <c r="P249" s="165">
        <f>(INDEX(Models!$BJ249:$BT249,,T249)*(1-R249)+INDEX(Models!$BJ249:$BT249,,T249+1)*R249-ERP_i)*Q249*Ramure*Pc/MaxiM</f>
        <v>2.0035527247843976E-4</v>
      </c>
      <c r="Q249" s="301">
        <f t="shared" si="80"/>
        <v>0.5</v>
      </c>
      <c r="R249" s="173">
        <f t="shared" si="81"/>
        <v>0.47114093702511717</v>
      </c>
      <c r="S249" s="802">
        <f t="shared" si="82"/>
        <v>3</v>
      </c>
      <c r="T249" s="172">
        <f t="shared" si="83"/>
        <v>9</v>
      </c>
      <c r="U249" s="247">
        <f t="shared" si="84"/>
        <v>3.4711409370251172</v>
      </c>
      <c r="V249" s="378">
        <f t="shared" si="85"/>
        <v>50.790650239262625</v>
      </c>
      <c r="W249" s="397">
        <f t="shared" si="86"/>
        <v>45.648071643439081</v>
      </c>
      <c r="X249" s="153">
        <f t="shared" si="87"/>
        <v>46987</v>
      </c>
      <c r="Y249" s="380">
        <f t="shared" si="88"/>
        <v>44.408656991522783</v>
      </c>
      <c r="Z249" s="380">
        <f t="shared" si="89"/>
        <v>45.932753141998113</v>
      </c>
      <c r="AA249" s="381">
        <f t="shared" si="90"/>
        <v>48.664147511236557</v>
      </c>
      <c r="AB249" s="193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5.6127447184968392E-2</v>
      </c>
      <c r="AD249" s="227">
        <f>(INDEX(Models!$BJ249:$BT249,,AH249)*(1-AF249)+INDEX(Models!$BJ249:$BT249,,AH249+1)*AF249-ERP_i)*AE249*Ramure*Pc/MaxiM</f>
        <v>2.0035527247843976E-4</v>
      </c>
      <c r="AE249" s="301">
        <f t="shared" si="92"/>
        <v>0.5</v>
      </c>
      <c r="AF249" s="173">
        <f t="shared" si="93"/>
        <v>0.47114093702511717</v>
      </c>
      <c r="AG249" s="802">
        <f t="shared" si="99"/>
        <v>3</v>
      </c>
      <c r="AH249" s="172">
        <f t="shared" si="94"/>
        <v>9</v>
      </c>
      <c r="AI249" s="221">
        <f t="shared" si="95"/>
        <v>3.4711409370251172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46988</v>
      </c>
      <c r="B250" s="406">
        <f>'2027'!Wh/'2027'!Env_an*'2028'!Env_an</f>
        <v>49.57948513656072</v>
      </c>
      <c r="C250" s="832"/>
      <c r="D250" s="388">
        <f t="shared" si="77"/>
        <v>51.281745070014445</v>
      </c>
      <c r="E250" s="380">
        <f t="shared" si="100"/>
        <v>52.858618481072355</v>
      </c>
      <c r="F250" s="380">
        <f t="shared" si="78"/>
        <v>52.869861058459122</v>
      </c>
      <c r="G250" s="110">
        <f t="shared" si="101"/>
        <v>0.98097310171235963</v>
      </c>
      <c r="H250" s="409" t="b">
        <f>Wh_hp&gt;='2027'!Maxi_hp</f>
        <v>0</v>
      </c>
      <c r="I250" s="385">
        <f>IF(H250,Wh_hp,'2027'!Maxi_hp)</f>
        <v>52.870150667804495</v>
      </c>
      <c r="J250" s="85">
        <f>IF(H250,An,'2027'!An_max)</f>
        <v>2022</v>
      </c>
      <c r="K250" s="193">
        <f t="shared" si="79"/>
        <v>46988</v>
      </c>
      <c r="L250" s="143">
        <f>IF(t&lt;Tvie,1-EXP((T0-t)*PertePVj)+'2027'!Pspv,1-EXP((T0-t)*PertePVj)+Pspv)</f>
        <v>3.3194266909787218E-2</v>
      </c>
      <c r="M250" s="836"/>
      <c r="N250" s="836"/>
      <c r="O250" s="48">
        <f>IF(t&lt;Tnet,'2027'!Resal+('2027'!Salim-'2027'!Resal)*(1-EXP(('2027'!Tnet-t)/('2027'!Tau_j))),Resal+(Salim-Resal)*(1-EXP((Tnet-t)/(Tau_j))))*Salcycl</f>
        <v>2.9831907385596136E-2</v>
      </c>
      <c r="P250" s="165">
        <f>(INDEX(Models!$BJ250:$BT250,,T250)*(1-R250)+INDEX(Models!$BJ250:$BT250,,T250+1)*R250-ERP_i)*Q250*Ramure*Pc/MaxiM</f>
        <v>2.185858687950875E-4</v>
      </c>
      <c r="Q250" s="301">
        <f t="shared" si="80"/>
        <v>0.5</v>
      </c>
      <c r="R250" s="173">
        <f t="shared" si="81"/>
        <v>0.47202025857478125</v>
      </c>
      <c r="S250" s="802">
        <f t="shared" si="82"/>
        <v>3</v>
      </c>
      <c r="T250" s="172">
        <f t="shared" si="83"/>
        <v>9</v>
      </c>
      <c r="U250" s="247">
        <f t="shared" si="84"/>
        <v>3.4720202585747812</v>
      </c>
      <c r="V250" s="378">
        <f t="shared" si="85"/>
        <v>50.540825741148673</v>
      </c>
      <c r="W250" s="397">
        <f t="shared" si="86"/>
        <v>49.57948513656072</v>
      </c>
      <c r="X250" s="153">
        <f t="shared" si="87"/>
        <v>46988</v>
      </c>
      <c r="Y250" s="380">
        <f t="shared" si="88"/>
        <v>48.234586079923687</v>
      </c>
      <c r="Z250" s="380">
        <f t="shared" si="89"/>
        <v>49.890670306381928</v>
      </c>
      <c r="AA250" s="381">
        <f t="shared" si="90"/>
        <v>52.858618481072355</v>
      </c>
      <c r="AB250" s="193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5.6148803354616472E-2</v>
      </c>
      <c r="AD250" s="227">
        <f>(INDEX(Models!$BJ250:$BT250,,AH250)*(1-AF250)+INDEX(Models!$BJ250:$BT250,,AH250+1)*AF250-ERP_i)*AE250*Ramure*Pc/MaxiM</f>
        <v>2.185858687950875E-4</v>
      </c>
      <c r="AE250" s="301">
        <f t="shared" si="92"/>
        <v>0.5</v>
      </c>
      <c r="AF250" s="173">
        <f t="shared" si="93"/>
        <v>0.47202025857478125</v>
      </c>
      <c r="AG250" s="802">
        <f t="shared" si="99"/>
        <v>3</v>
      </c>
      <c r="AH250" s="172">
        <f t="shared" si="94"/>
        <v>9</v>
      </c>
      <c r="AI250" s="221">
        <f t="shared" si="95"/>
        <v>3.4720202585747812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46989</v>
      </c>
      <c r="B251" s="406">
        <f>'2027'!Wh/'2027'!Env_an*'2028'!Env_an</f>
        <v>31.799717125425808</v>
      </c>
      <c r="C251" s="832"/>
      <c r="D251" s="388">
        <f t="shared" si="77"/>
        <v>32.891977523928198</v>
      </c>
      <c r="E251" s="380">
        <f t="shared" si="100"/>
        <v>33.905026964103648</v>
      </c>
      <c r="F251" s="380">
        <f t="shared" si="78"/>
        <v>33.908864062830084</v>
      </c>
      <c r="G251" s="110">
        <f t="shared" si="101"/>
        <v>0.63224317951164655</v>
      </c>
      <c r="H251" s="409" t="b">
        <f>Wh_hp&gt;='2027'!Maxi_hp</f>
        <v>0</v>
      </c>
      <c r="I251" s="385">
        <f>IF(H251,Wh_hp,'2027'!Maxi_hp)</f>
        <v>33.91278728080961</v>
      </c>
      <c r="J251" s="85">
        <f>IF(H251,An,'2027'!An_max)</f>
        <v>2022</v>
      </c>
      <c r="K251" s="193">
        <f t="shared" si="79"/>
        <v>46989</v>
      </c>
      <c r="L251" s="143">
        <f>IF(t&lt;Tvie,1-EXP((T0-t)*PertePVj)+'2027'!Pspv,1-EXP((T0-t)*PertePVj)+Pspv)</f>
        <v>3.3207501668386818E-2</v>
      </c>
      <c r="M251" s="836"/>
      <c r="N251" s="836"/>
      <c r="O251" s="48">
        <f>IF(t&lt;Tnet,'2027'!Resal+('2027'!Salim-'2027'!Resal)*(1-EXP(('2027'!Tnet-t)/('2027'!Tau_j))),Resal+(Salim-Resal)*(1-EXP((Tnet-t)/(Tau_j))))*Salcycl</f>
        <v>2.9879033609027879E-2</v>
      </c>
      <c r="P251" s="165">
        <f>(INDEX(Models!$BJ251:$BT251,,T251)*(1-R251)+INDEX(Models!$BJ251:$BT251,,T251+1)*R251-ERP_i)*Q251*Ramure*Pc/MaxiM</f>
        <v>2.3835716798243107E-4</v>
      </c>
      <c r="Q251" s="301">
        <f t="shared" si="80"/>
        <v>0.5</v>
      </c>
      <c r="R251" s="173">
        <f t="shared" si="81"/>
        <v>0.47286722374274603</v>
      </c>
      <c r="S251" s="802">
        <f t="shared" si="82"/>
        <v>3</v>
      </c>
      <c r="T251" s="172">
        <f t="shared" si="83"/>
        <v>9</v>
      </c>
      <c r="U251" s="247">
        <f t="shared" si="84"/>
        <v>3.472867223742746</v>
      </c>
      <c r="V251" s="378">
        <f t="shared" si="85"/>
        <v>50.290357324728511</v>
      </c>
      <c r="W251" s="397">
        <f t="shared" si="86"/>
        <v>31.799717125425808</v>
      </c>
      <c r="X251" s="153">
        <f t="shared" si="87"/>
        <v>46989</v>
      </c>
      <c r="Y251" s="380">
        <f t="shared" si="88"/>
        <v>30.937924451828266</v>
      </c>
      <c r="Z251" s="380">
        <f t="shared" si="89"/>
        <v>32.00058389490777</v>
      </c>
      <c r="AA251" s="381">
        <f t="shared" si="90"/>
        <v>33.905026964103648</v>
      </c>
      <c r="AB251" s="193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5.6169932299778812E-2</v>
      </c>
      <c r="AD251" s="227">
        <f>(INDEX(Models!$BJ251:$BT251,,AH251)*(1-AF251)+INDEX(Models!$BJ251:$BT251,,AH251+1)*AF251-ERP_i)*AE251*Ramure*Pc/MaxiM</f>
        <v>2.3835716798243107E-4</v>
      </c>
      <c r="AE251" s="301">
        <f t="shared" si="92"/>
        <v>0.5</v>
      </c>
      <c r="AF251" s="173">
        <f t="shared" si="93"/>
        <v>0.47286722374274603</v>
      </c>
      <c r="AG251" s="802">
        <f t="shared" si="99"/>
        <v>3</v>
      </c>
      <c r="AH251" s="172">
        <f t="shared" si="94"/>
        <v>9</v>
      </c>
      <c r="AI251" s="221">
        <f t="shared" si="95"/>
        <v>3.472867223742746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46990</v>
      </c>
      <c r="B252" s="406">
        <f>'2027'!Wh/'2027'!Env_an*'2028'!Env_an</f>
        <v>36.649949696948354</v>
      </c>
      <c r="C252" s="832"/>
      <c r="D252" s="388">
        <f t="shared" si="77"/>
        <v>37.909325397226333</v>
      </c>
      <c r="E252" s="380">
        <f t="shared" si="100"/>
        <v>39.078797342869727</v>
      </c>
      <c r="F252" s="380">
        <f t="shared" si="78"/>
        <v>39.085067642200762</v>
      </c>
      <c r="G252" s="110">
        <f t="shared" si="101"/>
        <v>0.73235888839118879</v>
      </c>
      <c r="H252" s="409" t="b">
        <f>Wh_hp&gt;='2027'!Maxi_hp</f>
        <v>0</v>
      </c>
      <c r="I252" s="385">
        <f>IF(H252,Wh_hp,'2027'!Maxi_hp)</f>
        <v>39.08865945369719</v>
      </c>
      <c r="J252" s="85">
        <f>IF(H252,An,'2027'!An_max)</f>
        <v>2022</v>
      </c>
      <c r="K252" s="193">
        <f t="shared" si="79"/>
        <v>46990</v>
      </c>
      <c r="L252" s="143">
        <f>IF(t&lt;Tvie,1-EXP((T0-t)*PertePVj)+'2027'!Pspv,1-EXP((T0-t)*PertePVj)+Pspv)</f>
        <v>3.3220736245813565E-2</v>
      </c>
      <c r="M252" s="836"/>
      <c r="N252" s="836"/>
      <c r="O252" s="48">
        <f>IF(t&lt;Tnet,'2027'!Resal+('2027'!Salim-'2027'!Resal)*(1-EXP(('2027'!Tnet-t)/('2027'!Tau_j))),Resal+(Salim-Resal)*(1-EXP((Tnet-t)/(Tau_j))))*Salcycl</f>
        <v>2.9925996324366783E-2</v>
      </c>
      <c r="P252" s="165">
        <f>(INDEX(Models!$BJ252:$BT252,,T252)*(1-R252)+INDEX(Models!$BJ252:$BT252,,T252+1)*R252-ERP_i)*Q252*Ramure*Pc/MaxiM</f>
        <v>2.5969166958301262E-4</v>
      </c>
      <c r="Q252" s="301">
        <f t="shared" si="80"/>
        <v>0.5</v>
      </c>
      <c r="R252" s="173">
        <f t="shared" si="81"/>
        <v>0.47368290974414951</v>
      </c>
      <c r="S252" s="802">
        <f t="shared" si="82"/>
        <v>3</v>
      </c>
      <c r="T252" s="172">
        <f t="shared" si="83"/>
        <v>9</v>
      </c>
      <c r="U252" s="247">
        <f t="shared" si="84"/>
        <v>3.4736829097441495</v>
      </c>
      <c r="V252" s="378">
        <f t="shared" si="85"/>
        <v>50.038733260690229</v>
      </c>
      <c r="W252" s="397">
        <f t="shared" si="86"/>
        <v>36.649949696948354</v>
      </c>
      <c r="X252" s="153">
        <f t="shared" si="87"/>
        <v>46990</v>
      </c>
      <c r="Y252" s="380">
        <f t="shared" si="88"/>
        <v>35.657649443358785</v>
      </c>
      <c r="Z252" s="380">
        <f t="shared" si="89"/>
        <v>36.882927448085098</v>
      </c>
      <c r="AA252" s="381">
        <f t="shared" si="90"/>
        <v>39.078797342869727</v>
      </c>
      <c r="AB252" s="193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5.61908258209304E-2</v>
      </c>
      <c r="AD252" s="227">
        <f>(INDEX(Models!$BJ252:$BT252,,AH252)*(1-AF252)+INDEX(Models!$BJ252:$BT252,,AH252+1)*AF252-ERP_i)*AE252*Ramure*Pc/MaxiM</f>
        <v>2.5969166958301262E-4</v>
      </c>
      <c r="AE252" s="301">
        <f t="shared" si="92"/>
        <v>0.5</v>
      </c>
      <c r="AF252" s="173">
        <f t="shared" si="93"/>
        <v>0.47368290974414951</v>
      </c>
      <c r="AG252" s="802">
        <f t="shared" si="99"/>
        <v>3</v>
      </c>
      <c r="AH252" s="172">
        <f t="shared" si="94"/>
        <v>9</v>
      </c>
      <c r="AI252" s="221">
        <f t="shared" si="95"/>
        <v>3.4736829097441495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46991</v>
      </c>
      <c r="B253" s="406">
        <f>'2027'!Wh/'2027'!Env_an*'2028'!Env_an</f>
        <v>46.202798989559263</v>
      </c>
      <c r="C253" s="832"/>
      <c r="D253" s="388">
        <f t="shared" si="77"/>
        <v>47.79108655715229</v>
      </c>
      <c r="E253" s="380">
        <f t="shared" si="100"/>
        <v>49.267779394547709</v>
      </c>
      <c r="F253" s="380">
        <f t="shared" si="78"/>
        <v>49.280274887541509</v>
      </c>
      <c r="G253" s="110">
        <f t="shared" si="101"/>
        <v>0.92801137198690442</v>
      </c>
      <c r="H253" s="409" t="b">
        <f>Wh_hp&gt;='2027'!Maxi_hp</f>
        <v>0</v>
      </c>
      <c r="I253" s="385">
        <f>IF(H253,Wh_hp,'2027'!Maxi_hp)</f>
        <v>49.281602441092893</v>
      </c>
      <c r="J253" s="85">
        <f>IF(H253,An,'2027'!An_max)</f>
        <v>2022</v>
      </c>
      <c r="K253" s="193">
        <f t="shared" si="79"/>
        <v>46991</v>
      </c>
      <c r="L253" s="143">
        <f>IF(t&lt;Tvie,1-EXP((T0-t)*PertePVj)+'2027'!Pspv,1-EXP((T0-t)*PertePVj)+Pspv)</f>
        <v>3.3233970642070121E-2</v>
      </c>
      <c r="M253" s="836"/>
      <c r="N253" s="836"/>
      <c r="O253" s="48">
        <f>IF(t&lt;Tnet,'2027'!Resal+('2027'!Salim-'2027'!Resal)*(1-EXP(('2027'!Tnet-t)/('2027'!Tau_j))),Resal+(Salim-Resal)*(1-EXP((Tnet-t)/(Tau_j))))*Salcycl</f>
        <v>2.9972790646189278E-2</v>
      </c>
      <c r="P253" s="165">
        <f>(INDEX(Models!$BJ253:$BT253,,T253)*(1-R253)+INDEX(Models!$BJ253:$BT253,,T253+1)*R253-ERP_i)*Q253*Ramure*Pc/MaxiM</f>
        <v>2.8261301332652524E-4</v>
      </c>
      <c r="Q253" s="301">
        <f t="shared" si="80"/>
        <v>0.5</v>
      </c>
      <c r="R253" s="173">
        <f t="shared" si="81"/>
        <v>0.47446836657939695</v>
      </c>
      <c r="S253" s="802">
        <f t="shared" si="82"/>
        <v>3</v>
      </c>
      <c r="T253" s="172">
        <f t="shared" si="83"/>
        <v>9</v>
      </c>
      <c r="U253" s="247">
        <f t="shared" si="84"/>
        <v>3.4744683665793969</v>
      </c>
      <c r="V253" s="378">
        <f t="shared" si="85"/>
        <v>49.785441968229186</v>
      </c>
      <c r="W253" s="397">
        <f t="shared" si="86"/>
        <v>46.202798989559263</v>
      </c>
      <c r="X253" s="153">
        <f t="shared" si="87"/>
        <v>46991</v>
      </c>
      <c r="Y253" s="380">
        <f t="shared" si="88"/>
        <v>44.953039532025159</v>
      </c>
      <c r="Z253" s="380">
        <f t="shared" si="89"/>
        <v>46.49836482347272</v>
      </c>
      <c r="AA253" s="381">
        <f t="shared" si="90"/>
        <v>49.267779394547709</v>
      </c>
      <c r="AB253" s="193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5.6211475432998037E-2</v>
      </c>
      <c r="AD253" s="227">
        <f>(INDEX(Models!$BJ253:$BT253,,AH253)*(1-AF253)+INDEX(Models!$BJ253:$BT253,,AH253+1)*AF253-ERP_i)*AE253*Ramure*Pc/MaxiM</f>
        <v>2.8261301332652524E-4</v>
      </c>
      <c r="AE253" s="301">
        <f t="shared" si="92"/>
        <v>0.5</v>
      </c>
      <c r="AF253" s="173">
        <f t="shared" si="93"/>
        <v>0.47446836657939695</v>
      </c>
      <c r="AG253" s="802">
        <f t="shared" si="99"/>
        <v>3</v>
      </c>
      <c r="AH253" s="172">
        <f t="shared" si="94"/>
        <v>9</v>
      </c>
      <c r="AI253" s="221">
        <f t="shared" si="95"/>
        <v>3.4744683665793969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46992</v>
      </c>
      <c r="B254" s="406">
        <f>'2027'!Wh/'2027'!Env_an*'2028'!Env_an</f>
        <v>48.571448099427336</v>
      </c>
      <c r="C254" s="832"/>
      <c r="D254" s="388">
        <f t="shared" si="77"/>
        <v>50.241849150537739</v>
      </c>
      <c r="E254" s="380">
        <f t="shared" si="100"/>
        <v>51.796757323667364</v>
      </c>
      <c r="F254" s="380">
        <f t="shared" si="78"/>
        <v>51.812104963710588</v>
      </c>
      <c r="G254" s="110">
        <f t="shared" si="101"/>
        <v>0.98063687771914831</v>
      </c>
      <c r="H254" s="409" t="b">
        <f>Wh_hp&gt;='2027'!Maxi_hp</f>
        <v>0</v>
      </c>
      <c r="I254" s="385">
        <f>IF(H254,Wh_hp,'2027'!Maxi_hp)</f>
        <v>51.812510018223612</v>
      </c>
      <c r="J254" s="85">
        <f>IF(H254,An,'2027'!An_max)</f>
        <v>2022</v>
      </c>
      <c r="K254" s="193">
        <f t="shared" si="79"/>
        <v>46992</v>
      </c>
      <c r="L254" s="143">
        <f>IF(t&lt;Tvie,1-EXP((T0-t)*PertePVj)+'2027'!Pspv,1-EXP((T0-t)*PertePVj)+Pspv)</f>
        <v>3.324720485715893E-2</v>
      </c>
      <c r="M254" s="836"/>
      <c r="N254" s="836"/>
      <c r="O254" s="48">
        <f>IF(t&lt;Tnet,'2027'!Resal+('2027'!Salim-'2027'!Resal)*(1-EXP(('2027'!Tnet-t)/('2027'!Tau_j))),Resal+(Salim-Resal)*(1-EXP((Tnet-t)/(Tau_j))))*Salcycl</f>
        <v>3.0019411512835027E-2</v>
      </c>
      <c r="P254" s="165">
        <f>(INDEX(Models!$BJ254:$BT254,,T254)*(1-R254)+INDEX(Models!$BJ254:$BT254,,T254+1)*R254-ERP_i)*Q254*Ramure*Pc/MaxiM</f>
        <v>3.046405144568775E-4</v>
      </c>
      <c r="Q254" s="301">
        <f t="shared" si="80"/>
        <v>0.5</v>
      </c>
      <c r="R254" s="173">
        <f t="shared" si="81"/>
        <v>0.47522461703195651</v>
      </c>
      <c r="S254" s="802">
        <f t="shared" si="82"/>
        <v>3</v>
      </c>
      <c r="T254" s="172">
        <f t="shared" si="83"/>
        <v>9</v>
      </c>
      <c r="U254" s="247">
        <f t="shared" si="84"/>
        <v>3.4752246170319565</v>
      </c>
      <c r="V254" s="378">
        <f t="shared" si="85"/>
        <v>49.530096157267849</v>
      </c>
      <c r="W254" s="397">
        <f t="shared" si="86"/>
        <v>48.571448099427336</v>
      </c>
      <c r="X254" s="153">
        <f t="shared" si="87"/>
        <v>46992</v>
      </c>
      <c r="Y254" s="380">
        <f t="shared" si="88"/>
        <v>47.258868036852704</v>
      </c>
      <c r="Z254" s="380">
        <f t="shared" si="89"/>
        <v>48.884128677248917</v>
      </c>
      <c r="AA254" s="381">
        <f t="shared" si="90"/>
        <v>51.796757323667364</v>
      </c>
      <c r="AB254" s="193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5.6231872358688872E-2</v>
      </c>
      <c r="AD254" s="227">
        <f>(INDEX(Models!$BJ254:$BT254,,AH254)*(1-AF254)+INDEX(Models!$BJ254:$BT254,,AH254+1)*AF254-ERP_i)*AE254*Ramure*Pc/MaxiM</f>
        <v>3.046405144568775E-4</v>
      </c>
      <c r="AE254" s="301">
        <f t="shared" si="92"/>
        <v>0.5</v>
      </c>
      <c r="AF254" s="173">
        <f t="shared" si="93"/>
        <v>0.47522461703195651</v>
      </c>
      <c r="AG254" s="802">
        <f t="shared" si="99"/>
        <v>3</v>
      </c>
      <c r="AH254" s="172">
        <f t="shared" si="94"/>
        <v>9</v>
      </c>
      <c r="AI254" s="221">
        <f t="shared" si="95"/>
        <v>3.4752246170319565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46993</v>
      </c>
      <c r="B255" s="406">
        <f>'2027'!Wh/'2027'!Env_an*'2028'!Env_an</f>
        <v>33.946036916714185</v>
      </c>
      <c r="C255" s="832"/>
      <c r="D255" s="388">
        <f t="shared" si="77"/>
        <v>35.113942040166144</v>
      </c>
      <c r="E255" s="380">
        <f t="shared" si="100"/>
        <v>36.202398042557434</v>
      </c>
      <c r="F255" s="380">
        <f t="shared" si="78"/>
        <v>36.208929789182832</v>
      </c>
      <c r="G255" s="110">
        <f t="shared" si="101"/>
        <v>0.68884912598963888</v>
      </c>
      <c r="H255" s="409" t="b">
        <f>Wh_hp&gt;='2027'!Maxi_hp</f>
        <v>0</v>
      </c>
      <c r="I255" s="385">
        <f>IF(H255,Wh_hp,'2027'!Maxi_hp)</f>
        <v>36.213779119220973</v>
      </c>
      <c r="J255" s="85">
        <f>IF(H255,An,'2027'!An_max)</f>
        <v>2022</v>
      </c>
      <c r="K255" s="193">
        <f t="shared" si="79"/>
        <v>46993</v>
      </c>
      <c r="L255" s="143">
        <f>IF(t&lt;Tvie,1-EXP((T0-t)*PertePVj)+'2027'!Pspv,1-EXP((T0-t)*PertePVj)+Pspv)</f>
        <v>3.3260438891082433E-2</v>
      </c>
      <c r="M255" s="836"/>
      <c r="N255" s="836"/>
      <c r="O255" s="48">
        <f>IF(t&lt;Tnet,'2027'!Resal+('2027'!Salim-'2027'!Resal)*(1-EXP(('2027'!Tnet-t)/('2027'!Tau_j))),Resal+(Salim-Resal)*(1-EXP((Tnet-t)/(Tau_j))))*Salcycl</f>
        <v>3.0065853679409903E-2</v>
      </c>
      <c r="P255" s="165">
        <f>(INDEX(Models!$BJ255:$BT255,,T255)*(1-R255)+INDEX(Models!$BJ255:$BT255,,T255+1)*R255-ERP_i)*Q255*Ramure*Pc/MaxiM</f>
        <v>3.2465309131841474E-4</v>
      </c>
      <c r="Q255" s="301">
        <f t="shared" si="80"/>
        <v>0.5</v>
      </c>
      <c r="R255" s="173">
        <f t="shared" si="81"/>
        <v>0.47595265673425136</v>
      </c>
      <c r="S255" s="802">
        <f t="shared" si="82"/>
        <v>3</v>
      </c>
      <c r="T255" s="172">
        <f t="shared" si="83"/>
        <v>9</v>
      </c>
      <c r="U255" s="247">
        <f t="shared" si="84"/>
        <v>3.4759526567342514</v>
      </c>
      <c r="V255" s="378">
        <f t="shared" si="85"/>
        <v>49.272239172606703</v>
      </c>
      <c r="W255" s="397">
        <f t="shared" si="86"/>
        <v>33.946036916714185</v>
      </c>
      <c r="X255" s="153">
        <f t="shared" si="87"/>
        <v>46993</v>
      </c>
      <c r="Y255" s="380">
        <f t="shared" si="88"/>
        <v>33.029566300385895</v>
      </c>
      <c r="Z255" s="380">
        <f t="shared" si="89"/>
        <v>34.165940475735454</v>
      </c>
      <c r="AA255" s="381">
        <f t="shared" si="90"/>
        <v>36.202398042557434</v>
      </c>
      <c r="AB255" s="193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5.6252007516961675E-2</v>
      </c>
      <c r="AD255" s="227">
        <f>(INDEX(Models!$BJ255:$BT255,,AH255)*(1-AF255)+INDEX(Models!$BJ255:$BT255,,AH255+1)*AF255-ERP_i)*AE255*Ramure*Pc/MaxiM</f>
        <v>3.2465309131841474E-4</v>
      </c>
      <c r="AE255" s="301">
        <f t="shared" si="92"/>
        <v>0.5</v>
      </c>
      <c r="AF255" s="173">
        <f t="shared" si="93"/>
        <v>0.47595265673425136</v>
      </c>
      <c r="AG255" s="802">
        <f t="shared" si="99"/>
        <v>3</v>
      </c>
      <c r="AH255" s="172">
        <f t="shared" si="94"/>
        <v>9</v>
      </c>
      <c r="AI255" s="221">
        <f t="shared" si="95"/>
        <v>3.4759526567342514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46994</v>
      </c>
      <c r="B256" s="406">
        <f>'2027'!Wh/'2027'!Env_an*'2028'!Env_an</f>
        <v>47.639470494143914</v>
      </c>
      <c r="C256" s="832"/>
      <c r="D256" s="388">
        <f t="shared" si="77"/>
        <v>49.279169451563632</v>
      </c>
      <c r="E256" s="380">
        <f t="shared" si="100"/>
        <v>50.809139949532813</v>
      </c>
      <c r="F256" s="380">
        <f t="shared" si="78"/>
        <v>50.825857866670233</v>
      </c>
      <c r="G256" s="110">
        <f t="shared" si="101"/>
        <v>0.97199543088005169</v>
      </c>
      <c r="H256" s="409" t="b">
        <f>Wh_hp&gt;='2027'!Maxi_hp</f>
        <v>0</v>
      </c>
      <c r="I256" s="385">
        <f>IF(H256,Wh_hp,'2027'!Maxi_hp)</f>
        <v>50.826504126845201</v>
      </c>
      <c r="J256" s="85">
        <f>IF(H256,An,'2027'!An_max)</f>
        <v>2022</v>
      </c>
      <c r="K256" s="193">
        <f t="shared" si="79"/>
        <v>46994</v>
      </c>
      <c r="L256" s="143">
        <f>IF(t&lt;Tvie,1-EXP((T0-t)*PertePVj)+'2027'!Pspv,1-EXP((T0-t)*PertePVj)+Pspv)</f>
        <v>3.3273672743843075E-2</v>
      </c>
      <c r="M256" s="836"/>
      <c r="N256" s="836"/>
      <c r="O256" s="48">
        <f>IF(t&lt;Tnet,'2027'!Resal+('2027'!Salim-'2027'!Resal)*(1-EXP(('2027'!Tnet-t)/('2027'!Tau_j))),Resal+(Salim-Resal)*(1-EXP((Tnet-t)/(Tau_j))))*Salcycl</f>
        <v>3.0112111708422026E-2</v>
      </c>
      <c r="P256" s="165">
        <f>(INDEX(Models!$BJ256:$BT256,,T256)*(1-R256)+INDEX(Models!$BJ256:$BT256,,T256+1)*R256-ERP_i)*Q256*Ramure*Pc/MaxiM</f>
        <v>3.4262619334659666E-4</v>
      </c>
      <c r="Q256" s="301">
        <f t="shared" si="80"/>
        <v>0.5</v>
      </c>
      <c r="R256" s="173">
        <f t="shared" si="81"/>
        <v>0.47665345429542594</v>
      </c>
      <c r="S256" s="802">
        <f t="shared" si="82"/>
        <v>3</v>
      </c>
      <c r="T256" s="172">
        <f t="shared" si="83"/>
        <v>9</v>
      </c>
      <c r="U256" s="247">
        <f t="shared" si="84"/>
        <v>3.4766534542954259</v>
      </c>
      <c r="V256" s="378">
        <f t="shared" si="85"/>
        <v>49.011359589546018</v>
      </c>
      <c r="W256" s="397">
        <f t="shared" si="86"/>
        <v>47.639470494143914</v>
      </c>
      <c r="X256" s="153">
        <f t="shared" si="87"/>
        <v>46994</v>
      </c>
      <c r="Y256" s="380">
        <f t="shared" si="88"/>
        <v>46.354541462541611</v>
      </c>
      <c r="Z256" s="380">
        <f t="shared" si="89"/>
        <v>47.950014554904001</v>
      </c>
      <c r="AA256" s="381">
        <f t="shared" si="90"/>
        <v>50.809139949532813</v>
      </c>
      <c r="AB256" s="193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5.6271871507147984E-2</v>
      </c>
      <c r="AD256" s="227">
        <f>(INDEX(Models!$BJ256:$BT256,,AH256)*(1-AF256)+INDEX(Models!$BJ256:$BT256,,AH256+1)*AF256-ERP_i)*AE256*Ramure*Pc/MaxiM</f>
        <v>3.4262619334659666E-4</v>
      </c>
      <c r="AE256" s="301">
        <f t="shared" si="92"/>
        <v>0.5</v>
      </c>
      <c r="AF256" s="173">
        <f t="shared" si="93"/>
        <v>0.47665345429542594</v>
      </c>
      <c r="AG256" s="802">
        <f t="shared" si="99"/>
        <v>3</v>
      </c>
      <c r="AH256" s="172">
        <f t="shared" si="94"/>
        <v>9</v>
      </c>
      <c r="AI256" s="221">
        <f t="shared" si="95"/>
        <v>3.4766534542954259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46995</v>
      </c>
      <c r="B257" s="406">
        <f>'2027'!Wh/'2027'!Env_an*'2028'!Env_an</f>
        <v>24.119380827828415</v>
      </c>
      <c r="C257" s="832"/>
      <c r="D257" s="388">
        <f t="shared" si="77"/>
        <v>24.94988532574245</v>
      </c>
      <c r="E257" s="380">
        <f t="shared" si="100"/>
        <v>25.725726412448271</v>
      </c>
      <c r="F257" s="380">
        <f t="shared" si="78"/>
        <v>25.728293294709538</v>
      </c>
      <c r="G257" s="110">
        <f t="shared" si="101"/>
        <v>0.49465947830289331</v>
      </c>
      <c r="H257" s="409" t="b">
        <f>Wh_hp&gt;='2027'!Maxi_hp</f>
        <v>0</v>
      </c>
      <c r="I257" s="385">
        <f>IF(H257,Wh_hp,'2027'!Maxi_hp)</f>
        <v>25.734466772860397</v>
      </c>
      <c r="J257" s="85">
        <f>IF(H257,An,'2027'!An_max)</f>
        <v>2022</v>
      </c>
      <c r="K257" s="193">
        <f t="shared" si="79"/>
        <v>46995</v>
      </c>
      <c r="L257" s="143">
        <f>IF(t&lt;Tvie,1-EXP((T0-t)*PertePVj)+'2027'!Pspv,1-EXP((T0-t)*PertePVj)+Pspv)</f>
        <v>3.3286906415443407E-2</v>
      </c>
      <c r="M257" s="836"/>
      <c r="N257" s="836"/>
      <c r="O257" s="48">
        <f>IF(t&lt;Tnet,'2027'!Resal+('2027'!Salim-'2027'!Resal)*(1-EXP(('2027'!Tnet-t)/('2027'!Tau_j))),Resal+(Salim-Resal)*(1-EXP((Tnet-t)/(Tau_j))))*Salcycl</f>
        <v>3.0158179958347214E-2</v>
      </c>
      <c r="P257" s="165">
        <f>(INDEX(Models!$BJ257:$BT257,,T257)*(1-R257)+INDEX(Models!$BJ257:$BT257,,T257+1)*R257-ERP_i)*Q257*Ramure*Pc/MaxiM</f>
        <v>3.5853525815372799E-4</v>
      </c>
      <c r="Q257" s="301">
        <f t="shared" si="80"/>
        <v>0.5</v>
      </c>
      <c r="R257" s="173">
        <f t="shared" si="81"/>
        <v>0.47732795148512608</v>
      </c>
      <c r="S257" s="802">
        <f t="shared" si="82"/>
        <v>3</v>
      </c>
      <c r="T257" s="172">
        <f t="shared" si="83"/>
        <v>9</v>
      </c>
      <c r="U257" s="247">
        <f t="shared" si="84"/>
        <v>3.4773279514851261</v>
      </c>
      <c r="V257" s="378">
        <f t="shared" si="85"/>
        <v>48.746946085599276</v>
      </c>
      <c r="W257" s="397">
        <f t="shared" si="86"/>
        <v>24.119380827828415</v>
      </c>
      <c r="X257" s="153">
        <f t="shared" si="87"/>
        <v>46995</v>
      </c>
      <c r="Y257" s="380">
        <f t="shared" si="88"/>
        <v>23.469462057491825</v>
      </c>
      <c r="Z257" s="380">
        <f t="shared" si="89"/>
        <v>24.277587852324867</v>
      </c>
      <c r="AA257" s="381">
        <f t="shared" si="90"/>
        <v>25.725726412448271</v>
      </c>
      <c r="AB257" s="193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5.6291454589312263E-2</v>
      </c>
      <c r="AD257" s="227">
        <f>(INDEX(Models!$BJ257:$BT257,,AH257)*(1-AF257)+INDEX(Models!$BJ257:$BT257,,AH257+1)*AF257-ERP_i)*AE257*Ramure*Pc/MaxiM</f>
        <v>3.5853525815372799E-4</v>
      </c>
      <c r="AE257" s="301">
        <f t="shared" si="92"/>
        <v>0.5</v>
      </c>
      <c r="AF257" s="173">
        <f t="shared" si="93"/>
        <v>0.47732795148512608</v>
      </c>
      <c r="AG257" s="802">
        <f t="shared" si="99"/>
        <v>3</v>
      </c>
      <c r="AH257" s="172">
        <f t="shared" si="94"/>
        <v>9</v>
      </c>
      <c r="AI257" s="221">
        <f t="shared" si="95"/>
        <v>3.4773279514851261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46996</v>
      </c>
      <c r="B258" s="406">
        <f>'2027'!Wh/'2027'!Env_an*'2028'!Env_an</f>
        <v>41.473921907548409</v>
      </c>
      <c r="C258" s="832"/>
      <c r="D258" s="388">
        <f t="shared" si="77"/>
        <v>42.902583955593698</v>
      </c>
      <c r="E258" s="380">
        <f t="shared" si="100"/>
        <v>44.238774217718493</v>
      </c>
      <c r="F258" s="380">
        <f t="shared" si="78"/>
        <v>44.251850506689863</v>
      </c>
      <c r="G258" s="110">
        <f t="shared" si="101"/>
        <v>0.85544610675877486</v>
      </c>
      <c r="H258" s="409" t="b">
        <f>Wh_hp&gt;='2027'!Maxi_hp</f>
        <v>0</v>
      </c>
      <c r="I258" s="385">
        <f>IF(H258,Wh_hp,'2027'!Maxi_hp)</f>
        <v>44.255000274929195</v>
      </c>
      <c r="J258" s="85">
        <f>IF(H258,An,'2027'!An_max)</f>
        <v>2022</v>
      </c>
      <c r="K258" s="193">
        <f t="shared" si="79"/>
        <v>46996</v>
      </c>
      <c r="L258" s="143">
        <f>IF(t&lt;Tvie,1-EXP((T0-t)*PertePVj)+'2027'!Pspv,1-EXP((T0-t)*PertePVj)+Pspv)</f>
        <v>3.3300139905885984E-2</v>
      </c>
      <c r="M258" s="836"/>
      <c r="N258" s="836"/>
      <c r="O258" s="48">
        <f>IF(t&lt;Tnet,'2027'!Resal+('2027'!Salim-'2027'!Resal)*(1-EXP(('2027'!Tnet-t)/('2027'!Tau_j))),Resal+(Salim-Resal)*(1-EXP((Tnet-t)/(Tau_j))))*Salcycl</f>
        <v>3.0204052570462579E-2</v>
      </c>
      <c r="P258" s="165">
        <f>(INDEX(Models!$BJ258:$BT258,,T258)*(1-R258)+INDEX(Models!$BJ258:$BT258,,T258+1)*R258-ERP_i)*Q258*Ramure*Pc/MaxiM</f>
        <v>3.7235549061731538E-4</v>
      </c>
      <c r="Q258" s="301">
        <f t="shared" si="80"/>
        <v>0.5</v>
      </c>
      <c r="R258" s="173">
        <f t="shared" si="81"/>
        <v>0.4779770634677476</v>
      </c>
      <c r="S258" s="802">
        <f t="shared" si="82"/>
        <v>3</v>
      </c>
      <c r="T258" s="172">
        <f t="shared" si="83"/>
        <v>9</v>
      </c>
      <c r="U258" s="247">
        <f t="shared" si="84"/>
        <v>3.4779770634677476</v>
      </c>
      <c r="V258" s="378">
        <f t="shared" si="85"/>
        <v>48.478487440123089</v>
      </c>
      <c r="W258" s="397">
        <f t="shared" si="86"/>
        <v>41.473921907548409</v>
      </c>
      <c r="X258" s="153">
        <f t="shared" si="87"/>
        <v>46996</v>
      </c>
      <c r="Y258" s="380">
        <f t="shared" si="88"/>
        <v>40.357453030908644</v>
      </c>
      <c r="Z258" s="380">
        <f t="shared" si="89"/>
        <v>41.747655810128705</v>
      </c>
      <c r="AA258" s="381">
        <f t="shared" si="90"/>
        <v>44.238774217718493</v>
      </c>
      <c r="AB258" s="193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5.6310746661512374E-2</v>
      </c>
      <c r="AD258" s="227">
        <f>(INDEX(Models!$BJ258:$BT258,,AH258)*(1-AF258)+INDEX(Models!$BJ258:$BT258,,AH258+1)*AF258-ERP_i)*AE258*Ramure*Pc/MaxiM</f>
        <v>3.7235549061731538E-4</v>
      </c>
      <c r="AE258" s="301">
        <f t="shared" si="92"/>
        <v>0.5</v>
      </c>
      <c r="AF258" s="173">
        <f t="shared" si="93"/>
        <v>0.4779770634677476</v>
      </c>
      <c r="AG258" s="802">
        <f t="shared" si="99"/>
        <v>3</v>
      </c>
      <c r="AH258" s="172">
        <f t="shared" si="94"/>
        <v>9</v>
      </c>
      <c r="AI258" s="221">
        <f t="shared" si="95"/>
        <v>3.4779770634677476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46997</v>
      </c>
      <c r="B259" s="406">
        <f>'2027'!Wh/'2027'!Env_an*'2028'!Env_an</f>
        <v>39.203683388309713</v>
      </c>
      <c r="C259" s="832"/>
      <c r="D259" s="388">
        <f t="shared" si="77"/>
        <v>40.554697150099287</v>
      </c>
      <c r="E259" s="380">
        <f t="shared" si="100"/>
        <v>41.819732492944752</v>
      </c>
      <c r="F259" s="380">
        <f t="shared" si="78"/>
        <v>41.831512502391035</v>
      </c>
      <c r="G259" s="110">
        <f t="shared" si="101"/>
        <v>0.81317874435500481</v>
      </c>
      <c r="H259" s="409" t="b">
        <f>Wh_hp&gt;='2027'!Maxi_hp</f>
        <v>0</v>
      </c>
      <c r="I259" s="385">
        <f>IF(H259,Wh_hp,'2027'!Maxi_hp)</f>
        <v>41.8354747145045</v>
      </c>
      <c r="J259" s="85">
        <f>IF(H259,An,'2027'!An_max)</f>
        <v>2022</v>
      </c>
      <c r="K259" s="193">
        <f t="shared" si="79"/>
        <v>46997</v>
      </c>
      <c r="L259" s="143">
        <f>IF(t&lt;Tvie,1-EXP((T0-t)*PertePVj)+'2027'!Pspv,1-EXP((T0-t)*PertePVj)+Pspv)</f>
        <v>3.3313373215173026E-2</v>
      </c>
      <c r="M259" s="836"/>
      <c r="N259" s="836"/>
      <c r="O259" s="48">
        <f>IF(t&lt;Tnet,'2027'!Resal+('2027'!Salim-'2027'!Resal)*(1-EXP(('2027'!Tnet-t)/('2027'!Tau_j))),Resal+(Salim-Resal)*(1-EXP((Tnet-t)/(Tau_j))))*Salcycl</f>
        <v>3.0249723454325861E-2</v>
      </c>
      <c r="P259" s="165">
        <f>(INDEX(Models!$BJ259:$BT259,,T259)*(1-R259)+INDEX(Models!$BJ259:$BT259,,T259+1)*R259-ERP_i)*Q259*Ramure*Pc/MaxiM</f>
        <v>3.8406163120721979E-4</v>
      </c>
      <c r="Q259" s="301">
        <f t="shared" si="80"/>
        <v>0.5</v>
      </c>
      <c r="R259" s="173">
        <f t="shared" si="81"/>
        <v>0.47860167908195406</v>
      </c>
      <c r="S259" s="802">
        <f t="shared" si="82"/>
        <v>3</v>
      </c>
      <c r="T259" s="172">
        <f t="shared" si="83"/>
        <v>9</v>
      </c>
      <c r="U259" s="247">
        <f t="shared" si="84"/>
        <v>3.4786016790819541</v>
      </c>
      <c r="V259" s="378">
        <f t="shared" si="85"/>
        <v>48.205472530026739</v>
      </c>
      <c r="W259" s="397">
        <f t="shared" si="86"/>
        <v>39.203683388309713</v>
      </c>
      <c r="X259" s="153">
        <f t="shared" si="87"/>
        <v>46997</v>
      </c>
      <c r="Y259" s="380">
        <f t="shared" si="88"/>
        <v>38.149357725573033</v>
      </c>
      <c r="Z259" s="380">
        <f t="shared" si="89"/>
        <v>39.464037950392203</v>
      </c>
      <c r="AA259" s="381">
        <f t="shared" si="90"/>
        <v>41.819732492944752</v>
      </c>
      <c r="AB259" s="193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5.6329737234688544E-2</v>
      </c>
      <c r="AD259" s="227">
        <f>(INDEX(Models!$BJ259:$BT259,,AH259)*(1-AF259)+INDEX(Models!$BJ259:$BT259,,AH259+1)*AF259-ERP_i)*AE259*Ramure*Pc/MaxiM</f>
        <v>3.8406163120721979E-4</v>
      </c>
      <c r="AE259" s="301">
        <f t="shared" si="92"/>
        <v>0.5</v>
      </c>
      <c r="AF259" s="173">
        <f t="shared" si="93"/>
        <v>0.47860167908195406</v>
      </c>
      <c r="AG259" s="802">
        <f t="shared" si="99"/>
        <v>3</v>
      </c>
      <c r="AH259" s="172">
        <f t="shared" si="94"/>
        <v>9</v>
      </c>
      <c r="AI259" s="221">
        <f t="shared" si="95"/>
        <v>3.4786016790819541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46998</v>
      </c>
      <c r="B260" s="406">
        <f>'2027'!Wh/'2027'!Env_an*'2028'!Env_an</f>
        <v>36.066462544479791</v>
      </c>
      <c r="C260" s="832"/>
      <c r="D260" s="388">
        <f t="shared" si="77"/>
        <v>37.309874028961374</v>
      </c>
      <c r="E260" s="380">
        <f t="shared" si="100"/>
        <v>38.475496358048112</v>
      </c>
      <c r="F260" s="380">
        <f t="shared" si="78"/>
        <v>38.485289521927335</v>
      </c>
      <c r="G260" s="110">
        <f t="shared" si="101"/>
        <v>0.75241822921272106</v>
      </c>
      <c r="H260" s="409" t="b">
        <f>Wh_hp&gt;='2027'!Maxi_hp</f>
        <v>0</v>
      </c>
      <c r="I260" s="385">
        <f>IF(H260,Wh_hp,'2027'!Maxi_hp)</f>
        <v>38.490229957550994</v>
      </c>
      <c r="J260" s="85">
        <f>IF(H260,An,'2027'!An_max)</f>
        <v>2022</v>
      </c>
      <c r="K260" s="193">
        <f t="shared" si="79"/>
        <v>46998</v>
      </c>
      <c r="L260" s="143">
        <f>IF(t&lt;Tvie,1-EXP((T0-t)*PertePVj)+'2027'!Pspv,1-EXP((T0-t)*PertePVj)+Pspv)</f>
        <v>3.3326606343307308E-2</v>
      </c>
      <c r="M260" s="836"/>
      <c r="N260" s="836"/>
      <c r="O260" s="48">
        <f>IF(t&lt;Tnet,'2027'!Resal+('2027'!Salim-'2027'!Resal)*(1-EXP(('2027'!Tnet-t)/('2027'!Tau_j))),Resal+(Salim-Resal)*(1-EXP((Tnet-t)/(Tau_j))))*Salcycl</f>
        <v>3.0295186272312216E-2</v>
      </c>
      <c r="P260" s="165">
        <f>(INDEX(Models!$BJ260:$BT260,,T260)*(1-R260)+INDEX(Models!$BJ260:$BT260,,T260+1)*R260-ERP_i)*Q260*Ramure*Pc/MaxiM</f>
        <v>3.9362771271649483E-4</v>
      </c>
      <c r="Q260" s="301">
        <f t="shared" si="80"/>
        <v>0.5</v>
      </c>
      <c r="R260" s="173">
        <f t="shared" si="81"/>
        <v>0.47920266116057952</v>
      </c>
      <c r="S260" s="802">
        <f t="shared" si="82"/>
        <v>3</v>
      </c>
      <c r="T260" s="172">
        <f t="shared" si="83"/>
        <v>9</v>
      </c>
      <c r="U260" s="247">
        <f t="shared" si="84"/>
        <v>3.4792026611605795</v>
      </c>
      <c r="V260" s="378">
        <f t="shared" si="85"/>
        <v>47.92739033226438</v>
      </c>
      <c r="W260" s="397">
        <f t="shared" si="86"/>
        <v>36.066462544479791</v>
      </c>
      <c r="X260" s="153">
        <f t="shared" si="87"/>
        <v>46998</v>
      </c>
      <c r="Y260" s="380">
        <f t="shared" si="88"/>
        <v>35.097458576045845</v>
      </c>
      <c r="Z260" s="380">
        <f t="shared" si="89"/>
        <v>36.307463106314131</v>
      </c>
      <c r="AA260" s="381">
        <f t="shared" si="90"/>
        <v>38.475496358048112</v>
      </c>
      <c r="AB260" s="193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5.6348415405964844E-2</v>
      </c>
      <c r="AD260" s="227">
        <f>(INDEX(Models!$BJ260:$BT260,,AH260)*(1-AF260)+INDEX(Models!$BJ260:$BT260,,AH260+1)*AF260-ERP_i)*AE260*Ramure*Pc/MaxiM</f>
        <v>3.9362771271649483E-4</v>
      </c>
      <c r="AE260" s="301">
        <f t="shared" si="92"/>
        <v>0.5</v>
      </c>
      <c r="AF260" s="173">
        <f t="shared" si="93"/>
        <v>0.47920266116057952</v>
      </c>
      <c r="AG260" s="802">
        <f t="shared" si="99"/>
        <v>3</v>
      </c>
      <c r="AH260" s="172">
        <f t="shared" si="94"/>
        <v>9</v>
      </c>
      <c r="AI260" s="221">
        <f t="shared" si="95"/>
        <v>3.4792026611605795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46999</v>
      </c>
      <c r="B261" s="406">
        <f>'2027'!Wh/'2027'!Env_an*'2028'!Env_an</f>
        <v>47.291504464014487</v>
      </c>
      <c r="C261" s="832"/>
      <c r="D261" s="388">
        <f t="shared" si="77"/>
        <v>48.922575260879377</v>
      </c>
      <c r="E261" s="380">
        <f t="shared" si="100"/>
        <v>50.453351874892896</v>
      </c>
      <c r="F261" s="380">
        <f t="shared" si="78"/>
        <v>50.473377290165004</v>
      </c>
      <c r="G261" s="110">
        <f t="shared" si="101"/>
        <v>0.99256234583472891</v>
      </c>
      <c r="H261" s="409" t="b">
        <f>Wh_hp&gt;='2027'!Maxi_hp</f>
        <v>0</v>
      </c>
      <c r="I261" s="385">
        <f>IF(H261,Wh_hp,'2027'!Maxi_hp)</f>
        <v>50.473575037917115</v>
      </c>
      <c r="J261" s="85">
        <f>IF(H261,An,'2027'!An_max)</f>
        <v>2022</v>
      </c>
      <c r="K261" s="193">
        <f t="shared" si="79"/>
        <v>46999</v>
      </c>
      <c r="L261" s="143">
        <f>IF(t&lt;Tvie,1-EXP((T0-t)*PertePVj)+'2027'!Pspv,1-EXP((T0-t)*PertePVj)+Pspv)</f>
        <v>3.3339839290291162E-2</v>
      </c>
      <c r="M261" s="836"/>
      <c r="N261" s="836"/>
      <c r="O261" s="48">
        <f>IF(t&lt;Tnet,'2027'!Resal+('2027'!Salim-'2027'!Resal)*(1-EXP(('2027'!Tnet-t)/('2027'!Tau_j))),Resal+(Salim-Resal)*(1-EXP((Tnet-t)/(Tau_j))))*Salcycl</f>
        <v>3.0340434423649813E-2</v>
      </c>
      <c r="P261" s="165">
        <f>(INDEX(Models!$BJ261:$BT261,,T261)*(1-R261)+INDEX(Models!$BJ261:$BT261,,T261+1)*R261-ERP_i)*Q261*Ramure*Pc/MaxiM</f>
        <v>4.0101043924327672E-4</v>
      </c>
      <c r="Q261" s="301">
        <f t="shared" si="80"/>
        <v>0.5</v>
      </c>
      <c r="R261" s="173">
        <f t="shared" si="81"/>
        <v>0.47978084688634404</v>
      </c>
      <c r="S261" s="802">
        <f t="shared" si="82"/>
        <v>3</v>
      </c>
      <c r="T261" s="172">
        <f t="shared" si="83"/>
        <v>9</v>
      </c>
      <c r="U261" s="247">
        <f t="shared" si="84"/>
        <v>3.479780846886344</v>
      </c>
      <c r="V261" s="378">
        <f t="shared" si="85"/>
        <v>47.645675051353358</v>
      </c>
      <c r="W261" s="397">
        <f t="shared" si="86"/>
        <v>47.291504464014487</v>
      </c>
      <c r="X261" s="153">
        <f t="shared" si="87"/>
        <v>46999</v>
      </c>
      <c r="Y261" s="380">
        <f t="shared" si="88"/>
        <v>46.022167677369893</v>
      </c>
      <c r="Z261" s="380">
        <f t="shared" si="89"/>
        <v>47.609459402548502</v>
      </c>
      <c r="AA261" s="381">
        <f t="shared" si="90"/>
        <v>50.453351874892896</v>
      </c>
      <c r="AB261" s="193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5.6366769831195221E-2</v>
      </c>
      <c r="AD261" s="227">
        <f>(INDEX(Models!$BJ261:$BT261,,AH261)*(1-AF261)+INDEX(Models!$BJ261:$BT261,,AH261+1)*AF261-ERP_i)*AE261*Ramure*Pc/MaxiM</f>
        <v>4.0101043924327672E-4</v>
      </c>
      <c r="AE261" s="301">
        <f t="shared" si="92"/>
        <v>0.5</v>
      </c>
      <c r="AF261" s="173">
        <f t="shared" si="93"/>
        <v>0.47978084688634404</v>
      </c>
      <c r="AG261" s="802">
        <f t="shared" si="99"/>
        <v>3</v>
      </c>
      <c r="AH261" s="172">
        <f t="shared" si="94"/>
        <v>9</v>
      </c>
      <c r="AI261" s="221">
        <f t="shared" si="95"/>
        <v>3.479780846886344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47000</v>
      </c>
      <c r="B262" s="406">
        <f>'2027'!Wh/'2027'!Env_an*'2028'!Env_an</f>
        <v>39.573614202235504</v>
      </c>
      <c r="C262" s="832"/>
      <c r="D262" s="388">
        <f t="shared" si="77"/>
        <v>40.939057538217604</v>
      </c>
      <c r="E262" s="380">
        <f t="shared" si="100"/>
        <v>42.221992237904686</v>
      </c>
      <c r="F262" s="380">
        <f t="shared" si="78"/>
        <v>42.235084056455932</v>
      </c>
      <c r="G262" s="110">
        <f t="shared" si="101"/>
        <v>0.83547765223298076</v>
      </c>
      <c r="H262" s="409" t="b">
        <f>Wh_hp&gt;='2027'!Maxi_hp</f>
        <v>0</v>
      </c>
      <c r="I262" s="385">
        <f>IF(H262,Wh_hp,'2027'!Maxi_hp)</f>
        <v>42.238772053964766</v>
      </c>
      <c r="J262" s="85">
        <f>IF(H262,An,'2027'!An_max)</f>
        <v>2022</v>
      </c>
      <c r="K262" s="193">
        <f t="shared" si="79"/>
        <v>47000</v>
      </c>
      <c r="L262" s="143">
        <f>IF(t&lt;Tvie,1-EXP((T0-t)*PertePVj)+'2027'!Pspv,1-EXP((T0-t)*PertePVj)+Pspv)</f>
        <v>3.3353072056127031E-2</v>
      </c>
      <c r="M262" s="836"/>
      <c r="N262" s="836"/>
      <c r="O262" s="48">
        <f>IF(t&lt;Tnet,'2027'!Resal+('2027'!Salim-'2027'!Resal)*(1-EXP(('2027'!Tnet-t)/('2027'!Tau_j))),Resal+(Salim-Resal)*(1-EXP((Tnet-t)/(Tau_j))))*Salcycl</f>
        <v>3.0385461028419554E-2</v>
      </c>
      <c r="P262" s="165">
        <f>(INDEX(Models!$BJ262:$BT262,,T262)*(1-R262)+INDEX(Models!$BJ262:$BT262,,T262+1)*R262-ERP_i)*Q262*Ramure*Pc/MaxiM</f>
        <v>4.0515274863287519E-4</v>
      </c>
      <c r="Q262" s="301">
        <f t="shared" si="80"/>
        <v>0.5</v>
      </c>
      <c r="R262" s="173">
        <f t="shared" si="81"/>
        <v>0.48033704817911582</v>
      </c>
      <c r="S262" s="802">
        <f t="shared" si="82"/>
        <v>3</v>
      </c>
      <c r="T262" s="172">
        <f t="shared" si="83"/>
        <v>9</v>
      </c>
      <c r="U262" s="247">
        <f t="shared" si="84"/>
        <v>3.4803370481791158</v>
      </c>
      <c r="V262" s="378">
        <f t="shared" si="85"/>
        <v>47.361944870163732</v>
      </c>
      <c r="W262" s="397">
        <f t="shared" si="86"/>
        <v>39.573614202235504</v>
      </c>
      <c r="X262" s="153">
        <f t="shared" si="87"/>
        <v>47000</v>
      </c>
      <c r="Y262" s="380">
        <f t="shared" si="88"/>
        <v>38.512483906283229</v>
      </c>
      <c r="Z262" s="380">
        <f t="shared" si="89"/>
        <v>39.841314127177782</v>
      </c>
      <c r="AA262" s="381">
        <f t="shared" si="90"/>
        <v>42.221992237904686</v>
      </c>
      <c r="AB262" s="193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5.6384788697622271E-2</v>
      </c>
      <c r="AD262" s="227">
        <f>(INDEX(Models!$BJ262:$BT262,,AH262)*(1-AF262)+INDEX(Models!$BJ262:$BT262,,AH262+1)*AF262-ERP_i)*AE262*Ramure*Pc/MaxiM</f>
        <v>4.0515274863287519E-4</v>
      </c>
      <c r="AE262" s="301">
        <f t="shared" si="92"/>
        <v>0.5</v>
      </c>
      <c r="AF262" s="173">
        <f t="shared" si="93"/>
        <v>0.48033704817911582</v>
      </c>
      <c r="AG262" s="802">
        <f t="shared" si="99"/>
        <v>3</v>
      </c>
      <c r="AH262" s="172">
        <f t="shared" si="94"/>
        <v>9</v>
      </c>
      <c r="AI262" s="221">
        <f t="shared" si="95"/>
        <v>3.4803370481791158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47001</v>
      </c>
      <c r="B263" s="406">
        <f>'2027'!Wh/'2027'!Env_an*'2028'!Env_an</f>
        <v>43.135451133890058</v>
      </c>
      <c r="C263" s="832"/>
      <c r="D263" s="388">
        <f t="shared" si="77"/>
        <v>44.624402543573396</v>
      </c>
      <c r="E263" s="380">
        <f t="shared" si="100"/>
        <v>46.024953804249677</v>
      </c>
      <c r="F263" s="380">
        <f t="shared" si="78"/>
        <v>46.041399426338863</v>
      </c>
      <c r="G263" s="110">
        <f t="shared" si="101"/>
        <v>0.91625122916715163</v>
      </c>
      <c r="H263" s="409" t="b">
        <f>Wh_hp&gt;='2027'!Maxi_hp</f>
        <v>0</v>
      </c>
      <c r="I263" s="385">
        <f>IF(H263,Wh_hp,'2027'!Maxi_hp)</f>
        <v>46.043442826632116</v>
      </c>
      <c r="J263" s="85">
        <f>IF(H263,An,'2027'!An_max)</f>
        <v>2022</v>
      </c>
      <c r="K263" s="193">
        <f t="shared" si="79"/>
        <v>47001</v>
      </c>
      <c r="L263" s="143">
        <f>IF(t&lt;Tvie,1-EXP((T0-t)*PertePVj)+'2027'!Pspv,1-EXP((T0-t)*PertePVj)+Pspv)</f>
        <v>3.3366304640817468E-2</v>
      </c>
      <c r="M263" s="836"/>
      <c r="N263" s="836"/>
      <c r="O263" s="48">
        <f>IF(t&lt;Tnet,'2027'!Resal+('2027'!Salim-'2027'!Resal)*(1-EXP(('2027'!Tnet-t)/('2027'!Tau_j))),Resal+(Salim-Resal)*(1-EXP((Tnet-t)/(Tau_j))))*Salcycl</f>
        <v>3.0430258912002694E-2</v>
      </c>
      <c r="P263" s="165">
        <f>(INDEX(Models!$BJ263:$BT263,,T263)*(1-R263)+INDEX(Models!$BJ263:$BT263,,T263+1)*R263-ERP_i)*Q263*Ramure*Pc/MaxiM</f>
        <v>4.0570531271919713E-4</v>
      </c>
      <c r="Q263" s="301">
        <f t="shared" si="80"/>
        <v>0.5</v>
      </c>
      <c r="R263" s="173">
        <f t="shared" si="81"/>
        <v>0.48087205211074746</v>
      </c>
      <c r="S263" s="802">
        <f t="shared" si="82"/>
        <v>3</v>
      </c>
      <c r="T263" s="172">
        <f t="shared" si="83"/>
        <v>9</v>
      </c>
      <c r="U263" s="247">
        <f t="shared" si="84"/>
        <v>3.4808720521107475</v>
      </c>
      <c r="V263" s="378">
        <f t="shared" si="85"/>
        <v>47.075907100402731</v>
      </c>
      <c r="W263" s="397">
        <f t="shared" si="86"/>
        <v>43.135451133890058</v>
      </c>
      <c r="X263" s="153">
        <f t="shared" si="87"/>
        <v>47001</v>
      </c>
      <c r="Y263" s="380">
        <f t="shared" si="88"/>
        <v>41.979966850142581</v>
      </c>
      <c r="Z263" s="380">
        <f t="shared" si="89"/>
        <v>43.429033202224169</v>
      </c>
      <c r="AA263" s="381">
        <f t="shared" si="90"/>
        <v>46.024953804249677</v>
      </c>
      <c r="AB263" s="193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5.6402459697543823E-2</v>
      </c>
      <c r="AD263" s="227">
        <f>(INDEX(Models!$BJ263:$BT263,,AH263)*(1-AF263)+INDEX(Models!$BJ263:$BT263,,AH263+1)*AF263-ERP_i)*AE263*Ramure*Pc/MaxiM</f>
        <v>4.0570531271919713E-4</v>
      </c>
      <c r="AE263" s="301">
        <f t="shared" si="92"/>
        <v>0.5</v>
      </c>
      <c r="AF263" s="173">
        <f t="shared" si="93"/>
        <v>0.48087205211074746</v>
      </c>
      <c r="AG263" s="802">
        <f t="shared" si="99"/>
        <v>3</v>
      </c>
      <c r="AH263" s="172">
        <f t="shared" si="94"/>
        <v>9</v>
      </c>
      <c r="AI263" s="221">
        <f t="shared" si="95"/>
        <v>3.4808720521107475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47002</v>
      </c>
      <c r="B264" s="406">
        <f>'2027'!Wh/'2027'!Env_an*'2028'!Env_an</f>
        <v>35.370610946841722</v>
      </c>
      <c r="C264" s="832"/>
      <c r="D264" s="388">
        <f t="shared" si="77"/>
        <v>36.592036173834991</v>
      </c>
      <c r="E264" s="380">
        <f t="shared" si="100"/>
        <v>37.742223668828032</v>
      </c>
      <c r="F264" s="380">
        <f t="shared" si="78"/>
        <v>37.752124832902787</v>
      </c>
      <c r="G264" s="110">
        <f t="shared" si="101"/>
        <v>0.75588203699720269</v>
      </c>
      <c r="H264" s="409" t="b">
        <f>Wh_hp&gt;='2027'!Maxi_hp</f>
        <v>0</v>
      </c>
      <c r="I264" s="385">
        <f>IF(H264,Wh_hp,'2027'!Maxi_hp)</f>
        <v>37.756957549064502</v>
      </c>
      <c r="J264" s="85">
        <f>IF(H264,An,'2027'!An_max)</f>
        <v>2022</v>
      </c>
      <c r="K264" s="193">
        <f t="shared" si="79"/>
        <v>47002</v>
      </c>
      <c r="L264" s="143">
        <f>IF(t&lt;Tvie,1-EXP((T0-t)*PertePVj)+'2027'!Pspv,1-EXP((T0-t)*PertePVj)+Pspv)</f>
        <v>3.3379537044364915E-2</v>
      </c>
      <c r="M264" s="836"/>
      <c r="N264" s="836"/>
      <c r="O264" s="48">
        <f>IF(t&lt;Tnet,'2027'!Resal+('2027'!Salim-'2027'!Resal)*(1-EXP(('2027'!Tnet-t)/('2027'!Tau_j))),Resal+(Salim-Resal)*(1-EXP((Tnet-t)/(Tau_j))))*Salcycl</f>
        <v>3.047482059047301E-2</v>
      </c>
      <c r="P264" s="165">
        <f>(INDEX(Models!$BJ264:$BT264,,T264)*(1-R264)+INDEX(Models!$BJ264:$BT264,,T264+1)*R264-ERP_i)*Q264*Ramure*Pc/MaxiM</f>
        <v>4.0261442036885971E-4</v>
      </c>
      <c r="Q264" s="301">
        <f t="shared" si="80"/>
        <v>0.5</v>
      </c>
      <c r="R264" s="173">
        <f t="shared" si="81"/>
        <v>0.48138662134378496</v>
      </c>
      <c r="S264" s="802">
        <f t="shared" si="82"/>
        <v>3</v>
      </c>
      <c r="T264" s="172">
        <f t="shared" si="83"/>
        <v>9</v>
      </c>
      <c r="U264" s="247">
        <f t="shared" si="84"/>
        <v>3.481386621343785</v>
      </c>
      <c r="V264" s="378">
        <f t="shared" si="85"/>
        <v>46.787254843185437</v>
      </c>
      <c r="W264" s="397">
        <f t="shared" si="86"/>
        <v>35.370610946841722</v>
      </c>
      <c r="X264" s="153">
        <f t="shared" si="87"/>
        <v>47002</v>
      </c>
      <c r="Y264" s="380">
        <f t="shared" si="88"/>
        <v>34.424076776066897</v>
      </c>
      <c r="Z264" s="380">
        <f t="shared" si="89"/>
        <v>35.612816089997111</v>
      </c>
      <c r="AA264" s="381">
        <f t="shared" si="90"/>
        <v>37.742223668828032</v>
      </c>
      <c r="AB264" s="193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5.6419770003897099E-2</v>
      </c>
      <c r="AD264" s="227">
        <f>(INDEX(Models!$BJ264:$BT264,,AH264)*(1-AF264)+INDEX(Models!$BJ264:$BT264,,AH264+1)*AF264-ERP_i)*AE264*Ramure*Pc/MaxiM</f>
        <v>4.0261442036885971E-4</v>
      </c>
      <c r="AE264" s="301">
        <f t="shared" si="92"/>
        <v>0.5</v>
      </c>
      <c r="AF264" s="173">
        <f t="shared" si="93"/>
        <v>0.48138662134378496</v>
      </c>
      <c r="AG264" s="802">
        <f t="shared" si="99"/>
        <v>3</v>
      </c>
      <c r="AH264" s="172">
        <f t="shared" si="94"/>
        <v>9</v>
      </c>
      <c r="AI264" s="221">
        <f t="shared" si="95"/>
        <v>3.481386621343785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47003</v>
      </c>
      <c r="B265" s="406">
        <f>'2027'!Wh/'2027'!Env_an*'2028'!Env_an</f>
        <v>39.340421210575478</v>
      </c>
      <c r="C265" s="832"/>
      <c r="D265" s="388">
        <f t="shared" si="77"/>
        <v>40.699489885600656</v>
      </c>
      <c r="E265" s="380">
        <f t="shared" si="100"/>
        <v>41.98070482015148</v>
      </c>
      <c r="F265" s="380">
        <f t="shared" si="78"/>
        <v>41.993672677553228</v>
      </c>
      <c r="G265" s="110">
        <f t="shared" si="101"/>
        <v>0.84603549667633471</v>
      </c>
      <c r="H265" s="409" t="b">
        <f>Wh_hp&gt;='2027'!Maxi_hp</f>
        <v>0</v>
      </c>
      <c r="I265" s="385">
        <f>IF(H265,Wh_hp,'2027'!Maxi_hp)</f>
        <v>41.996995184866542</v>
      </c>
      <c r="J265" s="85">
        <f>IF(H265,An,'2027'!An_max)</f>
        <v>2022</v>
      </c>
      <c r="K265" s="193">
        <f t="shared" si="79"/>
        <v>47003</v>
      </c>
      <c r="L265" s="143">
        <f>IF(t&lt;Tvie,1-EXP((T0-t)*PertePVj)+'2027'!Pspv,1-EXP((T0-t)*PertePVj)+Pspv)</f>
        <v>3.3392769266771927E-2</v>
      </c>
      <c r="M265" s="836"/>
      <c r="N265" s="836"/>
      <c r="O265" s="48">
        <f>IF(t&lt;Tnet,'2027'!Resal+('2027'!Salim-'2027'!Resal)*(1-EXP(('2027'!Tnet-t)/('2027'!Tau_j))),Resal+(Salim-Resal)*(1-EXP((Tnet-t)/(Tau_j))))*Salcycl</f>
        <v>3.0519138257436275E-2</v>
      </c>
      <c r="P265" s="165">
        <f>(INDEX(Models!$BJ265:$BT265,,T265)*(1-R265)+INDEX(Models!$BJ265:$BT265,,T265+1)*R265-ERP_i)*Q265*Ramure*Pc/MaxiM</f>
        <v>3.9582475919466647E-4</v>
      </c>
      <c r="Q265" s="301">
        <f t="shared" si="80"/>
        <v>0.5</v>
      </c>
      <c r="R265" s="173">
        <f t="shared" si="81"/>
        <v>0.48188149459063068</v>
      </c>
      <c r="S265" s="802">
        <f t="shared" si="82"/>
        <v>3</v>
      </c>
      <c r="T265" s="172">
        <f t="shared" si="83"/>
        <v>9</v>
      </c>
      <c r="U265" s="247">
        <f t="shared" si="84"/>
        <v>3.4818814945906307</v>
      </c>
      <c r="V265" s="378">
        <f t="shared" si="85"/>
        <v>46.495681227172483</v>
      </c>
      <c r="W265" s="397">
        <f t="shared" si="86"/>
        <v>39.340421210575478</v>
      </c>
      <c r="X265" s="153">
        <f t="shared" si="87"/>
        <v>47003</v>
      </c>
      <c r="Y265" s="380">
        <f t="shared" si="88"/>
        <v>38.288716033336236</v>
      </c>
      <c r="Z265" s="380">
        <f t="shared" si="89"/>
        <v>39.611452114104303</v>
      </c>
      <c r="AA265" s="381">
        <f t="shared" si="90"/>
        <v>41.98070482015148</v>
      </c>
      <c r="AB265" s="193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5.6436706248673932E-2</v>
      </c>
      <c r="AD265" s="227">
        <f>(INDEX(Models!$BJ265:$BT265,,AH265)*(1-AF265)+INDEX(Models!$BJ265:$BT265,,AH265+1)*AF265-ERP_i)*AE265*Ramure*Pc/MaxiM</f>
        <v>3.9582475919466647E-4</v>
      </c>
      <c r="AE265" s="301">
        <f t="shared" si="92"/>
        <v>0.5</v>
      </c>
      <c r="AF265" s="173">
        <f t="shared" si="93"/>
        <v>0.48188149459063068</v>
      </c>
      <c r="AG265" s="802">
        <f t="shared" si="99"/>
        <v>3</v>
      </c>
      <c r="AH265" s="172">
        <f t="shared" si="94"/>
        <v>9</v>
      </c>
      <c r="AI265" s="221">
        <f t="shared" si="95"/>
        <v>3.4818814945906307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47004</v>
      </c>
      <c r="B266" s="406">
        <f>'2027'!Wh/'2027'!Env_an*'2028'!Env_an</f>
        <v>18.743085913470136</v>
      </c>
      <c r="C266" s="832"/>
      <c r="D266" s="388">
        <f t="shared" si="77"/>
        <v>19.390856904588865</v>
      </c>
      <c r="E266" s="380">
        <f t="shared" si="100"/>
        <v>20.002187847679725</v>
      </c>
      <c r="F266" s="380">
        <f t="shared" si="78"/>
        <v>20.003351440115463</v>
      </c>
      <c r="G266" s="110">
        <f t="shared" si="101"/>
        <v>0.40555406655469695</v>
      </c>
      <c r="H266" s="409" t="b">
        <f>Wh_hp&gt;='2027'!Maxi_hp</f>
        <v>0</v>
      </c>
      <c r="I266" s="385">
        <f>IF(H266,Wh_hp,'2027'!Maxi_hp)</f>
        <v>20.009279692511022</v>
      </c>
      <c r="J266" s="85">
        <f>IF(H266,An,'2027'!An_max)</f>
        <v>2022</v>
      </c>
      <c r="K266" s="193">
        <f t="shared" si="79"/>
        <v>47004</v>
      </c>
      <c r="L266" s="143">
        <f>IF(t&lt;Tvie,1-EXP((T0-t)*PertePVj)+'2027'!Pspv,1-EXP((T0-t)*PertePVj)+Pspv)</f>
        <v>3.3406001308040834E-2</v>
      </c>
      <c r="M266" s="836"/>
      <c r="N266" s="836"/>
      <c r="O266" s="48">
        <f>IF(t&lt;Tnet,'2027'!Resal+('2027'!Salim-'2027'!Resal)*(1-EXP(('2027'!Tnet-t)/('2027'!Tau_j))),Resal+(Salim-Resal)*(1-EXP((Tnet-t)/(Tau_j))))*Salcycl</f>
        <v>3.0563203772820052E-2</v>
      </c>
      <c r="P266" s="165">
        <f>(INDEX(Models!$BJ266:$BT266,,T266)*(1-R266)+INDEX(Models!$BJ266:$BT266,,T266+1)*R266-ERP_i)*Q266*Ramure*Pc/MaxiM</f>
        <v>3.8527914845655644E-4</v>
      </c>
      <c r="Q266" s="301">
        <f t="shared" si="80"/>
        <v>0.5</v>
      </c>
      <c r="R266" s="173">
        <f t="shared" si="81"/>
        <v>0.48235738708998621</v>
      </c>
      <c r="S266" s="802">
        <f t="shared" si="82"/>
        <v>3</v>
      </c>
      <c r="T266" s="172">
        <f t="shared" si="83"/>
        <v>9</v>
      </c>
      <c r="U266" s="247">
        <f t="shared" si="84"/>
        <v>3.4823573870899862</v>
      </c>
      <c r="V266" s="378">
        <f t="shared" si="85"/>
        <v>46.200879401240456</v>
      </c>
      <c r="W266" s="397">
        <f t="shared" si="86"/>
        <v>18.743085913470136</v>
      </c>
      <c r="X266" s="153">
        <f t="shared" si="87"/>
        <v>47004</v>
      </c>
      <c r="Y266" s="380">
        <f t="shared" si="88"/>
        <v>18.242527808942619</v>
      </c>
      <c r="Z266" s="380">
        <f t="shared" si="89"/>
        <v>18.872999246456395</v>
      </c>
      <c r="AA266" s="381">
        <f t="shared" si="90"/>
        <v>20.002187847679725</v>
      </c>
      <c r="AB266" s="193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5.6453254505072305E-2</v>
      </c>
      <c r="AD266" s="227">
        <f>(INDEX(Models!$BJ266:$BT266,,AH266)*(1-AF266)+INDEX(Models!$BJ266:$BT266,,AH266+1)*AF266-ERP_i)*AE266*Ramure*Pc/MaxiM</f>
        <v>3.8527914845655644E-4</v>
      </c>
      <c r="AE266" s="301">
        <f t="shared" si="92"/>
        <v>0.5</v>
      </c>
      <c r="AF266" s="173">
        <f t="shared" si="93"/>
        <v>0.48235738708998621</v>
      </c>
      <c r="AG266" s="802">
        <f t="shared" si="99"/>
        <v>3</v>
      </c>
      <c r="AH266" s="172">
        <f t="shared" si="94"/>
        <v>9</v>
      </c>
      <c r="AI266" s="221">
        <f t="shared" si="95"/>
        <v>3.4823573870899862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47005</v>
      </c>
      <c r="B267" s="406">
        <f>'2027'!Wh/'2027'!Env_an*'2028'!Env_an</f>
        <v>43.695348120457076</v>
      </c>
      <c r="C267" s="832"/>
      <c r="D267" s="388">
        <f t="shared" si="77"/>
        <v>45.206101362515092</v>
      </c>
      <c r="E267" s="380">
        <f t="shared" si="100"/>
        <v>46.633410563193458</v>
      </c>
      <c r="F267" s="380">
        <f t="shared" si="78"/>
        <v>46.649525136053178</v>
      </c>
      <c r="G267" s="110">
        <f t="shared" si="101"/>
        <v>0.95189137688779246</v>
      </c>
      <c r="H267" s="409" t="b">
        <f>Wh_hp&gt;='2027'!Maxi_hp</f>
        <v>0</v>
      </c>
      <c r="I267" s="385">
        <f>IF(H267,Wh_hp,'2027'!Maxi_hp)</f>
        <v>46.650597773955901</v>
      </c>
      <c r="J267" s="85">
        <f>IF(H267,An,'2027'!An_max)</f>
        <v>2022</v>
      </c>
      <c r="K267" s="193">
        <f t="shared" si="79"/>
        <v>47005</v>
      </c>
      <c r="L267" s="143">
        <f>IF(t&lt;Tvie,1-EXP((T0-t)*PertePVj)+'2027'!Pspv,1-EXP((T0-t)*PertePVj)+Pspv)</f>
        <v>3.34192331681743E-2</v>
      </c>
      <c r="M267" s="836"/>
      <c r="N267" s="836"/>
      <c r="O267" s="48">
        <f>IF(t&lt;Tnet,'2027'!Resal+('2027'!Salim-'2027'!Resal)*(1-EXP(('2027'!Tnet-t)/('2027'!Tau_j))),Resal+(Salim-Resal)*(1-EXP((Tnet-t)/(Tau_j))))*Salcycl</f>
        <v>3.0607008654110757E-2</v>
      </c>
      <c r="P267" s="165">
        <f>(INDEX(Models!$BJ267:$BT267,,T267)*(1-R267)+INDEX(Models!$BJ267:$BT267,,T267+1)*R267-ERP_i)*Q267*Ramure*Pc/MaxiM</f>
        <v>3.7091825795898016E-4</v>
      </c>
      <c r="Q267" s="301">
        <f t="shared" si="80"/>
        <v>0.5</v>
      </c>
      <c r="R267" s="173">
        <f t="shared" si="81"/>
        <v>0.48281499109765091</v>
      </c>
      <c r="S267" s="802">
        <f t="shared" si="82"/>
        <v>3</v>
      </c>
      <c r="T267" s="172">
        <f t="shared" si="83"/>
        <v>9</v>
      </c>
      <c r="U267" s="247">
        <f t="shared" si="84"/>
        <v>3.4828149910976509</v>
      </c>
      <c r="V267" s="378">
        <f t="shared" si="85"/>
        <v>45.90254253654529</v>
      </c>
      <c r="W267" s="397">
        <f t="shared" si="86"/>
        <v>43.695348120457076</v>
      </c>
      <c r="X267" s="153">
        <f t="shared" si="87"/>
        <v>47005</v>
      </c>
      <c r="Y267" s="380">
        <f t="shared" si="88"/>
        <v>42.529601911067346</v>
      </c>
      <c r="Z267" s="380">
        <f t="shared" si="89"/>
        <v>44.000049835946115</v>
      </c>
      <c r="AA267" s="381">
        <f t="shared" si="90"/>
        <v>46.633410563193458</v>
      </c>
      <c r="AB267" s="193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5.6469400274270089E-2</v>
      </c>
      <c r="AD267" s="227">
        <f>(INDEX(Models!$BJ267:$BT267,,AH267)*(1-AF267)+INDEX(Models!$BJ267:$BT267,,AH267+1)*AF267-ERP_i)*AE267*Ramure*Pc/MaxiM</f>
        <v>3.7091825795898016E-4</v>
      </c>
      <c r="AE267" s="301">
        <f t="shared" si="92"/>
        <v>0.5</v>
      </c>
      <c r="AF267" s="173">
        <f t="shared" si="93"/>
        <v>0.48281499109765091</v>
      </c>
      <c r="AG267" s="802">
        <f t="shared" si="99"/>
        <v>3</v>
      </c>
      <c r="AH267" s="172">
        <f t="shared" si="94"/>
        <v>9</v>
      </c>
      <c r="AI267" s="221">
        <f t="shared" si="95"/>
        <v>3.4828149910976509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47006</v>
      </c>
      <c r="B268" s="406">
        <f>'2027'!Wh/'2027'!Env_an*'2028'!Env_an</f>
        <v>45.205516823272397</v>
      </c>
      <c r="C268" s="832"/>
      <c r="D268" s="388">
        <f t="shared" si="77"/>
        <v>46.769123914476282</v>
      </c>
      <c r="E268" s="380">
        <f t="shared" si="100"/>
        <v>48.247949826959825</v>
      </c>
      <c r="F268" s="380">
        <f t="shared" si="78"/>
        <v>48.264815390351473</v>
      </c>
      <c r="G268" s="110">
        <f t="shared" si="101"/>
        <v>0.99133792860144898</v>
      </c>
      <c r="H268" s="409" t="b">
        <f>Wh_hp&gt;='2027'!Maxi_hp</f>
        <v>0</v>
      </c>
      <c r="I268" s="385">
        <f>IF(H268,Wh_hp,'2027'!Maxi_hp)</f>
        <v>48.265005171653357</v>
      </c>
      <c r="J268" s="85">
        <f>IF(H268,An,'2027'!An_max)</f>
        <v>2022</v>
      </c>
      <c r="K268" s="193">
        <f t="shared" si="79"/>
        <v>47006</v>
      </c>
      <c r="L268" s="143">
        <f>IF(t&lt;Tvie,1-EXP((T0-t)*PertePVj)+'2027'!Pspv,1-EXP((T0-t)*PertePVj)+Pspv)</f>
        <v>3.3432464847174659E-2</v>
      </c>
      <c r="M268" s="836"/>
      <c r="N268" s="836"/>
      <c r="O268" s="48">
        <f>IF(t&lt;Tnet,'2027'!Resal+('2027'!Salim-'2027'!Resal)*(1-EXP(('2027'!Tnet-t)/('2027'!Tau_j))),Resal+(Salim-Resal)*(1-EXP((Tnet-t)/(Tau_j))))*Salcycl</f>
        <v>3.0650544070521622E-2</v>
      </c>
      <c r="P268" s="165">
        <f>(INDEX(Models!$BJ268:$BT268,,T268)*(1-R268)+INDEX(Models!$BJ268:$BT268,,T268+1)*R268-ERP_i)*Q268*Ramure*Pc/MaxiM</f>
        <v>3.5381409800775869E-4</v>
      </c>
      <c r="Q268" s="301">
        <f t="shared" si="80"/>
        <v>0.5</v>
      </c>
      <c r="R268" s="173">
        <f t="shared" si="81"/>
        <v>0.48325497638898751</v>
      </c>
      <c r="S268" s="802">
        <f t="shared" si="82"/>
        <v>3</v>
      </c>
      <c r="T268" s="172">
        <f t="shared" si="83"/>
        <v>9</v>
      </c>
      <c r="U268" s="247">
        <f t="shared" si="84"/>
        <v>3.4832549763889875</v>
      </c>
      <c r="V268" s="378">
        <f t="shared" si="85"/>
        <v>45.600312092140037</v>
      </c>
      <c r="W268" s="397">
        <f t="shared" si="86"/>
        <v>45.205516823272397</v>
      </c>
      <c r="X268" s="153">
        <f t="shared" si="87"/>
        <v>47006</v>
      </c>
      <c r="Y268" s="380">
        <f t="shared" si="88"/>
        <v>44.000723512773241</v>
      </c>
      <c r="Z268" s="380">
        <f t="shared" si="89"/>
        <v>45.522658182199578</v>
      </c>
      <c r="AA268" s="381">
        <f t="shared" si="90"/>
        <v>48.247949826959825</v>
      </c>
      <c r="AB268" s="193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5.6485128477675013E-2</v>
      </c>
      <c r="AD268" s="227">
        <f>(INDEX(Models!$BJ268:$BT268,,AH268)*(1-AF268)+INDEX(Models!$BJ268:$BT268,,AH268+1)*AF268-ERP_i)*AE268*Ramure*Pc/MaxiM</f>
        <v>3.5381409800775869E-4</v>
      </c>
      <c r="AE268" s="301">
        <f t="shared" si="92"/>
        <v>0.5</v>
      </c>
      <c r="AF268" s="173">
        <f t="shared" si="93"/>
        <v>0.48325497638898751</v>
      </c>
      <c r="AG268" s="802">
        <f t="shared" si="99"/>
        <v>3</v>
      </c>
      <c r="AH268" s="172">
        <f t="shared" si="94"/>
        <v>9</v>
      </c>
      <c r="AI268" s="221">
        <f t="shared" si="95"/>
        <v>3.4832549763889875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47007</v>
      </c>
      <c r="B269" s="406">
        <f>'2027'!Wh/'2027'!Env_an*'2028'!Env_an</f>
        <v>35.115009480775363</v>
      </c>
      <c r="C269" s="832"/>
      <c r="D269" s="388">
        <f t="shared" si="77"/>
        <v>36.33009479963048</v>
      </c>
      <c r="E269" s="380">
        <f t="shared" si="100"/>
        <v>37.480514239086666</v>
      </c>
      <c r="F269" s="380">
        <f t="shared" si="78"/>
        <v>37.48908264711924</v>
      </c>
      <c r="G269" s="110">
        <f t="shared" si="101"/>
        <v>0.77518878196819374</v>
      </c>
      <c r="H269" s="409" t="b">
        <f>Wh_hp&gt;='2027'!Maxi_hp</f>
        <v>0</v>
      </c>
      <c r="I269" s="385">
        <f>IF(H269,Wh_hp,'2027'!Maxi_hp)</f>
        <v>37.492707900154691</v>
      </c>
      <c r="J269" s="85">
        <f>IF(H269,An,'2027'!An_max)</f>
        <v>2022</v>
      </c>
      <c r="K269" s="193">
        <f t="shared" si="79"/>
        <v>47007</v>
      </c>
      <c r="L269" s="143">
        <f>IF(t&lt;Tvie,1-EXP((T0-t)*PertePVj)+'2027'!Pspv,1-EXP((T0-t)*PertePVj)+Pspv)</f>
        <v>3.3445696345044462E-2</v>
      </c>
      <c r="M269" s="836"/>
      <c r="N269" s="836"/>
      <c r="O269" s="48">
        <f>IF(t&lt;Tnet,'2027'!Resal+('2027'!Salim-'2027'!Resal)*(1-EXP(('2027'!Tnet-t)/('2027'!Tau_j))),Resal+(Salim-Resal)*(1-EXP((Tnet-t)/(Tau_j))))*Salcycl</f>
        <v>3.0693800840556902E-2</v>
      </c>
      <c r="P269" s="165">
        <f>(INDEX(Models!$BJ269:$BT269,,T269)*(1-R269)+INDEX(Models!$BJ269:$BT269,,T269+1)*R269-ERP_i)*Q269*Ramure*Pc/MaxiM</f>
        <v>3.3662828309582478E-4</v>
      </c>
      <c r="Q269" s="301">
        <f t="shared" si="80"/>
        <v>0.5</v>
      </c>
      <c r="R269" s="173">
        <f t="shared" si="81"/>
        <v>0.48367799077057461</v>
      </c>
      <c r="S269" s="802">
        <f t="shared" si="82"/>
        <v>3</v>
      </c>
      <c r="T269" s="172">
        <f t="shared" si="83"/>
        <v>9</v>
      </c>
      <c r="U269" s="247">
        <f t="shared" si="84"/>
        <v>3.4836779907705746</v>
      </c>
      <c r="V269" s="378">
        <f t="shared" si="85"/>
        <v>45.293758785719668</v>
      </c>
      <c r="W269" s="397">
        <f t="shared" si="86"/>
        <v>35.115009480775363</v>
      </c>
      <c r="X269" s="153">
        <f t="shared" si="87"/>
        <v>47007</v>
      </c>
      <c r="Y269" s="380">
        <f t="shared" si="88"/>
        <v>34.180114193223247</v>
      </c>
      <c r="Z269" s="380">
        <f t="shared" si="89"/>
        <v>35.362849313249761</v>
      </c>
      <c r="AA269" s="381">
        <f t="shared" si="90"/>
        <v>37.480514239086666</v>
      </c>
      <c r="AB269" s="193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5.6500423455462905E-2</v>
      </c>
      <c r="AD269" s="227">
        <f>(INDEX(Models!$BJ269:$BT269,,AH269)*(1-AF269)+INDEX(Models!$BJ269:$BT269,,AH269+1)*AF269-ERP_i)*AE269*Ramure*Pc/MaxiM</f>
        <v>3.3662828309582478E-4</v>
      </c>
      <c r="AE269" s="301">
        <f t="shared" si="92"/>
        <v>0.5</v>
      </c>
      <c r="AF269" s="173">
        <f t="shared" si="93"/>
        <v>0.48367799077057461</v>
      </c>
      <c r="AG269" s="802">
        <f t="shared" si="99"/>
        <v>3</v>
      </c>
      <c r="AH269" s="172">
        <f t="shared" si="94"/>
        <v>9</v>
      </c>
      <c r="AI269" s="221">
        <f t="shared" si="95"/>
        <v>3.4836779907705746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47008</v>
      </c>
      <c r="B270" s="406">
        <f>'2027'!Wh/'2027'!Env_an*'2028'!Env_an</f>
        <v>13.460255039089892</v>
      </c>
      <c r="C270" s="832"/>
      <c r="D270" s="388">
        <f t="shared" si="77"/>
        <v>13.926211129887561</v>
      </c>
      <c r="E270" s="380">
        <f t="shared" si="100"/>
        <v>14.367831865185797</v>
      </c>
      <c r="F270" s="380">
        <f t="shared" si="78"/>
        <v>14.367831865185797</v>
      </c>
      <c r="G270" s="110">
        <f t="shared" si="101"/>
        <v>0.29913707571317977</v>
      </c>
      <c r="H270" s="409" t="b">
        <f>Wh_hp&gt;='2027'!Maxi_hp</f>
        <v>0</v>
      </c>
      <c r="I270" s="385">
        <f>IF(H270,Wh_hp,'2027'!Maxi_hp)</f>
        <v>14.371921268140474</v>
      </c>
      <c r="J270" s="85">
        <f>IF(H270,An,'2027'!An_max)</f>
        <v>2022</v>
      </c>
      <c r="K270" s="193">
        <f t="shared" si="79"/>
        <v>47008</v>
      </c>
      <c r="L270" s="143">
        <f>IF(t&lt;Tvie,1-EXP((T0-t)*PertePVj)+'2027'!Pspv,1-EXP((T0-t)*PertePVj)+Pspv)</f>
        <v>3.3458927661786153E-2</v>
      </c>
      <c r="M270" s="836"/>
      <c r="N270" s="836"/>
      <c r="O270" s="48">
        <f>IF(t&lt;Tnet,'2027'!Resal+('2027'!Salim-'2027'!Resal)*(1-EXP(('2027'!Tnet-t)/('2027'!Tau_j))),Resal+(Salim-Resal)*(1-EXP((Tnet-t)/(Tau_j))))*Salcycl</f>
        <v>3.0736769433411387E-2</v>
      </c>
      <c r="P270" s="165">
        <f>(INDEX(Models!$BJ270:$BT270,,T270)*(1-R270)+INDEX(Models!$BJ270:$BT270,,T270+1)*R270-ERP_i)*Q270*Ramure*Pc/MaxiM</f>
        <v>3.1935918839868968E-4</v>
      </c>
      <c r="Q270" s="301">
        <f t="shared" si="80"/>
        <v>0.5</v>
      </c>
      <c r="R270" s="173">
        <f t="shared" si="81"/>
        <v>0.48408466059878474</v>
      </c>
      <c r="S270" s="802">
        <f t="shared" si="82"/>
        <v>3</v>
      </c>
      <c r="T270" s="172">
        <f t="shared" si="83"/>
        <v>9</v>
      </c>
      <c r="U270" s="247">
        <f t="shared" si="84"/>
        <v>3.4840846605987847</v>
      </c>
      <c r="V270" s="378">
        <f t="shared" si="85"/>
        <v>44.982576468945908</v>
      </c>
      <c r="W270" s="397">
        <f t="shared" si="86"/>
        <v>13.460255039089892</v>
      </c>
      <c r="X270" s="153">
        <f t="shared" si="87"/>
        <v>47008</v>
      </c>
      <c r="Y270" s="380">
        <f t="shared" si="88"/>
        <v>13.102266447988788</v>
      </c>
      <c r="Z270" s="380">
        <f t="shared" si="89"/>
        <v>13.555829982778029</v>
      </c>
      <c r="AA270" s="381">
        <f t="shared" si="90"/>
        <v>14.367831865185797</v>
      </c>
      <c r="AB270" s="193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5.6515268972161498E-2</v>
      </c>
      <c r="AD270" s="227">
        <f>(INDEX(Models!$BJ270:$BT270,,AH270)*(1-AF270)+INDEX(Models!$BJ270:$BT270,,AH270+1)*AF270-ERP_i)*AE270*Ramure*Pc/MaxiM</f>
        <v>3.1935918839868968E-4</v>
      </c>
      <c r="AE270" s="301">
        <f t="shared" si="92"/>
        <v>0.5</v>
      </c>
      <c r="AF270" s="173">
        <f t="shared" si="93"/>
        <v>0.48408466059878474</v>
      </c>
      <c r="AG270" s="802">
        <f t="shared" si="99"/>
        <v>3</v>
      </c>
      <c r="AH270" s="172">
        <f t="shared" si="94"/>
        <v>9</v>
      </c>
      <c r="AI270" s="221">
        <f t="shared" si="95"/>
        <v>3.4840846605987847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47009</v>
      </c>
      <c r="B271" s="406">
        <f>'2027'!Wh/'2027'!Env_an*'2028'!Env_an</f>
        <v>36.169401409533727</v>
      </c>
      <c r="C271" s="832"/>
      <c r="D271" s="388">
        <f t="shared" ref="D271:D334" si="102">Wh/(1-Ppv)</f>
        <v>37.421996416088874</v>
      </c>
      <c r="E271" s="380">
        <f t="shared" si="100"/>
        <v>38.610402997547531</v>
      </c>
      <c r="F271" s="380">
        <f t="shared" ref="F271:F334" si="103">Wh_sa/(1-Pvg*MEDIAN((-Sdif+Wh/Env_an)/Csdif,0,1))</f>
        <v>38.618896499306722</v>
      </c>
      <c r="G271" s="110">
        <f t="shared" si="101"/>
        <v>0.80970000693872735</v>
      </c>
      <c r="H271" s="409" t="b">
        <f>Wh_hp&gt;='2027'!Maxi_hp</f>
        <v>0</v>
      </c>
      <c r="I271" s="385">
        <f>IF(H271,Wh_hp,'2027'!Maxi_hp)</f>
        <v>38.621710894977937</v>
      </c>
      <c r="J271" s="85">
        <f>IF(H271,An,'2027'!An_max)</f>
        <v>2022</v>
      </c>
      <c r="K271" s="193">
        <f t="shared" ref="K271:K334" si="104">t</f>
        <v>47009</v>
      </c>
      <c r="L271" s="143">
        <f>IF(t&lt;Tvie,1-EXP((T0-t)*PertePVj)+'2027'!Pspv,1-EXP((T0-t)*PertePVj)+Pspv)</f>
        <v>3.3472158797402285E-2</v>
      </c>
      <c r="M271" s="836"/>
      <c r="N271" s="836"/>
      <c r="O271" s="48">
        <f>IF(t&lt;Tnet,'2027'!Resal+('2027'!Salim-'2027'!Resal)*(1-EXP(('2027'!Tnet-t)/('2027'!Tau_j))),Resal+(Salim-Resal)*(1-EXP((Tnet-t)/(Tau_j))))*Salcycl</f>
        <v>3.0779439974613583E-2</v>
      </c>
      <c r="P271" s="165">
        <f>(INDEX(Models!$BJ271:$BT271,,T271)*(1-R271)+INDEX(Models!$BJ271:$BT271,,T271+1)*R271-ERP_i)*Q271*Ramure*Pc/MaxiM</f>
        <v>3.0200468808737265E-4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0.48447559130322038</v>
      </c>
      <c r="S271" s="802">
        <f t="shared" ref="S271:S334" si="107">INDEX(Echel_vg,T271)</f>
        <v>3</v>
      </c>
      <c r="T271" s="172">
        <f t="shared" ref="T271:T334" si="108">MIN(MATCH(Hp_vg,Echel_vg),10)</f>
        <v>9</v>
      </c>
      <c r="U271" s="247">
        <f t="shared" ref="U271:U334" si="109">IF(OR(t&lt;Ttai,Notai),Hdd+PousH*Croivg,Hdtf+PousH*(Croivg-Croi_tai))</f>
        <v>3.4844755913032204</v>
      </c>
      <c r="V271" s="378">
        <f t="shared" ref="V271:V334" si="110">MaxiM*(1-Ppv)*(1-Pvg)*(1-Psa)</f>
        <v>44.666459057753933</v>
      </c>
      <c r="W271" s="397">
        <f t="shared" ref="W271:W334" si="111">Wh*(A271&gt;Tmaj)</f>
        <v>36.169401409533727</v>
      </c>
      <c r="X271" s="153">
        <f t="shared" ref="X271:X334" si="112">t</f>
        <v>47009</v>
      </c>
      <c r="Y271" s="380">
        <f t="shared" ref="Y271:Y334" si="113">Wh_pvt_s*(1-Ppv)</f>
        <v>35.208454379331613</v>
      </c>
      <c r="Z271" s="380">
        <f t="shared" ref="Z271:Z334" si="114">Wh_sa_s*(1-Psa_s)</f>
        <v>36.42777049807863</v>
      </c>
      <c r="AA271" s="381">
        <f t="shared" ref="AA271:AA334" si="115">Wh_hp*(1-Pvg_s*MEDIAN((-Sdif+Wh/Env_an)/Csdif,0,1))</f>
        <v>38.610402997547531</v>
      </c>
      <c r="AB271" s="193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5.652964822997409E-2</v>
      </c>
      <c r="AD271" s="227">
        <f>(INDEX(Models!$BJ271:$BT271,,AH271)*(1-AF271)+INDEX(Models!$BJ271:$BT271,,AH271+1)*AF271-ERP_i)*AE271*Ramure*Pc/MaxiM</f>
        <v>3.0200468808737265E-4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0.48447559130322038</v>
      </c>
      <c r="AG271" s="802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3.4844755913032204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47010</v>
      </c>
      <c r="B272" s="406">
        <f>'2027'!Wh/'2027'!Env_an*'2028'!Env_an</f>
        <v>41.089146337415052</v>
      </c>
      <c r="C272" s="832"/>
      <c r="D272" s="388">
        <f t="shared" si="102"/>
        <v>42.512700689405456</v>
      </c>
      <c r="E272" s="380">
        <f t="shared" si="100"/>
        <v>43.864689474419265</v>
      </c>
      <c r="F272" s="380">
        <f t="shared" si="103"/>
        <v>43.87586528829614</v>
      </c>
      <c r="G272" s="110">
        <f t="shared" si="101"/>
        <v>0.92654924935253968</v>
      </c>
      <c r="H272" s="409" t="b">
        <f>Wh_hp&gt;='2027'!Maxi_hp</f>
        <v>0</v>
      </c>
      <c r="I272" s="385">
        <f>IF(H272,Wh_hp,'2027'!Maxi_hp)</f>
        <v>43.877024170324354</v>
      </c>
      <c r="J272" s="85">
        <f>IF(H272,An,'2027'!An_max)</f>
        <v>2022</v>
      </c>
      <c r="K272" s="193">
        <f t="shared" si="104"/>
        <v>47010</v>
      </c>
      <c r="L272" s="143">
        <f>IF(t&lt;Tvie,1-EXP((T0-t)*PertePVj)+'2027'!Pspv,1-EXP((T0-t)*PertePVj)+Pspv)</f>
        <v>3.3485389751895189E-2</v>
      </c>
      <c r="M272" s="836"/>
      <c r="N272" s="836"/>
      <c r="O272" s="48">
        <f>IF(t&lt;Tnet,'2027'!Resal+('2027'!Salim-'2027'!Resal)*(1-EXP(('2027'!Tnet-t)/('2027'!Tau_j))),Resal+(Salim-Resal)*(1-EXP((Tnet-t)/(Tau_j))))*Salcycl</f>
        <v>3.0821802256283105E-2</v>
      </c>
      <c r="P272" s="165">
        <f>(INDEX(Models!$BJ272:$BT272,,T272)*(1-R272)+INDEX(Models!$BJ272:$BT272,,T272+1)*R272-ERP_i)*Q272*Ramure*Pc/MaxiM</f>
        <v>2.8456213953639712E-4</v>
      </c>
      <c r="Q272" s="301">
        <f t="shared" si="105"/>
        <v>0.5</v>
      </c>
      <c r="R272" s="173">
        <f t="shared" si="106"/>
        <v>0.48485136791311856</v>
      </c>
      <c r="S272" s="802">
        <f t="shared" si="107"/>
        <v>3</v>
      </c>
      <c r="T272" s="172">
        <f t="shared" si="108"/>
        <v>9</v>
      </c>
      <c r="U272" s="247">
        <f t="shared" si="109"/>
        <v>3.4848513679131186</v>
      </c>
      <c r="V272" s="378">
        <f t="shared" si="110"/>
        <v>44.345100527306911</v>
      </c>
      <c r="W272" s="397">
        <f t="shared" si="111"/>
        <v>41.089146337415052</v>
      </c>
      <c r="X272" s="153">
        <f t="shared" si="112"/>
        <v>47010</v>
      </c>
      <c r="Y272" s="380">
        <f t="shared" si="113"/>
        <v>39.998650896514285</v>
      </c>
      <c r="Z272" s="380">
        <f t="shared" si="114"/>
        <v>41.38442447988097</v>
      </c>
      <c r="AA272" s="381">
        <f t="shared" si="115"/>
        <v>43.864689474419265</v>
      </c>
      <c r="AB272" s="193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5.6543543890461623E-2</v>
      </c>
      <c r="AD272" s="227">
        <f>(INDEX(Models!$BJ272:$BT272,,AH272)*(1-AF272)+INDEX(Models!$BJ272:$BT272,,AH272+1)*AF272-ERP_i)*AE272*Ramure*Pc/MaxiM</f>
        <v>2.8456213953639712E-4</v>
      </c>
      <c r="AE272" s="301">
        <f t="shared" si="117"/>
        <v>0.5</v>
      </c>
      <c r="AF272" s="173">
        <f t="shared" si="118"/>
        <v>0.48485136791311856</v>
      </c>
      <c r="AG272" s="802">
        <f t="shared" ref="AG272:AG335" si="124">INDEX(Echel_vg,AH272)</f>
        <v>3</v>
      </c>
      <c r="AH272" s="172">
        <f t="shared" si="119"/>
        <v>9</v>
      </c>
      <c r="AI272" s="221">
        <f t="shared" si="120"/>
        <v>3.4848513679131186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47011</v>
      </c>
      <c r="B273" s="406">
        <f>'2027'!Wh/'2027'!Env_an*'2028'!Env_an</f>
        <v>27.611640513465286</v>
      </c>
      <c r="C273" s="832"/>
      <c r="D273" s="388">
        <f t="shared" si="102"/>
        <v>28.568650909191117</v>
      </c>
      <c r="E273" s="380">
        <f t="shared" si="100"/>
        <v>29.478469855836366</v>
      </c>
      <c r="F273" s="380">
        <f t="shared" si="103"/>
        <v>29.482150596224432</v>
      </c>
      <c r="G273" s="110">
        <f t="shared" si="101"/>
        <v>0.62718869325117665</v>
      </c>
      <c r="H273" s="409" t="b">
        <f>Wh_hp&gt;='2027'!Maxi_hp</f>
        <v>0</v>
      </c>
      <c r="I273" s="385">
        <f>IF(H273,Wh_hp,'2027'!Maxi_hp)</f>
        <v>29.485848749759754</v>
      </c>
      <c r="J273" s="85">
        <f>IF(H273,An,'2027'!An_max)</f>
        <v>2022</v>
      </c>
      <c r="K273" s="193">
        <f t="shared" si="104"/>
        <v>47011</v>
      </c>
      <c r="L273" s="143">
        <f>IF(t&lt;Tvie,1-EXP((T0-t)*PertePVj)+'2027'!Pspv,1-EXP((T0-t)*PertePVj)+Pspv)</f>
        <v>3.3498620525267531E-2</v>
      </c>
      <c r="M273" s="836"/>
      <c r="N273" s="836"/>
      <c r="O273" s="48">
        <f>IF(t&lt;Tnet,'2027'!Resal+('2027'!Salim-'2027'!Resal)*(1-EXP(('2027'!Tnet-t)/('2027'!Tau_j))),Resal+(Salim-Resal)*(1-EXP((Tnet-t)/(Tau_j))))*Salcycl</f>
        <v>3.0863845752330192E-2</v>
      </c>
      <c r="P273" s="165">
        <f>(INDEX(Models!$BJ273:$BT273,,T273)*(1-R273)+INDEX(Models!$BJ273:$BT273,,T273+1)*R273-ERP_i)*Q273*Ramure*Pc/MaxiM</f>
        <v>2.670283653680952E-4</v>
      </c>
      <c r="Q273" s="301">
        <f t="shared" si="105"/>
        <v>0.5</v>
      </c>
      <c r="R273" s="173">
        <f t="shared" si="106"/>
        <v>0.48521255558501419</v>
      </c>
      <c r="S273" s="802">
        <f t="shared" si="107"/>
        <v>3</v>
      </c>
      <c r="T273" s="172">
        <f t="shared" si="108"/>
        <v>9</v>
      </c>
      <c r="U273" s="247">
        <f t="shared" si="109"/>
        <v>3.4852125555850142</v>
      </c>
      <c r="V273" s="378">
        <f t="shared" si="110"/>
        <v>44.018194911752559</v>
      </c>
      <c r="W273" s="397">
        <f t="shared" si="111"/>
        <v>27.611640513465286</v>
      </c>
      <c r="X273" s="153">
        <f t="shared" si="112"/>
        <v>47011</v>
      </c>
      <c r="Y273" s="380">
        <f t="shared" si="113"/>
        <v>26.879619087358034</v>
      </c>
      <c r="Z273" s="380">
        <f t="shared" si="114"/>
        <v>27.811257860766204</v>
      </c>
      <c r="AA273" s="381">
        <f t="shared" si="115"/>
        <v>29.478469855836366</v>
      </c>
      <c r="AB273" s="193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5.6556938105119289E-2</v>
      </c>
      <c r="AD273" s="227">
        <f>(INDEX(Models!$BJ273:$BT273,,AH273)*(1-AF273)+INDEX(Models!$BJ273:$BT273,,AH273+1)*AF273-ERP_i)*AE273*Ramure*Pc/MaxiM</f>
        <v>2.670283653680952E-4</v>
      </c>
      <c r="AE273" s="301">
        <f t="shared" si="117"/>
        <v>0.5</v>
      </c>
      <c r="AF273" s="173">
        <f t="shared" si="118"/>
        <v>0.48521255558501419</v>
      </c>
      <c r="AG273" s="802">
        <f t="shared" si="124"/>
        <v>3</v>
      </c>
      <c r="AH273" s="172">
        <f t="shared" si="119"/>
        <v>9</v>
      </c>
      <c r="AI273" s="221">
        <f t="shared" si="120"/>
        <v>3.4852125555850142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47012</v>
      </c>
      <c r="B274" s="406">
        <f>'2027'!Wh/'2027'!Env_an*'2028'!Env_an</f>
        <v>44.337214855513473</v>
      </c>
      <c r="C274" s="832"/>
      <c r="D274" s="388">
        <f t="shared" si="102"/>
        <v>45.874556151339547</v>
      </c>
      <c r="E274" s="380">
        <f t="shared" si="100"/>
        <v>47.337549614096318</v>
      </c>
      <c r="F274" s="380">
        <f t="shared" si="103"/>
        <v>47.349358526733653</v>
      </c>
      <c r="G274" s="110">
        <f t="shared" si="101"/>
        <v>1.0149198133359907</v>
      </c>
      <c r="H274" s="409" t="b">
        <f>Wh_hp&gt;='2027'!Maxi_hp</f>
        <v>1</v>
      </c>
      <c r="I274" s="385">
        <f>IF(H274,Wh_hp,'2027'!Maxi_hp)</f>
        <v>47.349358526733653</v>
      </c>
      <c r="J274" s="85">
        <f>IF(H274,An,'2027'!An_max)</f>
        <v>2028</v>
      </c>
      <c r="K274" s="193">
        <f t="shared" si="104"/>
        <v>47012</v>
      </c>
      <c r="L274" s="143">
        <f>IF(t&lt;Tvie,1-EXP((T0-t)*PertePVj)+'2027'!Pspv,1-EXP((T0-t)*PertePVj)+Pspv)</f>
        <v>3.351185111752164E-2</v>
      </c>
      <c r="M274" s="836"/>
      <c r="N274" s="836"/>
      <c r="O274" s="48">
        <f>IF(t&lt;Tnet,'2027'!Resal+('2027'!Salim-'2027'!Resal)*(1-EXP(('2027'!Tnet-t)/('2027'!Tau_j))),Resal+(Salim-Resal)*(1-EXP((Tnet-t)/(Tau_j))))*Salcycl</f>
        <v>3.0905559638877311E-2</v>
      </c>
      <c r="P274" s="165">
        <f>(INDEX(Models!$BJ274:$BT274,,T274)*(1-R274)+INDEX(Models!$BJ274:$BT274,,T274+1)*R274-ERP_i)*Q274*Ramure*Pc/MaxiM</f>
        <v>2.4939963295736E-4</v>
      </c>
      <c r="Q274" s="301">
        <f t="shared" si="105"/>
        <v>0.5</v>
      </c>
      <c r="R274" s="173">
        <f t="shared" si="106"/>
        <v>0.4855597001301124</v>
      </c>
      <c r="S274" s="802">
        <f t="shared" si="107"/>
        <v>3</v>
      </c>
      <c r="T274" s="172">
        <f t="shared" si="108"/>
        <v>9</v>
      </c>
      <c r="U274" s="247">
        <f t="shared" si="109"/>
        <v>3.4855597001301124</v>
      </c>
      <c r="V274" s="378">
        <f t="shared" si="110"/>
        <v>43.685436300410046</v>
      </c>
      <c r="W274" s="397">
        <f t="shared" si="111"/>
        <v>44.337214855513473</v>
      </c>
      <c r="X274" s="153">
        <f t="shared" si="112"/>
        <v>47012</v>
      </c>
      <c r="Y274" s="380">
        <f t="shared" si="113"/>
        <v>43.163044982825681</v>
      </c>
      <c r="Z274" s="380">
        <f t="shared" si="114"/>
        <v>44.659673305600109</v>
      </c>
      <c r="AA274" s="381">
        <f t="shared" si="115"/>
        <v>47.337549614096318</v>
      </c>
      <c r="AB274" s="193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5.6569812555290956E-2</v>
      </c>
      <c r="AD274" s="227">
        <f>(INDEX(Models!$BJ274:$BT274,,AH274)*(1-AF274)+INDEX(Models!$BJ274:$BT274,,AH274+1)*AF274-ERP_i)*AE274*Ramure*Pc/MaxiM</f>
        <v>2.4939963295736E-4</v>
      </c>
      <c r="AE274" s="301">
        <f t="shared" si="117"/>
        <v>0.5</v>
      </c>
      <c r="AF274" s="173">
        <f t="shared" si="118"/>
        <v>0.4855597001301124</v>
      </c>
      <c r="AG274" s="802">
        <f t="shared" si="124"/>
        <v>3</v>
      </c>
      <c r="AH274" s="172">
        <f t="shared" si="119"/>
        <v>9</v>
      </c>
      <c r="AI274" s="221">
        <f t="shared" si="120"/>
        <v>3.4855597001301124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47013</v>
      </c>
      <c r="B275" s="406">
        <f>'2027'!Wh/'2027'!Env_an*'2028'!Env_an</f>
        <v>43.430814208305698</v>
      </c>
      <c r="C275" s="832"/>
      <c r="D275" s="388">
        <f t="shared" si="102"/>
        <v>44.937342271643864</v>
      </c>
      <c r="E275" s="380">
        <f t="shared" si="100"/>
        <v>46.372426643692634</v>
      </c>
      <c r="F275" s="380">
        <f t="shared" si="103"/>
        <v>46.383172558229617</v>
      </c>
      <c r="G275" s="110">
        <f t="shared" si="101"/>
        <v>1.0019679371990162</v>
      </c>
      <c r="H275" s="409" t="b">
        <f>Wh_hp&gt;='2027'!Maxi_hp</f>
        <v>1</v>
      </c>
      <c r="I275" s="385">
        <f>IF(H275,Wh_hp,'2027'!Maxi_hp)</f>
        <v>46.383172558229617</v>
      </c>
      <c r="J275" s="85">
        <f>IF(H275,An,'2027'!An_max)</f>
        <v>2028</v>
      </c>
      <c r="K275" s="193">
        <f t="shared" si="104"/>
        <v>47013</v>
      </c>
      <c r="L275" s="143">
        <f>IF(t&lt;Tvie,1-EXP((T0-t)*PertePVj)+'2027'!Pspv,1-EXP((T0-t)*PertePVj)+Pspv)</f>
        <v>3.3525081528660072E-2</v>
      </c>
      <c r="M275" s="836"/>
      <c r="N275" s="836"/>
      <c r="O275" s="48">
        <f>IF(t&lt;Tnet,'2027'!Resal+('2027'!Salim-'2027'!Resal)*(1-EXP(('2027'!Tnet-t)/('2027'!Tau_j))),Resal+(Salim-Resal)*(1-EXP((Tnet-t)/(Tau_j))))*Salcycl</f>
        <v>3.0946932820130182E-2</v>
      </c>
      <c r="P275" s="165">
        <f>(INDEX(Models!$BJ275:$BT275,,T275)*(1-R275)+INDEX(Models!$BJ275:$BT275,,T275+1)*R275-ERP_i)*Q275*Ramure*Pc/MaxiM</f>
        <v>2.3167700578247651E-4</v>
      </c>
      <c r="Q275" s="301">
        <f t="shared" si="105"/>
        <v>0.5</v>
      </c>
      <c r="R275" s="173">
        <f t="shared" si="106"/>
        <v>0.48589332853997025</v>
      </c>
      <c r="S275" s="802">
        <f t="shared" si="107"/>
        <v>3</v>
      </c>
      <c r="T275" s="172">
        <f t="shared" si="108"/>
        <v>9</v>
      </c>
      <c r="U275" s="247">
        <f t="shared" si="109"/>
        <v>3.4858933285399702</v>
      </c>
      <c r="V275" s="378">
        <f t="shared" si="110"/>
        <v>43.345512960939416</v>
      </c>
      <c r="W275" s="397">
        <f t="shared" si="111"/>
        <v>43.430814208305698</v>
      </c>
      <c r="X275" s="153">
        <f t="shared" si="112"/>
        <v>47013</v>
      </c>
      <c r="Y275" s="380">
        <f t="shared" si="113"/>
        <v>42.281900565527565</v>
      </c>
      <c r="Z275" s="380">
        <f t="shared" si="114"/>
        <v>43.74857511295199</v>
      </c>
      <c r="AA275" s="381">
        <f t="shared" si="115"/>
        <v>46.372426643692634</v>
      </c>
      <c r="AB275" s="193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5.6582148501765406E-2</v>
      </c>
      <c r="AD275" s="227">
        <f>(INDEX(Models!$BJ275:$BT275,,AH275)*(1-AF275)+INDEX(Models!$BJ275:$BT275,,AH275+1)*AF275-ERP_i)*AE275*Ramure*Pc/MaxiM</f>
        <v>2.3167700578247651E-4</v>
      </c>
      <c r="AE275" s="301">
        <f t="shared" si="117"/>
        <v>0.5</v>
      </c>
      <c r="AF275" s="173">
        <f t="shared" si="118"/>
        <v>0.48589332853997025</v>
      </c>
      <c r="AG275" s="802">
        <f t="shared" si="124"/>
        <v>3</v>
      </c>
      <c r="AH275" s="172">
        <f t="shared" si="119"/>
        <v>9</v>
      </c>
      <c r="AI275" s="221">
        <f t="shared" si="120"/>
        <v>3.4858933285399702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47014</v>
      </c>
      <c r="B276" s="406">
        <f>'2027'!Wh/'2027'!Env_an*'2028'!Env_an</f>
        <v>43.775433387457689</v>
      </c>
      <c r="C276" s="832"/>
      <c r="D276" s="388">
        <f t="shared" si="102"/>
        <v>45.294535644880575</v>
      </c>
      <c r="E276" s="380">
        <f t="shared" si="100"/>
        <v>46.743005755167587</v>
      </c>
      <c r="F276" s="380">
        <f t="shared" si="103"/>
        <v>46.753120968509741</v>
      </c>
      <c r="G276" s="110">
        <f t="shared" si="101"/>
        <v>1.0180864621196524</v>
      </c>
      <c r="H276" s="409" t="b">
        <f>Wh_hp&gt;='2027'!Maxi_hp</f>
        <v>1</v>
      </c>
      <c r="I276" s="385">
        <f>IF(H276,Wh_hp,'2027'!Maxi_hp)</f>
        <v>46.753120968509741</v>
      </c>
      <c r="J276" s="85">
        <f>IF(H276,An,'2027'!An_max)</f>
        <v>2028</v>
      </c>
      <c r="K276" s="193">
        <f t="shared" si="104"/>
        <v>47014</v>
      </c>
      <c r="L276" s="143">
        <f>IF(t&lt;Tvie,1-EXP((T0-t)*PertePVj)+'2027'!Pspv,1-EXP((T0-t)*PertePVj)+Pspv)</f>
        <v>3.3538311758685269E-2</v>
      </c>
      <c r="M276" s="836"/>
      <c r="N276" s="836"/>
      <c r="O276" s="48">
        <f>IF(t&lt;Tnet,'2027'!Resal+('2027'!Salim-'2027'!Resal)*(1-EXP(('2027'!Tnet-t)/('2027'!Tau_j))),Resal+(Salim-Resal)*(1-EXP((Tnet-t)/(Tau_j))))*Salcycl</f>
        <v>3.0987953959868739E-2</v>
      </c>
      <c r="P276" s="165">
        <f>(INDEX(Models!$BJ276:$BT276,,T276)*(1-R276)+INDEX(Models!$BJ276:$BT276,,T276+1)*R276-ERP_i)*Q276*Ramure*Pc/MaxiM</f>
        <v>2.1635375634002115E-4</v>
      </c>
      <c r="Q276" s="301">
        <f t="shared" si="105"/>
        <v>0.5</v>
      </c>
      <c r="R276" s="173">
        <f t="shared" si="106"/>
        <v>0.48621394950923191</v>
      </c>
      <c r="S276" s="802">
        <f t="shared" si="107"/>
        <v>3</v>
      </c>
      <c r="T276" s="172">
        <f t="shared" si="108"/>
        <v>9</v>
      </c>
      <c r="U276" s="247">
        <f t="shared" si="109"/>
        <v>3.4862139495092319</v>
      </c>
      <c r="V276" s="378">
        <f t="shared" si="110"/>
        <v>42.997756100515652</v>
      </c>
      <c r="W276" s="397">
        <f t="shared" si="111"/>
        <v>43.775433387457689</v>
      </c>
      <c r="X276" s="153">
        <f t="shared" si="112"/>
        <v>47014</v>
      </c>
      <c r="Y276" s="380">
        <f t="shared" si="113"/>
        <v>42.618675259523442</v>
      </c>
      <c r="Z276" s="380">
        <f t="shared" si="114"/>
        <v>44.097635506977319</v>
      </c>
      <c r="AA276" s="381">
        <f t="shared" si="115"/>
        <v>46.743005755167587</v>
      </c>
      <c r="AB276" s="193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5.6593926844291861E-2</v>
      </c>
      <c r="AD276" s="227">
        <f>(INDEX(Models!$BJ276:$BT276,,AH276)*(1-AF276)+INDEX(Models!$BJ276:$BT276,,AH276+1)*AF276-ERP_i)*AE276*Ramure*Pc/MaxiM</f>
        <v>2.1635375634002115E-4</v>
      </c>
      <c r="AE276" s="301">
        <f t="shared" si="117"/>
        <v>0.5</v>
      </c>
      <c r="AF276" s="173">
        <f t="shared" si="118"/>
        <v>0.48621394950923191</v>
      </c>
      <c r="AG276" s="802">
        <f t="shared" si="124"/>
        <v>3</v>
      </c>
      <c r="AH276" s="172">
        <f t="shared" si="119"/>
        <v>9</v>
      </c>
      <c r="AI276" s="221">
        <f t="shared" si="120"/>
        <v>3.4862139495092319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47015</v>
      </c>
      <c r="B277" s="406">
        <f>'2027'!Wh/'2027'!Env_an*'2028'!Env_an</f>
        <v>44.122811147237414</v>
      </c>
      <c r="C277" s="832"/>
      <c r="D277" s="388">
        <f t="shared" si="102"/>
        <v>45.654593137602639</v>
      </c>
      <c r="E277" s="380">
        <f t="shared" si="100"/>
        <v>47.11655440018415</v>
      </c>
      <c r="F277" s="380">
        <f t="shared" si="103"/>
        <v>47.126194805421541</v>
      </c>
      <c r="G277" s="110">
        <f t="shared" si="101"/>
        <v>1.034703804355928</v>
      </c>
      <c r="H277" s="409" t="b">
        <f>Wh_hp&gt;='2027'!Maxi_hp</f>
        <v>1</v>
      </c>
      <c r="I277" s="385">
        <f>IF(H277,Wh_hp,'2027'!Maxi_hp)</f>
        <v>47.126194805421541</v>
      </c>
      <c r="J277" s="85">
        <f>IF(H277,An,'2027'!An_max)</f>
        <v>2028</v>
      </c>
      <c r="K277" s="193">
        <f t="shared" si="104"/>
        <v>47015</v>
      </c>
      <c r="L277" s="143">
        <f>IF(t&lt;Tvie,1-EXP((T0-t)*PertePVj)+'2027'!Pspv,1-EXP((T0-t)*PertePVj)+Pspv)</f>
        <v>3.3551541807599672E-2</v>
      </c>
      <c r="M277" s="836"/>
      <c r="N277" s="836"/>
      <c r="O277" s="48">
        <f>IF(t&lt;Tnet,'2027'!Resal+('2027'!Salim-'2027'!Resal)*(1-EXP(('2027'!Tnet-t)/('2027'!Tau_j))),Resal+(Salim-Resal)*(1-EXP((Tnet-t)/(Tau_j))))*Salcycl</f>
        <v>3.1028611518668231E-2</v>
      </c>
      <c r="P277" s="165">
        <f>(INDEX(Models!$BJ277:$BT277,,T277)*(1-R277)+INDEX(Models!$BJ277:$BT277,,T277+1)*R277-ERP_i)*Q277*Ramure*Pc/MaxiM</f>
        <v>2.0456574686740709E-4</v>
      </c>
      <c r="Q277" s="301">
        <f t="shared" si="105"/>
        <v>0.5</v>
      </c>
      <c r="R277" s="173">
        <f t="shared" si="106"/>
        <v>0.48652205395429071</v>
      </c>
      <c r="S277" s="802">
        <f t="shared" si="107"/>
        <v>3</v>
      </c>
      <c r="T277" s="172">
        <f t="shared" si="108"/>
        <v>9</v>
      </c>
      <c r="U277" s="247">
        <f t="shared" si="109"/>
        <v>3.4865220539542907</v>
      </c>
      <c r="V277" s="378">
        <f t="shared" si="110"/>
        <v>42.642938937199069</v>
      </c>
      <c r="W277" s="397">
        <f t="shared" si="111"/>
        <v>44.122811147237414</v>
      </c>
      <c r="X277" s="153">
        <f t="shared" si="112"/>
        <v>47015</v>
      </c>
      <c r="Y277" s="380">
        <f t="shared" si="113"/>
        <v>42.958166010798053</v>
      </c>
      <c r="Z277" s="380">
        <f t="shared" si="114"/>
        <v>44.44951579843687</v>
      </c>
      <c r="AA277" s="381">
        <f t="shared" si="115"/>
        <v>47.11655440018415</v>
      </c>
      <c r="AB277" s="193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5.6605128191140726E-2</v>
      </c>
      <c r="AD277" s="227">
        <f>(INDEX(Models!$BJ277:$BT277,,AH277)*(1-AF277)+INDEX(Models!$BJ277:$BT277,,AH277+1)*AF277-ERP_i)*AE277*Ramure*Pc/MaxiM</f>
        <v>2.0456574686740709E-4</v>
      </c>
      <c r="AE277" s="301">
        <f t="shared" si="117"/>
        <v>0.5</v>
      </c>
      <c r="AF277" s="173">
        <f t="shared" si="118"/>
        <v>0.48652205395429071</v>
      </c>
      <c r="AG277" s="802">
        <f t="shared" si="124"/>
        <v>3</v>
      </c>
      <c r="AH277" s="172">
        <f t="shared" si="119"/>
        <v>9</v>
      </c>
      <c r="AI277" s="221">
        <f t="shared" si="120"/>
        <v>3.4865220539542907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47016</v>
      </c>
      <c r="B278" s="406">
        <f>'2027'!Wh/'2027'!Env_an*'2028'!Env_an</f>
        <v>42.820643102692024</v>
      </c>
      <c r="C278" s="832"/>
      <c r="D278" s="388">
        <f t="shared" si="102"/>
        <v>44.307825136844002</v>
      </c>
      <c r="E278" s="380">
        <f t="shared" si="100"/>
        <v>45.728560940179371</v>
      </c>
      <c r="F278" s="380">
        <f t="shared" si="103"/>
        <v>45.737542651525196</v>
      </c>
      <c r="G278" s="110">
        <f t="shared" si="101"/>
        <v>1.0127421343989176</v>
      </c>
      <c r="H278" s="409" t="b">
        <f>Wh_hp&gt;='2027'!Maxi_hp</f>
        <v>1</v>
      </c>
      <c r="I278" s="385">
        <f>IF(H278,Wh_hp,'2027'!Maxi_hp)</f>
        <v>45.737542651525196</v>
      </c>
      <c r="J278" s="85">
        <f>IF(H278,An,'2027'!An_max)</f>
        <v>2028</v>
      </c>
      <c r="K278" s="193">
        <f t="shared" si="104"/>
        <v>47016</v>
      </c>
      <c r="L278" s="143">
        <f>IF(t&lt;Tvie,1-EXP((T0-t)*PertePVj)+'2027'!Pspv,1-EXP((T0-t)*PertePVj)+Pspv)</f>
        <v>3.3564771675405947E-2</v>
      </c>
      <c r="M278" s="836"/>
      <c r="N278" s="836"/>
      <c r="O278" s="48">
        <f>IF(t&lt;Tnet,'2027'!Resal+('2027'!Salim-'2027'!Resal)*(1-EXP(('2027'!Tnet-t)/('2027'!Tau_j))),Resal+(Salim-Resal)*(1-EXP((Tnet-t)/(Tau_j))))*Salcycl</f>
        <v>3.1068893796897087E-2</v>
      </c>
      <c r="P278" s="165">
        <f>(INDEX(Models!$BJ278:$BT278,,T278)*(1-R278)+INDEX(Models!$BJ278:$BT278,,T278+1)*R278-ERP_i)*Q278*Ramure*Pc/MaxiM</f>
        <v>1.9637503077633454E-4</v>
      </c>
      <c r="Q278" s="301">
        <f t="shared" si="105"/>
        <v>0.5</v>
      </c>
      <c r="R278" s="173">
        <f t="shared" si="106"/>
        <v>0.48681811552687826</v>
      </c>
      <c r="S278" s="802">
        <f t="shared" si="107"/>
        <v>3</v>
      </c>
      <c r="T278" s="172">
        <f t="shared" si="108"/>
        <v>9</v>
      </c>
      <c r="U278" s="247">
        <f t="shared" si="109"/>
        <v>3.4868181155268783</v>
      </c>
      <c r="V278" s="378">
        <f t="shared" si="110"/>
        <v>42.281881683639952</v>
      </c>
      <c r="W278" s="397">
        <f t="shared" si="111"/>
        <v>42.820643102692024</v>
      </c>
      <c r="X278" s="153">
        <f t="shared" si="112"/>
        <v>47016</v>
      </c>
      <c r="Y278" s="380">
        <f t="shared" si="113"/>
        <v>41.691633956127845</v>
      </c>
      <c r="Z278" s="380">
        <f t="shared" si="114"/>
        <v>43.139604946318229</v>
      </c>
      <c r="AA278" s="381">
        <f t="shared" si="115"/>
        <v>45.728560940179371</v>
      </c>
      <c r="AB278" s="193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5.6615732938719104E-2</v>
      </c>
      <c r="AD278" s="227">
        <f>(INDEX(Models!$BJ278:$BT278,,AH278)*(1-AF278)+INDEX(Models!$BJ278:$BT278,,AH278+1)*AF278-ERP_i)*AE278*Ramure*Pc/MaxiM</f>
        <v>1.9637503077633454E-4</v>
      </c>
      <c r="AE278" s="301">
        <f t="shared" si="117"/>
        <v>0.5</v>
      </c>
      <c r="AF278" s="173">
        <f t="shared" si="118"/>
        <v>0.48681811552687826</v>
      </c>
      <c r="AG278" s="802">
        <f t="shared" si="124"/>
        <v>3</v>
      </c>
      <c r="AH278" s="172">
        <f t="shared" si="119"/>
        <v>9</v>
      </c>
      <c r="AI278" s="221">
        <f t="shared" si="120"/>
        <v>3.4868181155268783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47017</v>
      </c>
      <c r="B279" s="406">
        <f>'2027'!Wh/'2027'!Env_an*'2028'!Env_an</f>
        <v>41.622879617802056</v>
      </c>
      <c r="C279" s="832"/>
      <c r="D279" s="388">
        <f t="shared" si="102"/>
        <v>43.069052315103221</v>
      </c>
      <c r="E279" s="380">
        <f t="shared" si="100"/>
        <v>44.451896998752467</v>
      </c>
      <c r="F279" s="380">
        <f t="shared" si="103"/>
        <v>44.460341585789187</v>
      </c>
      <c r="G279" s="110">
        <f t="shared" si="101"/>
        <v>0.99301916746367702</v>
      </c>
      <c r="H279" s="409" t="b">
        <f>Wh_hp&gt;='2027'!Maxi_hp</f>
        <v>0</v>
      </c>
      <c r="I279" s="385">
        <f>IF(H279,Wh_hp,'2027'!Maxi_hp)</f>
        <v>44.460416215759921</v>
      </c>
      <c r="J279" s="85">
        <f>IF(H279,An,'2027'!An_max)</f>
        <v>2022</v>
      </c>
      <c r="K279" s="193">
        <f t="shared" si="104"/>
        <v>47017</v>
      </c>
      <c r="L279" s="143">
        <f>IF(t&lt;Tvie,1-EXP((T0-t)*PertePVj)+'2027'!Pspv,1-EXP((T0-t)*PertePVj)+Pspv)</f>
        <v>3.3578001362106313E-2</v>
      </c>
      <c r="M279" s="836"/>
      <c r="N279" s="836"/>
      <c r="O279" s="48">
        <f>IF(t&lt;Tnet,'2027'!Resal+('2027'!Salim-'2027'!Resal)*(1-EXP(('2027'!Tnet-t)/('2027'!Tau_j))),Resal+(Salim-Resal)*(1-EXP((Tnet-t)/(Tau_j))))*Salcycl</f>
        <v>3.1108788983472597E-2</v>
      </c>
      <c r="P279" s="165">
        <f>(INDEX(Models!$BJ279:$BT279,,T279)*(1-R279)+INDEX(Models!$BJ279:$BT279,,T279+1)*R279-ERP_i)*Q279*Ramure*Pc/MaxiM</f>
        <v>1.9184797711904432E-4</v>
      </c>
      <c r="Q279" s="301">
        <f t="shared" si="105"/>
        <v>0.5</v>
      </c>
      <c r="R279" s="173">
        <f t="shared" si="106"/>
        <v>0.48710259112168819</v>
      </c>
      <c r="S279" s="802">
        <f t="shared" si="107"/>
        <v>3</v>
      </c>
      <c r="T279" s="172">
        <f t="shared" si="108"/>
        <v>9</v>
      </c>
      <c r="U279" s="247">
        <f t="shared" si="109"/>
        <v>3.4871025911216882</v>
      </c>
      <c r="V279" s="378">
        <f t="shared" si="110"/>
        <v>41.915404409222795</v>
      </c>
      <c r="W279" s="397">
        <f t="shared" si="111"/>
        <v>41.622879617802056</v>
      </c>
      <c r="X279" s="153">
        <f t="shared" si="112"/>
        <v>47017</v>
      </c>
      <c r="Y279" s="380">
        <f t="shared" si="113"/>
        <v>40.526690290770603</v>
      </c>
      <c r="Z279" s="380">
        <f t="shared" si="114"/>
        <v>41.934776265327386</v>
      </c>
      <c r="AA279" s="381">
        <f t="shared" si="115"/>
        <v>44.451896998752467</v>
      </c>
      <c r="AB279" s="193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5.6625721361131649E-2</v>
      </c>
      <c r="AD279" s="227">
        <f>(INDEX(Models!$BJ279:$BT279,,AH279)*(1-AF279)+INDEX(Models!$BJ279:$BT279,,AH279+1)*AF279-ERP_i)*AE279*Ramure*Pc/MaxiM</f>
        <v>1.9184797711904432E-4</v>
      </c>
      <c r="AE279" s="301">
        <f t="shared" si="117"/>
        <v>0.5</v>
      </c>
      <c r="AF279" s="173">
        <f t="shared" si="118"/>
        <v>0.48710259112168819</v>
      </c>
      <c r="AG279" s="802">
        <f t="shared" si="124"/>
        <v>3</v>
      </c>
      <c r="AH279" s="172">
        <f t="shared" si="119"/>
        <v>9</v>
      </c>
      <c r="AI279" s="221">
        <f t="shared" si="120"/>
        <v>3.4871025911216882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47018</v>
      </c>
      <c r="B280" s="406">
        <f>'2027'!Wh/'2027'!Env_an*'2028'!Env_an</f>
        <v>30.501262568418415</v>
      </c>
      <c r="C280" s="832"/>
      <c r="D280" s="388">
        <f t="shared" si="102"/>
        <v>31.561450540028101</v>
      </c>
      <c r="E280" s="380">
        <f t="shared" si="100"/>
        <v>32.576141486087444</v>
      </c>
      <c r="F280" s="380">
        <f t="shared" si="103"/>
        <v>32.580002386442864</v>
      </c>
      <c r="G280" s="110">
        <f t="shared" si="101"/>
        <v>0.73413271110350697</v>
      </c>
      <c r="H280" s="409" t="b">
        <f>Wh_hp&gt;='2027'!Maxi_hp</f>
        <v>0</v>
      </c>
      <c r="I280" s="385">
        <f>IF(H280,Wh_hp,'2027'!Maxi_hp)</f>
        <v>32.582079960856511</v>
      </c>
      <c r="J280" s="85">
        <f>IF(H280,An,'2027'!An_max)</f>
        <v>2022</v>
      </c>
      <c r="K280" s="193">
        <f t="shared" si="104"/>
        <v>47018</v>
      </c>
      <c r="L280" s="143">
        <f>IF(t&lt;Tvie,1-EXP((T0-t)*PertePVj)+'2027'!Pspv,1-EXP((T0-t)*PertePVj)+Pspv)</f>
        <v>3.3591230867703437E-2</v>
      </c>
      <c r="M280" s="836"/>
      <c r="N280" s="836"/>
      <c r="O280" s="48">
        <f>IF(t&lt;Tnet,'2027'!Resal+('2027'!Salim-'2027'!Resal)*(1-EXP(('2027'!Tnet-t)/('2027'!Tau_j))),Resal+(Salim-Resal)*(1-EXP((Tnet-t)/(Tau_j))))*Salcycl</f>
        <v>3.1148285210287917E-2</v>
      </c>
      <c r="P280" s="165">
        <f>(INDEX(Models!$BJ280:$BT280,,T280)*(1-R280)+INDEX(Models!$BJ280:$BT280,,T280+1)*R280-ERP_i)*Q280*Ramure*Pc/MaxiM</f>
        <v>1.9105557843889293E-4</v>
      </c>
      <c r="Q280" s="301">
        <f t="shared" si="105"/>
        <v>0.5</v>
      </c>
      <c r="R280" s="173">
        <f t="shared" si="106"/>
        <v>0.48737592137725372</v>
      </c>
      <c r="S280" s="802">
        <f t="shared" si="107"/>
        <v>3</v>
      </c>
      <c r="T280" s="172">
        <f t="shared" si="108"/>
        <v>9</v>
      </c>
      <c r="U280" s="247">
        <f t="shared" si="109"/>
        <v>3.4873759213772537</v>
      </c>
      <c r="V280" s="378">
        <f t="shared" si="110"/>
        <v>41.544327023349574</v>
      </c>
      <c r="W280" s="397">
        <f t="shared" si="111"/>
        <v>30.501262568418415</v>
      </c>
      <c r="X280" s="153">
        <f t="shared" si="112"/>
        <v>47018</v>
      </c>
      <c r="Y280" s="380">
        <f t="shared" si="113"/>
        <v>29.698890836839656</v>
      </c>
      <c r="Z280" s="380">
        <f t="shared" si="114"/>
        <v>30.731189311853218</v>
      </c>
      <c r="AA280" s="381">
        <f t="shared" si="115"/>
        <v>32.576141486087444</v>
      </c>
      <c r="AB280" s="193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5.6635073709455828E-2</v>
      </c>
      <c r="AD280" s="227">
        <f>(INDEX(Models!$BJ280:$BT280,,AH280)*(1-AF280)+INDEX(Models!$BJ280:$BT280,,AH280+1)*AF280-ERP_i)*AE280*Ramure*Pc/MaxiM</f>
        <v>1.9105557843889293E-4</v>
      </c>
      <c r="AE280" s="301">
        <f t="shared" si="117"/>
        <v>0.5</v>
      </c>
      <c r="AF280" s="173">
        <f t="shared" si="118"/>
        <v>0.48737592137725372</v>
      </c>
      <c r="AG280" s="802">
        <f t="shared" si="124"/>
        <v>3</v>
      </c>
      <c r="AH280" s="172">
        <f t="shared" si="119"/>
        <v>9</v>
      </c>
      <c r="AI280" s="221">
        <f t="shared" si="120"/>
        <v>3.4873759213772537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47019</v>
      </c>
      <c r="B281" s="406">
        <f>'2027'!Wh/'2027'!Env_an*'2028'!Env_an</f>
        <v>18.840976162485592</v>
      </c>
      <c r="C281" s="832"/>
      <c r="D281" s="388">
        <f t="shared" si="102"/>
        <v>19.496133194315803</v>
      </c>
      <c r="E281" s="380">
        <f t="shared" si="100"/>
        <v>20.12373972316469</v>
      </c>
      <c r="F281" s="380">
        <f t="shared" si="103"/>
        <v>20.124619292719895</v>
      </c>
      <c r="G281" s="110">
        <f t="shared" si="101"/>
        <v>0.45757556063672772</v>
      </c>
      <c r="H281" s="409" t="b">
        <f>Wh_hp&gt;='2027'!Maxi_hp</f>
        <v>0</v>
      </c>
      <c r="I281" s="385">
        <f>IF(H281,Wh_hp,'2027'!Maxi_hp)</f>
        <v>20.127284995760309</v>
      </c>
      <c r="J281" s="85">
        <f>IF(H281,An,'2027'!An_max)</f>
        <v>2022</v>
      </c>
      <c r="K281" s="193">
        <f t="shared" si="104"/>
        <v>47019</v>
      </c>
      <c r="L281" s="143">
        <f>IF(t&lt;Tvie,1-EXP((T0-t)*PertePVj)+'2027'!Pspv,1-EXP((T0-t)*PertePVj)+Pspv)</f>
        <v>3.3604460192199759E-2</v>
      </c>
      <c r="M281" s="836"/>
      <c r="N281" s="836"/>
      <c r="O281" s="48">
        <f>IF(t&lt;Tnet,'2027'!Resal+('2027'!Salim-'2027'!Resal)*(1-EXP(('2027'!Tnet-t)/('2027'!Tau_j))),Resal+(Salim-Resal)*(1-EXP((Tnet-t)/(Tau_j))))*Salcycl</f>
        <v>3.1187370612155232E-2</v>
      </c>
      <c r="P281" s="165">
        <f>(INDEX(Models!$BJ281:$BT281,,T281)*(1-R281)+INDEX(Models!$BJ281:$BT281,,T281+1)*R281-ERP_i)*Q281*Ramure*Pc/MaxiM</f>
        <v>1.940716369855502E-4</v>
      </c>
      <c r="Q281" s="301">
        <f t="shared" si="105"/>
        <v>0.5</v>
      </c>
      <c r="R281" s="173">
        <f t="shared" si="106"/>
        <v>0.48763853116938982</v>
      </c>
      <c r="S281" s="802">
        <f t="shared" si="107"/>
        <v>3</v>
      </c>
      <c r="T281" s="172">
        <f t="shared" si="108"/>
        <v>9</v>
      </c>
      <c r="U281" s="247">
        <f t="shared" si="109"/>
        <v>3.4876385311693898</v>
      </c>
      <c r="V281" s="378">
        <f t="shared" si="110"/>
        <v>41.169469321788057</v>
      </c>
      <c r="W281" s="397">
        <f t="shared" si="111"/>
        <v>18.840976162485592</v>
      </c>
      <c r="X281" s="153">
        <f t="shared" si="112"/>
        <v>47019</v>
      </c>
      <c r="Y281" s="380">
        <f t="shared" si="113"/>
        <v>18.345913024850397</v>
      </c>
      <c r="Z281" s="380">
        <f t="shared" si="114"/>
        <v>18.983855232298659</v>
      </c>
      <c r="AA281" s="381">
        <f t="shared" si="115"/>
        <v>20.12373972316469</v>
      </c>
      <c r="AB281" s="193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5.664377032037915E-2</v>
      </c>
      <c r="AD281" s="227">
        <f>(INDEX(Models!$BJ281:$BT281,,AH281)*(1-AF281)+INDEX(Models!$BJ281:$BT281,,AH281+1)*AF281-ERP_i)*AE281*Ramure*Pc/MaxiM</f>
        <v>1.940716369855502E-4</v>
      </c>
      <c r="AE281" s="301">
        <f t="shared" si="117"/>
        <v>0.5</v>
      </c>
      <c r="AF281" s="173">
        <f t="shared" si="118"/>
        <v>0.48763853116938982</v>
      </c>
      <c r="AG281" s="802">
        <f t="shared" si="124"/>
        <v>3</v>
      </c>
      <c r="AH281" s="172">
        <f t="shared" si="119"/>
        <v>9</v>
      </c>
      <c r="AI281" s="221">
        <f t="shared" si="120"/>
        <v>3.4876385311693898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47020</v>
      </c>
      <c r="B282" s="406">
        <f>'2027'!Wh/'2027'!Env_an*'2028'!Env_an</f>
        <v>30.158168983600039</v>
      </c>
      <c r="C282" s="832"/>
      <c r="D282" s="388">
        <f t="shared" si="102"/>
        <v>31.207285823418939</v>
      </c>
      <c r="E282" s="380">
        <f t="shared" si="100"/>
        <v>32.21317551780151</v>
      </c>
      <c r="F282" s="380">
        <f t="shared" si="103"/>
        <v>32.217281192563306</v>
      </c>
      <c r="G282" s="110">
        <f t="shared" si="101"/>
        <v>0.73926772472030622</v>
      </c>
      <c r="H282" s="409" t="b">
        <f>Wh_hp&gt;='2027'!Maxi_hp</f>
        <v>0</v>
      </c>
      <c r="I282" s="385">
        <f>IF(H282,Wh_hp,'2027'!Maxi_hp)</f>
        <v>32.219433852063254</v>
      </c>
      <c r="J282" s="85">
        <f>IF(H282,An,'2027'!An_max)</f>
        <v>2022</v>
      </c>
      <c r="K282" s="193">
        <f t="shared" si="104"/>
        <v>47020</v>
      </c>
      <c r="L282" s="143">
        <f>IF(t&lt;Tvie,1-EXP((T0-t)*PertePVj)+'2027'!Pspv,1-EXP((T0-t)*PertePVj)+Pspv)</f>
        <v>3.3617689335597722E-2</v>
      </c>
      <c r="M282" s="836"/>
      <c r="N282" s="836"/>
      <c r="O282" s="48">
        <f>IF(t&lt;Tnet,'2027'!Resal+('2027'!Salim-'2027'!Resal)*(1-EXP(('2027'!Tnet-t)/('2027'!Tau_j))),Resal+(Salim-Resal)*(1-EXP((Tnet-t)/(Tau_j))))*Salcycl</f>
        <v>3.1226033392041681E-2</v>
      </c>
      <c r="P282" s="165">
        <f>(INDEX(Models!$BJ282:$BT282,,T282)*(1-R282)+INDEX(Models!$BJ282:$BT282,,T282+1)*R282-ERP_i)*Q282*Ramure*Pc/MaxiM</f>
        <v>2.0305286688872027E-4</v>
      </c>
      <c r="Q282" s="301">
        <f t="shared" si="105"/>
        <v>0.5</v>
      </c>
      <c r="R282" s="173">
        <f t="shared" si="106"/>
        <v>0.48789083009660805</v>
      </c>
      <c r="S282" s="802">
        <f t="shared" si="107"/>
        <v>3</v>
      </c>
      <c r="T282" s="172">
        <f t="shared" si="108"/>
        <v>9</v>
      </c>
      <c r="U282" s="247">
        <f t="shared" si="109"/>
        <v>3.4878908300966081</v>
      </c>
      <c r="V282" s="378">
        <f t="shared" si="110"/>
        <v>40.791566099138237</v>
      </c>
      <c r="W282" s="397">
        <f t="shared" si="111"/>
        <v>30.158168983600039</v>
      </c>
      <c r="X282" s="153">
        <f t="shared" si="112"/>
        <v>47020</v>
      </c>
      <c r="Y282" s="380">
        <f t="shared" si="113"/>
        <v>29.366658948199841</v>
      </c>
      <c r="Z282" s="380">
        <f t="shared" si="114"/>
        <v>30.388241407285101</v>
      </c>
      <c r="AA282" s="381">
        <f t="shared" si="115"/>
        <v>32.21317551780151</v>
      </c>
      <c r="AB282" s="193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5.6651791733724699E-2</v>
      </c>
      <c r="AD282" s="227">
        <f>(INDEX(Models!$BJ282:$BT282,,AH282)*(1-AF282)+INDEX(Models!$BJ282:$BT282,,AH282+1)*AF282-ERP_i)*AE282*Ramure*Pc/MaxiM</f>
        <v>2.0305286688872027E-4</v>
      </c>
      <c r="AE282" s="301">
        <f t="shared" si="117"/>
        <v>0.5</v>
      </c>
      <c r="AF282" s="173">
        <f t="shared" si="118"/>
        <v>0.48789083009660805</v>
      </c>
      <c r="AG282" s="802">
        <f t="shared" si="124"/>
        <v>3</v>
      </c>
      <c r="AH282" s="172">
        <f t="shared" si="119"/>
        <v>9</v>
      </c>
      <c r="AI282" s="221">
        <f t="shared" si="120"/>
        <v>3.4878908300966081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47021</v>
      </c>
      <c r="B283" s="406">
        <f>'2027'!Wh/'2027'!Env_an*'2028'!Env_an</f>
        <v>32.526382074458049</v>
      </c>
      <c r="C283" s="832"/>
      <c r="D283" s="388">
        <f t="shared" si="102"/>
        <v>33.658343059949907</v>
      </c>
      <c r="E283" s="380">
        <f t="shared" si="100"/>
        <v>34.744607570339653</v>
      </c>
      <c r="F283" s="380">
        <f t="shared" si="103"/>
        <v>34.750043236039907</v>
      </c>
      <c r="G283" s="110">
        <f t="shared" si="101"/>
        <v>0.8048309316942186</v>
      </c>
      <c r="H283" s="409" t="b">
        <f>Wh_hp&gt;='2027'!Maxi_hp</f>
        <v>0</v>
      </c>
      <c r="I283" s="385">
        <f>IF(H283,Wh_hp,'2027'!Maxi_hp)</f>
        <v>34.75190503320507</v>
      </c>
      <c r="J283" s="85">
        <f>IF(H283,An,'2027'!An_max)</f>
        <v>2022</v>
      </c>
      <c r="K283" s="193">
        <f t="shared" si="104"/>
        <v>47021</v>
      </c>
      <c r="L283" s="143">
        <f>IF(t&lt;Tvie,1-EXP((T0-t)*PertePVj)+'2027'!Pspv,1-EXP((T0-t)*PertePVj)+Pspv)</f>
        <v>3.363091829789977E-2</v>
      </c>
      <c r="M283" s="836"/>
      <c r="N283" s="836"/>
      <c r="O283" s="48">
        <f>IF(t&lt;Tnet,'2027'!Resal+('2027'!Salim-'2027'!Resal)*(1-EXP(('2027'!Tnet-t)/('2027'!Tau_j))),Resal+(Salim-Resal)*(1-EXP((Tnet-t)/(Tau_j))))*Salcycl</f>
        <v>3.1264261891305781E-2</v>
      </c>
      <c r="P283" s="165">
        <f>(INDEX(Models!$BJ283:$BT283,,T283)*(1-R283)+INDEX(Models!$BJ283:$BT283,,T283+1)*R283-ERP_i)*Q283*Ramure*Pc/MaxiM</f>
        <v>2.168740602646928E-4</v>
      </c>
      <c r="Q283" s="301">
        <f t="shared" si="105"/>
        <v>0.5</v>
      </c>
      <c r="R283" s="173">
        <f t="shared" si="106"/>
        <v>0.48813321295698575</v>
      </c>
      <c r="S283" s="802">
        <f t="shared" si="107"/>
        <v>3</v>
      </c>
      <c r="T283" s="172">
        <f t="shared" si="108"/>
        <v>9</v>
      </c>
      <c r="U283" s="247">
        <f t="shared" si="109"/>
        <v>3.4881332129569858</v>
      </c>
      <c r="V283" s="378">
        <f t="shared" si="110"/>
        <v>40.411487921266662</v>
      </c>
      <c r="W283" s="397">
        <f t="shared" si="111"/>
        <v>32.526382074458049</v>
      </c>
      <c r="X283" s="153">
        <f t="shared" si="112"/>
        <v>47021</v>
      </c>
      <c r="Y283" s="380">
        <f t="shared" si="113"/>
        <v>31.673721450266207</v>
      </c>
      <c r="Z283" s="380">
        <f t="shared" si="114"/>
        <v>32.776008721717538</v>
      </c>
      <c r="AA283" s="381">
        <f t="shared" si="115"/>
        <v>34.744607570339653</v>
      </c>
      <c r="AB283" s="193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5.6659118818272229E-2</v>
      </c>
      <c r="AD283" s="227">
        <f>(INDEX(Models!$BJ283:$BT283,,AH283)*(1-AF283)+INDEX(Models!$BJ283:$BT283,,AH283+1)*AF283-ERP_i)*AE283*Ramure*Pc/MaxiM</f>
        <v>2.168740602646928E-4</v>
      </c>
      <c r="AE283" s="301">
        <f t="shared" si="117"/>
        <v>0.5</v>
      </c>
      <c r="AF283" s="173">
        <f t="shared" si="118"/>
        <v>0.48813321295698575</v>
      </c>
      <c r="AG283" s="802">
        <f t="shared" si="124"/>
        <v>3</v>
      </c>
      <c r="AH283" s="172">
        <f t="shared" si="119"/>
        <v>9</v>
      </c>
      <c r="AI283" s="221">
        <f t="shared" si="120"/>
        <v>3.4881332129569858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47022</v>
      </c>
      <c r="B284" s="406">
        <f>'2027'!Wh/'2027'!Env_an*'2028'!Env_an</f>
        <v>15.917202826339988</v>
      </c>
      <c r="C284" s="832"/>
      <c r="D284" s="388">
        <f t="shared" si="102"/>
        <v>16.471367952322026</v>
      </c>
      <c r="E284" s="380">
        <f t="shared" si="100"/>
        <v>17.003615896575937</v>
      </c>
      <c r="F284" s="380">
        <f t="shared" si="103"/>
        <v>17.004174729597054</v>
      </c>
      <c r="G284" s="110">
        <f t="shared" si="101"/>
        <v>0.39755067566290264</v>
      </c>
      <c r="H284" s="409" t="b">
        <f>Wh_hp&gt;='2027'!Maxi_hp</f>
        <v>0</v>
      </c>
      <c r="I284" s="385">
        <f>IF(H284,Wh_hp,'2027'!Maxi_hp)</f>
        <v>17.007238726948835</v>
      </c>
      <c r="J284" s="85">
        <f>IF(H284,An,'2027'!An_max)</f>
        <v>2022</v>
      </c>
      <c r="K284" s="193">
        <f t="shared" si="104"/>
        <v>47022</v>
      </c>
      <c r="L284" s="143">
        <f>IF(t&lt;Tvie,1-EXP((T0-t)*PertePVj)+'2027'!Pspv,1-EXP((T0-t)*PertePVj)+Pspv)</f>
        <v>3.3644147079108566E-2</v>
      </c>
      <c r="M284" s="836"/>
      <c r="N284" s="836"/>
      <c r="O284" s="48">
        <f>IF(t&lt;Tnet,'2027'!Resal+('2027'!Salim-'2027'!Resal)*(1-EXP(('2027'!Tnet-t)/('2027'!Tau_j))),Resal+(Salim-Resal)*(1-EXP((Tnet-t)/(Tau_j))))*Salcycl</f>
        <v>3.1302044664575722E-2</v>
      </c>
      <c r="P284" s="165">
        <f>(INDEX(Models!$BJ284:$BT284,,T284)*(1-R284)+INDEX(Models!$BJ284:$BT284,,T284+1)*R284-ERP_i)*Q284*Ramure*Pc/MaxiM</f>
        <v>2.3563263820465383E-4</v>
      </c>
      <c r="Q284" s="301">
        <f t="shared" si="105"/>
        <v>0.5</v>
      </c>
      <c r="R284" s="173">
        <f t="shared" si="106"/>
        <v>0.48836606021605489</v>
      </c>
      <c r="S284" s="802">
        <f t="shared" si="107"/>
        <v>3</v>
      </c>
      <c r="T284" s="172">
        <f t="shared" si="108"/>
        <v>9</v>
      </c>
      <c r="U284" s="247">
        <f t="shared" si="109"/>
        <v>3.4883660602160549</v>
      </c>
      <c r="V284" s="378">
        <f t="shared" si="110"/>
        <v>40.03005451194862</v>
      </c>
      <c r="W284" s="397">
        <f t="shared" si="111"/>
        <v>15.917202826339988</v>
      </c>
      <c r="X284" s="153">
        <f t="shared" si="112"/>
        <v>47022</v>
      </c>
      <c r="Y284" s="380">
        <f t="shared" si="113"/>
        <v>15.500438273544225</v>
      </c>
      <c r="Z284" s="380">
        <f t="shared" si="114"/>
        <v>16.040093539758519</v>
      </c>
      <c r="AA284" s="381">
        <f t="shared" si="115"/>
        <v>17.003615896575937</v>
      </c>
      <c r="AB284" s="193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5.6665732905166653E-2</v>
      </c>
      <c r="AD284" s="227">
        <f>(INDEX(Models!$BJ284:$BT284,,AH284)*(1-AF284)+INDEX(Models!$BJ284:$BT284,,AH284+1)*AF284-ERP_i)*AE284*Ramure*Pc/MaxiM</f>
        <v>2.3563263820465383E-4</v>
      </c>
      <c r="AE284" s="301">
        <f t="shared" si="117"/>
        <v>0.5</v>
      </c>
      <c r="AF284" s="173">
        <f t="shared" si="118"/>
        <v>0.48836606021605489</v>
      </c>
      <c r="AG284" s="802">
        <f t="shared" si="124"/>
        <v>3</v>
      </c>
      <c r="AH284" s="172">
        <f t="shared" si="119"/>
        <v>9</v>
      </c>
      <c r="AI284" s="221">
        <f t="shared" si="120"/>
        <v>3.4883660602160549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47023</v>
      </c>
      <c r="B285" s="406">
        <f>'2027'!Wh/'2027'!Env_an*'2028'!Env_an</f>
        <v>18.183532990262155</v>
      </c>
      <c r="C285" s="832"/>
      <c r="D285" s="388">
        <f t="shared" si="102"/>
        <v>18.816859085609579</v>
      </c>
      <c r="E285" s="380">
        <f t="shared" si="100"/>
        <v>19.425646623488255</v>
      </c>
      <c r="F285" s="380">
        <f t="shared" si="103"/>
        <v>19.426788669995638</v>
      </c>
      <c r="G285" s="110">
        <f t="shared" si="101"/>
        <v>0.4585312056239973</v>
      </c>
      <c r="H285" s="409" t="b">
        <f>Wh_hp&gt;='2027'!Maxi_hp</f>
        <v>0</v>
      </c>
      <c r="I285" s="385">
        <f>IF(H285,Wh_hp,'2027'!Maxi_hp)</f>
        <v>19.430260578992954</v>
      </c>
      <c r="J285" s="85">
        <f>IF(H285,An,'2027'!An_max)</f>
        <v>2022</v>
      </c>
      <c r="K285" s="193">
        <f t="shared" si="104"/>
        <v>47023</v>
      </c>
      <c r="L285" s="143">
        <f>IF(t&lt;Tvie,1-EXP((T0-t)*PertePVj)+'2027'!Pspv,1-EXP((T0-t)*PertePVj)+Pspv)</f>
        <v>3.3657375679226331E-2</v>
      </c>
      <c r="M285" s="836"/>
      <c r="N285" s="836"/>
      <c r="O285" s="48">
        <f>IF(t&lt;Tnet,'2027'!Resal+('2027'!Salim-'2027'!Resal)*(1-EXP(('2027'!Tnet-t)/('2027'!Tau_j))),Resal+(Salim-Resal)*(1-EXP((Tnet-t)/(Tau_j))))*Salcycl</f>
        <v>3.1339370558845087E-2</v>
      </c>
      <c r="P285" s="165">
        <f>(INDEX(Models!$BJ285:$BT285,,T285)*(1-R285)+INDEX(Models!$BJ285:$BT285,,T285+1)*R285-ERP_i)*Q285*Ramure*Pc/MaxiM</f>
        <v>2.5942631597112301E-4</v>
      </c>
      <c r="Q285" s="301">
        <f t="shared" si="105"/>
        <v>0.5</v>
      </c>
      <c r="R285" s="173">
        <f t="shared" si="106"/>
        <v>0.48858973846534148</v>
      </c>
      <c r="S285" s="802">
        <f t="shared" si="107"/>
        <v>3</v>
      </c>
      <c r="T285" s="172">
        <f t="shared" si="108"/>
        <v>9</v>
      </c>
      <c r="U285" s="247">
        <f t="shared" si="109"/>
        <v>3.4885897384653415</v>
      </c>
      <c r="V285" s="378">
        <f t="shared" si="110"/>
        <v>39.648085506081472</v>
      </c>
      <c r="W285" s="397">
        <f t="shared" si="111"/>
        <v>18.183532990262155</v>
      </c>
      <c r="X285" s="153">
        <f t="shared" si="112"/>
        <v>47023</v>
      </c>
      <c r="Y285" s="380">
        <f t="shared" si="113"/>
        <v>17.708000378128528</v>
      </c>
      <c r="Z285" s="380">
        <f t="shared" si="114"/>
        <v>18.324763838887051</v>
      </c>
      <c r="AA285" s="381">
        <f t="shared" si="115"/>
        <v>19.425646623488255</v>
      </c>
      <c r="AB285" s="193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5.6671615928093978E-2</v>
      </c>
      <c r="AD285" s="227">
        <f>(INDEX(Models!$BJ285:$BT285,,AH285)*(1-AF285)+INDEX(Models!$BJ285:$BT285,,AH285+1)*AF285-ERP_i)*AE285*Ramure*Pc/MaxiM</f>
        <v>2.5942631597112301E-4</v>
      </c>
      <c r="AE285" s="301">
        <f t="shared" si="117"/>
        <v>0.5</v>
      </c>
      <c r="AF285" s="173">
        <f t="shared" si="118"/>
        <v>0.48858973846534148</v>
      </c>
      <c r="AG285" s="802">
        <f t="shared" si="124"/>
        <v>3</v>
      </c>
      <c r="AH285" s="172">
        <f t="shared" si="119"/>
        <v>9</v>
      </c>
      <c r="AI285" s="221">
        <f t="shared" si="120"/>
        <v>3.4885897384653415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47024</v>
      </c>
      <c r="B286" s="406">
        <f>'2027'!Wh/'2027'!Env_an*'2028'!Env_an</f>
        <v>23.533698011160087</v>
      </c>
      <c r="C286" s="832"/>
      <c r="D286" s="388">
        <f t="shared" si="102"/>
        <v>24.353701864982877</v>
      </c>
      <c r="E286" s="380">
        <f t="shared" si="100"/>
        <v>25.142581246709184</v>
      </c>
      <c r="F286" s="380">
        <f t="shared" si="103"/>
        <v>25.145681838787745</v>
      </c>
      <c r="G286" s="110">
        <f t="shared" si="101"/>
        <v>0.5992353028758346</v>
      </c>
      <c r="H286" s="409" t="b">
        <f>Wh_hp&gt;='2027'!Maxi_hp</f>
        <v>0</v>
      </c>
      <c r="I286" s="385">
        <f>IF(H286,Wh_hp,'2027'!Maxi_hp)</f>
        <v>25.149385845472246</v>
      </c>
      <c r="J286" s="85">
        <f>IF(H286,An,'2027'!An_max)</f>
        <v>2022</v>
      </c>
      <c r="K286" s="193">
        <f t="shared" si="104"/>
        <v>47024</v>
      </c>
      <c r="L286" s="143">
        <f>IF(t&lt;Tvie,1-EXP((T0-t)*PertePVj)+'2027'!Pspv,1-EXP((T0-t)*PertePVj)+Pspv)</f>
        <v>3.367060409825573E-2</v>
      </c>
      <c r="M286" s="836"/>
      <c r="N286" s="836"/>
      <c r="O286" s="48">
        <f>IF(t&lt;Tnet,'2027'!Resal+('2027'!Salim-'2027'!Resal)*(1-EXP(('2027'!Tnet-t)/('2027'!Tau_j))),Resal+(Salim-Resal)*(1-EXP((Tnet-t)/(Tau_j))))*Salcycl</f>
        <v>3.1376228796299893E-2</v>
      </c>
      <c r="P286" s="165">
        <f>(INDEX(Models!$BJ286:$BT286,,T286)*(1-R286)+INDEX(Models!$BJ286:$BT286,,T286+1)*R286-ERP_i)*Q286*Ramure*Pc/MaxiM</f>
        <v>2.8835193445889818E-4</v>
      </c>
      <c r="Q286" s="301">
        <f t="shared" si="105"/>
        <v>0.5</v>
      </c>
      <c r="R286" s="173">
        <f t="shared" si="106"/>
        <v>0.48880460087125188</v>
      </c>
      <c r="S286" s="802">
        <f t="shared" si="107"/>
        <v>3</v>
      </c>
      <c r="T286" s="172">
        <f t="shared" si="108"/>
        <v>9</v>
      </c>
      <c r="U286" s="247">
        <f t="shared" si="109"/>
        <v>3.4888046008712519</v>
      </c>
      <c r="V286" s="378">
        <f t="shared" si="110"/>
        <v>39.266400457490064</v>
      </c>
      <c r="W286" s="397">
        <f t="shared" si="111"/>
        <v>23.533698011160087</v>
      </c>
      <c r="X286" s="153">
        <f t="shared" si="112"/>
        <v>47024</v>
      </c>
      <c r="Y286" s="380">
        <f t="shared" si="113"/>
        <v>22.918996145862419</v>
      </c>
      <c r="Z286" s="380">
        <f t="shared" si="114"/>
        <v>23.717581440721077</v>
      </c>
      <c r="AA286" s="381">
        <f t="shared" si="115"/>
        <v>25.142581246709184</v>
      </c>
      <c r="AB286" s="193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5.667675056930041E-2</v>
      </c>
      <c r="AD286" s="227">
        <f>(INDEX(Models!$BJ286:$BT286,,AH286)*(1-AF286)+INDEX(Models!$BJ286:$BT286,,AH286+1)*AF286-ERP_i)*AE286*Ramure*Pc/MaxiM</f>
        <v>2.8835193445889818E-4</v>
      </c>
      <c r="AE286" s="301">
        <f t="shared" si="117"/>
        <v>0.5</v>
      </c>
      <c r="AF286" s="173">
        <f t="shared" si="118"/>
        <v>0.48880460087125188</v>
      </c>
      <c r="AG286" s="802">
        <f t="shared" si="124"/>
        <v>3</v>
      </c>
      <c r="AH286" s="172">
        <f t="shared" si="119"/>
        <v>9</v>
      </c>
      <c r="AI286" s="221">
        <f t="shared" si="120"/>
        <v>3.4888046008712519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47025</v>
      </c>
      <c r="B287" s="406">
        <f>'2027'!Wh/'2027'!Env_an*'2028'!Env_an</f>
        <v>25.236443022022556</v>
      </c>
      <c r="C287" s="832"/>
      <c r="D287" s="388">
        <f t="shared" si="102"/>
        <v>26.116134518410309</v>
      </c>
      <c r="E287" s="380">
        <f t="shared" si="100"/>
        <v>26.963116351405226</v>
      </c>
      <c r="F287" s="380">
        <f t="shared" si="103"/>
        <v>26.96745234032544</v>
      </c>
      <c r="G287" s="110">
        <f t="shared" si="101"/>
        <v>0.64888336989916606</v>
      </c>
      <c r="H287" s="409" t="b">
        <f>Wh_hp&gt;='2027'!Maxi_hp</f>
        <v>0</v>
      </c>
      <c r="I287" s="385">
        <f>IF(H287,Wh_hp,'2027'!Maxi_hp)</f>
        <v>26.97135071424043</v>
      </c>
      <c r="J287" s="85">
        <f>IF(H287,An,'2027'!An_max)</f>
        <v>2022</v>
      </c>
      <c r="K287" s="193">
        <f t="shared" si="104"/>
        <v>47025</v>
      </c>
      <c r="L287" s="143">
        <f>IF(t&lt;Tvie,1-EXP((T0-t)*PertePVj)+'2027'!Pspv,1-EXP((T0-t)*PertePVj)+Pspv)</f>
        <v>3.3683832336199093E-2</v>
      </c>
      <c r="M287" s="836"/>
      <c r="N287" s="836"/>
      <c r="O287" s="48">
        <f>IF(t&lt;Tnet,'2027'!Resal+('2027'!Salim-'2027'!Resal)*(1-EXP(('2027'!Tnet-t)/('2027'!Tau_j))),Resal+(Salim-Resal)*(1-EXP((Tnet-t)/(Tau_j))))*Salcycl</f>
        <v>3.141260906033129E-2</v>
      </c>
      <c r="P287" s="165">
        <f>(INDEX(Models!$BJ287:$BT287,,T287)*(1-R287)+INDEX(Models!$BJ287:$BT287,,T287+1)*R287-ERP_i)*Q287*Ramure*Pc/MaxiM</f>
        <v>3.2250419406426405E-4</v>
      </c>
      <c r="Q287" s="301">
        <f t="shared" si="105"/>
        <v>0.5</v>
      </c>
      <c r="R287" s="173">
        <f t="shared" si="106"/>
        <v>0.48901098761406114</v>
      </c>
      <c r="S287" s="802">
        <f t="shared" si="107"/>
        <v>3</v>
      </c>
      <c r="T287" s="172">
        <f t="shared" si="108"/>
        <v>9</v>
      </c>
      <c r="U287" s="247">
        <f t="shared" si="109"/>
        <v>3.4890109876140611</v>
      </c>
      <c r="V287" s="378">
        <f t="shared" si="110"/>
        <v>38.885818845641502</v>
      </c>
      <c r="W287" s="397">
        <f t="shared" si="111"/>
        <v>25.236443022022556</v>
      </c>
      <c r="X287" s="153">
        <f t="shared" si="112"/>
        <v>47025</v>
      </c>
      <c r="Y287" s="380">
        <f t="shared" si="113"/>
        <v>24.578074605395237</v>
      </c>
      <c r="Z287" s="380">
        <f t="shared" si="114"/>
        <v>25.434816706850754</v>
      </c>
      <c r="AA287" s="381">
        <f t="shared" si="115"/>
        <v>26.963116351405226</v>
      </c>
      <c r="AB287" s="193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5.6681120410431413E-2</v>
      </c>
      <c r="AD287" s="227">
        <f>(INDEX(Models!$BJ287:$BT287,,AH287)*(1-AF287)+INDEX(Models!$BJ287:$BT287,,AH287+1)*AF287-ERP_i)*AE287*Ramure*Pc/MaxiM</f>
        <v>3.2250419406426405E-4</v>
      </c>
      <c r="AE287" s="301">
        <f t="shared" si="117"/>
        <v>0.5</v>
      </c>
      <c r="AF287" s="173">
        <f t="shared" si="118"/>
        <v>0.48901098761406114</v>
      </c>
      <c r="AG287" s="802">
        <f t="shared" si="124"/>
        <v>3</v>
      </c>
      <c r="AH287" s="172">
        <f t="shared" si="119"/>
        <v>9</v>
      </c>
      <c r="AI287" s="221">
        <f t="shared" si="120"/>
        <v>3.4890109876140611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47026</v>
      </c>
      <c r="B288" s="406">
        <f>'2027'!Wh/'2027'!Env_an*'2028'!Env_an</f>
        <v>34.444236398121092</v>
      </c>
      <c r="C288" s="832"/>
      <c r="D288" s="388">
        <f t="shared" si="102"/>
        <v>35.645380952821931</v>
      </c>
      <c r="E288" s="380">
        <f t="shared" si="100"/>
        <v>36.802773018391314</v>
      </c>
      <c r="F288" s="380">
        <f t="shared" si="103"/>
        <v>36.814090184172088</v>
      </c>
      <c r="G288" s="110">
        <f t="shared" si="101"/>
        <v>0.89444031858026329</v>
      </c>
      <c r="H288" s="409" t="b">
        <f>Wh_hp&gt;='2027'!Maxi_hp</f>
        <v>0</v>
      </c>
      <c r="I288" s="385">
        <f>IF(H288,Wh_hp,'2027'!Maxi_hp)</f>
        <v>36.815887882487736</v>
      </c>
      <c r="J288" s="85">
        <f>IF(H288,An,'2027'!An_max)</f>
        <v>2022</v>
      </c>
      <c r="K288" s="193">
        <f t="shared" si="104"/>
        <v>47026</v>
      </c>
      <c r="L288" s="143">
        <f>IF(t&lt;Tvie,1-EXP((T0-t)*PertePVj)+'2027'!Pspv,1-EXP((T0-t)*PertePVj)+Pspv)</f>
        <v>3.3697060393059086E-2</v>
      </c>
      <c r="M288" s="836"/>
      <c r="N288" s="836"/>
      <c r="O288" s="48">
        <f>IF(t&lt;Tnet,'2027'!Resal+('2027'!Salim-'2027'!Resal)*(1-EXP(('2027'!Tnet-t)/('2027'!Tau_j))),Resal+(Salim-Resal)*(1-EXP((Tnet-t)/(Tau_j))))*Salcycl</f>
        <v>3.1448501584133474E-2</v>
      </c>
      <c r="P288" s="165">
        <f>(INDEX(Models!$BJ288:$BT288,,T288)*(1-R288)+INDEX(Models!$BJ288:$BT288,,T288+1)*R288-ERP_i)*Q288*Ramure*Pc/MaxiM</f>
        <v>3.6197428797212226E-4</v>
      </c>
      <c r="Q288" s="301">
        <f t="shared" si="105"/>
        <v>0.5</v>
      </c>
      <c r="R288" s="173">
        <f t="shared" si="106"/>
        <v>0.48920922631680908</v>
      </c>
      <c r="S288" s="802">
        <f t="shared" si="107"/>
        <v>3</v>
      </c>
      <c r="T288" s="172">
        <f t="shared" si="108"/>
        <v>9</v>
      </c>
      <c r="U288" s="247">
        <f t="shared" si="109"/>
        <v>3.4892092263168091</v>
      </c>
      <c r="V288" s="378">
        <f t="shared" si="110"/>
        <v>38.507160082584896</v>
      </c>
      <c r="W288" s="397">
        <f t="shared" si="111"/>
        <v>34.444236398121092</v>
      </c>
      <c r="X288" s="153">
        <f t="shared" si="112"/>
        <v>47026</v>
      </c>
      <c r="Y288" s="380">
        <f t="shared" si="113"/>
        <v>33.546770509224729</v>
      </c>
      <c r="Z288" s="380">
        <f t="shared" si="114"/>
        <v>34.716618499443264</v>
      </c>
      <c r="AA288" s="381">
        <f t="shared" si="115"/>
        <v>36.802773018391314</v>
      </c>
      <c r="AB288" s="193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5.6684710087077962E-2</v>
      </c>
      <c r="AD288" s="227">
        <f>(INDEX(Models!$BJ288:$BT288,,AH288)*(1-AF288)+INDEX(Models!$BJ288:$BT288,,AH288+1)*AF288-ERP_i)*AE288*Ramure*Pc/MaxiM</f>
        <v>3.6197428797212226E-4</v>
      </c>
      <c r="AE288" s="301">
        <f t="shared" si="117"/>
        <v>0.5</v>
      </c>
      <c r="AF288" s="173">
        <f t="shared" si="118"/>
        <v>0.48920922631680908</v>
      </c>
      <c r="AG288" s="802">
        <f t="shared" si="124"/>
        <v>3</v>
      </c>
      <c r="AH288" s="172">
        <f t="shared" si="119"/>
        <v>9</v>
      </c>
      <c r="AI288" s="221">
        <f t="shared" si="120"/>
        <v>3.4892092263168091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47027</v>
      </c>
      <c r="B289" s="406">
        <f>'2027'!Wh/'2027'!Env_an*'2028'!Env_an</f>
        <v>35.820164626757929</v>
      </c>
      <c r="C289" s="832"/>
      <c r="D289" s="388">
        <f t="shared" si="102"/>
        <v>37.069798210501595</v>
      </c>
      <c r="E289" s="380">
        <f t="shared" si="100"/>
        <v>38.274839318531065</v>
      </c>
      <c r="F289" s="380">
        <f t="shared" si="103"/>
        <v>38.289071080287364</v>
      </c>
      <c r="G289" s="110">
        <f t="shared" si="101"/>
        <v>0.93943058605989538</v>
      </c>
      <c r="H289" s="409" t="b">
        <f>Wh_hp&gt;='2027'!Maxi_hp</f>
        <v>0</v>
      </c>
      <c r="I289" s="385">
        <f>IF(H289,Wh_hp,'2027'!Maxi_hp)</f>
        <v>38.290278052871017</v>
      </c>
      <c r="J289" s="85">
        <f>IF(H289,An,'2027'!An_max)</f>
        <v>2022</v>
      </c>
      <c r="K289" s="193">
        <f t="shared" si="104"/>
        <v>47027</v>
      </c>
      <c r="L289" s="143">
        <f>IF(t&lt;Tvie,1-EXP((T0-t)*PertePVj)+'2027'!Pspv,1-EXP((T0-t)*PertePVj)+Pspv)</f>
        <v>3.371028826883804E-2</v>
      </c>
      <c r="M289" s="836"/>
      <c r="N289" s="836"/>
      <c r="O289" s="48">
        <f>IF(t&lt;Tnet,'2027'!Resal+('2027'!Salim-'2027'!Resal)*(1-EXP(('2027'!Tnet-t)/('2027'!Tau_j))),Resal+(Salim-Resal)*(1-EXP((Tnet-t)/(Tau_j))))*Salcycl</f>
        <v>3.1483897241236423E-2</v>
      </c>
      <c r="P289" s="165">
        <f>(INDEX(Models!$BJ289:$BT289,,T289)*(1-R289)+INDEX(Models!$BJ289:$BT289,,T289+1)*R289-ERP_i)*Q289*Ramure*Pc/MaxiM</f>
        <v>4.0687968707578582E-4</v>
      </c>
      <c r="Q289" s="301">
        <f t="shared" si="105"/>
        <v>0.5</v>
      </c>
      <c r="R289" s="173">
        <f t="shared" si="106"/>
        <v>0.48939963246396534</v>
      </c>
      <c r="S289" s="802">
        <f t="shared" si="107"/>
        <v>3</v>
      </c>
      <c r="T289" s="172">
        <f t="shared" si="108"/>
        <v>9</v>
      </c>
      <c r="U289" s="247">
        <f t="shared" si="109"/>
        <v>3.4893996324639653</v>
      </c>
      <c r="V289" s="378">
        <f t="shared" si="110"/>
        <v>38.128313342043462</v>
      </c>
      <c r="W289" s="397">
        <f t="shared" si="111"/>
        <v>35.820164626757929</v>
      </c>
      <c r="X289" s="153">
        <f t="shared" si="112"/>
        <v>47027</v>
      </c>
      <c r="Y289" s="380">
        <f t="shared" si="113"/>
        <v>34.888019675831956</v>
      </c>
      <c r="Z289" s="380">
        <f t="shared" si="114"/>
        <v>36.105134156223315</v>
      </c>
      <c r="AA289" s="381">
        <f t="shared" si="115"/>
        <v>38.274839318531065</v>
      </c>
      <c r="AB289" s="193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5.6687505445836638E-2</v>
      </c>
      <c r="AD289" s="227">
        <f>(INDEX(Models!$BJ289:$BT289,,AH289)*(1-AF289)+INDEX(Models!$BJ289:$BT289,,AH289+1)*AF289-ERP_i)*AE289*Ramure*Pc/MaxiM</f>
        <v>4.0687968707578582E-4</v>
      </c>
      <c r="AE289" s="301">
        <f t="shared" si="117"/>
        <v>0.5</v>
      </c>
      <c r="AF289" s="173">
        <f t="shared" si="118"/>
        <v>0.48939963246396534</v>
      </c>
      <c r="AG289" s="802">
        <f t="shared" si="124"/>
        <v>3</v>
      </c>
      <c r="AH289" s="172">
        <f t="shared" si="119"/>
        <v>9</v>
      </c>
      <c r="AI289" s="221">
        <f t="shared" si="120"/>
        <v>3.4893996324639653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47028</v>
      </c>
      <c r="B290" s="406">
        <f>'2027'!Wh/'2027'!Env_an*'2028'!Env_an</f>
        <v>32.438002353368248</v>
      </c>
      <c r="C290" s="832"/>
      <c r="D290" s="388">
        <f t="shared" si="102"/>
        <v>33.570104301683735</v>
      </c>
      <c r="E290" s="380">
        <f t="shared" si="100"/>
        <v>34.662628322738001</v>
      </c>
      <c r="F290" s="380">
        <f t="shared" si="103"/>
        <v>34.675244028443039</v>
      </c>
      <c r="G290" s="110">
        <f t="shared" si="101"/>
        <v>0.85927509444575401</v>
      </c>
      <c r="H290" s="409" t="b">
        <f>Wh_hp&gt;='2027'!Maxi_hp</f>
        <v>0</v>
      </c>
      <c r="I290" s="385">
        <f>IF(H290,Wh_hp,'2027'!Maxi_hp)</f>
        <v>34.678087657716873</v>
      </c>
      <c r="J290" s="85">
        <f>IF(H290,An,'2027'!An_max)</f>
        <v>2022</v>
      </c>
      <c r="K290" s="193">
        <f t="shared" si="104"/>
        <v>47028</v>
      </c>
      <c r="L290" s="143">
        <f>IF(t&lt;Tvie,1-EXP((T0-t)*PertePVj)+'2027'!Pspv,1-EXP((T0-t)*PertePVj)+Pspv)</f>
        <v>3.3723515963538508E-2</v>
      </c>
      <c r="M290" s="836"/>
      <c r="N290" s="836"/>
      <c r="O290" s="48">
        <f>IF(t&lt;Tnet,'2027'!Resal+('2027'!Salim-'2027'!Resal)*(1-EXP(('2027'!Tnet-t)/('2027'!Tau_j))),Resal+(Salim-Resal)*(1-EXP((Tnet-t)/(Tau_j))))*Salcycl</f>
        <v>3.1518787637277619E-2</v>
      </c>
      <c r="P290" s="165">
        <f>(INDEX(Models!$BJ290:$BT290,,T290)*(1-R290)+INDEX(Models!$BJ290:$BT290,,T290+1)*R290-ERP_i)*Q290*Ramure*Pc/MaxiM</f>
        <v>4.55306152046836E-4</v>
      </c>
      <c r="Q290" s="301">
        <f t="shared" si="105"/>
        <v>0.5</v>
      </c>
      <c r="R290" s="173">
        <f t="shared" si="106"/>
        <v>0.48958250980975349</v>
      </c>
      <c r="S290" s="802">
        <f t="shared" si="107"/>
        <v>3</v>
      </c>
      <c r="T290" s="172">
        <f t="shared" si="108"/>
        <v>9</v>
      </c>
      <c r="U290" s="247">
        <f t="shared" si="109"/>
        <v>3.4895825098097535</v>
      </c>
      <c r="V290" s="378">
        <f t="shared" si="110"/>
        <v>37.746973004541886</v>
      </c>
      <c r="W290" s="397">
        <f t="shared" si="111"/>
        <v>32.438002353368248</v>
      </c>
      <c r="X290" s="153">
        <f t="shared" si="112"/>
        <v>47028</v>
      </c>
      <c r="Y290" s="380">
        <f t="shared" si="113"/>
        <v>31.594942713014895</v>
      </c>
      <c r="Z290" s="380">
        <f t="shared" si="114"/>
        <v>32.697621472719902</v>
      </c>
      <c r="AA290" s="381">
        <f t="shared" si="115"/>
        <v>34.662628322738001</v>
      </c>
      <c r="AB290" s="193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5.6689493702619581E-2</v>
      </c>
      <c r="AD290" s="227">
        <f>(INDEX(Models!$BJ290:$BT290,,AH290)*(1-AF290)+INDEX(Models!$BJ290:$BT290,,AH290+1)*AF290-ERP_i)*AE290*Ramure*Pc/MaxiM</f>
        <v>4.55306152046836E-4</v>
      </c>
      <c r="AE290" s="301">
        <f t="shared" si="117"/>
        <v>0.5</v>
      </c>
      <c r="AF290" s="173">
        <f t="shared" si="118"/>
        <v>0.48958250980975349</v>
      </c>
      <c r="AG290" s="802">
        <f t="shared" si="124"/>
        <v>3</v>
      </c>
      <c r="AH290" s="172">
        <f t="shared" si="119"/>
        <v>9</v>
      </c>
      <c r="AI290" s="221">
        <f t="shared" si="120"/>
        <v>3.4895825098097535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47029</v>
      </c>
      <c r="B291" s="406">
        <f>'2027'!Wh/'2027'!Env_an*'2028'!Env_an</f>
        <v>37.780985878243676</v>
      </c>
      <c r="C291" s="832"/>
      <c r="D291" s="388">
        <f t="shared" si="102"/>
        <v>39.10009577948879</v>
      </c>
      <c r="E291" s="380">
        <f t="shared" si="100"/>
        <v>40.37402402957472</v>
      </c>
      <c r="F291" s="380">
        <f t="shared" si="103"/>
        <v>40.394405046621046</v>
      </c>
      <c r="G291" s="110">
        <f t="shared" si="101"/>
        <v>1.0111694837797947</v>
      </c>
      <c r="H291" s="409" t="b">
        <f>Wh_hp&gt;='2027'!Maxi_hp</f>
        <v>0</v>
      </c>
      <c r="I291" s="385">
        <f>IF(H291,Wh_hp,'2027'!Maxi_hp)</f>
        <v>40.394405046621053</v>
      </c>
      <c r="J291" s="85">
        <f>IF(H291,An,'2027'!An_max)</f>
        <v>2027</v>
      </c>
      <c r="K291" s="193">
        <f t="shared" si="104"/>
        <v>47029</v>
      </c>
      <c r="L291" s="143">
        <f>IF(t&lt;Tvie,1-EXP((T0-t)*PertePVj)+'2027'!Pspv,1-EXP((T0-t)*PertePVj)+Pspv)</f>
        <v>3.3736743477162934E-2</v>
      </c>
      <c r="M291" s="836"/>
      <c r="N291" s="836"/>
      <c r="O291" s="48">
        <f>IF(t&lt;Tnet,'2027'!Resal+('2027'!Salim-'2027'!Resal)*(1-EXP(('2027'!Tnet-t)/('2027'!Tau_j))),Resal+(Salim-Resal)*(1-EXP((Tnet-t)/(Tau_j))))*Salcycl</f>
        <v>3.1553165202278445E-2</v>
      </c>
      <c r="P291" s="165">
        <f>(INDEX(Models!$BJ291:$BT291,,T291)*(1-R291)+INDEX(Models!$BJ291:$BT291,,T291+1)*R291-ERP_i)*Q291*Ramure*Pc/MaxiM</f>
        <v>5.0455049462423164E-4</v>
      </c>
      <c r="Q291" s="301">
        <f t="shared" si="105"/>
        <v>0.5</v>
      </c>
      <c r="R291" s="173">
        <f t="shared" si="106"/>
        <v>0.4897581507760842</v>
      </c>
      <c r="S291" s="802">
        <f t="shared" si="107"/>
        <v>3</v>
      </c>
      <c r="T291" s="172">
        <f t="shared" si="108"/>
        <v>9</v>
      </c>
      <c r="U291" s="247">
        <f t="shared" si="109"/>
        <v>3.4897581507760842</v>
      </c>
      <c r="V291" s="378">
        <f t="shared" si="110"/>
        <v>37.363653160315657</v>
      </c>
      <c r="W291" s="397">
        <f t="shared" si="111"/>
        <v>37.780985878243676</v>
      </c>
      <c r="X291" s="153">
        <f t="shared" si="112"/>
        <v>47029</v>
      </c>
      <c r="Y291" s="380">
        <f t="shared" si="113"/>
        <v>36.800323401081741</v>
      </c>
      <c r="Z291" s="380">
        <f t="shared" si="114"/>
        <v>38.085193815099792</v>
      </c>
      <c r="AA291" s="381">
        <f t="shared" si="115"/>
        <v>40.37402402957472</v>
      </c>
      <c r="AB291" s="193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5.6690663600891436E-2</v>
      </c>
      <c r="AD291" s="227">
        <f>(INDEX(Models!$BJ291:$BT291,,AH291)*(1-AF291)+INDEX(Models!$BJ291:$BT291,,AH291+1)*AF291-ERP_i)*AE291*Ramure*Pc/MaxiM</f>
        <v>5.0455049462423164E-4</v>
      </c>
      <c r="AE291" s="301">
        <f t="shared" si="117"/>
        <v>0.5</v>
      </c>
      <c r="AF291" s="173">
        <f t="shared" si="118"/>
        <v>0.4897581507760842</v>
      </c>
      <c r="AG291" s="802">
        <f t="shared" si="124"/>
        <v>3</v>
      </c>
      <c r="AH291" s="172">
        <f t="shared" si="119"/>
        <v>9</v>
      </c>
      <c r="AI291" s="221">
        <f t="shared" si="120"/>
        <v>3.4897581507760842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47030</v>
      </c>
      <c r="B292" s="406">
        <f>'2027'!Wh/'2027'!Env_an*'2028'!Env_an</f>
        <v>38.027339673631168</v>
      </c>
      <c r="C292" s="832"/>
      <c r="D292" s="388">
        <f t="shared" si="102"/>
        <v>39.355589676409053</v>
      </c>
      <c r="E292" s="380">
        <f t="shared" si="100"/>
        <v>40.639263023729669</v>
      </c>
      <c r="F292" s="380">
        <f t="shared" si="103"/>
        <v>40.661814891212082</v>
      </c>
      <c r="G292" s="110">
        <f t="shared" si="101"/>
        <v>1.0283561778969419</v>
      </c>
      <c r="H292" s="409" t="b">
        <f>Wh_hp&gt;='2027'!Maxi_hp</f>
        <v>1</v>
      </c>
      <c r="I292" s="385">
        <f>IF(H292,Wh_hp,'2027'!Maxi_hp)</f>
        <v>40.661814891212082</v>
      </c>
      <c r="J292" s="85">
        <f>IF(H292,An,'2027'!An_max)</f>
        <v>2028</v>
      </c>
      <c r="K292" s="193">
        <f t="shared" si="104"/>
        <v>47030</v>
      </c>
      <c r="L292" s="143">
        <f>IF(t&lt;Tvie,1-EXP((T0-t)*PertePVj)+'2027'!Pspv,1-EXP((T0-t)*PertePVj)+Pspv)</f>
        <v>3.374997080971387E-2</v>
      </c>
      <c r="M292" s="836"/>
      <c r="N292" s="836"/>
      <c r="O292" s="48">
        <f>IF(t&lt;Tnet,'2027'!Resal+('2027'!Salim-'2027'!Resal)*(1-EXP(('2027'!Tnet-t)/('2027'!Tau_j))),Resal+(Salim-Resal)*(1-EXP((Tnet-t)/(Tau_j))))*Salcycl</f>
        <v>3.1587023282658173E-2</v>
      </c>
      <c r="P292" s="165">
        <f>(INDEX(Models!$BJ292:$BT292,,T292)*(1-R292)+INDEX(Models!$BJ292:$BT292,,T292+1)*R292-ERP_i)*Q292*Ramure*Pc/MaxiM</f>
        <v>5.5462028792249251E-4</v>
      </c>
      <c r="Q292" s="301">
        <f t="shared" si="105"/>
        <v>0.5</v>
      </c>
      <c r="R292" s="173">
        <f t="shared" si="106"/>
        <v>0.48992683684006577</v>
      </c>
      <c r="S292" s="802">
        <f t="shared" si="107"/>
        <v>3</v>
      </c>
      <c r="T292" s="172">
        <f t="shared" si="108"/>
        <v>9</v>
      </c>
      <c r="U292" s="247">
        <f t="shared" si="109"/>
        <v>3.4899268368400658</v>
      </c>
      <c r="V292" s="378">
        <f t="shared" si="110"/>
        <v>36.97876328355381</v>
      </c>
      <c r="W292" s="397">
        <f t="shared" si="111"/>
        <v>38.027339673631168</v>
      </c>
      <c r="X292" s="153">
        <f t="shared" si="112"/>
        <v>47030</v>
      </c>
      <c r="Y292" s="380">
        <f t="shared" si="113"/>
        <v>37.041564302488275</v>
      </c>
      <c r="Z292" s="380">
        <f t="shared" si="114"/>
        <v>38.335382337353167</v>
      </c>
      <c r="AA292" s="381">
        <f t="shared" si="115"/>
        <v>40.639263023729669</v>
      </c>
      <c r="AB292" s="193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5.6691005568463231E-2</v>
      </c>
      <c r="AD292" s="227">
        <f>(INDEX(Models!$BJ292:$BT292,,AH292)*(1-AF292)+INDEX(Models!$BJ292:$BT292,,AH292+1)*AF292-ERP_i)*AE292*Ramure*Pc/MaxiM</f>
        <v>5.5462028792249251E-4</v>
      </c>
      <c r="AE292" s="301">
        <f t="shared" si="117"/>
        <v>0.5</v>
      </c>
      <c r="AF292" s="173">
        <f t="shared" si="118"/>
        <v>0.48992683684006577</v>
      </c>
      <c r="AG292" s="802">
        <f t="shared" si="124"/>
        <v>3</v>
      </c>
      <c r="AH292" s="172">
        <f t="shared" si="119"/>
        <v>9</v>
      </c>
      <c r="AI292" s="221">
        <f t="shared" si="120"/>
        <v>3.4899268368400658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47031</v>
      </c>
      <c r="B293" s="406">
        <f>'2027'!Wh/'2027'!Env_an*'2028'!Env_an</f>
        <v>15.241347389907087</v>
      </c>
      <c r="C293" s="832"/>
      <c r="D293" s="388">
        <f t="shared" si="102"/>
        <v>15.773925561256938</v>
      </c>
      <c r="E293" s="380">
        <f t="shared" si="100"/>
        <v>16.288989202502403</v>
      </c>
      <c r="F293" s="380">
        <f t="shared" si="103"/>
        <v>16.290631092897595</v>
      </c>
      <c r="G293" s="110">
        <f t="shared" si="101"/>
        <v>0.41630293731682855</v>
      </c>
      <c r="H293" s="409" t="b">
        <f>Wh_hp&gt;='2027'!Maxi_hp</f>
        <v>0</v>
      </c>
      <c r="I293" s="385">
        <f>IF(H293,Wh_hp,'2027'!Maxi_hp)</f>
        <v>16.298012203209971</v>
      </c>
      <c r="J293" s="85">
        <f>IF(H293,An,'2027'!An_max)</f>
        <v>2022</v>
      </c>
      <c r="K293" s="193">
        <f t="shared" si="104"/>
        <v>47031</v>
      </c>
      <c r="L293" s="143">
        <f>IF(t&lt;Tvie,1-EXP((T0-t)*PertePVj)+'2027'!Pspv,1-EXP((T0-t)*PertePVj)+Pspv)</f>
        <v>3.3763197961193647E-2</v>
      </c>
      <c r="M293" s="836"/>
      <c r="N293" s="836"/>
      <c r="O293" s="48">
        <f>IF(t&lt;Tnet,'2027'!Resal+('2027'!Salim-'2027'!Resal)*(1-EXP(('2027'!Tnet-t)/('2027'!Tau_j))),Resal+(Salim-Resal)*(1-EXP((Tnet-t)/(Tau_j))))*Salcycl</f>
        <v>3.162035623219258E-2</v>
      </c>
      <c r="P293" s="165">
        <f>(INDEX(Models!$BJ293:$BT293,,T293)*(1-R293)+INDEX(Models!$BJ293:$BT293,,T293+1)*R293-ERP_i)*Q293*Ramure*Pc/MaxiM</f>
        <v>6.0552100444543559E-4</v>
      </c>
      <c r="Q293" s="301">
        <f t="shared" si="105"/>
        <v>0.5</v>
      </c>
      <c r="R293" s="173">
        <f t="shared" si="106"/>
        <v>0.49008883891110511</v>
      </c>
      <c r="S293" s="802">
        <f t="shared" si="107"/>
        <v>3</v>
      </c>
      <c r="T293" s="172">
        <f t="shared" si="108"/>
        <v>9</v>
      </c>
      <c r="U293" s="247">
        <f t="shared" si="109"/>
        <v>3.4900888389111051</v>
      </c>
      <c r="V293" s="378">
        <f t="shared" si="110"/>
        <v>36.592712731045303</v>
      </c>
      <c r="W293" s="397">
        <f t="shared" si="111"/>
        <v>15.241347389907087</v>
      </c>
      <c r="X293" s="153">
        <f t="shared" si="112"/>
        <v>47031</v>
      </c>
      <c r="Y293" s="380">
        <f t="shared" si="113"/>
        <v>14.846767687952511</v>
      </c>
      <c r="Z293" s="380">
        <f t="shared" si="114"/>
        <v>15.365558066744212</v>
      </c>
      <c r="AA293" s="381">
        <f t="shared" si="115"/>
        <v>16.288989202502403</v>
      </c>
      <c r="AB293" s="193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5.6690511871438261E-2</v>
      </c>
      <c r="AD293" s="227">
        <f>(INDEX(Models!$BJ293:$BT293,,AH293)*(1-AF293)+INDEX(Models!$BJ293:$BT293,,AH293+1)*AF293-ERP_i)*AE293*Ramure*Pc/MaxiM</f>
        <v>6.0552100444543559E-4</v>
      </c>
      <c r="AE293" s="301">
        <f t="shared" si="117"/>
        <v>0.5</v>
      </c>
      <c r="AF293" s="173">
        <f t="shared" si="118"/>
        <v>0.49008883891110511</v>
      </c>
      <c r="AG293" s="802">
        <f t="shared" si="124"/>
        <v>3</v>
      </c>
      <c r="AH293" s="172">
        <f t="shared" si="119"/>
        <v>9</v>
      </c>
      <c r="AI293" s="221">
        <f t="shared" si="120"/>
        <v>3.4900888389111051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47032</v>
      </c>
      <c r="B294" s="406">
        <f>'2027'!Wh/'2027'!Env_an*'2028'!Env_an</f>
        <v>29.274878767358185</v>
      </c>
      <c r="C294" s="832"/>
      <c r="D294" s="388">
        <f t="shared" si="102"/>
        <v>30.29824517093358</v>
      </c>
      <c r="E294" s="380">
        <f t="shared" si="100"/>
        <v>31.288629139662259</v>
      </c>
      <c r="F294" s="380">
        <f t="shared" si="103"/>
        <v>31.303576963997397</v>
      </c>
      <c r="G294" s="110">
        <f t="shared" si="101"/>
        <v>0.80842088119847155</v>
      </c>
      <c r="H294" s="409" t="b">
        <f>Wh_hp&gt;='2027'!Maxi_hp</f>
        <v>0</v>
      </c>
      <c r="I294" s="385">
        <f>IF(H294,Wh_hp,'2027'!Maxi_hp)</f>
        <v>31.308629885145589</v>
      </c>
      <c r="J294" s="85">
        <f>IF(H294,An,'2027'!An_max)</f>
        <v>2022</v>
      </c>
      <c r="K294" s="193">
        <f t="shared" si="104"/>
        <v>47032</v>
      </c>
      <c r="L294" s="143">
        <f>IF(t&lt;Tvie,1-EXP((T0-t)*PertePVj)+'2027'!Pspv,1-EXP((T0-t)*PertePVj)+Pspv)</f>
        <v>3.377642493160482E-2</v>
      </c>
      <c r="M294" s="836"/>
      <c r="N294" s="836"/>
      <c r="O294" s="48">
        <f>IF(t&lt;Tnet,'2027'!Resal+('2027'!Salim-'2027'!Resal)*(1-EXP(('2027'!Tnet-t)/('2027'!Tau_j))),Resal+(Salim-Resal)*(1-EXP((Tnet-t)/(Tau_j))))*Salcycl</f>
        <v>3.1653159501105955E-2</v>
      </c>
      <c r="P294" s="165">
        <f>(INDEX(Models!$BJ294:$BT294,,T294)*(1-R294)+INDEX(Models!$BJ294:$BT294,,T294+1)*R294-ERP_i)*Q294*Ramure*Pc/MaxiM</f>
        <v>6.5725590003766173E-4</v>
      </c>
      <c r="Q294" s="301">
        <f t="shared" si="105"/>
        <v>0.5</v>
      </c>
      <c r="R294" s="173">
        <f t="shared" si="106"/>
        <v>0.49024441769762772</v>
      </c>
      <c r="S294" s="802">
        <f t="shared" si="107"/>
        <v>3</v>
      </c>
      <c r="T294" s="172">
        <f t="shared" si="108"/>
        <v>9</v>
      </c>
      <c r="U294" s="247">
        <f t="shared" si="109"/>
        <v>3.4902444176976277</v>
      </c>
      <c r="V294" s="378">
        <f t="shared" si="110"/>
        <v>36.20591073862019</v>
      </c>
      <c r="W294" s="397">
        <f t="shared" si="111"/>
        <v>29.274878767358185</v>
      </c>
      <c r="X294" s="153">
        <f t="shared" si="112"/>
        <v>47032</v>
      </c>
      <c r="Y294" s="380">
        <f t="shared" si="113"/>
        <v>28.517994622615461</v>
      </c>
      <c r="Z294" s="380">
        <f t="shared" si="114"/>
        <v>29.514902511664324</v>
      </c>
      <c r="AA294" s="381">
        <f t="shared" si="115"/>
        <v>31.288629139662259</v>
      </c>
      <c r="AB294" s="193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5.6689176763884339E-2</v>
      </c>
      <c r="AD294" s="227">
        <f>(INDEX(Models!$BJ294:$BT294,,AH294)*(1-AF294)+INDEX(Models!$BJ294:$BT294,,AH294+1)*AF294-ERP_i)*AE294*Ramure*Pc/MaxiM</f>
        <v>6.5725590003766173E-4</v>
      </c>
      <c r="AE294" s="301">
        <f t="shared" si="117"/>
        <v>0.5</v>
      </c>
      <c r="AF294" s="173">
        <f t="shared" si="118"/>
        <v>0.49024441769762772</v>
      </c>
      <c r="AG294" s="802">
        <f t="shared" si="124"/>
        <v>3</v>
      </c>
      <c r="AH294" s="172">
        <f t="shared" si="119"/>
        <v>9</v>
      </c>
      <c r="AI294" s="221">
        <f t="shared" si="120"/>
        <v>3.4902444176976277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47033</v>
      </c>
      <c r="B295" s="406">
        <f>'2027'!Wh/'2027'!Env_an*'2028'!Env_an</f>
        <v>14.804836689787287</v>
      </c>
      <c r="C295" s="832"/>
      <c r="D295" s="388">
        <f t="shared" si="102"/>
        <v>15.322581378016373</v>
      </c>
      <c r="E295" s="380">
        <f t="shared" si="100"/>
        <v>15.823970689220149</v>
      </c>
      <c r="F295" s="380">
        <f t="shared" si="103"/>
        <v>15.825789341738384</v>
      </c>
      <c r="G295" s="110">
        <f t="shared" si="101"/>
        <v>0.41308033827297796</v>
      </c>
      <c r="H295" s="409" t="b">
        <f>Wh_hp&gt;='2027'!Maxi_hp</f>
        <v>0</v>
      </c>
      <c r="I295" s="385">
        <f>IF(H295,Wh_hp,'2027'!Maxi_hp)</f>
        <v>15.834246656032258</v>
      </c>
      <c r="J295" s="85">
        <f>IF(H295,An,'2027'!An_max)</f>
        <v>2022</v>
      </c>
      <c r="K295" s="193">
        <f t="shared" si="104"/>
        <v>47033</v>
      </c>
      <c r="L295" s="143">
        <f>IF(t&lt;Tvie,1-EXP((T0-t)*PertePVj)+'2027'!Pspv,1-EXP((T0-t)*PertePVj)+Pspv)</f>
        <v>3.3789651720949943E-2</v>
      </c>
      <c r="M295" s="836"/>
      <c r="N295" s="836"/>
      <c r="O295" s="48">
        <f>IF(t&lt;Tnet,'2027'!Resal+('2027'!Salim-'2027'!Resal)*(1-EXP(('2027'!Tnet-t)/('2027'!Tau_j))),Resal+(Salim-Resal)*(1-EXP((Tnet-t)/(Tau_j))))*Salcycl</f>
        <v>3.1685429722474172E-2</v>
      </c>
      <c r="P295" s="165">
        <f>(INDEX(Models!$BJ295:$BT295,,T295)*(1-R295)+INDEX(Models!$BJ295:$BT295,,T295+1)*R295-ERP_i)*Q295*Ramure*Pc/MaxiM</f>
        <v>7.0982589565646509E-4</v>
      </c>
      <c r="Q295" s="301">
        <f t="shared" si="105"/>
        <v>0.5</v>
      </c>
      <c r="R295" s="173">
        <f t="shared" si="106"/>
        <v>0.49039382406348908</v>
      </c>
      <c r="S295" s="802">
        <f t="shared" si="107"/>
        <v>3</v>
      </c>
      <c r="T295" s="172">
        <f t="shared" si="108"/>
        <v>9</v>
      </c>
      <c r="U295" s="247">
        <f t="shared" si="109"/>
        <v>3.4903938240634891</v>
      </c>
      <c r="V295" s="378">
        <f t="shared" si="110"/>
        <v>35.818766418698175</v>
      </c>
      <c r="W295" s="397">
        <f t="shared" si="111"/>
        <v>14.804836689787287</v>
      </c>
      <c r="X295" s="153">
        <f t="shared" si="112"/>
        <v>47033</v>
      </c>
      <c r="Y295" s="380">
        <f t="shared" si="113"/>
        <v>14.422580627095545</v>
      </c>
      <c r="Z295" s="380">
        <f t="shared" si="114"/>
        <v>14.926957316058653</v>
      </c>
      <c r="AA295" s="381">
        <f t="shared" si="115"/>
        <v>15.823970689220149</v>
      </c>
      <c r="AB295" s="193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5.6686996631798214E-2</v>
      </c>
      <c r="AD295" s="227">
        <f>(INDEX(Models!$BJ295:$BT295,,AH295)*(1-AF295)+INDEX(Models!$BJ295:$BT295,,AH295+1)*AF295-ERP_i)*AE295*Ramure*Pc/MaxiM</f>
        <v>7.0982589565646509E-4</v>
      </c>
      <c r="AE295" s="301">
        <f t="shared" si="117"/>
        <v>0.5</v>
      </c>
      <c r="AF295" s="173">
        <f t="shared" si="118"/>
        <v>0.49039382406348908</v>
      </c>
      <c r="AG295" s="802">
        <f t="shared" si="124"/>
        <v>3</v>
      </c>
      <c r="AH295" s="172">
        <f t="shared" si="119"/>
        <v>9</v>
      </c>
      <c r="AI295" s="221">
        <f t="shared" si="120"/>
        <v>3.4903938240634891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47034</v>
      </c>
      <c r="B296" s="406">
        <f>'2027'!Wh/'2027'!Env_an*'2028'!Env_an</f>
        <v>34.572610050177062</v>
      </c>
      <c r="C296" s="832"/>
      <c r="D296" s="388">
        <f t="shared" si="102"/>
        <v>35.782149702944018</v>
      </c>
      <c r="E296" s="380">
        <f t="shared" si="100"/>
        <v>36.954233207462146</v>
      </c>
      <c r="F296" s="380">
        <f t="shared" si="103"/>
        <v>36.981758409741673</v>
      </c>
      <c r="G296" s="110">
        <f t="shared" si="101"/>
        <v>0.97573545132309791</v>
      </c>
      <c r="H296" s="409" t="b">
        <f>Wh_hp&gt;='2027'!Maxi_hp</f>
        <v>0</v>
      </c>
      <c r="I296" s="385">
        <f>IF(H296,Wh_hp,'2027'!Maxi_hp)</f>
        <v>36.982646782683823</v>
      </c>
      <c r="J296" s="85">
        <f>IF(H296,An,'2027'!An_max)</f>
        <v>2022</v>
      </c>
      <c r="K296" s="193">
        <f t="shared" si="104"/>
        <v>47034</v>
      </c>
      <c r="L296" s="143">
        <f>IF(t&lt;Tvie,1-EXP((T0-t)*PertePVj)+'2027'!Pspv,1-EXP((T0-t)*PertePVj)+Pspv)</f>
        <v>3.3802878329231345E-2</v>
      </c>
      <c r="M296" s="836"/>
      <c r="N296" s="836"/>
      <c r="O296" s="48">
        <f>IF(t&lt;Tnet,'2027'!Resal+('2027'!Salim-'2027'!Resal)*(1-EXP(('2027'!Tnet-t)/('2027'!Tau_j))),Resal+(Salim-Resal)*(1-EXP((Tnet-t)/(Tau_j))))*Salcycl</f>
        <v>3.1717164795113398E-2</v>
      </c>
      <c r="P296" s="165">
        <f>(INDEX(Models!$BJ296:$BT296,,T296)*(1-R296)+INDEX(Models!$BJ296:$BT296,,T296+1)*R296-ERP_i)*Q296*Ramure*Pc/MaxiM</f>
        <v>7.7098786753605959E-4</v>
      </c>
      <c r="Q296" s="301">
        <f t="shared" si="105"/>
        <v>0.5</v>
      </c>
      <c r="R296" s="173">
        <f t="shared" si="106"/>
        <v>0.49053729937415147</v>
      </c>
      <c r="S296" s="802">
        <f t="shared" si="107"/>
        <v>3</v>
      </c>
      <c r="T296" s="172">
        <f t="shared" si="108"/>
        <v>9</v>
      </c>
      <c r="U296" s="247">
        <f t="shared" si="109"/>
        <v>3.4905372993741515</v>
      </c>
      <c r="V296" s="378">
        <f t="shared" si="110"/>
        <v>35.431413655171831</v>
      </c>
      <c r="W296" s="397">
        <f t="shared" si="111"/>
        <v>34.572610050177062</v>
      </c>
      <c r="X296" s="153">
        <f t="shared" si="112"/>
        <v>47034</v>
      </c>
      <c r="Y296" s="380">
        <f t="shared" si="113"/>
        <v>33.68116842418064</v>
      </c>
      <c r="Z296" s="380">
        <f t="shared" si="114"/>
        <v>34.859520556155708</v>
      </c>
      <c r="AA296" s="381">
        <f t="shared" si="115"/>
        <v>36.954233207462146</v>
      </c>
      <c r="AB296" s="193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5.6683970129935132E-2</v>
      </c>
      <c r="AD296" s="227">
        <f>(INDEX(Models!$BJ296:$BT296,,AH296)*(1-AF296)+INDEX(Models!$BJ296:$BT296,,AH296+1)*AF296-ERP_i)*AE296*Ramure*Pc/MaxiM</f>
        <v>7.7098786753605959E-4</v>
      </c>
      <c r="AE296" s="301">
        <f t="shared" si="117"/>
        <v>0.5</v>
      </c>
      <c r="AF296" s="173">
        <f t="shared" si="118"/>
        <v>0.49053729937415147</v>
      </c>
      <c r="AG296" s="802">
        <f t="shared" si="124"/>
        <v>3</v>
      </c>
      <c r="AH296" s="172">
        <f t="shared" si="119"/>
        <v>9</v>
      </c>
      <c r="AI296" s="221">
        <f t="shared" si="120"/>
        <v>3.4905372993741515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47035</v>
      </c>
      <c r="B297" s="406">
        <f>'2027'!Wh/'2027'!Env_an*'2028'!Env_an</f>
        <v>30.268890213549255</v>
      </c>
      <c r="C297" s="832"/>
      <c r="D297" s="388">
        <f t="shared" si="102"/>
        <v>31.328290983280468</v>
      </c>
      <c r="E297" s="380">
        <f t="shared" ref="E297:E360" si="125">Wh_pvt/(1-Psa)</f>
        <v>32.355525998879166</v>
      </c>
      <c r="F297" s="380">
        <f t="shared" si="103"/>
        <v>32.37739180589454</v>
      </c>
      <c r="G297" s="110">
        <f t="shared" ref="G297:G360" si="126">+Wh_hp/MaxiM</f>
        <v>0.86358997486029832</v>
      </c>
      <c r="H297" s="409" t="b">
        <f>Wh_hp&gt;='2027'!Maxi_hp</f>
        <v>0</v>
      </c>
      <c r="I297" s="385">
        <f>IF(H297,Wh_hp,'2027'!Maxi_hp)</f>
        <v>32.382160198719454</v>
      </c>
      <c r="J297" s="85">
        <f>IF(H297,An,'2027'!An_max)</f>
        <v>2022</v>
      </c>
      <c r="K297" s="193">
        <f t="shared" si="104"/>
        <v>47035</v>
      </c>
      <c r="L297" s="143">
        <f>IF(t&lt;Tvie,1-EXP((T0-t)*PertePVj)+'2027'!Pspv,1-EXP((T0-t)*PertePVj)+Pspv)</f>
        <v>3.3816104756451693E-2</v>
      </c>
      <c r="M297" s="836"/>
      <c r="N297" s="836"/>
      <c r="O297" s="48">
        <f>IF(t&lt;Tnet,'2027'!Resal+('2027'!Salim-'2027'!Resal)*(1-EXP(('2027'!Tnet-t)/('2027'!Tau_j))),Resal+(Salim-Resal)*(1-EXP((Tnet-t)/(Tau_j))))*Salcycl</f>
        <v>3.1748363962133798E-2</v>
      </c>
      <c r="P297" s="165">
        <f>(INDEX(Models!$BJ297:$BT297,,T297)*(1-R297)+INDEX(Models!$BJ297:$BT297,,T297+1)*R297-ERP_i)*Q297*Ramure*Pc/MaxiM</f>
        <v>8.3859007156448053E-4</v>
      </c>
      <c r="Q297" s="301">
        <f t="shared" si="105"/>
        <v>0.5</v>
      </c>
      <c r="R297" s="173">
        <f t="shared" si="106"/>
        <v>0.49067507583274272</v>
      </c>
      <c r="S297" s="802">
        <f t="shared" si="107"/>
        <v>3</v>
      </c>
      <c r="T297" s="172">
        <f t="shared" si="108"/>
        <v>9</v>
      </c>
      <c r="U297" s="247">
        <f t="shared" si="109"/>
        <v>3.4906750758327427</v>
      </c>
      <c r="V297" s="378">
        <f t="shared" si="110"/>
        <v>35.044345594651361</v>
      </c>
      <c r="W297" s="397">
        <f t="shared" si="111"/>
        <v>30.268890213549255</v>
      </c>
      <c r="X297" s="153">
        <f t="shared" si="112"/>
        <v>47035</v>
      </c>
      <c r="Y297" s="380">
        <f t="shared" si="113"/>
        <v>29.489489589038129</v>
      </c>
      <c r="Z297" s="380">
        <f t="shared" si="114"/>
        <v>30.521611604387839</v>
      </c>
      <c r="AA297" s="381">
        <f t="shared" si="115"/>
        <v>32.355525998879166</v>
      </c>
      <c r="AB297" s="193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5.6680098310095725E-2</v>
      </c>
      <c r="AD297" s="227">
        <f>(INDEX(Models!$BJ297:$BT297,,AH297)*(1-AF297)+INDEX(Models!$BJ297:$BT297,,AH297+1)*AF297-ERP_i)*AE297*Ramure*Pc/MaxiM</f>
        <v>8.3859007156448053E-4</v>
      </c>
      <c r="AE297" s="301">
        <f t="shared" si="117"/>
        <v>0.5</v>
      </c>
      <c r="AF297" s="173">
        <f t="shared" si="118"/>
        <v>0.49067507583274272</v>
      </c>
      <c r="AG297" s="802">
        <f t="shared" si="124"/>
        <v>3</v>
      </c>
      <c r="AH297" s="172">
        <f t="shared" si="119"/>
        <v>9</v>
      </c>
      <c r="AI297" s="221">
        <f t="shared" si="120"/>
        <v>3.4906750758327427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47036</v>
      </c>
      <c r="B298" s="406">
        <f>'2027'!Wh/'2027'!Env_an*'2028'!Env_an</f>
        <v>24.342510500079733</v>
      </c>
      <c r="C298" s="832"/>
      <c r="D298" s="388">
        <f t="shared" si="102"/>
        <v>25.194834909799539</v>
      </c>
      <c r="E298" s="380">
        <f t="shared" si="125"/>
        <v>26.021781840509583</v>
      </c>
      <c r="F298" s="380">
        <f t="shared" si="103"/>
        <v>26.03544128074919</v>
      </c>
      <c r="G298" s="110">
        <f t="shared" si="126"/>
        <v>0.70209120685205506</v>
      </c>
      <c r="H298" s="409" t="b">
        <f>Wh_hp&gt;='2027'!Maxi_hp</f>
        <v>0</v>
      </c>
      <c r="I298" s="385">
        <f>IF(H298,Wh_hp,'2027'!Maxi_hp)</f>
        <v>26.044587044663935</v>
      </c>
      <c r="J298" s="85">
        <f>IF(H298,An,'2027'!An_max)</f>
        <v>2022</v>
      </c>
      <c r="K298" s="193">
        <f t="shared" si="104"/>
        <v>47036</v>
      </c>
      <c r="L298" s="143">
        <f>IF(t&lt;Tvie,1-EXP((T0-t)*PertePVj)+'2027'!Pspv,1-EXP((T0-t)*PertePVj)+Pspv)</f>
        <v>3.3829331002613316E-2</v>
      </c>
      <c r="M298" s="836"/>
      <c r="N298" s="836"/>
      <c r="O298" s="48">
        <f>IF(t&lt;Tnet,'2027'!Resal+('2027'!Salim-'2027'!Resal)*(1-EXP(('2027'!Tnet-t)/('2027'!Tau_j))),Resal+(Salim-Resal)*(1-EXP((Tnet-t)/(Tau_j))))*Salcycl</f>
        <v>3.1779027884350552E-2</v>
      </c>
      <c r="P298" s="165">
        <f>(INDEX(Models!$BJ298:$BT298,,T298)*(1-R298)+INDEX(Models!$BJ298:$BT298,,T298+1)*R298-ERP_i)*Q298*Ramure*Pc/MaxiM</f>
        <v>9.1273973263032596E-4</v>
      </c>
      <c r="Q298" s="301">
        <f t="shared" si="105"/>
        <v>0.5</v>
      </c>
      <c r="R298" s="173">
        <f t="shared" si="106"/>
        <v>0.49080737680610875</v>
      </c>
      <c r="S298" s="802">
        <f t="shared" si="107"/>
        <v>3</v>
      </c>
      <c r="T298" s="172">
        <f t="shared" si="108"/>
        <v>9</v>
      </c>
      <c r="U298" s="247">
        <f t="shared" si="109"/>
        <v>3.4908073768061088</v>
      </c>
      <c r="V298" s="378">
        <f t="shared" si="110"/>
        <v>34.657973457972915</v>
      </c>
      <c r="W298" s="397">
        <f t="shared" si="111"/>
        <v>24.342510500079733</v>
      </c>
      <c r="X298" s="153">
        <f t="shared" si="112"/>
        <v>47036</v>
      </c>
      <c r="Y298" s="380">
        <f t="shared" si="113"/>
        <v>23.716579183145026</v>
      </c>
      <c r="Z298" s="380">
        <f t="shared" si="114"/>
        <v>24.546987343091423</v>
      </c>
      <c r="AA298" s="381">
        <f t="shared" si="115"/>
        <v>26.021781840509583</v>
      </c>
      <c r="AB298" s="193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5.667538473949784E-2</v>
      </c>
      <c r="AD298" s="227">
        <f>(INDEX(Models!$BJ298:$BT298,,AH298)*(1-AF298)+INDEX(Models!$BJ298:$BT298,,AH298+1)*AF298-ERP_i)*AE298*Ramure*Pc/MaxiM</f>
        <v>9.1273973263032596E-4</v>
      </c>
      <c r="AE298" s="301">
        <f t="shared" si="117"/>
        <v>0.5</v>
      </c>
      <c r="AF298" s="173">
        <f t="shared" si="118"/>
        <v>0.49080737680610875</v>
      </c>
      <c r="AG298" s="802">
        <f t="shared" si="124"/>
        <v>3</v>
      </c>
      <c r="AH298" s="172">
        <f t="shared" si="119"/>
        <v>9</v>
      </c>
      <c r="AI298" s="221">
        <f t="shared" si="120"/>
        <v>3.4908073768061088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47037</v>
      </c>
      <c r="B299" s="406">
        <f>'2027'!Wh/'2027'!Env_an*'2028'!Env_an</f>
        <v>24.247984227898773</v>
      </c>
      <c r="C299" s="832"/>
      <c r="D299" s="388">
        <f t="shared" si="102"/>
        <v>25.097342472781975</v>
      </c>
      <c r="E299" s="380">
        <f t="shared" si="125"/>
        <v>25.921896182455928</v>
      </c>
      <c r="F299" s="380">
        <f t="shared" si="103"/>
        <v>25.936897668662219</v>
      </c>
      <c r="G299" s="110">
        <f t="shared" si="126"/>
        <v>0.707207360263435</v>
      </c>
      <c r="H299" s="409" t="b">
        <f>Wh_hp&gt;='2027'!Maxi_hp</f>
        <v>0</v>
      </c>
      <c r="I299" s="385">
        <f>IF(H299,Wh_hp,'2027'!Maxi_hp)</f>
        <v>25.946681721732432</v>
      </c>
      <c r="J299" s="85">
        <f>IF(H299,An,'2027'!An_max)</f>
        <v>2022</v>
      </c>
      <c r="K299" s="193">
        <f t="shared" si="104"/>
        <v>47037</v>
      </c>
      <c r="L299" s="143">
        <f>IF(t&lt;Tvie,1-EXP((T0-t)*PertePVj)+'2027'!Pspv,1-EXP((T0-t)*PertePVj)+Pspv)</f>
        <v>3.3842557067718659E-2</v>
      </c>
      <c r="M299" s="836"/>
      <c r="N299" s="836"/>
      <c r="O299" s="48">
        <f>IF(t&lt;Tnet,'2027'!Resal+('2027'!Salim-'2027'!Resal)*(1-EXP(('2027'!Tnet-t)/('2027'!Tau_j))),Resal+(Salim-Resal)*(1-EXP((Tnet-t)/(Tau_j))))*Salcycl</f>
        <v>3.180915870776517E-2</v>
      </c>
      <c r="P299" s="165">
        <f>(INDEX(Models!$BJ299:$BT299,,T299)*(1-R299)+INDEX(Models!$BJ299:$BT299,,T299+1)*R299-ERP_i)*Q299*Ramure*Pc/MaxiM</f>
        <v>9.9353998347039636E-4</v>
      </c>
      <c r="Q299" s="301">
        <f t="shared" si="105"/>
        <v>0.5</v>
      </c>
      <c r="R299" s="173">
        <f t="shared" si="106"/>
        <v>0.49093441714101038</v>
      </c>
      <c r="S299" s="802">
        <f t="shared" si="107"/>
        <v>3</v>
      </c>
      <c r="T299" s="172">
        <f t="shared" si="108"/>
        <v>9</v>
      </c>
      <c r="U299" s="247">
        <f t="shared" si="109"/>
        <v>3.4909344171410104</v>
      </c>
      <c r="V299" s="378">
        <f t="shared" si="110"/>
        <v>34.272708498052957</v>
      </c>
      <c r="W299" s="397">
        <f t="shared" si="111"/>
        <v>24.247984227898773</v>
      </c>
      <c r="X299" s="153">
        <f t="shared" si="112"/>
        <v>47037</v>
      </c>
      <c r="Y299" s="380">
        <f t="shared" si="113"/>
        <v>23.625357700503642</v>
      </c>
      <c r="Z299" s="380">
        <f t="shared" si="114"/>
        <v>24.452906587150888</v>
      </c>
      <c r="AA299" s="381">
        <f t="shared" si="115"/>
        <v>25.921896182455928</v>
      </c>
      <c r="AB299" s="193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5.6669835607908135E-2</v>
      </c>
      <c r="AD299" s="227">
        <f>(INDEX(Models!$BJ299:$BT299,,AH299)*(1-AF299)+INDEX(Models!$BJ299:$BT299,,AH299+1)*AF299-ERP_i)*AE299*Ramure*Pc/MaxiM</f>
        <v>9.9353998347039636E-4</v>
      </c>
      <c r="AE299" s="301">
        <f t="shared" si="117"/>
        <v>0.5</v>
      </c>
      <c r="AF299" s="173">
        <f t="shared" si="118"/>
        <v>0.49093441714101038</v>
      </c>
      <c r="AG299" s="802">
        <f t="shared" si="124"/>
        <v>3</v>
      </c>
      <c r="AH299" s="172">
        <f t="shared" si="119"/>
        <v>9</v>
      </c>
      <c r="AI299" s="221">
        <f t="shared" si="120"/>
        <v>3.4909344171410104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47038</v>
      </c>
      <c r="B300" s="406">
        <f>'2027'!Wh/'2027'!Env_an*'2028'!Env_an</f>
        <v>21.96286592018614</v>
      </c>
      <c r="C300" s="832"/>
      <c r="D300" s="388">
        <f t="shared" si="102"/>
        <v>22.7324922435361</v>
      </c>
      <c r="E300" s="380">
        <f t="shared" si="125"/>
        <v>23.4800685126127</v>
      </c>
      <c r="F300" s="380">
        <f t="shared" si="103"/>
        <v>23.492697814023497</v>
      </c>
      <c r="G300" s="110">
        <f t="shared" si="126"/>
        <v>0.64773074422154264</v>
      </c>
      <c r="H300" s="409" t="b">
        <f>Wh_hp&gt;='2027'!Maxi_hp</f>
        <v>0</v>
      </c>
      <c r="I300" s="385">
        <f>IF(H300,Wh_hp,'2027'!Maxi_hp)</f>
        <v>23.504348128002412</v>
      </c>
      <c r="J300" s="85">
        <f>IF(H300,An,'2027'!An_max)</f>
        <v>2022</v>
      </c>
      <c r="K300" s="193">
        <f t="shared" si="104"/>
        <v>47038</v>
      </c>
      <c r="L300" s="143">
        <f>IF(t&lt;Tvie,1-EXP((T0-t)*PertePVj)+'2027'!Pspv,1-EXP((T0-t)*PertePVj)+Pspv)</f>
        <v>3.3855782951770386E-2</v>
      </c>
      <c r="M300" s="836"/>
      <c r="N300" s="836"/>
      <c r="O300" s="48">
        <f>IF(t&lt;Tnet,'2027'!Resal+('2027'!Salim-'2027'!Resal)*(1-EXP(('2027'!Tnet-t)/('2027'!Tau_j))),Resal+(Salim-Resal)*(1-EXP((Tnet-t)/(Tau_j))))*Salcycl</f>
        <v>3.1838760124359378E-2</v>
      </c>
      <c r="P300" s="165">
        <f>(INDEX(Models!$BJ300:$BT300,,T300)*(1-R300)+INDEX(Models!$BJ300:$BT300,,T300+1)*R300-ERP_i)*Q300*Ramure*Pc/MaxiM</f>
        <v>1.0810890047494878E-3</v>
      </c>
      <c r="Q300" s="301">
        <f t="shared" si="105"/>
        <v>0.5</v>
      </c>
      <c r="R300" s="173">
        <f t="shared" si="106"/>
        <v>0.49105640347060442</v>
      </c>
      <c r="S300" s="802">
        <f t="shared" si="107"/>
        <v>3</v>
      </c>
      <c r="T300" s="172">
        <f t="shared" si="108"/>
        <v>9</v>
      </c>
      <c r="U300" s="247">
        <f t="shared" si="109"/>
        <v>3.4910564034706044</v>
      </c>
      <c r="V300" s="378">
        <f t="shared" si="110"/>
        <v>33.888961996431433</v>
      </c>
      <c r="W300" s="397">
        <f t="shared" si="111"/>
        <v>21.96286592018614</v>
      </c>
      <c r="X300" s="153">
        <f t="shared" si="112"/>
        <v>47038</v>
      </c>
      <c r="Y300" s="380">
        <f t="shared" si="113"/>
        <v>21.399714320516484</v>
      </c>
      <c r="Z300" s="380">
        <f t="shared" si="114"/>
        <v>22.149606593824096</v>
      </c>
      <c r="AA300" s="381">
        <f t="shared" si="115"/>
        <v>23.4800685126127</v>
      </c>
      <c r="AB300" s="193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5.666345982227116E-2</v>
      </c>
      <c r="AD300" s="227">
        <f>(INDEX(Models!$BJ300:$BT300,,AH300)*(1-AF300)+INDEX(Models!$BJ300:$BT300,,AH300+1)*AF300-ERP_i)*AE300*Ramure*Pc/MaxiM</f>
        <v>1.0810890047494878E-3</v>
      </c>
      <c r="AE300" s="301">
        <f t="shared" si="117"/>
        <v>0.5</v>
      </c>
      <c r="AF300" s="173">
        <f t="shared" si="118"/>
        <v>0.49105640347060442</v>
      </c>
      <c r="AG300" s="802">
        <f t="shared" si="124"/>
        <v>3</v>
      </c>
      <c r="AH300" s="172">
        <f t="shared" si="119"/>
        <v>9</v>
      </c>
      <c r="AI300" s="221">
        <f t="shared" si="120"/>
        <v>3.4910564034706044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47039</v>
      </c>
      <c r="B301" s="406">
        <f>'2027'!Wh/'2027'!Env_an*'2028'!Env_an</f>
        <v>14.761317879148963</v>
      </c>
      <c r="C301" s="832"/>
      <c r="D301" s="388">
        <f t="shared" si="102"/>
        <v>15.278795537441027</v>
      </c>
      <c r="E301" s="380">
        <f t="shared" si="125"/>
        <v>15.781724983509136</v>
      </c>
      <c r="F301" s="380">
        <f t="shared" si="103"/>
        <v>15.785450454612176</v>
      </c>
      <c r="G301" s="110">
        <f t="shared" si="126"/>
        <v>0.44012841559448179</v>
      </c>
      <c r="H301" s="409" t="b">
        <f>Wh_hp&gt;='2027'!Maxi_hp</f>
        <v>0</v>
      </c>
      <c r="I301" s="385">
        <f>IF(H301,Wh_hp,'2027'!Maxi_hp)</f>
        <v>15.799040866811126</v>
      </c>
      <c r="J301" s="85">
        <f>IF(H301,An,'2027'!An_max)</f>
        <v>2022</v>
      </c>
      <c r="K301" s="193">
        <f t="shared" si="104"/>
        <v>47039</v>
      </c>
      <c r="L301" s="143">
        <f>IF(t&lt;Tvie,1-EXP((T0-t)*PertePVj)+'2027'!Pspv,1-EXP((T0-t)*PertePVj)+Pspv)</f>
        <v>3.3869008654770827E-2</v>
      </c>
      <c r="M301" s="836"/>
      <c r="N301" s="836"/>
      <c r="O301" s="48">
        <f>IF(t&lt;Tnet,'2027'!Resal+('2027'!Salim-'2027'!Resal)*(1-EXP(('2027'!Tnet-t)/('2027'!Tau_j))),Resal+(Salim-Resal)*(1-EXP((Tnet-t)/(Tau_j))))*Salcycl</f>
        <v>3.1867837425480237E-2</v>
      </c>
      <c r="P301" s="165">
        <f>(INDEX(Models!$BJ301:$BT301,,T301)*(1-R301)+INDEX(Models!$BJ301:$BT301,,T301+1)*R301-ERP_i)*Q301*Ramure*Pc/MaxiM</f>
        <v>1.1754791294256686E-3</v>
      </c>
      <c r="Q301" s="301">
        <f t="shared" si="105"/>
        <v>0.5</v>
      </c>
      <c r="R301" s="173">
        <f t="shared" si="106"/>
        <v>0.49117353451138523</v>
      </c>
      <c r="S301" s="802">
        <f t="shared" si="107"/>
        <v>3</v>
      </c>
      <c r="T301" s="172">
        <f t="shared" si="108"/>
        <v>9</v>
      </c>
      <c r="U301" s="247">
        <f t="shared" si="109"/>
        <v>3.4911735345113852</v>
      </c>
      <c r="V301" s="378">
        <f t="shared" si="110"/>
        <v>33.507145257772819</v>
      </c>
      <c r="W301" s="397">
        <f t="shared" si="111"/>
        <v>14.761317879148963</v>
      </c>
      <c r="X301" s="153">
        <f t="shared" si="112"/>
        <v>47039</v>
      </c>
      <c r="Y301" s="380">
        <f t="shared" si="113"/>
        <v>14.38336336670123</v>
      </c>
      <c r="Z301" s="380">
        <f t="shared" si="114"/>
        <v>14.887591326176183</v>
      </c>
      <c r="AA301" s="381">
        <f t="shared" si="115"/>
        <v>15.781724983509136</v>
      </c>
      <c r="AB301" s="193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5.6656269087648065E-2</v>
      </c>
      <c r="AD301" s="227">
        <f>(INDEX(Models!$BJ301:$BT301,,AH301)*(1-AF301)+INDEX(Models!$BJ301:$BT301,,AH301+1)*AF301-ERP_i)*AE301*Ramure*Pc/MaxiM</f>
        <v>1.1754791294256686E-3</v>
      </c>
      <c r="AE301" s="301">
        <f t="shared" si="117"/>
        <v>0.5</v>
      </c>
      <c r="AF301" s="173">
        <f t="shared" si="118"/>
        <v>0.49117353451138523</v>
      </c>
      <c r="AG301" s="802">
        <f t="shared" si="124"/>
        <v>3</v>
      </c>
      <c r="AH301" s="172">
        <f t="shared" si="119"/>
        <v>9</v>
      </c>
      <c r="AI301" s="221">
        <f t="shared" si="120"/>
        <v>3.4911735345113852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47040</v>
      </c>
      <c r="B302" s="406">
        <f>'2027'!Wh/'2027'!Env_an*'2028'!Env_an</f>
        <v>32.898350997872285</v>
      </c>
      <c r="C302" s="832"/>
      <c r="D302" s="388">
        <f t="shared" si="102"/>
        <v>34.052112652993131</v>
      </c>
      <c r="E302" s="380">
        <f t="shared" si="125"/>
        <v>35.174037744220897</v>
      </c>
      <c r="F302" s="380">
        <f t="shared" si="103"/>
        <v>35.218559981879217</v>
      </c>
      <c r="G302" s="110">
        <f t="shared" si="126"/>
        <v>0.99306517734420652</v>
      </c>
      <c r="H302" s="409" t="b">
        <f>Wh_hp&gt;='2027'!Maxi_hp</f>
        <v>0</v>
      </c>
      <c r="I302" s="385">
        <f>IF(H302,Wh_hp,'2027'!Maxi_hp)</f>
        <v>35.21896935140299</v>
      </c>
      <c r="J302" s="85">
        <f>IF(H302,An,'2027'!An_max)</f>
        <v>2022</v>
      </c>
      <c r="K302" s="193">
        <f t="shared" si="104"/>
        <v>47040</v>
      </c>
      <c r="L302" s="143">
        <f>IF(t&lt;Tvie,1-EXP((T0-t)*PertePVj)+'2027'!Pspv,1-EXP((T0-t)*PertePVj)+Pspv)</f>
        <v>3.3882234176722426E-2</v>
      </c>
      <c r="M302" s="836"/>
      <c r="N302" s="836"/>
      <c r="O302" s="48">
        <f>IF(t&lt;Tnet,'2027'!Resal+('2027'!Salim-'2027'!Resal)*(1-EXP(('2027'!Tnet-t)/('2027'!Tau_j))),Resal+(Salim-Resal)*(1-EXP((Tnet-t)/(Tau_j))))*Salcycl</f>
        <v>3.1896397547139708E-2</v>
      </c>
      <c r="P302" s="165">
        <f>(INDEX(Models!$BJ302:$BT302,,T302)*(1-R302)+INDEX(Models!$BJ302:$BT302,,T302+1)*R302-ERP_i)*Q302*Ramure*Pc/MaxiM</f>
        <v>1.2767959119617525E-3</v>
      </c>
      <c r="Q302" s="301">
        <f t="shared" si="105"/>
        <v>0.5</v>
      </c>
      <c r="R302" s="173">
        <f t="shared" si="106"/>
        <v>0.49128600135075118</v>
      </c>
      <c r="S302" s="802">
        <f t="shared" si="107"/>
        <v>3</v>
      </c>
      <c r="T302" s="172">
        <f t="shared" si="108"/>
        <v>9</v>
      </c>
      <c r="U302" s="247">
        <f t="shared" si="109"/>
        <v>3.4912860013507512</v>
      </c>
      <c r="V302" s="378">
        <f t="shared" si="110"/>
        <v>33.127669605425901</v>
      </c>
      <c r="W302" s="397">
        <f t="shared" si="111"/>
        <v>32.898350997872285</v>
      </c>
      <c r="X302" s="153">
        <f t="shared" si="112"/>
        <v>47040</v>
      </c>
      <c r="Y302" s="380">
        <f t="shared" si="113"/>
        <v>32.057226093413519</v>
      </c>
      <c r="Z302" s="380">
        <f t="shared" si="114"/>
        <v>33.181489076640617</v>
      </c>
      <c r="AA302" s="381">
        <f t="shared" si="115"/>
        <v>35.174037744220897</v>
      </c>
      <c r="AB302" s="193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5.664827797336569E-2</v>
      </c>
      <c r="AD302" s="227">
        <f>(INDEX(Models!$BJ302:$BT302,,AH302)*(1-AF302)+INDEX(Models!$BJ302:$BT302,,AH302+1)*AF302-ERP_i)*AE302*Ramure*Pc/MaxiM</f>
        <v>1.2767959119617525E-3</v>
      </c>
      <c r="AE302" s="301">
        <f t="shared" si="117"/>
        <v>0.5</v>
      </c>
      <c r="AF302" s="173">
        <f t="shared" si="118"/>
        <v>0.49128600135075118</v>
      </c>
      <c r="AG302" s="802">
        <f t="shared" si="124"/>
        <v>3</v>
      </c>
      <c r="AH302" s="172">
        <f t="shared" si="119"/>
        <v>9</v>
      </c>
      <c r="AI302" s="221">
        <f t="shared" si="120"/>
        <v>3.4912860013507512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47041</v>
      </c>
      <c r="B303" s="406">
        <f>'2027'!Wh/'2027'!Env_an*'2028'!Env_an</f>
        <v>28.83776711668585</v>
      </c>
      <c r="C303" s="832"/>
      <c r="D303" s="388">
        <f t="shared" si="102"/>
        <v>29.849530675311048</v>
      </c>
      <c r="E303" s="380">
        <f t="shared" si="125"/>
        <v>30.833885483177589</v>
      </c>
      <c r="F303" s="380">
        <f t="shared" si="103"/>
        <v>30.869349437402974</v>
      </c>
      <c r="G303" s="110">
        <f t="shared" si="126"/>
        <v>0.88035402116575823</v>
      </c>
      <c r="H303" s="409" t="b">
        <f>Wh_hp&gt;='2027'!Maxi_hp</f>
        <v>0</v>
      </c>
      <c r="I303" s="385">
        <f>IF(H303,Wh_hp,'2027'!Maxi_hp)</f>
        <v>30.876096250256072</v>
      </c>
      <c r="J303" s="85">
        <f>IF(H303,An,'2027'!An_max)</f>
        <v>2022</v>
      </c>
      <c r="K303" s="193">
        <f t="shared" si="104"/>
        <v>47041</v>
      </c>
      <c r="L303" s="143">
        <f>IF(t&lt;Tvie,1-EXP((T0-t)*PertePVj)+'2027'!Pspv,1-EXP((T0-t)*PertePVj)+Pspv)</f>
        <v>3.3895459517627846E-2</v>
      </c>
      <c r="M303" s="836"/>
      <c r="N303" s="836"/>
      <c r="O303" s="48">
        <f>IF(t&lt;Tnet,'2027'!Resal+('2027'!Salim-'2027'!Resal)*(1-EXP(('2027'!Tnet-t)/('2027'!Tau_j))),Resal+(Salim-Resal)*(1-EXP((Tnet-t)/(Tau_j))))*Salcycl</f>
        <v>3.1924449106603386E-2</v>
      </c>
      <c r="P303" s="165">
        <f>(INDEX(Models!$BJ303:$BT303,,T303)*(1-R303)+INDEX(Models!$BJ303:$BT303,,T303+1)*R303-ERP_i)*Q303*Ramure*Pc/MaxiM</f>
        <v>1.3851883508687363E-3</v>
      </c>
      <c r="Q303" s="301">
        <f t="shared" si="105"/>
        <v>0.5</v>
      </c>
      <c r="R303" s="173">
        <f t="shared" si="106"/>
        <v>0.49139398772538456</v>
      </c>
      <c r="S303" s="802">
        <f t="shared" si="107"/>
        <v>3</v>
      </c>
      <c r="T303" s="172">
        <f t="shared" si="108"/>
        <v>9</v>
      </c>
      <c r="U303" s="247">
        <f t="shared" si="109"/>
        <v>3.4913939877253846</v>
      </c>
      <c r="V303" s="378">
        <f t="shared" si="110"/>
        <v>32.749260906084274</v>
      </c>
      <c r="W303" s="397">
        <f t="shared" si="111"/>
        <v>28.83776711668585</v>
      </c>
      <c r="X303" s="153">
        <f t="shared" si="112"/>
        <v>47041</v>
      </c>
      <c r="Y303" s="380">
        <f t="shared" si="113"/>
        <v>28.101536359098823</v>
      </c>
      <c r="Z303" s="380">
        <f t="shared" si="114"/>
        <v>29.087469504146867</v>
      </c>
      <c r="AA303" s="381">
        <f t="shared" si="115"/>
        <v>30.833885483177589</v>
      </c>
      <c r="AB303" s="193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5.6639503963376164E-2</v>
      </c>
      <c r="AD303" s="227">
        <f>(INDEX(Models!$BJ303:$BT303,,AH303)*(1-AF303)+INDEX(Models!$BJ303:$BT303,,AH303+1)*AF303-ERP_i)*AE303*Ramure*Pc/MaxiM</f>
        <v>1.3851883508687363E-3</v>
      </c>
      <c r="AE303" s="301">
        <f t="shared" si="117"/>
        <v>0.5</v>
      </c>
      <c r="AF303" s="173">
        <f t="shared" si="118"/>
        <v>0.49139398772538456</v>
      </c>
      <c r="AG303" s="802">
        <f t="shared" si="124"/>
        <v>3</v>
      </c>
      <c r="AH303" s="172">
        <f t="shared" si="119"/>
        <v>9</v>
      </c>
      <c r="AI303" s="221">
        <f t="shared" si="120"/>
        <v>3.4913939877253846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47042</v>
      </c>
      <c r="B304" s="406">
        <f>'2027'!Wh/'2027'!Env_an*'2028'!Env_an</f>
        <v>16.250399139587167</v>
      </c>
      <c r="C304" s="832"/>
      <c r="D304" s="388">
        <f t="shared" si="102"/>
        <v>16.82076930187732</v>
      </c>
      <c r="E304" s="380">
        <f t="shared" si="125"/>
        <v>17.375966216650141</v>
      </c>
      <c r="F304" s="380">
        <f t="shared" si="103"/>
        <v>17.383699869538653</v>
      </c>
      <c r="G304" s="110">
        <f t="shared" si="126"/>
        <v>0.50148107721612112</v>
      </c>
      <c r="H304" s="409" t="b">
        <f>Wh_hp&gt;='2027'!Maxi_hp</f>
        <v>0</v>
      </c>
      <c r="I304" s="385">
        <f>IF(H304,Wh_hp,'2027'!Maxi_hp)</f>
        <v>17.401400956915101</v>
      </c>
      <c r="J304" s="85">
        <f>IF(H304,An,'2027'!An_max)</f>
        <v>2022</v>
      </c>
      <c r="K304" s="193">
        <f t="shared" si="104"/>
        <v>47042</v>
      </c>
      <c r="L304" s="143">
        <f>IF(t&lt;Tvie,1-EXP((T0-t)*PertePVj)+'2027'!Pspv,1-EXP((T0-t)*PertePVj)+Pspv)</f>
        <v>3.390868467748942E-2</v>
      </c>
      <c r="M304" s="836"/>
      <c r="N304" s="836"/>
      <c r="O304" s="48">
        <f>IF(t&lt;Tnet,'2027'!Resal+('2027'!Salim-'2027'!Resal)*(1-EXP(('2027'!Tnet-t)/('2027'!Tau_j))),Resal+(Salim-Resal)*(1-EXP((Tnet-t)/(Tau_j))))*Salcycl</f>
        <v>3.1952002429701719E-2</v>
      </c>
      <c r="P304" s="165">
        <f>(INDEX(Models!$BJ304:$BT304,,T304)*(1-R304)+INDEX(Models!$BJ304:$BT304,,T304+1)*R304-ERP_i)*Q304*Ramure*Pc/MaxiM</f>
        <v>1.5414190581236082E-3</v>
      </c>
      <c r="Q304" s="301">
        <f t="shared" si="105"/>
        <v>0.5</v>
      </c>
      <c r="R304" s="173">
        <f t="shared" si="106"/>
        <v>0.49149767029062907</v>
      </c>
      <c r="S304" s="802">
        <f t="shared" si="107"/>
        <v>3</v>
      </c>
      <c r="T304" s="172">
        <f t="shared" si="108"/>
        <v>9</v>
      </c>
      <c r="U304" s="247">
        <f t="shared" si="109"/>
        <v>3.4914976702906291</v>
      </c>
      <c r="V304" s="378">
        <f t="shared" si="110"/>
        <v>32.369261257841423</v>
      </c>
      <c r="W304" s="397">
        <f t="shared" si="111"/>
        <v>16.250399139587167</v>
      </c>
      <c r="X304" s="153">
        <f t="shared" si="112"/>
        <v>47042</v>
      </c>
      <c r="Y304" s="380">
        <f t="shared" si="113"/>
        <v>15.836135814640292</v>
      </c>
      <c r="Z304" s="380">
        <f t="shared" si="114"/>
        <v>16.39196581469497</v>
      </c>
      <c r="AA304" s="381">
        <f t="shared" si="115"/>
        <v>17.375966216650141</v>
      </c>
      <c r="AB304" s="193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5.6629967489938753E-2</v>
      </c>
      <c r="AD304" s="227">
        <f>(INDEX(Models!$BJ304:$BT304,,AH304)*(1-AF304)+INDEX(Models!$BJ304:$BT304,,AH304+1)*AF304-ERP_i)*AE304*Ramure*Pc/MaxiM</f>
        <v>1.5414190581236082E-3</v>
      </c>
      <c r="AE304" s="301">
        <f t="shared" si="117"/>
        <v>0.5</v>
      </c>
      <c r="AF304" s="173">
        <f t="shared" si="118"/>
        <v>0.49149767029062907</v>
      </c>
      <c r="AG304" s="802">
        <f t="shared" si="124"/>
        <v>3</v>
      </c>
      <c r="AH304" s="172">
        <f t="shared" si="119"/>
        <v>9</v>
      </c>
      <c r="AI304" s="221">
        <f t="shared" si="120"/>
        <v>3.4914976702906291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47043</v>
      </c>
      <c r="B305" s="406">
        <f>'2027'!Wh/'2027'!Env_an*'2028'!Env_an</f>
        <v>28.984871322432955</v>
      </c>
      <c r="C305" s="832"/>
      <c r="D305" s="388">
        <f t="shared" si="102"/>
        <v>30.002617399305002</v>
      </c>
      <c r="E305" s="380">
        <f t="shared" si="125"/>
        <v>30.99376930406547</v>
      </c>
      <c r="F305" s="380">
        <f t="shared" si="103"/>
        <v>31.040768471963617</v>
      </c>
      <c r="G305" s="110">
        <f t="shared" si="126"/>
        <v>0.90590621367222035</v>
      </c>
      <c r="H305" s="409" t="b">
        <f>Wh_hp&gt;='2027'!Maxi_hp</f>
        <v>0</v>
      </c>
      <c r="I305" s="385">
        <f>IF(H305,Wh_hp,'2027'!Maxi_hp)</f>
        <v>31.04755390716814</v>
      </c>
      <c r="J305" s="85">
        <f>IF(H305,An,'2027'!An_max)</f>
        <v>2022</v>
      </c>
      <c r="K305" s="193">
        <f t="shared" si="104"/>
        <v>47043</v>
      </c>
      <c r="L305" s="143">
        <f>IF(t&lt;Tvie,1-EXP((T0-t)*PertePVj)+'2027'!Pspv,1-EXP((T0-t)*PertePVj)+Pspv)</f>
        <v>3.392190965630959E-2</v>
      </c>
      <c r="M305" s="836"/>
      <c r="N305" s="836"/>
      <c r="O305" s="48">
        <f>IF(t&lt;Tnet,'2027'!Resal+('2027'!Salim-'2027'!Resal)*(1-EXP(('2027'!Tnet-t)/('2027'!Tau_j))),Resal+(Salim-Resal)*(1-EXP((Tnet-t)/(Tau_j))))*Salcycl</f>
        <v>3.1979069568361843E-2</v>
      </c>
      <c r="P305" s="165">
        <f>(INDEX(Models!$BJ305:$BT305,,T305)*(1-R305)+INDEX(Models!$BJ305:$BT305,,T305+1)*R305-ERP_i)*Q305*Ramure*Pc/MaxiM</f>
        <v>1.7486295751031054E-3</v>
      </c>
      <c r="Q305" s="301">
        <f t="shared" si="105"/>
        <v>0.5</v>
      </c>
      <c r="R305" s="173">
        <f t="shared" si="106"/>
        <v>0.49159721888106978</v>
      </c>
      <c r="S305" s="802">
        <f t="shared" si="107"/>
        <v>3</v>
      </c>
      <c r="T305" s="172">
        <f t="shared" si="108"/>
        <v>9</v>
      </c>
      <c r="U305" s="247">
        <f t="shared" si="109"/>
        <v>3.4915972188810698</v>
      </c>
      <c r="V305" s="378">
        <f t="shared" si="110"/>
        <v>31.987928866785229</v>
      </c>
      <c r="W305" s="397">
        <f t="shared" si="111"/>
        <v>28.984871322432955</v>
      </c>
      <c r="X305" s="153">
        <f t="shared" si="112"/>
        <v>47043</v>
      </c>
      <c r="Y305" s="380">
        <f t="shared" si="113"/>
        <v>28.247071914817017</v>
      </c>
      <c r="Z305" s="380">
        <f t="shared" si="114"/>
        <v>29.238911633704355</v>
      </c>
      <c r="AA305" s="381">
        <f t="shared" si="115"/>
        <v>30.99376930406547</v>
      </c>
      <c r="AB305" s="193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5.6619691949856825E-2</v>
      </c>
      <c r="AD305" s="227">
        <f>(INDEX(Models!$BJ305:$BT305,,AH305)*(1-AF305)+INDEX(Models!$BJ305:$BT305,,AH305+1)*AF305-ERP_i)*AE305*Ramure*Pc/MaxiM</f>
        <v>1.7486295751031054E-3</v>
      </c>
      <c r="AE305" s="301">
        <f t="shared" si="117"/>
        <v>0.5</v>
      </c>
      <c r="AF305" s="173">
        <f t="shared" si="118"/>
        <v>0.49159721888106978</v>
      </c>
      <c r="AG305" s="802">
        <f t="shared" si="124"/>
        <v>3</v>
      </c>
      <c r="AH305" s="172">
        <f t="shared" si="119"/>
        <v>9</v>
      </c>
      <c r="AI305" s="221">
        <f t="shared" si="120"/>
        <v>3.4915972188810698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47044</v>
      </c>
      <c r="B306" s="406">
        <f>'2027'!Wh/'2027'!Env_an*'2028'!Env_an</f>
        <v>16.188110070727809</v>
      </c>
      <c r="C306" s="832"/>
      <c r="D306" s="388">
        <f t="shared" si="102"/>
        <v>16.756752727551216</v>
      </c>
      <c r="E306" s="380">
        <f t="shared" si="125"/>
        <v>17.310796261603041</v>
      </c>
      <c r="F306" s="380">
        <f t="shared" si="103"/>
        <v>17.321338168011806</v>
      </c>
      <c r="G306" s="110">
        <f t="shared" si="126"/>
        <v>0.51147419117048176</v>
      </c>
      <c r="H306" s="409" t="b">
        <f>Wh_hp&gt;='2027'!Maxi_hp</f>
        <v>0</v>
      </c>
      <c r="I306" s="385">
        <f>IF(H306,Wh_hp,'2027'!Maxi_hp)</f>
        <v>17.343995779122771</v>
      </c>
      <c r="J306" s="85">
        <f>IF(H306,An,'2027'!An_max)</f>
        <v>2022</v>
      </c>
      <c r="K306" s="193">
        <f t="shared" si="104"/>
        <v>47044</v>
      </c>
      <c r="L306" s="143">
        <f>IF(t&lt;Tvie,1-EXP((T0-t)*PertePVj)+'2027'!Pspv,1-EXP((T0-t)*PertePVj)+Pspv)</f>
        <v>3.393513445409102E-2</v>
      </c>
      <c r="M306" s="836"/>
      <c r="N306" s="836"/>
      <c r="O306" s="48">
        <f>IF(t&lt;Tnet,'2027'!Resal+('2027'!Salim-'2027'!Resal)*(1-EXP(('2027'!Tnet-t)/('2027'!Tau_j))),Resal+(Salim-Resal)*(1-EXP((Tnet-t)/(Tau_j))))*Salcycl</f>
        <v>3.200566430792931E-2</v>
      </c>
      <c r="P306" s="165">
        <f>(INDEX(Models!$BJ306:$BT306,,T306)*(1-R306)+INDEX(Models!$BJ306:$BT306,,T306+1)*R306-ERP_i)*Q306*Ramure*Pc/MaxiM</f>
        <v>2.0077437334788174E-3</v>
      </c>
      <c r="Q306" s="301">
        <f t="shared" si="105"/>
        <v>0.5</v>
      </c>
      <c r="R306" s="173">
        <f t="shared" si="106"/>
        <v>0.4916927967625</v>
      </c>
      <c r="S306" s="802">
        <f t="shared" si="107"/>
        <v>3</v>
      </c>
      <c r="T306" s="172">
        <f t="shared" si="108"/>
        <v>9</v>
      </c>
      <c r="U306" s="247">
        <f t="shared" si="109"/>
        <v>3.4916927967625</v>
      </c>
      <c r="V306" s="378">
        <f t="shared" si="110"/>
        <v>31.605596518629532</v>
      </c>
      <c r="W306" s="397">
        <f t="shared" si="111"/>
        <v>16.188110070727809</v>
      </c>
      <c r="X306" s="153">
        <f t="shared" si="112"/>
        <v>47044</v>
      </c>
      <c r="Y306" s="380">
        <f t="shared" si="113"/>
        <v>15.776664781111334</v>
      </c>
      <c r="Z306" s="380">
        <f t="shared" si="114"/>
        <v>16.33085452517329</v>
      </c>
      <c r="AA306" s="381">
        <f t="shared" si="115"/>
        <v>17.310796261603041</v>
      </c>
      <c r="AB306" s="193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5.6608703702634017E-2</v>
      </c>
      <c r="AD306" s="227">
        <f>(INDEX(Models!$BJ306:$BT306,,AH306)*(1-AF306)+INDEX(Models!$BJ306:$BT306,,AH306+1)*AF306-ERP_i)*AE306*Ramure*Pc/MaxiM</f>
        <v>2.0077437334788174E-3</v>
      </c>
      <c r="AE306" s="301">
        <f t="shared" si="117"/>
        <v>0.5</v>
      </c>
      <c r="AF306" s="173">
        <f t="shared" si="118"/>
        <v>0.4916927967625</v>
      </c>
      <c r="AG306" s="802">
        <f t="shared" si="124"/>
        <v>3</v>
      </c>
      <c r="AH306" s="172">
        <f t="shared" si="119"/>
        <v>9</v>
      </c>
      <c r="AI306" s="221">
        <f t="shared" si="120"/>
        <v>3.4916927967625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47045</v>
      </c>
      <c r="B307" s="406">
        <f>'2027'!Wh/'2027'!Env_an*'2028'!Env_an</f>
        <v>8.5137878624341621</v>
      </c>
      <c r="C307" s="832"/>
      <c r="D307" s="388">
        <f t="shared" si="102"/>
        <v>8.8129738636388684</v>
      </c>
      <c r="E307" s="380">
        <f t="shared" si="125"/>
        <v>9.1046109607118915</v>
      </c>
      <c r="F307" s="380">
        <f t="shared" si="103"/>
        <v>9.1046109607118915</v>
      </c>
      <c r="G307" s="110">
        <f t="shared" si="126"/>
        <v>0.27204778378974165</v>
      </c>
      <c r="H307" s="409" t="b">
        <f>Wh_hp&gt;='2027'!Maxi_hp</f>
        <v>0</v>
      </c>
      <c r="I307" s="385">
        <f>IF(H307,Wh_hp,'2027'!Maxi_hp)</f>
        <v>9.1244045846018054</v>
      </c>
      <c r="J307" s="85">
        <f>IF(H307,An,'2027'!An_max)</f>
        <v>2022</v>
      </c>
      <c r="K307" s="193">
        <f t="shared" si="104"/>
        <v>47045</v>
      </c>
      <c r="L307" s="143">
        <f>IF(t&lt;Tvie,1-EXP((T0-t)*PertePVj)+'2027'!Pspv,1-EXP((T0-t)*PertePVj)+Pspv)</f>
        <v>3.3948359070836043E-2</v>
      </c>
      <c r="M307" s="836"/>
      <c r="N307" s="836"/>
      <c r="O307" s="48">
        <f>IF(t&lt;Tnet,'2027'!Resal+('2027'!Salim-'2027'!Resal)*(1-EXP(('2027'!Tnet-t)/('2027'!Tau_j))),Resal+(Salim-Resal)*(1-EXP((Tnet-t)/(Tau_j))))*Salcycl</f>
        <v>3.2031802163924601E-2</v>
      </c>
      <c r="P307" s="165">
        <f>(INDEX(Models!$BJ307:$BT307,,T307)*(1-R307)+INDEX(Models!$BJ307:$BT307,,T307+1)*R307-ERP_i)*Q307*Ramure*Pc/MaxiM</f>
        <v>2.3196827597393873E-3</v>
      </c>
      <c r="Q307" s="301">
        <f t="shared" si="105"/>
        <v>0.5</v>
      </c>
      <c r="R307" s="173">
        <f t="shared" si="106"/>
        <v>0.49178456087549316</v>
      </c>
      <c r="S307" s="802">
        <f t="shared" si="107"/>
        <v>3</v>
      </c>
      <c r="T307" s="172">
        <f t="shared" si="108"/>
        <v>9</v>
      </c>
      <c r="U307" s="247">
        <f t="shared" si="109"/>
        <v>3.4917845608754932</v>
      </c>
      <c r="V307" s="378">
        <f t="shared" si="110"/>
        <v>31.222597946522548</v>
      </c>
      <c r="W307" s="397">
        <f t="shared" si="111"/>
        <v>8.5137878624341621</v>
      </c>
      <c r="X307" s="153">
        <f t="shared" si="112"/>
        <v>47045</v>
      </c>
      <c r="Y307" s="380">
        <f t="shared" si="113"/>
        <v>8.2977237845956946</v>
      </c>
      <c r="Z307" s="380">
        <f t="shared" si="114"/>
        <v>8.5893170023652257</v>
      </c>
      <c r="AA307" s="381">
        <f t="shared" si="115"/>
        <v>9.1046109607118915</v>
      </c>
      <c r="AB307" s="193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5.6597032050051933E-2</v>
      </c>
      <c r="AD307" s="227">
        <f>(INDEX(Models!$BJ307:$BT307,,AH307)*(1-AF307)+INDEX(Models!$BJ307:$BT307,,AH307+1)*AF307-ERP_i)*AE307*Ramure*Pc/MaxiM</f>
        <v>2.3196827597393873E-3</v>
      </c>
      <c r="AE307" s="301">
        <f t="shared" si="117"/>
        <v>0.5</v>
      </c>
      <c r="AF307" s="173">
        <f t="shared" si="118"/>
        <v>0.49178456087549316</v>
      </c>
      <c r="AG307" s="802">
        <f t="shared" si="124"/>
        <v>3</v>
      </c>
      <c r="AH307" s="172">
        <f t="shared" si="119"/>
        <v>9</v>
      </c>
      <c r="AI307" s="221">
        <f t="shared" si="120"/>
        <v>3.4917845608754932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47046</v>
      </c>
      <c r="B308" s="406">
        <f>'2027'!Wh/'2027'!Env_an*'2028'!Env_an</f>
        <v>16.455952187361373</v>
      </c>
      <c r="C308" s="832"/>
      <c r="D308" s="388">
        <f t="shared" si="102"/>
        <v>17.034469754415714</v>
      </c>
      <c r="E308" s="380">
        <f t="shared" si="125"/>
        <v>17.598638101841093</v>
      </c>
      <c r="F308" s="380">
        <f t="shared" si="103"/>
        <v>17.614423419599468</v>
      </c>
      <c r="G308" s="110">
        <f t="shared" si="126"/>
        <v>0.53264827358645306</v>
      </c>
      <c r="H308" s="409" t="b">
        <f>Wh_hp&gt;='2027'!Maxi_hp</f>
        <v>0</v>
      </c>
      <c r="I308" s="385">
        <f>IF(H308,Wh_hp,'2027'!Maxi_hp)</f>
        <v>17.644021025065648</v>
      </c>
      <c r="J308" s="85">
        <f>IF(H308,An,'2027'!An_max)</f>
        <v>2022</v>
      </c>
      <c r="K308" s="193">
        <f t="shared" si="104"/>
        <v>47046</v>
      </c>
      <c r="L308" s="143">
        <f>IF(t&lt;Tvie,1-EXP((T0-t)*PertePVj)+'2027'!Pspv,1-EXP((T0-t)*PertePVj)+Pspv)</f>
        <v>3.3961583506547099E-2</v>
      </c>
      <c r="M308" s="836"/>
      <c r="N308" s="836"/>
      <c r="O308" s="48">
        <f>IF(t&lt;Tnet,'2027'!Resal+('2027'!Salim-'2027'!Resal)*(1-EXP(('2027'!Tnet-t)/('2027'!Tau_j))),Resal+(Salim-Resal)*(1-EXP((Tnet-t)/(Tau_j))))*Salcycl</f>
        <v>3.2057500367960817E-2</v>
      </c>
      <c r="P308" s="165">
        <f>(INDEX(Models!$BJ308:$BT308,,T308)*(1-R308)+INDEX(Models!$BJ308:$BT308,,T308+1)*R308-ERP_i)*Q308*Ramure*Pc/MaxiM</f>
        <v>2.6853625599004213E-3</v>
      </c>
      <c r="Q308" s="301">
        <f t="shared" si="105"/>
        <v>0.5</v>
      </c>
      <c r="R308" s="173">
        <f t="shared" si="106"/>
        <v>0.49187266207077851</v>
      </c>
      <c r="S308" s="802">
        <f t="shared" si="107"/>
        <v>3</v>
      </c>
      <c r="T308" s="172">
        <f t="shared" si="108"/>
        <v>9</v>
      </c>
      <c r="U308" s="247">
        <f t="shared" si="109"/>
        <v>3.4918726620707785</v>
      </c>
      <c r="V308" s="378">
        <f t="shared" si="110"/>
        <v>30.839267746621907</v>
      </c>
      <c r="W308" s="397">
        <f t="shared" si="111"/>
        <v>16.455952187361373</v>
      </c>
      <c r="X308" s="153">
        <f t="shared" si="112"/>
        <v>47046</v>
      </c>
      <c r="Y308" s="380">
        <f t="shared" si="113"/>
        <v>16.038966079270718</v>
      </c>
      <c r="Z308" s="380">
        <f t="shared" si="114"/>
        <v>16.602824282588372</v>
      </c>
      <c r="AA308" s="381">
        <f t="shared" si="115"/>
        <v>17.598638101841093</v>
      </c>
      <c r="AB308" s="193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5.6584709196818107E-2</v>
      </c>
      <c r="AD308" s="227">
        <f>(INDEX(Models!$BJ308:$BT308,,AH308)*(1-AF308)+INDEX(Models!$BJ308:$BT308,,AH308+1)*AF308-ERP_i)*AE308*Ramure*Pc/MaxiM</f>
        <v>2.6853625599004213E-3</v>
      </c>
      <c r="AE308" s="301">
        <f t="shared" si="117"/>
        <v>0.5</v>
      </c>
      <c r="AF308" s="173">
        <f t="shared" si="118"/>
        <v>0.49187266207077851</v>
      </c>
      <c r="AG308" s="802">
        <f t="shared" si="124"/>
        <v>3</v>
      </c>
      <c r="AH308" s="172">
        <f t="shared" si="119"/>
        <v>9</v>
      </c>
      <c r="AI308" s="221">
        <f t="shared" si="120"/>
        <v>3.4918726620707785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47047</v>
      </c>
      <c r="B309" s="406">
        <f>'2027'!Wh/'2027'!Env_an*'2028'!Env_an</f>
        <v>28.198881761774288</v>
      </c>
      <c r="C309" s="832"/>
      <c r="D309" s="388">
        <f t="shared" si="102"/>
        <v>29.190627727236695</v>
      </c>
      <c r="E309" s="380">
        <f t="shared" si="125"/>
        <v>30.158186112418189</v>
      </c>
      <c r="F309" s="380">
        <f t="shared" si="103"/>
        <v>30.242165323291378</v>
      </c>
      <c r="G309" s="110">
        <f t="shared" si="126"/>
        <v>0.92558571407683576</v>
      </c>
      <c r="H309" s="409" t="b">
        <f>Wh_hp&gt;='2027'!Maxi_hp</f>
        <v>0</v>
      </c>
      <c r="I309" s="385">
        <f>IF(H309,Wh_hp,'2027'!Maxi_hp)</f>
        <v>30.251519935948156</v>
      </c>
      <c r="J309" s="85">
        <f>IF(H309,An,'2027'!An_max)</f>
        <v>2022</v>
      </c>
      <c r="K309" s="193">
        <f t="shared" si="104"/>
        <v>47047</v>
      </c>
      <c r="L309" s="143">
        <f>IF(t&lt;Tvie,1-EXP((T0-t)*PertePVj)+'2027'!Pspv,1-EXP((T0-t)*PertePVj)+Pspv)</f>
        <v>3.3974807761226855E-2</v>
      </c>
      <c r="M309" s="836"/>
      <c r="N309" s="836"/>
      <c r="O309" s="48">
        <f>IF(t&lt;Tnet,'2027'!Resal+('2027'!Salim-'2027'!Resal)*(1-EXP(('2027'!Tnet-t)/('2027'!Tau_j))),Resal+(Salim-Resal)*(1-EXP((Tnet-t)/(Tau_j))))*Salcycl</f>
        <v>3.2082777842633074E-2</v>
      </c>
      <c r="P309" s="165">
        <f>(INDEX(Models!$BJ309:$BT309,,T309)*(1-R309)+INDEX(Models!$BJ309:$BT309,,T309+1)*R309-ERP_i)*Q309*Ramure*Pc/MaxiM</f>
        <v>3.1056909997209951E-3</v>
      </c>
      <c r="Q309" s="301">
        <f t="shared" si="105"/>
        <v>0.5</v>
      </c>
      <c r="R309" s="173">
        <f t="shared" si="106"/>
        <v>0.49195724533662455</v>
      </c>
      <c r="S309" s="802">
        <f t="shared" si="107"/>
        <v>3</v>
      </c>
      <c r="T309" s="172">
        <f t="shared" si="108"/>
        <v>9</v>
      </c>
      <c r="U309" s="247">
        <f t="shared" si="109"/>
        <v>3.4919572453366245</v>
      </c>
      <c r="V309" s="378">
        <f t="shared" si="110"/>
        <v>30.455941287258049</v>
      </c>
      <c r="W309" s="397">
        <f t="shared" si="111"/>
        <v>28.198881761774288</v>
      </c>
      <c r="X309" s="153">
        <f t="shared" si="112"/>
        <v>47047</v>
      </c>
      <c r="Y309" s="380">
        <f t="shared" si="113"/>
        <v>27.485430049252859</v>
      </c>
      <c r="Z309" s="380">
        <f t="shared" si="114"/>
        <v>28.452084138256371</v>
      </c>
      <c r="AA309" s="381">
        <f t="shared" si="115"/>
        <v>30.158186112418189</v>
      </c>
      <c r="AB309" s="193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5.6571770192083891E-2</v>
      </c>
      <c r="AD309" s="227">
        <f>(INDEX(Models!$BJ309:$BT309,,AH309)*(1-AF309)+INDEX(Models!$BJ309:$BT309,,AH309+1)*AF309-ERP_i)*AE309*Ramure*Pc/MaxiM</f>
        <v>3.1056909997209951E-3</v>
      </c>
      <c r="AE309" s="301">
        <f t="shared" si="117"/>
        <v>0.5</v>
      </c>
      <c r="AF309" s="173">
        <f t="shared" si="118"/>
        <v>0.49195724533662455</v>
      </c>
      <c r="AG309" s="802">
        <f t="shared" si="124"/>
        <v>3</v>
      </c>
      <c r="AH309" s="172">
        <f t="shared" si="119"/>
        <v>9</v>
      </c>
      <c r="AI309" s="221">
        <f t="shared" si="120"/>
        <v>3.4919572453366245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47048</v>
      </c>
      <c r="B310" s="406">
        <f>'2027'!Wh/'2027'!Env_an*'2028'!Env_an</f>
        <v>18.378932630026085</v>
      </c>
      <c r="C310" s="832"/>
      <c r="D310" s="388">
        <f t="shared" si="102"/>
        <v>19.025574460465212</v>
      </c>
      <c r="E310" s="380">
        <f t="shared" si="125"/>
        <v>19.65670517180714</v>
      </c>
      <c r="F310" s="380">
        <f t="shared" si="103"/>
        <v>19.688298032857105</v>
      </c>
      <c r="G310" s="110">
        <f t="shared" si="126"/>
        <v>0.60993477080579084</v>
      </c>
      <c r="H310" s="409" t="b">
        <f>Wh_hp&gt;='2027'!Maxi_hp</f>
        <v>0</v>
      </c>
      <c r="I310" s="385">
        <f>IF(H310,Wh_hp,'2027'!Maxi_hp)</f>
        <v>19.725415747408835</v>
      </c>
      <c r="J310" s="85">
        <f>IF(H310,An,'2027'!An_max)</f>
        <v>2022</v>
      </c>
      <c r="K310" s="193">
        <f t="shared" si="104"/>
        <v>47048</v>
      </c>
      <c r="L310" s="143">
        <f>IF(t&lt;Tvie,1-EXP((T0-t)*PertePVj)+'2027'!Pspv,1-EXP((T0-t)*PertePVj)+Pspv)</f>
        <v>3.398803183487753E-2</v>
      </c>
      <c r="M310" s="836"/>
      <c r="N310" s="836"/>
      <c r="O310" s="48">
        <f>IF(t&lt;Tnet,'2027'!Resal+('2027'!Salim-'2027'!Resal)*(1-EXP(('2027'!Tnet-t)/('2027'!Tau_j))),Resal+(Salim-Resal)*(1-EXP((Tnet-t)/(Tau_j))))*Salcycl</f>
        <v>3.2107655165278415E-2</v>
      </c>
      <c r="P310" s="165">
        <f>(INDEX(Models!$BJ310:$BT310,,T310)*(1-R310)+INDEX(Models!$BJ310:$BT310,,T310+1)*R310-ERP_i)*Q310*Ramure*Pc/MaxiM</f>
        <v>3.6098728986958301E-3</v>
      </c>
      <c r="Q310" s="301">
        <f t="shared" si="105"/>
        <v>0.5</v>
      </c>
      <c r="R310" s="173">
        <f t="shared" si="106"/>
        <v>0.49203845001844604</v>
      </c>
      <c r="S310" s="802">
        <f t="shared" si="107"/>
        <v>3</v>
      </c>
      <c r="T310" s="172">
        <f t="shared" si="108"/>
        <v>9</v>
      </c>
      <c r="U310" s="247">
        <f t="shared" si="109"/>
        <v>3.492038450018446</v>
      </c>
      <c r="V310" s="378">
        <f t="shared" si="110"/>
        <v>30.072100247713319</v>
      </c>
      <c r="W310" s="397">
        <f t="shared" si="111"/>
        <v>18.378932630026085</v>
      </c>
      <c r="X310" s="153">
        <f t="shared" si="112"/>
        <v>47048</v>
      </c>
      <c r="Y310" s="380">
        <f t="shared" si="113"/>
        <v>17.914649706369982</v>
      </c>
      <c r="Z310" s="380">
        <f t="shared" si="114"/>
        <v>18.544956270467026</v>
      </c>
      <c r="AA310" s="381">
        <f t="shared" si="115"/>
        <v>19.65670517180714</v>
      </c>
      <c r="AB310" s="193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5.6558252851787845E-2</v>
      </c>
      <c r="AD310" s="227">
        <f>(INDEX(Models!$BJ310:$BT310,,AH310)*(1-AF310)+INDEX(Models!$BJ310:$BT310,,AH310+1)*AF310-ERP_i)*AE310*Ramure*Pc/MaxiM</f>
        <v>3.6098728986958301E-3</v>
      </c>
      <c r="AE310" s="301">
        <f t="shared" si="117"/>
        <v>0.5</v>
      </c>
      <c r="AF310" s="173">
        <f t="shared" si="118"/>
        <v>0.49203845001844604</v>
      </c>
      <c r="AG310" s="802">
        <f t="shared" si="124"/>
        <v>3</v>
      </c>
      <c r="AH310" s="172">
        <f t="shared" si="119"/>
        <v>9</v>
      </c>
      <c r="AI310" s="221">
        <f t="shared" si="120"/>
        <v>3.492038450018446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47049</v>
      </c>
      <c r="B311" s="406">
        <f>'2027'!Wh/'2027'!Env_an*'2028'!Env_an</f>
        <v>23.830375226449341</v>
      </c>
      <c r="C311" s="832"/>
      <c r="D311" s="388">
        <f t="shared" si="102"/>
        <v>24.66915756127219</v>
      </c>
      <c r="E311" s="380">
        <f t="shared" si="125"/>
        <v>25.48814662713901</v>
      </c>
      <c r="F311" s="380">
        <f t="shared" si="103"/>
        <v>25.565084664219061</v>
      </c>
      <c r="G311" s="110">
        <f t="shared" si="126"/>
        <v>0.80173329869271259</v>
      </c>
      <c r="H311" s="409" t="b">
        <f>Wh_hp&gt;='2027'!Maxi_hp</f>
        <v>0</v>
      </c>
      <c r="I311" s="385">
        <f>IF(H311,Wh_hp,'2027'!Maxi_hp)</f>
        <v>25.593422126687972</v>
      </c>
      <c r="J311" s="85">
        <f>IF(H311,An,'2027'!An_max)</f>
        <v>2022</v>
      </c>
      <c r="K311" s="193">
        <f t="shared" si="104"/>
        <v>47049</v>
      </c>
      <c r="L311" s="143">
        <f>IF(t&lt;Tvie,1-EXP((T0-t)*PertePVj)+'2027'!Pspv,1-EXP((T0-t)*PertePVj)+Pspv)</f>
        <v>3.4001255727501789E-2</v>
      </c>
      <c r="M311" s="836"/>
      <c r="N311" s="836"/>
      <c r="O311" s="48">
        <f>IF(t&lt;Tnet,'2027'!Resal+('2027'!Salim-'2027'!Resal)*(1-EXP(('2027'!Tnet-t)/('2027'!Tau_j))),Resal+(Salim-Resal)*(1-EXP((Tnet-t)/(Tau_j))))*Salcycl</f>
        <v>3.2132154520595271E-2</v>
      </c>
      <c r="P311" s="165">
        <f>(INDEX(Models!$BJ311:$BT311,,T311)*(1-R311)+INDEX(Models!$BJ311:$BT311,,T311+1)*R311-ERP_i)*Q311*Ramure*Pc/MaxiM</f>
        <v>4.1907960266916126E-3</v>
      </c>
      <c r="Q311" s="301">
        <f t="shared" si="105"/>
        <v>0.5</v>
      </c>
      <c r="R311" s="173">
        <f t="shared" si="106"/>
        <v>0.49211641003083884</v>
      </c>
      <c r="S311" s="802">
        <f t="shared" si="107"/>
        <v>3</v>
      </c>
      <c r="T311" s="172">
        <f t="shared" si="108"/>
        <v>9</v>
      </c>
      <c r="U311" s="247">
        <f t="shared" si="109"/>
        <v>3.4921164100308388</v>
      </c>
      <c r="V311" s="378">
        <f t="shared" si="110"/>
        <v>29.688350830336116</v>
      </c>
      <c r="W311" s="397">
        <f t="shared" si="111"/>
        <v>23.830375226449341</v>
      </c>
      <c r="X311" s="153">
        <f t="shared" si="112"/>
        <v>47049</v>
      </c>
      <c r="Y311" s="380">
        <f t="shared" si="113"/>
        <v>23.229313675722523</v>
      </c>
      <c r="Z311" s="380">
        <f t="shared" si="114"/>
        <v>24.046939826217596</v>
      </c>
      <c r="AA311" s="381">
        <f t="shared" si="115"/>
        <v>25.48814662713901</v>
      </c>
      <c r="AB311" s="193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5.6544197661938279E-2</v>
      </c>
      <c r="AD311" s="227">
        <f>(INDEX(Models!$BJ311:$BT311,,AH311)*(1-AF311)+INDEX(Models!$BJ311:$BT311,,AH311+1)*AF311-ERP_i)*AE311*Ramure*Pc/MaxiM</f>
        <v>4.1907960266916126E-3</v>
      </c>
      <c r="AE311" s="301">
        <f t="shared" si="117"/>
        <v>0.5</v>
      </c>
      <c r="AF311" s="173">
        <f t="shared" si="118"/>
        <v>0.49211641003083884</v>
      </c>
      <c r="AG311" s="802">
        <f t="shared" si="124"/>
        <v>3</v>
      </c>
      <c r="AH311" s="172">
        <f t="shared" si="119"/>
        <v>9</v>
      </c>
      <c r="AI311" s="221">
        <f t="shared" si="120"/>
        <v>3.4921164100308388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47050</v>
      </c>
      <c r="B312" s="406">
        <f>'2027'!Wh/'2027'!Env_an*'2028'!Env_an</f>
        <v>20.01699518049865</v>
      </c>
      <c r="C312" s="832"/>
      <c r="D312" s="388">
        <f t="shared" si="102"/>
        <v>20.721837702987322</v>
      </c>
      <c r="E312" s="380">
        <f t="shared" si="125"/>
        <v>21.410314181232764</v>
      </c>
      <c r="F312" s="380">
        <f t="shared" si="103"/>
        <v>21.467285945642477</v>
      </c>
      <c r="G312" s="110">
        <f t="shared" si="126"/>
        <v>0.68155252014083634</v>
      </c>
      <c r="H312" s="409" t="b">
        <f>Wh_hp&gt;='2027'!Maxi_hp</f>
        <v>0</v>
      </c>
      <c r="I312" s="385">
        <f>IF(H312,Wh_hp,'2027'!Maxi_hp)</f>
        <v>21.511387732569521</v>
      </c>
      <c r="J312" s="85">
        <f>IF(H312,An,'2027'!An_max)</f>
        <v>2022</v>
      </c>
      <c r="K312" s="193">
        <f t="shared" si="104"/>
        <v>47050</v>
      </c>
      <c r="L312" s="143">
        <f>IF(t&lt;Tvie,1-EXP((T0-t)*PertePVj)+'2027'!Pspv,1-EXP((T0-t)*PertePVj)+Pspv)</f>
        <v>3.4014479439102074E-2</v>
      </c>
      <c r="M312" s="836"/>
      <c r="N312" s="836"/>
      <c r="O312" s="48">
        <f>IF(t&lt;Tnet,'2027'!Resal+('2027'!Salim-'2027'!Resal)*(1-EXP(('2027'!Tnet-t)/('2027'!Tau_j))),Resal+(Salim-Resal)*(1-EXP((Tnet-t)/(Tau_j))))*Salcycl</f>
        <v>3.2156299642203588E-2</v>
      </c>
      <c r="P312" s="165">
        <f>(INDEX(Models!$BJ312:$BT312,,T312)*(1-R312)+INDEX(Models!$BJ312:$BT312,,T312+1)*R312-ERP_i)*Q312*Ramure*Pc/MaxiM</f>
        <v>4.8497332130373492E-3</v>
      </c>
      <c r="Q312" s="301">
        <f t="shared" si="105"/>
        <v>0.5</v>
      </c>
      <c r="R312" s="173">
        <f t="shared" si="106"/>
        <v>0.49219125406224684</v>
      </c>
      <c r="S312" s="802">
        <f t="shared" si="107"/>
        <v>3</v>
      </c>
      <c r="T312" s="172">
        <f t="shared" si="108"/>
        <v>9</v>
      </c>
      <c r="U312" s="247">
        <f t="shared" si="109"/>
        <v>3.4921912540622468</v>
      </c>
      <c r="V312" s="378">
        <f t="shared" si="110"/>
        <v>29.305040183454359</v>
      </c>
      <c r="W312" s="397">
        <f t="shared" si="111"/>
        <v>20.01699518049865</v>
      </c>
      <c r="X312" s="153">
        <f t="shared" si="112"/>
        <v>47050</v>
      </c>
      <c r="Y312" s="380">
        <f t="shared" si="113"/>
        <v>19.512904293006471</v>
      </c>
      <c r="Z312" s="380">
        <f t="shared" si="114"/>
        <v>20.199996664211213</v>
      </c>
      <c r="AA312" s="381">
        <f t="shared" si="115"/>
        <v>21.410314181232764</v>
      </c>
      <c r="AB312" s="193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5.6529647663108869E-2</v>
      </c>
      <c r="AD312" s="227">
        <f>(INDEX(Models!$BJ312:$BT312,,AH312)*(1-AF312)+INDEX(Models!$BJ312:$BT312,,AH312+1)*AF312-ERP_i)*AE312*Ramure*Pc/MaxiM</f>
        <v>4.8497332130373492E-3</v>
      </c>
      <c r="AE312" s="301">
        <f t="shared" si="117"/>
        <v>0.5</v>
      </c>
      <c r="AF312" s="173">
        <f t="shared" si="118"/>
        <v>0.49219125406224684</v>
      </c>
      <c r="AG312" s="802">
        <f t="shared" si="124"/>
        <v>3</v>
      </c>
      <c r="AH312" s="172">
        <f t="shared" si="119"/>
        <v>9</v>
      </c>
      <c r="AI312" s="221">
        <f t="shared" si="120"/>
        <v>3.4921912540622468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47051</v>
      </c>
      <c r="B313" s="406">
        <f>'2027'!Wh/'2027'!Env_an*'2028'!Env_an</f>
        <v>14.950884039964478</v>
      </c>
      <c r="C313" s="832"/>
      <c r="D313" s="388">
        <f t="shared" si="102"/>
        <v>15.477549496945059</v>
      </c>
      <c r="E313" s="380">
        <f t="shared" si="125"/>
        <v>15.992179690369092</v>
      </c>
      <c r="F313" s="380">
        <f t="shared" si="103"/>
        <v>16.019921192288642</v>
      </c>
      <c r="G313" s="110">
        <f t="shared" si="126"/>
        <v>0.51493202335946153</v>
      </c>
      <c r="H313" s="409" t="b">
        <f>Wh_hp&gt;='2027'!Maxi_hp</f>
        <v>0</v>
      </c>
      <c r="I313" s="385">
        <f>IF(H313,Wh_hp,'2027'!Maxi_hp)</f>
        <v>16.077522083526727</v>
      </c>
      <c r="J313" s="85">
        <f>IF(H313,An,'2027'!An_max)</f>
        <v>2022</v>
      </c>
      <c r="K313" s="193">
        <f t="shared" si="104"/>
        <v>47051</v>
      </c>
      <c r="L313" s="143">
        <f>IF(t&lt;Tvie,1-EXP((T0-t)*PertePVj)+'2027'!Pspv,1-EXP((T0-t)*PertePVj)+Pspv)</f>
        <v>3.402770296968094E-2</v>
      </c>
      <c r="M313" s="836"/>
      <c r="N313" s="836"/>
      <c r="O313" s="48">
        <f>IF(t&lt;Tnet,'2027'!Resal+('2027'!Salim-'2027'!Resal)*(1-EXP(('2027'!Tnet-t)/('2027'!Tau_j))),Resal+(Salim-Resal)*(1-EXP((Tnet-t)/(Tau_j))))*Salcycl</f>
        <v>3.2180115743319054E-2</v>
      </c>
      <c r="P313" s="165">
        <f>(INDEX(Models!$BJ313:$BT313,,T313)*(1-R313)+INDEX(Models!$BJ313:$BT313,,T313+1)*R313-ERP_i)*Q313*Ramure*Pc/MaxiM</f>
        <v>5.5879210495682619E-3</v>
      </c>
      <c r="Q313" s="301">
        <f t="shared" si="105"/>
        <v>0.5</v>
      </c>
      <c r="R313" s="173">
        <f t="shared" si="106"/>
        <v>0.49226310577247645</v>
      </c>
      <c r="S313" s="802">
        <f t="shared" si="107"/>
        <v>3</v>
      </c>
      <c r="T313" s="172">
        <f t="shared" si="108"/>
        <v>9</v>
      </c>
      <c r="U313" s="247">
        <f t="shared" si="109"/>
        <v>3.4922631057724765</v>
      </c>
      <c r="V313" s="378">
        <f t="shared" si="110"/>
        <v>28.922516479778711</v>
      </c>
      <c r="W313" s="397">
        <f t="shared" si="111"/>
        <v>14.950884039964478</v>
      </c>
      <c r="X313" s="153">
        <f t="shared" si="112"/>
        <v>47051</v>
      </c>
      <c r="Y313" s="380">
        <f t="shared" si="113"/>
        <v>14.574964118719015</v>
      </c>
      <c r="Z313" s="380">
        <f t="shared" si="114"/>
        <v>15.088387279352329</v>
      </c>
      <c r="AA313" s="381">
        <f t="shared" si="115"/>
        <v>15.992179690369094</v>
      </c>
      <c r="AB313" s="193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5.6514648316580096E-2</v>
      </c>
      <c r="AD313" s="227">
        <f>(INDEX(Models!$BJ313:$BT313,,AH313)*(1-AF313)+INDEX(Models!$BJ313:$BT313,,AH313+1)*AF313-ERP_i)*AE313*Ramure*Pc/MaxiM</f>
        <v>5.5879210495682619E-3</v>
      </c>
      <c r="AE313" s="301">
        <f t="shared" si="117"/>
        <v>0.5</v>
      </c>
      <c r="AF313" s="173">
        <f t="shared" si="118"/>
        <v>0.49226310577247645</v>
      </c>
      <c r="AG313" s="802">
        <f t="shared" si="124"/>
        <v>3</v>
      </c>
      <c r="AH313" s="172">
        <f t="shared" si="119"/>
        <v>9</v>
      </c>
      <c r="AI313" s="221">
        <f t="shared" si="120"/>
        <v>3.4922631057724765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47052</v>
      </c>
      <c r="B314" s="406">
        <f>'2027'!Wh/'2027'!Env_an*'2028'!Env_an</f>
        <v>14.128755863649449</v>
      </c>
      <c r="C314" s="832"/>
      <c r="D314" s="388">
        <f t="shared" si="102"/>
        <v>14.62666095139231</v>
      </c>
      <c r="E314" s="380">
        <f t="shared" si="125"/>
        <v>15.113366195908114</v>
      </c>
      <c r="F314" s="380">
        <f t="shared" si="103"/>
        <v>15.140391450073388</v>
      </c>
      <c r="G314" s="110">
        <f t="shared" si="126"/>
        <v>0.49273951601468585</v>
      </c>
      <c r="H314" s="409" t="b">
        <f>Wh_hp&gt;='2027'!Maxi_hp</f>
        <v>0</v>
      </c>
      <c r="I314" s="385">
        <f>IF(H314,Wh_hp,'2027'!Maxi_hp)</f>
        <v>15.20541089305954</v>
      </c>
      <c r="J314" s="85">
        <f>IF(H314,An,'2027'!An_max)</f>
        <v>2022</v>
      </c>
      <c r="K314" s="193">
        <f t="shared" si="104"/>
        <v>47052</v>
      </c>
      <c r="L314" s="143">
        <f>IF(t&lt;Tvie,1-EXP((T0-t)*PertePVj)+'2027'!Pspv,1-EXP((T0-t)*PertePVj)+Pspv)</f>
        <v>3.4040926319240716E-2</v>
      </c>
      <c r="M314" s="836"/>
      <c r="N314" s="836"/>
      <c r="O314" s="48">
        <f>IF(t&lt;Tnet,'2027'!Resal+('2027'!Salim-'2027'!Resal)*(1-EXP(('2027'!Tnet-t)/('2027'!Tau_j))),Resal+(Salim-Resal)*(1-EXP((Tnet-t)/(Tau_j))))*Salcycl</f>
        <v>3.2203629436807837E-2</v>
      </c>
      <c r="P314" s="165">
        <f>(INDEX(Models!$BJ314:$BT314,,T314)*(1-R314)+INDEX(Models!$BJ314:$BT314,,T314+1)*R314-ERP_i)*Q314*Ramure*Pc/MaxiM</f>
        <v>6.4065775245012871E-3</v>
      </c>
      <c r="Q314" s="301">
        <f t="shared" si="105"/>
        <v>0.5</v>
      </c>
      <c r="R314" s="173">
        <f t="shared" si="106"/>
        <v>0.4923320839832539</v>
      </c>
      <c r="S314" s="802">
        <f t="shared" si="107"/>
        <v>3</v>
      </c>
      <c r="T314" s="172">
        <f t="shared" si="108"/>
        <v>9</v>
      </c>
      <c r="U314" s="247">
        <f t="shared" si="109"/>
        <v>3.4923320839832539</v>
      </c>
      <c r="V314" s="378">
        <f t="shared" si="110"/>
        <v>28.54112808405046</v>
      </c>
      <c r="W314" s="397">
        <f t="shared" si="111"/>
        <v>14.128755863649449</v>
      </c>
      <c r="X314" s="153">
        <f t="shared" si="112"/>
        <v>47052</v>
      </c>
      <c r="Y314" s="380">
        <f t="shared" si="113"/>
        <v>13.774066732204735</v>
      </c>
      <c r="Z314" s="380">
        <f t="shared" si="114"/>
        <v>14.259472380873291</v>
      </c>
      <c r="AA314" s="381">
        <f t="shared" si="115"/>
        <v>15.113366195908114</v>
      </c>
      <c r="AB314" s="193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5.6499247352718232E-2</v>
      </c>
      <c r="AD314" s="227">
        <f>(INDEX(Models!$BJ314:$BT314,,AH314)*(1-AF314)+INDEX(Models!$BJ314:$BT314,,AH314+1)*AF314-ERP_i)*AE314*Ramure*Pc/MaxiM</f>
        <v>6.4065775245012871E-3</v>
      </c>
      <c r="AE314" s="301">
        <f t="shared" si="117"/>
        <v>0.5</v>
      </c>
      <c r="AF314" s="173">
        <f t="shared" si="118"/>
        <v>0.4923320839832539</v>
      </c>
      <c r="AG314" s="802">
        <f t="shared" si="124"/>
        <v>3</v>
      </c>
      <c r="AH314" s="172">
        <f t="shared" si="119"/>
        <v>9</v>
      </c>
      <c r="AI314" s="221">
        <f t="shared" si="120"/>
        <v>3.4923320839832539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47053</v>
      </c>
      <c r="B315" s="406">
        <f>'2027'!Wh/'2027'!Env_an*'2028'!Env_an</f>
        <v>16.241600112054719</v>
      </c>
      <c r="C315" s="832"/>
      <c r="D315" s="388">
        <f t="shared" si="102"/>
        <v>16.814193159422153</v>
      </c>
      <c r="E315" s="380">
        <f t="shared" si="125"/>
        <v>17.374106197678664</v>
      </c>
      <c r="F315" s="380">
        <f t="shared" si="103"/>
        <v>17.424440028049631</v>
      </c>
      <c r="G315" s="110">
        <f t="shared" si="126"/>
        <v>0.57418079011211642</v>
      </c>
      <c r="H315" s="409" t="b">
        <f>Wh_hp&gt;='2027'!Maxi_hp</f>
        <v>0</v>
      </c>
      <c r="I315" s="385">
        <f>IF(H315,Wh_hp,'2027'!Maxi_hp)</f>
        <v>17.495740847674913</v>
      </c>
      <c r="J315" s="85">
        <f>IF(H315,An,'2027'!An_max)</f>
        <v>2022</v>
      </c>
      <c r="K315" s="193">
        <f t="shared" si="104"/>
        <v>47053</v>
      </c>
      <c r="L315" s="143">
        <f>IF(t&lt;Tvie,1-EXP((T0-t)*PertePVj)+'2027'!Pspv,1-EXP((T0-t)*PertePVj)+Pspv)</f>
        <v>3.4054149487783847E-2</v>
      </c>
      <c r="M315" s="836"/>
      <c r="N315" s="836"/>
      <c r="O315" s="48">
        <f>IF(t&lt;Tnet,'2027'!Resal+('2027'!Salim-'2027'!Resal)*(1-EXP(('2027'!Tnet-t)/('2027'!Tau_j))),Resal+(Salim-Resal)*(1-EXP((Tnet-t)/(Tau_j))))*Salcycl</f>
        <v>3.2226868644979367E-2</v>
      </c>
      <c r="P315" s="165">
        <f>(INDEX(Models!$BJ315:$BT315,,T315)*(1-R315)+INDEX(Models!$BJ315:$BT315,,T315+1)*R315-ERP_i)*Q315*Ramure*Pc/MaxiM</f>
        <v>7.3068979464148993E-3</v>
      </c>
      <c r="Q315" s="301">
        <f t="shared" si="105"/>
        <v>0.5</v>
      </c>
      <c r="R315" s="173">
        <f t="shared" si="106"/>
        <v>0.49239830286203601</v>
      </c>
      <c r="S315" s="802">
        <f t="shared" si="107"/>
        <v>3</v>
      </c>
      <c r="T315" s="172">
        <f t="shared" si="108"/>
        <v>9</v>
      </c>
      <c r="U315" s="247">
        <f t="shared" si="109"/>
        <v>3.492398302862036</v>
      </c>
      <c r="V315" s="378">
        <f t="shared" si="110"/>
        <v>28.161223359377342</v>
      </c>
      <c r="W315" s="397">
        <f t="shared" si="111"/>
        <v>16.241600112054719</v>
      </c>
      <c r="X315" s="153">
        <f t="shared" si="112"/>
        <v>47053</v>
      </c>
      <c r="Y315" s="380">
        <f t="shared" si="113"/>
        <v>15.834514601925409</v>
      </c>
      <c r="Z315" s="380">
        <f t="shared" si="114"/>
        <v>16.392755964041644</v>
      </c>
      <c r="AA315" s="381">
        <f t="shared" si="115"/>
        <v>17.374106197678664</v>
      </c>
      <c r="AB315" s="193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5.6483494602337501E-2</v>
      </c>
      <c r="AD315" s="227">
        <f>(INDEX(Models!$BJ315:$BT315,,AH315)*(1-AF315)+INDEX(Models!$BJ315:$BT315,,AH315+1)*AF315-ERP_i)*AE315*Ramure*Pc/MaxiM</f>
        <v>7.3068979464148993E-3</v>
      </c>
      <c r="AE315" s="301">
        <f t="shared" si="117"/>
        <v>0.5</v>
      </c>
      <c r="AF315" s="173">
        <f t="shared" si="118"/>
        <v>0.49239830286203601</v>
      </c>
      <c r="AG315" s="802">
        <f t="shared" si="124"/>
        <v>3</v>
      </c>
      <c r="AH315" s="172">
        <f t="shared" si="119"/>
        <v>9</v>
      </c>
      <c r="AI315" s="221">
        <f t="shared" si="120"/>
        <v>3.492398302862036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47054</v>
      </c>
      <c r="B316" s="406">
        <f>'2027'!Wh/'2027'!Env_an*'2028'!Env_an</f>
        <v>22.835269378805933</v>
      </c>
      <c r="C316" s="832"/>
      <c r="D316" s="388">
        <f t="shared" si="102"/>
        <v>23.640644003634009</v>
      </c>
      <c r="E316" s="380">
        <f t="shared" si="125"/>
        <v>24.428458429047112</v>
      </c>
      <c r="F316" s="380">
        <f t="shared" si="103"/>
        <v>24.580388628838943</v>
      </c>
      <c r="G316" s="110">
        <f t="shared" si="126"/>
        <v>0.82016645408408573</v>
      </c>
      <c r="H316" s="409" t="b">
        <f>Wh_hp&gt;='2027'!Maxi_hp</f>
        <v>0</v>
      </c>
      <c r="I316" s="385">
        <f>IF(H316,Wh_hp,'2027'!Maxi_hp)</f>
        <v>24.628264313045676</v>
      </c>
      <c r="J316" s="85">
        <f>IF(H316,An,'2027'!An_max)</f>
        <v>2022</v>
      </c>
      <c r="K316" s="193">
        <f t="shared" si="104"/>
        <v>47054</v>
      </c>
      <c r="L316" s="143">
        <f>IF(t&lt;Tvie,1-EXP((T0-t)*PertePVj)+'2027'!Pspv,1-EXP((T0-t)*PertePVj)+Pspv)</f>
        <v>3.4067372475312996E-2</v>
      </c>
      <c r="M316" s="836"/>
      <c r="N316" s="836"/>
      <c r="O316" s="48">
        <f>IF(t&lt;Tnet,'2027'!Resal+('2027'!Salim-'2027'!Resal)*(1-EXP(('2027'!Tnet-t)/('2027'!Tau_j))),Resal+(Salim-Resal)*(1-EXP((Tnet-t)/(Tau_j))))*Salcycl</f>
        <v>3.2249862499564727E-2</v>
      </c>
      <c r="P316" s="165">
        <f>(INDEX(Models!$BJ316:$BT316,,T316)*(1-R316)+INDEX(Models!$BJ316:$BT316,,T316+1)*R316-ERP_i)*Q316*Ramure*Pc/MaxiM</f>
        <v>8.2900506019262035E-3</v>
      </c>
      <c r="Q316" s="301">
        <f t="shared" si="105"/>
        <v>0.5</v>
      </c>
      <c r="R316" s="173">
        <f t="shared" si="106"/>
        <v>0.49246187209927195</v>
      </c>
      <c r="S316" s="802">
        <f t="shared" si="107"/>
        <v>3</v>
      </c>
      <c r="T316" s="172">
        <f t="shared" si="108"/>
        <v>9</v>
      </c>
      <c r="U316" s="247">
        <f t="shared" si="109"/>
        <v>3.4924618720992719</v>
      </c>
      <c r="V316" s="378">
        <f t="shared" si="110"/>
        <v>27.783150470129488</v>
      </c>
      <c r="W316" s="397">
        <f t="shared" si="111"/>
        <v>22.835269378805933</v>
      </c>
      <c r="X316" s="153">
        <f t="shared" si="112"/>
        <v>47054</v>
      </c>
      <c r="Y316" s="380">
        <f t="shared" si="113"/>
        <v>22.263825443154232</v>
      </c>
      <c r="Z316" s="380">
        <f t="shared" si="114"/>
        <v>23.049045874149456</v>
      </c>
      <c r="AA316" s="381">
        <f t="shared" si="115"/>
        <v>24.428458429047112</v>
      </c>
      <c r="AB316" s="193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5.6467441811941688E-2</v>
      </c>
      <c r="AD316" s="227">
        <f>(INDEX(Models!$BJ316:$BT316,,AH316)*(1-AF316)+INDEX(Models!$BJ316:$BT316,,AH316+1)*AF316-ERP_i)*AE316*Ramure*Pc/MaxiM</f>
        <v>8.2900506019262035E-3</v>
      </c>
      <c r="AE316" s="301">
        <f t="shared" si="117"/>
        <v>0.5</v>
      </c>
      <c r="AF316" s="173">
        <f t="shared" si="118"/>
        <v>0.49246187209927195</v>
      </c>
      <c r="AG316" s="802">
        <f t="shared" si="124"/>
        <v>3</v>
      </c>
      <c r="AH316" s="172">
        <f t="shared" si="119"/>
        <v>9</v>
      </c>
      <c r="AI316" s="221">
        <f t="shared" si="120"/>
        <v>3.4924618720992719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47055</v>
      </c>
      <c r="B317" s="406">
        <f>'2027'!Wh/'2027'!Env_an*'2028'!Env_an</f>
        <v>19.98252399364803</v>
      </c>
      <c r="C317" s="832"/>
      <c r="D317" s="388">
        <f t="shared" si="102"/>
        <v>20.68756864810933</v>
      </c>
      <c r="E317" s="380">
        <f t="shared" si="125"/>
        <v>21.377476270233021</v>
      </c>
      <c r="F317" s="380">
        <f t="shared" si="103"/>
        <v>21.500825386233625</v>
      </c>
      <c r="G317" s="110">
        <f t="shared" si="126"/>
        <v>0.72649051629412442</v>
      </c>
      <c r="H317" s="409" t="b">
        <f>Wh_hp&gt;='2027'!Maxi_hp</f>
        <v>0</v>
      </c>
      <c r="I317" s="385">
        <f>IF(H317,Wh_hp,'2027'!Maxi_hp)</f>
        <v>21.572507516990949</v>
      </c>
      <c r="J317" s="85">
        <f>IF(H317,An,'2027'!An_max)</f>
        <v>2022</v>
      </c>
      <c r="K317" s="193">
        <f t="shared" si="104"/>
        <v>47055</v>
      </c>
      <c r="L317" s="143">
        <f>IF(t&lt;Tvie,1-EXP((T0-t)*PertePVj)+'2027'!Pspv,1-EXP((T0-t)*PertePVj)+Pspv)</f>
        <v>3.4080595281830606E-2</v>
      </c>
      <c r="M317" s="836"/>
      <c r="N317" s="836"/>
      <c r="O317" s="48">
        <f>IF(t&lt;Tnet,'2027'!Resal+('2027'!Salim-'2027'!Resal)*(1-EXP(('2027'!Tnet-t)/('2027'!Tau_j))),Resal+(Salim-Resal)*(1-EXP((Tnet-t)/(Tau_j))))*Salcycl</f>
        <v>3.2272641232414842E-2</v>
      </c>
      <c r="P317" s="165">
        <f>(INDEX(Models!$BJ317:$BT317,,T317)*(1-R317)+INDEX(Models!$BJ317:$BT317,,T317+1)*R317-ERP_i)*Q317*Ramure*Pc/MaxiM</f>
        <v>9.3578051634290726E-3</v>
      </c>
      <c r="Q317" s="301">
        <f t="shared" si="105"/>
        <v>0.5</v>
      </c>
      <c r="R317" s="173">
        <f t="shared" si="106"/>
        <v>0.49252289707931496</v>
      </c>
      <c r="S317" s="802">
        <f t="shared" si="107"/>
        <v>3</v>
      </c>
      <c r="T317" s="172">
        <f t="shared" si="108"/>
        <v>9</v>
      </c>
      <c r="U317" s="247">
        <f t="shared" si="109"/>
        <v>3.492522897079315</v>
      </c>
      <c r="V317" s="378">
        <f t="shared" si="110"/>
        <v>27.405385473569297</v>
      </c>
      <c r="W317" s="397">
        <f t="shared" si="111"/>
        <v>19.98252399364803</v>
      </c>
      <c r="X317" s="153">
        <f t="shared" si="112"/>
        <v>47055</v>
      </c>
      <c r="Y317" s="380">
        <f t="shared" si="113"/>
        <v>19.483264076883902</v>
      </c>
      <c r="Z317" s="380">
        <f t="shared" si="114"/>
        <v>20.170693312211302</v>
      </c>
      <c r="AA317" s="381">
        <f t="shared" si="115"/>
        <v>21.377476270233021</v>
      </c>
      <c r="AB317" s="193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5.6451142443886028E-2</v>
      </c>
      <c r="AD317" s="227">
        <f>(INDEX(Models!$BJ317:$BT317,,AH317)*(1-AF317)+INDEX(Models!$BJ317:$BT317,,AH317+1)*AF317-ERP_i)*AE317*Ramure*Pc/MaxiM</f>
        <v>9.3578051634290726E-3</v>
      </c>
      <c r="AE317" s="301">
        <f t="shared" si="117"/>
        <v>0.5</v>
      </c>
      <c r="AF317" s="173">
        <f t="shared" si="118"/>
        <v>0.49252289707931496</v>
      </c>
      <c r="AG317" s="802">
        <f t="shared" si="124"/>
        <v>3</v>
      </c>
      <c r="AH317" s="172">
        <f t="shared" si="119"/>
        <v>9</v>
      </c>
      <c r="AI317" s="221">
        <f t="shared" si="120"/>
        <v>3.492522897079315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47056</v>
      </c>
      <c r="B318" s="406">
        <f>'2027'!Wh/'2027'!Env_an*'2028'!Env_an</f>
        <v>19.154758607048876</v>
      </c>
      <c r="C318" s="832"/>
      <c r="D318" s="388">
        <f t="shared" si="102"/>
        <v>19.830868631102032</v>
      </c>
      <c r="E318" s="380">
        <f t="shared" si="125"/>
        <v>20.492684721640067</v>
      </c>
      <c r="F318" s="380">
        <f t="shared" si="103"/>
        <v>20.618703086216748</v>
      </c>
      <c r="G318" s="110">
        <f t="shared" si="126"/>
        <v>0.70560096212582513</v>
      </c>
      <c r="H318" s="409" t="b">
        <f>Wh_hp&gt;='2027'!Maxi_hp</f>
        <v>0</v>
      </c>
      <c r="I318" s="385">
        <f>IF(H318,Wh_hp,'2027'!Maxi_hp)</f>
        <v>20.701155143834445</v>
      </c>
      <c r="J318" s="85">
        <f>IF(H318,An,'2027'!An_max)</f>
        <v>2022</v>
      </c>
      <c r="K318" s="193">
        <f t="shared" si="104"/>
        <v>47056</v>
      </c>
      <c r="L318" s="143">
        <f>IF(t&lt;Tvie,1-EXP((T0-t)*PertePVj)+'2027'!Pspv,1-EXP((T0-t)*PertePVj)+Pspv)</f>
        <v>3.4093817907339008E-2</v>
      </c>
      <c r="M318" s="836"/>
      <c r="N318" s="836"/>
      <c r="O318" s="48">
        <f>IF(t&lt;Tnet,'2027'!Resal+('2027'!Salim-'2027'!Resal)*(1-EXP(('2027'!Tnet-t)/('2027'!Tau_j))),Resal+(Salim-Resal)*(1-EXP((Tnet-t)/(Tau_j))))*Salcycl</f>
        <v>3.2295236057536328E-2</v>
      </c>
      <c r="P318" s="165">
        <f>(INDEX(Models!$BJ318:$BT318,,T318)*(1-R318)+INDEX(Models!$BJ318:$BT318,,T318+1)*R318-ERP_i)*Q318*Ramure*Pc/MaxiM</f>
        <v>1.0467870988797878E-2</v>
      </c>
      <c r="Q318" s="301">
        <f t="shared" si="105"/>
        <v>0.5</v>
      </c>
      <c r="R318" s="173">
        <f t="shared" si="106"/>
        <v>0.49258147904517546</v>
      </c>
      <c r="S318" s="802">
        <f t="shared" si="107"/>
        <v>3</v>
      </c>
      <c r="T318" s="172">
        <f t="shared" si="108"/>
        <v>9</v>
      </c>
      <c r="U318" s="247">
        <f t="shared" si="109"/>
        <v>3.4925814790451755</v>
      </c>
      <c r="V318" s="378">
        <f t="shared" si="110"/>
        <v>27.027750737881309</v>
      </c>
      <c r="W318" s="397">
        <f t="shared" si="111"/>
        <v>19.154758607048876</v>
      </c>
      <c r="X318" s="153">
        <f t="shared" si="112"/>
        <v>47056</v>
      </c>
      <c r="Y318" s="380">
        <f t="shared" si="113"/>
        <v>18.676942756358851</v>
      </c>
      <c r="Z318" s="380">
        <f t="shared" si="114"/>
        <v>19.336187201840623</v>
      </c>
      <c r="AA318" s="381">
        <f t="shared" si="115"/>
        <v>20.492684721640067</v>
      </c>
      <c r="AB318" s="193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5.6434651462636015E-2</v>
      </c>
      <c r="AD318" s="227">
        <f>(INDEX(Models!$BJ318:$BT318,,AH318)*(1-AF318)+INDEX(Models!$BJ318:$BT318,,AH318+1)*AF318-ERP_i)*AE318*Ramure*Pc/MaxiM</f>
        <v>1.0467870988797878E-2</v>
      </c>
      <c r="AE318" s="301">
        <f t="shared" si="117"/>
        <v>0.5</v>
      </c>
      <c r="AF318" s="173">
        <f t="shared" si="118"/>
        <v>0.49258147904517546</v>
      </c>
      <c r="AG318" s="802">
        <f t="shared" si="124"/>
        <v>3</v>
      </c>
      <c r="AH318" s="172">
        <f t="shared" si="119"/>
        <v>9</v>
      </c>
      <c r="AI318" s="221">
        <f t="shared" si="120"/>
        <v>3.4925814790451755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47057</v>
      </c>
      <c r="B319" s="406">
        <f>'2027'!Wh/'2027'!Env_an*'2028'!Env_an</f>
        <v>17.453600056399818</v>
      </c>
      <c r="C319" s="832"/>
      <c r="D319" s="388">
        <f t="shared" si="102"/>
        <v>18.06991124850682</v>
      </c>
      <c r="E319" s="380">
        <f t="shared" si="125"/>
        <v>18.673391935771598</v>
      </c>
      <c r="F319" s="380">
        <f t="shared" si="103"/>
        <v>18.783630055064677</v>
      </c>
      <c r="G319" s="110">
        <f t="shared" si="126"/>
        <v>0.65111102376559904</v>
      </c>
      <c r="H319" s="409" t="b">
        <f>Wh_hp&gt;='2027'!Maxi_hp</f>
        <v>0</v>
      </c>
      <c r="I319" s="385">
        <f>IF(H319,Wh_hp,'2027'!Maxi_hp)</f>
        <v>18.881740725335344</v>
      </c>
      <c r="J319" s="85">
        <f>IF(H319,An,'2027'!An_max)</f>
        <v>2022</v>
      </c>
      <c r="K319" s="193">
        <f t="shared" si="104"/>
        <v>47057</v>
      </c>
      <c r="L319" s="143">
        <f>IF(t&lt;Tvie,1-EXP((T0-t)*PertePVj)+'2027'!Pspv,1-EXP((T0-t)*PertePVj)+Pspv)</f>
        <v>3.4107040351840756E-2</v>
      </c>
      <c r="M319" s="836"/>
      <c r="N319" s="836"/>
      <c r="O319" s="48">
        <f>IF(t&lt;Tnet,'2027'!Resal+('2027'!Salim-'2027'!Resal)*(1-EXP(('2027'!Tnet-t)/('2027'!Tau_j))),Resal+(Salim-Resal)*(1-EXP((Tnet-t)/(Tau_j))))*Salcycl</f>
        <v>3.2317679045161848E-2</v>
      </c>
      <c r="P319" s="165">
        <f>(INDEX(Models!$BJ319:$BT319,,T319)*(1-R319)+INDEX(Models!$BJ319:$BT319,,T319+1)*R319-ERP_i)*Q319*Ramure*Pc/MaxiM</f>
        <v>1.1576569976356716E-2</v>
      </c>
      <c r="Q319" s="301">
        <f t="shared" si="105"/>
        <v>0.5</v>
      </c>
      <c r="R319" s="173">
        <f t="shared" si="106"/>
        <v>0.49263771525731759</v>
      </c>
      <c r="S319" s="802">
        <f t="shared" si="107"/>
        <v>3</v>
      </c>
      <c r="T319" s="172">
        <f t="shared" si="108"/>
        <v>9</v>
      </c>
      <c r="U319" s="247">
        <f t="shared" si="109"/>
        <v>3.4926377152573176</v>
      </c>
      <c r="V319" s="378">
        <f t="shared" si="110"/>
        <v>26.651970061540087</v>
      </c>
      <c r="W319" s="397">
        <f t="shared" si="111"/>
        <v>17.453600056399818</v>
      </c>
      <c r="X319" s="153">
        <f t="shared" si="112"/>
        <v>47057</v>
      </c>
      <c r="Y319" s="380">
        <f t="shared" si="113"/>
        <v>17.018914217565808</v>
      </c>
      <c r="Z319" s="380">
        <f t="shared" si="114"/>
        <v>17.619876040679703</v>
      </c>
      <c r="AA319" s="381">
        <f t="shared" si="115"/>
        <v>18.673391935771598</v>
      </c>
      <c r="AB319" s="193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5.6418025108428881E-2</v>
      </c>
      <c r="AD319" s="227">
        <f>(INDEX(Models!$BJ319:$BT319,,AH319)*(1-AF319)+INDEX(Models!$BJ319:$BT319,,AH319+1)*AF319-ERP_i)*AE319*Ramure*Pc/MaxiM</f>
        <v>1.1576569976356716E-2</v>
      </c>
      <c r="AE319" s="301">
        <f t="shared" si="117"/>
        <v>0.5</v>
      </c>
      <c r="AF319" s="173">
        <f t="shared" si="118"/>
        <v>0.49263771525731759</v>
      </c>
      <c r="AG319" s="802">
        <f t="shared" si="124"/>
        <v>3</v>
      </c>
      <c r="AH319" s="172">
        <f t="shared" si="119"/>
        <v>9</v>
      </c>
      <c r="AI319" s="221">
        <f t="shared" si="120"/>
        <v>3.4926377152573176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47058</v>
      </c>
      <c r="B320" s="406">
        <f>'2027'!Wh/'2027'!Env_an*'2028'!Env_an</f>
        <v>24.143059901364108</v>
      </c>
      <c r="C320" s="832"/>
      <c r="D320" s="388">
        <f t="shared" si="102"/>
        <v>24.995927512401199</v>
      </c>
      <c r="E320" s="380">
        <f t="shared" si="125"/>
        <v>25.83131222702325</v>
      </c>
      <c r="F320" s="380">
        <f t="shared" si="103"/>
        <v>26.124200278447852</v>
      </c>
      <c r="G320" s="110">
        <f t="shared" si="126"/>
        <v>0.91736847514432585</v>
      </c>
      <c r="H320" s="409" t="b">
        <f>Wh_hp&gt;='2027'!Maxi_hp</f>
        <v>0</v>
      </c>
      <c r="I320" s="385">
        <f>IF(H320,Wh_hp,'2027'!Maxi_hp)</f>
        <v>26.159305907233136</v>
      </c>
      <c r="J320" s="85">
        <f>IF(H320,An,'2027'!An_max)</f>
        <v>2022</v>
      </c>
      <c r="K320" s="193">
        <f t="shared" si="104"/>
        <v>47058</v>
      </c>
      <c r="L320" s="143">
        <f>IF(t&lt;Tvie,1-EXP((T0-t)*PertePVj)+'2027'!Pspv,1-EXP((T0-t)*PertePVj)+Pspv)</f>
        <v>3.4120262615338404E-2</v>
      </c>
      <c r="M320" s="836"/>
      <c r="N320" s="836"/>
      <c r="O320" s="48">
        <f>IF(t&lt;Tnet,'2027'!Resal+('2027'!Salim-'2027'!Resal)*(1-EXP(('2027'!Tnet-t)/('2027'!Tau_j))),Resal+(Salim-Resal)*(1-EXP((Tnet-t)/(Tau_j))))*Salcycl</f>
        <v>3.234000298862557E-2</v>
      </c>
      <c r="P320" s="165">
        <f>(INDEX(Models!$BJ320:$BT320,,T320)*(1-R320)+INDEX(Models!$BJ320:$BT320,,T320+1)*R320-ERP_i)*Q320*Ramure*Pc/MaxiM</f>
        <v>1.2683843143999528E-2</v>
      </c>
      <c r="Q320" s="301">
        <f t="shared" si="105"/>
        <v>0.5</v>
      </c>
      <c r="R320" s="173">
        <f t="shared" si="106"/>
        <v>0.49269169914667144</v>
      </c>
      <c r="S320" s="802">
        <f t="shared" si="107"/>
        <v>3</v>
      </c>
      <c r="T320" s="172">
        <f t="shared" si="108"/>
        <v>9</v>
      </c>
      <c r="U320" s="247">
        <f t="shared" si="109"/>
        <v>3.4926916991466714</v>
      </c>
      <c r="V320" s="378">
        <f t="shared" si="110"/>
        <v>26.278542855520332</v>
      </c>
      <c r="W320" s="397">
        <f t="shared" si="111"/>
        <v>24.143059901364108</v>
      </c>
      <c r="X320" s="153">
        <f t="shared" si="112"/>
        <v>47058</v>
      </c>
      <c r="Y320" s="380">
        <f t="shared" si="113"/>
        <v>23.542731443399408</v>
      </c>
      <c r="Z320" s="380">
        <f t="shared" si="114"/>
        <v>24.374392103044517</v>
      </c>
      <c r="AA320" s="381">
        <f t="shared" si="115"/>
        <v>25.83131222702325</v>
      </c>
      <c r="AB320" s="193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5.640132065976055E-2</v>
      </c>
      <c r="AD320" s="227">
        <f>(INDEX(Models!$BJ320:$BT320,,AH320)*(1-AF320)+INDEX(Models!$BJ320:$BT320,,AH320+1)*AF320-ERP_i)*AE320*Ramure*Pc/MaxiM</f>
        <v>1.2683843143999528E-2</v>
      </c>
      <c r="AE320" s="301">
        <f t="shared" si="117"/>
        <v>0.5</v>
      </c>
      <c r="AF320" s="173">
        <f t="shared" si="118"/>
        <v>0.49269169914667144</v>
      </c>
      <c r="AG320" s="802">
        <f t="shared" si="124"/>
        <v>3</v>
      </c>
      <c r="AH320" s="172">
        <f t="shared" si="119"/>
        <v>9</v>
      </c>
      <c r="AI320" s="221">
        <f t="shared" si="120"/>
        <v>3.4926916991466714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47059</v>
      </c>
      <c r="B321" s="406">
        <f>'2027'!Wh/'2027'!Env_an*'2028'!Env_an</f>
        <v>8.7511547053610013</v>
      </c>
      <c r="C321" s="832"/>
      <c r="D321" s="388">
        <f t="shared" si="102"/>
        <v>9.0604183566952354</v>
      </c>
      <c r="E321" s="380">
        <f t="shared" si="125"/>
        <v>9.3634402697750119</v>
      </c>
      <c r="F321" s="380">
        <f t="shared" si="103"/>
        <v>9.3704138679339835</v>
      </c>
      <c r="G321" s="110">
        <f t="shared" si="126"/>
        <v>0.33336878565925859</v>
      </c>
      <c r="H321" s="409" t="b">
        <f>Wh_hp&gt;='2027'!Maxi_hp</f>
        <v>0</v>
      </c>
      <c r="I321" s="385">
        <f>IF(H321,Wh_hp,'2027'!Maxi_hp)</f>
        <v>9.4814767533858237</v>
      </c>
      <c r="J321" s="85">
        <f>IF(H321,An,'2027'!An_max)</f>
        <v>2022</v>
      </c>
      <c r="K321" s="193">
        <f t="shared" si="104"/>
        <v>47059</v>
      </c>
      <c r="L321" s="143">
        <f>IF(t&lt;Tvie,1-EXP((T0-t)*PertePVj)+'2027'!Pspv,1-EXP((T0-t)*PertePVj)+Pspv)</f>
        <v>3.4133484697834282E-2</v>
      </c>
      <c r="M321" s="836"/>
      <c r="N321" s="836"/>
      <c r="O321" s="48">
        <f>IF(t&lt;Tnet,'2027'!Resal+('2027'!Salim-'2027'!Resal)*(1-EXP(('2027'!Tnet-t)/('2027'!Tau_j))),Resal+(Salim-Resal)*(1-EXP((Tnet-t)/(Tau_j))))*Salcycl</f>
        <v>3.236224126488256E-2</v>
      </c>
      <c r="P321" s="165">
        <f>(INDEX(Models!$BJ321:$BT321,,T321)*(1-R321)+INDEX(Models!$BJ321:$BT321,,T321+1)*R321-ERP_i)*Q321*Ramure*Pc/MaxiM</f>
        <v>1.3789588561204538E-2</v>
      </c>
      <c r="Q321" s="301">
        <f t="shared" si="105"/>
        <v>0.5</v>
      </c>
      <c r="R321" s="173">
        <f t="shared" si="106"/>
        <v>0.49274352046206449</v>
      </c>
      <c r="S321" s="802">
        <f t="shared" si="107"/>
        <v>3</v>
      </c>
      <c r="T321" s="172">
        <f t="shared" si="108"/>
        <v>9</v>
      </c>
      <c r="U321" s="247">
        <f t="shared" si="109"/>
        <v>3.4927435204620645</v>
      </c>
      <c r="V321" s="378">
        <f t="shared" si="110"/>
        <v>25.907967290910705</v>
      </c>
      <c r="W321" s="397">
        <f t="shared" si="111"/>
        <v>8.7511547053610013</v>
      </c>
      <c r="X321" s="153">
        <f t="shared" si="112"/>
        <v>47059</v>
      </c>
      <c r="Y321" s="380">
        <f t="shared" si="113"/>
        <v>8.5339005289855496</v>
      </c>
      <c r="Z321" s="380">
        <f t="shared" si="114"/>
        <v>8.8354864712498795</v>
      </c>
      <c r="AA321" s="381">
        <f t="shared" si="115"/>
        <v>9.3634402697750119</v>
      </c>
      <c r="AB321" s="193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5.6384596186228271E-2</v>
      </c>
      <c r="AD321" s="227">
        <f>(INDEX(Models!$BJ321:$BT321,,AH321)*(1-AF321)+INDEX(Models!$BJ321:$BT321,,AH321+1)*AF321-ERP_i)*AE321*Ramure*Pc/MaxiM</f>
        <v>1.3789588561204538E-2</v>
      </c>
      <c r="AE321" s="301">
        <f t="shared" si="117"/>
        <v>0.5</v>
      </c>
      <c r="AF321" s="173">
        <f t="shared" si="118"/>
        <v>0.49274352046206449</v>
      </c>
      <c r="AG321" s="802">
        <f t="shared" si="124"/>
        <v>3</v>
      </c>
      <c r="AH321" s="172">
        <f t="shared" si="119"/>
        <v>9</v>
      </c>
      <c r="AI321" s="221">
        <f t="shared" si="120"/>
        <v>3.4927435204620645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47060</v>
      </c>
      <c r="B322" s="406">
        <f>'2027'!Wh/'2027'!Env_an*'2028'!Env_an</f>
        <v>12.135280717436334</v>
      </c>
      <c r="C322" s="832"/>
      <c r="D322" s="388">
        <f t="shared" si="102"/>
        <v>12.564310543177085</v>
      </c>
      <c r="E322" s="380">
        <f t="shared" si="125"/>
        <v>12.984816390642212</v>
      </c>
      <c r="F322" s="380">
        <f t="shared" si="103"/>
        <v>13.033382304240275</v>
      </c>
      <c r="G322" s="110">
        <f t="shared" si="126"/>
        <v>0.4698084047615867</v>
      </c>
      <c r="H322" s="409" t="b">
        <f>Wh_hp&gt;='2027'!Maxi_hp</f>
        <v>0</v>
      </c>
      <c r="I322" s="385">
        <f>IF(H322,Wh_hp,'2027'!Maxi_hp)</f>
        <v>13.165201026271244</v>
      </c>
      <c r="J322" s="85">
        <f>IF(H322,An,'2027'!An_max)</f>
        <v>2022</v>
      </c>
      <c r="K322" s="193">
        <f t="shared" si="104"/>
        <v>47060</v>
      </c>
      <c r="L322" s="143">
        <f>IF(t&lt;Tvie,1-EXP((T0-t)*PertePVj)+'2027'!Pspv,1-EXP((T0-t)*PertePVj)+Pspv)</f>
        <v>3.4146706599331056E-2</v>
      </c>
      <c r="M322" s="836"/>
      <c r="N322" s="836"/>
      <c r="O322" s="48">
        <f>IF(t&lt;Tnet,'2027'!Resal+('2027'!Salim-'2027'!Resal)*(1-EXP(('2027'!Tnet-t)/('2027'!Tau_j))),Resal+(Salim-Resal)*(1-EXP((Tnet-t)/(Tau_j))))*Salcycl</f>
        <v>3.2384427689572538E-2</v>
      </c>
      <c r="P322" s="165">
        <f>(INDEX(Models!$BJ322:$BT322,,T322)*(1-R322)+INDEX(Models!$BJ322:$BT322,,T322+1)*R322-ERP_i)*Q322*Ramure*Pc/MaxiM</f>
        <v>1.4893657454588006E-2</v>
      </c>
      <c r="Q322" s="301">
        <f t="shared" si="105"/>
        <v>0.5</v>
      </c>
      <c r="R322" s="173">
        <f t="shared" si="106"/>
        <v>0.49279326541223689</v>
      </c>
      <c r="S322" s="802">
        <f t="shared" si="107"/>
        <v>3</v>
      </c>
      <c r="T322" s="172">
        <f t="shared" si="108"/>
        <v>9</v>
      </c>
      <c r="U322" s="247">
        <f t="shared" si="109"/>
        <v>3.4927932654122369</v>
      </c>
      <c r="V322" s="378">
        <f t="shared" si="110"/>
        <v>25.540740341885609</v>
      </c>
      <c r="W322" s="397">
        <f t="shared" si="111"/>
        <v>12.135280717436334</v>
      </c>
      <c r="X322" s="153">
        <f t="shared" si="112"/>
        <v>47060</v>
      </c>
      <c r="Y322" s="380">
        <f t="shared" si="113"/>
        <v>11.834493604963878</v>
      </c>
      <c r="Z322" s="380">
        <f t="shared" si="114"/>
        <v>12.252889425158823</v>
      </c>
      <c r="AA322" s="381">
        <f t="shared" si="115"/>
        <v>12.984816390642212</v>
      </c>
      <c r="AB322" s="193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5.6367910293353619E-2</v>
      </c>
      <c r="AD322" s="227">
        <f>(INDEX(Models!$BJ322:$BT322,,AH322)*(1-AF322)+INDEX(Models!$BJ322:$BT322,,AH322+1)*AF322-ERP_i)*AE322*Ramure*Pc/MaxiM</f>
        <v>1.4893657454588006E-2</v>
      </c>
      <c r="AE322" s="301">
        <f t="shared" si="117"/>
        <v>0.5</v>
      </c>
      <c r="AF322" s="173">
        <f t="shared" si="118"/>
        <v>0.49279326541223689</v>
      </c>
      <c r="AG322" s="802">
        <f t="shared" si="124"/>
        <v>3</v>
      </c>
      <c r="AH322" s="172">
        <f t="shared" si="119"/>
        <v>9</v>
      </c>
      <c r="AI322" s="221">
        <f t="shared" si="120"/>
        <v>3.4927932654122369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47061</v>
      </c>
      <c r="B323" s="406">
        <f>'2027'!Wh/'2027'!Env_an*'2028'!Env_an</f>
        <v>24.434840919611485</v>
      </c>
      <c r="C323" s="832"/>
      <c r="D323" s="388">
        <f t="shared" si="102"/>
        <v>25.299054818780505</v>
      </c>
      <c r="E323" s="380">
        <f t="shared" si="125"/>
        <v>26.146369667058465</v>
      </c>
      <c r="F323" s="380">
        <f t="shared" si="103"/>
        <v>26.553216300343681</v>
      </c>
      <c r="G323" s="110">
        <f t="shared" si="126"/>
        <v>0.96984432735463932</v>
      </c>
      <c r="H323" s="409" t="b">
        <f>Wh_hp&gt;='2027'!Maxi_hp</f>
        <v>0</v>
      </c>
      <c r="I323" s="385">
        <f>IF(H323,Wh_hp,'2027'!Maxi_hp)</f>
        <v>26.569385595807791</v>
      </c>
      <c r="J323" s="85">
        <f>IF(H323,An,'2027'!An_max)</f>
        <v>2022</v>
      </c>
      <c r="K323" s="193">
        <f t="shared" si="104"/>
        <v>47061</v>
      </c>
      <c r="L323" s="143">
        <f>IF(t&lt;Tvie,1-EXP((T0-t)*PertePVj)+'2027'!Pspv,1-EXP((T0-t)*PertePVj)+Pspv)</f>
        <v>3.4159928319831057E-2</v>
      </c>
      <c r="M323" s="836"/>
      <c r="N323" s="836"/>
      <c r="O323" s="48">
        <f>IF(t&lt;Tnet,'2027'!Resal+('2027'!Salim-'2027'!Resal)*(1-EXP(('2027'!Tnet-t)/('2027'!Tau_j))),Resal+(Salim-Resal)*(1-EXP((Tnet-t)/(Tau_j))))*Salcycl</f>
        <v>3.2406596367582266E-2</v>
      </c>
      <c r="P323" s="165">
        <f>(INDEX(Models!$BJ323:$BT323,,T323)*(1-R323)+INDEX(Models!$BJ323:$BT323,,T323+1)*R323-ERP_i)*Q323*Ramure*Pc/MaxiM</f>
        <v>1.5995849754287739E-2</v>
      </c>
      <c r="Q323" s="301">
        <f t="shared" si="105"/>
        <v>0.5</v>
      </c>
      <c r="R323" s="173">
        <f t="shared" si="106"/>
        <v>0.49284101680262626</v>
      </c>
      <c r="S323" s="802">
        <f t="shared" si="107"/>
        <v>3</v>
      </c>
      <c r="T323" s="172">
        <f t="shared" si="108"/>
        <v>9</v>
      </c>
      <c r="U323" s="247">
        <f t="shared" si="109"/>
        <v>3.4928410168026263</v>
      </c>
      <c r="V323" s="378">
        <f t="shared" si="110"/>
        <v>25.177357828753539</v>
      </c>
      <c r="W323" s="397">
        <f t="shared" si="111"/>
        <v>24.434840919611485</v>
      </c>
      <c r="X323" s="153">
        <f t="shared" si="112"/>
        <v>47061</v>
      </c>
      <c r="Y323" s="380">
        <f t="shared" si="113"/>
        <v>23.830159701135621</v>
      </c>
      <c r="Z323" s="380">
        <f t="shared" si="114"/>
        <v>24.672987174450977</v>
      </c>
      <c r="AA323" s="381">
        <f t="shared" si="115"/>
        <v>26.146369667058465</v>
      </c>
      <c r="AB323" s="193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5.6351321861091375E-2</v>
      </c>
      <c r="AD323" s="227">
        <f>(INDEX(Models!$BJ323:$BT323,,AH323)*(1-AF323)+INDEX(Models!$BJ323:$BT323,,AH323+1)*AF323-ERP_i)*AE323*Ramure*Pc/MaxiM</f>
        <v>1.5995849754287739E-2</v>
      </c>
      <c r="AE323" s="301">
        <f t="shared" si="117"/>
        <v>0.5</v>
      </c>
      <c r="AF323" s="173">
        <f t="shared" si="118"/>
        <v>0.49284101680262626</v>
      </c>
      <c r="AG323" s="802">
        <f t="shared" si="124"/>
        <v>3</v>
      </c>
      <c r="AH323" s="172">
        <f t="shared" si="119"/>
        <v>9</v>
      </c>
      <c r="AI323" s="221">
        <f t="shared" si="120"/>
        <v>3.4928410168026263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47062</v>
      </c>
      <c r="B324" s="406">
        <f>'2027'!Wh/'2027'!Env_an*'2028'!Env_an</f>
        <v>24.47439458997184</v>
      </c>
      <c r="C324" s="832"/>
      <c r="D324" s="388">
        <f t="shared" si="102"/>
        <v>25.340354315483552</v>
      </c>
      <c r="E324" s="380">
        <f t="shared" si="125"/>
        <v>26.189652846245732</v>
      </c>
      <c r="F324" s="380">
        <f t="shared" si="103"/>
        <v>26.634454940516093</v>
      </c>
      <c r="G324" s="110">
        <f t="shared" si="126"/>
        <v>0.98574569444752347</v>
      </c>
      <c r="H324" s="409" t="b">
        <f>Wh_hp&gt;='2027'!Maxi_hp</f>
        <v>0</v>
      </c>
      <c r="I324" s="385">
        <f>IF(H324,Wh_hp,'2027'!Maxi_hp)</f>
        <v>26.642580367893142</v>
      </c>
      <c r="J324" s="85">
        <f>IF(H324,An,'2027'!An_max)</f>
        <v>2022</v>
      </c>
      <c r="K324" s="193">
        <f t="shared" si="104"/>
        <v>47062</v>
      </c>
      <c r="L324" s="143">
        <f>IF(t&lt;Tvie,1-EXP((T0-t)*PertePVj)+'2027'!Pspv,1-EXP((T0-t)*PertePVj)+Pspv)</f>
        <v>3.4173149859336838E-2</v>
      </c>
      <c r="M324" s="836"/>
      <c r="N324" s="836"/>
      <c r="O324" s="48">
        <f>IF(t&lt;Tnet,'2027'!Resal+('2027'!Salim-'2027'!Resal)*(1-EXP(('2027'!Tnet-t)/('2027'!Tau_j))),Resal+(Salim-Resal)*(1-EXP((Tnet-t)/(Tau_j))))*Salcycl</f>
        <v>3.2428781540108267E-2</v>
      </c>
      <c r="P324" s="165">
        <f>(INDEX(Models!$BJ324:$BT324,,T324)*(1-R324)+INDEX(Models!$BJ324:$BT324,,T324+1)*R324-ERP_i)*Q324*Ramure*Pc/MaxiM</f>
        <v>1.703895282338266E-2</v>
      </c>
      <c r="Q324" s="301">
        <f t="shared" si="105"/>
        <v>0.5</v>
      </c>
      <c r="R324" s="173">
        <f t="shared" si="106"/>
        <v>0.49288685416709566</v>
      </c>
      <c r="S324" s="802">
        <f t="shared" si="107"/>
        <v>3</v>
      </c>
      <c r="T324" s="172">
        <f t="shared" si="108"/>
        <v>9</v>
      </c>
      <c r="U324" s="247">
        <f t="shared" si="109"/>
        <v>3.4928868541670957</v>
      </c>
      <c r="V324" s="378">
        <f t="shared" si="110"/>
        <v>24.8197526280536</v>
      </c>
      <c r="W324" s="397">
        <f t="shared" si="111"/>
        <v>24.47439458997184</v>
      </c>
      <c r="X324" s="153">
        <f t="shared" si="112"/>
        <v>47062</v>
      </c>
      <c r="Y324" s="380">
        <f t="shared" si="113"/>
        <v>23.869697473152783</v>
      </c>
      <c r="Z324" s="380">
        <f t="shared" si="114"/>
        <v>24.71426163983368</v>
      </c>
      <c r="AA324" s="381">
        <f t="shared" si="115"/>
        <v>26.189652846245732</v>
      </c>
      <c r="AB324" s="193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5.6334889777798262E-2</v>
      </c>
      <c r="AD324" s="227">
        <f>(INDEX(Models!$BJ324:$BT324,,AH324)*(1-AF324)+INDEX(Models!$BJ324:$BT324,,AH324+1)*AF324-ERP_i)*AE324*Ramure*Pc/MaxiM</f>
        <v>1.703895282338266E-2</v>
      </c>
      <c r="AE324" s="301">
        <f t="shared" si="117"/>
        <v>0.5</v>
      </c>
      <c r="AF324" s="173">
        <f t="shared" si="118"/>
        <v>0.49288685416709566</v>
      </c>
      <c r="AG324" s="802">
        <f t="shared" si="124"/>
        <v>3</v>
      </c>
      <c r="AH324" s="172">
        <f t="shared" si="119"/>
        <v>9</v>
      </c>
      <c r="AI324" s="221">
        <f t="shared" si="120"/>
        <v>3.4928868541670957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47063</v>
      </c>
      <c r="B325" s="406">
        <f>'2027'!Wh/'2027'!Env_an*'2028'!Env_an</f>
        <v>24.262544727205011</v>
      </c>
      <c r="C325" s="832"/>
      <c r="D325" s="388">
        <f t="shared" si="102"/>
        <v>25.121352613132071</v>
      </c>
      <c r="E325" s="380">
        <f t="shared" si="125"/>
        <v>25.963907838945364</v>
      </c>
      <c r="F325" s="380">
        <f t="shared" si="103"/>
        <v>26.433731905713547</v>
      </c>
      <c r="G325" s="110">
        <f t="shared" si="126"/>
        <v>0.99133708281553679</v>
      </c>
      <c r="H325" s="409" t="b">
        <f>Wh_hp&gt;='2027'!Maxi_hp</f>
        <v>0</v>
      </c>
      <c r="I325" s="385">
        <f>IF(H325,Wh_hp,'2027'!Maxi_hp)</f>
        <v>26.438884406158653</v>
      </c>
      <c r="J325" s="85">
        <f>IF(H325,An,'2027'!An_max)</f>
        <v>2022</v>
      </c>
      <c r="K325" s="193">
        <f t="shared" si="104"/>
        <v>47063</v>
      </c>
      <c r="L325" s="143">
        <f>IF(t&lt;Tvie,1-EXP((T0-t)*PertePVj)+'2027'!Pspv,1-EXP((T0-t)*PertePVj)+Pspv)</f>
        <v>3.4186371217850842E-2</v>
      </c>
      <c r="M325" s="836"/>
      <c r="N325" s="836"/>
      <c r="O325" s="48">
        <f>IF(t&lt;Tnet,'2027'!Resal+('2027'!Salim-'2027'!Resal)*(1-EXP(('2027'!Tnet-t)/('2027'!Tau_j))),Resal+(Salim-Resal)*(1-EXP((Tnet-t)/(Tau_j))))*Salcycl</f>
        <v>3.2451017429259051E-2</v>
      </c>
      <c r="P325" s="165">
        <f>(INDEX(Models!$BJ325:$BT325,,T325)*(1-R325)+INDEX(Models!$BJ325:$BT325,,T325+1)*R325-ERP_i)*Q325*Ramure*Pc/MaxiM</f>
        <v>1.7990671153803123E-2</v>
      </c>
      <c r="Q325" s="301">
        <f t="shared" si="105"/>
        <v>0.5</v>
      </c>
      <c r="R325" s="173">
        <f t="shared" si="106"/>
        <v>0.49293085389476676</v>
      </c>
      <c r="S325" s="802">
        <f t="shared" si="107"/>
        <v>3</v>
      </c>
      <c r="T325" s="172">
        <f t="shared" si="108"/>
        <v>9</v>
      </c>
      <c r="U325" s="247">
        <f t="shared" si="109"/>
        <v>3.4929308538947668</v>
      </c>
      <c r="V325" s="378">
        <f t="shared" si="110"/>
        <v>24.469158410925637</v>
      </c>
      <c r="W325" s="397">
        <f t="shared" si="111"/>
        <v>24.262544727205011</v>
      </c>
      <c r="X325" s="153">
        <f t="shared" si="112"/>
        <v>47063</v>
      </c>
      <c r="Y325" s="380">
        <f t="shared" si="113"/>
        <v>23.664032338396087</v>
      </c>
      <c r="Z325" s="380">
        <f t="shared" si="114"/>
        <v>24.501655012091149</v>
      </c>
      <c r="AA325" s="381">
        <f t="shared" si="115"/>
        <v>25.963907838945364</v>
      </c>
      <c r="AB325" s="193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5.6318672671486811E-2</v>
      </c>
      <c r="AD325" s="227">
        <f>(INDEX(Models!$BJ325:$BT325,,AH325)*(1-AF325)+INDEX(Models!$BJ325:$BT325,,AH325+1)*AF325-ERP_i)*AE325*Ramure*Pc/MaxiM</f>
        <v>1.7990671153803123E-2</v>
      </c>
      <c r="AE325" s="301">
        <f t="shared" si="117"/>
        <v>0.5</v>
      </c>
      <c r="AF325" s="173">
        <f t="shared" si="118"/>
        <v>0.49293085389476676</v>
      </c>
      <c r="AG325" s="802">
        <f t="shared" si="124"/>
        <v>3</v>
      </c>
      <c r="AH325" s="172">
        <f t="shared" si="119"/>
        <v>9</v>
      </c>
      <c r="AI325" s="221">
        <f t="shared" si="120"/>
        <v>3.4929308538947668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47064</v>
      </c>
      <c r="B326" s="406">
        <f>'2027'!Wh/'2027'!Env_an*'2028'!Env_an</f>
        <v>17.543663136384257</v>
      </c>
      <c r="C326" s="832"/>
      <c r="D326" s="388">
        <f t="shared" si="102"/>
        <v>18.164895146292185</v>
      </c>
      <c r="E326" s="380">
        <f t="shared" si="125"/>
        <v>18.774568041638041</v>
      </c>
      <c r="F326" s="380">
        <f t="shared" si="103"/>
        <v>18.993033694929156</v>
      </c>
      <c r="G326" s="110">
        <f t="shared" si="126"/>
        <v>0.72176333027245587</v>
      </c>
      <c r="H326" s="409" t="b">
        <f>Wh_hp&gt;='2027'!Maxi_hp</f>
        <v>0</v>
      </c>
      <c r="I326" s="385">
        <f>IF(H326,Wh_hp,'2027'!Maxi_hp)</f>
        <v>19.117935070519479</v>
      </c>
      <c r="J326" s="85">
        <f>IF(H326,An,'2027'!An_max)</f>
        <v>2022</v>
      </c>
      <c r="K326" s="193">
        <f t="shared" si="104"/>
        <v>47064</v>
      </c>
      <c r="L326" s="143">
        <f>IF(t&lt;Tvie,1-EXP((T0-t)*PertePVj)+'2027'!Pspv,1-EXP((T0-t)*PertePVj)+Pspv)</f>
        <v>3.4199592395375511E-2</v>
      </c>
      <c r="M326" s="836"/>
      <c r="N326" s="836"/>
      <c r="O326" s="48">
        <f>IF(t&lt;Tnet,'2027'!Resal+('2027'!Salim-'2027'!Resal)*(1-EXP(('2027'!Tnet-t)/('2027'!Tau_j))),Resal+(Salim-Resal)*(1-EXP((Tnet-t)/(Tau_j))))*Salcycl</f>
        <v>3.2473338081266671E-2</v>
      </c>
      <c r="P326" s="165">
        <f>(INDEX(Models!$BJ326:$BT326,,T326)*(1-R326)+INDEX(Models!$BJ326:$BT326,,T326+1)*R326-ERP_i)*Q326*Ramure*Pc/MaxiM</f>
        <v>1.8849006372898769E-2</v>
      </c>
      <c r="Q326" s="301">
        <f t="shared" si="105"/>
        <v>0.5</v>
      </c>
      <c r="R326" s="173">
        <f t="shared" si="106"/>
        <v>0.49297308935213291</v>
      </c>
      <c r="S326" s="802">
        <f t="shared" si="107"/>
        <v>3</v>
      </c>
      <c r="T326" s="172">
        <f t="shared" si="108"/>
        <v>9</v>
      </c>
      <c r="U326" s="247">
        <f t="shared" si="109"/>
        <v>3.4929730893521329</v>
      </c>
      <c r="V326" s="378">
        <f t="shared" si="110"/>
        <v>24.126020863578969</v>
      </c>
      <c r="W326" s="397">
        <f t="shared" si="111"/>
        <v>17.543663136384257</v>
      </c>
      <c r="X326" s="153">
        <f t="shared" si="112"/>
        <v>47064</v>
      </c>
      <c r="Y326" s="380">
        <f t="shared" si="113"/>
        <v>17.111577058381304</v>
      </c>
      <c r="Z326" s="380">
        <f t="shared" si="114"/>
        <v>17.717508631852198</v>
      </c>
      <c r="AA326" s="381">
        <f t="shared" si="115"/>
        <v>18.774568041638041</v>
      </c>
      <c r="AB326" s="193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5.6302728640228041E-2</v>
      </c>
      <c r="AD326" s="227">
        <f>(INDEX(Models!$BJ326:$BT326,,AH326)*(1-AF326)+INDEX(Models!$BJ326:$BT326,,AH326+1)*AF326-ERP_i)*AE326*Ramure*Pc/MaxiM</f>
        <v>1.8849006372898769E-2</v>
      </c>
      <c r="AE326" s="301">
        <f t="shared" si="117"/>
        <v>0.5</v>
      </c>
      <c r="AF326" s="173">
        <f t="shared" si="118"/>
        <v>0.49297308935213291</v>
      </c>
      <c r="AG326" s="802">
        <f t="shared" si="124"/>
        <v>3</v>
      </c>
      <c r="AH326" s="172">
        <f t="shared" si="119"/>
        <v>9</v>
      </c>
      <c r="AI326" s="221">
        <f t="shared" si="120"/>
        <v>3.4929730893521329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47065</v>
      </c>
      <c r="B327" s="406">
        <f>'2027'!Wh/'2027'!Env_an*'2028'!Env_an</f>
        <v>9.7797524666475155</v>
      </c>
      <c r="C327" s="832"/>
      <c r="D327" s="388">
        <f t="shared" si="102"/>
        <v>10.126198195893137</v>
      </c>
      <c r="E327" s="380">
        <f t="shared" si="125"/>
        <v>10.46630904275108</v>
      </c>
      <c r="F327" s="380">
        <f t="shared" si="103"/>
        <v>10.498981163321908</v>
      </c>
      <c r="G327" s="110">
        <f t="shared" si="126"/>
        <v>0.40426926040881561</v>
      </c>
      <c r="H327" s="409" t="b">
        <f>Wh_hp&gt;='2027'!Maxi_hp</f>
        <v>0</v>
      </c>
      <c r="I327" s="385">
        <f>IF(H327,Wh_hp,'2027'!Maxi_hp)</f>
        <v>10.653499434199968</v>
      </c>
      <c r="J327" s="85">
        <f>IF(H327,An,'2027'!An_max)</f>
        <v>2022</v>
      </c>
      <c r="K327" s="193">
        <f t="shared" si="104"/>
        <v>47065</v>
      </c>
      <c r="L327" s="143">
        <f>IF(t&lt;Tvie,1-EXP((T0-t)*PertePVj)+'2027'!Pspv,1-EXP((T0-t)*PertePVj)+Pspv)</f>
        <v>3.4212813391913399E-2</v>
      </c>
      <c r="M327" s="836"/>
      <c r="N327" s="836"/>
      <c r="O327" s="48">
        <f>IF(t&lt;Tnet,'2027'!Resal+('2027'!Salim-'2027'!Resal)*(1-EXP(('2027'!Tnet-t)/('2027'!Tau_j))),Resal+(Salim-Resal)*(1-EXP((Tnet-t)/(Tau_j))))*Salcycl</f>
        <v>3.2495777209397662E-2</v>
      </c>
      <c r="P327" s="165">
        <f>(INDEX(Models!$BJ327:$BT327,,T327)*(1-R327)+INDEX(Models!$BJ327:$BT327,,T327+1)*R327-ERP_i)*Q327*Ramure*Pc/MaxiM</f>
        <v>1.9611880599425934E-2</v>
      </c>
      <c r="Q327" s="301">
        <f t="shared" si="105"/>
        <v>0.5</v>
      </c>
      <c r="R327" s="173">
        <f t="shared" si="106"/>
        <v>0.49301363100060236</v>
      </c>
      <c r="S327" s="802">
        <f t="shared" si="107"/>
        <v>3</v>
      </c>
      <c r="T327" s="172">
        <f t="shared" si="108"/>
        <v>9</v>
      </c>
      <c r="U327" s="247">
        <f t="shared" si="109"/>
        <v>3.4930136310006024</v>
      </c>
      <c r="V327" s="378">
        <f t="shared" si="110"/>
        <v>23.790785682938338</v>
      </c>
      <c r="W327" s="397">
        <f t="shared" si="111"/>
        <v>9.7797524666475155</v>
      </c>
      <c r="X327" s="153">
        <f t="shared" si="112"/>
        <v>47065</v>
      </c>
      <c r="Y327" s="380">
        <f t="shared" si="113"/>
        <v>9.539264219877003</v>
      </c>
      <c r="Z327" s="380">
        <f t="shared" si="114"/>
        <v>9.8771907022079866</v>
      </c>
      <c r="AA327" s="381">
        <f t="shared" si="115"/>
        <v>10.46630904275108</v>
      </c>
      <c r="AB327" s="193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5.6287114983587641E-2</v>
      </c>
      <c r="AD327" s="227">
        <f>(INDEX(Models!$BJ327:$BT327,,AH327)*(1-AF327)+INDEX(Models!$BJ327:$BT327,,AH327+1)*AF327-ERP_i)*AE327*Ramure*Pc/MaxiM</f>
        <v>1.9611880599425934E-2</v>
      </c>
      <c r="AE327" s="301">
        <f t="shared" si="117"/>
        <v>0.5</v>
      </c>
      <c r="AF327" s="173">
        <f t="shared" si="118"/>
        <v>0.49301363100060236</v>
      </c>
      <c r="AG327" s="802">
        <f t="shared" si="124"/>
        <v>3</v>
      </c>
      <c r="AH327" s="172">
        <f t="shared" si="119"/>
        <v>9</v>
      </c>
      <c r="AI327" s="221">
        <f t="shared" si="120"/>
        <v>3.4930136310006024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47066</v>
      </c>
      <c r="B328" s="406">
        <f>'2027'!Wh/'2027'!Env_an*'2028'!Env_an</f>
        <v>17.77565776247549</v>
      </c>
      <c r="C328" s="832"/>
      <c r="D328" s="388">
        <f t="shared" si="102"/>
        <v>18.405608757416061</v>
      </c>
      <c r="E328" s="380">
        <f t="shared" si="125"/>
        <v>19.024246196885539</v>
      </c>
      <c r="F328" s="380">
        <f t="shared" si="103"/>
        <v>19.279794607988855</v>
      </c>
      <c r="G328" s="110">
        <f t="shared" si="126"/>
        <v>0.75218330091299679</v>
      </c>
      <c r="H328" s="409" t="b">
        <f>Wh_hp&gt;='2027'!Maxi_hp</f>
        <v>0</v>
      </c>
      <c r="I328" s="385">
        <f>IF(H328,Wh_hp,'2027'!Maxi_hp)</f>
        <v>19.400426866804658</v>
      </c>
      <c r="J328" s="85">
        <f>IF(H328,An,'2027'!An_max)</f>
        <v>2022</v>
      </c>
      <c r="K328" s="193">
        <f t="shared" si="104"/>
        <v>47066</v>
      </c>
      <c r="L328" s="143">
        <f>IF(t&lt;Tvie,1-EXP((T0-t)*PertePVj)+'2027'!Pspv,1-EXP((T0-t)*PertePVj)+Pspv)</f>
        <v>3.4226034207466838E-2</v>
      </c>
      <c r="M328" s="836"/>
      <c r="N328" s="836"/>
      <c r="O328" s="48">
        <f>IF(t&lt;Tnet,'2027'!Resal+('2027'!Salim-'2027'!Resal)*(1-EXP(('2027'!Tnet-t)/('2027'!Tau_j))),Resal+(Salim-Resal)*(1-EXP((Tnet-t)/(Tau_j))))*Salcycl</f>
        <v>3.2518368037665307E-2</v>
      </c>
      <c r="P328" s="165">
        <f>(INDEX(Models!$BJ328:$BT328,,T328)*(1-R328)+INDEX(Models!$BJ328:$BT328,,T328+1)*R328-ERP_i)*Q328*Ramure*Pc/MaxiM</f>
        <v>2.0277142519580571E-2</v>
      </c>
      <c r="Q328" s="301">
        <f t="shared" si="105"/>
        <v>0.5</v>
      </c>
      <c r="R328" s="173">
        <f t="shared" si="106"/>
        <v>0.49305254650963759</v>
      </c>
      <c r="S328" s="802">
        <f t="shared" si="107"/>
        <v>3</v>
      </c>
      <c r="T328" s="172">
        <f t="shared" si="108"/>
        <v>9</v>
      </c>
      <c r="U328" s="247">
        <f t="shared" si="109"/>
        <v>3.4930525465096376</v>
      </c>
      <c r="V328" s="378">
        <f t="shared" si="110"/>
        <v>23.463898887602546</v>
      </c>
      <c r="W328" s="397">
        <f t="shared" si="111"/>
        <v>17.77565776247549</v>
      </c>
      <c r="X328" s="153">
        <f t="shared" si="112"/>
        <v>47066</v>
      </c>
      <c r="Y328" s="380">
        <f t="shared" si="113"/>
        <v>17.339231450662147</v>
      </c>
      <c r="Z328" s="380">
        <f t="shared" si="114"/>
        <v>17.953715946808767</v>
      </c>
      <c r="AA328" s="381">
        <f t="shared" si="115"/>
        <v>19.024246196885539</v>
      </c>
      <c r="AB328" s="193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5.6271887936985877E-2</v>
      </c>
      <c r="AD328" s="227">
        <f>(INDEX(Models!$BJ328:$BT328,,AH328)*(1-AF328)+INDEX(Models!$BJ328:$BT328,,AH328+1)*AF328-ERP_i)*AE328*Ramure*Pc/MaxiM</f>
        <v>2.0277142519580571E-2</v>
      </c>
      <c r="AE328" s="301">
        <f t="shared" si="117"/>
        <v>0.5</v>
      </c>
      <c r="AF328" s="173">
        <f t="shared" si="118"/>
        <v>0.49305254650963759</v>
      </c>
      <c r="AG328" s="802">
        <f t="shared" si="124"/>
        <v>3</v>
      </c>
      <c r="AH328" s="172">
        <f t="shared" si="119"/>
        <v>9</v>
      </c>
      <c r="AI328" s="221">
        <f t="shared" si="120"/>
        <v>3.4930525465096376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47067</v>
      </c>
      <c r="B329" s="406">
        <f>'2027'!Wh/'2027'!Env_an*'2028'!Env_an</f>
        <v>21.140085305028123</v>
      </c>
      <c r="C329" s="832"/>
      <c r="D329" s="388">
        <f t="shared" si="102"/>
        <v>21.889567795148285</v>
      </c>
      <c r="E329" s="380">
        <f t="shared" si="125"/>
        <v>22.625838442721271</v>
      </c>
      <c r="F329" s="380">
        <f t="shared" si="103"/>
        <v>23.046726640089915</v>
      </c>
      <c r="G329" s="110">
        <f t="shared" si="126"/>
        <v>0.91094361489619502</v>
      </c>
      <c r="H329" s="409" t="b">
        <f>Wh_hp&gt;='2027'!Maxi_hp</f>
        <v>0</v>
      </c>
      <c r="I329" s="385">
        <f>IF(H329,Wh_hp,'2027'!Maxi_hp)</f>
        <v>23.099620779371207</v>
      </c>
      <c r="J329" s="85">
        <f>IF(H329,An,'2027'!An_max)</f>
        <v>2022</v>
      </c>
      <c r="K329" s="193">
        <f t="shared" si="104"/>
        <v>47067</v>
      </c>
      <c r="L329" s="143">
        <f>IF(t&lt;Tvie,1-EXP((T0-t)*PertePVj)+'2027'!Pspv,1-EXP((T0-t)*PertePVj)+Pspv)</f>
        <v>3.4239254842038602E-2</v>
      </c>
      <c r="M329" s="836"/>
      <c r="N329" s="836"/>
      <c r="O329" s="48">
        <f>IF(t&lt;Tnet,'2027'!Resal+('2027'!Salim-'2027'!Resal)*(1-EXP(('2027'!Tnet-t)/('2027'!Tau_j))),Resal+(Salim-Resal)*(1-EXP((Tnet-t)/(Tau_j))))*Salcycl</f>
        <v>3.2541143146447356E-2</v>
      </c>
      <c r="P329" s="165">
        <f>(INDEX(Models!$BJ329:$BT329,,T329)*(1-R329)+INDEX(Models!$BJ329:$BT329,,T329+1)*R329-ERP_i)*Q329*Ramure*Pc/MaxiM</f>
        <v>2.0842575212664336E-2</v>
      </c>
      <c r="Q329" s="301">
        <f t="shared" si="105"/>
        <v>0.5</v>
      </c>
      <c r="R329" s="173">
        <f t="shared" si="106"/>
        <v>0.49308990086563442</v>
      </c>
      <c r="S329" s="802">
        <f t="shared" si="107"/>
        <v>3</v>
      </c>
      <c r="T329" s="172">
        <f t="shared" si="108"/>
        <v>9</v>
      </c>
      <c r="U329" s="247">
        <f t="shared" si="109"/>
        <v>3.4930899008656344</v>
      </c>
      <c r="V329" s="378">
        <f t="shared" si="110"/>
        <v>23.145807118459988</v>
      </c>
      <c r="W329" s="397">
        <f t="shared" si="111"/>
        <v>21.140085305028123</v>
      </c>
      <c r="X329" s="153">
        <f t="shared" si="112"/>
        <v>47067</v>
      </c>
      <c r="Y329" s="380">
        <f t="shared" si="113"/>
        <v>20.621864402517762</v>
      </c>
      <c r="Z329" s="380">
        <f t="shared" si="114"/>
        <v>21.352974332317491</v>
      </c>
      <c r="AA329" s="381">
        <f t="shared" si="115"/>
        <v>22.625838442721271</v>
      </c>
      <c r="AB329" s="193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5.6257102410861515E-2</v>
      </c>
      <c r="AD329" s="227">
        <f>(INDEX(Models!$BJ329:$BT329,,AH329)*(1-AF329)+INDEX(Models!$BJ329:$BT329,,AH329+1)*AF329-ERP_i)*AE329*Ramure*Pc/MaxiM</f>
        <v>2.0842575212664336E-2</v>
      </c>
      <c r="AE329" s="301">
        <f t="shared" si="117"/>
        <v>0.5</v>
      </c>
      <c r="AF329" s="173">
        <f t="shared" si="118"/>
        <v>0.49308990086563442</v>
      </c>
      <c r="AG329" s="802">
        <f t="shared" si="124"/>
        <v>3</v>
      </c>
      <c r="AH329" s="172">
        <f t="shared" si="119"/>
        <v>9</v>
      </c>
      <c r="AI329" s="221">
        <f t="shared" si="120"/>
        <v>3.4930899008656344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47068</v>
      </c>
      <c r="B330" s="406">
        <f>'2027'!Wh/'2027'!Env_an*'2028'!Env_an</f>
        <v>21.261029124913744</v>
      </c>
      <c r="C330" s="832"/>
      <c r="D330" s="388">
        <f t="shared" si="102"/>
        <v>22.015100821948351</v>
      </c>
      <c r="E330" s="380">
        <f t="shared" si="125"/>
        <v>22.756134647229928</v>
      </c>
      <c r="F330" s="380">
        <f t="shared" si="103"/>
        <v>23.201735916798665</v>
      </c>
      <c r="G330" s="110">
        <f t="shared" si="126"/>
        <v>0.92899843507933955</v>
      </c>
      <c r="H330" s="409" t="b">
        <f>Wh_hp&gt;='2027'!Maxi_hp</f>
        <v>0</v>
      </c>
      <c r="I330" s="385">
        <f>IF(H330,Wh_hp,'2027'!Maxi_hp)</f>
        <v>23.244988021571906</v>
      </c>
      <c r="J330" s="85">
        <f>IF(H330,An,'2027'!An_max)</f>
        <v>2022</v>
      </c>
      <c r="K330" s="193">
        <f t="shared" si="104"/>
        <v>47068</v>
      </c>
      <c r="L330" s="143">
        <f>IF(t&lt;Tvie,1-EXP((T0-t)*PertePVj)+'2027'!Pspv,1-EXP((T0-t)*PertePVj)+Pspv)</f>
        <v>3.4252475295630802E-2</v>
      </c>
      <c r="M330" s="836"/>
      <c r="N330" s="836"/>
      <c r="O330" s="48">
        <f>IF(t&lt;Tnet,'2027'!Resal+('2027'!Salim-'2027'!Resal)*(1-EXP(('2027'!Tnet-t)/('2027'!Tau_j))),Resal+(Salim-Resal)*(1-EXP((Tnet-t)/(Tau_j))))*Salcycl</f>
        <v>3.256413432110622E-2</v>
      </c>
      <c r="P330" s="165">
        <f>(INDEX(Models!$BJ330:$BT330,,T330)*(1-R330)+INDEX(Models!$BJ330:$BT330,,T330+1)*R330-ERP_i)*Q330*Ramure*Pc/MaxiM</f>
        <v>2.1305906029985354E-2</v>
      </c>
      <c r="Q330" s="301">
        <f t="shared" si="105"/>
        <v>0.5</v>
      </c>
      <c r="R330" s="173">
        <f t="shared" si="106"/>
        <v>0.49312575647669776</v>
      </c>
      <c r="S330" s="802">
        <f t="shared" si="107"/>
        <v>3</v>
      </c>
      <c r="T330" s="172">
        <f t="shared" si="108"/>
        <v>9</v>
      </c>
      <c r="U330" s="247">
        <f t="shared" si="109"/>
        <v>3.4931257564766978</v>
      </c>
      <c r="V330" s="378">
        <f t="shared" si="110"/>
        <v>22.83695794069293</v>
      </c>
      <c r="W330" s="397">
        <f t="shared" si="111"/>
        <v>21.261029124913744</v>
      </c>
      <c r="X330" s="153">
        <f t="shared" si="112"/>
        <v>47068</v>
      </c>
      <c r="Y330" s="380">
        <f t="shared" si="113"/>
        <v>20.740650391782243</v>
      </c>
      <c r="Z330" s="380">
        <f t="shared" si="114"/>
        <v>21.476265650415503</v>
      </c>
      <c r="AA330" s="381">
        <f t="shared" si="115"/>
        <v>22.756134647229928</v>
      </c>
      <c r="AB330" s="193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5.6242811736492468E-2</v>
      </c>
      <c r="AD330" s="227">
        <f>(INDEX(Models!$BJ330:$BT330,,AH330)*(1-AF330)+INDEX(Models!$BJ330:$BT330,,AH330+1)*AF330-ERP_i)*AE330*Ramure*Pc/MaxiM</f>
        <v>2.1305906029985354E-2</v>
      </c>
      <c r="AE330" s="301">
        <f t="shared" si="117"/>
        <v>0.5</v>
      </c>
      <c r="AF330" s="173">
        <f t="shared" si="118"/>
        <v>0.49312575647669776</v>
      </c>
      <c r="AG330" s="802">
        <f t="shared" si="124"/>
        <v>3</v>
      </c>
      <c r="AH330" s="172">
        <f t="shared" si="119"/>
        <v>9</v>
      </c>
      <c r="AI330" s="221">
        <f t="shared" si="120"/>
        <v>3.4931257564766978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47069</v>
      </c>
      <c r="B331" s="406">
        <f>'2027'!Wh/'2027'!Env_an*'2028'!Env_an</f>
        <v>20.241631563080102</v>
      </c>
      <c r="C331" s="832"/>
      <c r="D331" s="388">
        <f t="shared" si="102"/>
        <v>20.959834884389291</v>
      </c>
      <c r="E331" s="380">
        <f t="shared" si="125"/>
        <v>21.665868613364111</v>
      </c>
      <c r="F331" s="380">
        <f t="shared" si="103"/>
        <v>22.074562212883308</v>
      </c>
      <c r="G331" s="110">
        <f t="shared" si="126"/>
        <v>0.89528581679375696</v>
      </c>
      <c r="H331" s="409" t="b">
        <f>Wh_hp&gt;='2027'!Maxi_hp</f>
        <v>0</v>
      </c>
      <c r="I331" s="385">
        <f>IF(H331,Wh_hp,'2027'!Maxi_hp)</f>
        <v>22.136158270343074</v>
      </c>
      <c r="J331" s="85">
        <f>IF(H331,An,'2027'!An_max)</f>
        <v>2022</v>
      </c>
      <c r="K331" s="193">
        <f t="shared" si="104"/>
        <v>47069</v>
      </c>
      <c r="L331" s="143">
        <f>IF(t&lt;Tvie,1-EXP((T0-t)*PertePVj)+'2027'!Pspv,1-EXP((T0-t)*PertePVj)+Pspv)</f>
        <v>3.4265695568246213E-2</v>
      </c>
      <c r="M331" s="836"/>
      <c r="N331" s="836"/>
      <c r="O331" s="48">
        <f>IF(t&lt;Tnet,'2027'!Resal+('2027'!Salim-'2027'!Resal)*(1-EXP(('2027'!Tnet-t)/('2027'!Tau_j))),Resal+(Salim-Resal)*(1-EXP((Tnet-t)/(Tau_j))))*Salcycl</f>
        <v>3.2587372404691832E-2</v>
      </c>
      <c r="P331" s="165">
        <f>(INDEX(Models!$BJ331:$BT331,,T331)*(1-R331)+INDEX(Models!$BJ331:$BT331,,T331+1)*R331-ERP_i)*Q331*Ramure*Pc/MaxiM</f>
        <v>2.1666018465126859E-2</v>
      </c>
      <c r="Q331" s="301">
        <f t="shared" si="105"/>
        <v>0.5</v>
      </c>
      <c r="R331" s="173">
        <f t="shared" si="106"/>
        <v>0.49316017327344852</v>
      </c>
      <c r="S331" s="802">
        <f t="shared" si="107"/>
        <v>3</v>
      </c>
      <c r="T331" s="172">
        <f t="shared" si="108"/>
        <v>9</v>
      </c>
      <c r="U331" s="247">
        <f t="shared" si="109"/>
        <v>3.4931601732734485</v>
      </c>
      <c r="V331" s="378">
        <f t="shared" si="110"/>
        <v>22.536524623270584</v>
      </c>
      <c r="W331" s="397">
        <f t="shared" si="111"/>
        <v>20.241631563080102</v>
      </c>
      <c r="X331" s="153">
        <f t="shared" si="112"/>
        <v>47069</v>
      </c>
      <c r="Y331" s="380">
        <f t="shared" si="113"/>
        <v>19.746965206262072</v>
      </c>
      <c r="Z331" s="380">
        <f t="shared" si="114"/>
        <v>20.447617026384243</v>
      </c>
      <c r="AA331" s="381">
        <f t="shared" si="115"/>
        <v>21.665868613364111</v>
      </c>
      <c r="AB331" s="193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5.6229067420284148E-2</v>
      </c>
      <c r="AD331" s="227">
        <f>(INDEX(Models!$BJ331:$BT331,,AH331)*(1-AF331)+INDEX(Models!$BJ331:$BT331,,AH331+1)*AF331-ERP_i)*AE331*Ramure*Pc/MaxiM</f>
        <v>2.1666018465126859E-2</v>
      </c>
      <c r="AE331" s="301">
        <f t="shared" si="117"/>
        <v>0.5</v>
      </c>
      <c r="AF331" s="173">
        <f t="shared" si="118"/>
        <v>0.49316017327344852</v>
      </c>
      <c r="AG331" s="802">
        <f t="shared" si="124"/>
        <v>3</v>
      </c>
      <c r="AH331" s="172">
        <f t="shared" si="119"/>
        <v>9</v>
      </c>
      <c r="AI331" s="221">
        <f t="shared" si="120"/>
        <v>3.4931601732734485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47070</v>
      </c>
      <c r="B332" s="406">
        <f>'2027'!Wh/'2027'!Env_an*'2028'!Env_an</f>
        <v>10.937139092400898</v>
      </c>
      <c r="C332" s="832"/>
      <c r="D332" s="388">
        <f t="shared" si="102"/>
        <v>11.325360158077482</v>
      </c>
      <c r="E332" s="380">
        <f t="shared" si="125"/>
        <v>11.707140392328602</v>
      </c>
      <c r="F332" s="380">
        <f t="shared" si="103"/>
        <v>11.777831840442603</v>
      </c>
      <c r="G332" s="110">
        <f t="shared" si="126"/>
        <v>0.48382868646782851</v>
      </c>
      <c r="H332" s="409" t="b">
        <f>Wh_hp&gt;='2027'!Maxi_hp</f>
        <v>0</v>
      </c>
      <c r="I332" s="385">
        <f>IF(H332,Wh_hp,'2027'!Maxi_hp)</f>
        <v>11.943103695327389</v>
      </c>
      <c r="J332" s="85">
        <f>IF(H332,An,'2027'!An_max)</f>
        <v>2022</v>
      </c>
      <c r="K332" s="193">
        <f t="shared" si="104"/>
        <v>47070</v>
      </c>
      <c r="L332" s="143">
        <f>IF(t&lt;Tvie,1-EXP((T0-t)*PertePVj)+'2027'!Pspv,1-EXP((T0-t)*PertePVj)+Pspv)</f>
        <v>3.4278915659887166E-2</v>
      </c>
      <c r="M332" s="836"/>
      <c r="N332" s="836"/>
      <c r="O332" s="48">
        <f>IF(t&lt;Tnet,'2027'!Resal+('2027'!Salim-'2027'!Resal)*(1-EXP(('2027'!Tnet-t)/('2027'!Tau_j))),Resal+(Salim-Resal)*(1-EXP((Tnet-t)/(Tau_j))))*Salcycl</f>
        <v>3.2610887155781657E-2</v>
      </c>
      <c r="P332" s="165">
        <f>(INDEX(Models!$BJ332:$BT332,,T332)*(1-R332)+INDEX(Models!$BJ332:$BT332,,T332+1)*R332-ERP_i)*Q332*Ramure*Pc/MaxiM</f>
        <v>2.1916682199163911E-2</v>
      </c>
      <c r="Q332" s="301">
        <f t="shared" si="105"/>
        <v>0.5</v>
      </c>
      <c r="R332" s="173">
        <f t="shared" si="106"/>
        <v>0.49319320880601003</v>
      </c>
      <c r="S332" s="802">
        <f t="shared" si="107"/>
        <v>3</v>
      </c>
      <c r="T332" s="172">
        <f t="shared" si="108"/>
        <v>9</v>
      </c>
      <c r="U332" s="247">
        <f t="shared" si="109"/>
        <v>3.49319320880601</v>
      </c>
      <c r="V332" s="378">
        <f t="shared" si="110"/>
        <v>22.2434677940733</v>
      </c>
      <c r="W332" s="397">
        <f t="shared" si="111"/>
        <v>10.937139092400898</v>
      </c>
      <c r="X332" s="153">
        <f t="shared" si="112"/>
        <v>47070</v>
      </c>
      <c r="Y332" s="380">
        <f t="shared" si="113"/>
        <v>10.670264561635776</v>
      </c>
      <c r="Z332" s="380">
        <f t="shared" si="114"/>
        <v>11.049012737385636</v>
      </c>
      <c r="AA332" s="381">
        <f t="shared" si="115"/>
        <v>11.707140392328602</v>
      </c>
      <c r="AB332" s="193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5.6215918908277603E-2</v>
      </c>
      <c r="AD332" s="227">
        <f>(INDEX(Models!$BJ332:$BT332,,AH332)*(1-AF332)+INDEX(Models!$BJ332:$BT332,,AH332+1)*AF332-ERP_i)*AE332*Ramure*Pc/MaxiM</f>
        <v>2.1916682199163911E-2</v>
      </c>
      <c r="AE332" s="301">
        <f t="shared" si="117"/>
        <v>0.5</v>
      </c>
      <c r="AF332" s="173">
        <f t="shared" si="118"/>
        <v>0.49319320880601003</v>
      </c>
      <c r="AG332" s="802">
        <f t="shared" si="124"/>
        <v>3</v>
      </c>
      <c r="AH332" s="172">
        <f t="shared" si="119"/>
        <v>9</v>
      </c>
      <c r="AI332" s="221">
        <f t="shared" si="120"/>
        <v>3.49319320880601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47071</v>
      </c>
      <c r="B333" s="406">
        <f>'2027'!Wh/'2027'!Env_an*'2028'!Env_an</f>
        <v>12.418007918505378</v>
      </c>
      <c r="C333" s="832"/>
      <c r="D333" s="388">
        <f t="shared" si="102"/>
        <v>12.858969441904815</v>
      </c>
      <c r="E333" s="380">
        <f t="shared" si="125"/>
        <v>13.292775269538172</v>
      </c>
      <c r="F333" s="380">
        <f t="shared" si="103"/>
        <v>13.405193208629614</v>
      </c>
      <c r="G333" s="110">
        <f t="shared" si="126"/>
        <v>0.55774529036459974</v>
      </c>
      <c r="H333" s="409" t="b">
        <f>Wh_hp&gt;='2027'!Maxi_hp</f>
        <v>0</v>
      </c>
      <c r="I333" s="385">
        <f>IF(H333,Wh_hp,'2027'!Maxi_hp)</f>
        <v>13.567075240802856</v>
      </c>
      <c r="J333" s="85">
        <f>IF(H333,An,'2027'!An_max)</f>
        <v>2022</v>
      </c>
      <c r="K333" s="193">
        <f t="shared" si="104"/>
        <v>47071</v>
      </c>
      <c r="L333" s="143">
        <f>IF(t&lt;Tvie,1-EXP((T0-t)*PertePVj)+'2027'!Pspv,1-EXP((T0-t)*PertePVj)+Pspv)</f>
        <v>3.4292135570556104E-2</v>
      </c>
      <c r="M333" s="836"/>
      <c r="N333" s="836"/>
      <c r="O333" s="48">
        <f>IF(t&lt;Tnet,'2027'!Resal+('2027'!Salim-'2027'!Resal)*(1-EXP(('2027'!Tnet-t)/('2027'!Tau_j))),Resal+(Salim-Resal)*(1-EXP((Tnet-t)/(Tau_j))))*Salcycl</f>
        <v>3.2634707112477061E-2</v>
      </c>
      <c r="P333" s="165">
        <f>(INDEX(Models!$BJ333:$BT333,,T333)*(1-R333)+INDEX(Models!$BJ333:$BT333,,T333+1)*R333-ERP_i)*Q333*Ramure*Pc/MaxiM</f>
        <v>2.2104575026034332E-2</v>
      </c>
      <c r="Q333" s="301">
        <f t="shared" si="105"/>
        <v>0.5</v>
      </c>
      <c r="R333" s="173">
        <f t="shared" si="106"/>
        <v>0.49322491833730542</v>
      </c>
      <c r="S333" s="802">
        <f t="shared" si="107"/>
        <v>3</v>
      </c>
      <c r="T333" s="172">
        <f t="shared" si="108"/>
        <v>9</v>
      </c>
      <c r="U333" s="247">
        <f t="shared" si="109"/>
        <v>3.4932249183373054</v>
      </c>
      <c r="V333" s="378">
        <f t="shared" si="110"/>
        <v>21.956638434048024</v>
      </c>
      <c r="W333" s="397">
        <f t="shared" si="111"/>
        <v>12.418007918505378</v>
      </c>
      <c r="X333" s="153">
        <f t="shared" si="112"/>
        <v>47071</v>
      </c>
      <c r="Y333" s="380">
        <f t="shared" si="113"/>
        <v>12.11545790663882</v>
      </c>
      <c r="Z333" s="380">
        <f t="shared" si="114"/>
        <v>12.545675926328748</v>
      </c>
      <c r="AA333" s="381">
        <f t="shared" si="115"/>
        <v>13.292775269538172</v>
      </c>
      <c r="AB333" s="193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5.6203413362556645E-2</v>
      </c>
      <c r="AD333" s="227">
        <f>(INDEX(Models!$BJ333:$BT333,,AH333)*(1-AF333)+INDEX(Models!$BJ333:$BT333,,AH333+1)*AF333-ERP_i)*AE333*Ramure*Pc/MaxiM</f>
        <v>2.2104575026034332E-2</v>
      </c>
      <c r="AE333" s="301">
        <f t="shared" si="117"/>
        <v>0.5</v>
      </c>
      <c r="AF333" s="173">
        <f t="shared" si="118"/>
        <v>0.49322491833730542</v>
      </c>
      <c r="AG333" s="802">
        <f t="shared" si="124"/>
        <v>3</v>
      </c>
      <c r="AH333" s="172">
        <f t="shared" si="119"/>
        <v>9</v>
      </c>
      <c r="AI333" s="221">
        <f t="shared" si="120"/>
        <v>3.4932249183373054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47072</v>
      </c>
      <c r="B334" s="406">
        <f>'2027'!Wh/'2027'!Env_an*'2028'!Env_an</f>
        <v>20.740967459335426</v>
      </c>
      <c r="C334" s="832"/>
      <c r="D334" s="388">
        <f t="shared" si="102"/>
        <v>21.477769989895975</v>
      </c>
      <c r="E334" s="380">
        <f t="shared" si="125"/>
        <v>22.202891089677856</v>
      </c>
      <c r="F334" s="380">
        <f t="shared" si="103"/>
        <v>22.675884889956233</v>
      </c>
      <c r="G334" s="110">
        <f t="shared" si="126"/>
        <v>0.95552456200933789</v>
      </c>
      <c r="H334" s="409" t="b">
        <f>Wh_hp&gt;='2027'!Maxi_hp</f>
        <v>0</v>
      </c>
      <c r="I334" s="385">
        <f>IF(H334,Wh_hp,'2027'!Maxi_hp)</f>
        <v>22.703232155133165</v>
      </c>
      <c r="J334" s="85">
        <f>IF(H334,An,'2027'!An_max)</f>
        <v>2022</v>
      </c>
      <c r="K334" s="193">
        <f t="shared" si="104"/>
        <v>47072</v>
      </c>
      <c r="L334" s="143">
        <f>IF(t&lt;Tvie,1-EXP((T0-t)*PertePVj)+'2027'!Pspv,1-EXP((T0-t)*PertePVj)+Pspv)</f>
        <v>3.4305355300255691E-2</v>
      </c>
      <c r="M334" s="836"/>
      <c r="N334" s="836"/>
      <c r="O334" s="48">
        <f>IF(t&lt;Tnet,'2027'!Resal+('2027'!Salim-'2027'!Resal)*(1-EXP(('2027'!Tnet-t)/('2027'!Tau_j))),Resal+(Salim-Resal)*(1-EXP((Tnet-t)/(Tau_j))))*Salcycl</f>
        <v>3.2658859463531295E-2</v>
      </c>
      <c r="P334" s="165">
        <f>(INDEX(Models!$BJ334:$BT334,,T334)*(1-R334)+INDEX(Models!$BJ334:$BT334,,T334+1)*R334-ERP_i)*Q334*Ramure*Pc/MaxiM</f>
        <v>2.2228712140040286E-2</v>
      </c>
      <c r="Q334" s="301">
        <f t="shared" si="105"/>
        <v>0.5</v>
      </c>
      <c r="R334" s="173">
        <f t="shared" si="106"/>
        <v>0.49325535493279471</v>
      </c>
      <c r="S334" s="802">
        <f t="shared" si="107"/>
        <v>3</v>
      </c>
      <c r="T334" s="172">
        <f t="shared" si="108"/>
        <v>9</v>
      </c>
      <c r="U334" s="247">
        <f t="shared" si="109"/>
        <v>3.4932553549327947</v>
      </c>
      <c r="V334" s="378">
        <f t="shared" si="110"/>
        <v>21.676000389015542</v>
      </c>
      <c r="W334" s="397">
        <f t="shared" si="111"/>
        <v>20.740967459335426</v>
      </c>
      <c r="X334" s="153">
        <f t="shared" si="112"/>
        <v>47072</v>
      </c>
      <c r="Y334" s="380">
        <f t="shared" si="113"/>
        <v>20.236397054030899</v>
      </c>
      <c r="Z334" s="380">
        <f t="shared" si="114"/>
        <v>20.955275215720846</v>
      </c>
      <c r="AA334" s="381">
        <f t="shared" si="115"/>
        <v>22.202891089677856</v>
      </c>
      <c r="AB334" s="193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5.6191595451145007E-2</v>
      </c>
      <c r="AD334" s="227">
        <f>(INDEX(Models!$BJ334:$BT334,,AH334)*(1-AF334)+INDEX(Models!$BJ334:$BT334,,AH334+1)*AF334-ERP_i)*AE334*Ramure*Pc/MaxiM</f>
        <v>2.2228712140040286E-2</v>
      </c>
      <c r="AE334" s="301">
        <f t="shared" si="117"/>
        <v>0.5</v>
      </c>
      <c r="AF334" s="173">
        <f t="shared" si="118"/>
        <v>0.49325535493279471</v>
      </c>
      <c r="AG334" s="802">
        <f t="shared" si="124"/>
        <v>3</v>
      </c>
      <c r="AH334" s="172">
        <f t="shared" si="119"/>
        <v>9</v>
      </c>
      <c r="AI334" s="221">
        <f t="shared" si="120"/>
        <v>3.4932553549327947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47073</v>
      </c>
      <c r="B335" s="406">
        <f>'2027'!Wh/'2027'!Env_an*'2028'!Env_an</f>
        <v>13.634337340967054</v>
      </c>
      <c r="C335" s="832"/>
      <c r="D335" s="388">
        <f t="shared" ref="D335:D380" si="127">Wh/(1-Ppv)</f>
        <v>14.118877080849863</v>
      </c>
      <c r="E335" s="380">
        <f t="shared" si="125"/>
        <v>14.595920965188126</v>
      </c>
      <c r="F335" s="380">
        <f t="shared" ref="F335:F380" si="128">Wh_sa/(1-Pvg*MEDIAN((-Sdif+Wh/Env_an)/Csdif,0,1))</f>
        <v>14.754270455989799</v>
      </c>
      <c r="G335" s="110">
        <f t="shared" si="126"/>
        <v>0.62963170006891633</v>
      </c>
      <c r="H335" s="409" t="b">
        <f>Wh_hp&gt;='2027'!Maxi_hp</f>
        <v>0</v>
      </c>
      <c r="I335" s="385">
        <f>IF(H335,Wh_hp,'2027'!Maxi_hp)</f>
        <v>14.903968962126475</v>
      </c>
      <c r="J335" s="85">
        <f>IF(H335,An,'2027'!An_max)</f>
        <v>2022</v>
      </c>
      <c r="K335" s="193">
        <f t="shared" ref="K335:K380" si="129">t</f>
        <v>47073</v>
      </c>
      <c r="L335" s="143">
        <f>IF(t&lt;Tvie,1-EXP((T0-t)*PertePVj)+'2027'!Pspv,1-EXP((T0-t)*PertePVj)+Pspv)</f>
        <v>3.4318574848988148E-2</v>
      </c>
      <c r="M335" s="836"/>
      <c r="N335" s="836"/>
      <c r="O335" s="48">
        <f>IF(t&lt;Tnet,'2027'!Resal+('2027'!Salim-'2027'!Resal)*(1-EXP(('2027'!Tnet-t)/('2027'!Tau_j))),Resal+(Salim-Resal)*(1-EXP((Tnet-t)/(Tau_j))))*Salcycl</f>
        <v>3.2683369927531902E-2</v>
      </c>
      <c r="P335" s="165">
        <f>(INDEX(Models!$BJ335:$BT335,,T335)*(1-R335)+INDEX(Models!$BJ335:$BT335,,T335+1)*R335-ERP_i)*Q335*Ramure*Pc/MaxiM</f>
        <v>2.2288074860878897E-2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0.49328456954678934</v>
      </c>
      <c r="S335" s="802">
        <f t="shared" ref="S335:S379" si="132">INDEX(Echel_vg,T335)</f>
        <v>3</v>
      </c>
      <c r="T335" s="172">
        <f t="shared" ref="T335:T380" si="133">MIN(MATCH(Hp_vg,Echel_vg),10)</f>
        <v>9</v>
      </c>
      <c r="U335" s="247">
        <f t="shared" ref="U335:U380" si="134">IF(OR(t&lt;Ttai,Notai),Hdd+PousH*Croivg,Hdtf+PousH*(Croivg-Croi_tai))</f>
        <v>3.4932845695467893</v>
      </c>
      <c r="V335" s="378">
        <f t="shared" ref="V335:V380" si="135">MaxiM*(1-Ppv)*(1-Pvg)*(1-Psa)</f>
        <v>21.401519004971298</v>
      </c>
      <c r="W335" s="397">
        <f t="shared" ref="W335:W380" si="136">Wh*(A335&gt;Tmaj)</f>
        <v>13.634337340967054</v>
      </c>
      <c r="X335" s="153">
        <f t="shared" ref="X335:X380" si="137">t</f>
        <v>47073</v>
      </c>
      <c r="Y335" s="380">
        <f t="shared" ref="Y335:Y380" si="138">Wh_pvt_s*(1-Ppv)</f>
        <v>13.303144962465893</v>
      </c>
      <c r="Z335" s="380">
        <f t="shared" ref="Z335:Z380" si="139">Wh_sa_s*(1-Psa_s)</f>
        <v>13.775914723000463</v>
      </c>
      <c r="AA335" s="381">
        <f t="shared" ref="AA335:AA380" si="140">Wh_hp*(1-Pvg_s*MEDIAN((-Sdif+Wh/Env_an)/Csdif,0,1))</f>
        <v>14.595920965188126</v>
      </c>
      <c r="AB335" s="193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5.6180507152882829E-2</v>
      </c>
      <c r="AD335" s="227">
        <f>(INDEX(Models!$BJ335:$BT335,,AH335)*(1-AF335)+INDEX(Models!$BJ335:$BT335,,AH335+1)*AF335-ERP_i)*AE335*Ramure*Pc/MaxiM</f>
        <v>2.2288074860878897E-2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0.49328456954678934</v>
      </c>
      <c r="AG335" s="802">
        <f t="shared" si="124"/>
        <v>3</v>
      </c>
      <c r="AH335" s="172">
        <f t="shared" ref="AH335:AH380" si="144">MIN(MATCH(Hp_vg_s,Echel_vg),10)</f>
        <v>9</v>
      </c>
      <c r="AI335" s="221">
        <f t="shared" ref="AI335:AI380" si="145">IF(OR(t&lt;Ttai,Notai),Hdd_s+PousH*Croivg,Hdtai_s+PousH*(Croivg-Croi_tai))</f>
        <v>3.4932845695467893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47074</v>
      </c>
      <c r="B336" s="406">
        <f>'2027'!Wh/'2027'!Env_an*'2028'!Env_an</f>
        <v>11.30209119531178</v>
      </c>
      <c r="C336" s="832"/>
      <c r="D336" s="388">
        <f t="shared" si="127"/>
        <v>11.703907333414552</v>
      </c>
      <c r="E336" s="380">
        <f t="shared" si="125"/>
        <v>12.099666399890657</v>
      </c>
      <c r="F336" s="380">
        <f t="shared" si="128"/>
        <v>12.190780316744465</v>
      </c>
      <c r="G336" s="110">
        <f t="shared" si="126"/>
        <v>0.52682482968738953</v>
      </c>
      <c r="H336" s="409" t="b">
        <f>Wh_hp&gt;='2027'!Maxi_hp</f>
        <v>0</v>
      </c>
      <c r="I336" s="385">
        <f>IF(H336,Wh_hp,'2027'!Maxi_hp)</f>
        <v>12.349054372733571</v>
      </c>
      <c r="J336" s="85">
        <f>IF(H336,An,'2027'!An_max)</f>
        <v>2022</v>
      </c>
      <c r="K336" s="193">
        <f t="shared" si="129"/>
        <v>47074</v>
      </c>
      <c r="L336" s="143">
        <f>IF(t&lt;Tvie,1-EXP((T0-t)*PertePVj)+'2027'!Pspv,1-EXP((T0-t)*PertePVj)+Pspv)</f>
        <v>3.433179421675614E-2</v>
      </c>
      <c r="M336" s="836"/>
      <c r="N336" s="836"/>
      <c r="O336" s="48">
        <f>IF(t&lt;Tnet,'2027'!Resal+('2027'!Salim-'2027'!Resal)*(1-EXP(('2027'!Tnet-t)/('2027'!Tau_j))),Resal+(Salim-Resal)*(1-EXP((Tnet-t)/(Tau_j))))*Salcycl</f>
        <v>3.2708262640999901E-2</v>
      </c>
      <c r="P336" s="165">
        <f>(INDEX(Models!$BJ336:$BT336,,T336)*(1-R336)+INDEX(Models!$BJ336:$BT336,,T336+1)*R336-ERP_i)*Q336*Ramure*Pc/MaxiM</f>
        <v>2.2281604367034729E-2</v>
      </c>
      <c r="Q336" s="301">
        <f t="shared" si="130"/>
        <v>0.5</v>
      </c>
      <c r="R336" s="173">
        <f t="shared" si="131"/>
        <v>0.49331261110545244</v>
      </c>
      <c r="S336" s="802">
        <f t="shared" si="132"/>
        <v>3</v>
      </c>
      <c r="T336" s="172">
        <f t="shared" si="133"/>
        <v>9</v>
      </c>
      <c r="U336" s="247">
        <f t="shared" si="134"/>
        <v>3.4933126111054524</v>
      </c>
      <c r="V336" s="378">
        <f t="shared" si="135"/>
        <v>21.13316125450373</v>
      </c>
      <c r="W336" s="397">
        <f t="shared" si="136"/>
        <v>11.30209119531178</v>
      </c>
      <c r="X336" s="153">
        <f t="shared" si="137"/>
        <v>47074</v>
      </c>
      <c r="Y336" s="380">
        <f t="shared" si="138"/>
        <v>11.027955890499852</v>
      </c>
      <c r="Z336" s="380">
        <f t="shared" si="139"/>
        <v>11.420025868569615</v>
      </c>
      <c r="AA336" s="381">
        <f t="shared" si="140"/>
        <v>12.099666399890657</v>
      </c>
      <c r="AB336" s="193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5.6170187578657729E-2</v>
      </c>
      <c r="AD336" s="227">
        <f>(INDEX(Models!$BJ336:$BT336,,AH336)*(1-AF336)+INDEX(Models!$BJ336:$BT336,,AH336+1)*AF336-ERP_i)*AE336*Ramure*Pc/MaxiM</f>
        <v>2.2281604367034729E-2</v>
      </c>
      <c r="AE336" s="301">
        <f t="shared" si="142"/>
        <v>0.5</v>
      </c>
      <c r="AF336" s="173">
        <f t="shared" si="143"/>
        <v>0.49331261110545244</v>
      </c>
      <c r="AG336" s="802">
        <f t="shared" ref="AG336:AG379" si="149">INDEX(Echel_vg,AH336)</f>
        <v>3</v>
      </c>
      <c r="AH336" s="172">
        <f t="shared" si="144"/>
        <v>9</v>
      </c>
      <c r="AI336" s="221">
        <f t="shared" si="145"/>
        <v>3.4933126111054524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47075</v>
      </c>
      <c r="B337" s="406">
        <f>'2027'!Wh/'2027'!Env_an*'2028'!Env_an</f>
        <v>8.1117394183782423</v>
      </c>
      <c r="C337" s="832"/>
      <c r="D337" s="388">
        <f t="shared" si="127"/>
        <v>8.4002459791244917</v>
      </c>
      <c r="E337" s="380">
        <f t="shared" si="125"/>
        <v>8.6845212779351257</v>
      </c>
      <c r="F337" s="380">
        <f t="shared" si="128"/>
        <v>8.7090189934512274</v>
      </c>
      <c r="G337" s="110">
        <f t="shared" si="126"/>
        <v>0.38110324502556109</v>
      </c>
      <c r="H337" s="409" t="b">
        <f>Wh_hp&gt;='2027'!Maxi_hp</f>
        <v>0</v>
      </c>
      <c r="I337" s="385">
        <f>IF(H337,Wh_hp,'2027'!Maxi_hp)</f>
        <v>8.8569305429618339</v>
      </c>
      <c r="J337" s="85">
        <f>IF(H337,An,'2027'!An_max)</f>
        <v>2022</v>
      </c>
      <c r="K337" s="193">
        <f t="shared" si="129"/>
        <v>47075</v>
      </c>
      <c r="L337" s="143">
        <f>IF(t&lt;Tvie,1-EXP((T0-t)*PertePVj)+'2027'!Pspv,1-EXP((T0-t)*PertePVj)+Pspv)</f>
        <v>3.4345013403562108E-2</v>
      </c>
      <c r="M337" s="836"/>
      <c r="N337" s="836"/>
      <c r="O337" s="48">
        <f>IF(t&lt;Tnet,'2027'!Resal+('2027'!Salim-'2027'!Resal)*(1-EXP(('2027'!Tnet-t)/('2027'!Tau_j))),Resal+(Salim-Resal)*(1-EXP((Tnet-t)/(Tau_j))))*Salcycl</f>
        <v>3.273356005619979E-2</v>
      </c>
      <c r="P337" s="165">
        <f>(INDEX(Models!$BJ337:$BT337,,T337)*(1-R337)+INDEX(Models!$BJ337:$BT337,,T337+1)*R337-ERP_i)*Q337*Ramure*Pc/MaxiM</f>
        <v>2.2208195747219342E-2</v>
      </c>
      <c r="Q337" s="301">
        <f t="shared" si="130"/>
        <v>0.5</v>
      </c>
      <c r="R337" s="173">
        <f t="shared" si="131"/>
        <v>0.49333952658662295</v>
      </c>
      <c r="S337" s="802">
        <f t="shared" si="132"/>
        <v>3</v>
      </c>
      <c r="T337" s="172">
        <f t="shared" si="133"/>
        <v>9</v>
      </c>
      <c r="U337" s="247">
        <f t="shared" si="134"/>
        <v>3.4933395265866229</v>
      </c>
      <c r="V337" s="378">
        <f t="shared" si="135"/>
        <v>20.87089585992959</v>
      </c>
      <c r="W337" s="397">
        <f t="shared" si="136"/>
        <v>8.1117394183782423</v>
      </c>
      <c r="X337" s="153">
        <f t="shared" si="137"/>
        <v>47075</v>
      </c>
      <c r="Y337" s="380">
        <f t="shared" si="138"/>
        <v>7.915273764099191</v>
      </c>
      <c r="Z337" s="380">
        <f t="shared" si="139"/>
        <v>8.196792719931457</v>
      </c>
      <c r="AA337" s="381">
        <f t="shared" si="140"/>
        <v>8.6845212779351257</v>
      </c>
      <c r="AB337" s="193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5.6160672810238413E-2</v>
      </c>
      <c r="AD337" s="227">
        <f>(INDEX(Models!$BJ337:$BT337,,AH337)*(1-AF337)+INDEX(Models!$BJ337:$BT337,,AH337+1)*AF337-ERP_i)*AE337*Ramure*Pc/MaxiM</f>
        <v>2.2208195747219342E-2</v>
      </c>
      <c r="AE337" s="301">
        <f t="shared" si="142"/>
        <v>0.5</v>
      </c>
      <c r="AF337" s="173">
        <f t="shared" si="143"/>
        <v>0.49333952658662295</v>
      </c>
      <c r="AG337" s="802">
        <f t="shared" si="149"/>
        <v>3</v>
      </c>
      <c r="AH337" s="172">
        <f t="shared" si="144"/>
        <v>9</v>
      </c>
      <c r="AI337" s="221">
        <f t="shared" si="145"/>
        <v>3.4933395265866229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47076</v>
      </c>
      <c r="B338" s="406">
        <f>'2027'!Wh/'2027'!Env_an*'2028'!Env_an</f>
        <v>14.603740948673465</v>
      </c>
      <c r="C338" s="832"/>
      <c r="D338" s="388">
        <f t="shared" si="127"/>
        <v>15.123352612544712</v>
      </c>
      <c r="E338" s="380">
        <f t="shared" si="125"/>
        <v>15.63556242451865</v>
      </c>
      <c r="F338" s="380">
        <f t="shared" si="128"/>
        <v>15.839650546168643</v>
      </c>
      <c r="G338" s="110">
        <f t="shared" si="126"/>
        <v>0.70182456778586555</v>
      </c>
      <c r="H338" s="409" t="b">
        <f>Wh_hp&gt;='2027'!Maxi_hp</f>
        <v>0</v>
      </c>
      <c r="I338" s="385">
        <f>IF(H338,Wh_hp,'2027'!Maxi_hp)</f>
        <v>15.967385749042172</v>
      </c>
      <c r="J338" s="85">
        <f>IF(H338,An,'2027'!An_max)</f>
        <v>2022</v>
      </c>
      <c r="K338" s="193">
        <f t="shared" si="129"/>
        <v>47076</v>
      </c>
      <c r="L338" s="143">
        <f>IF(t&lt;Tvie,1-EXP((T0-t)*PertePVj)+'2027'!Pspv,1-EXP((T0-t)*PertePVj)+Pspv)</f>
        <v>3.4358232409408496E-2</v>
      </c>
      <c r="M338" s="836"/>
      <c r="N338" s="836"/>
      <c r="O338" s="48">
        <f>IF(t&lt;Tnet,'2027'!Resal+('2027'!Salim-'2027'!Resal)*(1-EXP(('2027'!Tnet-t)/('2027'!Tau_j))),Resal+(Salim-Resal)*(1-EXP((Tnet-t)/(Tau_j))))*Salcycl</f>
        <v>3.2759282849379609E-2</v>
      </c>
      <c r="P338" s="165">
        <f>(INDEX(Models!$BJ338:$BT338,,T338)*(1-R338)+INDEX(Models!$BJ338:$BT338,,T338+1)*R338-ERP_i)*Q338*Ramure*Pc/MaxiM</f>
        <v>2.2082938098148795E-2</v>
      </c>
      <c r="Q338" s="301">
        <f t="shared" si="130"/>
        <v>0.5</v>
      </c>
      <c r="R338" s="173">
        <f t="shared" si="131"/>
        <v>0.49336536109656226</v>
      </c>
      <c r="S338" s="802">
        <f t="shared" si="132"/>
        <v>3</v>
      </c>
      <c r="T338" s="172">
        <f t="shared" si="133"/>
        <v>9</v>
      </c>
      <c r="U338" s="247">
        <f t="shared" si="134"/>
        <v>3.4933653610965623</v>
      </c>
      <c r="V338" s="378">
        <f t="shared" si="135"/>
        <v>20.614350939747219</v>
      </c>
      <c r="W338" s="397">
        <f t="shared" si="136"/>
        <v>14.603740948673465</v>
      </c>
      <c r="X338" s="153">
        <f t="shared" si="137"/>
        <v>47076</v>
      </c>
      <c r="Y338" s="380">
        <f t="shared" si="138"/>
        <v>14.250549531744733</v>
      </c>
      <c r="Z338" s="380">
        <f t="shared" si="139"/>
        <v>14.757594389585909</v>
      </c>
      <c r="AA338" s="381">
        <f t="shared" si="140"/>
        <v>15.63556242451865</v>
      </c>
      <c r="AB338" s="193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5.6151995757822426E-2</v>
      </c>
      <c r="AD338" s="227">
        <f>(INDEX(Models!$BJ338:$BT338,,AH338)*(1-AF338)+INDEX(Models!$BJ338:$BT338,,AH338+1)*AF338-ERP_i)*AE338*Ramure*Pc/MaxiM</f>
        <v>2.2082938098148795E-2</v>
      </c>
      <c r="AE338" s="301">
        <f t="shared" si="142"/>
        <v>0.5</v>
      </c>
      <c r="AF338" s="173">
        <f t="shared" si="143"/>
        <v>0.49336536109656226</v>
      </c>
      <c r="AG338" s="802">
        <f t="shared" si="149"/>
        <v>3</v>
      </c>
      <c r="AH338" s="172">
        <f t="shared" si="144"/>
        <v>9</v>
      </c>
      <c r="AI338" s="221">
        <f t="shared" si="145"/>
        <v>3.4933653610965623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47077</v>
      </c>
      <c r="B339" s="406">
        <f>'2027'!Wh/'2027'!Env_an*'2028'!Env_an</f>
        <v>3.3259684889395009</v>
      </c>
      <c r="C339" s="832"/>
      <c r="D339" s="388">
        <f t="shared" si="127"/>
        <v>3.4443560033419289</v>
      </c>
      <c r="E339" s="380">
        <f t="shared" si="125"/>
        <v>3.5611085490519478</v>
      </c>
      <c r="F339" s="380">
        <f t="shared" si="128"/>
        <v>3.5611085490519478</v>
      </c>
      <c r="G339" s="110">
        <f t="shared" si="126"/>
        <v>0.15975213251575082</v>
      </c>
      <c r="H339" s="409" t="b">
        <f>Wh_hp&gt;='2027'!Maxi_hp</f>
        <v>0</v>
      </c>
      <c r="I339" s="385">
        <f>IF(H339,Wh_hp,'2027'!Maxi_hp)</f>
        <v>3.629559805133463</v>
      </c>
      <c r="J339" s="85">
        <f>IF(H339,An,'2027'!An_max)</f>
        <v>2022</v>
      </c>
      <c r="K339" s="193">
        <f t="shared" si="129"/>
        <v>47077</v>
      </c>
      <c r="L339" s="143">
        <f>IF(t&lt;Tvie,1-EXP((T0-t)*PertePVj)+'2027'!Pspv,1-EXP((T0-t)*PertePVj)+Pspv)</f>
        <v>3.4371451234297856E-2</v>
      </c>
      <c r="M339" s="836"/>
      <c r="N339" s="836"/>
      <c r="O339" s="48">
        <f>IF(t&lt;Tnet,'2027'!Resal+('2027'!Salim-'2027'!Resal)*(1-EXP(('2027'!Tnet-t)/('2027'!Tau_j))),Resal+(Salim-Resal)*(1-EXP((Tnet-t)/(Tau_j))))*Salcycl</f>
        <v>3.278544984007891E-2</v>
      </c>
      <c r="P339" s="165">
        <f>(INDEX(Models!$BJ339:$BT339,,T339)*(1-R339)+INDEX(Models!$BJ339:$BT339,,T339+1)*R339-ERP_i)*Q339*Ramure*Pc/MaxiM</f>
        <v>2.1967248651337451E-2</v>
      </c>
      <c r="Q339" s="301">
        <f t="shared" si="130"/>
        <v>0.5</v>
      </c>
      <c r="R339" s="173">
        <f t="shared" si="131"/>
        <v>0.49339015794374719</v>
      </c>
      <c r="S339" s="802">
        <f t="shared" si="132"/>
        <v>3</v>
      </c>
      <c r="T339" s="172">
        <f t="shared" si="133"/>
        <v>9</v>
      </c>
      <c r="U339" s="247">
        <f t="shared" si="134"/>
        <v>3.4933901579437472</v>
      </c>
      <c r="V339" s="378">
        <f t="shared" si="135"/>
        <v>20.362207758420574</v>
      </c>
      <c r="W339" s="397">
        <f t="shared" si="136"/>
        <v>3.3259684889395009</v>
      </c>
      <c r="X339" s="153">
        <f t="shared" si="137"/>
        <v>47077</v>
      </c>
      <c r="Y339" s="380">
        <f t="shared" si="138"/>
        <v>3.2456446140345618</v>
      </c>
      <c r="Z339" s="380">
        <f t="shared" si="139"/>
        <v>3.3611730081750903</v>
      </c>
      <c r="AA339" s="381">
        <f t="shared" si="140"/>
        <v>3.5611085490519478</v>
      </c>
      <c r="AB339" s="193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5.6144186037262268E-2</v>
      </c>
      <c r="AD339" s="227">
        <f>(INDEX(Models!$BJ339:$BT339,,AH339)*(1-AF339)+INDEX(Models!$BJ339:$BT339,,AH339+1)*AF339-ERP_i)*AE339*Ramure*Pc/MaxiM</f>
        <v>2.1967248651337451E-2</v>
      </c>
      <c r="AE339" s="301">
        <f t="shared" si="142"/>
        <v>0.5</v>
      </c>
      <c r="AF339" s="173">
        <f t="shared" si="143"/>
        <v>0.49339015794374719</v>
      </c>
      <c r="AG339" s="802">
        <f t="shared" si="149"/>
        <v>3</v>
      </c>
      <c r="AH339" s="172">
        <f t="shared" si="144"/>
        <v>9</v>
      </c>
      <c r="AI339" s="221">
        <f t="shared" si="145"/>
        <v>3.4933901579437472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47078</v>
      </c>
      <c r="B340" s="406">
        <f>'2027'!Wh/'2027'!Env_an*'2028'!Env_an</f>
        <v>9.3332746667866271</v>
      </c>
      <c r="C340" s="832"/>
      <c r="D340" s="388">
        <f t="shared" si="127"/>
        <v>9.6656239556694565</v>
      </c>
      <c r="E340" s="380">
        <f t="shared" si="125"/>
        <v>9.9935325235487333</v>
      </c>
      <c r="F340" s="380">
        <f t="shared" si="128"/>
        <v>10.044983432867754</v>
      </c>
      <c r="G340" s="110">
        <f t="shared" si="126"/>
        <v>0.45620081952529057</v>
      </c>
      <c r="H340" s="409" t="b">
        <f>Wh_hp&gt;='2027'!Maxi_hp</f>
        <v>0</v>
      </c>
      <c r="I340" s="385">
        <f>IF(H340,Wh_hp,'2027'!Maxi_hp)</f>
        <v>10.192243033063592</v>
      </c>
      <c r="J340" s="85">
        <f>IF(H340,An,'2027'!An_max)</f>
        <v>2022</v>
      </c>
      <c r="K340" s="193">
        <f t="shared" si="129"/>
        <v>47078</v>
      </c>
      <c r="L340" s="143">
        <f>IF(t&lt;Tvie,1-EXP((T0-t)*PertePVj)+'2027'!Pspv,1-EXP((T0-t)*PertePVj)+Pspv)</f>
        <v>3.4384669878232521E-2</v>
      </c>
      <c r="M340" s="836"/>
      <c r="N340" s="836"/>
      <c r="O340" s="48">
        <f>IF(t&lt;Tnet,'2027'!Resal+('2027'!Salim-'2027'!Resal)*(1-EXP(('2027'!Tnet-t)/('2027'!Tau_j))),Resal+(Salim-Resal)*(1-EXP((Tnet-t)/(Tau_j))))*Salcycl</f>
        <v>3.2812077922055524E-2</v>
      </c>
      <c r="P340" s="165">
        <f>(INDEX(Models!$BJ340:$BT340,,T340)*(1-R340)+INDEX(Models!$BJ340:$BT340,,T340+1)*R340-ERP_i)*Q340*Ramure*Pc/MaxiM</f>
        <v>2.1861346274432709E-2</v>
      </c>
      <c r="Q340" s="301">
        <f t="shared" si="130"/>
        <v>0.5</v>
      </c>
      <c r="R340" s="173">
        <f t="shared" si="131"/>
        <v>0.49341395870981586</v>
      </c>
      <c r="S340" s="802">
        <f t="shared" si="132"/>
        <v>3</v>
      </c>
      <c r="T340" s="172">
        <f t="shared" si="133"/>
        <v>9</v>
      </c>
      <c r="U340" s="247">
        <f t="shared" si="134"/>
        <v>3.4934139587098159</v>
      </c>
      <c r="V340" s="378">
        <f t="shared" si="135"/>
        <v>20.114470372727126</v>
      </c>
      <c r="W340" s="397">
        <f t="shared" si="136"/>
        <v>9.3332746667866271</v>
      </c>
      <c r="X340" s="153">
        <f t="shared" si="137"/>
        <v>47078</v>
      </c>
      <c r="Y340" s="380">
        <f t="shared" si="138"/>
        <v>9.108188705604185</v>
      </c>
      <c r="Z340" s="380">
        <f t="shared" si="139"/>
        <v>9.4325228913418453</v>
      </c>
      <c r="AA340" s="381">
        <f t="shared" si="140"/>
        <v>9.9935325235487333</v>
      </c>
      <c r="AB340" s="193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5.6137269867779553E-2</v>
      </c>
      <c r="AD340" s="227">
        <f>(INDEX(Models!$BJ340:$BT340,,AH340)*(1-AF340)+INDEX(Models!$BJ340:$BT340,,AH340+1)*AF340-ERP_i)*AE340*Ramure*Pc/MaxiM</f>
        <v>2.1861346274432709E-2</v>
      </c>
      <c r="AE340" s="301">
        <f t="shared" si="142"/>
        <v>0.5</v>
      </c>
      <c r="AF340" s="173">
        <f t="shared" si="143"/>
        <v>0.49341395870981586</v>
      </c>
      <c r="AG340" s="802">
        <f t="shared" si="149"/>
        <v>3</v>
      </c>
      <c r="AH340" s="172">
        <f t="shared" si="144"/>
        <v>9</v>
      </c>
      <c r="AI340" s="221">
        <f t="shared" si="145"/>
        <v>3.4934139587098159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47079</v>
      </c>
      <c r="B341" s="406">
        <f>'2027'!Wh/'2027'!Env_an*'2028'!Env_an</f>
        <v>12.448633313659155</v>
      </c>
      <c r="C341" s="832"/>
      <c r="D341" s="388">
        <f t="shared" si="127"/>
        <v>12.892094127957055</v>
      </c>
      <c r="E341" s="380">
        <f t="shared" si="125"/>
        <v>13.329835005827235</v>
      </c>
      <c r="F341" s="380">
        <f t="shared" si="128"/>
        <v>13.466533363826732</v>
      </c>
      <c r="G341" s="110">
        <f t="shared" si="126"/>
        <v>0.61911719314583746</v>
      </c>
      <c r="H341" s="409" t="b">
        <f>Wh_hp&gt;='2027'!Maxi_hp</f>
        <v>0</v>
      </c>
      <c r="I341" s="385">
        <f>IF(H341,Wh_hp,'2027'!Maxi_hp)</f>
        <v>13.60365476086419</v>
      </c>
      <c r="J341" s="85">
        <f>IF(H341,An,'2027'!An_max)</f>
        <v>2022</v>
      </c>
      <c r="K341" s="193">
        <f t="shared" si="129"/>
        <v>47079</v>
      </c>
      <c r="L341" s="143">
        <f>IF(t&lt;Tvie,1-EXP((T0-t)*PertePVj)+'2027'!Pspv,1-EXP((T0-t)*PertePVj)+Pspv)</f>
        <v>3.4397888341215044E-2</v>
      </c>
      <c r="M341" s="836"/>
      <c r="N341" s="836"/>
      <c r="O341" s="48">
        <f>IF(t&lt;Tnet,'2027'!Resal+('2027'!Salim-'2027'!Resal)*(1-EXP(('2027'!Tnet-t)/('2027'!Tau_j))),Resal+(Salim-Resal)*(1-EXP((Tnet-t)/(Tau_j))))*Salcycl</f>
        <v>3.2839182006290296E-2</v>
      </c>
      <c r="P341" s="165">
        <f>(INDEX(Models!$BJ341:$BT341,,T341)*(1-R341)+INDEX(Models!$BJ341:$BT341,,T341+1)*R341-ERP_i)*Q341*Ramure*Pc/MaxiM</f>
        <v>2.1765323931589278E-2</v>
      </c>
      <c r="Q341" s="301">
        <f t="shared" si="130"/>
        <v>0.5</v>
      </c>
      <c r="R341" s="173">
        <f t="shared" si="131"/>
        <v>0.49343680331776563</v>
      </c>
      <c r="S341" s="802">
        <f t="shared" si="132"/>
        <v>3</v>
      </c>
      <c r="T341" s="172">
        <f t="shared" si="133"/>
        <v>9</v>
      </c>
      <c r="U341" s="247">
        <f t="shared" si="134"/>
        <v>3.4934368033177656</v>
      </c>
      <c r="V341" s="378">
        <f t="shared" si="135"/>
        <v>19.87114538716375</v>
      </c>
      <c r="W341" s="397">
        <f t="shared" si="136"/>
        <v>12.448633313659155</v>
      </c>
      <c r="X341" s="153">
        <f t="shared" si="137"/>
        <v>47079</v>
      </c>
      <c r="Y341" s="380">
        <f t="shared" si="138"/>
        <v>12.14883346958533</v>
      </c>
      <c r="Z341" s="380">
        <f t="shared" si="139"/>
        <v>12.581614438182138</v>
      </c>
      <c r="AA341" s="381">
        <f t="shared" si="140"/>
        <v>13.329835005827235</v>
      </c>
      <c r="AB341" s="193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5.6131269990814359E-2</v>
      </c>
      <c r="AD341" s="227">
        <f>(INDEX(Models!$BJ341:$BT341,,AH341)*(1-AF341)+INDEX(Models!$BJ341:$BT341,,AH341+1)*AF341-ERP_i)*AE341*Ramure*Pc/MaxiM</f>
        <v>2.1765323931589278E-2</v>
      </c>
      <c r="AE341" s="301">
        <f t="shared" si="142"/>
        <v>0.5</v>
      </c>
      <c r="AF341" s="173">
        <f t="shared" si="143"/>
        <v>0.49343680331776563</v>
      </c>
      <c r="AG341" s="802">
        <f t="shared" si="149"/>
        <v>3</v>
      </c>
      <c r="AH341" s="172">
        <f t="shared" si="144"/>
        <v>9</v>
      </c>
      <c r="AI341" s="221">
        <f t="shared" si="145"/>
        <v>3.4934368033177656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47080</v>
      </c>
      <c r="B342" s="406">
        <f>'2027'!Wh/'2027'!Env_an*'2028'!Env_an</f>
        <v>11.57475432271614</v>
      </c>
      <c r="C342" s="832"/>
      <c r="D342" s="388">
        <f t="shared" si="127"/>
        <v>11.98724881997987</v>
      </c>
      <c r="E342" s="380">
        <f t="shared" si="125"/>
        <v>12.394620006657068</v>
      </c>
      <c r="F342" s="380">
        <f t="shared" si="128"/>
        <v>12.506785871874532</v>
      </c>
      <c r="G342" s="110">
        <f t="shared" si="126"/>
        <v>0.58201703382257797</v>
      </c>
      <c r="H342" s="409" t="b">
        <f>Wh_hp&gt;='2027'!Maxi_hp</f>
        <v>0</v>
      </c>
      <c r="I342" s="385">
        <f>IF(H342,Wh_hp,'2027'!Maxi_hp)</f>
        <v>12.646209273203628</v>
      </c>
      <c r="J342" s="85">
        <f>IF(H342,An,'2027'!An_max)</f>
        <v>2022</v>
      </c>
      <c r="K342" s="193">
        <f t="shared" si="129"/>
        <v>47080</v>
      </c>
      <c r="L342" s="143">
        <f>IF(t&lt;Tvie,1-EXP((T0-t)*PertePVj)+'2027'!Pspv,1-EXP((T0-t)*PertePVj)+Pspv)</f>
        <v>3.4411106623247867E-2</v>
      </c>
      <c r="M342" s="836"/>
      <c r="N342" s="836"/>
      <c r="O342" s="48">
        <f>IF(t&lt;Tnet,'2027'!Resal+('2027'!Salim-'2027'!Resal)*(1-EXP(('2027'!Tnet-t)/('2027'!Tau_j))),Resal+(Salim-Resal)*(1-EXP((Tnet-t)/(Tau_j))))*Salcycl</f>
        <v>3.2866774976433456E-2</v>
      </c>
      <c r="P342" s="165">
        <f>(INDEX(Models!$BJ342:$BT342,,T342)*(1-R342)+INDEX(Models!$BJ342:$BT342,,T342+1)*R342-ERP_i)*Q342*Ramure*Pc/MaxiM</f>
        <v>2.1679339234214064E-2</v>
      </c>
      <c r="Q342" s="301">
        <f t="shared" si="130"/>
        <v>0.5</v>
      </c>
      <c r="R342" s="173">
        <f t="shared" si="131"/>
        <v>0.49345873009751351</v>
      </c>
      <c r="S342" s="802">
        <f t="shared" si="132"/>
        <v>3</v>
      </c>
      <c r="T342" s="172">
        <f t="shared" si="133"/>
        <v>9</v>
      </c>
      <c r="U342" s="247">
        <f t="shared" si="134"/>
        <v>3.4934587300975135</v>
      </c>
      <c r="V342" s="378">
        <f t="shared" si="135"/>
        <v>19.632237959653615</v>
      </c>
      <c r="W342" s="397">
        <f t="shared" si="136"/>
        <v>11.57475432271614</v>
      </c>
      <c r="X342" s="153">
        <f t="shared" si="137"/>
        <v>47080</v>
      </c>
      <c r="Y342" s="380">
        <f t="shared" si="138"/>
        <v>11.296382958451503</v>
      </c>
      <c r="Z342" s="380">
        <f t="shared" si="139"/>
        <v>11.698957015699532</v>
      </c>
      <c r="AA342" s="381">
        <f t="shared" si="140"/>
        <v>12.394620006657068</v>
      </c>
      <c r="AB342" s="193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5.6126205610490643E-2</v>
      </c>
      <c r="AD342" s="227">
        <f>(INDEX(Models!$BJ342:$BT342,,AH342)*(1-AF342)+INDEX(Models!$BJ342:$BT342,,AH342+1)*AF342-ERP_i)*AE342*Ramure*Pc/MaxiM</f>
        <v>2.1679339234214064E-2</v>
      </c>
      <c r="AE342" s="301">
        <f t="shared" si="142"/>
        <v>0.5</v>
      </c>
      <c r="AF342" s="173">
        <f t="shared" si="143"/>
        <v>0.49345873009751351</v>
      </c>
      <c r="AG342" s="802">
        <f t="shared" si="149"/>
        <v>3</v>
      </c>
      <c r="AH342" s="172">
        <f t="shared" si="144"/>
        <v>9</v>
      </c>
      <c r="AI342" s="221">
        <f t="shared" si="145"/>
        <v>3.4934587300975135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47081</v>
      </c>
      <c r="B343" s="406">
        <f>'2027'!Wh/'2027'!Env_an*'2028'!Env_an</f>
        <v>4.6978938977226772</v>
      </c>
      <c r="C343" s="832"/>
      <c r="D343" s="388">
        <f t="shared" si="127"/>
        <v>4.8653813657655114</v>
      </c>
      <c r="E343" s="380">
        <f t="shared" si="125"/>
        <v>5.0308712083638367</v>
      </c>
      <c r="F343" s="380">
        <f t="shared" si="128"/>
        <v>5.0308712083638367</v>
      </c>
      <c r="G343" s="110">
        <f t="shared" si="126"/>
        <v>0.23695541821746377</v>
      </c>
      <c r="H343" s="409" t="b">
        <f>Wh_hp&gt;='2027'!Maxi_hp</f>
        <v>0</v>
      </c>
      <c r="I343" s="385">
        <f>IF(H343,Wh_hp,'2027'!Maxi_hp)</f>
        <v>5.1261400512885871</v>
      </c>
      <c r="J343" s="85">
        <f>IF(H343,An,'2027'!An_max)</f>
        <v>2022</v>
      </c>
      <c r="K343" s="193">
        <f t="shared" si="129"/>
        <v>47081</v>
      </c>
      <c r="L343" s="143">
        <f>IF(t&lt;Tvie,1-EXP((T0-t)*PertePVj)+'2027'!Pspv,1-EXP((T0-t)*PertePVj)+Pspv)</f>
        <v>3.4424324724333655E-2</v>
      </c>
      <c r="M343" s="836"/>
      <c r="N343" s="836"/>
      <c r="O343" s="48">
        <f>IF(t&lt;Tnet,'2027'!Resal+('2027'!Salim-'2027'!Resal)*(1-EXP(('2027'!Tnet-t)/('2027'!Tau_j))),Resal+(Salim-Resal)*(1-EXP((Tnet-t)/(Tau_j))))*Salcycl</f>
        <v>3.2894867656957427E-2</v>
      </c>
      <c r="P343" s="165">
        <f>(INDEX(Models!$BJ343:$BT343,,T343)*(1-R343)+INDEX(Models!$BJ343:$BT343,,T343+1)*R343-ERP_i)*Q343*Ramure*Pc/MaxiM</f>
        <v>2.1603630162027404E-2</v>
      </c>
      <c r="Q343" s="301">
        <f t="shared" si="130"/>
        <v>0.5</v>
      </c>
      <c r="R343" s="173">
        <f t="shared" si="131"/>
        <v>0.49347977584891067</v>
      </c>
      <c r="S343" s="802">
        <f t="shared" si="132"/>
        <v>3</v>
      </c>
      <c r="T343" s="172">
        <f t="shared" si="133"/>
        <v>9</v>
      </c>
      <c r="U343" s="247">
        <f t="shared" si="134"/>
        <v>3.4934797758489107</v>
      </c>
      <c r="V343" s="378">
        <f t="shared" si="135"/>
        <v>19.397751568598963</v>
      </c>
      <c r="W343" s="397">
        <f t="shared" si="136"/>
        <v>4.6978938977226772</v>
      </c>
      <c r="X343" s="153">
        <f t="shared" si="137"/>
        <v>47081</v>
      </c>
      <c r="Y343" s="380">
        <f t="shared" si="138"/>
        <v>4.5850633134093375</v>
      </c>
      <c r="Z343" s="380">
        <f t="shared" si="139"/>
        <v>4.7485281897768683</v>
      </c>
      <c r="AA343" s="381">
        <f t="shared" si="140"/>
        <v>5.0308712083638367</v>
      </c>
      <c r="AB343" s="193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5.6122092356006396E-2</v>
      </c>
      <c r="AD343" s="227">
        <f>(INDEX(Models!$BJ343:$BT343,,AH343)*(1-AF343)+INDEX(Models!$BJ343:$BT343,,AH343+1)*AF343-ERP_i)*AE343*Ramure*Pc/MaxiM</f>
        <v>2.1603630162027404E-2</v>
      </c>
      <c r="AE343" s="301">
        <f t="shared" si="142"/>
        <v>0.5</v>
      </c>
      <c r="AF343" s="173">
        <f t="shared" si="143"/>
        <v>0.49347977584891067</v>
      </c>
      <c r="AG343" s="802">
        <f t="shared" si="149"/>
        <v>3</v>
      </c>
      <c r="AH343" s="172">
        <f t="shared" si="144"/>
        <v>9</v>
      </c>
      <c r="AI343" s="221">
        <f t="shared" si="145"/>
        <v>3.4934797758489107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47082</v>
      </c>
      <c r="B344" s="406">
        <f>'2027'!Wh/'2027'!Env_an*'2028'!Env_an</f>
        <v>9.39533046179195</v>
      </c>
      <c r="C344" s="832"/>
      <c r="D344" s="388">
        <f t="shared" si="127"/>
        <v>9.7304222945078092</v>
      </c>
      <c r="E344" s="380">
        <f t="shared" si="125"/>
        <v>10.061687964214395</v>
      </c>
      <c r="F344" s="380">
        <f t="shared" si="128"/>
        <v>10.120907613423578</v>
      </c>
      <c r="G344" s="110">
        <f t="shared" si="126"/>
        <v>0.48243041198852521</v>
      </c>
      <c r="H344" s="409" t="b">
        <f>Wh_hp&gt;='2027'!Maxi_hp</f>
        <v>0</v>
      </c>
      <c r="I344" s="385">
        <f>IF(H344,Wh_hp,'2027'!Maxi_hp)</f>
        <v>10.260327974722742</v>
      </c>
      <c r="J344" s="85">
        <f>IF(H344,An,'2027'!An_max)</f>
        <v>2022</v>
      </c>
      <c r="K344" s="193">
        <f t="shared" si="129"/>
        <v>47082</v>
      </c>
      <c r="L344" s="143">
        <f>IF(t&lt;Tvie,1-EXP((T0-t)*PertePVj)+'2027'!Pspv,1-EXP((T0-t)*PertePVj)+Pspv)</f>
        <v>3.4437542644474628E-2</v>
      </c>
      <c r="M344" s="836"/>
      <c r="N344" s="836"/>
      <c r="O344" s="48">
        <f>IF(t&lt;Tnet,'2027'!Resal+('2027'!Salim-'2027'!Resal)*(1-EXP(('2027'!Tnet-t)/('2027'!Tau_j))),Resal+(Salim-Resal)*(1-EXP((Tnet-t)/(Tau_j))))*Salcycl</f>
        <v>3.2923468794179608E-2</v>
      </c>
      <c r="P344" s="165">
        <f>(INDEX(Models!$BJ344:$BT344,,T344)*(1-R344)+INDEX(Models!$BJ344:$BT344,,T344+1)*R344-ERP_i)*Q344*Ramure*Pc/MaxiM</f>
        <v>2.1538420683215882E-2</v>
      </c>
      <c r="Q344" s="301">
        <f t="shared" si="130"/>
        <v>0.5</v>
      </c>
      <c r="R344" s="173">
        <f t="shared" si="131"/>
        <v>0.4934999759023091</v>
      </c>
      <c r="S344" s="802">
        <f t="shared" si="132"/>
        <v>3</v>
      </c>
      <c r="T344" s="172">
        <f t="shared" si="133"/>
        <v>9</v>
      </c>
      <c r="U344" s="247">
        <f t="shared" si="134"/>
        <v>3.4934999759023091</v>
      </c>
      <c r="V344" s="378">
        <f t="shared" si="135"/>
        <v>19.16768993863106</v>
      </c>
      <c r="W344" s="397">
        <f t="shared" si="136"/>
        <v>9.39533046179195</v>
      </c>
      <c r="X344" s="153">
        <f t="shared" si="137"/>
        <v>47082</v>
      </c>
      <c r="Y344" s="380">
        <f t="shared" si="138"/>
        <v>9.1699820726478709</v>
      </c>
      <c r="Z344" s="380">
        <f t="shared" si="139"/>
        <v>9.4970366782512894</v>
      </c>
      <c r="AA344" s="381">
        <f t="shared" si="140"/>
        <v>10.061687964214395</v>
      </c>
      <c r="AB344" s="193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5.6118942266084562E-2</v>
      </c>
      <c r="AD344" s="227">
        <f>(INDEX(Models!$BJ344:$BT344,,AH344)*(1-AF344)+INDEX(Models!$BJ344:$BT344,,AH344+1)*AF344-ERP_i)*AE344*Ramure*Pc/MaxiM</f>
        <v>2.1538420683215882E-2</v>
      </c>
      <c r="AE344" s="301">
        <f t="shared" si="142"/>
        <v>0.5</v>
      </c>
      <c r="AF344" s="173">
        <f t="shared" si="143"/>
        <v>0.4934999759023091</v>
      </c>
      <c r="AG344" s="802">
        <f t="shared" si="149"/>
        <v>3</v>
      </c>
      <c r="AH344" s="172">
        <f t="shared" si="144"/>
        <v>9</v>
      </c>
      <c r="AI344" s="221">
        <f t="shared" si="145"/>
        <v>3.4934999759023091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47083</v>
      </c>
      <c r="B345" s="406">
        <f>'2027'!Wh/'2027'!Env_an*'2028'!Env_an</f>
        <v>13.432082874243227</v>
      </c>
      <c r="C345" s="832"/>
      <c r="D345" s="388">
        <f t="shared" si="127"/>
        <v>13.911339083629374</v>
      </c>
      <c r="E345" s="380">
        <f t="shared" si="125"/>
        <v>14.385374355560176</v>
      </c>
      <c r="F345" s="380">
        <f t="shared" si="128"/>
        <v>14.568356228797411</v>
      </c>
      <c r="G345" s="110">
        <f t="shared" si="126"/>
        <v>0.70278607751021638</v>
      </c>
      <c r="H345" s="409" t="b">
        <f>Wh_hp&gt;='2027'!Maxi_hp</f>
        <v>0</v>
      </c>
      <c r="I345" s="385">
        <f>IF(H345,Wh_hp,'2027'!Maxi_hp)</f>
        <v>14.682791656561243</v>
      </c>
      <c r="J345" s="85">
        <f>IF(H345,An,'2027'!An_max)</f>
        <v>2022</v>
      </c>
      <c r="K345" s="193">
        <f t="shared" si="129"/>
        <v>47083</v>
      </c>
      <c r="L345" s="143">
        <f>IF(t&lt;Tvie,1-EXP((T0-t)*PertePVj)+'2027'!Pspv,1-EXP((T0-t)*PertePVj)+Pspv)</f>
        <v>3.4450760383673451E-2</v>
      </c>
      <c r="M345" s="836"/>
      <c r="N345" s="836"/>
      <c r="O345" s="48">
        <f>IF(t&lt;Tnet,'2027'!Resal+('2027'!Salim-'2027'!Resal)*(1-EXP(('2027'!Tnet-t)/('2027'!Tau_j))),Resal+(Salim-Resal)*(1-EXP((Tnet-t)/(Tau_j))))*Salcycl</f>
        <v>3.2952585050216691E-2</v>
      </c>
      <c r="P345" s="165">
        <f>(INDEX(Models!$BJ345:$BT345,,T345)*(1-R345)+INDEX(Models!$BJ345:$BT345,,T345+1)*R345-ERP_i)*Q345*Ramure*Pc/MaxiM</f>
        <v>2.1486373474227976E-2</v>
      </c>
      <c r="Q345" s="301">
        <f t="shared" si="130"/>
        <v>0.5</v>
      </c>
      <c r="R345" s="173">
        <f t="shared" si="131"/>
        <v>0.49351936417676967</v>
      </c>
      <c r="S345" s="802">
        <f t="shared" si="132"/>
        <v>3</v>
      </c>
      <c r="T345" s="172">
        <f t="shared" si="133"/>
        <v>9</v>
      </c>
      <c r="U345" s="247">
        <f t="shared" si="134"/>
        <v>3.4935193641767697</v>
      </c>
      <c r="V345" s="378">
        <f t="shared" si="135"/>
        <v>18.939847396547602</v>
      </c>
      <c r="W345" s="397">
        <f t="shared" si="136"/>
        <v>13.432082874243227</v>
      </c>
      <c r="X345" s="153">
        <f t="shared" si="137"/>
        <v>47083</v>
      </c>
      <c r="Y345" s="380">
        <f t="shared" si="138"/>
        <v>13.110337359173672</v>
      </c>
      <c r="Z345" s="380">
        <f t="shared" si="139"/>
        <v>13.578113700740143</v>
      </c>
      <c r="AA345" s="381">
        <f t="shared" si="140"/>
        <v>14.385374355560176</v>
      </c>
      <c r="AB345" s="193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5.6116763795445702E-2</v>
      </c>
      <c r="AD345" s="227">
        <f>(INDEX(Models!$BJ345:$BT345,,AH345)*(1-AF345)+INDEX(Models!$BJ345:$BT345,,AH345+1)*AF345-ERP_i)*AE345*Ramure*Pc/MaxiM</f>
        <v>2.1486373474227976E-2</v>
      </c>
      <c r="AE345" s="301">
        <f t="shared" si="142"/>
        <v>0.5</v>
      </c>
      <c r="AF345" s="173">
        <f t="shared" si="143"/>
        <v>0.49351936417676967</v>
      </c>
      <c r="AG345" s="802">
        <f t="shared" si="149"/>
        <v>3</v>
      </c>
      <c r="AH345" s="172">
        <f t="shared" si="144"/>
        <v>9</v>
      </c>
      <c r="AI345" s="221">
        <f t="shared" si="145"/>
        <v>3.4935193641767697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47084</v>
      </c>
      <c r="B346" s="406">
        <f>'2027'!Wh/'2027'!Env_an*'2028'!Env_an</f>
        <v>9.1723195772312565</v>
      </c>
      <c r="C346" s="832"/>
      <c r="D346" s="388">
        <f t="shared" si="127"/>
        <v>9.4997176363034033</v>
      </c>
      <c r="E346" s="380">
        <f t="shared" si="125"/>
        <v>9.8237259362735685</v>
      </c>
      <c r="F346" s="380">
        <f t="shared" si="128"/>
        <v>9.8813269456727078</v>
      </c>
      <c r="G346" s="110">
        <f t="shared" si="126"/>
        <v>0.48246413967810847</v>
      </c>
      <c r="H346" s="409" t="b">
        <f>Wh_hp&gt;='2027'!Maxi_hp</f>
        <v>0</v>
      </c>
      <c r="I346" s="385">
        <f>IF(H346,Wh_hp,'2027'!Maxi_hp)</f>
        <v>10.017285117579057</v>
      </c>
      <c r="J346" s="85">
        <f>IF(H346,An,'2027'!An_max)</f>
        <v>2022</v>
      </c>
      <c r="K346" s="193">
        <f t="shared" si="129"/>
        <v>47084</v>
      </c>
      <c r="L346" s="143">
        <f>IF(t&lt;Tvie,1-EXP((T0-t)*PertePVj)+'2027'!Pspv,1-EXP((T0-t)*PertePVj)+Pspv)</f>
        <v>3.4463977941932455E-2</v>
      </c>
      <c r="M346" s="836"/>
      <c r="N346" s="836"/>
      <c r="O346" s="48">
        <f>IF(t&lt;Tnet,'2027'!Resal+('2027'!Salim-'2027'!Resal)*(1-EXP(('2027'!Tnet-t)/('2027'!Tau_j))),Resal+(Salim-Resal)*(1-EXP((Tnet-t)/(Tau_j))))*Salcycl</f>
        <v>3.2982221009829157E-2</v>
      </c>
      <c r="P346" s="165">
        <f>(INDEX(Models!$BJ346:$BT346,,T346)*(1-R346)+INDEX(Models!$BJ346:$BT346,,T346+1)*R346-ERP_i)*Q346*Ramure*Pc/MaxiM</f>
        <v>2.1457163313132202E-2</v>
      </c>
      <c r="Q346" s="301">
        <f t="shared" si="130"/>
        <v>0.5</v>
      </c>
      <c r="R346" s="173">
        <f t="shared" si="131"/>
        <v>0.49353797323600457</v>
      </c>
      <c r="S346" s="802">
        <f t="shared" si="132"/>
        <v>3</v>
      </c>
      <c r="T346" s="172">
        <f t="shared" si="133"/>
        <v>9</v>
      </c>
      <c r="U346" s="247">
        <f t="shared" si="134"/>
        <v>3.4935379732360046</v>
      </c>
      <c r="V346" s="378">
        <f t="shared" si="135"/>
        <v>18.712551653294909</v>
      </c>
      <c r="W346" s="397">
        <f t="shared" si="136"/>
        <v>9.1723195772312565</v>
      </c>
      <c r="X346" s="153">
        <f t="shared" si="137"/>
        <v>47084</v>
      </c>
      <c r="Y346" s="380">
        <f t="shared" si="138"/>
        <v>8.9528961088920642</v>
      </c>
      <c r="Z346" s="380">
        <f t="shared" si="139"/>
        <v>9.2724620359670382</v>
      </c>
      <c r="AA346" s="381">
        <f t="shared" si="140"/>
        <v>9.8237259362735685</v>
      </c>
      <c r="AB346" s="193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5.6115561843090446E-2</v>
      </c>
      <c r="AD346" s="227">
        <f>(INDEX(Models!$BJ346:$BT346,,AH346)*(1-AF346)+INDEX(Models!$BJ346:$BT346,,AH346+1)*AF346-ERP_i)*AE346*Ramure*Pc/MaxiM</f>
        <v>2.1457163313132202E-2</v>
      </c>
      <c r="AE346" s="301">
        <f t="shared" si="142"/>
        <v>0.5</v>
      </c>
      <c r="AF346" s="173">
        <f t="shared" si="143"/>
        <v>0.49353797323600457</v>
      </c>
      <c r="AG346" s="802">
        <f t="shared" si="149"/>
        <v>3</v>
      </c>
      <c r="AH346" s="172">
        <f t="shared" si="144"/>
        <v>9</v>
      </c>
      <c r="AI346" s="221">
        <f t="shared" si="145"/>
        <v>3.4935379732360046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47085</v>
      </c>
      <c r="B347" s="406">
        <f>'2027'!Wh/'2027'!Env_an*'2028'!Env_an</f>
        <v>10.165978115812164</v>
      </c>
      <c r="C347" s="832"/>
      <c r="D347" s="388">
        <f t="shared" si="127"/>
        <v>10.52898809487321</v>
      </c>
      <c r="E347" s="380">
        <f t="shared" si="125"/>
        <v>10.88844145301735</v>
      </c>
      <c r="F347" s="380">
        <f t="shared" si="128"/>
        <v>10.972491705114354</v>
      </c>
      <c r="G347" s="110">
        <f t="shared" si="126"/>
        <v>0.54226209111575963</v>
      </c>
      <c r="H347" s="409" t="b">
        <f>Wh_hp&gt;='2027'!Maxi_hp</f>
        <v>0</v>
      </c>
      <c r="I347" s="385">
        <f>IF(H347,Wh_hp,'2027'!Maxi_hp)</f>
        <v>11.10599499175243</v>
      </c>
      <c r="J347" s="85">
        <f>IF(H347,An,'2027'!An_max)</f>
        <v>2022</v>
      </c>
      <c r="K347" s="193">
        <f t="shared" si="129"/>
        <v>47085</v>
      </c>
      <c r="L347" s="143">
        <f>IF(t&lt;Tvie,1-EXP((T0-t)*PertePVj)+'2027'!Pspv,1-EXP((T0-t)*PertePVj)+Pspv)</f>
        <v>3.4477195319254195E-2</v>
      </c>
      <c r="M347" s="836"/>
      <c r="N347" s="836"/>
      <c r="O347" s="48">
        <f>IF(t&lt;Tnet,'2027'!Resal+('2027'!Salim-'2027'!Resal)*(1-EXP(('2027'!Tnet-t)/('2027'!Tau_j))),Resal+(Salim-Resal)*(1-EXP((Tnet-t)/(Tau_j))))*Salcycl</f>
        <v>3.3012379200012251E-2</v>
      </c>
      <c r="P347" s="165">
        <f>(INDEX(Models!$BJ347:$BT347,,T347)*(1-R347)+INDEX(Models!$BJ347:$BT347,,T347+1)*R347-ERP_i)*Q347*Ramure*Pc/MaxiM</f>
        <v>2.1456207556034588E-2</v>
      </c>
      <c r="Q347" s="301">
        <f t="shared" si="130"/>
        <v>0.5</v>
      </c>
      <c r="R347" s="173">
        <f t="shared" si="131"/>
        <v>0.49355583434213379</v>
      </c>
      <c r="S347" s="802">
        <f t="shared" si="132"/>
        <v>3</v>
      </c>
      <c r="T347" s="172">
        <f t="shared" si="133"/>
        <v>9</v>
      </c>
      <c r="U347" s="247">
        <f t="shared" si="134"/>
        <v>3.4935558343421338</v>
      </c>
      <c r="V347" s="378">
        <f t="shared" si="135"/>
        <v>18.486714454513411</v>
      </c>
      <c r="W347" s="397">
        <f t="shared" si="136"/>
        <v>10.165978115812164</v>
      </c>
      <c r="X347" s="153">
        <f t="shared" si="137"/>
        <v>47085</v>
      </c>
      <c r="Y347" s="380">
        <f t="shared" si="138"/>
        <v>9.9230958218650063</v>
      </c>
      <c r="Z347" s="380">
        <f t="shared" si="139"/>
        <v>10.277432882743893</v>
      </c>
      <c r="AA347" s="381">
        <f t="shared" si="140"/>
        <v>10.88844145301735</v>
      </c>
      <c r="AB347" s="193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5.61153378020081E-2</v>
      </c>
      <c r="AD347" s="227">
        <f>(INDEX(Models!$BJ347:$BT347,,AH347)*(1-AF347)+INDEX(Models!$BJ347:$BT347,,AH347+1)*AF347-ERP_i)*AE347*Ramure*Pc/MaxiM</f>
        <v>2.1456207556034588E-2</v>
      </c>
      <c r="AE347" s="301">
        <f t="shared" si="142"/>
        <v>0.5</v>
      </c>
      <c r="AF347" s="173">
        <f t="shared" si="143"/>
        <v>0.49355583434213379</v>
      </c>
      <c r="AG347" s="802">
        <f t="shared" si="149"/>
        <v>3</v>
      </c>
      <c r="AH347" s="172">
        <f t="shared" si="144"/>
        <v>9</v>
      </c>
      <c r="AI347" s="221">
        <f t="shared" si="145"/>
        <v>3.4935558343421338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47086</v>
      </c>
      <c r="B348" s="406">
        <f>'2027'!Wh/'2027'!Env_an*'2028'!Env_an</f>
        <v>4.3549310112710709</v>
      </c>
      <c r="C348" s="832"/>
      <c r="D348" s="388">
        <f t="shared" si="127"/>
        <v>4.5105000175273968</v>
      </c>
      <c r="E348" s="380">
        <f t="shared" si="125"/>
        <v>4.6646337923764198</v>
      </c>
      <c r="F348" s="380">
        <f t="shared" si="128"/>
        <v>4.6646337923764198</v>
      </c>
      <c r="G348" s="110">
        <f t="shared" si="126"/>
        <v>0.23332910279816643</v>
      </c>
      <c r="H348" s="409" t="b">
        <f>Wh_hp&gt;='2027'!Maxi_hp</f>
        <v>0</v>
      </c>
      <c r="I348" s="385">
        <f>IF(H348,Wh_hp,'2027'!Maxi_hp)</f>
        <v>4.7530492210096416</v>
      </c>
      <c r="J348" s="85">
        <f>IF(H348,An,'2027'!An_max)</f>
        <v>2022</v>
      </c>
      <c r="K348" s="193">
        <f t="shared" si="129"/>
        <v>47086</v>
      </c>
      <c r="L348" s="143">
        <f>IF(t&lt;Tvie,1-EXP((T0-t)*PertePVj)+'2027'!Pspv,1-EXP((T0-t)*PertePVj)+Pspv)</f>
        <v>3.4490412515641111E-2</v>
      </c>
      <c r="M348" s="836"/>
      <c r="N348" s="836"/>
      <c r="O348" s="48">
        <f>IF(t&lt;Tnet,'2027'!Resal+('2027'!Salim-'2027'!Resal)*(1-EXP(('2027'!Tnet-t)/('2027'!Tau_j))),Resal+(Salim-Resal)*(1-EXP((Tnet-t)/(Tau_j))))*Salcycl</f>
        <v>3.3043060122089123E-2</v>
      </c>
      <c r="P348" s="165">
        <f>(INDEX(Models!$BJ348:$BT348,,T348)*(1-R348)+INDEX(Models!$BJ348:$BT348,,T348+1)*R348-ERP_i)*Q348*Ramure*Pc/MaxiM</f>
        <v>2.1482936059316338E-2</v>
      </c>
      <c r="Q348" s="301">
        <f t="shared" si="130"/>
        <v>0.5</v>
      </c>
      <c r="R348" s="173">
        <f t="shared" si="131"/>
        <v>0.49357297750734253</v>
      </c>
      <c r="S348" s="802">
        <f t="shared" si="132"/>
        <v>3</v>
      </c>
      <c r="T348" s="172">
        <f t="shared" si="133"/>
        <v>9</v>
      </c>
      <c r="U348" s="247">
        <f t="shared" si="134"/>
        <v>3.4935729775073425</v>
      </c>
      <c r="V348" s="378">
        <f t="shared" si="135"/>
        <v>18.263363874070013</v>
      </c>
      <c r="W348" s="397">
        <f t="shared" si="136"/>
        <v>4.3549310112710709</v>
      </c>
      <c r="X348" s="153">
        <f t="shared" si="137"/>
        <v>47086</v>
      </c>
      <c r="Y348" s="380">
        <f t="shared" si="138"/>
        <v>4.2510158858057965</v>
      </c>
      <c r="Z348" s="380">
        <f t="shared" si="139"/>
        <v>4.4028727843934146</v>
      </c>
      <c r="AA348" s="381">
        <f t="shared" si="140"/>
        <v>4.6646337923764198</v>
      </c>
      <c r="AB348" s="193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5.6116089629760599E-2</v>
      </c>
      <c r="AD348" s="227">
        <f>(INDEX(Models!$BJ348:$BT348,,AH348)*(1-AF348)+INDEX(Models!$BJ348:$BT348,,AH348+1)*AF348-ERP_i)*AE348*Ramure*Pc/MaxiM</f>
        <v>2.1482936059316338E-2</v>
      </c>
      <c r="AE348" s="301">
        <f t="shared" si="142"/>
        <v>0.5</v>
      </c>
      <c r="AF348" s="173">
        <f t="shared" si="143"/>
        <v>0.49357297750734253</v>
      </c>
      <c r="AG348" s="802">
        <f t="shared" si="149"/>
        <v>3</v>
      </c>
      <c r="AH348" s="172">
        <f t="shared" si="144"/>
        <v>9</v>
      </c>
      <c r="AI348" s="221">
        <f t="shared" si="145"/>
        <v>3.4935729775073425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47087</v>
      </c>
      <c r="B349" s="406">
        <f>'2027'!Wh/'2027'!Env_an*'2028'!Env_an</f>
        <v>4.1095393165851455</v>
      </c>
      <c r="C349" s="832"/>
      <c r="D349" s="388">
        <f t="shared" si="127"/>
        <v>4.2564005855240046</v>
      </c>
      <c r="E349" s="380">
        <f t="shared" si="125"/>
        <v>4.4019932654092138</v>
      </c>
      <c r="F349" s="380">
        <f t="shared" si="128"/>
        <v>4.4019932654092138</v>
      </c>
      <c r="G349" s="110">
        <f t="shared" si="126"/>
        <v>0.22285183674958997</v>
      </c>
      <c r="H349" s="409" t="b">
        <f>Wh_hp&gt;='2027'!Maxi_hp</f>
        <v>0</v>
      </c>
      <c r="I349" s="385">
        <f>IF(H349,Wh_hp,'2027'!Maxi_hp)</f>
        <v>4.4857659812276731</v>
      </c>
      <c r="J349" s="85">
        <f>IF(H349,An,'2027'!An_max)</f>
        <v>2022</v>
      </c>
      <c r="K349" s="193">
        <f t="shared" si="129"/>
        <v>47087</v>
      </c>
      <c r="L349" s="143">
        <f>IF(t&lt;Tvie,1-EXP((T0-t)*PertePVj)+'2027'!Pspv,1-EXP((T0-t)*PertePVj)+Pspv)</f>
        <v>3.4503629531095759E-2</v>
      </c>
      <c r="M349" s="836"/>
      <c r="N349" s="836"/>
      <c r="O349" s="48">
        <f>IF(t&lt;Tnet,'2027'!Resal+('2027'!Salim-'2027'!Resal)*(1-EXP(('2027'!Tnet-t)/('2027'!Tau_j))),Resal+(Salim-Resal)*(1-EXP((Tnet-t)/(Tau_j))))*Salcycl</f>
        <v>3.3074262295963448E-2</v>
      </c>
      <c r="P349" s="165">
        <f>(INDEX(Models!$BJ349:$BT349,,T349)*(1-R349)+INDEX(Models!$BJ349:$BT349,,T349+1)*R349-ERP_i)*Q349*Ramure*Pc/MaxiM</f>
        <v>2.1536734230843138E-2</v>
      </c>
      <c r="Q349" s="301">
        <f t="shared" si="130"/>
        <v>0.5</v>
      </c>
      <c r="R349" s="173">
        <f t="shared" si="131"/>
        <v>0.49358943154351831</v>
      </c>
      <c r="S349" s="802">
        <f t="shared" si="132"/>
        <v>3</v>
      </c>
      <c r="T349" s="172">
        <f t="shared" si="133"/>
        <v>9</v>
      </c>
      <c r="U349" s="247">
        <f t="shared" si="134"/>
        <v>3.4935894315435183</v>
      </c>
      <c r="V349" s="378">
        <f t="shared" si="135"/>
        <v>18.043527570432058</v>
      </c>
      <c r="W349" s="397">
        <f t="shared" si="136"/>
        <v>4.1095393165851455</v>
      </c>
      <c r="X349" s="153">
        <f t="shared" si="137"/>
        <v>47087</v>
      </c>
      <c r="Y349" s="380">
        <f t="shared" si="138"/>
        <v>4.0116017299018685</v>
      </c>
      <c r="Z349" s="380">
        <f t="shared" si="139"/>
        <v>4.1549630351832274</v>
      </c>
      <c r="AA349" s="381">
        <f t="shared" si="140"/>
        <v>4.4019932654092138</v>
      </c>
      <c r="AB349" s="193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5.61178119392289E-2</v>
      </c>
      <c r="AD349" s="227">
        <f>(INDEX(Models!$BJ349:$BT349,,AH349)*(1-AF349)+INDEX(Models!$BJ349:$BT349,,AH349+1)*AF349-ERP_i)*AE349*Ramure*Pc/MaxiM</f>
        <v>2.1536734230843138E-2</v>
      </c>
      <c r="AE349" s="301">
        <f t="shared" si="142"/>
        <v>0.5</v>
      </c>
      <c r="AF349" s="173">
        <f t="shared" si="143"/>
        <v>0.49358943154351831</v>
      </c>
      <c r="AG349" s="802">
        <f t="shared" si="149"/>
        <v>3</v>
      </c>
      <c r="AH349" s="172">
        <f t="shared" si="144"/>
        <v>9</v>
      </c>
      <c r="AI349" s="221">
        <f t="shared" si="145"/>
        <v>3.4935894315435183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47088</v>
      </c>
      <c r="B350" s="406">
        <f>'2027'!Wh/'2027'!Env_an*'2028'!Env_an</f>
        <v>5.2432425083130569</v>
      </c>
      <c r="C350" s="832"/>
      <c r="D350" s="388">
        <f t="shared" si="127"/>
        <v>5.4306929008298681</v>
      </c>
      <c r="E350" s="380">
        <f t="shared" si="125"/>
        <v>5.6166371923972855</v>
      </c>
      <c r="F350" s="380">
        <f t="shared" si="128"/>
        <v>5.6166371923972855</v>
      </c>
      <c r="G350" s="110">
        <f t="shared" si="126"/>
        <v>0.28774022558636808</v>
      </c>
      <c r="H350" s="409" t="b">
        <f>Wh_hp&gt;='2027'!Maxi_hp</f>
        <v>0</v>
      </c>
      <c r="I350" s="385">
        <f>IF(H350,Wh_hp,'2027'!Maxi_hp)</f>
        <v>5.724087583959065</v>
      </c>
      <c r="J350" s="85">
        <f>IF(H350,An,'2027'!An_max)</f>
        <v>2022</v>
      </c>
      <c r="K350" s="193">
        <f t="shared" si="129"/>
        <v>47088</v>
      </c>
      <c r="L350" s="143">
        <f>IF(t&lt;Tvie,1-EXP((T0-t)*PertePVj)+'2027'!Pspv,1-EXP((T0-t)*PertePVj)+Pspv)</f>
        <v>3.4516846365620579E-2</v>
      </c>
      <c r="M350" s="836"/>
      <c r="N350" s="836"/>
      <c r="O350" s="48">
        <f>IF(t&lt;Tnet,'2027'!Resal+('2027'!Salim-'2027'!Resal)*(1-EXP(('2027'!Tnet-t)/('2027'!Tau_j))),Resal+(Salim-Resal)*(1-EXP((Tnet-t)/(Tau_j))))*Salcycl</f>
        <v>3.3105982316093394E-2</v>
      </c>
      <c r="P350" s="165">
        <f>(INDEX(Models!$BJ350:$BT350,,T350)*(1-R350)+INDEX(Models!$BJ350:$BT350,,T350+1)*R350-ERP_i)*Q350*Ramure*Pc/MaxiM</f>
        <v>2.1616927480083873E-2</v>
      </c>
      <c r="Q350" s="301">
        <f t="shared" si="130"/>
        <v>0.5</v>
      </c>
      <c r="R350" s="173">
        <f t="shared" si="131"/>
        <v>0.49360522410994001</v>
      </c>
      <c r="S350" s="802">
        <f t="shared" si="132"/>
        <v>3</v>
      </c>
      <c r="T350" s="172">
        <f t="shared" si="133"/>
        <v>9</v>
      </c>
      <c r="U350" s="247">
        <f t="shared" si="134"/>
        <v>3.49360522410994</v>
      </c>
      <c r="V350" s="378">
        <f t="shared" si="135"/>
        <v>17.828232756808521</v>
      </c>
      <c r="W350" s="397">
        <f t="shared" si="136"/>
        <v>5.2432425083130569</v>
      </c>
      <c r="X350" s="153">
        <f t="shared" si="137"/>
        <v>47088</v>
      </c>
      <c r="Y350" s="380">
        <f t="shared" si="138"/>
        <v>5.1184401258199239</v>
      </c>
      <c r="Z350" s="380">
        <f t="shared" si="139"/>
        <v>5.3014287266976341</v>
      </c>
      <c r="AA350" s="381">
        <f t="shared" si="140"/>
        <v>5.6166371923972855</v>
      </c>
      <c r="AB350" s="193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5.6120496108653668E-2</v>
      </c>
      <c r="AD350" s="227">
        <f>(INDEX(Models!$BJ350:$BT350,,AH350)*(1-AF350)+INDEX(Models!$BJ350:$BT350,,AH350+1)*AF350-ERP_i)*AE350*Ramure*Pc/MaxiM</f>
        <v>2.1616927480083873E-2</v>
      </c>
      <c r="AE350" s="301">
        <f t="shared" si="142"/>
        <v>0.5</v>
      </c>
      <c r="AF350" s="173">
        <f t="shared" si="143"/>
        <v>0.49360522410994001</v>
      </c>
      <c r="AG350" s="802">
        <f t="shared" si="149"/>
        <v>3</v>
      </c>
      <c r="AH350" s="172">
        <f t="shared" si="144"/>
        <v>9</v>
      </c>
      <c r="AI350" s="221">
        <f t="shared" si="145"/>
        <v>3.49360522410994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47089</v>
      </c>
      <c r="B351" s="406">
        <f>'2027'!Wh/'2027'!Env_an*'2028'!Env_an</f>
        <v>9.4287027369209362</v>
      </c>
      <c r="C351" s="832"/>
      <c r="D351" s="388">
        <f t="shared" si="127"/>
        <v>9.7659205903462709</v>
      </c>
      <c r="E351" s="380">
        <f t="shared" si="125"/>
        <v>10.100637693033514</v>
      </c>
      <c r="F351" s="380">
        <f t="shared" si="128"/>
        <v>10.174889742904018</v>
      </c>
      <c r="G351" s="110">
        <f t="shared" si="126"/>
        <v>0.52738251481882448</v>
      </c>
      <c r="H351" s="409" t="b">
        <f>Wh_hp&gt;='2027'!Maxi_hp</f>
        <v>0</v>
      </c>
      <c r="I351" s="385">
        <f>IF(H351,Wh_hp,'2027'!Maxi_hp)</f>
        <v>10.305110354856382</v>
      </c>
      <c r="J351" s="85">
        <f>IF(H351,An,'2027'!An_max)</f>
        <v>2022</v>
      </c>
      <c r="K351" s="193">
        <f t="shared" si="129"/>
        <v>47089</v>
      </c>
      <c r="L351" s="143">
        <f>IF(t&lt;Tvie,1-EXP((T0-t)*PertePVj)+'2027'!Pspv,1-EXP((T0-t)*PertePVj)+Pspv)</f>
        <v>3.4530063019218016E-2</v>
      </c>
      <c r="M351" s="836"/>
      <c r="N351" s="836"/>
      <c r="O351" s="48">
        <f>IF(t&lt;Tnet,'2027'!Resal+('2027'!Salim-'2027'!Resal)*(1-EXP(('2027'!Tnet-t)/('2027'!Tau_j))),Resal+(Salim-Resal)*(1-EXP((Tnet-t)/(Tau_j))))*Salcycl</f>
        <v>3.3138214918658093E-2</v>
      </c>
      <c r="P351" s="165">
        <f>(INDEX(Models!$BJ351:$BT351,,T351)*(1-R351)+INDEX(Models!$BJ351:$BT351,,T351+1)*R351-ERP_i)*Q351*Ramure*Pc/MaxiM</f>
        <v>2.1722765228060072E-2</v>
      </c>
      <c r="Q351" s="301">
        <f t="shared" si="130"/>
        <v>0.5</v>
      </c>
      <c r="R351" s="173">
        <f t="shared" si="131"/>
        <v>0.4936203817591025</v>
      </c>
      <c r="S351" s="802">
        <f t="shared" si="132"/>
        <v>3</v>
      </c>
      <c r="T351" s="172">
        <f t="shared" si="133"/>
        <v>9</v>
      </c>
      <c r="U351" s="247">
        <f t="shared" si="134"/>
        <v>3.4936203817591025</v>
      </c>
      <c r="V351" s="378">
        <f t="shared" si="135"/>
        <v>17.618506162243861</v>
      </c>
      <c r="W351" s="397">
        <f t="shared" si="136"/>
        <v>9.4287027369209362</v>
      </c>
      <c r="X351" s="153">
        <f t="shared" si="137"/>
        <v>47089</v>
      </c>
      <c r="Y351" s="380">
        <f t="shared" si="138"/>
        <v>9.2045472602566125</v>
      </c>
      <c r="Z351" s="380">
        <f t="shared" si="139"/>
        <v>9.533748185925992</v>
      </c>
      <c r="AA351" s="381">
        <f t="shared" si="140"/>
        <v>10.100637693033514</v>
      </c>
      <c r="AB351" s="193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5.6124130409955099E-2</v>
      </c>
      <c r="AD351" s="227">
        <f>(INDEX(Models!$BJ351:$BT351,,AH351)*(1-AF351)+INDEX(Models!$BJ351:$BT351,,AH351+1)*AF351-ERP_i)*AE351*Ramure*Pc/MaxiM</f>
        <v>2.1722765228060072E-2</v>
      </c>
      <c r="AE351" s="301">
        <f t="shared" si="142"/>
        <v>0.5</v>
      </c>
      <c r="AF351" s="173">
        <f t="shared" si="143"/>
        <v>0.4936203817591025</v>
      </c>
      <c r="AG351" s="802">
        <f t="shared" si="149"/>
        <v>3</v>
      </c>
      <c r="AH351" s="172">
        <f t="shared" si="144"/>
        <v>9</v>
      </c>
      <c r="AI351" s="221">
        <f t="shared" si="145"/>
        <v>3.4936203817591025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47090</v>
      </c>
      <c r="B352" s="406">
        <f>'2027'!Wh/'2027'!Env_an*'2028'!Env_an</f>
        <v>12.606412219225259</v>
      </c>
      <c r="C352" s="832"/>
      <c r="D352" s="388">
        <f t="shared" si="127"/>
        <v>13.057459699064129</v>
      </c>
      <c r="E352" s="380">
        <f t="shared" si="125"/>
        <v>13.505448290348085</v>
      </c>
      <c r="F352" s="380">
        <f t="shared" si="128"/>
        <v>13.68657043189067</v>
      </c>
      <c r="G352" s="110">
        <f t="shared" si="126"/>
        <v>0.71754357165181748</v>
      </c>
      <c r="H352" s="409" t="b">
        <f>Wh_hp&gt;='2027'!Maxi_hp</f>
        <v>0</v>
      </c>
      <c r="I352" s="385">
        <f>IF(H352,Wh_hp,'2027'!Maxi_hp)</f>
        <v>13.791486870148061</v>
      </c>
      <c r="J352" s="85">
        <f>IF(H352,An,'2027'!An_max)</f>
        <v>2022</v>
      </c>
      <c r="K352" s="193">
        <f t="shared" si="129"/>
        <v>47090</v>
      </c>
      <c r="L352" s="143">
        <f>IF(t&lt;Tvie,1-EXP((T0-t)*PertePVj)+'2027'!Pspv,1-EXP((T0-t)*PertePVj)+Pspv)</f>
        <v>3.4543279491890622E-2</v>
      </c>
      <c r="M352" s="836"/>
      <c r="N352" s="836"/>
      <c r="O352" s="48">
        <f>IF(t&lt;Tnet,'2027'!Resal+('2027'!Salim-'2027'!Resal)*(1-EXP(('2027'!Tnet-t)/('2027'!Tau_j))),Resal+(Salim-Resal)*(1-EXP((Tnet-t)/(Tau_j))))*Salcycl</f>
        <v>3.3170953059301206E-2</v>
      </c>
      <c r="P352" s="165">
        <f>(INDEX(Models!$BJ352:$BT352,,T352)*(1-R352)+INDEX(Models!$BJ352:$BT352,,T352+1)*R352-ERP_i)*Q352*Ramure*Pc/MaxiM</f>
        <v>2.185468289282376E-2</v>
      </c>
      <c r="Q352" s="301">
        <f t="shared" si="130"/>
        <v>0.5</v>
      </c>
      <c r="R352" s="173">
        <f t="shared" si="131"/>
        <v>0.49363492998073788</v>
      </c>
      <c r="S352" s="802">
        <f t="shared" si="132"/>
        <v>3</v>
      </c>
      <c r="T352" s="172">
        <f t="shared" si="133"/>
        <v>9</v>
      </c>
      <c r="U352" s="247">
        <f t="shared" si="134"/>
        <v>3.4936349299807379</v>
      </c>
      <c r="V352" s="378">
        <f t="shared" si="135"/>
        <v>17.415351258352668</v>
      </c>
      <c r="W352" s="397">
        <f t="shared" si="136"/>
        <v>12.606412219225259</v>
      </c>
      <c r="X352" s="153">
        <f t="shared" si="137"/>
        <v>47090</v>
      </c>
      <c r="Y352" s="380">
        <f t="shared" si="138"/>
        <v>12.307067857966636</v>
      </c>
      <c r="Z352" s="380">
        <f t="shared" si="139"/>
        <v>12.747405032811372</v>
      </c>
      <c r="AA352" s="381">
        <f t="shared" si="140"/>
        <v>13.505448290348085</v>
      </c>
      <c r="AB352" s="193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5.6128700154178701E-2</v>
      </c>
      <c r="AD352" s="227">
        <f>(INDEX(Models!$BJ352:$BT352,,AH352)*(1-AF352)+INDEX(Models!$BJ352:$BT352,,AH352+1)*AF352-ERP_i)*AE352*Ramure*Pc/MaxiM</f>
        <v>2.185468289282376E-2</v>
      </c>
      <c r="AE352" s="301">
        <f t="shared" si="142"/>
        <v>0.5</v>
      </c>
      <c r="AF352" s="173">
        <f t="shared" si="143"/>
        <v>0.49363492998073788</v>
      </c>
      <c r="AG352" s="802">
        <f t="shared" si="149"/>
        <v>3</v>
      </c>
      <c r="AH352" s="172">
        <f t="shared" si="144"/>
        <v>9</v>
      </c>
      <c r="AI352" s="221">
        <f t="shared" si="145"/>
        <v>3.4936349299807379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47091</v>
      </c>
      <c r="B353" s="406">
        <f>'2027'!Wh/'2027'!Env_an*'2028'!Env_an</f>
        <v>17.468126855812493</v>
      </c>
      <c r="C353" s="832"/>
      <c r="D353" s="388">
        <f t="shared" si="127"/>
        <v>18.093370331380701</v>
      </c>
      <c r="E353" s="380">
        <f t="shared" si="125"/>
        <v>18.714779384454815</v>
      </c>
      <c r="F353" s="380">
        <f t="shared" si="128"/>
        <v>19.135643499951627</v>
      </c>
      <c r="G353" s="110">
        <f t="shared" si="126"/>
        <v>1.0144026581276955</v>
      </c>
      <c r="H353" s="409" t="b">
        <f>Wh_hp&gt;='2027'!Maxi_hp</f>
        <v>1</v>
      </c>
      <c r="I353" s="385">
        <f>IF(H353,Wh_hp,'2027'!Maxi_hp)</f>
        <v>19.135643499951627</v>
      </c>
      <c r="J353" s="85">
        <f>IF(H353,An,'2027'!An_max)</f>
        <v>2028</v>
      </c>
      <c r="K353" s="193">
        <f t="shared" si="129"/>
        <v>47091</v>
      </c>
      <c r="L353" s="143">
        <f>IF(t&lt;Tvie,1-EXP((T0-t)*PertePVj)+'2027'!Pspv,1-EXP((T0-t)*PertePVj)+Pspv)</f>
        <v>3.4556495783640728E-2</v>
      </c>
      <c r="M353" s="836"/>
      <c r="N353" s="836"/>
      <c r="O353" s="48">
        <f>IF(t&lt;Tnet,'2027'!Resal+('2027'!Salim-'2027'!Resal)*(1-EXP(('2027'!Tnet-t)/('2027'!Tau_j))),Resal+(Salim-Resal)*(1-EXP((Tnet-t)/(Tau_j))))*Salcycl</f>
        <v>3.3204188000756182E-2</v>
      </c>
      <c r="P353" s="165">
        <f>(INDEX(Models!$BJ353:$BT353,,T353)*(1-R353)+INDEX(Models!$BJ353:$BT353,,T353+1)*R353-ERP_i)*Q353*Ramure*Pc/MaxiM</f>
        <v>2.1993726811323364E-2</v>
      </c>
      <c r="Q353" s="301">
        <f t="shared" si="130"/>
        <v>0.5</v>
      </c>
      <c r="R353" s="173">
        <f t="shared" si="131"/>
        <v>0.49364889324410655</v>
      </c>
      <c r="S353" s="802">
        <f t="shared" si="132"/>
        <v>3</v>
      </c>
      <c r="T353" s="172">
        <f t="shared" si="133"/>
        <v>9</v>
      </c>
      <c r="U353" s="247">
        <f t="shared" si="134"/>
        <v>3.4936488932441065</v>
      </c>
      <c r="V353" s="378">
        <f t="shared" si="135"/>
        <v>17.220111477284362</v>
      </c>
      <c r="W353" s="397">
        <f t="shared" si="136"/>
        <v>17.468126855812493</v>
      </c>
      <c r="X353" s="153">
        <f t="shared" si="137"/>
        <v>47091</v>
      </c>
      <c r="Y353" s="380">
        <f t="shared" si="138"/>
        <v>17.053826192479292</v>
      </c>
      <c r="Z353" s="380">
        <f t="shared" si="139"/>
        <v>17.664240442864351</v>
      </c>
      <c r="AA353" s="381">
        <f t="shared" si="140"/>
        <v>18.714779384454815</v>
      </c>
      <c r="AB353" s="193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5.6134187852787655E-2</v>
      </c>
      <c r="AD353" s="227">
        <f>(INDEX(Models!$BJ353:$BT353,,AH353)*(1-AF353)+INDEX(Models!$BJ353:$BT353,,AH353+1)*AF353-ERP_i)*AE353*Ramure*Pc/MaxiM</f>
        <v>2.1993726811323364E-2</v>
      </c>
      <c r="AE353" s="301">
        <f t="shared" si="142"/>
        <v>0.5</v>
      </c>
      <c r="AF353" s="173">
        <f t="shared" si="143"/>
        <v>0.49364889324410655</v>
      </c>
      <c r="AG353" s="802">
        <f t="shared" si="149"/>
        <v>3</v>
      </c>
      <c r="AH353" s="172">
        <f t="shared" si="144"/>
        <v>9</v>
      </c>
      <c r="AI353" s="221">
        <f t="shared" si="145"/>
        <v>3.4936488932441065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47092</v>
      </c>
      <c r="B354" s="406">
        <f>'2027'!Wh/'2027'!Env_an*'2028'!Env_an</f>
        <v>11.409207215198867</v>
      </c>
      <c r="C354" s="832"/>
      <c r="D354" s="388">
        <f t="shared" si="127"/>
        <v>11.817743192610248</v>
      </c>
      <c r="E354" s="380">
        <f t="shared" si="125"/>
        <v>12.224044889258085</v>
      </c>
      <c r="F354" s="380">
        <f t="shared" si="128"/>
        <v>12.368701323180616</v>
      </c>
      <c r="G354" s="110">
        <f t="shared" si="126"/>
        <v>0.6627202348118103</v>
      </c>
      <c r="H354" s="409" t="b">
        <f>Wh_hp&gt;='2027'!Maxi_hp</f>
        <v>0</v>
      </c>
      <c r="I354" s="385">
        <f>IF(H354,Wh_hp,'2027'!Maxi_hp)</f>
        <v>12.483813947652854</v>
      </c>
      <c r="J354" s="85">
        <f>IF(H354,An,'2027'!An_max)</f>
        <v>2022</v>
      </c>
      <c r="K354" s="193">
        <f t="shared" si="129"/>
        <v>47092</v>
      </c>
      <c r="L354" s="143">
        <f>IF(t&lt;Tvie,1-EXP((T0-t)*PertePVj)+'2027'!Pspv,1-EXP((T0-t)*PertePVj)+Pspv)</f>
        <v>3.4569711894470889E-2</v>
      </c>
      <c r="M354" s="836"/>
      <c r="N354" s="836"/>
      <c r="O354" s="48">
        <f>IF(t&lt;Tnet,'2027'!Resal+('2027'!Salim-'2027'!Resal)*(1-EXP(('2027'!Tnet-t)/('2027'!Tau_j))),Resal+(Salim-Resal)*(1-EXP((Tnet-t)/(Tau_j))))*Salcycl</f>
        <v>3.3237909409583009E-2</v>
      </c>
      <c r="P354" s="165">
        <f>(INDEX(Models!$BJ354:$BT354,,T354)*(1-R354)+INDEX(Models!$BJ354:$BT354,,T354+1)*R354-ERP_i)*Q354*Ramure*Pc/MaxiM</f>
        <v>2.2138459677621167E-2</v>
      </c>
      <c r="Q354" s="301">
        <f t="shared" si="130"/>
        <v>0.5</v>
      </c>
      <c r="R354" s="173">
        <f t="shared" si="131"/>
        <v>0.49366229503862957</v>
      </c>
      <c r="S354" s="802">
        <f t="shared" si="132"/>
        <v>3</v>
      </c>
      <c r="T354" s="172">
        <f t="shared" si="133"/>
        <v>9</v>
      </c>
      <c r="U354" s="247">
        <f t="shared" si="134"/>
        <v>3.4936622950386296</v>
      </c>
      <c r="V354" s="378">
        <f t="shared" si="135"/>
        <v>17.033808821559024</v>
      </c>
      <c r="W354" s="397">
        <f t="shared" si="136"/>
        <v>11.409207215198867</v>
      </c>
      <c r="X354" s="153">
        <f t="shared" si="137"/>
        <v>47092</v>
      </c>
      <c r="Y354" s="380">
        <f t="shared" si="138"/>
        <v>11.138922269487013</v>
      </c>
      <c r="Z354" s="380">
        <f t="shared" si="139"/>
        <v>11.5377799999884</v>
      </c>
      <c r="AA354" s="381">
        <f t="shared" si="140"/>
        <v>12.224044889258085</v>
      </c>
      <c r="AB354" s="193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5.6140573393406182E-2</v>
      </c>
      <c r="AD354" s="227">
        <f>(INDEX(Models!$BJ354:$BT354,,AH354)*(1-AF354)+INDEX(Models!$BJ354:$BT354,,AH354+1)*AF354-ERP_i)*AE354*Ramure*Pc/MaxiM</f>
        <v>2.2138459677621167E-2</v>
      </c>
      <c r="AE354" s="301">
        <f t="shared" si="142"/>
        <v>0.5</v>
      </c>
      <c r="AF354" s="173">
        <f t="shared" si="143"/>
        <v>0.49366229503862957</v>
      </c>
      <c r="AG354" s="802">
        <f t="shared" si="149"/>
        <v>3</v>
      </c>
      <c r="AH354" s="172">
        <f t="shared" si="144"/>
        <v>9</v>
      </c>
      <c r="AI354" s="221">
        <f t="shared" si="145"/>
        <v>3.4936622950386296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47093</v>
      </c>
      <c r="B355" s="406">
        <f>'2027'!Wh/'2027'!Env_an*'2028'!Env_an</f>
        <v>13.994566041791318</v>
      </c>
      <c r="C355" s="832"/>
      <c r="D355" s="388">
        <f t="shared" si="127"/>
        <v>14.49587587078179</v>
      </c>
      <c r="E355" s="380">
        <f t="shared" si="125"/>
        <v>14.994783902141444</v>
      </c>
      <c r="F355" s="380">
        <f t="shared" si="128"/>
        <v>15.252243478418842</v>
      </c>
      <c r="G355" s="110">
        <f t="shared" si="126"/>
        <v>0.8256042675493378</v>
      </c>
      <c r="H355" s="409" t="b">
        <f>Wh_hp&gt;='2027'!Maxi_hp</f>
        <v>0</v>
      </c>
      <c r="I355" s="385">
        <f>IF(H355,Wh_hp,'2027'!Maxi_hp)</f>
        <v>15.32586816121578</v>
      </c>
      <c r="J355" s="85">
        <f>IF(H355,An,'2027'!An_max)</f>
        <v>2022</v>
      </c>
      <c r="K355" s="193">
        <f t="shared" si="129"/>
        <v>47093</v>
      </c>
      <c r="L355" s="143">
        <f>IF(t&lt;Tvie,1-EXP((T0-t)*PertePVj)+'2027'!Pspv,1-EXP((T0-t)*PertePVj)+Pspv)</f>
        <v>3.4582927824383658E-2</v>
      </c>
      <c r="M355" s="836"/>
      <c r="N355" s="836"/>
      <c r="O355" s="48">
        <f>IF(t&lt;Tnet,'2027'!Resal+('2027'!Salim-'2027'!Resal)*(1-EXP(('2027'!Tnet-t)/('2027'!Tau_j))),Resal+(Salim-Resal)*(1-EXP((Tnet-t)/(Tau_j))))*Salcycl</f>
        <v>3.3272105461179993E-2</v>
      </c>
      <c r="P355" s="165">
        <f>(INDEX(Models!$BJ355:$BT355,,T355)*(1-R355)+INDEX(Models!$BJ355:$BT355,,T355+1)*R355-ERP_i)*Q355*Ramure*Pc/MaxiM</f>
        <v>2.228732802646783E-2</v>
      </c>
      <c r="Q355" s="301">
        <f t="shared" si="130"/>
        <v>0.5</v>
      </c>
      <c r="R355" s="173">
        <f t="shared" si="131"/>
        <v>0.49367515791291483</v>
      </c>
      <c r="S355" s="802">
        <f t="shared" si="132"/>
        <v>3</v>
      </c>
      <c r="T355" s="172">
        <f t="shared" si="133"/>
        <v>9</v>
      </c>
      <c r="U355" s="247">
        <f t="shared" si="134"/>
        <v>3.4936751579129148</v>
      </c>
      <c r="V355" s="378">
        <f t="shared" si="135"/>
        <v>16.857465092595074</v>
      </c>
      <c r="W355" s="397">
        <f t="shared" si="136"/>
        <v>13.994566041791318</v>
      </c>
      <c r="X355" s="153">
        <f t="shared" si="137"/>
        <v>47093</v>
      </c>
      <c r="Y355" s="380">
        <f t="shared" si="138"/>
        <v>13.66341195096898</v>
      </c>
      <c r="Z355" s="380">
        <f t="shared" si="139"/>
        <v>14.152859261311578</v>
      </c>
      <c r="AA355" s="381">
        <f t="shared" si="140"/>
        <v>14.994783902141444</v>
      </c>
      <c r="AB355" s="193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5.6147834228516581E-2</v>
      </c>
      <c r="AD355" s="227">
        <f>(INDEX(Models!$BJ355:$BT355,,AH355)*(1-AF355)+INDEX(Models!$BJ355:$BT355,,AH355+1)*AF355-ERP_i)*AE355*Ramure*Pc/MaxiM</f>
        <v>2.228732802646783E-2</v>
      </c>
      <c r="AE355" s="301">
        <f t="shared" si="142"/>
        <v>0.5</v>
      </c>
      <c r="AF355" s="173">
        <f t="shared" si="143"/>
        <v>0.49367515791291483</v>
      </c>
      <c r="AG355" s="802">
        <f t="shared" si="149"/>
        <v>3</v>
      </c>
      <c r="AH355" s="172">
        <f t="shared" si="144"/>
        <v>9</v>
      </c>
      <c r="AI355" s="221">
        <f t="shared" si="145"/>
        <v>3.4936751579129148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47094</v>
      </c>
      <c r="B356" s="406">
        <f>'2027'!Wh/'2027'!Env_an*'2028'!Env_an</f>
        <v>4.5081570050788446</v>
      </c>
      <c r="C356" s="832"/>
      <c r="D356" s="388">
        <f t="shared" si="127"/>
        <v>4.6697109971836062</v>
      </c>
      <c r="E356" s="380">
        <f t="shared" si="125"/>
        <v>4.8306027374768723</v>
      </c>
      <c r="F356" s="380">
        <f t="shared" si="128"/>
        <v>4.8306027374768723</v>
      </c>
      <c r="G356" s="110">
        <f t="shared" si="126"/>
        <v>0.26401707961526361</v>
      </c>
      <c r="H356" s="409" t="b">
        <f>Wh_hp&gt;='2027'!Maxi_hp</f>
        <v>0</v>
      </c>
      <c r="I356" s="385">
        <f>IF(H356,Wh_hp,'2027'!Maxi_hp)</f>
        <v>4.9272457155162224</v>
      </c>
      <c r="J356" s="85">
        <f>IF(H356,An,'2027'!An_max)</f>
        <v>2022</v>
      </c>
      <c r="K356" s="193">
        <f t="shared" si="129"/>
        <v>47094</v>
      </c>
      <c r="L356" s="143">
        <f>IF(t&lt;Tvie,1-EXP((T0-t)*PertePVj)+'2027'!Pspv,1-EXP((T0-t)*PertePVj)+Pspv)</f>
        <v>3.4596143573381366E-2</v>
      </c>
      <c r="M356" s="836"/>
      <c r="N356" s="836"/>
      <c r="O356" s="48">
        <f>IF(t&lt;Tnet,'2027'!Resal+('2027'!Salim-'2027'!Resal)*(1-EXP(('2027'!Tnet-t)/('2027'!Tau_j))),Resal+(Salim-Resal)*(1-EXP((Tnet-t)/(Tau_j))))*Salcycl</f>
        <v>3.3306762952174128E-2</v>
      </c>
      <c r="P356" s="165">
        <f>(INDEX(Models!$BJ356:$BT356,,T356)*(1-R356)+INDEX(Models!$BJ356:$BT356,,T356+1)*R356-ERP_i)*Q356*Ramure*Pc/MaxiM</f>
        <v>2.2438662591656475E-2</v>
      </c>
      <c r="Q356" s="301">
        <f t="shared" si="130"/>
        <v>0.5</v>
      </c>
      <c r="R356" s="173">
        <f t="shared" si="131"/>
        <v>0.49368750351224877</v>
      </c>
      <c r="S356" s="802">
        <f t="shared" si="132"/>
        <v>3</v>
      </c>
      <c r="T356" s="172">
        <f t="shared" si="133"/>
        <v>9</v>
      </c>
      <c r="U356" s="247">
        <f t="shared" si="134"/>
        <v>3.4936875035122488</v>
      </c>
      <c r="V356" s="378">
        <f t="shared" si="135"/>
        <v>16.69210188050609</v>
      </c>
      <c r="W356" s="397">
        <f t="shared" si="136"/>
        <v>4.5081570050788446</v>
      </c>
      <c r="X356" s="153">
        <f t="shared" si="137"/>
        <v>47094</v>
      </c>
      <c r="Y356" s="380">
        <f t="shared" si="138"/>
        <v>4.4016002415099251</v>
      </c>
      <c r="Z356" s="380">
        <f t="shared" si="139"/>
        <v>4.5593356730541457</v>
      </c>
      <c r="AA356" s="381">
        <f t="shared" si="140"/>
        <v>4.8306027374768723</v>
      </c>
      <c r="AB356" s="193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5.6155945575523614E-2</v>
      </c>
      <c r="AD356" s="227">
        <f>(INDEX(Models!$BJ356:$BT356,,AH356)*(1-AF356)+INDEX(Models!$BJ356:$BT356,,AH356+1)*AF356-ERP_i)*AE356*Ramure*Pc/MaxiM</f>
        <v>2.2438662591656475E-2</v>
      </c>
      <c r="AE356" s="301">
        <f t="shared" si="142"/>
        <v>0.5</v>
      </c>
      <c r="AF356" s="173">
        <f t="shared" si="143"/>
        <v>0.49368750351224877</v>
      </c>
      <c r="AG356" s="802">
        <f t="shared" si="149"/>
        <v>3</v>
      </c>
      <c r="AH356" s="172">
        <f t="shared" si="144"/>
        <v>9</v>
      </c>
      <c r="AI356" s="221">
        <f t="shared" si="145"/>
        <v>3.4936875035122488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47095</v>
      </c>
      <c r="B357" s="406">
        <f>'2027'!Wh/'2027'!Env_an*'2028'!Env_an</f>
        <v>7.5053407437414146</v>
      </c>
      <c r="C357" s="832"/>
      <c r="D357" s="388">
        <f t="shared" si="127"/>
        <v>7.7744080231260853</v>
      </c>
      <c r="E357" s="380">
        <f t="shared" si="125"/>
        <v>8.042562061077561</v>
      </c>
      <c r="F357" s="380">
        <f t="shared" si="128"/>
        <v>8.0826813643490265</v>
      </c>
      <c r="G357" s="110">
        <f t="shared" si="126"/>
        <v>0.44576451403377443</v>
      </c>
      <c r="H357" s="409" t="b">
        <f>Wh_hp&gt;='2027'!Maxi_hp</f>
        <v>0</v>
      </c>
      <c r="I357" s="385">
        <f>IF(H357,Wh_hp,'2027'!Maxi_hp)</f>
        <v>8.2098937851281431</v>
      </c>
      <c r="J357" s="85">
        <f>IF(H357,An,'2027'!An_max)</f>
        <v>2022</v>
      </c>
      <c r="K357" s="193">
        <f t="shared" si="129"/>
        <v>47095</v>
      </c>
      <c r="L357" s="143">
        <f>IF(t&lt;Tvie,1-EXP((T0-t)*PertePVj)+'2027'!Pspv,1-EXP((T0-t)*PertePVj)+Pspv)</f>
        <v>3.4609359141466678E-2</v>
      </c>
      <c r="M357" s="836"/>
      <c r="N357" s="836"/>
      <c r="O357" s="48">
        <f>IF(t&lt;Tnet,'2027'!Resal+('2027'!Salim-'2027'!Resal)*(1-EXP(('2027'!Tnet-t)/('2027'!Tau_j))),Resal+(Salim-Resal)*(1-EXP((Tnet-t)/(Tau_j))))*Salcycl</f>
        <v>3.3341867419242291E-2</v>
      </c>
      <c r="P357" s="165">
        <f>(INDEX(Models!$BJ357:$BT357,,T357)*(1-R357)+INDEX(Models!$BJ357:$BT357,,T357+1)*R357-ERP_i)*Q357*Ramure*Pc/MaxiM</f>
        <v>2.2590681656199211E-2</v>
      </c>
      <c r="Q357" s="301">
        <f t="shared" si="130"/>
        <v>0.5</v>
      </c>
      <c r="R357" s="173">
        <f t="shared" si="131"/>
        <v>0.49369935261460896</v>
      </c>
      <c r="S357" s="802">
        <f t="shared" si="132"/>
        <v>3</v>
      </c>
      <c r="T357" s="172">
        <f t="shared" si="133"/>
        <v>9</v>
      </c>
      <c r="U357" s="247">
        <f t="shared" si="134"/>
        <v>3.493699352614609</v>
      </c>
      <c r="V357" s="378">
        <f t="shared" si="135"/>
        <v>16.538740542027725</v>
      </c>
      <c r="W357" s="397">
        <f t="shared" si="136"/>
        <v>7.5053407437414146</v>
      </c>
      <c r="X357" s="153">
        <f t="shared" si="137"/>
        <v>47095</v>
      </c>
      <c r="Y357" s="380">
        <f t="shared" si="138"/>
        <v>7.3281379818278021</v>
      </c>
      <c r="Z357" s="380">
        <f t="shared" si="139"/>
        <v>7.5908525229857231</v>
      </c>
      <c r="AA357" s="381">
        <f t="shared" si="140"/>
        <v>8.042562061077561</v>
      </c>
      <c r="AB357" s="193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5.6164880626524749E-2</v>
      </c>
      <c r="AD357" s="227">
        <f>(INDEX(Models!$BJ357:$BT357,,AH357)*(1-AF357)+INDEX(Models!$BJ357:$BT357,,AH357+1)*AF357-ERP_i)*AE357*Ramure*Pc/MaxiM</f>
        <v>2.2590681656199211E-2</v>
      </c>
      <c r="AE357" s="301">
        <f t="shared" si="142"/>
        <v>0.5</v>
      </c>
      <c r="AF357" s="173">
        <f t="shared" si="143"/>
        <v>0.49369935261460896</v>
      </c>
      <c r="AG357" s="802">
        <f t="shared" si="149"/>
        <v>3</v>
      </c>
      <c r="AH357" s="172">
        <f t="shared" si="144"/>
        <v>9</v>
      </c>
      <c r="AI357" s="221">
        <f t="shared" si="145"/>
        <v>3.493699352614609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47096</v>
      </c>
      <c r="B358" s="406">
        <f>'2027'!Wh/'2027'!Env_an*'2028'!Env_an</f>
        <v>10.928320782908079</v>
      </c>
      <c r="C358" s="832"/>
      <c r="D358" s="388">
        <f t="shared" si="127"/>
        <v>11.320257232628144</v>
      </c>
      <c r="E358" s="380">
        <f t="shared" si="125"/>
        <v>11.711144836512183</v>
      </c>
      <c r="F358" s="380">
        <f t="shared" si="128"/>
        <v>11.852238540176304</v>
      </c>
      <c r="G358" s="110">
        <f t="shared" si="126"/>
        <v>0.65911681346154938</v>
      </c>
      <c r="H358" s="409" t="b">
        <f>Wh_hp&gt;='2027'!Maxi_hp</f>
        <v>0</v>
      </c>
      <c r="I358" s="385">
        <f>IF(H358,Wh_hp,'2027'!Maxi_hp)</f>
        <v>11.96710133124366</v>
      </c>
      <c r="J358" s="85">
        <f>IF(H358,An,'2027'!An_max)</f>
        <v>2022</v>
      </c>
      <c r="K358" s="193">
        <f t="shared" si="129"/>
        <v>47096</v>
      </c>
      <c r="L358" s="143">
        <f>IF(t&lt;Tvie,1-EXP((T0-t)*PertePVj)+'2027'!Pspv,1-EXP((T0-t)*PertePVj)+Pspv)</f>
        <v>3.4622574528641925E-2</v>
      </c>
      <c r="M358" s="836"/>
      <c r="N358" s="836"/>
      <c r="O358" s="48">
        <f>IF(t&lt;Tnet,'2027'!Resal+('2027'!Salim-'2027'!Resal)*(1-EXP(('2027'!Tnet-t)/('2027'!Tau_j))),Resal+(Salim-Resal)*(1-EXP((Tnet-t)/(Tau_j))))*Salcycl</f>
        <v>3.3377403263373365E-2</v>
      </c>
      <c r="P358" s="165">
        <f>(INDEX(Models!$BJ358:$BT358,,T358)*(1-R358)+INDEX(Models!$BJ358:$BT358,,T358+1)*R358-ERP_i)*Q358*Ramure*Pc/MaxiM</f>
        <v>2.2741497806516943E-2</v>
      </c>
      <c r="Q358" s="301">
        <f t="shared" si="130"/>
        <v>0.5</v>
      </c>
      <c r="R358" s="173">
        <f t="shared" si="131"/>
        <v>0.49371072516525327</v>
      </c>
      <c r="S358" s="802">
        <f t="shared" si="132"/>
        <v>3</v>
      </c>
      <c r="T358" s="172">
        <f t="shared" si="133"/>
        <v>9</v>
      </c>
      <c r="U358" s="247">
        <f t="shared" si="134"/>
        <v>3.4937107251652533</v>
      </c>
      <c r="V358" s="378">
        <f t="shared" si="135"/>
        <v>16.398402170438665</v>
      </c>
      <c r="W358" s="397">
        <f t="shared" si="136"/>
        <v>10.928320782908079</v>
      </c>
      <c r="X358" s="153">
        <f t="shared" si="137"/>
        <v>47096</v>
      </c>
      <c r="Y358" s="380">
        <f t="shared" si="138"/>
        <v>10.670582967358307</v>
      </c>
      <c r="Z358" s="380">
        <f t="shared" si="139"/>
        <v>11.053275833696086</v>
      </c>
      <c r="AA358" s="381">
        <f t="shared" si="140"/>
        <v>11.711144836512183</v>
      </c>
      <c r="AB358" s="193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5.6174610766066183E-2</v>
      </c>
      <c r="AD358" s="227">
        <f>(INDEX(Models!$BJ358:$BT358,,AH358)*(1-AF358)+INDEX(Models!$BJ358:$BT358,,AH358+1)*AF358-ERP_i)*AE358*Ramure*Pc/MaxiM</f>
        <v>2.2741497806516943E-2</v>
      </c>
      <c r="AE358" s="301">
        <f t="shared" si="142"/>
        <v>0.5</v>
      </c>
      <c r="AF358" s="173">
        <f t="shared" si="143"/>
        <v>0.49371072516525327</v>
      </c>
      <c r="AG358" s="802">
        <f t="shared" si="149"/>
        <v>3</v>
      </c>
      <c r="AH358" s="172">
        <f t="shared" si="144"/>
        <v>9</v>
      </c>
      <c r="AI358" s="221">
        <f t="shared" si="145"/>
        <v>3.4937107251652533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47097</v>
      </c>
      <c r="B359" s="406">
        <f>'2027'!Wh/'2027'!Env_an*'2028'!Env_an</f>
        <v>12.425814701695494</v>
      </c>
      <c r="C359" s="832"/>
      <c r="D359" s="388">
        <f t="shared" si="127"/>
        <v>12.8716339072518</v>
      </c>
      <c r="E359" s="380">
        <f t="shared" si="125"/>
        <v>13.316585697620384</v>
      </c>
      <c r="F359" s="380">
        <f t="shared" si="128"/>
        <v>13.521735478556709</v>
      </c>
      <c r="G359" s="110">
        <f t="shared" si="126"/>
        <v>0.75786299884955166</v>
      </c>
      <c r="H359" s="409" t="b">
        <f>Wh_hp&gt;='2027'!Maxi_hp</f>
        <v>0</v>
      </c>
      <c r="I359" s="385">
        <f>IF(H359,Wh_hp,'2027'!Maxi_hp)</f>
        <v>13.615221721331118</v>
      </c>
      <c r="J359" s="85">
        <f>IF(H359,An,'2027'!An_max)</f>
        <v>2022</v>
      </c>
      <c r="K359" s="193">
        <f t="shared" si="129"/>
        <v>47097</v>
      </c>
      <c r="L359" s="143">
        <f>IF(t&lt;Tvie,1-EXP((T0-t)*PertePVj)+'2027'!Pspv,1-EXP((T0-t)*PertePVj)+Pspv)</f>
        <v>3.463578973490955E-2</v>
      </c>
      <c r="M359" s="836"/>
      <c r="N359" s="836"/>
      <c r="O359" s="48">
        <f>IF(t&lt;Tnet,'2027'!Resal+('2027'!Salim-'2027'!Resal)*(1-EXP(('2027'!Tnet-t)/('2027'!Tau_j))),Resal+(Salim-Resal)*(1-EXP((Tnet-t)/(Tau_j))))*Salcycl</f>
        <v>3.3413353878546666E-2</v>
      </c>
      <c r="P359" s="165">
        <f>(INDEX(Models!$BJ359:$BT359,,T359)*(1-R359)+INDEX(Models!$BJ359:$BT359,,T359+1)*R359-ERP_i)*Q359*Ramure*Pc/MaxiM</f>
        <v>2.2895783039542181E-2</v>
      </c>
      <c r="Q359" s="301">
        <f t="shared" si="130"/>
        <v>0.5</v>
      </c>
      <c r="R359" s="173">
        <f t="shared" si="131"/>
        <v>0.49372164030994448</v>
      </c>
      <c r="S359" s="802">
        <f t="shared" si="132"/>
        <v>3</v>
      </c>
      <c r="T359" s="172">
        <f t="shared" si="133"/>
        <v>9</v>
      </c>
      <c r="U359" s="247">
        <f t="shared" si="134"/>
        <v>3.4937216403099445</v>
      </c>
      <c r="V359" s="378">
        <f t="shared" si="135"/>
        <v>16.267267338313388</v>
      </c>
      <c r="W359" s="397">
        <f t="shared" si="136"/>
        <v>12.425814701695494</v>
      </c>
      <c r="X359" s="153">
        <f t="shared" si="137"/>
        <v>47097</v>
      </c>
      <c r="Y359" s="380">
        <f t="shared" si="138"/>
        <v>12.133075741475308</v>
      </c>
      <c r="Z359" s="380">
        <f t="shared" si="139"/>
        <v>12.568391921369809</v>
      </c>
      <c r="AA359" s="381">
        <f t="shared" si="140"/>
        <v>13.316585697620384</v>
      </c>
      <c r="AB359" s="193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5.6185105795119331E-2</v>
      </c>
      <c r="AD359" s="227">
        <f>(INDEX(Models!$BJ359:$BT359,,AH359)*(1-AF359)+INDEX(Models!$BJ359:$BT359,,AH359+1)*AF359-ERP_i)*AE359*Ramure*Pc/MaxiM</f>
        <v>2.2895783039542181E-2</v>
      </c>
      <c r="AE359" s="301">
        <f t="shared" si="142"/>
        <v>0.5</v>
      </c>
      <c r="AF359" s="173">
        <f t="shared" si="143"/>
        <v>0.49372164030994448</v>
      </c>
      <c r="AG359" s="802">
        <f t="shared" si="149"/>
        <v>3</v>
      </c>
      <c r="AH359" s="172">
        <f t="shared" si="144"/>
        <v>9</v>
      </c>
      <c r="AI359" s="221">
        <f t="shared" si="145"/>
        <v>3.4937216403099445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47098</v>
      </c>
      <c r="B360" s="406">
        <f>'2027'!Wh/'2027'!Env_an*'2028'!Env_an</f>
        <v>5.6890714381038023</v>
      </c>
      <c r="C360" s="832"/>
      <c r="D360" s="388">
        <f t="shared" si="127"/>
        <v>5.8932672842907481</v>
      </c>
      <c r="E360" s="380">
        <f t="shared" si="125"/>
        <v>6.0972173876174187</v>
      </c>
      <c r="F360" s="380">
        <f t="shared" si="128"/>
        <v>6.1077698178896105</v>
      </c>
      <c r="G360" s="110">
        <f t="shared" si="126"/>
        <v>0.34491802576655106</v>
      </c>
      <c r="H360" s="409" t="b">
        <f>Wh_hp&gt;='2027'!Maxi_hp</f>
        <v>0</v>
      </c>
      <c r="I360" s="385">
        <f>IF(H360,Wh_hp,'2027'!Maxi_hp)</f>
        <v>6.2242364696996182</v>
      </c>
      <c r="J360" s="85">
        <f>IF(H360,An,'2027'!An_max)</f>
        <v>2022</v>
      </c>
      <c r="K360" s="193">
        <f t="shared" si="129"/>
        <v>47098</v>
      </c>
      <c r="L360" s="143">
        <f>IF(t&lt;Tvie,1-EXP((T0-t)*PertePVj)+'2027'!Pspv,1-EXP((T0-t)*PertePVj)+Pspv)</f>
        <v>3.4649004760272106E-2</v>
      </c>
      <c r="M360" s="836"/>
      <c r="N360" s="836"/>
      <c r="O360" s="48">
        <f>IF(t&lt;Tnet,'2027'!Resal+('2027'!Salim-'2027'!Resal)*(1-EXP(('2027'!Tnet-t)/('2027'!Tau_j))),Resal+(Salim-Resal)*(1-EXP((Tnet-t)/(Tau_j))))*Salcycl</f>
        <v>3.3449701783778416E-2</v>
      </c>
      <c r="P360" s="165">
        <f>(INDEX(Models!$BJ360:$BT360,,T360)*(1-R360)+INDEX(Models!$BJ360:$BT360,,T360+1)*R360-ERP_i)*Q360*Ramure*Pc/MaxiM</f>
        <v>2.3058460889394922E-2</v>
      </c>
      <c r="Q360" s="301">
        <f t="shared" si="130"/>
        <v>0.5</v>
      </c>
      <c r="R360" s="173">
        <f t="shared" si="131"/>
        <v>0.49373211642685932</v>
      </c>
      <c r="S360" s="802">
        <f t="shared" si="132"/>
        <v>3</v>
      </c>
      <c r="T360" s="172">
        <f t="shared" si="133"/>
        <v>9</v>
      </c>
      <c r="U360" s="247">
        <f t="shared" si="134"/>
        <v>3.4937321164268593</v>
      </c>
      <c r="V360" s="378">
        <f t="shared" si="135"/>
        <v>16.141543235697846</v>
      </c>
      <c r="W360" s="397">
        <f t="shared" si="136"/>
        <v>5.6890714381038023</v>
      </c>
      <c r="X360" s="153">
        <f t="shared" si="137"/>
        <v>47098</v>
      </c>
      <c r="Y360" s="380">
        <f t="shared" si="138"/>
        <v>5.5551857864201812</v>
      </c>
      <c r="Z360" s="380">
        <f t="shared" si="139"/>
        <v>5.7545761218598512</v>
      </c>
      <c r="AA360" s="381">
        <f t="shared" si="140"/>
        <v>6.0972173876174187</v>
      </c>
      <c r="AB360" s="193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5.619633415948453E-2</v>
      </c>
      <c r="AD360" s="227">
        <f>(INDEX(Models!$BJ360:$BT360,,AH360)*(1-AF360)+INDEX(Models!$BJ360:$BT360,,AH360+1)*AF360-ERP_i)*AE360*Ramure*Pc/MaxiM</f>
        <v>2.3058460889394922E-2</v>
      </c>
      <c r="AE360" s="301">
        <f t="shared" si="142"/>
        <v>0.5</v>
      </c>
      <c r="AF360" s="173">
        <f t="shared" si="143"/>
        <v>0.49373211642685932</v>
      </c>
      <c r="AG360" s="802">
        <f t="shared" si="149"/>
        <v>3</v>
      </c>
      <c r="AH360" s="172">
        <f t="shared" si="144"/>
        <v>9</v>
      </c>
      <c r="AI360" s="221">
        <f t="shared" si="145"/>
        <v>3.4937321164268593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47099</v>
      </c>
      <c r="B361" s="406">
        <f>'2027'!Wh/'2027'!Env_an*'2028'!Env_an</f>
        <v>5.3588533322063174</v>
      </c>
      <c r="C361" s="832"/>
      <c r="D361" s="388">
        <f t="shared" si="127"/>
        <v>5.5512727679756591</v>
      </c>
      <c r="E361" s="380">
        <f t="shared" ref="E361:E380" si="150">Wh_pvt/(1-Psa)</f>
        <v>5.7436056079782372</v>
      </c>
      <c r="F361" s="380">
        <f t="shared" si="128"/>
        <v>5.7501770425083318</v>
      </c>
      <c r="G361" s="110">
        <f t="shared" ref="G361:G380" si="151">+Wh_hp/MaxiM</f>
        <v>0.32706730654882993</v>
      </c>
      <c r="H361" s="409" t="b">
        <f>Wh_hp&gt;='2027'!Maxi_hp</f>
        <v>0</v>
      </c>
      <c r="I361" s="385">
        <f>IF(H361,Wh_hp,'2027'!Maxi_hp)</f>
        <v>5.8636677565978781</v>
      </c>
      <c r="J361" s="85">
        <f>IF(H361,An,'2027'!An_max)</f>
        <v>2022</v>
      </c>
      <c r="K361" s="193">
        <f t="shared" si="129"/>
        <v>47099</v>
      </c>
      <c r="L361" s="143">
        <f>IF(t&lt;Tvie,1-EXP((T0-t)*PertePVj)+'2027'!Pspv,1-EXP((T0-t)*PertePVj)+Pspv)</f>
        <v>3.4662219604732147E-2</v>
      </c>
      <c r="M361" s="836"/>
      <c r="N361" s="836"/>
      <c r="O361" s="48">
        <f>IF(t&lt;Tnet,'2027'!Resal+('2027'!Salim-'2027'!Resal)*(1-EXP(('2027'!Tnet-t)/('2027'!Tau_j))),Resal+(Salim-Resal)*(1-EXP((Tnet-t)/(Tau_j))))*Salcycl</f>
        <v>3.3486428757471695E-2</v>
      </c>
      <c r="P361" s="165">
        <f>(INDEX(Models!$BJ361:$BT361,,T361)*(1-R361)+INDEX(Models!$BJ361:$BT361,,T361+1)*R361-ERP_i)*Q361*Ramure*Pc/MaxiM</f>
        <v>2.3215810271182715E-2</v>
      </c>
      <c r="Q361" s="301">
        <f t="shared" si="130"/>
        <v>0.5</v>
      </c>
      <c r="R361" s="173">
        <f t="shared" si="131"/>
        <v>0.49374217115723518</v>
      </c>
      <c r="S361" s="802">
        <f t="shared" si="132"/>
        <v>3</v>
      </c>
      <c r="T361" s="172">
        <f t="shared" si="133"/>
        <v>9</v>
      </c>
      <c r="U361" s="247">
        <f t="shared" si="134"/>
        <v>3.4937421711572352</v>
      </c>
      <c r="V361" s="378">
        <f t="shared" si="135"/>
        <v>16.022488311524349</v>
      </c>
      <c r="W361" s="397">
        <f t="shared" si="136"/>
        <v>5.3588533322063174</v>
      </c>
      <c r="X361" s="153">
        <f t="shared" si="137"/>
        <v>47099</v>
      </c>
      <c r="Y361" s="380">
        <f t="shared" si="138"/>
        <v>5.2328716784186309</v>
      </c>
      <c r="Z361" s="380">
        <f t="shared" si="139"/>
        <v>5.4207675123581875</v>
      </c>
      <c r="AA361" s="381">
        <f t="shared" si="140"/>
        <v>5.7436056079782372</v>
      </c>
      <c r="AB361" s="193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5.6208263180815732E-2</v>
      </c>
      <c r="AD361" s="227">
        <f>(INDEX(Models!$BJ361:$BT361,,AH361)*(1-AF361)+INDEX(Models!$BJ361:$BT361,,AH361+1)*AF361-ERP_i)*AE361*Ramure*Pc/MaxiM</f>
        <v>2.3215810271182715E-2</v>
      </c>
      <c r="AE361" s="301">
        <f t="shared" si="142"/>
        <v>0.5</v>
      </c>
      <c r="AF361" s="173">
        <f t="shared" si="143"/>
        <v>0.49374217115723518</v>
      </c>
      <c r="AG361" s="802">
        <f t="shared" si="149"/>
        <v>3</v>
      </c>
      <c r="AH361" s="172">
        <f t="shared" si="144"/>
        <v>9</v>
      </c>
      <c r="AI361" s="221">
        <f t="shared" si="145"/>
        <v>3.4937421711572352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47100</v>
      </c>
      <c r="B362" s="406">
        <f>'2027'!Wh/'2027'!Env_an*'2028'!Env_an</f>
        <v>12.202494753293051</v>
      </c>
      <c r="C362" s="832"/>
      <c r="D362" s="388">
        <f t="shared" si="127"/>
        <v>12.640820700593755</v>
      </c>
      <c r="E362" s="380">
        <f t="shared" si="150"/>
        <v>13.079284296627151</v>
      </c>
      <c r="F362" s="380">
        <f t="shared" si="128"/>
        <v>13.286359172327016</v>
      </c>
      <c r="G362" s="110">
        <f t="shared" si="151"/>
        <v>0.76085278972775916</v>
      </c>
      <c r="H362" s="409" t="b">
        <f>Wh_hp&gt;='2027'!Maxi_hp</f>
        <v>0</v>
      </c>
      <c r="I362" s="385">
        <f>IF(H362,Wh_hp,'2027'!Maxi_hp)</f>
        <v>13.378981463837262</v>
      </c>
      <c r="J362" s="85">
        <f>IF(H362,An,'2027'!An_max)</f>
        <v>2022</v>
      </c>
      <c r="K362" s="193">
        <f t="shared" si="129"/>
        <v>47100</v>
      </c>
      <c r="L362" s="143">
        <f>IF(t&lt;Tvie,1-EXP((T0-t)*PertePVj)+'2027'!Pspv,1-EXP((T0-t)*PertePVj)+Pspv)</f>
        <v>3.4675434268292005E-2</v>
      </c>
      <c r="M362" s="836"/>
      <c r="N362" s="836"/>
      <c r="O362" s="48">
        <f>IF(t&lt;Tnet,'2027'!Resal+('2027'!Salim-'2027'!Resal)*(1-EXP(('2027'!Tnet-t)/('2027'!Tau_j))),Resal+(Salim-Resal)*(1-EXP((Tnet-t)/(Tau_j))))*Salcycl</f>
        <v>3.3523515973000531E-2</v>
      </c>
      <c r="P362" s="165">
        <f>(INDEX(Models!$BJ362:$BT362,,T362)*(1-R362)+INDEX(Models!$BJ362:$BT362,,T362+1)*R362-ERP_i)*Q362*Ramure*Pc/MaxiM</f>
        <v>2.3365895943623653E-2</v>
      </c>
      <c r="Q362" s="301">
        <f t="shared" si="130"/>
        <v>0.5</v>
      </c>
      <c r="R362" s="173">
        <f t="shared" si="131"/>
        <v>0.49375182143480467</v>
      </c>
      <c r="S362" s="802">
        <f t="shared" si="132"/>
        <v>3</v>
      </c>
      <c r="T362" s="172">
        <f t="shared" si="133"/>
        <v>9</v>
      </c>
      <c r="U362" s="247">
        <f t="shared" si="134"/>
        <v>3.4937518214348047</v>
      </c>
      <c r="V362" s="378">
        <f t="shared" si="135"/>
        <v>15.911161605423796</v>
      </c>
      <c r="W362" s="397">
        <f t="shared" si="136"/>
        <v>12.202494753293051</v>
      </c>
      <c r="X362" s="153">
        <f t="shared" si="137"/>
        <v>47100</v>
      </c>
      <c r="Y362" s="380">
        <f t="shared" si="138"/>
        <v>11.915923670294113</v>
      </c>
      <c r="Z362" s="380">
        <f t="shared" si="139"/>
        <v>12.343955694592671</v>
      </c>
      <c r="AA362" s="381">
        <f t="shared" si="140"/>
        <v>13.079284296627151</v>
      </c>
      <c r="AB362" s="193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5.6220859288463057E-2</v>
      </c>
      <c r="AD362" s="227">
        <f>(INDEX(Models!$BJ362:$BT362,,AH362)*(1-AF362)+INDEX(Models!$BJ362:$BT362,,AH362+1)*AF362-ERP_i)*AE362*Ramure*Pc/MaxiM</f>
        <v>2.3365895943623653E-2</v>
      </c>
      <c r="AE362" s="301">
        <f t="shared" si="142"/>
        <v>0.5</v>
      </c>
      <c r="AF362" s="173">
        <f t="shared" si="143"/>
        <v>0.49375182143480467</v>
      </c>
      <c r="AG362" s="802">
        <f t="shared" si="149"/>
        <v>3</v>
      </c>
      <c r="AH362" s="172">
        <f t="shared" si="144"/>
        <v>9</v>
      </c>
      <c r="AI362" s="221">
        <f t="shared" si="145"/>
        <v>3.4937518214348047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47101</v>
      </c>
      <c r="B363" s="406">
        <f>'2027'!Wh/'2027'!Env_an*'2028'!Env_an</f>
        <v>6.5169687152754729</v>
      </c>
      <c r="C363" s="832"/>
      <c r="D363" s="388">
        <f t="shared" si="127"/>
        <v>6.7511572373441675</v>
      </c>
      <c r="E363" s="380">
        <f t="shared" si="150"/>
        <v>6.9856005884384107</v>
      </c>
      <c r="F363" s="380">
        <f t="shared" si="128"/>
        <v>7.0120301872994029</v>
      </c>
      <c r="G363" s="110">
        <f t="shared" si="151"/>
        <v>0.40407400611858513</v>
      </c>
      <c r="H363" s="409" t="b">
        <f>Wh_hp&gt;='2027'!Maxi_hp</f>
        <v>0</v>
      </c>
      <c r="I363" s="385">
        <f>IF(H363,Wh_hp,'2027'!Maxi_hp)</f>
        <v>7.1358666165073297</v>
      </c>
      <c r="J363" s="85">
        <f>IF(H363,An,'2027'!An_max)</f>
        <v>2022</v>
      </c>
      <c r="K363" s="193">
        <f t="shared" si="129"/>
        <v>47101</v>
      </c>
      <c r="L363" s="143">
        <f>IF(t&lt;Tvie,1-EXP((T0-t)*PertePVj)+'2027'!Pspv,1-EXP((T0-t)*PertePVj)+Pspv)</f>
        <v>3.4688648750954232E-2</v>
      </c>
      <c r="M363" s="836"/>
      <c r="N363" s="836"/>
      <c r="O363" s="48">
        <f>IF(t&lt;Tnet,'2027'!Resal+('2027'!Salim-'2027'!Resal)*(1-EXP(('2027'!Tnet-t)/('2027'!Tau_j))),Resal+(Salim-Resal)*(1-EXP((Tnet-t)/(Tau_j))))*Salcycl</f>
        <v>3.3560944134461548E-2</v>
      </c>
      <c r="P363" s="165">
        <f>(INDEX(Models!$BJ363:$BT363,,T363)*(1-R363)+INDEX(Models!$BJ363:$BT363,,T363+1)*R363-ERP_i)*Q363*Ramure*Pc/MaxiM</f>
        <v>2.3506702017518255E-2</v>
      </c>
      <c r="Q363" s="301">
        <f t="shared" si="130"/>
        <v>0.5</v>
      </c>
      <c r="R363" s="173">
        <f t="shared" si="131"/>
        <v>0.49376108351406112</v>
      </c>
      <c r="S363" s="802">
        <f t="shared" si="132"/>
        <v>3</v>
      </c>
      <c r="T363" s="172">
        <f t="shared" si="133"/>
        <v>9</v>
      </c>
      <c r="U363" s="247">
        <f t="shared" si="134"/>
        <v>3.4937610835140611</v>
      </c>
      <c r="V363" s="378">
        <f t="shared" si="135"/>
        <v>15.808622036903657</v>
      </c>
      <c r="W363" s="397">
        <f t="shared" si="136"/>
        <v>6.5169687152754729</v>
      </c>
      <c r="X363" s="153">
        <f t="shared" si="137"/>
        <v>47101</v>
      </c>
      <c r="Y363" s="380">
        <f t="shared" si="138"/>
        <v>6.364077366376252</v>
      </c>
      <c r="Z363" s="380">
        <f t="shared" si="139"/>
        <v>6.5927717084664739</v>
      </c>
      <c r="AA363" s="381">
        <f t="shared" si="140"/>
        <v>6.9856005884384107</v>
      </c>
      <c r="AB363" s="193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5.6234088250349201E-2</v>
      </c>
      <c r="AD363" s="227">
        <f>(INDEX(Models!$BJ363:$BT363,,AH363)*(1-AF363)+INDEX(Models!$BJ363:$BT363,,AH363+1)*AF363-ERP_i)*AE363*Ramure*Pc/MaxiM</f>
        <v>2.3506702017518255E-2</v>
      </c>
      <c r="AE363" s="301">
        <f t="shared" si="142"/>
        <v>0.5</v>
      </c>
      <c r="AF363" s="173">
        <f t="shared" si="143"/>
        <v>0.49376108351406112</v>
      </c>
      <c r="AG363" s="802">
        <f t="shared" si="149"/>
        <v>3</v>
      </c>
      <c r="AH363" s="172">
        <f t="shared" si="144"/>
        <v>9</v>
      </c>
      <c r="AI363" s="221">
        <f t="shared" si="145"/>
        <v>3.4937610835140611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47102</v>
      </c>
      <c r="B364" s="406">
        <f>'2027'!Wh/'2027'!Env_an*'2028'!Env_an</f>
        <v>5.468980419747739</v>
      </c>
      <c r="C364" s="832"/>
      <c r="D364" s="388">
        <f t="shared" si="127"/>
        <v>5.6655868383245789</v>
      </c>
      <c r="E364" s="380">
        <f t="shared" si="150"/>
        <v>5.862561237109098</v>
      </c>
      <c r="F364" s="380">
        <f t="shared" si="128"/>
        <v>5.872076437087987</v>
      </c>
      <c r="G364" s="110">
        <f t="shared" si="151"/>
        <v>0.34031596931045888</v>
      </c>
      <c r="H364" s="409" t="b">
        <f>Wh_hp&gt;='2027'!Maxi_hp</f>
        <v>0</v>
      </c>
      <c r="I364" s="385">
        <f>IF(H364,Wh_hp,'2027'!Maxi_hp)</f>
        <v>5.9877220322580982</v>
      </c>
      <c r="J364" s="85">
        <f>IF(H364,An,'2027'!An_max)</f>
        <v>2022</v>
      </c>
      <c r="K364" s="193">
        <f t="shared" si="129"/>
        <v>47102</v>
      </c>
      <c r="L364" s="143">
        <f>IF(t&lt;Tvie,1-EXP((T0-t)*PertePVj)+'2027'!Pspv,1-EXP((T0-t)*PertePVj)+Pspv)</f>
        <v>3.4701863052721271E-2</v>
      </c>
      <c r="M364" s="836"/>
      <c r="N364" s="836"/>
      <c r="O364" s="48">
        <f>IF(t&lt;Tnet,'2027'!Resal+('2027'!Salim-'2027'!Resal)*(1-EXP(('2027'!Tnet-t)/('2027'!Tau_j))),Resal+(Salim-Resal)*(1-EXP((Tnet-t)/(Tau_j))))*Salcycl</f>
        <v>3.359869361153995E-2</v>
      </c>
      <c r="P364" s="165">
        <f>(INDEX(Models!$BJ364:$BT364,,T364)*(1-R364)+INDEX(Models!$BJ364:$BT364,,T364+1)*R364-ERP_i)*Q364*Ramure*Pc/MaxiM</f>
        <v>2.3636146444322128E-2</v>
      </c>
      <c r="Q364" s="301">
        <f t="shared" si="130"/>
        <v>0.5</v>
      </c>
      <c r="R364" s="173">
        <f t="shared" si="131"/>
        <v>0.49376997299740655</v>
      </c>
      <c r="S364" s="802">
        <f t="shared" si="132"/>
        <v>3</v>
      </c>
      <c r="T364" s="172">
        <f t="shared" si="133"/>
        <v>9</v>
      </c>
      <c r="U364" s="247">
        <f t="shared" si="134"/>
        <v>3.4937699729974065</v>
      </c>
      <c r="V364" s="378">
        <f t="shared" si="135"/>
        <v>15.715928362769358</v>
      </c>
      <c r="W364" s="397">
        <f t="shared" si="136"/>
        <v>5.468980419747739</v>
      </c>
      <c r="X364" s="153">
        <f t="shared" si="137"/>
        <v>47102</v>
      </c>
      <c r="Y364" s="380">
        <f t="shared" si="138"/>
        <v>5.3408057684191981</v>
      </c>
      <c r="Z364" s="380">
        <f t="shared" si="139"/>
        <v>5.5328043886102458</v>
      </c>
      <c r="AA364" s="381">
        <f t="shared" si="140"/>
        <v>5.862561237109098</v>
      </c>
      <c r="AB364" s="193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5.624791540112932E-2</v>
      </c>
      <c r="AD364" s="227">
        <f>(INDEX(Models!$BJ364:$BT364,,AH364)*(1-AF364)+INDEX(Models!$BJ364:$BT364,,AH364+1)*AF364-ERP_i)*AE364*Ramure*Pc/MaxiM</f>
        <v>2.3636146444322128E-2</v>
      </c>
      <c r="AE364" s="301">
        <f t="shared" si="142"/>
        <v>0.5</v>
      </c>
      <c r="AF364" s="173">
        <f t="shared" si="143"/>
        <v>0.49376997299740655</v>
      </c>
      <c r="AG364" s="802">
        <f t="shared" si="149"/>
        <v>3</v>
      </c>
      <c r="AH364" s="172">
        <f t="shared" si="144"/>
        <v>9</v>
      </c>
      <c r="AI364" s="221">
        <f t="shared" si="145"/>
        <v>3.4937699729974065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47103</v>
      </c>
      <c r="B365" s="406">
        <f>'2027'!Wh/'2027'!Env_an*'2028'!Env_an</f>
        <v>3.531183033129083</v>
      </c>
      <c r="C365" s="832"/>
      <c r="D365" s="388">
        <f t="shared" si="127"/>
        <v>3.6581769274812621</v>
      </c>
      <c r="E365" s="380">
        <f t="shared" si="150"/>
        <v>3.7855091312042912</v>
      </c>
      <c r="F365" s="380">
        <f t="shared" si="128"/>
        <v>3.7855091312042912</v>
      </c>
      <c r="G365" s="110">
        <f t="shared" si="151"/>
        <v>0.22049887022449893</v>
      </c>
      <c r="H365" s="409" t="b">
        <f>Wh_hp&gt;='2027'!Maxi_hp</f>
        <v>0</v>
      </c>
      <c r="I365" s="385">
        <f>IF(H365,Wh_hp,'2027'!Maxi_hp)</f>
        <v>3.8659187328041593</v>
      </c>
      <c r="J365" s="85">
        <f>IF(H365,An,'2027'!An_max)</f>
        <v>2022</v>
      </c>
      <c r="K365" s="193">
        <f t="shared" si="129"/>
        <v>47103</v>
      </c>
      <c r="L365" s="143">
        <f>IF(t&lt;Tvie,1-EXP((T0-t)*PertePVj)+'2027'!Pspv,1-EXP((T0-t)*PertePVj)+Pspv)</f>
        <v>3.4715077173595676E-2</v>
      </c>
      <c r="M365" s="836"/>
      <c r="N365" s="836"/>
      <c r="O365" s="48">
        <f>IF(t&lt;Tnet,'2027'!Resal+('2027'!Salim-'2027'!Resal)*(1-EXP(('2027'!Tnet-t)/('2027'!Tau_j))),Resal+(Salim-Resal)*(1-EXP((Tnet-t)/(Tau_j))))*Salcycl</f>
        <v>3.363674457245884E-2</v>
      </c>
      <c r="P365" s="165">
        <f>(INDEX(Models!$BJ365:$BT365,,T365)*(1-R365)+INDEX(Models!$BJ365:$BT365,,T365+1)*R365-ERP_i)*Q365*Ramure*Pc/MaxiM</f>
        <v>2.3752099262907805E-2</v>
      </c>
      <c r="Q365" s="301">
        <f t="shared" si="130"/>
        <v>0.5</v>
      </c>
      <c r="R365" s="173">
        <f t="shared" si="131"/>
        <v>0.49377850486121888</v>
      </c>
      <c r="S365" s="802">
        <f t="shared" si="132"/>
        <v>3</v>
      </c>
      <c r="T365" s="172">
        <f t="shared" si="133"/>
        <v>9</v>
      </c>
      <c r="U365" s="247">
        <f t="shared" si="134"/>
        <v>3.4937785048612189</v>
      </c>
      <c r="V365" s="378">
        <f t="shared" si="135"/>
        <v>15.634139166794178</v>
      </c>
      <c r="W365" s="397">
        <f t="shared" si="136"/>
        <v>3.531183033129083</v>
      </c>
      <c r="X365" s="153">
        <f t="shared" si="137"/>
        <v>47103</v>
      </c>
      <c r="Y365" s="380">
        <f t="shared" si="138"/>
        <v>3.4485070852328708</v>
      </c>
      <c r="Z365" s="380">
        <f t="shared" si="139"/>
        <v>3.5725276586061896</v>
      </c>
      <c r="AA365" s="381">
        <f t="shared" si="140"/>
        <v>3.7855091312042912</v>
      </c>
      <c r="AB365" s="193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5.6262305865933927E-2</v>
      </c>
      <c r="AD365" s="227">
        <f>(INDEX(Models!$BJ365:$BT365,,AH365)*(1-AF365)+INDEX(Models!$BJ365:$BT365,,AH365+1)*AF365-ERP_i)*AE365*Ramure*Pc/MaxiM</f>
        <v>2.3752099262907805E-2</v>
      </c>
      <c r="AE365" s="301">
        <f t="shared" si="142"/>
        <v>0.5</v>
      </c>
      <c r="AF365" s="173">
        <f t="shared" si="143"/>
        <v>0.49377850486121888</v>
      </c>
      <c r="AG365" s="802">
        <f t="shared" si="149"/>
        <v>3</v>
      </c>
      <c r="AH365" s="172">
        <f t="shared" si="144"/>
        <v>9</v>
      </c>
      <c r="AI365" s="221">
        <f t="shared" si="145"/>
        <v>3.4937785048612189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47104</v>
      </c>
      <c r="B366" s="406">
        <f>'2027'!Wh/'2027'!Env_an*'2028'!Env_an</f>
        <v>14.210276374885018</v>
      </c>
      <c r="C366" s="832"/>
      <c r="D366" s="388">
        <f t="shared" si="127"/>
        <v>14.721529952720376</v>
      </c>
      <c r="E366" s="380">
        <f t="shared" si="150"/>
        <v>15.234554759028288</v>
      </c>
      <c r="F366" s="380">
        <f t="shared" si="128"/>
        <v>15.559510797238863</v>
      </c>
      <c r="G366" s="110">
        <f t="shared" si="151"/>
        <v>0.91023647491125503</v>
      </c>
      <c r="H366" s="409" t="b">
        <f>Wh_hp&gt;='2027'!Maxi_hp</f>
        <v>0</v>
      </c>
      <c r="I366" s="385">
        <f>IF(H366,Wh_hp,'2027'!Maxi_hp)</f>
        <v>15.600858513413073</v>
      </c>
      <c r="J366" s="85">
        <f>IF(H366,An,'2027'!An_max)</f>
        <v>2022</v>
      </c>
      <c r="K366" s="193">
        <f t="shared" si="129"/>
        <v>47104</v>
      </c>
      <c r="L366" s="143">
        <f>IF(t&lt;Tvie,1-EXP((T0-t)*PertePVj)+'2027'!Pspv,1-EXP((T0-t)*PertePVj)+Pspv)</f>
        <v>3.4728291113579779E-2</v>
      </c>
      <c r="M366" s="836"/>
      <c r="N366" s="836"/>
      <c r="O366" s="48">
        <f>IF(t&lt;Tnet,'2027'!Resal+('2027'!Salim-'2027'!Resal)*(1-EXP(('2027'!Tnet-t)/('2027'!Tau_j))),Resal+(Salim-Resal)*(1-EXP((Tnet-t)/(Tau_j))))*Salcycl</f>
        <v>3.3675077114011694E-2</v>
      </c>
      <c r="P366" s="165">
        <f>(INDEX(Models!$BJ366:$BT366,,T366)*(1-R366)+INDEX(Models!$BJ366:$BT366,,T366+1)*R366-ERP_i)*Q366*Ramure*Pc/MaxiM</f>
        <v>2.384876929191047E-2</v>
      </c>
      <c r="Q366" s="301">
        <f t="shared" si="130"/>
        <v>0.5</v>
      </c>
      <c r="R366" s="173">
        <f t="shared" si="131"/>
        <v>0.49378669348088788</v>
      </c>
      <c r="S366" s="802">
        <f t="shared" si="132"/>
        <v>3</v>
      </c>
      <c r="T366" s="172">
        <f t="shared" si="133"/>
        <v>9</v>
      </c>
      <c r="U366" s="247">
        <f t="shared" si="134"/>
        <v>3.4937866934808879</v>
      </c>
      <c r="V366" s="378">
        <f t="shared" si="135"/>
        <v>15.564370786967432</v>
      </c>
      <c r="W366" s="397">
        <f t="shared" si="136"/>
        <v>14.210276374885018</v>
      </c>
      <c r="X366" s="153">
        <f t="shared" si="137"/>
        <v>47104</v>
      </c>
      <c r="Y366" s="380">
        <f t="shared" si="138"/>
        <v>13.877900838080254</v>
      </c>
      <c r="Z366" s="380">
        <f t="shared" si="139"/>
        <v>14.377196296460827</v>
      </c>
      <c r="AA366" s="381">
        <f t="shared" si="140"/>
        <v>15.234554759028288</v>
      </c>
      <c r="AB366" s="193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5.6277224778057536E-2</v>
      </c>
      <c r="AD366" s="227">
        <f>(INDEX(Models!$BJ366:$BT366,,AH366)*(1-AF366)+INDEX(Models!$BJ366:$BT366,,AH366+1)*AF366-ERP_i)*AE366*Ramure*Pc/MaxiM</f>
        <v>2.384876929191047E-2</v>
      </c>
      <c r="AE366" s="301">
        <f t="shared" si="142"/>
        <v>0.5</v>
      </c>
      <c r="AF366" s="173">
        <f t="shared" si="143"/>
        <v>0.49378669348088788</v>
      </c>
      <c r="AG366" s="802">
        <f t="shared" si="149"/>
        <v>3</v>
      </c>
      <c r="AH366" s="172">
        <f t="shared" si="144"/>
        <v>9</v>
      </c>
      <c r="AI366" s="221">
        <f t="shared" si="145"/>
        <v>3.4937866934808879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47105</v>
      </c>
      <c r="B367" s="406">
        <f>'2027'!Wh/'2027'!Env_an*'2028'!Env_an</f>
        <v>13.605549308674361</v>
      </c>
      <c r="C367" s="832"/>
      <c r="D367" s="388">
        <f t="shared" si="127"/>
        <v>14.09523912750408</v>
      </c>
      <c r="E367" s="380">
        <f t="shared" si="150"/>
        <v>14.587021165607036</v>
      </c>
      <c r="F367" s="380">
        <f t="shared" si="128"/>
        <v>14.88062668802168</v>
      </c>
      <c r="G367" s="110">
        <f t="shared" si="151"/>
        <v>0.87358963308796789</v>
      </c>
      <c r="H367" s="409" t="b">
        <f>Wh_hp&gt;='2027'!Maxi_hp</f>
        <v>0</v>
      </c>
      <c r="I367" s="385">
        <f>IF(H367,Wh_hp,'2027'!Maxi_hp)</f>
        <v>14.936536539370893</v>
      </c>
      <c r="J367" s="85">
        <f>IF(H367,An,'2027'!An_max)</f>
        <v>2022</v>
      </c>
      <c r="K367" s="193">
        <f t="shared" si="129"/>
        <v>47105</v>
      </c>
      <c r="L367" s="143">
        <f>IF(t&lt;Tvie,1-EXP((T0-t)*PertePVj)+'2027'!Pspv,1-EXP((T0-t)*PertePVj)+Pspv)</f>
        <v>3.4741504872676132E-2</v>
      </c>
      <c r="M367" s="836"/>
      <c r="N367" s="836"/>
      <c r="O367" s="48">
        <f>IF(t&lt;Tnet,'2027'!Resal+('2027'!Salim-'2027'!Resal)*(1-EXP(('2027'!Tnet-t)/('2027'!Tau_j))),Resal+(Salim-Resal)*(1-EXP((Tnet-t)/(Tau_j))))*Salcycl</f>
        <v>3.3713671387717553E-2</v>
      </c>
      <c r="P367" s="165">
        <f>(INDEX(Models!$BJ367:$BT367,,T367)*(1-R367)+INDEX(Models!$BJ367:$BT367,,T367+1)*R367-ERP_i)*Q367*Ramure*Pc/MaxiM</f>
        <v>2.3922599218562646E-2</v>
      </c>
      <c r="Q367" s="301">
        <f t="shared" si="130"/>
        <v>0.5</v>
      </c>
      <c r="R367" s="173">
        <f t="shared" si="131"/>
        <v>0.49379455265485417</v>
      </c>
      <c r="S367" s="802">
        <f t="shared" si="132"/>
        <v>3</v>
      </c>
      <c r="T367" s="172">
        <f t="shared" si="133"/>
        <v>9</v>
      </c>
      <c r="U367" s="247">
        <f t="shared" si="134"/>
        <v>3.4937945526548542</v>
      </c>
      <c r="V367" s="378">
        <f t="shared" si="135"/>
        <v>15.507703008825327</v>
      </c>
      <c r="W367" s="397">
        <f t="shared" si="136"/>
        <v>13.605549308674361</v>
      </c>
      <c r="X367" s="153">
        <f t="shared" si="137"/>
        <v>47105</v>
      </c>
      <c r="Y367" s="380">
        <f t="shared" si="138"/>
        <v>13.287631909313538</v>
      </c>
      <c r="Z367" s="380">
        <f t="shared" si="139"/>
        <v>13.765879271086666</v>
      </c>
      <c r="AA367" s="381">
        <f t="shared" si="140"/>
        <v>14.587021165607036</v>
      </c>
      <c r="AB367" s="193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5.6292637489033175E-2</v>
      </c>
      <c r="AD367" s="227">
        <f>(INDEX(Models!$BJ367:$BT367,,AH367)*(1-AF367)+INDEX(Models!$BJ367:$BT367,,AH367+1)*AF367-ERP_i)*AE367*Ramure*Pc/MaxiM</f>
        <v>2.3922599218562646E-2</v>
      </c>
      <c r="AE367" s="301">
        <f t="shared" si="142"/>
        <v>0.5</v>
      </c>
      <c r="AF367" s="173">
        <f t="shared" si="143"/>
        <v>0.49379455265485417</v>
      </c>
      <c r="AG367" s="802">
        <f t="shared" si="149"/>
        <v>3</v>
      </c>
      <c r="AH367" s="172">
        <f t="shared" si="144"/>
        <v>9</v>
      </c>
      <c r="AI367" s="221">
        <f t="shared" si="145"/>
        <v>3.4937945526548542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47106</v>
      </c>
      <c r="B368" s="406">
        <f>'2027'!Wh/'2027'!Env_an*'2028'!Env_an</f>
        <v>4.1073125717662151</v>
      </c>
      <c r="C368" s="832"/>
      <c r="D368" s="388">
        <f t="shared" si="127"/>
        <v>4.2552008803134775</v>
      </c>
      <c r="E368" s="380">
        <f t="shared" si="150"/>
        <v>4.4038415771490822</v>
      </c>
      <c r="F368" s="380">
        <f t="shared" si="128"/>
        <v>4.4038415771490822</v>
      </c>
      <c r="G368" s="110">
        <f t="shared" si="151"/>
        <v>0.25921785914176365</v>
      </c>
      <c r="H368" s="409" t="b">
        <f>Wh_hp&gt;='2027'!Maxi_hp</f>
        <v>0</v>
      </c>
      <c r="I368" s="385">
        <f>IF(H368,Wh_hp,'2027'!Maxi_hp)</f>
        <v>4.4982170424996788</v>
      </c>
      <c r="J368" s="85">
        <f>IF(H368,An,'2027'!An_max)</f>
        <v>2022</v>
      </c>
      <c r="K368" s="193">
        <f t="shared" si="129"/>
        <v>47106</v>
      </c>
      <c r="L368" s="143">
        <f>IF(t&lt;Tvie,1-EXP((T0-t)*PertePVj)+'2027'!Pspv,1-EXP((T0-t)*PertePVj)+Pspv)</f>
        <v>3.475471845088729E-2</v>
      </c>
      <c r="M368" s="836"/>
      <c r="N368" s="836"/>
      <c r="O368" s="48">
        <f>IF(t&lt;Tnet,'2027'!Resal+('2027'!Salim-'2027'!Resal)*(1-EXP(('2027'!Tnet-t)/('2027'!Tau_j))),Resal+(Salim-Resal)*(1-EXP((Tnet-t)/(Tau_j))))*Salcycl</f>
        <v>3.3752507721186105E-2</v>
      </c>
      <c r="P368" s="165">
        <f>(INDEX(Models!$BJ368:$BT368,,T368)*(1-R368)+INDEX(Models!$BJ368:$BT368,,T368+1)*R368-ERP_i)*Q368*Ramure*Pc/MaxiM</f>
        <v>2.3971449936058424E-2</v>
      </c>
      <c r="Q368" s="301">
        <f t="shared" si="130"/>
        <v>0.5</v>
      </c>
      <c r="R368" s="173">
        <f t="shared" si="131"/>
        <v>0.49380209562769251</v>
      </c>
      <c r="S368" s="802">
        <f t="shared" si="132"/>
        <v>3</v>
      </c>
      <c r="T368" s="172">
        <f t="shared" si="133"/>
        <v>9</v>
      </c>
      <c r="U368" s="247">
        <f t="shared" si="134"/>
        <v>3.4938020956276925</v>
      </c>
      <c r="V368" s="378">
        <f t="shared" si="135"/>
        <v>15.465193437493731</v>
      </c>
      <c r="W368" s="397">
        <f t="shared" si="136"/>
        <v>4.1073125717662151</v>
      </c>
      <c r="X368" s="153">
        <f t="shared" si="137"/>
        <v>47106</v>
      </c>
      <c r="Y368" s="380">
        <f t="shared" si="138"/>
        <v>4.0114318046515338</v>
      </c>
      <c r="Z368" s="380">
        <f t="shared" si="139"/>
        <v>4.1558678206783108</v>
      </c>
      <c r="AA368" s="381">
        <f t="shared" si="140"/>
        <v>4.4038415771490822</v>
      </c>
      <c r="AB368" s="193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5.6308509769623018E-2</v>
      </c>
      <c r="AD368" s="227">
        <f>(INDEX(Models!$BJ368:$BT368,,AH368)*(1-AF368)+INDEX(Models!$BJ368:$BT368,,AH368+1)*AF368-ERP_i)*AE368*Ramure*Pc/MaxiM</f>
        <v>2.3971449936058424E-2</v>
      </c>
      <c r="AE368" s="301">
        <f t="shared" si="142"/>
        <v>0.5</v>
      </c>
      <c r="AF368" s="173">
        <f t="shared" si="143"/>
        <v>0.49380209562769251</v>
      </c>
      <c r="AG368" s="802">
        <f t="shared" si="149"/>
        <v>3</v>
      </c>
      <c r="AH368" s="172">
        <f t="shared" si="144"/>
        <v>9</v>
      </c>
      <c r="AI368" s="221">
        <f t="shared" si="145"/>
        <v>3.4938020956276925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47107</v>
      </c>
      <c r="B369" s="406">
        <f>'2027'!Wh/'2027'!Env_an*'2028'!Env_an</f>
        <v>14.565498690825205</v>
      </c>
      <c r="C369" s="832"/>
      <c r="D369" s="388">
        <f t="shared" si="127"/>
        <v>15.090152069558837</v>
      </c>
      <c r="E369" s="380">
        <f t="shared" si="150"/>
        <v>15.617905567795749</v>
      </c>
      <c r="F369" s="380">
        <f t="shared" si="128"/>
        <v>15.970148217671071</v>
      </c>
      <c r="G369" s="110">
        <f t="shared" si="151"/>
        <v>0.9416209586712464</v>
      </c>
      <c r="H369" s="409" t="b">
        <f>Wh_hp&gt;='2027'!Maxi_hp</f>
        <v>0</v>
      </c>
      <c r="I369" s="385">
        <f>IF(H369,Wh_hp,'2027'!Maxi_hp)</f>
        <v>15.99787926279242</v>
      </c>
      <c r="J369" s="85">
        <f>IF(H369,An,'2027'!An_max)</f>
        <v>2022</v>
      </c>
      <c r="K369" s="193">
        <f t="shared" si="129"/>
        <v>47107</v>
      </c>
      <c r="L369" s="143">
        <f>IF(t&lt;Tvie,1-EXP((T0-t)*PertePVj)+'2027'!Pspv,1-EXP((T0-t)*PertePVj)+Pspv)</f>
        <v>3.4767931848215583E-2</v>
      </c>
      <c r="M369" s="836"/>
      <c r="N369" s="836"/>
      <c r="O369" s="48">
        <f>IF(t&lt;Tnet,'2027'!Resal+('2027'!Salim-'2027'!Resal)*(1-EXP(('2027'!Tnet-t)/('2027'!Tau_j))),Resal+(Salim-Resal)*(1-EXP((Tnet-t)/(Tau_j))))*Salcycl</f>
        <v>3.3791566733835571E-2</v>
      </c>
      <c r="P369" s="165">
        <f>(INDEX(Models!$BJ369:$BT369,,T369)*(1-R369)+INDEX(Models!$BJ369:$BT369,,T369+1)*R369-ERP_i)*Q369*Ramure*Pc/MaxiM</f>
        <v>2.3993270613210355E-2</v>
      </c>
      <c r="Q369" s="301">
        <f t="shared" si="130"/>
        <v>0.5</v>
      </c>
      <c r="R369" s="173">
        <f t="shared" si="131"/>
        <v>0.49380933511227942</v>
      </c>
      <c r="S369" s="802">
        <f t="shared" si="132"/>
        <v>3</v>
      </c>
      <c r="T369" s="172">
        <f t="shared" si="133"/>
        <v>9</v>
      </c>
      <c r="U369" s="247">
        <f t="shared" si="134"/>
        <v>3.4938093351122794</v>
      </c>
      <c r="V369" s="378">
        <f t="shared" si="135"/>
        <v>15.437899461952689</v>
      </c>
      <c r="W369" s="397">
        <f t="shared" si="136"/>
        <v>14.565498690825205</v>
      </c>
      <c r="X369" s="153">
        <f t="shared" si="137"/>
        <v>47107</v>
      </c>
      <c r="Y369" s="380">
        <f t="shared" si="138"/>
        <v>14.225812257890535</v>
      </c>
      <c r="Z369" s="380">
        <f t="shared" si="139"/>
        <v>14.738230035321932</v>
      </c>
      <c r="AA369" s="381">
        <f t="shared" si="140"/>
        <v>15.617905567795749</v>
      </c>
      <c r="AB369" s="193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5.6324808000357912E-2</v>
      </c>
      <c r="AD369" s="227">
        <f>(INDEX(Models!$BJ369:$BT369,,AH369)*(1-AF369)+INDEX(Models!$BJ369:$BT369,,AH369+1)*AF369-ERP_i)*AE369*Ramure*Pc/MaxiM</f>
        <v>2.3993270613210355E-2</v>
      </c>
      <c r="AE369" s="301">
        <f t="shared" si="142"/>
        <v>0.5</v>
      </c>
      <c r="AF369" s="173">
        <f t="shared" si="143"/>
        <v>0.49380933511227942</v>
      </c>
      <c r="AG369" s="802">
        <f t="shared" si="149"/>
        <v>3</v>
      </c>
      <c r="AH369" s="172">
        <f t="shared" si="144"/>
        <v>9</v>
      </c>
      <c r="AI369" s="221">
        <f t="shared" si="145"/>
        <v>3.4938093351122794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47108</v>
      </c>
      <c r="B370" s="406">
        <f>'2027'!Wh/'2027'!Env_an*'2028'!Env_an</f>
        <v>14.499876951829757</v>
      </c>
      <c r="C370" s="832"/>
      <c r="D370" s="388">
        <f t="shared" si="127"/>
        <v>15.022372260642545</v>
      </c>
      <c r="E370" s="380">
        <f t="shared" si="150"/>
        <v>15.548387092533032</v>
      </c>
      <c r="F370" s="380">
        <f t="shared" si="128"/>
        <v>15.896961333144162</v>
      </c>
      <c r="G370" s="110">
        <f t="shared" si="151"/>
        <v>0.93793129116216301</v>
      </c>
      <c r="H370" s="409" t="b">
        <f>Wh_hp&gt;='2027'!Maxi_hp</f>
        <v>0</v>
      </c>
      <c r="I370" s="385">
        <f>IF(H370,Wh_hp,'2027'!Maxi_hp)</f>
        <v>15.926304409611507</v>
      </c>
      <c r="J370" s="85">
        <f>IF(H370,An,'2027'!An_max)</f>
        <v>2022</v>
      </c>
      <c r="K370" s="193">
        <f t="shared" si="129"/>
        <v>47108</v>
      </c>
      <c r="L370" s="143">
        <f>IF(t&lt;Tvie,1-EXP((T0-t)*PertePVj)+'2027'!Pspv,1-EXP((T0-t)*PertePVj)+Pspv)</f>
        <v>3.4781145064663677E-2</v>
      </c>
      <c r="M370" s="836"/>
      <c r="N370" s="836"/>
      <c r="O370" s="48">
        <f>IF(t&lt;Tnet,'2027'!Resal+('2027'!Salim-'2027'!Resal)*(1-EXP(('2027'!Tnet-t)/('2027'!Tau_j))),Resal+(Salim-Resal)*(1-EXP((Tnet-t)/(Tau_j))))*Salcycl</f>
        <v>3.3830829446168123E-2</v>
      </c>
      <c r="P370" s="165">
        <f>(INDEX(Models!$BJ370:$BT370,,T370)*(1-R370)+INDEX(Models!$BJ370:$BT370,,T370+1)*R370-ERP_i)*Q370*Ramure*Pc/MaxiM</f>
        <v>2.3986137674799495E-2</v>
      </c>
      <c r="Q370" s="301">
        <f t="shared" si="130"/>
        <v>0.5</v>
      </c>
      <c r="R370" s="173">
        <f t="shared" si="131"/>
        <v>0.49381628331107663</v>
      </c>
      <c r="S370" s="802">
        <f t="shared" si="132"/>
        <v>3</v>
      </c>
      <c r="T370" s="172">
        <f t="shared" si="133"/>
        <v>9</v>
      </c>
      <c r="U370" s="247">
        <f t="shared" si="134"/>
        <v>3.4938162833110766</v>
      </c>
      <c r="V370" s="378">
        <f t="shared" si="135"/>
        <v>15.426878225567998</v>
      </c>
      <c r="W370" s="397">
        <f t="shared" si="136"/>
        <v>14.499876951829757</v>
      </c>
      <c r="X370" s="153">
        <f t="shared" si="137"/>
        <v>47108</v>
      </c>
      <c r="Y370" s="380">
        <f t="shared" si="138"/>
        <v>14.162045903539221</v>
      </c>
      <c r="Z370" s="380">
        <f t="shared" si="139"/>
        <v>14.672367651259766</v>
      </c>
      <c r="AA370" s="381">
        <f t="shared" si="140"/>
        <v>15.548387092533032</v>
      </c>
      <c r="AB370" s="193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5.6341499350370999E-2</v>
      </c>
      <c r="AD370" s="227">
        <f>(INDEX(Models!$BJ370:$BT370,,AH370)*(1-AF370)+INDEX(Models!$BJ370:$BT370,,AH370+1)*AF370-ERP_i)*AE370*Ramure*Pc/MaxiM</f>
        <v>2.3986137674799495E-2</v>
      </c>
      <c r="AE370" s="301">
        <f t="shared" si="142"/>
        <v>0.5</v>
      </c>
      <c r="AF370" s="173">
        <f t="shared" si="143"/>
        <v>0.49381628331107663</v>
      </c>
      <c r="AG370" s="802">
        <f t="shared" si="149"/>
        <v>3</v>
      </c>
      <c r="AH370" s="172">
        <f t="shared" si="144"/>
        <v>9</v>
      </c>
      <c r="AI370" s="221">
        <f t="shared" si="145"/>
        <v>3.4938162833110766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47109</v>
      </c>
      <c r="B371" s="406">
        <f>'2027'!Wh/'2027'!Env_an*'2028'!Env_an</f>
        <v>14.227655527806228</v>
      </c>
      <c r="C371" s="832"/>
      <c r="D371" s="388">
        <f t="shared" si="127"/>
        <v>14.740543268896195</v>
      </c>
      <c r="E371" s="380">
        <f t="shared" si="150"/>
        <v>15.25731268152135</v>
      </c>
      <c r="F371" s="380">
        <f t="shared" si="128"/>
        <v>15.588981912925723</v>
      </c>
      <c r="G371" s="110">
        <f t="shared" si="151"/>
        <v>0.91936986632207363</v>
      </c>
      <c r="H371" s="409" t="b">
        <f>Wh_hp&gt;='2027'!Maxi_hp</f>
        <v>0</v>
      </c>
      <c r="I371" s="385">
        <f>IF(H371,Wh_hp,'2027'!Maxi_hp)</f>
        <v>15.626325591893499</v>
      </c>
      <c r="J371" s="85">
        <f>IF(H371,An,'2027'!An_max)</f>
        <v>2022</v>
      </c>
      <c r="K371" s="193">
        <f t="shared" si="129"/>
        <v>47109</v>
      </c>
      <c r="L371" s="143">
        <f>IF(t&lt;Tvie,1-EXP((T0-t)*PertePVj)+'2027'!Pspv,1-EXP((T0-t)*PertePVj)+Pspv)</f>
        <v>3.4794358100233902E-2</v>
      </c>
      <c r="M371" s="836"/>
      <c r="N371" s="836"/>
      <c r="O371" s="48">
        <f>IF(t&lt;Tnet,'2027'!Resal+('2027'!Salim-'2027'!Resal)*(1-EXP(('2027'!Tnet-t)/('2027'!Tau_j))),Resal+(Salim-Resal)*(1-EXP((Tnet-t)/(Tau_j))))*Salcycl</f>
        <v>3.3870277381876882E-2</v>
      </c>
      <c r="P371" s="165">
        <f>(INDEX(Models!$BJ371:$BT371,,T371)*(1-R371)+INDEX(Models!$BJ371:$BT371,,T371+1)*R371-ERP_i)*Q371*Ramure*Pc/MaxiM</f>
        <v>2.394825931889652E-2</v>
      </c>
      <c r="Q371" s="301">
        <f t="shared" si="130"/>
        <v>0.5</v>
      </c>
      <c r="R371" s="173">
        <f t="shared" si="131"/>
        <v>0.49381628331107663</v>
      </c>
      <c r="S371" s="802">
        <f t="shared" si="132"/>
        <v>3</v>
      </c>
      <c r="T371" s="172">
        <f t="shared" si="133"/>
        <v>9</v>
      </c>
      <c r="U371" s="247">
        <f t="shared" si="134"/>
        <v>3.4938162833110766</v>
      </c>
      <c r="V371" s="378">
        <f t="shared" si="135"/>
        <v>15.433187178911174</v>
      </c>
      <c r="W371" s="397">
        <f t="shared" si="136"/>
        <v>14.227655527806228</v>
      </c>
      <c r="X371" s="153">
        <f t="shared" si="137"/>
        <v>47109</v>
      </c>
      <c r="Y371" s="380">
        <f t="shared" si="138"/>
        <v>13.896483205512967</v>
      </c>
      <c r="Z371" s="380">
        <f t="shared" si="139"/>
        <v>14.39743263224323</v>
      </c>
      <c r="AA371" s="381">
        <f t="shared" si="140"/>
        <v>15.25731268152135</v>
      </c>
      <c r="AB371" s="193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5.6358551943393655E-2</v>
      </c>
      <c r="AD371" s="227">
        <f>(INDEX(Models!$BJ371:$BT371,,AH371)*(1-AF371)+INDEX(Models!$BJ371:$BT371,,AH371+1)*AF371-ERP_i)*AE371*Ramure*Pc/MaxiM</f>
        <v>2.394825931889652E-2</v>
      </c>
      <c r="AE371" s="301">
        <f t="shared" si="142"/>
        <v>0.5</v>
      </c>
      <c r="AF371" s="173">
        <f t="shared" si="143"/>
        <v>0.49381628331107663</v>
      </c>
      <c r="AG371" s="802">
        <f t="shared" si="149"/>
        <v>3</v>
      </c>
      <c r="AH371" s="172">
        <f t="shared" si="144"/>
        <v>9</v>
      </c>
      <c r="AI371" s="221">
        <f t="shared" si="145"/>
        <v>3.4938162833110766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47110</v>
      </c>
      <c r="B372" s="406">
        <f>'2027'!Wh/'2027'!Env_an*'2028'!Env_an</f>
        <v>15.394373086371521</v>
      </c>
      <c r="C372" s="832"/>
      <c r="D372" s="388">
        <f t="shared" si="127"/>
        <v>15.949537753422074</v>
      </c>
      <c r="E372" s="380">
        <f t="shared" si="150"/>
        <v>16.509368673044598</v>
      </c>
      <c r="F372" s="380">
        <f t="shared" si="128"/>
        <v>16.910796211595532</v>
      </c>
      <c r="G372" s="110">
        <f t="shared" si="151"/>
        <v>0.99574846654432336</v>
      </c>
      <c r="H372" s="409" t="b">
        <f>Wh_hp&gt;='2027'!Maxi_hp</f>
        <v>0</v>
      </c>
      <c r="I372" s="385">
        <f>IF(H372,Wh_hp,'2027'!Maxi_hp)</f>
        <v>16.912921484564905</v>
      </c>
      <c r="J372" s="85">
        <f>IF(H372,An,'2027'!An_max)</f>
        <v>2022</v>
      </c>
      <c r="K372" s="193">
        <f t="shared" si="129"/>
        <v>47110</v>
      </c>
      <c r="L372" s="143">
        <f>IF(t&lt;Tvie,1-EXP((T0-t)*PertePVj)+'2027'!Pspv,1-EXP((T0-t)*PertePVj)+Pspv)</f>
        <v>3.4807570954928702E-2</v>
      </c>
      <c r="M372" s="836"/>
      <c r="N372" s="836"/>
      <c r="O372" s="48">
        <f>IF(t&lt;Tnet,'2027'!Resal+('2027'!Salim-'2027'!Resal)*(1-EXP(('2027'!Tnet-t)/('2027'!Tau_j))),Resal+(Salim-Resal)*(1-EXP((Tnet-t)/(Tau_j))))*Salcycl</f>
        <v>3.3909892662132998E-2</v>
      </c>
      <c r="P372" s="165">
        <f>(INDEX(Models!$BJ372:$BT372,,T372)*(1-R372)+INDEX(Models!$BJ372:$BT372,,T372+1)*R372-ERP_i)*Q372*Ramure*Pc/MaxiM</f>
        <v>2.3878093904413002E-2</v>
      </c>
      <c r="Q372" s="301">
        <f t="shared" si="130"/>
        <v>0.5</v>
      </c>
      <c r="R372" s="173">
        <f t="shared" si="131"/>
        <v>0.49381628331107663</v>
      </c>
      <c r="S372" s="802">
        <f t="shared" si="132"/>
        <v>3</v>
      </c>
      <c r="T372" s="172">
        <f t="shared" si="133"/>
        <v>9</v>
      </c>
      <c r="U372" s="247">
        <f t="shared" si="134"/>
        <v>3.4938162833110766</v>
      </c>
      <c r="V372" s="378">
        <f t="shared" si="135"/>
        <v>15.457882816756191</v>
      </c>
      <c r="W372" s="397">
        <f t="shared" si="136"/>
        <v>15.394373086371521</v>
      </c>
      <c r="X372" s="153">
        <f t="shared" si="137"/>
        <v>47110</v>
      </c>
      <c r="Y372" s="380">
        <f t="shared" si="138"/>
        <v>15.03638304481218</v>
      </c>
      <c r="Z372" s="380">
        <f t="shared" si="139"/>
        <v>15.578637577678338</v>
      </c>
      <c r="AA372" s="381">
        <f t="shared" si="140"/>
        <v>16.509368673044598</v>
      </c>
      <c r="AB372" s="193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5.6375935009913274E-2</v>
      </c>
      <c r="AD372" s="227">
        <f>(INDEX(Models!$BJ372:$BT372,,AH372)*(1-AF372)+INDEX(Models!$BJ372:$BT372,,AH372+1)*AF372-ERP_i)*AE372*Ramure*Pc/MaxiM</f>
        <v>2.3878093904413002E-2</v>
      </c>
      <c r="AE372" s="301">
        <f t="shared" si="142"/>
        <v>0.5</v>
      </c>
      <c r="AF372" s="173">
        <f t="shared" si="143"/>
        <v>0.49381628331107663</v>
      </c>
      <c r="AG372" s="802">
        <f t="shared" si="149"/>
        <v>3</v>
      </c>
      <c r="AH372" s="172">
        <f t="shared" si="144"/>
        <v>9</v>
      </c>
      <c r="AI372" s="221">
        <f t="shared" si="145"/>
        <v>3.4938162833110766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47111</v>
      </c>
      <c r="B373" s="406">
        <f>'2027'!Wh/'2027'!Env_an*'2028'!Env_an</f>
        <v>8.5372866011743511</v>
      </c>
      <c r="C373" s="832"/>
      <c r="D373" s="388">
        <f t="shared" si="127"/>
        <v>8.8452864052250213</v>
      </c>
      <c r="E373" s="380">
        <f t="shared" si="150"/>
        <v>9.1561340248069918</v>
      </c>
      <c r="F373" s="380">
        <f t="shared" si="128"/>
        <v>9.2347547639688372</v>
      </c>
      <c r="G373" s="110">
        <f t="shared" si="151"/>
        <v>0.54221071111472863</v>
      </c>
      <c r="H373" s="409" t="b">
        <f>Wh_hp&gt;='2027'!Maxi_hp</f>
        <v>0</v>
      </c>
      <c r="I373" s="385">
        <f>IF(H373,Wh_hp,'2027'!Maxi_hp)</f>
        <v>9.3608811966692667</v>
      </c>
      <c r="J373" s="85">
        <f>IF(H373,An,'2027'!An_max)</f>
        <v>2022</v>
      </c>
      <c r="K373" s="193">
        <f t="shared" si="129"/>
        <v>47111</v>
      </c>
      <c r="L373" s="143">
        <f>IF(t&lt;Tvie,1-EXP((T0-t)*PertePVj)+'2027'!Pspv,1-EXP((T0-t)*PertePVj)+Pspv)</f>
        <v>3.4820783628750629E-2</v>
      </c>
      <c r="M373" s="836"/>
      <c r="N373" s="836"/>
      <c r="O373" s="48">
        <f>IF(t&lt;Tnet,'2027'!Resal+('2027'!Salim-'2027'!Resal)*(1-EXP(('2027'!Tnet-t)/('2027'!Tau_j))),Resal+(Salim-Resal)*(1-EXP((Tnet-t)/(Tau_j))))*Salcycl</f>
        <v>3.3949658091480601E-2</v>
      </c>
      <c r="P373" s="165">
        <f>(INDEX(Models!$BJ373:$BT373,,T373)*(1-R373)+INDEX(Models!$BJ373:$BT373,,T373+1)*R373-ERP_i)*Q373*Ramure*Pc/MaxiM</f>
        <v>2.3772776001991285E-2</v>
      </c>
      <c r="Q373" s="301">
        <f t="shared" si="130"/>
        <v>0.5</v>
      </c>
      <c r="R373" s="173">
        <f t="shared" si="131"/>
        <v>0.49381628331107663</v>
      </c>
      <c r="S373" s="802">
        <f t="shared" si="132"/>
        <v>3</v>
      </c>
      <c r="T373" s="172">
        <f t="shared" si="133"/>
        <v>9</v>
      </c>
      <c r="U373" s="247">
        <f t="shared" si="134"/>
        <v>3.4938162833110766</v>
      </c>
      <c r="V373" s="378">
        <f t="shared" si="135"/>
        <v>15.503005780523161</v>
      </c>
      <c r="W373" s="397">
        <f t="shared" si="136"/>
        <v>8.5372866011743511</v>
      </c>
      <c r="X373" s="153">
        <f t="shared" si="137"/>
        <v>47111</v>
      </c>
      <c r="Y373" s="380">
        <f t="shared" si="138"/>
        <v>8.3389423548762558</v>
      </c>
      <c r="Z373" s="380">
        <f t="shared" si="139"/>
        <v>8.6397864908735666</v>
      </c>
      <c r="AA373" s="381">
        <f t="shared" si="140"/>
        <v>9.1561340248069918</v>
      </c>
      <c r="AB373" s="193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5.6393619024630762E-2</v>
      </c>
      <c r="AD373" s="227">
        <f>(INDEX(Models!$BJ373:$BT373,,AH373)*(1-AF373)+INDEX(Models!$BJ373:$BT373,,AH373+1)*AF373-ERP_i)*AE373*Ramure*Pc/MaxiM</f>
        <v>2.3772776001991285E-2</v>
      </c>
      <c r="AE373" s="301">
        <f t="shared" si="142"/>
        <v>0.5</v>
      </c>
      <c r="AF373" s="173">
        <f t="shared" si="143"/>
        <v>0.49381628331107663</v>
      </c>
      <c r="AG373" s="802">
        <f t="shared" si="149"/>
        <v>3</v>
      </c>
      <c r="AH373" s="172">
        <f t="shared" si="144"/>
        <v>9</v>
      </c>
      <c r="AI373" s="221">
        <f t="shared" si="145"/>
        <v>3.4938162833110766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47112</v>
      </c>
      <c r="B374" s="406">
        <f>'2027'!Wh/'2027'!Env_an*'2028'!Env_an</f>
        <v>14.268616364187018</v>
      </c>
      <c r="C374" s="832"/>
      <c r="D374" s="388">
        <f t="shared" si="127"/>
        <v>14.783587804431425</v>
      </c>
      <c r="E374" s="380">
        <f t="shared" si="150"/>
        <v>15.303755684166589</v>
      </c>
      <c r="F374" s="380">
        <f t="shared" si="128"/>
        <v>15.629040420059773</v>
      </c>
      <c r="G374" s="110">
        <f t="shared" si="151"/>
        <v>0.91384563285717513</v>
      </c>
      <c r="H374" s="409" t="b">
        <f>Wh_hp&gt;='2027'!Maxi_hp</f>
        <v>0</v>
      </c>
      <c r="I374" s="385">
        <f>IF(H374,Wh_hp,'2027'!Maxi_hp)</f>
        <v>15.668548082708286</v>
      </c>
      <c r="J374" s="85">
        <f>IF(H374,An,'2027'!An_max)</f>
        <v>2022</v>
      </c>
      <c r="K374" s="193">
        <f t="shared" si="129"/>
        <v>47112</v>
      </c>
      <c r="L374" s="143">
        <f>IF(t&lt;Tvie,1-EXP((T0-t)*PertePVj)+'2027'!Pspv,1-EXP((T0-t)*PertePVj)+Pspv)</f>
        <v>3.4833996121702127E-2</v>
      </c>
      <c r="M374" s="836"/>
      <c r="N374" s="836"/>
      <c r="O374" s="48">
        <f>IF(t&lt;Tnet,'2027'!Resal+('2027'!Salim-'2027'!Resal)*(1-EXP(('2027'!Tnet-t)/('2027'!Tau_j))),Resal+(Salim-Resal)*(1-EXP((Tnet-t)/(Tau_j))))*Salcycl</f>
        <v>3.3989557234851385E-2</v>
      </c>
      <c r="P374" s="165">
        <f>(INDEX(Models!$BJ374:$BT374,,T374)*(1-R374)+INDEX(Models!$BJ374:$BT374,,T374+1)*R374-ERP_i)*Q374*Ramure*Pc/MaxiM</f>
        <v>2.363236430268633E-2</v>
      </c>
      <c r="Q374" s="301">
        <f t="shared" si="130"/>
        <v>0.5</v>
      </c>
      <c r="R374" s="173">
        <f t="shared" si="131"/>
        <v>0.49381628331107663</v>
      </c>
      <c r="S374" s="802">
        <f t="shared" si="132"/>
        <v>3</v>
      </c>
      <c r="T374" s="172">
        <f t="shared" si="133"/>
        <v>9</v>
      </c>
      <c r="U374" s="247">
        <f t="shared" si="134"/>
        <v>3.4938162833110766</v>
      </c>
      <c r="V374" s="378">
        <f t="shared" si="135"/>
        <v>15.568855445996036</v>
      </c>
      <c r="W374" s="397">
        <f t="shared" si="136"/>
        <v>14.268616364187018</v>
      </c>
      <c r="X374" s="153">
        <f t="shared" si="137"/>
        <v>47112</v>
      </c>
      <c r="Y374" s="380">
        <f t="shared" si="138"/>
        <v>13.937428245239103</v>
      </c>
      <c r="Z374" s="380">
        <f t="shared" si="139"/>
        <v>14.440446709928395</v>
      </c>
      <c r="AA374" s="381">
        <f t="shared" si="140"/>
        <v>15.303755684166589</v>
      </c>
      <c r="AB374" s="193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5.6411575828499511E-2</v>
      </c>
      <c r="AD374" s="227">
        <f>(INDEX(Models!$BJ374:$BT374,,AH374)*(1-AF374)+INDEX(Models!$BJ374:$BT374,,AH374+1)*AF374-ERP_i)*AE374*Ramure*Pc/MaxiM</f>
        <v>2.363236430268633E-2</v>
      </c>
      <c r="AE374" s="301">
        <f t="shared" si="142"/>
        <v>0.5</v>
      </c>
      <c r="AF374" s="173">
        <f t="shared" si="143"/>
        <v>0.49381628331107663</v>
      </c>
      <c r="AG374" s="802">
        <f t="shared" si="149"/>
        <v>3</v>
      </c>
      <c r="AH374" s="172">
        <f t="shared" si="144"/>
        <v>9</v>
      </c>
      <c r="AI374" s="221">
        <f t="shared" si="145"/>
        <v>3.4938162833110766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47113</v>
      </c>
      <c r="B375" s="406">
        <f>'2027'!Wh/'2027'!Env_an*'2028'!Env_an</f>
        <v>6.1415041199641625</v>
      </c>
      <c r="C375" s="832"/>
      <c r="D375" s="388">
        <f t="shared" si="127"/>
        <v>6.3632454608538787</v>
      </c>
      <c r="E375" s="380">
        <f t="shared" si="150"/>
        <v>6.5874122983250984</v>
      </c>
      <c r="F375" s="380">
        <f t="shared" si="128"/>
        <v>6.6078609770782393</v>
      </c>
      <c r="G375" s="110">
        <f t="shared" si="151"/>
        <v>0.38431641230150249</v>
      </c>
      <c r="H375" s="409" t="b">
        <f>Wh_hp&gt;='2027'!Maxi_hp</f>
        <v>0</v>
      </c>
      <c r="I375" s="385">
        <f>IF(H375,Wh_hp,'2027'!Maxi_hp)</f>
        <v>6.728249126275637</v>
      </c>
      <c r="J375" s="85">
        <f>IF(H375,An,'2027'!An_max)</f>
        <v>2022</v>
      </c>
      <c r="K375" s="193">
        <f t="shared" si="129"/>
        <v>47113</v>
      </c>
      <c r="L375" s="143">
        <f>IF(t&lt;Tvie,1-EXP((T0-t)*PertePVj)+'2027'!Pspv,1-EXP((T0-t)*PertePVj)+Pspv)</f>
        <v>3.4847208433785748E-2</v>
      </c>
      <c r="M375" s="836"/>
      <c r="N375" s="836"/>
      <c r="O375" s="48">
        <f>IF(t&lt;Tnet,'2027'!Resal+('2027'!Salim-'2027'!Resal)*(1-EXP(('2027'!Tnet-t)/('2027'!Tau_j))),Resal+(Salim-Resal)*(1-EXP((Tnet-t)/(Tau_j))))*Salcycl</f>
        <v>3.4029574485297698E-2</v>
      </c>
      <c r="P375" s="165">
        <f>(INDEX(Models!$BJ375:$BT375,,T375)*(1-R375)+INDEX(Models!$BJ375:$BT375,,T375+1)*R375-ERP_i)*Q375*Ramure*Pc/MaxiM</f>
        <v>2.3461270553610095E-2</v>
      </c>
      <c r="Q375" s="301">
        <f t="shared" si="130"/>
        <v>0.5</v>
      </c>
      <c r="R375" s="173">
        <f t="shared" si="131"/>
        <v>0.49381628331107663</v>
      </c>
      <c r="S375" s="802">
        <f t="shared" si="132"/>
        <v>3</v>
      </c>
      <c r="T375" s="172">
        <f t="shared" si="133"/>
        <v>9</v>
      </c>
      <c r="U375" s="247">
        <f t="shared" si="134"/>
        <v>3.4938162833110766</v>
      </c>
      <c r="V375" s="378">
        <f t="shared" si="135"/>
        <v>15.653856168598754</v>
      </c>
      <c r="W375" s="397">
        <f t="shared" si="136"/>
        <v>6.1415041199641625</v>
      </c>
      <c r="X375" s="153">
        <f t="shared" si="137"/>
        <v>47113</v>
      </c>
      <c r="Y375" s="380">
        <f t="shared" si="138"/>
        <v>5.9990867715107523</v>
      </c>
      <c r="Z375" s="380">
        <f t="shared" si="139"/>
        <v>6.215686079895864</v>
      </c>
      <c r="AA375" s="381">
        <f t="shared" si="140"/>
        <v>6.5874122983250984</v>
      </c>
      <c r="AB375" s="193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5.6429778734777065E-2</v>
      </c>
      <c r="AD375" s="227">
        <f>(INDEX(Models!$BJ375:$BT375,,AH375)*(1-AF375)+INDEX(Models!$BJ375:$BT375,,AH375+1)*AF375-ERP_i)*AE375*Ramure*Pc/MaxiM</f>
        <v>2.3461270553610095E-2</v>
      </c>
      <c r="AE375" s="301">
        <f t="shared" si="142"/>
        <v>0.5</v>
      </c>
      <c r="AF375" s="173">
        <f t="shared" si="143"/>
        <v>0.49381628331107663</v>
      </c>
      <c r="AG375" s="802">
        <f t="shared" si="149"/>
        <v>3</v>
      </c>
      <c r="AH375" s="172">
        <f t="shared" si="144"/>
        <v>9</v>
      </c>
      <c r="AI375" s="221">
        <f t="shared" si="145"/>
        <v>3.4938162833110766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47114</v>
      </c>
      <c r="B376" s="406">
        <f>'2027'!Wh/'2027'!Env_an*'2028'!Env_an</f>
        <v>12.580840660255801</v>
      </c>
      <c r="C376" s="832"/>
      <c r="D376" s="388">
        <f t="shared" si="127"/>
        <v>13.035255136485825</v>
      </c>
      <c r="E376" s="380">
        <f t="shared" si="150"/>
        <v>13.495026577651483</v>
      </c>
      <c r="F376" s="380">
        <f t="shared" si="128"/>
        <v>13.722372037976818</v>
      </c>
      <c r="G376" s="110">
        <f t="shared" si="151"/>
        <v>0.79302049803902974</v>
      </c>
      <c r="H376" s="409" t="b">
        <f>Wh_hp&gt;='2027'!Maxi_hp</f>
        <v>0</v>
      </c>
      <c r="I376" s="385">
        <f>IF(H376,Wh_hp,'2027'!Maxi_hp)</f>
        <v>13.804733458354512</v>
      </c>
      <c r="J376" s="85">
        <f>IF(H376,An,'2027'!An_max)</f>
        <v>2022</v>
      </c>
      <c r="K376" s="193">
        <f t="shared" si="129"/>
        <v>47114</v>
      </c>
      <c r="L376" s="143">
        <f>IF(t&lt;Tvie,1-EXP((T0-t)*PertePVj)+'2027'!Pspv,1-EXP((T0-t)*PertePVj)+Pspv)</f>
        <v>3.4860420565003936E-2</v>
      </c>
      <c r="M376" s="836"/>
      <c r="N376" s="836"/>
      <c r="O376" s="48">
        <f>IF(t&lt;Tnet,'2027'!Resal+('2027'!Salim-'2027'!Resal)*(1-EXP(('2027'!Tnet-t)/('2027'!Tau_j))),Resal+(Salim-Resal)*(1-EXP((Tnet-t)/(Tau_j))))*Salcycl</f>
        <v>3.4069695122132287E-2</v>
      </c>
      <c r="P376" s="165">
        <f>(INDEX(Models!$BJ376:$BT376,,T376)*(1-R376)+INDEX(Models!$BJ376:$BT376,,T376+1)*R376-ERP_i)*Q376*Ramure*Pc/MaxiM</f>
        <v>2.3266201503275775E-2</v>
      </c>
      <c r="Q376" s="301">
        <f t="shared" si="130"/>
        <v>0.5</v>
      </c>
      <c r="R376" s="173">
        <f t="shared" si="131"/>
        <v>0.49381628331107663</v>
      </c>
      <c r="S376" s="802">
        <f t="shared" si="132"/>
        <v>3</v>
      </c>
      <c r="T376" s="172">
        <f t="shared" si="133"/>
        <v>9</v>
      </c>
      <c r="U376" s="247">
        <f t="shared" si="134"/>
        <v>3.4938162833110766</v>
      </c>
      <c r="V376" s="378">
        <f t="shared" si="135"/>
        <v>15.756396838681489</v>
      </c>
      <c r="W376" s="397">
        <f t="shared" si="136"/>
        <v>12.580840660255801</v>
      </c>
      <c r="X376" s="153">
        <f t="shared" si="137"/>
        <v>47114</v>
      </c>
      <c r="Y376" s="380">
        <f t="shared" si="138"/>
        <v>12.289369903404561</v>
      </c>
      <c r="Z376" s="380">
        <f t="shared" si="139"/>
        <v>12.733256583051853</v>
      </c>
      <c r="AA376" s="381">
        <f t="shared" si="140"/>
        <v>13.495026577651483</v>
      </c>
      <c r="AB376" s="193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5.6448202618671693E-2</v>
      </c>
      <c r="AD376" s="227">
        <f>(INDEX(Models!$BJ376:$BT376,,AH376)*(1-AF376)+INDEX(Models!$BJ376:$BT376,,AH376+1)*AF376-ERP_i)*AE376*Ramure*Pc/MaxiM</f>
        <v>2.3266201503275775E-2</v>
      </c>
      <c r="AE376" s="301">
        <f t="shared" si="142"/>
        <v>0.5</v>
      </c>
      <c r="AF376" s="173">
        <f t="shared" si="143"/>
        <v>0.49381628331107663</v>
      </c>
      <c r="AG376" s="802">
        <f t="shared" si="149"/>
        <v>3</v>
      </c>
      <c r="AH376" s="172">
        <f t="shared" si="144"/>
        <v>9</v>
      </c>
      <c r="AI376" s="221">
        <f t="shared" si="145"/>
        <v>3.4938162833110766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47115</v>
      </c>
      <c r="B377" s="406">
        <f>'2027'!Wh/'2027'!Env_an*'2028'!Env_an</f>
        <v>9.5872515991678302</v>
      </c>
      <c r="C377" s="832"/>
      <c r="D377" s="388">
        <f t="shared" si="127"/>
        <v>9.9336749281387782</v>
      </c>
      <c r="E377" s="380">
        <f t="shared" si="150"/>
        <v>10.284477481709263</v>
      </c>
      <c r="F377" s="380">
        <f t="shared" si="128"/>
        <v>10.388444053361214</v>
      </c>
      <c r="G377" s="110">
        <f t="shared" si="151"/>
        <v>0.59596802792407899</v>
      </c>
      <c r="H377" s="409" t="b">
        <f>Wh_hp&gt;='2027'!Maxi_hp</f>
        <v>0</v>
      </c>
      <c r="I377" s="385">
        <f>IF(H377,Wh_hp,'2027'!Maxi_hp)</f>
        <v>10.509716295214137</v>
      </c>
      <c r="J377" s="85">
        <f>IF(H377,An,'2027'!An_max)</f>
        <v>2022</v>
      </c>
      <c r="K377" s="193">
        <f t="shared" si="129"/>
        <v>47115</v>
      </c>
      <c r="L377" s="143">
        <f>IF(t&lt;Tvie,1-EXP((T0-t)*PertePVj)+'2027'!Pspv,1-EXP((T0-t)*PertePVj)+Pspv)</f>
        <v>3.4873632515359021E-2</v>
      </c>
      <c r="M377" s="836"/>
      <c r="N377" s="836"/>
      <c r="O377" s="48">
        <f>IF(t&lt;Tnet,'2027'!Resal+('2027'!Salim-'2027'!Resal)*(1-EXP(('2027'!Tnet-t)/('2027'!Tau_j))),Resal+(Salim-Resal)*(1-EXP((Tnet-t)/(Tau_j))))*Salcycl</f>
        <v>3.4109905359254303E-2</v>
      </c>
      <c r="P377" s="165">
        <f>(INDEX(Models!$BJ377:$BT377,,T377)*(1-R377)+INDEX(Models!$BJ377:$BT377,,T377+1)*R377-ERP_i)*Q377*Ramure*Pc/MaxiM</f>
        <v>2.3050264072332974E-2</v>
      </c>
      <c r="Q377" s="301">
        <f t="shared" si="130"/>
        <v>0.5</v>
      </c>
      <c r="R377" s="173">
        <f t="shared" si="131"/>
        <v>0.49381628331107663</v>
      </c>
      <c r="S377" s="802">
        <f t="shared" si="132"/>
        <v>3</v>
      </c>
      <c r="T377" s="172">
        <f t="shared" si="133"/>
        <v>9</v>
      </c>
      <c r="U377" s="247">
        <f t="shared" si="134"/>
        <v>3.4938162833110766</v>
      </c>
      <c r="V377" s="378">
        <f t="shared" si="135"/>
        <v>15.874924064698648</v>
      </c>
      <c r="W377" s="397">
        <f t="shared" si="136"/>
        <v>9.5872515991678302</v>
      </c>
      <c r="X377" s="153">
        <f t="shared" si="137"/>
        <v>47115</v>
      </c>
      <c r="Y377" s="380">
        <f t="shared" si="138"/>
        <v>9.365340840286029</v>
      </c>
      <c r="Z377" s="380">
        <f t="shared" si="139"/>
        <v>9.7037457019171836</v>
      </c>
      <c r="AA377" s="381">
        <f t="shared" si="140"/>
        <v>10.284477481709263</v>
      </c>
      <c r="AB377" s="193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5.6466823990319347E-2</v>
      </c>
      <c r="AD377" s="227">
        <f>(INDEX(Models!$BJ377:$BT377,,AH377)*(1-AF377)+INDEX(Models!$BJ377:$BT377,,AH377+1)*AF377-ERP_i)*AE377*Ramure*Pc/MaxiM</f>
        <v>2.3050264072332974E-2</v>
      </c>
      <c r="AE377" s="301">
        <f t="shared" si="142"/>
        <v>0.5</v>
      </c>
      <c r="AF377" s="173">
        <f t="shared" si="143"/>
        <v>0.49381628331107663</v>
      </c>
      <c r="AG377" s="802">
        <f t="shared" si="149"/>
        <v>3</v>
      </c>
      <c r="AH377" s="172">
        <f t="shared" si="144"/>
        <v>9</v>
      </c>
      <c r="AI377" s="221">
        <f t="shared" si="145"/>
        <v>3.4938162833110766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47116</v>
      </c>
      <c r="B378" s="406">
        <f>'2027'!Wh/'2027'!Env_an*'2028'!Env_an</f>
        <v>11.48896098145514</v>
      </c>
      <c r="C378" s="832"/>
      <c r="D378" s="388">
        <f t="shared" si="127"/>
        <v>11.904263156522669</v>
      </c>
      <c r="E378" s="380">
        <f t="shared" si="150"/>
        <v>12.32517008612356</v>
      </c>
      <c r="F378" s="380">
        <f t="shared" si="128"/>
        <v>12.49529554484703</v>
      </c>
      <c r="G378" s="110">
        <f t="shared" si="151"/>
        <v>0.71101134423070278</v>
      </c>
      <c r="H378" s="409" t="b">
        <f>Wh_hp&gt;='2027'!Maxi_hp</f>
        <v>0</v>
      </c>
      <c r="I378" s="385">
        <f>IF(H378,Wh_hp,'2027'!Maxi_hp)</f>
        <v>12.598220111558174</v>
      </c>
      <c r="J378" s="85">
        <f>IF(H378,An,'2027'!An_max)</f>
        <v>2022</v>
      </c>
      <c r="K378" s="193">
        <f t="shared" si="129"/>
        <v>47116</v>
      </c>
      <c r="L378" s="143">
        <f>IF(t&lt;Tvie,1-EXP((T0-t)*PertePVj)+'2027'!Pspv,1-EXP((T0-t)*PertePVj)+Pspv)</f>
        <v>3.488684428485378E-2</v>
      </c>
      <c r="M378" s="836"/>
      <c r="N378" s="836"/>
      <c r="O378" s="48">
        <f>IF(t&lt;Tnet,'2027'!Resal+('2027'!Salim-'2027'!Resal)*(1-EXP(('2027'!Tnet-t)/('2027'!Tau_j))),Resal+(Salim-Resal)*(1-EXP((Tnet-t)/(Tau_j))))*Salcycl</f>
        <v>3.4150192383533423E-2</v>
      </c>
      <c r="P378" s="165">
        <f>(INDEX(Models!$BJ378:$BT378,,T378)*(1-R378)+INDEX(Models!$BJ378:$BT378,,T378+1)*R378-ERP_i)*Q378*Ramure*Pc/MaxiM</f>
        <v>2.2816535651623868E-2</v>
      </c>
      <c r="Q378" s="301">
        <f t="shared" si="130"/>
        <v>0.5</v>
      </c>
      <c r="R378" s="173">
        <f t="shared" si="131"/>
        <v>0.49381628331107663</v>
      </c>
      <c r="S378" s="802">
        <f t="shared" si="132"/>
        <v>3</v>
      </c>
      <c r="T378" s="172">
        <f t="shared" si="133"/>
        <v>9</v>
      </c>
      <c r="U378" s="247">
        <f t="shared" si="134"/>
        <v>3.4938162833110766</v>
      </c>
      <c r="V378" s="378">
        <f t="shared" si="135"/>
        <v>16.007884620132657</v>
      </c>
      <c r="W378" s="397">
        <f t="shared" si="136"/>
        <v>11.48896098145514</v>
      </c>
      <c r="X378" s="153">
        <f t="shared" si="137"/>
        <v>47116</v>
      </c>
      <c r="Y378" s="380">
        <f t="shared" si="138"/>
        <v>11.223276952281244</v>
      </c>
      <c r="Z378" s="380">
        <f t="shared" si="139"/>
        <v>11.628975199249902</v>
      </c>
      <c r="AA378" s="381">
        <f t="shared" si="140"/>
        <v>12.32517008612356</v>
      </c>
      <c r="AB378" s="193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5.6485621050980504E-2</v>
      </c>
      <c r="AD378" s="227">
        <f>(INDEX(Models!$BJ378:$BT378,,AH378)*(1-AF378)+INDEX(Models!$BJ378:$BT378,,AH378+1)*AF378-ERP_i)*AE378*Ramure*Pc/MaxiM</f>
        <v>2.2816535651623868E-2</v>
      </c>
      <c r="AE378" s="301">
        <f t="shared" si="142"/>
        <v>0.5</v>
      </c>
      <c r="AF378" s="173">
        <f t="shared" si="143"/>
        <v>0.49381628331107663</v>
      </c>
      <c r="AG378" s="802">
        <f t="shared" si="149"/>
        <v>3</v>
      </c>
      <c r="AH378" s="172">
        <f t="shared" si="144"/>
        <v>9</v>
      </c>
      <c r="AI378" s="221">
        <f t="shared" si="145"/>
        <v>3.4938162833110766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47117</v>
      </c>
      <c r="B379" s="406">
        <f>'2027'!Wh/'2027'!Env_an*'2028'!Env_an</f>
        <v>10.448846190245829</v>
      </c>
      <c r="C379" s="832"/>
      <c r="D379" s="388">
        <f t="shared" si="127"/>
        <v>10.826698575454634</v>
      </c>
      <c r="E379" s="380">
        <f t="shared" si="150"/>
        <v>11.209973678027922</v>
      </c>
      <c r="F379" s="380">
        <f t="shared" si="128"/>
        <v>11.33674194211771</v>
      </c>
      <c r="G379" s="110">
        <f t="shared" si="151"/>
        <v>0.63939001856505551</v>
      </c>
      <c r="H379" s="409" t="b">
        <f>Wh_hp&gt;='2027'!Maxi_hp</f>
        <v>0</v>
      </c>
      <c r="I379" s="385">
        <f>IF(H379,Wh_hp,'2027'!Maxi_hp)</f>
        <v>11.452210730428593</v>
      </c>
      <c r="J379" s="85">
        <f>IF(H379,An,'2027'!An_max)</f>
        <v>2022</v>
      </c>
      <c r="K379" s="193">
        <f t="shared" si="129"/>
        <v>47117</v>
      </c>
      <c r="L379" s="143">
        <f>IF(t&lt;Tvie,1-EXP((T0-t)*PertePVj)+'2027'!Pspv,1-EXP((T0-t)*PertePVj)+Pspv)</f>
        <v>3.4900055873490321E-2</v>
      </c>
      <c r="M379" s="836"/>
      <c r="N379" s="836"/>
      <c r="O379" s="48">
        <f>IF(t&lt;Tnet,'2027'!Resal+('2027'!Salim-'2027'!Resal)*(1-EXP(('2027'!Tnet-t)/('2027'!Tau_j))),Resal+(Salim-Resal)*(1-EXP((Tnet-t)/(Tau_j))))*Salcycl</f>
        <v>3.4190544383215206E-2</v>
      </c>
      <c r="P379" s="165">
        <f>(INDEX(Models!$BJ379:$BT379,,T379)*(1-R379)+INDEX(Models!$BJ379:$BT379,,T379+1)*R379-ERP_i)*Q379*Ramure*Pc/MaxiM</f>
        <v>2.2568018909731723E-2</v>
      </c>
      <c r="Q379" s="302">
        <f t="shared" si="130"/>
        <v>0.5</v>
      </c>
      <c r="R379" s="173">
        <f t="shared" si="131"/>
        <v>0.49381628331107663</v>
      </c>
      <c r="S379" s="802">
        <f t="shared" si="132"/>
        <v>3</v>
      </c>
      <c r="T379" s="172">
        <f t="shared" si="133"/>
        <v>9</v>
      </c>
      <c r="U379" s="303">
        <f t="shared" si="134"/>
        <v>3.4938162833110766</v>
      </c>
      <c r="V379" s="378">
        <f t="shared" si="135"/>
        <v>16.15372543607744</v>
      </c>
      <c r="W379" s="397">
        <f t="shared" si="136"/>
        <v>10.448846190245829</v>
      </c>
      <c r="X379" s="153">
        <f t="shared" si="137"/>
        <v>47117</v>
      </c>
      <c r="Y379" s="380">
        <f t="shared" si="138"/>
        <v>10.207436397455613</v>
      </c>
      <c r="Z379" s="380">
        <f t="shared" si="139"/>
        <v>10.57655889379844</v>
      </c>
      <c r="AA379" s="381">
        <f t="shared" si="140"/>
        <v>11.209973678027922</v>
      </c>
      <c r="AB379" s="193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5.6504573732497211E-2</v>
      </c>
      <c r="AD379" s="227">
        <f>(INDEX(Models!$BJ379:$BT379,,AH379)*(1-AF379)+INDEX(Models!$BJ379:$BT379,,AH379+1)*AF379-ERP_i)*AE379*Ramure*Pc/MaxiM</f>
        <v>2.2568018909731723E-2</v>
      </c>
      <c r="AE379" s="302">
        <f t="shared" si="142"/>
        <v>0.5</v>
      </c>
      <c r="AF379" s="173">
        <f t="shared" si="143"/>
        <v>0.49381628331107663</v>
      </c>
      <c r="AG379" s="802">
        <f t="shared" si="149"/>
        <v>3</v>
      </c>
      <c r="AH379" s="172">
        <f t="shared" si="144"/>
        <v>9</v>
      </c>
      <c r="AI379" s="218">
        <f t="shared" si="145"/>
        <v>3.4938162833110766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600">
        <f>A379+1</f>
        <v>47118</v>
      </c>
      <c r="B380" s="794">
        <f>AVERAGE(B366:B379)</f>
        <v>11.690274930614889</v>
      </c>
      <c r="C380" s="842"/>
      <c r="D380" s="599">
        <f t="shared" si="127"/>
        <v>12.113185824949042</v>
      </c>
      <c r="E380" s="595">
        <f t="shared" si="150"/>
        <v>12.542528497939713</v>
      </c>
      <c r="F380" s="595">
        <f t="shared" si="128"/>
        <v>12.711333760630861</v>
      </c>
      <c r="G380" s="110">
        <f t="shared" si="151"/>
        <v>0.71015840641654071</v>
      </c>
      <c r="H380" s="596" t="b">
        <f>Wh_hp&gt;='2027'!Maxi_hp</f>
        <v>0</v>
      </c>
      <c r="I380" s="597">
        <f>IF(H380,Wh_hp,'2027'!Maxi_hp)</f>
        <v>12.79301018817635</v>
      </c>
      <c r="J380" s="147">
        <f>IF(H380,An,'2027'!An_max)</f>
        <v>2024</v>
      </c>
      <c r="K380" s="230">
        <f t="shared" si="129"/>
        <v>47118</v>
      </c>
      <c r="L380" s="143">
        <f>IF(t&lt;Tvie,1-EXP((T0-t)*PertePVj)+'2027'!Pspv,1-EXP((T0-t)*PertePVj)+Pspv)</f>
        <v>3.4913267281271421E-2</v>
      </c>
      <c r="M380" s="836"/>
      <c r="N380" s="836"/>
      <c r="O380" s="48">
        <f>IF(t&lt;Tnet,'2027'!Resal+('2027'!Salim-'2027'!Resal)*(1-EXP(('2027'!Tnet-t)/('2027'!Tau_j))),Resal+(Salim-Resal)*(1-EXP((Tnet-t)/(Tau_j))))*Salcycl</f>
        <v>3.4230950566402636E-2</v>
      </c>
      <c r="P380" s="227">
        <f>(INDEX(Models!$BJ380:$BT380,,T380)*(1-R380)+INDEX(Models!$BJ380:$BT380,,T380+1)*R380-ERP_i)*Q380*Ramure*Pc/MaxiM</f>
        <v>2.2307605112938673E-2</v>
      </c>
      <c r="Q380" s="324">
        <f t="shared" si="130"/>
        <v>0.5</v>
      </c>
      <c r="R380" s="310">
        <f>(Hp_vg-S380)/(INDEX(Echel_vg,T380+1)-S380)</f>
        <v>0.49381628331107663</v>
      </c>
      <c r="S380" s="803">
        <f>INDEX(Echel_vg,T380)</f>
        <v>3</v>
      </c>
      <c r="T380" s="229">
        <f t="shared" si="133"/>
        <v>9</v>
      </c>
      <c r="U380" s="297">
        <f t="shared" si="134"/>
        <v>3.4938162833110766</v>
      </c>
      <c r="V380" s="378">
        <f t="shared" si="135"/>
        <v>16.310893620862281</v>
      </c>
      <c r="W380" s="397">
        <f t="shared" si="136"/>
        <v>11.690274930614889</v>
      </c>
      <c r="X380" s="322">
        <f t="shared" si="137"/>
        <v>47118</v>
      </c>
      <c r="Y380" s="595">
        <f t="shared" si="138"/>
        <v>11.420429934163531</v>
      </c>
      <c r="Z380" s="595">
        <f t="shared" si="139"/>
        <v>11.833578834921129</v>
      </c>
      <c r="AA380" s="598">
        <f t="shared" si="140"/>
        <v>12.542528497939713</v>
      </c>
      <c r="AB380" s="230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5.6523663720201213E-2</v>
      </c>
      <c r="AD380" s="227">
        <f>(INDEX(Models!$BJ380:$BT380,,AH380)*(1-AF380)+INDEX(Models!$BJ380:$BT380,,AH380+1)*AF380-ERP_i)*AE380*Ramure*Pc/MaxiM</f>
        <v>2.2307605112938673E-2</v>
      </c>
      <c r="AE380" s="324">
        <f t="shared" si="142"/>
        <v>0.5</v>
      </c>
      <c r="AF380" s="310">
        <f>(Hp_vg_s-AG380)/(INDEX(Echel_vg,AH380+1)-AG380)</f>
        <v>0.49381628331107663</v>
      </c>
      <c r="AG380" s="803">
        <f>INDEX(Echel_vg,AH380)</f>
        <v>3</v>
      </c>
      <c r="AH380" s="229">
        <f t="shared" si="144"/>
        <v>9</v>
      </c>
      <c r="AI380" s="221">
        <f t="shared" si="145"/>
        <v>3.4938162833110766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3.0079069281547133E-2</v>
      </c>
      <c r="M381" s="838"/>
      <c r="N381" s="838"/>
      <c r="O381" s="47">
        <f t="shared" si="152"/>
        <v>1.6106033604694817E-2</v>
      </c>
      <c r="P381" s="164">
        <f t="shared" si="152"/>
        <v>5.6271634548898918E-6</v>
      </c>
      <c r="Q381" s="306">
        <f t="shared" si="152"/>
        <v>0.5</v>
      </c>
      <c r="R381" s="307">
        <f t="shared" si="152"/>
        <v>2.8401036715886008E-4</v>
      </c>
      <c r="S381" s="802">
        <f t="shared" si="152"/>
        <v>2</v>
      </c>
      <c r="T381" s="172">
        <f t="shared" si="152"/>
        <v>8</v>
      </c>
      <c r="U381" s="248">
        <f>+MIN(U15:U380)</f>
        <v>2.9938175563472478</v>
      </c>
      <c r="V381" s="368">
        <f>MIN(V15:V380)</f>
        <v>15.426878225567998</v>
      </c>
      <c r="W381" s="795" t="s">
        <v>40</v>
      </c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4.7218021071016227E-2</v>
      </c>
      <c r="AD381" s="164">
        <f t="shared" si="153"/>
        <v>5.6271634548898918E-6</v>
      </c>
      <c r="AE381" s="306">
        <f t="shared" si="153"/>
        <v>0.5</v>
      </c>
      <c r="AF381" s="307">
        <f t="shared" si="153"/>
        <v>2.8401036715886008E-4</v>
      </c>
      <c r="AG381" s="802">
        <f t="shared" si="153"/>
        <v>2</v>
      </c>
      <c r="AH381" s="172">
        <f t="shared" si="153"/>
        <v>8</v>
      </c>
      <c r="AI381" s="222">
        <f>MIN(AI15:AI380)</f>
        <v>2.9938175563472478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29.937276837385248</v>
      </c>
      <c r="C382" s="370"/>
      <c r="D382" s="370">
        <f>AVERAGE(D15:D380)</f>
        <v>30.941052859579568</v>
      </c>
      <c r="E382" s="370">
        <f>AVERAGE(E15:E380)</f>
        <v>31.778287655010779</v>
      </c>
      <c r="F382" s="371">
        <f>AVERAGE(F15:F380)</f>
        <v>31.827192971876251</v>
      </c>
      <c r="G382" s="126">
        <f>AVERAGE(G15:G380)</f>
        <v>0.69464639813023377</v>
      </c>
      <c r="H382" s="94"/>
      <c r="I382" s="371">
        <f>AVERAGE(I15:I380)</f>
        <v>31.852969695892629</v>
      </c>
      <c r="J382" s="59">
        <f>AVERAGE(J15:J380)</f>
        <v>2022.5901639344263</v>
      </c>
      <c r="K382" s="196" t="s">
        <v>8</v>
      </c>
      <c r="L382" s="143">
        <f t="shared" ref="L382:V382" si="154">AVERAGE(L15:L380)</f>
        <v>3.2498175636348485E-2</v>
      </c>
      <c r="M382" s="836"/>
      <c r="N382" s="836"/>
      <c r="O382" s="48">
        <f t="shared" si="154"/>
        <v>2.6260532882705766E-2</v>
      </c>
      <c r="P382" s="165">
        <f t="shared" si="154"/>
        <v>5.7822617433014459E-3</v>
      </c>
      <c r="Q382" s="308">
        <f t="shared" si="154"/>
        <v>0.5</v>
      </c>
      <c r="R382" s="173">
        <f t="shared" si="154"/>
        <v>0.43004026572334436</v>
      </c>
      <c r="S382" s="802">
        <f t="shared" si="154"/>
        <v>2.8442622950819674</v>
      </c>
      <c r="T382" s="172">
        <f t="shared" si="154"/>
        <v>8.8442622950819665</v>
      </c>
      <c r="U382" s="247">
        <f t="shared" si="154"/>
        <v>3.2743025608053147</v>
      </c>
      <c r="V382" s="370">
        <f t="shared" si="154"/>
        <v>41.226869725779643</v>
      </c>
      <c r="X382" s="112" t="s">
        <v>8</v>
      </c>
      <c r="Y382" s="370">
        <f>AVERAGE(Y15:Y380)</f>
        <v>29.099939983362852</v>
      </c>
      <c r="Z382" s="370">
        <f>AVERAGE(Z15:Z380)</f>
        <v>30.075696380770747</v>
      </c>
      <c r="AA382" s="370">
        <f>AVERAGE(AA15:AA380)</f>
        <v>31.778287655010779</v>
      </c>
      <c r="AB382" s="196" t="s">
        <v>8</v>
      </c>
      <c r="AC382" s="48">
        <f t="shared" ref="AC382:AH382" si="155">AVERAGE(AC15:AC380)</f>
        <v>5.3261681661236397E-2</v>
      </c>
      <c r="AD382" s="165">
        <f t="shared" si="155"/>
        <v>5.7822617433014459E-3</v>
      </c>
      <c r="AE382" s="308">
        <f t="shared" si="155"/>
        <v>0.5</v>
      </c>
      <c r="AF382" s="173">
        <f t="shared" si="155"/>
        <v>0.43004026572334436</v>
      </c>
      <c r="AG382" s="802">
        <f t="shared" si="155"/>
        <v>2.8442622950819674</v>
      </c>
      <c r="AH382" s="172">
        <f t="shared" si="155"/>
        <v>8.8442622950819665</v>
      </c>
      <c r="AI382" s="221">
        <f>AVERAGE(AI15:AI380)</f>
        <v>3.2743025608053147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63.768629454074166</v>
      </c>
      <c r="C383" s="372"/>
      <c r="D383" s="372">
        <f>MAX(D15:D380)</f>
        <v>65.906612691735603</v>
      </c>
      <c r="E383" s="372">
        <f>MAX(E15:E380)</f>
        <v>67.726845896073783</v>
      </c>
      <c r="F383" s="373">
        <f>MAX(F15:F380)</f>
        <v>67.727273228607231</v>
      </c>
      <c r="G383" s="127">
        <f>+MAX(G15:G380)</f>
        <v>1.0444694332725442</v>
      </c>
      <c r="H383" s="94"/>
      <c r="I383" s="373">
        <f>MAX(I15:I380)</f>
        <v>67.727273228607231</v>
      </c>
      <c r="J383" s="60">
        <f>MAX(J15:J380)</f>
        <v>2028</v>
      </c>
      <c r="K383" s="196" t="s">
        <v>9</v>
      </c>
      <c r="L383" s="144">
        <f t="shared" ref="L383:T383" si="156">MAX(L15:L380)</f>
        <v>3.4913267281271421E-2</v>
      </c>
      <c r="M383" s="839"/>
      <c r="N383" s="839"/>
      <c r="O383" s="49">
        <f t="shared" si="156"/>
        <v>3.4230950566402636E-2</v>
      </c>
      <c r="P383" s="166">
        <f t="shared" si="156"/>
        <v>2.3993270613210355E-2</v>
      </c>
      <c r="Q383" s="309">
        <f t="shared" si="156"/>
        <v>0.5</v>
      </c>
      <c r="R383" s="310">
        <f t="shared" si="156"/>
        <v>0.99999953477234849</v>
      </c>
      <c r="S383" s="803">
        <f t="shared" si="156"/>
        <v>3</v>
      </c>
      <c r="T383" s="229">
        <f t="shared" si="156"/>
        <v>9</v>
      </c>
      <c r="U383" s="249">
        <f>+MAX(U15:U380)</f>
        <v>3.4938162833110766</v>
      </c>
      <c r="V383" s="372">
        <f>MAX(V15:V380)</f>
        <v>61.506014000748856</v>
      </c>
      <c r="X383" s="112" t="s">
        <v>9</v>
      </c>
      <c r="Y383" s="372">
        <f>MAX(Y15:Y380)</f>
        <v>61.956380564640035</v>
      </c>
      <c r="Z383" s="372">
        <f>MAX(Z15:Z380)</f>
        <v>64.03360418144635</v>
      </c>
      <c r="AA383" s="372">
        <f>MAX(AA15:AA380)</f>
        <v>67.726845896073783</v>
      </c>
      <c r="AB383" s="196" t="s">
        <v>9</v>
      </c>
      <c r="AC383" s="49">
        <f t="shared" ref="AC383:AH383" si="157">MAX(AC15:AC380)</f>
        <v>5.6691005568463231E-2</v>
      </c>
      <c r="AD383" s="166">
        <f t="shared" si="157"/>
        <v>2.3993270613210355E-2</v>
      </c>
      <c r="AE383" s="309">
        <f t="shared" si="157"/>
        <v>0.5</v>
      </c>
      <c r="AF383" s="310">
        <f t="shared" si="157"/>
        <v>0.99999953477234849</v>
      </c>
      <c r="AG383" s="803">
        <f t="shared" si="157"/>
        <v>3</v>
      </c>
      <c r="AH383" s="229">
        <f t="shared" si="157"/>
        <v>9</v>
      </c>
      <c r="AI383" s="223">
        <f>MAX(AI15:AI380)</f>
        <v>3.4938162833110766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'2028'!An+1</f>
        <v>2029</v>
      </c>
      <c r="K1" s="1250"/>
      <c r="L1" s="113" t="str">
        <f>"Calcul pertes et enveloppes en "&amp;TEXT(An,0)</f>
        <v>Calcul pertes et enveloppes en 2029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2029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56.739303729470763</v>
      </c>
      <c r="AK3" s="825">
        <f>AM11-AK11</f>
        <v>-0.14299441876948293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314.77101354186516</v>
      </c>
      <c r="AK4" s="825">
        <f>AM12-AK12</f>
        <v>11.494206757263312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371.57319401519692</v>
      </c>
      <c r="AA5" s="233">
        <f>Wh_Pvg_s-Wh_Pvg</f>
        <v>11.254419501199729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2616.2495228989324</v>
      </c>
      <c r="AK5" s="510">
        <f>SUMIF(AK15:AK380,"VRAI",Wh)</f>
        <v>1634.4954603003468</v>
      </c>
      <c r="AL5" s="510">
        <f>SUMIF(AJ15:AJ380,"VRAI",Wh_s)</f>
        <v>2559.3929882372404</v>
      </c>
      <c r="AM5" s="510">
        <f>SUMIF(AK15:AK380,"VRAI",Wh_s)</f>
        <v>1598.5371585942257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8426.0432272384514</v>
      </c>
      <c r="AK6" s="510">
        <f>SUMIF(AK15:AK380,"FAUX",Wh)</f>
        <v>9407.7972898370372</v>
      </c>
      <c r="AL6" s="510">
        <f>SUMIF(AJ15:AJ380,"FAUX",Wh_s)</f>
        <v>8099.304375540717</v>
      </c>
      <c r="AM6" s="510">
        <f>SUMIF(AK15:AK380,"FAUX",Wh_s)</f>
        <v>9060.1602051837326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AND(YEAR(Tnet)=An,Resal_2029="I")</f>
        <v>0</v>
      </c>
      <c r="F7" s="316" t="b">
        <f>YEAR(Tnet)=An</f>
        <v>1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2713.6361061649645</v>
      </c>
      <c r="AK7" s="510">
        <f>SUMIF(AK15:AK380,"VRAI",Wh_sa)</f>
        <v>1759.0685178745514</v>
      </c>
      <c r="AL7" s="510">
        <f>SUMIF(AJ15:AJ380,"VRAI",Wh_pvt_s)</f>
        <v>2654.6637129992137</v>
      </c>
      <c r="AM7" s="510">
        <f>SUMIF(AK15:AK380,"VRAI",Wh_sa_s)</f>
        <v>1759.0685178745514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AND(YEAR(Tnet)=An,Resal_2029&lt;&gt;"I")</f>
        <v>1</v>
      </c>
      <c r="F8" s="317" t="b">
        <f>YEAR(Ttai)=An</f>
        <v>1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8756.3764383625512</v>
      </c>
      <c r="AK8" s="510">
        <f>SUMIF(AK15:AK380,"FAUX",Wh_sa)</f>
        <v>9874.7672838755534</v>
      </c>
      <c r="AL8" s="510">
        <f>SUMIF(AJ15:AJ380,"FAUX",Wh_pvt_s)</f>
        <v>8416.8237196810496</v>
      </c>
      <c r="AM8" s="510">
        <f>SUMIF(AK15:AK380,"FAUX",Wh_sa_s)</f>
        <v>9862.2045993383781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11470.01254452751</v>
      </c>
      <c r="E9" s="180">
        <f>SUM(E$15:E$380)</f>
        <v>11633.835801750105</v>
      </c>
      <c r="F9" s="180">
        <f>SUM(F$15:F$380)</f>
        <v>11642.206553821024</v>
      </c>
      <c r="H9" s="1251">
        <f>+SUM(Wh)</f>
        <v>11042.292750137391</v>
      </c>
      <c r="I9" s="1252"/>
      <c r="J9" s="1253"/>
      <c r="K9" s="187"/>
      <c r="L9" s="228"/>
      <c r="M9" s="228"/>
      <c r="N9" s="228"/>
      <c r="O9" s="219">
        <f>Tnet_2029</f>
        <v>47238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10658.697363777963</v>
      </c>
      <c r="Y9" s="1246"/>
      <c r="Z9" s="510">
        <f>SUM(Z$15:Z$380)</f>
        <v>11071.48743268026</v>
      </c>
      <c r="AA9" s="510">
        <f>SUM(AA$15:AA$380)</f>
        <v>11621.273117212921</v>
      </c>
      <c r="AB9" s="510">
        <f>F9</f>
        <v>11642.206553821024</v>
      </c>
      <c r="AC9" s="321">
        <f>IF(An_Tnet,Tnet,'2028'!Tnet_s)</f>
        <v>47238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2818.6871153317725</v>
      </c>
      <c r="AK9" s="510">
        <f>SUMIF(AK15:AK380,"VRAI",Wh_hp)</f>
        <v>1766.0637587050255</v>
      </c>
      <c r="AL9" s="510">
        <f>SUMIF(AJ15:AJ380,"VRAI",Wh_sa_s)</f>
        <v>2818.5661090106842</v>
      </c>
      <c r="AM9" s="510">
        <f>SUMIF(AK15:AK380,"VRAI",Wh_hp)</f>
        <v>1766.0637587050255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IF(Inflex,'2028'!Resal+('2028'!Salim-'2028'!Resal)*(1-EXP(-(Tnet-'2028'!Tnet)/('2028'!Tau_j))),IF(An_Tnet,Resal_2029,'2028'!Resal))</f>
        <v>0</v>
      </c>
      <c r="P10" s="416" t="b">
        <f>NOT(Acti_tai)</f>
        <v>0</v>
      </c>
      <c r="Q10" s="253">
        <f>IF(Acti_tai,'2028'!PousD,Dens-Dd)</f>
        <v>0</v>
      </c>
      <c r="R10" s="270"/>
      <c r="S10" s="271"/>
      <c r="T10" s="272"/>
      <c r="U10" s="262">
        <f>IF(Acti_tai,'2028'!PousH,Hdtf-Hdd)</f>
        <v>0.5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IF(OR(Inflex,GainD),'2028'!Resal_s+('2028'!Salim-'2028'!Resal_s)*(1-EXP(('2028'!Tnet_s-Tnet)/('2028'!Tau_j))),IF(Acti_net,'2028'!Resal+('2028'!Salim-'2028'!Resal)*(1-EXP(('2028'!Tnet-Tnet)/'2028'!Tau_j)),'2028'!Resal_s))</f>
        <v>3.8964123281289738E-2</v>
      </c>
      <c r="AD10" s="422"/>
      <c r="AE10" s="422"/>
      <c r="AF10" s="256"/>
      <c r="AG10" s="257"/>
      <c r="AH10" s="258"/>
      <c r="AI10" s="467"/>
      <c r="AJ10" s="510">
        <f>SUMIF(AJ15:AJ380,"FAUX",Wh_sa)</f>
        <v>8815.1486864183316</v>
      </c>
      <c r="AK10" s="510">
        <f>SUMIF(AK15:AK380,"FAUX",Wh_hp)</f>
        <v>9876.1427951160022</v>
      </c>
      <c r="AL10" s="510">
        <f>SUMIF(AJ15:AJ380,"FAUX",Wh_sa_s)</f>
        <v>8802.7070082022456</v>
      </c>
      <c r="AM10" s="510">
        <f>SUMIF(AK15:AK380,"FAUX",Wh_hp)</f>
        <v>9876.1427951160022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427.7197943901192</v>
      </c>
      <c r="E11" s="51">
        <f>(E$9-D$9)*Prod_an/D$9</f>
        <v>157.71424473254351</v>
      </c>
      <c r="F11" s="182">
        <f>(F$9-E$9)*Prod_an/E$9</f>
        <v>7.9451263092441895</v>
      </c>
      <c r="G11" s="181" t="s">
        <v>6</v>
      </c>
      <c r="K11" s="190"/>
      <c r="L11" s="207">
        <f>Tvie_2029</f>
        <v>44522</v>
      </c>
      <c r="M11" s="835"/>
      <c r="N11" s="835"/>
      <c r="O11" s="198">
        <f>IF(An_Tnet,Salim_2029,'2028'!Salim)</f>
        <v>0.08</v>
      </c>
      <c r="P11" s="252">
        <f>Ttai_2029</f>
        <v>47208</v>
      </c>
      <c r="Q11" s="268">
        <f>Dens_2029</f>
        <v>0.5</v>
      </c>
      <c r="R11" s="273"/>
      <c r="S11" s="226"/>
      <c r="T11" s="226"/>
      <c r="U11" s="262">
        <f>Htf_2029</f>
        <v>-6.1831739233302249E-3</v>
      </c>
      <c r="V11" s="422"/>
      <c r="W11" s="513"/>
      <c r="X11" s="520" t="s">
        <v>43</v>
      </c>
      <c r="Y11" s="50">
        <f>Z$9-Prod_an_s</f>
        <v>412.79006890229721</v>
      </c>
      <c r="Z11" s="51">
        <f>(AA$9-Z$9)*Prod_an_s/Z$9</f>
        <v>529.28743874774045</v>
      </c>
      <c r="AA11" s="182">
        <f>(AB$9-AA$9)*Prod_an_s/AA$9</f>
        <v>19.199545810443919</v>
      </c>
      <c r="AB11" s="521" t="s">
        <v>6</v>
      </c>
      <c r="AC11" s="321"/>
      <c r="AD11" s="422"/>
      <c r="AE11" s="268">
        <f>IF(Acti_tai,IF(GainD,Dd_s,Dd)+PousD*Croi_tai,"NA")</f>
        <v>0.5</v>
      </c>
      <c r="AF11" s="243"/>
      <c r="AG11" s="243"/>
      <c r="AH11" s="243"/>
      <c r="AI11" s="262">
        <f>IF(Acti_tai,IF(GainD,Hdd_s,Hdd)+PousH*Croi_tai,"NA")</f>
        <v>3.5188043924506469</v>
      </c>
      <c r="AJ11" s="824">
        <f>IF($AJ7=0,0,($AJ9-$AJ7)*$AJ5/$AJ7)</f>
        <v>101.28095362098078</v>
      </c>
      <c r="AK11" s="825">
        <f>IF($AK7=0,0,($AK9-$AK7)*$AK5/$AK7)</f>
        <v>6.4998544769209463</v>
      </c>
      <c r="AL11" s="824">
        <f>IF($AL7=0,0,($AL9-$AL7)*$AL5/$AL7)</f>
        <v>158.02025735045154</v>
      </c>
      <c r="AM11" s="825">
        <f>IF($AM7=0,0,($AM9-$AM7)*$AM5/$AM7)</f>
        <v>6.3568600581514634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K12" s="187"/>
      <c r="L12" s="208">
        <f>Pspv_2029</f>
        <v>0</v>
      </c>
      <c r="M12" s="208"/>
      <c r="N12" s="208"/>
      <c r="O12" s="201">
        <f>IF(An_Tnet,Tau_2029*365,'2028'!Tau_j)</f>
        <v>1095</v>
      </c>
      <c r="P12" s="277">
        <f>INDEX(Croivg,MIN(MAX(Ttai-$A$15,0)+1,366))</f>
        <v>4.9976218279140845E-2</v>
      </c>
      <c r="Q12" s="276">
        <f>'2028'!Df</f>
        <v>0.5</v>
      </c>
      <c r="R12" s="274"/>
      <c r="S12" s="275"/>
      <c r="T12" s="275"/>
      <c r="U12" s="263">
        <f>'2028'!Hdf</f>
        <v>3.4938162833110766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'2028'!Df_s</f>
        <v>0.5</v>
      </c>
      <c r="AF12" s="199"/>
      <c r="AG12" s="199"/>
      <c r="AH12" s="199"/>
      <c r="AI12" s="293">
        <f>'2028'!Hdf_s</f>
        <v>3.4938162833110766</v>
      </c>
      <c r="AJ12" s="824">
        <f>IF($AJ8=0,0,($AJ10-$AJ8)*$AJ6/$AJ8)</f>
        <v>56.555072313975693</v>
      </c>
      <c r="AK12" s="825">
        <f>IF($AK8=0,0,($AK10-$AK8)*$AK6/$AK8)</f>
        <v>1.310464393542188</v>
      </c>
      <c r="AL12" s="824">
        <f>IF($AL8=0,0,($AL10-$AL8)*$AL6/$AL8)</f>
        <v>371.32608585584086</v>
      </c>
      <c r="AM12" s="825">
        <f>IF($AM8=0,0,($AM10-$AM8)*$AM6/$AM8)</f>
        <v>12.8046711508055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157.83602593495647</v>
      </c>
      <c r="AK13" s="73">
        <f>+AK11+AK12</f>
        <v>7.8103188704631341</v>
      </c>
      <c r="AL13" s="73">
        <f>+AL11+AL12</f>
        <v>529.34634320629243</v>
      </c>
      <c r="AM13" s="73">
        <f>+AM11+AM12</f>
        <v>19.161531208956966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411"/>
      <c r="D14" s="53" t="s">
        <v>30</v>
      </c>
      <c r="E14" s="158" t="s">
        <v>29</v>
      </c>
      <c r="F14" s="158" t="str">
        <f>"Hors pertes "&amp; TEXT(An,0)</f>
        <v>Hors pertes 2029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2029</v>
      </c>
      <c r="W14" s="829" t="s">
        <v>116</v>
      </c>
      <c r="X14" s="254" t="s">
        <v>2</v>
      </c>
      <c r="Y14" s="107" t="str">
        <f>"Wh / Jour "&amp; TEXT(An,0)</f>
        <v>Wh / Jour 2029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129">
        <f>DATE(An,1,1)</f>
        <v>47119</v>
      </c>
      <c r="B15" s="405">
        <f>'2028'!Wh/'2028'!Env_an*'2029'!Env_an</f>
        <v>0</v>
      </c>
      <c r="C15" s="832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Wh_hp&gt;='2028'!Maxi_hp</f>
        <v>1</v>
      </c>
      <c r="I15" s="391">
        <f>IF(H15,Wh_hp,'2028'!Maxi_hp)</f>
        <v>0</v>
      </c>
      <c r="J15" s="84">
        <f>IF(H15,An,'2028'!An_max)</f>
        <v>2029</v>
      </c>
      <c r="K15" s="193">
        <f t="shared" ref="K15:K78" si="3">t</f>
        <v>47119</v>
      </c>
      <c r="L15" s="142">
        <f>IF(t&lt;Tvie,1-EXP((T0-t)*PertePVj)+'2028'!Pspv,1-EXP((T0-t)*PertePVj)+Pspv)</f>
        <v>3.492647850819941E-2</v>
      </c>
      <c r="M15" s="836"/>
      <c r="N15" s="836"/>
      <c r="O15" s="48">
        <f>IF(t&lt;Tnet,'2028'!Resal+('2028'!Salim-'2028'!Resal)*(1-EXP(('2028'!Tnet-t)/('2028'!Tau_j))),Resal+(Salim-Resal)*(1-EXP((Tnet-t)/(Tau_j))))*Salcycl</f>
        <v>3.42727714967953E-2</v>
      </c>
      <c r="P15" s="298">
        <f>(INDEX(Models!$BJ15:$BT15,,T15)*(1-R15)+INDEX(Models!$BJ15:$BT15,,T15+1)*R15-ERP_i)*Q15*Ramure*Pc/MaxiM</f>
        <v>2.2307613661583146E-2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0.49381747880930593</v>
      </c>
      <c r="S15" s="801">
        <f t="shared" ref="S15:S78" si="6">INDEX(Echel_vg,T15)</f>
        <v>3</v>
      </c>
      <c r="T15" s="245">
        <f t="shared" ref="T15:T78" si="7">MIN(MATCH(Hp_vg,Echel_vg),10)</f>
        <v>9</v>
      </c>
      <c r="U15" s="247">
        <f t="shared" ref="U15:U78" si="8">IF(OR(t&lt;Ttai,Notai),Hdd+PousH*Croivg,Hdtf+PousH*(Croivg-Croi_tai))</f>
        <v>3.4938174788093059</v>
      </c>
      <c r="V15" s="377">
        <f t="shared" ref="V15:V78" si="9">MaxiM*(1-Ppv)*(1-Pvg)*(1-Psa)</f>
        <v>16.309963889109223</v>
      </c>
      <c r="W15" s="397">
        <f t="shared" ref="W15:W78" si="10">Wh*(A15&gt;Tmaj)</f>
        <v>0</v>
      </c>
      <c r="X15" s="152">
        <f t="shared" ref="X15:X78" si="11">t</f>
        <v>47119</v>
      </c>
      <c r="Y15" s="380">
        <f t="shared" ref="Y15:Y78" si="12">Wh_pvt_s*(1-Ppv)</f>
        <v>0</v>
      </c>
      <c r="Z15" s="380">
        <f>Wh_sa_s*(1-Psa_s)</f>
        <v>0</v>
      </c>
      <c r="AA15" s="381">
        <f t="shared" ref="AA15:AA78" si="13">Wh_hp*(1-Pvg_s*MEDIAN((-Sdif+Wh/Env_an)/Csdif,0,1))</f>
        <v>0</v>
      </c>
      <c r="AB15" s="193">
        <f t="shared" ref="AB15:AB78" si="14">t</f>
        <v>47119</v>
      </c>
      <c r="AC15" s="119">
        <f>IF(OR(t&lt;Tnet,NoTnet),'2028'!Resal_s+('2028'!Salim-'2028'!Resal_s)*(1-EXP(('2028'!Tnet_s-t)/'2028'!Tau_j)),Resal_s+(Salim-Resal_s)*(1-EXP((Tnet_s-t)/Tau_j)))*Salcycl</f>
        <v>5.654513530179868E-2</v>
      </c>
      <c r="AD15" s="227">
        <f>(INDEX(Models!$BJ15:$BT15,,AH15)*(1-AF15)+INDEX(Models!$BJ15:$BT15,,AH15+1)*AF15-ERP_i)*AE15*Ramure*Pc/MaxiM</f>
        <v>2.2307613661583146E-2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0.49381747880930593</v>
      </c>
      <c r="AG15" s="801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3.4938174788093059</v>
      </c>
      <c r="AJ15" s="261" t="b">
        <f t="shared" ref="AJ15:AJ78" si="18">t&lt;Tnet</f>
        <v>1</v>
      </c>
      <c r="AK15" s="261" t="b">
        <f t="shared" ref="AK15:AK78" si="19">t&lt;Ttai</f>
        <v>1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47120</v>
      </c>
      <c r="B16" s="406">
        <f>'2028'!Wh/'2028'!Env_an*'2029'!Env_an</f>
        <v>0</v>
      </c>
      <c r="C16" s="832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21">+Wh_hp/MaxiM</f>
        <v>0</v>
      </c>
      <c r="H16" s="409" t="b">
        <f>Wh_hp&gt;='2028'!Maxi_hp</f>
        <v>1</v>
      </c>
      <c r="I16" s="385">
        <f>IF(H16,Wh_hp,'2028'!Maxi_hp)</f>
        <v>0</v>
      </c>
      <c r="J16" s="85">
        <f>IF(H16,An,'2028'!An_max)</f>
        <v>2029</v>
      </c>
      <c r="K16" s="193">
        <f t="shared" si="3"/>
        <v>47120</v>
      </c>
      <c r="L16" s="143">
        <f>IF(t&lt;Tvie,1-EXP((T0-t)*PertePVj)+'2028'!Pspv,1-EXP((T0-t)*PertePVj)+Pspv)</f>
        <v>3.4939689554276843E-2</v>
      </c>
      <c r="M16" s="836"/>
      <c r="N16" s="836"/>
      <c r="O16" s="48">
        <f>IF(t&lt;Tnet,'2028'!Resal+('2028'!Salim-'2028'!Resal)*(1-EXP(('2028'!Tnet-t)/('2028'!Tau_j))),Resal+(Salim-Resal)*(1-EXP((Tnet-t)/(Tau_j))))*Salcycl</f>
        <v>3.4313182254354681E-2</v>
      </c>
      <c r="P16" s="165">
        <f>(INDEX(Models!$BJ16:$BT16,,T16)*(1-R16)+INDEX(Models!$BJ16:$BT16,,T16+1)*R16-ERP_i)*Q16*Ramure*Pc/MaxiM</f>
        <v>2.204977629505523E-2</v>
      </c>
      <c r="Q16" s="301">
        <f t="shared" si="4"/>
        <v>0.5</v>
      </c>
      <c r="R16" s="173">
        <f t="shared" si="5"/>
        <v>0.49384669342330012</v>
      </c>
      <c r="S16" s="802">
        <f t="shared" si="6"/>
        <v>3</v>
      </c>
      <c r="T16" s="172">
        <f t="shared" si="7"/>
        <v>9</v>
      </c>
      <c r="U16" s="247">
        <f t="shared" si="8"/>
        <v>3.4938466934233001</v>
      </c>
      <c r="V16" s="378">
        <f t="shared" si="9"/>
        <v>16.476700356659837</v>
      </c>
      <c r="W16" s="397">
        <f t="shared" si="10"/>
        <v>0</v>
      </c>
      <c r="X16" s="153">
        <f t="shared" si="11"/>
        <v>47120</v>
      </c>
      <c r="Y16" s="380">
        <f t="shared" si="12"/>
        <v>0</v>
      </c>
      <c r="Z16" s="380">
        <f t="shared" ref="Z16:Z78" si="22">Wh_sa_s*(1-Psa_s)</f>
        <v>0</v>
      </c>
      <c r="AA16" s="381">
        <f t="shared" si="13"/>
        <v>0</v>
      </c>
      <c r="AB16" s="193">
        <f t="shared" si="14"/>
        <v>47120</v>
      </c>
      <c r="AC16" s="119">
        <f>IF(OR(t&lt;Tnet,NoTnet),'2028'!Resal_s+('2028'!Salim-'2028'!Resal_s)*(1-EXP(('2028'!Tnet_s-t)/'2028'!Tau_j)),Resal_s+(Salim-Resal_s)*(1-EXP((Tnet_s-t)/Tau_j)))*Salcycl</f>
        <v>5.6564325583691975E-2</v>
      </c>
      <c r="AD16" s="227">
        <f>(INDEX(Models!$BJ16:$BT16,,AH16)*(1-AF16)+INDEX(Models!$BJ16:$BT16,,AH16+1)*AF16-ERP_i)*AE16*Ramure*Pc/MaxiM</f>
        <v>2.204977629505523E-2</v>
      </c>
      <c r="AE16" s="301">
        <f t="shared" si="15"/>
        <v>0.5</v>
      </c>
      <c r="AF16" s="173">
        <f t="shared" ref="AF16:AF78" si="23">(Hp_vg_s-AG16)/(INDEX(Echel_vg,AH16+1)-AG16)</f>
        <v>0.49384669342330012</v>
      </c>
      <c r="AG16" s="802">
        <f t="shared" ref="AG16:AG79" si="24">INDEX(Echel_vg,AH16)</f>
        <v>3</v>
      </c>
      <c r="AH16" s="172">
        <f t="shared" si="16"/>
        <v>9</v>
      </c>
      <c r="AI16" s="221">
        <f t="shared" si="17"/>
        <v>3.4938466934233001</v>
      </c>
      <c r="AJ16" s="261" t="b">
        <f t="shared" si="18"/>
        <v>1</v>
      </c>
      <c r="AK16" s="261" t="b">
        <f t="shared" si="19"/>
        <v>1</v>
      </c>
      <c r="AL16" s="261"/>
      <c r="AM16" s="261"/>
      <c r="AN16" s="75"/>
    </row>
    <row r="17" spans="1:40" s="6" customFormat="1" ht="11.25" x14ac:dyDescent="0.2">
      <c r="A17" s="56">
        <f t="shared" si="20"/>
        <v>47121</v>
      </c>
      <c r="B17" s="406">
        <f>'2028'!Wh/'2028'!Env_an*'2029'!Env_an</f>
        <v>0</v>
      </c>
      <c r="C17" s="832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21"/>
        <v>0</v>
      </c>
      <c r="H17" s="409" t="b">
        <f>Wh_hp&gt;='2028'!Maxi_hp</f>
        <v>1</v>
      </c>
      <c r="I17" s="385">
        <f>IF(H17,Wh_hp,'2028'!Maxi_hp)</f>
        <v>0</v>
      </c>
      <c r="J17" s="85">
        <f>IF(H17,An,'2028'!An_max)</f>
        <v>2029</v>
      </c>
      <c r="K17" s="193">
        <f t="shared" si="3"/>
        <v>47121</v>
      </c>
      <c r="L17" s="143">
        <f>IF(t&lt;Tvie,1-EXP((T0-t)*PertePVj)+'2028'!Pspv,1-EXP((T0-t)*PertePVj)+Pspv)</f>
        <v>3.495290041950605E-2</v>
      </c>
      <c r="M17" s="836"/>
      <c r="N17" s="836"/>
      <c r="O17" s="48">
        <f>IF(t&lt;Tnet,'2028'!Resal+('2028'!Salim-'2028'!Resal)*(1-EXP(('2028'!Tnet-t)/('2028'!Tau_j))),Resal+(Salim-Resal)*(1-EXP((Tnet-t)/(Tau_j))))*Salcycl</f>
        <v>3.4353628828264648E-2</v>
      </c>
      <c r="P17" s="165">
        <f>(INDEX(Models!$BJ17:$BT17,,T17)*(1-R17)+INDEX(Models!$BJ17:$BT17,,T17+1)*R17-ERP_i)*Q17*Ramure*Pc/MaxiM</f>
        <v>2.1796545184621357E-2</v>
      </c>
      <c r="Q17" s="301">
        <f t="shared" si="4"/>
        <v>0.5</v>
      </c>
      <c r="R17" s="173">
        <f t="shared" si="5"/>
        <v>0.49387713001878986</v>
      </c>
      <c r="S17" s="802">
        <f t="shared" si="6"/>
        <v>3</v>
      </c>
      <c r="T17" s="172">
        <f t="shared" si="7"/>
        <v>9</v>
      </c>
      <c r="U17" s="247">
        <f t="shared" si="8"/>
        <v>3.4938771300187899</v>
      </c>
      <c r="V17" s="378">
        <f t="shared" si="9"/>
        <v>16.651464382794259</v>
      </c>
      <c r="W17" s="397">
        <f t="shared" si="10"/>
        <v>0</v>
      </c>
      <c r="X17" s="153">
        <f t="shared" si="11"/>
        <v>47121</v>
      </c>
      <c r="Y17" s="380">
        <f t="shared" si="12"/>
        <v>0</v>
      </c>
      <c r="Z17" s="380">
        <f t="shared" si="22"/>
        <v>0</v>
      </c>
      <c r="AA17" s="381">
        <f t="shared" si="13"/>
        <v>0</v>
      </c>
      <c r="AB17" s="193">
        <f t="shared" si="14"/>
        <v>47121</v>
      </c>
      <c r="AC17" s="119">
        <f>IF(OR(t&lt;Tnet,NoTnet),'2028'!Resal_s+('2028'!Salim-'2028'!Resal_s)*(1-EXP(('2028'!Tnet_s-t)/'2028'!Tau_j)),Resal_s+(Salim-Resal_s)*(1-EXP((Tnet_s-t)/Tau_j)))*Salcycl</f>
        <v>5.6583621881616745E-2</v>
      </c>
      <c r="AD17" s="227">
        <f>(INDEX(Models!$BJ17:$BT17,,AH17)*(1-AF17)+INDEX(Models!$BJ17:$BT17,,AH17+1)*AF17-ERP_i)*AE17*Ramure*Pc/MaxiM</f>
        <v>2.1796545184621357E-2</v>
      </c>
      <c r="AE17" s="301">
        <f t="shared" si="15"/>
        <v>0.5</v>
      </c>
      <c r="AF17" s="173">
        <f>(Hp_vg_s-AG17)/(INDEX(Echel_vg,AH17+1)-AG17)</f>
        <v>0.49387713001878986</v>
      </c>
      <c r="AG17" s="802">
        <f>INDEX(Echel_vg,AH17)</f>
        <v>3</v>
      </c>
      <c r="AH17" s="172">
        <f t="shared" si="16"/>
        <v>9</v>
      </c>
      <c r="AI17" s="221">
        <f t="shared" si="17"/>
        <v>3.4938771300187899</v>
      </c>
      <c r="AJ17" s="261" t="b">
        <f t="shared" si="18"/>
        <v>1</v>
      </c>
      <c r="AK17" s="261" t="b">
        <f t="shared" si="19"/>
        <v>1</v>
      </c>
      <c r="AL17" s="261"/>
      <c r="AM17" s="261"/>
      <c r="AN17" s="75"/>
    </row>
    <row r="18" spans="1:40" s="6" customFormat="1" ht="11.25" x14ac:dyDescent="0.2">
      <c r="A18" s="56">
        <f t="shared" si="20"/>
        <v>47122</v>
      </c>
      <c r="B18" s="406">
        <f>'2028'!Wh/'2028'!Env_an*'2029'!Env_an</f>
        <v>0</v>
      </c>
      <c r="C18" s="832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21"/>
        <v>0</v>
      </c>
      <c r="H18" s="409" t="b">
        <f>Wh_hp&gt;='2028'!Maxi_hp</f>
        <v>1</v>
      </c>
      <c r="I18" s="385">
        <f>IF(H18,Wh_hp,'2028'!Maxi_hp)</f>
        <v>0</v>
      </c>
      <c r="J18" s="85">
        <f>IF(H18,An,'2028'!An_max)</f>
        <v>2029</v>
      </c>
      <c r="K18" s="193">
        <f t="shared" si="3"/>
        <v>47122</v>
      </c>
      <c r="L18" s="143">
        <f>IF(t&lt;Tvie,1-EXP((T0-t)*PertePVj)+'2028'!Pspv,1-EXP((T0-t)*PertePVj)+Pspv)</f>
        <v>3.4966111103889697E-2</v>
      </c>
      <c r="M18" s="836"/>
      <c r="N18" s="836"/>
      <c r="O18" s="48">
        <f>IF(t&lt;Tnet,'2028'!Resal+('2028'!Salim-'2028'!Resal)*(1-EXP(('2028'!Tnet-t)/('2028'!Tau_j))),Resal+(Salim-Resal)*(1-EXP((Tnet-t)/(Tau_j))))*Salcycl</f>
        <v>3.4394103490463984E-2</v>
      </c>
      <c r="P18" s="165">
        <f>(INDEX(Models!$BJ18:$BT18,,T18)*(1-R18)+INDEX(Models!$BJ18:$BT18,,T18+1)*R18-ERP_i)*Q18*Ramure*Pc/MaxiM</f>
        <v>2.1549969851770198E-2</v>
      </c>
      <c r="Q18" s="301">
        <f t="shared" si="4"/>
        <v>0.5</v>
      </c>
      <c r="R18" s="173">
        <f t="shared" si="5"/>
        <v>0.4939088395500848</v>
      </c>
      <c r="S18" s="802">
        <f t="shared" si="6"/>
        <v>3</v>
      </c>
      <c r="T18" s="172">
        <f t="shared" si="7"/>
        <v>9</v>
      </c>
      <c r="U18" s="247">
        <f t="shared" si="8"/>
        <v>3.4939088395500848</v>
      </c>
      <c r="V18" s="378">
        <f t="shared" si="9"/>
        <v>16.832703724672175</v>
      </c>
      <c r="W18" s="397">
        <f t="shared" si="10"/>
        <v>0</v>
      </c>
      <c r="X18" s="153">
        <f t="shared" si="11"/>
        <v>47122</v>
      </c>
      <c r="Y18" s="380">
        <f t="shared" si="12"/>
        <v>0</v>
      </c>
      <c r="Z18" s="380">
        <f>Wh_sa_s*(1-Psa_s)</f>
        <v>0</v>
      </c>
      <c r="AA18" s="381">
        <f t="shared" si="13"/>
        <v>0</v>
      </c>
      <c r="AB18" s="193">
        <f>t</f>
        <v>47122</v>
      </c>
      <c r="AC18" s="119">
        <f>IF(OR(t&lt;Tnet,NoTnet),'2028'!Resal_s+('2028'!Salim-'2028'!Resal_s)*(1-EXP(('2028'!Tnet_s-t)/'2028'!Tau_j)),Resal_s+(Salim-Resal_s)*(1-EXP((Tnet_s-t)/Tau_j)))*Salcycl</f>
        <v>5.6603011114026838E-2</v>
      </c>
      <c r="AD18" s="227">
        <f>(INDEX(Models!$BJ18:$BT18,,AH18)*(1-AF18)+INDEX(Models!$BJ18:$BT18,,AH18+1)*AF18-ERP_i)*AE18*Ramure*Pc/MaxiM</f>
        <v>2.1549969851770198E-2</v>
      </c>
      <c r="AE18" s="301">
        <f t="shared" si="15"/>
        <v>0.5</v>
      </c>
      <c r="AF18" s="173">
        <f t="shared" si="23"/>
        <v>0.4939088395500848</v>
      </c>
      <c r="AG18" s="802">
        <f t="shared" si="24"/>
        <v>3</v>
      </c>
      <c r="AH18" s="172">
        <f t="shared" si="16"/>
        <v>9</v>
      </c>
      <c r="AI18" s="221">
        <f t="shared" si="17"/>
        <v>3.4939088395500848</v>
      </c>
      <c r="AJ18" s="261" t="b">
        <f t="shared" si="18"/>
        <v>1</v>
      </c>
      <c r="AK18" s="261" t="b">
        <f t="shared" si="19"/>
        <v>1</v>
      </c>
      <c r="AL18" s="261"/>
      <c r="AM18" s="261"/>
      <c r="AN18" s="75"/>
    </row>
    <row r="19" spans="1:40" s="6" customFormat="1" ht="11.25" x14ac:dyDescent="0.2">
      <c r="A19" s="56">
        <f t="shared" si="20"/>
        <v>47123</v>
      </c>
      <c r="B19" s="406">
        <f>'2028'!Wh/'2028'!Env_an*'2029'!Env_an</f>
        <v>0</v>
      </c>
      <c r="C19" s="832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21"/>
        <v>0</v>
      </c>
      <c r="H19" s="409" t="b">
        <f>Wh_hp&gt;='2028'!Maxi_hp</f>
        <v>1</v>
      </c>
      <c r="I19" s="385">
        <f>IF(H19,Wh_hp,'2028'!Maxi_hp)</f>
        <v>0</v>
      </c>
      <c r="J19" s="85">
        <f>IF(H19,An,'2028'!An_max)</f>
        <v>2029</v>
      </c>
      <c r="K19" s="193">
        <f t="shared" si="3"/>
        <v>47123</v>
      </c>
      <c r="L19" s="143">
        <f>IF(t&lt;Tvie,1-EXP((T0-t)*PertePVj)+'2028'!Pspv,1-EXP((T0-t)*PertePVj)+Pspv)</f>
        <v>3.4979321607430114E-2</v>
      </c>
      <c r="M19" s="836"/>
      <c r="N19" s="836"/>
      <c r="O19" s="48">
        <f>IF(t&lt;Tnet,'2028'!Resal+('2028'!Salim-'2028'!Resal)*(1-EXP(('2028'!Tnet-t)/('2028'!Tau_j))),Resal+(Salim-Resal)*(1-EXP((Tnet-t)/(Tau_j))))*Salcycl</f>
        <v>3.4434599512874225E-2</v>
      </c>
      <c r="P19" s="165">
        <f>(INDEX(Models!$BJ19:$BT19,,T19)*(1-R19)+INDEX(Models!$BJ19:$BT19,,T19+1)*R19-ERP_i)*Q19*Ramure*Pc/MaxiM</f>
        <v>2.1311921921919105E-2</v>
      </c>
      <c r="Q19" s="301">
        <f t="shared" si="4"/>
        <v>0.5</v>
      </c>
      <c r="R19" s="173">
        <f t="shared" si="5"/>
        <v>0.49394187508264675</v>
      </c>
      <c r="S19" s="802">
        <f t="shared" si="6"/>
        <v>3</v>
      </c>
      <c r="T19" s="172">
        <f t="shared" si="7"/>
        <v>9</v>
      </c>
      <c r="U19" s="247">
        <f t="shared" si="8"/>
        <v>3.4939418750826468</v>
      </c>
      <c r="V19" s="378">
        <f t="shared" si="9"/>
        <v>17.018866287913859</v>
      </c>
      <c r="W19" s="397">
        <f t="shared" si="10"/>
        <v>0</v>
      </c>
      <c r="X19" s="153">
        <f t="shared" si="11"/>
        <v>47123</v>
      </c>
      <c r="Y19" s="380">
        <f t="shared" si="12"/>
        <v>0</v>
      </c>
      <c r="Z19" s="380">
        <f t="shared" si="22"/>
        <v>0</v>
      </c>
      <c r="AA19" s="381">
        <f t="shared" si="13"/>
        <v>0</v>
      </c>
      <c r="AB19" s="193">
        <f t="shared" si="14"/>
        <v>47123</v>
      </c>
      <c r="AC19" s="119">
        <f>IF(OR(t&lt;Tnet,NoTnet),'2028'!Resal_s+('2028'!Salim-'2028'!Resal_s)*(1-EXP(('2028'!Tnet_s-t)/'2028'!Tau_j)),Resal_s+(Salim-Resal_s)*(1-EXP((Tnet_s-t)/Tau_j)))*Salcycl</f>
        <v>5.6622481888426744E-2</v>
      </c>
      <c r="AD19" s="227">
        <f>(INDEX(Models!$BJ19:$BT19,,AH19)*(1-AF19)+INDEX(Models!$BJ19:$BT19,,AH19+1)*AF19-ERP_i)*AE19*Ramure*Pc/MaxiM</f>
        <v>2.1311921921919105E-2</v>
      </c>
      <c r="AE19" s="301">
        <f t="shared" si="15"/>
        <v>0.5</v>
      </c>
      <c r="AF19" s="173">
        <f t="shared" si="23"/>
        <v>0.49394187508264675</v>
      </c>
      <c r="AG19" s="802">
        <f t="shared" si="24"/>
        <v>3</v>
      </c>
      <c r="AH19" s="172">
        <f t="shared" si="16"/>
        <v>9</v>
      </c>
      <c r="AI19" s="221">
        <f t="shared" si="17"/>
        <v>3.4939418750826468</v>
      </c>
      <c r="AJ19" s="261" t="b">
        <f t="shared" si="18"/>
        <v>1</v>
      </c>
      <c r="AK19" s="261" t="b">
        <f t="shared" si="19"/>
        <v>1</v>
      </c>
      <c r="AL19" s="261"/>
      <c r="AM19" s="261"/>
      <c r="AN19" s="75"/>
    </row>
    <row r="20" spans="1:40" s="6" customFormat="1" ht="11.25" x14ac:dyDescent="0.2">
      <c r="A20" s="56">
        <f t="shared" si="20"/>
        <v>47124</v>
      </c>
      <c r="B20" s="406">
        <f>'2028'!Wh/'2028'!Env_an*'2029'!Env_an</f>
        <v>0</v>
      </c>
      <c r="C20" s="832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1"/>
        <v>0</v>
      </c>
      <c r="H20" s="409" t="b">
        <f>Wh_hp&gt;='2028'!Maxi_hp</f>
        <v>1</v>
      </c>
      <c r="I20" s="385">
        <f>IF(H20,Wh_hp,'2028'!Maxi_hp)</f>
        <v>0</v>
      </c>
      <c r="J20" s="85">
        <f>IF(H20,An,'2028'!An_max)</f>
        <v>2029</v>
      </c>
      <c r="K20" s="193">
        <f t="shared" si="3"/>
        <v>47124</v>
      </c>
      <c r="L20" s="143">
        <f>IF(t&lt;Tvie,1-EXP((T0-t)*PertePVj)+'2028'!Pspv,1-EXP((T0-t)*PertePVj)+Pspv)</f>
        <v>3.4992531930129855E-2</v>
      </c>
      <c r="M20" s="836"/>
      <c r="N20" s="836"/>
      <c r="O20" s="48">
        <f>IF(t&lt;Tnet,'2028'!Resal+('2028'!Salim-'2028'!Resal)*(1-EXP(('2028'!Tnet-t)/('2028'!Tau_j))),Resal+(Salim-Resal)*(1-EXP((Tnet-t)/(Tau_j))))*Salcycl</f>
        <v>3.4475111140040704E-2</v>
      </c>
      <c r="P20" s="165">
        <f>(INDEX(Models!$BJ20:$BT20,,T20)*(1-R20)+INDEX(Models!$BJ20:$BT20,,T20+1)*R20-ERP_i)*Q20*Ramure*Pc/MaxiM</f>
        <v>2.1084103948695702E-2</v>
      </c>
      <c r="Q20" s="301">
        <f t="shared" si="4"/>
        <v>0.5</v>
      </c>
      <c r="R20" s="173">
        <f t="shared" si="5"/>
        <v>0.49397629187939751</v>
      </c>
      <c r="S20" s="802">
        <f t="shared" si="6"/>
        <v>3</v>
      </c>
      <c r="T20" s="172">
        <f t="shared" si="7"/>
        <v>9</v>
      </c>
      <c r="U20" s="247">
        <f t="shared" si="8"/>
        <v>3.4939762918793975</v>
      </c>
      <c r="V20" s="378">
        <f t="shared" si="9"/>
        <v>17.208400141841285</v>
      </c>
      <c r="W20" s="397">
        <f t="shared" si="10"/>
        <v>0</v>
      </c>
      <c r="X20" s="153">
        <f t="shared" si="11"/>
        <v>47124</v>
      </c>
      <c r="Y20" s="380">
        <f t="shared" si="12"/>
        <v>0</v>
      </c>
      <c r="Z20" s="380">
        <f t="shared" si="22"/>
        <v>0</v>
      </c>
      <c r="AA20" s="381">
        <f t="shared" si="13"/>
        <v>0</v>
      </c>
      <c r="AB20" s="193">
        <f t="shared" si="14"/>
        <v>47124</v>
      </c>
      <c r="AC20" s="119">
        <f>IF(OR(t&lt;Tnet,NoTnet),'2028'!Resal_s+('2028'!Salim-'2028'!Resal_s)*(1-EXP(('2028'!Tnet_s-t)/'2028'!Tau_j)),Resal_s+(Salim-Resal_s)*(1-EXP((Tnet_s-t)/Tau_j)))*Salcycl</f>
        <v>5.6642024449223033E-2</v>
      </c>
      <c r="AD20" s="227">
        <f>(INDEX(Models!$BJ20:$BT20,,AH20)*(1-AF20)+INDEX(Models!$BJ20:$BT20,,AH20+1)*AF20-ERP_i)*AE20*Ramure*Pc/MaxiM</f>
        <v>2.1084103948695702E-2</v>
      </c>
      <c r="AE20" s="301">
        <f t="shared" si="15"/>
        <v>0.5</v>
      </c>
      <c r="AF20" s="173">
        <f t="shared" si="23"/>
        <v>0.49397629187939751</v>
      </c>
      <c r="AG20" s="802">
        <f t="shared" si="24"/>
        <v>3</v>
      </c>
      <c r="AH20" s="172">
        <f t="shared" si="16"/>
        <v>9</v>
      </c>
      <c r="AI20" s="221">
        <f t="shared" si="17"/>
        <v>3.4939762918793975</v>
      </c>
      <c r="AJ20" s="261" t="b">
        <f t="shared" si="18"/>
        <v>1</v>
      </c>
      <c r="AK20" s="261" t="b">
        <f t="shared" si="19"/>
        <v>1</v>
      </c>
      <c r="AL20" s="261"/>
      <c r="AM20" s="261"/>
      <c r="AN20" s="75"/>
    </row>
    <row r="21" spans="1:40" s="6" customFormat="1" ht="11.25" x14ac:dyDescent="0.2">
      <c r="A21" s="56">
        <f t="shared" si="20"/>
        <v>47125</v>
      </c>
      <c r="B21" s="406">
        <f>'2028'!Wh/'2028'!Env_an*'2029'!Env_an</f>
        <v>5.6232280826825702</v>
      </c>
      <c r="C21" s="832"/>
      <c r="D21" s="388">
        <f t="shared" si="0"/>
        <v>5.8272140341606882</v>
      </c>
      <c r="E21" s="380">
        <f t="shared" si="1"/>
        <v>6.0355343252325149</v>
      </c>
      <c r="F21" s="380">
        <f t="shared" si="2"/>
        <v>6.0397076991250955</v>
      </c>
      <c r="G21" s="110">
        <f t="shared" si="21"/>
        <v>0.31665329860582508</v>
      </c>
      <c r="H21" s="409" t="b">
        <f>Wh_hp&gt;='2028'!Maxi_hp</f>
        <v>0</v>
      </c>
      <c r="I21" s="385">
        <f>IF(H21,Wh_hp,'2028'!Maxi_hp)</f>
        <v>6.1641621547056991</v>
      </c>
      <c r="J21" s="85">
        <f>IF(H21,An,'2028'!An_max)</f>
        <v>2022</v>
      </c>
      <c r="K21" s="193">
        <f t="shared" si="3"/>
        <v>47125</v>
      </c>
      <c r="L21" s="143">
        <f>IF(t&lt;Tvie,1-EXP((T0-t)*PertePVj)+'2028'!Pspv,1-EXP((T0-t)*PertePVj)+Pspv)</f>
        <v>3.5005742071991475E-2</v>
      </c>
      <c r="M21" s="836"/>
      <c r="N21" s="836"/>
      <c r="O21" s="48">
        <f>IF(t&lt;Tnet,'2028'!Resal+('2028'!Salim-'2028'!Resal)*(1-EXP(('2028'!Tnet-t)/('2028'!Tau_j))),Resal+(Salim-Resal)*(1-EXP((Tnet-t)/(Tau_j))))*Salcycl</f>
        <v>3.451563355391922E-2</v>
      </c>
      <c r="P21" s="165">
        <f>(INDEX(Models!$BJ21:$BT21,,T21)*(1-R21)+INDEX(Models!$BJ21:$BT21,,T21+1)*R21-ERP_i)*Q21*Ramure*Pc/MaxiM</f>
        <v>2.0868061547947892E-2</v>
      </c>
      <c r="Q21" s="301">
        <f t="shared" si="4"/>
        <v>0.5</v>
      </c>
      <c r="R21" s="173">
        <f t="shared" si="5"/>
        <v>0.49401214749046041</v>
      </c>
      <c r="S21" s="802">
        <f t="shared" si="6"/>
        <v>3</v>
      </c>
      <c r="T21" s="172">
        <f t="shared" si="7"/>
        <v>9</v>
      </c>
      <c r="U21" s="247">
        <f t="shared" si="8"/>
        <v>3.4940121474904604</v>
      </c>
      <c r="V21" s="378">
        <f t="shared" si="9"/>
        <v>17.39975352871436</v>
      </c>
      <c r="W21" s="397">
        <f t="shared" si="10"/>
        <v>5.6232280826825702</v>
      </c>
      <c r="X21" s="153">
        <f t="shared" si="11"/>
        <v>47125</v>
      </c>
      <c r="Y21" s="380">
        <f t="shared" si="12"/>
        <v>5.494244127157847</v>
      </c>
      <c r="Z21" s="380">
        <f t="shared" si="22"/>
        <v>5.6935511087442494</v>
      </c>
      <c r="AA21" s="381">
        <f t="shared" si="13"/>
        <v>6.0355343252325149</v>
      </c>
      <c r="AB21" s="193">
        <f t="shared" si="14"/>
        <v>47125</v>
      </c>
      <c r="AC21" s="119">
        <f>IF(OR(t&lt;Tnet,NoTnet),'2028'!Resal_s+('2028'!Salim-'2028'!Resal_s)*(1-EXP(('2028'!Tnet_s-t)/'2028'!Tau_j)),Resal_s+(Salim-Resal_s)*(1-EXP((Tnet_s-t)/Tau_j)))*Salcycl</f>
        <v>5.6661630612976605E-2</v>
      </c>
      <c r="AD21" s="227">
        <f>(INDEX(Models!$BJ21:$BT21,,AH21)*(1-AF21)+INDEX(Models!$BJ21:$BT21,,AH21+1)*AF21-ERP_i)*AE21*Ramure*Pc/MaxiM</f>
        <v>2.0868061547947892E-2</v>
      </c>
      <c r="AE21" s="301">
        <f t="shared" si="15"/>
        <v>0.5</v>
      </c>
      <c r="AF21" s="173">
        <f t="shared" si="23"/>
        <v>0.49401214749046041</v>
      </c>
      <c r="AG21" s="802">
        <f t="shared" si="24"/>
        <v>3</v>
      </c>
      <c r="AH21" s="172">
        <f t="shared" si="16"/>
        <v>9</v>
      </c>
      <c r="AI21" s="221">
        <f t="shared" si="17"/>
        <v>3.4940121474904604</v>
      </c>
      <c r="AJ21" s="261" t="b">
        <f t="shared" si="18"/>
        <v>1</v>
      </c>
      <c r="AK21" s="261" t="b">
        <f t="shared" si="19"/>
        <v>1</v>
      </c>
      <c r="AL21" s="261"/>
      <c r="AM21" s="261"/>
      <c r="AN21" s="75"/>
    </row>
    <row r="22" spans="1:40" s="6" customFormat="1" ht="11.25" x14ac:dyDescent="0.2">
      <c r="A22" s="56">
        <f t="shared" si="20"/>
        <v>47126</v>
      </c>
      <c r="B22" s="406">
        <f>'2028'!Wh/'2028'!Env_an*'2029'!Env_an</f>
        <v>7.3467286788848707</v>
      </c>
      <c r="C22" s="832"/>
      <c r="D22" s="388">
        <f t="shared" si="0"/>
        <v>7.6133398623350388</v>
      </c>
      <c r="E22" s="380">
        <f t="shared" si="1"/>
        <v>7.8858443849650133</v>
      </c>
      <c r="F22" s="380">
        <f t="shared" si="2"/>
        <v>7.9133250738077319</v>
      </c>
      <c r="G22" s="110">
        <f t="shared" si="21"/>
        <v>0.41042727048081268</v>
      </c>
      <c r="H22" s="409" t="b">
        <f>Wh_hp&gt;='2028'!Maxi_hp</f>
        <v>0</v>
      </c>
      <c r="I22" s="385">
        <f>IF(H22,Wh_hp,'2028'!Maxi_hp)</f>
        <v>8.052237097122509</v>
      </c>
      <c r="J22" s="85">
        <f>IF(H22,An,'2028'!An_max)</f>
        <v>2022</v>
      </c>
      <c r="K22" s="193">
        <f t="shared" si="3"/>
        <v>47126</v>
      </c>
      <c r="L22" s="143">
        <f>IF(t&lt;Tvie,1-EXP((T0-t)*PertePVj)+'2028'!Pspv,1-EXP((T0-t)*PertePVj)+Pspv)</f>
        <v>3.5018952033017192E-2</v>
      </c>
      <c r="M22" s="836"/>
      <c r="N22" s="836"/>
      <c r="O22" s="48">
        <f>IF(t&lt;Tnet,'2028'!Resal+('2028'!Salim-'2028'!Resal)*(1-EXP(('2028'!Tnet-t)/('2028'!Tau_j))),Resal+(Salim-Resal)*(1-EXP((Tnet-t)/(Tau_j))))*Salcycl</f>
        <v>3.4556162831405411E-2</v>
      </c>
      <c r="P22" s="165">
        <f>(INDEX(Models!$BJ22:$BT22,,T22)*(1-R22)+INDEX(Models!$BJ22:$BT22,,T22+1)*R22-ERP_i)*Q22*Ramure*Pc/MaxiM</f>
        <v>2.0665198030428256E-2</v>
      </c>
      <c r="Q22" s="301">
        <f t="shared" si="4"/>
        <v>0.5</v>
      </c>
      <c r="R22" s="173">
        <f t="shared" si="5"/>
        <v>0.49404950184645768</v>
      </c>
      <c r="S22" s="802">
        <f t="shared" si="6"/>
        <v>3</v>
      </c>
      <c r="T22" s="172">
        <f t="shared" si="7"/>
        <v>9</v>
      </c>
      <c r="U22" s="247">
        <f t="shared" si="8"/>
        <v>3.4940495018464577</v>
      </c>
      <c r="V22" s="378">
        <f t="shared" si="9"/>
        <v>17.591374884262102</v>
      </c>
      <c r="W22" s="397">
        <f t="shared" si="10"/>
        <v>7.3467286788848707</v>
      </c>
      <c r="X22" s="153">
        <f t="shared" si="11"/>
        <v>47126</v>
      </c>
      <c r="Y22" s="380">
        <f t="shared" si="12"/>
        <v>7.178363283446533</v>
      </c>
      <c r="Z22" s="380">
        <f t="shared" si="22"/>
        <v>7.4388645233705599</v>
      </c>
      <c r="AA22" s="381">
        <f t="shared" si="13"/>
        <v>7.8858443849650133</v>
      </c>
      <c r="AB22" s="193">
        <f t="shared" si="14"/>
        <v>47126</v>
      </c>
      <c r="AC22" s="119">
        <f>IF(OR(t&lt;Tnet,NoTnet),'2028'!Resal_s+('2028'!Salim-'2028'!Resal_s)*(1-EXP(('2028'!Tnet_s-t)/'2028'!Tau_j)),Resal_s+(Salim-Resal_s)*(1-EXP((Tnet_s-t)/Tau_j)))*Salcycl</f>
        <v>5.6681293692106817E-2</v>
      </c>
      <c r="AD22" s="227">
        <f>(INDEX(Models!$BJ22:$BT22,,AH22)*(1-AF22)+INDEX(Models!$BJ22:$BT22,,AH22+1)*AF22-ERP_i)*AE22*Ramure*Pc/MaxiM</f>
        <v>2.0665198030428256E-2</v>
      </c>
      <c r="AE22" s="301">
        <f t="shared" si="15"/>
        <v>0.5</v>
      </c>
      <c r="AF22" s="173">
        <f t="shared" si="23"/>
        <v>0.49404950184645768</v>
      </c>
      <c r="AG22" s="802">
        <f t="shared" si="24"/>
        <v>3</v>
      </c>
      <c r="AH22" s="172">
        <f t="shared" si="16"/>
        <v>9</v>
      </c>
      <c r="AI22" s="221">
        <f t="shared" si="17"/>
        <v>3.4940495018464577</v>
      </c>
      <c r="AJ22" s="261" t="b">
        <f t="shared" si="18"/>
        <v>1</v>
      </c>
      <c r="AK22" s="261" t="b">
        <f t="shared" si="19"/>
        <v>1</v>
      </c>
      <c r="AL22" s="261"/>
      <c r="AM22" s="261"/>
      <c r="AN22" s="75"/>
    </row>
    <row r="23" spans="1:40" s="6" customFormat="1" ht="11.25" x14ac:dyDescent="0.2">
      <c r="A23" s="56">
        <f t="shared" si="20"/>
        <v>47127</v>
      </c>
      <c r="B23" s="406">
        <f>'2028'!Wh/'2028'!Env_an*'2029'!Env_an</f>
        <v>2.207263837083874</v>
      </c>
      <c r="C23" s="832"/>
      <c r="D23" s="388">
        <f t="shared" si="0"/>
        <v>2.2873962734668991</v>
      </c>
      <c r="E23" s="380">
        <f t="shared" si="1"/>
        <v>2.3693685983269961</v>
      </c>
      <c r="F23" s="380">
        <f t="shared" si="2"/>
        <v>2.3693685983269961</v>
      </c>
      <c r="G23" s="110">
        <f t="shared" si="21"/>
        <v>0.12156301137640139</v>
      </c>
      <c r="H23" s="409" t="b">
        <f>Wh_hp&gt;='2028'!Maxi_hp</f>
        <v>0</v>
      </c>
      <c r="I23" s="385">
        <f>IF(H23,Wh_hp,'2028'!Maxi_hp)</f>
        <v>2.4188853930491918</v>
      </c>
      <c r="J23" s="85">
        <f>IF(H23,An,'2028'!An_max)</f>
        <v>2022</v>
      </c>
      <c r="K23" s="193">
        <f t="shared" si="3"/>
        <v>47127</v>
      </c>
      <c r="L23" s="143">
        <f>IF(t&lt;Tvie,1-EXP((T0-t)*PertePVj)+'2028'!Pspv,1-EXP((T0-t)*PertePVj)+Pspv)</f>
        <v>3.5032161813209672E-2</v>
      </c>
      <c r="M23" s="836"/>
      <c r="N23" s="836"/>
      <c r="O23" s="48">
        <f>IF(t&lt;Tnet,'2028'!Resal+('2028'!Salim-'2028'!Resal)*(1-EXP(('2028'!Tnet-t)/('2028'!Tau_j))),Resal+(Salim-Resal)*(1-EXP((Tnet-t)/(Tau_j))))*Salcycl</f>
        <v>3.459669589525978E-2</v>
      </c>
      <c r="P23" s="165">
        <f>(INDEX(Models!$BJ23:$BT23,,T23)*(1-R23)+INDEX(Models!$BJ23:$BT23,,T23+1)*R23-ERP_i)*Q23*Ramure*Pc/MaxiM</f>
        <v>2.0472362314553981E-2</v>
      </c>
      <c r="Q23" s="301">
        <f t="shared" si="4"/>
        <v>0.5</v>
      </c>
      <c r="R23" s="173">
        <f t="shared" si="5"/>
        <v>0.49408841735549291</v>
      </c>
      <c r="S23" s="802">
        <f t="shared" si="6"/>
        <v>3</v>
      </c>
      <c r="T23" s="172">
        <f t="shared" si="7"/>
        <v>9</v>
      </c>
      <c r="U23" s="247">
        <f t="shared" si="8"/>
        <v>3.4940884173554929</v>
      </c>
      <c r="V23" s="378">
        <f t="shared" si="9"/>
        <v>17.785639789662174</v>
      </c>
      <c r="W23" s="397">
        <f t="shared" si="10"/>
        <v>2.207263837083874</v>
      </c>
      <c r="X23" s="153">
        <f t="shared" si="11"/>
        <v>47127</v>
      </c>
      <c r="Y23" s="380">
        <f t="shared" si="12"/>
        <v>2.1567253217857325</v>
      </c>
      <c r="Z23" s="380">
        <f t="shared" si="22"/>
        <v>2.2350230095111749</v>
      </c>
      <c r="AA23" s="381">
        <f t="shared" si="13"/>
        <v>2.3693685983269961</v>
      </c>
      <c r="AB23" s="193">
        <f t="shared" si="14"/>
        <v>47127</v>
      </c>
      <c r="AC23" s="119">
        <f>IF(OR(t&lt;Tnet,NoTnet),'2028'!Resal_s+('2028'!Salim-'2028'!Resal_s)*(1-EXP(('2028'!Tnet_s-t)/'2028'!Tau_j)),Resal_s+(Salim-Resal_s)*(1-EXP((Tnet_s-t)/Tau_j)))*Salcycl</f>
        <v>5.670100840818184E-2</v>
      </c>
      <c r="AD23" s="227">
        <f>(INDEX(Models!$BJ23:$BT23,,AH23)*(1-AF23)+INDEX(Models!$BJ23:$BT23,,AH23+1)*AF23-ERP_i)*AE23*Ramure*Pc/MaxiM</f>
        <v>2.0472362314553981E-2</v>
      </c>
      <c r="AE23" s="301">
        <f t="shared" si="15"/>
        <v>0.5</v>
      </c>
      <c r="AF23" s="173">
        <f t="shared" si="23"/>
        <v>0.49408841735549291</v>
      </c>
      <c r="AG23" s="802">
        <f t="shared" si="24"/>
        <v>3</v>
      </c>
      <c r="AH23" s="172">
        <f t="shared" si="16"/>
        <v>9</v>
      </c>
      <c r="AI23" s="221">
        <f t="shared" si="17"/>
        <v>3.4940884173554929</v>
      </c>
      <c r="AJ23" s="261" t="b">
        <f t="shared" si="18"/>
        <v>1</v>
      </c>
      <c r="AK23" s="261" t="b">
        <f t="shared" si="19"/>
        <v>1</v>
      </c>
      <c r="AL23" s="261"/>
      <c r="AM23" s="261"/>
      <c r="AN23" s="75"/>
    </row>
    <row r="24" spans="1:40" s="6" customFormat="1" ht="11.25" x14ac:dyDescent="0.2">
      <c r="A24" s="56">
        <f t="shared" si="20"/>
        <v>47128</v>
      </c>
      <c r="B24" s="406">
        <f>'2028'!Wh/'2028'!Env_an*'2029'!Env_an</f>
        <v>1.8255536610192462</v>
      </c>
      <c r="C24" s="832"/>
      <c r="D24" s="388">
        <f t="shared" si="0"/>
        <v>1.8918544011666389</v>
      </c>
      <c r="E24" s="380">
        <f t="shared" si="1"/>
        <v>1.9597341650811861</v>
      </c>
      <c r="F24" s="380">
        <f t="shared" si="2"/>
        <v>1.9597341650811861</v>
      </c>
      <c r="G24" s="110">
        <f t="shared" si="21"/>
        <v>9.9439517766739094E-2</v>
      </c>
      <c r="H24" s="409" t="b">
        <f>Wh_hp&gt;='2028'!Maxi_hp</f>
        <v>0</v>
      </c>
      <c r="I24" s="385">
        <f>IF(H24,Wh_hp,'2028'!Maxi_hp)</f>
        <v>2.0003417507562942</v>
      </c>
      <c r="J24" s="85">
        <f>IF(H24,An,'2028'!An_max)</f>
        <v>2022</v>
      </c>
      <c r="K24" s="193">
        <f t="shared" si="3"/>
        <v>47128</v>
      </c>
      <c r="L24" s="143">
        <f>IF(t&lt;Tvie,1-EXP((T0-t)*PertePVj)+'2028'!Pspv,1-EXP((T0-t)*PertePVj)+Pspv)</f>
        <v>3.5045371412571358E-2</v>
      </c>
      <c r="M24" s="836"/>
      <c r="N24" s="836"/>
      <c r="O24" s="48">
        <f>IF(t&lt;Tnet,'2028'!Resal+('2028'!Salim-'2028'!Resal)*(1-EXP(('2028'!Tnet-t)/('2028'!Tau_j))),Resal+(Salim-Resal)*(1-EXP((Tnet-t)/(Tau_j))))*Salcycl</f>
        <v>3.4637230459129732E-2</v>
      </c>
      <c r="P24" s="165">
        <f>(INDEX(Models!$BJ24:$BT24,,T24)*(1-R24)+INDEX(Models!$BJ24:$BT24,,T24+1)*R24-ERP_i)*Q24*Ramure*Pc/MaxiM</f>
        <v>2.0301979941277665E-2</v>
      </c>
      <c r="Q24" s="301">
        <f t="shared" si="4"/>
        <v>0.5</v>
      </c>
      <c r="R24" s="173">
        <f t="shared" si="5"/>
        <v>0.49412895900396236</v>
      </c>
      <c r="S24" s="802">
        <f t="shared" si="6"/>
        <v>3</v>
      </c>
      <c r="T24" s="172">
        <f t="shared" si="7"/>
        <v>9</v>
      </c>
      <c r="U24" s="247">
        <f t="shared" si="8"/>
        <v>3.4941289590039624</v>
      </c>
      <c r="V24" s="378">
        <f t="shared" si="9"/>
        <v>17.985719836321739</v>
      </c>
      <c r="W24" s="397">
        <f t="shared" si="10"/>
        <v>1.8255536610192462</v>
      </c>
      <c r="X24" s="153">
        <f t="shared" si="11"/>
        <v>47128</v>
      </c>
      <c r="Y24" s="380">
        <f t="shared" si="12"/>
        <v>1.7837924815101007</v>
      </c>
      <c r="Z24" s="380">
        <f t="shared" si="22"/>
        <v>1.8485765326825232</v>
      </c>
      <c r="AA24" s="381">
        <f t="shared" si="13"/>
        <v>1.9597341650811861</v>
      </c>
      <c r="AB24" s="193">
        <f t="shared" si="14"/>
        <v>47128</v>
      </c>
      <c r="AC24" s="119">
        <f>IF(OR(t&lt;Tnet,NoTnet),'2028'!Resal_s+('2028'!Salim-'2028'!Resal_s)*(1-EXP(('2028'!Tnet_s-t)/'2028'!Tau_j)),Resal_s+(Salim-Resal_s)*(1-EXP((Tnet_s-t)/Tau_j)))*Salcycl</f>
        <v>5.6720770796001407E-2</v>
      </c>
      <c r="AD24" s="227">
        <f>(INDEX(Models!$BJ24:$BT24,,AH24)*(1-AF24)+INDEX(Models!$BJ24:$BT24,,AH24+1)*AF24-ERP_i)*AE24*Ramure*Pc/MaxiM</f>
        <v>2.0301979941277665E-2</v>
      </c>
      <c r="AE24" s="301">
        <f t="shared" si="15"/>
        <v>0.5</v>
      </c>
      <c r="AF24" s="173">
        <f t="shared" si="23"/>
        <v>0.49412895900396236</v>
      </c>
      <c r="AG24" s="802">
        <f t="shared" si="24"/>
        <v>3</v>
      </c>
      <c r="AH24" s="172">
        <f t="shared" si="16"/>
        <v>9</v>
      </c>
      <c r="AI24" s="221">
        <f t="shared" si="17"/>
        <v>3.4941289590039624</v>
      </c>
      <c r="AJ24" s="261" t="b">
        <f t="shared" si="18"/>
        <v>1</v>
      </c>
      <c r="AK24" s="261" t="b">
        <f t="shared" si="19"/>
        <v>1</v>
      </c>
      <c r="AL24" s="261"/>
      <c r="AM24" s="261"/>
      <c r="AN24" s="75"/>
    </row>
    <row r="25" spans="1:40" s="6" customFormat="1" ht="11.25" x14ac:dyDescent="0.2">
      <c r="A25" s="56">
        <f t="shared" si="20"/>
        <v>47129</v>
      </c>
      <c r="B25" s="406">
        <f>'2028'!Wh/'2028'!Env_an*'2029'!Env_an</f>
        <v>18.322089755729927</v>
      </c>
      <c r="C25" s="832"/>
      <c r="D25" s="388">
        <f t="shared" si="0"/>
        <v>18.987774171317838</v>
      </c>
      <c r="E25" s="380">
        <f t="shared" si="1"/>
        <v>19.669881706057264</v>
      </c>
      <c r="F25" s="380">
        <f t="shared" si="2"/>
        <v>20.074424837955931</v>
      </c>
      <c r="G25" s="110">
        <f t="shared" si="21"/>
        <v>1.0071655941106643</v>
      </c>
      <c r="H25" s="409" t="b">
        <f>Wh_hp&gt;='2028'!Maxi_hp</f>
        <v>1</v>
      </c>
      <c r="I25" s="385">
        <f>IF(H25,Wh_hp,'2028'!Maxi_hp)</f>
        <v>20.074424837955931</v>
      </c>
      <c r="J25" s="85">
        <f>IF(H25,An,'2028'!An_max)</f>
        <v>2029</v>
      </c>
      <c r="K25" s="193">
        <f t="shared" si="3"/>
        <v>47129</v>
      </c>
      <c r="L25" s="143">
        <f>IF(t&lt;Tvie,1-EXP((T0-t)*PertePVj)+'2028'!Pspv,1-EXP((T0-t)*PertePVj)+Pspv)</f>
        <v>3.5058580831104802E-2</v>
      </c>
      <c r="M25" s="836"/>
      <c r="N25" s="836"/>
      <c r="O25" s="48">
        <f>IF(t&lt;Tnet,'2028'!Resal+('2028'!Salim-'2028'!Resal)*(1-EXP(('2028'!Tnet-t)/('2028'!Tau_j))),Resal+(Salim-Resal)*(1-EXP((Tnet-t)/(Tau_j))))*Salcycl</f>
        <v>3.4677764967410804E-2</v>
      </c>
      <c r="P25" s="165">
        <f>(INDEX(Models!$BJ25:$BT25,,T25)*(1-R25)+INDEX(Models!$BJ25:$BT25,,T25+1)*R25-ERP_i)*Q25*Ramure*Pc/MaxiM</f>
        <v>2.0152165512297749E-2</v>
      </c>
      <c r="Q25" s="301">
        <f t="shared" si="4"/>
        <v>0.5</v>
      </c>
      <c r="R25" s="173">
        <f t="shared" si="5"/>
        <v>0.49417119446132851</v>
      </c>
      <c r="S25" s="802">
        <f t="shared" si="6"/>
        <v>3</v>
      </c>
      <c r="T25" s="172">
        <f t="shared" si="7"/>
        <v>9</v>
      </c>
      <c r="U25" s="247">
        <f t="shared" si="8"/>
        <v>3.4941711944613285</v>
      </c>
      <c r="V25" s="378">
        <f t="shared" si="9"/>
        <v>18.191735165366214</v>
      </c>
      <c r="W25" s="397">
        <f t="shared" si="10"/>
        <v>18.322089755729927</v>
      </c>
      <c r="X25" s="153">
        <f t="shared" si="11"/>
        <v>47129</v>
      </c>
      <c r="Y25" s="380">
        <f t="shared" si="12"/>
        <v>17.903331306163366</v>
      </c>
      <c r="Z25" s="380">
        <f t="shared" si="22"/>
        <v>18.55380124690214</v>
      </c>
      <c r="AA25" s="381">
        <f t="shared" si="13"/>
        <v>19.669881706057264</v>
      </c>
      <c r="AB25" s="193">
        <f t="shared" si="14"/>
        <v>47129</v>
      </c>
      <c r="AC25" s="119">
        <f>IF(OR(t&lt;Tnet,NoTnet),'2028'!Resal_s+('2028'!Salim-'2028'!Resal_s)*(1-EXP(('2028'!Tnet_s-t)/'2028'!Tau_j)),Resal_s+(Salim-Resal_s)*(1-EXP((Tnet_s-t)/Tau_j)))*Salcycl</f>
        <v>5.6740578099736809E-2</v>
      </c>
      <c r="AD25" s="227">
        <f>(INDEX(Models!$BJ25:$BT25,,AH25)*(1-AF25)+INDEX(Models!$BJ25:$BT25,,AH25+1)*AF25-ERP_i)*AE25*Ramure*Pc/MaxiM</f>
        <v>2.0152165512297749E-2</v>
      </c>
      <c r="AE25" s="301">
        <f t="shared" si="15"/>
        <v>0.5</v>
      </c>
      <c r="AF25" s="173">
        <f t="shared" si="23"/>
        <v>0.49417119446132851</v>
      </c>
      <c r="AG25" s="802">
        <f t="shared" si="24"/>
        <v>3</v>
      </c>
      <c r="AH25" s="172">
        <f t="shared" si="16"/>
        <v>9</v>
      </c>
      <c r="AI25" s="221">
        <f t="shared" si="17"/>
        <v>3.4941711944613285</v>
      </c>
      <c r="AJ25" s="261" t="b">
        <f t="shared" si="18"/>
        <v>1</v>
      </c>
      <c r="AK25" s="261" t="b">
        <f t="shared" si="19"/>
        <v>1</v>
      </c>
      <c r="AL25" s="261"/>
      <c r="AM25" s="261"/>
      <c r="AN25" s="75"/>
    </row>
    <row r="26" spans="1:40" s="6" customFormat="1" ht="11.25" x14ac:dyDescent="0.2">
      <c r="A26" s="56">
        <f t="shared" si="20"/>
        <v>47130</v>
      </c>
      <c r="B26" s="406">
        <f>'2028'!Wh/'2028'!Env_an*'2029'!Env_an</f>
        <v>16.449352997204837</v>
      </c>
      <c r="C26" s="832"/>
      <c r="D26" s="388">
        <f t="shared" si="0"/>
        <v>17.047229864258913</v>
      </c>
      <c r="E26" s="380">
        <f t="shared" si="1"/>
        <v>17.660367785187407</v>
      </c>
      <c r="F26" s="380">
        <f t="shared" si="2"/>
        <v>17.965505702279664</v>
      </c>
      <c r="G26" s="110">
        <f t="shared" si="21"/>
        <v>0.89104084902102776</v>
      </c>
      <c r="H26" s="409" t="b">
        <f>Wh_hp&gt;='2028'!Maxi_hp</f>
        <v>0</v>
      </c>
      <c r="I26" s="385">
        <f>IF(H26,Wh_hp,'2028'!Maxi_hp)</f>
        <v>18.021186492350228</v>
      </c>
      <c r="J26" s="85">
        <f>IF(H26,An,'2028'!An_max)</f>
        <v>2022</v>
      </c>
      <c r="K26" s="193">
        <f t="shared" si="3"/>
        <v>47130</v>
      </c>
      <c r="L26" s="143">
        <f>IF(t&lt;Tvie,1-EXP((T0-t)*PertePVj)+'2028'!Pspv,1-EXP((T0-t)*PertePVj)+Pspv)</f>
        <v>3.5071790068812336E-2</v>
      </c>
      <c r="M26" s="836"/>
      <c r="N26" s="836"/>
      <c r="O26" s="48">
        <f>IF(t&lt;Tnet,'2028'!Resal+('2028'!Salim-'2028'!Resal)*(1-EXP(('2028'!Tnet-t)/('2028'!Tau_j))),Resal+(Salim-Resal)*(1-EXP((Tnet-t)/(Tau_j))))*Salcycl</f>
        <v>3.4718298530722731E-2</v>
      </c>
      <c r="P26" s="165">
        <f>(INDEX(Models!$BJ26:$BT26,,T26)*(1-R26)+INDEX(Models!$BJ26:$BT26,,T26+1)*R26-ERP_i)*Q26*Ramure*Pc/MaxiM</f>
        <v>2.0022235327381281E-2</v>
      </c>
      <c r="Q26" s="301">
        <f t="shared" si="4"/>
        <v>0.5</v>
      </c>
      <c r="R26" s="173">
        <f t="shared" si="5"/>
        <v>0.49421519418899962</v>
      </c>
      <c r="S26" s="802">
        <f t="shared" si="6"/>
        <v>3</v>
      </c>
      <c r="T26" s="172">
        <f t="shared" si="7"/>
        <v>9</v>
      </c>
      <c r="U26" s="247">
        <f t="shared" si="8"/>
        <v>3.4942151941889996</v>
      </c>
      <c r="V26" s="378">
        <f t="shared" si="9"/>
        <v>18.403784139086206</v>
      </c>
      <c r="W26" s="397">
        <f t="shared" si="10"/>
        <v>16.449352997204837</v>
      </c>
      <c r="X26" s="153">
        <f t="shared" si="11"/>
        <v>47130</v>
      </c>
      <c r="Y26" s="380">
        <f t="shared" si="12"/>
        <v>16.073733342553734</v>
      </c>
      <c r="Z26" s="380">
        <f t="shared" si="22"/>
        <v>16.657957739363852</v>
      </c>
      <c r="AA26" s="381">
        <f t="shared" si="13"/>
        <v>17.660367785187407</v>
      </c>
      <c r="AB26" s="193">
        <f t="shared" si="14"/>
        <v>47130</v>
      </c>
      <c r="AC26" s="119">
        <f>IF(OR(t&lt;Tnet,NoTnet),'2028'!Resal_s+('2028'!Salim-'2028'!Resal_s)*(1-EXP(('2028'!Tnet_s-t)/'2028'!Tau_j)),Resal_s+(Salim-Resal_s)*(1-EXP((Tnet_s-t)/Tau_j)))*Salcycl</f>
        <v>5.6760428662438307E-2</v>
      </c>
      <c r="AD26" s="227">
        <f>(INDEX(Models!$BJ26:$BT26,,AH26)*(1-AF26)+INDEX(Models!$BJ26:$BT26,,AH26+1)*AF26-ERP_i)*AE26*Ramure*Pc/MaxiM</f>
        <v>2.0022235327381281E-2</v>
      </c>
      <c r="AE26" s="301">
        <f t="shared" si="15"/>
        <v>0.5</v>
      </c>
      <c r="AF26" s="173">
        <f t="shared" si="23"/>
        <v>0.49421519418899962</v>
      </c>
      <c r="AG26" s="802">
        <f t="shared" si="24"/>
        <v>3</v>
      </c>
      <c r="AH26" s="172">
        <f t="shared" si="16"/>
        <v>9</v>
      </c>
      <c r="AI26" s="221">
        <f t="shared" si="17"/>
        <v>3.4942151941889996</v>
      </c>
      <c r="AJ26" s="261" t="b">
        <f t="shared" si="18"/>
        <v>1</v>
      </c>
      <c r="AK26" s="261" t="b">
        <f t="shared" si="19"/>
        <v>1</v>
      </c>
      <c r="AL26" s="261"/>
      <c r="AM26" s="261"/>
      <c r="AN26" s="75"/>
    </row>
    <row r="27" spans="1:40" s="6" customFormat="1" ht="11.25" x14ac:dyDescent="0.2">
      <c r="A27" s="56">
        <f t="shared" si="20"/>
        <v>47131</v>
      </c>
      <c r="B27" s="406">
        <f>'2028'!Wh/'2028'!Env_an*'2029'!Env_an</f>
        <v>5.5893333415004136</v>
      </c>
      <c r="C27" s="832"/>
      <c r="D27" s="388">
        <f t="shared" si="0"/>
        <v>5.792565496894496</v>
      </c>
      <c r="E27" s="380">
        <f t="shared" si="1"/>
        <v>6.0011587591547668</v>
      </c>
      <c r="F27" s="380">
        <f t="shared" si="2"/>
        <v>6.0011839113501662</v>
      </c>
      <c r="G27" s="110">
        <f t="shared" si="21"/>
        <v>0.29417219261877897</v>
      </c>
      <c r="H27" s="409" t="b">
        <f>Wh_hp&gt;='2028'!Maxi_hp</f>
        <v>0</v>
      </c>
      <c r="I27" s="385">
        <f>IF(H27,Wh_hp,'2028'!Maxi_hp)</f>
        <v>6.1230639003066996</v>
      </c>
      <c r="J27" s="85">
        <f>IF(H27,An,'2028'!An_max)</f>
        <v>2022</v>
      </c>
      <c r="K27" s="193">
        <f t="shared" si="3"/>
        <v>47131</v>
      </c>
      <c r="L27" s="143">
        <f>IF(t&lt;Tvie,1-EXP((T0-t)*PertePVj)+'2028'!Pspv,1-EXP((T0-t)*PertePVj)+Pspv)</f>
        <v>3.5084999125696403E-2</v>
      </c>
      <c r="M27" s="836"/>
      <c r="N27" s="836"/>
      <c r="O27" s="48">
        <f>IF(t&lt;Tnet,'2028'!Resal+('2028'!Salim-'2028'!Resal)*(1-EXP(('2028'!Tnet-t)/('2028'!Tau_j))),Resal+(Salim-Resal)*(1-EXP((Tnet-t)/(Tau_j))))*Salcycl</f>
        <v>3.4758830857800953E-2</v>
      </c>
      <c r="P27" s="165">
        <f>(INDEX(Models!$BJ27:$BT27,,T27)*(1-R27)+INDEX(Models!$BJ27:$BT27,,T27+1)*R27-ERP_i)*Q27*Ramure*Pc/MaxiM</f>
        <v>1.9911502167360335E-2</v>
      </c>
      <c r="Q27" s="301">
        <f t="shared" si="4"/>
        <v>0.5</v>
      </c>
      <c r="R27" s="173">
        <f t="shared" si="5"/>
        <v>0.49426103155346857</v>
      </c>
      <c r="S27" s="802">
        <f t="shared" si="6"/>
        <v>3</v>
      </c>
      <c r="T27" s="172">
        <f t="shared" si="7"/>
        <v>9</v>
      </c>
      <c r="U27" s="247">
        <f t="shared" si="8"/>
        <v>3.4942610315534686</v>
      </c>
      <c r="V27" s="378">
        <f t="shared" si="9"/>
        <v>18.621965011321088</v>
      </c>
      <c r="W27" s="397">
        <f t="shared" si="10"/>
        <v>5.5893333415004136</v>
      </c>
      <c r="X27" s="153">
        <f t="shared" si="11"/>
        <v>47131</v>
      </c>
      <c r="Y27" s="380">
        <f t="shared" si="12"/>
        <v>5.4618155174114609</v>
      </c>
      <c r="Z27" s="380">
        <f t="shared" si="22"/>
        <v>5.6604110335755413</v>
      </c>
      <c r="AA27" s="381">
        <f t="shared" si="13"/>
        <v>6.0011587591547668</v>
      </c>
      <c r="AB27" s="193">
        <f t="shared" si="14"/>
        <v>47131</v>
      </c>
      <c r="AC27" s="119">
        <f>IF(OR(t&lt;Tnet,NoTnet),'2028'!Resal_s+('2028'!Salim-'2028'!Resal_s)*(1-EXP(('2028'!Tnet_s-t)/'2028'!Tau_j)),Resal_s+(Salim-Resal_s)*(1-EXP((Tnet_s-t)/Tau_j)))*Salcycl</f>
        <v>5.6780321810252943E-2</v>
      </c>
      <c r="AD27" s="227">
        <f>(INDEX(Models!$BJ27:$BT27,,AH27)*(1-AF27)+INDEX(Models!$BJ27:$BT27,,AH27+1)*AF27-ERP_i)*AE27*Ramure*Pc/MaxiM</f>
        <v>1.9911502167360335E-2</v>
      </c>
      <c r="AE27" s="301">
        <f t="shared" si="15"/>
        <v>0.5</v>
      </c>
      <c r="AF27" s="173">
        <f t="shared" si="23"/>
        <v>0.49426103155346857</v>
      </c>
      <c r="AG27" s="802">
        <f t="shared" si="24"/>
        <v>3</v>
      </c>
      <c r="AH27" s="172">
        <f t="shared" si="16"/>
        <v>9</v>
      </c>
      <c r="AI27" s="221">
        <f t="shared" si="17"/>
        <v>3.4942610315534686</v>
      </c>
      <c r="AJ27" s="261" t="b">
        <f t="shared" si="18"/>
        <v>1</v>
      </c>
      <c r="AK27" s="261" t="b">
        <f t="shared" si="19"/>
        <v>1</v>
      </c>
      <c r="AL27" s="261"/>
      <c r="AM27" s="261"/>
      <c r="AN27" s="75"/>
    </row>
    <row r="28" spans="1:40" s="6" customFormat="1" ht="11.25" x14ac:dyDescent="0.2">
      <c r="A28" s="56">
        <f t="shared" si="20"/>
        <v>47132</v>
      </c>
      <c r="B28" s="406">
        <f>'2028'!Wh/'2028'!Env_an*'2029'!Env_an</f>
        <v>18.911237884384775</v>
      </c>
      <c r="C28" s="832"/>
      <c r="D28" s="388">
        <f t="shared" si="0"/>
        <v>19.599132306740771</v>
      </c>
      <c r="E28" s="380">
        <f t="shared" si="1"/>
        <v>20.305759796327074</v>
      </c>
      <c r="F28" s="380">
        <f t="shared" si="2"/>
        <v>20.716342707250174</v>
      </c>
      <c r="G28" s="110">
        <f t="shared" si="21"/>
        <v>1.0034416130426371</v>
      </c>
      <c r="H28" s="409" t="b">
        <f>Wh_hp&gt;='2028'!Maxi_hp</f>
        <v>1</v>
      </c>
      <c r="I28" s="385">
        <f>IF(H28,Wh_hp,'2028'!Maxi_hp)</f>
        <v>20.716342707250174</v>
      </c>
      <c r="J28" s="85">
        <f>IF(H28,An,'2028'!An_max)</f>
        <v>2029</v>
      </c>
      <c r="K28" s="193">
        <f t="shared" si="3"/>
        <v>47132</v>
      </c>
      <c r="L28" s="143">
        <f>IF(t&lt;Tvie,1-EXP((T0-t)*PertePVj)+'2028'!Pspv,1-EXP((T0-t)*PertePVj)+Pspv)</f>
        <v>3.5098208001759668E-2</v>
      </c>
      <c r="M28" s="836"/>
      <c r="N28" s="836"/>
      <c r="O28" s="48">
        <f>IF(t&lt;Tnet,'2028'!Resal+('2028'!Salim-'2028'!Resal)*(1-EXP(('2028'!Tnet-t)/('2028'!Tau_j))),Resal+(Salim-Resal)*(1-EXP((Tnet-t)/(Tau_j))))*Salcycl</f>
        <v>3.4799362184621013E-2</v>
      </c>
      <c r="P28" s="165">
        <f>(INDEX(Models!$BJ28:$BT28,,T28)*(1-R28)+INDEX(Models!$BJ28:$BT28,,T28+1)*R28-ERP_i)*Q28*Ramure*Pc/MaxiM</f>
        <v>1.9819275859894295E-2</v>
      </c>
      <c r="Q28" s="301">
        <f t="shared" si="4"/>
        <v>0.5</v>
      </c>
      <c r="R28" s="173">
        <f t="shared" si="5"/>
        <v>0.49430878294385794</v>
      </c>
      <c r="S28" s="802">
        <f t="shared" si="6"/>
        <v>3</v>
      </c>
      <c r="T28" s="172">
        <f t="shared" si="7"/>
        <v>9</v>
      </c>
      <c r="U28" s="247">
        <f t="shared" si="8"/>
        <v>3.4943087829438579</v>
      </c>
      <c r="V28" s="378">
        <f t="shared" si="9"/>
        <v>18.846375951105014</v>
      </c>
      <c r="W28" s="397">
        <f t="shared" si="10"/>
        <v>18.911237884384775</v>
      </c>
      <c r="X28" s="153">
        <f t="shared" si="11"/>
        <v>47132</v>
      </c>
      <c r="Y28" s="380">
        <f t="shared" si="12"/>
        <v>18.480172929515703</v>
      </c>
      <c r="Z28" s="380">
        <f t="shared" si="22"/>
        <v>19.152387406437114</v>
      </c>
      <c r="AA28" s="381">
        <f t="shared" si="13"/>
        <v>20.305759796327074</v>
      </c>
      <c r="AB28" s="193">
        <f t="shared" si="14"/>
        <v>47132</v>
      </c>
      <c r="AC28" s="119">
        <f>IF(OR(t&lt;Tnet,NoTnet),'2028'!Resal_s+('2028'!Salim-'2028'!Resal_s)*(1-EXP(('2028'!Tnet_s-t)/'2028'!Tau_j)),Resal_s+(Salim-Resal_s)*(1-EXP((Tnet_s-t)/Tau_j)))*Salcycl</f>
        <v>5.6800257732713924E-2</v>
      </c>
      <c r="AD28" s="227">
        <f>(INDEX(Models!$BJ28:$BT28,,AH28)*(1-AF28)+INDEX(Models!$BJ28:$BT28,,AH28+1)*AF28-ERP_i)*AE28*Ramure*Pc/MaxiM</f>
        <v>1.9819275859894295E-2</v>
      </c>
      <c r="AE28" s="301">
        <f t="shared" si="15"/>
        <v>0.5</v>
      </c>
      <c r="AF28" s="173">
        <f t="shared" si="23"/>
        <v>0.49430878294385794</v>
      </c>
      <c r="AG28" s="802">
        <f t="shared" si="24"/>
        <v>3</v>
      </c>
      <c r="AH28" s="172">
        <f t="shared" si="16"/>
        <v>9</v>
      </c>
      <c r="AI28" s="221">
        <f t="shared" si="17"/>
        <v>3.4943087829438579</v>
      </c>
      <c r="AJ28" s="261" t="b">
        <f t="shared" si="18"/>
        <v>1</v>
      </c>
      <c r="AK28" s="261" t="b">
        <f t="shared" si="19"/>
        <v>1</v>
      </c>
      <c r="AL28" s="261"/>
      <c r="AM28" s="261"/>
      <c r="AN28" s="75"/>
    </row>
    <row r="29" spans="1:40" s="6" customFormat="1" ht="11.25" x14ac:dyDescent="0.2">
      <c r="A29" s="56">
        <f t="shared" si="20"/>
        <v>47133</v>
      </c>
      <c r="B29" s="406">
        <f>'2028'!Wh/'2028'!Env_an*'2029'!Env_an</f>
        <v>19.459791126067863</v>
      </c>
      <c r="C29" s="832"/>
      <c r="D29" s="388">
        <f t="shared" si="0"/>
        <v>20.167915200585472</v>
      </c>
      <c r="E29" s="380">
        <f t="shared" si="1"/>
        <v>20.895927067982019</v>
      </c>
      <c r="F29" s="380">
        <f t="shared" si="2"/>
        <v>21.31682487483608</v>
      </c>
      <c r="G29" s="110">
        <f t="shared" si="21"/>
        <v>1.0200594310119342</v>
      </c>
      <c r="H29" s="409" t="b">
        <f>Wh_hp&gt;='2028'!Maxi_hp</f>
        <v>1</v>
      </c>
      <c r="I29" s="385">
        <f>IF(H29,Wh_hp,'2028'!Maxi_hp)</f>
        <v>21.31682487483608</v>
      </c>
      <c r="J29" s="85">
        <f>IF(H29,An,'2028'!An_max)</f>
        <v>2029</v>
      </c>
      <c r="K29" s="193">
        <f t="shared" si="3"/>
        <v>47133</v>
      </c>
      <c r="L29" s="143">
        <f>IF(t&lt;Tvie,1-EXP((T0-t)*PertePVj)+'2028'!Pspv,1-EXP((T0-t)*PertePVj)+Pspv)</f>
        <v>3.5111416697004572E-2</v>
      </c>
      <c r="M29" s="836"/>
      <c r="N29" s="836"/>
      <c r="O29" s="48">
        <f>IF(t&lt;Tnet,'2028'!Resal+('2028'!Salim-'2028'!Resal)*(1-EXP(('2028'!Tnet-t)/('2028'!Tau_j))),Resal+(Salim-Resal)*(1-EXP((Tnet-t)/(Tau_j))))*Salcycl</f>
        <v>3.4839893201582345E-2</v>
      </c>
      <c r="P29" s="165">
        <f>(INDEX(Models!$BJ29:$BT29,,T29)*(1-R29)+INDEX(Models!$BJ29:$BT29,,T29+1)*R29-ERP_i)*Q29*Ramure*Pc/MaxiM</f>
        <v>1.9744863943171879E-2</v>
      </c>
      <c r="Q29" s="301">
        <f t="shared" si="4"/>
        <v>0.5</v>
      </c>
      <c r="R29" s="173">
        <f t="shared" si="5"/>
        <v>0.49435852789403034</v>
      </c>
      <c r="S29" s="802">
        <f t="shared" si="6"/>
        <v>3</v>
      </c>
      <c r="T29" s="172">
        <f t="shared" si="7"/>
        <v>9</v>
      </c>
      <c r="U29" s="247">
        <f t="shared" si="8"/>
        <v>3.4943585278940303</v>
      </c>
      <c r="V29" s="378">
        <f t="shared" si="9"/>
        <v>19.077115052760288</v>
      </c>
      <c r="W29" s="397">
        <f t="shared" si="10"/>
        <v>19.459791126067863</v>
      </c>
      <c r="X29" s="153">
        <f t="shared" si="11"/>
        <v>47133</v>
      </c>
      <c r="Y29" s="380">
        <f t="shared" si="12"/>
        <v>19.016618119643201</v>
      </c>
      <c r="Z29" s="380">
        <f t="shared" si="22"/>
        <v>19.708615532112251</v>
      </c>
      <c r="AA29" s="381">
        <f t="shared" si="13"/>
        <v>20.895927067982019</v>
      </c>
      <c r="AB29" s="193">
        <f t="shared" si="14"/>
        <v>47133</v>
      </c>
      <c r="AC29" s="119">
        <f>IF(OR(t&lt;Tnet,NoTnet),'2028'!Resal_s+('2028'!Salim-'2028'!Resal_s)*(1-EXP(('2028'!Tnet_s-t)/'2028'!Tau_j)),Resal_s+(Salim-Resal_s)*(1-EXP((Tnet_s-t)/Tau_j)))*Salcycl</f>
        <v>5.6820237360468061E-2</v>
      </c>
      <c r="AD29" s="227">
        <f>(INDEX(Models!$BJ29:$BT29,,AH29)*(1-AF29)+INDEX(Models!$BJ29:$BT29,,AH29+1)*AF29-ERP_i)*AE29*Ramure*Pc/MaxiM</f>
        <v>1.9744863943171879E-2</v>
      </c>
      <c r="AE29" s="301">
        <f t="shared" si="15"/>
        <v>0.5</v>
      </c>
      <c r="AF29" s="173">
        <f t="shared" si="23"/>
        <v>0.49435852789403034</v>
      </c>
      <c r="AG29" s="802">
        <f t="shared" si="24"/>
        <v>3</v>
      </c>
      <c r="AH29" s="172">
        <f t="shared" si="16"/>
        <v>9</v>
      </c>
      <c r="AI29" s="221">
        <f t="shared" si="17"/>
        <v>3.4943585278940303</v>
      </c>
      <c r="AJ29" s="261" t="b">
        <f t="shared" si="18"/>
        <v>1</v>
      </c>
      <c r="AK29" s="261" t="b">
        <f t="shared" si="19"/>
        <v>1</v>
      </c>
      <c r="AL29" s="261"/>
      <c r="AM29" s="261"/>
      <c r="AN29" s="75"/>
    </row>
    <row r="30" spans="1:40" s="6" customFormat="1" ht="11.25" x14ac:dyDescent="0.2">
      <c r="A30" s="56">
        <f t="shared" si="20"/>
        <v>47134</v>
      </c>
      <c r="B30" s="406">
        <f>'2028'!Wh/'2028'!Env_an*'2029'!Env_an</f>
        <v>19.194682482503957</v>
      </c>
      <c r="C30" s="832"/>
      <c r="D30" s="388">
        <f t="shared" si="0"/>
        <v>19.893431819327024</v>
      </c>
      <c r="E30" s="380">
        <f t="shared" si="1"/>
        <v>20.612401130612323</v>
      </c>
      <c r="F30" s="380">
        <f t="shared" si="2"/>
        <v>21.022505388367779</v>
      </c>
      <c r="G30" s="110">
        <f t="shared" si="21"/>
        <v>0.99362565522372115</v>
      </c>
      <c r="H30" s="409" t="b">
        <f>Wh_hp&gt;='2028'!Maxi_hp</f>
        <v>0</v>
      </c>
      <c r="I30" s="385">
        <f>IF(H30,Wh_hp,'2028'!Maxi_hp)</f>
        <v>21.026241804609086</v>
      </c>
      <c r="J30" s="85">
        <f>IF(H30,An,'2028'!An_max)</f>
        <v>2022</v>
      </c>
      <c r="K30" s="193">
        <f t="shared" si="3"/>
        <v>47134</v>
      </c>
      <c r="L30" s="143">
        <f>IF(t&lt;Tvie,1-EXP((T0-t)*PertePVj)+'2028'!Pspv,1-EXP((T0-t)*PertePVj)+Pspv)</f>
        <v>3.5124625211433447E-2</v>
      </c>
      <c r="M30" s="836"/>
      <c r="N30" s="836"/>
      <c r="O30" s="48">
        <f>IF(t&lt;Tnet,'2028'!Resal+('2028'!Salim-'2028'!Resal)*(1-EXP(('2028'!Tnet-t)/('2028'!Tau_j))),Resal+(Salim-Resal)*(1-EXP((Tnet-t)/(Tau_j))))*Salcycl</f>
        <v>3.4880424979578335E-2</v>
      </c>
      <c r="P30" s="165">
        <f>(INDEX(Models!$BJ30:$BT30,,T30)*(1-R30)+INDEX(Models!$BJ30:$BT30,,T30+1)*R30-ERP_i)*Q30*Ramure*Pc/MaxiM</f>
        <v>1.9682131111427695E-2</v>
      </c>
      <c r="Q30" s="301">
        <f t="shared" si="4"/>
        <v>0.5</v>
      </c>
      <c r="R30" s="173">
        <f t="shared" si="5"/>
        <v>0.49441034920942384</v>
      </c>
      <c r="S30" s="802">
        <f t="shared" si="6"/>
        <v>3</v>
      </c>
      <c r="T30" s="172">
        <f t="shared" si="7"/>
        <v>9</v>
      </c>
      <c r="U30" s="247">
        <f t="shared" si="8"/>
        <v>3.4944103492094238</v>
      </c>
      <c r="V30" s="378">
        <f t="shared" si="9"/>
        <v>19.314387570082911</v>
      </c>
      <c r="W30" s="397">
        <f t="shared" si="10"/>
        <v>19.194682482503957</v>
      </c>
      <c r="X30" s="153">
        <f t="shared" si="11"/>
        <v>47134</v>
      </c>
      <c r="Y30" s="380">
        <f t="shared" si="12"/>
        <v>18.757936493172128</v>
      </c>
      <c r="Z30" s="380">
        <f t="shared" si="22"/>
        <v>19.440786844915138</v>
      </c>
      <c r="AA30" s="381">
        <f t="shared" si="13"/>
        <v>20.612401130612323</v>
      </c>
      <c r="AB30" s="193">
        <f t="shared" si="14"/>
        <v>47134</v>
      </c>
      <c r="AC30" s="119">
        <f>IF(OR(t&lt;Tnet,NoTnet),'2028'!Resal_s+('2028'!Salim-'2028'!Resal_s)*(1-EXP(('2028'!Tnet_s-t)/'2028'!Tau_j)),Resal_s+(Salim-Resal_s)*(1-EXP((Tnet_s-t)/Tau_j)))*Salcycl</f>
        <v>5.6840262241800291E-2</v>
      </c>
      <c r="AD30" s="227">
        <f>(INDEX(Models!$BJ30:$BT30,,AH30)*(1-AF30)+INDEX(Models!$BJ30:$BT30,,AH30+1)*AF30-ERP_i)*AE30*Ramure*Pc/MaxiM</f>
        <v>1.9682131111427695E-2</v>
      </c>
      <c r="AE30" s="301">
        <f t="shared" si="15"/>
        <v>0.5</v>
      </c>
      <c r="AF30" s="173">
        <f t="shared" si="23"/>
        <v>0.49441034920942384</v>
      </c>
      <c r="AG30" s="802">
        <f t="shared" si="24"/>
        <v>3</v>
      </c>
      <c r="AH30" s="172">
        <f t="shared" si="16"/>
        <v>9</v>
      </c>
      <c r="AI30" s="221">
        <f t="shared" si="17"/>
        <v>3.4944103492094238</v>
      </c>
      <c r="AJ30" s="261" t="b">
        <f t="shared" si="18"/>
        <v>1</v>
      </c>
      <c r="AK30" s="261" t="b">
        <f t="shared" si="19"/>
        <v>1</v>
      </c>
      <c r="AL30" s="261"/>
      <c r="AM30" s="261"/>
      <c r="AN30" s="75"/>
    </row>
    <row r="31" spans="1:40" s="6" customFormat="1" ht="11.25" x14ac:dyDescent="0.2">
      <c r="A31" s="56">
        <f t="shared" si="20"/>
        <v>47135</v>
      </c>
      <c r="B31" s="406">
        <f>'2028'!Wh/'2028'!Env_an*'2029'!Env_an</f>
        <v>12.88104484923157</v>
      </c>
      <c r="C31" s="832"/>
      <c r="D31" s="388">
        <f t="shared" si="0"/>
        <v>13.350139840759295</v>
      </c>
      <c r="E31" s="380">
        <f t="shared" si="1"/>
        <v>13.833208755092514</v>
      </c>
      <c r="F31" s="380">
        <f t="shared" si="2"/>
        <v>13.973682959391933</v>
      </c>
      <c r="G31" s="110">
        <f t="shared" si="21"/>
        <v>0.65222566748142474</v>
      </c>
      <c r="H31" s="409" t="b">
        <f>Wh_hp&gt;='2028'!Maxi_hp</f>
        <v>0</v>
      </c>
      <c r="I31" s="385">
        <f>IF(H31,Wh_hp,'2028'!Maxi_hp)</f>
        <v>14.110078337543527</v>
      </c>
      <c r="J31" s="85">
        <f>IF(H31,An,'2028'!An_max)</f>
        <v>2022</v>
      </c>
      <c r="K31" s="193">
        <f t="shared" si="3"/>
        <v>47135</v>
      </c>
      <c r="L31" s="143">
        <f>IF(t&lt;Tvie,1-EXP((T0-t)*PertePVj)+'2028'!Pspv,1-EXP((T0-t)*PertePVj)+Pspv)</f>
        <v>3.5137833545048847E-2</v>
      </c>
      <c r="M31" s="836"/>
      <c r="N31" s="836"/>
      <c r="O31" s="48">
        <f>IF(t&lt;Tnet,'2028'!Resal+('2028'!Salim-'2028'!Resal)*(1-EXP(('2028'!Tnet-t)/('2028'!Tau_j))),Resal+(Salim-Resal)*(1-EXP((Tnet-t)/(Tau_j))))*Salcycl</f>
        <v>3.4920958895772014E-2</v>
      </c>
      <c r="P31" s="165">
        <f>(INDEX(Models!$BJ31:$BT31,,T31)*(1-R31)+INDEX(Models!$BJ31:$BT31,,T31+1)*R31-ERP_i)*Q31*Ramure*Pc/MaxiM</f>
        <v>1.9623743615067864E-2</v>
      </c>
      <c r="Q31" s="301">
        <f t="shared" si="4"/>
        <v>0.5</v>
      </c>
      <c r="R31" s="173">
        <f t="shared" si="5"/>
        <v>0.49446433309877769</v>
      </c>
      <c r="S31" s="802">
        <f t="shared" si="6"/>
        <v>3</v>
      </c>
      <c r="T31" s="172">
        <f t="shared" si="7"/>
        <v>9</v>
      </c>
      <c r="U31" s="247">
        <f t="shared" si="8"/>
        <v>3.4944643330987777</v>
      </c>
      <c r="V31" s="378">
        <f t="shared" si="9"/>
        <v>19.558428005985235</v>
      </c>
      <c r="W31" s="397">
        <f t="shared" si="10"/>
        <v>12.88104484923157</v>
      </c>
      <c r="X31" s="153">
        <f t="shared" si="11"/>
        <v>47135</v>
      </c>
      <c r="Y31" s="380">
        <f t="shared" si="12"/>
        <v>12.588216937686369</v>
      </c>
      <c r="Z31" s="380">
        <f t="shared" si="22"/>
        <v>13.046647879186073</v>
      </c>
      <c r="AA31" s="381">
        <f t="shared" si="13"/>
        <v>13.833208755092514</v>
      </c>
      <c r="AB31" s="193">
        <f t="shared" si="14"/>
        <v>47135</v>
      </c>
      <c r="AC31" s="119">
        <f>IF(OR(t&lt;Tnet,NoTnet),'2028'!Resal_s+('2028'!Salim-'2028'!Resal_s)*(1-EXP(('2028'!Tnet_s-t)/'2028'!Tau_j)),Resal_s+(Salim-Resal_s)*(1-EXP((Tnet_s-t)/Tau_j)))*Salcycl</f>
        <v>5.6860334419292155E-2</v>
      </c>
      <c r="AD31" s="227">
        <f>(INDEX(Models!$BJ31:$BT31,,AH31)*(1-AF31)+INDEX(Models!$BJ31:$BT31,,AH31+1)*AF31-ERP_i)*AE31*Ramure*Pc/MaxiM</f>
        <v>1.9623743615067864E-2</v>
      </c>
      <c r="AE31" s="301">
        <f t="shared" si="15"/>
        <v>0.5</v>
      </c>
      <c r="AF31" s="173">
        <f t="shared" si="23"/>
        <v>0.49446433309877769</v>
      </c>
      <c r="AG31" s="802">
        <f t="shared" si="24"/>
        <v>3</v>
      </c>
      <c r="AH31" s="172">
        <f t="shared" si="16"/>
        <v>9</v>
      </c>
      <c r="AI31" s="221">
        <f t="shared" si="17"/>
        <v>3.4944643330987777</v>
      </c>
      <c r="AJ31" s="261" t="b">
        <f t="shared" si="18"/>
        <v>1</v>
      </c>
      <c r="AK31" s="261" t="b">
        <f t="shared" si="19"/>
        <v>1</v>
      </c>
      <c r="AL31" s="261"/>
      <c r="AM31" s="261"/>
      <c r="AN31" s="75"/>
    </row>
    <row r="32" spans="1:40" s="6" customFormat="1" ht="11.25" x14ac:dyDescent="0.2">
      <c r="A32" s="56">
        <f t="shared" si="20"/>
        <v>47136</v>
      </c>
      <c r="B32" s="406">
        <f>'2028'!Wh/'2028'!Env_an*'2029'!Env_an</f>
        <v>4.0867215001898032</v>
      </c>
      <c r="C32" s="832"/>
      <c r="D32" s="388">
        <f t="shared" si="0"/>
        <v>4.2356075166223359</v>
      </c>
      <c r="E32" s="380">
        <f t="shared" si="1"/>
        <v>4.3890554641327411</v>
      </c>
      <c r="F32" s="380">
        <f t="shared" si="2"/>
        <v>4.3890554641327411</v>
      </c>
      <c r="G32" s="110">
        <f t="shared" si="21"/>
        <v>0.2022655812855203</v>
      </c>
      <c r="H32" s="409" t="b">
        <f>Wh_hp&gt;='2028'!Maxi_hp</f>
        <v>0</v>
      </c>
      <c r="I32" s="385">
        <f>IF(H32,Wh_hp,'2028'!Maxi_hp)</f>
        <v>4.4766449642017561</v>
      </c>
      <c r="J32" s="85">
        <f>IF(H32,An,'2028'!An_max)</f>
        <v>2022</v>
      </c>
      <c r="K32" s="193">
        <f t="shared" si="3"/>
        <v>47136</v>
      </c>
      <c r="L32" s="143">
        <f>IF(t&lt;Tvie,1-EXP((T0-t)*PertePVj)+'2028'!Pspv,1-EXP((T0-t)*PertePVj)+Pspv)</f>
        <v>3.5151041697853325E-2</v>
      </c>
      <c r="M32" s="836"/>
      <c r="N32" s="836"/>
      <c r="O32" s="48">
        <f>IF(t&lt;Tnet,'2028'!Resal+('2028'!Salim-'2028'!Resal)*(1-EXP(('2028'!Tnet-t)/('2028'!Tau_j))),Resal+(Salim-Resal)*(1-EXP((Tnet-t)/(Tau_j))))*Salcycl</f>
        <v>3.496149655988133E-2</v>
      </c>
      <c r="P32" s="165">
        <f>(INDEX(Models!$BJ32:$BT32,,T32)*(1-R32)+INDEX(Models!$BJ32:$BT32,,T32+1)*R32-ERP_i)*Q32*Ramure*Pc/MaxiM</f>
        <v>1.9569472412873736E-2</v>
      </c>
      <c r="Q32" s="301">
        <f t="shared" si="4"/>
        <v>0.5</v>
      </c>
      <c r="R32" s="173">
        <f t="shared" si="5"/>
        <v>0.49452056931091937</v>
      </c>
      <c r="S32" s="802">
        <f t="shared" si="6"/>
        <v>3</v>
      </c>
      <c r="T32" s="172">
        <f t="shared" si="7"/>
        <v>9</v>
      </c>
      <c r="U32" s="247">
        <f t="shared" si="8"/>
        <v>3.4945205693109194</v>
      </c>
      <c r="V32" s="378">
        <f t="shared" si="9"/>
        <v>19.809334297350244</v>
      </c>
      <c r="W32" s="397">
        <f t="shared" si="10"/>
        <v>4.0867215001898032</v>
      </c>
      <c r="X32" s="153">
        <f t="shared" si="11"/>
        <v>47136</v>
      </c>
      <c r="Y32" s="380">
        <f t="shared" si="12"/>
        <v>3.9938996244358518</v>
      </c>
      <c r="Z32" s="380">
        <f t="shared" si="22"/>
        <v>4.1394039865721082</v>
      </c>
      <c r="AA32" s="381">
        <f t="shared" si="13"/>
        <v>4.3890554641327411</v>
      </c>
      <c r="AB32" s="193">
        <f t="shared" si="14"/>
        <v>47136</v>
      </c>
      <c r="AC32" s="119">
        <f>IF(OR(t&lt;Tnet,NoTnet),'2028'!Resal_s+('2028'!Salim-'2028'!Resal_s)*(1-EXP(('2028'!Tnet_s-t)/'2028'!Tau_j)),Resal_s+(Salim-Resal_s)*(1-EXP((Tnet_s-t)/Tau_j)))*Salcycl</f>
        <v>5.6880456307918402E-2</v>
      </c>
      <c r="AD32" s="227">
        <f>(INDEX(Models!$BJ32:$BT32,,AH32)*(1-AF32)+INDEX(Models!$BJ32:$BT32,,AH32+1)*AF32-ERP_i)*AE32*Ramure*Pc/MaxiM</f>
        <v>1.9569472412873736E-2</v>
      </c>
      <c r="AE32" s="301">
        <f t="shared" si="15"/>
        <v>0.5</v>
      </c>
      <c r="AF32" s="173">
        <f t="shared" si="23"/>
        <v>0.49452056931091937</v>
      </c>
      <c r="AG32" s="802">
        <f t="shared" si="24"/>
        <v>3</v>
      </c>
      <c r="AH32" s="172">
        <f t="shared" si="16"/>
        <v>9</v>
      </c>
      <c r="AI32" s="221">
        <f t="shared" si="17"/>
        <v>3.4945205693109194</v>
      </c>
      <c r="AJ32" s="261" t="b">
        <f t="shared" si="18"/>
        <v>1</v>
      </c>
      <c r="AK32" s="261" t="b">
        <f t="shared" si="19"/>
        <v>1</v>
      </c>
      <c r="AL32" s="261"/>
      <c r="AM32" s="261"/>
      <c r="AN32" s="75"/>
    </row>
    <row r="33" spans="1:40" s="6" customFormat="1" ht="11.25" x14ac:dyDescent="0.2">
      <c r="A33" s="56">
        <f t="shared" si="20"/>
        <v>47137</v>
      </c>
      <c r="B33" s="406">
        <f>'2028'!Wh/'2028'!Env_an*'2029'!Env_an</f>
        <v>10.333664557401393</v>
      </c>
      <c r="C33" s="832"/>
      <c r="D33" s="388">
        <f t="shared" si="0"/>
        <v>10.710283645548358</v>
      </c>
      <c r="E33" s="380">
        <f t="shared" si="1"/>
        <v>11.098762988765445</v>
      </c>
      <c r="F33" s="380">
        <f t="shared" si="2"/>
        <v>11.165688288045887</v>
      </c>
      <c r="G33" s="110">
        <f t="shared" si="21"/>
        <v>0.50794600630519426</v>
      </c>
      <c r="H33" s="409" t="b">
        <f>Wh_hp&gt;='2028'!Maxi_hp</f>
        <v>0</v>
      </c>
      <c r="I33" s="385">
        <f>IF(H33,Wh_hp,'2028'!Maxi_hp)</f>
        <v>11.319682789711347</v>
      </c>
      <c r="J33" s="85">
        <f>IF(H33,An,'2028'!An_max)</f>
        <v>2022</v>
      </c>
      <c r="K33" s="193">
        <f t="shared" si="3"/>
        <v>47137</v>
      </c>
      <c r="L33" s="143">
        <f>IF(t&lt;Tvie,1-EXP((T0-t)*PertePVj)+'2028'!Pspv,1-EXP((T0-t)*PertePVj)+Pspv)</f>
        <v>3.5164249669849212E-2</v>
      </c>
      <c r="M33" s="836"/>
      <c r="N33" s="836"/>
      <c r="O33" s="48">
        <f>IF(t&lt;Tnet,'2028'!Resal+('2028'!Salim-'2028'!Resal)*(1-EXP(('2028'!Tnet-t)/('2028'!Tau_j))),Resal+(Salim-Resal)*(1-EXP((Tnet-t)/(Tau_j))))*Salcycl</f>
        <v>3.5002039741755017E-2</v>
      </c>
      <c r="P33" s="165">
        <f>(INDEX(Models!$BJ33:$BT33,,T33)*(1-R33)+INDEX(Models!$BJ33:$BT33,,T33+1)*R33-ERP_i)*Q33*Ramure*Pc/MaxiM</f>
        <v>1.9519091796129633E-2</v>
      </c>
      <c r="Q33" s="301">
        <f t="shared" si="4"/>
        <v>0.5</v>
      </c>
      <c r="R33" s="173">
        <f t="shared" si="5"/>
        <v>0.49457915127678032</v>
      </c>
      <c r="S33" s="802">
        <f t="shared" si="6"/>
        <v>3</v>
      </c>
      <c r="T33" s="172">
        <f t="shared" si="7"/>
        <v>9</v>
      </c>
      <c r="U33" s="247">
        <f t="shared" si="8"/>
        <v>3.4945791512767803</v>
      </c>
      <c r="V33" s="378">
        <f t="shared" si="9"/>
        <v>20.067204362220188</v>
      </c>
      <c r="W33" s="397">
        <f t="shared" si="10"/>
        <v>10.333664557401393</v>
      </c>
      <c r="X33" s="153">
        <f t="shared" si="11"/>
        <v>47137</v>
      </c>
      <c r="Y33" s="380">
        <f t="shared" si="12"/>
        <v>10.099163862810645</v>
      </c>
      <c r="Z33" s="380">
        <f t="shared" si="22"/>
        <v>10.467236376092904</v>
      </c>
      <c r="AA33" s="381">
        <f t="shared" si="13"/>
        <v>11.098762988765445</v>
      </c>
      <c r="AB33" s="193">
        <f t="shared" si="14"/>
        <v>47137</v>
      </c>
      <c r="AC33" s="119">
        <f>IF(OR(t&lt;Tnet,NoTnet),'2028'!Resal_s+('2028'!Salim-'2028'!Resal_s)*(1-EXP(('2028'!Tnet_s-t)/'2028'!Tau_j)),Resal_s+(Salim-Resal_s)*(1-EXP((Tnet_s-t)/Tau_j)))*Salcycl</f>
        <v>5.6900630575839307E-2</v>
      </c>
      <c r="AD33" s="227">
        <f>(INDEX(Models!$BJ33:$BT33,,AH33)*(1-AF33)+INDEX(Models!$BJ33:$BT33,,AH33+1)*AF33-ERP_i)*AE33*Ramure*Pc/MaxiM</f>
        <v>1.9519091796129633E-2</v>
      </c>
      <c r="AE33" s="301">
        <f t="shared" si="15"/>
        <v>0.5</v>
      </c>
      <c r="AF33" s="173">
        <f t="shared" si="23"/>
        <v>0.49457915127678032</v>
      </c>
      <c r="AG33" s="802">
        <f t="shared" si="24"/>
        <v>3</v>
      </c>
      <c r="AH33" s="172">
        <f t="shared" si="16"/>
        <v>9</v>
      </c>
      <c r="AI33" s="221">
        <f t="shared" si="17"/>
        <v>3.4945791512767803</v>
      </c>
      <c r="AJ33" s="261" t="b">
        <f t="shared" si="18"/>
        <v>1</v>
      </c>
      <c r="AK33" s="261" t="b">
        <f t="shared" si="19"/>
        <v>1</v>
      </c>
      <c r="AL33" s="261"/>
      <c r="AM33" s="261"/>
      <c r="AN33" s="75"/>
    </row>
    <row r="34" spans="1:40" s="6" customFormat="1" ht="11.25" x14ac:dyDescent="0.2">
      <c r="A34" s="56">
        <f t="shared" si="20"/>
        <v>47138</v>
      </c>
      <c r="B34" s="406">
        <f>'2028'!Wh/'2028'!Env_an*'2029'!Env_an</f>
        <v>5.9819392781826455</v>
      </c>
      <c r="C34" s="832"/>
      <c r="D34" s="388">
        <f t="shared" si="0"/>
        <v>6.2000409551387383</v>
      </c>
      <c r="E34" s="380">
        <f t="shared" si="1"/>
        <v>6.4251964830993487</v>
      </c>
      <c r="F34" s="380">
        <f t="shared" si="2"/>
        <v>6.4251964830993487</v>
      </c>
      <c r="G34" s="110">
        <f t="shared" si="21"/>
        <v>0.28848206867558512</v>
      </c>
      <c r="H34" s="409" t="b">
        <f>Wh_hp&gt;='2028'!Maxi_hp</f>
        <v>0</v>
      </c>
      <c r="I34" s="385">
        <f>IF(H34,Wh_hp,'2028'!Maxi_hp)</f>
        <v>6.552768311666</v>
      </c>
      <c r="J34" s="85">
        <f>IF(H34,An,'2028'!An_max)</f>
        <v>2022</v>
      </c>
      <c r="K34" s="193">
        <f t="shared" si="3"/>
        <v>47138</v>
      </c>
      <c r="L34" s="143">
        <f>IF(t&lt;Tvie,1-EXP((T0-t)*PertePVj)+'2028'!Pspv,1-EXP((T0-t)*PertePVj)+Pspv)</f>
        <v>3.5177457461039063E-2</v>
      </c>
      <c r="M34" s="836"/>
      <c r="N34" s="836"/>
      <c r="O34" s="48">
        <f>IF(t&lt;Tnet,'2028'!Resal+('2028'!Salim-'2028'!Resal)*(1-EXP(('2028'!Tnet-t)/('2028'!Tau_j))),Resal+(Salim-Resal)*(1-EXP((Tnet-t)/(Tau_j))))*Salcycl</f>
        <v>3.5042590300989621E-2</v>
      </c>
      <c r="P34" s="165">
        <f>(INDEX(Models!$BJ34:$BT34,,T34)*(1-R34)+INDEX(Models!$BJ34:$BT34,,T34+1)*R34-ERP_i)*Q34*Ramure*Pc/MaxiM</f>
        <v>1.9472470447816987E-2</v>
      </c>
      <c r="Q34" s="301">
        <f t="shared" si="4"/>
        <v>0.5</v>
      </c>
      <c r="R34" s="173">
        <f t="shared" si="5"/>
        <v>0.49464017625682288</v>
      </c>
      <c r="S34" s="802">
        <f t="shared" si="6"/>
        <v>3</v>
      </c>
      <c r="T34" s="172">
        <f t="shared" si="7"/>
        <v>9</v>
      </c>
      <c r="U34" s="247">
        <f t="shared" si="8"/>
        <v>3.4946401762568229</v>
      </c>
      <c r="V34" s="378">
        <f t="shared" si="9"/>
        <v>20.332134226906302</v>
      </c>
      <c r="W34" s="397">
        <f t="shared" si="10"/>
        <v>5.9819392781826455</v>
      </c>
      <c r="X34" s="153">
        <f t="shared" si="11"/>
        <v>47138</v>
      </c>
      <c r="Y34" s="380">
        <f t="shared" si="12"/>
        <v>5.8463120684117831</v>
      </c>
      <c r="Z34" s="380">
        <f t="shared" si="22"/>
        <v>6.0594687734254515</v>
      </c>
      <c r="AA34" s="381">
        <f t="shared" si="13"/>
        <v>6.4251964830993487</v>
      </c>
      <c r="AB34" s="193">
        <f t="shared" si="14"/>
        <v>47138</v>
      </c>
      <c r="AC34" s="119">
        <f>IF(OR(t&lt;Tnet,NoTnet),'2028'!Resal_s+('2028'!Salim-'2028'!Resal_s)*(1-EXP(('2028'!Tnet_s-t)/'2028'!Tau_j)),Resal_s+(Salim-Resal_s)*(1-EXP((Tnet_s-t)/Tau_j)))*Salcycl</f>
        <v>5.6920860029089644E-2</v>
      </c>
      <c r="AD34" s="227">
        <f>(INDEX(Models!$BJ34:$BT34,,AH34)*(1-AF34)+INDEX(Models!$BJ34:$BT34,,AH34+1)*AF34-ERP_i)*AE34*Ramure*Pc/MaxiM</f>
        <v>1.9472470447816987E-2</v>
      </c>
      <c r="AE34" s="301">
        <f t="shared" si="15"/>
        <v>0.5</v>
      </c>
      <c r="AF34" s="173">
        <f t="shared" si="23"/>
        <v>0.49464017625682288</v>
      </c>
      <c r="AG34" s="802">
        <f t="shared" si="24"/>
        <v>3</v>
      </c>
      <c r="AH34" s="172">
        <f t="shared" si="16"/>
        <v>9</v>
      </c>
      <c r="AI34" s="221">
        <f t="shared" si="17"/>
        <v>3.4946401762568229</v>
      </c>
      <c r="AJ34" s="261" t="b">
        <f t="shared" si="18"/>
        <v>1</v>
      </c>
      <c r="AK34" s="261" t="b">
        <f t="shared" si="19"/>
        <v>1</v>
      </c>
      <c r="AL34" s="261"/>
      <c r="AM34" s="261"/>
      <c r="AN34" s="75"/>
    </row>
    <row r="35" spans="1:40" s="6" customFormat="1" ht="11.25" x14ac:dyDescent="0.2">
      <c r="A35" s="56">
        <f t="shared" si="20"/>
        <v>47139</v>
      </c>
      <c r="B35" s="406">
        <f>'2028'!Wh/'2028'!Env_an*'2029'!Env_an</f>
        <v>16.839628116899867</v>
      </c>
      <c r="C35" s="832"/>
      <c r="D35" s="388">
        <f t="shared" si="0"/>
        <v>17.453840367482051</v>
      </c>
      <c r="E35" s="380">
        <f t="shared" si="1"/>
        <v>18.088439817006016</v>
      </c>
      <c r="F35" s="380">
        <f t="shared" si="2"/>
        <v>18.351939645895669</v>
      </c>
      <c r="G35" s="110">
        <f t="shared" si="21"/>
        <v>0.81308512750726891</v>
      </c>
      <c r="H35" s="409" t="b">
        <f>Wh_hp&gt;='2028'!Maxi_hp</f>
        <v>0</v>
      </c>
      <c r="I35" s="385">
        <f>IF(H35,Wh_hp,'2028'!Maxi_hp)</f>
        <v>18.44683212449177</v>
      </c>
      <c r="J35" s="85">
        <f>IF(H35,An,'2028'!An_max)</f>
        <v>2022</v>
      </c>
      <c r="K35" s="193">
        <f t="shared" si="3"/>
        <v>47139</v>
      </c>
      <c r="L35" s="143">
        <f>IF(t&lt;Tvie,1-EXP((T0-t)*PertePVj)+'2028'!Pspv,1-EXP((T0-t)*PertePVj)+Pspv)</f>
        <v>3.519066507142532E-2</v>
      </c>
      <c r="M35" s="836"/>
      <c r="N35" s="836"/>
      <c r="O35" s="48">
        <f>IF(t&lt;Tnet,'2028'!Resal+('2028'!Salim-'2028'!Resal)*(1-EXP(('2028'!Tnet-t)/('2028'!Tau_j))),Resal+(Salim-Resal)*(1-EXP((Tnet-t)/(Tau_j))))*Salcycl</f>
        <v>3.5083150119300952E-2</v>
      </c>
      <c r="P35" s="165">
        <f>(INDEX(Models!$BJ35:$BT35,,T35)*(1-R35)+INDEX(Models!$BJ35:$BT35,,T35+1)*R35-ERP_i)*Q35*Ramure*Pc/MaxiM</f>
        <v>1.9429520292557134E-2</v>
      </c>
      <c r="Q35" s="301">
        <f t="shared" si="4"/>
        <v>0.5</v>
      </c>
      <c r="R35" s="173">
        <f t="shared" si="5"/>
        <v>0.49470374549405927</v>
      </c>
      <c r="S35" s="802">
        <f t="shared" si="6"/>
        <v>3</v>
      </c>
      <c r="T35" s="172">
        <f t="shared" si="7"/>
        <v>9</v>
      </c>
      <c r="U35" s="247">
        <f t="shared" si="8"/>
        <v>3.4947037454940593</v>
      </c>
      <c r="V35" s="378">
        <f t="shared" si="9"/>
        <v>20.604218973326958</v>
      </c>
      <c r="W35" s="397">
        <f t="shared" si="10"/>
        <v>16.839628116899867</v>
      </c>
      <c r="X35" s="153">
        <f t="shared" si="11"/>
        <v>47139</v>
      </c>
      <c r="Y35" s="380">
        <f t="shared" si="12"/>
        <v>16.458164628788445</v>
      </c>
      <c r="Z35" s="380">
        <f t="shared" si="22"/>
        <v>17.058463297317548</v>
      </c>
      <c r="AA35" s="381">
        <f t="shared" si="13"/>
        <v>18.088439817006016</v>
      </c>
      <c r="AB35" s="193">
        <f t="shared" si="14"/>
        <v>47139</v>
      </c>
      <c r="AC35" s="119">
        <f>IF(OR(t&lt;Tnet,NoTnet),'2028'!Resal_s+('2028'!Salim-'2028'!Resal_s)*(1-EXP(('2028'!Tnet_s-t)/'2028'!Tau_j)),Resal_s+(Salim-Resal_s)*(1-EXP((Tnet_s-t)/Tau_j)))*Salcycl</f>
        <v>5.6941147501296634E-2</v>
      </c>
      <c r="AD35" s="227">
        <f>(INDEX(Models!$BJ35:$BT35,,AH35)*(1-AF35)+INDEX(Models!$BJ35:$BT35,,AH35+1)*AF35-ERP_i)*AE35*Ramure*Pc/MaxiM</f>
        <v>1.9429520292557134E-2</v>
      </c>
      <c r="AE35" s="301">
        <f t="shared" si="15"/>
        <v>0.5</v>
      </c>
      <c r="AF35" s="173">
        <f t="shared" si="23"/>
        <v>0.49470374549405927</v>
      </c>
      <c r="AG35" s="802">
        <f t="shared" si="24"/>
        <v>3</v>
      </c>
      <c r="AH35" s="172">
        <f t="shared" si="16"/>
        <v>9</v>
      </c>
      <c r="AI35" s="221">
        <f t="shared" si="17"/>
        <v>3.4947037454940593</v>
      </c>
      <c r="AJ35" s="261" t="b">
        <f t="shared" si="18"/>
        <v>1</v>
      </c>
      <c r="AK35" s="261" t="b">
        <f t="shared" si="19"/>
        <v>1</v>
      </c>
      <c r="AL35" s="261"/>
      <c r="AM35" s="261"/>
      <c r="AN35" s="75"/>
    </row>
    <row r="36" spans="1:40" s="6" customFormat="1" ht="11.25" x14ac:dyDescent="0.2">
      <c r="A36" s="56">
        <f t="shared" si="20"/>
        <v>47140</v>
      </c>
      <c r="B36" s="406">
        <f>'2028'!Wh/'2028'!Env_an*'2029'!Env_an</f>
        <v>20.768110760662061</v>
      </c>
      <c r="C36" s="832"/>
      <c r="D36" s="388">
        <f t="shared" si="0"/>
        <v>21.525906011354522</v>
      </c>
      <c r="E36" s="380">
        <f t="shared" si="1"/>
        <v>22.309498617246867</v>
      </c>
      <c r="F36" s="380">
        <f t="shared" si="2"/>
        <v>22.747083309774116</v>
      </c>
      <c r="G36" s="110">
        <f t="shared" si="21"/>
        <v>0.99431673201531112</v>
      </c>
      <c r="H36" s="409" t="b">
        <f>Wh_hp&gt;='2028'!Maxi_hp</f>
        <v>0</v>
      </c>
      <c r="I36" s="385">
        <f>IF(H36,Wh_hp,'2028'!Maxi_hp)</f>
        <v>22.750634528837967</v>
      </c>
      <c r="J36" s="85">
        <f>IF(H36,An,'2028'!An_max)</f>
        <v>2022</v>
      </c>
      <c r="K36" s="193">
        <f t="shared" si="3"/>
        <v>47140</v>
      </c>
      <c r="L36" s="143">
        <f>IF(t&lt;Tvie,1-EXP((T0-t)*PertePVj)+'2028'!Pspv,1-EXP((T0-t)*PertePVj)+Pspv)</f>
        <v>3.5203872501010536E-2</v>
      </c>
      <c r="M36" s="836"/>
      <c r="N36" s="836"/>
      <c r="O36" s="48">
        <f>IF(t&lt;Tnet,'2028'!Resal+('2028'!Salim-'2028'!Resal)*(1-EXP(('2028'!Tnet-t)/('2028'!Tau_j))),Resal+(Salim-Resal)*(1-EXP((Tnet-t)/(Tau_j))))*Salcycl</f>
        <v>3.512372103631993E-2</v>
      </c>
      <c r="P36" s="165">
        <f>(INDEX(Models!$BJ36:$BT36,,T36)*(1-R36)+INDEX(Models!$BJ36:$BT36,,T36+1)*R36-ERP_i)*Q36*Ramure*Pc/MaxiM</f>
        <v>1.9390084579913994E-2</v>
      </c>
      <c r="Q36" s="301">
        <f t="shared" si="4"/>
        <v>0.5</v>
      </c>
      <c r="R36" s="173">
        <f t="shared" si="5"/>
        <v>0.49476996437284138</v>
      </c>
      <c r="S36" s="802">
        <f t="shared" si="6"/>
        <v>3</v>
      </c>
      <c r="T36" s="172">
        <f t="shared" si="7"/>
        <v>9</v>
      </c>
      <c r="U36" s="247">
        <f t="shared" si="8"/>
        <v>3.4947699643728414</v>
      </c>
      <c r="V36" s="378">
        <f t="shared" si="9"/>
        <v>20.88355508038644</v>
      </c>
      <c r="W36" s="397">
        <f t="shared" si="10"/>
        <v>20.768110760662061</v>
      </c>
      <c r="X36" s="153">
        <f t="shared" si="11"/>
        <v>47140</v>
      </c>
      <c r="Y36" s="380">
        <f t="shared" si="12"/>
        <v>20.298071923665834</v>
      </c>
      <c r="Z36" s="380">
        <f t="shared" si="22"/>
        <v>21.038716206587484</v>
      </c>
      <c r="AA36" s="381">
        <f t="shared" si="13"/>
        <v>22.309498617246867</v>
      </c>
      <c r="AB36" s="193">
        <f t="shared" si="14"/>
        <v>47140</v>
      </c>
      <c r="AC36" s="119">
        <f>IF(OR(t&lt;Tnet,NoTnet),'2028'!Resal_s+('2028'!Salim-'2028'!Resal_s)*(1-EXP(('2028'!Tnet_s-t)/'2028'!Tau_j)),Resal_s+(Salim-Resal_s)*(1-EXP((Tnet_s-t)/Tau_j)))*Salcycl</f>
        <v>5.696149574948204E-2</v>
      </c>
      <c r="AD36" s="227">
        <f>(INDEX(Models!$BJ36:$BT36,,AH36)*(1-AF36)+INDEX(Models!$BJ36:$BT36,,AH36+1)*AF36-ERP_i)*AE36*Ramure*Pc/MaxiM</f>
        <v>1.9390084579913994E-2</v>
      </c>
      <c r="AE36" s="301">
        <f t="shared" si="15"/>
        <v>0.5</v>
      </c>
      <c r="AF36" s="173">
        <f t="shared" si="23"/>
        <v>0.49476996437284138</v>
      </c>
      <c r="AG36" s="802">
        <f t="shared" si="24"/>
        <v>3</v>
      </c>
      <c r="AH36" s="172">
        <f t="shared" si="16"/>
        <v>9</v>
      </c>
      <c r="AI36" s="221">
        <f t="shared" si="17"/>
        <v>3.4947699643728414</v>
      </c>
      <c r="AJ36" s="261" t="b">
        <f t="shared" si="18"/>
        <v>1</v>
      </c>
      <c r="AK36" s="261" t="b">
        <f t="shared" si="19"/>
        <v>1</v>
      </c>
      <c r="AL36" s="261"/>
      <c r="AM36" s="261"/>
      <c r="AN36" s="75"/>
    </row>
    <row r="37" spans="1:40" s="6" customFormat="1" ht="11.25" x14ac:dyDescent="0.2">
      <c r="A37" s="56">
        <f t="shared" si="20"/>
        <v>47141</v>
      </c>
      <c r="B37" s="406">
        <f>'2028'!Wh/'2028'!Env_an*'2029'!Env_an</f>
        <v>20.83738563088983</v>
      </c>
      <c r="C37" s="832"/>
      <c r="D37" s="388">
        <f t="shared" si="0"/>
        <v>21.598004269692034</v>
      </c>
      <c r="E37" s="380">
        <f t="shared" si="1"/>
        <v>22.385162962879864</v>
      </c>
      <c r="F37" s="380">
        <f t="shared" si="2"/>
        <v>22.816754299349292</v>
      </c>
      <c r="G37" s="110">
        <f t="shared" si="21"/>
        <v>0.98375827351291956</v>
      </c>
      <c r="H37" s="409" t="b">
        <f>Wh_hp&gt;='2028'!Maxi_hp</f>
        <v>0</v>
      </c>
      <c r="I37" s="385">
        <f>IF(H37,Wh_hp,'2028'!Maxi_hp)</f>
        <v>22.826917337644495</v>
      </c>
      <c r="J37" s="85">
        <f>IF(H37,An,'2028'!An_max)</f>
        <v>2022</v>
      </c>
      <c r="K37" s="193">
        <f t="shared" si="3"/>
        <v>47141</v>
      </c>
      <c r="L37" s="143">
        <f>IF(t&lt;Tvie,1-EXP((T0-t)*PertePVj)+'2028'!Pspv,1-EXP((T0-t)*PertePVj)+Pspv)</f>
        <v>3.5217079749797153E-2</v>
      </c>
      <c r="M37" s="836"/>
      <c r="N37" s="836"/>
      <c r="O37" s="48">
        <f>IF(t&lt;Tnet,'2028'!Resal+('2028'!Salim-'2028'!Resal)*(1-EXP(('2028'!Tnet-t)/('2028'!Tau_j))),Resal+(Salim-Resal)*(1-EXP((Tnet-t)/(Tau_j))))*Salcycl</f>
        <v>3.5164304789432908E-2</v>
      </c>
      <c r="P37" s="165">
        <f>(INDEX(Models!$BJ37:$BT37,,T37)*(1-R37)+INDEX(Models!$BJ37:$BT37,,T37+1)*R37-ERP_i)*Q37*Ramure*Pc/MaxiM</f>
        <v>1.9352452132193318E-2</v>
      </c>
      <c r="Q37" s="301">
        <f t="shared" si="4"/>
        <v>0.5</v>
      </c>
      <c r="R37" s="173">
        <f t="shared" si="5"/>
        <v>0.49483894258361838</v>
      </c>
      <c r="S37" s="802">
        <f t="shared" si="6"/>
        <v>3</v>
      </c>
      <c r="T37" s="172">
        <f t="shared" si="7"/>
        <v>9</v>
      </c>
      <c r="U37" s="247">
        <f t="shared" si="8"/>
        <v>3.4948389425836184</v>
      </c>
      <c r="V37" s="378">
        <f t="shared" si="9"/>
        <v>21.171975531095626</v>
      </c>
      <c r="W37" s="397">
        <f t="shared" si="10"/>
        <v>20.83738563088983</v>
      </c>
      <c r="X37" s="153">
        <f t="shared" si="11"/>
        <v>47141</v>
      </c>
      <c r="Y37" s="380">
        <f t="shared" si="12"/>
        <v>20.366194732276853</v>
      </c>
      <c r="Z37" s="380">
        <f t="shared" si="22"/>
        <v>21.109613680759573</v>
      </c>
      <c r="AA37" s="381">
        <f t="shared" si="13"/>
        <v>22.385162962879864</v>
      </c>
      <c r="AB37" s="193">
        <f t="shared" si="14"/>
        <v>47141</v>
      </c>
      <c r="AC37" s="119">
        <f>IF(OR(t&lt;Tnet,NoTnet),'2028'!Resal_s+('2028'!Salim-'2028'!Resal_s)*(1-EXP(('2028'!Tnet_s-t)/'2028'!Tau_j)),Resal_s+(Salim-Resal_s)*(1-EXP((Tnet_s-t)/Tau_j)))*Salcycl</f>
        <v>5.6981907356916162E-2</v>
      </c>
      <c r="AD37" s="227">
        <f>(INDEX(Models!$BJ37:$BT37,,AH37)*(1-AF37)+INDEX(Models!$BJ37:$BT37,,AH37+1)*AF37-ERP_i)*AE37*Ramure*Pc/MaxiM</f>
        <v>1.9352452132193318E-2</v>
      </c>
      <c r="AE37" s="301">
        <f t="shared" si="15"/>
        <v>0.5</v>
      </c>
      <c r="AF37" s="173">
        <f t="shared" si="23"/>
        <v>0.49483894258361838</v>
      </c>
      <c r="AG37" s="802">
        <f t="shared" si="24"/>
        <v>3</v>
      </c>
      <c r="AH37" s="172">
        <f t="shared" si="16"/>
        <v>9</v>
      </c>
      <c r="AI37" s="221">
        <f t="shared" si="17"/>
        <v>3.4948389425836184</v>
      </c>
      <c r="AJ37" s="261" t="b">
        <f t="shared" si="18"/>
        <v>1</v>
      </c>
      <c r="AK37" s="261" t="b">
        <f t="shared" si="19"/>
        <v>1</v>
      </c>
      <c r="AL37" s="261"/>
      <c r="AM37" s="261"/>
      <c r="AN37" s="75"/>
    </row>
    <row r="38" spans="1:40" s="6" customFormat="1" ht="11.25" x14ac:dyDescent="0.2">
      <c r="A38" s="56">
        <f t="shared" si="20"/>
        <v>47142</v>
      </c>
      <c r="B38" s="406">
        <f>'2028'!Wh/'2028'!Env_an*'2029'!Env_an</f>
        <v>21.355650951216756</v>
      </c>
      <c r="C38" s="832"/>
      <c r="D38" s="388">
        <f t="shared" si="0"/>
        <v>22.135490635145381</v>
      </c>
      <c r="E38" s="380">
        <f t="shared" si="1"/>
        <v>22.943203902068635</v>
      </c>
      <c r="F38" s="380">
        <f t="shared" si="2"/>
        <v>23.390282896690199</v>
      </c>
      <c r="G38" s="110">
        <f t="shared" si="21"/>
        <v>0.99443992313475038</v>
      </c>
      <c r="H38" s="409" t="b">
        <f>Wh_hp&gt;='2028'!Maxi_hp</f>
        <v>0</v>
      </c>
      <c r="I38" s="385">
        <f>IF(H38,Wh_hp,'2028'!Maxi_hp)</f>
        <v>23.393832011186525</v>
      </c>
      <c r="J38" s="85">
        <f>IF(H38,An,'2028'!An_max)</f>
        <v>2022</v>
      </c>
      <c r="K38" s="193">
        <f t="shared" si="3"/>
        <v>47142</v>
      </c>
      <c r="L38" s="143">
        <f>IF(t&lt;Tvie,1-EXP((T0-t)*PertePVj)+'2028'!Pspv,1-EXP((T0-t)*PertePVj)+Pspv)</f>
        <v>3.5230286817787615E-2</v>
      </c>
      <c r="M38" s="836"/>
      <c r="N38" s="836"/>
      <c r="O38" s="48">
        <f>IF(t&lt;Tnet,'2028'!Resal+('2028'!Salim-'2028'!Resal)*(1-EXP(('2028'!Tnet-t)/('2028'!Tau_j))),Resal+(Salim-Resal)*(1-EXP((Tnet-t)/(Tau_j))))*Salcycl</f>
        <v>3.5204902958231997E-2</v>
      </c>
      <c r="P38" s="165">
        <f>(INDEX(Models!$BJ38:$BT38,,T38)*(1-R38)+INDEX(Models!$BJ38:$BT38,,T38+1)*R38-ERP_i)*Q38*Ramure*Pc/MaxiM</f>
        <v>1.9262727082087483E-2</v>
      </c>
      <c r="Q38" s="301">
        <f t="shared" si="4"/>
        <v>0.5</v>
      </c>
      <c r="R38" s="173">
        <f t="shared" si="5"/>
        <v>0.49491079429384799</v>
      </c>
      <c r="S38" s="802">
        <f t="shared" si="6"/>
        <v>3</v>
      </c>
      <c r="T38" s="172">
        <f t="shared" si="7"/>
        <v>9</v>
      </c>
      <c r="U38" s="247">
        <f t="shared" si="8"/>
        <v>3.494910794293848</v>
      </c>
      <c r="V38" s="378">
        <f t="shared" si="9"/>
        <v>21.47179505280716</v>
      </c>
      <c r="W38" s="397">
        <f t="shared" si="10"/>
        <v>21.355650951216756</v>
      </c>
      <c r="X38" s="153">
        <f t="shared" si="11"/>
        <v>47142</v>
      </c>
      <c r="Y38" s="380">
        <f t="shared" si="12"/>
        <v>20.873165694065342</v>
      </c>
      <c r="Z38" s="380">
        <f t="shared" si="22"/>
        <v>21.635386568279539</v>
      </c>
      <c r="AA38" s="381">
        <f t="shared" si="13"/>
        <v>22.943203902068635</v>
      </c>
      <c r="AB38" s="193">
        <f t="shared" si="14"/>
        <v>47142</v>
      </c>
      <c r="AC38" s="119">
        <f>IF(OR(t&lt;Tnet,NoTnet),'2028'!Resal_s+('2028'!Salim-'2028'!Resal_s)*(1-EXP(('2028'!Tnet_s-t)/'2028'!Tau_j)),Resal_s+(Salim-Resal_s)*(1-EXP((Tnet_s-t)/Tau_j)))*Salcycl</f>
        <v>5.7002384643897785E-2</v>
      </c>
      <c r="AD38" s="227">
        <f>(INDEX(Models!$BJ38:$BT38,,AH38)*(1-AF38)+INDEX(Models!$BJ38:$BT38,,AH38+1)*AF38-ERP_i)*AE38*Ramure*Pc/MaxiM</f>
        <v>1.9262727082087483E-2</v>
      </c>
      <c r="AE38" s="301">
        <f t="shared" si="15"/>
        <v>0.5</v>
      </c>
      <c r="AF38" s="173">
        <f t="shared" si="23"/>
        <v>0.49491079429384799</v>
      </c>
      <c r="AG38" s="802">
        <f t="shared" si="24"/>
        <v>3</v>
      </c>
      <c r="AH38" s="172">
        <f t="shared" si="16"/>
        <v>9</v>
      </c>
      <c r="AI38" s="221">
        <f t="shared" si="17"/>
        <v>3.494910794293848</v>
      </c>
      <c r="AJ38" s="261" t="b">
        <f t="shared" si="18"/>
        <v>1</v>
      </c>
      <c r="AK38" s="261" t="b">
        <f t="shared" si="19"/>
        <v>1</v>
      </c>
      <c r="AL38" s="261"/>
      <c r="AM38" s="261"/>
      <c r="AN38" s="75"/>
    </row>
    <row r="39" spans="1:40" s="6" customFormat="1" ht="11.25" x14ac:dyDescent="0.2">
      <c r="A39" s="56">
        <f t="shared" si="20"/>
        <v>47143</v>
      </c>
      <c r="B39" s="406">
        <f>'2028'!Wh/'2028'!Env_an*'2029'!Env_an</f>
        <v>20.001918316070508</v>
      </c>
      <c r="C39" s="832"/>
      <c r="D39" s="388">
        <f t="shared" si="0"/>
        <v>20.732607850331579</v>
      </c>
      <c r="E39" s="380">
        <f t="shared" si="1"/>
        <v>21.490035251264221</v>
      </c>
      <c r="F39" s="380">
        <f t="shared" si="2"/>
        <v>21.858988776790117</v>
      </c>
      <c r="G39" s="110">
        <f t="shared" si="21"/>
        <v>0.91617624488327865</v>
      </c>
      <c r="H39" s="409" t="b">
        <f>Wh_hp&gt;='2028'!Maxi_hp</f>
        <v>0</v>
      </c>
      <c r="I39" s="385">
        <f>IF(H39,Wh_hp,'2028'!Maxi_hp)</f>
        <v>21.908704752489474</v>
      </c>
      <c r="J39" s="85">
        <f>IF(H39,An,'2028'!An_max)</f>
        <v>2022</v>
      </c>
      <c r="K39" s="193">
        <f t="shared" si="3"/>
        <v>47143</v>
      </c>
      <c r="L39" s="143">
        <f>IF(t&lt;Tvie,1-EXP((T0-t)*PertePVj)+'2028'!Pspv,1-EXP((T0-t)*PertePVj)+Pspv)</f>
        <v>3.5243493704984363E-2</v>
      </c>
      <c r="M39" s="836"/>
      <c r="N39" s="836"/>
      <c r="O39" s="48">
        <f>IF(t&lt;Tnet,'2028'!Resal+('2028'!Salim-'2028'!Resal)*(1-EXP(('2028'!Tnet-t)/('2028'!Tau_j))),Resal+(Salim-Resal)*(1-EXP((Tnet-t)/(Tau_j))))*Salcycl</f>
        <v>3.5245516914081475E-2</v>
      </c>
      <c r="P39" s="165">
        <f>(INDEX(Models!$BJ39:$BT39,,T39)*(1-R39)+INDEX(Models!$BJ39:$BT39,,T39+1)*R39-ERP_i)*Q39*Ramure*Pc/MaxiM</f>
        <v>1.9110326355997381E-2</v>
      </c>
      <c r="Q39" s="301">
        <f t="shared" si="4"/>
        <v>0.5</v>
      </c>
      <c r="R39" s="173">
        <f t="shared" si="5"/>
        <v>0.49498563832525644</v>
      </c>
      <c r="S39" s="802">
        <f t="shared" si="6"/>
        <v>3</v>
      </c>
      <c r="T39" s="172">
        <f t="shared" si="7"/>
        <v>9</v>
      </c>
      <c r="U39" s="247">
        <f t="shared" si="8"/>
        <v>3.4949856383252564</v>
      </c>
      <c r="V39" s="378">
        <f t="shared" si="9"/>
        <v>21.782399758840903</v>
      </c>
      <c r="W39" s="397">
        <f t="shared" si="10"/>
        <v>20.001918316070508</v>
      </c>
      <c r="X39" s="153">
        <f t="shared" si="11"/>
        <v>47143</v>
      </c>
      <c r="Y39" s="380">
        <f t="shared" si="12"/>
        <v>19.55041481226672</v>
      </c>
      <c r="Z39" s="380">
        <f t="shared" si="22"/>
        <v>20.264610484304256</v>
      </c>
      <c r="AA39" s="381">
        <f t="shared" si="13"/>
        <v>21.490035251264221</v>
      </c>
      <c r="AB39" s="193">
        <f t="shared" si="14"/>
        <v>47143</v>
      </c>
      <c r="AC39" s="119">
        <f>IF(OR(t&lt;Tnet,NoTnet),'2028'!Resal_s+('2028'!Salim-'2028'!Resal_s)*(1-EXP(('2028'!Tnet_s-t)/'2028'!Tau_j)),Resal_s+(Salim-Resal_s)*(1-EXP((Tnet_s-t)/Tau_j)))*Salcycl</f>
        <v>5.70229295872315E-2</v>
      </c>
      <c r="AD39" s="227">
        <f>(INDEX(Models!$BJ39:$BT39,,AH39)*(1-AF39)+INDEX(Models!$BJ39:$BT39,,AH39+1)*AF39-ERP_i)*AE39*Ramure*Pc/MaxiM</f>
        <v>1.9110326355997381E-2</v>
      </c>
      <c r="AE39" s="301">
        <f t="shared" si="15"/>
        <v>0.5</v>
      </c>
      <c r="AF39" s="173">
        <f t="shared" si="23"/>
        <v>0.49498563832525644</v>
      </c>
      <c r="AG39" s="802">
        <f t="shared" si="24"/>
        <v>3</v>
      </c>
      <c r="AH39" s="172">
        <f t="shared" si="16"/>
        <v>9</v>
      </c>
      <c r="AI39" s="221">
        <f t="shared" si="17"/>
        <v>3.4949856383252564</v>
      </c>
      <c r="AJ39" s="261" t="b">
        <f t="shared" si="18"/>
        <v>1</v>
      </c>
      <c r="AK39" s="261" t="b">
        <f t="shared" si="19"/>
        <v>1</v>
      </c>
      <c r="AL39" s="261"/>
      <c r="AM39" s="261"/>
      <c r="AN39" s="75"/>
    </row>
    <row r="40" spans="1:40" s="6" customFormat="1" ht="11.25" x14ac:dyDescent="0.2">
      <c r="A40" s="56">
        <f t="shared" si="20"/>
        <v>47144</v>
      </c>
      <c r="B40" s="406">
        <f>'2028'!Wh/'2028'!Env_an*'2029'!Env_an</f>
        <v>21.527251581750193</v>
      </c>
      <c r="C40" s="832"/>
      <c r="D40" s="388">
        <f t="shared" si="0"/>
        <v>22.31396848356442</v>
      </c>
      <c r="E40" s="380">
        <f t="shared" si="1"/>
        <v>23.13014209561257</v>
      </c>
      <c r="F40" s="380">
        <f t="shared" si="2"/>
        <v>23.558812522217767</v>
      </c>
      <c r="G40" s="110">
        <f t="shared" si="21"/>
        <v>0.97325971078140894</v>
      </c>
      <c r="H40" s="409" t="b">
        <f>Wh_hp&gt;='2028'!Maxi_hp</f>
        <v>0</v>
      </c>
      <c r="I40" s="385">
        <f>IF(H40,Wh_hp,'2028'!Maxi_hp)</f>
        <v>23.575691488486939</v>
      </c>
      <c r="J40" s="85">
        <f>IF(H40,An,'2028'!An_max)</f>
        <v>2022</v>
      </c>
      <c r="K40" s="193">
        <f t="shared" si="3"/>
        <v>47144</v>
      </c>
      <c r="L40" s="143">
        <f>IF(t&lt;Tvie,1-EXP((T0-t)*PertePVj)+'2028'!Pspv,1-EXP((T0-t)*PertePVj)+Pspv)</f>
        <v>3.5256700411389841E-2</v>
      </c>
      <c r="M40" s="836"/>
      <c r="N40" s="836"/>
      <c r="O40" s="48">
        <f>IF(t&lt;Tnet,'2028'!Resal+('2028'!Salim-'2028'!Resal)*(1-EXP(('2028'!Tnet-t)/('2028'!Tau_j))),Resal+(Salim-Resal)*(1-EXP((Tnet-t)/(Tau_j))))*Salcycl</f>
        <v>3.5286147775242853E-2</v>
      </c>
      <c r="P40" s="165">
        <f>(INDEX(Models!$BJ40:$BT40,,T40)*(1-R40)+INDEX(Models!$BJ40:$BT40,,T40+1)*R40-ERP_i)*Q40*Ramure*Pc/MaxiM</f>
        <v>1.8898870396113522E-2</v>
      </c>
      <c r="Q40" s="301">
        <f t="shared" si="4"/>
        <v>0.5</v>
      </c>
      <c r="R40" s="173">
        <f t="shared" si="5"/>
        <v>0.49506359833764879</v>
      </c>
      <c r="S40" s="802">
        <f t="shared" si="6"/>
        <v>3</v>
      </c>
      <c r="T40" s="172">
        <f t="shared" si="7"/>
        <v>9</v>
      </c>
      <c r="U40" s="247">
        <f t="shared" si="8"/>
        <v>3.4950635983376488</v>
      </c>
      <c r="V40" s="378">
        <f t="shared" si="9"/>
        <v>22.102872158699189</v>
      </c>
      <c r="W40" s="397">
        <f t="shared" si="10"/>
        <v>21.527251581750193</v>
      </c>
      <c r="X40" s="153">
        <f t="shared" si="11"/>
        <v>47144</v>
      </c>
      <c r="Y40" s="380">
        <f t="shared" si="12"/>
        <v>21.041742914271069</v>
      </c>
      <c r="Z40" s="380">
        <f t="shared" si="22"/>
        <v>21.810716823059334</v>
      </c>
      <c r="AA40" s="381">
        <f t="shared" si="13"/>
        <v>23.13014209561257</v>
      </c>
      <c r="AB40" s="193">
        <f t="shared" si="14"/>
        <v>47144</v>
      </c>
      <c r="AC40" s="119">
        <f>IF(OR(t&lt;Tnet,NoTnet),'2028'!Resal_s+('2028'!Salim-'2028'!Resal_s)*(1-EXP(('2028'!Tnet_s-t)/'2028'!Tau_j)),Resal_s+(Salim-Resal_s)*(1-EXP((Tnet_s-t)/Tau_j)))*Salcycl</f>
        <v>5.7043543749068032E-2</v>
      </c>
      <c r="AD40" s="227">
        <f>(INDEX(Models!$BJ40:$BT40,,AH40)*(1-AF40)+INDEX(Models!$BJ40:$BT40,,AH40+1)*AF40-ERP_i)*AE40*Ramure*Pc/MaxiM</f>
        <v>1.8898870396113522E-2</v>
      </c>
      <c r="AE40" s="301">
        <f t="shared" si="15"/>
        <v>0.5</v>
      </c>
      <c r="AF40" s="173">
        <f t="shared" si="23"/>
        <v>0.49506359833764879</v>
      </c>
      <c r="AG40" s="802">
        <f t="shared" si="24"/>
        <v>3</v>
      </c>
      <c r="AH40" s="172">
        <f t="shared" si="16"/>
        <v>9</v>
      </c>
      <c r="AI40" s="221">
        <f t="shared" si="17"/>
        <v>3.4950635983376488</v>
      </c>
      <c r="AJ40" s="261" t="b">
        <f t="shared" si="18"/>
        <v>1</v>
      </c>
      <c r="AK40" s="261" t="b">
        <f t="shared" si="19"/>
        <v>1</v>
      </c>
      <c r="AL40" s="261"/>
      <c r="AM40" s="261"/>
      <c r="AN40" s="75"/>
    </row>
    <row r="41" spans="1:40" s="6" customFormat="1" ht="11.25" x14ac:dyDescent="0.2">
      <c r="A41" s="56">
        <f t="shared" si="20"/>
        <v>47145</v>
      </c>
      <c r="B41" s="406">
        <f>'2028'!Wh/'2028'!Env_an*'2029'!Env_an</f>
        <v>18.02434128089288</v>
      </c>
      <c r="C41" s="832"/>
      <c r="D41" s="388">
        <f t="shared" si="0"/>
        <v>18.683299516102021</v>
      </c>
      <c r="E41" s="380">
        <f t="shared" si="1"/>
        <v>19.36749092413682</v>
      </c>
      <c r="F41" s="380">
        <f t="shared" si="2"/>
        <v>19.630572708760209</v>
      </c>
      <c r="G41" s="110">
        <f t="shared" si="21"/>
        <v>0.79924006861546049</v>
      </c>
      <c r="H41" s="409" t="b">
        <f>Wh_hp&gt;='2028'!Maxi_hp</f>
        <v>0</v>
      </c>
      <c r="I41" s="385">
        <f>IF(H41,Wh_hp,'2028'!Maxi_hp)</f>
        <v>19.735165141649773</v>
      </c>
      <c r="J41" s="85">
        <f>IF(H41,An,'2028'!An_max)</f>
        <v>2022</v>
      </c>
      <c r="K41" s="193">
        <f t="shared" si="3"/>
        <v>47145</v>
      </c>
      <c r="L41" s="143">
        <f>IF(t&lt;Tvie,1-EXP((T0-t)*PertePVj)+'2028'!Pspv,1-EXP((T0-t)*PertePVj)+Pspv)</f>
        <v>3.5269906937006712E-2</v>
      </c>
      <c r="M41" s="836"/>
      <c r="N41" s="836"/>
      <c r="O41" s="48">
        <f>IF(t&lt;Tnet,'2028'!Resal+('2028'!Salim-'2028'!Resal)*(1-EXP(('2028'!Tnet-t)/('2028'!Tau_j))),Resal+(Salim-Resal)*(1-EXP((Tnet-t)/(Tau_j))))*Salcycl</f>
        <v>3.5326796367934482E-2</v>
      </c>
      <c r="P41" s="165">
        <f>(INDEX(Models!$BJ41:$BT41,,T41)*(1-R41)+INDEX(Models!$BJ41:$BT41,,T41+1)*R41-ERP_i)*Q41*Ramure*Pc/MaxiM</f>
        <v>1.8631879783485312E-2</v>
      </c>
      <c r="Q41" s="301">
        <f t="shared" si="4"/>
        <v>0.5</v>
      </c>
      <c r="R41" s="173">
        <f t="shared" si="5"/>
        <v>0.49514480301947073</v>
      </c>
      <c r="S41" s="802">
        <f t="shared" si="6"/>
        <v>3</v>
      </c>
      <c r="T41" s="172">
        <f t="shared" si="7"/>
        <v>9</v>
      </c>
      <c r="U41" s="247">
        <f t="shared" si="8"/>
        <v>3.4951448030194707</v>
      </c>
      <c r="V41" s="378">
        <f t="shared" si="9"/>
        <v>22.432295031917754</v>
      </c>
      <c r="W41" s="397">
        <f t="shared" si="10"/>
        <v>18.02434128089288</v>
      </c>
      <c r="X41" s="153">
        <f t="shared" si="11"/>
        <v>47145</v>
      </c>
      <c r="Y41" s="380">
        <f t="shared" si="12"/>
        <v>17.618190380548189</v>
      </c>
      <c r="Z41" s="380">
        <f t="shared" si="22"/>
        <v>18.262300002077147</v>
      </c>
      <c r="AA41" s="381">
        <f t="shared" si="13"/>
        <v>19.36749092413682</v>
      </c>
      <c r="AB41" s="193">
        <f t="shared" si="14"/>
        <v>47145</v>
      </c>
      <c r="AC41" s="119">
        <f>IF(OR(t&lt;Tnet,NoTnet),'2028'!Resal_s+('2028'!Salim-'2028'!Resal_s)*(1-EXP(('2028'!Tnet_s-t)/'2028'!Tau_j)),Resal_s+(Salim-Resal_s)*(1-EXP((Tnet_s-t)/Tau_j)))*Salcycl</f>
        <v>5.7064228215660415E-2</v>
      </c>
      <c r="AD41" s="227">
        <f>(INDEX(Models!$BJ41:$BT41,,AH41)*(1-AF41)+INDEX(Models!$BJ41:$BT41,,AH41+1)*AF41-ERP_i)*AE41*Ramure*Pc/MaxiM</f>
        <v>1.8631879783485312E-2</v>
      </c>
      <c r="AE41" s="301">
        <f t="shared" si="15"/>
        <v>0.5</v>
      </c>
      <c r="AF41" s="173">
        <f t="shared" si="23"/>
        <v>0.49514480301947073</v>
      </c>
      <c r="AG41" s="802">
        <f t="shared" si="24"/>
        <v>3</v>
      </c>
      <c r="AH41" s="172">
        <f t="shared" si="16"/>
        <v>9</v>
      </c>
      <c r="AI41" s="221">
        <f t="shared" si="17"/>
        <v>3.4951448030194707</v>
      </c>
      <c r="AJ41" s="261" t="b">
        <f t="shared" si="18"/>
        <v>1</v>
      </c>
      <c r="AK41" s="261" t="b">
        <f t="shared" si="19"/>
        <v>1</v>
      </c>
      <c r="AL41" s="261"/>
      <c r="AM41" s="261"/>
      <c r="AN41" s="75"/>
    </row>
    <row r="42" spans="1:40" s="6" customFormat="1" ht="11.25" x14ac:dyDescent="0.2">
      <c r="A42" s="56">
        <f t="shared" si="20"/>
        <v>47146</v>
      </c>
      <c r="B42" s="406">
        <f>'2028'!Wh/'2028'!Env_an*'2029'!Env_an</f>
        <v>4.2998022421291937</v>
      </c>
      <c r="C42" s="832"/>
      <c r="D42" s="388">
        <f t="shared" si="0"/>
        <v>4.4570612387190023</v>
      </c>
      <c r="E42" s="380">
        <f t="shared" si="1"/>
        <v>4.6204757445514977</v>
      </c>
      <c r="F42" s="380">
        <f t="shared" si="2"/>
        <v>4.6204757445514977</v>
      </c>
      <c r="G42" s="110">
        <f t="shared" si="21"/>
        <v>0.18538019888268195</v>
      </c>
      <c r="H42" s="409" t="b">
        <f>Wh_hp&gt;='2028'!Maxi_hp</f>
        <v>0</v>
      </c>
      <c r="I42" s="385">
        <f>IF(H42,Wh_hp,'2028'!Maxi_hp)</f>
        <v>4.7066426478923402</v>
      </c>
      <c r="J42" s="85">
        <f>IF(H42,An,'2028'!An_max)</f>
        <v>2022</v>
      </c>
      <c r="K42" s="193">
        <f t="shared" si="3"/>
        <v>47146</v>
      </c>
      <c r="L42" s="143">
        <f>IF(t&lt;Tvie,1-EXP((T0-t)*PertePVj)+'2028'!Pspv,1-EXP((T0-t)*PertePVj)+Pspv)</f>
        <v>3.5283113281837308E-2</v>
      </c>
      <c r="M42" s="836"/>
      <c r="N42" s="836"/>
      <c r="O42" s="48">
        <f>IF(t&lt;Tnet,'2028'!Resal+('2028'!Salim-'2028'!Resal)*(1-EXP(('2028'!Tnet-t)/('2028'!Tau_j))),Resal+(Salim-Resal)*(1-EXP((Tnet-t)/(Tau_j))))*Salcycl</f>
        <v>3.536746319363232E-2</v>
      </c>
      <c r="P42" s="165">
        <f>(INDEX(Models!$BJ42:$BT42,,T42)*(1-R42)+INDEX(Models!$BJ42:$BT42,,T42+1)*R42-ERP_i)*Q42*Ramure*Pc/MaxiM</f>
        <v>1.8312746198141511E-2</v>
      </c>
      <c r="Q42" s="301">
        <f t="shared" si="4"/>
        <v>0.5</v>
      </c>
      <c r="R42" s="173">
        <f t="shared" si="5"/>
        <v>0.49522938628531676</v>
      </c>
      <c r="S42" s="802">
        <f t="shared" si="6"/>
        <v>3</v>
      </c>
      <c r="T42" s="172">
        <f t="shared" si="7"/>
        <v>9</v>
      </c>
      <c r="U42" s="247">
        <f t="shared" si="8"/>
        <v>3.4952293862853168</v>
      </c>
      <c r="V42" s="378">
        <f t="shared" si="9"/>
        <v>22.769751464330799</v>
      </c>
      <c r="W42" s="397">
        <f t="shared" si="10"/>
        <v>4.2998022421291937</v>
      </c>
      <c r="X42" s="153">
        <f t="shared" si="11"/>
        <v>47146</v>
      </c>
      <c r="Y42" s="380">
        <f t="shared" si="12"/>
        <v>4.2029974598482669</v>
      </c>
      <c r="Z42" s="380">
        <f t="shared" si="22"/>
        <v>4.3567159626968905</v>
      </c>
      <c r="AA42" s="381">
        <f t="shared" si="13"/>
        <v>4.6204757445514977</v>
      </c>
      <c r="AB42" s="193">
        <f t="shared" si="14"/>
        <v>47146</v>
      </c>
      <c r="AC42" s="119">
        <f>IF(OR(t&lt;Tnet,NoTnet),'2028'!Resal_s+('2028'!Salim-'2028'!Resal_s)*(1-EXP(('2028'!Tnet_s-t)/'2028'!Tau_j)),Resal_s+(Salim-Resal_s)*(1-EXP((Tnet_s-t)/Tau_j)))*Salcycl</f>
        <v>5.708498354647467E-2</v>
      </c>
      <c r="AD42" s="227">
        <f>(INDEX(Models!$BJ42:$BT42,,AH42)*(1-AF42)+INDEX(Models!$BJ42:$BT42,,AH42+1)*AF42-ERP_i)*AE42*Ramure*Pc/MaxiM</f>
        <v>1.8312746198141511E-2</v>
      </c>
      <c r="AE42" s="301">
        <f t="shared" si="15"/>
        <v>0.5</v>
      </c>
      <c r="AF42" s="173">
        <f t="shared" si="23"/>
        <v>0.49522938628531676</v>
      </c>
      <c r="AG42" s="802">
        <f t="shared" si="24"/>
        <v>3</v>
      </c>
      <c r="AH42" s="172">
        <f t="shared" si="16"/>
        <v>9</v>
      </c>
      <c r="AI42" s="221">
        <f t="shared" si="17"/>
        <v>3.4952293862853168</v>
      </c>
      <c r="AJ42" s="261" t="b">
        <f t="shared" si="18"/>
        <v>1</v>
      </c>
      <c r="AK42" s="261" t="b">
        <f t="shared" si="19"/>
        <v>1</v>
      </c>
      <c r="AL42" s="261"/>
      <c r="AM42" s="261"/>
      <c r="AN42" s="75"/>
    </row>
    <row r="43" spans="1:40" s="6" customFormat="1" ht="11.25" x14ac:dyDescent="0.2">
      <c r="A43" s="56">
        <f t="shared" si="20"/>
        <v>47147</v>
      </c>
      <c r="B43" s="406">
        <f>'2028'!Wh/'2028'!Env_an*'2029'!Env_an</f>
        <v>6.4633236986811538</v>
      </c>
      <c r="C43" s="832"/>
      <c r="D43" s="388">
        <f t="shared" si="0"/>
        <v>6.6998020521375929</v>
      </c>
      <c r="E43" s="380">
        <f t="shared" si="1"/>
        <v>6.94573776571323</v>
      </c>
      <c r="F43" s="380">
        <f t="shared" si="2"/>
        <v>6.94573776571323</v>
      </c>
      <c r="G43" s="110">
        <f t="shared" si="21"/>
        <v>0.27460638680471028</v>
      </c>
      <c r="H43" s="409" t="b">
        <f>Wh_hp&gt;='2028'!Maxi_hp</f>
        <v>0</v>
      </c>
      <c r="I43" s="385">
        <f>IF(H43,Wh_hp,'2028'!Maxi_hp)</f>
        <v>7.0726171921905499</v>
      </c>
      <c r="J43" s="85">
        <f>IF(H43,An,'2028'!An_max)</f>
        <v>2022</v>
      </c>
      <c r="K43" s="193">
        <f t="shared" si="3"/>
        <v>47147</v>
      </c>
      <c r="L43" s="143">
        <f>IF(t&lt;Tvie,1-EXP((T0-t)*PertePVj)+'2028'!Pspv,1-EXP((T0-t)*PertePVj)+Pspv)</f>
        <v>3.5296319445884183E-2</v>
      </c>
      <c r="M43" s="836"/>
      <c r="N43" s="836"/>
      <c r="O43" s="48">
        <f>IF(t&lt;Tnet,'2028'!Resal+('2028'!Salim-'2028'!Resal)*(1-EXP(('2028'!Tnet-t)/('2028'!Tau_j))),Resal+(Salim-Resal)*(1-EXP((Tnet-t)/(Tau_j))))*Salcycl</f>
        <v>3.5408148402847527E-2</v>
      </c>
      <c r="P43" s="165">
        <f>(INDEX(Models!$BJ43:$BT43,,T43)*(1-R43)+INDEX(Models!$BJ43:$BT43,,T43+1)*R43-ERP_i)*Q43*Ramure*Pc/MaxiM</f>
        <v>1.7944709270535424E-2</v>
      </c>
      <c r="Q43" s="301">
        <f t="shared" si="4"/>
        <v>0.5</v>
      </c>
      <c r="R43" s="173">
        <f t="shared" si="5"/>
        <v>0.49531748748060211</v>
      </c>
      <c r="S43" s="802">
        <f t="shared" si="6"/>
        <v>3</v>
      </c>
      <c r="T43" s="172">
        <f t="shared" si="7"/>
        <v>9</v>
      </c>
      <c r="U43" s="247">
        <f t="shared" si="8"/>
        <v>3.4953174874806021</v>
      </c>
      <c r="V43" s="378">
        <f t="shared" si="9"/>
        <v>23.114324862738716</v>
      </c>
      <c r="W43" s="397">
        <f t="shared" si="10"/>
        <v>6.4633236986811538</v>
      </c>
      <c r="X43" s="153">
        <f t="shared" si="11"/>
        <v>47147</v>
      </c>
      <c r="Y43" s="380">
        <f t="shared" si="12"/>
        <v>6.3179368094437649</v>
      </c>
      <c r="Z43" s="380">
        <f t="shared" si="22"/>
        <v>6.5490957864023152</v>
      </c>
      <c r="AA43" s="381">
        <f t="shared" si="13"/>
        <v>6.94573776571323</v>
      </c>
      <c r="AB43" s="193">
        <f t="shared" si="14"/>
        <v>47147</v>
      </c>
      <c r="AC43" s="119">
        <f>IF(OR(t&lt;Tnet,NoTnet),'2028'!Resal_s+('2028'!Salim-'2028'!Resal_s)*(1-EXP(('2028'!Tnet_s-t)/'2028'!Tau_j)),Resal_s+(Salim-Resal_s)*(1-EXP((Tnet_s-t)/Tau_j)))*Salcycl</f>
        <v>5.7105809733976477E-2</v>
      </c>
      <c r="AD43" s="227">
        <f>(INDEX(Models!$BJ43:$BT43,,AH43)*(1-AF43)+INDEX(Models!$BJ43:$BT43,,AH43+1)*AF43-ERP_i)*AE43*Ramure*Pc/MaxiM</f>
        <v>1.7944709270535424E-2</v>
      </c>
      <c r="AE43" s="301">
        <f t="shared" si="15"/>
        <v>0.5</v>
      </c>
      <c r="AF43" s="173">
        <f t="shared" si="23"/>
        <v>0.49531748748060211</v>
      </c>
      <c r="AG43" s="802">
        <f t="shared" si="24"/>
        <v>3</v>
      </c>
      <c r="AH43" s="172">
        <f t="shared" si="16"/>
        <v>9</v>
      </c>
      <c r="AI43" s="221">
        <f t="shared" si="17"/>
        <v>3.4953174874806021</v>
      </c>
      <c r="AJ43" s="261" t="b">
        <f t="shared" si="18"/>
        <v>1</v>
      </c>
      <c r="AK43" s="261" t="b">
        <f t="shared" si="19"/>
        <v>1</v>
      </c>
      <c r="AL43" s="261"/>
      <c r="AM43" s="261"/>
      <c r="AN43" s="75"/>
    </row>
    <row r="44" spans="1:40" s="6" customFormat="1" ht="11.25" x14ac:dyDescent="0.2">
      <c r="A44" s="56">
        <f t="shared" si="20"/>
        <v>47148</v>
      </c>
      <c r="B44" s="406">
        <f>'2028'!Wh/'2028'!Env_an*'2029'!Env_an</f>
        <v>4.6595052316119041</v>
      </c>
      <c r="C44" s="832"/>
      <c r="D44" s="388">
        <f t="shared" si="0"/>
        <v>4.8300520782945631</v>
      </c>
      <c r="E44" s="380">
        <f t="shared" si="1"/>
        <v>5.007564489644448</v>
      </c>
      <c r="F44" s="380">
        <f t="shared" si="2"/>
        <v>5.007564489644448</v>
      </c>
      <c r="G44" s="110">
        <f t="shared" si="21"/>
        <v>0.19509059831050599</v>
      </c>
      <c r="H44" s="409" t="b">
        <f>Wh_hp&gt;='2028'!Maxi_hp</f>
        <v>0</v>
      </c>
      <c r="I44" s="385">
        <f>IF(H44,Wh_hp,'2028'!Maxi_hp)</f>
        <v>5.0966884891748485</v>
      </c>
      <c r="J44" s="85">
        <f>IF(H44,An,'2028'!An_max)</f>
        <v>2022</v>
      </c>
      <c r="K44" s="193">
        <f t="shared" si="3"/>
        <v>47148</v>
      </c>
      <c r="L44" s="143">
        <f>IF(t&lt;Tvie,1-EXP((T0-t)*PertePVj)+'2028'!Pspv,1-EXP((T0-t)*PertePVj)+Pspv)</f>
        <v>3.5309525429149669E-2</v>
      </c>
      <c r="M44" s="836"/>
      <c r="N44" s="836"/>
      <c r="O44" s="48">
        <f>IF(t&lt;Tnet,'2028'!Resal+('2028'!Salim-'2028'!Resal)*(1-EXP(('2028'!Tnet-t)/('2028'!Tau_j))),Resal+(Salim-Resal)*(1-EXP((Tnet-t)/(Tau_j))))*Salcycl</f>
        <v>3.5448851775544202E-2</v>
      </c>
      <c r="P44" s="165">
        <f>(INDEX(Models!$BJ44:$BT44,,T44)*(1-R44)+INDEX(Models!$BJ44:$BT44,,T44+1)*R44-ERP_i)*Q44*Ramure*Pc/MaxiM</f>
        <v>1.7491723430229839E-2</v>
      </c>
      <c r="Q44" s="301">
        <f t="shared" si="4"/>
        <v>0.5</v>
      </c>
      <c r="R44" s="173">
        <f t="shared" si="5"/>
        <v>0.49540925159359528</v>
      </c>
      <c r="S44" s="802">
        <f t="shared" si="6"/>
        <v>3</v>
      </c>
      <c r="T44" s="172">
        <f t="shared" si="7"/>
        <v>9</v>
      </c>
      <c r="U44" s="247">
        <f t="shared" si="8"/>
        <v>3.4954092515935953</v>
      </c>
      <c r="V44" s="378">
        <f t="shared" si="9"/>
        <v>23.466033188808492</v>
      </c>
      <c r="W44" s="397">
        <f t="shared" si="10"/>
        <v>4.6595052316119041</v>
      </c>
      <c r="X44" s="153">
        <f t="shared" si="11"/>
        <v>47148</v>
      </c>
      <c r="Y44" s="380">
        <f t="shared" si="12"/>
        <v>4.5547849415919854</v>
      </c>
      <c r="Z44" s="380">
        <f t="shared" si="22"/>
        <v>4.7214988243956855</v>
      </c>
      <c r="AA44" s="381">
        <f t="shared" si="13"/>
        <v>5.007564489644448</v>
      </c>
      <c r="AB44" s="193">
        <f t="shared" si="14"/>
        <v>47148</v>
      </c>
      <c r="AC44" s="119">
        <f>IF(OR(t&lt;Tnet,NoTnet),'2028'!Resal_s+('2028'!Salim-'2028'!Resal_s)*(1-EXP(('2028'!Tnet_s-t)/'2028'!Tau_j)),Resal_s+(Salim-Resal_s)*(1-EXP((Tnet_s-t)/Tau_j)))*Salcycl</f>
        <v>5.7126706174297125E-2</v>
      </c>
      <c r="AD44" s="227">
        <f>(INDEX(Models!$BJ44:$BT44,,AH44)*(1-AF44)+INDEX(Models!$BJ44:$BT44,,AH44+1)*AF44-ERP_i)*AE44*Ramure*Pc/MaxiM</f>
        <v>1.7491723430229839E-2</v>
      </c>
      <c r="AE44" s="301">
        <f t="shared" si="15"/>
        <v>0.5</v>
      </c>
      <c r="AF44" s="173">
        <f t="shared" si="23"/>
        <v>0.49540925159359528</v>
      </c>
      <c r="AG44" s="802">
        <f t="shared" si="24"/>
        <v>3</v>
      </c>
      <c r="AH44" s="172">
        <f t="shared" si="16"/>
        <v>9</v>
      </c>
      <c r="AI44" s="221">
        <f t="shared" si="17"/>
        <v>3.4954092515935953</v>
      </c>
      <c r="AJ44" s="261" t="b">
        <f t="shared" si="18"/>
        <v>1</v>
      </c>
      <c r="AK44" s="261" t="b">
        <f t="shared" si="19"/>
        <v>1</v>
      </c>
      <c r="AL44" s="261"/>
      <c r="AM44" s="261"/>
      <c r="AN44" s="75"/>
    </row>
    <row r="45" spans="1:40" s="6" customFormat="1" ht="11.25" x14ac:dyDescent="0.2">
      <c r="A45" s="56">
        <f t="shared" si="20"/>
        <v>47149</v>
      </c>
      <c r="B45" s="406">
        <f>'2028'!Wh/'2028'!Env_an*'2029'!Env_an</f>
        <v>10.807473187875823</v>
      </c>
      <c r="C45" s="832"/>
      <c r="D45" s="388">
        <f t="shared" si="0"/>
        <v>11.203200840084159</v>
      </c>
      <c r="E45" s="380">
        <f t="shared" si="1"/>
        <v>11.615427395162628</v>
      </c>
      <c r="F45" s="380">
        <f t="shared" si="2"/>
        <v>11.658834536783559</v>
      </c>
      <c r="G45" s="110">
        <f t="shared" si="21"/>
        <v>0.44761234678456563</v>
      </c>
      <c r="H45" s="409" t="b">
        <f>Wh_hp&gt;='2028'!Maxi_hp</f>
        <v>0</v>
      </c>
      <c r="I45" s="385">
        <f>IF(H45,Wh_hp,'2028'!Maxi_hp)</f>
        <v>11.815810990102225</v>
      </c>
      <c r="J45" s="85">
        <f>IF(H45,An,'2028'!An_max)</f>
        <v>2022</v>
      </c>
      <c r="K45" s="193">
        <f t="shared" si="3"/>
        <v>47149</v>
      </c>
      <c r="L45" s="143">
        <f>IF(t&lt;Tvie,1-EXP((T0-t)*PertePVj)+'2028'!Pspv,1-EXP((T0-t)*PertePVj)+Pspv)</f>
        <v>3.5322731231636428E-2</v>
      </c>
      <c r="M45" s="836"/>
      <c r="N45" s="836"/>
      <c r="O45" s="48">
        <f>IF(t&lt;Tnet,'2028'!Resal+('2028'!Salim-'2028'!Resal)*(1-EXP(('2028'!Tnet-t)/('2028'!Tau_j))),Resal+(Salim-Resal)*(1-EXP((Tnet-t)/(Tau_j))))*Salcycl</f>
        <v>3.5489572708288314E-2</v>
      </c>
      <c r="P45" s="165">
        <f>(INDEX(Models!$BJ45:$BT45,,T45)*(1-R45)+INDEX(Models!$BJ45:$BT45,,T45+1)*R45-ERP_i)*Q45*Ramure*Pc/MaxiM</f>
        <v>1.6962793760967595E-2</v>
      </c>
      <c r="Q45" s="301">
        <f t="shared" si="4"/>
        <v>0.5</v>
      </c>
      <c r="R45" s="173">
        <f t="shared" si="5"/>
        <v>0.4955048294750255</v>
      </c>
      <c r="S45" s="802">
        <f t="shared" si="6"/>
        <v>3</v>
      </c>
      <c r="T45" s="172">
        <f t="shared" si="7"/>
        <v>9</v>
      </c>
      <c r="U45" s="247">
        <f t="shared" si="8"/>
        <v>3.4955048294750255</v>
      </c>
      <c r="V45" s="378">
        <f t="shared" si="9"/>
        <v>23.823853458170138</v>
      </c>
      <c r="W45" s="397">
        <f t="shared" si="10"/>
        <v>10.807473187875823</v>
      </c>
      <c r="X45" s="153">
        <f t="shared" si="11"/>
        <v>47149</v>
      </c>
      <c r="Y45" s="380">
        <f t="shared" si="12"/>
        <v>10.564791183640889</v>
      </c>
      <c r="Z45" s="380">
        <f t="shared" si="22"/>
        <v>10.951632764322641</v>
      </c>
      <c r="AA45" s="381">
        <f t="shared" si="13"/>
        <v>11.615427395162628</v>
      </c>
      <c r="AB45" s="193">
        <f t="shared" si="14"/>
        <v>47149</v>
      </c>
      <c r="AC45" s="119">
        <f>IF(OR(t&lt;Tnet,NoTnet),'2028'!Resal_s+('2028'!Salim-'2028'!Resal_s)*(1-EXP(('2028'!Tnet_s-t)/'2028'!Tau_j)),Resal_s+(Salim-Resal_s)*(1-EXP((Tnet_s-t)/Tau_j)))*Salcycl</f>
        <v>5.714767164886516E-2</v>
      </c>
      <c r="AD45" s="227">
        <f>(INDEX(Models!$BJ45:$BT45,,AH45)*(1-AF45)+INDEX(Models!$BJ45:$BT45,,AH45+1)*AF45-ERP_i)*AE45*Ramure*Pc/MaxiM</f>
        <v>1.6962793760967595E-2</v>
      </c>
      <c r="AE45" s="301">
        <f t="shared" si="15"/>
        <v>0.5</v>
      </c>
      <c r="AF45" s="173">
        <f t="shared" si="23"/>
        <v>0.4955048294750255</v>
      </c>
      <c r="AG45" s="802">
        <f t="shared" si="24"/>
        <v>3</v>
      </c>
      <c r="AH45" s="172">
        <f t="shared" si="16"/>
        <v>9</v>
      </c>
      <c r="AI45" s="221">
        <f t="shared" si="17"/>
        <v>3.4955048294750255</v>
      </c>
      <c r="AJ45" s="261" t="b">
        <f t="shared" si="18"/>
        <v>1</v>
      </c>
      <c r="AK45" s="261" t="b">
        <f t="shared" si="19"/>
        <v>1</v>
      </c>
      <c r="AL45" s="261"/>
      <c r="AM45" s="261"/>
      <c r="AN45" s="75"/>
    </row>
    <row r="46" spans="1:40" s="6" customFormat="1" ht="11.25" x14ac:dyDescent="0.2">
      <c r="A46" s="56">
        <f t="shared" si="20"/>
        <v>47150</v>
      </c>
      <c r="B46" s="406">
        <f>'2028'!Wh/'2028'!Env_an*'2029'!Env_an</f>
        <v>13.938247352474809</v>
      </c>
      <c r="C46" s="832"/>
      <c r="D46" s="388">
        <f t="shared" si="0"/>
        <v>14.448809575231211</v>
      </c>
      <c r="E46" s="380">
        <f t="shared" si="1"/>
        <v>14.981092436766444</v>
      </c>
      <c r="F46" s="380">
        <f t="shared" si="2"/>
        <v>15.078464822987806</v>
      </c>
      <c r="G46" s="110">
        <f t="shared" si="21"/>
        <v>0.57052858928127492</v>
      </c>
      <c r="H46" s="409" t="b">
        <f>Wh_hp&gt;='2028'!Maxi_hp</f>
        <v>0</v>
      </c>
      <c r="I46" s="385">
        <f>IF(H46,Wh_hp,'2028'!Maxi_hp)</f>
        <v>15.230246512611631</v>
      </c>
      <c r="J46" s="85">
        <f>IF(H46,An,'2028'!An_max)</f>
        <v>2022</v>
      </c>
      <c r="K46" s="193">
        <f t="shared" si="3"/>
        <v>47150</v>
      </c>
      <c r="L46" s="143">
        <f>IF(t&lt;Tvie,1-EXP((T0-t)*PertePVj)+'2028'!Pspv,1-EXP((T0-t)*PertePVj)+Pspv)</f>
        <v>3.5335936853346794E-2</v>
      </c>
      <c r="M46" s="836"/>
      <c r="N46" s="836"/>
      <c r="O46" s="48">
        <f>IF(t&lt;Tnet,'2028'!Resal+('2028'!Salim-'2028'!Resal)*(1-EXP(('2028'!Tnet-t)/('2028'!Tau_j))),Resal+(Salim-Resal)*(1-EXP((Tnet-t)/(Tau_j))))*Salcycl</f>
        <v>3.5530310208146829E-2</v>
      </c>
      <c r="P46" s="165">
        <f>(INDEX(Models!$BJ46:$BT46,,T46)*(1-R46)+INDEX(Models!$BJ46:$BT46,,T46+1)*R46-ERP_i)*Q46*Ramure*Pc/MaxiM</f>
        <v>1.6362053907832436E-2</v>
      </c>
      <c r="Q46" s="301">
        <f t="shared" si="4"/>
        <v>0.5</v>
      </c>
      <c r="R46" s="173">
        <f t="shared" si="5"/>
        <v>0.49560437806546576</v>
      </c>
      <c r="S46" s="802">
        <f t="shared" si="6"/>
        <v>3</v>
      </c>
      <c r="T46" s="172">
        <f t="shared" si="7"/>
        <v>9</v>
      </c>
      <c r="U46" s="247">
        <f t="shared" si="8"/>
        <v>3.4956043780654658</v>
      </c>
      <c r="V46" s="378">
        <f t="shared" si="9"/>
        <v>24.186870160397227</v>
      </c>
      <c r="W46" s="397">
        <f t="shared" si="10"/>
        <v>13.938247352474809</v>
      </c>
      <c r="X46" s="153">
        <f t="shared" si="11"/>
        <v>47150</v>
      </c>
      <c r="Y46" s="380">
        <f t="shared" si="12"/>
        <v>13.625535307097572</v>
      </c>
      <c r="Z46" s="380">
        <f t="shared" si="22"/>
        <v>14.124642792903696</v>
      </c>
      <c r="AA46" s="381">
        <f t="shared" si="13"/>
        <v>14.981092436766444</v>
      </c>
      <c r="AB46" s="193">
        <f t="shared" si="14"/>
        <v>47150</v>
      </c>
      <c r="AC46" s="119">
        <f>IF(OR(t&lt;Tnet,NoTnet),'2028'!Resal_s+('2028'!Salim-'2028'!Resal_s)*(1-EXP(('2028'!Tnet_s-t)/'2028'!Tau_j)),Resal_s+(Salim-Resal_s)*(1-EXP((Tnet_s-t)/Tau_j)))*Salcycl</f>
        <v>5.7168704316973434E-2</v>
      </c>
      <c r="AD46" s="227">
        <f>(INDEX(Models!$BJ46:$BT46,,AH46)*(1-AF46)+INDEX(Models!$BJ46:$BT46,,AH46+1)*AF46-ERP_i)*AE46*Ramure*Pc/MaxiM</f>
        <v>1.6362053907832436E-2</v>
      </c>
      <c r="AE46" s="301">
        <f t="shared" si="15"/>
        <v>0.5</v>
      </c>
      <c r="AF46" s="173">
        <f t="shared" si="23"/>
        <v>0.49560437806546576</v>
      </c>
      <c r="AG46" s="802">
        <f t="shared" si="24"/>
        <v>3</v>
      </c>
      <c r="AH46" s="172">
        <f t="shared" si="16"/>
        <v>9</v>
      </c>
      <c r="AI46" s="221">
        <f t="shared" si="17"/>
        <v>3.4956043780654658</v>
      </c>
      <c r="AJ46" s="261" t="b">
        <f t="shared" si="18"/>
        <v>1</v>
      </c>
      <c r="AK46" s="261" t="b">
        <f t="shared" si="19"/>
        <v>1</v>
      </c>
      <c r="AL46" s="261"/>
      <c r="AM46" s="261"/>
      <c r="AN46" s="75"/>
    </row>
    <row r="47" spans="1:40" s="6" customFormat="1" ht="11.25" x14ac:dyDescent="0.2">
      <c r="A47" s="56">
        <f t="shared" si="20"/>
        <v>47151</v>
      </c>
      <c r="B47" s="406">
        <f>'2028'!Wh/'2028'!Env_an*'2029'!Env_an</f>
        <v>5.6238287387006807</v>
      </c>
      <c r="C47" s="832"/>
      <c r="D47" s="388">
        <f t="shared" si="0"/>
        <v>5.8299110955814086</v>
      </c>
      <c r="E47" s="380">
        <f t="shared" si="1"/>
        <v>6.044935890321927</v>
      </c>
      <c r="F47" s="380">
        <f t="shared" si="2"/>
        <v>6.044935890321927</v>
      </c>
      <c r="G47" s="110">
        <f t="shared" si="21"/>
        <v>0.22544326841916162</v>
      </c>
      <c r="H47" s="409" t="b">
        <f>Wh_hp&gt;='2028'!Maxi_hp</f>
        <v>0</v>
      </c>
      <c r="I47" s="385">
        <f>IF(H47,Wh_hp,'2028'!Maxi_hp)</f>
        <v>6.1412851991901132</v>
      </c>
      <c r="J47" s="85">
        <f>IF(H47,An,'2028'!An_max)</f>
        <v>2022</v>
      </c>
      <c r="K47" s="193">
        <f t="shared" si="3"/>
        <v>47151</v>
      </c>
      <c r="L47" s="143">
        <f>IF(t&lt;Tvie,1-EXP((T0-t)*PertePVj)+'2028'!Pspv,1-EXP((T0-t)*PertePVj)+Pspv)</f>
        <v>3.534914229428332E-2</v>
      </c>
      <c r="M47" s="836"/>
      <c r="N47" s="836"/>
      <c r="O47" s="48">
        <f>IF(t&lt;Tnet,'2028'!Resal+('2028'!Salim-'2028'!Resal)*(1-EXP(('2028'!Tnet-t)/('2028'!Tau_j))),Resal+(Salim-Resal)*(1-EXP((Tnet-t)/(Tau_j))))*Salcycl</f>
        <v>3.5571062893285314E-2</v>
      </c>
      <c r="P47" s="165">
        <f>(INDEX(Models!$BJ47:$BT47,,T47)*(1-R47)+INDEX(Models!$BJ47:$BT47,,T47+1)*R47-ERP_i)*Q47*Ramure*Pc/MaxiM</f>
        <v>1.5693366361936044E-2</v>
      </c>
      <c r="Q47" s="301">
        <f t="shared" si="4"/>
        <v>0.5</v>
      </c>
      <c r="R47" s="173">
        <f t="shared" si="5"/>
        <v>0.49570806063071071</v>
      </c>
      <c r="S47" s="802">
        <f t="shared" si="6"/>
        <v>3</v>
      </c>
      <c r="T47" s="172">
        <f t="shared" si="7"/>
        <v>9</v>
      </c>
      <c r="U47" s="247">
        <f t="shared" si="8"/>
        <v>3.4957080606307107</v>
      </c>
      <c r="V47" s="378">
        <f t="shared" si="9"/>
        <v>24.554168207210786</v>
      </c>
      <c r="W47" s="397">
        <f t="shared" si="10"/>
        <v>5.6238287387006807</v>
      </c>
      <c r="X47" s="153">
        <f t="shared" si="11"/>
        <v>47151</v>
      </c>
      <c r="Y47" s="380">
        <f t="shared" si="12"/>
        <v>5.4977644119001603</v>
      </c>
      <c r="Z47" s="380">
        <f t="shared" si="22"/>
        <v>5.6992272053495112</v>
      </c>
      <c r="AA47" s="381">
        <f t="shared" si="13"/>
        <v>6.044935890321927</v>
      </c>
      <c r="AB47" s="193">
        <f t="shared" si="14"/>
        <v>47151</v>
      </c>
      <c r="AC47" s="119">
        <f>IF(OR(t&lt;Tnet,NoTnet),'2028'!Resal_s+('2028'!Salim-'2028'!Resal_s)*(1-EXP(('2028'!Tnet_s-t)/'2028'!Tau_j)),Resal_s+(Salim-Resal_s)*(1-EXP((Tnet_s-t)/Tau_j)))*Salcycl</f>
        <v>5.7189801719138629E-2</v>
      </c>
      <c r="AD47" s="227">
        <f>(INDEX(Models!$BJ47:$BT47,,AH47)*(1-AF47)+INDEX(Models!$BJ47:$BT47,,AH47+1)*AF47-ERP_i)*AE47*Ramure*Pc/MaxiM</f>
        <v>1.5693366361936044E-2</v>
      </c>
      <c r="AE47" s="301">
        <f t="shared" si="15"/>
        <v>0.5</v>
      </c>
      <c r="AF47" s="173">
        <f t="shared" si="23"/>
        <v>0.49570806063071071</v>
      </c>
      <c r="AG47" s="802">
        <f t="shared" si="24"/>
        <v>3</v>
      </c>
      <c r="AH47" s="172">
        <f t="shared" si="16"/>
        <v>9</v>
      </c>
      <c r="AI47" s="221">
        <f t="shared" si="17"/>
        <v>3.4957080606307107</v>
      </c>
      <c r="AJ47" s="261" t="b">
        <f t="shared" si="18"/>
        <v>1</v>
      </c>
      <c r="AK47" s="261" t="b">
        <f t="shared" si="19"/>
        <v>1</v>
      </c>
      <c r="AL47" s="261"/>
      <c r="AM47" s="261"/>
      <c r="AN47" s="75"/>
    </row>
    <row r="48" spans="1:40" s="6" customFormat="1" ht="11.25" x14ac:dyDescent="0.2">
      <c r="A48" s="56">
        <f t="shared" si="20"/>
        <v>47152</v>
      </c>
      <c r="B48" s="406">
        <f>'2028'!Wh/'2028'!Env_an*'2029'!Env_an</f>
        <v>13.002683496398568</v>
      </c>
      <c r="C48" s="832"/>
      <c r="D48" s="388">
        <f t="shared" si="0"/>
        <v>13.479344770996795</v>
      </c>
      <c r="E48" s="380">
        <f t="shared" si="1"/>
        <v>13.977094676536423</v>
      </c>
      <c r="F48" s="380">
        <f t="shared" si="2"/>
        <v>14.043628169210658</v>
      </c>
      <c r="G48" s="110">
        <f t="shared" si="21"/>
        <v>0.51631754061905044</v>
      </c>
      <c r="H48" s="409" t="b">
        <f>Wh_hp&gt;='2028'!Maxi_hp</f>
        <v>0</v>
      </c>
      <c r="I48" s="385">
        <f>IF(H48,Wh_hp,'2028'!Maxi_hp)</f>
        <v>14.189329287709032</v>
      </c>
      <c r="J48" s="85">
        <f>IF(H48,An,'2028'!An_max)</f>
        <v>2022</v>
      </c>
      <c r="K48" s="193">
        <f t="shared" si="3"/>
        <v>47152</v>
      </c>
      <c r="L48" s="143">
        <f>IF(t&lt;Tvie,1-EXP((T0-t)*PertePVj)+'2028'!Pspv,1-EXP((T0-t)*PertePVj)+Pspv)</f>
        <v>3.5362347554448448E-2</v>
      </c>
      <c r="M48" s="836"/>
      <c r="N48" s="836"/>
      <c r="O48" s="48">
        <f>IF(t&lt;Tnet,'2028'!Resal+('2028'!Salim-'2028'!Resal)*(1-EXP(('2028'!Tnet-t)/('2028'!Tau_j))),Resal+(Salim-Resal)*(1-EXP((Tnet-t)/(Tau_j))))*Salcycl</f>
        <v>3.5611829000143216E-2</v>
      </c>
      <c r="P48" s="165">
        <f>(INDEX(Models!$BJ48:$BT48,,T48)*(1-R48)+INDEX(Models!$BJ48:$BT48,,T48+1)*R48-ERP_i)*Q48*Ramure*Pc/MaxiM</f>
        <v>1.4960312000543059E-2</v>
      </c>
      <c r="Q48" s="301">
        <f t="shared" si="4"/>
        <v>0.5</v>
      </c>
      <c r="R48" s="173">
        <f t="shared" si="5"/>
        <v>0.49581604700534365</v>
      </c>
      <c r="S48" s="802">
        <f t="shared" si="6"/>
        <v>3</v>
      </c>
      <c r="T48" s="172">
        <f t="shared" si="7"/>
        <v>9</v>
      </c>
      <c r="U48" s="247">
        <f t="shared" si="8"/>
        <v>3.4958160470053437</v>
      </c>
      <c r="V48" s="378">
        <f t="shared" si="9"/>
        <v>24.92483293972986</v>
      </c>
      <c r="W48" s="397">
        <f t="shared" si="10"/>
        <v>13.002683496398568</v>
      </c>
      <c r="X48" s="153">
        <f t="shared" si="11"/>
        <v>47152</v>
      </c>
      <c r="Y48" s="380">
        <f t="shared" si="12"/>
        <v>12.711466035505884</v>
      </c>
      <c r="Z48" s="380">
        <f t="shared" si="22"/>
        <v>13.177451661024994</v>
      </c>
      <c r="AA48" s="381">
        <f t="shared" si="13"/>
        <v>13.977094676536423</v>
      </c>
      <c r="AB48" s="193">
        <f t="shared" si="14"/>
        <v>47152</v>
      </c>
      <c r="AC48" s="119">
        <f>IF(OR(t&lt;Tnet,NoTnet),'2028'!Resal_s+('2028'!Salim-'2028'!Resal_s)*(1-EXP(('2028'!Tnet_s-t)/'2028'!Tau_j)),Resal_s+(Salim-Resal_s)*(1-EXP((Tnet_s-t)/Tau_j)))*Salcycl</f>
        <v>5.7210960791000534E-2</v>
      </c>
      <c r="AD48" s="227">
        <f>(INDEX(Models!$BJ48:$BT48,,AH48)*(1-AF48)+INDEX(Models!$BJ48:$BT48,,AH48+1)*AF48-ERP_i)*AE48*Ramure*Pc/MaxiM</f>
        <v>1.4960312000543059E-2</v>
      </c>
      <c r="AE48" s="301">
        <f t="shared" si="15"/>
        <v>0.5</v>
      </c>
      <c r="AF48" s="173">
        <f t="shared" si="23"/>
        <v>0.49581604700534365</v>
      </c>
      <c r="AG48" s="802">
        <f t="shared" si="24"/>
        <v>3</v>
      </c>
      <c r="AH48" s="172">
        <f t="shared" si="16"/>
        <v>9</v>
      </c>
      <c r="AI48" s="221">
        <f t="shared" si="17"/>
        <v>3.4958160470053437</v>
      </c>
      <c r="AJ48" s="261" t="b">
        <f t="shared" si="18"/>
        <v>1</v>
      </c>
      <c r="AK48" s="261" t="b">
        <f t="shared" si="19"/>
        <v>1</v>
      </c>
      <c r="AL48" s="261"/>
      <c r="AM48" s="261"/>
      <c r="AN48" s="75"/>
    </row>
    <row r="49" spans="1:40" s="6" customFormat="1" ht="11.25" x14ac:dyDescent="0.2">
      <c r="A49" s="56">
        <f t="shared" si="20"/>
        <v>47153</v>
      </c>
      <c r="B49" s="406">
        <f>'2028'!Wh/'2028'!Env_an*'2029'!Env_an</f>
        <v>11.872909834899541</v>
      </c>
      <c r="C49" s="832"/>
      <c r="D49" s="388">
        <f t="shared" si="0"/>
        <v>12.308323583667979</v>
      </c>
      <c r="E49" s="380">
        <f t="shared" si="1"/>
        <v>12.763371027199597</v>
      </c>
      <c r="F49" s="380">
        <f t="shared" si="2"/>
        <v>12.807257119446513</v>
      </c>
      <c r="G49" s="110">
        <f t="shared" si="21"/>
        <v>0.46426536242604599</v>
      </c>
      <c r="H49" s="409" t="b">
        <f>Wh_hp&gt;='2028'!Maxi_hp</f>
        <v>0</v>
      </c>
      <c r="I49" s="385">
        <f>IF(H49,Wh_hp,'2028'!Maxi_hp)</f>
        <v>12.946736780036268</v>
      </c>
      <c r="J49" s="85">
        <f>IF(H49,An,'2028'!An_max)</f>
        <v>2022</v>
      </c>
      <c r="K49" s="193">
        <f t="shared" si="3"/>
        <v>47153</v>
      </c>
      <c r="L49" s="143">
        <f>IF(t&lt;Tvie,1-EXP((T0-t)*PertePVj)+'2028'!Pspv,1-EXP((T0-t)*PertePVj)+Pspv)</f>
        <v>3.537555263384462E-2</v>
      </c>
      <c r="M49" s="836"/>
      <c r="N49" s="836"/>
      <c r="O49" s="48">
        <f>IF(t&lt;Tnet,'2028'!Resal+('2028'!Salim-'2028'!Resal)*(1-EXP(('2028'!Tnet-t)/('2028'!Tau_j))),Resal+(Salim-Resal)*(1-EXP((Tnet-t)/(Tau_j))))*Salcycl</f>
        <v>3.5652606396999756E-2</v>
      </c>
      <c r="P49" s="165">
        <f>(INDEX(Models!$BJ49:$BT49,,T49)*(1-R49)+INDEX(Models!$BJ49:$BT49,,T49+1)*R49-ERP_i)*Q49*Ramure*Pc/MaxiM</f>
        <v>1.4166183716170327E-2</v>
      </c>
      <c r="Q49" s="301">
        <f t="shared" si="4"/>
        <v>0.5</v>
      </c>
      <c r="R49" s="173">
        <f t="shared" si="5"/>
        <v>0.4959285138447096</v>
      </c>
      <c r="S49" s="802">
        <f t="shared" si="6"/>
        <v>3</v>
      </c>
      <c r="T49" s="172">
        <f t="shared" si="7"/>
        <v>9</v>
      </c>
      <c r="U49" s="247">
        <f t="shared" si="8"/>
        <v>3.4959285138447096</v>
      </c>
      <c r="V49" s="378">
        <f t="shared" si="9"/>
        <v>25.297950123818811</v>
      </c>
      <c r="W49" s="397">
        <f t="shared" si="10"/>
        <v>11.872909834899541</v>
      </c>
      <c r="X49" s="153">
        <f t="shared" si="11"/>
        <v>47153</v>
      </c>
      <c r="Y49" s="380">
        <f t="shared" si="12"/>
        <v>11.60722517781339</v>
      </c>
      <c r="Z49" s="380">
        <f t="shared" si="22"/>
        <v>12.032895506127973</v>
      </c>
      <c r="AA49" s="381">
        <f t="shared" si="13"/>
        <v>12.763371027199597</v>
      </c>
      <c r="AB49" s="193">
        <f t="shared" si="14"/>
        <v>47153</v>
      </c>
      <c r="AC49" s="119">
        <f>IF(OR(t&lt;Tnet,NoTnet),'2028'!Resal_s+('2028'!Salim-'2028'!Resal_s)*(1-EXP(('2028'!Tnet_s-t)/'2028'!Tau_j)),Resal_s+(Salim-Resal_s)*(1-EXP((Tnet_s-t)/Tau_j)))*Salcycl</f>
        <v>5.7232177887403882E-2</v>
      </c>
      <c r="AD49" s="227">
        <f>(INDEX(Models!$BJ49:$BT49,,AH49)*(1-AF49)+INDEX(Models!$BJ49:$BT49,,AH49+1)*AF49-ERP_i)*AE49*Ramure*Pc/MaxiM</f>
        <v>1.4166183716170327E-2</v>
      </c>
      <c r="AE49" s="301">
        <f t="shared" si="15"/>
        <v>0.5</v>
      </c>
      <c r="AF49" s="173">
        <f t="shared" si="23"/>
        <v>0.4959285138447096</v>
      </c>
      <c r="AG49" s="802">
        <f t="shared" si="24"/>
        <v>3</v>
      </c>
      <c r="AH49" s="172">
        <f t="shared" si="16"/>
        <v>9</v>
      </c>
      <c r="AI49" s="221">
        <f t="shared" si="17"/>
        <v>3.4959285138447096</v>
      </c>
      <c r="AJ49" s="261" t="b">
        <f t="shared" si="18"/>
        <v>1</v>
      </c>
      <c r="AK49" s="261" t="b">
        <f t="shared" si="19"/>
        <v>1</v>
      </c>
      <c r="AL49" s="261"/>
      <c r="AM49" s="261"/>
      <c r="AN49" s="75"/>
    </row>
    <row r="50" spans="1:40" s="6" customFormat="1" ht="11.25" x14ac:dyDescent="0.2">
      <c r="A50" s="56">
        <f t="shared" si="20"/>
        <v>47154</v>
      </c>
      <c r="B50" s="406">
        <f>'2028'!Wh/'2028'!Env_an*'2029'!Env_an</f>
        <v>9.3296332584269486</v>
      </c>
      <c r="C50" s="832"/>
      <c r="D50" s="388">
        <f t="shared" si="0"/>
        <v>9.671910141293047</v>
      </c>
      <c r="E50" s="380">
        <f t="shared" si="1"/>
        <v>10.029911718024758</v>
      </c>
      <c r="F50" s="380">
        <f t="shared" si="2"/>
        <v>10.042022606014379</v>
      </c>
      <c r="G50" s="110">
        <f t="shared" si="21"/>
        <v>0.3590026671692112</v>
      </c>
      <c r="H50" s="409" t="b">
        <f>Wh_hp&gt;='2028'!Maxi_hp</f>
        <v>0</v>
      </c>
      <c r="I50" s="385">
        <f>IF(H50,Wh_hp,'2028'!Maxi_hp)</f>
        <v>10.165216263192344</v>
      </c>
      <c r="J50" s="85">
        <f>IF(H50,An,'2028'!An_max)</f>
        <v>2022</v>
      </c>
      <c r="K50" s="193">
        <f t="shared" si="3"/>
        <v>47154</v>
      </c>
      <c r="L50" s="143">
        <f>IF(t&lt;Tvie,1-EXP((T0-t)*PertePVj)+'2028'!Pspv,1-EXP((T0-t)*PertePVj)+Pspv)</f>
        <v>3.538875753247428E-2</v>
      </c>
      <c r="M50" s="836"/>
      <c r="N50" s="836"/>
      <c r="O50" s="48">
        <f>IF(t&lt;Tnet,'2028'!Resal+('2028'!Salim-'2028'!Resal)*(1-EXP(('2028'!Tnet-t)/('2028'!Tau_j))),Resal+(Salim-Resal)*(1-EXP((Tnet-t)/(Tau_j))))*Salcycl</f>
        <v>3.5693392603680318E-2</v>
      </c>
      <c r="P50" s="165">
        <f>(INDEX(Models!$BJ50:$BT50,,T50)*(1-R50)+INDEX(Models!$BJ50:$BT50,,T50+1)*R50-ERP_i)*Q50*Ramure*Pc/MaxiM</f>
        <v>1.3313983375300483E-2</v>
      </c>
      <c r="Q50" s="301">
        <f t="shared" si="4"/>
        <v>0.5</v>
      </c>
      <c r="R50" s="173">
        <f t="shared" si="5"/>
        <v>0.49604564488549041</v>
      </c>
      <c r="S50" s="802">
        <f t="shared" si="6"/>
        <v>3</v>
      </c>
      <c r="T50" s="172">
        <f t="shared" si="7"/>
        <v>9</v>
      </c>
      <c r="U50" s="247">
        <f t="shared" si="8"/>
        <v>3.4960456448854904</v>
      </c>
      <c r="V50" s="378">
        <f t="shared" si="9"/>
        <v>25.672605946308359</v>
      </c>
      <c r="W50" s="397">
        <f t="shared" si="10"/>
        <v>9.3296332584269486</v>
      </c>
      <c r="X50" s="153">
        <f t="shared" si="11"/>
        <v>47154</v>
      </c>
      <c r="Y50" s="380">
        <f t="shared" si="12"/>
        <v>9.1210404561469218</v>
      </c>
      <c r="Z50" s="380">
        <f t="shared" si="22"/>
        <v>9.4556646808457536</v>
      </c>
      <c r="AA50" s="381">
        <f t="shared" si="13"/>
        <v>10.029911718024758</v>
      </c>
      <c r="AB50" s="193">
        <f t="shared" si="14"/>
        <v>47154</v>
      </c>
      <c r="AC50" s="119">
        <f>IF(OR(t&lt;Tnet,NoTnet),'2028'!Resal_s+('2028'!Salim-'2028'!Resal_s)*(1-EXP(('2028'!Tnet_s-t)/'2028'!Tau_j)),Resal_s+(Salim-Resal_s)*(1-EXP((Tnet_s-t)/Tau_j)))*Salcycl</f>
        <v>5.7253448816206823E-2</v>
      </c>
      <c r="AD50" s="227">
        <f>(INDEX(Models!$BJ50:$BT50,,AH50)*(1-AF50)+INDEX(Models!$BJ50:$BT50,,AH50+1)*AF50-ERP_i)*AE50*Ramure*Pc/MaxiM</f>
        <v>1.3313983375300483E-2</v>
      </c>
      <c r="AE50" s="301">
        <f t="shared" si="15"/>
        <v>0.5</v>
      </c>
      <c r="AF50" s="173">
        <f t="shared" si="23"/>
        <v>0.49604564488549041</v>
      </c>
      <c r="AG50" s="802">
        <f t="shared" si="24"/>
        <v>3</v>
      </c>
      <c r="AH50" s="172">
        <f t="shared" si="16"/>
        <v>9</v>
      </c>
      <c r="AI50" s="221">
        <f t="shared" si="17"/>
        <v>3.4960456448854904</v>
      </c>
      <c r="AJ50" s="261" t="b">
        <f t="shared" si="18"/>
        <v>1</v>
      </c>
      <c r="AK50" s="261" t="b">
        <f t="shared" si="19"/>
        <v>1</v>
      </c>
      <c r="AL50" s="261"/>
      <c r="AM50" s="261"/>
      <c r="AN50" s="75"/>
    </row>
    <row r="51" spans="1:40" s="6" customFormat="1" ht="11.25" x14ac:dyDescent="0.2">
      <c r="A51" s="56">
        <f t="shared" si="20"/>
        <v>47155</v>
      </c>
      <c r="B51" s="406">
        <f>'2028'!Wh/'2028'!Env_an*'2029'!Env_an</f>
        <v>20.505620249304776</v>
      </c>
      <c r="C51" s="832"/>
      <c r="D51" s="388">
        <f t="shared" si="0"/>
        <v>21.25820232554377</v>
      </c>
      <c r="E51" s="380">
        <f t="shared" si="1"/>
        <v>22.045998095982917</v>
      </c>
      <c r="F51" s="380">
        <f t="shared" si="2"/>
        <v>22.237974516429155</v>
      </c>
      <c r="G51" s="110">
        <f t="shared" si="21"/>
        <v>0.78414363866927406</v>
      </c>
      <c r="H51" s="409" t="b">
        <f>Wh_hp&gt;='2028'!Maxi_hp</f>
        <v>0</v>
      </c>
      <c r="I51" s="385">
        <f>IF(H51,Wh_hp,'2028'!Maxi_hp)</f>
        <v>22.322890993589862</v>
      </c>
      <c r="J51" s="85">
        <f>IF(H51,An,'2028'!An_max)</f>
        <v>2022</v>
      </c>
      <c r="K51" s="193">
        <f t="shared" si="3"/>
        <v>47155</v>
      </c>
      <c r="L51" s="143">
        <f>IF(t&lt;Tvie,1-EXP((T0-t)*PertePVj)+'2028'!Pspv,1-EXP((T0-t)*PertePVj)+Pspv)</f>
        <v>3.5401962250340091E-2</v>
      </c>
      <c r="M51" s="836"/>
      <c r="N51" s="836"/>
      <c r="O51" s="48">
        <f>IF(t&lt;Tnet,'2028'!Resal+('2028'!Salim-'2028'!Resal)*(1-EXP(('2028'!Tnet-t)/('2028'!Tau_j))),Resal+(Salim-Resal)*(1-EXP((Tnet-t)/(Tau_j))))*Salcycl</f>
        <v>3.5734184817093596E-2</v>
      </c>
      <c r="P51" s="165">
        <f>(INDEX(Models!$BJ51:$BT51,,T51)*(1-R51)+INDEX(Models!$BJ51:$BT51,,T51+1)*R51-ERP_i)*Q51*Ramure*Pc/MaxiM</f>
        <v>1.240503579488386E-2</v>
      </c>
      <c r="Q51" s="301">
        <f t="shared" si="4"/>
        <v>0.5</v>
      </c>
      <c r="R51" s="173">
        <f t="shared" si="5"/>
        <v>0.49616763121508489</v>
      </c>
      <c r="S51" s="802">
        <f t="shared" si="6"/>
        <v>3</v>
      </c>
      <c r="T51" s="172">
        <f t="shared" si="7"/>
        <v>9</v>
      </c>
      <c r="U51" s="247">
        <f t="shared" si="8"/>
        <v>3.4961676312150849</v>
      </c>
      <c r="V51" s="378">
        <f t="shared" si="9"/>
        <v>26.050833074315122</v>
      </c>
      <c r="W51" s="397">
        <f t="shared" si="10"/>
        <v>20.505620249304776</v>
      </c>
      <c r="X51" s="153">
        <f t="shared" si="11"/>
        <v>47155</v>
      </c>
      <c r="Y51" s="380">
        <f t="shared" si="12"/>
        <v>20.047548387984662</v>
      </c>
      <c r="Z51" s="380">
        <f t="shared" si="22"/>
        <v>20.783318650278616</v>
      </c>
      <c r="AA51" s="381">
        <f t="shared" si="13"/>
        <v>22.045998095982917</v>
      </c>
      <c r="AB51" s="193">
        <f t="shared" si="14"/>
        <v>47155</v>
      </c>
      <c r="AC51" s="119">
        <f>IF(OR(t&lt;Tnet,NoTnet),'2028'!Resal_s+('2028'!Salim-'2028'!Resal_s)*(1-EXP(('2028'!Tnet_s-t)/'2028'!Tau_j)),Resal_s+(Salim-Resal_s)*(1-EXP((Tnet_s-t)/Tau_j)))*Salcycl</f>
        <v>5.7274768881268166E-2</v>
      </c>
      <c r="AD51" s="227">
        <f>(INDEX(Models!$BJ51:$BT51,,AH51)*(1-AF51)+INDEX(Models!$BJ51:$BT51,,AH51+1)*AF51-ERP_i)*AE51*Ramure*Pc/MaxiM</f>
        <v>1.240503579488386E-2</v>
      </c>
      <c r="AE51" s="301">
        <f t="shared" si="15"/>
        <v>0.5</v>
      </c>
      <c r="AF51" s="173">
        <f t="shared" si="23"/>
        <v>0.49616763121508489</v>
      </c>
      <c r="AG51" s="802">
        <f t="shared" si="24"/>
        <v>3</v>
      </c>
      <c r="AH51" s="172">
        <f t="shared" si="16"/>
        <v>9</v>
      </c>
      <c r="AI51" s="221">
        <f t="shared" si="17"/>
        <v>3.4961676312150849</v>
      </c>
      <c r="AJ51" s="261" t="b">
        <f t="shared" si="18"/>
        <v>1</v>
      </c>
      <c r="AK51" s="261" t="b">
        <f t="shared" si="19"/>
        <v>1</v>
      </c>
      <c r="AL51" s="261"/>
      <c r="AM51" s="261"/>
      <c r="AN51" s="75"/>
    </row>
    <row r="52" spans="1:40" s="6" customFormat="1" ht="11.25" x14ac:dyDescent="0.2">
      <c r="A52" s="56">
        <f t="shared" si="20"/>
        <v>47156</v>
      </c>
      <c r="B52" s="406">
        <f>'2028'!Wh/'2028'!Env_an*'2029'!Env_an</f>
        <v>14.061670720663907</v>
      </c>
      <c r="C52" s="832"/>
      <c r="D52" s="388">
        <f t="shared" si="0"/>
        <v>14.577951297276183</v>
      </c>
      <c r="E52" s="380">
        <f t="shared" si="1"/>
        <v>15.118827031062571</v>
      </c>
      <c r="F52" s="380">
        <f t="shared" si="2"/>
        <v>15.17647649980997</v>
      </c>
      <c r="G52" s="110">
        <f t="shared" si="21"/>
        <v>0.52785183573854988</v>
      </c>
      <c r="H52" s="409" t="b">
        <f>Wh_hp&gt;='2028'!Maxi_hp</f>
        <v>0</v>
      </c>
      <c r="I52" s="385">
        <f>IF(H52,Wh_hp,'2028'!Maxi_hp)</f>
        <v>15.294127889599769</v>
      </c>
      <c r="J52" s="85">
        <f>IF(H52,An,'2028'!An_max)</f>
        <v>2022</v>
      </c>
      <c r="K52" s="193">
        <f t="shared" si="3"/>
        <v>47156</v>
      </c>
      <c r="L52" s="143">
        <f>IF(t&lt;Tvie,1-EXP((T0-t)*PertePVj)+'2028'!Pspv,1-EXP((T0-t)*PertePVj)+Pspv)</f>
        <v>3.5415166787444274E-2</v>
      </c>
      <c r="M52" s="836"/>
      <c r="N52" s="836"/>
      <c r="O52" s="48">
        <f>IF(t&lt;Tnet,'2028'!Resal+('2028'!Salim-'2028'!Resal)*(1-EXP(('2028'!Tnet-t)/('2028'!Tau_j))),Resal+(Salim-Resal)*(1-EXP((Tnet-t)/(Tau_j))))*Salcycl</f>
        <v>3.577497994223517E-2</v>
      </c>
      <c r="P52" s="165">
        <f>(INDEX(Models!$BJ52:$BT52,,T52)*(1-R52)+INDEX(Models!$BJ52:$BT52,,T52+1)*R52-ERP_i)*Q52*Ramure*Pc/MaxiM</f>
        <v>1.1464033302834532E-2</v>
      </c>
      <c r="Q52" s="301">
        <f t="shared" si="4"/>
        <v>0.5</v>
      </c>
      <c r="R52" s="173">
        <f t="shared" si="5"/>
        <v>0.49629467154998608</v>
      </c>
      <c r="S52" s="802">
        <f t="shared" si="6"/>
        <v>3</v>
      </c>
      <c r="T52" s="172">
        <f t="shared" si="7"/>
        <v>9</v>
      </c>
      <c r="U52" s="247">
        <f t="shared" si="8"/>
        <v>3.4962946715499861</v>
      </c>
      <c r="V52" s="378">
        <f t="shared" si="9"/>
        <v>26.434446308843178</v>
      </c>
      <c r="W52" s="397">
        <f t="shared" si="10"/>
        <v>14.061670720663907</v>
      </c>
      <c r="X52" s="153">
        <f t="shared" si="11"/>
        <v>47156</v>
      </c>
      <c r="Y52" s="380">
        <f t="shared" si="12"/>
        <v>13.747819326431436</v>
      </c>
      <c r="Z52" s="380">
        <f t="shared" si="22"/>
        <v>14.252576707684941</v>
      </c>
      <c r="AA52" s="381">
        <f t="shared" si="13"/>
        <v>15.118827031062571</v>
      </c>
      <c r="AB52" s="193">
        <f t="shared" si="14"/>
        <v>47156</v>
      </c>
      <c r="AC52" s="119">
        <f>IF(OR(t&lt;Tnet,NoTnet),'2028'!Resal_s+('2028'!Salim-'2028'!Resal_s)*(1-EXP(('2028'!Tnet_s-t)/'2028'!Tau_j)),Resal_s+(Salim-Resal_s)*(1-EXP((Tnet_s-t)/Tau_j)))*Salcycl</f>
        <v>5.7296132933981211E-2</v>
      </c>
      <c r="AD52" s="227">
        <f>(INDEX(Models!$BJ52:$BT52,,AH52)*(1-AF52)+INDEX(Models!$BJ52:$BT52,,AH52+1)*AF52-ERP_i)*AE52*Ramure*Pc/MaxiM</f>
        <v>1.1464033302834532E-2</v>
      </c>
      <c r="AE52" s="301">
        <f t="shared" si="15"/>
        <v>0.5</v>
      </c>
      <c r="AF52" s="173">
        <f t="shared" si="23"/>
        <v>0.49629467154998608</v>
      </c>
      <c r="AG52" s="802">
        <f t="shared" si="24"/>
        <v>3</v>
      </c>
      <c r="AH52" s="172">
        <f t="shared" si="16"/>
        <v>9</v>
      </c>
      <c r="AI52" s="221">
        <f t="shared" si="17"/>
        <v>3.4962946715499861</v>
      </c>
      <c r="AJ52" s="261" t="b">
        <f t="shared" si="18"/>
        <v>1</v>
      </c>
      <c r="AK52" s="261" t="b">
        <f t="shared" si="19"/>
        <v>1</v>
      </c>
      <c r="AL52" s="261"/>
      <c r="AM52" s="261"/>
      <c r="AN52" s="75"/>
    </row>
    <row r="53" spans="1:40" s="6" customFormat="1" ht="11.25" x14ac:dyDescent="0.2">
      <c r="A53" s="56">
        <f t="shared" si="20"/>
        <v>47157</v>
      </c>
      <c r="B53" s="406">
        <f>'2028'!Wh/'2028'!Env_an*'2029'!Env_an</f>
        <v>27.273273888937542</v>
      </c>
      <c r="C53" s="832"/>
      <c r="D53" s="388">
        <f t="shared" si="0"/>
        <v>28.275011490103857</v>
      </c>
      <c r="E53" s="380">
        <f t="shared" si="1"/>
        <v>29.325320562262835</v>
      </c>
      <c r="F53" s="380">
        <f t="shared" si="2"/>
        <v>29.637565329868828</v>
      </c>
      <c r="G53" s="110">
        <f t="shared" si="21"/>
        <v>1.016825364425431</v>
      </c>
      <c r="H53" s="409" t="b">
        <f>Wh_hp&gt;='2028'!Maxi_hp</f>
        <v>1</v>
      </c>
      <c r="I53" s="385">
        <f>IF(H53,Wh_hp,'2028'!Maxi_hp)</f>
        <v>29.637565329868828</v>
      </c>
      <c r="J53" s="85">
        <f>IF(H53,An,'2028'!An_max)</f>
        <v>2029</v>
      </c>
      <c r="K53" s="193">
        <f t="shared" si="3"/>
        <v>47157</v>
      </c>
      <c r="L53" s="143">
        <f>IF(t&lt;Tvie,1-EXP((T0-t)*PertePVj)+'2028'!Pspv,1-EXP((T0-t)*PertePVj)+Pspv)</f>
        <v>3.5428371143789605E-2</v>
      </c>
      <c r="M53" s="836"/>
      <c r="N53" s="836"/>
      <c r="O53" s="48">
        <f>IF(t&lt;Tnet,'2028'!Resal+('2028'!Salim-'2028'!Resal)*(1-EXP(('2028'!Tnet-t)/('2028'!Tau_j))),Resal+(Salim-Resal)*(1-EXP((Tnet-t)/(Tau_j))))*Salcycl</f>
        <v>3.5815774628242654E-2</v>
      </c>
      <c r="P53" s="165">
        <f>(INDEX(Models!$BJ53:$BT53,,T53)*(1-R53)+INDEX(Models!$BJ53:$BT53,,T53+1)*R53-ERP_i)*Q53*Ramure*Pc/MaxiM</f>
        <v>1.0535439201252859E-2</v>
      </c>
      <c r="Q53" s="301">
        <f t="shared" si="4"/>
        <v>0.5</v>
      </c>
      <c r="R53" s="173">
        <f t="shared" si="5"/>
        <v>0.49642697252335255</v>
      </c>
      <c r="S53" s="802">
        <f t="shared" si="6"/>
        <v>3</v>
      </c>
      <c r="T53" s="172">
        <f t="shared" si="7"/>
        <v>9</v>
      </c>
      <c r="U53" s="247">
        <f t="shared" si="8"/>
        <v>3.4964269725233525</v>
      </c>
      <c r="V53" s="378">
        <f t="shared" si="9"/>
        <v>26.821984229660341</v>
      </c>
      <c r="W53" s="397">
        <f t="shared" si="10"/>
        <v>27.273273888937542</v>
      </c>
      <c r="X53" s="153">
        <f t="shared" si="11"/>
        <v>47157</v>
      </c>
      <c r="Y53" s="380">
        <f t="shared" si="12"/>
        <v>26.665067079407127</v>
      </c>
      <c r="Z53" s="380">
        <f t="shared" si="22"/>
        <v>27.644465461861635</v>
      </c>
      <c r="AA53" s="381">
        <f t="shared" si="13"/>
        <v>29.325320562262835</v>
      </c>
      <c r="AB53" s="193">
        <f t="shared" si="14"/>
        <v>47157</v>
      </c>
      <c r="AC53" s="119">
        <f>IF(OR(t&lt;Tnet,NoTnet),'2028'!Resal_s+('2028'!Salim-'2028'!Resal_s)*(1-EXP(('2028'!Tnet_s-t)/'2028'!Tau_j)),Resal_s+(Salim-Resal_s)*(1-EXP((Tnet_s-t)/Tau_j)))*Salcycl</f>
        <v>5.7317535432645901E-2</v>
      </c>
      <c r="AD53" s="227">
        <f>(INDEX(Models!$BJ53:$BT53,,AH53)*(1-AF53)+INDEX(Models!$BJ53:$BT53,,AH53+1)*AF53-ERP_i)*AE53*Ramure*Pc/MaxiM</f>
        <v>1.0535439201252859E-2</v>
      </c>
      <c r="AE53" s="301">
        <f t="shared" si="15"/>
        <v>0.5</v>
      </c>
      <c r="AF53" s="173">
        <f t="shared" si="23"/>
        <v>0.49642697252335255</v>
      </c>
      <c r="AG53" s="802">
        <f t="shared" si="24"/>
        <v>3</v>
      </c>
      <c r="AH53" s="172">
        <f t="shared" si="16"/>
        <v>9</v>
      </c>
      <c r="AI53" s="221">
        <f t="shared" si="17"/>
        <v>3.4964269725233525</v>
      </c>
      <c r="AJ53" s="261" t="b">
        <f t="shared" si="18"/>
        <v>1</v>
      </c>
      <c r="AK53" s="261" t="b">
        <f t="shared" si="19"/>
        <v>1</v>
      </c>
      <c r="AL53" s="261"/>
      <c r="AM53" s="261"/>
      <c r="AN53" s="75"/>
    </row>
    <row r="54" spans="1:40" s="6" customFormat="1" ht="11.25" x14ac:dyDescent="0.2">
      <c r="A54" s="56">
        <f t="shared" si="20"/>
        <v>47158</v>
      </c>
      <c r="B54" s="406">
        <f>'2028'!Wh/'2028'!Env_an*'2029'!Env_an</f>
        <v>27.508778671280023</v>
      </c>
      <c r="C54" s="832"/>
      <c r="D54" s="388">
        <f t="shared" si="0"/>
        <v>28.519556687702508</v>
      </c>
      <c r="E54" s="380">
        <f t="shared" si="1"/>
        <v>29.580201100310415</v>
      </c>
      <c r="F54" s="380">
        <f t="shared" si="2"/>
        <v>29.867502380139104</v>
      </c>
      <c r="G54" s="110">
        <f t="shared" si="21"/>
        <v>1.0108637230245661</v>
      </c>
      <c r="H54" s="409" t="b">
        <f>Wh_hp&gt;='2028'!Maxi_hp</f>
        <v>1</v>
      </c>
      <c r="I54" s="385">
        <f>IF(H54,Wh_hp,'2028'!Maxi_hp)</f>
        <v>29.867502380139104</v>
      </c>
      <c r="J54" s="85">
        <f>IF(H54,An,'2028'!An_max)</f>
        <v>2029</v>
      </c>
      <c r="K54" s="193">
        <f t="shared" si="3"/>
        <v>47158</v>
      </c>
      <c r="L54" s="143">
        <f>IF(t&lt;Tvie,1-EXP((T0-t)*PertePVj)+'2028'!Pspv,1-EXP((T0-t)*PertePVj)+Pspv)</f>
        <v>3.5441575319378193E-2</v>
      </c>
      <c r="M54" s="836"/>
      <c r="N54" s="836"/>
      <c r="O54" s="48">
        <f>IF(t&lt;Tnet,'2028'!Resal+('2028'!Salim-'2028'!Resal)*(1-EXP(('2028'!Tnet-t)/('2028'!Tau_j))),Resal+(Salim-Resal)*(1-EXP((Tnet-t)/(Tau_j))))*Salcycl</f>
        <v>3.5856565309042972E-2</v>
      </c>
      <c r="P54" s="165">
        <f>(INDEX(Models!$BJ54:$BT54,,T54)*(1-R54)+INDEX(Models!$BJ54:$BT54,,T54+1)*R54-ERP_i)*Q54*Ramure*Pc/MaxiM</f>
        <v>9.6191933350187279E-3</v>
      </c>
      <c r="Q54" s="301">
        <f t="shared" si="4"/>
        <v>0.5</v>
      </c>
      <c r="R54" s="173">
        <f t="shared" si="5"/>
        <v>0.4965647489819438</v>
      </c>
      <c r="S54" s="802">
        <f t="shared" si="6"/>
        <v>3</v>
      </c>
      <c r="T54" s="172">
        <f t="shared" si="7"/>
        <v>9</v>
      </c>
      <c r="U54" s="247">
        <f t="shared" si="8"/>
        <v>3.4965647489819438</v>
      </c>
      <c r="V54" s="378">
        <f t="shared" si="9"/>
        <v>27.213142627150646</v>
      </c>
      <c r="W54" s="397">
        <f t="shared" si="10"/>
        <v>27.508778671280023</v>
      </c>
      <c r="X54" s="153">
        <f t="shared" si="11"/>
        <v>47158</v>
      </c>
      <c r="Y54" s="380">
        <f t="shared" si="12"/>
        <v>26.895846291401142</v>
      </c>
      <c r="Z54" s="380">
        <f t="shared" si="22"/>
        <v>27.88410282177227</v>
      </c>
      <c r="AA54" s="381">
        <f t="shared" si="13"/>
        <v>29.580201100310415</v>
      </c>
      <c r="AB54" s="193">
        <f t="shared" si="14"/>
        <v>47158</v>
      </c>
      <c r="AC54" s="119">
        <f>IF(OR(t&lt;Tnet,NoTnet),'2028'!Resal_s+('2028'!Salim-'2028'!Resal_s)*(1-EXP(('2028'!Tnet_s-t)/'2028'!Tau_j)),Resal_s+(Salim-Resal_s)*(1-EXP((Tnet_s-t)/Tau_j)))*Salcycl</f>
        <v>5.7338970508903866E-2</v>
      </c>
      <c r="AD54" s="227">
        <f>(INDEX(Models!$BJ54:$BT54,,AH54)*(1-AF54)+INDEX(Models!$BJ54:$BT54,,AH54+1)*AF54-ERP_i)*AE54*Ramure*Pc/MaxiM</f>
        <v>9.6191933350187279E-3</v>
      </c>
      <c r="AE54" s="301">
        <f t="shared" si="15"/>
        <v>0.5</v>
      </c>
      <c r="AF54" s="173">
        <f t="shared" si="23"/>
        <v>0.4965647489819438</v>
      </c>
      <c r="AG54" s="802">
        <f t="shared" si="24"/>
        <v>3</v>
      </c>
      <c r="AH54" s="172">
        <f t="shared" si="16"/>
        <v>9</v>
      </c>
      <c r="AI54" s="221">
        <f t="shared" si="17"/>
        <v>3.4965647489819438</v>
      </c>
      <c r="AJ54" s="261" t="b">
        <f t="shared" si="18"/>
        <v>1</v>
      </c>
      <c r="AK54" s="261" t="b">
        <f t="shared" si="19"/>
        <v>1</v>
      </c>
      <c r="AL54" s="261"/>
      <c r="AM54" s="261"/>
      <c r="AN54" s="75"/>
    </row>
    <row r="55" spans="1:40" s="6" customFormat="1" ht="11.25" x14ac:dyDescent="0.2">
      <c r="A55" s="56">
        <f t="shared" si="20"/>
        <v>47159</v>
      </c>
      <c r="B55" s="406">
        <f>'2028'!Wh/'2028'!Env_an*'2029'!Env_an</f>
        <v>26.569416771002455</v>
      </c>
      <c r="C55" s="832"/>
      <c r="D55" s="388">
        <f t="shared" si="0"/>
        <v>27.546056111409399</v>
      </c>
      <c r="E55" s="380">
        <f t="shared" si="1"/>
        <v>28.571704539298217</v>
      </c>
      <c r="F55" s="380">
        <f t="shared" si="2"/>
        <v>28.809294471120214</v>
      </c>
      <c r="G55" s="110">
        <f t="shared" si="21"/>
        <v>0.96194007451010199</v>
      </c>
      <c r="H55" s="409" t="b">
        <f>Wh_hp&gt;='2028'!Maxi_hp</f>
        <v>0</v>
      </c>
      <c r="I55" s="385">
        <f>IF(H55,Wh_hp,'2028'!Maxi_hp)</f>
        <v>28.822898257849857</v>
      </c>
      <c r="J55" s="85">
        <f>IF(H55,An,'2028'!An_max)</f>
        <v>2022</v>
      </c>
      <c r="K55" s="193">
        <f t="shared" si="3"/>
        <v>47159</v>
      </c>
      <c r="L55" s="143">
        <f>IF(t&lt;Tvie,1-EXP((T0-t)*PertePVj)+'2028'!Pspv,1-EXP((T0-t)*PertePVj)+Pspv)</f>
        <v>3.5454779314212814E-2</v>
      </c>
      <c r="M55" s="836"/>
      <c r="N55" s="836"/>
      <c r="O55" s="48">
        <f>IF(t&lt;Tnet,'2028'!Resal+('2028'!Salim-'2028'!Resal)*(1-EXP(('2028'!Tnet-t)/('2028'!Tau_j))),Resal+(Salim-Resal)*(1-EXP((Tnet-t)/(Tau_j))))*Salcycl</f>
        <v>3.5897348248093264E-2</v>
      </c>
      <c r="P55" s="165">
        <f>(INDEX(Models!$BJ55:$BT55,,T55)*(1-R55)+INDEX(Models!$BJ55:$BT55,,T55+1)*R55-ERP_i)*Q55*Ramure*Pc/MaxiM</f>
        <v>8.715188577617692E-3</v>
      </c>
      <c r="Q55" s="301">
        <f t="shared" si="4"/>
        <v>0.5</v>
      </c>
      <c r="R55" s="173">
        <f t="shared" si="5"/>
        <v>0.49670822429260619</v>
      </c>
      <c r="S55" s="802">
        <f t="shared" si="6"/>
        <v>3</v>
      </c>
      <c r="T55" s="172">
        <f t="shared" si="7"/>
        <v>9</v>
      </c>
      <c r="U55" s="247">
        <f t="shared" si="8"/>
        <v>3.4967082242926062</v>
      </c>
      <c r="V55" s="378">
        <f t="shared" si="9"/>
        <v>27.607617395839178</v>
      </c>
      <c r="W55" s="397">
        <f t="shared" si="10"/>
        <v>26.569416771002455</v>
      </c>
      <c r="X55" s="153">
        <f t="shared" si="11"/>
        <v>47159</v>
      </c>
      <c r="Y55" s="380">
        <f t="shared" si="12"/>
        <v>25.97792206093958</v>
      </c>
      <c r="Z55" s="380">
        <f t="shared" si="22"/>
        <v>26.932819222793306</v>
      </c>
      <c r="AA55" s="381">
        <f t="shared" si="13"/>
        <v>28.571704539298217</v>
      </c>
      <c r="AB55" s="193">
        <f t="shared" si="14"/>
        <v>47159</v>
      </c>
      <c r="AC55" s="119">
        <f>IF(OR(t&lt;Tnet,NoTnet),'2028'!Resal_s+('2028'!Salim-'2028'!Resal_s)*(1-EXP(('2028'!Tnet_s-t)/'2028'!Tau_j)),Resal_s+(Salim-Resal_s)*(1-EXP((Tnet_s-t)/Tau_j)))*Salcycl</f>
        <v>5.7360432040403725E-2</v>
      </c>
      <c r="AD55" s="227">
        <f>(INDEX(Models!$BJ55:$BT55,,AH55)*(1-AF55)+INDEX(Models!$BJ55:$BT55,,AH55+1)*AF55-ERP_i)*AE55*Ramure*Pc/MaxiM</f>
        <v>8.715188577617692E-3</v>
      </c>
      <c r="AE55" s="301">
        <f t="shared" si="15"/>
        <v>0.5</v>
      </c>
      <c r="AF55" s="173">
        <f t="shared" si="23"/>
        <v>0.49670822429260619</v>
      </c>
      <c r="AG55" s="802">
        <f t="shared" si="24"/>
        <v>3</v>
      </c>
      <c r="AH55" s="172">
        <f t="shared" si="16"/>
        <v>9</v>
      </c>
      <c r="AI55" s="221">
        <f t="shared" si="17"/>
        <v>3.4967082242926062</v>
      </c>
      <c r="AJ55" s="261" t="b">
        <f t="shared" si="18"/>
        <v>1</v>
      </c>
      <c r="AK55" s="261" t="b">
        <f t="shared" si="19"/>
        <v>1</v>
      </c>
      <c r="AL55" s="261"/>
      <c r="AM55" s="261"/>
      <c r="AN55" s="75"/>
    </row>
    <row r="56" spans="1:40" s="6" customFormat="1" ht="11.25" x14ac:dyDescent="0.2">
      <c r="A56" s="56">
        <f t="shared" si="20"/>
        <v>47160</v>
      </c>
      <c r="B56" s="406">
        <f>'2028'!Wh/'2028'!Env_an*'2029'!Env_an</f>
        <v>13.900336870897021</v>
      </c>
      <c r="C56" s="832"/>
      <c r="D56" s="388">
        <f t="shared" si="0"/>
        <v>14.411483110721823</v>
      </c>
      <c r="E56" s="380">
        <f t="shared" si="1"/>
        <v>14.948711699443267</v>
      </c>
      <c r="F56" s="380">
        <f t="shared" si="2"/>
        <v>14.981587747021127</v>
      </c>
      <c r="G56" s="110">
        <f t="shared" si="21"/>
        <v>0.49355009314190784</v>
      </c>
      <c r="H56" s="409" t="b">
        <f>Wh_hp&gt;='2028'!Maxi_hp</f>
        <v>0</v>
      </c>
      <c r="I56" s="385">
        <f>IF(H56,Wh_hp,'2028'!Maxi_hp)</f>
        <v>15.066561571107581</v>
      </c>
      <c r="J56" s="85">
        <f>IF(H56,An,'2028'!An_max)</f>
        <v>2022</v>
      </c>
      <c r="K56" s="193">
        <f t="shared" si="3"/>
        <v>47160</v>
      </c>
      <c r="L56" s="143">
        <f>IF(t&lt;Tvie,1-EXP((T0-t)*PertePVj)+'2028'!Pspv,1-EXP((T0-t)*PertePVj)+Pspv)</f>
        <v>3.5467983128295799E-2</v>
      </c>
      <c r="M56" s="836"/>
      <c r="N56" s="836"/>
      <c r="O56" s="48">
        <f>IF(t&lt;Tnet,'2028'!Resal+('2028'!Salim-'2028'!Resal)*(1-EXP(('2028'!Tnet-t)/('2028'!Tau_j))),Resal+(Salim-Resal)*(1-EXP((Tnet-t)/(Tau_j))))*Salcycl</f>
        <v>3.5938119586683276E-2</v>
      </c>
      <c r="P56" s="165">
        <f>(INDEX(Models!$BJ56:$BT56,,T56)*(1-R56)+INDEX(Models!$BJ56:$BT56,,T56+1)*R56-ERP_i)*Q56*Ramure*Pc/MaxiM</f>
        <v>7.8232757161156956E-3</v>
      </c>
      <c r="Q56" s="301">
        <f t="shared" si="4"/>
        <v>0.5</v>
      </c>
      <c r="R56" s="173">
        <f t="shared" si="5"/>
        <v>0.49685763065846755</v>
      </c>
      <c r="S56" s="802">
        <f t="shared" si="6"/>
        <v>3</v>
      </c>
      <c r="T56" s="172">
        <f t="shared" si="7"/>
        <v>9</v>
      </c>
      <c r="U56" s="247">
        <f t="shared" si="8"/>
        <v>3.4968576306584676</v>
      </c>
      <c r="V56" s="378">
        <f t="shared" si="9"/>
        <v>28.005104521444771</v>
      </c>
      <c r="W56" s="397">
        <f t="shared" si="10"/>
        <v>13.900336870897021</v>
      </c>
      <c r="X56" s="153">
        <f t="shared" si="11"/>
        <v>47160</v>
      </c>
      <c r="Y56" s="380">
        <f t="shared" si="12"/>
        <v>13.591149288209886</v>
      </c>
      <c r="Z56" s="380">
        <f t="shared" si="22"/>
        <v>14.090926014348875</v>
      </c>
      <c r="AA56" s="381">
        <f t="shared" si="13"/>
        <v>14.948711699443267</v>
      </c>
      <c r="AB56" s="193">
        <f t="shared" si="14"/>
        <v>47160</v>
      </c>
      <c r="AC56" s="119">
        <f>IF(OR(t&lt;Tnet,NoTnet),'2028'!Resal_s+('2028'!Salim-'2028'!Resal_s)*(1-EXP(('2028'!Tnet_s-t)/'2028'!Tau_j)),Resal_s+(Salim-Resal_s)*(1-EXP((Tnet_s-t)/Tau_j)))*Salcycl</f>
        <v>5.7381913728815771E-2</v>
      </c>
      <c r="AD56" s="227">
        <f>(INDEX(Models!$BJ56:$BT56,,AH56)*(1-AF56)+INDEX(Models!$BJ56:$BT56,,AH56+1)*AF56-ERP_i)*AE56*Ramure*Pc/MaxiM</f>
        <v>7.8232757161156956E-3</v>
      </c>
      <c r="AE56" s="301">
        <f t="shared" si="15"/>
        <v>0.5</v>
      </c>
      <c r="AF56" s="173">
        <f t="shared" si="23"/>
        <v>0.49685763065846755</v>
      </c>
      <c r="AG56" s="802">
        <f t="shared" si="24"/>
        <v>3</v>
      </c>
      <c r="AH56" s="172">
        <f t="shared" si="16"/>
        <v>9</v>
      </c>
      <c r="AI56" s="221">
        <f t="shared" si="17"/>
        <v>3.4968576306584676</v>
      </c>
      <c r="AJ56" s="261" t="b">
        <f t="shared" si="18"/>
        <v>1</v>
      </c>
      <c r="AK56" s="261" t="b">
        <f t="shared" si="19"/>
        <v>1</v>
      </c>
      <c r="AL56" s="261"/>
      <c r="AM56" s="261"/>
      <c r="AN56" s="75"/>
    </row>
    <row r="57" spans="1:40" s="6" customFormat="1" ht="11.25" x14ac:dyDescent="0.2">
      <c r="A57" s="56">
        <f t="shared" si="20"/>
        <v>47161</v>
      </c>
      <c r="B57" s="406">
        <f>'2028'!Wh/'2028'!Env_an*'2029'!Env_an</f>
        <v>22.244661272476907</v>
      </c>
      <c r="C57" s="832"/>
      <c r="D57" s="388">
        <f t="shared" si="0"/>
        <v>23.062962554136703</v>
      </c>
      <c r="E57" s="380">
        <f t="shared" si="1"/>
        <v>23.92371076265816</v>
      </c>
      <c r="F57" s="380">
        <f t="shared" si="2"/>
        <v>24.038905465794567</v>
      </c>
      <c r="G57" s="110">
        <f t="shared" si="21"/>
        <v>0.78142377704737442</v>
      </c>
      <c r="H57" s="409" t="b">
        <f>Wh_hp&gt;='2028'!Maxi_hp</f>
        <v>0</v>
      </c>
      <c r="I57" s="385">
        <f>IF(H57,Wh_hp,'2028'!Maxi_hp)</f>
        <v>24.090968807798074</v>
      </c>
      <c r="J57" s="85">
        <f>IF(H57,An,'2028'!An_max)</f>
        <v>2022</v>
      </c>
      <c r="K57" s="193">
        <f t="shared" si="3"/>
        <v>47161</v>
      </c>
      <c r="L57" s="143">
        <f>IF(t&lt;Tvie,1-EXP((T0-t)*PertePVj)+'2028'!Pspv,1-EXP((T0-t)*PertePVj)+Pspv)</f>
        <v>3.5481186761629702E-2</v>
      </c>
      <c r="M57" s="836"/>
      <c r="N57" s="836"/>
      <c r="O57" s="48">
        <f>IF(t&lt;Tnet,'2028'!Resal+('2028'!Salim-'2028'!Resal)*(1-EXP(('2028'!Tnet-t)/('2028'!Tau_j))),Resal+(Salim-Resal)*(1-EXP((Tnet-t)/(Tau_j))))*Salcycl</f>
        <v>3.5978875395240667E-2</v>
      </c>
      <c r="P57" s="165">
        <f>(INDEX(Models!$BJ57:$BT57,,T57)*(1-R57)+INDEX(Models!$BJ57:$BT57,,T57+1)*R57-ERP_i)*Q57*Ramure*Pc/MaxiM</f>
        <v>6.9432679197992224E-3</v>
      </c>
      <c r="Q57" s="301">
        <f t="shared" si="4"/>
        <v>0.5</v>
      </c>
      <c r="R57" s="173">
        <f t="shared" si="5"/>
        <v>0.49701320944499017</v>
      </c>
      <c r="S57" s="802">
        <f t="shared" si="6"/>
        <v>3</v>
      </c>
      <c r="T57" s="172">
        <f t="shared" si="7"/>
        <v>9</v>
      </c>
      <c r="U57" s="247">
        <f t="shared" si="8"/>
        <v>3.4970132094449902</v>
      </c>
      <c r="V57" s="378">
        <f t="shared" si="9"/>
        <v>28.405300075867387</v>
      </c>
      <c r="W57" s="397">
        <f t="shared" si="10"/>
        <v>22.244661272476907</v>
      </c>
      <c r="X57" s="153">
        <f t="shared" si="11"/>
        <v>47161</v>
      </c>
      <c r="Y57" s="380">
        <f t="shared" si="12"/>
        <v>21.75029295953275</v>
      </c>
      <c r="Z57" s="380">
        <f t="shared" si="22"/>
        <v>22.550408204590823</v>
      </c>
      <c r="AA57" s="381">
        <f t="shared" si="13"/>
        <v>23.92371076265816</v>
      </c>
      <c r="AB57" s="193">
        <f t="shared" si="14"/>
        <v>47161</v>
      </c>
      <c r="AC57" s="119">
        <f>IF(OR(t&lt;Tnet,NoTnet),'2028'!Resal_s+('2028'!Salim-'2028'!Resal_s)*(1-EXP(('2028'!Tnet_s-t)/'2028'!Tau_j)),Resal_s+(Salim-Resal_s)*(1-EXP((Tnet_s-t)/Tau_j)))*Salcycl</f>
        <v>5.7403409182278202E-2</v>
      </c>
      <c r="AD57" s="227">
        <f>(INDEX(Models!$BJ57:$BT57,,AH57)*(1-AF57)+INDEX(Models!$BJ57:$BT57,,AH57+1)*AF57-ERP_i)*AE57*Ramure*Pc/MaxiM</f>
        <v>6.9432679197992224E-3</v>
      </c>
      <c r="AE57" s="301">
        <f t="shared" si="15"/>
        <v>0.5</v>
      </c>
      <c r="AF57" s="173">
        <f t="shared" si="23"/>
        <v>0.49701320944499017</v>
      </c>
      <c r="AG57" s="802">
        <f t="shared" si="24"/>
        <v>3</v>
      </c>
      <c r="AH57" s="172">
        <f t="shared" si="16"/>
        <v>9</v>
      </c>
      <c r="AI57" s="221">
        <f t="shared" si="17"/>
        <v>3.4970132094449902</v>
      </c>
      <c r="AJ57" s="261" t="b">
        <f t="shared" si="18"/>
        <v>1</v>
      </c>
      <c r="AK57" s="261" t="b">
        <f t="shared" si="19"/>
        <v>1</v>
      </c>
      <c r="AL57" s="261"/>
      <c r="AM57" s="261"/>
      <c r="AN57" s="75"/>
    </row>
    <row r="58" spans="1:40" s="6" customFormat="1" ht="11.25" x14ac:dyDescent="0.2">
      <c r="A58" s="56">
        <f t="shared" si="20"/>
        <v>47162</v>
      </c>
      <c r="B58" s="406">
        <f>'2028'!Wh/'2028'!Env_an*'2029'!Env_an</f>
        <v>24.526189826350947</v>
      </c>
      <c r="C58" s="832"/>
      <c r="D58" s="388">
        <f t="shared" si="0"/>
        <v>25.428768456617085</v>
      </c>
      <c r="E58" s="380">
        <f t="shared" si="1"/>
        <v>26.378927171096361</v>
      </c>
      <c r="F58" s="380">
        <f t="shared" si="2"/>
        <v>26.506439589523215</v>
      </c>
      <c r="G58" s="110">
        <f t="shared" si="21"/>
        <v>0.85028866028879202</v>
      </c>
      <c r="H58" s="409" t="b">
        <f>Wh_hp&gt;='2028'!Maxi_hp</f>
        <v>0</v>
      </c>
      <c r="I58" s="385">
        <f>IF(H58,Wh_hp,'2028'!Maxi_hp)</f>
        <v>26.541007451756311</v>
      </c>
      <c r="J58" s="85">
        <f>IF(H58,An,'2028'!An_max)</f>
        <v>2022</v>
      </c>
      <c r="K58" s="193">
        <f t="shared" si="3"/>
        <v>47162</v>
      </c>
      <c r="L58" s="143">
        <f>IF(t&lt;Tvie,1-EXP((T0-t)*PertePVj)+'2028'!Pspv,1-EXP((T0-t)*PertePVj)+Pspv)</f>
        <v>3.5494390214216964E-2</v>
      </c>
      <c r="M58" s="836"/>
      <c r="N58" s="836"/>
      <c r="O58" s="48">
        <f>IF(t&lt;Tnet,'2028'!Resal+('2028'!Salim-'2028'!Resal)*(1-EXP(('2028'!Tnet-t)/('2028'!Tau_j))),Resal+(Salim-Resal)*(1-EXP((Tnet-t)/(Tau_j))))*Salcycl</f>
        <v>3.6019611727059746E-2</v>
      </c>
      <c r="P58" s="165">
        <f>(INDEX(Models!$BJ58:$BT58,,T58)*(1-R58)+INDEX(Models!$BJ58:$BT58,,T58+1)*R58-ERP_i)*Q58*Ramure*Pc/MaxiM</f>
        <v>6.1070868181993272E-3</v>
      </c>
      <c r="Q58" s="301">
        <f t="shared" si="4"/>
        <v>0.5</v>
      </c>
      <c r="R58" s="173">
        <f t="shared" si="5"/>
        <v>0.4971752115160295</v>
      </c>
      <c r="S58" s="802">
        <f t="shared" si="6"/>
        <v>3</v>
      </c>
      <c r="T58" s="172">
        <f t="shared" si="7"/>
        <v>9</v>
      </c>
      <c r="U58" s="247">
        <f t="shared" si="8"/>
        <v>3.4971752115160295</v>
      </c>
      <c r="V58" s="378">
        <f t="shared" si="9"/>
        <v>28.806968602236577</v>
      </c>
      <c r="W58" s="397">
        <f t="shared" si="10"/>
        <v>24.526189826350947</v>
      </c>
      <c r="X58" s="153">
        <f t="shared" si="11"/>
        <v>47162</v>
      </c>
      <c r="Y58" s="380">
        <f t="shared" si="12"/>
        <v>23.98158283620527</v>
      </c>
      <c r="Z58" s="380">
        <f t="shared" si="22"/>
        <v>24.864119599606671</v>
      </c>
      <c r="AA58" s="381">
        <f t="shared" si="13"/>
        <v>26.378927171096361</v>
      </c>
      <c r="AB58" s="193">
        <f t="shared" si="14"/>
        <v>47162</v>
      </c>
      <c r="AC58" s="119">
        <f>IF(OR(t&lt;Tnet,NoTnet),'2028'!Resal_s+('2028'!Salim-'2028'!Resal_s)*(1-EXP(('2028'!Tnet_s-t)/'2028'!Tau_j)),Resal_s+(Salim-Resal_s)*(1-EXP((Tnet_s-t)/Tau_j)))*Salcycl</f>
        <v>5.7424912001329625E-2</v>
      </c>
      <c r="AD58" s="227">
        <f>(INDEX(Models!$BJ58:$BT58,,AH58)*(1-AF58)+INDEX(Models!$BJ58:$BT58,,AH58+1)*AF58-ERP_i)*AE58*Ramure*Pc/MaxiM</f>
        <v>6.1070868181993272E-3</v>
      </c>
      <c r="AE58" s="301">
        <f t="shared" si="15"/>
        <v>0.5</v>
      </c>
      <c r="AF58" s="173">
        <f t="shared" si="23"/>
        <v>0.4971752115160295</v>
      </c>
      <c r="AG58" s="802">
        <f t="shared" si="24"/>
        <v>3</v>
      </c>
      <c r="AH58" s="172">
        <f t="shared" si="16"/>
        <v>9</v>
      </c>
      <c r="AI58" s="221">
        <f t="shared" si="17"/>
        <v>3.4971752115160295</v>
      </c>
      <c r="AJ58" s="261" t="b">
        <f t="shared" si="18"/>
        <v>1</v>
      </c>
      <c r="AK58" s="261" t="b">
        <f t="shared" si="19"/>
        <v>1</v>
      </c>
      <c r="AL58" s="261"/>
      <c r="AM58" s="261"/>
      <c r="AN58" s="75"/>
    </row>
    <row r="59" spans="1:40" s="6" customFormat="1" ht="11.25" x14ac:dyDescent="0.2">
      <c r="A59" s="56">
        <f t="shared" si="20"/>
        <v>47163</v>
      </c>
      <c r="B59" s="406">
        <f>'2028'!Wh/'2028'!Env_an*'2029'!Env_an</f>
        <v>15.757778017494839</v>
      </c>
      <c r="C59" s="832"/>
      <c r="D59" s="388">
        <f t="shared" si="0"/>
        <v>16.33789743814545</v>
      </c>
      <c r="E59" s="380">
        <f t="shared" si="1"/>
        <v>16.949087018975206</v>
      </c>
      <c r="F59" s="380">
        <f t="shared" si="2"/>
        <v>16.980138197906513</v>
      </c>
      <c r="G59" s="110">
        <f t="shared" si="21"/>
        <v>0.53758551006675381</v>
      </c>
      <c r="H59" s="409" t="b">
        <f>Wh_hp&gt;='2028'!Maxi_hp</f>
        <v>0</v>
      </c>
      <c r="I59" s="385">
        <f>IF(H59,Wh_hp,'2028'!Maxi_hp)</f>
        <v>17.04015432936102</v>
      </c>
      <c r="J59" s="85">
        <f>IF(H59,An,'2028'!An_max)</f>
        <v>2022</v>
      </c>
      <c r="K59" s="193">
        <f t="shared" si="3"/>
        <v>47163</v>
      </c>
      <c r="L59" s="143">
        <f>IF(t&lt;Tvie,1-EXP((T0-t)*PertePVj)+'2028'!Pspv,1-EXP((T0-t)*PertePVj)+Pspv)</f>
        <v>3.550759348606003E-2</v>
      </c>
      <c r="M59" s="836"/>
      <c r="N59" s="836"/>
      <c r="O59" s="48">
        <f>IF(t&lt;Tnet,'2028'!Resal+('2028'!Salim-'2028'!Resal)*(1-EXP(('2028'!Tnet-t)/('2028'!Tau_j))),Resal+(Salim-Resal)*(1-EXP((Tnet-t)/(Tau_j))))*Salcycl</f>
        <v>3.6060324673860174E-2</v>
      </c>
      <c r="P59" s="165">
        <f>(INDEX(Models!$BJ59:$BT59,,T59)*(1-R59)+INDEX(Models!$BJ59:$BT59,,T59+1)*R59-ERP_i)*Q59*Ramure*Pc/MaxiM</f>
        <v>5.345086175252217E-3</v>
      </c>
      <c r="Q59" s="301">
        <f t="shared" si="4"/>
        <v>0.5</v>
      </c>
      <c r="R59" s="173">
        <f t="shared" si="5"/>
        <v>0.49734389758001107</v>
      </c>
      <c r="S59" s="802">
        <f t="shared" si="6"/>
        <v>3</v>
      </c>
      <c r="T59" s="172">
        <f t="shared" si="7"/>
        <v>9</v>
      </c>
      <c r="U59" s="247">
        <f t="shared" si="8"/>
        <v>3.4973438975800111</v>
      </c>
      <c r="V59" s="378">
        <f t="shared" si="9"/>
        <v>29.20887078539711</v>
      </c>
      <c r="W59" s="397">
        <f t="shared" si="10"/>
        <v>15.757778017494839</v>
      </c>
      <c r="X59" s="153">
        <f t="shared" si="11"/>
        <v>47163</v>
      </c>
      <c r="Y59" s="380">
        <f t="shared" si="12"/>
        <v>15.408173901889631</v>
      </c>
      <c r="Z59" s="380">
        <f t="shared" si="22"/>
        <v>15.975422717510979</v>
      </c>
      <c r="AA59" s="381">
        <f t="shared" si="13"/>
        <v>16.949087018975206</v>
      </c>
      <c r="AB59" s="193">
        <f t="shared" si="14"/>
        <v>47163</v>
      </c>
      <c r="AC59" s="119">
        <f>IF(OR(t&lt;Tnet,NoTnet),'2028'!Resal_s+('2028'!Salim-'2028'!Resal_s)*(1-EXP(('2028'!Tnet_s-t)/'2028'!Tau_j)),Resal_s+(Salim-Resal_s)*(1-EXP((Tnet_s-t)/Tau_j)))*Salcycl</f>
        <v>5.7446415867366242E-2</v>
      </c>
      <c r="AD59" s="227">
        <f>(INDEX(Models!$BJ59:$BT59,,AH59)*(1-AF59)+INDEX(Models!$BJ59:$BT59,,AH59+1)*AF59-ERP_i)*AE59*Ramure*Pc/MaxiM</f>
        <v>5.345086175252217E-3</v>
      </c>
      <c r="AE59" s="301">
        <f t="shared" si="15"/>
        <v>0.5</v>
      </c>
      <c r="AF59" s="173">
        <f t="shared" si="23"/>
        <v>0.49734389758001107</v>
      </c>
      <c r="AG59" s="802">
        <f t="shared" si="24"/>
        <v>3</v>
      </c>
      <c r="AH59" s="172">
        <f t="shared" si="16"/>
        <v>9</v>
      </c>
      <c r="AI59" s="221">
        <f t="shared" si="17"/>
        <v>3.4973438975800111</v>
      </c>
      <c r="AJ59" s="261" t="b">
        <f t="shared" si="18"/>
        <v>1</v>
      </c>
      <c r="AK59" s="261" t="b">
        <f t="shared" si="19"/>
        <v>1</v>
      </c>
      <c r="AL59" s="261"/>
      <c r="AM59" s="261"/>
      <c r="AN59" s="75"/>
    </row>
    <row r="60" spans="1:40" s="6" customFormat="1" ht="11.25" x14ac:dyDescent="0.2">
      <c r="A60" s="56">
        <f t="shared" si="20"/>
        <v>47164</v>
      </c>
      <c r="B60" s="406">
        <f>'2028'!Wh/'2028'!Env_an*'2029'!Env_an</f>
        <v>20.296688628297183</v>
      </c>
      <c r="C60" s="832"/>
      <c r="D60" s="388">
        <f t="shared" si="0"/>
        <v>21.044195205315262</v>
      </c>
      <c r="E60" s="380">
        <f t="shared" si="1"/>
        <v>21.832365665764485</v>
      </c>
      <c r="F60" s="380">
        <f t="shared" si="2"/>
        <v>21.888466312132316</v>
      </c>
      <c r="G60" s="110">
        <f t="shared" si="21"/>
        <v>0.6840137621125546</v>
      </c>
      <c r="H60" s="409" t="b">
        <f>Wh_hp&gt;='2028'!Maxi_hp</f>
        <v>0</v>
      </c>
      <c r="I60" s="385">
        <f>IF(H60,Wh_hp,'2028'!Maxi_hp)</f>
        <v>21.934451021953191</v>
      </c>
      <c r="J60" s="85">
        <f>IF(H60,An,'2028'!An_max)</f>
        <v>2022</v>
      </c>
      <c r="K60" s="193">
        <f t="shared" si="3"/>
        <v>47164</v>
      </c>
      <c r="L60" s="143">
        <f>IF(t&lt;Tvie,1-EXP((T0-t)*PertePVj)+'2028'!Pspv,1-EXP((T0-t)*PertePVj)+Pspv)</f>
        <v>3.552079657716134E-2</v>
      </c>
      <c r="M60" s="836"/>
      <c r="N60" s="836"/>
      <c r="O60" s="48">
        <f>IF(t&lt;Tnet,'2028'!Resal+('2028'!Salim-'2028'!Resal)*(1-EXP(('2028'!Tnet-t)/('2028'!Tau_j))),Resal+(Salim-Resal)*(1-EXP((Tnet-t)/(Tau_j))))*Salcycl</f>
        <v>3.6101010422574603E-2</v>
      </c>
      <c r="P60" s="165">
        <f>(INDEX(Models!$BJ60:$BT60,,T60)*(1-R60)+INDEX(Models!$BJ60:$BT60,,T60+1)*R60-ERP_i)*Q60*Ramure*Pc/MaxiM</f>
        <v>4.654588263771805E-3</v>
      </c>
      <c r="Q60" s="301">
        <f t="shared" si="4"/>
        <v>0.5</v>
      </c>
      <c r="R60" s="173">
        <f t="shared" si="5"/>
        <v>0.49751953854634134</v>
      </c>
      <c r="S60" s="802">
        <f t="shared" si="6"/>
        <v>3</v>
      </c>
      <c r="T60" s="172">
        <f t="shared" si="7"/>
        <v>9</v>
      </c>
      <c r="U60" s="247">
        <f t="shared" si="8"/>
        <v>3.4975195385463413</v>
      </c>
      <c r="V60" s="378">
        <f t="shared" si="9"/>
        <v>29.61070203571493</v>
      </c>
      <c r="W60" s="397">
        <f t="shared" si="10"/>
        <v>20.296688628297183</v>
      </c>
      <c r="X60" s="153">
        <f t="shared" si="11"/>
        <v>47164</v>
      </c>
      <c r="Y60" s="380">
        <f t="shared" si="12"/>
        <v>19.846768661172003</v>
      </c>
      <c r="Z60" s="380">
        <f t="shared" si="22"/>
        <v>20.577705139455407</v>
      </c>
      <c r="AA60" s="381">
        <f t="shared" si="13"/>
        <v>21.832365665764485</v>
      </c>
      <c r="AB60" s="193">
        <f t="shared" si="14"/>
        <v>47164</v>
      </c>
      <c r="AC60" s="119">
        <f>IF(OR(t&lt;Tnet,NoTnet),'2028'!Resal_s+('2028'!Salim-'2028'!Resal_s)*(1-EXP(('2028'!Tnet_s-t)/'2028'!Tau_j)),Resal_s+(Salim-Resal_s)*(1-EXP((Tnet_s-t)/Tau_j)))*Salcycl</f>
        <v>5.746791463265568E-2</v>
      </c>
      <c r="AD60" s="227">
        <f>(INDEX(Models!$BJ60:$BT60,,AH60)*(1-AF60)+INDEX(Models!$BJ60:$BT60,,AH60+1)*AF60-ERP_i)*AE60*Ramure*Pc/MaxiM</f>
        <v>4.654588263771805E-3</v>
      </c>
      <c r="AE60" s="301">
        <f t="shared" si="15"/>
        <v>0.5</v>
      </c>
      <c r="AF60" s="173">
        <f t="shared" si="23"/>
        <v>0.49751953854634134</v>
      </c>
      <c r="AG60" s="802">
        <f t="shared" si="24"/>
        <v>3</v>
      </c>
      <c r="AH60" s="172">
        <f t="shared" si="16"/>
        <v>9</v>
      </c>
      <c r="AI60" s="221">
        <f t="shared" si="17"/>
        <v>3.4975195385463413</v>
      </c>
      <c r="AJ60" s="261" t="b">
        <f t="shared" si="18"/>
        <v>1</v>
      </c>
      <c r="AK60" s="261" t="b">
        <f t="shared" si="19"/>
        <v>1</v>
      </c>
      <c r="AL60" s="261"/>
      <c r="AM60" s="261"/>
      <c r="AN60" s="75"/>
    </row>
    <row r="61" spans="1:40" s="6" customFormat="1" ht="11.25" x14ac:dyDescent="0.2">
      <c r="A61" s="56">
        <f t="shared" si="20"/>
        <v>47165</v>
      </c>
      <c r="B61" s="406">
        <f>'2028'!Wh/'2028'!Env_an*'2029'!Env_an</f>
        <v>9.6448181914376416</v>
      </c>
      <c r="C61" s="832"/>
      <c r="D61" s="388">
        <f t="shared" si="0"/>
        <v>10.0001640144005</v>
      </c>
      <c r="E61" s="380">
        <f t="shared" si="1"/>
        <v>10.375138808801669</v>
      </c>
      <c r="F61" s="380">
        <f t="shared" si="2"/>
        <v>10.376415996091872</v>
      </c>
      <c r="G61" s="110">
        <f t="shared" si="21"/>
        <v>0.32010704398188983</v>
      </c>
      <c r="H61" s="409" t="b">
        <f>Wh_hp&gt;='2028'!Maxi_hp</f>
        <v>0</v>
      </c>
      <c r="I61" s="385">
        <f>IF(H61,Wh_hp,'2028'!Maxi_hp)</f>
        <v>10.417141926380237</v>
      </c>
      <c r="J61" s="85">
        <f>IF(H61,An,'2028'!An_max)</f>
        <v>2022</v>
      </c>
      <c r="K61" s="193">
        <f t="shared" si="3"/>
        <v>47165</v>
      </c>
      <c r="L61" s="143">
        <f>IF(t&lt;Tvie,1-EXP((T0-t)*PertePVj)+'2028'!Pspv,1-EXP((T0-t)*PertePVj)+Pspv)</f>
        <v>3.5533999487523449E-2</v>
      </c>
      <c r="M61" s="836"/>
      <c r="N61" s="836"/>
      <c r="O61" s="48">
        <f>IF(t&lt;Tnet,'2028'!Resal+('2028'!Salim-'2028'!Resal)*(1-EXP(('2028'!Tnet-t)/('2028'!Tau_j))),Resal+(Salim-Resal)*(1-EXP((Tnet-t)/(Tau_j))))*Salcycl</f>
        <v>3.6141665312762944E-2</v>
      </c>
      <c r="P61" s="165">
        <f>(INDEX(Models!$BJ61:$BT61,,T61)*(1-R61)+INDEX(Models!$BJ61:$BT61,,T61+1)*R61-ERP_i)*Q61*Ramure*Pc/MaxiM</f>
        <v>4.033004333409731E-3</v>
      </c>
      <c r="Q61" s="301">
        <f t="shared" si="4"/>
        <v>0.5</v>
      </c>
      <c r="R61" s="173">
        <f t="shared" si="5"/>
        <v>0.49770241589212949</v>
      </c>
      <c r="S61" s="802">
        <f t="shared" si="6"/>
        <v>3</v>
      </c>
      <c r="T61" s="172">
        <f t="shared" si="7"/>
        <v>9</v>
      </c>
      <c r="U61" s="247">
        <f t="shared" si="8"/>
        <v>3.4977024158921295</v>
      </c>
      <c r="V61" s="378">
        <f t="shared" si="9"/>
        <v>30.012157728017684</v>
      </c>
      <c r="W61" s="397">
        <f t="shared" si="10"/>
        <v>9.6448181914376416</v>
      </c>
      <c r="X61" s="153">
        <f t="shared" si="11"/>
        <v>47165</v>
      </c>
      <c r="Y61" s="380">
        <f t="shared" si="12"/>
        <v>9.4312027298072021</v>
      </c>
      <c r="Z61" s="380">
        <f t="shared" si="22"/>
        <v>9.7786782787530697</v>
      </c>
      <c r="AA61" s="381">
        <f t="shared" si="13"/>
        <v>10.375138808801669</v>
      </c>
      <c r="AB61" s="193">
        <f t="shared" si="14"/>
        <v>47165</v>
      </c>
      <c r="AC61" s="119">
        <f>IF(OR(t&lt;Tnet,NoTnet),'2028'!Resal_s+('2028'!Salim-'2028'!Resal_s)*(1-EXP(('2028'!Tnet_s-t)/'2028'!Tau_j)),Resal_s+(Salim-Resal_s)*(1-EXP((Tnet_s-t)/Tau_j)))*Salcycl</f>
        <v>5.7489402410943795E-2</v>
      </c>
      <c r="AD61" s="227">
        <f>(INDEX(Models!$BJ61:$BT61,,AH61)*(1-AF61)+INDEX(Models!$BJ61:$BT61,,AH61+1)*AF61-ERP_i)*AE61*Ramure*Pc/MaxiM</f>
        <v>4.033004333409731E-3</v>
      </c>
      <c r="AE61" s="301">
        <f t="shared" si="15"/>
        <v>0.5</v>
      </c>
      <c r="AF61" s="173">
        <f t="shared" si="23"/>
        <v>0.49770241589212949</v>
      </c>
      <c r="AG61" s="802">
        <f t="shared" si="24"/>
        <v>3</v>
      </c>
      <c r="AH61" s="172">
        <f t="shared" si="16"/>
        <v>9</v>
      </c>
      <c r="AI61" s="221">
        <f t="shared" si="17"/>
        <v>3.4977024158921295</v>
      </c>
      <c r="AJ61" s="261" t="b">
        <f t="shared" si="18"/>
        <v>1</v>
      </c>
      <c r="AK61" s="261" t="b">
        <f t="shared" si="19"/>
        <v>1</v>
      </c>
      <c r="AL61" s="261"/>
      <c r="AM61" s="261"/>
      <c r="AN61" s="75"/>
    </row>
    <row r="62" spans="1:40" s="6" customFormat="1" ht="11.25" x14ac:dyDescent="0.2">
      <c r="A62" s="56">
        <f t="shared" si="20"/>
        <v>47166</v>
      </c>
      <c r="B62" s="406">
        <f>'2028'!Wh/'2028'!Env_an*'2029'!Env_an</f>
        <v>11.596021558265214</v>
      </c>
      <c r="C62" s="832"/>
      <c r="D62" s="388">
        <f t="shared" si="0"/>
        <v>12.023420518788402</v>
      </c>
      <c r="E62" s="380">
        <f t="shared" si="1"/>
        <v>12.474786822051271</v>
      </c>
      <c r="F62" s="380">
        <f t="shared" si="2"/>
        <v>12.479826871120924</v>
      </c>
      <c r="G62" s="110">
        <f t="shared" si="21"/>
        <v>0.38011332631954103</v>
      </c>
      <c r="H62" s="409" t="b">
        <f>Wh_hp&gt;='2028'!Maxi_hp</f>
        <v>0</v>
      </c>
      <c r="I62" s="385">
        <f>IF(H62,Wh_hp,'2028'!Maxi_hp)</f>
        <v>12.518314703244648</v>
      </c>
      <c r="J62" s="85">
        <f>IF(H62,An,'2028'!An_max)</f>
        <v>2022</v>
      </c>
      <c r="K62" s="193">
        <f t="shared" si="3"/>
        <v>47166</v>
      </c>
      <c r="L62" s="143">
        <f>IF(t&lt;Tvie,1-EXP((T0-t)*PertePVj)+'2028'!Pspv,1-EXP((T0-t)*PertePVj)+Pspv)</f>
        <v>3.5547202217148799E-2</v>
      </c>
      <c r="M62" s="836"/>
      <c r="N62" s="836"/>
      <c r="O62" s="48">
        <f>IF(t&lt;Tnet,'2028'!Resal+('2028'!Salim-'2028'!Resal)*(1-EXP(('2028'!Tnet-t)/('2028'!Tau_j))),Resal+(Salim-Resal)*(1-EXP((Tnet-t)/(Tau_j))))*Salcycl</f>
        <v>3.6182285894056587E-2</v>
      </c>
      <c r="P62" s="165">
        <f>(INDEX(Models!$BJ62:$BT62,,T62)*(1-R62)+INDEX(Models!$BJ62:$BT62,,T62+1)*R62-ERP_i)*Q62*Ramure*Pc/MaxiM</f>
        <v>3.4778368933965362E-3</v>
      </c>
      <c r="Q62" s="301">
        <f t="shared" si="4"/>
        <v>0.5</v>
      </c>
      <c r="R62" s="173">
        <f t="shared" si="5"/>
        <v>0.49789282203928575</v>
      </c>
      <c r="S62" s="802">
        <f t="shared" si="6"/>
        <v>3</v>
      </c>
      <c r="T62" s="172">
        <f t="shared" si="7"/>
        <v>9</v>
      </c>
      <c r="U62" s="247">
        <f t="shared" si="8"/>
        <v>3.4978928220392858</v>
      </c>
      <c r="V62" s="378">
        <f t="shared" si="9"/>
        <v>30.412933206622395</v>
      </c>
      <c r="W62" s="397">
        <f t="shared" si="10"/>
        <v>11.596021558265214</v>
      </c>
      <c r="X62" s="153">
        <f t="shared" si="11"/>
        <v>47166</v>
      </c>
      <c r="Y62" s="380">
        <f t="shared" si="12"/>
        <v>11.33941000193996</v>
      </c>
      <c r="Z62" s="380">
        <f t="shared" si="22"/>
        <v>11.757350933096733</v>
      </c>
      <c r="AA62" s="381">
        <f t="shared" si="13"/>
        <v>12.474786822051271</v>
      </c>
      <c r="AB62" s="193">
        <f t="shared" si="14"/>
        <v>47166</v>
      </c>
      <c r="AC62" s="119">
        <f>IF(OR(t&lt;Tnet,NoTnet),'2028'!Resal_s+('2028'!Salim-'2028'!Resal_s)*(1-EXP(('2028'!Tnet_s-t)/'2028'!Tau_j)),Resal_s+(Salim-Resal_s)*(1-EXP((Tnet_s-t)/Tau_j)))*Salcycl</f>
        <v>5.7510873667704791E-2</v>
      </c>
      <c r="AD62" s="227">
        <f>(INDEX(Models!$BJ62:$BT62,,AH62)*(1-AF62)+INDEX(Models!$BJ62:$BT62,,AH62+1)*AF62-ERP_i)*AE62*Ramure*Pc/MaxiM</f>
        <v>3.4778368933965362E-3</v>
      </c>
      <c r="AE62" s="301">
        <f t="shared" si="15"/>
        <v>0.5</v>
      </c>
      <c r="AF62" s="173">
        <f t="shared" si="23"/>
        <v>0.49789282203928575</v>
      </c>
      <c r="AG62" s="802">
        <f t="shared" si="24"/>
        <v>3</v>
      </c>
      <c r="AH62" s="172">
        <f t="shared" si="16"/>
        <v>9</v>
      </c>
      <c r="AI62" s="221">
        <f t="shared" si="17"/>
        <v>3.4978928220392858</v>
      </c>
      <c r="AJ62" s="261" t="b">
        <f t="shared" si="18"/>
        <v>1</v>
      </c>
      <c r="AK62" s="261" t="b">
        <f t="shared" si="19"/>
        <v>1</v>
      </c>
      <c r="AL62" s="261"/>
      <c r="AM62" s="261"/>
      <c r="AN62" s="75"/>
    </row>
    <row r="63" spans="1:40" s="6" customFormat="1" ht="11.25" x14ac:dyDescent="0.2">
      <c r="A63" s="56">
        <f t="shared" si="20"/>
        <v>47167</v>
      </c>
      <c r="B63" s="406">
        <f>'2028'!Wh/'2028'!Env_an*'2029'!Env_an</f>
        <v>27.185006887091149</v>
      </c>
      <c r="C63" s="832"/>
      <c r="D63" s="388">
        <f t="shared" si="0"/>
        <v>28.187360848137338</v>
      </c>
      <c r="E63" s="380">
        <f t="shared" si="1"/>
        <v>29.246762494140889</v>
      </c>
      <c r="F63" s="380">
        <f t="shared" si="2"/>
        <v>29.319602515401957</v>
      </c>
      <c r="G63" s="110">
        <f t="shared" si="21"/>
        <v>0.88182132348246101</v>
      </c>
      <c r="H63" s="409" t="b">
        <f>Wh_hp&gt;='2028'!Maxi_hp</f>
        <v>0</v>
      </c>
      <c r="I63" s="385">
        <f>IF(H63,Wh_hp,'2028'!Maxi_hp)</f>
        <v>29.334371482242279</v>
      </c>
      <c r="J63" s="85">
        <f>IF(H63,An,'2028'!An_max)</f>
        <v>2022</v>
      </c>
      <c r="K63" s="193">
        <f t="shared" si="3"/>
        <v>47167</v>
      </c>
      <c r="L63" s="143">
        <f>IF(t&lt;Tvie,1-EXP((T0-t)*PertePVj)+'2028'!Pspv,1-EXP((T0-t)*PertePVj)+Pspv)</f>
        <v>3.5560404766039944E-2</v>
      </c>
      <c r="M63" s="836"/>
      <c r="N63" s="836"/>
      <c r="O63" s="48">
        <f>IF(t&lt;Tnet,'2028'!Resal+('2028'!Salim-'2028'!Resal)*(1-EXP(('2028'!Tnet-t)/('2028'!Tau_j))),Resal+(Salim-Resal)*(1-EXP((Tnet-t)/(Tau_j))))*Salcycl</f>
        <v>3.6222868983046712E-2</v>
      </c>
      <c r="P63" s="165">
        <f>(INDEX(Models!$BJ63:$BT63,,T63)*(1-R63)+INDEX(Models!$BJ63:$BT63,,T63+1)*R63-ERP_i)*Q63*Ramure*Pc/MaxiM</f>
        <v>2.9866812608530828E-3</v>
      </c>
      <c r="Q63" s="301">
        <f t="shared" si="4"/>
        <v>0.5</v>
      </c>
      <c r="R63" s="173">
        <f t="shared" si="5"/>
        <v>0.49809106074203413</v>
      </c>
      <c r="S63" s="802">
        <f t="shared" si="6"/>
        <v>3</v>
      </c>
      <c r="T63" s="172">
        <f t="shared" si="7"/>
        <v>9</v>
      </c>
      <c r="U63" s="247">
        <f t="shared" si="8"/>
        <v>3.4980910607420341</v>
      </c>
      <c r="V63" s="378">
        <f t="shared" si="9"/>
        <v>30.812723791632077</v>
      </c>
      <c r="W63" s="397">
        <f t="shared" si="10"/>
        <v>27.185006887091149</v>
      </c>
      <c r="X63" s="153">
        <f t="shared" si="11"/>
        <v>47167</v>
      </c>
      <c r="Y63" s="380">
        <f t="shared" si="12"/>
        <v>26.58393673926258</v>
      </c>
      <c r="Z63" s="380">
        <f t="shared" si="22"/>
        <v>27.564128298583256</v>
      </c>
      <c r="AA63" s="381">
        <f t="shared" si="13"/>
        <v>29.246762494140889</v>
      </c>
      <c r="AB63" s="193">
        <f t="shared" si="14"/>
        <v>47167</v>
      </c>
      <c r="AC63" s="119">
        <f>IF(OR(t&lt;Tnet,NoTnet),'2028'!Resal_s+('2028'!Salim-'2028'!Resal_s)*(1-EXP(('2028'!Tnet_s-t)/'2028'!Tau_j)),Resal_s+(Salim-Resal_s)*(1-EXP((Tnet_s-t)/Tau_j)))*Salcycl</f>
        <v>5.7532323309108874E-2</v>
      </c>
      <c r="AD63" s="227">
        <f>(INDEX(Models!$BJ63:$BT63,,AH63)*(1-AF63)+INDEX(Models!$BJ63:$BT63,,AH63+1)*AF63-ERP_i)*AE63*Ramure*Pc/MaxiM</f>
        <v>2.9866812608530828E-3</v>
      </c>
      <c r="AE63" s="301">
        <f t="shared" si="15"/>
        <v>0.5</v>
      </c>
      <c r="AF63" s="173">
        <f t="shared" si="23"/>
        <v>0.49809106074203413</v>
      </c>
      <c r="AG63" s="802">
        <f t="shared" si="24"/>
        <v>3</v>
      </c>
      <c r="AH63" s="172">
        <f t="shared" si="16"/>
        <v>9</v>
      </c>
      <c r="AI63" s="221">
        <f t="shared" si="17"/>
        <v>3.4980910607420341</v>
      </c>
      <c r="AJ63" s="261" t="b">
        <f t="shared" si="18"/>
        <v>1</v>
      </c>
      <c r="AK63" s="261" t="b">
        <f t="shared" si="19"/>
        <v>1</v>
      </c>
      <c r="AL63" s="261"/>
      <c r="AM63" s="261"/>
      <c r="AN63" s="75"/>
    </row>
    <row r="64" spans="1:40" s="6" customFormat="1" ht="11.25" x14ac:dyDescent="0.2">
      <c r="A64" s="56">
        <f t="shared" si="20"/>
        <v>47168</v>
      </c>
      <c r="B64" s="406">
        <f>'2028'!Wh/'2028'!Env_an*'2029'!Env_an</f>
        <v>16.416711863331393</v>
      </c>
      <c r="C64" s="832"/>
      <c r="D64" s="388">
        <f t="shared" si="0"/>
        <v>17.022254870637667</v>
      </c>
      <c r="E64" s="380">
        <f t="shared" si="1"/>
        <v>17.662767064806399</v>
      </c>
      <c r="F64" s="380">
        <f t="shared" si="2"/>
        <v>17.677361015216608</v>
      </c>
      <c r="G64" s="110">
        <f t="shared" si="21"/>
        <v>0.5250758478116978</v>
      </c>
      <c r="H64" s="409" t="b">
        <f>Wh_hp&gt;='2028'!Maxi_hp</f>
        <v>0</v>
      </c>
      <c r="I64" s="385">
        <f>IF(H64,Wh_hp,'2028'!Maxi_hp)</f>
        <v>17.708043029969524</v>
      </c>
      <c r="J64" s="85">
        <f>IF(H64,An,'2028'!An_max)</f>
        <v>2022</v>
      </c>
      <c r="K64" s="193">
        <f t="shared" si="3"/>
        <v>47168</v>
      </c>
      <c r="L64" s="143">
        <f>IF(t&lt;Tvie,1-EXP((T0-t)*PertePVj)+'2028'!Pspv,1-EXP((T0-t)*PertePVj)+Pspv)</f>
        <v>3.5573607134199214E-2</v>
      </c>
      <c r="M64" s="836"/>
      <c r="N64" s="836"/>
      <c r="O64" s="48">
        <f>IF(t&lt;Tnet,'2028'!Resal+('2028'!Salim-'2028'!Resal)*(1-EXP(('2028'!Tnet-t)/('2028'!Tau_j))),Resal+(Salim-Resal)*(1-EXP((Tnet-t)/(Tau_j))))*Salcycl</f>
        <v>3.6263411719048885E-2</v>
      </c>
      <c r="P64" s="165">
        <f>(INDEX(Models!$BJ64:$BT64,,T64)*(1-R64)+INDEX(Models!$BJ64:$BT64,,T64+1)*R64-ERP_i)*Q64*Ramure*Pc/MaxiM</f>
        <v>2.5572264904561749E-3</v>
      </c>
      <c r="Q64" s="301">
        <f t="shared" si="4"/>
        <v>0.5</v>
      </c>
      <c r="R64" s="173">
        <f t="shared" si="5"/>
        <v>0.49829744748484295</v>
      </c>
      <c r="S64" s="802">
        <f t="shared" si="6"/>
        <v>3</v>
      </c>
      <c r="T64" s="172">
        <f t="shared" si="7"/>
        <v>9</v>
      </c>
      <c r="U64" s="247">
        <f t="shared" si="8"/>
        <v>3.4982974474848429</v>
      </c>
      <c r="V64" s="378">
        <f t="shared" si="9"/>
        <v>31.211224787733997</v>
      </c>
      <c r="W64" s="397">
        <f t="shared" si="10"/>
        <v>16.416711863331393</v>
      </c>
      <c r="X64" s="153">
        <f t="shared" si="11"/>
        <v>47168</v>
      </c>
      <c r="Y64" s="380">
        <f t="shared" si="12"/>
        <v>16.054042955420329</v>
      </c>
      <c r="Z64" s="380">
        <f t="shared" si="22"/>
        <v>16.646208641921973</v>
      </c>
      <c r="AA64" s="381">
        <f t="shared" si="13"/>
        <v>17.662767064806399</v>
      </c>
      <c r="AB64" s="193">
        <f t="shared" si="14"/>
        <v>47168</v>
      </c>
      <c r="AC64" s="119">
        <f>IF(OR(t&lt;Tnet,NoTnet),'2028'!Resal_s+('2028'!Salim-'2028'!Resal_s)*(1-EXP(('2028'!Tnet_s-t)/'2028'!Tau_j)),Resal_s+(Salim-Resal_s)*(1-EXP((Tnet_s-t)/Tau_j)))*Salcycl</f>
        <v>5.7553746768814584E-2</v>
      </c>
      <c r="AD64" s="227">
        <f>(INDEX(Models!$BJ64:$BT64,,AH64)*(1-AF64)+INDEX(Models!$BJ64:$BT64,,AH64+1)*AF64-ERP_i)*AE64*Ramure*Pc/MaxiM</f>
        <v>2.5572264904561749E-3</v>
      </c>
      <c r="AE64" s="301">
        <f t="shared" si="15"/>
        <v>0.5</v>
      </c>
      <c r="AF64" s="173">
        <f t="shared" si="23"/>
        <v>0.49829744748484295</v>
      </c>
      <c r="AG64" s="802">
        <f t="shared" si="24"/>
        <v>3</v>
      </c>
      <c r="AH64" s="172">
        <f t="shared" si="16"/>
        <v>9</v>
      </c>
      <c r="AI64" s="221">
        <f t="shared" si="17"/>
        <v>3.4982974474848429</v>
      </c>
      <c r="AJ64" s="261" t="b">
        <f t="shared" si="18"/>
        <v>1</v>
      </c>
      <c r="AK64" s="261" t="b">
        <f t="shared" si="19"/>
        <v>1</v>
      </c>
      <c r="AL64" s="261"/>
      <c r="AM64" s="261"/>
      <c r="AN64" s="75"/>
    </row>
    <row r="65" spans="1:40" s="6" customFormat="1" ht="11.25" x14ac:dyDescent="0.2">
      <c r="A65" s="56">
        <f t="shared" si="20"/>
        <v>47169</v>
      </c>
      <c r="B65" s="406">
        <f>'2028'!Wh/'2028'!Env_an*'2029'!Env_an</f>
        <v>20.679471923424622</v>
      </c>
      <c r="C65" s="832"/>
      <c r="D65" s="388">
        <f t="shared" si="0"/>
        <v>21.442543635139028</v>
      </c>
      <c r="E65" s="380">
        <f t="shared" si="1"/>
        <v>22.25031718365118</v>
      </c>
      <c r="F65" s="380">
        <f t="shared" si="2"/>
        <v>22.274972481994944</v>
      </c>
      <c r="G65" s="110">
        <f t="shared" si="21"/>
        <v>0.6535310563190132</v>
      </c>
      <c r="H65" s="409" t="b">
        <f>Wh_hp&gt;='2028'!Maxi_hp</f>
        <v>0</v>
      </c>
      <c r="I65" s="385">
        <f>IF(H65,Wh_hp,'2028'!Maxi_hp)</f>
        <v>22.299083982726547</v>
      </c>
      <c r="J65" s="85">
        <f>IF(H65,An,'2028'!An_max)</f>
        <v>2022</v>
      </c>
      <c r="K65" s="193">
        <f t="shared" si="3"/>
        <v>47169</v>
      </c>
      <c r="L65" s="143">
        <f>IF(t&lt;Tvie,1-EXP((T0-t)*PertePVj)+'2028'!Pspv,1-EXP((T0-t)*PertePVj)+Pspv)</f>
        <v>3.5586809321629165E-2</v>
      </c>
      <c r="M65" s="836"/>
      <c r="N65" s="836"/>
      <c r="O65" s="48">
        <f>IF(t&lt;Tnet,'2028'!Resal+('2028'!Salim-'2028'!Resal)*(1-EXP(('2028'!Tnet-t)/('2028'!Tau_j))),Resal+(Salim-Resal)*(1-EXP((Tnet-t)/(Tau_j))))*Salcycl</f>
        <v>3.6303911618198313E-2</v>
      </c>
      <c r="P65" s="165">
        <f>(INDEX(Models!$BJ65:$BT65,,T65)*(1-R65)+INDEX(Models!$BJ65:$BT65,,T65+1)*R65-ERP_i)*Q65*Ramure*Pc/MaxiM</f>
        <v>2.1872335970962594E-3</v>
      </c>
      <c r="Q65" s="301">
        <f t="shared" si="4"/>
        <v>0.5</v>
      </c>
      <c r="R65" s="173">
        <f t="shared" si="5"/>
        <v>0.49851230989075335</v>
      </c>
      <c r="S65" s="802">
        <f t="shared" si="6"/>
        <v>3</v>
      </c>
      <c r="T65" s="172">
        <f t="shared" si="7"/>
        <v>9</v>
      </c>
      <c r="U65" s="247">
        <f t="shared" si="8"/>
        <v>3.4985123098907533</v>
      </c>
      <c r="V65" s="378">
        <f t="shared" si="9"/>
        <v>31.6084529305102</v>
      </c>
      <c r="W65" s="397">
        <f t="shared" si="10"/>
        <v>20.679471923424622</v>
      </c>
      <c r="X65" s="153">
        <f t="shared" si="11"/>
        <v>47169</v>
      </c>
      <c r="Y65" s="380">
        <f t="shared" si="12"/>
        <v>20.223023280228539</v>
      </c>
      <c r="Z65" s="380">
        <f t="shared" si="22"/>
        <v>20.969252054716932</v>
      </c>
      <c r="AA65" s="381">
        <f t="shared" si="13"/>
        <v>22.25031718365118</v>
      </c>
      <c r="AB65" s="193">
        <f t="shared" si="14"/>
        <v>47169</v>
      </c>
      <c r="AC65" s="119">
        <f>IF(OR(t&lt;Tnet,NoTnet),'2028'!Resal_s+('2028'!Salim-'2028'!Resal_s)*(1-EXP(('2028'!Tnet_s-t)/'2028'!Tau_j)),Resal_s+(Salim-Resal_s)*(1-EXP((Tnet_s-t)/Tau_j)))*Salcycl</f>
        <v>5.75751400917347E-2</v>
      </c>
      <c r="AD65" s="227">
        <f>(INDEX(Models!$BJ65:$BT65,,AH65)*(1-AF65)+INDEX(Models!$BJ65:$BT65,,AH65+1)*AF65-ERP_i)*AE65*Ramure*Pc/MaxiM</f>
        <v>2.1872335970962594E-3</v>
      </c>
      <c r="AE65" s="301">
        <f t="shared" si="15"/>
        <v>0.5</v>
      </c>
      <c r="AF65" s="173">
        <f t="shared" si="23"/>
        <v>0.49851230989075335</v>
      </c>
      <c r="AG65" s="802">
        <f t="shared" si="24"/>
        <v>3</v>
      </c>
      <c r="AH65" s="172">
        <f t="shared" si="16"/>
        <v>9</v>
      </c>
      <c r="AI65" s="221">
        <f t="shared" si="17"/>
        <v>3.4985123098907533</v>
      </c>
      <c r="AJ65" s="261" t="b">
        <f t="shared" si="18"/>
        <v>1</v>
      </c>
      <c r="AK65" s="261" t="b">
        <f t="shared" si="19"/>
        <v>1</v>
      </c>
      <c r="AL65" s="261"/>
      <c r="AM65" s="261"/>
      <c r="AN65" s="75"/>
    </row>
    <row r="66" spans="1:40" s="6" customFormat="1" ht="11.25" x14ac:dyDescent="0.2">
      <c r="A66" s="56">
        <f t="shared" si="20"/>
        <v>47170</v>
      </c>
      <c r="B66" s="406">
        <f>'2028'!Wh/'2028'!Env_an*'2029'!Env_an</f>
        <v>18.239258291614252</v>
      </c>
      <c r="C66" s="832"/>
      <c r="D66" s="388">
        <f t="shared" si="0"/>
        <v>18.912545111843475</v>
      </c>
      <c r="E66" s="380">
        <f t="shared" si="1"/>
        <v>19.625833603663306</v>
      </c>
      <c r="F66" s="380">
        <f t="shared" si="2"/>
        <v>19.640073349514527</v>
      </c>
      <c r="G66" s="110">
        <f t="shared" si="21"/>
        <v>0.56923641735974928</v>
      </c>
      <c r="H66" s="409" t="b">
        <f>Wh_hp&gt;='2028'!Maxi_hp</f>
        <v>0</v>
      </c>
      <c r="I66" s="385">
        <f>IF(H66,Wh_hp,'2028'!Maxi_hp)</f>
        <v>19.662801372105708</v>
      </c>
      <c r="J66" s="85">
        <f>IF(H66,An,'2028'!An_max)</f>
        <v>2022</v>
      </c>
      <c r="K66" s="193">
        <f t="shared" si="3"/>
        <v>47170</v>
      </c>
      <c r="L66" s="143">
        <f>IF(t&lt;Tvie,1-EXP((T0-t)*PertePVj)+'2028'!Pspv,1-EXP((T0-t)*PertePVj)+Pspv)</f>
        <v>3.5600011328332237E-2</v>
      </c>
      <c r="M66" s="836"/>
      <c r="N66" s="836"/>
      <c r="O66" s="48">
        <f>IF(t&lt;Tnet,'2028'!Resal+('2028'!Salim-'2028'!Resal)*(1-EXP(('2028'!Tnet-t)/('2028'!Tau_j))),Resal+(Salim-Resal)*(1-EXP((Tnet-t)/(Tau_j))))*Salcycl</f>
        <v>3.634436662535899E-2</v>
      </c>
      <c r="P66" s="165">
        <f>(INDEX(Models!$BJ66:$BT66,,T66)*(1-R66)+INDEX(Models!$BJ66:$BT66,,T66+1)*R66-ERP_i)*Q66*Ramure*Pc/MaxiM</f>
        <v>1.8804498412234743E-3</v>
      </c>
      <c r="Q66" s="301">
        <f t="shared" si="4"/>
        <v>0.5</v>
      </c>
      <c r="R66" s="173">
        <f t="shared" si="5"/>
        <v>0.49873598814003994</v>
      </c>
      <c r="S66" s="802">
        <f t="shared" si="6"/>
        <v>3</v>
      </c>
      <c r="T66" s="172">
        <f t="shared" si="7"/>
        <v>9</v>
      </c>
      <c r="U66" s="247">
        <f t="shared" si="8"/>
        <v>3.4987359881400399</v>
      </c>
      <c r="V66" s="378">
        <f t="shared" si="9"/>
        <v>32.004574093968444</v>
      </c>
      <c r="W66" s="397">
        <f t="shared" si="10"/>
        <v>18.239258291614252</v>
      </c>
      <c r="X66" s="153">
        <f t="shared" si="11"/>
        <v>47170</v>
      </c>
      <c r="Y66" s="380">
        <f t="shared" si="12"/>
        <v>17.837015896407816</v>
      </c>
      <c r="Z66" s="380">
        <f t="shared" si="22"/>
        <v>18.495454278235655</v>
      </c>
      <c r="AA66" s="381">
        <f t="shared" si="13"/>
        <v>19.625833603663306</v>
      </c>
      <c r="AB66" s="193">
        <f t="shared" si="14"/>
        <v>47170</v>
      </c>
      <c r="AC66" s="119">
        <f>IF(OR(t&lt;Tnet,NoTnet),'2028'!Resal_s+('2028'!Salim-'2028'!Resal_s)*(1-EXP(('2028'!Tnet_s-t)/'2028'!Tau_j)),Resal_s+(Salim-Resal_s)*(1-EXP((Tnet_s-t)/Tau_j)))*Salcycl</f>
        <v>5.7596500013974192E-2</v>
      </c>
      <c r="AD66" s="227">
        <f>(INDEX(Models!$BJ66:$BT66,,AH66)*(1-AF66)+INDEX(Models!$BJ66:$BT66,,AH66+1)*AF66-ERP_i)*AE66*Ramure*Pc/MaxiM</f>
        <v>1.8804498412234743E-3</v>
      </c>
      <c r="AE66" s="301">
        <f t="shared" si="15"/>
        <v>0.5</v>
      </c>
      <c r="AF66" s="173">
        <f t="shared" si="23"/>
        <v>0.49873598814003994</v>
      </c>
      <c r="AG66" s="802">
        <f t="shared" si="24"/>
        <v>3</v>
      </c>
      <c r="AH66" s="172">
        <f t="shared" si="16"/>
        <v>9</v>
      </c>
      <c r="AI66" s="221">
        <f t="shared" si="17"/>
        <v>3.4987359881400399</v>
      </c>
      <c r="AJ66" s="261" t="b">
        <f t="shared" si="18"/>
        <v>1</v>
      </c>
      <c r="AK66" s="261" t="b">
        <f t="shared" si="19"/>
        <v>1</v>
      </c>
      <c r="AL66" s="261"/>
      <c r="AM66" s="261"/>
      <c r="AN66" s="75"/>
    </row>
    <row r="67" spans="1:40" s="6" customFormat="1" ht="11.25" x14ac:dyDescent="0.2">
      <c r="A67" s="56">
        <f t="shared" si="20"/>
        <v>47171</v>
      </c>
      <c r="B67" s="406">
        <f>'2028'!Wh/'2028'!Env_an*'2029'!Env_an</f>
        <v>29.813275599598878</v>
      </c>
      <c r="C67" s="832"/>
      <c r="D67" s="388">
        <f t="shared" si="0"/>
        <v>30.914230686540172</v>
      </c>
      <c r="E67" s="380">
        <f t="shared" si="1"/>
        <v>32.081509185142956</v>
      </c>
      <c r="F67" s="380">
        <f t="shared" si="2"/>
        <v>32.127487722397461</v>
      </c>
      <c r="G67" s="110">
        <f t="shared" si="21"/>
        <v>0.91998123866385106</v>
      </c>
      <c r="H67" s="409" t="b">
        <f>Wh_hp&gt;='2028'!Maxi_hp</f>
        <v>0</v>
      </c>
      <c r="I67" s="385">
        <f>IF(H67,Wh_hp,'2028'!Maxi_hp)</f>
        <v>32.133415210523701</v>
      </c>
      <c r="J67" s="85">
        <f>IF(H67,An,'2028'!An_max)</f>
        <v>2022</v>
      </c>
      <c r="K67" s="193">
        <f t="shared" si="3"/>
        <v>47171</v>
      </c>
      <c r="L67" s="143">
        <f>IF(t&lt;Tvie,1-EXP((T0-t)*PertePVj)+'2028'!Pspv,1-EXP((T0-t)*PertePVj)+Pspv)</f>
        <v>3.5613213154310874E-2</v>
      </c>
      <c r="M67" s="836"/>
      <c r="N67" s="836"/>
      <c r="O67" s="48">
        <f>IF(t&lt;Tnet,'2028'!Resal+('2028'!Salim-'2028'!Resal)*(1-EXP(('2028'!Tnet-t)/('2028'!Tau_j))),Resal+(Salim-Resal)*(1-EXP((Tnet-t)/(Tau_j))))*Salcycl</f>
        <v>3.6384775163362658E-2</v>
      </c>
      <c r="P67" s="165">
        <f>(INDEX(Models!$BJ67:$BT67,,T67)*(1-R67)+INDEX(Models!$BJ67:$BT67,,T67+1)*R67-ERP_i)*Q67*Ramure*Pc/MaxiM</f>
        <v>1.6153958049175987E-3</v>
      </c>
      <c r="Q67" s="301">
        <f t="shared" si="4"/>
        <v>0.5</v>
      </c>
      <c r="R67" s="173">
        <f t="shared" si="5"/>
        <v>0.49896883539910952</v>
      </c>
      <c r="S67" s="802">
        <f t="shared" si="6"/>
        <v>3</v>
      </c>
      <c r="T67" s="172">
        <f t="shared" si="7"/>
        <v>9</v>
      </c>
      <c r="U67" s="247">
        <f t="shared" si="8"/>
        <v>3.4989688353991095</v>
      </c>
      <c r="V67" s="378">
        <f t="shared" si="9"/>
        <v>32.400415179554336</v>
      </c>
      <c r="W67" s="397">
        <f t="shared" si="10"/>
        <v>29.813275599598878</v>
      </c>
      <c r="X67" s="153">
        <f t="shared" si="11"/>
        <v>47171</v>
      </c>
      <c r="Y67" s="380">
        <f t="shared" si="12"/>
        <v>29.156346649527062</v>
      </c>
      <c r="Z67" s="380">
        <f t="shared" si="22"/>
        <v>30.233042434033628</v>
      </c>
      <c r="AA67" s="381">
        <f t="shared" si="13"/>
        <v>32.081509185142956</v>
      </c>
      <c r="AB67" s="193">
        <f t="shared" si="14"/>
        <v>47171</v>
      </c>
      <c r="AC67" s="119">
        <f>IF(OR(t&lt;Tnet,NoTnet),'2028'!Resal_s+('2028'!Salim-'2028'!Resal_s)*(1-EXP(('2028'!Tnet_s-t)/'2028'!Tau_j)),Resal_s+(Salim-Resal_s)*(1-EXP((Tnet_s-t)/Tau_j)))*Salcycl</f>
        <v>5.7617824038195757E-2</v>
      </c>
      <c r="AD67" s="227">
        <f>(INDEX(Models!$BJ67:$BT67,,AH67)*(1-AF67)+INDEX(Models!$BJ67:$BT67,,AH67+1)*AF67-ERP_i)*AE67*Ramure*Pc/MaxiM</f>
        <v>1.6153958049175987E-3</v>
      </c>
      <c r="AE67" s="301">
        <f t="shared" si="15"/>
        <v>0.5</v>
      </c>
      <c r="AF67" s="173">
        <f t="shared" si="23"/>
        <v>0.49896883539910952</v>
      </c>
      <c r="AG67" s="802">
        <f t="shared" si="24"/>
        <v>3</v>
      </c>
      <c r="AH67" s="172">
        <f t="shared" si="16"/>
        <v>9</v>
      </c>
      <c r="AI67" s="221">
        <f t="shared" si="17"/>
        <v>3.4989688353991095</v>
      </c>
      <c r="AJ67" s="261" t="b">
        <f t="shared" si="18"/>
        <v>1</v>
      </c>
      <c r="AK67" s="261" t="b">
        <f t="shared" si="19"/>
        <v>1</v>
      </c>
      <c r="AL67" s="261"/>
      <c r="AM67" s="261"/>
      <c r="AN67" s="75"/>
    </row>
    <row r="68" spans="1:40" s="6" customFormat="1" ht="11.25" x14ac:dyDescent="0.2">
      <c r="A68" s="56">
        <f t="shared" si="20"/>
        <v>47172</v>
      </c>
      <c r="B68" s="406">
        <f>'2028'!Wh/'2028'!Env_an*'2029'!Env_an</f>
        <v>31.359211304120215</v>
      </c>
      <c r="C68" s="832"/>
      <c r="D68" s="388">
        <f t="shared" si="0"/>
        <v>32.517700386414688</v>
      </c>
      <c r="E68" s="380">
        <f t="shared" si="1"/>
        <v>33.746937168402312</v>
      </c>
      <c r="F68" s="380">
        <f t="shared" si="2"/>
        <v>33.790986204387501</v>
      </c>
      <c r="G68" s="110">
        <f t="shared" si="21"/>
        <v>0.95610157551298058</v>
      </c>
      <c r="H68" s="409" t="b">
        <f>Wh_hp&gt;='2028'!Maxi_hp</f>
        <v>0</v>
      </c>
      <c r="I68" s="385">
        <f>IF(H68,Wh_hp,'2028'!Maxi_hp)</f>
        <v>33.793930327105848</v>
      </c>
      <c r="J68" s="85">
        <f>IF(H68,An,'2028'!An_max)</f>
        <v>2022</v>
      </c>
      <c r="K68" s="193">
        <f t="shared" si="3"/>
        <v>47172</v>
      </c>
      <c r="L68" s="143">
        <f>IF(t&lt;Tvie,1-EXP((T0-t)*PertePVj)+'2028'!Pspv,1-EXP((T0-t)*PertePVj)+Pspv)</f>
        <v>3.5626414799567629E-2</v>
      </c>
      <c r="M68" s="836"/>
      <c r="N68" s="836"/>
      <c r="O68" s="48">
        <f>IF(t&lt;Tnet,'2028'!Resal+('2028'!Salim-'2028'!Resal)*(1-EXP(('2028'!Tnet-t)/('2028'!Tau_j))),Resal+(Salim-Resal)*(1-EXP((Tnet-t)/(Tau_j))))*Salcycl</f>
        <v>3.6425136179130846E-2</v>
      </c>
      <c r="P68" s="165">
        <f>(INDEX(Models!$BJ68:$BT68,,T68)*(1-R68)+INDEX(Models!$BJ68:$BT68,,T68+1)*R68-ERP_i)*Q68*Ramure*Pc/MaxiM</f>
        <v>1.390616378979732E-3</v>
      </c>
      <c r="Q68" s="301">
        <f t="shared" si="4"/>
        <v>0.5</v>
      </c>
      <c r="R68" s="173">
        <f t="shared" si="5"/>
        <v>0.49921121825948722</v>
      </c>
      <c r="S68" s="802">
        <f t="shared" si="6"/>
        <v>3</v>
      </c>
      <c r="T68" s="172">
        <f t="shared" si="7"/>
        <v>9</v>
      </c>
      <c r="U68" s="247">
        <f t="shared" si="8"/>
        <v>3.4992112182594872</v>
      </c>
      <c r="V68" s="378">
        <f t="shared" si="9"/>
        <v>32.796178722003553</v>
      </c>
      <c r="W68" s="397">
        <f t="shared" si="10"/>
        <v>31.359211304120215</v>
      </c>
      <c r="X68" s="153">
        <f t="shared" si="11"/>
        <v>47172</v>
      </c>
      <c r="Y68" s="380">
        <f t="shared" si="12"/>
        <v>30.668809833073734</v>
      </c>
      <c r="Z68" s="380">
        <f t="shared" si="22"/>
        <v>31.80179372779028</v>
      </c>
      <c r="AA68" s="381">
        <f t="shared" si="13"/>
        <v>33.746937168402312</v>
      </c>
      <c r="AB68" s="193">
        <f t="shared" si="14"/>
        <v>47172</v>
      </c>
      <c r="AC68" s="119">
        <f>IF(OR(t&lt;Tnet,NoTnet),'2028'!Resal_s+('2028'!Salim-'2028'!Resal_s)*(1-EXP(('2028'!Tnet_s-t)/'2028'!Tau_j)),Resal_s+(Salim-Resal_s)*(1-EXP((Tnet_s-t)/Tau_j)))*Salcycl</f>
        <v>5.7639110503731682E-2</v>
      </c>
      <c r="AD68" s="227">
        <f>(INDEX(Models!$BJ68:$BT68,,AH68)*(1-AF68)+INDEX(Models!$BJ68:$BT68,,AH68+1)*AF68-ERP_i)*AE68*Ramure*Pc/MaxiM</f>
        <v>1.390616378979732E-3</v>
      </c>
      <c r="AE68" s="301">
        <f t="shared" si="15"/>
        <v>0.5</v>
      </c>
      <c r="AF68" s="173">
        <f t="shared" si="23"/>
        <v>0.49921121825948722</v>
      </c>
      <c r="AG68" s="802">
        <f t="shared" si="24"/>
        <v>3</v>
      </c>
      <c r="AH68" s="172">
        <f t="shared" si="16"/>
        <v>9</v>
      </c>
      <c r="AI68" s="221">
        <f t="shared" si="17"/>
        <v>3.4992112182594872</v>
      </c>
      <c r="AJ68" s="261" t="b">
        <f t="shared" si="18"/>
        <v>1</v>
      </c>
      <c r="AK68" s="261" t="b">
        <f t="shared" si="19"/>
        <v>1</v>
      </c>
      <c r="AL68" s="261"/>
      <c r="AM68" s="261"/>
      <c r="AN68" s="75"/>
    </row>
    <row r="69" spans="1:40" s="6" customFormat="1" ht="11.25" x14ac:dyDescent="0.2">
      <c r="A69" s="56">
        <f t="shared" si="20"/>
        <v>47173</v>
      </c>
      <c r="B69" s="406">
        <f>'2028'!Wh/'2028'!Env_an*'2029'!Env_an</f>
        <v>22.333358584090004</v>
      </c>
      <c r="C69" s="832"/>
      <c r="D69" s="388">
        <f t="shared" si="0"/>
        <v>23.158726717465761</v>
      </c>
      <c r="E69" s="380">
        <f t="shared" si="1"/>
        <v>24.035180365776952</v>
      </c>
      <c r="F69" s="380">
        <f t="shared" si="2"/>
        <v>24.050613555414106</v>
      </c>
      <c r="G69" s="110">
        <f t="shared" si="21"/>
        <v>0.67247321791396675</v>
      </c>
      <c r="H69" s="409" t="b">
        <f>Wh_hp&gt;='2028'!Maxi_hp</f>
        <v>0</v>
      </c>
      <c r="I69" s="385">
        <f>IF(H69,Wh_hp,'2028'!Maxi_hp)</f>
        <v>24.064164791213923</v>
      </c>
      <c r="J69" s="85">
        <f>IF(H69,An,'2028'!An_max)</f>
        <v>2022</v>
      </c>
      <c r="K69" s="193">
        <f t="shared" si="3"/>
        <v>47173</v>
      </c>
      <c r="L69" s="143">
        <f>IF(t&lt;Tvie,1-EXP((T0-t)*PertePVj)+'2028'!Pspv,1-EXP((T0-t)*PertePVj)+Pspv)</f>
        <v>3.5639616264105056E-2</v>
      </c>
      <c r="M69" s="836"/>
      <c r="N69" s="836"/>
      <c r="O69" s="48">
        <f>IF(t&lt;Tnet,'2028'!Resal+('2028'!Salim-'2028'!Resal)*(1-EXP(('2028'!Tnet-t)/('2028'!Tau_j))),Resal+(Salim-Resal)*(1-EXP((Tnet-t)/(Tau_j))))*Salcycl</f>
        <v>3.6465449186274784E-2</v>
      </c>
      <c r="P69" s="165">
        <f>(INDEX(Models!$BJ69:$BT69,,T69)*(1-R69)+INDEX(Models!$BJ69:$BT69,,T69+1)*R69-ERP_i)*Q69*Ramure*Pc/MaxiM</f>
        <v>1.2047328267486201E-3</v>
      </c>
      <c r="Q69" s="301">
        <f t="shared" si="4"/>
        <v>0.5</v>
      </c>
      <c r="R69" s="173">
        <f t="shared" si="5"/>
        <v>0.49946351718670545</v>
      </c>
      <c r="S69" s="802">
        <f t="shared" si="6"/>
        <v>3</v>
      </c>
      <c r="T69" s="172">
        <f t="shared" si="7"/>
        <v>9</v>
      </c>
      <c r="U69" s="247">
        <f t="shared" si="8"/>
        <v>3.4994635171867055</v>
      </c>
      <c r="V69" s="378">
        <f t="shared" si="9"/>
        <v>33.192066863875141</v>
      </c>
      <c r="W69" s="397">
        <f t="shared" si="10"/>
        <v>22.333358584090004</v>
      </c>
      <c r="X69" s="153">
        <f t="shared" si="11"/>
        <v>47173</v>
      </c>
      <c r="Y69" s="380">
        <f t="shared" si="12"/>
        <v>21.842090769324589</v>
      </c>
      <c r="Z69" s="380">
        <f t="shared" si="22"/>
        <v>22.649303245648863</v>
      </c>
      <c r="AA69" s="381">
        <f t="shared" si="13"/>
        <v>24.035180365776952</v>
      </c>
      <c r="AB69" s="193">
        <f t="shared" si="14"/>
        <v>47173</v>
      </c>
      <c r="AC69" s="119">
        <f>IF(OR(t&lt;Tnet,NoTnet),'2028'!Resal_s+('2028'!Salim-'2028'!Resal_s)*(1-EXP(('2028'!Tnet_s-t)/'2028'!Tau_j)),Resal_s+(Salim-Resal_s)*(1-EXP((Tnet_s-t)/Tau_j)))*Salcycl</f>
        <v>5.7660358650830114E-2</v>
      </c>
      <c r="AD69" s="227">
        <f>(INDEX(Models!$BJ69:$BT69,,AH69)*(1-AF69)+INDEX(Models!$BJ69:$BT69,,AH69+1)*AF69-ERP_i)*AE69*Ramure*Pc/MaxiM</f>
        <v>1.2047328267486201E-3</v>
      </c>
      <c r="AE69" s="301">
        <f t="shared" si="15"/>
        <v>0.5</v>
      </c>
      <c r="AF69" s="173">
        <f t="shared" si="23"/>
        <v>0.49946351718670545</v>
      </c>
      <c r="AG69" s="802">
        <f t="shared" si="24"/>
        <v>3</v>
      </c>
      <c r="AH69" s="172">
        <f t="shared" si="16"/>
        <v>9</v>
      </c>
      <c r="AI69" s="221">
        <f t="shared" si="17"/>
        <v>3.4994635171867055</v>
      </c>
      <c r="AJ69" s="261" t="b">
        <f t="shared" si="18"/>
        <v>1</v>
      </c>
      <c r="AK69" s="261" t="b">
        <f t="shared" si="19"/>
        <v>1</v>
      </c>
      <c r="AL69" s="261"/>
      <c r="AM69" s="261"/>
      <c r="AN69" s="75"/>
    </row>
    <row r="70" spans="1:40" s="6" customFormat="1" ht="11.25" x14ac:dyDescent="0.2">
      <c r="A70" s="56">
        <f t="shared" si="20"/>
        <v>47174</v>
      </c>
      <c r="B70" s="406">
        <f>'2028'!Wh/'2028'!Env_an*'2029'!Env_an</f>
        <v>24.660324526979029</v>
      </c>
      <c r="C70" s="832"/>
      <c r="D70" s="388">
        <f t="shared" si="0"/>
        <v>25.5720397961598</v>
      </c>
      <c r="E70" s="380">
        <f t="shared" si="1"/>
        <v>26.540935608852447</v>
      </c>
      <c r="F70" s="380">
        <f t="shared" si="2"/>
        <v>26.558338711844062</v>
      </c>
      <c r="G70" s="110">
        <f t="shared" si="21"/>
        <v>0.73389957318738908</v>
      </c>
      <c r="H70" s="409" t="b">
        <f>Wh_hp&gt;='2028'!Maxi_hp</f>
        <v>0</v>
      </c>
      <c r="I70" s="385">
        <f>IF(H70,Wh_hp,'2028'!Maxi_hp)</f>
        <v>26.56899815763115</v>
      </c>
      <c r="J70" s="85">
        <f>IF(H70,An,'2028'!An_max)</f>
        <v>2022</v>
      </c>
      <c r="K70" s="193">
        <f t="shared" si="3"/>
        <v>47174</v>
      </c>
      <c r="L70" s="143">
        <f>IF(t&lt;Tvie,1-EXP((T0-t)*PertePVj)+'2028'!Pspv,1-EXP((T0-t)*PertePVj)+Pspv)</f>
        <v>3.5652817547925375E-2</v>
      </c>
      <c r="M70" s="836"/>
      <c r="N70" s="836"/>
      <c r="O70" s="48">
        <f>IF(t&lt;Tnet,'2028'!Resal+('2028'!Salim-'2028'!Resal)*(1-EXP(('2028'!Tnet-t)/('2028'!Tau_j))),Resal+(Salim-Resal)*(1-EXP((Tnet-t)/(Tau_j))))*Salcycl</f>
        <v>3.6505714303812296E-2</v>
      </c>
      <c r="P70" s="165">
        <f>(INDEX(Models!$BJ70:$BT70,,T70)*(1-R70)+INDEX(Models!$BJ70:$BT70,,T70+1)*R70-ERP_i)*Q70*Ramure*Pc/MaxiM</f>
        <v>1.0564275522827653E-3</v>
      </c>
      <c r="Q70" s="301">
        <f t="shared" si="4"/>
        <v>0.5</v>
      </c>
      <c r="R70" s="173">
        <f t="shared" si="5"/>
        <v>0.49972612697884156</v>
      </c>
      <c r="S70" s="802">
        <f t="shared" si="6"/>
        <v>3</v>
      </c>
      <c r="T70" s="172">
        <f t="shared" si="7"/>
        <v>9</v>
      </c>
      <c r="U70" s="247">
        <f t="shared" si="8"/>
        <v>3.4997261269788416</v>
      </c>
      <c r="V70" s="378">
        <f t="shared" si="9"/>
        <v>33.588281653518905</v>
      </c>
      <c r="W70" s="397">
        <f t="shared" si="10"/>
        <v>24.660324526979029</v>
      </c>
      <c r="X70" s="153">
        <f t="shared" si="11"/>
        <v>47174</v>
      </c>
      <c r="Y70" s="380">
        <f t="shared" si="12"/>
        <v>24.118335385197604</v>
      </c>
      <c r="Z70" s="380">
        <f t="shared" si="22"/>
        <v>25.010012808738846</v>
      </c>
      <c r="AA70" s="381">
        <f t="shared" si="13"/>
        <v>26.540935608852447</v>
      </c>
      <c r="AB70" s="193">
        <f t="shared" si="14"/>
        <v>47174</v>
      </c>
      <c r="AC70" s="119">
        <f>IF(OR(t&lt;Tnet,NoTnet),'2028'!Resal_s+('2028'!Salim-'2028'!Resal_s)*(1-EXP(('2028'!Tnet_s-t)/'2028'!Tau_j)),Resal_s+(Salim-Resal_s)*(1-EXP((Tnet_s-t)/Tau_j)))*Salcycl</f>
        <v>5.7681568678497531E-2</v>
      </c>
      <c r="AD70" s="227">
        <f>(INDEX(Models!$BJ70:$BT70,,AH70)*(1-AF70)+INDEX(Models!$BJ70:$BT70,,AH70+1)*AF70-ERP_i)*AE70*Ramure*Pc/MaxiM</f>
        <v>1.0564275522827653E-3</v>
      </c>
      <c r="AE70" s="301">
        <f t="shared" si="15"/>
        <v>0.5</v>
      </c>
      <c r="AF70" s="173">
        <f t="shared" si="23"/>
        <v>0.49972612697884156</v>
      </c>
      <c r="AG70" s="802">
        <f t="shared" si="24"/>
        <v>3</v>
      </c>
      <c r="AH70" s="172">
        <f t="shared" si="16"/>
        <v>9</v>
      </c>
      <c r="AI70" s="221">
        <f t="shared" si="17"/>
        <v>3.4997261269788416</v>
      </c>
      <c r="AJ70" s="261" t="b">
        <f t="shared" si="18"/>
        <v>1</v>
      </c>
      <c r="AK70" s="261" t="b">
        <f t="shared" si="19"/>
        <v>1</v>
      </c>
      <c r="AL70" s="261"/>
      <c r="AM70" s="261"/>
      <c r="AN70" s="75"/>
    </row>
    <row r="71" spans="1:40" s="6" customFormat="1" ht="11.25" x14ac:dyDescent="0.2">
      <c r="A71" s="56">
        <f t="shared" si="20"/>
        <v>47175</v>
      </c>
      <c r="B71" s="406">
        <f>'2028'!Wh/'2028'!Env_an*'2029'!Env_an</f>
        <v>34.730674938489244</v>
      </c>
      <c r="C71" s="832"/>
      <c r="D71" s="388">
        <f t="shared" si="0"/>
        <v>36.01519350163921</v>
      </c>
      <c r="E71" s="380">
        <f t="shared" si="1"/>
        <v>37.381329020975727</v>
      </c>
      <c r="F71" s="380">
        <f t="shared" si="2"/>
        <v>37.41666676630485</v>
      </c>
      <c r="G71" s="110">
        <f t="shared" si="21"/>
        <v>1.0219405426181241</v>
      </c>
      <c r="H71" s="409" t="b">
        <f>Wh_hp&gt;='2028'!Maxi_hp</f>
        <v>1</v>
      </c>
      <c r="I71" s="385">
        <f>IF(H71,Wh_hp,'2028'!Maxi_hp)</f>
        <v>37.41666676630485</v>
      </c>
      <c r="J71" s="85">
        <f>IF(H71,An,'2028'!An_max)</f>
        <v>2029</v>
      </c>
      <c r="K71" s="193">
        <f t="shared" si="3"/>
        <v>47175</v>
      </c>
      <c r="L71" s="143">
        <f>IF(t&lt;Tvie,1-EXP((T0-t)*PertePVj)+'2028'!Pspv,1-EXP((T0-t)*PertePVj)+Pspv)</f>
        <v>3.566601865103125E-2</v>
      </c>
      <c r="M71" s="836"/>
      <c r="N71" s="836"/>
      <c r="O71" s="48">
        <f>IF(t&lt;Tnet,'2028'!Resal+('2028'!Salim-'2028'!Resal)*(1-EXP(('2028'!Tnet-t)/('2028'!Tau_j))),Resal+(Salim-Resal)*(1-EXP((Tnet-t)/(Tau_j))))*Salcycl</f>
        <v>3.6545932290688254E-2</v>
      </c>
      <c r="P71" s="165">
        <f>(INDEX(Models!$BJ71:$BT71,,T71)*(1-R71)+INDEX(Models!$BJ71:$BT71,,T71+1)*R71-ERP_i)*Q71*Ramure*Pc/MaxiM</f>
        <v>9.4443862543478353E-4</v>
      </c>
      <c r="Q71" s="301">
        <f t="shared" si="4"/>
        <v>0.5</v>
      </c>
      <c r="R71" s="173">
        <f t="shared" si="5"/>
        <v>0.49999945723440664</v>
      </c>
      <c r="S71" s="802">
        <f t="shared" si="6"/>
        <v>3</v>
      </c>
      <c r="T71" s="172">
        <f t="shared" si="7"/>
        <v>9</v>
      </c>
      <c r="U71" s="247">
        <f t="shared" si="8"/>
        <v>3.4999994572344066</v>
      </c>
      <c r="V71" s="378">
        <f t="shared" si="9"/>
        <v>33.985025048044612</v>
      </c>
      <c r="W71" s="397">
        <f t="shared" si="10"/>
        <v>34.730674938489244</v>
      </c>
      <c r="X71" s="153">
        <f t="shared" si="11"/>
        <v>47175</v>
      </c>
      <c r="Y71" s="380">
        <f t="shared" si="12"/>
        <v>33.968012453298464</v>
      </c>
      <c r="Z71" s="380">
        <f t="shared" si="22"/>
        <v>35.2243238445066</v>
      </c>
      <c r="AA71" s="381">
        <f t="shared" si="13"/>
        <v>37.381329020975727</v>
      </c>
      <c r="AB71" s="193">
        <f t="shared" si="14"/>
        <v>47175</v>
      </c>
      <c r="AC71" s="119">
        <f>IF(OR(t&lt;Tnet,NoTnet),'2028'!Resal_s+('2028'!Salim-'2028'!Resal_s)*(1-EXP(('2028'!Tnet_s-t)/'2028'!Tau_j)),Resal_s+(Salim-Resal_s)*(1-EXP((Tnet_s-t)/Tau_j)))*Salcycl</f>
        <v>5.7702741795476846E-2</v>
      </c>
      <c r="AD71" s="227">
        <f>(INDEX(Models!$BJ71:$BT71,,AH71)*(1-AF71)+INDEX(Models!$BJ71:$BT71,,AH71+1)*AF71-ERP_i)*AE71*Ramure*Pc/MaxiM</f>
        <v>9.4443862543478353E-4</v>
      </c>
      <c r="AE71" s="301">
        <f t="shared" si="15"/>
        <v>0.5</v>
      </c>
      <c r="AF71" s="173">
        <f t="shared" si="23"/>
        <v>0.49999945723440664</v>
      </c>
      <c r="AG71" s="802">
        <f t="shared" si="24"/>
        <v>3</v>
      </c>
      <c r="AH71" s="172">
        <f t="shared" si="16"/>
        <v>9</v>
      </c>
      <c r="AI71" s="221">
        <f t="shared" si="17"/>
        <v>3.4999994572344066</v>
      </c>
      <c r="AJ71" s="261" t="b">
        <f t="shared" si="18"/>
        <v>1</v>
      </c>
      <c r="AK71" s="261" t="b">
        <f t="shared" si="19"/>
        <v>1</v>
      </c>
      <c r="AL71" s="261"/>
      <c r="AM71" s="261"/>
      <c r="AN71" s="75"/>
    </row>
    <row r="72" spans="1:40" s="6" customFormat="1" ht="11.25" x14ac:dyDescent="0.2">
      <c r="A72" s="56">
        <f t="shared" si="20"/>
        <v>47176</v>
      </c>
      <c r="B72" s="406">
        <f>'2028'!Wh/'2028'!Env_an*'2029'!Env_an</f>
        <v>22.216323104765955</v>
      </c>
      <c r="C72" s="832"/>
      <c r="D72" s="388">
        <f t="shared" si="0"/>
        <v>23.038312100811922</v>
      </c>
      <c r="E72" s="380">
        <f t="shared" si="1"/>
        <v>23.913203048279438</v>
      </c>
      <c r="F72" s="380">
        <f t="shared" si="2"/>
        <v>23.923448637358483</v>
      </c>
      <c r="G72" s="110">
        <f t="shared" si="21"/>
        <v>0.64586810817681473</v>
      </c>
      <c r="H72" s="409" t="b">
        <f>Wh_hp&gt;='2028'!Maxi_hp</f>
        <v>0</v>
      </c>
      <c r="I72" s="385">
        <f>IF(H72,Wh_hp,'2028'!Maxi_hp)</f>
        <v>23.933924564086386</v>
      </c>
      <c r="J72" s="85">
        <f>IF(H72,An,'2028'!An_max)</f>
        <v>2022</v>
      </c>
      <c r="K72" s="193">
        <f t="shared" si="3"/>
        <v>47176</v>
      </c>
      <c r="L72" s="143">
        <f>IF(t&lt;Tvie,1-EXP((T0-t)*PertePVj)+'2028'!Pspv,1-EXP((T0-t)*PertePVj)+Pspv)</f>
        <v>3.5679219573425125E-2</v>
      </c>
      <c r="M72" s="836"/>
      <c r="N72" s="836"/>
      <c r="O72" s="48">
        <f>IF(t&lt;Tnet,'2028'!Resal+('2028'!Salim-'2028'!Resal)*(1-EXP(('2028'!Tnet-t)/('2028'!Tau_j))),Resal+(Salim-Resal)*(1-EXP((Tnet-t)/(Tau_j))))*Salcycl</f>
        <v>3.658610457583452E-2</v>
      </c>
      <c r="P72" s="165">
        <f>(INDEX(Models!$BJ72:$BT72,,T72)*(1-R72)+INDEX(Models!$BJ72:$BT72,,T72+1)*R72-ERP_i)*Q72*Ramure*Pc/MaxiM</f>
        <v>8.6605498027129231E-4</v>
      </c>
      <c r="Q72" s="301">
        <f t="shared" si="4"/>
        <v>0.5</v>
      </c>
      <c r="R72" s="173">
        <f t="shared" si="5"/>
        <v>0.50028393282921702</v>
      </c>
      <c r="S72" s="802">
        <f t="shared" si="6"/>
        <v>3</v>
      </c>
      <c r="T72" s="172">
        <f t="shared" si="7"/>
        <v>9</v>
      </c>
      <c r="U72" s="247">
        <f t="shared" si="8"/>
        <v>3.500283932829217</v>
      </c>
      <c r="V72" s="378">
        <f t="shared" si="9"/>
        <v>34.3825505319776</v>
      </c>
      <c r="W72" s="397">
        <f t="shared" si="10"/>
        <v>22.216323104765955</v>
      </c>
      <c r="X72" s="153">
        <f t="shared" si="11"/>
        <v>47176</v>
      </c>
      <c r="Y72" s="380">
        <f t="shared" si="12"/>
        <v>21.728886026440261</v>
      </c>
      <c r="Z72" s="380">
        <f t="shared" si="22"/>
        <v>22.532840178792288</v>
      </c>
      <c r="AA72" s="381">
        <f t="shared" si="13"/>
        <v>23.913203048279438</v>
      </c>
      <c r="AB72" s="193">
        <f t="shared" si="14"/>
        <v>47176</v>
      </c>
      <c r="AC72" s="119">
        <f>IF(OR(t&lt;Tnet,NoTnet),'2028'!Resal_s+('2028'!Salim-'2028'!Resal_s)*(1-EXP(('2028'!Tnet_s-t)/'2028'!Tau_j)),Resal_s+(Salim-Resal_s)*(1-EXP((Tnet_s-t)/Tau_j)))*Salcycl</f>
        <v>5.7723880263981162E-2</v>
      </c>
      <c r="AD72" s="227">
        <f>(INDEX(Models!$BJ72:$BT72,,AH72)*(1-AF72)+INDEX(Models!$BJ72:$BT72,,AH72+1)*AF72-ERP_i)*AE72*Ramure*Pc/MaxiM</f>
        <v>8.6605498027129231E-4</v>
      </c>
      <c r="AE72" s="301">
        <f t="shared" si="15"/>
        <v>0.5</v>
      </c>
      <c r="AF72" s="173">
        <f t="shared" si="23"/>
        <v>0.50028393282921702</v>
      </c>
      <c r="AG72" s="802">
        <f t="shared" si="24"/>
        <v>3</v>
      </c>
      <c r="AH72" s="172">
        <f t="shared" si="16"/>
        <v>9</v>
      </c>
      <c r="AI72" s="221">
        <f t="shared" si="17"/>
        <v>3.500283932829217</v>
      </c>
      <c r="AJ72" s="261" t="b">
        <f t="shared" si="18"/>
        <v>1</v>
      </c>
      <c r="AK72" s="261" t="b">
        <f t="shared" si="19"/>
        <v>1</v>
      </c>
      <c r="AL72" s="261"/>
      <c r="AM72" s="261"/>
      <c r="AN72" s="75"/>
    </row>
    <row r="73" spans="1:40" s="6" customFormat="1" ht="11.25" x14ac:dyDescent="0.2">
      <c r="A73" s="56">
        <f t="shared" si="20"/>
        <v>47177</v>
      </c>
      <c r="B73" s="406">
        <f>'2028'!Wh/'2028'!Env_an*'2029'!Env_an</f>
        <v>32.40121745478833</v>
      </c>
      <c r="C73" s="832"/>
      <c r="D73" s="388">
        <f t="shared" si="0"/>
        <v>33.600500646667292</v>
      </c>
      <c r="E73" s="380">
        <f t="shared" si="1"/>
        <v>34.877948525826078</v>
      </c>
      <c r="F73" s="380">
        <f t="shared" si="2"/>
        <v>34.90293026395728</v>
      </c>
      <c r="G73" s="110">
        <f t="shared" si="21"/>
        <v>0.93147914390921538</v>
      </c>
      <c r="H73" s="409" t="b">
        <f>Wh_hp&gt;='2028'!Maxi_hp</f>
        <v>0</v>
      </c>
      <c r="I73" s="385">
        <f>IF(H73,Wh_hp,'2028'!Maxi_hp)</f>
        <v>34.905638121982101</v>
      </c>
      <c r="J73" s="85">
        <f>IF(H73,An,'2028'!An_max)</f>
        <v>2022</v>
      </c>
      <c r="K73" s="193">
        <f t="shared" si="3"/>
        <v>47177</v>
      </c>
      <c r="L73" s="143">
        <f>IF(t&lt;Tvie,1-EXP((T0-t)*PertePVj)+'2028'!Pspv,1-EXP((T0-t)*PertePVj)+Pspv)</f>
        <v>3.5692420315109552E-2</v>
      </c>
      <c r="M73" s="836"/>
      <c r="N73" s="836"/>
      <c r="O73" s="48">
        <f>IF(t&lt;Tnet,'2028'!Resal+('2028'!Salim-'2028'!Resal)*(1-EXP(('2028'!Tnet-t)/('2028'!Tau_j))),Resal+(Salim-Resal)*(1-EXP((Tnet-t)/(Tau_j))))*Salcycl</f>
        <v>3.6626233283556534E-2</v>
      </c>
      <c r="P73" s="165">
        <f>(INDEX(Models!$BJ73:$BT73,,T73)*(1-R73)+INDEX(Models!$BJ73:$BT73,,T73+1)*R73-ERP_i)*Q73*Ramure*Pc/MaxiM</f>
        <v>7.9332302408907532E-4</v>
      </c>
      <c r="Q73" s="301">
        <f t="shared" si="4"/>
        <v>0.5</v>
      </c>
      <c r="R73" s="173">
        <f t="shared" si="5"/>
        <v>0.50057999440180456</v>
      </c>
      <c r="S73" s="802">
        <f t="shared" si="6"/>
        <v>3</v>
      </c>
      <c r="T73" s="172">
        <f t="shared" si="7"/>
        <v>9</v>
      </c>
      <c r="U73" s="247">
        <f t="shared" si="8"/>
        <v>3.5005799944018046</v>
      </c>
      <c r="V73" s="378">
        <f t="shared" si="9"/>
        <v>34.781994180056714</v>
      </c>
      <c r="W73" s="397">
        <f t="shared" si="10"/>
        <v>32.40121745478833</v>
      </c>
      <c r="X73" s="153">
        <f t="shared" si="11"/>
        <v>47177</v>
      </c>
      <c r="Y73" s="380">
        <f t="shared" si="12"/>
        <v>31.690928915381551</v>
      </c>
      <c r="Z73" s="380">
        <f t="shared" si="22"/>
        <v>32.863921826412778</v>
      </c>
      <c r="AA73" s="381">
        <f t="shared" si="13"/>
        <v>34.877948525826078</v>
      </c>
      <c r="AB73" s="193">
        <f t="shared" si="14"/>
        <v>47177</v>
      </c>
      <c r="AC73" s="119">
        <f>IF(OR(t&lt;Tnet,NoTnet),'2028'!Resal_s+('2028'!Salim-'2028'!Resal_s)*(1-EXP(('2028'!Tnet_s-t)/'2028'!Tau_j)),Resal_s+(Salim-Resal_s)*(1-EXP((Tnet_s-t)/Tau_j)))*Salcycl</f>
        <v>5.7744987435885742E-2</v>
      </c>
      <c r="AD73" s="227">
        <f>(INDEX(Models!$BJ73:$BT73,,AH73)*(1-AF73)+INDEX(Models!$BJ73:$BT73,,AH73+1)*AF73-ERP_i)*AE73*Ramure*Pc/MaxiM</f>
        <v>7.9332302408907532E-4</v>
      </c>
      <c r="AE73" s="301">
        <f t="shared" si="15"/>
        <v>0.5</v>
      </c>
      <c r="AF73" s="173">
        <f t="shared" si="23"/>
        <v>0.50057999440180456</v>
      </c>
      <c r="AG73" s="802">
        <f t="shared" si="24"/>
        <v>3</v>
      </c>
      <c r="AH73" s="172">
        <f t="shared" si="16"/>
        <v>9</v>
      </c>
      <c r="AI73" s="221">
        <f t="shared" si="17"/>
        <v>3.5005799944018046</v>
      </c>
      <c r="AJ73" s="261" t="b">
        <f t="shared" si="18"/>
        <v>1</v>
      </c>
      <c r="AK73" s="261" t="b">
        <f t="shared" si="19"/>
        <v>1</v>
      </c>
      <c r="AL73" s="261"/>
      <c r="AM73" s="261"/>
      <c r="AN73" s="75"/>
    </row>
    <row r="74" spans="1:40" s="6" customFormat="1" ht="11.25" x14ac:dyDescent="0.2">
      <c r="A74" s="56">
        <f t="shared" si="20"/>
        <v>47178</v>
      </c>
      <c r="B74" s="406">
        <f>'2028'!Wh/'2028'!Env_an*'2029'!Env_an</f>
        <v>34.189179506568173</v>
      </c>
      <c r="C74" s="832"/>
      <c r="D74" s="388">
        <f t="shared" si="0"/>
        <v>35.455126823024663</v>
      </c>
      <c r="E74" s="380">
        <f t="shared" si="1"/>
        <v>36.804616723439793</v>
      </c>
      <c r="F74" s="380">
        <f t="shared" si="2"/>
        <v>36.830278243213094</v>
      </c>
      <c r="G74" s="110">
        <f t="shared" si="21"/>
        <v>0.97170889439357355</v>
      </c>
      <c r="H74" s="409" t="b">
        <f>Wh_hp&gt;='2028'!Maxi_hp</f>
        <v>0</v>
      </c>
      <c r="I74" s="385">
        <f>IF(H74,Wh_hp,'2028'!Maxi_hp)</f>
        <v>36.831357903305943</v>
      </c>
      <c r="J74" s="85">
        <f>IF(H74,An,'2028'!An_max)</f>
        <v>2022</v>
      </c>
      <c r="K74" s="193">
        <f t="shared" si="3"/>
        <v>47178</v>
      </c>
      <c r="L74" s="143">
        <f>IF(t&lt;Tvie,1-EXP((T0-t)*PertePVj)+'2028'!Pspv,1-EXP((T0-t)*PertePVj)+Pspv)</f>
        <v>3.5705620876086752E-2</v>
      </c>
      <c r="M74" s="836"/>
      <c r="N74" s="836"/>
      <c r="O74" s="48">
        <f>IF(t&lt;Tnet,'2028'!Resal+('2028'!Salim-'2028'!Resal)*(1-EXP(('2028'!Tnet-t)/('2028'!Tau_j))),Resal+(Salim-Resal)*(1-EXP((Tnet-t)/(Tau_j))))*Salcycl</f>
        <v>3.6666321254085407E-2</v>
      </c>
      <c r="P74" s="165">
        <f>(INDEX(Models!$BJ74:$BT74,,T74)*(1-R74)+INDEX(Models!$BJ74:$BT74,,T74+1)*R74-ERP_i)*Q74*Ramure*Pc/MaxiM</f>
        <v>7.2606563866297442E-4</v>
      </c>
      <c r="Q74" s="301">
        <f t="shared" si="4"/>
        <v>0.5</v>
      </c>
      <c r="R74" s="173">
        <f t="shared" si="5"/>
        <v>0.50088809884686336</v>
      </c>
      <c r="S74" s="802">
        <f t="shared" si="6"/>
        <v>3</v>
      </c>
      <c r="T74" s="172">
        <f t="shared" si="7"/>
        <v>9</v>
      </c>
      <c r="U74" s="247">
        <f t="shared" si="8"/>
        <v>3.5008880988468634</v>
      </c>
      <c r="V74" s="378">
        <f t="shared" si="9"/>
        <v>35.183558315776537</v>
      </c>
      <c r="W74" s="397">
        <f t="shared" si="10"/>
        <v>34.189179506568173</v>
      </c>
      <c r="X74" s="153">
        <f t="shared" si="11"/>
        <v>47178</v>
      </c>
      <c r="Y74" s="380">
        <f t="shared" si="12"/>
        <v>33.440339268265198</v>
      </c>
      <c r="Z74" s="380">
        <f t="shared" si="22"/>
        <v>34.678558739133813</v>
      </c>
      <c r="AA74" s="381">
        <f t="shared" si="13"/>
        <v>36.804616723439793</v>
      </c>
      <c r="AB74" s="193">
        <f t="shared" si="14"/>
        <v>47178</v>
      </c>
      <c r="AC74" s="119">
        <f>IF(OR(t&lt;Tnet,NoTnet),'2028'!Resal_s+('2028'!Salim-'2028'!Resal_s)*(1-EXP(('2028'!Tnet_s-t)/'2028'!Tau_j)),Resal_s+(Salim-Resal_s)*(1-EXP((Tnet_s-t)/Tau_j)))*Salcycl</f>
        <v>5.7766067781163791E-2</v>
      </c>
      <c r="AD74" s="227">
        <f>(INDEX(Models!$BJ74:$BT74,,AH74)*(1-AF74)+INDEX(Models!$BJ74:$BT74,,AH74+1)*AF74-ERP_i)*AE74*Ramure*Pc/MaxiM</f>
        <v>7.2606563866297442E-4</v>
      </c>
      <c r="AE74" s="301">
        <f t="shared" si="15"/>
        <v>0.5</v>
      </c>
      <c r="AF74" s="173">
        <f t="shared" si="23"/>
        <v>0.50088809884686336</v>
      </c>
      <c r="AG74" s="802">
        <f t="shared" si="24"/>
        <v>3</v>
      </c>
      <c r="AH74" s="172">
        <f t="shared" si="16"/>
        <v>9</v>
      </c>
      <c r="AI74" s="221">
        <f t="shared" si="17"/>
        <v>3.5008880988468634</v>
      </c>
      <c r="AJ74" s="261" t="b">
        <f t="shared" si="18"/>
        <v>1</v>
      </c>
      <c r="AK74" s="261" t="b">
        <f t="shared" si="19"/>
        <v>1</v>
      </c>
      <c r="AL74" s="261"/>
      <c r="AM74" s="261"/>
      <c r="AN74" s="75"/>
    </row>
    <row r="75" spans="1:40" s="6" customFormat="1" ht="11.25" x14ac:dyDescent="0.2">
      <c r="A75" s="56">
        <f t="shared" si="20"/>
        <v>47179</v>
      </c>
      <c r="B75" s="406">
        <f>'2028'!Wh/'2028'!Env_an*'2029'!Env_an</f>
        <v>15.799150969168585</v>
      </c>
      <c r="C75" s="832"/>
      <c r="D75" s="388">
        <f t="shared" si="0"/>
        <v>16.384381773118562</v>
      </c>
      <c r="E75" s="380">
        <f t="shared" si="1"/>
        <v>17.008709803409243</v>
      </c>
      <c r="F75" s="380">
        <f t="shared" si="2"/>
        <v>17.011033050829525</v>
      </c>
      <c r="G75" s="110">
        <f t="shared" si="21"/>
        <v>0.44371870646229455</v>
      </c>
      <c r="H75" s="409" t="b">
        <f>Wh_hp&gt;='2028'!Maxi_hp</f>
        <v>0</v>
      </c>
      <c r="I75" s="385">
        <f>IF(H75,Wh_hp,'2028'!Maxi_hp)</f>
        <v>17.020005743772145</v>
      </c>
      <c r="J75" s="85">
        <f>IF(H75,An,'2028'!An_max)</f>
        <v>2022</v>
      </c>
      <c r="K75" s="193">
        <f t="shared" si="3"/>
        <v>47179</v>
      </c>
      <c r="L75" s="143">
        <f>IF(t&lt;Tvie,1-EXP((T0-t)*PertePVj)+'2028'!Pspv,1-EXP((T0-t)*PertePVj)+Pspv)</f>
        <v>3.5718821256359501E-2</v>
      </c>
      <c r="M75" s="836"/>
      <c r="N75" s="836"/>
      <c r="O75" s="48">
        <f>IF(t&lt;Tnet,'2028'!Resal+('2028'!Salim-'2028'!Resal)*(1-EXP(('2028'!Tnet-t)/('2028'!Tau_j))),Resal+(Salim-Resal)*(1-EXP((Tnet-t)/(Tau_j))))*Salcycl</f>
        <v>3.6706372059186906E-2</v>
      </c>
      <c r="P75" s="165">
        <f>(INDEX(Models!$BJ75:$BT75,,T75)*(1-R75)+INDEX(Models!$BJ75:$BT75,,T75+1)*R75-ERP_i)*Q75*Ramure*Pc/MaxiM</f>
        <v>6.6411344306307985E-4</v>
      </c>
      <c r="Q75" s="301">
        <f t="shared" si="4"/>
        <v>0.5</v>
      </c>
      <c r="R75" s="173">
        <f t="shared" si="5"/>
        <v>0.50120871981612503</v>
      </c>
      <c r="S75" s="802">
        <f t="shared" si="6"/>
        <v>3</v>
      </c>
      <c r="T75" s="172">
        <f t="shared" si="7"/>
        <v>9</v>
      </c>
      <c r="U75" s="247">
        <f t="shared" si="8"/>
        <v>3.501208719816125</v>
      </c>
      <c r="V75" s="378">
        <f t="shared" si="9"/>
        <v>35.587445174774729</v>
      </c>
      <c r="W75" s="397">
        <f t="shared" si="10"/>
        <v>15.799150969168585</v>
      </c>
      <c r="X75" s="153">
        <f t="shared" si="11"/>
        <v>47179</v>
      </c>
      <c r="Y75" s="380">
        <f t="shared" si="12"/>
        <v>15.453401740951152</v>
      </c>
      <c r="Z75" s="380">
        <f t="shared" si="22"/>
        <v>16.025825331450886</v>
      </c>
      <c r="AA75" s="381">
        <f t="shared" si="13"/>
        <v>17.008709803409243</v>
      </c>
      <c r="AB75" s="193">
        <f t="shared" si="14"/>
        <v>47179</v>
      </c>
      <c r="AC75" s="119">
        <f>IF(OR(t&lt;Tnet,NoTnet),'2028'!Resal_s+('2028'!Salim-'2028'!Resal_s)*(1-EXP(('2028'!Tnet_s-t)/'2028'!Tau_j)),Resal_s+(Salim-Resal_s)*(1-EXP((Tnet_s-t)/Tau_j)))*Salcycl</f>
        <v>5.7787126908435384E-2</v>
      </c>
      <c r="AD75" s="227">
        <f>(INDEX(Models!$BJ75:$BT75,,AH75)*(1-AF75)+INDEX(Models!$BJ75:$BT75,,AH75+1)*AF75-ERP_i)*AE75*Ramure*Pc/MaxiM</f>
        <v>6.6411344306307985E-4</v>
      </c>
      <c r="AE75" s="301">
        <f t="shared" si="15"/>
        <v>0.5</v>
      </c>
      <c r="AF75" s="173">
        <f t="shared" si="23"/>
        <v>0.50120871981612503</v>
      </c>
      <c r="AG75" s="802">
        <f t="shared" si="24"/>
        <v>3</v>
      </c>
      <c r="AH75" s="172">
        <f t="shared" si="16"/>
        <v>9</v>
      </c>
      <c r="AI75" s="221">
        <f t="shared" si="17"/>
        <v>3.501208719816125</v>
      </c>
      <c r="AJ75" s="261" t="b">
        <f t="shared" si="18"/>
        <v>1</v>
      </c>
      <c r="AK75" s="261" t="b">
        <f t="shared" si="19"/>
        <v>1</v>
      </c>
      <c r="AL75" s="261"/>
      <c r="AM75" s="261"/>
      <c r="AN75" s="75"/>
    </row>
    <row r="76" spans="1:40" s="6" customFormat="1" ht="11.25" x14ac:dyDescent="0.2">
      <c r="A76" s="56">
        <f t="shared" si="20"/>
        <v>47180</v>
      </c>
      <c r="B76" s="406">
        <f>'2028'!Wh/'2028'!Env_an*'2029'!Env_an</f>
        <v>27.255270089132775</v>
      </c>
      <c r="C76" s="832"/>
      <c r="D76" s="388">
        <f t="shared" si="0"/>
        <v>28.265244408805312</v>
      </c>
      <c r="E76" s="380">
        <f t="shared" si="1"/>
        <v>29.343512565896372</v>
      </c>
      <c r="F76" s="380">
        <f t="shared" si="2"/>
        <v>29.35515698661694</v>
      </c>
      <c r="G76" s="110">
        <f t="shared" si="21"/>
        <v>0.75706049216217797</v>
      </c>
      <c r="H76" s="409" t="b">
        <f>Wh_hp&gt;='2028'!Maxi_hp</f>
        <v>0</v>
      </c>
      <c r="I76" s="385">
        <f>IF(H76,Wh_hp,'2028'!Maxi_hp)</f>
        <v>29.361338384403382</v>
      </c>
      <c r="J76" s="85">
        <f>IF(H76,An,'2028'!An_max)</f>
        <v>2022</v>
      </c>
      <c r="K76" s="193">
        <f t="shared" si="3"/>
        <v>47180</v>
      </c>
      <c r="L76" s="143">
        <f>IF(t&lt;Tvie,1-EXP((T0-t)*PertePVj)+'2028'!Pspv,1-EXP((T0-t)*PertePVj)+Pspv)</f>
        <v>3.5732021455930019E-2</v>
      </c>
      <c r="M76" s="836"/>
      <c r="N76" s="836"/>
      <c r="O76" s="48">
        <f>IF(t&lt;Tnet,'2028'!Resal+('2028'!Salim-'2028'!Resal)*(1-EXP(('2028'!Tnet-t)/('2028'!Tau_j))),Resal+(Salim-Resal)*(1-EXP((Tnet-t)/(Tau_j))))*Salcycl</f>
        <v>3.6746390012770462E-2</v>
      </c>
      <c r="P76" s="165">
        <f>(INDEX(Models!$BJ76:$BT76,,T76)*(1-R76)+INDEX(Models!$BJ76:$BT76,,T76+1)*R76-ERP_i)*Q76*Ramure*Pc/MaxiM</f>
        <v>6.0730415896305466E-4</v>
      </c>
      <c r="Q76" s="301">
        <f t="shared" si="4"/>
        <v>0.5</v>
      </c>
      <c r="R76" s="173">
        <f t="shared" si="5"/>
        <v>0.50154234822598287</v>
      </c>
      <c r="S76" s="802">
        <f t="shared" si="6"/>
        <v>3</v>
      </c>
      <c r="T76" s="172">
        <f t="shared" si="7"/>
        <v>9</v>
      </c>
      <c r="U76" s="247">
        <f t="shared" si="8"/>
        <v>3.5015423482259829</v>
      </c>
      <c r="V76" s="378">
        <f t="shared" si="9"/>
        <v>35.993856904325433</v>
      </c>
      <c r="W76" s="397">
        <f t="shared" si="10"/>
        <v>27.255270089132775</v>
      </c>
      <c r="X76" s="153">
        <f t="shared" si="11"/>
        <v>47180</v>
      </c>
      <c r="Y76" s="380">
        <f t="shared" si="12"/>
        <v>26.65932677871546</v>
      </c>
      <c r="Z76" s="380">
        <f t="shared" si="22"/>
        <v>27.647217756798142</v>
      </c>
      <c r="AA76" s="381">
        <f t="shared" si="13"/>
        <v>29.343512565896372</v>
      </c>
      <c r="AB76" s="193">
        <f t="shared" si="14"/>
        <v>47180</v>
      </c>
      <c r="AC76" s="119">
        <f>IF(OR(t&lt;Tnet,NoTnet),'2028'!Resal_s+('2028'!Salim-'2028'!Resal_s)*(1-EXP(('2028'!Tnet_s-t)/'2028'!Tau_j)),Resal_s+(Salim-Resal_s)*(1-EXP((Tnet_s-t)/Tau_j)))*Salcycl</f>
        <v>5.780817157758069E-2</v>
      </c>
      <c r="AD76" s="227">
        <f>(INDEX(Models!$BJ76:$BT76,,AH76)*(1-AF76)+INDEX(Models!$BJ76:$BT76,,AH76+1)*AF76-ERP_i)*AE76*Ramure*Pc/MaxiM</f>
        <v>6.0730415896305466E-4</v>
      </c>
      <c r="AE76" s="301">
        <f t="shared" si="15"/>
        <v>0.5</v>
      </c>
      <c r="AF76" s="173">
        <f t="shared" si="23"/>
        <v>0.50154234822598287</v>
      </c>
      <c r="AG76" s="802">
        <f t="shared" si="24"/>
        <v>3</v>
      </c>
      <c r="AH76" s="172">
        <f t="shared" si="16"/>
        <v>9</v>
      </c>
      <c r="AI76" s="221">
        <f t="shared" si="17"/>
        <v>3.5015423482259829</v>
      </c>
      <c r="AJ76" s="261" t="b">
        <f t="shared" si="18"/>
        <v>1</v>
      </c>
      <c r="AK76" s="261" t="b">
        <f t="shared" si="19"/>
        <v>1</v>
      </c>
      <c r="AL76" s="261"/>
      <c r="AM76" s="261"/>
      <c r="AN76" s="75"/>
    </row>
    <row r="77" spans="1:40" s="6" customFormat="1" ht="11.25" x14ac:dyDescent="0.2">
      <c r="A77" s="56">
        <f t="shared" si="20"/>
        <v>47181</v>
      </c>
      <c r="B77" s="406">
        <f>'2028'!Wh/'2028'!Env_an*'2029'!Env_an</f>
        <v>5.3683394122949242</v>
      </c>
      <c r="C77" s="832"/>
      <c r="D77" s="388">
        <f t="shared" si="0"/>
        <v>5.5673454068909569</v>
      </c>
      <c r="E77" s="380">
        <f t="shared" si="1"/>
        <v>5.7799695647068194</v>
      </c>
      <c r="F77" s="380">
        <f t="shared" si="2"/>
        <v>5.7799695647068194</v>
      </c>
      <c r="G77" s="110">
        <f t="shared" si="21"/>
        <v>0.1473877990776524</v>
      </c>
      <c r="H77" s="409" t="b">
        <f>Wh_hp&gt;='2028'!Maxi_hp</f>
        <v>0</v>
      </c>
      <c r="I77" s="385">
        <f>IF(H77,Wh_hp,'2028'!Maxi_hp)</f>
        <v>5.7831789540560674</v>
      </c>
      <c r="J77" s="85">
        <f>IF(H77,An,'2028'!An_max)</f>
        <v>2022</v>
      </c>
      <c r="K77" s="193">
        <f t="shared" si="3"/>
        <v>47181</v>
      </c>
      <c r="L77" s="143">
        <f>IF(t&lt;Tvie,1-EXP((T0-t)*PertePVj)+'2028'!Pspv,1-EXP((T0-t)*PertePVj)+Pspv)</f>
        <v>3.5745221474800859E-2</v>
      </c>
      <c r="M77" s="836"/>
      <c r="N77" s="836"/>
      <c r="O77" s="48">
        <f>IF(t&lt;Tnet,'2028'!Resal+('2028'!Salim-'2028'!Resal)*(1-EXP(('2028'!Tnet-t)/('2028'!Tau_j))),Resal+(Salim-Resal)*(1-EXP((Tnet-t)/(Tau_j))))*Salcycl</f>
        <v>3.6786380176492744E-2</v>
      </c>
      <c r="P77" s="165">
        <f>(INDEX(Models!$BJ77:$BT77,,T77)*(1-R77)+INDEX(Models!$BJ77:$BT77,,T77+1)*R77-ERP_i)*Q77*Ramure*Pc/MaxiM</f>
        <v>5.5548204361395169E-4</v>
      </c>
      <c r="Q77" s="301">
        <f t="shared" si="4"/>
        <v>0.5</v>
      </c>
      <c r="R77" s="173">
        <f t="shared" si="5"/>
        <v>0.50188949277108108</v>
      </c>
      <c r="S77" s="802">
        <f t="shared" si="6"/>
        <v>3</v>
      </c>
      <c r="T77" s="172">
        <f t="shared" si="7"/>
        <v>9</v>
      </c>
      <c r="U77" s="247">
        <f t="shared" si="8"/>
        <v>3.5018894927710811</v>
      </c>
      <c r="V77" s="378">
        <f t="shared" si="9"/>
        <v>36.402995564921824</v>
      </c>
      <c r="W77" s="397">
        <f t="shared" si="10"/>
        <v>5.3683394122949242</v>
      </c>
      <c r="X77" s="153">
        <f t="shared" si="11"/>
        <v>47181</v>
      </c>
      <c r="Y77" s="380">
        <f t="shared" si="12"/>
        <v>5.2510600790543576</v>
      </c>
      <c r="Z77" s="380">
        <f t="shared" si="22"/>
        <v>5.4457184926640529</v>
      </c>
      <c r="AA77" s="381">
        <f t="shared" si="13"/>
        <v>5.7799695647068194</v>
      </c>
      <c r="AB77" s="193">
        <f t="shared" si="14"/>
        <v>47181</v>
      </c>
      <c r="AC77" s="119">
        <f>IF(OR(t&lt;Tnet,NoTnet),'2028'!Resal_s+('2028'!Salim-'2028'!Resal_s)*(1-EXP(('2028'!Tnet_s-t)/'2028'!Tau_j)),Resal_s+(Salim-Resal_s)*(1-EXP((Tnet_s-t)/Tau_j)))*Salcycl</f>
        <v>5.7829209704449464E-2</v>
      </c>
      <c r="AD77" s="227">
        <f>(INDEX(Models!$BJ77:$BT77,,AH77)*(1-AF77)+INDEX(Models!$BJ77:$BT77,,AH77+1)*AF77-ERP_i)*AE77*Ramure*Pc/MaxiM</f>
        <v>5.5548204361395169E-4</v>
      </c>
      <c r="AE77" s="301">
        <f t="shared" si="15"/>
        <v>0.5</v>
      </c>
      <c r="AF77" s="173">
        <f t="shared" si="23"/>
        <v>0.50188949277108108</v>
      </c>
      <c r="AG77" s="802">
        <f t="shared" si="24"/>
        <v>3</v>
      </c>
      <c r="AH77" s="172">
        <f t="shared" si="16"/>
        <v>9</v>
      </c>
      <c r="AI77" s="221">
        <f t="shared" si="17"/>
        <v>3.5018894927710811</v>
      </c>
      <c r="AJ77" s="261" t="b">
        <f t="shared" si="18"/>
        <v>1</v>
      </c>
      <c r="AK77" s="261" t="b">
        <f t="shared" si="19"/>
        <v>1</v>
      </c>
      <c r="AL77" s="261"/>
      <c r="AM77" s="261"/>
      <c r="AN77" s="75"/>
    </row>
    <row r="78" spans="1:40" s="6" customFormat="1" ht="11.25" x14ac:dyDescent="0.2">
      <c r="A78" s="56">
        <f t="shared" si="20"/>
        <v>47182</v>
      </c>
      <c r="B78" s="406">
        <f>'2028'!Wh/'2028'!Env_an*'2029'!Env_an</f>
        <v>13.922742586021128</v>
      </c>
      <c r="C78" s="832"/>
      <c r="D78" s="388">
        <f t="shared" si="0"/>
        <v>14.43906059825718</v>
      </c>
      <c r="E78" s="380">
        <f t="shared" si="1"/>
        <v>14.991129142369831</v>
      </c>
      <c r="F78" s="380">
        <f t="shared" si="2"/>
        <v>14.991980571850064</v>
      </c>
      <c r="G78" s="110">
        <f t="shared" si="21"/>
        <v>0.37800976220163635</v>
      </c>
      <c r="H78" s="409" t="b">
        <f>Wh_hp&gt;='2028'!Maxi_hp</f>
        <v>0</v>
      </c>
      <c r="I78" s="385">
        <f>IF(H78,Wh_hp,'2028'!Maxi_hp)</f>
        <v>14.998749007725031</v>
      </c>
      <c r="J78" s="85">
        <f>IF(H78,An,'2028'!An_max)</f>
        <v>2022</v>
      </c>
      <c r="K78" s="193">
        <f t="shared" si="3"/>
        <v>47182</v>
      </c>
      <c r="L78" s="143">
        <f>IF(t&lt;Tvie,1-EXP((T0-t)*PertePVj)+'2028'!Pspv,1-EXP((T0-t)*PertePVj)+Pspv)</f>
        <v>3.5758421312974686E-2</v>
      </c>
      <c r="M78" s="836"/>
      <c r="N78" s="836"/>
      <c r="O78" s="48">
        <f>IF(t&lt;Tnet,'2028'!Resal+('2028'!Salim-'2028'!Resal)*(1-EXP(('2028'!Tnet-t)/('2028'!Tau_j))),Resal+(Salim-Resal)*(1-EXP((Tnet-t)/(Tau_j))))*Salcycl</f>
        <v>3.6826348360399622E-2</v>
      </c>
      <c r="P78" s="165">
        <f>(INDEX(Models!$BJ78:$BT78,,T78)*(1-R78)+INDEX(Models!$BJ78:$BT78,,T78+1)*R78-ERP_i)*Q78*Ramure*Pc/MaxiM</f>
        <v>5.0849738585745038E-4</v>
      </c>
      <c r="Q78" s="301">
        <f t="shared" si="4"/>
        <v>0.5</v>
      </c>
      <c r="R78" s="173">
        <f t="shared" si="5"/>
        <v>0.50225068044297672</v>
      </c>
      <c r="S78" s="802">
        <f t="shared" si="6"/>
        <v>3</v>
      </c>
      <c r="T78" s="172">
        <f t="shared" si="7"/>
        <v>9</v>
      </c>
      <c r="U78" s="247">
        <f t="shared" si="8"/>
        <v>3.5022506804429767</v>
      </c>
      <c r="V78" s="378">
        <f t="shared" si="9"/>
        <v>36.815063120430395</v>
      </c>
      <c r="W78" s="397">
        <f t="shared" si="10"/>
        <v>13.922742586021128</v>
      </c>
      <c r="X78" s="153">
        <f t="shared" si="11"/>
        <v>47182</v>
      </c>
      <c r="Y78" s="380">
        <f t="shared" si="12"/>
        <v>13.61884061033385</v>
      </c>
      <c r="Z78" s="380">
        <f t="shared" si="22"/>
        <v>14.123888568337986</v>
      </c>
      <c r="AA78" s="381">
        <f t="shared" si="13"/>
        <v>14.991129142369831</v>
      </c>
      <c r="AB78" s="193">
        <f t="shared" si="14"/>
        <v>47182</v>
      </c>
      <c r="AC78" s="119">
        <f>IF(OR(t&lt;Tnet,NoTnet),'2028'!Resal_s+('2028'!Salim-'2028'!Resal_s)*(1-EXP(('2028'!Tnet_s-t)/'2028'!Tau_j)),Resal_s+(Salim-Resal_s)*(1-EXP((Tnet_s-t)/Tau_j)))*Salcycl</f>
        <v>5.7850250357775926E-2</v>
      </c>
      <c r="AD78" s="227">
        <f>(INDEX(Models!$BJ78:$BT78,,AH78)*(1-AF78)+INDEX(Models!$BJ78:$BT78,,AH78+1)*AF78-ERP_i)*AE78*Ramure*Pc/MaxiM</f>
        <v>5.0849738585745038E-4</v>
      </c>
      <c r="AE78" s="301">
        <f t="shared" si="15"/>
        <v>0.5</v>
      </c>
      <c r="AF78" s="173">
        <f t="shared" si="23"/>
        <v>0.50225068044297672</v>
      </c>
      <c r="AG78" s="802">
        <f t="shared" si="24"/>
        <v>3</v>
      </c>
      <c r="AH78" s="172">
        <f t="shared" si="16"/>
        <v>9</v>
      </c>
      <c r="AI78" s="221">
        <f t="shared" si="17"/>
        <v>3.5022506804429767</v>
      </c>
      <c r="AJ78" s="261" t="b">
        <f t="shared" si="18"/>
        <v>1</v>
      </c>
      <c r="AK78" s="261" t="b">
        <f t="shared" si="19"/>
        <v>1</v>
      </c>
      <c r="AL78" s="261"/>
      <c r="AM78" s="261"/>
      <c r="AN78" s="75"/>
    </row>
    <row r="79" spans="1:40" s="6" customFormat="1" ht="11.25" x14ac:dyDescent="0.2">
      <c r="A79" s="56">
        <f t="shared" si="20"/>
        <v>47183</v>
      </c>
      <c r="B79" s="406">
        <f>'2028'!Wh/'2028'!Env_an*'2029'!Env_an</f>
        <v>21.315321889102176</v>
      </c>
      <c r="C79" s="832"/>
      <c r="D79" s="388">
        <f t="shared" ref="D79:D142" si="25">Wh/(1-Ppv)</f>
        <v>22.106092656757433</v>
      </c>
      <c r="E79" s="380">
        <f t="shared" si="1"/>
        <v>22.952257492842463</v>
      </c>
      <c r="F79" s="380">
        <f t="shared" ref="F79:F142" si="26">Wh_sa/(1-Pvg*MEDIAN((-Sdif+Wh/Env_an)/Csdif,0,1))</f>
        <v>22.956423997833838</v>
      </c>
      <c r="G79" s="110">
        <f t="shared" si="21"/>
        <v>0.57235465958966247</v>
      </c>
      <c r="H79" s="409" t="b">
        <f>Wh_hp&gt;='2028'!Maxi_hp</f>
        <v>0</v>
      </c>
      <c r="I79" s="385">
        <f>IF(H79,Wh_hp,'2028'!Maxi_hp)</f>
        <v>22.962955608308192</v>
      </c>
      <c r="J79" s="85">
        <f>IF(H79,An,'2028'!An_max)</f>
        <v>2022</v>
      </c>
      <c r="K79" s="193">
        <f t="shared" ref="K79:K142" si="27">t</f>
        <v>47183</v>
      </c>
      <c r="L79" s="143">
        <f>IF(t&lt;Tvie,1-EXP((T0-t)*PertePVj)+'2028'!Pspv,1-EXP((T0-t)*PertePVj)+Pspv)</f>
        <v>3.5771620970453721E-2</v>
      </c>
      <c r="M79" s="836"/>
      <c r="N79" s="836"/>
      <c r="O79" s="48">
        <f>IF(t&lt;Tnet,'2028'!Resal+('2028'!Salim-'2028'!Resal)*(1-EXP(('2028'!Tnet-t)/('2028'!Tau_j))),Resal+(Salim-Resal)*(1-EXP((Tnet-t)/(Tau_j))))*Salcycl</f>
        <v>3.6866301118698395E-2</v>
      </c>
      <c r="P79" s="165">
        <f>(INDEX(Models!$BJ79:$BT79,,T79)*(1-R79)+INDEX(Models!$BJ79:$BT79,,T79+1)*R79-ERP_i)*Q79*Ramure*Pc/MaxiM</f>
        <v>4.661986546213205E-4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0.5026264570528749</v>
      </c>
      <c r="S79" s="802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3.5026264570528749</v>
      </c>
      <c r="V79" s="378">
        <f t="shared" ref="V79:V142" si="33">MaxiM*(1-Ppv)*(1-Pvg)*(1-Psa)</f>
        <v>37.230853120828449</v>
      </c>
      <c r="W79" s="397">
        <f t="shared" ref="W79:W142" si="34">Wh*(A79&gt;Tmaj)</f>
        <v>21.315321889102176</v>
      </c>
      <c r="X79" s="153">
        <f t="shared" ref="X79:X142" si="35">t</f>
        <v>47183</v>
      </c>
      <c r="Y79" s="380">
        <f t="shared" ref="Y79:Y142" si="36">Wh_pvt_s*(1-Ppv)</f>
        <v>20.850455596026425</v>
      </c>
      <c r="Z79" s="380">
        <f t="shared" ref="Z79:Z142" si="37">Wh_sa_s*(1-Psa_s)</f>
        <v>21.623980427760795</v>
      </c>
      <c r="AA79" s="381">
        <f t="shared" ref="AA79:AA142" si="38">Wh_hp*(1-Pvg_s*MEDIAN((-Sdif+Wh/Env_an)/Csdif,0,1))</f>
        <v>22.952257492842463</v>
      </c>
      <c r="AB79" s="193">
        <f t="shared" ref="AB79:AB142" si="39">t</f>
        <v>47183</v>
      </c>
      <c r="AC79" s="119">
        <f>IF(OR(t&lt;Tnet,NoTnet),'2028'!Resal_s+('2028'!Salim-'2028'!Resal_s)*(1-EXP(('2028'!Tnet_s-t)/'2028'!Tau_j)),Resal_s+(Salim-Resal_s)*(1-EXP((Tnet_s-t)/Tau_j)))*Salcycl</f>
        <v>5.7871303748482344E-2</v>
      </c>
      <c r="AD79" s="227">
        <f>(INDEX(Models!$BJ79:$BT79,,AH79)*(1-AF79)+INDEX(Models!$BJ79:$BT79,,AH79+1)*AF79-ERP_i)*AE79*Ramure*Pc/MaxiM</f>
        <v>4.661986546213205E-4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0.5026264570528749</v>
      </c>
      <c r="AG79" s="802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3.5026264570528749</v>
      </c>
      <c r="AJ79" s="261" t="b">
        <f t="shared" ref="AJ79:AJ142" si="44">t&lt;Tnet</f>
        <v>1</v>
      </c>
      <c r="AK79" s="261" t="b">
        <f t="shared" ref="AK79:AK142" si="45">t&lt;Ttai</f>
        <v>1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47184</v>
      </c>
      <c r="B80" s="406">
        <f>'2028'!Wh/'2028'!Env_an*'2029'!Env_an</f>
        <v>34.550111886081787</v>
      </c>
      <c r="C80" s="832"/>
      <c r="D80" s="388">
        <f t="shared" si="25"/>
        <v>35.832366694442079</v>
      </c>
      <c r="E80" s="380">
        <f t="shared" ref="E80:E143" si="47">Wh_pvt/(1-Psa)</f>
        <v>37.205481331361959</v>
      </c>
      <c r="F80" s="380">
        <f t="shared" si="26"/>
        <v>37.219600619497072</v>
      </c>
      <c r="G80" s="110">
        <f t="shared" ref="G80:G143" si="48">+Wh_hp/MaxiM</f>
        <v>0.91760387421588918</v>
      </c>
      <c r="H80" s="409" t="b">
        <f>Wh_hp&gt;='2028'!Maxi_hp</f>
        <v>0</v>
      </c>
      <c r="I80" s="385">
        <f>IF(H80,Wh_hp,'2028'!Maxi_hp)</f>
        <v>37.221481723491209</v>
      </c>
      <c r="J80" s="85">
        <f>IF(H80,An,'2028'!An_max)</f>
        <v>2022</v>
      </c>
      <c r="K80" s="193">
        <f t="shared" si="27"/>
        <v>47184</v>
      </c>
      <c r="L80" s="143">
        <f>IF(t&lt;Tvie,1-EXP((T0-t)*PertePVj)+'2028'!Pspv,1-EXP((T0-t)*PertePVj)+Pspv)</f>
        <v>3.5784820447240517E-2</v>
      </c>
      <c r="M80" s="836"/>
      <c r="N80" s="836"/>
      <c r="O80" s="48">
        <f>IF(t&lt;Tnet,'2028'!Resal+('2028'!Salim-'2028'!Resal)*(1-EXP(('2028'!Tnet-t)/('2028'!Tau_j))),Resal+(Salim-Resal)*(1-EXP((Tnet-t)/(Tau_j))))*Salcycl</f>
        <v>3.6906245740796893E-2</v>
      </c>
      <c r="P80" s="165">
        <f>(INDEX(Models!$BJ80:$BT80,,T80)*(1-R80)+INDEX(Models!$BJ80:$BT80,,T80+1)*R80-ERP_i)*Q80*Ramure*Pc/MaxiM</f>
        <v>4.2992873457306199E-4</v>
      </c>
      <c r="Q80" s="301">
        <f t="shared" si="28"/>
        <v>0.5</v>
      </c>
      <c r="R80" s="173">
        <f t="shared" si="29"/>
        <v>0.50301738775731053</v>
      </c>
      <c r="S80" s="802">
        <f t="shared" si="30"/>
        <v>3</v>
      </c>
      <c r="T80" s="172">
        <f t="shared" si="31"/>
        <v>9</v>
      </c>
      <c r="U80" s="247">
        <f t="shared" si="32"/>
        <v>3.5030173877573105</v>
      </c>
      <c r="V80" s="378">
        <f t="shared" si="33"/>
        <v>37.650629779444301</v>
      </c>
      <c r="W80" s="397">
        <f t="shared" si="34"/>
        <v>34.550111886081787</v>
      </c>
      <c r="X80" s="153">
        <f t="shared" si="35"/>
        <v>47184</v>
      </c>
      <c r="Y80" s="380">
        <f t="shared" si="36"/>
        <v>33.797253376339654</v>
      </c>
      <c r="Z80" s="380">
        <f t="shared" si="37"/>
        <v>35.051567422964794</v>
      </c>
      <c r="AA80" s="381">
        <f t="shared" si="38"/>
        <v>37.205481331361959</v>
      </c>
      <c r="AB80" s="193">
        <f t="shared" si="39"/>
        <v>47184</v>
      </c>
      <c r="AC80" s="119">
        <f>IF(OR(t&lt;Tnet,NoTnet),'2028'!Resal_s+('2028'!Salim-'2028'!Resal_s)*(1-EXP(('2028'!Tnet_s-t)/'2028'!Tau_j)),Resal_s+(Salim-Resal_s)*(1-EXP((Tnet_s-t)/Tau_j)))*Salcycl</f>
        <v>5.7892381211623954E-2</v>
      </c>
      <c r="AD80" s="227">
        <f>(INDEX(Models!$BJ80:$BT80,,AH80)*(1-AF80)+INDEX(Models!$BJ80:$BT80,,AH80+1)*AF80-ERP_i)*AE80*Ramure*Pc/MaxiM</f>
        <v>4.2992873457306199E-4</v>
      </c>
      <c r="AE80" s="301">
        <f t="shared" si="40"/>
        <v>0.5</v>
      </c>
      <c r="AF80" s="173">
        <f t="shared" si="41"/>
        <v>0.50301738775731053</v>
      </c>
      <c r="AG80" s="802">
        <f t="shared" ref="AG80:AG143" si="49">INDEX(Echel_vg,AH80)</f>
        <v>3</v>
      </c>
      <c r="AH80" s="172">
        <f t="shared" si="42"/>
        <v>9</v>
      </c>
      <c r="AI80" s="221">
        <f t="shared" si="43"/>
        <v>3.5030173877573105</v>
      </c>
      <c r="AJ80" s="261" t="b">
        <f t="shared" si="44"/>
        <v>1</v>
      </c>
      <c r="AK80" s="261" t="b">
        <f t="shared" si="45"/>
        <v>1</v>
      </c>
      <c r="AL80" s="261"/>
      <c r="AM80" s="261"/>
      <c r="AN80" s="75"/>
    </row>
    <row r="81" spans="1:40" s="6" customFormat="1" ht="11.25" x14ac:dyDescent="0.2">
      <c r="A81" s="56">
        <f t="shared" si="46"/>
        <v>47185</v>
      </c>
      <c r="B81" s="406">
        <f>'2028'!Wh/'2028'!Env_an*'2029'!Env_an</f>
        <v>30.999227190639552</v>
      </c>
      <c r="C81" s="832"/>
      <c r="D81" s="388">
        <f t="shared" si="25"/>
        <v>32.150138482797779</v>
      </c>
      <c r="E81" s="380">
        <f t="shared" si="47"/>
        <v>33.383532837833847</v>
      </c>
      <c r="F81" s="380">
        <f t="shared" si="26"/>
        <v>33.39320981061077</v>
      </c>
      <c r="G81" s="110">
        <f t="shared" si="48"/>
        <v>0.8140967240551974</v>
      </c>
      <c r="H81" s="409" t="b">
        <f>Wh_hp&gt;='2028'!Maxi_hp</f>
        <v>0</v>
      </c>
      <c r="I81" s="385">
        <f>IF(H81,Wh_hp,'2028'!Maxi_hp)</f>
        <v>33.396703977303218</v>
      </c>
      <c r="J81" s="85">
        <f>IF(H81,An,'2028'!An_max)</f>
        <v>2022</v>
      </c>
      <c r="K81" s="193">
        <f t="shared" si="27"/>
        <v>47185</v>
      </c>
      <c r="L81" s="143">
        <f>IF(t&lt;Tvie,1-EXP((T0-t)*PertePVj)+'2028'!Pspv,1-EXP((T0-t)*PertePVj)+Pspv)</f>
        <v>3.5798019743337517E-2</v>
      </c>
      <c r="M81" s="836"/>
      <c r="N81" s="836"/>
      <c r="O81" s="48">
        <f>IF(t&lt;Tnet,'2028'!Resal+('2028'!Salim-'2028'!Resal)*(1-EXP(('2028'!Tnet-t)/('2028'!Tau_j))),Resal+(Salim-Resal)*(1-EXP((Tnet-t)/(Tau_j))))*Salcycl</f>
        <v>3.6946190237788459E-2</v>
      </c>
      <c r="P81" s="165">
        <f>(INDEX(Models!$BJ81:$BT81,,T81)*(1-R81)+INDEX(Models!$BJ81:$BT81,,T81+1)*R81-ERP_i)*Q81*Ramure*Pc/MaxiM</f>
        <v>3.9451408387945904E-4</v>
      </c>
      <c r="Q81" s="301">
        <f t="shared" si="28"/>
        <v>0.5</v>
      </c>
      <c r="R81" s="173">
        <f t="shared" si="29"/>
        <v>0.50342405758552067</v>
      </c>
      <c r="S81" s="802">
        <f t="shared" si="30"/>
        <v>3</v>
      </c>
      <c r="T81" s="172">
        <f t="shared" si="31"/>
        <v>9</v>
      </c>
      <c r="U81" s="247">
        <f t="shared" si="32"/>
        <v>3.5034240575855207</v>
      </c>
      <c r="V81" s="378">
        <f t="shared" si="33"/>
        <v>38.074075138511461</v>
      </c>
      <c r="W81" s="397">
        <f t="shared" si="34"/>
        <v>30.999227190639552</v>
      </c>
      <c r="X81" s="153">
        <f t="shared" si="35"/>
        <v>47185</v>
      </c>
      <c r="Y81" s="380">
        <f t="shared" si="36"/>
        <v>30.324321756560451</v>
      </c>
      <c r="Z81" s="380">
        <f t="shared" si="37"/>
        <v>31.450175769695445</v>
      </c>
      <c r="AA81" s="381">
        <f t="shared" si="38"/>
        <v>33.383532837833847</v>
      </c>
      <c r="AB81" s="193">
        <f t="shared" si="39"/>
        <v>47185</v>
      </c>
      <c r="AC81" s="119">
        <f>IF(OR(t&lt;Tnet,NoTnet),'2028'!Resal_s+('2028'!Salim-'2028'!Resal_s)*(1-EXP(('2028'!Tnet_s-t)/'2028'!Tau_j)),Resal_s+(Salim-Resal_s)*(1-EXP((Tnet_s-t)/Tau_j)))*Salcycl</f>
        <v>5.7913495181292317E-2</v>
      </c>
      <c r="AD81" s="227">
        <f>(INDEX(Models!$BJ81:$BT81,,AH81)*(1-AF81)+INDEX(Models!$BJ81:$BT81,,AH81+1)*AF81-ERP_i)*AE81*Ramure*Pc/MaxiM</f>
        <v>3.9451408387945904E-4</v>
      </c>
      <c r="AE81" s="301">
        <f t="shared" si="40"/>
        <v>0.5</v>
      </c>
      <c r="AF81" s="173">
        <f t="shared" si="41"/>
        <v>0.50342405758552067</v>
      </c>
      <c r="AG81" s="802">
        <f t="shared" si="49"/>
        <v>3</v>
      </c>
      <c r="AH81" s="172">
        <f t="shared" si="42"/>
        <v>9</v>
      </c>
      <c r="AI81" s="221">
        <f t="shared" si="43"/>
        <v>3.5034240575855207</v>
      </c>
      <c r="AJ81" s="261" t="b">
        <f t="shared" si="44"/>
        <v>1</v>
      </c>
      <c r="AK81" s="261" t="b">
        <f t="shared" si="45"/>
        <v>1</v>
      </c>
      <c r="AL81" s="261"/>
      <c r="AM81" s="261"/>
      <c r="AN81" s="75"/>
    </row>
    <row r="82" spans="1:40" s="6" customFormat="1" ht="11.25" x14ac:dyDescent="0.2">
      <c r="A82" s="56">
        <f t="shared" si="46"/>
        <v>47186</v>
      </c>
      <c r="B82" s="406">
        <f>'2028'!Wh/'2028'!Env_an*'2029'!Env_an</f>
        <v>27.670779600228517</v>
      </c>
      <c r="C82" s="832"/>
      <c r="D82" s="388">
        <f t="shared" si="25"/>
        <v>28.698508156749416</v>
      </c>
      <c r="E82" s="380">
        <f t="shared" si="47"/>
        <v>29.800721929199344</v>
      </c>
      <c r="F82" s="380">
        <f t="shared" si="26"/>
        <v>29.807139434457909</v>
      </c>
      <c r="G82" s="110">
        <f t="shared" si="48"/>
        <v>0.71860485541284003</v>
      </c>
      <c r="H82" s="409" t="b">
        <f>Wh_hp&gt;='2028'!Maxi_hp</f>
        <v>0</v>
      </c>
      <c r="I82" s="385">
        <f>IF(H82,Wh_hp,'2028'!Maxi_hp)</f>
        <v>29.811446608214982</v>
      </c>
      <c r="J82" s="85">
        <f>IF(H82,An,'2028'!An_max)</f>
        <v>2022</v>
      </c>
      <c r="K82" s="193">
        <f t="shared" si="27"/>
        <v>47186</v>
      </c>
      <c r="L82" s="143">
        <f>IF(t&lt;Tvie,1-EXP((T0-t)*PertePVj)+'2028'!Pspv,1-EXP((T0-t)*PertePVj)+Pspv)</f>
        <v>3.5811218858747274E-2</v>
      </c>
      <c r="M82" s="836"/>
      <c r="N82" s="836"/>
      <c r="O82" s="48">
        <f>IF(t&lt;Tnet,'2028'!Resal+('2028'!Salim-'2028'!Resal)*(1-EXP(('2028'!Tnet-t)/('2028'!Tau_j))),Resal+(Salim-Resal)*(1-EXP((Tnet-t)/(Tau_j))))*Salcycl</f>
        <v>3.6986143324600408E-2</v>
      </c>
      <c r="P82" s="165">
        <f>(INDEX(Models!$BJ82:$BT82,,T82)*(1-R82)+INDEX(Models!$BJ82:$BT82,,T82+1)*R82-ERP_i)*Q82*Ramure*Pc/MaxiM</f>
        <v>3.5994144192354221E-4</v>
      </c>
      <c r="Q82" s="301">
        <f t="shared" si="28"/>
        <v>0.5</v>
      </c>
      <c r="R82" s="173">
        <f t="shared" si="29"/>
        <v>0.50384707196710732</v>
      </c>
      <c r="S82" s="802">
        <f t="shared" si="30"/>
        <v>3</v>
      </c>
      <c r="T82" s="172">
        <f t="shared" si="31"/>
        <v>9</v>
      </c>
      <c r="U82" s="247">
        <f t="shared" si="32"/>
        <v>3.5038470719671073</v>
      </c>
      <c r="V82" s="378">
        <f t="shared" si="33"/>
        <v>38.500681166573962</v>
      </c>
      <c r="W82" s="397">
        <f t="shared" si="34"/>
        <v>27.670779600228517</v>
      </c>
      <c r="X82" s="153">
        <f t="shared" si="35"/>
        <v>47186</v>
      </c>
      <c r="Y82" s="380">
        <f t="shared" si="36"/>
        <v>27.068854964790102</v>
      </c>
      <c r="Z82" s="380">
        <f t="shared" si="37"/>
        <v>28.074227261543442</v>
      </c>
      <c r="AA82" s="381">
        <f t="shared" si="38"/>
        <v>29.800721929199344</v>
      </c>
      <c r="AB82" s="193">
        <f t="shared" si="39"/>
        <v>47186</v>
      </c>
      <c r="AC82" s="119">
        <f>IF(OR(t&lt;Tnet,NoTnet),'2028'!Resal_s+('2028'!Salim-'2028'!Resal_s)*(1-EXP(('2028'!Tnet_s-t)/'2028'!Tau_j)),Resal_s+(Salim-Resal_s)*(1-EXP((Tnet_s-t)/Tau_j)))*Salcycl</f>
        <v>5.7934659158852424E-2</v>
      </c>
      <c r="AD82" s="227">
        <f>(INDEX(Models!$BJ82:$BT82,,AH82)*(1-AF82)+INDEX(Models!$BJ82:$BT82,,AH82+1)*AF82-ERP_i)*AE82*Ramure*Pc/MaxiM</f>
        <v>3.5994144192354221E-4</v>
      </c>
      <c r="AE82" s="301">
        <f t="shared" si="40"/>
        <v>0.5</v>
      </c>
      <c r="AF82" s="173">
        <f t="shared" si="41"/>
        <v>0.50384707196710732</v>
      </c>
      <c r="AG82" s="802">
        <f t="shared" si="49"/>
        <v>3</v>
      </c>
      <c r="AH82" s="172">
        <f t="shared" si="42"/>
        <v>9</v>
      </c>
      <c r="AI82" s="221">
        <f t="shared" si="43"/>
        <v>3.5038470719671073</v>
      </c>
      <c r="AJ82" s="261" t="b">
        <f t="shared" si="44"/>
        <v>1</v>
      </c>
      <c r="AK82" s="261" t="b">
        <f t="shared" si="45"/>
        <v>1</v>
      </c>
      <c r="AL82" s="261"/>
      <c r="AM82" s="261"/>
      <c r="AN82" s="75"/>
    </row>
    <row r="83" spans="1:40" s="6" customFormat="1" ht="11.25" x14ac:dyDescent="0.2">
      <c r="A83" s="56">
        <f t="shared" si="46"/>
        <v>47187</v>
      </c>
      <c r="B83" s="406">
        <f>'2028'!Wh/'2028'!Env_an*'2029'!Env_an</f>
        <v>23.380035136069953</v>
      </c>
      <c r="C83" s="832"/>
      <c r="D83" s="388">
        <f t="shared" si="25"/>
        <v>24.248731836336752</v>
      </c>
      <c r="E83" s="380">
        <f t="shared" si="47"/>
        <v>25.181089745937616</v>
      </c>
      <c r="F83" s="380">
        <f t="shared" si="26"/>
        <v>25.184617162090674</v>
      </c>
      <c r="G83" s="110">
        <f t="shared" si="48"/>
        <v>0.60045514524295962</v>
      </c>
      <c r="H83" s="409" t="b">
        <f>Wh_hp&gt;='2028'!Maxi_hp</f>
        <v>0</v>
      </c>
      <c r="I83" s="385">
        <f>IF(H83,Wh_hp,'2028'!Maxi_hp)</f>
        <v>25.189299753187651</v>
      </c>
      <c r="J83" s="85">
        <f>IF(H83,An,'2028'!An_max)</f>
        <v>2022</v>
      </c>
      <c r="K83" s="193">
        <f t="shared" si="27"/>
        <v>47187</v>
      </c>
      <c r="L83" s="143">
        <f>IF(t&lt;Tvie,1-EXP((T0-t)*PertePVj)+'2028'!Pspv,1-EXP((T0-t)*PertePVj)+Pspv)</f>
        <v>3.582441779347223E-2</v>
      </c>
      <c r="M83" s="836"/>
      <c r="N83" s="836"/>
      <c r="O83" s="48">
        <f>IF(t&lt;Tnet,'2028'!Resal+('2028'!Salim-'2028'!Resal)*(1-EXP(('2028'!Tnet-t)/('2028'!Tau_j))),Resal+(Salim-Resal)*(1-EXP((Tnet-t)/(Tau_j))))*Salcycl</f>
        <v>3.7026114398058439E-2</v>
      </c>
      <c r="P83" s="165">
        <f>(INDEX(Models!$BJ83:$BT83,,T83)*(1-R83)+INDEX(Models!$BJ83:$BT83,,T83+1)*R83-ERP_i)*Q83*Ramure*Pc/MaxiM</f>
        <v>3.2619565117622751E-4</v>
      </c>
      <c r="Q83" s="301">
        <f t="shared" si="28"/>
        <v>0.5</v>
      </c>
      <c r="R83" s="173">
        <f t="shared" si="29"/>
        <v>0.50428705725844436</v>
      </c>
      <c r="S83" s="802">
        <f t="shared" si="30"/>
        <v>3</v>
      </c>
      <c r="T83" s="172">
        <f t="shared" si="31"/>
        <v>9</v>
      </c>
      <c r="U83" s="247">
        <f t="shared" si="32"/>
        <v>3.5042870572584444</v>
      </c>
      <c r="V83" s="378">
        <f t="shared" si="33"/>
        <v>38.929939909844542</v>
      </c>
      <c r="W83" s="397">
        <f t="shared" si="34"/>
        <v>23.380035136069953</v>
      </c>
      <c r="X83" s="153">
        <f t="shared" si="35"/>
        <v>47187</v>
      </c>
      <c r="Y83" s="380">
        <f t="shared" si="36"/>
        <v>22.871881340915238</v>
      </c>
      <c r="Z83" s="380">
        <f t="shared" si="37"/>
        <v>23.721697337089427</v>
      </c>
      <c r="AA83" s="381">
        <f t="shared" si="38"/>
        <v>25.181089745937616</v>
      </c>
      <c r="AB83" s="193">
        <f t="shared" si="39"/>
        <v>47187</v>
      </c>
      <c r="AC83" s="119">
        <f>IF(OR(t&lt;Tnet,NoTnet),'2028'!Resal_s+('2028'!Salim-'2028'!Resal_s)*(1-EXP(('2028'!Tnet_s-t)/'2028'!Tau_j)),Resal_s+(Salim-Resal_s)*(1-EXP((Tnet_s-t)/Tau_j)))*Salcycl</f>
        <v>5.7955887674941718E-2</v>
      </c>
      <c r="AD83" s="227">
        <f>(INDEX(Models!$BJ83:$BT83,,AH83)*(1-AF83)+INDEX(Models!$BJ83:$BT83,,AH83+1)*AF83-ERP_i)*AE83*Ramure*Pc/MaxiM</f>
        <v>3.2619565117622751E-4</v>
      </c>
      <c r="AE83" s="301">
        <f t="shared" si="40"/>
        <v>0.5</v>
      </c>
      <c r="AF83" s="173">
        <f t="shared" si="41"/>
        <v>0.50428705725844436</v>
      </c>
      <c r="AG83" s="802">
        <f t="shared" si="49"/>
        <v>3</v>
      </c>
      <c r="AH83" s="172">
        <f t="shared" si="42"/>
        <v>9</v>
      </c>
      <c r="AI83" s="221">
        <f t="shared" si="43"/>
        <v>3.5042870572584444</v>
      </c>
      <c r="AJ83" s="261" t="b">
        <f t="shared" si="44"/>
        <v>1</v>
      </c>
      <c r="AK83" s="261" t="b">
        <f t="shared" si="45"/>
        <v>1</v>
      </c>
      <c r="AL83" s="261"/>
      <c r="AM83" s="261"/>
      <c r="AN83" s="75"/>
    </row>
    <row r="84" spans="1:40" s="6" customFormat="1" ht="11.25" x14ac:dyDescent="0.2">
      <c r="A84" s="56">
        <f t="shared" si="46"/>
        <v>47188</v>
      </c>
      <c r="B84" s="406">
        <f>'2028'!Wh/'2028'!Env_an*'2029'!Env_an</f>
        <v>16.873607633516823</v>
      </c>
      <c r="C84" s="832"/>
      <c r="D84" s="388">
        <f t="shared" si="25"/>
        <v>17.500794392222183</v>
      </c>
      <c r="E84" s="380">
        <f t="shared" si="47"/>
        <v>18.174450642749115</v>
      </c>
      <c r="F84" s="380">
        <f t="shared" si="26"/>
        <v>18.175430507976234</v>
      </c>
      <c r="G84" s="110">
        <f t="shared" si="48"/>
        <v>0.42858213791354866</v>
      </c>
      <c r="H84" s="409" t="b">
        <f>Wh_hp&gt;='2028'!Maxi_hp</f>
        <v>0</v>
      </c>
      <c r="I84" s="385">
        <f>IF(H84,Wh_hp,'2028'!Maxi_hp)</f>
        <v>18.179775420005882</v>
      </c>
      <c r="J84" s="85">
        <f>IF(H84,An,'2028'!An_max)</f>
        <v>2022</v>
      </c>
      <c r="K84" s="193">
        <f t="shared" si="27"/>
        <v>47188</v>
      </c>
      <c r="L84" s="143">
        <f>IF(t&lt;Tvie,1-EXP((T0-t)*PertePVj)+'2028'!Pspv,1-EXP((T0-t)*PertePVj)+Pspv)</f>
        <v>3.5837616547514939E-2</v>
      </c>
      <c r="M84" s="836"/>
      <c r="N84" s="836"/>
      <c r="O84" s="48">
        <f>IF(t&lt;Tnet,'2028'!Resal+('2028'!Salim-'2028'!Resal)*(1-EXP(('2028'!Tnet-t)/('2028'!Tau_j))),Resal+(Salim-Resal)*(1-EXP((Tnet-t)/(Tau_j))))*Salcycl</f>
        <v>3.7066113511150078E-2</v>
      </c>
      <c r="P84" s="165">
        <f>(INDEX(Models!$BJ84:$BT84,,T84)*(1-R84)+INDEX(Models!$BJ84:$BT84,,T84+1)*R84-ERP_i)*Q84*Ramure*Pc/MaxiM</f>
        <v>2.9325984566282983E-4</v>
      </c>
      <c r="Q84" s="301">
        <f t="shared" si="28"/>
        <v>0.5</v>
      </c>
      <c r="R84" s="173">
        <f t="shared" si="29"/>
        <v>0.50474466126610906</v>
      </c>
      <c r="S84" s="802">
        <f t="shared" si="30"/>
        <v>3</v>
      </c>
      <c r="T84" s="172">
        <f t="shared" si="31"/>
        <v>9</v>
      </c>
      <c r="U84" s="247">
        <f t="shared" si="32"/>
        <v>3.5047446612661091</v>
      </c>
      <c r="V84" s="378">
        <f t="shared" si="33"/>
        <v>39.361343494846544</v>
      </c>
      <c r="W84" s="397">
        <f t="shared" si="34"/>
        <v>16.873607633516823</v>
      </c>
      <c r="X84" s="153">
        <f t="shared" si="35"/>
        <v>47188</v>
      </c>
      <c r="Y84" s="380">
        <f t="shared" si="36"/>
        <v>16.50718018693329</v>
      </c>
      <c r="Z84" s="380">
        <f t="shared" si="37"/>
        <v>17.120746951176592</v>
      </c>
      <c r="AA84" s="381">
        <f t="shared" si="38"/>
        <v>18.174450642749115</v>
      </c>
      <c r="AB84" s="193">
        <f t="shared" si="39"/>
        <v>47188</v>
      </c>
      <c r="AC84" s="119">
        <f>IF(OR(t&lt;Tnet,NoTnet),'2028'!Resal_s+('2028'!Salim-'2028'!Resal_s)*(1-EXP(('2028'!Tnet_s-t)/'2028'!Tau_j)),Resal_s+(Salim-Resal_s)*(1-EXP((Tnet_s-t)/Tau_j)))*Salcycl</f>
        <v>5.7977196245703827E-2</v>
      </c>
      <c r="AD84" s="227">
        <f>(INDEX(Models!$BJ84:$BT84,,AH84)*(1-AF84)+INDEX(Models!$BJ84:$BT84,,AH84+1)*AF84-ERP_i)*AE84*Ramure*Pc/MaxiM</f>
        <v>2.9325984566282983E-4</v>
      </c>
      <c r="AE84" s="301">
        <f t="shared" si="40"/>
        <v>0.5</v>
      </c>
      <c r="AF84" s="173">
        <f t="shared" si="41"/>
        <v>0.50474466126610906</v>
      </c>
      <c r="AG84" s="802">
        <f t="shared" si="49"/>
        <v>3</v>
      </c>
      <c r="AH84" s="172">
        <f t="shared" si="42"/>
        <v>9</v>
      </c>
      <c r="AI84" s="221">
        <f t="shared" si="43"/>
        <v>3.5047446612661091</v>
      </c>
      <c r="AJ84" s="261" t="b">
        <f t="shared" si="44"/>
        <v>1</v>
      </c>
      <c r="AK84" s="261" t="b">
        <f t="shared" si="45"/>
        <v>1</v>
      </c>
      <c r="AL84" s="261"/>
      <c r="AM84" s="261"/>
      <c r="AN84" s="75"/>
    </row>
    <row r="85" spans="1:40" s="6" customFormat="1" ht="11.25" x14ac:dyDescent="0.2">
      <c r="A85" s="56">
        <f t="shared" si="46"/>
        <v>47189</v>
      </c>
      <c r="B85" s="406">
        <f>'2028'!Wh/'2028'!Env_an*'2029'!Env_an</f>
        <v>13.205538108906264</v>
      </c>
      <c r="C85" s="832"/>
      <c r="D85" s="388">
        <f t="shared" si="25"/>
        <v>13.696571356394262</v>
      </c>
      <c r="E85" s="380">
        <f t="shared" si="47"/>
        <v>14.22438348267459</v>
      </c>
      <c r="F85" s="380">
        <f t="shared" si="26"/>
        <v>14.224552450746906</v>
      </c>
      <c r="G85" s="110">
        <f t="shared" si="48"/>
        <v>0.33176155507593147</v>
      </c>
      <c r="H85" s="409" t="b">
        <f>Wh_hp&gt;='2028'!Maxi_hp</f>
        <v>0</v>
      </c>
      <c r="I85" s="385">
        <f>IF(H85,Wh_hp,'2028'!Maxi_hp)</f>
        <v>14.228092826357823</v>
      </c>
      <c r="J85" s="85">
        <f>IF(H85,An,'2028'!An_max)</f>
        <v>2022</v>
      </c>
      <c r="K85" s="193">
        <f t="shared" si="27"/>
        <v>47189</v>
      </c>
      <c r="L85" s="143">
        <f>IF(t&lt;Tvie,1-EXP((T0-t)*PertePVj)+'2028'!Pspv,1-EXP((T0-t)*PertePVj)+Pspv)</f>
        <v>3.5850815120877622E-2</v>
      </c>
      <c r="M85" s="836"/>
      <c r="N85" s="836"/>
      <c r="O85" s="48">
        <f>IF(t&lt;Tnet,'2028'!Resal+('2028'!Salim-'2028'!Resal)*(1-EXP(('2028'!Tnet-t)/('2028'!Tau_j))),Resal+(Salim-Resal)*(1-EXP((Tnet-t)/(Tau_j))))*Salcycl</f>
        <v>3.7106151343796849E-2</v>
      </c>
      <c r="P85" s="165">
        <f>(INDEX(Models!$BJ85:$BT85,,T85)*(1-R85)+INDEX(Models!$BJ85:$BT85,,T85+1)*R85-ERP_i)*Q85*Ramure*Pc/MaxiM</f>
        <v>2.611156269019227E-4</v>
      </c>
      <c r="Q85" s="301">
        <f t="shared" si="28"/>
        <v>0.5</v>
      </c>
      <c r="R85" s="173">
        <f t="shared" si="29"/>
        <v>0.50522055376546415</v>
      </c>
      <c r="S85" s="802">
        <f t="shared" si="30"/>
        <v>3</v>
      </c>
      <c r="T85" s="172">
        <f t="shared" si="31"/>
        <v>9</v>
      </c>
      <c r="U85" s="247">
        <f t="shared" si="32"/>
        <v>3.5052205537654642</v>
      </c>
      <c r="V85" s="378">
        <f t="shared" si="33"/>
        <v>39.794384126312842</v>
      </c>
      <c r="W85" s="397">
        <f t="shared" si="34"/>
        <v>13.205538108906264</v>
      </c>
      <c r="X85" s="153">
        <f t="shared" si="35"/>
        <v>47189</v>
      </c>
      <c r="Y85" s="380">
        <f t="shared" si="36"/>
        <v>12.919010113339594</v>
      </c>
      <c r="Z85" s="380">
        <f t="shared" si="37"/>
        <v>13.399389135986544</v>
      </c>
      <c r="AA85" s="381">
        <f t="shared" si="38"/>
        <v>14.22438348267459</v>
      </c>
      <c r="AB85" s="193">
        <f t="shared" si="39"/>
        <v>47189</v>
      </c>
      <c r="AC85" s="119">
        <f>IF(OR(t&lt;Tnet,NoTnet),'2028'!Resal_s+('2028'!Salim-'2028'!Resal_s)*(1-EXP(('2028'!Tnet_s-t)/'2028'!Tau_j)),Resal_s+(Salim-Resal_s)*(1-EXP((Tnet_s-t)/Tau_j)))*Salcycl</f>
        <v>5.7998601323768731E-2</v>
      </c>
      <c r="AD85" s="227">
        <f>(INDEX(Models!$BJ85:$BT85,,AH85)*(1-AF85)+INDEX(Models!$BJ85:$BT85,,AH85+1)*AF85-ERP_i)*AE85*Ramure*Pc/MaxiM</f>
        <v>2.611156269019227E-4</v>
      </c>
      <c r="AE85" s="301">
        <f t="shared" si="40"/>
        <v>0.5</v>
      </c>
      <c r="AF85" s="173">
        <f t="shared" si="41"/>
        <v>0.50522055376546415</v>
      </c>
      <c r="AG85" s="802">
        <f t="shared" si="49"/>
        <v>3</v>
      </c>
      <c r="AH85" s="172">
        <f t="shared" si="42"/>
        <v>9</v>
      </c>
      <c r="AI85" s="221">
        <f t="shared" si="43"/>
        <v>3.5052205537654642</v>
      </c>
      <c r="AJ85" s="261" t="b">
        <f t="shared" si="44"/>
        <v>1</v>
      </c>
      <c r="AK85" s="261" t="b">
        <f t="shared" si="45"/>
        <v>1</v>
      </c>
      <c r="AL85" s="261"/>
      <c r="AM85" s="261"/>
      <c r="AN85" s="75"/>
    </row>
    <row r="86" spans="1:40" s="6" customFormat="1" ht="11.25" x14ac:dyDescent="0.2">
      <c r="A86" s="56">
        <f t="shared" si="46"/>
        <v>47190</v>
      </c>
      <c r="B86" s="406">
        <f>'2028'!Wh/'2028'!Env_an*'2029'!Env_an</f>
        <v>8.4110527894089167</v>
      </c>
      <c r="C86" s="832"/>
      <c r="D86" s="388">
        <f t="shared" si="25"/>
        <v>8.7239278559251652</v>
      </c>
      <c r="E86" s="380">
        <f t="shared" si="47"/>
        <v>9.0604910224468362</v>
      </c>
      <c r="F86" s="380">
        <f t="shared" si="26"/>
        <v>9.0604910224468362</v>
      </c>
      <c r="G86" s="110">
        <f t="shared" si="48"/>
        <v>0.20903362294031694</v>
      </c>
      <c r="H86" s="409" t="b">
        <f>Wh_hp&gt;='2028'!Maxi_hp</f>
        <v>0</v>
      </c>
      <c r="I86" s="385">
        <f>IF(H86,Wh_hp,'2028'!Maxi_hp)</f>
        <v>9.0625850333182196</v>
      </c>
      <c r="J86" s="85">
        <f>IF(H86,An,'2028'!An_max)</f>
        <v>2022</v>
      </c>
      <c r="K86" s="193">
        <f t="shared" si="27"/>
        <v>47190</v>
      </c>
      <c r="L86" s="143">
        <f>IF(t&lt;Tvie,1-EXP((T0-t)*PertePVj)+'2028'!Pspv,1-EXP((T0-t)*PertePVj)+Pspv)</f>
        <v>3.5864013513563053E-2</v>
      </c>
      <c r="M86" s="836"/>
      <c r="N86" s="836"/>
      <c r="O86" s="48">
        <f>IF(t&lt;Tnet,'2028'!Resal+('2028'!Salim-'2028'!Resal)*(1-EXP(('2028'!Tnet-t)/('2028'!Tau_j))),Resal+(Salim-Resal)*(1-EXP((Tnet-t)/(Tau_j))))*Salcycl</f>
        <v>3.7146239170466076E-2</v>
      </c>
      <c r="P86" s="165">
        <f>(INDEX(Models!$BJ86:$BT86,,T86)*(1-R86)+INDEX(Models!$BJ86:$BT86,,T86+1)*R86-ERP_i)*Q86*Ramure*Pc/MaxiM</f>
        <v>2.3147587552986085E-4</v>
      </c>
      <c r="Q86" s="301">
        <f t="shared" si="28"/>
        <v>0.5</v>
      </c>
      <c r="R86" s="173">
        <f t="shared" si="29"/>
        <v>0.50571542701231031</v>
      </c>
      <c r="S86" s="802">
        <f t="shared" si="30"/>
        <v>3</v>
      </c>
      <c r="T86" s="172">
        <f t="shared" si="31"/>
        <v>9</v>
      </c>
      <c r="U86" s="247">
        <f t="shared" si="32"/>
        <v>3.5057154270123103</v>
      </c>
      <c r="V86" s="378">
        <f t="shared" si="33"/>
        <v>40.228484371632973</v>
      </c>
      <c r="W86" s="397">
        <f t="shared" si="34"/>
        <v>8.4110527894089167</v>
      </c>
      <c r="X86" s="153">
        <f t="shared" si="35"/>
        <v>47190</v>
      </c>
      <c r="Y86" s="380">
        <f t="shared" si="36"/>
        <v>8.2287080525690666</v>
      </c>
      <c r="Z86" s="380">
        <f t="shared" si="37"/>
        <v>8.5348002438500661</v>
      </c>
      <c r="AA86" s="381">
        <f t="shared" si="38"/>
        <v>9.0604910224468362</v>
      </c>
      <c r="AB86" s="193">
        <f t="shared" si="39"/>
        <v>47190</v>
      </c>
      <c r="AC86" s="119">
        <f>IF(OR(t&lt;Tnet,NoTnet),'2028'!Resal_s+('2028'!Salim-'2028'!Resal_s)*(1-EXP(('2028'!Tnet_s-t)/'2028'!Tau_j)),Resal_s+(Salim-Resal_s)*(1-EXP((Tnet_s-t)/Tau_j)))*Salcycl</f>
        <v>5.8020120244521182E-2</v>
      </c>
      <c r="AD86" s="227">
        <f>(INDEX(Models!$BJ86:$BT86,,AH86)*(1-AF86)+INDEX(Models!$BJ86:$BT86,,AH86+1)*AF86-ERP_i)*AE86*Ramure*Pc/MaxiM</f>
        <v>2.3147587552986085E-4</v>
      </c>
      <c r="AE86" s="301">
        <f t="shared" si="40"/>
        <v>0.5</v>
      </c>
      <c r="AF86" s="173">
        <f t="shared" si="41"/>
        <v>0.50571542701231031</v>
      </c>
      <c r="AG86" s="802">
        <f t="shared" si="49"/>
        <v>3</v>
      </c>
      <c r="AH86" s="172">
        <f t="shared" si="42"/>
        <v>9</v>
      </c>
      <c r="AI86" s="221">
        <f t="shared" si="43"/>
        <v>3.5057154270123103</v>
      </c>
      <c r="AJ86" s="261" t="b">
        <f t="shared" si="44"/>
        <v>1</v>
      </c>
      <c r="AK86" s="261" t="b">
        <f t="shared" si="45"/>
        <v>1</v>
      </c>
      <c r="AL86" s="261"/>
      <c r="AM86" s="261"/>
      <c r="AN86" s="75"/>
    </row>
    <row r="87" spans="1:40" s="6" customFormat="1" ht="11.25" x14ac:dyDescent="0.2">
      <c r="A87" s="56">
        <f t="shared" si="46"/>
        <v>47191</v>
      </c>
      <c r="B87" s="406">
        <f>'2028'!Wh/'2028'!Env_an*'2029'!Env_an</f>
        <v>12.524948064494021</v>
      </c>
      <c r="C87" s="832"/>
      <c r="D87" s="388">
        <f t="shared" si="25"/>
        <v>12.991029998275426</v>
      </c>
      <c r="E87" s="380">
        <f t="shared" si="47"/>
        <v>13.492777675235619</v>
      </c>
      <c r="F87" s="380">
        <f t="shared" si="26"/>
        <v>13.492809440172172</v>
      </c>
      <c r="G87" s="110">
        <f t="shared" si="48"/>
        <v>0.30795507170073566</v>
      </c>
      <c r="H87" s="409" t="b">
        <f>Wh_hp&gt;='2028'!Maxi_hp</f>
        <v>0</v>
      </c>
      <c r="I87" s="385">
        <f>IF(H87,Wh_hp,'2028'!Maxi_hp)</f>
        <v>13.495546182179719</v>
      </c>
      <c r="J87" s="85">
        <f>IF(H87,An,'2028'!An_max)</f>
        <v>2022</v>
      </c>
      <c r="K87" s="193">
        <f t="shared" si="27"/>
        <v>47191</v>
      </c>
      <c r="L87" s="143">
        <f>IF(t&lt;Tvie,1-EXP((T0-t)*PertePVj)+'2028'!Pspv,1-EXP((T0-t)*PertePVj)+Pspv)</f>
        <v>3.5877211725573566E-2</v>
      </c>
      <c r="M87" s="836"/>
      <c r="N87" s="836"/>
      <c r="O87" s="48">
        <f>IF(t&lt;Tnet,'2028'!Resal+('2028'!Salim-'2028'!Resal)*(1-EXP(('2028'!Tnet-t)/('2028'!Tau_j))),Resal+(Salim-Resal)*(1-EXP((Tnet-t)/(Tau_j))))*Salcycl</f>
        <v>3.7186388824970523E-2</v>
      </c>
      <c r="P87" s="165">
        <f>(INDEX(Models!$BJ87:$BT87,,T87)*(1-R87)+INDEX(Models!$BJ87:$BT87,,T87+1)*R87-ERP_i)*Q87*Ramure*Pc/MaxiM</f>
        <v>2.0553992429246694E-4</v>
      </c>
      <c r="Q87" s="301">
        <f t="shared" si="28"/>
        <v>0.5</v>
      </c>
      <c r="R87" s="173">
        <f t="shared" si="29"/>
        <v>0.50622999624534781</v>
      </c>
      <c r="S87" s="802">
        <f t="shared" si="30"/>
        <v>3</v>
      </c>
      <c r="T87" s="172">
        <f t="shared" si="31"/>
        <v>9</v>
      </c>
      <c r="U87" s="247">
        <f t="shared" si="32"/>
        <v>3.5062299962453478</v>
      </c>
      <c r="V87" s="378">
        <f t="shared" si="33"/>
        <v>40.663084711851603</v>
      </c>
      <c r="W87" s="397">
        <f t="shared" si="34"/>
        <v>12.524948064494021</v>
      </c>
      <c r="X87" s="153">
        <f t="shared" si="35"/>
        <v>47191</v>
      </c>
      <c r="Y87" s="380">
        <f t="shared" si="36"/>
        <v>12.253646768290267</v>
      </c>
      <c r="Z87" s="380">
        <f t="shared" si="37"/>
        <v>12.709632960985886</v>
      </c>
      <c r="AA87" s="381">
        <f t="shared" si="38"/>
        <v>13.492777675235619</v>
      </c>
      <c r="AB87" s="193">
        <f t="shared" si="39"/>
        <v>47191</v>
      </c>
      <c r="AC87" s="119">
        <f>IF(OR(t&lt;Tnet,NoTnet),'2028'!Resal_s+('2028'!Salim-'2028'!Resal_s)*(1-EXP(('2028'!Tnet_s-t)/'2028'!Tau_j)),Resal_s+(Salim-Resal_s)*(1-EXP((Tnet_s-t)/Tau_j)))*Salcycl</f>
        <v>5.8041771168222907E-2</v>
      </c>
      <c r="AD87" s="227">
        <f>(INDEX(Models!$BJ87:$BT87,,AH87)*(1-AF87)+INDEX(Models!$BJ87:$BT87,,AH87+1)*AF87-ERP_i)*AE87*Ramure*Pc/MaxiM</f>
        <v>2.0553992429246694E-4</v>
      </c>
      <c r="AE87" s="301">
        <f t="shared" si="40"/>
        <v>0.5</v>
      </c>
      <c r="AF87" s="173">
        <f t="shared" si="41"/>
        <v>0.50622999624534781</v>
      </c>
      <c r="AG87" s="802">
        <f t="shared" si="49"/>
        <v>3</v>
      </c>
      <c r="AH87" s="172">
        <f t="shared" si="42"/>
        <v>9</v>
      </c>
      <c r="AI87" s="221">
        <f t="shared" si="43"/>
        <v>3.5062299962453478</v>
      </c>
      <c r="AJ87" s="261" t="b">
        <f t="shared" si="44"/>
        <v>1</v>
      </c>
      <c r="AK87" s="261" t="b">
        <f t="shared" si="45"/>
        <v>1</v>
      </c>
      <c r="AL87" s="261"/>
      <c r="AM87" s="261"/>
      <c r="AN87" s="75"/>
    </row>
    <row r="88" spans="1:40" s="6" customFormat="1" ht="11.25" x14ac:dyDescent="0.2">
      <c r="A88" s="56">
        <f t="shared" si="46"/>
        <v>47192</v>
      </c>
      <c r="B88" s="406">
        <f>'2028'!Wh/'2028'!Env_an*'2029'!Env_an</f>
        <v>14.843280443053255</v>
      </c>
      <c r="C88" s="832"/>
      <c r="D88" s="388">
        <f t="shared" si="25"/>
        <v>15.395843577606881</v>
      </c>
      <c r="E88" s="380">
        <f t="shared" si="47"/>
        <v>15.991139535117744</v>
      </c>
      <c r="F88" s="380">
        <f t="shared" si="26"/>
        <v>15.991395540518678</v>
      </c>
      <c r="G88" s="110">
        <f t="shared" si="48"/>
        <v>0.36111040143045298</v>
      </c>
      <c r="H88" s="409" t="b">
        <f>Wh_hp&gt;='2028'!Maxi_hp</f>
        <v>0</v>
      </c>
      <c r="I88" s="385">
        <f>IF(H88,Wh_hp,'2028'!Maxi_hp)</f>
        <v>15.994063855850605</v>
      </c>
      <c r="J88" s="85">
        <f>IF(H88,An,'2028'!An_max)</f>
        <v>2022</v>
      </c>
      <c r="K88" s="193">
        <f t="shared" si="27"/>
        <v>47192</v>
      </c>
      <c r="L88" s="143">
        <f>IF(t&lt;Tvie,1-EXP((T0-t)*PertePVj)+'2028'!Pspv,1-EXP((T0-t)*PertePVj)+Pspv)</f>
        <v>3.5890409756911601E-2</v>
      </c>
      <c r="M88" s="836"/>
      <c r="N88" s="836"/>
      <c r="O88" s="48">
        <f>IF(t&lt;Tnet,'2028'!Resal+('2028'!Salim-'2028'!Resal)*(1-EXP(('2028'!Tnet-t)/('2028'!Tau_j))),Resal+(Salim-Resal)*(1-EXP((Tnet-t)/(Tau_j))))*Salcycl</f>
        <v>3.7226612662815461E-2</v>
      </c>
      <c r="P88" s="165">
        <f>(INDEX(Models!$BJ88:$BT88,,T88)*(1-R88)+INDEX(Models!$BJ88:$BT88,,T88+1)*R88-ERP_i)*Q88*Ramure*Pc/MaxiM</f>
        <v>1.8319631948527024E-4</v>
      </c>
      <c r="Q88" s="301">
        <f t="shared" si="28"/>
        <v>0.5</v>
      </c>
      <c r="R88" s="173">
        <f t="shared" si="29"/>
        <v>0.50676500017697945</v>
      </c>
      <c r="S88" s="802">
        <f t="shared" si="30"/>
        <v>3</v>
      </c>
      <c r="T88" s="172">
        <f t="shared" si="31"/>
        <v>9</v>
      </c>
      <c r="U88" s="247">
        <f t="shared" si="32"/>
        <v>3.5067650001769795</v>
      </c>
      <c r="V88" s="378">
        <f t="shared" si="33"/>
        <v>41.09767742905634</v>
      </c>
      <c r="W88" s="397">
        <f t="shared" si="34"/>
        <v>14.843280443053255</v>
      </c>
      <c r="X88" s="153">
        <f t="shared" si="35"/>
        <v>47192</v>
      </c>
      <c r="Y88" s="380">
        <f t="shared" si="36"/>
        <v>14.52203262896831</v>
      </c>
      <c r="Z88" s="380">
        <f t="shared" si="37"/>
        <v>15.062636837070315</v>
      </c>
      <c r="AA88" s="381">
        <f t="shared" si="38"/>
        <v>15.991139535117744</v>
      </c>
      <c r="AB88" s="193">
        <f t="shared" si="39"/>
        <v>47192</v>
      </c>
      <c r="AC88" s="119">
        <f>IF(OR(t&lt;Tnet,NoTnet),'2028'!Resal_s+('2028'!Salim-'2028'!Resal_s)*(1-EXP(('2028'!Tnet_s-t)/'2028'!Tau_j)),Resal_s+(Salim-Resal_s)*(1-EXP((Tnet_s-t)/Tau_j)))*Salcycl</f>
        <v>5.8063573018568689E-2</v>
      </c>
      <c r="AD88" s="227">
        <f>(INDEX(Models!$BJ88:$BT88,,AH88)*(1-AF88)+INDEX(Models!$BJ88:$BT88,,AH88+1)*AF88-ERP_i)*AE88*Ramure*Pc/MaxiM</f>
        <v>1.8319631948527024E-4</v>
      </c>
      <c r="AE88" s="301">
        <f t="shared" si="40"/>
        <v>0.5</v>
      </c>
      <c r="AF88" s="173">
        <f t="shared" si="41"/>
        <v>0.50676500017697945</v>
      </c>
      <c r="AG88" s="802">
        <f t="shared" si="49"/>
        <v>3</v>
      </c>
      <c r="AH88" s="172">
        <f t="shared" si="42"/>
        <v>9</v>
      </c>
      <c r="AI88" s="221">
        <f t="shared" si="43"/>
        <v>3.5067650001769795</v>
      </c>
      <c r="AJ88" s="261" t="b">
        <f t="shared" si="44"/>
        <v>1</v>
      </c>
      <c r="AK88" s="261" t="b">
        <f t="shared" si="45"/>
        <v>1</v>
      </c>
      <c r="AL88" s="261"/>
      <c r="AM88" s="261"/>
      <c r="AN88" s="75"/>
    </row>
    <row r="89" spans="1:40" s="6" customFormat="1" ht="11.25" x14ac:dyDescent="0.2">
      <c r="A89" s="56">
        <f t="shared" si="46"/>
        <v>47193</v>
      </c>
      <c r="B89" s="406">
        <f>'2028'!Wh/'2028'!Env_an*'2029'!Env_an</f>
        <v>12.464253247625933</v>
      </c>
      <c r="C89" s="832"/>
      <c r="D89" s="388">
        <f t="shared" si="25"/>
        <v>12.928430544891567</v>
      </c>
      <c r="E89" s="380">
        <f t="shared" si="47"/>
        <v>13.428883727752295</v>
      </c>
      <c r="F89" s="380">
        <f t="shared" si="26"/>
        <v>13.428884086562247</v>
      </c>
      <c r="G89" s="110">
        <f t="shared" si="48"/>
        <v>0.30006449956782616</v>
      </c>
      <c r="H89" s="409" t="b">
        <f>Wh_hp&gt;='2028'!Maxi_hp</f>
        <v>0</v>
      </c>
      <c r="I89" s="385">
        <f>IF(H89,Wh_hp,'2028'!Maxi_hp)</f>
        <v>13.431085760338645</v>
      </c>
      <c r="J89" s="85">
        <f>IF(H89,An,'2028'!An_max)</f>
        <v>2022</v>
      </c>
      <c r="K89" s="193">
        <f t="shared" si="27"/>
        <v>47193</v>
      </c>
      <c r="L89" s="143">
        <f>IF(t&lt;Tvie,1-EXP((T0-t)*PertePVj)+'2028'!Pspv,1-EXP((T0-t)*PertePVj)+Pspv)</f>
        <v>3.5903607607579602E-2</v>
      </c>
      <c r="M89" s="836"/>
      <c r="N89" s="836"/>
      <c r="O89" s="48">
        <f>IF(t&lt;Tnet,'2028'!Resal+('2028'!Salim-'2028'!Resal)*(1-EXP(('2028'!Tnet-t)/('2028'!Tau_j))),Resal+(Salim-Resal)*(1-EXP((Tnet-t)/(Tau_j))))*Salcycl</f>
        <v>3.7266923521460341E-2</v>
      </c>
      <c r="P89" s="165">
        <f>(INDEX(Models!$BJ89:$BT89,,T89)*(1-R89)+INDEX(Models!$BJ89:$BT89,,T89+1)*R89-ERP_i)*Q89*Ramure*Pc/MaxiM</f>
        <v>1.6433743598077825E-4</v>
      </c>
      <c r="Q89" s="301">
        <f t="shared" si="28"/>
        <v>0.5</v>
      </c>
      <c r="R89" s="173">
        <f t="shared" si="29"/>
        <v>0.50732120146975124</v>
      </c>
      <c r="S89" s="802">
        <f t="shared" si="30"/>
        <v>3</v>
      </c>
      <c r="T89" s="172">
        <f t="shared" si="31"/>
        <v>9</v>
      </c>
      <c r="U89" s="247">
        <f t="shared" si="32"/>
        <v>3.5073212014697512</v>
      </c>
      <c r="V89" s="378">
        <f t="shared" si="33"/>
        <v>41.531754856491659</v>
      </c>
      <c r="W89" s="397">
        <f t="shared" si="34"/>
        <v>12.464253247625933</v>
      </c>
      <c r="X89" s="153">
        <f t="shared" si="35"/>
        <v>47193</v>
      </c>
      <c r="Y89" s="380">
        <f t="shared" si="36"/>
        <v>12.194719997000028</v>
      </c>
      <c r="Z89" s="380">
        <f t="shared" si="37"/>
        <v>12.648859692067344</v>
      </c>
      <c r="AA89" s="381">
        <f t="shared" si="38"/>
        <v>13.428883727752295</v>
      </c>
      <c r="AB89" s="193">
        <f t="shared" si="39"/>
        <v>47193</v>
      </c>
      <c r="AC89" s="119">
        <f>IF(OR(t&lt;Tnet,NoTnet),'2028'!Resal_s+('2028'!Salim-'2028'!Resal_s)*(1-EXP(('2028'!Tnet_s-t)/'2028'!Tau_j)),Resal_s+(Salim-Resal_s)*(1-EXP((Tnet_s-t)/Tau_j)))*Salcycl</f>
        <v>5.8085545418264571E-2</v>
      </c>
      <c r="AD89" s="227">
        <f>(INDEX(Models!$BJ89:$BT89,,AH89)*(1-AF89)+INDEX(Models!$BJ89:$BT89,,AH89+1)*AF89-ERP_i)*AE89*Ramure*Pc/MaxiM</f>
        <v>1.6433743598077825E-4</v>
      </c>
      <c r="AE89" s="301">
        <f t="shared" si="40"/>
        <v>0.5</v>
      </c>
      <c r="AF89" s="173">
        <f t="shared" si="41"/>
        <v>0.50732120146975124</v>
      </c>
      <c r="AG89" s="802">
        <f t="shared" si="49"/>
        <v>3</v>
      </c>
      <c r="AH89" s="172">
        <f t="shared" si="42"/>
        <v>9</v>
      </c>
      <c r="AI89" s="221">
        <f t="shared" si="43"/>
        <v>3.5073212014697512</v>
      </c>
      <c r="AJ89" s="261" t="b">
        <f t="shared" si="44"/>
        <v>1</v>
      </c>
      <c r="AK89" s="261" t="b">
        <f t="shared" si="45"/>
        <v>1</v>
      </c>
      <c r="AL89" s="261"/>
      <c r="AM89" s="261"/>
      <c r="AN89" s="75"/>
    </row>
    <row r="90" spans="1:40" s="6" customFormat="1" ht="11.25" x14ac:dyDescent="0.2">
      <c r="A90" s="56">
        <f t="shared" si="46"/>
        <v>47194</v>
      </c>
      <c r="B90" s="406">
        <f>'2028'!Wh/'2028'!Env_an*'2029'!Env_an</f>
        <v>11.970998298617008</v>
      </c>
      <c r="C90" s="832"/>
      <c r="D90" s="388">
        <f t="shared" si="25"/>
        <v>12.416976422935901</v>
      </c>
      <c r="E90" s="380">
        <f t="shared" si="47"/>
        <v>12.898172875134383</v>
      </c>
      <c r="F90" s="380">
        <f t="shared" si="26"/>
        <v>12.898172875134383</v>
      </c>
      <c r="G90" s="110">
        <f t="shared" si="48"/>
        <v>0.28522031854799201</v>
      </c>
      <c r="H90" s="409" t="b">
        <f>Wh_hp&gt;='2028'!Maxi_hp</f>
        <v>0</v>
      </c>
      <c r="I90" s="385">
        <f>IF(H90,Wh_hp,'2028'!Maxi_hp)</f>
        <v>12.900088201183433</v>
      </c>
      <c r="J90" s="85">
        <f>IF(H90,An,'2028'!An_max)</f>
        <v>2022</v>
      </c>
      <c r="K90" s="193">
        <f t="shared" si="27"/>
        <v>47194</v>
      </c>
      <c r="L90" s="143">
        <f>IF(t&lt;Tvie,1-EXP((T0-t)*PertePVj)+'2028'!Pspv,1-EXP((T0-t)*PertePVj)+Pspv)</f>
        <v>3.5916805277580233E-2</v>
      </c>
      <c r="M90" s="836"/>
      <c r="N90" s="836"/>
      <c r="O90" s="48">
        <f>IF(t&lt;Tnet,'2028'!Resal+('2028'!Salim-'2028'!Resal)*(1-EXP(('2028'!Tnet-t)/('2028'!Tau_j))),Resal+(Salim-Resal)*(1-EXP((Tnet-t)/(Tau_j))))*Salcycl</f>
        <v>3.7307334678863859E-2</v>
      </c>
      <c r="P90" s="165">
        <f>(INDEX(Models!$BJ90:$BT90,,T90)*(1-R90)+INDEX(Models!$BJ90:$BT90,,T90+1)*R90-ERP_i)*Q90*Ramure*Pc/MaxiM</f>
        <v>1.488598166205676E-4</v>
      </c>
      <c r="Q90" s="301">
        <f t="shared" si="28"/>
        <v>0.5</v>
      </c>
      <c r="R90" s="173">
        <f t="shared" si="29"/>
        <v>0.50789938719551575</v>
      </c>
      <c r="S90" s="802">
        <f t="shared" si="30"/>
        <v>3</v>
      </c>
      <c r="T90" s="172">
        <f t="shared" si="31"/>
        <v>9</v>
      </c>
      <c r="U90" s="247">
        <f t="shared" si="32"/>
        <v>3.5078993871955158</v>
      </c>
      <c r="V90" s="378">
        <f t="shared" si="33"/>
        <v>41.964809375919458</v>
      </c>
      <c r="W90" s="397">
        <f t="shared" si="34"/>
        <v>11.970998298617008</v>
      </c>
      <c r="X90" s="153">
        <f t="shared" si="35"/>
        <v>47194</v>
      </c>
      <c r="Y90" s="380">
        <f t="shared" si="36"/>
        <v>11.712347485064377</v>
      </c>
      <c r="Z90" s="380">
        <f t="shared" si="37"/>
        <v>12.148689603947108</v>
      </c>
      <c r="AA90" s="381">
        <f t="shared" si="38"/>
        <v>12.898172875134383</v>
      </c>
      <c r="AB90" s="193">
        <f t="shared" si="39"/>
        <v>47194</v>
      </c>
      <c r="AC90" s="119">
        <f>IF(OR(t&lt;Tnet,NoTnet),'2028'!Resal_s+('2028'!Salim-'2028'!Resal_s)*(1-EXP(('2028'!Tnet_s-t)/'2028'!Tau_j)),Resal_s+(Salim-Resal_s)*(1-EXP((Tnet_s-t)/Tau_j)))*Salcycl</f>
        <v>5.8107708622215752E-2</v>
      </c>
      <c r="AD90" s="227">
        <f>(INDEX(Models!$BJ90:$BT90,,AH90)*(1-AF90)+INDEX(Models!$BJ90:$BT90,,AH90+1)*AF90-ERP_i)*AE90*Ramure*Pc/MaxiM</f>
        <v>1.488598166205676E-4</v>
      </c>
      <c r="AE90" s="301">
        <f t="shared" si="40"/>
        <v>0.5</v>
      </c>
      <c r="AF90" s="173">
        <f t="shared" si="41"/>
        <v>0.50789938719551575</v>
      </c>
      <c r="AG90" s="802">
        <f t="shared" si="49"/>
        <v>3</v>
      </c>
      <c r="AH90" s="172">
        <f t="shared" si="42"/>
        <v>9</v>
      </c>
      <c r="AI90" s="221">
        <f t="shared" si="43"/>
        <v>3.5078993871955158</v>
      </c>
      <c r="AJ90" s="261" t="b">
        <f t="shared" si="44"/>
        <v>1</v>
      </c>
      <c r="AK90" s="261" t="b">
        <f t="shared" si="45"/>
        <v>1</v>
      </c>
      <c r="AL90" s="261"/>
      <c r="AM90" s="261"/>
      <c r="AN90" s="75"/>
    </row>
    <row r="91" spans="1:40" s="6" customFormat="1" ht="11.25" x14ac:dyDescent="0.2">
      <c r="A91" s="56">
        <f t="shared" si="46"/>
        <v>47195</v>
      </c>
      <c r="B91" s="406">
        <f>'2028'!Wh/'2028'!Env_an*'2029'!Env_an</f>
        <v>14.130176164274124</v>
      </c>
      <c r="C91" s="832"/>
      <c r="D91" s="388">
        <f t="shared" si="25"/>
        <v>14.656794843557254</v>
      </c>
      <c r="E91" s="380">
        <f t="shared" si="47"/>
        <v>15.225432149015695</v>
      </c>
      <c r="F91" s="380">
        <f t="shared" si="26"/>
        <v>15.225531098547988</v>
      </c>
      <c r="G91" s="110">
        <f t="shared" si="48"/>
        <v>0.33324431035531304</v>
      </c>
      <c r="H91" s="409" t="b">
        <f>Wh_hp&gt;='2028'!Maxi_hp</f>
        <v>0</v>
      </c>
      <c r="I91" s="385">
        <f>IF(H91,Wh_hp,'2028'!Maxi_hp)</f>
        <v>15.227507547270084</v>
      </c>
      <c r="J91" s="85">
        <f>IF(H91,An,'2028'!An_max)</f>
        <v>2022</v>
      </c>
      <c r="K91" s="193">
        <f t="shared" si="27"/>
        <v>47195</v>
      </c>
      <c r="L91" s="143">
        <f>IF(t&lt;Tvie,1-EXP((T0-t)*PertePVj)+'2028'!Pspv,1-EXP((T0-t)*PertePVj)+Pspv)</f>
        <v>3.5930002766915825E-2</v>
      </c>
      <c r="M91" s="836"/>
      <c r="N91" s="836"/>
      <c r="O91" s="48">
        <f>IF(t&lt;Tnet,'2028'!Resal+('2028'!Salim-'2028'!Resal)*(1-EXP(('2028'!Tnet-t)/('2028'!Tau_j))),Resal+(Salim-Resal)*(1-EXP((Tnet-t)/(Tau_j))))*Salcycl</f>
        <v>3.7347859810678848E-2</v>
      </c>
      <c r="P91" s="165">
        <f>(INDEX(Models!$BJ91:$BT91,,T91)*(1-R91)+INDEX(Models!$BJ91:$BT91,,T91+1)*R91-ERP_i)*Q91*Ramure*Pc/MaxiM</f>
        <v>1.3666447421073277E-4</v>
      </c>
      <c r="Q91" s="301">
        <f t="shared" si="28"/>
        <v>0.5</v>
      </c>
      <c r="R91" s="173">
        <f t="shared" si="29"/>
        <v>0.50850036927414077</v>
      </c>
      <c r="S91" s="802">
        <f t="shared" si="30"/>
        <v>3</v>
      </c>
      <c r="T91" s="172">
        <f t="shared" si="31"/>
        <v>9</v>
      </c>
      <c r="U91" s="247">
        <f t="shared" si="32"/>
        <v>3.5085003692741408</v>
      </c>
      <c r="V91" s="378">
        <f t="shared" si="33"/>
        <v>42.396333413966936</v>
      </c>
      <c r="W91" s="397">
        <f t="shared" si="34"/>
        <v>14.130176164274124</v>
      </c>
      <c r="X91" s="153">
        <f t="shared" si="35"/>
        <v>47195</v>
      </c>
      <c r="Y91" s="380">
        <f t="shared" si="36"/>
        <v>13.825126740049376</v>
      </c>
      <c r="Z91" s="380">
        <f t="shared" si="37"/>
        <v>14.340376507647775</v>
      </c>
      <c r="AA91" s="381">
        <f t="shared" si="38"/>
        <v>15.225432149015695</v>
      </c>
      <c r="AB91" s="193">
        <f t="shared" si="39"/>
        <v>47195</v>
      </c>
      <c r="AC91" s="119">
        <f>IF(OR(t&lt;Tnet,NoTnet),'2028'!Resal_s+('2028'!Salim-'2028'!Resal_s)*(1-EXP(('2028'!Tnet_s-t)/'2028'!Tau_j)),Resal_s+(Salim-Resal_s)*(1-EXP((Tnet_s-t)/Tau_j)))*Salcycl</f>
        <v>5.8130083448904753E-2</v>
      </c>
      <c r="AD91" s="227">
        <f>(INDEX(Models!$BJ91:$BT91,,AH91)*(1-AF91)+INDEX(Models!$BJ91:$BT91,,AH91+1)*AF91-ERP_i)*AE91*Ramure*Pc/MaxiM</f>
        <v>1.3666447421073277E-4</v>
      </c>
      <c r="AE91" s="301">
        <f t="shared" si="40"/>
        <v>0.5</v>
      </c>
      <c r="AF91" s="173">
        <f t="shared" si="41"/>
        <v>0.50850036927414077</v>
      </c>
      <c r="AG91" s="802">
        <f t="shared" si="49"/>
        <v>3</v>
      </c>
      <c r="AH91" s="172">
        <f t="shared" si="42"/>
        <v>9</v>
      </c>
      <c r="AI91" s="221">
        <f t="shared" si="43"/>
        <v>3.5085003692741408</v>
      </c>
      <c r="AJ91" s="261" t="b">
        <f t="shared" si="44"/>
        <v>1</v>
      </c>
      <c r="AK91" s="261" t="b">
        <f t="shared" si="45"/>
        <v>1</v>
      </c>
      <c r="AL91" s="261"/>
      <c r="AM91" s="261"/>
      <c r="AN91" s="75"/>
    </row>
    <row r="92" spans="1:40" s="6" customFormat="1" ht="11.25" x14ac:dyDescent="0.2">
      <c r="A92" s="56">
        <f t="shared" si="46"/>
        <v>47196</v>
      </c>
      <c r="B92" s="406">
        <f>'2028'!Wh/'2028'!Env_an*'2029'!Env_an</f>
        <v>25.963813264052728</v>
      </c>
      <c r="C92" s="832"/>
      <c r="D92" s="388">
        <f t="shared" si="25"/>
        <v>26.93182939645099</v>
      </c>
      <c r="E92" s="380">
        <f t="shared" si="47"/>
        <v>27.977880753206644</v>
      </c>
      <c r="F92" s="380">
        <f t="shared" si="26"/>
        <v>27.979443483996011</v>
      </c>
      <c r="G92" s="110">
        <f t="shared" si="48"/>
        <v>0.60622188170846136</v>
      </c>
      <c r="H92" s="409" t="b">
        <f>Wh_hp&gt;='2028'!Maxi_hp</f>
        <v>0</v>
      </c>
      <c r="I92" s="385">
        <f>IF(H92,Wh_hp,'2028'!Maxi_hp)</f>
        <v>27.981446472007683</v>
      </c>
      <c r="J92" s="85">
        <f>IF(H92,An,'2028'!An_max)</f>
        <v>2022</v>
      </c>
      <c r="K92" s="193">
        <f t="shared" si="27"/>
        <v>47196</v>
      </c>
      <c r="L92" s="143">
        <f>IF(t&lt;Tvie,1-EXP((T0-t)*PertePVj)+'2028'!Pspv,1-EXP((T0-t)*PertePVj)+Pspv)</f>
        <v>3.5943200075588821E-2</v>
      </c>
      <c r="M92" s="836"/>
      <c r="N92" s="836"/>
      <c r="O92" s="48">
        <f>IF(t&lt;Tnet,'2028'!Resal+('2028'!Salim-'2028'!Resal)*(1-EXP(('2028'!Tnet-t)/('2028'!Tau_j))),Resal+(Salim-Resal)*(1-EXP((Tnet-t)/(Tau_j))))*Salcycl</f>
        <v>3.7388512946455489E-2</v>
      </c>
      <c r="P92" s="165">
        <f>(INDEX(Models!$BJ92:$BT92,,T92)*(1-R92)+INDEX(Models!$BJ92:$BT92,,T92+1)*R92-ERP_i)*Q92*Ramure*Pc/MaxiM</f>
        <v>1.276571597561223E-4</v>
      </c>
      <c r="Q92" s="301">
        <f t="shared" si="28"/>
        <v>0.5</v>
      </c>
      <c r="R92" s="173">
        <f t="shared" si="29"/>
        <v>0.50912498488834768</v>
      </c>
      <c r="S92" s="802">
        <f t="shared" si="30"/>
        <v>3</v>
      </c>
      <c r="T92" s="172">
        <f t="shared" si="31"/>
        <v>9</v>
      </c>
      <c r="U92" s="247">
        <f t="shared" si="32"/>
        <v>3.5091249848883477</v>
      </c>
      <c r="V92" s="378">
        <f t="shared" si="33"/>
        <v>42.825819438017419</v>
      </c>
      <c r="W92" s="397">
        <f t="shared" si="34"/>
        <v>25.963813264052728</v>
      </c>
      <c r="X92" s="153">
        <f t="shared" si="35"/>
        <v>47196</v>
      </c>
      <c r="Y92" s="380">
        <f t="shared" si="36"/>
        <v>25.403756320747412</v>
      </c>
      <c r="Z92" s="380">
        <f t="shared" si="37"/>
        <v>26.350891693040541</v>
      </c>
      <c r="AA92" s="381">
        <f t="shared" si="38"/>
        <v>27.977880753206644</v>
      </c>
      <c r="AB92" s="193">
        <f t="shared" si="39"/>
        <v>47196</v>
      </c>
      <c r="AC92" s="119">
        <f>IF(OR(t&lt;Tnet,NoTnet),'2028'!Resal_s+('2028'!Salim-'2028'!Resal_s)*(1-EXP(('2028'!Tnet_s-t)/'2028'!Tau_j)),Resal_s+(Salim-Resal_s)*(1-EXP((Tnet_s-t)/Tau_j)))*Salcycl</f>
        <v>5.8152691210524521E-2</v>
      </c>
      <c r="AD92" s="227">
        <f>(INDEX(Models!$BJ92:$BT92,,AH92)*(1-AF92)+INDEX(Models!$BJ92:$BT92,,AH92+1)*AF92-ERP_i)*AE92*Ramure*Pc/MaxiM</f>
        <v>1.276571597561223E-4</v>
      </c>
      <c r="AE92" s="301">
        <f t="shared" si="40"/>
        <v>0.5</v>
      </c>
      <c r="AF92" s="173">
        <f t="shared" si="41"/>
        <v>0.50912498488834768</v>
      </c>
      <c r="AG92" s="802">
        <f t="shared" si="49"/>
        <v>3</v>
      </c>
      <c r="AH92" s="172">
        <f t="shared" si="42"/>
        <v>9</v>
      </c>
      <c r="AI92" s="221">
        <f t="shared" si="43"/>
        <v>3.5091249848883477</v>
      </c>
      <c r="AJ92" s="261" t="b">
        <f t="shared" si="44"/>
        <v>1</v>
      </c>
      <c r="AK92" s="261" t="b">
        <f t="shared" si="45"/>
        <v>1</v>
      </c>
      <c r="AL92" s="261"/>
      <c r="AM92" s="261"/>
      <c r="AN92" s="75"/>
    </row>
    <row r="93" spans="1:40" s="6" customFormat="1" ht="11.25" x14ac:dyDescent="0.2">
      <c r="A93" s="56">
        <f t="shared" si="46"/>
        <v>47197</v>
      </c>
      <c r="B93" s="406">
        <f>'2028'!Wh/'2028'!Env_an*'2029'!Env_an</f>
        <v>31.122846796574613</v>
      </c>
      <c r="C93" s="832"/>
      <c r="D93" s="388">
        <f t="shared" si="25"/>
        <v>32.283650559265858</v>
      </c>
      <c r="E93" s="380">
        <f t="shared" si="47"/>
        <v>33.538991828692247</v>
      </c>
      <c r="F93" s="380">
        <f t="shared" si="26"/>
        <v>33.54143878800776</v>
      </c>
      <c r="G93" s="110">
        <f t="shared" si="48"/>
        <v>0.71945381288233057</v>
      </c>
      <c r="H93" s="409" t="b">
        <f>Wh_hp&gt;='2028'!Maxi_hp</f>
        <v>0</v>
      </c>
      <c r="I93" s="385">
        <f>IF(H93,Wh_hp,'2028'!Maxi_hp)</f>
        <v>33.543069625939346</v>
      </c>
      <c r="J93" s="85">
        <f>IF(H93,An,'2028'!An_max)</f>
        <v>2022</v>
      </c>
      <c r="K93" s="193">
        <f t="shared" si="27"/>
        <v>47197</v>
      </c>
      <c r="L93" s="143">
        <f>IF(t&lt;Tvie,1-EXP((T0-t)*PertePVj)+'2028'!Pspv,1-EXP((T0-t)*PertePVj)+Pspv)</f>
        <v>3.5956397203601775E-2</v>
      </c>
      <c r="M93" s="836"/>
      <c r="N93" s="836"/>
      <c r="O93" s="48">
        <f>IF(t&lt;Tnet,'2028'!Resal+('2028'!Salim-'2028'!Resal)*(1-EXP(('2028'!Tnet-t)/('2028'!Tau_j))),Resal+(Salim-Resal)*(1-EXP((Tnet-t)/(Tau_j))))*Salcycl</f>
        <v>3.7429308425200147E-2</v>
      </c>
      <c r="P93" s="165">
        <f>(INDEX(Models!$BJ93:$BT93,,T93)*(1-R93)+INDEX(Models!$BJ93:$BT93,,T93+1)*R93-ERP_i)*Q93*Ramure*Pc/MaxiM</f>
        <v>1.217370046463513E-4</v>
      </c>
      <c r="Q93" s="301">
        <f t="shared" si="28"/>
        <v>0.5</v>
      </c>
      <c r="R93" s="173">
        <f t="shared" si="29"/>
        <v>0.5097740968709692</v>
      </c>
      <c r="S93" s="802">
        <f t="shared" si="30"/>
        <v>3</v>
      </c>
      <c r="T93" s="172">
        <f t="shared" si="31"/>
        <v>9</v>
      </c>
      <c r="U93" s="247">
        <f t="shared" si="32"/>
        <v>3.5097740968709692</v>
      </c>
      <c r="V93" s="378">
        <f t="shared" si="33"/>
        <v>43.256881597411876</v>
      </c>
      <c r="W93" s="397">
        <f t="shared" si="34"/>
        <v>31.122846796574613</v>
      </c>
      <c r="X93" s="153">
        <f t="shared" si="35"/>
        <v>47197</v>
      </c>
      <c r="Y93" s="380">
        <f t="shared" si="36"/>
        <v>30.452057401934869</v>
      </c>
      <c r="Z93" s="380">
        <f t="shared" si="37"/>
        <v>31.587842410449781</v>
      </c>
      <c r="AA93" s="381">
        <f t="shared" si="38"/>
        <v>33.538991828692247</v>
      </c>
      <c r="AB93" s="193">
        <f t="shared" si="39"/>
        <v>47197</v>
      </c>
      <c r="AC93" s="119">
        <f>IF(OR(t&lt;Tnet,NoTnet),'2028'!Resal_s+('2028'!Salim-'2028'!Resal_s)*(1-EXP(('2028'!Tnet_s-t)/'2028'!Tau_j)),Resal_s+(Salim-Resal_s)*(1-EXP((Tnet_s-t)/Tau_j)))*Salcycl</f>
        <v>5.8175553642410865E-2</v>
      </c>
      <c r="AD93" s="227">
        <f>(INDEX(Models!$BJ93:$BT93,,AH93)*(1-AF93)+INDEX(Models!$BJ93:$BT93,,AH93+1)*AF93-ERP_i)*AE93*Ramure*Pc/MaxiM</f>
        <v>1.217370046463513E-4</v>
      </c>
      <c r="AE93" s="301">
        <f t="shared" si="40"/>
        <v>0.5</v>
      </c>
      <c r="AF93" s="173">
        <f t="shared" si="41"/>
        <v>0.5097740968709692</v>
      </c>
      <c r="AG93" s="802">
        <f t="shared" si="49"/>
        <v>3</v>
      </c>
      <c r="AH93" s="172">
        <f t="shared" si="42"/>
        <v>9</v>
      </c>
      <c r="AI93" s="221">
        <f t="shared" si="43"/>
        <v>3.5097740968709692</v>
      </c>
      <c r="AJ93" s="261" t="b">
        <f t="shared" si="44"/>
        <v>1</v>
      </c>
      <c r="AK93" s="261" t="b">
        <f t="shared" si="45"/>
        <v>1</v>
      </c>
      <c r="AL93" s="261"/>
      <c r="AM93" s="261"/>
      <c r="AN93" s="75"/>
    </row>
    <row r="94" spans="1:40" s="6" customFormat="1" ht="11.25" x14ac:dyDescent="0.2">
      <c r="A94" s="56">
        <f t="shared" si="46"/>
        <v>47198</v>
      </c>
      <c r="B94" s="406">
        <f>'2028'!Wh/'2028'!Env_an*'2029'!Env_an</f>
        <v>41.861164057531639</v>
      </c>
      <c r="C94" s="832"/>
      <c r="D94" s="388">
        <f t="shared" si="25"/>
        <v>43.423074421250838</v>
      </c>
      <c r="E94" s="380">
        <f t="shared" si="47"/>
        <v>45.113488607245841</v>
      </c>
      <c r="F94" s="380">
        <f t="shared" si="26"/>
        <v>45.118560677993244</v>
      </c>
      <c r="G94" s="110">
        <f t="shared" si="48"/>
        <v>0.95807764673502083</v>
      </c>
      <c r="H94" s="409" t="b">
        <f>Wh_hp&gt;='2028'!Maxi_hp</f>
        <v>0</v>
      </c>
      <c r="I94" s="385">
        <f>IF(H94,Wh_hp,'2028'!Maxi_hp)</f>
        <v>45.118882566979195</v>
      </c>
      <c r="J94" s="85">
        <f>IF(H94,An,'2028'!An_max)</f>
        <v>2022</v>
      </c>
      <c r="K94" s="193">
        <f t="shared" si="27"/>
        <v>47198</v>
      </c>
      <c r="L94" s="143">
        <f>IF(t&lt;Tvie,1-EXP((T0-t)*PertePVj)+'2028'!Pspv,1-EXP((T0-t)*PertePVj)+Pspv)</f>
        <v>3.5969594150957129E-2</v>
      </c>
      <c r="M94" s="836"/>
      <c r="N94" s="836"/>
      <c r="O94" s="48">
        <f>IF(t&lt;Tnet,'2028'!Resal+('2028'!Salim-'2028'!Resal)*(1-EXP(('2028'!Tnet-t)/('2028'!Tau_j))),Resal+(Salim-Resal)*(1-EXP((Tnet-t)/(Tau_j))))*Salcycl</f>
        <v>3.7470260850620565E-2</v>
      </c>
      <c r="P94" s="165">
        <f>(INDEX(Models!$BJ94:$BT94,,T94)*(1-R94)+INDEX(Models!$BJ94:$BT94,,T94+1)*R94-ERP_i)*Q94*Ramure*Pc/MaxiM</f>
        <v>1.1957666560772011E-4</v>
      </c>
      <c r="Q94" s="301">
        <f t="shared" si="28"/>
        <v>0.5</v>
      </c>
      <c r="R94" s="173">
        <f t="shared" si="29"/>
        <v>0.51044859406066934</v>
      </c>
      <c r="S94" s="802">
        <f t="shared" si="30"/>
        <v>3</v>
      </c>
      <c r="T94" s="172">
        <f t="shared" si="31"/>
        <v>9</v>
      </c>
      <c r="U94" s="247">
        <f t="shared" si="32"/>
        <v>3.5104485940606693</v>
      </c>
      <c r="V94" s="378">
        <f t="shared" si="33"/>
        <v>43.692559192552793</v>
      </c>
      <c r="W94" s="397">
        <f t="shared" si="34"/>
        <v>41.861164057531639</v>
      </c>
      <c r="X94" s="153">
        <f t="shared" si="35"/>
        <v>47198</v>
      </c>
      <c r="Y94" s="380">
        <f t="shared" si="36"/>
        <v>40.959668491683608</v>
      </c>
      <c r="Z94" s="380">
        <f t="shared" si="37"/>
        <v>42.48794254119975</v>
      </c>
      <c r="AA94" s="381">
        <f t="shared" si="38"/>
        <v>45.113488607245841</v>
      </c>
      <c r="AB94" s="193">
        <f t="shared" si="39"/>
        <v>47198</v>
      </c>
      <c r="AC94" s="119">
        <f>IF(OR(t&lt;Tnet,NoTnet),'2028'!Resal_s+('2028'!Salim-'2028'!Resal_s)*(1-EXP(('2028'!Tnet_s-t)/'2028'!Tau_j)),Resal_s+(Salim-Resal_s)*(1-EXP((Tnet_s-t)/Tau_j)))*Salcycl</f>
        <v>5.8198692832289366E-2</v>
      </c>
      <c r="AD94" s="227">
        <f>(INDEX(Models!$BJ94:$BT94,,AH94)*(1-AF94)+INDEX(Models!$BJ94:$BT94,,AH94+1)*AF94-ERP_i)*AE94*Ramure*Pc/MaxiM</f>
        <v>1.1957666560772011E-4</v>
      </c>
      <c r="AE94" s="301">
        <f t="shared" si="40"/>
        <v>0.5</v>
      </c>
      <c r="AF94" s="173">
        <f t="shared" si="41"/>
        <v>0.51044859406066934</v>
      </c>
      <c r="AG94" s="802">
        <f t="shared" si="49"/>
        <v>3</v>
      </c>
      <c r="AH94" s="172">
        <f t="shared" si="42"/>
        <v>9</v>
      </c>
      <c r="AI94" s="221">
        <f t="shared" si="43"/>
        <v>3.5104485940606693</v>
      </c>
      <c r="AJ94" s="261" t="b">
        <f t="shared" si="44"/>
        <v>1</v>
      </c>
      <c r="AK94" s="261" t="b">
        <f t="shared" si="45"/>
        <v>1</v>
      </c>
      <c r="AL94" s="261"/>
      <c r="AM94" s="261"/>
      <c r="AN94" s="75"/>
    </row>
    <row r="95" spans="1:40" s="6" customFormat="1" ht="11.25" x14ac:dyDescent="0.2">
      <c r="A95" s="56">
        <f t="shared" si="46"/>
        <v>47199</v>
      </c>
      <c r="B95" s="406">
        <f>'2028'!Wh/'2028'!Env_an*'2029'!Env_an</f>
        <v>40.857628985935598</v>
      </c>
      <c r="C95" s="832"/>
      <c r="D95" s="388">
        <f t="shared" si="25"/>
        <v>42.382675953293791</v>
      </c>
      <c r="E95" s="380">
        <f t="shared" si="47"/>
        <v>44.034469909377151</v>
      </c>
      <c r="F95" s="380">
        <f t="shared" si="26"/>
        <v>44.039186815018248</v>
      </c>
      <c r="G95" s="110">
        <f t="shared" si="48"/>
        <v>0.92580192902069836</v>
      </c>
      <c r="H95" s="409" t="b">
        <f>Wh_hp&gt;='2028'!Maxi_hp</f>
        <v>0</v>
      </c>
      <c r="I95" s="385">
        <f>IF(H95,Wh_hp,'2028'!Maxi_hp)</f>
        <v>44.0397438016956</v>
      </c>
      <c r="J95" s="85">
        <f>IF(H95,An,'2028'!An_max)</f>
        <v>2022</v>
      </c>
      <c r="K95" s="193">
        <f t="shared" si="27"/>
        <v>47199</v>
      </c>
      <c r="L95" s="143">
        <f>IF(t&lt;Tvie,1-EXP((T0-t)*PertePVj)+'2028'!Pspv,1-EXP((T0-t)*PertePVj)+Pspv)</f>
        <v>3.5982790917657326E-2</v>
      </c>
      <c r="M95" s="836"/>
      <c r="N95" s="836"/>
      <c r="O95" s="48">
        <f>IF(t&lt;Tnet,'2028'!Resal+('2028'!Salim-'2028'!Resal)*(1-EXP(('2028'!Tnet-t)/('2028'!Tau_j))),Resal+(Salim-Resal)*(1-EXP((Tnet-t)/(Tau_j))))*Salcycl</f>
        <v>3.7511385046368154E-2</v>
      </c>
      <c r="P95" s="165">
        <f>(INDEX(Models!$BJ95:$BT95,,T95)*(1-R95)+INDEX(Models!$BJ95:$BT95,,T95+1)*R95-ERP_i)*Q95*Ramure*Pc/MaxiM</f>
        <v>1.1980387943811466E-4</v>
      </c>
      <c r="Q95" s="301">
        <f t="shared" si="28"/>
        <v>0.5</v>
      </c>
      <c r="R95" s="173">
        <f t="shared" si="29"/>
        <v>0.51114939162184392</v>
      </c>
      <c r="S95" s="802">
        <f t="shared" si="30"/>
        <v>3</v>
      </c>
      <c r="T95" s="172">
        <f t="shared" si="31"/>
        <v>9</v>
      </c>
      <c r="U95" s="247">
        <f t="shared" si="32"/>
        <v>3.5111493916218439</v>
      </c>
      <c r="V95" s="378">
        <f t="shared" si="33"/>
        <v>44.131588934601716</v>
      </c>
      <c r="W95" s="397">
        <f t="shared" si="34"/>
        <v>40.857628985935598</v>
      </c>
      <c r="X95" s="153">
        <f t="shared" si="35"/>
        <v>47199</v>
      </c>
      <c r="Y95" s="380">
        <f t="shared" si="36"/>
        <v>39.978458087527144</v>
      </c>
      <c r="Z95" s="380">
        <f t="shared" si="37"/>
        <v>41.470689227200651</v>
      </c>
      <c r="AA95" s="381">
        <f t="shared" si="38"/>
        <v>44.034469909377151</v>
      </c>
      <c r="AB95" s="193">
        <f t="shared" si="39"/>
        <v>47199</v>
      </c>
      <c r="AC95" s="119">
        <f>IF(OR(t&lt;Tnet,NoTnet),'2028'!Resal_s+('2028'!Salim-'2028'!Resal_s)*(1-EXP(('2028'!Tnet_s-t)/'2028'!Tau_j)),Resal_s+(Salim-Resal_s)*(1-EXP((Tnet_s-t)/Tau_j)))*Salcycl</f>
        <v>5.8222131149818702E-2</v>
      </c>
      <c r="AD95" s="227">
        <f>(INDEX(Models!$BJ95:$BT95,,AH95)*(1-AF95)+INDEX(Models!$BJ95:$BT95,,AH95+1)*AF95-ERP_i)*AE95*Ramure*Pc/MaxiM</f>
        <v>1.1980387943811466E-4</v>
      </c>
      <c r="AE95" s="301">
        <f t="shared" si="40"/>
        <v>0.5</v>
      </c>
      <c r="AF95" s="173">
        <f t="shared" si="41"/>
        <v>0.51114939162184392</v>
      </c>
      <c r="AG95" s="802">
        <f t="shared" si="49"/>
        <v>3</v>
      </c>
      <c r="AH95" s="172">
        <f t="shared" si="42"/>
        <v>9</v>
      </c>
      <c r="AI95" s="221">
        <f t="shared" si="43"/>
        <v>3.5111493916218439</v>
      </c>
      <c r="AJ95" s="261" t="b">
        <f t="shared" si="44"/>
        <v>1</v>
      </c>
      <c r="AK95" s="261" t="b">
        <f t="shared" si="45"/>
        <v>1</v>
      </c>
      <c r="AL95" s="261"/>
      <c r="AM95" s="261"/>
      <c r="AN95" s="75"/>
    </row>
    <row r="96" spans="1:40" s="6" customFormat="1" ht="11.25" x14ac:dyDescent="0.2">
      <c r="A96" s="56">
        <f t="shared" si="46"/>
        <v>47200</v>
      </c>
      <c r="B96" s="406">
        <f>'2028'!Wh/'2028'!Env_an*'2029'!Env_an</f>
        <v>43.58820366901606</v>
      </c>
      <c r="C96" s="832"/>
      <c r="D96" s="388">
        <f t="shared" si="25"/>
        <v>45.215790706248313</v>
      </c>
      <c r="E96" s="380">
        <f t="shared" si="47"/>
        <v>46.980017003394956</v>
      </c>
      <c r="F96" s="380">
        <f t="shared" si="26"/>
        <v>46.985584709461143</v>
      </c>
      <c r="G96" s="110">
        <f t="shared" si="48"/>
        <v>0.97790985677352238</v>
      </c>
      <c r="H96" s="409" t="b">
        <f>Wh_hp&gt;='2028'!Maxi_hp</f>
        <v>0</v>
      </c>
      <c r="I96" s="385">
        <f>IF(H96,Wh_hp,'2028'!Maxi_hp)</f>
        <v>46.985765354828146</v>
      </c>
      <c r="J96" s="85">
        <f>IF(H96,An,'2028'!An_max)</f>
        <v>2022</v>
      </c>
      <c r="K96" s="193">
        <f t="shared" si="27"/>
        <v>47200</v>
      </c>
      <c r="L96" s="143">
        <f>IF(t&lt;Tvie,1-EXP((T0-t)*PertePVj)+'2028'!Pspv,1-EXP((T0-t)*PertePVj)+Pspv)</f>
        <v>3.5995987503704918E-2</v>
      </c>
      <c r="M96" s="836"/>
      <c r="N96" s="836"/>
      <c r="O96" s="48">
        <f>IF(t&lt;Tnet,'2028'!Resal+('2028'!Salim-'2028'!Resal)*(1-EXP(('2028'!Tnet-t)/('2028'!Tau_j))),Resal+(Salim-Resal)*(1-EXP((Tnet-t)/(Tau_j))))*Salcycl</f>
        <v>3.7552696011564961E-2</v>
      </c>
      <c r="P96" s="165">
        <f>(INDEX(Models!$BJ96:$BT96,,T96)*(1-R96)+INDEX(Models!$BJ96:$BT96,,T96+1)*R96-ERP_i)*Q96*Ramure*Pc/MaxiM</f>
        <v>1.2235883585878129E-4</v>
      </c>
      <c r="Q96" s="301">
        <f t="shared" si="28"/>
        <v>0.5</v>
      </c>
      <c r="R96" s="173">
        <f t="shared" si="29"/>
        <v>0.51187743132413877</v>
      </c>
      <c r="S96" s="802">
        <f t="shared" si="30"/>
        <v>3</v>
      </c>
      <c r="T96" s="172">
        <f t="shared" si="31"/>
        <v>9</v>
      </c>
      <c r="U96" s="247">
        <f t="shared" si="32"/>
        <v>3.5118774313241388</v>
      </c>
      <c r="V96" s="378">
        <f t="shared" si="33"/>
        <v>44.572651628278535</v>
      </c>
      <c r="W96" s="397">
        <f t="shared" si="34"/>
        <v>43.58820366901606</v>
      </c>
      <c r="X96" s="153">
        <f t="shared" si="35"/>
        <v>47200</v>
      </c>
      <c r="Y96" s="380">
        <f t="shared" si="36"/>
        <v>42.651031107266149</v>
      </c>
      <c r="Z96" s="380">
        <f t="shared" si="37"/>
        <v>44.243624045527575</v>
      </c>
      <c r="AA96" s="381">
        <f t="shared" si="38"/>
        <v>46.980017003394956</v>
      </c>
      <c r="AB96" s="193">
        <f t="shared" si="39"/>
        <v>47200</v>
      </c>
      <c r="AC96" s="119">
        <f>IF(OR(t&lt;Tnet,NoTnet),'2028'!Resal_s+('2028'!Salim-'2028'!Resal_s)*(1-EXP(('2028'!Tnet_s-t)/'2028'!Tau_j)),Resal_s+(Salim-Resal_s)*(1-EXP((Tnet_s-t)/Tau_j)))*Salcycl</f>
        <v>5.8245891176872892E-2</v>
      </c>
      <c r="AD96" s="227">
        <f>(INDEX(Models!$BJ96:$BT96,,AH96)*(1-AF96)+INDEX(Models!$BJ96:$BT96,,AH96+1)*AF96-ERP_i)*AE96*Ramure*Pc/MaxiM</f>
        <v>1.2235883585878129E-4</v>
      </c>
      <c r="AE96" s="301">
        <f t="shared" si="40"/>
        <v>0.5</v>
      </c>
      <c r="AF96" s="173">
        <f t="shared" si="41"/>
        <v>0.51187743132413877</v>
      </c>
      <c r="AG96" s="802">
        <f t="shared" si="49"/>
        <v>3</v>
      </c>
      <c r="AH96" s="172">
        <f t="shared" si="42"/>
        <v>9</v>
      </c>
      <c r="AI96" s="221">
        <f t="shared" si="43"/>
        <v>3.5118774313241388</v>
      </c>
      <c r="AJ96" s="261" t="b">
        <f t="shared" si="44"/>
        <v>1</v>
      </c>
      <c r="AK96" s="261" t="b">
        <f t="shared" si="45"/>
        <v>1</v>
      </c>
      <c r="AL96" s="261"/>
      <c r="AM96" s="261"/>
      <c r="AN96" s="75"/>
    </row>
    <row r="97" spans="1:40" s="6" customFormat="1" ht="11.25" x14ac:dyDescent="0.2">
      <c r="A97" s="56">
        <f t="shared" si="46"/>
        <v>47201</v>
      </c>
      <c r="B97" s="406">
        <f>'2028'!Wh/'2028'!Env_an*'2029'!Env_an</f>
        <v>43.302267674909423</v>
      </c>
      <c r="C97" s="832"/>
      <c r="D97" s="388">
        <f t="shared" si="25"/>
        <v>44.919792753322575</v>
      </c>
      <c r="E97" s="380">
        <f t="shared" si="47"/>
        <v>46.674483017087155</v>
      </c>
      <c r="F97" s="380">
        <f t="shared" si="26"/>
        <v>46.680097416759928</v>
      </c>
      <c r="G97" s="110">
        <f t="shared" si="48"/>
        <v>0.96195753302961895</v>
      </c>
      <c r="H97" s="409" t="b">
        <f>Wh_hp&gt;='2028'!Maxi_hp</f>
        <v>0</v>
      </c>
      <c r="I97" s="385">
        <f>IF(H97,Wh_hp,'2028'!Maxi_hp)</f>
        <v>46.68041860984021</v>
      </c>
      <c r="J97" s="85">
        <f>IF(H97,An,'2028'!An_max)</f>
        <v>2022</v>
      </c>
      <c r="K97" s="193">
        <f t="shared" si="27"/>
        <v>47201</v>
      </c>
      <c r="L97" s="143">
        <f>IF(t&lt;Tvie,1-EXP((T0-t)*PertePVj)+'2028'!Pspv,1-EXP((T0-t)*PertePVj)+Pspv)</f>
        <v>3.6009183909102238E-2</v>
      </c>
      <c r="M97" s="836"/>
      <c r="N97" s="836"/>
      <c r="O97" s="48">
        <f>IF(t&lt;Tnet,'2028'!Resal+('2028'!Salim-'2028'!Resal)*(1-EXP(('2028'!Tnet-t)/('2028'!Tau_j))),Resal+(Salim-Resal)*(1-EXP((Tnet-t)/(Tau_j))))*Salcycl</f>
        <v>3.7594208876876013E-2</v>
      </c>
      <c r="P97" s="165">
        <f>(INDEX(Models!$BJ97:$BT97,,T97)*(1-R97)+INDEX(Models!$BJ97:$BT97,,T97+1)*R97-ERP_i)*Q97*Ramure*Pc/MaxiM</f>
        <v>1.2718477353725348E-4</v>
      </c>
      <c r="Q97" s="301">
        <f t="shared" si="28"/>
        <v>0.5</v>
      </c>
      <c r="R97" s="173">
        <f t="shared" si="29"/>
        <v>0.51263368177669832</v>
      </c>
      <c r="S97" s="802">
        <f t="shared" si="30"/>
        <v>3</v>
      </c>
      <c r="T97" s="172">
        <f t="shared" si="31"/>
        <v>9</v>
      </c>
      <c r="U97" s="247">
        <f t="shared" si="32"/>
        <v>3.5126336817766983</v>
      </c>
      <c r="V97" s="378">
        <f t="shared" si="33"/>
        <v>45.01442828580759</v>
      </c>
      <c r="W97" s="397">
        <f t="shared" si="34"/>
        <v>43.302267674909423</v>
      </c>
      <c r="X97" s="153">
        <f t="shared" si="35"/>
        <v>47201</v>
      </c>
      <c r="Y97" s="380">
        <f t="shared" si="36"/>
        <v>42.371986019271887</v>
      </c>
      <c r="Z97" s="380">
        <f t="shared" si="37"/>
        <v>43.954761095230701</v>
      </c>
      <c r="AA97" s="381">
        <f t="shared" si="38"/>
        <v>46.674483017087155</v>
      </c>
      <c r="AB97" s="193">
        <f t="shared" si="39"/>
        <v>47201</v>
      </c>
      <c r="AC97" s="119">
        <f>IF(OR(t&lt;Tnet,NoTnet),'2028'!Resal_s+('2028'!Salim-'2028'!Resal_s)*(1-EXP(('2028'!Tnet_s-t)/'2028'!Tau_j)),Resal_s+(Salim-Resal_s)*(1-EXP((Tnet_s-t)/Tau_j)))*Salcycl</f>
        <v>5.8269995638961625E-2</v>
      </c>
      <c r="AD97" s="227">
        <f>(INDEX(Models!$BJ97:$BT97,,AH97)*(1-AF97)+INDEX(Models!$BJ97:$BT97,,AH97+1)*AF97-ERP_i)*AE97*Ramure*Pc/MaxiM</f>
        <v>1.2718477353725348E-4</v>
      </c>
      <c r="AE97" s="301">
        <f t="shared" si="40"/>
        <v>0.5</v>
      </c>
      <c r="AF97" s="173">
        <f t="shared" si="41"/>
        <v>0.51263368177669832</v>
      </c>
      <c r="AG97" s="802">
        <f t="shared" si="49"/>
        <v>3</v>
      </c>
      <c r="AH97" s="172">
        <f t="shared" si="42"/>
        <v>9</v>
      </c>
      <c r="AI97" s="221">
        <f t="shared" si="43"/>
        <v>3.5126336817766983</v>
      </c>
      <c r="AJ97" s="261" t="b">
        <f t="shared" si="44"/>
        <v>1</v>
      </c>
      <c r="AK97" s="261" t="b">
        <f t="shared" si="45"/>
        <v>1</v>
      </c>
      <c r="AL97" s="261"/>
      <c r="AM97" s="261"/>
      <c r="AN97" s="75"/>
    </row>
    <row r="98" spans="1:40" s="6" customFormat="1" ht="11.25" x14ac:dyDescent="0.2">
      <c r="A98" s="56">
        <f t="shared" si="46"/>
        <v>47202</v>
      </c>
      <c r="B98" s="406">
        <f>'2028'!Wh/'2028'!Env_an*'2029'!Env_an</f>
        <v>36.071285292198475</v>
      </c>
      <c r="C98" s="832"/>
      <c r="D98" s="388">
        <f t="shared" si="25"/>
        <v>37.419214459778757</v>
      </c>
      <c r="E98" s="380">
        <f t="shared" si="47"/>
        <v>38.882597522922254</v>
      </c>
      <c r="F98" s="380">
        <f t="shared" si="26"/>
        <v>38.886277749328926</v>
      </c>
      <c r="G98" s="110">
        <f t="shared" si="48"/>
        <v>0.79351844597439658</v>
      </c>
      <c r="H98" s="409" t="b">
        <f>Wh_hp&gt;='2028'!Maxi_hp</f>
        <v>0</v>
      </c>
      <c r="I98" s="385">
        <f>IF(H98,Wh_hp,'2028'!Maxi_hp)</f>
        <v>38.887810174833888</v>
      </c>
      <c r="J98" s="85">
        <f>IF(H98,An,'2028'!An_max)</f>
        <v>2022</v>
      </c>
      <c r="K98" s="193">
        <f t="shared" si="27"/>
        <v>47202</v>
      </c>
      <c r="L98" s="143">
        <f>IF(t&lt;Tvie,1-EXP((T0-t)*PertePVj)+'2028'!Pspv,1-EXP((T0-t)*PertePVj)+Pspv)</f>
        <v>3.602238013385195E-2</v>
      </c>
      <c r="M98" s="836"/>
      <c r="N98" s="836"/>
      <c r="O98" s="48">
        <f>IF(t&lt;Tnet,'2028'!Resal+('2028'!Salim-'2028'!Resal)*(1-EXP(('2028'!Tnet-t)/('2028'!Tau_j))),Resal+(Salim-Resal)*(1-EXP((Tnet-t)/(Tau_j))))*Salcycl</f>
        <v>3.7635938861358201E-2</v>
      </c>
      <c r="P98" s="165">
        <f>(INDEX(Models!$BJ98:$BT98,,T98)*(1-R98)+INDEX(Models!$BJ98:$BT98,,T98+1)*R98-ERP_i)*Q98*Ramure*Pc/MaxiM</f>
        <v>1.3422863286606404E-4</v>
      </c>
      <c r="Q98" s="301">
        <f t="shared" si="28"/>
        <v>0.5</v>
      </c>
      <c r="R98" s="173">
        <f t="shared" si="29"/>
        <v>0.51341913861194577</v>
      </c>
      <c r="S98" s="802">
        <f t="shared" si="30"/>
        <v>3</v>
      </c>
      <c r="T98" s="172">
        <f t="shared" si="31"/>
        <v>9</v>
      </c>
      <c r="U98" s="247">
        <f t="shared" si="32"/>
        <v>3.5134191386119458</v>
      </c>
      <c r="V98" s="378">
        <f t="shared" si="33"/>
        <v>45.455600123892694</v>
      </c>
      <c r="W98" s="397">
        <f t="shared" si="34"/>
        <v>36.071285292198475</v>
      </c>
      <c r="X98" s="153">
        <f t="shared" si="35"/>
        <v>47202</v>
      </c>
      <c r="Y98" s="380">
        <f t="shared" si="36"/>
        <v>35.296963281959123</v>
      </c>
      <c r="Z98" s="380">
        <f t="shared" si="37"/>
        <v>36.615957211600247</v>
      </c>
      <c r="AA98" s="381">
        <f t="shared" si="38"/>
        <v>38.882597522922254</v>
      </c>
      <c r="AB98" s="193">
        <f t="shared" si="39"/>
        <v>47202</v>
      </c>
      <c r="AC98" s="119">
        <f>IF(OR(t&lt;Tnet,NoTnet),'2028'!Resal_s+('2028'!Salim-'2028'!Resal_s)*(1-EXP(('2028'!Tnet_s-t)/'2028'!Tau_j)),Resal_s+(Salim-Resal_s)*(1-EXP((Tnet_s-t)/Tau_j)))*Salcycl</f>
        <v>5.8294467338139422E-2</v>
      </c>
      <c r="AD98" s="227">
        <f>(INDEX(Models!$BJ98:$BT98,,AH98)*(1-AF98)+INDEX(Models!$BJ98:$BT98,,AH98+1)*AF98-ERP_i)*AE98*Ramure*Pc/MaxiM</f>
        <v>1.3422863286606404E-4</v>
      </c>
      <c r="AE98" s="301">
        <f t="shared" si="40"/>
        <v>0.5</v>
      </c>
      <c r="AF98" s="173">
        <f t="shared" si="41"/>
        <v>0.51341913861194577</v>
      </c>
      <c r="AG98" s="802">
        <f t="shared" si="49"/>
        <v>3</v>
      </c>
      <c r="AH98" s="172">
        <f t="shared" si="42"/>
        <v>9</v>
      </c>
      <c r="AI98" s="221">
        <f t="shared" si="43"/>
        <v>3.5134191386119458</v>
      </c>
      <c r="AJ98" s="261" t="b">
        <f t="shared" si="44"/>
        <v>1</v>
      </c>
      <c r="AK98" s="261" t="b">
        <f t="shared" si="45"/>
        <v>1</v>
      </c>
      <c r="AL98" s="261"/>
      <c r="AM98" s="261"/>
      <c r="AN98" s="75"/>
    </row>
    <row r="99" spans="1:40" s="6" customFormat="1" ht="11.25" x14ac:dyDescent="0.2">
      <c r="A99" s="56">
        <f t="shared" si="46"/>
        <v>47203</v>
      </c>
      <c r="B99" s="406">
        <f>'2028'!Wh/'2028'!Env_an*'2029'!Env_an</f>
        <v>39.618801636776169</v>
      </c>
      <c r="C99" s="832"/>
      <c r="D99" s="388">
        <f t="shared" si="25"/>
        <v>41.099858726830099</v>
      </c>
      <c r="E99" s="380">
        <f t="shared" si="47"/>
        <v>42.709045941451862</v>
      </c>
      <c r="F99" s="380">
        <f t="shared" si="26"/>
        <v>42.713975972278114</v>
      </c>
      <c r="G99" s="110">
        <f t="shared" si="48"/>
        <v>0.8632274110830469</v>
      </c>
      <c r="H99" s="409" t="b">
        <f>Wh_hp&gt;='2028'!Maxi_hp</f>
        <v>0</v>
      </c>
      <c r="I99" s="385">
        <f>IF(H99,Wh_hp,'2028'!Maxi_hp)</f>
        <v>42.715167261365842</v>
      </c>
      <c r="J99" s="85">
        <f>IF(H99,An,'2028'!An_max)</f>
        <v>2022</v>
      </c>
      <c r="K99" s="193">
        <f t="shared" si="27"/>
        <v>47203</v>
      </c>
      <c r="L99" s="143">
        <f>IF(t&lt;Tvie,1-EXP((T0-t)*PertePVj)+'2028'!Pspv,1-EXP((T0-t)*PertePVj)+Pspv)</f>
        <v>3.6035576177956385E-2</v>
      </c>
      <c r="M99" s="836"/>
      <c r="N99" s="836"/>
      <c r="O99" s="48">
        <f>IF(t&lt;Tnet,'2028'!Resal+('2028'!Salim-'2028'!Resal)*(1-EXP(('2028'!Tnet-t)/('2028'!Tau_j))),Resal+(Salim-Resal)*(1-EXP((Tnet-t)/(Tau_j))))*Salcycl</f>
        <v>3.767790123028579E-2</v>
      </c>
      <c r="P99" s="165">
        <f>(INDEX(Models!$BJ99:$BT99,,T99)*(1-R99)+INDEX(Models!$BJ99:$BT99,,T99+1)*R99-ERP_i)*Q99*Ramure*Pc/MaxiM</f>
        <v>1.4344163892440802E-4</v>
      </c>
      <c r="Q99" s="301">
        <f t="shared" si="28"/>
        <v>0.5</v>
      </c>
      <c r="R99" s="173">
        <f t="shared" si="29"/>
        <v>0.51423482461334924</v>
      </c>
      <c r="S99" s="802">
        <f t="shared" si="30"/>
        <v>3</v>
      </c>
      <c r="T99" s="172">
        <f t="shared" si="31"/>
        <v>9</v>
      </c>
      <c r="U99" s="247">
        <f t="shared" si="32"/>
        <v>3.5142348246133492</v>
      </c>
      <c r="V99" s="378">
        <f t="shared" si="33"/>
        <v>45.894848566105601</v>
      </c>
      <c r="W99" s="397">
        <f t="shared" si="34"/>
        <v>39.618801636776169</v>
      </c>
      <c r="X99" s="153">
        <f t="shared" si="35"/>
        <v>47203</v>
      </c>
      <c r="Y99" s="380">
        <f t="shared" si="36"/>
        <v>38.768994034073906</v>
      </c>
      <c r="Z99" s="380">
        <f t="shared" si="37"/>
        <v>40.218283036170433</v>
      </c>
      <c r="AA99" s="381">
        <f t="shared" si="38"/>
        <v>42.709045941451862</v>
      </c>
      <c r="AB99" s="193">
        <f t="shared" si="39"/>
        <v>47203</v>
      </c>
      <c r="AC99" s="119">
        <f>IF(OR(t&lt;Tnet,NoTnet),'2028'!Resal_s+('2028'!Salim-'2028'!Resal_s)*(1-EXP(('2028'!Tnet_s-t)/'2028'!Tau_j)),Resal_s+(Salim-Resal_s)*(1-EXP((Tnet_s-t)/Tau_j)))*Salcycl</f>
        <v>5.8319329087704659E-2</v>
      </c>
      <c r="AD99" s="227">
        <f>(INDEX(Models!$BJ99:$BT99,,AH99)*(1-AF99)+INDEX(Models!$BJ99:$BT99,,AH99+1)*AF99-ERP_i)*AE99*Ramure*Pc/MaxiM</f>
        <v>1.4344163892440802E-4</v>
      </c>
      <c r="AE99" s="301">
        <f t="shared" si="40"/>
        <v>0.5</v>
      </c>
      <c r="AF99" s="173">
        <f t="shared" si="41"/>
        <v>0.51423482461334924</v>
      </c>
      <c r="AG99" s="802">
        <f t="shared" si="49"/>
        <v>3</v>
      </c>
      <c r="AH99" s="172">
        <f t="shared" si="42"/>
        <v>9</v>
      </c>
      <c r="AI99" s="221">
        <f t="shared" si="43"/>
        <v>3.5142348246133492</v>
      </c>
      <c r="AJ99" s="261" t="b">
        <f t="shared" si="44"/>
        <v>1</v>
      </c>
      <c r="AK99" s="261" t="b">
        <f t="shared" si="45"/>
        <v>1</v>
      </c>
      <c r="AL99" s="261"/>
      <c r="AM99" s="261"/>
      <c r="AN99" s="75"/>
    </row>
    <row r="100" spans="1:40" s="6" customFormat="1" ht="11.25" x14ac:dyDescent="0.2">
      <c r="A100" s="56">
        <f t="shared" si="46"/>
        <v>47204</v>
      </c>
      <c r="B100" s="406">
        <f>'2028'!Wh/'2028'!Env_an*'2029'!Env_an</f>
        <v>41.45981919258854</v>
      </c>
      <c r="C100" s="832"/>
      <c r="D100" s="388">
        <f t="shared" si="25"/>
        <v>43.010287232467675</v>
      </c>
      <c r="E100" s="380">
        <f t="shared" si="47"/>
        <v>44.696234157529844</v>
      </c>
      <c r="F100" s="380">
        <f t="shared" si="26"/>
        <v>44.702088777981956</v>
      </c>
      <c r="G100" s="110">
        <f t="shared" si="48"/>
        <v>0.89484279291993618</v>
      </c>
      <c r="H100" s="409" t="b">
        <f>Wh_hp&gt;='2028'!Maxi_hp</f>
        <v>0</v>
      </c>
      <c r="I100" s="385">
        <f>IF(H100,Wh_hp,'2028'!Maxi_hp)</f>
        <v>44.703118513444139</v>
      </c>
      <c r="J100" s="85">
        <f>IF(H100,An,'2028'!An_max)</f>
        <v>2022</v>
      </c>
      <c r="K100" s="193">
        <f t="shared" si="27"/>
        <v>47204</v>
      </c>
      <c r="L100" s="143">
        <f>IF(t&lt;Tvie,1-EXP((T0-t)*PertePVj)+'2028'!Pspv,1-EXP((T0-t)*PertePVj)+Pspv)</f>
        <v>3.6048772041417987E-2</v>
      </c>
      <c r="M100" s="836"/>
      <c r="N100" s="836"/>
      <c r="O100" s="48">
        <f>IF(t&lt;Tnet,'2028'!Resal+('2028'!Salim-'2028'!Resal)*(1-EXP(('2028'!Tnet-t)/('2028'!Tau_j))),Resal+(Salim-Resal)*(1-EXP((Tnet-t)/(Tau_j))))*Salcycl</f>
        <v>3.7720111254118796E-2</v>
      </c>
      <c r="P100" s="165">
        <f>(INDEX(Models!$BJ100:$BT100,,T100)*(1-R100)+INDEX(Models!$BJ100:$BT100,,T100+1)*R100-ERP_i)*Q100*Ramure*Pc/MaxiM</f>
        <v>1.5411738794255921E-4</v>
      </c>
      <c r="Q100" s="301">
        <f t="shared" si="28"/>
        <v>0.5</v>
      </c>
      <c r="R100" s="173">
        <f t="shared" si="29"/>
        <v>0.51508178978131403</v>
      </c>
      <c r="S100" s="802">
        <f t="shared" si="30"/>
        <v>3</v>
      </c>
      <c r="T100" s="172">
        <f t="shared" si="31"/>
        <v>9</v>
      </c>
      <c r="U100" s="247">
        <f t="shared" si="32"/>
        <v>3.515081789781314</v>
      </c>
      <c r="V100" s="378">
        <f t="shared" si="33"/>
        <v>46.330885935664952</v>
      </c>
      <c r="W100" s="397">
        <f t="shared" si="34"/>
        <v>41.45981919258854</v>
      </c>
      <c r="X100" s="153">
        <f t="shared" si="35"/>
        <v>47204</v>
      </c>
      <c r="Y100" s="380">
        <f t="shared" si="36"/>
        <v>40.571213148101378</v>
      </c>
      <c r="Z100" s="380">
        <f t="shared" si="37"/>
        <v>42.088450091008752</v>
      </c>
      <c r="AA100" s="381">
        <f t="shared" si="38"/>
        <v>44.696234157529844</v>
      </c>
      <c r="AB100" s="193">
        <f t="shared" si="39"/>
        <v>47204</v>
      </c>
      <c r="AC100" s="119">
        <f>IF(OR(t&lt;Tnet,NoTnet),'2028'!Resal_s+('2028'!Salim-'2028'!Resal_s)*(1-EXP(('2028'!Tnet_s-t)/'2028'!Tau_j)),Resal_s+(Salim-Resal_s)*(1-EXP((Tnet_s-t)/Tau_j)))*Salcycl</f>
        <v>5.8344603648935414E-2</v>
      </c>
      <c r="AD100" s="227">
        <f>(INDEX(Models!$BJ100:$BT100,,AH100)*(1-AF100)+INDEX(Models!$BJ100:$BT100,,AH100+1)*AF100-ERP_i)*AE100*Ramure*Pc/MaxiM</f>
        <v>1.5411738794255921E-4</v>
      </c>
      <c r="AE100" s="301">
        <f t="shared" si="40"/>
        <v>0.5</v>
      </c>
      <c r="AF100" s="173">
        <f t="shared" si="41"/>
        <v>0.51508178978131403</v>
      </c>
      <c r="AG100" s="802">
        <f t="shared" si="49"/>
        <v>3</v>
      </c>
      <c r="AH100" s="172">
        <f t="shared" si="42"/>
        <v>9</v>
      </c>
      <c r="AI100" s="221">
        <f t="shared" si="43"/>
        <v>3.515081789781314</v>
      </c>
      <c r="AJ100" s="261" t="b">
        <f t="shared" si="44"/>
        <v>1</v>
      </c>
      <c r="AK100" s="261" t="b">
        <f t="shared" si="45"/>
        <v>1</v>
      </c>
      <c r="AL100" s="261"/>
      <c r="AM100" s="261"/>
      <c r="AN100" s="75"/>
    </row>
    <row r="101" spans="1:40" s="6" customFormat="1" ht="11.25" x14ac:dyDescent="0.2">
      <c r="A101" s="56">
        <f t="shared" si="46"/>
        <v>47205</v>
      </c>
      <c r="B101" s="406">
        <f>'2028'!Wh/'2028'!Env_an*'2029'!Env_an</f>
        <v>35.615331799771816</v>
      </c>
      <c r="C101" s="832"/>
      <c r="D101" s="388">
        <f t="shared" si="25"/>
        <v>36.947740007402352</v>
      </c>
      <c r="E101" s="380">
        <f t="shared" si="47"/>
        <v>38.397737813473078</v>
      </c>
      <c r="F101" s="380">
        <f t="shared" si="26"/>
        <v>38.401909352589804</v>
      </c>
      <c r="G101" s="110">
        <f t="shared" si="48"/>
        <v>0.76157948264667552</v>
      </c>
      <c r="H101" s="409" t="b">
        <f>Wh_hp&gt;='2028'!Maxi_hp</f>
        <v>0</v>
      </c>
      <c r="I101" s="385">
        <f>IF(H101,Wh_hp,'2028'!Maxi_hp)</f>
        <v>38.404052832194026</v>
      </c>
      <c r="J101" s="85">
        <f>IF(H101,An,'2028'!An_max)</f>
        <v>2022</v>
      </c>
      <c r="K101" s="193">
        <f t="shared" si="27"/>
        <v>47205</v>
      </c>
      <c r="L101" s="143">
        <f>IF(t&lt;Tvie,1-EXP((T0-t)*PertePVj)+'2028'!Pspv,1-EXP((T0-t)*PertePVj)+Pspv)</f>
        <v>3.6061967724239419E-2</v>
      </c>
      <c r="M101" s="836"/>
      <c r="N101" s="836"/>
      <c r="O101" s="48">
        <f>IF(t&lt;Tnet,'2028'!Resal+('2028'!Salim-'2028'!Resal)*(1-EXP(('2028'!Tnet-t)/('2028'!Tau_j))),Resal+(Salim-Resal)*(1-EXP((Tnet-t)/(Tau_j))))*Salcycl</f>
        <v>3.7762584168746269E-2</v>
      </c>
      <c r="P101" s="165">
        <f>(INDEX(Models!$BJ101:$BT101,,T101)*(1-R101)+INDEX(Models!$BJ101:$BT101,,T101+1)*R101-ERP_i)*Q101*Ramure*Pc/MaxiM</f>
        <v>1.6472322865369244E-4</v>
      </c>
      <c r="Q101" s="301">
        <f t="shared" si="28"/>
        <v>0.5</v>
      </c>
      <c r="R101" s="173">
        <f t="shared" si="29"/>
        <v>0.51596111133097811</v>
      </c>
      <c r="S101" s="802">
        <f t="shared" si="30"/>
        <v>3</v>
      </c>
      <c r="T101" s="172">
        <f t="shared" si="31"/>
        <v>9</v>
      </c>
      <c r="U101" s="247">
        <f t="shared" si="32"/>
        <v>3.5159611113309781</v>
      </c>
      <c r="V101" s="378">
        <f t="shared" si="33"/>
        <v>46.762464797620787</v>
      </c>
      <c r="W101" s="397">
        <f t="shared" si="34"/>
        <v>35.615331799771816</v>
      </c>
      <c r="X101" s="153">
        <f t="shared" si="35"/>
        <v>47205</v>
      </c>
      <c r="Y101" s="380">
        <f t="shared" si="36"/>
        <v>34.852577086897753</v>
      </c>
      <c r="Z101" s="380">
        <f t="shared" si="37"/>
        <v>36.15644981308013</v>
      </c>
      <c r="AA101" s="381">
        <f t="shared" si="38"/>
        <v>38.397737813473078</v>
      </c>
      <c r="AB101" s="193">
        <f t="shared" si="39"/>
        <v>47205</v>
      </c>
      <c r="AC101" s="119">
        <f>IF(OR(t&lt;Tnet,NoTnet),'2028'!Resal_s+('2028'!Salim-'2028'!Resal_s)*(1-EXP(('2028'!Tnet_s-t)/'2028'!Tau_j)),Resal_s+(Salim-Resal_s)*(1-EXP((Tnet_s-t)/Tau_j)))*Salcycl</f>
        <v>5.8370313670054866E-2</v>
      </c>
      <c r="AD101" s="227">
        <f>(INDEX(Models!$BJ101:$BT101,,AH101)*(1-AF101)+INDEX(Models!$BJ101:$BT101,,AH101+1)*AF101-ERP_i)*AE101*Ramure*Pc/MaxiM</f>
        <v>1.6472322865369244E-4</v>
      </c>
      <c r="AE101" s="301">
        <f t="shared" si="40"/>
        <v>0.5</v>
      </c>
      <c r="AF101" s="173">
        <f t="shared" si="41"/>
        <v>0.51596111133097811</v>
      </c>
      <c r="AG101" s="802">
        <f t="shared" si="49"/>
        <v>3</v>
      </c>
      <c r="AH101" s="172">
        <f t="shared" si="42"/>
        <v>9</v>
      </c>
      <c r="AI101" s="221">
        <f t="shared" si="43"/>
        <v>3.5159611113309781</v>
      </c>
      <c r="AJ101" s="261" t="b">
        <f t="shared" si="44"/>
        <v>1</v>
      </c>
      <c r="AK101" s="261" t="b">
        <f t="shared" si="45"/>
        <v>1</v>
      </c>
      <c r="AL101" s="261"/>
      <c r="AM101" s="261"/>
      <c r="AN101" s="75"/>
    </row>
    <row r="102" spans="1:40" s="6" customFormat="1" ht="11.25" x14ac:dyDescent="0.2">
      <c r="A102" s="56">
        <f t="shared" si="46"/>
        <v>47206</v>
      </c>
      <c r="B102" s="406">
        <f>'2028'!Wh/'2028'!Env_an*'2029'!Env_an</f>
        <v>27.122289312820286</v>
      </c>
      <c r="C102" s="832"/>
      <c r="D102" s="388">
        <f t="shared" si="25"/>
        <v>28.137348762174522</v>
      </c>
      <c r="E102" s="380">
        <f t="shared" si="47"/>
        <v>29.242885862585563</v>
      </c>
      <c r="F102" s="380">
        <f t="shared" si="26"/>
        <v>29.244897900763309</v>
      </c>
      <c r="G102" s="110">
        <f t="shared" si="48"/>
        <v>0.57470643908747965</v>
      </c>
      <c r="H102" s="409" t="b">
        <f>Wh_hp&gt;='2028'!Maxi_hp</f>
        <v>0</v>
      </c>
      <c r="I102" s="385">
        <f>IF(H102,Wh_hp,'2028'!Maxi_hp)</f>
        <v>29.247996056103595</v>
      </c>
      <c r="J102" s="85">
        <f>IF(H102,An,'2028'!An_max)</f>
        <v>2022</v>
      </c>
      <c r="K102" s="193">
        <f t="shared" si="27"/>
        <v>47206</v>
      </c>
      <c r="L102" s="143">
        <f>IF(t&lt;Tvie,1-EXP((T0-t)*PertePVj)+'2028'!Pspv,1-EXP((T0-t)*PertePVj)+Pspv)</f>
        <v>3.6075163226423013E-2</v>
      </c>
      <c r="M102" s="836"/>
      <c r="N102" s="836"/>
      <c r="O102" s="48">
        <f>IF(t&lt;Tnet,'2028'!Resal+('2028'!Salim-'2028'!Resal)*(1-EXP(('2028'!Tnet-t)/('2028'!Tau_j))),Resal+(Salim-Resal)*(1-EXP((Tnet-t)/(Tau_j))))*Salcycl</f>
        <v>3.7805335137101034E-2</v>
      </c>
      <c r="P102" s="165">
        <f>(INDEX(Models!$BJ102:$BT102,,T102)*(1-R102)+INDEX(Models!$BJ102:$BT102,,T102+1)*R102-ERP_i)*Q102*Ramure*Pc/MaxiM</f>
        <v>1.7527442922592195E-4</v>
      </c>
      <c r="Q102" s="301">
        <f t="shared" si="28"/>
        <v>0.5</v>
      </c>
      <c r="R102" s="173">
        <f t="shared" si="29"/>
        <v>0.51687389361536429</v>
      </c>
      <c r="S102" s="802">
        <f t="shared" si="30"/>
        <v>3</v>
      </c>
      <c r="T102" s="172">
        <f t="shared" si="31"/>
        <v>9</v>
      </c>
      <c r="U102" s="247">
        <f t="shared" si="32"/>
        <v>3.5168738936153643</v>
      </c>
      <c r="V102" s="378">
        <f t="shared" si="33"/>
        <v>47.188267660436388</v>
      </c>
      <c r="W102" s="397">
        <f t="shared" si="34"/>
        <v>27.122289312820286</v>
      </c>
      <c r="X102" s="153">
        <f t="shared" si="35"/>
        <v>47206</v>
      </c>
      <c r="Y102" s="380">
        <f t="shared" si="36"/>
        <v>26.541867229024419</v>
      </c>
      <c r="Z102" s="380">
        <f t="shared" si="37"/>
        <v>27.535204215574147</v>
      </c>
      <c r="AA102" s="381">
        <f t="shared" si="38"/>
        <v>29.242885862585563</v>
      </c>
      <c r="AB102" s="193">
        <f t="shared" si="39"/>
        <v>47206</v>
      </c>
      <c r="AC102" s="119">
        <f>IF(OR(t&lt;Tnet,NoTnet),'2028'!Resal_s+('2028'!Salim-'2028'!Resal_s)*(1-EXP(('2028'!Tnet_s-t)/'2028'!Tau_j)),Resal_s+(Salim-Resal_s)*(1-EXP((Tnet_s-t)/Tau_j)))*Salcycl</f>
        <v>5.8396481627563633E-2</v>
      </c>
      <c r="AD102" s="227">
        <f>(INDEX(Models!$BJ102:$BT102,,AH102)*(1-AF102)+INDEX(Models!$BJ102:$BT102,,AH102+1)*AF102-ERP_i)*AE102*Ramure*Pc/MaxiM</f>
        <v>1.7527442922592195E-4</v>
      </c>
      <c r="AE102" s="301">
        <f t="shared" si="40"/>
        <v>0.5</v>
      </c>
      <c r="AF102" s="173">
        <f t="shared" si="41"/>
        <v>0.51687389361536429</v>
      </c>
      <c r="AG102" s="802">
        <f t="shared" si="49"/>
        <v>3</v>
      </c>
      <c r="AH102" s="172">
        <f t="shared" si="42"/>
        <v>9</v>
      </c>
      <c r="AI102" s="221">
        <f t="shared" si="43"/>
        <v>3.5168738936153643</v>
      </c>
      <c r="AJ102" s="261" t="b">
        <f t="shared" si="44"/>
        <v>1</v>
      </c>
      <c r="AK102" s="261" t="b">
        <f t="shared" si="45"/>
        <v>1</v>
      </c>
      <c r="AL102" s="261"/>
      <c r="AM102" s="261"/>
      <c r="AN102" s="75"/>
    </row>
    <row r="103" spans="1:40" s="6" customFormat="1" ht="11.25" x14ac:dyDescent="0.2">
      <c r="A103" s="56">
        <f t="shared" si="46"/>
        <v>47207</v>
      </c>
      <c r="B103" s="406">
        <f>'2028'!Wh/'2028'!Env_an*'2029'!Env_an</f>
        <v>7.5535807466169524</v>
      </c>
      <c r="C103" s="832"/>
      <c r="D103" s="388">
        <f t="shared" si="25"/>
        <v>7.8363829440199506</v>
      </c>
      <c r="E103" s="380">
        <f t="shared" si="47"/>
        <v>8.1446445390838296</v>
      </c>
      <c r="F103" s="380">
        <f t="shared" si="26"/>
        <v>8.1446445390838296</v>
      </c>
      <c r="G103" s="110">
        <f t="shared" si="48"/>
        <v>0.15863593563186956</v>
      </c>
      <c r="H103" s="409" t="b">
        <f>Wh_hp&gt;='2028'!Maxi_hp</f>
        <v>0</v>
      </c>
      <c r="I103" s="385">
        <f>IF(H103,Wh_hp,'2028'!Maxi_hp)</f>
        <v>8.146149983745957</v>
      </c>
      <c r="J103" s="85">
        <f>IF(H103,An,'2028'!An_max)</f>
        <v>2022</v>
      </c>
      <c r="K103" s="193">
        <f t="shared" si="27"/>
        <v>47207</v>
      </c>
      <c r="L103" s="143">
        <f>IF(t&lt;Tvie,1-EXP((T0-t)*PertePVj)+'2028'!Pspv,1-EXP((T0-t)*PertePVj)+Pspv)</f>
        <v>3.6088358547971211E-2</v>
      </c>
      <c r="M103" s="836"/>
      <c r="N103" s="836"/>
      <c r="O103" s="48">
        <f>IF(t&lt;Tnet,'2028'!Resal+('2028'!Salim-'2028'!Resal)*(1-EXP(('2028'!Tnet-t)/('2028'!Tau_j))),Resal+(Salim-Resal)*(1-EXP((Tnet-t)/(Tau_j))))*Salcycl</f>
        <v>3.7848379212207378E-2</v>
      </c>
      <c r="P103" s="165">
        <f>(INDEX(Models!$BJ103:$BT103,,T103)*(1-R103)+INDEX(Models!$BJ103:$BT103,,T103+1)*R103-ERP_i)*Q103*Ramure*Pc/MaxiM</f>
        <v>1.857871454699916E-4</v>
      </c>
      <c r="Q103" s="301">
        <f t="shared" si="28"/>
        <v>0.5</v>
      </c>
      <c r="R103" s="173">
        <f t="shared" si="29"/>
        <v>0.51782126796698291</v>
      </c>
      <c r="S103" s="802">
        <f t="shared" si="30"/>
        <v>3</v>
      </c>
      <c r="T103" s="172">
        <f t="shared" si="31"/>
        <v>9</v>
      </c>
      <c r="U103" s="247">
        <f t="shared" si="32"/>
        <v>3.5178212679669829</v>
      </c>
      <c r="V103" s="378">
        <f t="shared" si="33"/>
        <v>47.606977311480911</v>
      </c>
      <c r="W103" s="397">
        <f t="shared" si="34"/>
        <v>7.5535807466169524</v>
      </c>
      <c r="X103" s="153">
        <f t="shared" si="35"/>
        <v>47207</v>
      </c>
      <c r="Y103" s="380">
        <f t="shared" si="36"/>
        <v>7.3920541885130477</v>
      </c>
      <c r="Z103" s="380">
        <f t="shared" si="37"/>
        <v>7.6688089142462443</v>
      </c>
      <c r="AA103" s="381">
        <f t="shared" si="38"/>
        <v>8.1446445390838296</v>
      </c>
      <c r="AB103" s="193">
        <f t="shared" si="39"/>
        <v>47207</v>
      </c>
      <c r="AC103" s="119">
        <f>IF(OR(t&lt;Tnet,NoTnet),'2028'!Resal_s+('2028'!Salim-'2028'!Resal_s)*(1-EXP(('2028'!Tnet_s-t)/'2028'!Tau_j)),Resal_s+(Salim-Resal_s)*(1-EXP((Tnet_s-t)/Tau_j)))*Salcycl</f>
        <v>5.8423129770020753E-2</v>
      </c>
      <c r="AD103" s="227">
        <f>(INDEX(Models!$BJ103:$BT103,,AH103)*(1-AF103)+INDEX(Models!$BJ103:$BT103,,AH103+1)*AF103-ERP_i)*AE103*Ramure*Pc/MaxiM</f>
        <v>1.857871454699916E-4</v>
      </c>
      <c r="AE103" s="301">
        <f t="shared" si="40"/>
        <v>0.5</v>
      </c>
      <c r="AF103" s="173">
        <f t="shared" si="41"/>
        <v>0.51782126796698291</v>
      </c>
      <c r="AG103" s="802">
        <f t="shared" si="49"/>
        <v>3</v>
      </c>
      <c r="AH103" s="172">
        <f t="shared" si="42"/>
        <v>9</v>
      </c>
      <c r="AI103" s="221">
        <f t="shared" si="43"/>
        <v>3.5178212679669829</v>
      </c>
      <c r="AJ103" s="261" t="b">
        <f t="shared" si="44"/>
        <v>1</v>
      </c>
      <c r="AK103" s="261" t="b">
        <f t="shared" si="45"/>
        <v>1</v>
      </c>
      <c r="AL103" s="261"/>
      <c r="AM103" s="261"/>
      <c r="AN103" s="75"/>
    </row>
    <row r="104" spans="1:40" s="6" customFormat="1" ht="11.25" x14ac:dyDescent="0.2">
      <c r="A104" s="56">
        <f t="shared" si="46"/>
        <v>47208</v>
      </c>
      <c r="B104" s="406">
        <f>'2028'!Wh/'2028'!Env_an*'2029'!Env_an</f>
        <v>26.385842456589288</v>
      </c>
      <c r="C104" s="832"/>
      <c r="D104" s="388">
        <f t="shared" si="25"/>
        <v>27.374089622790866</v>
      </c>
      <c r="E104" s="380">
        <f t="shared" si="47"/>
        <v>28.452192454209683</v>
      </c>
      <c r="F104" s="380">
        <f t="shared" si="26"/>
        <v>28.452192454209683</v>
      </c>
      <c r="G104" s="110">
        <f t="shared" si="48"/>
        <v>0.54939940852210667</v>
      </c>
      <c r="H104" s="409" t="b">
        <f>Wh_hp&gt;='2028'!Maxi_hp</f>
        <v>1</v>
      </c>
      <c r="I104" s="385">
        <f>IF(H104,Wh_hp,'2028'!Maxi_hp)</f>
        <v>28.452192454209683</v>
      </c>
      <c r="J104" s="85">
        <f>IF(H104,An,'2028'!An_max)</f>
        <v>2029</v>
      </c>
      <c r="K104" s="193">
        <f t="shared" si="27"/>
        <v>47208</v>
      </c>
      <c r="L104" s="143">
        <f>IF(t&lt;Tvie,1-EXP((T0-t)*PertePVj)+'2028'!Pspv,1-EXP((T0-t)*PertePVj)+Pspv)</f>
        <v>3.6101553688886567E-2</v>
      </c>
      <c r="M104" s="836"/>
      <c r="N104" s="836"/>
      <c r="O104" s="48">
        <f>IF(t&lt;Tnet,'2028'!Resal+('2028'!Salim-'2028'!Resal)*(1-EXP(('2028'!Tnet-t)/('2028'!Tau_j))),Resal+(Salim-Resal)*(1-EXP((Tnet-t)/(Tau_j))))*Salcycl</f>
        <v>3.7891731301687617E-2</v>
      </c>
      <c r="P104" s="165">
        <f>(INDEX(Models!$BJ104:$BT104,,T104)*(1-R104)+INDEX(Models!$BJ104:$BT104,,T104+1)*R104-ERP_i)*Q104*Ramure*Pc/MaxiM</f>
        <v>0</v>
      </c>
      <c r="Q104" s="301">
        <f t="shared" si="28"/>
        <v>0.5</v>
      </c>
      <c r="R104" s="173">
        <f t="shared" si="29"/>
        <v>0.99381682607666977</v>
      </c>
      <c r="S104" s="802">
        <f t="shared" si="30"/>
        <v>-1</v>
      </c>
      <c r="T104" s="172">
        <f t="shared" si="31"/>
        <v>5</v>
      </c>
      <c r="U104" s="247">
        <f t="shared" si="32"/>
        <v>-6.1831739233302249E-3</v>
      </c>
      <c r="V104" s="378">
        <f t="shared" si="33"/>
        <v>48.026703427962602</v>
      </c>
      <c r="W104" s="397">
        <f t="shared" si="34"/>
        <v>26.385842456589288</v>
      </c>
      <c r="X104" s="153">
        <f t="shared" si="35"/>
        <v>47208</v>
      </c>
      <c r="Y104" s="380">
        <f t="shared" si="36"/>
        <v>25.820218000813149</v>
      </c>
      <c r="Z104" s="380">
        <f t="shared" si="37"/>
        <v>26.787280443939284</v>
      </c>
      <c r="AA104" s="381">
        <f t="shared" si="38"/>
        <v>28.450202763342816</v>
      </c>
      <c r="AB104" s="193">
        <f t="shared" si="39"/>
        <v>47208</v>
      </c>
      <c r="AC104" s="119">
        <f>IF(OR(t&lt;Tnet,NoTnet),'2028'!Resal_s+('2028'!Salim-'2028'!Resal_s)*(1-EXP(('2028'!Tnet_s-t)/'2028'!Tau_j)),Resal_s+(Salim-Resal_s)*(1-EXP((Tnet_s-t)/Tau_j)))*Salcycl</f>
        <v>5.8450280064300794E-2</v>
      </c>
      <c r="AD104" s="227">
        <f>(INDEX(Models!$BJ104:$BT104,,AH104)*(1-AF104)+INDEX(Models!$BJ104:$BT104,,AH104+1)*AF104-ERP_i)*AE104*Ramure*Pc/MaxiM</f>
        <v>1.9627839120345611E-4</v>
      </c>
      <c r="AE104" s="301">
        <f t="shared" si="40"/>
        <v>0.5</v>
      </c>
      <c r="AF104" s="173">
        <f t="shared" si="41"/>
        <v>0.51880439245064691</v>
      </c>
      <c r="AG104" s="802">
        <f t="shared" si="49"/>
        <v>3</v>
      </c>
      <c r="AH104" s="172">
        <f t="shared" si="42"/>
        <v>9</v>
      </c>
      <c r="AI104" s="221">
        <f t="shared" si="43"/>
        <v>3.5188043924506469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47209</v>
      </c>
      <c r="B105" s="406">
        <f>'2028'!Wh/'2028'!Env_an*'2029'!Env_an</f>
        <v>29.022331172742255</v>
      </c>
      <c r="C105" s="832"/>
      <c r="D105" s="388">
        <f t="shared" si="25"/>
        <v>30.10973674726236</v>
      </c>
      <c r="E105" s="380">
        <f t="shared" si="47"/>
        <v>31.297001198494769</v>
      </c>
      <c r="F105" s="380">
        <f t="shared" si="26"/>
        <v>31.297001729447363</v>
      </c>
      <c r="G105" s="110">
        <f t="shared" si="48"/>
        <v>0.59928995390106543</v>
      </c>
      <c r="H105" s="409" t="b">
        <f>Wh_hp&gt;='2028'!Maxi_hp</f>
        <v>1</v>
      </c>
      <c r="I105" s="385">
        <f>IF(H105,Wh_hp,'2028'!Maxi_hp)</f>
        <v>31.297001729447363</v>
      </c>
      <c r="J105" s="85">
        <f>IF(H105,An,'2028'!An_max)</f>
        <v>2029</v>
      </c>
      <c r="K105" s="193">
        <f t="shared" si="27"/>
        <v>47209</v>
      </c>
      <c r="L105" s="143">
        <f>IF(t&lt;Tvie,1-EXP((T0-t)*PertePVj)+'2028'!Pspv,1-EXP((T0-t)*PertePVj)+Pspv)</f>
        <v>3.6114748649171524E-2</v>
      </c>
      <c r="M105" s="836"/>
      <c r="N105" s="836"/>
      <c r="O105" s="48">
        <f>IF(t&lt;Tnet,'2028'!Resal+('2028'!Salim-'2028'!Resal)*(1-EXP(('2028'!Tnet-t)/('2028'!Tau_j))),Resal+(Salim-Resal)*(1-EXP((Tnet-t)/(Tau_j))))*Salcycl</f>
        <v>3.793540613371963E-2</v>
      </c>
      <c r="P105" s="165">
        <f>(INDEX(Models!$BJ105:$BT105,,T105)*(1-R105)+INDEX(Models!$BJ105:$BT105,,T105+1)*R105-ERP_i)*Q105*Ramure*Pc/MaxiM</f>
        <v>3.9678833252318585E-8</v>
      </c>
      <c r="Q105" s="301">
        <f t="shared" si="28"/>
        <v>0.5</v>
      </c>
      <c r="R105" s="173">
        <f t="shared" si="29"/>
        <v>0.99483688514595503</v>
      </c>
      <c r="S105" s="802">
        <f t="shared" si="30"/>
        <v>-1</v>
      </c>
      <c r="T105" s="172">
        <f t="shared" si="31"/>
        <v>5</v>
      </c>
      <c r="U105" s="247">
        <f t="shared" si="32"/>
        <v>-5.1631148540449874E-3</v>
      </c>
      <c r="V105" s="378">
        <f t="shared" si="33"/>
        <v>48.427860878715947</v>
      </c>
      <c r="W105" s="397">
        <f t="shared" si="34"/>
        <v>29.022331172742255</v>
      </c>
      <c r="X105" s="153">
        <f t="shared" si="35"/>
        <v>47209</v>
      </c>
      <c r="Y105" s="380">
        <f t="shared" si="36"/>
        <v>28.400119490419677</v>
      </c>
      <c r="Z105" s="380">
        <f t="shared" si="37"/>
        <v>29.4642121047278</v>
      </c>
      <c r="AA105" s="381">
        <f t="shared" si="38"/>
        <v>31.294234940563047</v>
      </c>
      <c r="AB105" s="193">
        <f t="shared" si="39"/>
        <v>47209</v>
      </c>
      <c r="AC105" s="119">
        <f>IF(OR(t&lt;Tnet,NoTnet),'2028'!Resal_s+('2028'!Salim-'2028'!Resal_s)*(1-EXP(('2028'!Tnet_s-t)/'2028'!Tau_j)),Resal_s+(Salim-Resal_s)*(1-EXP((Tnet_s-t)/Tau_j)))*Salcycl</f>
        <v>5.8477954144301729E-2</v>
      </c>
      <c r="AD105" s="227">
        <f>(INDEX(Models!$BJ105:$BT105,,AH105)*(1-AF105)+INDEX(Models!$BJ105:$BT105,,AH105+1)*AF105-ERP_i)*AE105*Ramure*Pc/MaxiM</f>
        <v>2.0676602050087576E-4</v>
      </c>
      <c r="AE105" s="301">
        <f t="shared" si="40"/>
        <v>0.5</v>
      </c>
      <c r="AF105" s="173">
        <f t="shared" si="41"/>
        <v>0.51982445151993195</v>
      </c>
      <c r="AG105" s="802">
        <f t="shared" si="49"/>
        <v>3</v>
      </c>
      <c r="AH105" s="172">
        <f t="shared" si="42"/>
        <v>9</v>
      </c>
      <c r="AI105" s="221">
        <f t="shared" si="43"/>
        <v>3.519824451519932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47210</v>
      </c>
      <c r="B106" s="406">
        <f>'2028'!Wh/'2028'!Env_an*'2029'!Env_an</f>
        <v>19.778273239006722</v>
      </c>
      <c r="C106" s="832"/>
      <c r="D106" s="388">
        <f t="shared" si="25"/>
        <v>20.519604343926027</v>
      </c>
      <c r="E106" s="380">
        <f t="shared" si="47"/>
        <v>21.329693701618236</v>
      </c>
      <c r="F106" s="380">
        <f t="shared" si="26"/>
        <v>21.329693962857156</v>
      </c>
      <c r="G106" s="110">
        <f t="shared" si="48"/>
        <v>0.40514316903166914</v>
      </c>
      <c r="H106" s="409" t="b">
        <f>Wh_hp&gt;='2028'!Maxi_hp</f>
        <v>1</v>
      </c>
      <c r="I106" s="385">
        <f>IF(H106,Wh_hp,'2028'!Maxi_hp)</f>
        <v>21.329693962857156</v>
      </c>
      <c r="J106" s="85">
        <f>IF(H106,An,'2028'!An_max)</f>
        <v>2029</v>
      </c>
      <c r="K106" s="193">
        <f t="shared" si="27"/>
        <v>47210</v>
      </c>
      <c r="L106" s="143">
        <f>IF(t&lt;Tvie,1-EXP((T0-t)*PertePVj)+'2028'!Pspv,1-EXP((T0-t)*PertePVj)+Pspv)</f>
        <v>3.6127943428828524E-2</v>
      </c>
      <c r="M106" s="836"/>
      <c r="N106" s="836"/>
      <c r="O106" s="48">
        <f>IF(t&lt;Tnet,'2028'!Resal+('2028'!Salim-'2028'!Resal)*(1-EXP(('2028'!Tnet-t)/('2028'!Tau_j))),Resal+(Salim-Resal)*(1-EXP((Tnet-t)/(Tau_j))))*Salcycl</f>
        <v>3.797941822440469E-2</v>
      </c>
      <c r="P106" s="165">
        <f>(INDEX(Models!$BJ106:$BT106,,T106)*(1-R106)+INDEX(Models!$BJ106:$BT106,,T106+1)*R106-ERP_i)*Q106*Ramure*Pc/MaxiM</f>
        <v>8.1539889156434037E-8</v>
      </c>
      <c r="Q106" s="301">
        <f t="shared" si="28"/>
        <v>0.5</v>
      </c>
      <c r="R106" s="173">
        <f t="shared" si="29"/>
        <v>0.99589508919539438</v>
      </c>
      <c r="S106" s="802">
        <f t="shared" si="30"/>
        <v>-1</v>
      </c>
      <c r="T106" s="172">
        <f t="shared" si="31"/>
        <v>5</v>
      </c>
      <c r="U106" s="247">
        <f t="shared" si="32"/>
        <v>-4.104910804605625E-3</v>
      </c>
      <c r="V106" s="378">
        <f t="shared" si="33"/>
        <v>48.817981840340778</v>
      </c>
      <c r="W106" s="397">
        <f t="shared" si="34"/>
        <v>19.778273239006722</v>
      </c>
      <c r="X106" s="153">
        <f t="shared" si="35"/>
        <v>47210</v>
      </c>
      <c r="Y106" s="380">
        <f t="shared" si="36"/>
        <v>19.355630267290351</v>
      </c>
      <c r="Z106" s="380">
        <f t="shared" si="37"/>
        <v>20.08111982843975</v>
      </c>
      <c r="AA106" s="381">
        <f t="shared" si="38"/>
        <v>21.328997873534167</v>
      </c>
      <c r="AB106" s="193">
        <f t="shared" si="39"/>
        <v>47210</v>
      </c>
      <c r="AC106" s="119">
        <f>IF(OR(t&lt;Tnet,NoTnet),'2028'!Resal_s+('2028'!Salim-'2028'!Resal_s)*(1-EXP(('2028'!Tnet_s-t)/'2028'!Tau_j)),Resal_s+(Salim-Resal_s)*(1-EXP((Tnet_s-t)/Tau_j)))*Salcycl</f>
        <v>5.8506173262028061E-2</v>
      </c>
      <c r="AD106" s="227">
        <f>(INDEX(Models!$BJ106:$BT106,,AH106)*(1-AF106)+INDEX(Models!$BJ106:$BT106,,AH106+1)*AF106-ERP_i)*AE106*Ramure*Pc/MaxiM</f>
        <v>2.172687218847763E-4</v>
      </c>
      <c r="AE106" s="301">
        <f t="shared" si="40"/>
        <v>0.5</v>
      </c>
      <c r="AF106" s="173">
        <f t="shared" si="41"/>
        <v>0.52088265556937152</v>
      </c>
      <c r="AG106" s="802">
        <f t="shared" si="49"/>
        <v>3</v>
      </c>
      <c r="AH106" s="172">
        <f t="shared" si="42"/>
        <v>9</v>
      </c>
      <c r="AI106" s="221">
        <f t="shared" si="43"/>
        <v>3.5208826555693715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47211</v>
      </c>
      <c r="B107" s="406">
        <f>'2028'!Wh/'2028'!Env_an*'2029'!Env_an</f>
        <v>27.003403418302476</v>
      </c>
      <c r="C107" s="832"/>
      <c r="D107" s="388">
        <f t="shared" si="25"/>
        <v>28.015931049335524</v>
      </c>
      <c r="E107" s="380">
        <f t="shared" si="47"/>
        <v>29.123309413106856</v>
      </c>
      <c r="F107" s="380">
        <f t="shared" si="26"/>
        <v>29.123310706341144</v>
      </c>
      <c r="G107" s="110">
        <f t="shared" si="48"/>
        <v>0.54885296350589041</v>
      </c>
      <c r="H107" s="409" t="b">
        <f>Wh_hp&gt;='2028'!Maxi_hp</f>
        <v>1</v>
      </c>
      <c r="I107" s="385">
        <f>IF(H107,Wh_hp,'2028'!Maxi_hp)</f>
        <v>29.123310706341144</v>
      </c>
      <c r="J107" s="85">
        <f>IF(H107,An,'2028'!An_max)</f>
        <v>2029</v>
      </c>
      <c r="K107" s="193">
        <f t="shared" si="27"/>
        <v>47211</v>
      </c>
      <c r="L107" s="143">
        <f>IF(t&lt;Tvie,1-EXP((T0-t)*PertePVj)+'2028'!Pspv,1-EXP((T0-t)*PertePVj)+Pspv)</f>
        <v>3.614113802786012E-2</v>
      </c>
      <c r="M107" s="836"/>
      <c r="N107" s="836"/>
      <c r="O107" s="48">
        <f>IF(t&lt;Tnet,'2028'!Resal+('2028'!Salim-'2028'!Resal)*(1-EXP(('2028'!Tnet-t)/('2028'!Tau_j))),Resal+(Salim-Resal)*(1-EXP((Tnet-t)/(Tau_j))))*Salcycl</f>
        <v>3.8023781846473828E-2</v>
      </c>
      <c r="P107" s="165">
        <f>(INDEX(Models!$BJ107:$BT107,,T107)*(1-R107)+INDEX(Models!$BJ107:$BT107,,T107+1)*R107-ERP_i)*Q107*Ramure*Pc/MaxiM</f>
        <v>1.2490839078148338E-7</v>
      </c>
      <c r="Q107" s="301">
        <f t="shared" si="28"/>
        <v>0.5</v>
      </c>
      <c r="R107" s="173">
        <f t="shared" si="29"/>
        <v>0.99699267400020797</v>
      </c>
      <c r="S107" s="802">
        <f t="shared" si="30"/>
        <v>-1</v>
      </c>
      <c r="T107" s="172">
        <f t="shared" si="31"/>
        <v>5</v>
      </c>
      <c r="U107" s="247">
        <f t="shared" si="32"/>
        <v>-3.0073259997920564E-3</v>
      </c>
      <c r="V107" s="378">
        <f t="shared" si="33"/>
        <v>49.1997001746347</v>
      </c>
      <c r="W107" s="397">
        <f t="shared" si="34"/>
        <v>27.003403418302476</v>
      </c>
      <c r="X107" s="153">
        <f t="shared" si="35"/>
        <v>47211</v>
      </c>
      <c r="Y107" s="380">
        <f t="shared" si="36"/>
        <v>26.425500187051611</v>
      </c>
      <c r="Z107" s="380">
        <f t="shared" si="37"/>
        <v>27.4163585869644</v>
      </c>
      <c r="AA107" s="381">
        <f t="shared" si="38"/>
        <v>29.120952314637723</v>
      </c>
      <c r="AB107" s="193">
        <f t="shared" si="39"/>
        <v>47211</v>
      </c>
      <c r="AC107" s="119">
        <f>IF(OR(t&lt;Tnet,NoTnet),'2028'!Resal_s+('2028'!Salim-'2028'!Resal_s)*(1-EXP(('2028'!Tnet_s-t)/'2028'!Tau_j)),Resal_s+(Salim-Resal_s)*(1-EXP((Tnet_s-t)/Tau_j)))*Salcycl</f>
        <v>5.8534958240926298E-2</v>
      </c>
      <c r="AD107" s="227">
        <f>(INDEX(Models!$BJ107:$BT107,,AH107)*(1-AF107)+INDEX(Models!$BJ107:$BT107,,AH107+1)*AF107-ERP_i)*AE107*Ramure*Pc/MaxiM</f>
        <v>2.2778773736427009E-4</v>
      </c>
      <c r="AE107" s="301">
        <f t="shared" si="40"/>
        <v>0.5</v>
      </c>
      <c r="AF107" s="173">
        <f t="shared" si="41"/>
        <v>0.52198024037418511</v>
      </c>
      <c r="AG107" s="802">
        <f t="shared" si="49"/>
        <v>3</v>
      </c>
      <c r="AH107" s="172">
        <f t="shared" si="42"/>
        <v>9</v>
      </c>
      <c r="AI107" s="221">
        <f t="shared" si="43"/>
        <v>3.5219802403741851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47212</v>
      </c>
      <c r="B108" s="406">
        <f>'2028'!Wh/'2028'!Env_an*'2029'!Env_an</f>
        <v>41.936472290521607</v>
      </c>
      <c r="C108" s="832"/>
      <c r="D108" s="388">
        <f t="shared" si="25"/>
        <v>43.509530314077786</v>
      </c>
      <c r="E108" s="380">
        <f t="shared" si="47"/>
        <v>45.231423247485615</v>
      </c>
      <c r="F108" s="380">
        <f t="shared" si="26"/>
        <v>45.231429203227307</v>
      </c>
      <c r="G108" s="110">
        <f t="shared" si="48"/>
        <v>0.84589713695415802</v>
      </c>
      <c r="H108" s="409" t="b">
        <f>Wh_hp&gt;='2028'!Maxi_hp</f>
        <v>1</v>
      </c>
      <c r="I108" s="385">
        <f>IF(H108,Wh_hp,'2028'!Maxi_hp)</f>
        <v>45.231429203227307</v>
      </c>
      <c r="J108" s="85">
        <f>IF(H108,An,'2028'!An_max)</f>
        <v>2029</v>
      </c>
      <c r="K108" s="193">
        <f t="shared" si="27"/>
        <v>47212</v>
      </c>
      <c r="L108" s="143">
        <f>IF(t&lt;Tvie,1-EXP((T0-t)*PertePVj)+'2028'!Pspv,1-EXP((T0-t)*PertePVj)+Pspv)</f>
        <v>3.6154332446268755E-2</v>
      </c>
      <c r="M108" s="836"/>
      <c r="N108" s="836"/>
      <c r="O108" s="48">
        <f>IF(t&lt;Tnet,'2028'!Resal+('2028'!Salim-'2028'!Resal)*(1-EXP(('2028'!Tnet-t)/('2028'!Tau_j))),Resal+(Salim-Resal)*(1-EXP((Tnet-t)/(Tau_j))))*Salcycl</f>
        <v>3.806851099923219E-2</v>
      </c>
      <c r="P108" s="165">
        <f>(INDEX(Models!$BJ108:$BT108,,T108)*(1-R108)+INDEX(Models!$BJ108:$BT108,,T108+1)*R108-ERP_i)*Q108*Ramure*Pc/MaxiM</f>
        <v>1.6884287604643329E-7</v>
      </c>
      <c r="Q108" s="301">
        <f t="shared" si="28"/>
        <v>0.5</v>
      </c>
      <c r="R108" s="173">
        <f t="shared" si="29"/>
        <v>0.99813090003506066</v>
      </c>
      <c r="S108" s="802">
        <f t="shared" si="30"/>
        <v>-1</v>
      </c>
      <c r="T108" s="172">
        <f t="shared" si="31"/>
        <v>5</v>
      </c>
      <c r="U108" s="247">
        <f t="shared" si="32"/>
        <v>-1.8690999649393844E-3</v>
      </c>
      <c r="V108" s="378">
        <f t="shared" si="33"/>
        <v>49.576324235751024</v>
      </c>
      <c r="W108" s="397">
        <f t="shared" si="34"/>
        <v>41.936472290521607</v>
      </c>
      <c r="X108" s="153">
        <f t="shared" si="35"/>
        <v>47212</v>
      </c>
      <c r="Y108" s="380">
        <f t="shared" si="36"/>
        <v>41.035364182631646</v>
      </c>
      <c r="Z108" s="380">
        <f t="shared" si="37"/>
        <v>42.574621190942956</v>
      </c>
      <c r="AA108" s="381">
        <f t="shared" si="38"/>
        <v>45.223080579924165</v>
      </c>
      <c r="AB108" s="193">
        <f t="shared" si="39"/>
        <v>47212</v>
      </c>
      <c r="AC108" s="119">
        <f>IF(OR(t&lt;Tnet,NoTnet),'2028'!Resal_s+('2028'!Salim-'2028'!Resal_s)*(1-EXP(('2028'!Tnet_s-t)/'2028'!Tau_j)),Resal_s+(Salim-Resal_s)*(1-EXP((Tnet_s-t)/Tau_j)))*Salcycl</f>
        <v>5.8564329431306787E-2</v>
      </c>
      <c r="AD108" s="227">
        <f>(INDEX(Models!$BJ108:$BT108,,AH108)*(1-AF108)+INDEX(Models!$BJ108:$BT108,,AH108+1)*AF108-ERP_i)*AE108*Ramure*Pc/MaxiM</f>
        <v>2.3668010516075135E-4</v>
      </c>
      <c r="AE108" s="301">
        <f t="shared" si="40"/>
        <v>0.5</v>
      </c>
      <c r="AF108" s="173">
        <f t="shared" si="41"/>
        <v>0.52311846640903781</v>
      </c>
      <c r="AG108" s="802">
        <f t="shared" si="49"/>
        <v>3</v>
      </c>
      <c r="AH108" s="172">
        <f t="shared" si="42"/>
        <v>9</v>
      </c>
      <c r="AI108" s="221">
        <f t="shared" si="43"/>
        <v>3.5231184664090378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47213</v>
      </c>
      <c r="B109" s="406">
        <f>'2028'!Wh/'2028'!Env_an*'2029'!Env_an</f>
        <v>50.188849645158456</v>
      </c>
      <c r="C109" s="832"/>
      <c r="D109" s="388">
        <f t="shared" si="25"/>
        <v>52.072171289778289</v>
      </c>
      <c r="E109" s="380">
        <f t="shared" si="47"/>
        <v>54.135469987831087</v>
      </c>
      <c r="F109" s="380">
        <f t="shared" si="26"/>
        <v>54.135481479246053</v>
      </c>
      <c r="G109" s="110">
        <f t="shared" si="48"/>
        <v>1.0048310592931584</v>
      </c>
      <c r="H109" s="409" t="b">
        <f>Wh_hp&gt;='2028'!Maxi_hp</f>
        <v>1</v>
      </c>
      <c r="I109" s="385">
        <f>IF(H109,Wh_hp,'2028'!Maxi_hp)</f>
        <v>54.135481479246053</v>
      </c>
      <c r="J109" s="85">
        <f>IF(H109,An,'2028'!An_max)</f>
        <v>2029</v>
      </c>
      <c r="K109" s="193">
        <f t="shared" si="27"/>
        <v>47213</v>
      </c>
      <c r="L109" s="143">
        <f>IF(t&lt;Tvie,1-EXP((T0-t)*PertePVj)+'2028'!Pspv,1-EXP((T0-t)*PertePVj)+Pspv)</f>
        <v>3.6167526684056761E-2</v>
      </c>
      <c r="M109" s="836"/>
      <c r="N109" s="836"/>
      <c r="O109" s="48">
        <f>IF(t&lt;Tnet,'2028'!Resal+('2028'!Salim-'2028'!Resal)*(1-EXP(('2028'!Tnet-t)/('2028'!Tau_j))),Resal+(Salim-Resal)*(1-EXP((Tnet-t)/(Tau_j))))*Salcycl</f>
        <v>3.8113619379615681E-2</v>
      </c>
      <c r="P109" s="165">
        <f>(INDEX(Models!$BJ109:$BT109,,T109)*(1-R109)+INDEX(Models!$BJ109:$BT109,,T109+1)*R109-ERP_i)*Q109*Ramure*Pc/MaxiM</f>
        <v>2.1227140964258491E-7</v>
      </c>
      <c r="Q109" s="301">
        <f t="shared" si="28"/>
        <v>0.5</v>
      </c>
      <c r="R109" s="173">
        <f t="shared" si="29"/>
        <v>0.99931105166307932</v>
      </c>
      <c r="S109" s="802">
        <f t="shared" si="30"/>
        <v>-1</v>
      </c>
      <c r="T109" s="172">
        <f t="shared" si="31"/>
        <v>5</v>
      </c>
      <c r="U109" s="247">
        <f t="shared" si="32"/>
        <v>-6.889483369206563E-4</v>
      </c>
      <c r="V109" s="378">
        <f t="shared" si="33"/>
        <v>49.947550069226018</v>
      </c>
      <c r="W109" s="397">
        <f t="shared" si="34"/>
        <v>50.188849645158456</v>
      </c>
      <c r="X109" s="153">
        <f t="shared" si="35"/>
        <v>47213</v>
      </c>
      <c r="Y109" s="380">
        <f t="shared" si="36"/>
        <v>49.108277812065801</v>
      </c>
      <c r="Z109" s="380">
        <f t="shared" si="37"/>
        <v>50.951051320272505</v>
      </c>
      <c r="AA109" s="381">
        <f t="shared" si="38"/>
        <v>54.122310584205067</v>
      </c>
      <c r="AB109" s="193">
        <f t="shared" si="39"/>
        <v>47213</v>
      </c>
      <c r="AC109" s="119">
        <f>IF(OR(t&lt;Tnet,NoTnet),'2028'!Resal_s+('2028'!Salim-'2028'!Resal_s)*(1-EXP(('2028'!Tnet_s-t)/'2028'!Tau_j)),Resal_s+(Salim-Resal_s)*(1-EXP((Tnet_s-t)/Tau_j)))*Salcycl</f>
        <v>5.8594306667647353E-2</v>
      </c>
      <c r="AD109" s="227">
        <f>(INDEX(Models!$BJ109:$BT109,,AH109)*(1-AF109)+INDEX(Models!$BJ109:$BT109,,AH109+1)*AF109-ERP_i)*AE109*Ramure*Pc/MaxiM</f>
        <v>2.4329505679256312E-4</v>
      </c>
      <c r="AE109" s="301">
        <f t="shared" si="40"/>
        <v>0.5</v>
      </c>
      <c r="AF109" s="173">
        <f t="shared" si="41"/>
        <v>0.52429861803705657</v>
      </c>
      <c r="AG109" s="802">
        <f t="shared" si="49"/>
        <v>3</v>
      </c>
      <c r="AH109" s="172">
        <f t="shared" si="42"/>
        <v>9</v>
      </c>
      <c r="AI109" s="221">
        <f t="shared" si="43"/>
        <v>3.5242986180370566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47214</v>
      </c>
      <c r="B110" s="406">
        <f>'2028'!Wh/'2028'!Env_an*'2029'!Env_an</f>
        <v>12.242545767281859</v>
      </c>
      <c r="C110" s="832"/>
      <c r="D110" s="388">
        <f t="shared" si="25"/>
        <v>12.702117534624342</v>
      </c>
      <c r="E110" s="380">
        <f t="shared" si="47"/>
        <v>13.206048737814166</v>
      </c>
      <c r="F110" s="380">
        <f t="shared" si="26"/>
        <v>13.206048737814166</v>
      </c>
      <c r="G110" s="110">
        <f t="shared" si="48"/>
        <v>0.24332726524402623</v>
      </c>
      <c r="H110" s="409" t="b">
        <f>Wh_hp&gt;='2028'!Maxi_hp</f>
        <v>1</v>
      </c>
      <c r="I110" s="385">
        <f>IF(H110,Wh_hp,'2028'!Maxi_hp)</f>
        <v>13.206048737814166</v>
      </c>
      <c r="J110" s="85">
        <f>IF(H110,An,'2028'!An_max)</f>
        <v>2029</v>
      </c>
      <c r="K110" s="193">
        <f t="shared" si="27"/>
        <v>47214</v>
      </c>
      <c r="L110" s="143">
        <f>IF(t&lt;Tvie,1-EXP((T0-t)*PertePVj)+'2028'!Pspv,1-EXP((T0-t)*PertePVj)+Pspv)</f>
        <v>3.6180720741226802E-2</v>
      </c>
      <c r="M110" s="836"/>
      <c r="N110" s="836"/>
      <c r="O110" s="48">
        <f>IF(t&lt;Tnet,'2028'!Resal+('2028'!Salim-'2028'!Resal)*(1-EXP(('2028'!Tnet-t)/('2028'!Tau_j))),Resal+(Salim-Resal)*(1-EXP((Tnet-t)/(Tau_j))))*Salcycl</f>
        <v>3.815912035421077E-2</v>
      </c>
      <c r="P110" s="165">
        <f>(INDEX(Models!$BJ110:$BT110,,T110)*(1-R110)+INDEX(Models!$BJ110:$BT110,,T110+1)*R110-ERP_i)*Q110*Ramure*Pc/MaxiM</f>
        <v>2.5754819630083153E-7</v>
      </c>
      <c r="Q110" s="301">
        <f t="shared" si="28"/>
        <v>0.5</v>
      </c>
      <c r="R110" s="173">
        <f t="shared" si="29"/>
        <v>5.344361861195461E-4</v>
      </c>
      <c r="S110" s="802">
        <f t="shared" si="30"/>
        <v>0</v>
      </c>
      <c r="T110" s="172">
        <f t="shared" si="31"/>
        <v>6</v>
      </c>
      <c r="U110" s="247">
        <f t="shared" si="32"/>
        <v>5.344361861195461E-4</v>
      </c>
      <c r="V110" s="378">
        <f t="shared" si="33"/>
        <v>50.313073637508595</v>
      </c>
      <c r="W110" s="397">
        <f t="shared" si="34"/>
        <v>12.242545767281859</v>
      </c>
      <c r="X110" s="153">
        <f t="shared" si="35"/>
        <v>47214</v>
      </c>
      <c r="Y110" s="380">
        <f t="shared" si="36"/>
        <v>11.982052205147617</v>
      </c>
      <c r="Z110" s="380">
        <f t="shared" si="37"/>
        <v>12.431845329305339</v>
      </c>
      <c r="AA110" s="381">
        <f t="shared" si="38"/>
        <v>13.206048737814166</v>
      </c>
      <c r="AB110" s="193">
        <f t="shared" si="39"/>
        <v>47214</v>
      </c>
      <c r="AC110" s="119">
        <f>IF(OR(t&lt;Tnet,NoTnet),'2028'!Resal_s+('2028'!Salim-'2028'!Resal_s)*(1-EXP(('2028'!Tnet_s-t)/'2028'!Tau_j)),Resal_s+(Salim-Resal_s)*(1-EXP((Tnet_s-t)/Tau_j)))*Salcycl</f>
        <v>5.8624909227540101E-2</v>
      </c>
      <c r="AD110" s="227">
        <f>(INDEX(Models!$BJ110:$BT110,,AH110)*(1-AF110)+INDEX(Models!$BJ110:$BT110,,AH110+1)*AF110-ERP_i)*AE110*Ramure*Pc/MaxiM</f>
        <v>2.4767450225421936E-4</v>
      </c>
      <c r="AE110" s="301">
        <f t="shared" si="40"/>
        <v>0.5</v>
      </c>
      <c r="AF110" s="173">
        <f t="shared" si="41"/>
        <v>0.52552200256009662</v>
      </c>
      <c r="AG110" s="802">
        <f t="shared" si="49"/>
        <v>3</v>
      </c>
      <c r="AH110" s="172">
        <f t="shared" si="42"/>
        <v>9</v>
      </c>
      <c r="AI110" s="221">
        <f t="shared" si="43"/>
        <v>3.5255220025600966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47215</v>
      </c>
      <c r="B111" s="406">
        <f>'2028'!Wh/'2028'!Env_an*'2029'!Env_an</f>
        <v>41.497403010896406</v>
      </c>
      <c r="C111" s="832"/>
      <c r="D111" s="388">
        <f t="shared" si="25"/>
        <v>43.055759493819437</v>
      </c>
      <c r="E111" s="380">
        <f t="shared" si="47"/>
        <v>44.766047545954962</v>
      </c>
      <c r="F111" s="380">
        <f t="shared" si="26"/>
        <v>44.766057669859549</v>
      </c>
      <c r="G111" s="110">
        <f t="shared" si="48"/>
        <v>0.8189318693743044</v>
      </c>
      <c r="H111" s="409" t="b">
        <f>Wh_hp&gt;='2028'!Maxi_hp</f>
        <v>1</v>
      </c>
      <c r="I111" s="385">
        <f>IF(H111,Wh_hp,'2028'!Maxi_hp)</f>
        <v>44.766057669859549</v>
      </c>
      <c r="J111" s="85">
        <f>IF(H111,An,'2028'!An_max)</f>
        <v>2029</v>
      </c>
      <c r="K111" s="193">
        <f t="shared" si="27"/>
        <v>47215</v>
      </c>
      <c r="L111" s="143">
        <f>IF(t&lt;Tvie,1-EXP((T0-t)*PertePVj)+'2028'!Pspv,1-EXP((T0-t)*PertePVj)+Pspv)</f>
        <v>3.619391461778132E-2</v>
      </c>
      <c r="M111" s="836"/>
      <c r="N111" s="836"/>
      <c r="O111" s="48">
        <f>IF(t&lt;Tnet,'2028'!Resal+('2028'!Salim-'2028'!Resal)*(1-EXP(('2028'!Tnet-t)/('2028'!Tau_j))),Resal+(Salim-Resal)*(1-EXP((Tnet-t)/(Tau_j))))*Salcycl</f>
        <v>3.8205026932069688E-2</v>
      </c>
      <c r="P111" s="165">
        <f>(INDEX(Models!$BJ111:$BT111,,T111)*(1-R111)+INDEX(Models!$BJ111:$BT111,,T111+1)*R111-ERP_i)*Q111*Ramure*Pc/MaxiM</f>
        <v>3.0506110315376865E-7</v>
      </c>
      <c r="Q111" s="301">
        <f t="shared" si="28"/>
        <v>0.5</v>
      </c>
      <c r="R111" s="173">
        <f t="shared" si="29"/>
        <v>1.8023827470685545E-3</v>
      </c>
      <c r="S111" s="802">
        <f t="shared" si="30"/>
        <v>0</v>
      </c>
      <c r="T111" s="172">
        <f t="shared" si="31"/>
        <v>6</v>
      </c>
      <c r="U111" s="247">
        <f t="shared" si="32"/>
        <v>1.8023827470685545E-3</v>
      </c>
      <c r="V111" s="378">
        <f t="shared" si="33"/>
        <v>50.672591076534424</v>
      </c>
      <c r="W111" s="397">
        <f t="shared" si="34"/>
        <v>41.497403010896406</v>
      </c>
      <c r="X111" s="153">
        <f t="shared" si="35"/>
        <v>47215</v>
      </c>
      <c r="Y111" s="380">
        <f t="shared" si="36"/>
        <v>40.607509145930173</v>
      </c>
      <c r="Z111" s="380">
        <f t="shared" si="37"/>
        <v>42.132447347877417</v>
      </c>
      <c r="AA111" s="381">
        <f t="shared" si="38"/>
        <v>44.757765833510327</v>
      </c>
      <c r="AB111" s="193">
        <f t="shared" si="39"/>
        <v>47215</v>
      </c>
      <c r="AC111" s="119">
        <f>IF(OR(t&lt;Tnet,NoTnet),'2028'!Resal_s+('2028'!Salim-'2028'!Resal_s)*(1-EXP(('2028'!Tnet_s-t)/'2028'!Tau_j)),Resal_s+(Salim-Resal_s)*(1-EXP((Tnet_s-t)/Tau_j)))*Salcycl</f>
        <v>5.8656155792015142E-2</v>
      </c>
      <c r="AD111" s="227">
        <f>(INDEX(Models!$BJ111:$BT111,,AH111)*(1-AF111)+INDEX(Models!$BJ111:$BT111,,AH111+1)*AF111-ERP_i)*AE111*Ramure*Pc/MaxiM</f>
        <v>2.4985584592550504E-4</v>
      </c>
      <c r="AE111" s="301">
        <f t="shared" si="40"/>
        <v>0.5</v>
      </c>
      <c r="AF111" s="173">
        <f t="shared" si="41"/>
        <v>0.52678994912104571</v>
      </c>
      <c r="AG111" s="802">
        <f t="shared" si="49"/>
        <v>3</v>
      </c>
      <c r="AH111" s="172">
        <f t="shared" si="42"/>
        <v>9</v>
      </c>
      <c r="AI111" s="221">
        <f t="shared" si="43"/>
        <v>3.5267899491210457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47216</v>
      </c>
      <c r="B112" s="406">
        <f>'2028'!Wh/'2028'!Env_an*'2029'!Env_an</f>
        <v>35.349029479041327</v>
      </c>
      <c r="C112" s="832"/>
      <c r="D112" s="388">
        <f t="shared" si="25"/>
        <v>36.676997500151451</v>
      </c>
      <c r="E112" s="380">
        <f t="shared" si="47"/>
        <v>38.135741148621946</v>
      </c>
      <c r="F112" s="380">
        <f t="shared" si="26"/>
        <v>38.135748620344017</v>
      </c>
      <c r="G112" s="110">
        <f t="shared" si="48"/>
        <v>0.69276767451860055</v>
      </c>
      <c r="H112" s="409" t="b">
        <f>Wh_hp&gt;='2028'!Maxi_hp</f>
        <v>1</v>
      </c>
      <c r="I112" s="385">
        <f>IF(H112,Wh_hp,'2028'!Maxi_hp)</f>
        <v>38.135748620344017</v>
      </c>
      <c r="J112" s="85">
        <f>IF(H112,An,'2028'!An_max)</f>
        <v>2029</v>
      </c>
      <c r="K112" s="193">
        <f t="shared" si="27"/>
        <v>47216</v>
      </c>
      <c r="L112" s="143">
        <f>IF(t&lt;Tvie,1-EXP((T0-t)*PertePVj)+'2028'!Pspv,1-EXP((T0-t)*PertePVj)+Pspv)</f>
        <v>3.6207108313722758E-2</v>
      </c>
      <c r="M112" s="836"/>
      <c r="N112" s="836"/>
      <c r="O112" s="48">
        <f>IF(t&lt;Tnet,'2028'!Resal+('2028'!Salim-'2028'!Resal)*(1-EXP(('2028'!Tnet-t)/('2028'!Tau_j))),Resal+(Salim-Resal)*(1-EXP((Tnet-t)/(Tau_j))))*Salcycl</f>
        <v>3.8251351738137367E-2</v>
      </c>
      <c r="P112" s="165">
        <f>(INDEX(Models!$BJ112:$BT112,,T112)*(1-R112)+INDEX(Models!$BJ112:$BT112,,T112+1)*R112-ERP_i)*Q112*Ramure*Pc/MaxiM</f>
        <v>3.4918101083833224E-7</v>
      </c>
      <c r="Q112" s="301">
        <f t="shared" si="28"/>
        <v>0.5</v>
      </c>
      <c r="R112" s="173">
        <f t="shared" si="29"/>
        <v>3.1162410748121379E-3</v>
      </c>
      <c r="S112" s="802">
        <f t="shared" si="30"/>
        <v>0</v>
      </c>
      <c r="T112" s="172">
        <f t="shared" si="31"/>
        <v>6</v>
      </c>
      <c r="U112" s="247">
        <f t="shared" si="32"/>
        <v>3.1162410748121379E-3</v>
      </c>
      <c r="V112" s="378">
        <f t="shared" si="33"/>
        <v>51.025798924769589</v>
      </c>
      <c r="W112" s="397">
        <f t="shared" si="34"/>
        <v>35.349029479041327</v>
      </c>
      <c r="X112" s="153">
        <f t="shared" si="35"/>
        <v>47216</v>
      </c>
      <c r="Y112" s="380">
        <f t="shared" si="36"/>
        <v>34.593035072425188</v>
      </c>
      <c r="Z112" s="380">
        <f t="shared" si="37"/>
        <v>35.892602415753771</v>
      </c>
      <c r="AA112" s="381">
        <f t="shared" si="38"/>
        <v>38.130401898219453</v>
      </c>
      <c r="AB112" s="193">
        <f t="shared" si="39"/>
        <v>47216</v>
      </c>
      <c r="AC112" s="119">
        <f>IF(OR(t&lt;Tnet,NoTnet),'2028'!Resal_s+('2028'!Salim-'2028'!Resal_s)*(1-EXP(('2028'!Tnet_s-t)/'2028'!Tau_j)),Resal_s+(Salim-Resal_s)*(1-EXP((Tnet_s-t)/Tau_j)))*Salcycl</f>
        <v>5.8688064406952282E-2</v>
      </c>
      <c r="AD112" s="227">
        <f>(INDEX(Models!$BJ112:$BT112,,AH112)*(1-AF112)+INDEX(Models!$BJ112:$BT112,,AH112+1)*AF112-ERP_i)*AE112*Ramure*Pc/MaxiM</f>
        <v>2.4987195972258562E-4</v>
      </c>
      <c r="AE112" s="301">
        <f t="shared" si="40"/>
        <v>0.5</v>
      </c>
      <c r="AF112" s="173">
        <f t="shared" si="41"/>
        <v>0.52810380744878938</v>
      </c>
      <c r="AG112" s="802">
        <f t="shared" si="49"/>
        <v>3</v>
      </c>
      <c r="AH112" s="172">
        <f t="shared" si="42"/>
        <v>9</v>
      </c>
      <c r="AI112" s="221">
        <f t="shared" si="43"/>
        <v>3.5281038074487894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47217</v>
      </c>
      <c r="B113" s="406">
        <f>'2028'!Wh/'2028'!Env_an*'2029'!Env_an</f>
        <v>32.885853525455786</v>
      </c>
      <c r="C113" s="832"/>
      <c r="D113" s="388">
        <f t="shared" si="25"/>
        <v>34.121753745037687</v>
      </c>
      <c r="E113" s="380">
        <f t="shared" si="47"/>
        <v>35.480593303334423</v>
      </c>
      <c r="F113" s="380">
        <f t="shared" si="26"/>
        <v>35.480600001328156</v>
      </c>
      <c r="G113" s="110">
        <f t="shared" si="48"/>
        <v>0.64014628576938115</v>
      </c>
      <c r="H113" s="409" t="b">
        <f>Wh_hp&gt;='2028'!Maxi_hp</f>
        <v>1</v>
      </c>
      <c r="I113" s="385">
        <f>IF(H113,Wh_hp,'2028'!Maxi_hp)</f>
        <v>35.480600001328156</v>
      </c>
      <c r="J113" s="85">
        <f>IF(H113,An,'2028'!An_max)</f>
        <v>2029</v>
      </c>
      <c r="K113" s="193">
        <f t="shared" si="27"/>
        <v>47217</v>
      </c>
      <c r="L113" s="143">
        <f>IF(t&lt;Tvie,1-EXP((T0-t)*PertePVj)+'2028'!Pspv,1-EXP((T0-t)*PertePVj)+Pspv)</f>
        <v>3.6220301829053558E-2</v>
      </c>
      <c r="M113" s="836"/>
      <c r="N113" s="836"/>
      <c r="O113" s="48">
        <f>IF(t&lt;Tnet,'2028'!Resal+('2028'!Salim-'2028'!Resal)*(1-EXP(('2028'!Tnet-t)/('2028'!Tau_j))),Resal+(Salim-Resal)*(1-EXP((Tnet-t)/(Tau_j))))*Salcycl</f>
        <v>3.8298106987095813E-2</v>
      </c>
      <c r="P113" s="165">
        <f>(INDEX(Models!$BJ113:$BT113,,T113)*(1-R113)+INDEX(Models!$BJ113:$BT113,,T113+1)*R113-ERP_i)*Q113*Ramure*Pc/MaxiM</f>
        <v>3.8849543957812761E-7</v>
      </c>
      <c r="Q113" s="301">
        <f t="shared" si="28"/>
        <v>0.5</v>
      </c>
      <c r="R113" s="173">
        <f t="shared" si="29"/>
        <v>4.4773800623781716E-3</v>
      </c>
      <c r="S113" s="802">
        <f t="shared" si="30"/>
        <v>0</v>
      </c>
      <c r="T113" s="172">
        <f t="shared" si="31"/>
        <v>6</v>
      </c>
      <c r="U113" s="247">
        <f t="shared" si="32"/>
        <v>4.4773800623781716E-3</v>
      </c>
      <c r="V113" s="378">
        <f t="shared" si="33"/>
        <v>51.372393605448238</v>
      </c>
      <c r="W113" s="397">
        <f t="shared" si="34"/>
        <v>32.885853525455786</v>
      </c>
      <c r="X113" s="153">
        <f t="shared" si="35"/>
        <v>47217</v>
      </c>
      <c r="Y113" s="380">
        <f t="shared" si="36"/>
        <v>32.18362595683972</v>
      </c>
      <c r="Z113" s="380">
        <f t="shared" si="37"/>
        <v>33.39313540004791</v>
      </c>
      <c r="AA113" s="381">
        <f t="shared" si="38"/>
        <v>35.476328559420054</v>
      </c>
      <c r="AB113" s="193">
        <f t="shared" si="39"/>
        <v>47217</v>
      </c>
      <c r="AC113" s="119">
        <f>IF(OR(t&lt;Tnet,NoTnet),'2028'!Resal_s+('2028'!Salim-'2028'!Resal_s)*(1-EXP(('2028'!Tnet_s-t)/'2028'!Tau_j)),Resal_s+(Salim-Resal_s)*(1-EXP((Tnet_s-t)/Tau_j)))*Salcycl</f>
        <v>5.872065244527655E-2</v>
      </c>
      <c r="AD113" s="227">
        <f>(INDEX(Models!$BJ113:$BT113,,AH113)*(1-AF113)+INDEX(Models!$BJ113:$BT113,,AH113+1)*AF113-ERP_i)*AE113*Ramure*Pc/MaxiM</f>
        <v>2.4775115773263039E-4</v>
      </c>
      <c r="AE113" s="301">
        <f t="shared" si="40"/>
        <v>0.5</v>
      </c>
      <c r="AF113" s="173">
        <f t="shared" si="41"/>
        <v>0.52946494643635544</v>
      </c>
      <c r="AG113" s="802">
        <f t="shared" si="49"/>
        <v>3</v>
      </c>
      <c r="AH113" s="172">
        <f t="shared" si="42"/>
        <v>9</v>
      </c>
      <c r="AI113" s="221">
        <f t="shared" si="43"/>
        <v>3.5294649464363554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47218</v>
      </c>
      <c r="B114" s="406">
        <f>'2028'!Wh/'2028'!Env_an*'2029'!Env_an</f>
        <v>53.880085627542911</v>
      </c>
      <c r="C114" s="832"/>
      <c r="D114" s="388">
        <f t="shared" si="25"/>
        <v>55.905746212563116</v>
      </c>
      <c r="E114" s="380">
        <f t="shared" si="47"/>
        <v>58.134948512907208</v>
      </c>
      <c r="F114" s="380">
        <f t="shared" si="26"/>
        <v>58.134973098692683</v>
      </c>
      <c r="G114" s="110">
        <f t="shared" si="48"/>
        <v>1.0419247187108809</v>
      </c>
      <c r="H114" s="409" t="b">
        <f>Wh_hp&gt;='2028'!Maxi_hp</f>
        <v>1</v>
      </c>
      <c r="I114" s="385">
        <f>IF(H114,Wh_hp,'2028'!Maxi_hp)</f>
        <v>58.134973098692683</v>
      </c>
      <c r="J114" s="85">
        <f>IF(H114,An,'2028'!An_max)</f>
        <v>2029</v>
      </c>
      <c r="K114" s="193">
        <f t="shared" si="27"/>
        <v>47218</v>
      </c>
      <c r="L114" s="143">
        <f>IF(t&lt;Tvie,1-EXP((T0-t)*PertePVj)+'2028'!Pspv,1-EXP((T0-t)*PertePVj)+Pspv)</f>
        <v>3.6233495163776164E-2</v>
      </c>
      <c r="M114" s="836"/>
      <c r="N114" s="836"/>
      <c r="O114" s="48">
        <f>IF(t&lt;Tnet,'2028'!Resal+('2028'!Salim-'2028'!Resal)*(1-EXP(('2028'!Tnet-t)/('2028'!Tau_j))),Resal+(Salim-Resal)*(1-EXP((Tnet-t)/(Tau_j))))*Salcycl</f>
        <v>3.8345304457423929E-2</v>
      </c>
      <c r="P114" s="165">
        <f>(INDEX(Models!$BJ114:$BT114,,T114)*(1-R114)+INDEX(Models!$BJ114:$BT114,,T114+1)*R114-ERP_i)*Q114*Ramure*Pc/MaxiM</f>
        <v>4.2290869269855515E-7</v>
      </c>
      <c r="Q114" s="301">
        <f t="shared" si="28"/>
        <v>0.5</v>
      </c>
      <c r="R114" s="173">
        <f t="shared" si="29"/>
        <v>5.8871861687206962E-3</v>
      </c>
      <c r="S114" s="802">
        <f t="shared" si="30"/>
        <v>0</v>
      </c>
      <c r="T114" s="172">
        <f t="shared" si="31"/>
        <v>6</v>
      </c>
      <c r="U114" s="247">
        <f t="shared" si="32"/>
        <v>5.8871861687206962E-3</v>
      </c>
      <c r="V114" s="378">
        <f t="shared" si="33"/>
        <v>51.712071572892455</v>
      </c>
      <c r="W114" s="397">
        <f t="shared" si="34"/>
        <v>53.880085627542911</v>
      </c>
      <c r="X114" s="153">
        <f t="shared" si="35"/>
        <v>47218</v>
      </c>
      <c r="Y114" s="380">
        <f t="shared" si="36"/>
        <v>52.723790842544538</v>
      </c>
      <c r="Z114" s="380">
        <f t="shared" si="37"/>
        <v>54.705979693187274</v>
      </c>
      <c r="AA114" s="381">
        <f t="shared" si="38"/>
        <v>58.120805832441995</v>
      </c>
      <c r="AB114" s="193">
        <f t="shared" si="39"/>
        <v>47218</v>
      </c>
      <c r="AC114" s="119">
        <f>IF(OR(t&lt;Tnet,NoTnet),'2028'!Resal_s+('2028'!Salim-'2028'!Resal_s)*(1-EXP(('2028'!Tnet_s-t)/'2028'!Tau_j)),Resal_s+(Salim-Resal_s)*(1-EXP((Tnet_s-t)/Tau_j)))*Salcycl</f>
        <v>5.8753936569623945E-2</v>
      </c>
      <c r="AD114" s="227">
        <f>(INDEX(Models!$BJ114:$BT114,,AH114)*(1-AF114)+INDEX(Models!$BJ114:$BT114,,AH114+1)*AF114-ERP_i)*AE114*Ramure*Pc/MaxiM</f>
        <v>2.4369610056646475E-4</v>
      </c>
      <c r="AE114" s="301">
        <f t="shared" si="40"/>
        <v>0.5</v>
      </c>
      <c r="AF114" s="173">
        <f t="shared" si="41"/>
        <v>0.53087475254269778</v>
      </c>
      <c r="AG114" s="802">
        <f t="shared" si="49"/>
        <v>3</v>
      </c>
      <c r="AH114" s="172">
        <f t="shared" si="42"/>
        <v>9</v>
      </c>
      <c r="AI114" s="221">
        <f t="shared" si="43"/>
        <v>3.5308747525426978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47219</v>
      </c>
      <c r="B115" s="406">
        <f>'2028'!Wh/'2028'!Env_an*'2029'!Env_an</f>
        <v>43.468430987093484</v>
      </c>
      <c r="C115" s="832"/>
      <c r="D115" s="388">
        <f t="shared" si="25"/>
        <v>45.103275350851924</v>
      </c>
      <c r="E115" s="380">
        <f t="shared" si="47"/>
        <v>46.904060871022708</v>
      </c>
      <c r="F115" s="380">
        <f t="shared" si="26"/>
        <v>46.904077182092792</v>
      </c>
      <c r="G115" s="110">
        <f t="shared" si="48"/>
        <v>0.83521605352821127</v>
      </c>
      <c r="H115" s="409" t="b">
        <f>Wh_hp&gt;='2028'!Maxi_hp</f>
        <v>1</v>
      </c>
      <c r="I115" s="385">
        <f>IF(H115,Wh_hp,'2028'!Maxi_hp)</f>
        <v>46.904077182092792</v>
      </c>
      <c r="J115" s="85">
        <f>IF(H115,An,'2028'!An_max)</f>
        <v>2029</v>
      </c>
      <c r="K115" s="193">
        <f t="shared" si="27"/>
        <v>47219</v>
      </c>
      <c r="L115" s="143">
        <f>IF(t&lt;Tvie,1-EXP((T0-t)*PertePVj)+'2028'!Pspv,1-EXP((T0-t)*PertePVj)+Pspv)</f>
        <v>3.6246688317893128E-2</v>
      </c>
      <c r="M115" s="836"/>
      <c r="N115" s="836"/>
      <c r="O115" s="48">
        <f>IF(t&lt;Tnet,'2028'!Resal+('2028'!Salim-'2028'!Resal)*(1-EXP(('2028'!Tnet-t)/('2028'!Tau_j))),Resal+(Salim-Resal)*(1-EXP((Tnet-t)/(Tau_j))))*Salcycl</f>
        <v>3.8392955465468163E-2</v>
      </c>
      <c r="P115" s="165">
        <f>(INDEX(Models!$BJ115:$BT115,,T115)*(1-R115)+INDEX(Models!$BJ115:$BT115,,T115+1)*R115-ERP_i)*Q115*Ramure*Pc/MaxiM</f>
        <v>4.5482119410617133E-7</v>
      </c>
      <c r="Q115" s="301">
        <f t="shared" si="28"/>
        <v>0.5</v>
      </c>
      <c r="R115" s="173">
        <f t="shared" si="29"/>
        <v>7.3470616346178012E-3</v>
      </c>
      <c r="S115" s="802">
        <f t="shared" si="30"/>
        <v>0</v>
      </c>
      <c r="T115" s="172">
        <f t="shared" si="31"/>
        <v>6</v>
      </c>
      <c r="U115" s="247">
        <f t="shared" si="32"/>
        <v>7.3470616346178012E-3</v>
      </c>
      <c r="V115" s="378">
        <f t="shared" si="33"/>
        <v>52.044529256131057</v>
      </c>
      <c r="W115" s="397">
        <f t="shared" si="34"/>
        <v>43.468430987093484</v>
      </c>
      <c r="X115" s="153">
        <f t="shared" si="35"/>
        <v>47219</v>
      </c>
      <c r="Y115" s="380">
        <f t="shared" si="36"/>
        <v>42.538759198144199</v>
      </c>
      <c r="Z115" s="380">
        <f t="shared" si="37"/>
        <v>44.138638677047233</v>
      </c>
      <c r="AA115" s="381">
        <f t="shared" si="38"/>
        <v>46.895529934543056</v>
      </c>
      <c r="AB115" s="193">
        <f t="shared" si="39"/>
        <v>47219</v>
      </c>
      <c r="AC115" s="119">
        <f>IF(OR(t&lt;Tnet,NoTnet),'2028'!Resal_s+('2028'!Salim-'2028'!Resal_s)*(1-EXP(('2028'!Tnet_s-t)/'2028'!Tau_j)),Resal_s+(Salim-Resal_s)*(1-EXP((Tnet_s-t)/Tau_j)))*Salcycl</f>
        <v>5.8787932695160999E-2</v>
      </c>
      <c r="AD115" s="227">
        <f>(INDEX(Models!$BJ115:$BT115,,AH115)*(1-AF115)+INDEX(Models!$BJ115:$BT115,,AH115+1)*AF115-ERP_i)*AE115*Ramure*Pc/MaxiM</f>
        <v>2.3833318821014576E-4</v>
      </c>
      <c r="AE115" s="301">
        <f t="shared" si="40"/>
        <v>0.5</v>
      </c>
      <c r="AF115" s="173">
        <f t="shared" si="41"/>
        <v>0.53233462800859499</v>
      </c>
      <c r="AG115" s="802">
        <f t="shared" si="49"/>
        <v>3</v>
      </c>
      <c r="AH115" s="172">
        <f t="shared" si="42"/>
        <v>9</v>
      </c>
      <c r="AI115" s="221">
        <f t="shared" si="43"/>
        <v>3.532334628008595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47220</v>
      </c>
      <c r="B116" s="406">
        <f>'2028'!Wh/'2028'!Env_an*'2029'!Env_an</f>
        <v>36.269489194337389</v>
      </c>
      <c r="C116" s="832"/>
      <c r="D116" s="388">
        <f t="shared" si="25"/>
        <v>37.63409708722962</v>
      </c>
      <c r="E116" s="380">
        <f t="shared" si="47"/>
        <v>39.138627853083861</v>
      </c>
      <c r="F116" s="380">
        <f t="shared" si="26"/>
        <v>39.138638480152373</v>
      </c>
      <c r="G116" s="110">
        <f t="shared" si="48"/>
        <v>0.69256927962645054</v>
      </c>
      <c r="H116" s="409" t="b">
        <f>Wh_hp&gt;='2028'!Maxi_hp</f>
        <v>1</v>
      </c>
      <c r="I116" s="385">
        <f>IF(H116,Wh_hp,'2028'!Maxi_hp)</f>
        <v>39.138638480152373</v>
      </c>
      <c r="J116" s="85">
        <f>IF(H116,An,'2028'!An_max)</f>
        <v>2029</v>
      </c>
      <c r="K116" s="193">
        <f t="shared" si="27"/>
        <v>47220</v>
      </c>
      <c r="L116" s="143">
        <f>IF(t&lt;Tvie,1-EXP((T0-t)*PertePVj)+'2028'!Pspv,1-EXP((T0-t)*PertePVj)+Pspv)</f>
        <v>3.6259881291406892E-2</v>
      </c>
      <c r="M116" s="836"/>
      <c r="N116" s="836"/>
      <c r="O116" s="48">
        <f>IF(t&lt;Tnet,'2028'!Resal+('2028'!Salim-'2028'!Resal)*(1-EXP(('2028'!Tnet-t)/('2028'!Tau_j))),Resal+(Salim-Resal)*(1-EXP((Tnet-t)/(Tau_j))))*Salcycl</f>
        <v>3.8441070839321557E-2</v>
      </c>
      <c r="P116" s="165">
        <f>(INDEX(Models!$BJ116:$BT116,,T116)*(1-R116)+INDEX(Models!$BJ116:$BT116,,T116+1)*R116-ERP_i)*Q116*Ramure*Pc/MaxiM</f>
        <v>4.8416047537745053E-7</v>
      </c>
      <c r="Q116" s="301">
        <f t="shared" si="28"/>
        <v>0.5</v>
      </c>
      <c r="R116" s="173">
        <f t="shared" si="29"/>
        <v>8.8584225032461265E-3</v>
      </c>
      <c r="S116" s="802">
        <f t="shared" si="30"/>
        <v>0</v>
      </c>
      <c r="T116" s="172">
        <f t="shared" si="31"/>
        <v>6</v>
      </c>
      <c r="U116" s="247">
        <f t="shared" si="32"/>
        <v>8.8584225032461265E-3</v>
      </c>
      <c r="V116" s="378">
        <f t="shared" si="33"/>
        <v>52.369463314444424</v>
      </c>
      <c r="W116" s="397">
        <f t="shared" si="34"/>
        <v>36.269489194337389</v>
      </c>
      <c r="X116" s="153">
        <f t="shared" si="35"/>
        <v>47220</v>
      </c>
      <c r="Y116" s="380">
        <f t="shared" si="36"/>
        <v>35.49610394939797</v>
      </c>
      <c r="Z116" s="380">
        <f t="shared" si="37"/>
        <v>36.831613897076913</v>
      </c>
      <c r="AA116" s="381">
        <f t="shared" si="38"/>
        <v>39.13355344772107</v>
      </c>
      <c r="AB116" s="193">
        <f t="shared" si="39"/>
        <v>47220</v>
      </c>
      <c r="AC116" s="119">
        <f>IF(OR(t&lt;Tnet,NoTnet),'2028'!Resal_s+('2028'!Salim-'2028'!Resal_s)*(1-EXP(('2028'!Tnet_s-t)/'2028'!Tau_j)),Resal_s+(Salim-Resal_s)*(1-EXP((Tnet_s-t)/Tau_j)))*Salcycl</f>
        <v>5.8822655952246797E-2</v>
      </c>
      <c r="AD116" s="227">
        <f>(INDEX(Models!$BJ116:$BT116,,AH116)*(1-AF116)+INDEX(Models!$BJ116:$BT116,,AH116+1)*AF116-ERP_i)*AE116*Ramure*Pc/MaxiM</f>
        <v>2.3166988305496459E-4</v>
      </c>
      <c r="AE116" s="301">
        <f t="shared" si="40"/>
        <v>0.5</v>
      </c>
      <c r="AF116" s="173">
        <f t="shared" si="41"/>
        <v>0.53384598887722312</v>
      </c>
      <c r="AG116" s="802">
        <f t="shared" si="49"/>
        <v>3</v>
      </c>
      <c r="AH116" s="172">
        <f t="shared" si="42"/>
        <v>9</v>
      </c>
      <c r="AI116" s="221">
        <f t="shared" si="43"/>
        <v>3.5338459888772231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47221</v>
      </c>
      <c r="B117" s="406">
        <f>'2028'!Wh/'2028'!Env_an*'2029'!Env_an</f>
        <v>8.3868305744848932</v>
      </c>
      <c r="C117" s="832"/>
      <c r="D117" s="388">
        <f t="shared" si="25"/>
        <v>8.7024968888528154</v>
      </c>
      <c r="E117" s="380">
        <f t="shared" si="47"/>
        <v>9.0508614779213179</v>
      </c>
      <c r="F117" s="380">
        <f t="shared" si="26"/>
        <v>9.0508614779213179</v>
      </c>
      <c r="G117" s="110">
        <f t="shared" si="48"/>
        <v>0.15918337836346905</v>
      </c>
      <c r="H117" s="409" t="b">
        <f>Wh_hp&gt;='2028'!Maxi_hp</f>
        <v>1</v>
      </c>
      <c r="I117" s="385">
        <f>IF(H117,Wh_hp,'2028'!Maxi_hp)</f>
        <v>9.0508614779213179</v>
      </c>
      <c r="J117" s="85">
        <f>IF(H117,An,'2028'!An_max)</f>
        <v>2029</v>
      </c>
      <c r="K117" s="193">
        <f t="shared" si="27"/>
        <v>47221</v>
      </c>
      <c r="L117" s="143">
        <f>IF(t&lt;Tvie,1-EXP((T0-t)*PertePVj)+'2028'!Pspv,1-EXP((T0-t)*PertePVj)+Pspv)</f>
        <v>3.6273074084319901E-2</v>
      </c>
      <c r="M117" s="836"/>
      <c r="N117" s="836"/>
      <c r="O117" s="48">
        <f>IF(t&lt;Tnet,'2028'!Resal+('2028'!Salim-'2028'!Resal)*(1-EXP(('2028'!Tnet-t)/('2028'!Tau_j))),Resal+(Salim-Resal)*(1-EXP((Tnet-t)/(Tau_j))))*Salcycl</f>
        <v>3.8489660892314412E-2</v>
      </c>
      <c r="P117" s="165">
        <f>(INDEX(Models!$BJ117:$BT117,,T117)*(1-R117)+INDEX(Models!$BJ117:$BT117,,T117+1)*R117-ERP_i)*Q117*Ramure*Pc/MaxiM</f>
        <v>5.1084673272343766E-7</v>
      </c>
      <c r="Q117" s="301">
        <f t="shared" si="28"/>
        <v>0.5</v>
      </c>
      <c r="R117" s="173">
        <f t="shared" si="29"/>
        <v>1.0422696436167677E-2</v>
      </c>
      <c r="S117" s="802">
        <f t="shared" si="30"/>
        <v>0</v>
      </c>
      <c r="T117" s="172">
        <f t="shared" si="31"/>
        <v>6</v>
      </c>
      <c r="U117" s="247">
        <f t="shared" si="32"/>
        <v>1.0422696436167677E-2</v>
      </c>
      <c r="V117" s="378">
        <f t="shared" si="33"/>
        <v>52.686570522143079</v>
      </c>
      <c r="W117" s="397">
        <f t="shared" si="34"/>
        <v>8.3868305744848932</v>
      </c>
      <c r="X117" s="153">
        <f t="shared" si="35"/>
        <v>47221</v>
      </c>
      <c r="Y117" s="380">
        <f t="shared" si="36"/>
        <v>8.2091654843746582</v>
      </c>
      <c r="Z117" s="380">
        <f t="shared" si="37"/>
        <v>8.5181447810797266</v>
      </c>
      <c r="AA117" s="381">
        <f t="shared" si="38"/>
        <v>9.0508614779213179</v>
      </c>
      <c r="AB117" s="193">
        <f t="shared" si="39"/>
        <v>47221</v>
      </c>
      <c r="AC117" s="119">
        <f>IF(OR(t&lt;Tnet,NoTnet),'2028'!Resal_s+('2028'!Salim-'2028'!Resal_s)*(1-EXP(('2028'!Tnet_s-t)/'2028'!Tau_j)),Resal_s+(Salim-Resal_s)*(1-EXP((Tnet_s-t)/Tau_j)))*Salcycl</f>
        <v>5.8858120648636728E-2</v>
      </c>
      <c r="AD117" s="227">
        <f>(INDEX(Models!$BJ117:$BT117,,AH117)*(1-AF117)+INDEX(Models!$BJ117:$BT117,,AH117+1)*AF117-ERP_i)*AE117*Ramure*Pc/MaxiM</f>
        <v>2.2371059988801376E-4</v>
      </c>
      <c r="AE117" s="301">
        <f t="shared" si="40"/>
        <v>0.5</v>
      </c>
      <c r="AF117" s="173">
        <f t="shared" si="41"/>
        <v>0.53541026281014492</v>
      </c>
      <c r="AG117" s="802">
        <f t="shared" si="49"/>
        <v>3</v>
      </c>
      <c r="AH117" s="172">
        <f t="shared" si="42"/>
        <v>9</v>
      </c>
      <c r="AI117" s="221">
        <f t="shared" si="43"/>
        <v>3.5354102628101449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47222</v>
      </c>
      <c r="B118" s="406">
        <f>'2028'!Wh/'2028'!Env_an*'2029'!Env_an</f>
        <v>38.716959931391301</v>
      </c>
      <c r="C118" s="832"/>
      <c r="D118" s="388">
        <f t="shared" si="25"/>
        <v>40.174751685523276</v>
      </c>
      <c r="E118" s="380">
        <f t="shared" si="47"/>
        <v>41.785096461548328</v>
      </c>
      <c r="F118" s="380">
        <f t="shared" si="26"/>
        <v>41.785110206797619</v>
      </c>
      <c r="G118" s="110">
        <f t="shared" si="48"/>
        <v>0.73056989856657406</v>
      </c>
      <c r="H118" s="409" t="b">
        <f>Wh_hp&gt;='2028'!Maxi_hp</f>
        <v>1</v>
      </c>
      <c r="I118" s="385">
        <f>IF(H118,Wh_hp,'2028'!Maxi_hp)</f>
        <v>41.785110206797619</v>
      </c>
      <c r="J118" s="85">
        <f>IF(H118,An,'2028'!An_max)</f>
        <v>2029</v>
      </c>
      <c r="K118" s="193">
        <f t="shared" si="27"/>
        <v>47222</v>
      </c>
      <c r="L118" s="143">
        <f>IF(t&lt;Tvie,1-EXP((T0-t)*PertePVj)+'2028'!Pspv,1-EXP((T0-t)*PertePVj)+Pspv)</f>
        <v>3.6286266696634706E-2</v>
      </c>
      <c r="M118" s="836"/>
      <c r="N118" s="836"/>
      <c r="O118" s="48">
        <f>IF(t&lt;Tnet,'2028'!Resal+('2028'!Salim-'2028'!Resal)*(1-EXP(('2028'!Tnet-t)/('2028'!Tau_j))),Resal+(Salim-Resal)*(1-EXP((Tnet-t)/(Tau_j))))*Salcycl</f>
        <v>3.8538735395930751E-2</v>
      </c>
      <c r="P118" s="165">
        <f>(INDEX(Models!$BJ118:$BT118,,T118)*(1-R118)+INDEX(Models!$BJ118:$BT118,,T118+1)*R118-ERP_i)*Q118*Ramure*Pc/MaxiM</f>
        <v>5.3479248069642888E-7</v>
      </c>
      <c r="Q118" s="301">
        <f t="shared" si="28"/>
        <v>0.5</v>
      </c>
      <c r="R118" s="173">
        <f t="shared" si="29"/>
        <v>1.2041320315731251E-2</v>
      </c>
      <c r="S118" s="802">
        <f t="shared" si="30"/>
        <v>0</v>
      </c>
      <c r="T118" s="172">
        <f t="shared" si="31"/>
        <v>6</v>
      </c>
      <c r="U118" s="247">
        <f t="shared" si="32"/>
        <v>1.2041320315731251E-2</v>
      </c>
      <c r="V118" s="378">
        <f t="shared" si="33"/>
        <v>52.995547774132696</v>
      </c>
      <c r="W118" s="397">
        <f t="shared" si="34"/>
        <v>38.716959931391301</v>
      </c>
      <c r="X118" s="153">
        <f t="shared" si="35"/>
        <v>47222</v>
      </c>
      <c r="Y118" s="380">
        <f t="shared" si="36"/>
        <v>37.892276048724703</v>
      </c>
      <c r="Z118" s="380">
        <f t="shared" si="37"/>
        <v>39.319016362711395</v>
      </c>
      <c r="AA118" s="381">
        <f t="shared" si="38"/>
        <v>41.779598235930479</v>
      </c>
      <c r="AB118" s="193">
        <f t="shared" si="39"/>
        <v>47222</v>
      </c>
      <c r="AC118" s="119">
        <f>IF(OR(t&lt;Tnet,NoTnet),'2028'!Resal_s+('2028'!Salim-'2028'!Resal_s)*(1-EXP(('2028'!Tnet_s-t)/'2028'!Tau_j)),Resal_s+(Salim-Resal_s)*(1-EXP((Tnet_s-t)/Tau_j)))*Salcycl</f>
        <v>5.8894340230945162E-2</v>
      </c>
      <c r="AD118" s="227">
        <f>(INDEX(Models!$BJ118:$BT118,,AH118)*(1-AF118)+INDEX(Models!$BJ118:$BT118,,AH118+1)*AF118-ERP_i)*AE118*Ramure*Pc/MaxiM</f>
        <v>2.1445668333692583E-4</v>
      </c>
      <c r="AE118" s="301">
        <f t="shared" si="40"/>
        <v>0.5</v>
      </c>
      <c r="AF118" s="173">
        <f t="shared" si="41"/>
        <v>0.53702888668970861</v>
      </c>
      <c r="AG118" s="802">
        <f t="shared" si="49"/>
        <v>3</v>
      </c>
      <c r="AH118" s="172">
        <f t="shared" si="42"/>
        <v>9</v>
      </c>
      <c r="AI118" s="221">
        <f t="shared" si="43"/>
        <v>3.5370288866897086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47223</v>
      </c>
      <c r="B119" s="406">
        <f>'2028'!Wh/'2028'!Env_an*'2029'!Env_an</f>
        <v>42.425924432527644</v>
      </c>
      <c r="C119" s="832"/>
      <c r="D119" s="388">
        <f t="shared" si="25"/>
        <v>44.023970759790494</v>
      </c>
      <c r="E119" s="380">
        <f t="shared" si="47"/>
        <v>45.790966474028849</v>
      </c>
      <c r="F119" s="380">
        <f t="shared" si="26"/>
        <v>45.790984512458699</v>
      </c>
      <c r="G119" s="110">
        <f t="shared" si="48"/>
        <v>0.79604180919659229</v>
      </c>
      <c r="H119" s="409" t="b">
        <f>Wh_hp&gt;='2028'!Maxi_hp</f>
        <v>1</v>
      </c>
      <c r="I119" s="385">
        <f>IF(H119,Wh_hp,'2028'!Maxi_hp)</f>
        <v>45.790984512458699</v>
      </c>
      <c r="J119" s="85">
        <f>IF(H119,An,'2028'!An_max)</f>
        <v>2029</v>
      </c>
      <c r="K119" s="193">
        <f t="shared" si="27"/>
        <v>47223</v>
      </c>
      <c r="L119" s="143">
        <f>IF(t&lt;Tvie,1-EXP((T0-t)*PertePVj)+'2028'!Pspv,1-EXP((T0-t)*PertePVj)+Pspv)</f>
        <v>3.6299459128353639E-2</v>
      </c>
      <c r="M119" s="836"/>
      <c r="N119" s="836"/>
      <c r="O119" s="48">
        <f>IF(t&lt;Tnet,'2028'!Resal+('2028'!Salim-'2028'!Resal)*(1-EXP(('2028'!Tnet-t)/('2028'!Tau_j))),Resal+(Salim-Resal)*(1-EXP((Tnet-t)/(Tau_j))))*Salcycl</f>
        <v>3.8588303551979716E-2</v>
      </c>
      <c r="P119" s="165">
        <f>(INDEX(Models!$BJ119:$BT119,,T119)*(1-R119)+INDEX(Models!$BJ119:$BT119,,T119+1)*R119-ERP_i)*Q119*Ramure*Pc/MaxiM</f>
        <v>5.5590220312453088E-7</v>
      </c>
      <c r="Q119" s="301">
        <f t="shared" si="28"/>
        <v>0.5</v>
      </c>
      <c r="R119" s="173">
        <f t="shared" si="29"/>
        <v>1.3715737625262753E-2</v>
      </c>
      <c r="S119" s="802">
        <f t="shared" si="30"/>
        <v>0</v>
      </c>
      <c r="T119" s="172">
        <f t="shared" si="31"/>
        <v>6</v>
      </c>
      <c r="U119" s="247">
        <f t="shared" si="32"/>
        <v>1.3715737625262753E-2</v>
      </c>
      <c r="V119" s="378">
        <f t="shared" si="33"/>
        <v>53.296092077765657</v>
      </c>
      <c r="W119" s="397">
        <f t="shared" si="34"/>
        <v>42.425924432527644</v>
      </c>
      <c r="X119" s="153">
        <f t="shared" si="35"/>
        <v>47223</v>
      </c>
      <c r="Y119" s="380">
        <f t="shared" si="36"/>
        <v>41.522227393151532</v>
      </c>
      <c r="Z119" s="380">
        <f t="shared" si="37"/>
        <v>43.086234397664207</v>
      </c>
      <c r="AA119" s="381">
        <f t="shared" si="38"/>
        <v>45.784367969165586</v>
      </c>
      <c r="AB119" s="193">
        <f t="shared" si="39"/>
        <v>47223</v>
      </c>
      <c r="AC119" s="119">
        <f>IF(OR(t&lt;Tnet,NoTnet),'2028'!Resal_s+('2028'!Salim-'2028'!Resal_s)*(1-EXP(('2028'!Tnet_s-t)/'2028'!Tau_j)),Resal_s+(Salim-Resal_s)*(1-EXP((Tnet_s-t)/Tau_j)))*Salcycl</f>
        <v>5.8931327245108932E-2</v>
      </c>
      <c r="AD119" s="227">
        <f>(INDEX(Models!$BJ119:$BT119,,AH119)*(1-AF119)+INDEX(Models!$BJ119:$BT119,,AH119+1)*AF119-ERP_i)*AE119*Ramure*Pc/MaxiM</f>
        <v>2.0390638338988829E-4</v>
      </c>
      <c r="AE119" s="301">
        <f t="shared" si="40"/>
        <v>0.5</v>
      </c>
      <c r="AF119" s="173">
        <f t="shared" si="41"/>
        <v>0.53870330399923994</v>
      </c>
      <c r="AG119" s="802">
        <f t="shared" si="49"/>
        <v>3</v>
      </c>
      <c r="AH119" s="172">
        <f t="shared" si="42"/>
        <v>9</v>
      </c>
      <c r="AI119" s="221">
        <f t="shared" si="43"/>
        <v>3.5387033039992399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47224</v>
      </c>
      <c r="B120" s="406">
        <f>'2028'!Wh/'2028'!Env_an*'2029'!Env_an</f>
        <v>38.603819727911912</v>
      </c>
      <c r="C120" s="832"/>
      <c r="D120" s="388">
        <f t="shared" si="25"/>
        <v>40.058448191907587</v>
      </c>
      <c r="E120" s="380">
        <f t="shared" si="47"/>
        <v>41.668449319197293</v>
      </c>
      <c r="F120" s="380">
        <f t="shared" si="26"/>
        <v>41.668463684708897</v>
      </c>
      <c r="G120" s="110">
        <f t="shared" si="48"/>
        <v>0.72038296817301994</v>
      </c>
      <c r="H120" s="409" t="b">
        <f>Wh_hp&gt;='2028'!Maxi_hp</f>
        <v>1</v>
      </c>
      <c r="I120" s="385">
        <f>IF(H120,Wh_hp,'2028'!Maxi_hp)</f>
        <v>41.668463684708897</v>
      </c>
      <c r="J120" s="85">
        <f>IF(H120,An,'2028'!An_max)</f>
        <v>2029</v>
      </c>
      <c r="K120" s="193">
        <f t="shared" si="27"/>
        <v>47224</v>
      </c>
      <c r="L120" s="143">
        <f>IF(t&lt;Tvie,1-EXP((T0-t)*PertePVj)+'2028'!Pspv,1-EXP((T0-t)*PertePVj)+Pspv)</f>
        <v>3.6312651379479366E-2</v>
      </c>
      <c r="M120" s="836"/>
      <c r="N120" s="836"/>
      <c r="O120" s="48">
        <f>IF(t&lt;Tnet,'2028'!Resal+('2028'!Salim-'2028'!Resal)*(1-EXP(('2028'!Tnet-t)/('2028'!Tau_j))),Resal+(Salim-Resal)*(1-EXP((Tnet-t)/(Tau_j))))*Salcycl</f>
        <v>3.8638373963869974E-2</v>
      </c>
      <c r="P120" s="165">
        <f>(INDEX(Models!$BJ120:$BT120,,T120)*(1-R120)+INDEX(Models!$BJ120:$BT120,,T120+1)*R120-ERP_i)*Q120*Ramure*Pc/MaxiM</f>
        <v>5.7407200146222557E-7</v>
      </c>
      <c r="Q120" s="301">
        <f t="shared" si="28"/>
        <v>0.5</v>
      </c>
      <c r="R120" s="173">
        <f t="shared" si="29"/>
        <v>1.5447395598905147E-2</v>
      </c>
      <c r="S120" s="802">
        <f t="shared" si="30"/>
        <v>0</v>
      </c>
      <c r="T120" s="172">
        <f t="shared" si="31"/>
        <v>6</v>
      </c>
      <c r="U120" s="247">
        <f t="shared" si="32"/>
        <v>1.5447395598905147E-2</v>
      </c>
      <c r="V120" s="378">
        <f t="shared" si="33"/>
        <v>53.58790057654155</v>
      </c>
      <c r="W120" s="397">
        <f t="shared" si="34"/>
        <v>38.603819727911912</v>
      </c>
      <c r="X120" s="153">
        <f t="shared" si="35"/>
        <v>47224</v>
      </c>
      <c r="Y120" s="380">
        <f t="shared" si="36"/>
        <v>37.783087124568084</v>
      </c>
      <c r="Z120" s="380">
        <f t="shared" si="37"/>
        <v>39.206789607286055</v>
      </c>
      <c r="AA120" s="381">
        <f t="shared" si="38"/>
        <v>41.663657726815565</v>
      </c>
      <c r="AB120" s="193">
        <f t="shared" si="39"/>
        <v>47224</v>
      </c>
      <c r="AC120" s="119">
        <f>IF(OR(t&lt;Tnet,NoTnet),'2028'!Resal_s+('2028'!Salim-'2028'!Resal_s)*(1-EXP(('2028'!Tnet_s-t)/'2028'!Tau_j)),Resal_s+(Salim-Resal_s)*(1-EXP((Tnet_s-t)/Tau_j)))*Salcycl</f>
        <v>5.8969093295623422E-2</v>
      </c>
      <c r="AD120" s="227">
        <f>(INDEX(Models!$BJ120:$BT120,,AH120)*(1-AF120)+INDEX(Models!$BJ120:$BT120,,AH120+1)*AF120-ERP_i)*AE120*Ramure*Pc/MaxiM</f>
        <v>1.9205482845552341E-4</v>
      </c>
      <c r="AE120" s="301">
        <f t="shared" si="40"/>
        <v>0.5</v>
      </c>
      <c r="AF120" s="173">
        <f t="shared" si="41"/>
        <v>0.5404349619728821</v>
      </c>
      <c r="AG120" s="802">
        <f t="shared" si="49"/>
        <v>3</v>
      </c>
      <c r="AH120" s="172">
        <f t="shared" si="42"/>
        <v>9</v>
      </c>
      <c r="AI120" s="221">
        <f t="shared" si="43"/>
        <v>3.5404349619728821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47225</v>
      </c>
      <c r="B121" s="406">
        <f>'2028'!Wh/'2028'!Env_an*'2029'!Env_an</f>
        <v>53.4654017757519</v>
      </c>
      <c r="C121" s="832"/>
      <c r="D121" s="388">
        <f t="shared" si="25"/>
        <v>55.480788202478529</v>
      </c>
      <c r="E121" s="380">
        <f t="shared" si="47"/>
        <v>57.713669751697168</v>
      </c>
      <c r="F121" s="380">
        <f t="shared" si="26"/>
        <v>57.713703390054775</v>
      </c>
      <c r="G121" s="110">
        <f t="shared" si="48"/>
        <v>0.99247109623562224</v>
      </c>
      <c r="H121" s="409" t="b">
        <f>Wh_hp&gt;='2028'!Maxi_hp</f>
        <v>1</v>
      </c>
      <c r="I121" s="385">
        <f>IF(H121,Wh_hp,'2028'!Maxi_hp)</f>
        <v>57.713703390054775</v>
      </c>
      <c r="J121" s="85">
        <f>IF(H121,An,'2028'!An_max)</f>
        <v>2029</v>
      </c>
      <c r="K121" s="193">
        <f t="shared" si="27"/>
        <v>47225</v>
      </c>
      <c r="L121" s="143">
        <f>IF(t&lt;Tvie,1-EXP((T0-t)*PertePVj)+'2028'!Pspv,1-EXP((T0-t)*PertePVj)+Pspv)</f>
        <v>3.6325843450014217E-2</v>
      </c>
      <c r="M121" s="836"/>
      <c r="N121" s="836"/>
      <c r="O121" s="48">
        <f>IF(t&lt;Tnet,'2028'!Resal+('2028'!Salim-'2028'!Resal)*(1-EXP(('2028'!Tnet-t)/('2028'!Tau_j))),Resal+(Salim-Resal)*(1-EXP((Tnet-t)/(Tau_j))))*Salcycl</f>
        <v>3.8688954606858603E-2</v>
      </c>
      <c r="P121" s="165">
        <f>(INDEX(Models!$BJ121:$BT121,,T121)*(1-R121)+INDEX(Models!$BJ121:$BT121,,T121+1)*R121-ERP_i)*Q121*Ramure*Pc/MaxiM</f>
        <v>5.8918573776825395E-7</v>
      </c>
      <c r="Q121" s="301">
        <f t="shared" si="28"/>
        <v>0.5</v>
      </c>
      <c r="R121" s="173">
        <f t="shared" si="29"/>
        <v>1.7237742133581934E-2</v>
      </c>
      <c r="S121" s="802">
        <f t="shared" si="30"/>
        <v>0</v>
      </c>
      <c r="T121" s="172">
        <f t="shared" si="31"/>
        <v>6</v>
      </c>
      <c r="U121" s="247">
        <f t="shared" si="32"/>
        <v>1.7237742133581934E-2</v>
      </c>
      <c r="V121" s="378">
        <f t="shared" si="33"/>
        <v>53.870990943444859</v>
      </c>
      <c r="W121" s="397">
        <f t="shared" si="34"/>
        <v>53.4654017757519</v>
      </c>
      <c r="X121" s="153">
        <f t="shared" si="35"/>
        <v>47225</v>
      </c>
      <c r="Y121" s="380">
        <f t="shared" si="36"/>
        <v>52.3261022294054</v>
      </c>
      <c r="Z121" s="380">
        <f t="shared" si="37"/>
        <v>54.298542586984112</v>
      </c>
      <c r="AA121" s="381">
        <f t="shared" si="38"/>
        <v>57.703489863094546</v>
      </c>
      <c r="AB121" s="193">
        <f t="shared" si="39"/>
        <v>47225</v>
      </c>
      <c r="AC121" s="119">
        <f>IF(OR(t&lt;Tnet,NoTnet),'2028'!Resal_s+('2028'!Salim-'2028'!Resal_s)*(1-EXP(('2028'!Tnet_s-t)/'2028'!Tau_j)),Resal_s+(Salim-Resal_s)*(1-EXP((Tnet_s-t)/Tau_j)))*Salcycl</f>
        <v>5.9007649003360148E-2</v>
      </c>
      <c r="AD121" s="227">
        <f>(INDEX(Models!$BJ121:$BT121,,AH121)*(1-AF121)+INDEX(Models!$BJ121:$BT121,,AH121+1)*AF121-ERP_i)*AE121*Ramure*Pc/MaxiM</f>
        <v>1.7889293192920462E-4</v>
      </c>
      <c r="AE121" s="301">
        <f t="shared" si="40"/>
        <v>0.5</v>
      </c>
      <c r="AF121" s="173">
        <f t="shared" si="41"/>
        <v>0.54222530850755923</v>
      </c>
      <c r="AG121" s="802">
        <f t="shared" si="49"/>
        <v>3</v>
      </c>
      <c r="AH121" s="172">
        <f t="shared" si="42"/>
        <v>9</v>
      </c>
      <c r="AI121" s="221">
        <f t="shared" si="43"/>
        <v>3.5422253085075592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47226</v>
      </c>
      <c r="B122" s="406">
        <f>'2028'!Wh/'2028'!Env_an*'2029'!Env_an</f>
        <v>34.108855077039145</v>
      </c>
      <c r="C122" s="832"/>
      <c r="D122" s="388">
        <f t="shared" si="25"/>
        <v>35.395078069881222</v>
      </c>
      <c r="E122" s="380">
        <f t="shared" si="47"/>
        <v>36.821546734447253</v>
      </c>
      <c r="F122" s="380">
        <f t="shared" si="26"/>
        <v>36.821557169334042</v>
      </c>
      <c r="G122" s="110">
        <f t="shared" si="48"/>
        <v>0.62994536604388551</v>
      </c>
      <c r="H122" s="409" t="b">
        <f>Wh_hp&gt;='2028'!Maxi_hp</f>
        <v>1</v>
      </c>
      <c r="I122" s="385">
        <f>IF(H122,Wh_hp,'2028'!Maxi_hp)</f>
        <v>36.821557169334042</v>
      </c>
      <c r="J122" s="85">
        <f>IF(H122,An,'2028'!An_max)</f>
        <v>2029</v>
      </c>
      <c r="K122" s="193">
        <f t="shared" si="27"/>
        <v>47226</v>
      </c>
      <c r="L122" s="143">
        <f>IF(t&lt;Tvie,1-EXP((T0-t)*PertePVj)+'2028'!Pspv,1-EXP((T0-t)*PertePVj)+Pspv)</f>
        <v>3.6339035339960635E-2</v>
      </c>
      <c r="M122" s="836"/>
      <c r="N122" s="836"/>
      <c r="O122" s="48">
        <f>IF(t&lt;Tnet,'2028'!Resal+('2028'!Salim-'2028'!Resal)*(1-EXP(('2028'!Tnet-t)/('2028'!Tau_j))),Resal+(Salim-Resal)*(1-EXP((Tnet-t)/(Tau_j))))*Salcycl</f>
        <v>3.8740052797172304E-2</v>
      </c>
      <c r="P122" s="165">
        <f>(INDEX(Models!$BJ122:$BT122,,T122)*(1-R122)+INDEX(Models!$BJ122:$BT122,,T122+1)*R122-ERP_i)*Q122*Ramure*Pc/MaxiM</f>
        <v>6.0123095737217296E-7</v>
      </c>
      <c r="Q122" s="301">
        <f t="shared" si="28"/>
        <v>0.5</v>
      </c>
      <c r="R122" s="173">
        <f t="shared" si="29"/>
        <v>1.9088222456304847E-2</v>
      </c>
      <c r="S122" s="802">
        <f t="shared" si="30"/>
        <v>0</v>
      </c>
      <c r="T122" s="172">
        <f t="shared" si="31"/>
        <v>6</v>
      </c>
      <c r="U122" s="247">
        <f t="shared" si="32"/>
        <v>1.9088222456304847E-2</v>
      </c>
      <c r="V122" s="378">
        <f t="shared" si="33"/>
        <v>54.145718143900929</v>
      </c>
      <c r="W122" s="397">
        <f t="shared" si="34"/>
        <v>34.108855077039145</v>
      </c>
      <c r="X122" s="153">
        <f t="shared" si="35"/>
        <v>47226</v>
      </c>
      <c r="Y122" s="380">
        <f t="shared" si="36"/>
        <v>33.385704719220314</v>
      </c>
      <c r="Z122" s="380">
        <f t="shared" si="37"/>
        <v>34.644658177057252</v>
      </c>
      <c r="AA122" s="381">
        <f t="shared" si="38"/>
        <v>36.818691606197255</v>
      </c>
      <c r="AB122" s="193">
        <f t="shared" si="39"/>
        <v>47226</v>
      </c>
      <c r="AC122" s="119">
        <f>IF(OR(t&lt;Tnet,NoTnet),'2028'!Resal_s+('2028'!Salim-'2028'!Resal_s)*(1-EXP(('2028'!Tnet_s-t)/'2028'!Tau_j)),Resal_s+(Salim-Resal_s)*(1-EXP((Tnet_s-t)/Tau_j)))*Salcycl</f>
        <v>5.9047003961815829E-2</v>
      </c>
      <c r="AD122" s="227">
        <f>(INDEX(Models!$BJ122:$BT122,,AH122)*(1-AF122)+INDEX(Models!$BJ122:$BT122,,AH122+1)*AF122-ERP_i)*AE122*Ramure*Pc/MaxiM</f>
        <v>1.6510627306699576E-4</v>
      </c>
      <c r="AE122" s="301">
        <f t="shared" si="40"/>
        <v>0.5</v>
      </c>
      <c r="AF122" s="173">
        <f t="shared" si="41"/>
        <v>0.54407578883028185</v>
      </c>
      <c r="AG122" s="802">
        <f t="shared" si="49"/>
        <v>3</v>
      </c>
      <c r="AH122" s="172">
        <f t="shared" si="42"/>
        <v>9</v>
      </c>
      <c r="AI122" s="221">
        <f t="shared" si="43"/>
        <v>3.5440757888302818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47227</v>
      </c>
      <c r="B123" s="406">
        <f>'2028'!Wh/'2028'!Env_an*'2029'!Env_an</f>
        <v>11.222256216291738</v>
      </c>
      <c r="C123" s="832"/>
      <c r="D123" s="388">
        <f t="shared" si="25"/>
        <v>11.645599700738492</v>
      </c>
      <c r="E123" s="380">
        <f t="shared" si="47"/>
        <v>12.115583479446171</v>
      </c>
      <c r="F123" s="380">
        <f t="shared" si="26"/>
        <v>12.115583479446171</v>
      </c>
      <c r="G123" s="110">
        <f t="shared" si="48"/>
        <v>0.20624477163301175</v>
      </c>
      <c r="H123" s="409" t="b">
        <f>Wh_hp&gt;='2028'!Maxi_hp</f>
        <v>1</v>
      </c>
      <c r="I123" s="385">
        <f>IF(H123,Wh_hp,'2028'!Maxi_hp)</f>
        <v>12.115583479446171</v>
      </c>
      <c r="J123" s="85">
        <f>IF(H123,An,'2028'!An_max)</f>
        <v>2029</v>
      </c>
      <c r="K123" s="193">
        <f t="shared" si="27"/>
        <v>47227</v>
      </c>
      <c r="L123" s="143">
        <f>IF(t&lt;Tvie,1-EXP((T0-t)*PertePVj)+'2028'!Pspv,1-EXP((T0-t)*PertePVj)+Pspv)</f>
        <v>3.6352227049321284E-2</v>
      </c>
      <c r="M123" s="836"/>
      <c r="N123" s="836"/>
      <c r="O123" s="48">
        <f>IF(t&lt;Tnet,'2028'!Resal+('2028'!Salim-'2028'!Resal)*(1-EXP(('2028'!Tnet-t)/('2028'!Tau_j))),Resal+(Salim-Resal)*(1-EXP((Tnet-t)/(Tau_j))))*Salcycl</f>
        <v>3.8791675159929095E-2</v>
      </c>
      <c r="P123" s="165">
        <f>(INDEX(Models!$BJ123:$BT123,,T123)*(1-R123)+INDEX(Models!$BJ123:$BT123,,T123+1)*R123-ERP_i)*Q123*Ramure*Pc/MaxiM</f>
        <v>6.1239033354634878E-7</v>
      </c>
      <c r="Q123" s="301">
        <f t="shared" si="28"/>
        <v>0.5</v>
      </c>
      <c r="R123" s="173">
        <f t="shared" si="29"/>
        <v>2.1000275540941703E-2</v>
      </c>
      <c r="S123" s="802">
        <f t="shared" si="30"/>
        <v>0</v>
      </c>
      <c r="T123" s="172">
        <f t="shared" si="31"/>
        <v>6</v>
      </c>
      <c r="U123" s="247">
        <f t="shared" si="32"/>
        <v>2.1000275540941703E-2</v>
      </c>
      <c r="V123" s="378">
        <f t="shared" si="33"/>
        <v>54.412285242600859</v>
      </c>
      <c r="W123" s="397">
        <f t="shared" si="34"/>
        <v>11.222256216291738</v>
      </c>
      <c r="X123" s="153">
        <f t="shared" si="35"/>
        <v>47227</v>
      </c>
      <c r="Y123" s="380">
        <f t="shared" si="36"/>
        <v>10.9853032060867</v>
      </c>
      <c r="Z123" s="380">
        <f t="shared" si="37"/>
        <v>11.399707978829053</v>
      </c>
      <c r="AA123" s="381">
        <f t="shared" si="38"/>
        <v>12.115583479446171</v>
      </c>
      <c r="AB123" s="193">
        <f t="shared" si="39"/>
        <v>47227</v>
      </c>
      <c r="AC123" s="119">
        <f>IF(OR(t&lt;Tnet,NoTnet),'2028'!Resal_s+('2028'!Salim-'2028'!Resal_s)*(1-EXP(('2028'!Tnet_s-t)/'2028'!Tau_j)),Resal_s+(Salim-Resal_s)*(1-EXP((Tnet_s-t)/Tau_j)))*Salcycl</f>
        <v>5.9087166691689695E-2</v>
      </c>
      <c r="AD123" s="227">
        <f>(INDEX(Models!$BJ123:$BT123,,AH123)*(1-AF123)+INDEX(Models!$BJ123:$BT123,,AH123+1)*AF123-ERP_i)*AE123*Ramure*Pc/MaxiM</f>
        <v>1.5225814172867161E-4</v>
      </c>
      <c r="AE123" s="301">
        <f t="shared" si="40"/>
        <v>0.5</v>
      </c>
      <c r="AF123" s="173">
        <f t="shared" si="41"/>
        <v>0.54598784191491889</v>
      </c>
      <c r="AG123" s="802">
        <f t="shared" si="49"/>
        <v>3</v>
      </c>
      <c r="AH123" s="172">
        <f t="shared" si="42"/>
        <v>9</v>
      </c>
      <c r="AI123" s="221">
        <f t="shared" si="43"/>
        <v>3.5459878419149189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47228</v>
      </c>
      <c r="B124" s="406">
        <f>'2028'!Wh/'2028'!Env_an*'2029'!Env_an</f>
        <v>11.245859431754885</v>
      </c>
      <c r="C124" s="832"/>
      <c r="D124" s="388">
        <f t="shared" si="25"/>
        <v>11.670253069541085</v>
      </c>
      <c r="E124" s="380">
        <f t="shared" si="47"/>
        <v>12.141890573672137</v>
      </c>
      <c r="F124" s="380">
        <f t="shared" si="26"/>
        <v>12.141890573672137</v>
      </c>
      <c r="G124" s="110">
        <f t="shared" si="48"/>
        <v>0.2057009006992922</v>
      </c>
      <c r="H124" s="409" t="b">
        <f>Wh_hp&gt;='2028'!Maxi_hp</f>
        <v>1</v>
      </c>
      <c r="I124" s="385">
        <f>IF(H124,Wh_hp,'2028'!Maxi_hp)</f>
        <v>12.141890573672137</v>
      </c>
      <c r="J124" s="85">
        <f>IF(H124,An,'2028'!An_max)</f>
        <v>2029</v>
      </c>
      <c r="K124" s="193">
        <f t="shared" si="27"/>
        <v>47228</v>
      </c>
      <c r="L124" s="143">
        <f>IF(t&lt;Tvie,1-EXP((T0-t)*PertePVj)+'2028'!Pspv,1-EXP((T0-t)*PertePVj)+Pspv)</f>
        <v>3.6365418578098385E-2</v>
      </c>
      <c r="M124" s="836"/>
      <c r="N124" s="836"/>
      <c r="O124" s="48">
        <f>IF(t&lt;Tnet,'2028'!Resal+('2028'!Salim-'2028'!Resal)*(1-EXP(('2028'!Tnet-t)/('2028'!Tau_j))),Resal+(Salim-Resal)*(1-EXP((Tnet-t)/(Tau_j))))*Salcycl</f>
        <v>3.8843827595821633E-2</v>
      </c>
      <c r="P124" s="165">
        <f>(INDEX(Models!$BJ124:$BT124,,T124)*(1-R124)+INDEX(Models!$BJ124:$BT124,,T124+1)*R124-ERP_i)*Q124*Ramure*Pc/MaxiM</f>
        <v>6.231351065327313E-7</v>
      </c>
      <c r="Q124" s="301">
        <f t="shared" si="28"/>
        <v>0.5</v>
      </c>
      <c r="R124" s="173">
        <f t="shared" si="29"/>
        <v>2.2975330269610916E-2</v>
      </c>
      <c r="S124" s="802">
        <f t="shared" si="30"/>
        <v>0</v>
      </c>
      <c r="T124" s="172">
        <f t="shared" si="31"/>
        <v>6</v>
      </c>
      <c r="U124" s="247">
        <f t="shared" si="32"/>
        <v>2.2975330269610916E-2</v>
      </c>
      <c r="V124" s="378">
        <f t="shared" si="33"/>
        <v>54.670895391484144</v>
      </c>
      <c r="W124" s="397">
        <f t="shared" si="34"/>
        <v>11.245859431754885</v>
      </c>
      <c r="X124" s="153">
        <f t="shared" si="35"/>
        <v>47228</v>
      </c>
      <c r="Y124" s="380">
        <f t="shared" si="36"/>
        <v>11.008525911795152</v>
      </c>
      <c r="Z124" s="380">
        <f t="shared" si="37"/>
        <v>11.423963112190723</v>
      </c>
      <c r="AA124" s="381">
        <f t="shared" si="38"/>
        <v>12.141890573672137</v>
      </c>
      <c r="AB124" s="193">
        <f t="shared" si="39"/>
        <v>47228</v>
      </c>
      <c r="AC124" s="119">
        <f>IF(OR(t&lt;Tnet,NoTnet),'2028'!Resal_s+('2028'!Salim-'2028'!Resal_s)*(1-EXP(('2028'!Tnet_s-t)/'2028'!Tau_j)),Resal_s+(Salim-Resal_s)*(1-EXP((Tnet_s-t)/Tau_j)))*Salcycl</f>
        <v>5.9128144593736748E-2</v>
      </c>
      <c r="AD124" s="227">
        <f>(INDEX(Models!$BJ124:$BT124,,AH124)*(1-AF124)+INDEX(Models!$BJ124:$BT124,,AH124+1)*AF124-ERP_i)*AE124*Ramure*Pc/MaxiM</f>
        <v>1.4033379482872633E-4</v>
      </c>
      <c r="AE124" s="301">
        <f t="shared" si="40"/>
        <v>0.5</v>
      </c>
      <c r="AF124" s="173">
        <f t="shared" si="41"/>
        <v>0.54796289664358788</v>
      </c>
      <c r="AG124" s="802">
        <f t="shared" si="49"/>
        <v>3</v>
      </c>
      <c r="AH124" s="172">
        <f t="shared" si="42"/>
        <v>9</v>
      </c>
      <c r="AI124" s="221">
        <f t="shared" si="43"/>
        <v>3.5479628966435879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47229</v>
      </c>
      <c r="B125" s="406">
        <f>'2028'!Wh/'2028'!Env_an*'2029'!Env_an</f>
        <v>10.794037107280054</v>
      </c>
      <c r="C125" s="832"/>
      <c r="D125" s="388">
        <f t="shared" si="25"/>
        <v>11.201533318448277</v>
      </c>
      <c r="E125" s="380">
        <f t="shared" si="47"/>
        <v>11.654867031641119</v>
      </c>
      <c r="F125" s="380">
        <f t="shared" si="26"/>
        <v>11.654867031641119</v>
      </c>
      <c r="G125" s="110">
        <f t="shared" si="48"/>
        <v>0.1965347047328205</v>
      </c>
      <c r="H125" s="409" t="b">
        <f>Wh_hp&gt;='2028'!Maxi_hp</f>
        <v>1</v>
      </c>
      <c r="I125" s="385">
        <f>IF(H125,Wh_hp,'2028'!Maxi_hp)</f>
        <v>11.654867031641119</v>
      </c>
      <c r="J125" s="85">
        <f>IF(H125,An,'2028'!An_max)</f>
        <v>2029</v>
      </c>
      <c r="K125" s="193">
        <f t="shared" si="27"/>
        <v>47229</v>
      </c>
      <c r="L125" s="143">
        <f>IF(t&lt;Tvie,1-EXP((T0-t)*PertePVj)+'2028'!Pspv,1-EXP((T0-t)*PertePVj)+Pspv)</f>
        <v>3.6378609926294603E-2</v>
      </c>
      <c r="M125" s="836"/>
      <c r="N125" s="836"/>
      <c r="O125" s="48">
        <f>IF(t&lt;Tnet,'2028'!Resal+('2028'!Salim-'2028'!Resal)*(1-EXP(('2028'!Tnet-t)/('2028'!Tau_j))),Resal+(Salim-Resal)*(1-EXP((Tnet-t)/(Tau_j))))*Salcycl</f>
        <v>3.8896515246558662E-2</v>
      </c>
      <c r="P125" s="165">
        <f>(INDEX(Models!$BJ125:$BT125,,T125)*(1-R125)+INDEX(Models!$BJ125:$BT125,,T125+1)*R125-ERP_i)*Q125*Ramure*Pc/MaxiM</f>
        <v>6.3397298153995652E-7</v>
      </c>
      <c r="Q125" s="301">
        <f t="shared" si="28"/>
        <v>0.5</v>
      </c>
      <c r="R125" s="173">
        <f t="shared" si="29"/>
        <v>2.5014801335083981E-2</v>
      </c>
      <c r="S125" s="802">
        <f t="shared" si="30"/>
        <v>0</v>
      </c>
      <c r="T125" s="172">
        <f t="shared" si="31"/>
        <v>6</v>
      </c>
      <c r="U125" s="247">
        <f t="shared" si="32"/>
        <v>2.5014801335083981E-2</v>
      </c>
      <c r="V125" s="378">
        <f t="shared" si="33"/>
        <v>54.921751752832314</v>
      </c>
      <c r="W125" s="397">
        <f t="shared" si="34"/>
        <v>10.794037107280054</v>
      </c>
      <c r="X125" s="153">
        <f t="shared" si="35"/>
        <v>47229</v>
      </c>
      <c r="Y125" s="380">
        <f t="shared" si="36"/>
        <v>10.56634867970965</v>
      </c>
      <c r="Z125" s="380">
        <f t="shared" si="37"/>
        <v>10.965249203218136</v>
      </c>
      <c r="AA125" s="381">
        <f t="shared" si="38"/>
        <v>11.654867031641119</v>
      </c>
      <c r="AB125" s="193">
        <f t="shared" si="39"/>
        <v>47229</v>
      </c>
      <c r="AC125" s="119">
        <f>IF(OR(t&lt;Tnet,NoTnet),'2028'!Resal_s+('2028'!Salim-'2028'!Resal_s)*(1-EXP(('2028'!Tnet_s-t)/'2028'!Tau_j)),Resal_s+(Salim-Resal_s)*(1-EXP((Tnet_s-t)/Tau_j)))*Salcycl</f>
        <v>5.91699438998987E-2</v>
      </c>
      <c r="AD125" s="227">
        <f>(INDEX(Models!$BJ125:$BT125,,AH125)*(1-AF125)+INDEX(Models!$BJ125:$BT125,,AH125+1)*AF125-ERP_i)*AE125*Ramure*Pc/MaxiM</f>
        <v>1.2932089744547193E-4</v>
      </c>
      <c r="AE125" s="301">
        <f t="shared" si="40"/>
        <v>0.5</v>
      </c>
      <c r="AF125" s="173">
        <f t="shared" si="41"/>
        <v>0.55000236770906108</v>
      </c>
      <c r="AG125" s="802">
        <f t="shared" si="49"/>
        <v>3</v>
      </c>
      <c r="AH125" s="172">
        <f t="shared" si="42"/>
        <v>9</v>
      </c>
      <c r="AI125" s="221">
        <f t="shared" si="43"/>
        <v>3.5500023677090611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47230</v>
      </c>
      <c r="B126" s="406">
        <f>'2028'!Wh/'2028'!Env_an*'2029'!Env_an</f>
        <v>28.711344150325591</v>
      </c>
      <c r="C126" s="832"/>
      <c r="D126" s="388">
        <f t="shared" si="25"/>
        <v>29.795661953602547</v>
      </c>
      <c r="E126" s="380">
        <f t="shared" si="47"/>
        <v>31.003229768485326</v>
      </c>
      <c r="F126" s="380">
        <f t="shared" si="26"/>
        <v>31.003236070890104</v>
      </c>
      <c r="G126" s="110">
        <f t="shared" si="48"/>
        <v>0.5204622773212193</v>
      </c>
      <c r="H126" s="409" t="b">
        <f>Wh_hp&gt;='2028'!Maxi_hp</f>
        <v>1</v>
      </c>
      <c r="I126" s="385">
        <f>IF(H126,Wh_hp,'2028'!Maxi_hp)</f>
        <v>31.003236070890104</v>
      </c>
      <c r="J126" s="85">
        <f>IF(H126,An,'2028'!An_max)</f>
        <v>2029</v>
      </c>
      <c r="K126" s="193">
        <f t="shared" si="27"/>
        <v>47230</v>
      </c>
      <c r="L126" s="143">
        <f>IF(t&lt;Tvie,1-EXP((T0-t)*PertePVj)+'2028'!Pspv,1-EXP((T0-t)*PertePVj)+Pspv)</f>
        <v>3.6391801093912379E-2</v>
      </c>
      <c r="M126" s="836"/>
      <c r="N126" s="836"/>
      <c r="O126" s="48">
        <f>IF(t&lt;Tnet,'2028'!Resal+('2028'!Salim-'2028'!Resal)*(1-EXP(('2028'!Tnet-t)/('2028'!Tau_j))),Resal+(Salim-Resal)*(1-EXP((Tnet-t)/(Tau_j))))*Salcycl</f>
        <v>3.8949742459099101E-2</v>
      </c>
      <c r="P126" s="165">
        <f>(INDEX(Models!$BJ126:$BT126,,T126)*(1-R126)+INDEX(Models!$BJ126:$BT126,,T126+1)*R126-ERP_i)*Q126*Ramure*Pc/MaxiM</f>
        <v>6.4544993744702522E-7</v>
      </c>
      <c r="Q126" s="301">
        <f t="shared" si="28"/>
        <v>0.5</v>
      </c>
      <c r="R126" s="173">
        <f t="shared" si="29"/>
        <v>2.712008488196644E-2</v>
      </c>
      <c r="S126" s="802">
        <f t="shared" si="30"/>
        <v>0</v>
      </c>
      <c r="T126" s="172">
        <f t="shared" si="31"/>
        <v>6</v>
      </c>
      <c r="U126" s="247">
        <f t="shared" si="32"/>
        <v>2.712008488196644E-2</v>
      </c>
      <c r="V126" s="378">
        <f t="shared" si="33"/>
        <v>55.165057500164764</v>
      </c>
      <c r="W126" s="397">
        <f t="shared" si="34"/>
        <v>28.711344150325591</v>
      </c>
      <c r="X126" s="153">
        <f t="shared" si="35"/>
        <v>47230</v>
      </c>
      <c r="Y126" s="380">
        <f t="shared" si="36"/>
        <v>28.104943358451347</v>
      </c>
      <c r="Z126" s="380">
        <f t="shared" si="37"/>
        <v>29.166359720015656</v>
      </c>
      <c r="AA126" s="381">
        <f t="shared" si="38"/>
        <v>31.00207207096803</v>
      </c>
      <c r="AB126" s="193">
        <f t="shared" si="39"/>
        <v>47230</v>
      </c>
      <c r="AC126" s="119">
        <f>IF(OR(t&lt;Tnet,NoTnet),'2028'!Resal_s+('2028'!Salim-'2028'!Resal_s)*(1-EXP(('2028'!Tnet_s-t)/'2028'!Tau_j)),Resal_s+(Salim-Resal_s)*(1-EXP((Tnet_s-t)/Tau_j)))*Salcycl</f>
        <v>5.9212569622771494E-2</v>
      </c>
      <c r="AD126" s="227">
        <f>(INDEX(Models!$BJ126:$BT126,,AH126)*(1-AF126)+INDEX(Models!$BJ126:$BT126,,AH126+1)*AF126-ERP_i)*AE126*Ramure*Pc/MaxiM</f>
        <v>1.1920904847388374E-4</v>
      </c>
      <c r="AE126" s="301">
        <f t="shared" si="40"/>
        <v>0.5</v>
      </c>
      <c r="AF126" s="173">
        <f t="shared" si="41"/>
        <v>0.55210765125594374</v>
      </c>
      <c r="AG126" s="802">
        <f t="shared" si="49"/>
        <v>3</v>
      </c>
      <c r="AH126" s="172">
        <f t="shared" si="42"/>
        <v>9</v>
      </c>
      <c r="AI126" s="221">
        <f t="shared" si="43"/>
        <v>3.5521076512559437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47231</v>
      </c>
      <c r="B127" s="406">
        <f>'2028'!Wh/'2028'!Env_an*'2029'!Env_an</f>
        <v>9.4261610774364364</v>
      </c>
      <c r="C127" s="832"/>
      <c r="D127" s="388">
        <f t="shared" si="25"/>
        <v>9.7822850886213306</v>
      </c>
      <c r="E127" s="380">
        <f t="shared" si="47"/>
        <v>10.179314095727591</v>
      </c>
      <c r="F127" s="380">
        <f t="shared" si="26"/>
        <v>10.179314095727591</v>
      </c>
      <c r="G127" s="110">
        <f t="shared" si="48"/>
        <v>0.17014408013828836</v>
      </c>
      <c r="H127" s="409" t="b">
        <f>Wh_hp&gt;='2028'!Maxi_hp</f>
        <v>1</v>
      </c>
      <c r="I127" s="385">
        <f>IF(H127,Wh_hp,'2028'!Maxi_hp)</f>
        <v>10.179314095727591</v>
      </c>
      <c r="J127" s="85">
        <f>IF(H127,An,'2028'!An_max)</f>
        <v>2029</v>
      </c>
      <c r="K127" s="193">
        <f t="shared" si="27"/>
        <v>47231</v>
      </c>
      <c r="L127" s="143">
        <f>IF(t&lt;Tvie,1-EXP((T0-t)*PertePVj)+'2028'!Pspv,1-EXP((T0-t)*PertePVj)+Pspv)</f>
        <v>3.6404992080954046E-2</v>
      </c>
      <c r="M127" s="836"/>
      <c r="N127" s="836"/>
      <c r="O127" s="48">
        <f>IF(t&lt;Tnet,'2028'!Resal+('2028'!Salim-'2028'!Resal)*(1-EXP(('2028'!Tnet-t)/('2028'!Tau_j))),Resal+(Salim-Resal)*(1-EXP((Tnet-t)/(Tau_j))))*Salcycl</f>
        <v>3.900351274875196E-2</v>
      </c>
      <c r="P127" s="165">
        <f>(INDEX(Models!$BJ127:$BT127,,T127)*(1-R127)+INDEX(Models!$BJ127:$BT127,,T127+1)*R127-ERP_i)*Q127*Ramure*Pc/MaxiM</f>
        <v>6.5815193249767973E-7</v>
      </c>
      <c r="Q127" s="301">
        <f t="shared" si="28"/>
        <v>0.5</v>
      </c>
      <c r="R127" s="173">
        <f t="shared" si="29"/>
        <v>2.9292553885999821E-2</v>
      </c>
      <c r="S127" s="802">
        <f t="shared" si="30"/>
        <v>0</v>
      </c>
      <c r="T127" s="172">
        <f t="shared" si="31"/>
        <v>6</v>
      </c>
      <c r="U127" s="247">
        <f t="shared" si="32"/>
        <v>2.9292553885999821E-2</v>
      </c>
      <c r="V127" s="378">
        <f t="shared" si="33"/>
        <v>55.401015809242324</v>
      </c>
      <c r="W127" s="397">
        <f t="shared" si="34"/>
        <v>9.4261610774364364</v>
      </c>
      <c r="X127" s="153">
        <f t="shared" si="35"/>
        <v>47231</v>
      </c>
      <c r="Y127" s="380">
        <f t="shared" si="36"/>
        <v>9.2275095214922551</v>
      </c>
      <c r="Z127" s="380">
        <f t="shared" si="37"/>
        <v>9.5761284000627374</v>
      </c>
      <c r="AA127" s="381">
        <f t="shared" si="38"/>
        <v>10.179314095727591</v>
      </c>
      <c r="AB127" s="193">
        <f t="shared" si="39"/>
        <v>47231</v>
      </c>
      <c r="AC127" s="119">
        <f>IF(OR(t&lt;Tnet,NoTnet),'2028'!Resal_s+('2028'!Salim-'2028'!Resal_s)*(1-EXP(('2028'!Tnet_s-t)/'2028'!Tau_j)),Resal_s+(Salim-Resal_s)*(1-EXP((Tnet_s-t)/Tau_j)))*Salcycl</f>
        <v>5.9256025503527758E-2</v>
      </c>
      <c r="AD127" s="227">
        <f>(INDEX(Models!$BJ127:$BT127,,AH127)*(1-AF127)+INDEX(Models!$BJ127:$BT127,,AH127+1)*AF127-ERP_i)*AE127*Ramure*Pc/MaxiM</f>
        <v>1.0998946236476233E-4</v>
      </c>
      <c r="AE127" s="301">
        <f t="shared" si="40"/>
        <v>0.5</v>
      </c>
      <c r="AF127" s="173">
        <f t="shared" si="41"/>
        <v>0.55428012025997697</v>
      </c>
      <c r="AG127" s="802">
        <f t="shared" si="49"/>
        <v>3</v>
      </c>
      <c r="AH127" s="172">
        <f t="shared" si="42"/>
        <v>9</v>
      </c>
      <c r="AI127" s="221">
        <f t="shared" si="43"/>
        <v>3.554280120259977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47232</v>
      </c>
      <c r="B128" s="406">
        <f>'2028'!Wh/'2028'!Env_an*'2029'!Env_an</f>
        <v>33.798447151116719</v>
      </c>
      <c r="C128" s="832"/>
      <c r="D128" s="388">
        <f t="shared" si="25"/>
        <v>35.075845715307807</v>
      </c>
      <c r="E128" s="380">
        <f t="shared" si="47"/>
        <v>36.501515663623934</v>
      </c>
      <c r="F128" s="380">
        <f t="shared" si="26"/>
        <v>36.501526446022538</v>
      </c>
      <c r="G128" s="110">
        <f t="shared" si="48"/>
        <v>0.60755954987280991</v>
      </c>
      <c r="H128" s="409" t="b">
        <f>Wh_hp&gt;='2028'!Maxi_hp</f>
        <v>1</v>
      </c>
      <c r="I128" s="385">
        <f>IF(H128,Wh_hp,'2028'!Maxi_hp)</f>
        <v>36.501526446022538</v>
      </c>
      <c r="J128" s="85">
        <f>IF(H128,An,'2028'!An_max)</f>
        <v>2029</v>
      </c>
      <c r="K128" s="193">
        <f t="shared" si="27"/>
        <v>47232</v>
      </c>
      <c r="L128" s="143">
        <f>IF(t&lt;Tvie,1-EXP((T0-t)*PertePVj)+'2028'!Pspv,1-EXP((T0-t)*PertePVj)+Pspv)</f>
        <v>3.6418182887422268E-2</v>
      </c>
      <c r="M128" s="836"/>
      <c r="N128" s="836"/>
      <c r="O128" s="48">
        <f>IF(t&lt;Tnet,'2028'!Resal+('2028'!Salim-'2028'!Resal)*(1-EXP(('2028'!Tnet-t)/('2028'!Tau_j))),Resal+(Salim-Resal)*(1-EXP((Tnet-t)/(Tau_j))))*Salcycl</f>
        <v>3.9057828761256026E-2</v>
      </c>
      <c r="P128" s="165">
        <f>(INDEX(Models!$BJ128:$BT128,,T128)*(1-R128)+INDEX(Models!$BJ128:$BT128,,T128+1)*R128-ERP_i)*Q128*Ramure*Pc/MaxiM</f>
        <v>6.7231508595617821E-7</v>
      </c>
      <c r="Q128" s="301">
        <f t="shared" si="28"/>
        <v>0.5</v>
      </c>
      <c r="R128" s="173">
        <f t="shared" si="29"/>
        <v>3.1533553272581331E-2</v>
      </c>
      <c r="S128" s="802">
        <f t="shared" si="30"/>
        <v>0</v>
      </c>
      <c r="T128" s="172">
        <f t="shared" si="31"/>
        <v>6</v>
      </c>
      <c r="U128" s="247">
        <f t="shared" si="32"/>
        <v>3.1533553272581331E-2</v>
      </c>
      <c r="V128" s="378">
        <f t="shared" si="33"/>
        <v>55.629829897172833</v>
      </c>
      <c r="W128" s="397">
        <f t="shared" si="34"/>
        <v>33.798447151116719</v>
      </c>
      <c r="X128" s="153">
        <f t="shared" si="35"/>
        <v>47232</v>
      </c>
      <c r="Y128" s="380">
        <f t="shared" si="36"/>
        <v>33.085007151200337</v>
      </c>
      <c r="Z128" s="380">
        <f t="shared" si="37"/>
        <v>34.33544154075183</v>
      </c>
      <c r="AA128" s="381">
        <f t="shared" si="38"/>
        <v>36.49989688551473</v>
      </c>
      <c r="AB128" s="193">
        <f t="shared" si="39"/>
        <v>47232</v>
      </c>
      <c r="AC128" s="119">
        <f>IF(OR(t&lt;Tnet,NoTnet),'2028'!Resal_s+('2028'!Salim-'2028'!Resal_s)*(1-EXP(('2028'!Tnet_s-t)/'2028'!Tau_j)),Resal_s+(Salim-Resal_s)*(1-EXP((Tnet_s-t)/Tau_j)))*Salcycl</f>
        <v>5.9300313958472649E-2</v>
      </c>
      <c r="AD128" s="227">
        <f>(INDEX(Models!$BJ128:$BT128,,AH128)*(1-AF128)+INDEX(Models!$BJ128:$BT128,,AH128+1)*AF128-ERP_i)*AE128*Ramure*Pc/MaxiM</f>
        <v>1.0160801441066238E-4</v>
      </c>
      <c r="AE128" s="301">
        <f t="shared" si="40"/>
        <v>0.5</v>
      </c>
      <c r="AF128" s="173">
        <f t="shared" si="41"/>
        <v>0.55652111964655848</v>
      </c>
      <c r="AG128" s="802">
        <f t="shared" si="49"/>
        <v>3</v>
      </c>
      <c r="AH128" s="172">
        <f t="shared" si="42"/>
        <v>9</v>
      </c>
      <c r="AI128" s="221">
        <f t="shared" si="43"/>
        <v>3.5565211196465585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47233</v>
      </c>
      <c r="B129" s="406">
        <f>'2028'!Wh/'2028'!Env_an*'2029'!Env_an</f>
        <v>44.604704922120987</v>
      </c>
      <c r="C129" s="832"/>
      <c r="D129" s="388">
        <f t="shared" si="25"/>
        <v>46.291155290886337</v>
      </c>
      <c r="E129" s="380">
        <f t="shared" si="47"/>
        <v>48.175425897246917</v>
      </c>
      <c r="F129" s="380">
        <f t="shared" si="26"/>
        <v>48.175449373434041</v>
      </c>
      <c r="G129" s="110">
        <f t="shared" si="48"/>
        <v>0.79862732148692317</v>
      </c>
      <c r="H129" s="409" t="b">
        <f>Wh_hp&gt;='2028'!Maxi_hp</f>
        <v>1</v>
      </c>
      <c r="I129" s="385">
        <f>IF(H129,Wh_hp,'2028'!Maxi_hp)</f>
        <v>48.175449373434041</v>
      </c>
      <c r="J129" s="85">
        <f>IF(H129,An,'2028'!An_max)</f>
        <v>2029</v>
      </c>
      <c r="K129" s="193">
        <f t="shared" si="27"/>
        <v>47233</v>
      </c>
      <c r="L129" s="143">
        <f>IF(t&lt;Tvie,1-EXP((T0-t)*PertePVj)+'2028'!Pspv,1-EXP((T0-t)*PertePVj)+Pspv)</f>
        <v>3.6431373513319376E-2</v>
      </c>
      <c r="M129" s="836"/>
      <c r="N129" s="836"/>
      <c r="O129" s="48">
        <f>IF(t&lt;Tnet,'2028'!Resal+('2028'!Salim-'2028'!Resal)*(1-EXP(('2028'!Tnet-t)/('2028'!Tau_j))),Resal+(Salim-Resal)*(1-EXP((Tnet-t)/(Tau_j))))*Salcycl</f>
        <v>3.9112692233993544E-2</v>
      </c>
      <c r="P129" s="165">
        <f>(INDEX(Models!$BJ129:$BT129,,T129)*(1-R129)+INDEX(Models!$BJ129:$BT129,,T129+1)*R129-ERP_i)*Q129*Ramure*Pc/MaxiM</f>
        <v>6.841063472285425E-7</v>
      </c>
      <c r="Q129" s="301">
        <f t="shared" si="28"/>
        <v>0.5</v>
      </c>
      <c r="R129" s="173">
        <f t="shared" si="29"/>
        <v>3.3844394777547172E-2</v>
      </c>
      <c r="S129" s="802">
        <f t="shared" si="30"/>
        <v>0</v>
      </c>
      <c r="T129" s="172">
        <f t="shared" si="31"/>
        <v>6</v>
      </c>
      <c r="U129" s="247">
        <f t="shared" si="32"/>
        <v>3.3844394777547172E-2</v>
      </c>
      <c r="V129" s="378">
        <f t="shared" si="33"/>
        <v>55.85170322103378</v>
      </c>
      <c r="W129" s="397">
        <f t="shared" si="34"/>
        <v>44.604704922120987</v>
      </c>
      <c r="X129" s="153">
        <f t="shared" si="35"/>
        <v>47233</v>
      </c>
      <c r="Y129" s="380">
        <f t="shared" si="36"/>
        <v>43.662595393224066</v>
      </c>
      <c r="Z129" s="380">
        <f t="shared" si="37"/>
        <v>45.313425731205676</v>
      </c>
      <c r="AA129" s="381">
        <f t="shared" si="38"/>
        <v>48.172227581287288</v>
      </c>
      <c r="AB129" s="193">
        <f t="shared" si="39"/>
        <v>47233</v>
      </c>
      <c r="AC129" s="119">
        <f>IF(OR(t&lt;Tnet,NoTnet),'2028'!Resal_s+('2028'!Salim-'2028'!Resal_s)*(1-EXP(('2028'!Tnet_s-t)/'2028'!Tau_j)),Resal_s+(Salim-Resal_s)*(1-EXP((Tnet_s-t)/Tau_j)))*Salcycl</f>
        <v>5.9345436024472502E-2</v>
      </c>
      <c r="AD129" s="227">
        <f>(INDEX(Models!$BJ129:$BT129,,AH129)*(1-AF129)+INDEX(Models!$BJ129:$BT129,,AH129+1)*AF129-ERP_i)*AE129*Ramure*Pc/MaxiM</f>
        <v>9.3884430460791521E-5</v>
      </c>
      <c r="AE129" s="301">
        <f t="shared" si="40"/>
        <v>0.5</v>
      </c>
      <c r="AF129" s="173">
        <f t="shared" si="41"/>
        <v>0.55883196115152423</v>
      </c>
      <c r="AG129" s="802">
        <f t="shared" si="49"/>
        <v>3</v>
      </c>
      <c r="AH129" s="172">
        <f t="shared" si="42"/>
        <v>9</v>
      </c>
      <c r="AI129" s="221">
        <f t="shared" si="43"/>
        <v>3.5588319611515242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47234</v>
      </c>
      <c r="B130" s="406">
        <f>'2028'!Wh/'2028'!Env_an*'2029'!Env_an</f>
        <v>55.692535614936354</v>
      </c>
      <c r="C130" s="832"/>
      <c r="D130" s="388">
        <f t="shared" si="25"/>
        <v>57.798994776825943</v>
      </c>
      <c r="E130" s="380">
        <f t="shared" si="47"/>
        <v>60.15515826944528</v>
      </c>
      <c r="F130" s="380">
        <f t="shared" si="26"/>
        <v>60.155199581708509</v>
      </c>
      <c r="G130" s="110">
        <f t="shared" si="48"/>
        <v>0.99332397159646113</v>
      </c>
      <c r="H130" s="409" t="b">
        <f>Wh_hp&gt;='2028'!Maxi_hp</f>
        <v>1</v>
      </c>
      <c r="I130" s="385">
        <f>IF(H130,Wh_hp,'2028'!Maxi_hp)</f>
        <v>60.155199581708509</v>
      </c>
      <c r="J130" s="85">
        <f>IF(H130,An,'2028'!An_max)</f>
        <v>2029</v>
      </c>
      <c r="K130" s="193">
        <f t="shared" si="27"/>
        <v>47234</v>
      </c>
      <c r="L130" s="143">
        <f>IF(t&lt;Tvie,1-EXP((T0-t)*PertePVj)+'2028'!Pspv,1-EXP((T0-t)*PertePVj)+Pspv)</f>
        <v>3.6444563958647924E-2</v>
      </c>
      <c r="M130" s="836"/>
      <c r="N130" s="836"/>
      <c r="O130" s="48">
        <f>IF(t&lt;Tnet,'2028'!Resal+('2028'!Salim-'2028'!Resal)*(1-EXP(('2028'!Tnet-t)/('2028'!Tau_j))),Resal+(Salim-Resal)*(1-EXP((Tnet-t)/(Tau_j))))*Salcycl</f>
        <v>3.9168103956533119E-2</v>
      </c>
      <c r="P130" s="165">
        <f>(INDEX(Models!$BJ130:$BT130,,T130)*(1-R130)+INDEX(Models!$BJ130:$BT130,,T130+1)*R130-ERP_i)*Q130*Ramure*Pc/MaxiM</f>
        <v>6.9337413250212862E-7</v>
      </c>
      <c r="Q130" s="301">
        <f t="shared" si="28"/>
        <v>0.5</v>
      </c>
      <c r="R130" s="173">
        <f t="shared" si="29"/>
        <v>3.6226351555406135E-2</v>
      </c>
      <c r="S130" s="802">
        <f t="shared" si="30"/>
        <v>0</v>
      </c>
      <c r="T130" s="172">
        <f t="shared" si="31"/>
        <v>6</v>
      </c>
      <c r="U130" s="247">
        <f t="shared" si="32"/>
        <v>3.6226351555406135E-2</v>
      </c>
      <c r="V130" s="378">
        <f t="shared" si="33"/>
        <v>56.066839056689936</v>
      </c>
      <c r="W130" s="397">
        <f t="shared" si="34"/>
        <v>55.692535614936354</v>
      </c>
      <c r="X130" s="153">
        <f t="shared" si="35"/>
        <v>47234</v>
      </c>
      <c r="Y130" s="380">
        <f t="shared" si="36"/>
        <v>54.515686067729838</v>
      </c>
      <c r="Z130" s="380">
        <f t="shared" si="37"/>
        <v>56.57763324101078</v>
      </c>
      <c r="AA130" s="381">
        <f t="shared" si="38"/>
        <v>60.150027033475411</v>
      </c>
      <c r="AB130" s="193">
        <f t="shared" si="39"/>
        <v>47234</v>
      </c>
      <c r="AC130" s="119">
        <f>IF(OR(t&lt;Tnet,NoTnet),'2028'!Resal_s+('2028'!Salim-'2028'!Resal_s)*(1-EXP(('2028'!Tnet_s-t)/'2028'!Tau_j)),Resal_s+(Salim-Resal_s)*(1-EXP((Tnet_s-t)/Tau_j)))*Salcycl</f>
        <v>5.9391391303556335E-2</v>
      </c>
      <c r="AD130" s="227">
        <f>(INDEX(Models!$BJ130:$BT130,,AH130)*(1-AF130)+INDEX(Models!$BJ130:$BT130,,AH130+1)*AF130-ERP_i)*AE130*Ramure*Pc/MaxiM</f>
        <v>8.6814685605081401E-5</v>
      </c>
      <c r="AE130" s="301">
        <f t="shared" si="40"/>
        <v>0.5</v>
      </c>
      <c r="AF130" s="173">
        <f t="shared" si="41"/>
        <v>0.56121391792938313</v>
      </c>
      <c r="AG130" s="802">
        <f t="shared" si="49"/>
        <v>3</v>
      </c>
      <c r="AH130" s="172">
        <f t="shared" si="42"/>
        <v>9</v>
      </c>
      <c r="AI130" s="221">
        <f t="shared" si="43"/>
        <v>3.5612139179293831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47235</v>
      </c>
      <c r="B131" s="406">
        <f>'2028'!Wh/'2028'!Env_an*'2029'!Env_an</f>
        <v>44.268135781397426</v>
      </c>
      <c r="C131" s="832"/>
      <c r="D131" s="388">
        <f t="shared" si="25"/>
        <v>45.943118711643493</v>
      </c>
      <c r="E131" s="380">
        <f t="shared" si="47"/>
        <v>47.818764997427728</v>
      </c>
      <c r="F131" s="380">
        <f t="shared" si="26"/>
        <v>47.818788266202148</v>
      </c>
      <c r="G131" s="110">
        <f t="shared" si="48"/>
        <v>0.78663313480982855</v>
      </c>
      <c r="H131" s="409" t="b">
        <f>Wh_hp&gt;='2028'!Maxi_hp</f>
        <v>1</v>
      </c>
      <c r="I131" s="385">
        <f>IF(H131,Wh_hp,'2028'!Maxi_hp)</f>
        <v>47.818788266202148</v>
      </c>
      <c r="J131" s="85">
        <f>IF(H131,An,'2028'!An_max)</f>
        <v>2029</v>
      </c>
      <c r="K131" s="193">
        <f t="shared" si="27"/>
        <v>47235</v>
      </c>
      <c r="L131" s="143">
        <f>IF(t&lt;Tvie,1-EXP((T0-t)*PertePVj)+'2028'!Pspv,1-EXP((T0-t)*PertePVj)+Pspv)</f>
        <v>3.6457754223410355E-2</v>
      </c>
      <c r="M131" s="836"/>
      <c r="N131" s="836"/>
      <c r="O131" s="48">
        <f>IF(t&lt;Tnet,'2028'!Resal+('2028'!Salim-'2028'!Resal)*(1-EXP(('2028'!Tnet-t)/('2028'!Tau_j))),Resal+(Salim-Resal)*(1-EXP((Tnet-t)/(Tau_j))))*Salcycl</f>
        <v>3.9224063730736926E-2</v>
      </c>
      <c r="P131" s="165">
        <f>(INDEX(Models!$BJ131:$BT131,,T131)*(1-R131)+INDEX(Models!$BJ131:$BT131,,T131+1)*R131-ERP_i)*Q131*Ramure*Pc/MaxiM</f>
        <v>6.9995666951136556E-7</v>
      </c>
      <c r="Q131" s="301">
        <f t="shared" si="28"/>
        <v>0.5</v>
      </c>
      <c r="R131" s="173">
        <f t="shared" si="29"/>
        <v>3.8680652542541084E-2</v>
      </c>
      <c r="S131" s="802">
        <f t="shared" si="30"/>
        <v>0</v>
      </c>
      <c r="T131" s="172">
        <f t="shared" si="31"/>
        <v>6</v>
      </c>
      <c r="U131" s="247">
        <f t="shared" si="32"/>
        <v>3.8680652542541084E-2</v>
      </c>
      <c r="V131" s="378">
        <f t="shared" si="33"/>
        <v>56.275440707609597</v>
      </c>
      <c r="W131" s="397">
        <f t="shared" si="34"/>
        <v>44.268135781397426</v>
      </c>
      <c r="X131" s="153">
        <f t="shared" si="35"/>
        <v>47235</v>
      </c>
      <c r="Y131" s="380">
        <f t="shared" si="36"/>
        <v>43.334361348653559</v>
      </c>
      <c r="Z131" s="380">
        <f t="shared" si="37"/>
        <v>44.974012855790463</v>
      </c>
      <c r="AA131" s="381">
        <f t="shared" si="38"/>
        <v>47.816115644279158</v>
      </c>
      <c r="AB131" s="193">
        <f t="shared" si="39"/>
        <v>47235</v>
      </c>
      <c r="AC131" s="119">
        <f>IF(OR(t&lt;Tnet,NoTnet),'2028'!Resal_s+('2028'!Salim-'2028'!Resal_s)*(1-EXP(('2028'!Tnet_s-t)/'2028'!Tau_j)),Resal_s+(Salim-Resal_s)*(1-EXP((Tnet_s-t)/Tau_j)))*Salcycl</f>
        <v>5.9438177907048959E-2</v>
      </c>
      <c r="AD131" s="227">
        <f>(INDEX(Models!$BJ131:$BT131,,AH131)*(1-AF131)+INDEX(Models!$BJ131:$BT131,,AH131+1)*AF131-ERP_i)*AE131*Ramure*Pc/MaxiM</f>
        <v>8.0396135453231714E-5</v>
      </c>
      <c r="AE131" s="301">
        <f t="shared" si="40"/>
        <v>0.5</v>
      </c>
      <c r="AF131" s="173">
        <f t="shared" si="41"/>
        <v>0.56366821891651808</v>
      </c>
      <c r="AG131" s="802">
        <f t="shared" si="49"/>
        <v>3</v>
      </c>
      <c r="AH131" s="172">
        <f t="shared" si="42"/>
        <v>9</v>
      </c>
      <c r="AI131" s="221">
        <f t="shared" si="43"/>
        <v>3.5636682189165181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47236</v>
      </c>
      <c r="B132" s="406">
        <f>'2028'!Wh/'2028'!Env_an*'2029'!Env_an</f>
        <v>23.600553211939491</v>
      </c>
      <c r="C132" s="832"/>
      <c r="D132" s="388">
        <f t="shared" si="25"/>
        <v>24.493867696579382</v>
      </c>
      <c r="E132" s="380">
        <f t="shared" si="47"/>
        <v>25.495339159540936</v>
      </c>
      <c r="F132" s="380">
        <f t="shared" si="26"/>
        <v>25.495342180579392</v>
      </c>
      <c r="G132" s="110">
        <f t="shared" si="48"/>
        <v>0.41787350757885183</v>
      </c>
      <c r="H132" s="409" t="b">
        <f>Wh_hp&gt;='2028'!Maxi_hp</f>
        <v>1</v>
      </c>
      <c r="I132" s="385">
        <f>IF(H132,Wh_hp,'2028'!Maxi_hp)</f>
        <v>25.495342180579392</v>
      </c>
      <c r="J132" s="85">
        <f>IF(H132,An,'2028'!An_max)</f>
        <v>2029</v>
      </c>
      <c r="K132" s="193">
        <f t="shared" si="27"/>
        <v>47236</v>
      </c>
      <c r="L132" s="143">
        <f>IF(t&lt;Tvie,1-EXP((T0-t)*PertePVj)+'2028'!Pspv,1-EXP((T0-t)*PertePVj)+Pspv)</f>
        <v>3.647094430760911E-2</v>
      </c>
      <c r="M132" s="836"/>
      <c r="N132" s="836"/>
      <c r="O132" s="48">
        <f>IF(t&lt;Tnet,'2028'!Resal+('2028'!Salim-'2028'!Resal)*(1-EXP(('2028'!Tnet-t)/('2028'!Tau_j))),Resal+(Salim-Resal)*(1-EXP((Tnet-t)/(Tau_j))))*Salcycl</f>
        <v>3.9280570330706151E-2</v>
      </c>
      <c r="P132" s="165">
        <f>(INDEX(Models!$BJ132:$BT132,,T132)*(1-R132)+INDEX(Models!$BJ132:$BT132,,T132+1)*R132-ERP_i)*Q132*Ramure*Pc/MaxiM</f>
        <v>7.0368183527533769E-7</v>
      </c>
      <c r="Q132" s="301">
        <f t="shared" si="28"/>
        <v>0.5</v>
      </c>
      <c r="R132" s="173">
        <f t="shared" si="29"/>
        <v>4.1208476585418395E-2</v>
      </c>
      <c r="S132" s="802">
        <f t="shared" si="30"/>
        <v>0</v>
      </c>
      <c r="T132" s="172">
        <f t="shared" si="31"/>
        <v>6</v>
      </c>
      <c r="U132" s="247">
        <f t="shared" si="32"/>
        <v>4.1208476585418395E-2</v>
      </c>
      <c r="V132" s="378">
        <f t="shared" si="33"/>
        <v>56.477711491967952</v>
      </c>
      <c r="W132" s="397">
        <f t="shared" si="34"/>
        <v>23.600553211939491</v>
      </c>
      <c r="X132" s="153">
        <f t="shared" si="35"/>
        <v>47236</v>
      </c>
      <c r="Y132" s="380">
        <f t="shared" si="36"/>
        <v>23.103914224279087</v>
      </c>
      <c r="Z132" s="380">
        <f t="shared" si="37"/>
        <v>23.978430217318813</v>
      </c>
      <c r="AA132" s="381">
        <f t="shared" si="38"/>
        <v>25.495021790790361</v>
      </c>
      <c r="AB132" s="193">
        <f t="shared" si="39"/>
        <v>47236</v>
      </c>
      <c r="AC132" s="119">
        <f>IF(OR(t&lt;Tnet,NoTnet),'2028'!Resal_s+('2028'!Salim-'2028'!Resal_s)*(1-EXP(('2028'!Tnet_s-t)/'2028'!Tau_j)),Resal_s+(Salim-Resal_s)*(1-EXP((Tnet_s-t)/Tau_j)))*Salcycl</f>
        <v>5.9485792399651571E-2</v>
      </c>
      <c r="AD132" s="227">
        <f>(INDEX(Models!$BJ132:$BT132,,AH132)*(1-AF132)+INDEX(Models!$BJ132:$BT132,,AH132+1)*AF132-ERP_i)*AE132*Ramure*Pc/MaxiM</f>
        <v>7.4627475972600081E-5</v>
      </c>
      <c r="AE132" s="301">
        <f t="shared" si="40"/>
        <v>0.5</v>
      </c>
      <c r="AF132" s="173">
        <f t="shared" si="41"/>
        <v>0.56619604295939574</v>
      </c>
      <c r="AG132" s="802">
        <f t="shared" si="49"/>
        <v>3</v>
      </c>
      <c r="AH132" s="172">
        <f t="shared" si="42"/>
        <v>9</v>
      </c>
      <c r="AI132" s="221">
        <f t="shared" si="43"/>
        <v>3.5661960429593957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47237</v>
      </c>
      <c r="B133" s="406">
        <f>'2028'!Wh/'2028'!Env_an*'2029'!Env_an</f>
        <v>42.774226600908719</v>
      </c>
      <c r="C133" s="832"/>
      <c r="D133" s="388">
        <f t="shared" si="25"/>
        <v>44.393899591775671</v>
      </c>
      <c r="E133" s="380">
        <f t="shared" si="47"/>
        <v>46.211760326638093</v>
      </c>
      <c r="F133" s="380">
        <f t="shared" si="26"/>
        <v>46.211781472249143</v>
      </c>
      <c r="G133" s="110">
        <f t="shared" si="48"/>
        <v>0.75474336836296352</v>
      </c>
      <c r="H133" s="409" t="b">
        <f>Wh_hp&gt;='2028'!Maxi_hp</f>
        <v>1</v>
      </c>
      <c r="I133" s="385">
        <f>IF(H133,Wh_hp,'2028'!Maxi_hp)</f>
        <v>46.211781472249143</v>
      </c>
      <c r="J133" s="85">
        <f>IF(H133,An,'2028'!An_max)</f>
        <v>2029</v>
      </c>
      <c r="K133" s="193">
        <f t="shared" si="27"/>
        <v>47237</v>
      </c>
      <c r="L133" s="143">
        <f>IF(t&lt;Tvie,1-EXP((T0-t)*PertePVj)+'2028'!Pspv,1-EXP((T0-t)*PertePVj)+Pspv)</f>
        <v>3.6484134211246633E-2</v>
      </c>
      <c r="M133" s="836"/>
      <c r="N133" s="836"/>
      <c r="O133" s="48">
        <f>IF(t&lt;Tnet,'2028'!Resal+('2028'!Salim-'2028'!Resal)*(1-EXP(('2028'!Tnet-t)/('2028'!Tau_j))),Resal+(Salim-Resal)*(1-EXP((Tnet-t)/(Tau_j))))*Salcycl</f>
        <v>3.9337621462875547E-2</v>
      </c>
      <c r="P133" s="165">
        <f>(INDEX(Models!$BJ133:$BT133,,T133)*(1-R133)+INDEX(Models!$BJ133:$BT133,,T133+1)*R133-ERP_i)*Q133*Ramure*Pc/MaxiM</f>
        <v>7.0436702537497165E-7</v>
      </c>
      <c r="Q133" s="301">
        <f t="shared" si="28"/>
        <v>0.5</v>
      </c>
      <c r="R133" s="173">
        <f t="shared" si="29"/>
        <v>4.3810946346550479E-2</v>
      </c>
      <c r="S133" s="802">
        <f t="shared" si="30"/>
        <v>0</v>
      </c>
      <c r="T133" s="172">
        <f t="shared" si="31"/>
        <v>6</v>
      </c>
      <c r="U133" s="247">
        <f t="shared" si="32"/>
        <v>4.3810946346550479E-2</v>
      </c>
      <c r="V133" s="378">
        <f t="shared" si="33"/>
        <v>56.673854766792068</v>
      </c>
      <c r="W133" s="397">
        <f t="shared" si="34"/>
        <v>42.774226600908719</v>
      </c>
      <c r="X133" s="153">
        <f t="shared" si="35"/>
        <v>47237</v>
      </c>
      <c r="Y133" s="380">
        <f t="shared" si="36"/>
        <v>41.873085470246096</v>
      </c>
      <c r="Z133" s="380">
        <f t="shared" si="37"/>
        <v>43.458636185474695</v>
      </c>
      <c r="AA133" s="381">
        <f t="shared" si="38"/>
        <v>46.209694770328781</v>
      </c>
      <c r="AB133" s="193">
        <f t="shared" si="39"/>
        <v>47237</v>
      </c>
      <c r="AC133" s="119">
        <f>IF(OR(t&lt;Tnet,NoTnet),'2028'!Resal_s+('2028'!Salim-'2028'!Resal_s)*(1-EXP(('2028'!Tnet_s-t)/'2028'!Tau_j)),Resal_s+(Salim-Resal_s)*(1-EXP((Tnet_s-t)/Tau_j)))*Salcycl</f>
        <v>5.9534229743939765E-2</v>
      </c>
      <c r="AD133" s="227">
        <f>(INDEX(Models!$BJ133:$BT133,,AH133)*(1-AF133)+INDEX(Models!$BJ133:$BT133,,AH133+1)*AF133-ERP_i)*AE133*Ramure*Pc/MaxiM</f>
        <v>6.9508704228145307E-5</v>
      </c>
      <c r="AE133" s="301">
        <f t="shared" si="40"/>
        <v>0.5</v>
      </c>
      <c r="AF133" s="173">
        <f t="shared" si="41"/>
        <v>0.5687985127205275</v>
      </c>
      <c r="AG133" s="802">
        <f t="shared" si="49"/>
        <v>3</v>
      </c>
      <c r="AH133" s="172">
        <f t="shared" si="42"/>
        <v>9</v>
      </c>
      <c r="AI133" s="221">
        <f t="shared" si="43"/>
        <v>3.5687985127205275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47238</v>
      </c>
      <c r="B134" s="406">
        <f>'2028'!Wh/'2028'!Env_an*'2029'!Env_an</f>
        <v>43.918713362414579</v>
      </c>
      <c r="C134" s="832"/>
      <c r="D134" s="388">
        <f t="shared" si="25"/>
        <v>45.58234704832411</v>
      </c>
      <c r="E134" s="380">
        <f t="shared" si="47"/>
        <v>45.58234704832411</v>
      </c>
      <c r="F134" s="380">
        <f t="shared" si="26"/>
        <v>45.5823672443764</v>
      </c>
      <c r="G134" s="110">
        <f t="shared" si="48"/>
        <v>0.74191862179389056</v>
      </c>
      <c r="H134" s="409" t="b">
        <f>Wh_hp&gt;='2028'!Maxi_hp</f>
        <v>1</v>
      </c>
      <c r="I134" s="385">
        <f>IF(H134,Wh_hp,'2028'!Maxi_hp)</f>
        <v>45.5823672443764</v>
      </c>
      <c r="J134" s="85">
        <f>IF(H134,An,'2028'!An_max)</f>
        <v>2029</v>
      </c>
      <c r="K134" s="193">
        <f t="shared" si="27"/>
        <v>47238</v>
      </c>
      <c r="L134" s="143">
        <f>IF(t&lt;Tvie,1-EXP((T0-t)*PertePVj)+'2028'!Pspv,1-EXP((T0-t)*PertePVj)+Pspv)</f>
        <v>3.6497323934325476E-2</v>
      </c>
      <c r="M134" s="836"/>
      <c r="N134" s="836"/>
      <c r="O134" s="48">
        <f>IF(t&lt;Tnet,'2028'!Resal+('2028'!Salim-'2028'!Resal)*(1-EXP(('2028'!Tnet-t)/('2028'!Tau_j))),Resal+(Salim-Resal)*(1-EXP((Tnet-t)/(Tau_j))))*Salcycl</f>
        <v>0</v>
      </c>
      <c r="P134" s="165">
        <f>(INDEX(Models!$BJ134:$BT134,,T134)*(1-R134)+INDEX(Models!$BJ134:$BT134,,T134+1)*R134-ERP_i)*Q134*Ramure*Pc/MaxiM</f>
        <v>7.018190613681958E-7</v>
      </c>
      <c r="Q134" s="301">
        <f t="shared" si="28"/>
        <v>0.5</v>
      </c>
      <c r="R134" s="173">
        <f t="shared" si="29"/>
        <v>4.6489122003829604E-2</v>
      </c>
      <c r="S134" s="802">
        <f t="shared" si="30"/>
        <v>0</v>
      </c>
      <c r="T134" s="172">
        <f t="shared" si="31"/>
        <v>6</v>
      </c>
      <c r="U134" s="247">
        <f t="shared" si="32"/>
        <v>4.6489122003829604E-2</v>
      </c>
      <c r="V134" s="378">
        <f t="shared" si="33"/>
        <v>59.19611761754922</v>
      </c>
      <c r="W134" s="397">
        <f t="shared" si="34"/>
        <v>43.918713362414579</v>
      </c>
      <c r="X134" s="153">
        <f t="shared" si="35"/>
        <v>47238</v>
      </c>
      <c r="Y134" s="380">
        <f t="shared" si="36"/>
        <v>42.186812640767286</v>
      </c>
      <c r="Z134" s="380">
        <f t="shared" si="37"/>
        <v>43.784842210331064</v>
      </c>
      <c r="AA134" s="381">
        <f t="shared" si="38"/>
        <v>45.580495575283855</v>
      </c>
      <c r="AB134" s="193">
        <f t="shared" si="39"/>
        <v>47238</v>
      </c>
      <c r="AC134" s="119">
        <f>IF(OR(t&lt;Tnet,NoTnet),'2028'!Resal_s+('2028'!Salim-'2028'!Resal_s)*(1-EXP(('2028'!Tnet_s-t)/'2028'!Tau_j)),Resal_s+(Salim-Resal_s)*(1-EXP((Tnet_s-t)/Tau_j)))*Salcycl</f>
        <v>3.9395213726602998E-2</v>
      </c>
      <c r="AD134" s="227">
        <f>(INDEX(Models!$BJ134:$BT134,,AH134)*(1-AF134)+INDEX(Models!$BJ134:$BT134,,AH134+1)*AF134-ERP_i)*AE134*Ramure*Pc/MaxiM</f>
        <v>6.5041079670670116E-5</v>
      </c>
      <c r="AE134" s="301">
        <f t="shared" si="40"/>
        <v>0.5</v>
      </c>
      <c r="AF134" s="173">
        <f t="shared" si="41"/>
        <v>0.57147668837780685</v>
      </c>
      <c r="AG134" s="802">
        <f t="shared" si="49"/>
        <v>3</v>
      </c>
      <c r="AH134" s="172">
        <f t="shared" si="42"/>
        <v>9</v>
      </c>
      <c r="AI134" s="221">
        <f t="shared" si="43"/>
        <v>3.5714766883778069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47239</v>
      </c>
      <c r="B135" s="406">
        <f>'2028'!Wh/'2028'!Env_an*'2029'!Env_an</f>
        <v>49.82402128436442</v>
      </c>
      <c r="C135" s="832"/>
      <c r="D135" s="388">
        <f t="shared" si="25"/>
        <v>51.71205496404469</v>
      </c>
      <c r="E135" s="380">
        <f t="shared" si="47"/>
        <v>51.715875313022316</v>
      </c>
      <c r="F135" s="380">
        <f t="shared" si="26"/>
        <v>51.715903021990087</v>
      </c>
      <c r="G135" s="110">
        <f t="shared" si="48"/>
        <v>0.83898653599138351</v>
      </c>
      <c r="H135" s="409" t="b">
        <f>Wh_hp&gt;='2028'!Maxi_hp</f>
        <v>1</v>
      </c>
      <c r="I135" s="385">
        <f>IF(H135,Wh_hp,'2028'!Maxi_hp)</f>
        <v>51.715903021990087</v>
      </c>
      <c r="J135" s="85">
        <f>IF(H135,An,'2028'!An_max)</f>
        <v>2029</v>
      </c>
      <c r="K135" s="193">
        <f t="shared" si="27"/>
        <v>47239</v>
      </c>
      <c r="L135" s="143">
        <f>IF(t&lt;Tvie,1-EXP((T0-t)*PertePVj)+'2028'!Pspv,1-EXP((T0-t)*PertePVj)+Pspv)</f>
        <v>3.6510513476848194E-2</v>
      </c>
      <c r="M135" s="836"/>
      <c r="N135" s="836"/>
      <c r="O135" s="48">
        <f>IF(t&lt;Tnet,'2028'!Resal+('2028'!Salim-'2028'!Resal)*(1-EXP(('2028'!Tnet-t)/('2028'!Tau_j))),Resal+(Salim-Resal)*(1-EXP((Tnet-t)/(Tau_j))))*Salcycl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6.9585099148153058E-7</v>
      </c>
      <c r="Q135" s="301">
        <f t="shared" si="28"/>
        <v>0.5</v>
      </c>
      <c r="R135" s="173">
        <f t="shared" si="29"/>
        <v>4.9243994761889599E-2</v>
      </c>
      <c r="S135" s="802">
        <f t="shared" si="30"/>
        <v>0</v>
      </c>
      <c r="T135" s="172">
        <f t="shared" si="31"/>
        <v>6</v>
      </c>
      <c r="U135" s="247">
        <f t="shared" si="32"/>
        <v>4.9243994761889599E-2</v>
      </c>
      <c r="V135" s="378">
        <f t="shared" si="33"/>
        <v>59.385950992293253</v>
      </c>
      <c r="W135" s="397">
        <f t="shared" si="34"/>
        <v>49.82402128436442</v>
      </c>
      <c r="X135" s="153">
        <f t="shared" si="35"/>
        <v>47239</v>
      </c>
      <c r="Y135" s="380">
        <f t="shared" si="36"/>
        <v>47.85960195249482</v>
      </c>
      <c r="Z135" s="380">
        <f t="shared" si="37"/>
        <v>49.673195838598076</v>
      </c>
      <c r="AA135" s="381">
        <f t="shared" si="38"/>
        <v>51.713464884457451</v>
      </c>
      <c r="AB135" s="193">
        <f t="shared" si="39"/>
        <v>47239</v>
      </c>
      <c r="AC135" s="119">
        <f>IF(OR(t&lt;Tnet,NoTnet),'2028'!Resal_s+('2028'!Salim-'2028'!Resal_s)*(1-EXP(('2028'!Tnet_s-t)/'2028'!Tau_j)),Resal_s+(Salim-Resal_s)*(1-EXP((Tnet_s-t)/Tau_j)))*Salcycl</f>
        <v>3.9453342575631281E-2</v>
      </c>
      <c r="AD135" s="227">
        <f>(INDEX(Models!$BJ135:$BT135,,AH135)*(1-AF135)+INDEX(Models!$BJ135:$BT135,,AH135+1)*AF135-ERP_i)*AE135*Ramure*Pc/MaxiM</f>
        <v>6.1228568076906618E-5</v>
      </c>
      <c r="AE135" s="301">
        <f t="shared" si="40"/>
        <v>0.5</v>
      </c>
      <c r="AF135" s="173">
        <f t="shared" si="41"/>
        <v>0.57423156113586682</v>
      </c>
      <c r="AG135" s="802">
        <f t="shared" si="49"/>
        <v>3</v>
      </c>
      <c r="AH135" s="172">
        <f t="shared" si="42"/>
        <v>9</v>
      </c>
      <c r="AI135" s="221">
        <f t="shared" si="43"/>
        <v>3.5742315611358668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47240</v>
      </c>
      <c r="B136" s="406">
        <f>'2028'!Wh/'2028'!Env_an*'2029'!Env_an</f>
        <v>32.024526153471285</v>
      </c>
      <c r="C136" s="832"/>
      <c r="D136" s="388">
        <f t="shared" si="25"/>
        <v>33.238519980023753</v>
      </c>
      <c r="E136" s="380">
        <f t="shared" si="47"/>
        <v>33.243431833954673</v>
      </c>
      <c r="F136" s="380">
        <f t="shared" si="26"/>
        <v>33.243439599072822</v>
      </c>
      <c r="G136" s="110">
        <f t="shared" si="48"/>
        <v>0.53761869461815459</v>
      </c>
      <c r="H136" s="409" t="b">
        <f>Wh_hp&gt;='2028'!Maxi_hp</f>
        <v>1</v>
      </c>
      <c r="I136" s="385">
        <f>IF(H136,Wh_hp,'2028'!Maxi_hp)</f>
        <v>33.243439599072822</v>
      </c>
      <c r="J136" s="85">
        <f>IF(H136,An,'2028'!An_max)</f>
        <v>2029</v>
      </c>
      <c r="K136" s="193">
        <f t="shared" si="27"/>
        <v>47240</v>
      </c>
      <c r="L136" s="143">
        <f>IF(t&lt;Tvie,1-EXP((T0-t)*PertePVj)+'2028'!Pspv,1-EXP((T0-t)*PertePVj)+Pspv)</f>
        <v>3.6523702838817007E-2</v>
      </c>
      <c r="M136" s="836"/>
      <c r="N136" s="836"/>
      <c r="O136" s="48">
        <f>IF(t&lt;Tnet,'2028'!Resal+('2028'!Salim-'2028'!Resal)*(1-EXP(('2028'!Tnet-t)/('2028'!Tau_j))),Resal+(Salim-Resal)*(1-EXP((Tnet-t)/(Tau_j))))*Salcycl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6.881119549888075E-7</v>
      </c>
      <c r="Q136" s="301">
        <f t="shared" si="28"/>
        <v>0.5</v>
      </c>
      <c r="R136" s="173">
        <f t="shared" si="29"/>
        <v>5.2076480197324686E-2</v>
      </c>
      <c r="S136" s="802">
        <f t="shared" si="30"/>
        <v>0</v>
      </c>
      <c r="T136" s="172">
        <f t="shared" si="31"/>
        <v>6</v>
      </c>
      <c r="U136" s="247">
        <f t="shared" si="32"/>
        <v>5.2076480197324686E-2</v>
      </c>
      <c r="V136" s="378">
        <f t="shared" si="33"/>
        <v>59.567332605787101</v>
      </c>
      <c r="W136" s="397">
        <f t="shared" si="34"/>
        <v>32.024526153471285</v>
      </c>
      <c r="X136" s="153">
        <f t="shared" si="35"/>
        <v>47240</v>
      </c>
      <c r="Y136" s="380">
        <f t="shared" si="36"/>
        <v>30.763118086742541</v>
      </c>
      <c r="Z136" s="380">
        <f t="shared" si="37"/>
        <v>31.929294137680362</v>
      </c>
      <c r="AA136" s="381">
        <f t="shared" si="38"/>
        <v>33.242783057676341</v>
      </c>
      <c r="AB136" s="193">
        <f t="shared" si="39"/>
        <v>47240</v>
      </c>
      <c r="AC136" s="119">
        <f>IF(OR(t&lt;Tnet,NoTnet),'2028'!Resal_s+('2028'!Salim-'2028'!Resal_s)*(1-EXP(('2028'!Tnet_s-t)/'2028'!Tau_j)),Resal_s+(Salim-Resal_s)*(1-EXP((Tnet_s-t)/Tau_j)))*Salcycl</f>
        <v>3.951200228082808E-2</v>
      </c>
      <c r="AD136" s="227">
        <f>(INDEX(Models!$BJ136:$BT136,,AH136)*(1-AF136)+INDEX(Models!$BJ136:$BT136,,AH136+1)*AF136-ERP_i)*AE136*Ramure*Pc/MaxiM</f>
        <v>5.8179924010931618E-5</v>
      </c>
      <c r="AE136" s="301">
        <f t="shared" si="40"/>
        <v>0.5</v>
      </c>
      <c r="AF136" s="173">
        <f t="shared" si="41"/>
        <v>0.57706404657130195</v>
      </c>
      <c r="AG136" s="802">
        <f t="shared" si="49"/>
        <v>3</v>
      </c>
      <c r="AH136" s="172">
        <f t="shared" si="42"/>
        <v>9</v>
      </c>
      <c r="AI136" s="221">
        <f t="shared" si="43"/>
        <v>3.5770640465713019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47241</v>
      </c>
      <c r="B137" s="406">
        <f>'2028'!Wh/'2028'!Env_an*'2029'!Env_an</f>
        <v>35.692246946692912</v>
      </c>
      <c r="C137" s="832"/>
      <c r="D137" s="388">
        <f t="shared" si="25"/>
        <v>37.045784785194414</v>
      </c>
      <c r="E137" s="380">
        <f t="shared" si="47"/>
        <v>37.053997787864297</v>
      </c>
      <c r="F137" s="380">
        <f t="shared" si="26"/>
        <v>37.054008465235746</v>
      </c>
      <c r="G137" s="110">
        <f t="shared" si="48"/>
        <v>0.59745268774515359</v>
      </c>
      <c r="H137" s="409" t="b">
        <f>Wh_hp&gt;='2028'!Maxi_hp</f>
        <v>1</v>
      </c>
      <c r="I137" s="385">
        <f>IF(H137,Wh_hp,'2028'!Maxi_hp)</f>
        <v>37.054008465235746</v>
      </c>
      <c r="J137" s="85">
        <f>IF(H137,An,'2028'!An_max)</f>
        <v>2029</v>
      </c>
      <c r="K137" s="193">
        <f t="shared" si="27"/>
        <v>47241</v>
      </c>
      <c r="L137" s="143">
        <f>IF(t&lt;Tvie,1-EXP((T0-t)*PertePVj)+'2028'!Pspv,1-EXP((T0-t)*PertePVj)+Pspv)</f>
        <v>3.653689202023469E-2</v>
      </c>
      <c r="M137" s="836"/>
      <c r="N137" s="836"/>
      <c r="O137" s="48">
        <f>IF(t&lt;Tnet,'2028'!Resal+('2028'!Salim-'2028'!Resal)*(1-EXP(('2028'!Tnet-t)/('2028'!Tau_j))),Resal+(Salim-Resal)*(1-EXP((Tnet-t)/(Tau_j))))*Salcycl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6.7812375368839849E-7</v>
      </c>
      <c r="Q137" s="301">
        <f t="shared" si="28"/>
        <v>0.5</v>
      </c>
      <c r="R137" s="173">
        <f t="shared" si="29"/>
        <v>5.4987411462888457E-2</v>
      </c>
      <c r="S137" s="802">
        <f t="shared" si="30"/>
        <v>0</v>
      </c>
      <c r="T137" s="172">
        <f t="shared" si="31"/>
        <v>6</v>
      </c>
      <c r="U137" s="247">
        <f t="shared" si="32"/>
        <v>5.4987411462888457E-2</v>
      </c>
      <c r="V137" s="378">
        <f t="shared" si="33"/>
        <v>59.740685346323986</v>
      </c>
      <c r="W137" s="397">
        <f t="shared" si="34"/>
        <v>35.692246946692912</v>
      </c>
      <c r="X137" s="153">
        <f t="shared" si="35"/>
        <v>47241</v>
      </c>
      <c r="Y137" s="380">
        <f t="shared" si="36"/>
        <v>34.286668138547249</v>
      </c>
      <c r="Z137" s="380">
        <f t="shared" si="37"/>
        <v>35.586902969685205</v>
      </c>
      <c r="AA137" s="381">
        <f t="shared" si="38"/>
        <v>37.053139646621524</v>
      </c>
      <c r="AB137" s="193">
        <f t="shared" si="39"/>
        <v>47241</v>
      </c>
      <c r="AC137" s="119">
        <f>IF(OR(t&lt;Tnet,NoTnet),'2028'!Resal_s+('2028'!Salim-'2028'!Resal_s)*(1-EXP(('2028'!Tnet_s-t)/'2028'!Tau_j)),Resal_s+(Salim-Resal_s)*(1-EXP((Tnet_s-t)/Tau_j)))*Salcycl</f>
        <v>3.9571185894634674E-2</v>
      </c>
      <c r="AD137" s="227">
        <f>(INDEX(Models!$BJ137:$BT137,,AH137)*(1-AF137)+INDEX(Models!$BJ137:$BT137,,AH137+1)*AF137-ERP_i)*AE137*Ramure*Pc/MaxiM</f>
        <v>5.5178986960319047E-5</v>
      </c>
      <c r="AE137" s="301">
        <f t="shared" si="40"/>
        <v>0.5</v>
      </c>
      <c r="AF137" s="173">
        <f t="shared" si="41"/>
        <v>0.57997497783686569</v>
      </c>
      <c r="AG137" s="802">
        <f t="shared" si="49"/>
        <v>3</v>
      </c>
      <c r="AH137" s="172">
        <f t="shared" si="42"/>
        <v>9</v>
      </c>
      <c r="AI137" s="221">
        <f t="shared" si="43"/>
        <v>3.5799749778368657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47242</v>
      </c>
      <c r="B138" s="406">
        <f>'2028'!Wh/'2028'!Env_an*'2029'!Env_an</f>
        <v>20.087563737385345</v>
      </c>
      <c r="C138" s="832"/>
      <c r="D138" s="388">
        <f t="shared" si="25"/>
        <v>20.849619001136006</v>
      </c>
      <c r="E138" s="380">
        <f t="shared" si="47"/>
        <v>20.855783157693608</v>
      </c>
      <c r="F138" s="380">
        <f t="shared" si="26"/>
        <v>20.855783858295169</v>
      </c>
      <c r="G138" s="110">
        <f t="shared" si="48"/>
        <v>0.33531543087728016</v>
      </c>
      <c r="H138" s="409" t="b">
        <f>Wh_hp&gt;='2028'!Maxi_hp</f>
        <v>1</v>
      </c>
      <c r="I138" s="385">
        <f>IF(H138,Wh_hp,'2028'!Maxi_hp)</f>
        <v>20.855783858295169</v>
      </c>
      <c r="J138" s="85">
        <f>IF(H138,An,'2028'!An_max)</f>
        <v>2029</v>
      </c>
      <c r="K138" s="193">
        <f t="shared" si="27"/>
        <v>47242</v>
      </c>
      <c r="L138" s="143">
        <f>IF(t&lt;Tvie,1-EXP((T0-t)*PertePVj)+'2028'!Pspv,1-EXP((T0-t)*PertePVj)+Pspv)</f>
        <v>3.6550081021103464E-2</v>
      </c>
      <c r="M138" s="836"/>
      <c r="N138" s="836"/>
      <c r="O138" s="48">
        <f>IF(t&lt;Tnet,'2028'!Resal+('2028'!Salim-'2028'!Resal)*(1-EXP(('2028'!Tnet-t)/('2028'!Tau_j))),Resal+(Salim-Resal)*(1-EXP((Tnet-t)/(Tau_j))))*Salcycl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6.6584862365356949E-7</v>
      </c>
      <c r="Q138" s="301">
        <f t="shared" si="28"/>
        <v>0.5</v>
      </c>
      <c r="R138" s="173">
        <f t="shared" si="29"/>
        <v>5.797753237917886E-2</v>
      </c>
      <c r="S138" s="802">
        <f t="shared" si="30"/>
        <v>0</v>
      </c>
      <c r="T138" s="172">
        <f t="shared" si="31"/>
        <v>6</v>
      </c>
      <c r="U138" s="247">
        <f t="shared" si="32"/>
        <v>5.797753237917886E-2</v>
      </c>
      <c r="V138" s="378">
        <f t="shared" si="33"/>
        <v>59.906431935889501</v>
      </c>
      <c r="W138" s="397">
        <f t="shared" si="34"/>
        <v>20.087563737385345</v>
      </c>
      <c r="X138" s="153">
        <f t="shared" si="35"/>
        <v>47242</v>
      </c>
      <c r="Y138" s="380">
        <f t="shared" si="36"/>
        <v>19.297129104633569</v>
      </c>
      <c r="Z138" s="380">
        <f t="shared" si="37"/>
        <v>20.029197911070927</v>
      </c>
      <c r="AA138" s="381">
        <f t="shared" si="38"/>
        <v>20.855728909618957</v>
      </c>
      <c r="AB138" s="193">
        <f t="shared" si="39"/>
        <v>47242</v>
      </c>
      <c r="AC138" s="119">
        <f>IF(OR(t&lt;Tnet,NoTnet),'2028'!Resal_s+('2028'!Salim-'2028'!Resal_s)*(1-EXP(('2028'!Tnet_s-t)/'2028'!Tau_j)),Resal_s+(Salim-Resal_s)*(1-EXP((Tnet_s-t)/Tau_j)))*Salcycl</f>
        <v>3.9630885217673821E-2</v>
      </c>
      <c r="AD138" s="227">
        <f>(INDEX(Models!$BJ138:$BT138,,AH138)*(1-AF138)+INDEX(Models!$BJ138:$BT138,,AH138+1)*AF138-ERP_i)*AE138*Ramure*Pc/MaxiM</f>
        <v>5.2222978796734428E-5</v>
      </c>
      <c r="AE138" s="301">
        <f t="shared" si="40"/>
        <v>0.5</v>
      </c>
      <c r="AF138" s="173">
        <f t="shared" si="41"/>
        <v>0.58296509875315605</v>
      </c>
      <c r="AG138" s="802">
        <f t="shared" si="49"/>
        <v>3</v>
      </c>
      <c r="AH138" s="172">
        <f t="shared" si="42"/>
        <v>9</v>
      </c>
      <c r="AI138" s="221">
        <f t="shared" si="43"/>
        <v>3.5829650987531561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47243</v>
      </c>
      <c r="B139" s="406">
        <f>'2028'!Wh/'2028'!Env_an*'2029'!Env_an</f>
        <v>40.432737150997255</v>
      </c>
      <c r="C139" s="832"/>
      <c r="D139" s="388">
        <f t="shared" si="25"/>
        <v>41.96719502726696</v>
      </c>
      <c r="E139" s="380">
        <f t="shared" si="47"/>
        <v>41.98270726664547</v>
      </c>
      <c r="F139" s="380">
        <f t="shared" si="26"/>
        <v>41.982721841523478</v>
      </c>
      <c r="G139" s="110">
        <f t="shared" si="48"/>
        <v>0.67314955890839812</v>
      </c>
      <c r="H139" s="409" t="b">
        <f>Wh_hp&gt;='2028'!Maxi_hp</f>
        <v>1</v>
      </c>
      <c r="I139" s="385">
        <f>IF(H139,Wh_hp,'2028'!Maxi_hp)</f>
        <v>41.982721841523478</v>
      </c>
      <c r="J139" s="85">
        <f>IF(H139,An,'2028'!An_max)</f>
        <v>2029</v>
      </c>
      <c r="K139" s="193">
        <f t="shared" si="27"/>
        <v>47243</v>
      </c>
      <c r="L139" s="143">
        <f>IF(t&lt;Tvie,1-EXP((T0-t)*PertePVj)+'2028'!Pspv,1-EXP((T0-t)*PertePVj)+Pspv)</f>
        <v>3.6563269841425883E-2</v>
      </c>
      <c r="M139" s="836"/>
      <c r="N139" s="836"/>
      <c r="O139" s="48">
        <f>IF(t&lt;Tnet,'2028'!Resal+('2028'!Salim-'2028'!Resal)*(1-EXP(('2028'!Tnet-t)/('2028'!Tau_j))),Resal+(Salim-Resal)*(1-EXP((Tnet-t)/(Tau_j))))*Salcycl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6.5125220416989476E-7</v>
      </c>
      <c r="Q139" s="301">
        <f t="shared" si="28"/>
        <v>0.5</v>
      </c>
      <c r="R139" s="173">
        <f t="shared" si="29"/>
        <v>6.1047490445755255E-2</v>
      </c>
      <c r="S139" s="802">
        <f t="shared" si="30"/>
        <v>0</v>
      </c>
      <c r="T139" s="172">
        <f t="shared" si="31"/>
        <v>6</v>
      </c>
      <c r="U139" s="247">
        <f t="shared" si="32"/>
        <v>6.1047490445755255E-2</v>
      </c>
      <c r="V139" s="378">
        <f t="shared" si="33"/>
        <v>60.064994949161687</v>
      </c>
      <c r="W139" s="397">
        <f t="shared" si="34"/>
        <v>40.432737150997255</v>
      </c>
      <c r="X139" s="153">
        <f t="shared" si="35"/>
        <v>47243</v>
      </c>
      <c r="Y139" s="380">
        <f t="shared" si="36"/>
        <v>38.841262086658617</v>
      </c>
      <c r="Z139" s="380">
        <f t="shared" si="37"/>
        <v>40.315322086864647</v>
      </c>
      <c r="AA139" s="381">
        <f t="shared" si="38"/>
        <v>41.981618309785162</v>
      </c>
      <c r="AB139" s="193">
        <f t="shared" si="39"/>
        <v>47243</v>
      </c>
      <c r="AC139" s="119">
        <f>IF(OR(t&lt;Tnet,NoTnet),'2028'!Resal_s+('2028'!Salim-'2028'!Resal_s)*(1-EXP(('2028'!Tnet_s-t)/'2028'!Tau_j)),Resal_s+(Salim-Resal_s)*(1-EXP((Tnet_s-t)/Tau_j)))*Salcycl</f>
        <v>3.9691090767983342E-2</v>
      </c>
      <c r="AD139" s="227">
        <f>(INDEX(Models!$BJ139:$BT139,,AH139)*(1-AF139)+INDEX(Models!$BJ139:$BT139,,AH139+1)*AF139-ERP_i)*AE139*Ramure*Pc/MaxiM</f>
        <v>4.9309330503504608E-5</v>
      </c>
      <c r="AE139" s="301">
        <f t="shared" si="40"/>
        <v>0.5</v>
      </c>
      <c r="AF139" s="173">
        <f t="shared" si="41"/>
        <v>0.58603505681973234</v>
      </c>
      <c r="AG139" s="802">
        <f t="shared" si="49"/>
        <v>3</v>
      </c>
      <c r="AH139" s="172">
        <f t="shared" si="42"/>
        <v>9</v>
      </c>
      <c r="AI139" s="221">
        <f t="shared" si="43"/>
        <v>3.5860350568197323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47244</v>
      </c>
      <c r="B140" s="406">
        <f>'2028'!Wh/'2028'!Env_an*'2029'!Env_an</f>
        <v>42.385131119183065</v>
      </c>
      <c r="C140" s="832"/>
      <c r="D140" s="388">
        <f t="shared" si="25"/>
        <v>43.994286305651961</v>
      </c>
      <c r="E140" s="380">
        <f t="shared" si="47"/>
        <v>44.013803901008139</v>
      </c>
      <c r="F140" s="380">
        <f t="shared" si="26"/>
        <v>44.013820008810121</v>
      </c>
      <c r="G140" s="110">
        <f t="shared" si="48"/>
        <v>0.70387536342414425</v>
      </c>
      <c r="H140" s="409" t="b">
        <f>Wh_hp&gt;='2028'!Maxi_hp</f>
        <v>1</v>
      </c>
      <c r="I140" s="385">
        <f>IF(H140,Wh_hp,'2028'!Maxi_hp)</f>
        <v>44.013820008810121</v>
      </c>
      <c r="J140" s="85">
        <f>IF(H140,An,'2028'!An_max)</f>
        <v>2029</v>
      </c>
      <c r="K140" s="193">
        <f t="shared" si="27"/>
        <v>47244</v>
      </c>
      <c r="L140" s="143">
        <f>IF(t&lt;Tvie,1-EXP((T0-t)*PertePVj)+'2028'!Pspv,1-EXP((T0-t)*PertePVj)+Pspv)</f>
        <v>3.6576458481204388E-2</v>
      </c>
      <c r="M140" s="836"/>
      <c r="N140" s="836"/>
      <c r="O140" s="48">
        <f>IF(t&lt;Tnet,'2028'!Resal+('2028'!Salim-'2028'!Resal)*(1-EXP(('2028'!Tnet-t)/('2028'!Tau_j))),Resal+(Salim-Resal)*(1-EXP((Tnet-t)/(Tau_j))))*Salcycl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6.343043563592968E-7</v>
      </c>
      <c r="Q140" s="301">
        <f t="shared" si="28"/>
        <v>0.5</v>
      </c>
      <c r="R140" s="173">
        <f t="shared" si="29"/>
        <v>6.4197829807096624E-2</v>
      </c>
      <c r="S140" s="802">
        <f t="shared" si="30"/>
        <v>0</v>
      </c>
      <c r="T140" s="172">
        <f t="shared" si="31"/>
        <v>6</v>
      </c>
      <c r="U140" s="247">
        <f t="shared" si="32"/>
        <v>6.4197829807096624E-2</v>
      </c>
      <c r="V140" s="378">
        <f t="shared" si="33"/>
        <v>60.216796819912716</v>
      </c>
      <c r="W140" s="397">
        <f t="shared" si="34"/>
        <v>42.385131119183065</v>
      </c>
      <c r="X140" s="153">
        <f t="shared" si="35"/>
        <v>47244</v>
      </c>
      <c r="Y140" s="380">
        <f t="shared" si="36"/>
        <v>40.717226429340791</v>
      </c>
      <c r="Z140" s="380">
        <f t="shared" si="37"/>
        <v>42.263059469308629</v>
      </c>
      <c r="AA140" s="381">
        <f t="shared" si="38"/>
        <v>44.012640800942769</v>
      </c>
      <c r="AB140" s="193">
        <f t="shared" si="39"/>
        <v>47244</v>
      </c>
      <c r="AC140" s="119">
        <f>IF(OR(t&lt;Tnet,NoTnet),'2028'!Resal_s+('2028'!Salim-'2028'!Resal_s)*(1-EXP(('2028'!Tnet_s-t)/'2028'!Tau_j)),Resal_s+(Salim-Resal_s)*(1-EXP((Tnet_s-t)/Tau_j)))*Salcycl</f>
        <v>3.9751791753351536E-2</v>
      </c>
      <c r="AD140" s="227">
        <f>(INDEX(Models!$BJ140:$BT140,,AH140)*(1-AF140)+INDEX(Models!$BJ140:$BT140,,AH140+1)*AF140-ERP_i)*AE140*Ramure*Pc/MaxiM</f>
        <v>4.6435676825180833E-5</v>
      </c>
      <c r="AE140" s="301">
        <f t="shared" si="40"/>
        <v>0.5</v>
      </c>
      <c r="AF140" s="173">
        <f t="shared" si="41"/>
        <v>0.58918539618107379</v>
      </c>
      <c r="AG140" s="802">
        <f t="shared" si="49"/>
        <v>3</v>
      </c>
      <c r="AH140" s="172">
        <f t="shared" si="42"/>
        <v>9</v>
      </c>
      <c r="AI140" s="221">
        <f t="shared" si="43"/>
        <v>3.5891853961810738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47245</v>
      </c>
      <c r="B141" s="406">
        <f>'2028'!Wh/'2028'!Env_an*'2029'!Env_an</f>
        <v>48.750184286877477</v>
      </c>
      <c r="C141" s="832"/>
      <c r="D141" s="388">
        <f t="shared" si="25"/>
        <v>50.601681964552981</v>
      </c>
      <c r="E141" s="380">
        <f t="shared" si="47"/>
        <v>50.627877729206773</v>
      </c>
      <c r="F141" s="380">
        <f t="shared" si="26"/>
        <v>50.627900307832576</v>
      </c>
      <c r="G141" s="110">
        <f t="shared" si="48"/>
        <v>0.80762675516856919</v>
      </c>
      <c r="H141" s="409" t="b">
        <f>Wh_hp&gt;='2028'!Maxi_hp</f>
        <v>1</v>
      </c>
      <c r="I141" s="385">
        <f>IF(H141,Wh_hp,'2028'!Maxi_hp)</f>
        <v>50.627900307832576</v>
      </c>
      <c r="J141" s="85">
        <f>IF(H141,An,'2028'!An_max)</f>
        <v>2029</v>
      </c>
      <c r="K141" s="193">
        <f t="shared" si="27"/>
        <v>47245</v>
      </c>
      <c r="L141" s="143">
        <f>IF(t&lt;Tvie,1-EXP((T0-t)*PertePVj)+'2028'!Pspv,1-EXP((T0-t)*PertePVj)+Pspv)</f>
        <v>3.6589646940441534E-2</v>
      </c>
      <c r="M141" s="836"/>
      <c r="N141" s="836"/>
      <c r="O141" s="48">
        <f>IF(t&lt;Tnet,'2028'!Resal+('2028'!Salim-'2028'!Resal)*(1-EXP(('2028'!Tnet-t)/('2028'!Tau_j))),Resal+(Salim-Resal)*(1-EXP((Tnet-t)/(Tau_j))))*Salcycl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6.1498002381188065E-7</v>
      </c>
      <c r="Q141" s="301">
        <f t="shared" si="28"/>
        <v>0.5</v>
      </c>
      <c r="R141" s="173">
        <f t="shared" si="29"/>
        <v>6.7428984212248966E-2</v>
      </c>
      <c r="S141" s="802">
        <f t="shared" si="30"/>
        <v>0</v>
      </c>
      <c r="T141" s="172">
        <f t="shared" si="31"/>
        <v>6</v>
      </c>
      <c r="U141" s="247">
        <f t="shared" si="32"/>
        <v>6.7428984212248966E-2</v>
      </c>
      <c r="V141" s="378">
        <f t="shared" si="33"/>
        <v>60.362259838118092</v>
      </c>
      <c r="W141" s="397">
        <f t="shared" si="34"/>
        <v>48.750184286877477</v>
      </c>
      <c r="X141" s="153">
        <f t="shared" si="35"/>
        <v>47245</v>
      </c>
      <c r="Y141" s="380">
        <f t="shared" si="36"/>
        <v>46.832066980472327</v>
      </c>
      <c r="Z141" s="380">
        <f t="shared" si="37"/>
        <v>48.610715913260634</v>
      </c>
      <c r="AA141" s="381">
        <f t="shared" si="38"/>
        <v>50.626299565210594</v>
      </c>
      <c r="AB141" s="193">
        <f t="shared" si="39"/>
        <v>47245</v>
      </c>
      <c r="AC141" s="119">
        <f>IF(OR(t&lt;Tnet,NoTnet),'2028'!Resal_s+('2028'!Salim-'2028'!Resal_s)*(1-EXP(('2028'!Tnet_s-t)/'2028'!Tau_j)),Resal_s+(Salim-Resal_s)*(1-EXP((Tnet_s-t)/Tau_j)))*Salcycl</f>
        <v>3.9812976047236631E-2</v>
      </c>
      <c r="AD141" s="227">
        <f>(INDEX(Models!$BJ141:$BT141,,AH141)*(1-AF141)+INDEX(Models!$BJ141:$BT141,,AH141+1)*AF141-ERP_i)*AE141*Ramure*Pc/MaxiM</f>
        <v>4.3599851658265727E-5</v>
      </c>
      <c r="AE141" s="301">
        <f t="shared" si="40"/>
        <v>0.5</v>
      </c>
      <c r="AF141" s="173">
        <f t="shared" si="41"/>
        <v>0.592416550586226</v>
      </c>
      <c r="AG141" s="802">
        <f t="shared" si="49"/>
        <v>3</v>
      </c>
      <c r="AH141" s="172">
        <f t="shared" si="42"/>
        <v>9</v>
      </c>
      <c r="AI141" s="221">
        <f t="shared" si="43"/>
        <v>3.592416550586226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47246</v>
      </c>
      <c r="B142" s="406">
        <f>'2028'!Wh/'2028'!Env_an*'2029'!Env_an</f>
        <v>55.293862718292893</v>
      </c>
      <c r="C142" s="832"/>
      <c r="D142" s="388">
        <f t="shared" si="25"/>
        <v>57.394670380694286</v>
      </c>
      <c r="E142" s="380">
        <f t="shared" si="47"/>
        <v>57.428634772970774</v>
      </c>
      <c r="F142" s="380">
        <f t="shared" si="26"/>
        <v>57.4286647399964</v>
      </c>
      <c r="G142" s="110">
        <f t="shared" si="48"/>
        <v>0.91392079478649713</v>
      </c>
      <c r="H142" s="409" t="b">
        <f>Wh_hp&gt;='2028'!Maxi_hp</f>
        <v>1</v>
      </c>
      <c r="I142" s="385">
        <f>IF(H142,Wh_hp,'2028'!Maxi_hp)</f>
        <v>57.4286647399964</v>
      </c>
      <c r="J142" s="85">
        <f>IF(H142,An,'2028'!An_max)</f>
        <v>2029</v>
      </c>
      <c r="K142" s="193">
        <f t="shared" si="27"/>
        <v>47246</v>
      </c>
      <c r="L142" s="143">
        <f>IF(t&lt;Tvie,1-EXP((T0-t)*PertePVj)+'2028'!Pspv,1-EXP((T0-t)*PertePVj)+Pspv)</f>
        <v>3.6602835219139762E-2</v>
      </c>
      <c r="M142" s="836"/>
      <c r="N142" s="836"/>
      <c r="O142" s="48">
        <f>IF(t&lt;Tnet,'2028'!Resal+('2028'!Salim-'2028'!Resal)*(1-EXP(('2028'!Tnet-t)/('2028'!Tau_j))),Resal+(Salim-Resal)*(1-EXP((Tnet-t)/(Tau_j))))*Salcycl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5.9497753652802452E-7</v>
      </c>
      <c r="Q142" s="301">
        <f t="shared" si="28"/>
        <v>0.5</v>
      </c>
      <c r="R142" s="173">
        <f t="shared" si="29"/>
        <v>7.0741270010381913E-2</v>
      </c>
      <c r="S142" s="802">
        <f t="shared" si="30"/>
        <v>0</v>
      </c>
      <c r="T142" s="172">
        <f t="shared" si="31"/>
        <v>6</v>
      </c>
      <c r="U142" s="247">
        <f t="shared" si="32"/>
        <v>7.0741270010381913E-2</v>
      </c>
      <c r="V142" s="378">
        <f t="shared" si="33"/>
        <v>60.501806051650213</v>
      </c>
      <c r="W142" s="397">
        <f t="shared" si="34"/>
        <v>55.293862718292893</v>
      </c>
      <c r="X142" s="153">
        <f t="shared" si="35"/>
        <v>47246</v>
      </c>
      <c r="Y142" s="380">
        <f t="shared" si="36"/>
        <v>53.118577859850681</v>
      </c>
      <c r="Z142" s="380">
        <f t="shared" si="37"/>
        <v>55.13673882560505</v>
      </c>
      <c r="AA142" s="381">
        <f t="shared" si="38"/>
        <v>57.426603397945684</v>
      </c>
      <c r="AB142" s="193">
        <f t="shared" si="39"/>
        <v>47246</v>
      </c>
      <c r="AC142" s="119">
        <f>IF(OR(t&lt;Tnet,NoTnet),'2028'!Resal_s+('2028'!Salim-'2028'!Resal_s)*(1-EXP(('2028'!Tnet_s-t)/'2028'!Tau_j)),Resal_s+(Salim-Resal_s)*(1-EXP((Tnet_s-t)/Tau_j)))*Salcycl</f>
        <v>3.9874630168751111E-2</v>
      </c>
      <c r="AD142" s="227">
        <f>(INDEX(Models!$BJ142:$BT142,,AH142)*(1-AF142)+INDEX(Models!$BJ142:$BT142,,AH142+1)*AF142-ERP_i)*AE142*Ramure*Pc/MaxiM</f>
        <v>4.0926724941839862E-5</v>
      </c>
      <c r="AE142" s="301">
        <f t="shared" si="40"/>
        <v>0.5</v>
      </c>
      <c r="AF142" s="173">
        <f t="shared" si="41"/>
        <v>0.59572883638435892</v>
      </c>
      <c r="AG142" s="802">
        <f t="shared" si="49"/>
        <v>3</v>
      </c>
      <c r="AH142" s="172">
        <f t="shared" si="42"/>
        <v>9</v>
      </c>
      <c r="AI142" s="221">
        <f t="shared" si="43"/>
        <v>3.5957288363843589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47247</v>
      </c>
      <c r="B143" s="406">
        <f>'2028'!Wh/'2028'!Env_an*'2029'!Env_an</f>
        <v>58.505578629437643</v>
      </c>
      <c r="C143" s="832"/>
      <c r="D143" s="388">
        <f t="shared" ref="D143:D206" si="50">Wh/(1-Ppv)</f>
        <v>60.729241969432429</v>
      </c>
      <c r="E143" s="380">
        <f t="shared" si="47"/>
        <v>60.769681079785066</v>
      </c>
      <c r="F143" s="380">
        <f t="shared" ref="F143:F206" si="51">Wh_sa/(1-Pvg*MEDIAN((-Sdif+Wh/Env_an)/Csdif,0,1))</f>
        <v>60.7697142948535</v>
      </c>
      <c r="G143" s="110">
        <f t="shared" si="48"/>
        <v>0.9648676451888456</v>
      </c>
      <c r="H143" s="409" t="b">
        <f>Wh_hp&gt;='2028'!Maxi_hp</f>
        <v>1</v>
      </c>
      <c r="I143" s="385">
        <f>IF(H143,Wh_hp,'2028'!Maxi_hp)</f>
        <v>60.7697142948535</v>
      </c>
      <c r="J143" s="85">
        <f>IF(H143,An,'2028'!An_max)</f>
        <v>2029</v>
      </c>
      <c r="K143" s="193">
        <f t="shared" ref="K143:K206" si="52">t</f>
        <v>47247</v>
      </c>
      <c r="L143" s="143">
        <f>IF(t&lt;Tvie,1-EXP((T0-t)*PertePVj)+'2028'!Pspv,1-EXP((T0-t)*PertePVj)+Pspv)</f>
        <v>3.6616023317301516E-2</v>
      </c>
      <c r="M143" s="836"/>
      <c r="N143" s="836"/>
      <c r="O143" s="48">
        <f>IF(t&lt;Tnet,'2028'!Resal+('2028'!Salim-'2028'!Resal)*(1-EXP(('2028'!Tnet-t)/('2028'!Tau_j))),Resal+(Salim-Resal)*(1-EXP((Tnet-t)/(Tau_j))))*Salcycl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5.7545422051686627E-7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7.4134879227727296E-2</v>
      </c>
      <c r="S143" s="802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7.4134879227727296E-2</v>
      </c>
      <c r="V143" s="378">
        <f t="shared" ref="V143:V206" si="58">MaxiM*(1-Ppv)*(1-Pvg)*(1-Psa)</f>
        <v>60.63585739602388</v>
      </c>
      <c r="W143" s="397">
        <f t="shared" ref="W143:W206" si="59">Wh*(A143&gt;Tmaj)</f>
        <v>58.505578629437643</v>
      </c>
      <c r="X143" s="153">
        <f t="shared" ref="X143:X206" si="60">t</f>
        <v>47247</v>
      </c>
      <c r="Y143" s="380">
        <f t="shared" ref="Y143:Y206" si="61">Wh_pvt_s*(1-Ppv)</f>
        <v>56.204436273903134</v>
      </c>
      <c r="Z143" s="380">
        <f t="shared" ref="Z143:Z206" si="62">Wh_sa_s*(1-Psa_s)</f>
        <v>58.340638451800523</v>
      </c>
      <c r="AA143" s="381">
        <f t="shared" ref="AA143:AA206" si="63">Wh_hp*(1-Pvg_s*MEDIAN((-Sdif+Wh/Env_an)/Csdif,0,1))</f>
        <v>60.767494016247689</v>
      </c>
      <c r="AB143" s="193">
        <f t="shared" ref="AB143:AB206" si="64">t</f>
        <v>47247</v>
      </c>
      <c r="AC143" s="119">
        <f>IF(OR(t&lt;Tnet,NoTnet),'2028'!Resal_s+('2028'!Salim-'2028'!Resal_s)*(1-EXP(('2028'!Tnet_s-t)/'2028'!Tau_j)),Resal_s+(Salim-Resal_s)*(1-EXP((Tnet_s-t)/Tau_j)))*Salcycl</f>
        <v>3.9936739267186022E-2</v>
      </c>
      <c r="AD143" s="227">
        <f>(INDEX(Models!$BJ143:$BT143,,AH143)*(1-AF143)+INDEX(Models!$BJ143:$BT143,,AH143+1)*AF143-ERP_i)*AE143*Ramure*Pc/MaxiM</f>
        <v>3.8466538074862526E-5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0.59912244560170436</v>
      </c>
      <c r="AG143" s="802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3.5991224456017044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47248</v>
      </c>
      <c r="B144" s="406">
        <f>'2028'!Wh/'2028'!Env_an*'2029'!Env_an</f>
        <v>57.307582920846663</v>
      </c>
      <c r="C144" s="832"/>
      <c r="D144" s="388">
        <f t="shared" si="50"/>
        <v>59.48652750236316</v>
      </c>
      <c r="E144" s="380">
        <f t="shared" ref="E144:E169" si="72">Wh_pvt/(1-Psa)</f>
        <v>59.530550873042408</v>
      </c>
      <c r="F144" s="380">
        <f t="shared" si="51"/>
        <v>59.530581326512973</v>
      </c>
      <c r="G144" s="110">
        <f t="shared" ref="G144:G169" si="73">+Wh_hp/MaxiM</f>
        <v>0.94310434069464377</v>
      </c>
      <c r="H144" s="409" t="b">
        <f>Wh_hp&gt;='2028'!Maxi_hp</f>
        <v>1</v>
      </c>
      <c r="I144" s="385">
        <f>IF(H144,Wh_hp,'2028'!Maxi_hp)</f>
        <v>59.530581326512973</v>
      </c>
      <c r="J144" s="85">
        <f>IF(H144,An,'2028'!An_max)</f>
        <v>2029</v>
      </c>
      <c r="K144" s="193">
        <f t="shared" si="52"/>
        <v>47248</v>
      </c>
      <c r="L144" s="143">
        <f>IF(t&lt;Tvie,1-EXP((T0-t)*PertePVj)+'2028'!Pspv,1-EXP((T0-t)*PertePVj)+Pspv)</f>
        <v>3.6629211234929349E-2</v>
      </c>
      <c r="M144" s="836"/>
      <c r="N144" s="836"/>
      <c r="O144" s="48">
        <f>IF(t&lt;Tnet,'2028'!Resal+('2028'!Salim-'2028'!Resal)*(1-EXP(('2028'!Tnet-t)/('2028'!Tau_j))),Resal+(Salim-Resal)*(1-EXP((Tnet-t)/(Tau_j))))*Salcycl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5.5681796652549518E-7</v>
      </c>
      <c r="Q144" s="301">
        <f t="shared" si="53"/>
        <v>0.5</v>
      </c>
      <c r="R144" s="173">
        <f t="shared" si="54"/>
        <v>7.7609872774445532E-2</v>
      </c>
      <c r="S144" s="802">
        <f t="shared" si="55"/>
        <v>0</v>
      </c>
      <c r="T144" s="172">
        <f t="shared" si="56"/>
        <v>6</v>
      </c>
      <c r="U144" s="247">
        <f t="shared" si="57"/>
        <v>7.7609872774445532E-2</v>
      </c>
      <c r="V144" s="378">
        <f t="shared" si="58"/>
        <v>60.764835717983118</v>
      </c>
      <c r="W144" s="397">
        <f t="shared" si="59"/>
        <v>57.307582920846663</v>
      </c>
      <c r="X144" s="153">
        <f t="shared" si="60"/>
        <v>47248</v>
      </c>
      <c r="Y144" s="380">
        <f t="shared" si="61"/>
        <v>55.054230957674356</v>
      </c>
      <c r="Z144" s="380">
        <f t="shared" si="62"/>
        <v>57.147498761351777</v>
      </c>
      <c r="AA144" s="381">
        <f t="shared" si="63"/>
        <v>59.528600337603578</v>
      </c>
      <c r="AB144" s="193">
        <f t="shared" si="64"/>
        <v>47248</v>
      </c>
      <c r="AC144" s="119">
        <f>IF(OR(t&lt;Tnet,NoTnet),'2028'!Resal_s+('2028'!Salim-'2028'!Resal_s)*(1-EXP(('2028'!Tnet_s-t)/'2028'!Tau_j)),Resal_s+(Salim-Resal_s)*(1-EXP((Tnet_s-t)/Tau_j)))*Salcycl</f>
        <v>3.9999287111537947E-2</v>
      </c>
      <c r="AD144" s="227">
        <f>(INDEX(Models!$BJ144:$BT144,,AH144)*(1-AF144)+INDEX(Models!$BJ144:$BT144,,AH144+1)*AF144-ERP_i)*AE144*Ramure*Pc/MaxiM</f>
        <v>3.6220837751785304E-5</v>
      </c>
      <c r="AE144" s="301">
        <f t="shared" si="65"/>
        <v>0.5</v>
      </c>
      <c r="AF144" s="173">
        <f t="shared" si="66"/>
        <v>0.60259743914842279</v>
      </c>
      <c r="AG144" s="802">
        <f t="shared" ref="AG144:AG207" si="74">INDEX(Echel_vg,AH144)</f>
        <v>3</v>
      </c>
      <c r="AH144" s="172">
        <f t="shared" si="67"/>
        <v>9</v>
      </c>
      <c r="AI144" s="221">
        <f t="shared" si="68"/>
        <v>3.6025974391484228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47249</v>
      </c>
      <c r="B145" s="406">
        <f>'2028'!Wh/'2028'!Env_an*'2029'!Env_an</f>
        <v>61.132372400583513</v>
      </c>
      <c r="C145" s="832"/>
      <c r="D145" s="388">
        <f t="shared" si="50"/>
        <v>63.457611519700173</v>
      </c>
      <c r="E145" s="380">
        <f t="shared" si="72"/>
        <v>63.509282754775448</v>
      </c>
      <c r="F145" s="380">
        <f t="shared" si="51"/>
        <v>63.509317018832235</v>
      </c>
      <c r="G145" s="110">
        <f t="shared" si="73"/>
        <v>1.0039943016367112</v>
      </c>
      <c r="H145" s="409" t="b">
        <f>Wh_hp&gt;='2028'!Maxi_hp</f>
        <v>1</v>
      </c>
      <c r="I145" s="385">
        <f>IF(H145,Wh_hp,'2028'!Maxi_hp)</f>
        <v>63.509317018832235</v>
      </c>
      <c r="J145" s="85">
        <f>IF(H145,An,'2028'!An_max)</f>
        <v>2029</v>
      </c>
      <c r="K145" s="193">
        <f t="shared" si="52"/>
        <v>47249</v>
      </c>
      <c r="L145" s="143">
        <f>IF(t&lt;Tvie,1-EXP((T0-t)*PertePVj)+'2028'!Pspv,1-EXP((T0-t)*PertePVj)+Pspv)</f>
        <v>3.6642398972025592E-2</v>
      </c>
      <c r="M145" s="836"/>
      <c r="N145" s="836"/>
      <c r="O145" s="48">
        <f>IF(t&lt;Tnet,'2028'!Resal+('2028'!Salim-'2028'!Resal)*(1-EXP(('2028'!Tnet-t)/('2028'!Tau_j))),Resal+(Salim-Resal)*(1-EXP((Tnet-t)/(Tau_j))))*Salcycl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5.3951228562049184E-7</v>
      </c>
      <c r="Q145" s="301">
        <f t="shared" si="53"/>
        <v>0.5</v>
      </c>
      <c r="R145" s="173">
        <f t="shared" si="54"/>
        <v>8.1166173832809801E-2</v>
      </c>
      <c r="S145" s="802">
        <f t="shared" si="55"/>
        <v>0</v>
      </c>
      <c r="T145" s="172">
        <f t="shared" si="56"/>
        <v>6</v>
      </c>
      <c r="U145" s="247">
        <f t="shared" si="57"/>
        <v>8.1166173832809801E-2</v>
      </c>
      <c r="V145" s="378">
        <f t="shared" si="58"/>
        <v>60.889162718279913</v>
      </c>
      <c r="W145" s="397">
        <f t="shared" si="59"/>
        <v>61.132372400583513</v>
      </c>
      <c r="X145" s="153">
        <f t="shared" si="60"/>
        <v>47249</v>
      </c>
      <c r="Y145" s="380">
        <f t="shared" si="61"/>
        <v>58.729078883628262</v>
      </c>
      <c r="Z145" s="380">
        <f t="shared" si="62"/>
        <v>60.962906008070064</v>
      </c>
      <c r="AA145" s="381">
        <f t="shared" si="63"/>
        <v>63.507145535782648</v>
      </c>
      <c r="AB145" s="193">
        <f t="shared" si="64"/>
        <v>47249</v>
      </c>
      <c r="AC145" s="119">
        <f>IF(OR(t&lt;Tnet,NoTnet),'2028'!Resal_s+('2028'!Salim-'2028'!Resal_s)*(1-EXP(('2028'!Tnet_s-t)/'2028'!Tau_j)),Resal_s+(Salim-Resal_s)*(1-EXP((Tnet_s-t)/Tau_j)))*Salcycl</f>
        <v>4.0062256085483271E-2</v>
      </c>
      <c r="AD145" s="227">
        <f>(INDEX(Models!$BJ145:$BT145,,AH145)*(1-AF145)+INDEX(Models!$BJ145:$BT145,,AH145+1)*AF145-ERP_i)*AE145*Ramure*Pc/MaxiM</f>
        <v>3.4191566710478775E-5</v>
      </c>
      <c r="AE145" s="301">
        <f t="shared" si="65"/>
        <v>0.5</v>
      </c>
      <c r="AF145" s="173">
        <f t="shared" si="66"/>
        <v>0.60615374020678692</v>
      </c>
      <c r="AG145" s="802">
        <f t="shared" si="74"/>
        <v>3</v>
      </c>
      <c r="AH145" s="172">
        <f t="shared" si="67"/>
        <v>9</v>
      </c>
      <c r="AI145" s="221">
        <f t="shared" si="68"/>
        <v>3.6061537402067869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47250</v>
      </c>
      <c r="B146" s="406">
        <f>'2028'!Wh/'2028'!Env_an*'2029'!Env_an</f>
        <v>46.54914292044554</v>
      </c>
      <c r="C146" s="832"/>
      <c r="D146" s="388">
        <f t="shared" si="50"/>
        <v>48.320353831404823</v>
      </c>
      <c r="E146" s="380">
        <f t="shared" si="72"/>
        <v>48.363287266296396</v>
      </c>
      <c r="F146" s="380">
        <f t="shared" si="51"/>
        <v>48.363304028487015</v>
      </c>
      <c r="G146" s="110">
        <f t="shared" si="73"/>
        <v>0.76298474510083414</v>
      </c>
      <c r="H146" s="409" t="b">
        <f>Wh_hp&gt;='2028'!Maxi_hp</f>
        <v>1</v>
      </c>
      <c r="I146" s="385">
        <f>IF(H146,Wh_hp,'2028'!Maxi_hp)</f>
        <v>48.363304028487015</v>
      </c>
      <c r="J146" s="85">
        <f>IF(H146,An,'2028'!An_max)</f>
        <v>2029</v>
      </c>
      <c r="K146" s="193">
        <f t="shared" si="52"/>
        <v>47250</v>
      </c>
      <c r="L146" s="143">
        <f>IF(t&lt;Tvie,1-EXP((T0-t)*PertePVj)+'2028'!Pspv,1-EXP((T0-t)*PertePVj)+Pspv)</f>
        <v>3.6655586528592798E-2</v>
      </c>
      <c r="M146" s="836"/>
      <c r="N146" s="836"/>
      <c r="O146" s="48">
        <f>IF(t&lt;Tnet,'2028'!Resal+('2028'!Salim-'2028'!Resal)*(1-EXP(('2028'!Tnet-t)/('2028'!Tau_j))),Resal+(Salim-Resal)*(1-EXP((Tnet-t)/(Tau_j))))*Salcycl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5.2401780515690553E-7</v>
      </c>
      <c r="Q146" s="301">
        <f t="shared" si="53"/>
        <v>0.5</v>
      </c>
      <c r="R146" s="173">
        <f t="shared" si="54"/>
        <v>8.4803561480638529E-2</v>
      </c>
      <c r="S146" s="802">
        <f t="shared" si="55"/>
        <v>0</v>
      </c>
      <c r="T146" s="172">
        <f t="shared" si="56"/>
        <v>6</v>
      </c>
      <c r="U146" s="247">
        <f t="shared" si="57"/>
        <v>8.4803561480638529E-2</v>
      </c>
      <c r="V146" s="378">
        <f t="shared" si="58"/>
        <v>61.009259962508736</v>
      </c>
      <c r="W146" s="397">
        <f t="shared" si="59"/>
        <v>46.54914292044554</v>
      </c>
      <c r="X146" s="153">
        <f t="shared" si="60"/>
        <v>47250</v>
      </c>
      <c r="Y146" s="380">
        <f t="shared" si="61"/>
        <v>44.720087174222918</v>
      </c>
      <c r="Z146" s="380">
        <f t="shared" si="62"/>
        <v>46.421701884453029</v>
      </c>
      <c r="AA146" s="381">
        <f t="shared" si="63"/>
        <v>48.362268229402758</v>
      </c>
      <c r="AB146" s="193">
        <f t="shared" si="64"/>
        <v>47250</v>
      </c>
      <c r="AC146" s="119">
        <f>IF(OR(t&lt;Tnet,NoTnet),'2028'!Resal_s+('2028'!Salim-'2028'!Resal_s)*(1-EXP(('2028'!Tnet_s-t)/'2028'!Tau_j)),Resal_s+(Salim-Resal_s)*(1-EXP((Tnet_s-t)/Tau_j)))*Salcycl</f>
        <v>4.0125627188220492E-2</v>
      </c>
      <c r="AD146" s="227">
        <f>(INDEX(Models!$BJ146:$BT146,,AH146)*(1-AF146)+INDEX(Models!$BJ146:$BT146,,AH146+1)*AF146-ERP_i)*AE146*Ramure*Pc/MaxiM</f>
        <v>3.2381039860453738E-5</v>
      </c>
      <c r="AE146" s="301">
        <f t="shared" si="65"/>
        <v>0.5</v>
      </c>
      <c r="AF146" s="173">
        <f t="shared" si="66"/>
        <v>0.60979112785461576</v>
      </c>
      <c r="AG146" s="802">
        <f t="shared" si="74"/>
        <v>3</v>
      </c>
      <c r="AH146" s="172">
        <f t="shared" si="67"/>
        <v>9</v>
      </c>
      <c r="AI146" s="221">
        <f t="shared" si="68"/>
        <v>3.6097911278546158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47251</v>
      </c>
      <c r="B147" s="406">
        <f>'2028'!Wh/'2028'!Env_an*'2029'!Env_an</f>
        <v>49.326445429139866</v>
      </c>
      <c r="C147" s="832"/>
      <c r="D147" s="388">
        <f t="shared" si="50"/>
        <v>51.204034596774001</v>
      </c>
      <c r="E147" s="380">
        <f t="shared" si="72"/>
        <v>51.2533346642768</v>
      </c>
      <c r="F147" s="380">
        <f t="shared" si="51"/>
        <v>51.253353627075597</v>
      </c>
      <c r="G147" s="110">
        <f t="shared" si="73"/>
        <v>0.80696925246604612</v>
      </c>
      <c r="H147" s="409" t="b">
        <f>Wh_hp&gt;='2028'!Maxi_hp</f>
        <v>1</v>
      </c>
      <c r="I147" s="385">
        <f>IF(H147,Wh_hp,'2028'!Maxi_hp)</f>
        <v>51.253353627075597</v>
      </c>
      <c r="J147" s="85">
        <f>IF(H147,An,'2028'!An_max)</f>
        <v>2029</v>
      </c>
      <c r="K147" s="193">
        <f t="shared" si="52"/>
        <v>47251</v>
      </c>
      <c r="L147" s="143">
        <f>IF(t&lt;Tvie,1-EXP((T0-t)*PertePVj)+'2028'!Pspv,1-EXP((T0-t)*PertePVj)+Pspv)</f>
        <v>3.6668773904633412E-2</v>
      </c>
      <c r="M147" s="836"/>
      <c r="N147" s="836"/>
      <c r="O147" s="48">
        <f>IF(t&lt;Tnet,'2028'!Resal+('2028'!Salim-'2028'!Resal)*(1-EXP(('2028'!Tnet-t)/('2028'!Tau_j))),Resal+(Salim-Resal)*(1-EXP((Tnet-t)/(Tau_j))))*Salcycl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5.1085361602605382E-7</v>
      </c>
      <c r="Q147" s="301">
        <f t="shared" si="53"/>
        <v>0.5</v>
      </c>
      <c r="R147" s="173">
        <f t="shared" si="54"/>
        <v>8.852166460609065E-2</v>
      </c>
      <c r="S147" s="802">
        <f t="shared" si="55"/>
        <v>0</v>
      </c>
      <c r="T147" s="172">
        <f t="shared" si="56"/>
        <v>6</v>
      </c>
      <c r="U147" s="247">
        <f t="shared" si="57"/>
        <v>8.852166460609065E-2</v>
      </c>
      <c r="V147" s="378">
        <f t="shared" si="58"/>
        <v>61.125548872753249</v>
      </c>
      <c r="W147" s="397">
        <f t="shared" si="59"/>
        <v>49.326445429139866</v>
      </c>
      <c r="X147" s="153">
        <f t="shared" si="60"/>
        <v>47251</v>
      </c>
      <c r="Y147" s="380">
        <f t="shared" si="61"/>
        <v>47.388590482548658</v>
      </c>
      <c r="Z147" s="380">
        <f t="shared" si="62"/>
        <v>49.192416065061039</v>
      </c>
      <c r="AA147" s="381">
        <f t="shared" si="63"/>
        <v>51.252210636293711</v>
      </c>
      <c r="AB147" s="193">
        <f t="shared" si="64"/>
        <v>47251</v>
      </c>
      <c r="AC147" s="119">
        <f>IF(OR(t&lt;Tnet,NoTnet),'2028'!Resal_s+('2028'!Salim-'2028'!Resal_s)*(1-EXP(('2028'!Tnet_s-t)/'2028'!Tau_j)),Resal_s+(Salim-Resal_s)*(1-EXP((Tnet_s-t)/Tau_j)))*Salcycl</f>
        <v>4.018938004157134E-2</v>
      </c>
      <c r="AD147" s="227">
        <f>(INDEX(Models!$BJ147:$BT147,,AH147)*(1-AF147)+INDEX(Models!$BJ147:$BT147,,AH147+1)*AF147-ERP_i)*AE147*Ramure*Pc/MaxiM</f>
        <v>3.0791919494946726E-5</v>
      </c>
      <c r="AE147" s="301">
        <f t="shared" si="65"/>
        <v>0.5</v>
      </c>
      <c r="AF147" s="173">
        <f t="shared" si="66"/>
        <v>0.6135092309800676</v>
      </c>
      <c r="AG147" s="802">
        <f t="shared" si="74"/>
        <v>3</v>
      </c>
      <c r="AH147" s="172">
        <f t="shared" si="67"/>
        <v>9</v>
      </c>
      <c r="AI147" s="221">
        <f t="shared" si="68"/>
        <v>3.6135092309800676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47252</v>
      </c>
      <c r="B148" s="406">
        <f>'2028'!Wh/'2028'!Env_an*'2029'!Env_an</f>
        <v>55.221843158703471</v>
      </c>
      <c r="C148" s="832"/>
      <c r="D148" s="388">
        <f t="shared" si="50"/>
        <v>57.32462274013799</v>
      </c>
      <c r="E148" s="380">
        <f t="shared" si="72"/>
        <v>57.38407775756707</v>
      </c>
      <c r="F148" s="380">
        <f t="shared" si="51"/>
        <v>57.384102451065466</v>
      </c>
      <c r="G148" s="110">
        <f t="shared" si="73"/>
        <v>0.9017510831277562</v>
      </c>
      <c r="H148" s="409" t="b">
        <f>Wh_hp&gt;='2028'!Maxi_hp</f>
        <v>1</v>
      </c>
      <c r="I148" s="385">
        <f>IF(H148,Wh_hp,'2028'!Maxi_hp)</f>
        <v>57.384102451065466</v>
      </c>
      <c r="J148" s="85">
        <f>IF(H148,An,'2028'!An_max)</f>
        <v>2029</v>
      </c>
      <c r="K148" s="193">
        <f t="shared" si="52"/>
        <v>47252</v>
      </c>
      <c r="L148" s="143">
        <f>IF(t&lt;Tvie,1-EXP((T0-t)*PertePVj)+'2028'!Pspv,1-EXP((T0-t)*PertePVj)+Pspv)</f>
        <v>3.6681961100149985E-2</v>
      </c>
      <c r="M148" s="836"/>
      <c r="N148" s="836"/>
      <c r="O148" s="48">
        <f>IF(t&lt;Tnet,'2028'!Resal+('2028'!Salim-'2028'!Resal)*(1-EXP(('2028'!Tnet-t)/('2028'!Tau_j))),Resal+(Salim-Resal)*(1-EXP((Tnet-t)/(Tau_j))))*Salcycl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5.0057844224481694E-7</v>
      </c>
      <c r="Q148" s="301">
        <f t="shared" si="53"/>
        <v>0.5</v>
      </c>
      <c r="R148" s="173">
        <f t="shared" si="54"/>
        <v>9.2319956171693002E-2</v>
      </c>
      <c r="S148" s="802">
        <f t="shared" si="55"/>
        <v>0</v>
      </c>
      <c r="T148" s="172">
        <f t="shared" si="56"/>
        <v>6</v>
      </c>
      <c r="U148" s="247">
        <f t="shared" si="57"/>
        <v>9.2319956171693002E-2</v>
      </c>
      <c r="V148" s="378">
        <f t="shared" si="58"/>
        <v>61.238450734469531</v>
      </c>
      <c r="W148" s="397">
        <f t="shared" si="59"/>
        <v>55.221843158703471</v>
      </c>
      <c r="X148" s="153">
        <f t="shared" si="60"/>
        <v>47252</v>
      </c>
      <c r="Y148" s="380">
        <f t="shared" si="61"/>
        <v>53.052620423806196</v>
      </c>
      <c r="Z148" s="380">
        <f t="shared" si="62"/>
        <v>55.072798682763725</v>
      </c>
      <c r="AA148" s="381">
        <f t="shared" si="63"/>
        <v>57.382650809936791</v>
      </c>
      <c r="AB148" s="193">
        <f t="shared" si="64"/>
        <v>47252</v>
      </c>
      <c r="AC148" s="119">
        <f>IF(OR(t&lt;Tnet,NoTnet),'2028'!Resal_s+('2028'!Salim-'2028'!Resal_s)*(1-EXP(('2028'!Tnet_s-t)/'2028'!Tau_j)),Resal_s+(Salim-Resal_s)*(1-EXP((Tnet_s-t)/Tau_j)))*Salcycl</f>
        <v>4.0253492903696168E-2</v>
      </c>
      <c r="AD148" s="227">
        <f>(INDEX(Models!$BJ148:$BT148,,AH148)*(1-AF148)+INDEX(Models!$BJ148:$BT148,,AH148+1)*AF148-ERP_i)*AE148*Ramure*Pc/MaxiM</f>
        <v>2.9427189421505362E-5</v>
      </c>
      <c r="AE148" s="301">
        <f t="shared" si="65"/>
        <v>0.5</v>
      </c>
      <c r="AF148" s="173">
        <f t="shared" si="66"/>
        <v>0.61730752254567012</v>
      </c>
      <c r="AG148" s="802">
        <f t="shared" si="74"/>
        <v>3</v>
      </c>
      <c r="AH148" s="172">
        <f t="shared" si="67"/>
        <v>9</v>
      </c>
      <c r="AI148" s="221">
        <f t="shared" si="68"/>
        <v>3.6173075225456701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47253</v>
      </c>
      <c r="B149" s="406">
        <f>'2028'!Wh/'2028'!Env_an*'2029'!Env_an</f>
        <v>57.004342182244407</v>
      </c>
      <c r="C149" s="832"/>
      <c r="D149" s="388">
        <f t="shared" si="50"/>
        <v>59.175807191987651</v>
      </c>
      <c r="E149" s="380">
        <f t="shared" si="72"/>
        <v>59.241584688431935</v>
      </c>
      <c r="F149" s="380">
        <f t="shared" si="51"/>
        <v>59.241610983913915</v>
      </c>
      <c r="G149" s="110">
        <f t="shared" si="73"/>
        <v>0.9292133361917817</v>
      </c>
      <c r="H149" s="409" t="b">
        <f>Wh_hp&gt;='2028'!Maxi_hp</f>
        <v>1</v>
      </c>
      <c r="I149" s="385">
        <f>IF(H149,Wh_hp,'2028'!Maxi_hp)</f>
        <v>59.241610983913915</v>
      </c>
      <c r="J149" s="85">
        <f>IF(H149,An,'2028'!An_max)</f>
        <v>2029</v>
      </c>
      <c r="K149" s="193">
        <f t="shared" si="52"/>
        <v>47253</v>
      </c>
      <c r="L149" s="143">
        <f>IF(t&lt;Tvie,1-EXP((T0-t)*PertePVj)+'2028'!Pspv,1-EXP((T0-t)*PertePVj)+Pspv)</f>
        <v>3.6695148115144849E-2</v>
      </c>
      <c r="M149" s="836"/>
      <c r="N149" s="836"/>
      <c r="O149" s="48">
        <f>IF(t&lt;Tnet,'2028'!Resal+('2028'!Salim-'2028'!Resal)*(1-EXP(('2028'!Tnet-t)/('2028'!Tau_j))),Resal+(Salim-Resal)*(1-EXP((Tnet-t)/(Tau_j))))*Salcycl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4.9380372825329876E-7</v>
      </c>
      <c r="Q149" s="301">
        <f t="shared" si="53"/>
        <v>0.5</v>
      </c>
      <c r="R149" s="173">
        <f t="shared" si="54"/>
        <v>9.6197747886732632E-2</v>
      </c>
      <c r="S149" s="802">
        <f t="shared" si="55"/>
        <v>0</v>
      </c>
      <c r="T149" s="172">
        <f t="shared" si="56"/>
        <v>6</v>
      </c>
      <c r="U149" s="247">
        <f t="shared" si="57"/>
        <v>9.6197747886732632E-2</v>
      </c>
      <c r="V149" s="378">
        <f t="shared" si="58"/>
        <v>61.346880329266149</v>
      </c>
      <c r="W149" s="397">
        <f t="shared" si="59"/>
        <v>57.004342182244407</v>
      </c>
      <c r="X149" s="153">
        <f t="shared" si="60"/>
        <v>47253</v>
      </c>
      <c r="Y149" s="380">
        <f t="shared" si="61"/>
        <v>54.765485055625618</v>
      </c>
      <c r="Z149" s="380">
        <f t="shared" si="62"/>
        <v>56.851665335712227</v>
      </c>
      <c r="AA149" s="381">
        <f t="shared" si="63"/>
        <v>59.240104472779869</v>
      </c>
      <c r="AB149" s="193">
        <f t="shared" si="64"/>
        <v>47253</v>
      </c>
      <c r="AC149" s="119">
        <f>IF(OR(t&lt;Tnet,NoTnet),'2028'!Resal_s+('2028'!Salim-'2028'!Resal_s)*(1-EXP(('2028'!Tnet_s-t)/'2028'!Tau_j)),Resal_s+(Salim-Resal_s)*(1-EXP((Tnet_s-t)/Tau_j)))*Salcycl</f>
        <v>4.0317942689738241E-2</v>
      </c>
      <c r="AD149" s="227">
        <f>(INDEX(Models!$BJ149:$BT149,,AH149)*(1-AF149)+INDEX(Models!$BJ149:$BT149,,AH149+1)*AF149-ERP_i)*AE149*Ramure*Pc/MaxiM</f>
        <v>2.8290822559196851E-5</v>
      </c>
      <c r="AE149" s="301">
        <f t="shared" si="65"/>
        <v>0.5</v>
      </c>
      <c r="AF149" s="173">
        <f t="shared" si="66"/>
        <v>0.62118531426070955</v>
      </c>
      <c r="AG149" s="802">
        <f t="shared" si="74"/>
        <v>3</v>
      </c>
      <c r="AH149" s="172">
        <f t="shared" si="67"/>
        <v>9</v>
      </c>
      <c r="AI149" s="221">
        <f t="shared" si="68"/>
        <v>3.6211853142607096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47254</v>
      </c>
      <c r="B150" s="406">
        <f>'2028'!Wh/'2028'!Env_an*'2029'!Env_an</f>
        <v>55.713655321615477</v>
      </c>
      <c r="C150" s="832"/>
      <c r="D150" s="388">
        <f t="shared" si="50"/>
        <v>57.836745964890802</v>
      </c>
      <c r="E150" s="380">
        <f t="shared" si="72"/>
        <v>57.905340796648453</v>
      </c>
      <c r="F150" s="380">
        <f t="shared" si="51"/>
        <v>57.905365437101423</v>
      </c>
      <c r="G150" s="110">
        <f t="shared" si="73"/>
        <v>0.90665586326251402</v>
      </c>
      <c r="H150" s="409" t="b">
        <f>Wh_hp&gt;='2028'!Maxi_hp</f>
        <v>1</v>
      </c>
      <c r="I150" s="385">
        <f>IF(H150,Wh_hp,'2028'!Maxi_hp)</f>
        <v>57.905365437101423</v>
      </c>
      <c r="J150" s="85">
        <f>IF(H150,An,'2028'!An_max)</f>
        <v>2029</v>
      </c>
      <c r="K150" s="193">
        <f t="shared" si="52"/>
        <v>47254</v>
      </c>
      <c r="L150" s="143">
        <f>IF(t&lt;Tvie,1-EXP((T0-t)*PertePVj)+'2028'!Pspv,1-EXP((T0-t)*PertePVj)+Pspv)</f>
        <v>3.6708334949620558E-2</v>
      </c>
      <c r="M150" s="836"/>
      <c r="N150" s="836"/>
      <c r="O150" s="48">
        <f>IF(t&lt;Tnet,'2028'!Resal+('2028'!Salim-'2028'!Resal)*(1-EXP(('2028'!Tnet-t)/('2028'!Tau_j))),Resal+(Salim-Resal)*(1-EXP((Tnet-t)/(Tau_j))))*Salcycl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4.9100450709307948E-7</v>
      </c>
      <c r="Q150" s="301">
        <f t="shared" si="53"/>
        <v>0.5</v>
      </c>
      <c r="R150" s="173">
        <f t="shared" si="54"/>
        <v>0.10015418534785875</v>
      </c>
      <c r="S150" s="802">
        <f t="shared" si="55"/>
        <v>0</v>
      </c>
      <c r="T150" s="172">
        <f t="shared" si="56"/>
        <v>6</v>
      </c>
      <c r="U150" s="247">
        <f t="shared" si="57"/>
        <v>0.10015418534785875</v>
      </c>
      <c r="V150" s="378">
        <f t="shared" si="58"/>
        <v>61.449612726589613</v>
      </c>
      <c r="W150" s="397">
        <f t="shared" si="59"/>
        <v>55.713655321615477</v>
      </c>
      <c r="X150" s="153">
        <f t="shared" si="60"/>
        <v>47254</v>
      </c>
      <c r="Y150" s="380">
        <f t="shared" si="61"/>
        <v>53.52594973499982</v>
      </c>
      <c r="Z150" s="380">
        <f t="shared" si="62"/>
        <v>55.565673073897564</v>
      </c>
      <c r="AA150" s="381">
        <f t="shared" si="63"/>
        <v>57.903992939058263</v>
      </c>
      <c r="AB150" s="193">
        <f t="shared" si="64"/>
        <v>47254</v>
      </c>
      <c r="AC150" s="119">
        <f>IF(OR(t&lt;Tnet,NoTnet),'2028'!Resal_s+('2028'!Salim-'2028'!Resal_s)*(1-EXP(('2028'!Tnet_s-t)/'2028'!Tau_j)),Resal_s+(Salim-Resal_s)*(1-EXP((Tnet_s-t)/Tau_j)))*Salcycl</f>
        <v>4.0382704999665425E-2</v>
      </c>
      <c r="AD150" s="227">
        <f>(INDEX(Models!$BJ150:$BT150,,AH150)*(1-AF150)+INDEX(Models!$BJ150:$BT150,,AH150+1)*AF150-ERP_i)*AE150*Ramure*Pc/MaxiM</f>
        <v>2.7349445482344121E-5</v>
      </c>
      <c r="AE150" s="301">
        <f t="shared" si="65"/>
        <v>0.5</v>
      </c>
      <c r="AF150" s="173">
        <f t="shared" si="66"/>
        <v>0.62514175172183606</v>
      </c>
      <c r="AG150" s="802">
        <f t="shared" si="74"/>
        <v>3</v>
      </c>
      <c r="AH150" s="172">
        <f t="shared" si="67"/>
        <v>9</v>
      </c>
      <c r="AI150" s="221">
        <f t="shared" si="68"/>
        <v>3.6251417517218361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47255</v>
      </c>
      <c r="B151" s="406">
        <f>'2028'!Wh/'2028'!Env_an*'2029'!Env_an</f>
        <v>59.499383055826989</v>
      </c>
      <c r="C151" s="832"/>
      <c r="D151" s="388">
        <f t="shared" si="50"/>
        <v>61.767582677520451</v>
      </c>
      <c r="E151" s="380">
        <f t="shared" si="72"/>
        <v>61.845441086064085</v>
      </c>
      <c r="F151" s="380">
        <f t="shared" si="51"/>
        <v>61.845469898094777</v>
      </c>
      <c r="G151" s="110">
        <f t="shared" si="73"/>
        <v>0.9667330219019733</v>
      </c>
      <c r="H151" s="409" t="b">
        <f>Wh_hp&gt;='2028'!Maxi_hp</f>
        <v>1</v>
      </c>
      <c r="I151" s="385">
        <f>IF(H151,Wh_hp,'2028'!Maxi_hp)</f>
        <v>61.845469898094777</v>
      </c>
      <c r="J151" s="85">
        <f>IF(H151,An,'2028'!An_max)</f>
        <v>2029</v>
      </c>
      <c r="K151" s="193">
        <f t="shared" si="52"/>
        <v>47255</v>
      </c>
      <c r="L151" s="143">
        <f>IF(t&lt;Tvie,1-EXP((T0-t)*PertePVj)+'2028'!Pspv,1-EXP((T0-t)*PertePVj)+Pspv)</f>
        <v>3.6721521603579665E-2</v>
      </c>
      <c r="M151" s="836"/>
      <c r="N151" s="836"/>
      <c r="O151" s="48">
        <f>IF(t&lt;Tnet,'2028'!Resal+('2028'!Salim-'2028'!Resal)*(1-EXP(('2028'!Tnet-t)/('2028'!Tau_j))),Resal+(Salim-Resal)*(1-EXP((Tnet-t)/(Tau_j))))*Salcycl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4.8911618628377834E-7</v>
      </c>
      <c r="Q151" s="301">
        <f t="shared" si="53"/>
        <v>0.5</v>
      </c>
      <c r="R151" s="173">
        <f t="shared" si="54"/>
        <v>0.10418824370783256</v>
      </c>
      <c r="S151" s="802">
        <f t="shared" si="55"/>
        <v>0</v>
      </c>
      <c r="T151" s="172">
        <f t="shared" si="56"/>
        <v>6</v>
      </c>
      <c r="U151" s="247">
        <f t="shared" si="57"/>
        <v>0.10418824370783256</v>
      </c>
      <c r="V151" s="378">
        <f t="shared" si="58"/>
        <v>61.546859706634045</v>
      </c>
      <c r="W151" s="397">
        <f t="shared" si="59"/>
        <v>59.499383055826989</v>
      </c>
      <c r="X151" s="153">
        <f t="shared" si="60"/>
        <v>47255</v>
      </c>
      <c r="Y151" s="380">
        <f t="shared" si="61"/>
        <v>57.163316507377644</v>
      </c>
      <c r="Z151" s="380">
        <f t="shared" si="62"/>
        <v>59.342462008014557</v>
      </c>
      <c r="AA151" s="381">
        <f t="shared" si="63"/>
        <v>61.843909245051449</v>
      </c>
      <c r="AB151" s="193">
        <f t="shared" si="64"/>
        <v>47255</v>
      </c>
      <c r="AC151" s="119">
        <f>IF(OR(t&lt;Tnet,NoTnet),'2028'!Resal_s+('2028'!Salim-'2028'!Resal_s)*(1-EXP(('2028'!Tnet_s-t)/'2028'!Tau_j)),Resal_s+(Salim-Resal_s)*(1-EXP((Tnet_s-t)/Tau_j)))*Salcycl</f>
        <v>4.0447754153527311E-2</v>
      </c>
      <c r="AD151" s="227">
        <f>(INDEX(Models!$BJ151:$BT151,,AH151)*(1-AF151)+INDEX(Models!$BJ151:$BT151,,AH151+1)*AF151-ERP_i)*AE151*Ramure*Pc/MaxiM</f>
        <v>2.6493816865451998E-5</v>
      </c>
      <c r="AE151" s="301">
        <f t="shared" si="65"/>
        <v>0.5</v>
      </c>
      <c r="AF151" s="173">
        <f t="shared" si="66"/>
        <v>0.62917581008180967</v>
      </c>
      <c r="AG151" s="802">
        <f t="shared" si="74"/>
        <v>3</v>
      </c>
      <c r="AH151" s="172">
        <f t="shared" si="67"/>
        <v>9</v>
      </c>
      <c r="AI151" s="221">
        <f t="shared" si="68"/>
        <v>3.6291758100818097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47256</v>
      </c>
      <c r="B152" s="406">
        <f>'2028'!Wh/'2028'!Env_an*'2029'!Env_an</f>
        <v>56.809766049127447</v>
      </c>
      <c r="C152" s="832"/>
      <c r="D152" s="388">
        <f t="shared" si="50"/>
        <v>58.976241047487115</v>
      </c>
      <c r="E152" s="380">
        <f t="shared" si="72"/>
        <v>59.054977615919874</v>
      </c>
      <c r="F152" s="380">
        <f t="shared" si="51"/>
        <v>59.0550032284944</v>
      </c>
      <c r="G152" s="110">
        <f t="shared" si="73"/>
        <v>0.92165539756885451</v>
      </c>
      <c r="H152" s="409" t="b">
        <f>Wh_hp&gt;='2028'!Maxi_hp</f>
        <v>1</v>
      </c>
      <c r="I152" s="385">
        <f>IF(H152,Wh_hp,'2028'!Maxi_hp)</f>
        <v>59.0550032284944</v>
      </c>
      <c r="J152" s="85">
        <f>IF(H152,An,'2028'!An_max)</f>
        <v>2029</v>
      </c>
      <c r="K152" s="193">
        <f t="shared" si="52"/>
        <v>47256</v>
      </c>
      <c r="L152" s="143">
        <f>IF(t&lt;Tvie,1-EXP((T0-t)*PertePVj)+'2028'!Pspv,1-EXP((T0-t)*PertePVj)+Pspv)</f>
        <v>3.6734708077024503E-2</v>
      </c>
      <c r="M152" s="836"/>
      <c r="N152" s="836"/>
      <c r="O152" s="48">
        <f>IF(t&lt;Tnet,'2028'!Resal+('2028'!Salim-'2028'!Resal)*(1-EXP(('2028'!Tnet-t)/('2028'!Tau_j))),Resal+(Salim-Resal)*(1-EXP((Tnet-t)/(Tau_j))))*Salcycl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4.8836533964048841E-7</v>
      </c>
      <c r="Q152" s="301">
        <f t="shared" si="53"/>
        <v>0.5</v>
      </c>
      <c r="R152" s="173">
        <f t="shared" si="54"/>
        <v>0.10829872393178966</v>
      </c>
      <c r="S152" s="802">
        <f t="shared" si="55"/>
        <v>0</v>
      </c>
      <c r="T152" s="172">
        <f t="shared" si="56"/>
        <v>6</v>
      </c>
      <c r="U152" s="247">
        <f t="shared" si="57"/>
        <v>0.10829872393178966</v>
      </c>
      <c r="V152" s="378">
        <f t="shared" si="58"/>
        <v>61.638832793533879</v>
      </c>
      <c r="W152" s="397">
        <f t="shared" si="59"/>
        <v>56.809766049127447</v>
      </c>
      <c r="X152" s="153">
        <f t="shared" si="60"/>
        <v>47256</v>
      </c>
      <c r="Y152" s="380">
        <f t="shared" si="61"/>
        <v>54.579776645655237</v>
      </c>
      <c r="Z152" s="380">
        <f t="shared" si="62"/>
        <v>56.661209641112592</v>
      </c>
      <c r="AA152" s="381">
        <f t="shared" si="63"/>
        <v>59.05365406235677</v>
      </c>
      <c r="AB152" s="193">
        <f t="shared" si="64"/>
        <v>47256</v>
      </c>
      <c r="AC152" s="119">
        <f>IF(OR(t&lt;Tnet,NoTnet),'2028'!Resal_s+('2028'!Salim-'2028'!Resal_s)*(1-EXP(('2028'!Tnet_s-t)/'2028'!Tau_j)),Resal_s+(Salim-Resal_s)*(1-EXP((Tnet_s-t)/Tau_j)))*Salcycl</f>
        <v>4.0513063234290554E-2</v>
      </c>
      <c r="AD152" s="227">
        <f>(INDEX(Models!$BJ152:$BT152,,AH152)*(1-AF152)+INDEX(Models!$BJ152:$BT152,,AH152+1)*AF152-ERP_i)*AE152*Ramure*Pc/MaxiM</f>
        <v>2.5725097583037762E-5</v>
      </c>
      <c r="AE152" s="301">
        <f t="shared" si="65"/>
        <v>0.5</v>
      </c>
      <c r="AF152" s="173">
        <f t="shared" si="66"/>
        <v>0.633286290305767</v>
      </c>
      <c r="AG152" s="802">
        <f t="shared" si="74"/>
        <v>3</v>
      </c>
      <c r="AH152" s="172">
        <f t="shared" si="67"/>
        <v>9</v>
      </c>
      <c r="AI152" s="221">
        <f t="shared" si="68"/>
        <v>3.633286290305767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47257</v>
      </c>
      <c r="B153" s="406">
        <f>'2028'!Wh/'2028'!Env_an*'2029'!Env_an</f>
        <v>55.596218922271788</v>
      </c>
      <c r="C153" s="832"/>
      <c r="D153" s="388">
        <f t="shared" si="50"/>
        <v>57.717204662540027</v>
      </c>
      <c r="E153" s="380">
        <f t="shared" si="72"/>
        <v>57.798566138926155</v>
      </c>
      <c r="F153" s="380">
        <f t="shared" si="51"/>
        <v>57.798590392687245</v>
      </c>
      <c r="G153" s="110">
        <f t="shared" si="73"/>
        <v>0.90069737444842746</v>
      </c>
      <c r="H153" s="409" t="b">
        <f>Wh_hp&gt;='2028'!Maxi_hp</f>
        <v>1</v>
      </c>
      <c r="I153" s="385">
        <f>IF(H153,Wh_hp,'2028'!Maxi_hp)</f>
        <v>57.798590392687245</v>
      </c>
      <c r="J153" s="85">
        <f>IF(H153,An,'2028'!An_max)</f>
        <v>2029</v>
      </c>
      <c r="K153" s="193">
        <f t="shared" si="52"/>
        <v>47257</v>
      </c>
      <c r="L153" s="143">
        <f>IF(t&lt;Tvie,1-EXP((T0-t)*PertePVj)+'2028'!Pspv,1-EXP((T0-t)*PertePVj)+Pspv)</f>
        <v>3.6747894369957512E-2</v>
      </c>
      <c r="M153" s="836"/>
      <c r="N153" s="836"/>
      <c r="O153" s="48">
        <f>IF(t&lt;Tnet,'2028'!Resal+('2028'!Salim-'2028'!Resal)*(1-EXP(('2028'!Tnet-t)/('2028'!Tau_j))),Resal+(Salim-Resal)*(1-EXP((Tnet-t)/(Tau_j))))*Salcycl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4.8899465223724586E-7</v>
      </c>
      <c r="Q153" s="301">
        <f t="shared" si="53"/>
        <v>0.5</v>
      </c>
      <c r="R153" s="173">
        <f t="shared" si="54"/>
        <v>0.11248424969908613</v>
      </c>
      <c r="S153" s="802">
        <f t="shared" si="55"/>
        <v>0</v>
      </c>
      <c r="T153" s="172">
        <f t="shared" si="56"/>
        <v>6</v>
      </c>
      <c r="U153" s="247">
        <f t="shared" si="57"/>
        <v>0.11248424969908613</v>
      </c>
      <c r="V153" s="378">
        <f t="shared" si="58"/>
        <v>61.725743454789757</v>
      </c>
      <c r="W153" s="397">
        <f t="shared" si="59"/>
        <v>55.596218922271788</v>
      </c>
      <c r="X153" s="153">
        <f t="shared" si="60"/>
        <v>47257</v>
      </c>
      <c r="Y153" s="380">
        <f t="shared" si="61"/>
        <v>53.414267790501334</v>
      </c>
      <c r="Z153" s="380">
        <f t="shared" si="62"/>
        <v>55.452012488012379</v>
      </c>
      <c r="AA153" s="381">
        <f t="shared" si="63"/>
        <v>57.797348200903592</v>
      </c>
      <c r="AB153" s="193">
        <f t="shared" si="64"/>
        <v>47257</v>
      </c>
      <c r="AC153" s="119">
        <f>IF(OR(t&lt;Tnet,NoTnet),'2028'!Resal_s+('2028'!Salim-'2028'!Resal_s)*(1-EXP(('2028'!Tnet_s-t)/'2028'!Tau_j)),Resal_s+(Salim-Resal_s)*(1-EXP((Tnet_s-t)/Tau_j)))*Salcycl</f>
        <v>4.0578604138356497E-2</v>
      </c>
      <c r="AD153" s="227">
        <f>(INDEX(Models!$BJ153:$BT153,,AH153)*(1-AF153)+INDEX(Models!$BJ153:$BT153,,AH153+1)*AF153-ERP_i)*AE153*Ramure*Pc/MaxiM</f>
        <v>2.5044575020877244E-5</v>
      </c>
      <c r="AE153" s="301">
        <f t="shared" si="65"/>
        <v>0.5</v>
      </c>
      <c r="AF153" s="173">
        <f t="shared" si="66"/>
        <v>0.63747181607306347</v>
      </c>
      <c r="AG153" s="802">
        <f t="shared" si="74"/>
        <v>3</v>
      </c>
      <c r="AH153" s="172">
        <f t="shared" si="67"/>
        <v>9</v>
      </c>
      <c r="AI153" s="221">
        <f t="shared" si="68"/>
        <v>3.6374718160730635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47258</v>
      </c>
      <c r="B154" s="406">
        <f>'2028'!Wh/'2028'!Env_an*'2029'!Env_an</f>
        <v>52.838287229389756</v>
      </c>
      <c r="C154" s="832"/>
      <c r="D154" s="388">
        <f t="shared" si="50"/>
        <v>54.854809288489605</v>
      </c>
      <c r="E154" s="380">
        <f t="shared" si="72"/>
        <v>54.93623086390172</v>
      </c>
      <c r="F154" s="380">
        <f t="shared" si="51"/>
        <v>54.936252257049425</v>
      </c>
      <c r="G154" s="110">
        <f t="shared" si="73"/>
        <v>0.85488043911307521</v>
      </c>
      <c r="H154" s="409" t="b">
        <f>Wh_hp&gt;='2028'!Maxi_hp</f>
        <v>1</v>
      </c>
      <c r="I154" s="385">
        <f>IF(H154,Wh_hp,'2028'!Maxi_hp)</f>
        <v>54.936252257049425</v>
      </c>
      <c r="J154" s="85">
        <f>IF(H154,An,'2028'!An_max)</f>
        <v>2029</v>
      </c>
      <c r="K154" s="193">
        <f t="shared" si="52"/>
        <v>47258</v>
      </c>
      <c r="L154" s="143">
        <f>IF(t&lt;Tvie,1-EXP((T0-t)*PertePVj)+'2028'!Pspv,1-EXP((T0-t)*PertePVj)+Pspv)</f>
        <v>3.6761080482381359E-2</v>
      </c>
      <c r="M154" s="836"/>
      <c r="N154" s="836"/>
      <c r="O154" s="48">
        <f>IF(t&lt;Tnet,'2028'!Resal+('2028'!Salim-'2028'!Resal)*(1-EXP(('2028'!Tnet-t)/('2028'!Tau_j))),Resal+(Salim-Resal)*(1-EXP((Tnet-t)/(Tau_j))))*Salcycl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4.912631829895794E-7</v>
      </c>
      <c r="Q154" s="301">
        <f t="shared" si="53"/>
        <v>0.5</v>
      </c>
      <c r="R154" s="173">
        <f t="shared" si="54"/>
        <v>0.11674326500674681</v>
      </c>
      <c r="S154" s="802">
        <f t="shared" si="55"/>
        <v>0</v>
      </c>
      <c r="T154" s="172">
        <f t="shared" si="56"/>
        <v>6</v>
      </c>
      <c r="U154" s="247">
        <f t="shared" si="57"/>
        <v>0.11674326500674681</v>
      </c>
      <c r="V154" s="378">
        <f t="shared" si="58"/>
        <v>61.807803092166203</v>
      </c>
      <c r="W154" s="397">
        <f t="shared" si="59"/>
        <v>52.838287229389756</v>
      </c>
      <c r="X154" s="153">
        <f t="shared" si="60"/>
        <v>47258</v>
      </c>
      <c r="Y154" s="380">
        <f t="shared" si="61"/>
        <v>50.764985990273573</v>
      </c>
      <c r="Z154" s="380">
        <f t="shared" si="62"/>
        <v>52.702382515540606</v>
      </c>
      <c r="AA154" s="381">
        <f t="shared" si="63"/>
        <v>54.935187368264437</v>
      </c>
      <c r="AB154" s="193">
        <f t="shared" si="64"/>
        <v>47258</v>
      </c>
      <c r="AC154" s="119">
        <f>IF(OR(t&lt;Tnet,NoTnet),'2028'!Resal_s+('2028'!Salim-'2028'!Resal_s)*(1-EXP(('2028'!Tnet_s-t)/'2028'!Tau_j)),Resal_s+(Salim-Resal_s)*(1-EXP((Tnet_s-t)/Tau_j)))*Salcycl</f>
        <v>4.0644347633802806E-2</v>
      </c>
      <c r="AD154" s="227">
        <f>(INDEX(Models!$BJ154:$BT154,,AH154)*(1-AF154)+INDEX(Models!$BJ154:$BT154,,AH154+1)*AF154-ERP_i)*AE154*Ramure*Pc/MaxiM</f>
        <v>2.4453655034803845E-5</v>
      </c>
      <c r="AE154" s="301">
        <f t="shared" si="65"/>
        <v>0.5</v>
      </c>
      <c r="AF154" s="173">
        <f t="shared" si="66"/>
        <v>0.64173083138072418</v>
      </c>
      <c r="AG154" s="802">
        <f t="shared" si="74"/>
        <v>3</v>
      </c>
      <c r="AH154" s="172">
        <f t="shared" si="67"/>
        <v>9</v>
      </c>
      <c r="AI154" s="221">
        <f t="shared" si="68"/>
        <v>3.6417308313807242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47259</v>
      </c>
      <c r="B155" s="406">
        <f>'2028'!Wh/'2028'!Env_an*'2029'!Env_an</f>
        <v>55.333435628629083</v>
      </c>
      <c r="C155" s="832"/>
      <c r="D155" s="388">
        <f t="shared" si="50"/>
        <v>57.445968996950462</v>
      </c>
      <c r="E155" s="380">
        <f t="shared" si="72"/>
        <v>57.535528156295221</v>
      </c>
      <c r="F155" s="380">
        <f t="shared" si="51"/>
        <v>57.535552350788613</v>
      </c>
      <c r="G155" s="110">
        <f t="shared" si="73"/>
        <v>0.89412995142639851</v>
      </c>
      <c r="H155" s="409" t="b">
        <f>Wh_hp&gt;='2028'!Maxi_hp</f>
        <v>1</v>
      </c>
      <c r="I155" s="385">
        <f>IF(H155,Wh_hp,'2028'!Maxi_hp)</f>
        <v>57.535552350788613</v>
      </c>
      <c r="J155" s="85">
        <f>IF(H155,An,'2028'!An_max)</f>
        <v>2029</v>
      </c>
      <c r="K155" s="193">
        <f t="shared" si="52"/>
        <v>47259</v>
      </c>
      <c r="L155" s="143">
        <f>IF(t&lt;Tvie,1-EXP((T0-t)*PertePVj)+'2028'!Pspv,1-EXP((T0-t)*PertePVj)+Pspv)</f>
        <v>3.6774266414298373E-2</v>
      </c>
      <c r="M155" s="836"/>
      <c r="N155" s="836"/>
      <c r="O155" s="48">
        <f>IF(t&lt;Tnet,'2028'!Resal+('2028'!Salim-'2028'!Resal)*(1-EXP(('2028'!Tnet-t)/('2028'!Tau_j))),Resal+(Salim-Resal)*(1-EXP((Tnet-t)/(Tau_j))))*Salcycl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4.9544652933645955E-7</v>
      </c>
      <c r="Q155" s="301">
        <f t="shared" si="53"/>
        <v>0.5</v>
      </c>
      <c r="R155" s="173">
        <f t="shared" si="54"/>
        <v>0.12107403252768967</v>
      </c>
      <c r="S155" s="802">
        <f t="shared" si="55"/>
        <v>0</v>
      </c>
      <c r="T155" s="172">
        <f t="shared" si="56"/>
        <v>6</v>
      </c>
      <c r="U155" s="247">
        <f t="shared" si="57"/>
        <v>0.12107403252768967</v>
      </c>
      <c r="V155" s="378">
        <f t="shared" si="58"/>
        <v>61.885223052945094</v>
      </c>
      <c r="W155" s="397">
        <f t="shared" si="59"/>
        <v>55.333435628629083</v>
      </c>
      <c r="X155" s="153">
        <f t="shared" si="60"/>
        <v>47259</v>
      </c>
      <c r="Y155" s="380">
        <f t="shared" si="61"/>
        <v>53.162492163176822</v>
      </c>
      <c r="Z155" s="380">
        <f t="shared" si="62"/>
        <v>55.192142723673157</v>
      </c>
      <c r="AA155" s="381">
        <f t="shared" si="63"/>
        <v>57.534382595194558</v>
      </c>
      <c r="AB155" s="193">
        <f t="shared" si="64"/>
        <v>47259</v>
      </c>
      <c r="AC155" s="119">
        <f>IF(OR(t&lt;Tnet,NoTnet),'2028'!Resal_s+('2028'!Salim-'2028'!Resal_s)*(1-EXP(('2028'!Tnet_s-t)/'2028'!Tau_j)),Resal_s+(Salim-Resal_s)*(1-EXP((Tnet_s-t)/Tau_j)))*Salcycl</f>
        <v>4.0710263426326103E-2</v>
      </c>
      <c r="AD155" s="227">
        <f>(INDEX(Models!$BJ155:$BT155,,AH155)*(1-AF155)+INDEX(Models!$BJ155:$BT155,,AH155+1)*AF155-ERP_i)*AE155*Ramure*Pc/MaxiM</f>
        <v>2.3953853459067303E-5</v>
      </c>
      <c r="AE155" s="301">
        <f t="shared" si="65"/>
        <v>0.5</v>
      </c>
      <c r="AF155" s="173">
        <f t="shared" si="66"/>
        <v>0.64606159890166692</v>
      </c>
      <c r="AG155" s="802">
        <f t="shared" si="74"/>
        <v>3</v>
      </c>
      <c r="AH155" s="172">
        <f t="shared" si="67"/>
        <v>9</v>
      </c>
      <c r="AI155" s="221">
        <f t="shared" si="68"/>
        <v>3.6460615989016669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47260</v>
      </c>
      <c r="B156" s="406">
        <f>'2028'!Wh/'2028'!Env_an*'2029'!Env_an</f>
        <v>42.785943029516716</v>
      </c>
      <c r="C156" s="832"/>
      <c r="D156" s="388">
        <f t="shared" si="50"/>
        <v>44.420043245613535</v>
      </c>
      <c r="E156" s="380">
        <f t="shared" si="72"/>
        <v>44.492615451141027</v>
      </c>
      <c r="F156" s="380">
        <f t="shared" si="51"/>
        <v>44.492627896286265</v>
      </c>
      <c r="G156" s="110">
        <f t="shared" si="73"/>
        <v>0.69056111095013162</v>
      </c>
      <c r="H156" s="409" t="b">
        <f>Wh_hp&gt;='2028'!Maxi_hp</f>
        <v>1</v>
      </c>
      <c r="I156" s="385">
        <f>IF(H156,Wh_hp,'2028'!Maxi_hp)</f>
        <v>44.492627896286265</v>
      </c>
      <c r="J156" s="85">
        <f>IF(H156,An,'2028'!An_max)</f>
        <v>2029</v>
      </c>
      <c r="K156" s="193">
        <f t="shared" si="52"/>
        <v>47260</v>
      </c>
      <c r="L156" s="143">
        <f>IF(t&lt;Tvie,1-EXP((T0-t)*PertePVj)+'2028'!Pspv,1-EXP((T0-t)*PertePVj)+Pspv)</f>
        <v>3.6787452165710999E-2</v>
      </c>
      <c r="M156" s="836"/>
      <c r="N156" s="836"/>
      <c r="O156" s="48">
        <f>IF(t&lt;Tnet,'2028'!Resal+('2028'!Salim-'2028'!Resal)*(1-EXP(('2028'!Tnet-t)/('2028'!Tau_j))),Resal+(Salim-Resal)*(1-EXP((Tnet-t)/(Tau_j))))*Salcycl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5.0132664097501003E-7</v>
      </c>
      <c r="Q156" s="301">
        <f t="shared" si="53"/>
        <v>0.5</v>
      </c>
      <c r="R156" s="173">
        <f t="shared" si="54"/>
        <v>0.12547463277324525</v>
      </c>
      <c r="S156" s="802">
        <f t="shared" si="55"/>
        <v>0</v>
      </c>
      <c r="T156" s="172">
        <f t="shared" si="56"/>
        <v>6</v>
      </c>
      <c r="U156" s="247">
        <f t="shared" si="57"/>
        <v>0.12547463277324525</v>
      </c>
      <c r="V156" s="378">
        <f t="shared" si="58"/>
        <v>61.958214659201708</v>
      </c>
      <c r="W156" s="397">
        <f t="shared" si="59"/>
        <v>42.785943029516716</v>
      </c>
      <c r="X156" s="153">
        <f t="shared" si="60"/>
        <v>47260</v>
      </c>
      <c r="Y156" s="380">
        <f t="shared" si="61"/>
        <v>41.107813693452172</v>
      </c>
      <c r="Z156" s="380">
        <f t="shared" si="62"/>
        <v>42.677822029914374</v>
      </c>
      <c r="AA156" s="381">
        <f t="shared" si="63"/>
        <v>44.492043858083157</v>
      </c>
      <c r="AB156" s="193">
        <f t="shared" si="64"/>
        <v>47260</v>
      </c>
      <c r="AC156" s="119">
        <f>IF(OR(t&lt;Tnet,NoTnet),'2028'!Resal_s+('2028'!Salim-'2028'!Resal_s)*(1-EXP(('2028'!Tnet_s-t)/'2028'!Tau_j)),Resal_s+(Salim-Resal_s)*(1-EXP((Tnet_s-t)/Tau_j)))*Salcycl</f>
        <v>4.077632023279551E-2</v>
      </c>
      <c r="AD156" s="227">
        <f>(INDEX(Models!$BJ156:$BT156,,AH156)*(1-AF156)+INDEX(Models!$BJ156:$BT156,,AH156+1)*AF156-ERP_i)*AE156*Ramure*Pc/MaxiM</f>
        <v>2.3526757226699538E-5</v>
      </c>
      <c r="AE156" s="301">
        <f t="shared" si="65"/>
        <v>0.5</v>
      </c>
      <c r="AF156" s="173">
        <f t="shared" si="66"/>
        <v>0.65046219914722236</v>
      </c>
      <c r="AG156" s="802">
        <f t="shared" si="74"/>
        <v>3</v>
      </c>
      <c r="AH156" s="172">
        <f t="shared" si="67"/>
        <v>9</v>
      </c>
      <c r="AI156" s="221">
        <f t="shared" si="68"/>
        <v>3.6504621991472224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47261</v>
      </c>
      <c r="B157" s="406">
        <f>'2028'!Wh/'2028'!Env_an*'2029'!Env_an</f>
        <v>20.35814280304049</v>
      </c>
      <c r="C157" s="832"/>
      <c r="D157" s="388">
        <f t="shared" si="50"/>
        <v>21.135959595323879</v>
      </c>
      <c r="E157" s="380">
        <f t="shared" si="72"/>
        <v>21.172072031174711</v>
      </c>
      <c r="F157" s="380">
        <f t="shared" si="51"/>
        <v>21.172072462811972</v>
      </c>
      <c r="G157" s="110">
        <f t="shared" si="73"/>
        <v>0.32821410701632647</v>
      </c>
      <c r="H157" s="409" t="b">
        <f>Wh_hp&gt;='2028'!Maxi_hp</f>
        <v>1</v>
      </c>
      <c r="I157" s="385">
        <f>IF(H157,Wh_hp,'2028'!Maxi_hp)</f>
        <v>21.172072462811972</v>
      </c>
      <c r="J157" s="85">
        <f>IF(H157,An,'2028'!An_max)</f>
        <v>2029</v>
      </c>
      <c r="K157" s="193">
        <f t="shared" si="52"/>
        <v>47261</v>
      </c>
      <c r="L157" s="143">
        <f>IF(t&lt;Tvie,1-EXP((T0-t)*PertePVj)+'2028'!Pspv,1-EXP((T0-t)*PertePVj)+Pspv)</f>
        <v>3.6800637736621788E-2</v>
      </c>
      <c r="M157" s="836"/>
      <c r="N157" s="836"/>
      <c r="O157" s="48">
        <f>IF(t&lt;Tnet,'2028'!Resal+('2028'!Salim-'2028'!Resal)*(1-EXP(('2028'!Tnet-t)/('2028'!Tau_j))),Resal+(Salim-Resal)*(1-EXP((Tnet-t)/(Tau_j))))*Salcycl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5.0580699877060142E-7</v>
      </c>
      <c r="Q157" s="301">
        <f t="shared" si="53"/>
        <v>0.5</v>
      </c>
      <c r="R157" s="173">
        <f t="shared" si="54"/>
        <v>0.1299429641050176</v>
      </c>
      <c r="S157" s="802">
        <f t="shared" si="55"/>
        <v>0</v>
      </c>
      <c r="T157" s="172">
        <f t="shared" si="56"/>
        <v>6</v>
      </c>
      <c r="U157" s="247">
        <f t="shared" si="57"/>
        <v>0.1299429641050176</v>
      </c>
      <c r="V157" s="378">
        <f t="shared" si="58"/>
        <v>62.026989351131355</v>
      </c>
      <c r="W157" s="397">
        <f t="shared" si="59"/>
        <v>20.35814280304049</v>
      </c>
      <c r="X157" s="153">
        <f t="shared" si="60"/>
        <v>47261</v>
      </c>
      <c r="Y157" s="380">
        <f t="shared" si="61"/>
        <v>19.560010714473702</v>
      </c>
      <c r="Z157" s="380">
        <f t="shared" si="62"/>
        <v>20.307333539455971</v>
      </c>
      <c r="AA157" s="381">
        <f t="shared" si="63"/>
        <v>21.17205280689663</v>
      </c>
      <c r="AB157" s="193">
        <f t="shared" si="64"/>
        <v>47261</v>
      </c>
      <c r="AC157" s="119">
        <f>IF(OR(t&lt;Tnet,NoTnet),'2028'!Resal_s+('2028'!Salim-'2028'!Resal_s)*(1-EXP(('2028'!Tnet_s-t)/'2028'!Tau_j)),Resal_s+(Salim-Resal_s)*(1-EXP((Tnet_s-t)/Tau_j)))*Salcycl</f>
        <v>4.0842485862258283E-2</v>
      </c>
      <c r="AD157" s="227">
        <f>(INDEX(Models!$BJ157:$BT157,,AH157)*(1-AF157)+INDEX(Models!$BJ157:$BT157,,AH157+1)*AF157-ERP_i)*AE157*Ramure*Pc/MaxiM</f>
        <v>2.3033459924017363E-5</v>
      </c>
      <c r="AE157" s="301">
        <f t="shared" si="65"/>
        <v>0.5</v>
      </c>
      <c r="AF157" s="173">
        <f t="shared" si="66"/>
        <v>0.65493053047899474</v>
      </c>
      <c r="AG157" s="802">
        <f t="shared" si="74"/>
        <v>3</v>
      </c>
      <c r="AH157" s="172">
        <f t="shared" si="67"/>
        <v>9</v>
      </c>
      <c r="AI157" s="221">
        <f t="shared" si="68"/>
        <v>3.6549305304789947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47262</v>
      </c>
      <c r="B158" s="406">
        <f>'2028'!Wh/'2028'!Env_an*'2029'!Env_an</f>
        <v>17.487045875230443</v>
      </c>
      <c r="C158" s="832"/>
      <c r="D158" s="388">
        <f t="shared" si="50"/>
        <v>18.155416154333768</v>
      </c>
      <c r="E158" s="380">
        <f t="shared" si="72"/>
        <v>18.187795136243519</v>
      </c>
      <c r="F158" s="380">
        <f t="shared" si="51"/>
        <v>18.187795136243519</v>
      </c>
      <c r="G158" s="110">
        <f t="shared" si="73"/>
        <v>0.28163217548114117</v>
      </c>
      <c r="H158" s="409" t="b">
        <f>Wh_hp&gt;='2028'!Maxi_hp</f>
        <v>1</v>
      </c>
      <c r="I158" s="385">
        <f>IF(H158,Wh_hp,'2028'!Maxi_hp)</f>
        <v>18.187795136243519</v>
      </c>
      <c r="J158" s="85">
        <f>IF(H158,An,'2028'!An_max)</f>
        <v>2029</v>
      </c>
      <c r="K158" s="193">
        <f t="shared" si="52"/>
        <v>47262</v>
      </c>
      <c r="L158" s="143">
        <f>IF(t&lt;Tvie,1-EXP((T0-t)*PertePVj)+'2028'!Pspv,1-EXP((T0-t)*PertePVj)+Pspv)</f>
        <v>3.6813823127033185E-2</v>
      </c>
      <c r="M158" s="836"/>
      <c r="N158" s="836"/>
      <c r="O158" s="48">
        <f>IF(t&lt;Tnet,'2028'!Resal+('2028'!Salim-'2028'!Resal)*(1-EXP(('2028'!Tnet-t)/('2028'!Tau_j))),Resal+(Salim-Resal)*(1-EXP((Tnet-t)/(Tau_j))))*Salcycl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5.0874464440111737E-7</v>
      </c>
      <c r="Q158" s="301">
        <f t="shared" si="53"/>
        <v>0.5</v>
      </c>
      <c r="R158" s="173">
        <f t="shared" si="54"/>
        <v>0.13447674363584711</v>
      </c>
      <c r="S158" s="802">
        <f t="shared" si="55"/>
        <v>0</v>
      </c>
      <c r="T158" s="172">
        <f t="shared" si="56"/>
        <v>6</v>
      </c>
      <c r="U158" s="247">
        <f t="shared" si="57"/>
        <v>0.13447674363584711</v>
      </c>
      <c r="V158" s="378">
        <f t="shared" si="58"/>
        <v>62.091758333061932</v>
      </c>
      <c r="W158" s="397">
        <f t="shared" si="59"/>
        <v>17.487045875230443</v>
      </c>
      <c r="X158" s="153">
        <f t="shared" si="60"/>
        <v>47262</v>
      </c>
      <c r="Y158" s="380">
        <f t="shared" si="61"/>
        <v>16.801584251982611</v>
      </c>
      <c r="Z158" s="380">
        <f t="shared" si="62"/>
        <v>17.443755584750825</v>
      </c>
      <c r="AA158" s="381">
        <f t="shared" si="63"/>
        <v>18.187795136243519</v>
      </c>
      <c r="AB158" s="193">
        <f t="shared" si="64"/>
        <v>47262</v>
      </c>
      <c r="AC158" s="119">
        <f>IF(OR(t&lt;Tnet,NoTnet),'2028'!Resal_s+('2028'!Salim-'2028'!Resal_s)*(1-EXP(('2028'!Tnet_s-t)/'2028'!Tau_j)),Resal_s+(Salim-Resal_s)*(1-EXP((Tnet_s-t)/Tau_j)))*Salcycl</f>
        <v>4.0908727304169966E-2</v>
      </c>
      <c r="AD158" s="227">
        <f>(INDEX(Models!$BJ158:$BT158,,AH158)*(1-AF158)+INDEX(Models!$BJ158:$BT158,,AH158+1)*AF158-ERP_i)*AE158*Ramure*Pc/MaxiM</f>
        <v>2.2472121279823658E-5</v>
      </c>
      <c r="AE158" s="301">
        <f t="shared" si="65"/>
        <v>0.5</v>
      </c>
      <c r="AF158" s="173">
        <f t="shared" si="66"/>
        <v>0.65946431000982431</v>
      </c>
      <c r="AG158" s="802">
        <f t="shared" si="74"/>
        <v>3</v>
      </c>
      <c r="AH158" s="172">
        <f t="shared" si="67"/>
        <v>9</v>
      </c>
      <c r="AI158" s="221">
        <f t="shared" si="68"/>
        <v>3.6594643100098243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47263</v>
      </c>
      <c r="B159" s="406">
        <f>'2028'!Wh/'2028'!Env_an*'2029'!Env_an</f>
        <v>42.618812936873034</v>
      </c>
      <c r="C159" s="832"/>
      <c r="D159" s="388">
        <f t="shared" si="50"/>
        <v>44.248347187648733</v>
      </c>
      <c r="E159" s="380">
        <f t="shared" si="72"/>
        <v>44.330575551940647</v>
      </c>
      <c r="F159" s="380">
        <f t="shared" si="51"/>
        <v>44.330588009494271</v>
      </c>
      <c r="G159" s="110">
        <f t="shared" si="73"/>
        <v>0.68571084955952522</v>
      </c>
      <c r="H159" s="409" t="b">
        <f>Wh_hp&gt;='2028'!Maxi_hp</f>
        <v>1</v>
      </c>
      <c r="I159" s="385">
        <f>IF(H159,Wh_hp,'2028'!Maxi_hp)</f>
        <v>44.330588009494271</v>
      </c>
      <c r="J159" s="85">
        <f>IF(H159,An,'2028'!An_max)</f>
        <v>2029</v>
      </c>
      <c r="K159" s="193">
        <f t="shared" si="52"/>
        <v>47263</v>
      </c>
      <c r="L159" s="143">
        <f>IF(t&lt;Tvie,1-EXP((T0-t)*PertePVj)+'2028'!Pspv,1-EXP((T0-t)*PertePVj)+Pspv)</f>
        <v>3.6827008336947742E-2</v>
      </c>
      <c r="M159" s="836"/>
      <c r="N159" s="836"/>
      <c r="O159" s="48">
        <f>IF(t&lt;Tnet,'2028'!Resal+('2028'!Salim-'2028'!Resal)*(1-EXP(('2028'!Tnet-t)/('2028'!Tau_j))),Resal+(Salim-Resal)*(1-EXP((Tnet-t)/(Tau_j))))*Salcycl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5.0999425222408584E-7</v>
      </c>
      <c r="Q159" s="301">
        <f t="shared" si="53"/>
        <v>0.5</v>
      </c>
      <c r="R159" s="173">
        <f t="shared" si="54"/>
        <v>0.13907350905356419</v>
      </c>
      <c r="S159" s="802">
        <f t="shared" si="55"/>
        <v>0</v>
      </c>
      <c r="T159" s="172">
        <f t="shared" si="56"/>
        <v>6</v>
      </c>
      <c r="U159" s="247">
        <f t="shared" si="57"/>
        <v>0.13907350905356419</v>
      </c>
      <c r="V159" s="378">
        <f t="shared" si="58"/>
        <v>62.152732752320858</v>
      </c>
      <c r="W159" s="397">
        <f t="shared" si="59"/>
        <v>42.618812936873034</v>
      </c>
      <c r="X159" s="153">
        <f t="shared" si="60"/>
        <v>47263</v>
      </c>
      <c r="Y159" s="380">
        <f t="shared" si="61"/>
        <v>40.947980231366031</v>
      </c>
      <c r="Z159" s="380">
        <f t="shared" si="62"/>
        <v>42.513630039255609</v>
      </c>
      <c r="AA159" s="381">
        <f t="shared" si="63"/>
        <v>44.330054502295816</v>
      </c>
      <c r="AB159" s="193">
        <f t="shared" si="64"/>
        <v>47263</v>
      </c>
      <c r="AC159" s="119">
        <f>IF(OR(t&lt;Tnet,NoTnet),'2028'!Resal_s+('2028'!Salim-'2028'!Resal_s)*(1-EXP(('2028'!Tnet_s-t)/'2028'!Tau_j)),Resal_s+(Salim-Resal_s)*(1-EXP((Tnet_s-t)/Tau_j)))*Salcycl</f>
        <v>4.0975010823551705E-2</v>
      </c>
      <c r="AD159" s="227">
        <f>(INDEX(Models!$BJ159:$BT159,,AH159)*(1-AF159)+INDEX(Models!$BJ159:$BT159,,AH159+1)*AF159-ERP_i)*AE159*Ramure*Pc/MaxiM</f>
        <v>2.1841014125372553E-5</v>
      </c>
      <c r="AE159" s="301">
        <f t="shared" si="65"/>
        <v>0.5</v>
      </c>
      <c r="AF159" s="173">
        <f t="shared" si="66"/>
        <v>0.66406107542754134</v>
      </c>
      <c r="AG159" s="802">
        <f t="shared" si="74"/>
        <v>3</v>
      </c>
      <c r="AH159" s="172">
        <f t="shared" si="67"/>
        <v>9</v>
      </c>
      <c r="AI159" s="221">
        <f t="shared" si="68"/>
        <v>3.6640610754275413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47264</v>
      </c>
      <c r="B160" s="406">
        <f>'2028'!Wh/'2028'!Env_an*'2029'!Env_an</f>
        <v>28.436252993914128</v>
      </c>
      <c r="C160" s="832"/>
      <c r="D160" s="388">
        <f t="shared" si="50"/>
        <v>29.523919912420865</v>
      </c>
      <c r="E160" s="380">
        <f t="shared" si="72"/>
        <v>29.580998146706516</v>
      </c>
      <c r="F160" s="380">
        <f t="shared" si="51"/>
        <v>29.581001528563949</v>
      </c>
      <c r="G160" s="110">
        <f t="shared" si="73"/>
        <v>0.45709990702564585</v>
      </c>
      <c r="H160" s="409" t="b">
        <f>Wh_hp&gt;='2028'!Maxi_hp</f>
        <v>1</v>
      </c>
      <c r="I160" s="385">
        <f>IF(H160,Wh_hp,'2028'!Maxi_hp)</f>
        <v>29.581001528563949</v>
      </c>
      <c r="J160" s="85">
        <f>IF(H160,An,'2028'!An_max)</f>
        <v>2029</v>
      </c>
      <c r="K160" s="193">
        <f t="shared" si="52"/>
        <v>47264</v>
      </c>
      <c r="L160" s="143">
        <f>IF(t&lt;Tvie,1-EXP((T0-t)*PertePVj)+'2028'!Pspv,1-EXP((T0-t)*PertePVj)+Pspv)</f>
        <v>3.6840193366367679E-2</v>
      </c>
      <c r="M160" s="836"/>
      <c r="N160" s="836"/>
      <c r="O160" s="48">
        <f>IF(t&lt;Tnet,'2028'!Resal+('2028'!Salim-'2028'!Resal)*(1-EXP(('2028'!Tnet-t)/('2028'!Tau_j))),Resal+(Salim-Resal)*(1-EXP((Tnet-t)/(Tau_j))))*Salcycl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5.0940597444446742E-7</v>
      </c>
      <c r="Q160" s="301">
        <f t="shared" si="53"/>
        <v>0.5</v>
      </c>
      <c r="R160" s="173">
        <f t="shared" si="54"/>
        <v>0.14373062139439652</v>
      </c>
      <c r="S160" s="802">
        <f t="shared" si="55"/>
        <v>0</v>
      </c>
      <c r="T160" s="172">
        <f t="shared" si="56"/>
        <v>6</v>
      </c>
      <c r="U160" s="247">
        <f t="shared" si="57"/>
        <v>0.14373062139439652</v>
      </c>
      <c r="V160" s="378">
        <f t="shared" si="58"/>
        <v>62.21012369994628</v>
      </c>
      <c r="W160" s="397">
        <f t="shared" si="59"/>
        <v>28.436252993914128</v>
      </c>
      <c r="X160" s="153">
        <f t="shared" si="60"/>
        <v>47264</v>
      </c>
      <c r="Y160" s="380">
        <f t="shared" si="61"/>
        <v>27.321784848472067</v>
      </c>
      <c r="Z160" s="380">
        <f t="shared" si="62"/>
        <v>28.366824134787379</v>
      </c>
      <c r="AA160" s="381">
        <f t="shared" si="63"/>
        <v>29.580861194339327</v>
      </c>
      <c r="AB160" s="193">
        <f t="shared" si="64"/>
        <v>47264</v>
      </c>
      <c r="AC160" s="119">
        <f>IF(OR(t&lt;Tnet,NoTnet),'2028'!Resal_s+('2028'!Salim-'2028'!Resal_s)*(1-EXP(('2028'!Tnet_s-t)/'2028'!Tau_j)),Resal_s+(Salim-Resal_s)*(1-EXP((Tnet_s-t)/Tau_j)))*Salcycl</f>
        <v>4.1041302062709027E-2</v>
      </c>
      <c r="AD160" s="227">
        <f>(INDEX(Models!$BJ160:$BT160,,AH160)*(1-AF160)+INDEX(Models!$BJ160:$BT160,,AH160+1)*AF160-ERP_i)*AE160*Ramure*Pc/MaxiM</f>
        <v>2.113841102538568E-5</v>
      </c>
      <c r="AE160" s="301">
        <f t="shared" si="65"/>
        <v>0.5</v>
      </c>
      <c r="AF160" s="173">
        <f t="shared" si="66"/>
        <v>0.66871818776837344</v>
      </c>
      <c r="AG160" s="802">
        <f t="shared" si="74"/>
        <v>3</v>
      </c>
      <c r="AH160" s="172">
        <f t="shared" si="67"/>
        <v>9</v>
      </c>
      <c r="AI160" s="221">
        <f t="shared" si="68"/>
        <v>3.6687181877683734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47265</v>
      </c>
      <c r="B161" s="406">
        <f>'2028'!Wh/'2028'!Env_an*'2029'!Env_an</f>
        <v>44.526208343866898</v>
      </c>
      <c r="C161" s="832"/>
      <c r="D161" s="388">
        <f t="shared" si="50"/>
        <v>46.229937723666758</v>
      </c>
      <c r="E161" s="380">
        <f t="shared" si="72"/>
        <v>46.322780509862248</v>
      </c>
      <c r="F161" s="380">
        <f t="shared" si="51"/>
        <v>46.322794432676091</v>
      </c>
      <c r="G161" s="110">
        <f t="shared" si="73"/>
        <v>0.71511784441772686</v>
      </c>
      <c r="H161" s="409" t="b">
        <f>Wh_hp&gt;='2028'!Maxi_hp</f>
        <v>1</v>
      </c>
      <c r="I161" s="385">
        <f>IF(H161,Wh_hp,'2028'!Maxi_hp)</f>
        <v>46.322794432676091</v>
      </c>
      <c r="J161" s="85">
        <f>IF(H161,An,'2028'!An_max)</f>
        <v>2029</v>
      </c>
      <c r="K161" s="193">
        <f t="shared" si="52"/>
        <v>47265</v>
      </c>
      <c r="L161" s="143">
        <f>IF(t&lt;Tvie,1-EXP((T0-t)*PertePVj)+'2028'!Pspv,1-EXP((T0-t)*PertePVj)+Pspv)</f>
        <v>3.6853378215295773E-2</v>
      </c>
      <c r="M161" s="836"/>
      <c r="N161" s="836"/>
      <c r="O161" s="48">
        <f>IF(t&lt;Tnet,'2028'!Resal+('2028'!Salim-'2028'!Resal)*(1-EXP(('2028'!Tnet-t)/('2028'!Tau_j))),Resal+(Salim-Resal)*(1-EXP((Tnet-t)/(Tau_j))))*Salcycl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5.0682584017493601E-7</v>
      </c>
      <c r="Q161" s="301">
        <f t="shared" si="53"/>
        <v>0.5</v>
      </c>
      <c r="R161" s="173">
        <f t="shared" si="54"/>
        <v>0.14844526878537237</v>
      </c>
      <c r="S161" s="802">
        <f t="shared" si="55"/>
        <v>0</v>
      </c>
      <c r="T161" s="172">
        <f t="shared" si="56"/>
        <v>6</v>
      </c>
      <c r="U161" s="247">
        <f t="shared" si="57"/>
        <v>0.14844526878537237</v>
      </c>
      <c r="V161" s="378">
        <f t="shared" si="58"/>
        <v>62.264142207102246</v>
      </c>
      <c r="W161" s="397">
        <f t="shared" si="59"/>
        <v>44.526208343866898</v>
      </c>
      <c r="X161" s="153">
        <f t="shared" si="60"/>
        <v>47265</v>
      </c>
      <c r="Y161" s="380">
        <f t="shared" si="61"/>
        <v>42.781085863835706</v>
      </c>
      <c r="Z161" s="380">
        <f t="shared" si="62"/>
        <v>44.418040717998515</v>
      </c>
      <c r="AA161" s="381">
        <f t="shared" si="63"/>
        <v>46.322235059896393</v>
      </c>
      <c r="AB161" s="193">
        <f t="shared" si="64"/>
        <v>47265</v>
      </c>
      <c r="AC161" s="119">
        <f>IF(OR(t&lt;Tnet,NoTnet),'2028'!Resal_s+('2028'!Salim-'2028'!Resal_s)*(1-EXP(('2028'!Tnet_s-t)/'2028'!Tau_j)),Resal_s+(Salim-Resal_s)*(1-EXP((Tnet_s-t)/Tau_j)))*Salcycl</f>
        <v>4.11075661490789E-2</v>
      </c>
      <c r="AD161" s="227">
        <f>(INDEX(Models!$BJ161:$BT161,,AH161)*(1-AF161)+INDEX(Models!$BJ161:$BT161,,AH161+1)*AF161-ERP_i)*AE161*Ramure*Pc/MaxiM</f>
        <v>2.0362592097206774E-5</v>
      </c>
      <c r="AE161" s="301">
        <f t="shared" si="65"/>
        <v>0.5</v>
      </c>
      <c r="AF161" s="173">
        <f t="shared" si="66"/>
        <v>0.67343283515934971</v>
      </c>
      <c r="AG161" s="802">
        <f t="shared" si="74"/>
        <v>3</v>
      </c>
      <c r="AH161" s="172">
        <f t="shared" si="67"/>
        <v>9</v>
      </c>
      <c r="AI161" s="221">
        <f t="shared" si="68"/>
        <v>3.6734328351593497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47266</v>
      </c>
      <c r="B162" s="406">
        <f>'2028'!Wh/'2028'!Env_an*'2029'!Env_an</f>
        <v>58.455748575175015</v>
      </c>
      <c r="C162" s="832"/>
      <c r="D162" s="388">
        <f t="shared" si="50"/>
        <v>60.693302010361485</v>
      </c>
      <c r="E162" s="380">
        <f t="shared" si="72"/>
        <v>60.819745596517514</v>
      </c>
      <c r="F162" s="380">
        <f t="shared" si="51"/>
        <v>60.819773432151607</v>
      </c>
      <c r="G162" s="110">
        <f t="shared" si="73"/>
        <v>0.93806863000472818</v>
      </c>
      <c r="H162" s="409" t="b">
        <f>Wh_hp&gt;='2028'!Maxi_hp</f>
        <v>1</v>
      </c>
      <c r="I162" s="385">
        <f>IF(H162,Wh_hp,'2028'!Maxi_hp)</f>
        <v>60.819773432151607</v>
      </c>
      <c r="J162" s="85">
        <f>IF(H162,An,'2028'!An_max)</f>
        <v>2029</v>
      </c>
      <c r="K162" s="193">
        <f t="shared" si="52"/>
        <v>47266</v>
      </c>
      <c r="L162" s="143">
        <f>IF(t&lt;Tvie,1-EXP((T0-t)*PertePVj)+'2028'!Pspv,1-EXP((T0-t)*PertePVj)+Pspv)</f>
        <v>3.6866562883734355E-2</v>
      </c>
      <c r="M162" s="836"/>
      <c r="N162" s="836"/>
      <c r="O162" s="48">
        <f>IF(t&lt;Tnet,'2028'!Resal+('2028'!Salim-'2028'!Resal)*(1-EXP(('2028'!Tnet-t)/('2028'!Tau_j))),Resal+(Salim-Resal)*(1-EXP((Tnet-t)/(Tau_j))))*Salcycl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5.0209620532584577E-7</v>
      </c>
      <c r="Q162" s="301">
        <f t="shared" si="53"/>
        <v>0.5</v>
      </c>
      <c r="R162" s="173">
        <f t="shared" si="54"/>
        <v>0.15321447116691475</v>
      </c>
      <c r="S162" s="802">
        <f t="shared" si="55"/>
        <v>0</v>
      </c>
      <c r="T162" s="172">
        <f t="shared" si="56"/>
        <v>6</v>
      </c>
      <c r="U162" s="247">
        <f t="shared" si="57"/>
        <v>0.15321447116691475</v>
      </c>
      <c r="V162" s="378">
        <f t="shared" si="58"/>
        <v>62.314999253467029</v>
      </c>
      <c r="W162" s="397">
        <f t="shared" si="59"/>
        <v>58.455748575175015</v>
      </c>
      <c r="X162" s="153">
        <f t="shared" si="60"/>
        <v>47266</v>
      </c>
      <c r="Y162" s="380">
        <f t="shared" si="61"/>
        <v>56.16469974268697</v>
      </c>
      <c r="Z162" s="380">
        <f t="shared" si="62"/>
        <v>58.314557026335478</v>
      </c>
      <c r="AA162" s="381">
        <f t="shared" si="63"/>
        <v>60.818691717542919</v>
      </c>
      <c r="AB162" s="193">
        <f t="shared" si="64"/>
        <v>47266</v>
      </c>
      <c r="AC162" s="119">
        <f>IF(OR(t&lt;Tnet,NoTnet),'2028'!Resal_s+('2028'!Salim-'2028'!Resal_s)*(1-EXP(('2028'!Tnet_s-t)/'2028'!Tau_j)),Resal_s+(Salim-Resal_s)*(1-EXP((Tnet_s-t)/Tau_j)))*Salcycl</f>
        <v>4.1173767808707011E-2</v>
      </c>
      <c r="AD162" s="227">
        <f>(INDEX(Models!$BJ162:$BT162,,AH162)*(1-AF162)+INDEX(Models!$BJ162:$BT162,,AH162+1)*AF162-ERP_i)*AE162*Ramure*Pc/MaxiM</f>
        <v>1.9511852988284989E-5</v>
      </c>
      <c r="AE162" s="301">
        <f t="shared" si="65"/>
        <v>0.5</v>
      </c>
      <c r="AF162" s="173">
        <f t="shared" si="66"/>
        <v>0.67820203754089192</v>
      </c>
      <c r="AG162" s="802">
        <f t="shared" si="74"/>
        <v>3</v>
      </c>
      <c r="AH162" s="172">
        <f t="shared" si="67"/>
        <v>9</v>
      </c>
      <c r="AI162" s="221">
        <f t="shared" si="68"/>
        <v>3.6782020375408919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47267</v>
      </c>
      <c r="B163" s="406">
        <f>'2028'!Wh/'2028'!Env_an*'2029'!Env_an</f>
        <v>63.570035878813904</v>
      </c>
      <c r="C163" s="832"/>
      <c r="D163" s="388">
        <f t="shared" si="50"/>
        <v>66.00425617188921</v>
      </c>
      <c r="E163" s="380">
        <f t="shared" si="72"/>
        <v>66.146719628174679</v>
      </c>
      <c r="F163" s="380">
        <f t="shared" si="51"/>
        <v>66.146752375052444</v>
      </c>
      <c r="G163" s="110">
        <f t="shared" si="73"/>
        <v>1.0193725542453584</v>
      </c>
      <c r="H163" s="409" t="b">
        <f>Wh_hp&gt;='2028'!Maxi_hp</f>
        <v>0</v>
      </c>
      <c r="I163" s="385">
        <f>IF(H163,Wh_hp,'2028'!Maxi_hp)</f>
        <v>66.146752375052472</v>
      </c>
      <c r="J163" s="85">
        <f>IF(H163,An,'2028'!An_max)</f>
        <v>2028</v>
      </c>
      <c r="K163" s="193">
        <f t="shared" si="52"/>
        <v>47267</v>
      </c>
      <c r="L163" s="143">
        <f>IF(t&lt;Tvie,1-EXP((T0-t)*PertePVj)+'2028'!Pspv,1-EXP((T0-t)*PertePVj)+Pspv)</f>
        <v>3.6879747371685867E-2</v>
      </c>
      <c r="M163" s="836"/>
      <c r="N163" s="836"/>
      <c r="O163" s="48">
        <f>IF(t&lt;Tnet,'2028'!Resal+('2028'!Salim-'2028'!Resal)*(1-EXP(('2028'!Tnet-t)/('2028'!Tau_j))),Resal+(Salim-Resal)*(1-EXP((Tnet-t)/(Tau_j))))*Salcycl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4.9506402946837554E-7</v>
      </c>
      <c r="Q163" s="301">
        <f t="shared" si="53"/>
        <v>0.5</v>
      </c>
      <c r="R163" s="173">
        <f t="shared" si="54"/>
        <v>0.15803508599813673</v>
      </c>
      <c r="S163" s="802">
        <f t="shared" si="55"/>
        <v>0</v>
      </c>
      <c r="T163" s="172">
        <f t="shared" si="56"/>
        <v>6</v>
      </c>
      <c r="U163" s="247">
        <f t="shared" si="57"/>
        <v>0.15803508599813673</v>
      </c>
      <c r="V163" s="378">
        <f t="shared" si="58"/>
        <v>62.361926082927361</v>
      </c>
      <c r="W163" s="397">
        <f t="shared" si="59"/>
        <v>63.570035878813904</v>
      </c>
      <c r="X163" s="153">
        <f t="shared" si="60"/>
        <v>47267</v>
      </c>
      <c r="Y163" s="380">
        <f t="shared" si="61"/>
        <v>61.078861787904223</v>
      </c>
      <c r="Z163" s="380">
        <f t="shared" si="62"/>
        <v>63.417690180662916</v>
      </c>
      <c r="AA163" s="381">
        <f t="shared" si="63"/>
        <v>66.14552305056263</v>
      </c>
      <c r="AB163" s="193">
        <f t="shared" si="64"/>
        <v>47267</v>
      </c>
      <c r="AC163" s="119">
        <f>IF(OR(t&lt;Tnet,NoTnet),'2028'!Resal_s+('2028'!Salim-'2028'!Resal_s)*(1-EXP(('2028'!Tnet_s-t)/'2028'!Tau_j)),Resal_s+(Salim-Resal_s)*(1-EXP((Tnet_s-t)/Tau_j)))*Salcycl</f>
        <v>4.1239871484794438E-2</v>
      </c>
      <c r="AD163" s="227">
        <f>(INDEX(Models!$BJ163:$BT163,,AH163)*(1-AF163)+INDEX(Models!$BJ163:$BT163,,AH163+1)*AF163-ERP_i)*AE163*Ramure*Pc/MaxiM</f>
        <v>1.8584804932672752E-5</v>
      </c>
      <c r="AE163" s="301">
        <f t="shared" si="65"/>
        <v>0.5</v>
      </c>
      <c r="AF163" s="173">
        <f t="shared" si="66"/>
        <v>0.6830226523721139</v>
      </c>
      <c r="AG163" s="802">
        <f t="shared" si="74"/>
        <v>3</v>
      </c>
      <c r="AH163" s="172">
        <f t="shared" si="67"/>
        <v>9</v>
      </c>
      <c r="AI163" s="221">
        <f t="shared" si="68"/>
        <v>3.6830226523721139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47268</v>
      </c>
      <c r="B164" s="406">
        <f>'2028'!Wh/'2028'!Env_an*'2029'!Env_an</f>
        <v>51.125183534788619</v>
      </c>
      <c r="C164" s="832"/>
      <c r="D164" s="388">
        <f t="shared" si="50"/>
        <v>53.083592900967986</v>
      </c>
      <c r="E164" s="380">
        <f t="shared" si="72"/>
        <v>53.202155818287928</v>
      </c>
      <c r="F164" s="380">
        <f t="shared" si="51"/>
        <v>53.202175022253925</v>
      </c>
      <c r="G164" s="110">
        <f t="shared" si="73"/>
        <v>0.81925919518118029</v>
      </c>
      <c r="H164" s="409" t="b">
        <f>Wh_hp&gt;='2028'!Maxi_hp</f>
        <v>1</v>
      </c>
      <c r="I164" s="385">
        <f>IF(H164,Wh_hp,'2028'!Maxi_hp)</f>
        <v>53.202175022253925</v>
      </c>
      <c r="J164" s="85">
        <f>IF(H164,An,'2028'!An_max)</f>
        <v>2029</v>
      </c>
      <c r="K164" s="193">
        <f t="shared" si="52"/>
        <v>47268</v>
      </c>
      <c r="L164" s="143">
        <f>IF(t&lt;Tvie,1-EXP((T0-t)*PertePVj)+'2028'!Pspv,1-EXP((T0-t)*PertePVj)+Pspv)</f>
        <v>3.6892931679152752E-2</v>
      </c>
      <c r="M164" s="836"/>
      <c r="N164" s="836"/>
      <c r="O164" s="48">
        <f>IF(t&lt;Tnet,'2028'!Resal+('2028'!Salim-'2028'!Resal)*(1-EXP(('2028'!Tnet-t)/('2028'!Tau_j))),Resal+(Salim-Resal)*(1-EXP((Tnet-t)/(Tau_j))))*Salcycl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4.8660357897543466E-7</v>
      </c>
      <c r="Q164" s="301">
        <f t="shared" si="53"/>
        <v>0.5</v>
      </c>
      <c r="R164" s="173">
        <f t="shared" si="54"/>
        <v>0.16290381493822428</v>
      </c>
      <c r="S164" s="802">
        <f t="shared" si="55"/>
        <v>0</v>
      </c>
      <c r="T164" s="172">
        <f t="shared" si="56"/>
        <v>6</v>
      </c>
      <c r="U164" s="247">
        <f t="shared" si="57"/>
        <v>0.16290381493822428</v>
      </c>
      <c r="V164" s="378">
        <f t="shared" si="58"/>
        <v>62.404154157871254</v>
      </c>
      <c r="W164" s="397">
        <f t="shared" si="59"/>
        <v>51.125183534788619</v>
      </c>
      <c r="X164" s="153">
        <f t="shared" si="60"/>
        <v>47268</v>
      </c>
      <c r="Y164" s="380">
        <f t="shared" si="61"/>
        <v>49.122262218559392</v>
      </c>
      <c r="Z164" s="380">
        <f t="shared" si="62"/>
        <v>51.003947364027567</v>
      </c>
      <c r="AA164" s="381">
        <f t="shared" si="63"/>
        <v>53.201479230601208</v>
      </c>
      <c r="AB164" s="193">
        <f t="shared" si="64"/>
        <v>47268</v>
      </c>
      <c r="AC164" s="119">
        <f>IF(OR(t&lt;Tnet,NoTnet),'2028'!Resal_s+('2028'!Salim-'2028'!Resal_s)*(1-EXP(('2028'!Tnet_s-t)/'2028'!Tau_j)),Resal_s+(Salim-Resal_s)*(1-EXP((Tnet_s-t)/Tau_j)))*Salcycl</f>
        <v>4.1305841460694472E-2</v>
      </c>
      <c r="AD164" s="227">
        <f>(INDEX(Models!$BJ164:$BT164,,AH164)*(1-AF164)+INDEX(Models!$BJ164:$BT164,,AH164+1)*AF164-ERP_i)*AE164*Ramure*Pc/MaxiM</f>
        <v>1.7630457606811282E-5</v>
      </c>
      <c r="AE164" s="301">
        <f t="shared" si="65"/>
        <v>0.5</v>
      </c>
      <c r="AF164" s="173">
        <f t="shared" si="66"/>
        <v>0.6878913813122014</v>
      </c>
      <c r="AG164" s="802">
        <f t="shared" si="74"/>
        <v>3</v>
      </c>
      <c r="AH164" s="172">
        <f t="shared" si="67"/>
        <v>9</v>
      </c>
      <c r="AI164" s="221">
        <f t="shared" si="68"/>
        <v>3.6878913813122014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47269</v>
      </c>
      <c r="B165" s="406">
        <f>'2028'!Wh/'2028'!Env_an*'2029'!Env_an</f>
        <v>60.433258681191013</v>
      </c>
      <c r="C165" s="832"/>
      <c r="D165" s="388">
        <f t="shared" si="50"/>
        <v>62.749083628306295</v>
      </c>
      <c r="E165" s="380">
        <f t="shared" si="72"/>
        <v>62.893950154288824</v>
      </c>
      <c r="F165" s="380">
        <f t="shared" si="51"/>
        <v>62.893978774830671</v>
      </c>
      <c r="G165" s="110">
        <f t="shared" si="73"/>
        <v>0.96783189505368017</v>
      </c>
      <c r="H165" s="409" t="b">
        <f>Wh_hp&gt;='2028'!Maxi_hp</f>
        <v>1</v>
      </c>
      <c r="I165" s="385">
        <f>IF(H165,Wh_hp,'2028'!Maxi_hp)</f>
        <v>62.893978774830671</v>
      </c>
      <c r="J165" s="85">
        <f>IF(H165,An,'2028'!An_max)</f>
        <v>2029</v>
      </c>
      <c r="K165" s="193">
        <f t="shared" si="52"/>
        <v>47269</v>
      </c>
      <c r="L165" s="143">
        <f>IF(t&lt;Tvie,1-EXP((T0-t)*PertePVj)+'2028'!Pspv,1-EXP((T0-t)*PertePVj)+Pspv)</f>
        <v>3.6906115806137563E-2</v>
      </c>
      <c r="M165" s="836"/>
      <c r="N165" s="836"/>
      <c r="O165" s="48">
        <f>IF(t&lt;Tnet,'2028'!Resal+('2028'!Salim-'2028'!Resal)*(1-EXP(('2028'!Tnet-t)/('2028'!Tau_j))),Resal+(Salim-Resal)*(1-EXP((Tnet-t)/(Tau_j))))*Salcycl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4.7697943115178711E-7</v>
      </c>
      <c r="Q165" s="301">
        <f t="shared" si="53"/>
        <v>0.5</v>
      </c>
      <c r="R165" s="173">
        <f t="shared" si="54"/>
        <v>0.16781721148785095</v>
      </c>
      <c r="S165" s="802">
        <f t="shared" si="55"/>
        <v>0</v>
      </c>
      <c r="T165" s="172">
        <f t="shared" si="56"/>
        <v>6</v>
      </c>
      <c r="U165" s="247">
        <f t="shared" si="57"/>
        <v>0.16781721148785095</v>
      </c>
      <c r="V165" s="378">
        <f t="shared" si="58"/>
        <v>62.441894780894174</v>
      </c>
      <c r="W165" s="397">
        <f t="shared" si="59"/>
        <v>60.433258681191013</v>
      </c>
      <c r="X165" s="153">
        <f t="shared" si="60"/>
        <v>47269</v>
      </c>
      <c r="Y165" s="380">
        <f t="shared" si="61"/>
        <v>58.06588525024479</v>
      </c>
      <c r="Z165" s="380">
        <f t="shared" si="62"/>
        <v>60.29099156708655</v>
      </c>
      <c r="AA165" s="381">
        <f t="shared" si="63"/>
        <v>62.892977307739059</v>
      </c>
      <c r="AB165" s="193">
        <f t="shared" si="64"/>
        <v>47269</v>
      </c>
      <c r="AC165" s="119">
        <f>IF(OR(t&lt;Tnet,NoTnet),'2028'!Resal_s+('2028'!Salim-'2028'!Resal_s)*(1-EXP(('2028'!Tnet_s-t)/'2028'!Tau_j)),Resal_s+(Salim-Resal_s)*(1-EXP((Tnet_s-t)/Tau_j)))*Salcycl</f>
        <v>4.137164198668538E-2</v>
      </c>
      <c r="AD165" s="227">
        <f>(INDEX(Models!$BJ165:$BT165,,AH165)*(1-AF165)+INDEX(Models!$BJ165:$BT165,,AH165+1)*AF165-ERP_i)*AE165*Ramure*Pc/MaxiM</f>
        <v>1.6690082467914985E-5</v>
      </c>
      <c r="AE165" s="301">
        <f t="shared" si="65"/>
        <v>0.5</v>
      </c>
      <c r="AF165" s="173">
        <f t="shared" si="66"/>
        <v>0.69280477786182804</v>
      </c>
      <c r="AG165" s="802">
        <f t="shared" si="74"/>
        <v>3</v>
      </c>
      <c r="AH165" s="172">
        <f t="shared" si="67"/>
        <v>9</v>
      </c>
      <c r="AI165" s="221">
        <f t="shared" si="68"/>
        <v>3.692804777861828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47270</v>
      </c>
      <c r="B166" s="406">
        <f>'2028'!Wh/'2028'!Env_an*'2029'!Env_an</f>
        <v>63.008388835884247</v>
      </c>
      <c r="C166" s="832"/>
      <c r="D166" s="388">
        <f t="shared" si="50"/>
        <v>65.423789324924911</v>
      </c>
      <c r="E166" s="380">
        <f t="shared" si="72"/>
        <v>65.579749530913602</v>
      </c>
      <c r="F166" s="380">
        <f t="shared" si="51"/>
        <v>65.579780102115706</v>
      </c>
      <c r="G166" s="110">
        <f t="shared" si="73"/>
        <v>1.008531837726554</v>
      </c>
      <c r="H166" s="409" t="b">
        <f>Wh_hp&gt;='2028'!Maxi_hp</f>
        <v>1</v>
      </c>
      <c r="I166" s="385">
        <f>IF(H166,Wh_hp,'2028'!Maxi_hp)</f>
        <v>65.579780102115706</v>
      </c>
      <c r="J166" s="85">
        <f>IF(H166,An,'2028'!An_max)</f>
        <v>2029</v>
      </c>
      <c r="K166" s="193">
        <f t="shared" si="52"/>
        <v>47270</v>
      </c>
      <c r="L166" s="143">
        <f>IF(t&lt;Tvie,1-EXP((T0-t)*PertePVj)+'2028'!Pspv,1-EXP((T0-t)*PertePVj)+Pspv)</f>
        <v>3.6919299752642853E-2</v>
      </c>
      <c r="M166" s="836"/>
      <c r="N166" s="836"/>
      <c r="O166" s="48">
        <f>IF(t&lt;Tnet,'2028'!Resal+('2028'!Salim-'2028'!Resal)*(1-EXP(('2028'!Tnet-t)/('2028'!Tau_j))),Resal+(Salim-Resal)*(1-EXP((Tnet-t)/(Tau_j))))*Salcycl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4.661681093681478E-7</v>
      </c>
      <c r="Q166" s="301">
        <f t="shared" si="53"/>
        <v>0.5</v>
      </c>
      <c r="R166" s="173">
        <f t="shared" si="54"/>
        <v>0.1727716895649333</v>
      </c>
      <c r="S166" s="802">
        <f t="shared" si="55"/>
        <v>0</v>
      </c>
      <c r="T166" s="172">
        <f t="shared" si="56"/>
        <v>6</v>
      </c>
      <c r="U166" s="247">
        <f t="shared" si="57"/>
        <v>0.1727716895649333</v>
      </c>
      <c r="V166" s="378">
        <f t="shared" si="58"/>
        <v>62.47535920920317</v>
      </c>
      <c r="W166" s="397">
        <f t="shared" si="59"/>
        <v>63.008388835884247</v>
      </c>
      <c r="X166" s="153">
        <f t="shared" si="60"/>
        <v>47270</v>
      </c>
      <c r="Y166" s="380">
        <f t="shared" si="61"/>
        <v>60.540547409829195</v>
      </c>
      <c r="Z166" s="380">
        <f t="shared" si="62"/>
        <v>62.861344219939191</v>
      </c>
      <c r="AA166" s="381">
        <f t="shared" si="63"/>
        <v>65.578746299383482</v>
      </c>
      <c r="AB166" s="193">
        <f t="shared" si="64"/>
        <v>47270</v>
      </c>
      <c r="AC166" s="119">
        <f>IF(OR(t&lt;Tnet,NoTnet),'2028'!Resal_s+('2028'!Salim-'2028'!Resal_s)*(1-EXP(('2028'!Tnet_s-t)/'2028'!Tau_j)),Resal_s+(Salim-Resal_s)*(1-EXP((Tnet_s-t)/Tau_j)))*Salcycl</f>
        <v>4.143723740979529E-2</v>
      </c>
      <c r="AD166" s="227">
        <f>(INDEX(Models!$BJ166:$BT166,,AH166)*(1-AF166)+INDEX(Models!$BJ166:$BT166,,AH166+1)*AF166-ERP_i)*AE166*Ramure*Pc/MaxiM</f>
        <v>1.5764046945801938E-5</v>
      </c>
      <c r="AE166" s="301">
        <f t="shared" si="65"/>
        <v>0.5</v>
      </c>
      <c r="AF166" s="173">
        <f t="shared" si="66"/>
        <v>0.69775925593891053</v>
      </c>
      <c r="AG166" s="802">
        <f t="shared" si="74"/>
        <v>3</v>
      </c>
      <c r="AH166" s="172">
        <f t="shared" si="67"/>
        <v>9</v>
      </c>
      <c r="AI166" s="221">
        <f t="shared" si="68"/>
        <v>3.6977592559389105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47271</v>
      </c>
      <c r="B167" s="406">
        <f>'2028'!Wh/'2028'!Env_an*'2029'!Env_an</f>
        <v>45.384816393877919</v>
      </c>
      <c r="C167" s="832"/>
      <c r="D167" s="388">
        <f t="shared" si="50"/>
        <v>47.125269638099965</v>
      </c>
      <c r="E167" s="380">
        <f t="shared" si="72"/>
        <v>47.24115330516473</v>
      </c>
      <c r="F167" s="380">
        <f t="shared" si="51"/>
        <v>47.241166364897694</v>
      </c>
      <c r="G167" s="110">
        <f t="shared" si="73"/>
        <v>0.72610164915404618</v>
      </c>
      <c r="H167" s="409" t="b">
        <f>Wh_hp&gt;='2028'!Maxi_hp</f>
        <v>1</v>
      </c>
      <c r="I167" s="385">
        <f>IF(H167,Wh_hp,'2028'!Maxi_hp)</f>
        <v>47.241166364897694</v>
      </c>
      <c r="J167" s="85">
        <f>IF(H167,An,'2028'!An_max)</f>
        <v>2029</v>
      </c>
      <c r="K167" s="193">
        <f t="shared" si="52"/>
        <v>47271</v>
      </c>
      <c r="L167" s="143">
        <f>IF(t&lt;Tvie,1-EXP((T0-t)*PertePVj)+'2028'!Pspv,1-EXP((T0-t)*PertePVj)+Pspv)</f>
        <v>3.6932483518670844E-2</v>
      </c>
      <c r="M167" s="836"/>
      <c r="N167" s="836"/>
      <c r="O167" s="48">
        <f>IF(t&lt;Tnet,'2028'!Resal+('2028'!Salim-'2028'!Resal)*(1-EXP(('2028'!Tnet-t)/('2028'!Tau_j))),Resal+(Salim-Resal)*(1-EXP((Tnet-t)/(Tau_j))))*Salcycl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4.5414901723340989E-7</v>
      </c>
      <c r="Q167" s="301">
        <f t="shared" si="53"/>
        <v>0.5</v>
      </c>
      <c r="R167" s="173">
        <f t="shared" si="54"/>
        <v>0.17776353297934586</v>
      </c>
      <c r="S167" s="802">
        <f t="shared" si="55"/>
        <v>0</v>
      </c>
      <c r="T167" s="172">
        <f t="shared" si="56"/>
        <v>6</v>
      </c>
      <c r="U167" s="247">
        <f t="shared" si="57"/>
        <v>0.17776353297934586</v>
      </c>
      <c r="V167" s="378">
        <f t="shared" si="58"/>
        <v>62.504758640653854</v>
      </c>
      <c r="W167" s="397">
        <f t="shared" si="59"/>
        <v>45.384816393877919</v>
      </c>
      <c r="X167" s="153">
        <f t="shared" si="60"/>
        <v>47271</v>
      </c>
      <c r="Y167" s="380">
        <f t="shared" si="61"/>
        <v>43.607818598715241</v>
      </c>
      <c r="Z167" s="380">
        <f t="shared" si="62"/>
        <v>45.280126109996004</v>
      </c>
      <c r="AA167" s="381">
        <f t="shared" si="63"/>
        <v>47.240739251375686</v>
      </c>
      <c r="AB167" s="193">
        <f t="shared" si="64"/>
        <v>47271</v>
      </c>
      <c r="AC167" s="119">
        <f>IF(OR(t&lt;Tnet,NoTnet),'2028'!Resal_s+('2028'!Salim-'2028'!Resal_s)*(1-EXP(('2028'!Tnet_s-t)/'2028'!Tau_j)),Resal_s+(Salim-Resal_s)*(1-EXP((Tnet_s-t)/Tau_j)))*Salcycl</f>
        <v>4.1502592305910753E-2</v>
      </c>
      <c r="AD167" s="227">
        <f>(INDEX(Models!$BJ167:$BT167,,AH167)*(1-AF167)+INDEX(Models!$BJ167:$BT167,,AH167+1)*AF167-ERP_i)*AE167*Ramure*Pc/MaxiM</f>
        <v>1.4852768183914467E-5</v>
      </c>
      <c r="AE167" s="301">
        <f t="shared" si="65"/>
        <v>0.5</v>
      </c>
      <c r="AF167" s="173">
        <f t="shared" si="66"/>
        <v>0.70275109935332303</v>
      </c>
      <c r="AG167" s="802">
        <f t="shared" si="74"/>
        <v>3</v>
      </c>
      <c r="AH167" s="172">
        <f t="shared" si="67"/>
        <v>9</v>
      </c>
      <c r="AI167" s="221">
        <f t="shared" si="68"/>
        <v>3.702751099353323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47272</v>
      </c>
      <c r="B168" s="406">
        <f>'2028'!Wh/'2028'!Env_an*'2029'!Env_an</f>
        <v>60.091251320737634</v>
      </c>
      <c r="C168" s="832"/>
      <c r="D168" s="388">
        <f t="shared" si="50"/>
        <v>62.39653285194332</v>
      </c>
      <c r="E168" s="380">
        <f t="shared" si="72"/>
        <v>62.554663819548921</v>
      </c>
      <c r="F168" s="380">
        <f t="shared" si="51"/>
        <v>62.554689863332811</v>
      </c>
      <c r="G168" s="110">
        <f t="shared" si="73"/>
        <v>0.96099404280069423</v>
      </c>
      <c r="H168" s="409" t="b">
        <f>Wh_hp&gt;='2028'!Maxi_hp</f>
        <v>1</v>
      </c>
      <c r="I168" s="385">
        <f>IF(H168,Wh_hp,'2028'!Maxi_hp)</f>
        <v>62.554689863332811</v>
      </c>
      <c r="J168" s="85">
        <f>IF(H168,An,'2028'!An_max)</f>
        <v>2029</v>
      </c>
      <c r="K168" s="193">
        <f t="shared" si="52"/>
        <v>47272</v>
      </c>
      <c r="L168" s="143">
        <f>IF(t&lt;Tvie,1-EXP((T0-t)*PertePVj)+'2028'!Pspv,1-EXP((T0-t)*PertePVj)+Pspv)</f>
        <v>3.69456671042242E-2</v>
      </c>
      <c r="M168" s="836"/>
      <c r="N168" s="836"/>
      <c r="O168" s="48">
        <f>IF(t&lt;Tnet,'2028'!Resal+('2028'!Salim-'2028'!Resal)*(1-EXP(('2028'!Tnet-t)/('2028'!Tau_j))),Resal+(Salim-Resal)*(1-EXP((Tnet-t)/(Tau_j))))*Salcycl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4.4090465765311644E-7</v>
      </c>
      <c r="Q168" s="301">
        <f t="shared" si="53"/>
        <v>0.5</v>
      </c>
      <c r="R168" s="173">
        <f t="shared" si="54"/>
        <v>0.18278890576161777</v>
      </c>
      <c r="S168" s="802">
        <f t="shared" si="55"/>
        <v>0</v>
      </c>
      <c r="T168" s="172">
        <f t="shared" si="56"/>
        <v>6</v>
      </c>
      <c r="U168" s="247">
        <f t="shared" si="57"/>
        <v>0.18278890576161777</v>
      </c>
      <c r="V168" s="378">
        <f t="shared" si="58"/>
        <v>62.530304214229403</v>
      </c>
      <c r="W168" s="397">
        <f t="shared" si="59"/>
        <v>60.091251320737634</v>
      </c>
      <c r="X168" s="153">
        <f t="shared" si="60"/>
        <v>47272</v>
      </c>
      <c r="Y168" s="380">
        <f t="shared" si="61"/>
        <v>57.738619436746291</v>
      </c>
      <c r="Z168" s="380">
        <f t="shared" si="62"/>
        <v>59.953646917442313</v>
      </c>
      <c r="AA168" s="381">
        <f t="shared" si="63"/>
        <v>62.553865454814485</v>
      </c>
      <c r="AB168" s="193">
        <f t="shared" si="64"/>
        <v>47272</v>
      </c>
      <c r="AC168" s="119">
        <f>IF(OR(t&lt;Tnet,NoTnet),'2028'!Resal_s+('2028'!Salim-'2028'!Resal_s)*(1-EXP(('2028'!Tnet_s-t)/'2028'!Tau_j)),Resal_s+(Salim-Resal_s)*(1-EXP((Tnet_s-t)/Tau_j)))*Salcycl</f>
        <v>4.1567671613362174E-2</v>
      </c>
      <c r="AD168" s="227">
        <f>(INDEX(Models!$BJ168:$BT168,,AH168)*(1-AF168)+INDEX(Models!$BJ168:$BT168,,AH168+1)*AF168-ERP_i)*AE168*Ramure*Pc/MaxiM</f>
        <v>1.3956710634977023E-5</v>
      </c>
      <c r="AE168" s="301">
        <f t="shared" si="65"/>
        <v>0.5</v>
      </c>
      <c r="AF168" s="173">
        <f t="shared" si="66"/>
        <v>0.70777647213559503</v>
      </c>
      <c r="AG168" s="802">
        <f t="shared" si="74"/>
        <v>3</v>
      </c>
      <c r="AH168" s="172">
        <f t="shared" si="67"/>
        <v>9</v>
      </c>
      <c r="AI168" s="221">
        <f t="shared" si="68"/>
        <v>3.707776472135595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47273</v>
      </c>
      <c r="B169" s="406">
        <f>'2028'!Wh/'2028'!Env_an*'2029'!Env_an</f>
        <v>30.541475896070168</v>
      </c>
      <c r="C169" s="832"/>
      <c r="D169" s="388">
        <f t="shared" si="50"/>
        <v>31.713573103519057</v>
      </c>
      <c r="E169" s="380">
        <f t="shared" si="72"/>
        <v>31.796331169800972</v>
      </c>
      <c r="F169" s="380">
        <f t="shared" si="51"/>
        <v>31.796334816212941</v>
      </c>
      <c r="G169" s="110">
        <f t="shared" si="73"/>
        <v>0.48825561616783703</v>
      </c>
      <c r="H169" s="409" t="b">
        <f>Wh_hp&gt;='2028'!Maxi_hp</f>
        <v>1</v>
      </c>
      <c r="I169" s="385">
        <f>IF(H169,Wh_hp,'2028'!Maxi_hp)</f>
        <v>31.796334816212941</v>
      </c>
      <c r="J169" s="85">
        <f>IF(H169,An,'2028'!An_max)</f>
        <v>2029</v>
      </c>
      <c r="K169" s="193">
        <f t="shared" si="52"/>
        <v>47273</v>
      </c>
      <c r="L169" s="143">
        <f>IF(t&lt;Tvie,1-EXP((T0-t)*PertePVj)+'2028'!Pspv,1-EXP((T0-t)*PertePVj)+Pspv)</f>
        <v>3.6958850509305363E-2</v>
      </c>
      <c r="M169" s="836"/>
      <c r="N169" s="836"/>
      <c r="O169" s="48">
        <f>IF(t&lt;Tnet,'2028'!Resal+('2028'!Salim-'2028'!Resal)*(1-EXP(('2028'!Tnet-t)/('2028'!Tau_j))),Resal+(Salim-Resal)*(1-EXP((Tnet-t)/(Tau_j))))*Salcycl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4.2642083795103842E-7</v>
      </c>
      <c r="Q169" s="301">
        <f t="shared" si="53"/>
        <v>0.5</v>
      </c>
      <c r="R169" s="173">
        <f t="shared" si="54"/>
        <v>0.18784386329127756</v>
      </c>
      <c r="S169" s="802">
        <f t="shared" si="55"/>
        <v>0</v>
      </c>
      <c r="T169" s="172">
        <f t="shared" si="56"/>
        <v>6</v>
      </c>
      <c r="U169" s="247">
        <f t="shared" si="57"/>
        <v>0.18784386329127756</v>
      </c>
      <c r="V169" s="378">
        <f t="shared" si="58"/>
        <v>62.552207007390933</v>
      </c>
      <c r="W169" s="397">
        <f t="shared" si="59"/>
        <v>30.541475896070168</v>
      </c>
      <c r="X169" s="153">
        <f t="shared" si="60"/>
        <v>47273</v>
      </c>
      <c r="Y169" s="380">
        <f t="shared" si="61"/>
        <v>29.346241214192677</v>
      </c>
      <c r="Z169" s="380">
        <f t="shared" si="62"/>
        <v>30.472468626820845</v>
      </c>
      <c r="AA169" s="381">
        <f t="shared" si="63"/>
        <v>31.796222997378205</v>
      </c>
      <c r="AB169" s="193">
        <f t="shared" si="64"/>
        <v>47273</v>
      </c>
      <c r="AC169" s="119">
        <f>IF(OR(t&lt;Tnet,NoTnet),'2028'!Resal_s+('2028'!Salim-'2028'!Resal_s)*(1-EXP(('2028'!Tnet_s-t)/'2028'!Tau_j)),Resal_s+(Salim-Resal_s)*(1-EXP((Tnet_s-t)/Tau_j)))*Salcycl</f>
        <v>4.1632440767147422E-2</v>
      </c>
      <c r="AD169" s="227">
        <f>(INDEX(Models!$BJ169:$BT169,,AH169)*(1-AF169)+INDEX(Models!$BJ169:$BT169,,AH169+1)*AF169-ERP_i)*AE169*Ramure*Pc/MaxiM</f>
        <v>1.3076383481573576E-5</v>
      </c>
      <c r="AE169" s="301">
        <f t="shared" si="65"/>
        <v>0.5</v>
      </c>
      <c r="AF169" s="173">
        <f t="shared" si="66"/>
        <v>0.71283142966525492</v>
      </c>
      <c r="AG169" s="802">
        <f t="shared" si="74"/>
        <v>3</v>
      </c>
      <c r="AH169" s="172">
        <f t="shared" si="67"/>
        <v>9</v>
      </c>
      <c r="AI169" s="221">
        <f t="shared" si="68"/>
        <v>3.7128314296652549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47274</v>
      </c>
      <c r="B170" s="406">
        <f>'2028'!Wh/'2028'!Env_an*'2029'!Env_an</f>
        <v>33.751158666267436</v>
      </c>
      <c r="C170" s="832"/>
      <c r="D170" s="388">
        <f t="shared" si="50"/>
        <v>35.046914366495187</v>
      </c>
      <c r="E170" s="380">
        <f t="shared" ref="E170:E232" si="75">Wh_pvt/(1-Psa)</f>
        <v>35.141009047522914</v>
      </c>
      <c r="F170" s="380">
        <f t="shared" si="51"/>
        <v>35.141013993918293</v>
      </c>
      <c r="G170" s="110">
        <f t="shared" ref="G170:G232" si="76">+Wh_hp/MaxiM</f>
        <v>0.53940840369998289</v>
      </c>
      <c r="H170" s="409" t="b">
        <f>Wh_hp&gt;='2028'!Maxi_hp</f>
        <v>1</v>
      </c>
      <c r="I170" s="385">
        <f>IF(H170,Wh_hp,'2028'!Maxi_hp)</f>
        <v>35.141013993918293</v>
      </c>
      <c r="J170" s="85">
        <f>IF(H170,An,'2028'!An_max)</f>
        <v>2029</v>
      </c>
      <c r="K170" s="193">
        <f t="shared" si="52"/>
        <v>47274</v>
      </c>
      <c r="L170" s="143">
        <f>IF(t&lt;Tvie,1-EXP((T0-t)*PertePVj)+'2028'!Pspv,1-EXP((T0-t)*PertePVj)+Pspv)</f>
        <v>3.6972033733916776E-2</v>
      </c>
      <c r="M170" s="836"/>
      <c r="N170" s="836"/>
      <c r="O170" s="48">
        <f>IF(t&lt;Tnet,'2028'!Resal+('2028'!Salim-'2028'!Resal)*(1-EXP(('2028'!Tnet-t)/('2028'!Tau_j))),Resal+(Salim-Resal)*(1-EXP((Tnet-t)/(Tau_j))))*Salcycl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4.115597766416715E-7</v>
      </c>
      <c r="Q170" s="301">
        <f t="shared" si="53"/>
        <v>0.5</v>
      </c>
      <c r="R170" s="173">
        <f t="shared" si="54"/>
        <v>0.19292436416154951</v>
      </c>
      <c r="S170" s="802">
        <f t="shared" si="55"/>
        <v>0</v>
      </c>
      <c r="T170" s="172">
        <f t="shared" si="56"/>
        <v>6</v>
      </c>
      <c r="U170" s="247">
        <f t="shared" si="57"/>
        <v>0.19292436416154951</v>
      </c>
      <c r="V170" s="378">
        <f t="shared" si="58"/>
        <v>62.570677977758329</v>
      </c>
      <c r="W170" s="397">
        <f t="shared" si="59"/>
        <v>33.751158666267436</v>
      </c>
      <c r="X170" s="153">
        <f t="shared" si="60"/>
        <v>47274</v>
      </c>
      <c r="Y170" s="380">
        <f t="shared" si="61"/>
        <v>32.430547395342558</v>
      </c>
      <c r="Z170" s="380">
        <f t="shared" si="62"/>
        <v>33.675602922607176</v>
      </c>
      <c r="AA170" s="381">
        <f t="shared" si="63"/>
        <v>35.140866936511735</v>
      </c>
      <c r="AB170" s="193">
        <f t="shared" si="64"/>
        <v>47274</v>
      </c>
      <c r="AC170" s="119">
        <f>IF(OR(t&lt;Tnet,NoTnet),'2028'!Resal_s+('2028'!Salim-'2028'!Resal_s)*(1-EXP(('2028'!Tnet_s-t)/'2028'!Tau_j)),Resal_s+(Salim-Resal_s)*(1-EXP((Tnet_s-t)/Tau_j)))*Salcycl</f>
        <v>4.1696865832929385E-2</v>
      </c>
      <c r="AD170" s="227">
        <f>(INDEX(Models!$BJ170:$BT170,,AH170)*(1-AF170)+INDEX(Models!$BJ170:$BT170,,AH170+1)*AF170-ERP_i)*AE170*Ramure*Pc/MaxiM</f>
        <v>1.2235761352948916E-5</v>
      </c>
      <c r="AE170" s="301">
        <f t="shared" si="65"/>
        <v>0.5</v>
      </c>
      <c r="AF170" s="173">
        <f t="shared" si="66"/>
        <v>0.71791193053552682</v>
      </c>
      <c r="AG170" s="802">
        <f t="shared" si="74"/>
        <v>3</v>
      </c>
      <c r="AH170" s="172">
        <f t="shared" si="67"/>
        <v>9</v>
      </c>
      <c r="AI170" s="221">
        <f t="shared" si="68"/>
        <v>3.7179119305355268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47275</v>
      </c>
      <c r="B171" s="406">
        <f>'2028'!Wh/'2028'!Env_an*'2029'!Env_an</f>
        <v>53.973033438180813</v>
      </c>
      <c r="C171" s="832"/>
      <c r="D171" s="388">
        <f t="shared" si="50"/>
        <v>56.045903322069805</v>
      </c>
      <c r="E171" s="380">
        <f t="shared" si="75"/>
        <v>56.200596028469228</v>
      </c>
      <c r="F171" s="380">
        <f t="shared" si="51"/>
        <v>56.200613965873593</v>
      </c>
      <c r="G171" s="110">
        <f t="shared" si="76"/>
        <v>0.86238282202229954</v>
      </c>
      <c r="H171" s="409" t="b">
        <f>Wh_hp&gt;='2028'!Maxi_hp</f>
        <v>1</v>
      </c>
      <c r="I171" s="385">
        <f>IF(H171,Wh_hp,'2028'!Maxi_hp)</f>
        <v>56.200613965873593</v>
      </c>
      <c r="J171" s="85">
        <f>IF(H171,An,'2028'!An_max)</f>
        <v>2029</v>
      </c>
      <c r="K171" s="193">
        <f t="shared" si="52"/>
        <v>47275</v>
      </c>
      <c r="L171" s="143">
        <f>IF(t&lt;Tvie,1-EXP((T0-t)*PertePVj)+'2028'!Pspv,1-EXP((T0-t)*PertePVj)+Pspv)</f>
        <v>3.6985216778060881E-2</v>
      </c>
      <c r="M171" s="836"/>
      <c r="N171" s="836"/>
      <c r="O171" s="48">
        <f>IF(t&lt;Tnet,'2028'!Resal+('2028'!Salim-'2028'!Resal)*(1-EXP(('2028'!Tnet-t)/('2028'!Tau_j))),Resal+(Salim-Resal)*(1-EXP((Tnet-t)/(Tau_j))))*Salcycl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3.9726881954150013E-7</v>
      </c>
      <c r="Q171" s="301">
        <f t="shared" si="53"/>
        <v>0.5</v>
      </c>
      <c r="R171" s="173">
        <f t="shared" si="54"/>
        <v>0.19802628270868947</v>
      </c>
      <c r="S171" s="802">
        <f t="shared" si="55"/>
        <v>0</v>
      </c>
      <c r="T171" s="172">
        <f t="shared" si="56"/>
        <v>6</v>
      </c>
      <c r="U171" s="247">
        <f t="shared" si="57"/>
        <v>0.19802628270868947</v>
      </c>
      <c r="V171" s="378">
        <f t="shared" si="58"/>
        <v>62.585928017724143</v>
      </c>
      <c r="W171" s="397">
        <f t="shared" si="59"/>
        <v>53.973033438180813</v>
      </c>
      <c r="X171" s="153">
        <f t="shared" si="60"/>
        <v>47275</v>
      </c>
      <c r="Y171" s="380">
        <f t="shared" si="61"/>
        <v>51.861359567719497</v>
      </c>
      <c r="Z171" s="380">
        <f t="shared" si="62"/>
        <v>53.853129226332321</v>
      </c>
      <c r="AA171" s="381">
        <f t="shared" si="63"/>
        <v>56.200096607305504</v>
      </c>
      <c r="AB171" s="193">
        <f t="shared" si="64"/>
        <v>47275</v>
      </c>
      <c r="AC171" s="119">
        <f>IF(OR(t&lt;Tnet,NoTnet),'2028'!Resal_s+('2028'!Salim-'2028'!Resal_s)*(1-EXP(('2028'!Tnet_s-t)/'2028'!Tau_j)),Resal_s+(Salim-Resal_s)*(1-EXP((Tnet_s-t)/Tau_j)))*Salcycl</f>
        <v>4.1760913639926005E-2</v>
      </c>
      <c r="AD171" s="227">
        <f>(INDEX(Models!$BJ171:$BT171,,AH171)*(1-AF171)+INDEX(Models!$BJ171:$BT171,,AH171+1)*AF171-ERP_i)*AE171*Ramure*Pc/MaxiM</f>
        <v>1.1458203395300451E-5</v>
      </c>
      <c r="AE171" s="301">
        <f t="shared" si="65"/>
        <v>0.5</v>
      </c>
      <c r="AF171" s="173">
        <f t="shared" si="66"/>
        <v>0.72301384908266675</v>
      </c>
      <c r="AG171" s="802">
        <f t="shared" si="74"/>
        <v>3</v>
      </c>
      <c r="AH171" s="172">
        <f t="shared" si="67"/>
        <v>9</v>
      </c>
      <c r="AI171" s="221">
        <f t="shared" si="68"/>
        <v>3.7230138490826667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47276</v>
      </c>
      <c r="B172" s="406">
        <f>'2028'!Wh/'2028'!Env_an*'2029'!Env_an</f>
        <v>28.183758097291268</v>
      </c>
      <c r="C172" s="832"/>
      <c r="D172" s="388">
        <f t="shared" si="50"/>
        <v>29.266574517431987</v>
      </c>
      <c r="E172" s="380">
        <f t="shared" si="75"/>
        <v>29.349557043136567</v>
      </c>
      <c r="F172" s="380">
        <f t="shared" si="51"/>
        <v>29.349559460101258</v>
      </c>
      <c r="G172" s="110">
        <f t="shared" si="76"/>
        <v>0.45023281836206286</v>
      </c>
      <c r="H172" s="409" t="b">
        <f>Wh_hp&gt;='2028'!Maxi_hp</f>
        <v>1</v>
      </c>
      <c r="I172" s="385">
        <f>IF(H172,Wh_hp,'2028'!Maxi_hp)</f>
        <v>29.349559460101258</v>
      </c>
      <c r="J172" s="85">
        <f>IF(H172,An,'2028'!An_max)</f>
        <v>2029</v>
      </c>
      <c r="K172" s="193">
        <f t="shared" si="52"/>
        <v>47276</v>
      </c>
      <c r="L172" s="143">
        <f>IF(t&lt;Tvie,1-EXP((T0-t)*PertePVj)+'2028'!Pspv,1-EXP((T0-t)*PertePVj)+Pspv)</f>
        <v>3.6998399641740232E-2</v>
      </c>
      <c r="M172" s="836"/>
      <c r="N172" s="836"/>
      <c r="O172" s="48">
        <f>IF(t&lt;Tnet,'2028'!Resal+('2028'!Salim-'2028'!Resal)*(1-EXP(('2028'!Tnet-t)/('2028'!Tau_j))),Resal+(Salim-Resal)*(1-EXP((Tnet-t)/(Tau_j))))*Salcycl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3.8370861718412087E-7</v>
      </c>
      <c r="Q172" s="301">
        <f t="shared" si="53"/>
        <v>0.5</v>
      </c>
      <c r="R172" s="173">
        <f t="shared" si="54"/>
        <v>0.20314542212651546</v>
      </c>
      <c r="S172" s="802">
        <f t="shared" si="55"/>
        <v>0</v>
      </c>
      <c r="T172" s="172">
        <f t="shared" si="56"/>
        <v>6</v>
      </c>
      <c r="U172" s="247">
        <f t="shared" si="57"/>
        <v>0.20314542212651546</v>
      </c>
      <c r="V172" s="378">
        <f t="shared" si="58"/>
        <v>62.598168002127004</v>
      </c>
      <c r="W172" s="397">
        <f t="shared" si="59"/>
        <v>28.183758097291268</v>
      </c>
      <c r="X172" s="153">
        <f t="shared" si="60"/>
        <v>47276</v>
      </c>
      <c r="Y172" s="380">
        <f t="shared" si="61"/>
        <v>27.081494828825928</v>
      </c>
      <c r="Z172" s="380">
        <f t="shared" si="62"/>
        <v>28.12196243365635</v>
      </c>
      <c r="AA172" s="381">
        <f t="shared" si="63"/>
        <v>29.349491776027783</v>
      </c>
      <c r="AB172" s="193">
        <f t="shared" si="64"/>
        <v>47276</v>
      </c>
      <c r="AC172" s="119">
        <f>IF(OR(t&lt;Tnet,NoTnet),'2028'!Resal_s+('2028'!Salim-'2028'!Resal_s)*(1-EXP(('2028'!Tnet_s-t)/'2028'!Tau_j)),Resal_s+(Salim-Resal_s)*(1-EXP((Tnet_s-t)/Tau_j)))*Salcycl</f>
        <v>4.1824551911800317E-2</v>
      </c>
      <c r="AD172" s="227">
        <f>(INDEX(Models!$BJ172:$BT172,,AH172)*(1-AF172)+INDEX(Models!$BJ172:$BT172,,AH172+1)*AF172-ERP_i)*AE172*Ramure*Pc/MaxiM</f>
        <v>1.0745279943769634E-5</v>
      </c>
      <c r="AE172" s="301">
        <f t="shared" si="65"/>
        <v>0.5</v>
      </c>
      <c r="AF172" s="173">
        <f t="shared" si="66"/>
        <v>0.72813298850049257</v>
      </c>
      <c r="AG172" s="802">
        <f t="shared" si="74"/>
        <v>3</v>
      </c>
      <c r="AH172" s="172">
        <f t="shared" si="67"/>
        <v>9</v>
      </c>
      <c r="AI172" s="221">
        <f t="shared" si="68"/>
        <v>3.7281329885004926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47277</v>
      </c>
      <c r="B173" s="406">
        <f>'2028'!Wh/'2028'!Env_an*'2029'!Env_an</f>
        <v>25.396655638567257</v>
      </c>
      <c r="C173" s="832"/>
      <c r="D173" s="388">
        <f t="shared" si="50"/>
        <v>26.372752955723787</v>
      </c>
      <c r="E173" s="380">
        <f t="shared" si="75"/>
        <v>26.449516198003341</v>
      </c>
      <c r="F173" s="380">
        <f t="shared" si="51"/>
        <v>26.449517679188737</v>
      </c>
      <c r="G173" s="110">
        <f t="shared" si="76"/>
        <v>0.40564794196594872</v>
      </c>
      <c r="H173" s="409" t="b">
        <f>Wh_hp&gt;='2028'!Maxi_hp</f>
        <v>1</v>
      </c>
      <c r="I173" s="385">
        <f>IF(H173,Wh_hp,'2028'!Maxi_hp)</f>
        <v>26.449517679188737</v>
      </c>
      <c r="J173" s="85">
        <f>IF(H173,An,'2028'!An_max)</f>
        <v>2029</v>
      </c>
      <c r="K173" s="193">
        <f t="shared" si="52"/>
        <v>47277</v>
      </c>
      <c r="L173" s="143">
        <f>IF(t&lt;Tvie,1-EXP((T0-t)*PertePVj)+'2028'!Pspv,1-EXP((T0-t)*PertePVj)+Pspv)</f>
        <v>3.7011582324957271E-2</v>
      </c>
      <c r="M173" s="836"/>
      <c r="N173" s="836"/>
      <c r="O173" s="48">
        <f>IF(t&lt;Tnet,'2028'!Resal+('2028'!Salim-'2028'!Resal)*(1-EXP(('2028'!Tnet-t)/('2028'!Tau_j))),Resal+(Salim-Resal)*(1-EXP((Tnet-t)/(Tau_j))))*Salcycl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3.7104632757672403E-7</v>
      </c>
      <c r="Q173" s="301">
        <f t="shared" si="53"/>
        <v>0.5</v>
      </c>
      <c r="R173" s="173">
        <f t="shared" si="54"/>
        <v>0.20827752807978195</v>
      </c>
      <c r="S173" s="802">
        <f t="shared" si="55"/>
        <v>0</v>
      </c>
      <c r="T173" s="172">
        <f t="shared" si="56"/>
        <v>6</v>
      </c>
      <c r="U173" s="247">
        <f t="shared" si="57"/>
        <v>0.20827752807978195</v>
      </c>
      <c r="V173" s="378">
        <f t="shared" si="58"/>
        <v>62.607608741640057</v>
      </c>
      <c r="W173" s="397">
        <f t="shared" si="59"/>
        <v>25.396655638567257</v>
      </c>
      <c r="X173" s="153">
        <f t="shared" si="60"/>
        <v>47277</v>
      </c>
      <c r="Y173" s="380">
        <f t="shared" si="61"/>
        <v>24.403636746066457</v>
      </c>
      <c r="Z173" s="380">
        <f t="shared" si="62"/>
        <v>25.341568286962911</v>
      </c>
      <c r="AA173" s="381">
        <f t="shared" si="63"/>
        <v>26.449477366510955</v>
      </c>
      <c r="AB173" s="193">
        <f t="shared" si="64"/>
        <v>47277</v>
      </c>
      <c r="AC173" s="119">
        <f>IF(OR(t&lt;Tnet,NoTnet),'2028'!Resal_s+('2028'!Salim-'2028'!Resal_s)*(1-EXP(('2028'!Tnet_s-t)/'2028'!Tau_j)),Resal_s+(Salim-Resal_s)*(1-EXP((Tnet_s-t)/Tau_j)))*Salcycl</f>
        <v>4.1887749394656254E-2</v>
      </c>
      <c r="AD173" s="227">
        <f>(INDEX(Models!$BJ173:$BT173,,AH173)*(1-AF173)+INDEX(Models!$BJ173:$BT173,,AH173+1)*AF173-ERP_i)*AE173*Ramure*Pc/MaxiM</f>
        <v>1.0098581242016315E-5</v>
      </c>
      <c r="AE173" s="301">
        <f t="shared" si="65"/>
        <v>0.5</v>
      </c>
      <c r="AF173" s="173">
        <f t="shared" si="66"/>
        <v>0.73326509445375887</v>
      </c>
      <c r="AG173" s="802">
        <f t="shared" si="74"/>
        <v>3</v>
      </c>
      <c r="AH173" s="172">
        <f t="shared" si="67"/>
        <v>9</v>
      </c>
      <c r="AI173" s="221">
        <f t="shared" si="68"/>
        <v>3.7332650944537589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47278</v>
      </c>
      <c r="B174" s="406">
        <f>'2028'!Wh/'2028'!Env_an*'2029'!Env_an</f>
        <v>52.188156807318848</v>
      </c>
      <c r="C174" s="832"/>
      <c r="D174" s="388">
        <f t="shared" si="50"/>
        <v>54.194702938525595</v>
      </c>
      <c r="E174" s="380">
        <f t="shared" si="75"/>
        <v>54.356528459008643</v>
      </c>
      <c r="F174" s="380">
        <f t="shared" si="51"/>
        <v>54.356543349873313</v>
      </c>
      <c r="G174" s="110">
        <f t="shared" si="76"/>
        <v>0.83348401519852999</v>
      </c>
      <c r="H174" s="409" t="b">
        <f>Wh_hp&gt;='2028'!Maxi_hp</f>
        <v>1</v>
      </c>
      <c r="I174" s="385">
        <f>IF(H174,Wh_hp,'2028'!Maxi_hp)</f>
        <v>54.356543349873313</v>
      </c>
      <c r="J174" s="85">
        <f>IF(H174,An,'2028'!An_max)</f>
        <v>2029</v>
      </c>
      <c r="K174" s="193">
        <f t="shared" si="52"/>
        <v>47278</v>
      </c>
      <c r="L174" s="143">
        <f>IF(t&lt;Tvie,1-EXP((T0-t)*PertePVj)+'2028'!Pspv,1-EXP((T0-t)*PertePVj)+Pspv)</f>
        <v>3.7024764827714329E-2</v>
      </c>
      <c r="M174" s="836"/>
      <c r="N174" s="836"/>
      <c r="O174" s="48">
        <f>IF(t&lt;Tnet,'2028'!Resal+('2028'!Salim-'2028'!Resal)*(1-EXP(('2028'!Tnet-t)/('2028'!Tau_j))),Resal+(Salim-Resal)*(1-EXP((Tnet-t)/(Tau_j))))*Salcycl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3.5945510532305084E-7</v>
      </c>
      <c r="Q174" s="301">
        <f t="shared" si="53"/>
        <v>0.5</v>
      </c>
      <c r="R174" s="173">
        <f t="shared" si="54"/>
        <v>0.21341830272408782</v>
      </c>
      <c r="S174" s="802">
        <f t="shared" si="55"/>
        <v>0</v>
      </c>
      <c r="T174" s="172">
        <f t="shared" si="56"/>
        <v>6</v>
      </c>
      <c r="U174" s="247">
        <f t="shared" si="57"/>
        <v>0.21341830272408782</v>
      </c>
      <c r="V174" s="378">
        <f t="shared" si="58"/>
        <v>62.614460977307338</v>
      </c>
      <c r="W174" s="397">
        <f t="shared" si="59"/>
        <v>52.188156807318848</v>
      </c>
      <c r="X174" s="153">
        <f t="shared" si="60"/>
        <v>47278</v>
      </c>
      <c r="Y174" s="380">
        <f t="shared" si="61"/>
        <v>50.147785353174875</v>
      </c>
      <c r="Z174" s="380">
        <f t="shared" si="62"/>
        <v>52.075882661928418</v>
      </c>
      <c r="AA174" s="381">
        <f t="shared" si="63"/>
        <v>54.356148984328783</v>
      </c>
      <c r="AB174" s="193">
        <f t="shared" si="64"/>
        <v>47278</v>
      </c>
      <c r="AC174" s="119">
        <f>IF(OR(t&lt;Tnet,NoTnet),'2028'!Resal_s+('2028'!Salim-'2028'!Resal_s)*(1-EXP(('2028'!Tnet_s-t)/'2028'!Tau_j)),Resal_s+(Salim-Resal_s)*(1-EXP((Tnet_s-t)/Tau_j)))*Salcycl</f>
        <v>4.1950475981250603E-2</v>
      </c>
      <c r="AD174" s="227">
        <f>(INDEX(Models!$BJ174:$BT174,,AH174)*(1-AF174)+INDEX(Models!$BJ174:$BT174,,AH174+1)*AF174-ERP_i)*AE174*Ramure*Pc/MaxiM</f>
        <v>9.5197096685672872E-6</v>
      </c>
      <c r="AE174" s="301">
        <f t="shared" si="65"/>
        <v>0.5</v>
      </c>
      <c r="AF174" s="173">
        <f t="shared" si="66"/>
        <v>0.73840586909806483</v>
      </c>
      <c r="AG174" s="802">
        <f t="shared" si="74"/>
        <v>3</v>
      </c>
      <c r="AH174" s="172">
        <f t="shared" si="67"/>
        <v>9</v>
      </c>
      <c r="AI174" s="221">
        <f t="shared" si="68"/>
        <v>3.7384058690980648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47279</v>
      </c>
      <c r="B175" s="406">
        <f>'2028'!Wh/'2028'!Env_an*'2029'!Env_an</f>
        <v>64.208799819498864</v>
      </c>
      <c r="C175" s="832"/>
      <c r="D175" s="388">
        <f t="shared" si="50"/>
        <v>66.678432062266907</v>
      </c>
      <c r="E175" s="380">
        <f t="shared" si="75"/>
        <v>66.882554596460366</v>
      </c>
      <c r="F175" s="380">
        <f t="shared" si="51"/>
        <v>66.882577946073681</v>
      </c>
      <c r="G175" s="110">
        <f t="shared" si="76"/>
        <v>1.0253895155984705</v>
      </c>
      <c r="H175" s="409" t="b">
        <f>Wh_hp&gt;='2028'!Maxi_hp</f>
        <v>1</v>
      </c>
      <c r="I175" s="385">
        <f>IF(H175,Wh_hp,'2028'!Maxi_hp)</f>
        <v>66.882577946073681</v>
      </c>
      <c r="J175" s="85">
        <f>IF(H175,An,'2028'!An_max)</f>
        <v>2029</v>
      </c>
      <c r="K175" s="193">
        <f t="shared" si="52"/>
        <v>47279</v>
      </c>
      <c r="L175" s="143">
        <f>IF(t&lt;Tvie,1-EXP((T0-t)*PertePVj)+'2028'!Pspv,1-EXP((T0-t)*PertePVj)+Pspv)</f>
        <v>3.7037947150014072E-2</v>
      </c>
      <c r="M175" s="836"/>
      <c r="N175" s="836"/>
      <c r="O175" s="48">
        <f>IF(t&lt;Tnet,'2028'!Resal+('2028'!Salim-'2028'!Resal)*(1-EXP(('2028'!Tnet-t)/('2028'!Tau_j))),Resal+(Salim-Resal)*(1-EXP((Tnet-t)/(Tau_j))))*Salcycl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3.4911353639071454E-7</v>
      </c>
      <c r="Q175" s="301">
        <f t="shared" si="53"/>
        <v>0.5</v>
      </c>
      <c r="R175" s="173">
        <f t="shared" si="54"/>
        <v>0.21856341903509935</v>
      </c>
      <c r="S175" s="802">
        <f t="shared" si="55"/>
        <v>0</v>
      </c>
      <c r="T175" s="172">
        <f t="shared" si="56"/>
        <v>6</v>
      </c>
      <c r="U175" s="247">
        <f t="shared" si="57"/>
        <v>0.21856341903509935</v>
      </c>
      <c r="V175" s="378">
        <f t="shared" si="58"/>
        <v>62.61893538283671</v>
      </c>
      <c r="W175" s="397">
        <f t="shared" si="59"/>
        <v>64.208799819498864</v>
      </c>
      <c r="X175" s="153">
        <f t="shared" si="60"/>
        <v>47279</v>
      </c>
      <c r="Y175" s="380">
        <f t="shared" si="61"/>
        <v>61.698984347053752</v>
      </c>
      <c r="Z175" s="380">
        <f t="shared" si="62"/>
        <v>64.072082762191116</v>
      </c>
      <c r="AA175" s="381">
        <f t="shared" si="63"/>
        <v>66.881975315856067</v>
      </c>
      <c r="AB175" s="193">
        <f t="shared" si="64"/>
        <v>47279</v>
      </c>
      <c r="AC175" s="119">
        <f>IF(OR(t&lt;Tnet,NoTnet),'2028'!Resal_s+('2028'!Salim-'2028'!Resal_s)*(1-EXP(('2028'!Tnet_s-t)/'2028'!Tau_j)),Resal_s+(Salim-Resal_s)*(1-EXP((Tnet_s-t)/Tau_j)))*Salcycl</f>
        <v>4.2012702830545604E-2</v>
      </c>
      <c r="AD175" s="227">
        <f>(INDEX(Models!$BJ175:$BT175,,AH175)*(1-AF175)+INDEX(Models!$BJ175:$BT175,,AH175+1)*AF175-ERP_i)*AE175*Ramure*Pc/MaxiM</f>
        <v>9.0102719738421123E-6</v>
      </c>
      <c r="AE175" s="301">
        <f t="shared" si="65"/>
        <v>0.5</v>
      </c>
      <c r="AF175" s="173">
        <f t="shared" si="66"/>
        <v>0.74355098540907649</v>
      </c>
      <c r="AG175" s="802">
        <f t="shared" si="74"/>
        <v>3</v>
      </c>
      <c r="AH175" s="172">
        <f t="shared" si="67"/>
        <v>9</v>
      </c>
      <c r="AI175" s="221">
        <f t="shared" si="68"/>
        <v>3.7435509854090765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47280</v>
      </c>
      <c r="B176" s="406">
        <f>'2028'!Wh/'2028'!Env_an*'2029'!Env_an</f>
        <v>61.477247799750337</v>
      </c>
      <c r="C176" s="832"/>
      <c r="D176" s="388">
        <f t="shared" si="50"/>
        <v>63.842691621353381</v>
      </c>
      <c r="E176" s="380">
        <f t="shared" si="75"/>
        <v>64.04293956187108</v>
      </c>
      <c r="F176" s="380">
        <f t="shared" si="51"/>
        <v>64.042960780995472</v>
      </c>
      <c r="G176" s="110">
        <f t="shared" si="76"/>
        <v>0.98173151376614465</v>
      </c>
      <c r="H176" s="409" t="b">
        <f>Wh_hp&gt;='2028'!Maxi_hp</f>
        <v>1</v>
      </c>
      <c r="I176" s="385">
        <f>IF(H176,Wh_hp,'2028'!Maxi_hp)</f>
        <v>64.042960780995472</v>
      </c>
      <c r="J176" s="85">
        <f>IF(H176,An,'2028'!An_max)</f>
        <v>2029</v>
      </c>
      <c r="K176" s="193">
        <f t="shared" si="52"/>
        <v>47280</v>
      </c>
      <c r="L176" s="143">
        <f>IF(t&lt;Tvie,1-EXP((T0-t)*PertePVj)+'2028'!Pspv,1-EXP((T0-t)*PertePVj)+Pspv)</f>
        <v>3.7051129291858942E-2</v>
      </c>
      <c r="M176" s="836"/>
      <c r="N176" s="836"/>
      <c r="O176" s="48">
        <f>IF(t&lt;Tnet,'2028'!Resal+('2028'!Salim-'2028'!Resal)*(1-EXP(('2028'!Tnet-t)/('2028'!Tau_j))),Resal+(Salim-Resal)*(1-EXP((Tnet-t)/(Tau_j))))*Salcycl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3.4020502279867541E-7</v>
      </c>
      <c r="Q176" s="301">
        <f t="shared" si="53"/>
        <v>0.5</v>
      </c>
      <c r="R176" s="173">
        <f t="shared" si="54"/>
        <v>0.22370853534611088</v>
      </c>
      <c r="S176" s="802">
        <f t="shared" si="55"/>
        <v>0</v>
      </c>
      <c r="T176" s="172">
        <f t="shared" si="56"/>
        <v>6</v>
      </c>
      <c r="U176" s="247">
        <f t="shared" si="57"/>
        <v>0.22370853534611088</v>
      </c>
      <c r="V176" s="378">
        <f t="shared" si="58"/>
        <v>62.621242561601115</v>
      </c>
      <c r="W176" s="397">
        <f t="shared" si="59"/>
        <v>61.477247799750337</v>
      </c>
      <c r="X176" s="153">
        <f t="shared" si="60"/>
        <v>47280</v>
      </c>
      <c r="Y176" s="380">
        <f t="shared" si="61"/>
        <v>59.074871117808939</v>
      </c>
      <c r="Z176" s="380">
        <f t="shared" si="62"/>
        <v>61.347879326517081</v>
      </c>
      <c r="AA176" s="381">
        <f t="shared" si="63"/>
        <v>64.042426139831974</v>
      </c>
      <c r="AB176" s="193">
        <f t="shared" si="64"/>
        <v>47280</v>
      </c>
      <c r="AC176" s="119">
        <f>IF(OR(t&lt;Tnet,NoTnet),'2028'!Resal_s+('2028'!Salim-'2028'!Resal_s)*(1-EXP(('2028'!Tnet_s-t)/'2028'!Tau_j)),Resal_s+(Salim-Resal_s)*(1-EXP((Tnet_s-t)/Tau_j)))*Salcycl</f>
        <v>4.2074402481747722E-2</v>
      </c>
      <c r="AD176" s="227">
        <f>(INDEX(Models!$BJ176:$BT176,,AH176)*(1-AF176)+INDEX(Models!$BJ176:$BT176,,AH176+1)*AF176-ERP_i)*AE176*Ramure*Pc/MaxiM</f>
        <v>8.5718715770035048E-6</v>
      </c>
      <c r="AE176" s="301">
        <f t="shared" si="65"/>
        <v>0.5</v>
      </c>
      <c r="AF176" s="173">
        <f t="shared" si="66"/>
        <v>0.74869610172008816</v>
      </c>
      <c r="AG176" s="802">
        <f t="shared" si="74"/>
        <v>3</v>
      </c>
      <c r="AH176" s="172">
        <f t="shared" si="67"/>
        <v>9</v>
      </c>
      <c r="AI176" s="221">
        <f t="shared" si="68"/>
        <v>3.7486961017200882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47281</v>
      </c>
      <c r="B177" s="406">
        <f>'2028'!Wh/'2028'!Env_an*'2029'!Env_an</f>
        <v>49.573489437992208</v>
      </c>
      <c r="C177" s="832"/>
      <c r="D177" s="388">
        <f t="shared" si="50"/>
        <v>51.481620234173285</v>
      </c>
      <c r="E177" s="380">
        <f t="shared" si="75"/>
        <v>51.646971752862484</v>
      </c>
      <c r="F177" s="380">
        <f t="shared" si="51"/>
        <v>51.64698382864848</v>
      </c>
      <c r="G177" s="110">
        <f t="shared" si="76"/>
        <v>0.79162790345181999</v>
      </c>
      <c r="H177" s="409" t="b">
        <f>Wh_hp&gt;='2028'!Maxi_hp</f>
        <v>1</v>
      </c>
      <c r="I177" s="385">
        <f>IF(H177,Wh_hp,'2028'!Maxi_hp)</f>
        <v>51.64698382864848</v>
      </c>
      <c r="J177" s="85">
        <f>IF(H177,An,'2028'!An_max)</f>
        <v>2029</v>
      </c>
      <c r="K177" s="193">
        <f t="shared" si="52"/>
        <v>47281</v>
      </c>
      <c r="L177" s="143">
        <f>IF(t&lt;Tvie,1-EXP((T0-t)*PertePVj)+'2028'!Pspv,1-EXP((T0-t)*PertePVj)+Pspv)</f>
        <v>3.706431125325127E-2</v>
      </c>
      <c r="M177" s="836"/>
      <c r="N177" s="836"/>
      <c r="O177" s="48">
        <f>IF(t&lt;Tnet,'2028'!Resal+('2028'!Salim-'2028'!Resal)*(1-EXP(('2028'!Tnet-t)/('2028'!Tau_j))),Resal+(Salim-Resal)*(1-EXP((Tnet-t)/(Tau_j))))*Salcycl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3.3291387096876348E-7</v>
      </c>
      <c r="Q177" s="301">
        <f t="shared" si="53"/>
        <v>0.5</v>
      </c>
      <c r="R177" s="173">
        <f t="shared" si="54"/>
        <v>0.22884930999041678</v>
      </c>
      <c r="S177" s="802">
        <f t="shared" si="55"/>
        <v>0</v>
      </c>
      <c r="T177" s="172">
        <f t="shared" si="56"/>
        <v>6</v>
      </c>
      <c r="U177" s="247">
        <f t="shared" si="57"/>
        <v>0.22884930999041678</v>
      </c>
      <c r="V177" s="378">
        <f t="shared" si="58"/>
        <v>62.62220458513687</v>
      </c>
      <c r="W177" s="397">
        <f t="shared" si="59"/>
        <v>49.573489437992208</v>
      </c>
      <c r="X177" s="153">
        <f t="shared" si="60"/>
        <v>47281</v>
      </c>
      <c r="Y177" s="380">
        <f t="shared" si="61"/>
        <v>47.636933772458512</v>
      </c>
      <c r="Z177" s="380">
        <f t="shared" si="62"/>
        <v>49.470524697716321</v>
      </c>
      <c r="AA177" s="381">
        <f t="shared" si="63"/>
        <v>51.646686171626321</v>
      </c>
      <c r="AB177" s="193">
        <f t="shared" si="64"/>
        <v>47281</v>
      </c>
      <c r="AC177" s="119">
        <f>IF(OR(t&lt;Tnet,NoTnet),'2028'!Resal_s+('2028'!Salim-'2028'!Resal_s)*(1-EXP(('2028'!Tnet_s-t)/'2028'!Tau_j)),Resal_s+(Salim-Resal_s)*(1-EXP((Tnet_s-t)/Tau_j)))*Salcycl</f>
        <v>4.2135548962007517E-2</v>
      </c>
      <c r="AD177" s="227">
        <f>(INDEX(Models!$BJ177:$BT177,,AH177)*(1-AF177)+INDEX(Models!$BJ177:$BT177,,AH177+1)*AF177-ERP_i)*AE177*Ramure*Pc/MaxiM</f>
        <v>8.206020832589513E-6</v>
      </c>
      <c r="AE177" s="301">
        <f t="shared" si="65"/>
        <v>0.5</v>
      </c>
      <c r="AF177" s="173">
        <f t="shared" si="66"/>
        <v>0.75383687636439412</v>
      </c>
      <c r="AG177" s="802">
        <f t="shared" si="74"/>
        <v>3</v>
      </c>
      <c r="AH177" s="172">
        <f t="shared" si="67"/>
        <v>9</v>
      </c>
      <c r="AI177" s="221">
        <f t="shared" si="68"/>
        <v>3.7538368763643941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47282</v>
      </c>
      <c r="B178" s="406">
        <f>'2028'!Wh/'2028'!Env_an*'2029'!Env_an</f>
        <v>55.421624412391026</v>
      </c>
      <c r="C178" s="832"/>
      <c r="D178" s="388">
        <f t="shared" si="50"/>
        <v>57.555643378848828</v>
      </c>
      <c r="E178" s="380">
        <f t="shared" si="75"/>
        <v>57.744835008573695</v>
      </c>
      <c r="F178" s="380">
        <f t="shared" si="51"/>
        <v>57.744850835053271</v>
      </c>
      <c r="G178" s="110">
        <f t="shared" si="76"/>
        <v>0.88501621030917987</v>
      </c>
      <c r="H178" s="409" t="b">
        <f>Wh_hp&gt;='2028'!Maxi_hp</f>
        <v>1</v>
      </c>
      <c r="I178" s="385">
        <f>IF(H178,Wh_hp,'2028'!Maxi_hp)</f>
        <v>57.744850835053271</v>
      </c>
      <c r="J178" s="85">
        <f>IF(H178,An,'2028'!An_max)</f>
        <v>2029</v>
      </c>
      <c r="K178" s="193">
        <f t="shared" si="52"/>
        <v>47282</v>
      </c>
      <c r="L178" s="143">
        <f>IF(t&lt;Tvie,1-EXP((T0-t)*PertePVj)+'2028'!Pspv,1-EXP((T0-t)*PertePVj)+Pspv)</f>
        <v>3.707749303419372E-2</v>
      </c>
      <c r="M178" s="836"/>
      <c r="N178" s="836"/>
      <c r="O178" s="48">
        <f>IF(t&lt;Tnet,'2028'!Resal+('2028'!Salim-'2028'!Resal)*(1-EXP(('2028'!Tnet-t)/('2028'!Tau_j))),Resal+(Salim-Resal)*(1-EXP((Tnet-t)/(Tau_j))))*Salcycl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3.2794511210360539E-7</v>
      </c>
      <c r="Q178" s="301">
        <f t="shared" si="53"/>
        <v>0.5</v>
      </c>
      <c r="R178" s="173">
        <f t="shared" si="54"/>
        <v>0.2339814159436833</v>
      </c>
      <c r="S178" s="802">
        <f t="shared" si="55"/>
        <v>0</v>
      </c>
      <c r="T178" s="172">
        <f t="shared" si="56"/>
        <v>6</v>
      </c>
      <c r="U178" s="247">
        <f t="shared" si="57"/>
        <v>0.2339814159436833</v>
      </c>
      <c r="V178" s="378">
        <f t="shared" si="58"/>
        <v>62.622154014011528</v>
      </c>
      <c r="W178" s="397">
        <f t="shared" si="59"/>
        <v>55.421624412391026</v>
      </c>
      <c r="X178" s="153">
        <f t="shared" si="60"/>
        <v>47282</v>
      </c>
      <c r="Y178" s="380">
        <f t="shared" si="61"/>
        <v>53.257198492298862</v>
      </c>
      <c r="Z178" s="380">
        <f t="shared" si="62"/>
        <v>55.307875874782148</v>
      </c>
      <c r="AA178" s="381">
        <f t="shared" si="63"/>
        <v>57.74446826501439</v>
      </c>
      <c r="AB178" s="193">
        <f t="shared" si="64"/>
        <v>47282</v>
      </c>
      <c r="AC178" s="119">
        <f>IF(OR(t&lt;Tnet,NoTnet),'2028'!Resal_s+('2028'!Salim-'2028'!Resal_s)*(1-EXP(('2028'!Tnet_s-t)/'2028'!Tau_j)),Resal_s+(Salim-Resal_s)*(1-EXP((Tnet_s-t)/Tau_j)))*Salcycl</f>
        <v>4.2196117886992568E-2</v>
      </c>
      <c r="AD178" s="227">
        <f>(INDEX(Models!$BJ178:$BT178,,AH178)*(1-AF178)+INDEX(Models!$BJ178:$BT178,,AH178+1)*AF178-ERP_i)*AE178*Ramure*Pc/MaxiM</f>
        <v>7.9273456659840179E-6</v>
      </c>
      <c r="AE178" s="301">
        <f t="shared" si="65"/>
        <v>0.5</v>
      </c>
      <c r="AF178" s="173">
        <f t="shared" si="66"/>
        <v>0.75896898231766041</v>
      </c>
      <c r="AG178" s="802">
        <f t="shared" si="74"/>
        <v>3</v>
      </c>
      <c r="AH178" s="172">
        <f t="shared" si="67"/>
        <v>9</v>
      </c>
      <c r="AI178" s="221">
        <f t="shared" si="68"/>
        <v>3.7589689823176604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47283</v>
      </c>
      <c r="B179" s="406">
        <f>'2028'!Wh/'2028'!Env_an*'2029'!Env_an</f>
        <v>56.340021575087782</v>
      </c>
      <c r="C179" s="832"/>
      <c r="D179" s="388">
        <f t="shared" si="50"/>
        <v>58.510204534277761</v>
      </c>
      <c r="E179" s="380">
        <f t="shared" si="75"/>
        <v>58.70693558380578</v>
      </c>
      <c r="F179" s="380">
        <f t="shared" si="51"/>
        <v>58.706951875656188</v>
      </c>
      <c r="G179" s="110">
        <f t="shared" si="76"/>
        <v>0.89970470214497089</v>
      </c>
      <c r="H179" s="409" t="b">
        <f>Wh_hp&gt;='2028'!Maxi_hp</f>
        <v>1</v>
      </c>
      <c r="I179" s="385">
        <f>IF(H179,Wh_hp,'2028'!Maxi_hp)</f>
        <v>58.706951875656188</v>
      </c>
      <c r="J179" s="85">
        <f>IF(H179,An,'2028'!An_max)</f>
        <v>2029</v>
      </c>
      <c r="K179" s="193">
        <f t="shared" si="52"/>
        <v>47283</v>
      </c>
      <c r="L179" s="143">
        <f>IF(t&lt;Tvie,1-EXP((T0-t)*PertePVj)+'2028'!Pspv,1-EXP((T0-t)*PertePVj)+Pspv)</f>
        <v>3.7090674634688625E-2</v>
      </c>
      <c r="M179" s="836"/>
      <c r="N179" s="836"/>
      <c r="O179" s="48">
        <f>IF(t&lt;Tnet,'2028'!Resal+('2028'!Salim-'2028'!Resal)*(1-EXP(('2028'!Tnet-t)/('2028'!Tau_j))),Resal+(Salim-Resal)*(1-EXP((Tnet-t)/(Tau_j))))*Salcycl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3.2392274009525684E-7</v>
      </c>
      <c r="Q179" s="301">
        <f t="shared" si="53"/>
        <v>0.5</v>
      </c>
      <c r="R179" s="173">
        <f t="shared" si="54"/>
        <v>0.23910055536150923</v>
      </c>
      <c r="S179" s="802">
        <f t="shared" si="55"/>
        <v>0</v>
      </c>
      <c r="T179" s="172">
        <f t="shared" si="56"/>
        <v>6</v>
      </c>
      <c r="U179" s="247">
        <f t="shared" si="57"/>
        <v>0.23910055536150923</v>
      </c>
      <c r="V179" s="378">
        <f t="shared" si="58"/>
        <v>62.620567421681564</v>
      </c>
      <c r="W179" s="397">
        <f t="shared" si="59"/>
        <v>56.340021575087782</v>
      </c>
      <c r="X179" s="153">
        <f t="shared" si="60"/>
        <v>47283</v>
      </c>
      <c r="Y179" s="380">
        <f t="shared" si="61"/>
        <v>54.140400879744746</v>
      </c>
      <c r="Z179" s="380">
        <f t="shared" si="62"/>
        <v>56.225855803405793</v>
      </c>
      <c r="AA179" s="381">
        <f t="shared" si="63"/>
        <v>58.706565517163035</v>
      </c>
      <c r="AB179" s="193">
        <f t="shared" si="64"/>
        <v>47283</v>
      </c>
      <c r="AC179" s="119">
        <f>IF(OR(t&lt;Tnet,NoTnet),'2028'!Resal_s+('2028'!Salim-'2028'!Resal_s)*(1-EXP(('2028'!Tnet_s-t)/'2028'!Tau_j)),Resal_s+(Salim-Resal_s)*(1-EXP((Tnet_s-t)/Tau_j)))*Salcycl</f>
        <v>4.2256086553590019E-2</v>
      </c>
      <c r="AD179" s="227">
        <f>(INDEX(Models!$BJ179:$BT179,,AH179)*(1-AF179)+INDEX(Models!$BJ179:$BT179,,AH179+1)*AF179-ERP_i)*AE179*Ramure*Pc/MaxiM</f>
        <v>7.6817733175835866E-6</v>
      </c>
      <c r="AE179" s="301">
        <f t="shared" si="65"/>
        <v>0.5</v>
      </c>
      <c r="AF179" s="173">
        <f t="shared" si="66"/>
        <v>0.76408812173548624</v>
      </c>
      <c r="AG179" s="802">
        <f t="shared" si="74"/>
        <v>3</v>
      </c>
      <c r="AH179" s="172">
        <f t="shared" si="67"/>
        <v>9</v>
      </c>
      <c r="AI179" s="221">
        <f t="shared" si="68"/>
        <v>3.7640881217354862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47284</v>
      </c>
      <c r="B180" s="406">
        <f>'2028'!Wh/'2028'!Env_an*'2029'!Env_an</f>
        <v>59.764239269530172</v>
      </c>
      <c r="C180" s="832"/>
      <c r="D180" s="388">
        <f t="shared" si="50"/>
        <v>62.067170634476682</v>
      </c>
      <c r="E180" s="380">
        <f t="shared" si="75"/>
        <v>62.280528896870074</v>
      </c>
      <c r="F180" s="380">
        <f t="shared" si="51"/>
        <v>62.280547585736535</v>
      </c>
      <c r="G180" s="110">
        <f t="shared" si="76"/>
        <v>0.95444229159143479</v>
      </c>
      <c r="H180" s="409" t="b">
        <f>Wh_hp&gt;='2028'!Maxi_hp</f>
        <v>1</v>
      </c>
      <c r="I180" s="385">
        <f>IF(H180,Wh_hp,'2028'!Maxi_hp)</f>
        <v>62.280547585736535</v>
      </c>
      <c r="J180" s="85">
        <f>IF(H180,An,'2028'!An_max)</f>
        <v>2029</v>
      </c>
      <c r="K180" s="193">
        <f t="shared" si="52"/>
        <v>47284</v>
      </c>
      <c r="L180" s="143">
        <f>IF(t&lt;Tvie,1-EXP((T0-t)*PertePVj)+'2028'!Pspv,1-EXP((T0-t)*PertePVj)+Pspv)</f>
        <v>3.7103856054738427E-2</v>
      </c>
      <c r="M180" s="836"/>
      <c r="N180" s="836"/>
      <c r="O180" s="48">
        <f>IF(t&lt;Tnet,'2028'!Resal+('2028'!Salim-'2028'!Resal)*(1-EXP(('2028'!Tnet-t)/('2028'!Tau_j))),Resal+(Salim-Resal)*(1-EXP((Tnet-t)/(Tau_j))))*Salcycl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3.2096465404917696E-7</v>
      </c>
      <c r="Q180" s="301">
        <f t="shared" si="53"/>
        <v>0.5</v>
      </c>
      <c r="R180" s="173">
        <f t="shared" si="54"/>
        <v>0.24420247390864924</v>
      </c>
      <c r="S180" s="802">
        <f t="shared" si="55"/>
        <v>0</v>
      </c>
      <c r="T180" s="172">
        <f t="shared" si="56"/>
        <v>6</v>
      </c>
      <c r="U180" s="247">
        <f t="shared" si="57"/>
        <v>0.24420247390864924</v>
      </c>
      <c r="V180" s="378">
        <f t="shared" si="58"/>
        <v>62.616921470919578</v>
      </c>
      <c r="W180" s="397">
        <f t="shared" si="59"/>
        <v>59.764239269530172</v>
      </c>
      <c r="X180" s="153">
        <f t="shared" si="60"/>
        <v>47284</v>
      </c>
      <c r="Y180" s="380">
        <f t="shared" si="61"/>
        <v>57.431654164563298</v>
      </c>
      <c r="Z180" s="380">
        <f t="shared" si="62"/>
        <v>59.64470262519626</v>
      </c>
      <c r="AA180" s="381">
        <f t="shared" si="63"/>
        <v>62.280112621856638</v>
      </c>
      <c r="AB180" s="193">
        <f t="shared" si="64"/>
        <v>47284</v>
      </c>
      <c r="AC180" s="119">
        <f>IF(OR(t&lt;Tnet,NoTnet),'2028'!Resal_s+('2028'!Salim-'2028'!Resal_s)*(1-EXP(('2028'!Tnet_s-t)/'2028'!Tau_j)),Resal_s+(Salim-Resal_s)*(1-EXP((Tnet_s-t)/Tau_j)))*Salcycl</f>
        <v>4.2315434024046798E-2</v>
      </c>
      <c r="AD180" s="227">
        <f>(INDEX(Models!$BJ180:$BT180,,AH180)*(1-AF180)+INDEX(Models!$BJ180:$BT180,,AH180+1)*AF180-ERP_i)*AE180*Ramure*Pc/MaxiM</f>
        <v>7.470117648917376E-6</v>
      </c>
      <c r="AE180" s="301">
        <f t="shared" si="65"/>
        <v>0.5</v>
      </c>
      <c r="AF180" s="173">
        <f t="shared" si="66"/>
        <v>0.76919004028262616</v>
      </c>
      <c r="AG180" s="802">
        <f t="shared" si="74"/>
        <v>3</v>
      </c>
      <c r="AH180" s="172">
        <f t="shared" si="67"/>
        <v>9</v>
      </c>
      <c r="AI180" s="221">
        <f t="shared" si="68"/>
        <v>3.7691900402826262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47285</v>
      </c>
      <c r="B181" s="406">
        <f>'2028'!Wh/'2028'!Env_an*'2029'!Env_an</f>
        <v>56.632468555124305</v>
      </c>
      <c r="C181" s="832"/>
      <c r="D181" s="388">
        <f t="shared" si="50"/>
        <v>58.815526651328234</v>
      </c>
      <c r="E181" s="380">
        <f t="shared" si="75"/>
        <v>59.022128273696168</v>
      </c>
      <c r="F181" s="380">
        <f t="shared" si="51"/>
        <v>59.022144543230645</v>
      </c>
      <c r="G181" s="110">
        <f t="shared" si="76"/>
        <v>0.90451747722552178</v>
      </c>
      <c r="H181" s="409" t="b">
        <f>Wh_hp&gt;='2028'!Maxi_hp</f>
        <v>1</v>
      </c>
      <c r="I181" s="385">
        <f>IF(H181,Wh_hp,'2028'!Maxi_hp)</f>
        <v>59.022144543230645</v>
      </c>
      <c r="J181" s="85">
        <f>IF(H181,An,'2028'!An_max)</f>
        <v>2029</v>
      </c>
      <c r="K181" s="193">
        <f t="shared" si="52"/>
        <v>47285</v>
      </c>
      <c r="L181" s="143">
        <f>IF(t&lt;Tvie,1-EXP((T0-t)*PertePVj)+'2028'!Pspv,1-EXP((T0-t)*PertePVj)+Pspv)</f>
        <v>3.7117037294345678E-2</v>
      </c>
      <c r="M181" s="836"/>
      <c r="N181" s="836"/>
      <c r="O181" s="48">
        <f>IF(t&lt;Tnet,'2028'!Resal+('2028'!Salim-'2028'!Resal)*(1-EXP(('2028'!Tnet-t)/('2028'!Tau_j))),Resal+(Salim-Resal)*(1-EXP((Tnet-t)/(Tau_j))))*Salcycl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3.1919001092148124E-7</v>
      </c>
      <c r="Q181" s="301">
        <f t="shared" si="53"/>
        <v>0.5</v>
      </c>
      <c r="R181" s="173">
        <f t="shared" si="54"/>
        <v>0.24928297477892114</v>
      </c>
      <c r="S181" s="802">
        <f t="shared" si="55"/>
        <v>0</v>
      </c>
      <c r="T181" s="172">
        <f t="shared" si="56"/>
        <v>6</v>
      </c>
      <c r="U181" s="247">
        <f t="shared" si="57"/>
        <v>0.24928297477892114</v>
      </c>
      <c r="V181" s="378">
        <f t="shared" si="58"/>
        <v>62.610693010746914</v>
      </c>
      <c r="W181" s="397">
        <f t="shared" si="59"/>
        <v>56.632468555124305</v>
      </c>
      <c r="X181" s="153">
        <f t="shared" si="60"/>
        <v>47285</v>
      </c>
      <c r="Y181" s="380">
        <f t="shared" si="61"/>
        <v>54.422892120338915</v>
      </c>
      <c r="Z181" s="380">
        <f t="shared" si="62"/>
        <v>56.520775866065001</v>
      </c>
      <c r="AA181" s="381">
        <f t="shared" si="63"/>
        <v>59.021772800647931</v>
      </c>
      <c r="AB181" s="193">
        <f t="shared" si="64"/>
        <v>47285</v>
      </c>
      <c r="AC181" s="119">
        <f>IF(OR(t&lt;Tnet,NoTnet),'2028'!Resal_s+('2028'!Salim-'2028'!Resal_s)*(1-EXP(('2028'!Tnet_s-t)/'2028'!Tau_j)),Resal_s+(Salim-Resal_s)*(1-EXP((Tnet_s-t)/Tau_j)))*Salcycl</f>
        <v>4.2374141200914102E-2</v>
      </c>
      <c r="AD181" s="227">
        <f>(INDEX(Models!$BJ181:$BT181,,AH181)*(1-AF181)+INDEX(Models!$BJ181:$BT181,,AH181+1)*AF181-ERP_i)*AE181*Ramure*Pc/MaxiM</f>
        <v>7.2931723535001466E-6</v>
      </c>
      <c r="AE181" s="301">
        <f t="shared" si="65"/>
        <v>0.5</v>
      </c>
      <c r="AF181" s="173">
        <f t="shared" si="66"/>
        <v>0.77427054115289806</v>
      </c>
      <c r="AG181" s="802">
        <f t="shared" si="74"/>
        <v>3</v>
      </c>
      <c r="AH181" s="172">
        <f t="shared" si="67"/>
        <v>9</v>
      </c>
      <c r="AI181" s="221">
        <f t="shared" si="68"/>
        <v>3.7742705411528981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47286</v>
      </c>
      <c r="B182" s="406">
        <f>'2028'!Wh/'2028'!Env_an*'2029'!Env_an</f>
        <v>56.798199217355318</v>
      </c>
      <c r="C182" s="832"/>
      <c r="D182" s="388">
        <f t="shared" si="50"/>
        <v>58.988453371370305</v>
      </c>
      <c r="E182" s="380">
        <f t="shared" si="75"/>
        <v>59.200094201527008</v>
      </c>
      <c r="F182" s="380">
        <f t="shared" si="51"/>
        <v>59.20011057102802</v>
      </c>
      <c r="G182" s="110">
        <f t="shared" si="76"/>
        <v>0.90729974020388626</v>
      </c>
      <c r="H182" s="409" t="b">
        <f>Wh_hp&gt;='2028'!Maxi_hp</f>
        <v>1</v>
      </c>
      <c r="I182" s="385">
        <f>IF(H182,Wh_hp,'2028'!Maxi_hp)</f>
        <v>59.20011057102802</v>
      </c>
      <c r="J182" s="85">
        <f>IF(H182,An,'2028'!An_max)</f>
        <v>2029</v>
      </c>
      <c r="K182" s="193">
        <f t="shared" si="52"/>
        <v>47286</v>
      </c>
      <c r="L182" s="143">
        <f>IF(t&lt;Tvie,1-EXP((T0-t)*PertePVj)+'2028'!Pspv,1-EXP((T0-t)*PertePVj)+Pspv)</f>
        <v>3.7130218353512823E-2</v>
      </c>
      <c r="M182" s="836"/>
      <c r="N182" s="836"/>
      <c r="O182" s="48">
        <f>IF(t&lt;Tnet,'2028'!Resal+('2028'!Salim-'2028'!Resal)*(1-EXP(('2028'!Tnet-t)/('2028'!Tau_j))),Resal+(Salim-Resal)*(1-EXP((Tnet-t)/(Tau_j))))*Salcycl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3.187189166447912E-7</v>
      </c>
      <c r="Q182" s="301">
        <f t="shared" si="53"/>
        <v>0.5</v>
      </c>
      <c r="R182" s="173">
        <f t="shared" si="54"/>
        <v>0.25433793230858093</v>
      </c>
      <c r="S182" s="802">
        <f t="shared" si="55"/>
        <v>0</v>
      </c>
      <c r="T182" s="172">
        <f t="shared" si="56"/>
        <v>6</v>
      </c>
      <c r="U182" s="247">
        <f t="shared" si="57"/>
        <v>0.25433793230858093</v>
      </c>
      <c r="V182" s="378">
        <f t="shared" si="58"/>
        <v>62.601359069358821</v>
      </c>
      <c r="W182" s="397">
        <f t="shared" si="59"/>
        <v>56.798199217355318</v>
      </c>
      <c r="X182" s="153">
        <f t="shared" si="60"/>
        <v>47286</v>
      </c>
      <c r="Y182" s="380">
        <f t="shared" si="61"/>
        <v>54.582939229735103</v>
      </c>
      <c r="Z182" s="380">
        <f t="shared" si="62"/>
        <v>56.687768450266887</v>
      </c>
      <c r="AA182" s="381">
        <f t="shared" si="63"/>
        <v>59.199743256915148</v>
      </c>
      <c r="AB182" s="193">
        <f t="shared" si="64"/>
        <v>47286</v>
      </c>
      <c r="AC182" s="119">
        <f>IF(OR(t&lt;Tnet,NoTnet),'2028'!Resal_s+('2028'!Salim-'2028'!Resal_s)*(1-EXP(('2028'!Tnet_s-t)/'2028'!Tau_j)),Resal_s+(Salim-Resal_s)*(1-EXP((Tnet_s-t)/Tau_j)))*Salcycl</f>
        <v>4.243219089222721E-2</v>
      </c>
      <c r="AD182" s="227">
        <f>(INDEX(Models!$BJ182:$BT182,,AH182)*(1-AF182)+INDEX(Models!$BJ182:$BT182,,AH182+1)*AF182-ERP_i)*AE182*Ramure*Pc/MaxiM</f>
        <v>7.1517119570132405E-6</v>
      </c>
      <c r="AE182" s="301">
        <f t="shared" si="65"/>
        <v>0.5</v>
      </c>
      <c r="AF182" s="173">
        <f t="shared" si="66"/>
        <v>0.77932549868255796</v>
      </c>
      <c r="AG182" s="802">
        <f t="shared" si="74"/>
        <v>3</v>
      </c>
      <c r="AH182" s="172">
        <f t="shared" si="67"/>
        <v>9</v>
      </c>
      <c r="AI182" s="221">
        <f t="shared" si="68"/>
        <v>3.779325498682558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47287</v>
      </c>
      <c r="B183" s="406">
        <f>'2028'!Wh/'2028'!Env_an*'2029'!Env_an</f>
        <v>60.478100899653839</v>
      </c>
      <c r="C183" s="832"/>
      <c r="D183" s="388">
        <f t="shared" si="50"/>
        <v>62.811119383125295</v>
      </c>
      <c r="E183" s="380">
        <f t="shared" si="75"/>
        <v>63.041191590700443</v>
      </c>
      <c r="F183" s="380">
        <f t="shared" si="51"/>
        <v>63.04121077252843</v>
      </c>
      <c r="G183" s="110">
        <f t="shared" si="76"/>
        <v>0.96628293752164041</v>
      </c>
      <c r="H183" s="409" t="b">
        <f>Wh_hp&gt;='2028'!Maxi_hp</f>
        <v>1</v>
      </c>
      <c r="I183" s="385">
        <f>IF(H183,Wh_hp,'2028'!Maxi_hp)</f>
        <v>63.04121077252843</v>
      </c>
      <c r="J183" s="85">
        <f>IF(H183,An,'2028'!An_max)</f>
        <v>2029</v>
      </c>
      <c r="K183" s="193">
        <f t="shared" si="52"/>
        <v>47287</v>
      </c>
      <c r="L183" s="143">
        <f>IF(t&lt;Tvie,1-EXP((T0-t)*PertePVj)+'2028'!Pspv,1-EXP((T0-t)*PertePVj)+Pspv)</f>
        <v>3.7143399232242302E-2</v>
      </c>
      <c r="M183" s="836"/>
      <c r="N183" s="836"/>
      <c r="O183" s="48">
        <f>IF(t&lt;Tnet,'2028'!Resal+('2028'!Salim-'2028'!Resal)*(1-EXP(('2028'!Tnet-t)/('2028'!Tau_j))),Resal+(Salim-Resal)*(1-EXP((Tnet-t)/(Tau_j))))*Salcycl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3.1967213757093295E-7</v>
      </c>
      <c r="Q183" s="301">
        <f t="shared" si="53"/>
        <v>0.5</v>
      </c>
      <c r="R183" s="173">
        <f t="shared" si="54"/>
        <v>0.25936330509085287</v>
      </c>
      <c r="S183" s="802">
        <f t="shared" si="55"/>
        <v>0</v>
      </c>
      <c r="T183" s="172">
        <f t="shared" si="56"/>
        <v>6</v>
      </c>
      <c r="U183" s="247">
        <f t="shared" si="57"/>
        <v>0.25936330509085287</v>
      </c>
      <c r="V183" s="378">
        <f t="shared" si="58"/>
        <v>62.588396855630641</v>
      </c>
      <c r="W183" s="397">
        <f t="shared" si="59"/>
        <v>60.478100899653839</v>
      </c>
      <c r="X183" s="153">
        <f t="shared" si="60"/>
        <v>47287</v>
      </c>
      <c r="Y183" s="380">
        <f t="shared" si="61"/>
        <v>58.120154368917788</v>
      </c>
      <c r="Z183" s="380">
        <f t="shared" si="62"/>
        <v>60.362212111932593</v>
      </c>
      <c r="AA183" s="381">
        <f t="shared" si="63"/>
        <v>63.040787949881818</v>
      </c>
      <c r="AB183" s="193">
        <f t="shared" si="64"/>
        <v>47287</v>
      </c>
      <c r="AC183" s="119">
        <f>IF(OR(t&lt;Tnet,NoTnet),'2028'!Resal_s+('2028'!Salim-'2028'!Resal_s)*(1-EXP(('2028'!Tnet_s-t)/'2028'!Tau_j)),Resal_s+(Salim-Resal_s)*(1-EXP((Tnet_s-t)/Tau_j)))*Salcycl</f>
        <v>4.2489567866422107E-2</v>
      </c>
      <c r="AD183" s="227">
        <f>(INDEX(Models!$BJ183:$BT183,,AH183)*(1-AF183)+INDEX(Models!$BJ183:$BT183,,AH183+1)*AF183-ERP_i)*AE183*Ramure*Pc/MaxiM</f>
        <v>7.0464931354934547E-6</v>
      </c>
      <c r="AE183" s="301">
        <f t="shared" si="65"/>
        <v>0.5</v>
      </c>
      <c r="AF183" s="173">
        <f t="shared" si="66"/>
        <v>0.78435087146482996</v>
      </c>
      <c r="AG183" s="802">
        <f t="shared" si="74"/>
        <v>3</v>
      </c>
      <c r="AH183" s="172">
        <f t="shared" si="67"/>
        <v>9</v>
      </c>
      <c r="AI183" s="221">
        <f t="shared" si="68"/>
        <v>3.78435087146483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47288</v>
      </c>
      <c r="B184" s="406">
        <f>'2028'!Wh/'2028'!Env_an*'2029'!Env_an</f>
        <v>60.962021467148723</v>
      </c>
      <c r="C184" s="832"/>
      <c r="D184" s="388">
        <f t="shared" si="50"/>
        <v>63.314574515917329</v>
      </c>
      <c r="E184" s="380">
        <f t="shared" si="75"/>
        <v>63.551241936935519</v>
      </c>
      <c r="F184" s="380">
        <f t="shared" si="51"/>
        <v>63.551261695450442</v>
      </c>
      <c r="G184" s="110">
        <f t="shared" si="76"/>
        <v>0.97428112575155368</v>
      </c>
      <c r="H184" s="409" t="b">
        <f>Wh_hp&gt;='2028'!Maxi_hp</f>
        <v>1</v>
      </c>
      <c r="I184" s="385">
        <f>IF(H184,Wh_hp,'2028'!Maxi_hp)</f>
        <v>63.551261695450442</v>
      </c>
      <c r="J184" s="85">
        <f>IF(H184,An,'2028'!An_max)</f>
        <v>2029</v>
      </c>
      <c r="K184" s="193">
        <f t="shared" si="52"/>
        <v>47288</v>
      </c>
      <c r="L184" s="143">
        <f>IF(t&lt;Tvie,1-EXP((T0-t)*PertePVj)+'2028'!Pspv,1-EXP((T0-t)*PertePVj)+Pspv)</f>
        <v>3.7156579930536671E-2</v>
      </c>
      <c r="M184" s="836"/>
      <c r="N184" s="836"/>
      <c r="O184" s="48">
        <f>IF(t&lt;Tnet,'2028'!Resal+('2028'!Salim-'2028'!Resal)*(1-EXP(('2028'!Tnet-t)/('2028'!Tau_j))),Resal+(Salim-Resal)*(1-EXP((Tnet-t)/(Tau_j))))*Salcycl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3.2276553280803615E-7</v>
      </c>
      <c r="Q184" s="301">
        <f t="shared" si="53"/>
        <v>0.5</v>
      </c>
      <c r="R184" s="173">
        <f t="shared" si="54"/>
        <v>0.26435514850526537</v>
      </c>
      <c r="S184" s="802">
        <f t="shared" si="55"/>
        <v>0</v>
      </c>
      <c r="T184" s="172">
        <f t="shared" si="56"/>
        <v>6</v>
      </c>
      <c r="U184" s="247">
        <f t="shared" si="57"/>
        <v>0.26435514850526537</v>
      </c>
      <c r="V184" s="378">
        <f t="shared" si="58"/>
        <v>62.571283721817146</v>
      </c>
      <c r="W184" s="397">
        <f t="shared" si="59"/>
        <v>60.962021467148723</v>
      </c>
      <c r="X184" s="153">
        <f t="shared" si="60"/>
        <v>47288</v>
      </c>
      <c r="Y184" s="380">
        <f t="shared" si="61"/>
        <v>58.586117656252192</v>
      </c>
      <c r="Z184" s="380">
        <f t="shared" si="62"/>
        <v>60.846983460743346</v>
      </c>
      <c r="AA184" s="381">
        <f t="shared" si="63"/>
        <v>63.550833683744543</v>
      </c>
      <c r="AB184" s="193">
        <f t="shared" si="64"/>
        <v>47288</v>
      </c>
      <c r="AC184" s="119">
        <f>IF(OR(t&lt;Tnet,NoTnet),'2028'!Resal_s+('2028'!Salim-'2028'!Resal_s)*(1-EXP(('2028'!Tnet_s-t)/'2028'!Tau_j)),Resal_s+(Salim-Resal_s)*(1-EXP((Tnet_s-t)/Tau_j)))*Salcycl</f>
        <v>4.2546258896565915E-2</v>
      </c>
      <c r="AD184" s="227">
        <f>(INDEX(Models!$BJ184:$BT184,,AH184)*(1-AF184)+INDEX(Models!$BJ184:$BT184,,AH184+1)*AF184-ERP_i)*AE184*Ramure*Pc/MaxiM</f>
        <v>6.9917919874984903E-6</v>
      </c>
      <c r="AE184" s="301">
        <f t="shared" si="65"/>
        <v>0.5</v>
      </c>
      <c r="AF184" s="173">
        <f t="shared" si="66"/>
        <v>0.78934271487924246</v>
      </c>
      <c r="AG184" s="802">
        <f t="shared" si="74"/>
        <v>3</v>
      </c>
      <c r="AH184" s="172">
        <f t="shared" si="67"/>
        <v>9</v>
      </c>
      <c r="AI184" s="221">
        <f t="shared" si="68"/>
        <v>3.7893427148792425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47289</v>
      </c>
      <c r="B185" s="406">
        <f>'2028'!Wh/'2028'!Env_an*'2029'!Env_an</f>
        <v>32.96372354724943</v>
      </c>
      <c r="C185" s="832"/>
      <c r="D185" s="388">
        <f t="shared" si="50"/>
        <v>34.23627779140061</v>
      </c>
      <c r="E185" s="380">
        <f t="shared" si="75"/>
        <v>34.366818974389759</v>
      </c>
      <c r="F185" s="380">
        <f t="shared" si="51"/>
        <v>34.366822617272106</v>
      </c>
      <c r="G185" s="110">
        <f t="shared" si="76"/>
        <v>0.52700209730238712</v>
      </c>
      <c r="H185" s="409" t="b">
        <f>Wh_hp&gt;='2028'!Maxi_hp</f>
        <v>1</v>
      </c>
      <c r="I185" s="385">
        <f>IF(H185,Wh_hp,'2028'!Maxi_hp)</f>
        <v>34.366822617272106</v>
      </c>
      <c r="J185" s="85">
        <f>IF(H185,An,'2028'!An_max)</f>
        <v>2029</v>
      </c>
      <c r="K185" s="193">
        <f t="shared" si="52"/>
        <v>47289</v>
      </c>
      <c r="L185" s="143">
        <f>IF(t&lt;Tvie,1-EXP((T0-t)*PertePVj)+'2028'!Pspv,1-EXP((T0-t)*PertePVj)+Pspv)</f>
        <v>3.716976044839837E-2</v>
      </c>
      <c r="M185" s="836"/>
      <c r="N185" s="836"/>
      <c r="O185" s="48">
        <f>IF(t&lt;Tnet,'2028'!Resal+('2028'!Salim-'2028'!Resal)*(1-EXP(('2028'!Tnet-t)/('2028'!Tau_j))),Resal+(Salim-Resal)*(1-EXP((Tnet-t)/(Tau_j))))*Salcycl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3.2686898309841705E-7</v>
      </c>
      <c r="Q185" s="301">
        <f t="shared" si="53"/>
        <v>0.5</v>
      </c>
      <c r="R185" s="173">
        <f t="shared" si="54"/>
        <v>0.26930962658234769</v>
      </c>
      <c r="S185" s="802">
        <f t="shared" si="55"/>
        <v>0</v>
      </c>
      <c r="T185" s="172">
        <f t="shared" si="56"/>
        <v>6</v>
      </c>
      <c r="U185" s="247">
        <f t="shared" si="57"/>
        <v>0.26930962658234769</v>
      </c>
      <c r="V185" s="378">
        <f t="shared" si="58"/>
        <v>62.549497308109537</v>
      </c>
      <c r="W185" s="397">
        <f t="shared" si="59"/>
        <v>32.96372354724943</v>
      </c>
      <c r="X185" s="153">
        <f t="shared" si="60"/>
        <v>47289</v>
      </c>
      <c r="Y185" s="380">
        <f t="shared" si="61"/>
        <v>31.679660853931345</v>
      </c>
      <c r="Z185" s="380">
        <f t="shared" si="62"/>
        <v>32.902644259163317</v>
      </c>
      <c r="AA185" s="381">
        <f t="shared" si="63"/>
        <v>34.366745018116866</v>
      </c>
      <c r="AB185" s="193">
        <f t="shared" si="64"/>
        <v>47289</v>
      </c>
      <c r="AC185" s="119">
        <f>IF(OR(t&lt;Tnet,NoTnet),'2028'!Resal_s+('2028'!Salim-'2028'!Resal_s)*(1-EXP(('2028'!Tnet_s-t)/'2028'!Tau_j)),Resal_s+(Salim-Resal_s)*(1-EXP((Tnet_s-t)/Tau_j)))*Salcycl</f>
        <v>4.2602252793557539E-2</v>
      </c>
      <c r="AD185" s="227">
        <f>(INDEX(Models!$BJ185:$BT185,,AH185)*(1-AF185)+INDEX(Models!$BJ185:$BT185,,AH185+1)*AF185-ERP_i)*AE185*Ramure*Pc/MaxiM</f>
        <v>6.9628262787407721E-6</v>
      </c>
      <c r="AE185" s="301">
        <f t="shared" si="65"/>
        <v>0.5</v>
      </c>
      <c r="AF185" s="173">
        <f t="shared" si="66"/>
        <v>0.79429719295632495</v>
      </c>
      <c r="AG185" s="802">
        <f t="shared" si="74"/>
        <v>3</v>
      </c>
      <c r="AH185" s="172">
        <f t="shared" si="67"/>
        <v>9</v>
      </c>
      <c r="AI185" s="221">
        <f t="shared" si="68"/>
        <v>3.7942971929563249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47290</v>
      </c>
      <c r="B186" s="406">
        <f>'2028'!Wh/'2028'!Env_an*'2029'!Env_an</f>
        <v>22.182008406428231</v>
      </c>
      <c r="C186" s="832"/>
      <c r="D186" s="388">
        <f t="shared" si="50"/>
        <v>23.038653287398848</v>
      </c>
      <c r="E186" s="380">
        <f t="shared" si="75"/>
        <v>23.128224828797553</v>
      </c>
      <c r="F186" s="380">
        <f t="shared" si="51"/>
        <v>23.128225429856283</v>
      </c>
      <c r="G186" s="110">
        <f t="shared" si="76"/>
        <v>0.35478421638274132</v>
      </c>
      <c r="H186" s="409" t="b">
        <f>Wh_hp&gt;='2028'!Maxi_hp</f>
        <v>1</v>
      </c>
      <c r="I186" s="385">
        <f>IF(H186,Wh_hp,'2028'!Maxi_hp)</f>
        <v>23.128225429856283</v>
      </c>
      <c r="J186" s="85">
        <f>IF(H186,An,'2028'!An_max)</f>
        <v>2029</v>
      </c>
      <c r="K186" s="193">
        <f t="shared" si="52"/>
        <v>47290</v>
      </c>
      <c r="L186" s="143">
        <f>IF(t&lt;Tvie,1-EXP((T0-t)*PertePVj)+'2028'!Pspv,1-EXP((T0-t)*PertePVj)+Pspv)</f>
        <v>3.7182940785829843E-2</v>
      </c>
      <c r="M186" s="836"/>
      <c r="N186" s="836"/>
      <c r="O186" s="48">
        <f>IF(t&lt;Tnet,'2028'!Resal+('2028'!Salim-'2028'!Resal)*(1-EXP(('2028'!Tnet-t)/('2028'!Tau_j))),Resal+(Salim-Resal)*(1-EXP((Tnet-t)/(Tau_j))))*Salcycl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3.3205981561462959E-7</v>
      </c>
      <c r="Q186" s="301">
        <f t="shared" si="53"/>
        <v>0.5</v>
      </c>
      <c r="R186" s="173">
        <f t="shared" si="54"/>
        <v>0.27422302313197439</v>
      </c>
      <c r="S186" s="802">
        <f t="shared" si="55"/>
        <v>0</v>
      </c>
      <c r="T186" s="172">
        <f t="shared" si="56"/>
        <v>6</v>
      </c>
      <c r="U186" s="247">
        <f t="shared" si="57"/>
        <v>0.27422302313197439</v>
      </c>
      <c r="V186" s="378">
        <f t="shared" si="58"/>
        <v>62.522515356807276</v>
      </c>
      <c r="W186" s="397">
        <f t="shared" si="59"/>
        <v>22.182008406428231</v>
      </c>
      <c r="X186" s="153">
        <f t="shared" si="60"/>
        <v>47290</v>
      </c>
      <c r="Y186" s="380">
        <f t="shared" si="61"/>
        <v>21.318329606304943</v>
      </c>
      <c r="Z186" s="380">
        <f t="shared" si="62"/>
        <v>22.141620157524514</v>
      </c>
      <c r="AA186" s="381">
        <f t="shared" si="63"/>
        <v>23.128212831408618</v>
      </c>
      <c r="AB186" s="193">
        <f t="shared" si="64"/>
        <v>47290</v>
      </c>
      <c r="AC186" s="119">
        <f>IF(OR(t&lt;Tnet,NoTnet),'2028'!Resal_s+('2028'!Salim-'2028'!Resal_s)*(1-EXP(('2028'!Tnet_s-t)/'2028'!Tau_j)),Resal_s+(Salim-Resal_s)*(1-EXP((Tnet_s-t)/Tau_j)))*Salcycl</f>
        <v>4.2657540428039015E-2</v>
      </c>
      <c r="AD186" s="227">
        <f>(INDEX(Models!$BJ186:$BT186,,AH186)*(1-AF186)+INDEX(Models!$BJ186:$BT186,,AH186+1)*AF186-ERP_i)*AE186*Ramure*Pc/MaxiM</f>
        <v>6.9601155493676225E-6</v>
      </c>
      <c r="AE186" s="301">
        <f t="shared" si="65"/>
        <v>0.5</v>
      </c>
      <c r="AF186" s="173">
        <f t="shared" si="66"/>
        <v>0.79921058950595159</v>
      </c>
      <c r="AG186" s="802">
        <f t="shared" si="74"/>
        <v>3</v>
      </c>
      <c r="AH186" s="172">
        <f t="shared" si="67"/>
        <v>9</v>
      </c>
      <c r="AI186" s="221">
        <f t="shared" si="68"/>
        <v>3.7992105895059516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47291</v>
      </c>
      <c r="B187" s="406">
        <f>'2028'!Wh/'2028'!Env_an*'2029'!Env_an</f>
        <v>46.016418965748251</v>
      </c>
      <c r="C187" s="832"/>
      <c r="D187" s="388">
        <f t="shared" si="50"/>
        <v>47.794176952018724</v>
      </c>
      <c r="E187" s="380">
        <f t="shared" si="75"/>
        <v>47.983573456331563</v>
      </c>
      <c r="F187" s="380">
        <f t="shared" si="51"/>
        <v>47.983583579403863</v>
      </c>
      <c r="G187" s="110">
        <f t="shared" si="76"/>
        <v>0.73638260128429489</v>
      </c>
      <c r="H187" s="409" t="b">
        <f>Wh_hp&gt;='2028'!Maxi_hp</f>
        <v>1</v>
      </c>
      <c r="I187" s="385">
        <f>IF(H187,Wh_hp,'2028'!Maxi_hp)</f>
        <v>47.983583579403863</v>
      </c>
      <c r="J187" s="85">
        <f>IF(H187,An,'2028'!An_max)</f>
        <v>2029</v>
      </c>
      <c r="K187" s="193">
        <f t="shared" si="52"/>
        <v>47291</v>
      </c>
      <c r="L187" s="143">
        <f>IF(t&lt;Tvie,1-EXP((T0-t)*PertePVj)+'2028'!Pspv,1-EXP((T0-t)*PertePVj)+Pspv)</f>
        <v>3.7196120942833533E-2</v>
      </c>
      <c r="M187" s="836"/>
      <c r="N187" s="836"/>
      <c r="O187" s="48">
        <f>IF(t&lt;Tnet,'2028'!Resal+('2028'!Salim-'2028'!Resal)*(1-EXP(('2028'!Tnet-t)/('2028'!Tau_j))),Resal+(Salim-Resal)*(1-EXP((Tnet-t)/(Tau_j))))*Salcycl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3.3841544760852195E-7</v>
      </c>
      <c r="Q187" s="301">
        <f t="shared" si="53"/>
        <v>0.5</v>
      </c>
      <c r="R187" s="173">
        <f t="shared" si="54"/>
        <v>0.27909175207206199</v>
      </c>
      <c r="S187" s="802">
        <f t="shared" si="55"/>
        <v>0</v>
      </c>
      <c r="T187" s="172">
        <f t="shared" si="56"/>
        <v>6</v>
      </c>
      <c r="U187" s="247">
        <f t="shared" si="57"/>
        <v>0.27909175207206199</v>
      </c>
      <c r="V187" s="378">
        <f t="shared" si="58"/>
        <v>62.489815784464781</v>
      </c>
      <c r="W187" s="397">
        <f t="shared" si="59"/>
        <v>46.016418965748251</v>
      </c>
      <c r="X187" s="153">
        <f t="shared" si="60"/>
        <v>47291</v>
      </c>
      <c r="Y187" s="380">
        <f t="shared" si="61"/>
        <v>44.225340235687916</v>
      </c>
      <c r="Z187" s="380">
        <f t="shared" si="62"/>
        <v>45.9339032565967</v>
      </c>
      <c r="AA187" s="381">
        <f t="shared" si="63"/>
        <v>47.983374660759985</v>
      </c>
      <c r="AB187" s="193">
        <f t="shared" si="64"/>
        <v>47291</v>
      </c>
      <c r="AC187" s="119">
        <f>IF(OR(t&lt;Tnet,NoTnet),'2028'!Resal_s+('2028'!Salim-'2028'!Resal_s)*(1-EXP(('2028'!Tnet_s-t)/'2028'!Tau_j)),Resal_s+(Salim-Resal_s)*(1-EXP((Tnet_s-t)/Tau_j)))*Salcycl</f>
        <v>4.2712114740844041E-2</v>
      </c>
      <c r="AD187" s="227">
        <f>(INDEX(Models!$BJ187:$BT187,,AH187)*(1-AF187)+INDEX(Models!$BJ187:$BT187,,AH187+1)*AF187-ERP_i)*AE187*Ramure*Pc/MaxiM</f>
        <v>6.9841738045468676E-6</v>
      </c>
      <c r="AE187" s="301">
        <f t="shared" si="65"/>
        <v>0.5</v>
      </c>
      <c r="AF187" s="173">
        <f t="shared" si="66"/>
        <v>0.80407931844603908</v>
      </c>
      <c r="AG187" s="802">
        <f t="shared" si="74"/>
        <v>3</v>
      </c>
      <c r="AH187" s="172">
        <f t="shared" si="67"/>
        <v>9</v>
      </c>
      <c r="AI187" s="221">
        <f t="shared" si="68"/>
        <v>3.8040793184460391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47292</v>
      </c>
      <c r="B188" s="406">
        <f>'2028'!Wh/'2028'!Env_an*'2029'!Env_an</f>
        <v>45.499814766676302</v>
      </c>
      <c r="C188" s="832"/>
      <c r="D188" s="388">
        <f t="shared" si="50"/>
        <v>47.258261645159344</v>
      </c>
      <c r="E188" s="380">
        <f t="shared" si="75"/>
        <v>47.449069726758658</v>
      </c>
      <c r="F188" s="380">
        <f t="shared" si="51"/>
        <v>47.449079778476218</v>
      </c>
      <c r="G188" s="110">
        <f t="shared" si="76"/>
        <v>0.7285695747390345</v>
      </c>
      <c r="H188" s="409" t="b">
        <f>Wh_hp&gt;='2028'!Maxi_hp</f>
        <v>1</v>
      </c>
      <c r="I188" s="385">
        <f>IF(H188,Wh_hp,'2028'!Maxi_hp)</f>
        <v>47.449079778476218</v>
      </c>
      <c r="J188" s="85">
        <f>IF(H188,An,'2028'!An_max)</f>
        <v>2029</v>
      </c>
      <c r="K188" s="193">
        <f t="shared" si="52"/>
        <v>47292</v>
      </c>
      <c r="L188" s="143">
        <f>IF(t&lt;Tvie,1-EXP((T0-t)*PertePVj)+'2028'!Pspv,1-EXP((T0-t)*PertePVj)+Pspv)</f>
        <v>3.7209300919411992E-2</v>
      </c>
      <c r="M188" s="836"/>
      <c r="N188" s="836"/>
      <c r="O188" s="48">
        <f>IF(t&lt;Tnet,'2028'!Resal+('2028'!Salim-'2028'!Resal)*(1-EXP(('2028'!Tnet-t)/('2028'!Tau_j))),Resal+(Salim-Resal)*(1-EXP((Tnet-t)/(Tau_j))))*Salcycl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3.460103482906088E-7</v>
      </c>
      <c r="Q188" s="301">
        <f t="shared" si="53"/>
        <v>0.5</v>
      </c>
      <c r="R188" s="173">
        <f t="shared" si="54"/>
        <v>0.28391236690328392</v>
      </c>
      <c r="S188" s="802">
        <f t="shared" si="55"/>
        <v>0</v>
      </c>
      <c r="T188" s="172">
        <f t="shared" si="56"/>
        <v>6</v>
      </c>
      <c r="U188" s="247">
        <f t="shared" si="57"/>
        <v>0.28391236690328392</v>
      </c>
      <c r="V188" s="378">
        <f t="shared" si="58"/>
        <v>62.450876676186681</v>
      </c>
      <c r="W188" s="397">
        <f t="shared" si="59"/>
        <v>45.499814766676302</v>
      </c>
      <c r="X188" s="153">
        <f t="shared" si="60"/>
        <v>47292</v>
      </c>
      <c r="Y188" s="380">
        <f t="shared" si="61"/>
        <v>43.729643706266558</v>
      </c>
      <c r="Z188" s="380">
        <f t="shared" si="62"/>
        <v>45.419678179303098</v>
      </c>
      <c r="AA188" s="381">
        <f t="shared" si="63"/>
        <v>47.448875396234477</v>
      </c>
      <c r="AB188" s="193">
        <f t="shared" si="64"/>
        <v>47292</v>
      </c>
      <c r="AC188" s="119">
        <f>IF(OR(t&lt;Tnet,NoTnet),'2028'!Resal_s+('2028'!Salim-'2028'!Resal_s)*(1-EXP(('2028'!Tnet_s-t)/'2028'!Tau_j)),Resal_s+(Salim-Resal_s)*(1-EXP((Tnet_s-t)/Tau_j)))*Salcycl</f>
        <v>4.2765970741899015E-2</v>
      </c>
      <c r="AD188" s="227">
        <f>(INDEX(Models!$BJ188:$BT188,,AH188)*(1-AF188)+INDEX(Models!$BJ188:$BT188,,AH188+1)*AF188-ERP_i)*AE188*Ramure*Pc/MaxiM</f>
        <v>7.0354514268128615E-6</v>
      </c>
      <c r="AE188" s="301">
        <f t="shared" si="65"/>
        <v>0.5</v>
      </c>
      <c r="AF188" s="173">
        <f t="shared" si="66"/>
        <v>0.80889993327726106</v>
      </c>
      <c r="AG188" s="802">
        <f t="shared" si="74"/>
        <v>3</v>
      </c>
      <c r="AH188" s="172">
        <f t="shared" si="67"/>
        <v>9</v>
      </c>
      <c r="AI188" s="221">
        <f t="shared" si="68"/>
        <v>3.8088999332772611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47293</v>
      </c>
      <c r="B189" s="406">
        <f>'2028'!Wh/'2028'!Env_an*'2029'!Env_an</f>
        <v>48.943385218891386</v>
      </c>
      <c r="C189" s="832"/>
      <c r="D189" s="388">
        <f t="shared" si="50"/>
        <v>50.835612837395395</v>
      </c>
      <c r="E189" s="380">
        <f t="shared" si="75"/>
        <v>51.044664124716519</v>
      </c>
      <c r="F189" s="380">
        <f t="shared" si="51"/>
        <v>51.044676658471744</v>
      </c>
      <c r="G189" s="110">
        <f t="shared" si="76"/>
        <v>0.78428397731645616</v>
      </c>
      <c r="H189" s="409" t="b">
        <f>Wh_hp&gt;='2028'!Maxi_hp</f>
        <v>1</v>
      </c>
      <c r="I189" s="385">
        <f>IF(H189,Wh_hp,'2028'!Maxi_hp)</f>
        <v>51.044676658471744</v>
      </c>
      <c r="J189" s="85">
        <f>IF(H189,An,'2028'!An_max)</f>
        <v>2029</v>
      </c>
      <c r="K189" s="193">
        <f t="shared" si="52"/>
        <v>47293</v>
      </c>
      <c r="L189" s="143">
        <f>IF(t&lt;Tvie,1-EXP((T0-t)*PertePVj)+'2028'!Pspv,1-EXP((T0-t)*PertePVj)+Pspv)</f>
        <v>3.7222480715567552E-2</v>
      </c>
      <c r="M189" s="836"/>
      <c r="N189" s="836"/>
      <c r="O189" s="48">
        <f>IF(t&lt;Tnet,'2028'!Resal+('2028'!Salim-'2028'!Resal)*(1-EXP(('2028'!Tnet-t)/('2028'!Tau_j))),Resal+(Salim-Resal)*(1-EXP((Tnet-t)/(Tau_j))))*Salcycl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3.5491848128755318E-7</v>
      </c>
      <c r="Q189" s="301">
        <f t="shared" si="53"/>
        <v>0.5</v>
      </c>
      <c r="R189" s="173">
        <f t="shared" si="54"/>
        <v>0.2886815692848263</v>
      </c>
      <c r="S189" s="802">
        <f t="shared" si="55"/>
        <v>0</v>
      </c>
      <c r="T189" s="172">
        <f t="shared" si="56"/>
        <v>6</v>
      </c>
      <c r="U189" s="247">
        <f t="shared" si="57"/>
        <v>0.2886815692848263</v>
      </c>
      <c r="V189" s="378">
        <f t="shared" si="58"/>
        <v>62.405176289893326</v>
      </c>
      <c r="W189" s="397">
        <f t="shared" si="59"/>
        <v>48.943385218891386</v>
      </c>
      <c r="X189" s="153">
        <f t="shared" si="60"/>
        <v>47293</v>
      </c>
      <c r="Y189" s="380">
        <f t="shared" si="61"/>
        <v>47.0401049462656</v>
      </c>
      <c r="Z189" s="380">
        <f t="shared" si="62"/>
        <v>48.858748780535855</v>
      </c>
      <c r="AA189" s="381">
        <f t="shared" si="63"/>
        <v>51.044425417553519</v>
      </c>
      <c r="AB189" s="193">
        <f t="shared" si="64"/>
        <v>47293</v>
      </c>
      <c r="AC189" s="119">
        <f>IF(OR(t&lt;Tnet,NoTnet),'2028'!Resal_s+('2028'!Salim-'2028'!Resal_s)*(1-EXP(('2028'!Tnet_s-t)/'2028'!Tau_j)),Resal_s+(Salim-Resal_s)*(1-EXP((Tnet_s-t)/Tau_j)))*Salcycl</f>
        <v>4.2819105497581673E-2</v>
      </c>
      <c r="AD189" s="227">
        <f>(INDEX(Models!$BJ189:$BT189,,AH189)*(1-AF189)+INDEX(Models!$BJ189:$BT189,,AH189+1)*AF189-ERP_i)*AE189*Ramure*Pc/MaxiM</f>
        <v>7.1143917783435409E-6</v>
      </c>
      <c r="AE189" s="301">
        <f t="shared" si="65"/>
        <v>0.5</v>
      </c>
      <c r="AF189" s="173">
        <f t="shared" si="66"/>
        <v>0.81366913565880328</v>
      </c>
      <c r="AG189" s="802">
        <f t="shared" si="74"/>
        <v>3</v>
      </c>
      <c r="AH189" s="172">
        <f t="shared" si="67"/>
        <v>9</v>
      </c>
      <c r="AI189" s="221">
        <f t="shared" si="68"/>
        <v>3.8136691356588033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47294</v>
      </c>
      <c r="B190" s="406">
        <f>'2028'!Wh/'2028'!Env_an*'2029'!Env_an</f>
        <v>40.770971505646145</v>
      </c>
      <c r="C190" s="832"/>
      <c r="D190" s="388">
        <f t="shared" si="50"/>
        <v>42.347820568090526</v>
      </c>
      <c r="E190" s="380">
        <f t="shared" si="75"/>
        <v>42.525129535735488</v>
      </c>
      <c r="F190" s="380">
        <f t="shared" si="51"/>
        <v>42.525137387301065</v>
      </c>
      <c r="G190" s="110">
        <f t="shared" si="76"/>
        <v>0.65388179865481666</v>
      </c>
      <c r="H190" s="409" t="b">
        <f>Wh_hp&gt;='2028'!Maxi_hp</f>
        <v>1</v>
      </c>
      <c r="I190" s="385">
        <f>IF(H190,Wh_hp,'2028'!Maxi_hp)</f>
        <v>42.525137387301065</v>
      </c>
      <c r="J190" s="85">
        <f>IF(H190,An,'2028'!An_max)</f>
        <v>2029</v>
      </c>
      <c r="K190" s="193">
        <f t="shared" si="52"/>
        <v>47294</v>
      </c>
      <c r="L190" s="143">
        <f>IF(t&lt;Tvie,1-EXP((T0-t)*PertePVj)+'2028'!Pspv,1-EXP((T0-t)*PertePVj)+Pspv)</f>
        <v>3.7235660331302878E-2</v>
      </c>
      <c r="M190" s="836"/>
      <c r="N190" s="836"/>
      <c r="O190" s="48">
        <f>IF(t&lt;Tnet,'2028'!Resal+('2028'!Salim-'2028'!Resal)*(1-EXP(('2028'!Tnet-t)/('2028'!Tau_j))),Resal+(Salim-Resal)*(1-EXP((Tnet-t)/(Tau_j))))*Salcycl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3.6521634537390243E-7</v>
      </c>
      <c r="Q190" s="301">
        <f t="shared" si="53"/>
        <v>0.5</v>
      </c>
      <c r="R190" s="173">
        <f t="shared" si="54"/>
        <v>0.29339621667580218</v>
      </c>
      <c r="S190" s="802">
        <f t="shared" si="55"/>
        <v>0</v>
      </c>
      <c r="T190" s="172">
        <f t="shared" si="56"/>
        <v>6</v>
      </c>
      <c r="U190" s="247">
        <f t="shared" si="57"/>
        <v>0.29339621667580218</v>
      </c>
      <c r="V190" s="378">
        <f t="shared" si="58"/>
        <v>62.352193052295497</v>
      </c>
      <c r="W190" s="397">
        <f t="shared" si="59"/>
        <v>40.770971505646145</v>
      </c>
      <c r="X190" s="153">
        <f t="shared" si="60"/>
        <v>47294</v>
      </c>
      <c r="Y190" s="380">
        <f t="shared" si="61"/>
        <v>39.186310529529145</v>
      </c>
      <c r="Z190" s="380">
        <f t="shared" si="62"/>
        <v>40.701871595092307</v>
      </c>
      <c r="AA190" s="381">
        <f t="shared" si="63"/>
        <v>42.524982136752314</v>
      </c>
      <c r="AB190" s="193">
        <f t="shared" si="64"/>
        <v>47294</v>
      </c>
      <c r="AC190" s="119">
        <f>IF(OR(t&lt;Tnet,NoTnet),'2028'!Resal_s+('2028'!Salim-'2028'!Resal_s)*(1-EXP(('2028'!Tnet_s-t)/'2028'!Tau_j)),Resal_s+(Salim-Resal_s)*(1-EXP((Tnet_s-t)/Tau_j)))*Salcycl</f>
        <v>4.2871518106632721E-2</v>
      </c>
      <c r="AD190" s="227">
        <f>(INDEX(Models!$BJ190:$BT190,,AH190)*(1-AF190)+INDEX(Models!$BJ190:$BT190,,AH190+1)*AF190-ERP_i)*AE190*Ramure*Pc/MaxiM</f>
        <v>7.2214945474063505E-6</v>
      </c>
      <c r="AE190" s="301">
        <f t="shared" si="65"/>
        <v>0.5</v>
      </c>
      <c r="AF190" s="173">
        <f t="shared" si="66"/>
        <v>0.81838378304977955</v>
      </c>
      <c r="AG190" s="802">
        <f t="shared" si="74"/>
        <v>3</v>
      </c>
      <c r="AH190" s="172">
        <f t="shared" si="67"/>
        <v>9</v>
      </c>
      <c r="AI190" s="221">
        <f t="shared" si="68"/>
        <v>3.8183837830497795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47295</v>
      </c>
      <c r="B191" s="406">
        <f>'2028'!Wh/'2028'!Env_an*'2029'!Env_an</f>
        <v>12.751108269284984</v>
      </c>
      <c r="C191" s="832"/>
      <c r="D191" s="388">
        <f t="shared" si="50"/>
        <v>13.244448613485959</v>
      </c>
      <c r="E191" s="380">
        <f t="shared" si="75"/>
        <v>13.300890638570275</v>
      </c>
      <c r="F191" s="380">
        <f t="shared" si="51"/>
        <v>13.300890638570275</v>
      </c>
      <c r="G191" s="110">
        <f t="shared" si="76"/>
        <v>0.20469878228838545</v>
      </c>
      <c r="H191" s="409" t="b">
        <f>Wh_hp&gt;='2028'!Maxi_hp</f>
        <v>1</v>
      </c>
      <c r="I191" s="385">
        <f>IF(H191,Wh_hp,'2028'!Maxi_hp)</f>
        <v>13.300890638570275</v>
      </c>
      <c r="J191" s="85">
        <f>IF(H191,An,'2028'!An_max)</f>
        <v>2029</v>
      </c>
      <c r="K191" s="193">
        <f t="shared" si="52"/>
        <v>47295</v>
      </c>
      <c r="L191" s="143">
        <f>IF(t&lt;Tvie,1-EXP((T0-t)*PertePVj)+'2028'!Pspv,1-EXP((T0-t)*PertePVj)+Pspv)</f>
        <v>3.7248839766620301E-2</v>
      </c>
      <c r="M191" s="836"/>
      <c r="N191" s="836"/>
      <c r="O191" s="48">
        <f>IF(t&lt;Tnet,'2028'!Resal+('2028'!Salim-'2028'!Resal)*(1-EXP(('2028'!Tnet-t)/('2028'!Tau_j))),Resal+(Salim-Resal)*(1-EXP((Tnet-t)/(Tau_j))))*Salcycl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3.7697639344018738E-7</v>
      </c>
      <c r="Q191" s="301">
        <f t="shared" si="53"/>
        <v>0.5</v>
      </c>
      <c r="R191" s="173">
        <f t="shared" si="54"/>
        <v>0.29805332901663445</v>
      </c>
      <c r="S191" s="802">
        <f t="shared" si="55"/>
        <v>0</v>
      </c>
      <c r="T191" s="172">
        <f t="shared" si="56"/>
        <v>6</v>
      </c>
      <c r="U191" s="247">
        <f t="shared" si="57"/>
        <v>0.29805332901663445</v>
      </c>
      <c r="V191" s="378">
        <f t="shared" si="58"/>
        <v>62.292033786767028</v>
      </c>
      <c r="W191" s="397">
        <f t="shared" si="59"/>
        <v>12.751108269284984</v>
      </c>
      <c r="X191" s="153">
        <f t="shared" si="60"/>
        <v>47295</v>
      </c>
      <c r="Y191" s="380">
        <f t="shared" si="61"/>
        <v>12.255796969596854</v>
      </c>
      <c r="Z191" s="380">
        <f t="shared" si="62"/>
        <v>12.729973720962265</v>
      </c>
      <c r="AA191" s="381">
        <f t="shared" si="63"/>
        <v>13.300890638570275</v>
      </c>
      <c r="AB191" s="193">
        <f t="shared" si="64"/>
        <v>47295</v>
      </c>
      <c r="AC191" s="119">
        <f>IF(OR(t&lt;Tnet,NoTnet),'2028'!Resal_s+('2028'!Salim-'2028'!Resal_s)*(1-EXP(('2028'!Tnet_s-t)/'2028'!Tau_j)),Resal_s+(Salim-Resal_s)*(1-EXP((Tnet_s-t)/Tau_j)))*Salcycl</f>
        <v>4.2923209664806131E-2</v>
      </c>
      <c r="AD191" s="227">
        <f>(INDEX(Models!$BJ191:$BT191,,AH191)*(1-AF191)+INDEX(Models!$BJ191:$BT191,,AH191+1)*AF191-ERP_i)*AE191*Ramure*Pc/MaxiM</f>
        <v>7.3571862133171024E-6</v>
      </c>
      <c r="AE191" s="301">
        <f t="shared" si="65"/>
        <v>0.5</v>
      </c>
      <c r="AF191" s="173">
        <f t="shared" si="66"/>
        <v>0.82304089539061165</v>
      </c>
      <c r="AG191" s="802">
        <f t="shared" si="74"/>
        <v>3</v>
      </c>
      <c r="AH191" s="172">
        <f t="shared" si="67"/>
        <v>9</v>
      </c>
      <c r="AI191" s="221">
        <f t="shared" si="68"/>
        <v>3.8230408953906116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47296</v>
      </c>
      <c r="B192" s="406">
        <f>'2028'!Wh/'2028'!Env_an*'2029'!Env_an</f>
        <v>18.759045831588463</v>
      </c>
      <c r="C192" s="832"/>
      <c r="D192" s="388">
        <f t="shared" si="50"/>
        <v>19.485099998363758</v>
      </c>
      <c r="E192" s="380">
        <f t="shared" si="75"/>
        <v>19.56958886780626</v>
      </c>
      <c r="F192" s="380">
        <f t="shared" si="51"/>
        <v>19.569588883899613</v>
      </c>
      <c r="G192" s="110">
        <f t="shared" si="76"/>
        <v>0.3014693274024246</v>
      </c>
      <c r="H192" s="409" t="b">
        <f>Wh_hp&gt;='2028'!Maxi_hp</f>
        <v>1</v>
      </c>
      <c r="I192" s="385">
        <f>IF(H192,Wh_hp,'2028'!Maxi_hp)</f>
        <v>19.569588883899613</v>
      </c>
      <c r="J192" s="85">
        <f>IF(H192,An,'2028'!An_max)</f>
        <v>2029</v>
      </c>
      <c r="K192" s="193">
        <f t="shared" si="52"/>
        <v>47296</v>
      </c>
      <c r="L192" s="143">
        <f>IF(t&lt;Tvie,1-EXP((T0-t)*PertePVj)+'2028'!Pspv,1-EXP((T0-t)*PertePVj)+Pspv)</f>
        <v>3.7262019021522264E-2</v>
      </c>
      <c r="M192" s="836"/>
      <c r="N192" s="836"/>
      <c r="O192" s="48">
        <f>IF(t&lt;Tnet,'2028'!Resal+('2028'!Salim-'2028'!Resal)*(1-EXP(('2028'!Tnet-t)/('2028'!Tau_j))),Resal+(Salim-Resal)*(1-EXP((Tnet-t)/(Tau_j))))*Salcycl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3.917503982428361E-7</v>
      </c>
      <c r="Q192" s="301">
        <f t="shared" si="53"/>
        <v>0.5</v>
      </c>
      <c r="R192" s="173">
        <f t="shared" si="54"/>
        <v>0.30265009443435159</v>
      </c>
      <c r="S192" s="802">
        <f t="shared" si="55"/>
        <v>0</v>
      </c>
      <c r="T192" s="172">
        <f t="shared" si="56"/>
        <v>6</v>
      </c>
      <c r="U192" s="247">
        <f t="shared" si="57"/>
        <v>0.30265009443435159</v>
      </c>
      <c r="V192" s="378">
        <f t="shared" si="58"/>
        <v>62.225363554516967</v>
      </c>
      <c r="W192" s="397">
        <f t="shared" si="59"/>
        <v>18.759045831588463</v>
      </c>
      <c r="X192" s="153">
        <f t="shared" si="60"/>
        <v>47296</v>
      </c>
      <c r="Y192" s="380">
        <f t="shared" si="61"/>
        <v>18.030735983993363</v>
      </c>
      <c r="Z192" s="380">
        <f t="shared" si="62"/>
        <v>18.72860148892001</v>
      </c>
      <c r="AA192" s="381">
        <f t="shared" si="63"/>
        <v>19.569588573801859</v>
      </c>
      <c r="AB192" s="193">
        <f t="shared" si="64"/>
        <v>47296</v>
      </c>
      <c r="AC192" s="119">
        <f>IF(OR(t&lt;Tnet,NoTnet),'2028'!Resal_s+('2028'!Salim-'2028'!Resal_s)*(1-EXP(('2028'!Tnet_s-t)/'2028'!Tau_j)),Resal_s+(Salim-Resal_s)*(1-EXP((Tnet_s-t)/Tau_j)))*Salcycl</f>
        <v>4.2974183218531997E-2</v>
      </c>
      <c r="AD192" s="227">
        <f>(INDEX(Models!$BJ192:$BT192,,AH192)*(1-AF192)+INDEX(Models!$BJ192:$BT192,,AH192+1)*AF192-ERP_i)*AE192*Ramure*Pc/MaxiM</f>
        <v>7.5485154062806161E-6</v>
      </c>
      <c r="AE192" s="301">
        <f t="shared" si="65"/>
        <v>0.5</v>
      </c>
      <c r="AF192" s="173">
        <f t="shared" si="66"/>
        <v>0.82763766080832868</v>
      </c>
      <c r="AG192" s="802">
        <f t="shared" si="74"/>
        <v>3</v>
      </c>
      <c r="AH192" s="172">
        <f t="shared" si="67"/>
        <v>9</v>
      </c>
      <c r="AI192" s="221">
        <f t="shared" si="68"/>
        <v>3.8276376608083287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47297</v>
      </c>
      <c r="B193" s="406">
        <f>'2028'!Wh/'2028'!Env_an*'2029'!Env_an</f>
        <v>64.916384714292818</v>
      </c>
      <c r="C193" s="832"/>
      <c r="D193" s="388">
        <f t="shared" si="50"/>
        <v>67.429845565323703</v>
      </c>
      <c r="E193" s="380">
        <f t="shared" si="75"/>
        <v>67.727245529803625</v>
      </c>
      <c r="F193" s="380">
        <f t="shared" si="51"/>
        <v>67.727273228607231</v>
      </c>
      <c r="G193" s="110">
        <f t="shared" si="76"/>
        <v>1.0444694332725442</v>
      </c>
      <c r="H193" s="409" t="b">
        <f>Wh_hp&gt;='2028'!Maxi_hp</f>
        <v>1</v>
      </c>
      <c r="I193" s="385">
        <f>IF(H193,Wh_hp,'2028'!Maxi_hp)</f>
        <v>67.727273228607231</v>
      </c>
      <c r="J193" s="85">
        <f>IF(H193,An,'2028'!An_max)</f>
        <v>2029</v>
      </c>
      <c r="K193" s="193">
        <f t="shared" si="52"/>
        <v>47297</v>
      </c>
      <c r="L193" s="143">
        <f>IF(t&lt;Tvie,1-EXP((T0-t)*PertePVj)+'2028'!Pspv,1-EXP((T0-t)*PertePVj)+Pspv)</f>
        <v>3.7275198096011319E-2</v>
      </c>
      <c r="M193" s="836"/>
      <c r="N193" s="836"/>
      <c r="O193" s="48">
        <f>IF(t&lt;Tnet,'2028'!Resal+('2028'!Salim-'2028'!Resal)*(1-EXP(('2028'!Tnet-t)/('2028'!Tau_j))),Resal+(Salim-Resal)*(1-EXP((Tnet-t)/(Tau_j))))*Salcycl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4.0897562056988207E-7</v>
      </c>
      <c r="Q193" s="301">
        <f t="shared" si="53"/>
        <v>0.5</v>
      </c>
      <c r="R193" s="173">
        <f t="shared" si="54"/>
        <v>0.3071838739651811</v>
      </c>
      <c r="S193" s="802">
        <f t="shared" si="55"/>
        <v>0</v>
      </c>
      <c r="T193" s="172">
        <f t="shared" si="56"/>
        <v>6</v>
      </c>
      <c r="U193" s="247">
        <f t="shared" si="57"/>
        <v>0.3071838739651811</v>
      </c>
      <c r="V193" s="378">
        <f t="shared" si="58"/>
        <v>62.152498336783324</v>
      </c>
      <c r="W193" s="397">
        <f t="shared" si="59"/>
        <v>64.916384714292818</v>
      </c>
      <c r="X193" s="153">
        <f t="shared" si="60"/>
        <v>47297</v>
      </c>
      <c r="Y193" s="380">
        <f t="shared" si="61"/>
        <v>62.396929119998006</v>
      </c>
      <c r="Z193" s="380">
        <f t="shared" si="62"/>
        <v>64.812840592238913</v>
      </c>
      <c r="AA193" s="381">
        <f t="shared" si="63"/>
        <v>67.726746170368756</v>
      </c>
      <c r="AB193" s="193">
        <f t="shared" si="64"/>
        <v>47297</v>
      </c>
      <c r="AC193" s="119">
        <f>IF(OR(t&lt;Tnet,NoTnet),'2028'!Resal_s+('2028'!Salim-'2028'!Resal_s)*(1-EXP(('2028'!Tnet_s-t)/'2028'!Tau_j)),Resal_s+(Salim-Resal_s)*(1-EXP((Tnet_s-t)/Tau_j)))*Salcycl</f>
        <v>4.302444370795272E-2</v>
      </c>
      <c r="AD193" s="227">
        <f>(INDEX(Models!$BJ193:$BT193,,AH193)*(1-AF193)+INDEX(Models!$BJ193:$BT193,,AH193+1)*AF193-ERP_i)*AE193*Ramure*Pc/MaxiM</f>
        <v>7.7820678930420788E-6</v>
      </c>
      <c r="AE193" s="301">
        <f t="shared" si="65"/>
        <v>0.5</v>
      </c>
      <c r="AF193" s="173">
        <f t="shared" si="66"/>
        <v>0.83217144033915824</v>
      </c>
      <c r="AG193" s="802">
        <f t="shared" si="74"/>
        <v>3</v>
      </c>
      <c r="AH193" s="172">
        <f t="shared" si="67"/>
        <v>9</v>
      </c>
      <c r="AI193" s="221">
        <f t="shared" si="68"/>
        <v>3.8321714403391582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47298</v>
      </c>
      <c r="B194" s="406">
        <f>'2028'!Wh/'2028'!Env_an*'2029'!Env_an</f>
        <v>62.991112566118296</v>
      </c>
      <c r="C194" s="832"/>
      <c r="D194" s="388">
        <f t="shared" si="50"/>
        <v>65.430925586186547</v>
      </c>
      <c r="E194" s="380">
        <f t="shared" si="75"/>
        <v>65.72437406558565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Wh_hp&gt;='2028'!Maxi_hp</f>
        <v>1</v>
      </c>
      <c r="I194" s="385">
        <f>IF(H194,Wh_hp,'2028'!Maxi_hp)</f>
        <v>65.724402245637052</v>
      </c>
      <c r="J194" s="85">
        <f>IF(H194,An,'2028'!An_max)</f>
        <v>2029</v>
      </c>
      <c r="K194" s="193">
        <f t="shared" si="52"/>
        <v>47298</v>
      </c>
      <c r="L194" s="143">
        <f>IF(t&lt;Tvie,1-EXP((T0-t)*PertePVj)+'2028'!Pspv,1-EXP((T0-t)*PertePVj)+Pspv)</f>
        <v>3.7288376990089911E-2</v>
      </c>
      <c r="M194" s="836"/>
      <c r="N194" s="836"/>
      <c r="O194" s="48">
        <f>IF(t&lt;Tnet,'2028'!Resal+('2028'!Salim-'2028'!Resal)*(1-EXP(('2028'!Tnet-t)/('2028'!Tau_j))),Resal+(Salim-Resal)*(1-EXP((Tnet-t)/(Tau_j))))*Salcycl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4.2876086269586122E-7</v>
      </c>
      <c r="Q194" s="301">
        <f t="shared" si="53"/>
        <v>0.5</v>
      </c>
      <c r="R194" s="173">
        <f t="shared" si="54"/>
        <v>0.31165220529695342</v>
      </c>
      <c r="S194" s="802">
        <f t="shared" si="55"/>
        <v>0</v>
      </c>
      <c r="T194" s="172">
        <f t="shared" si="56"/>
        <v>6</v>
      </c>
      <c r="U194" s="247">
        <f t="shared" si="57"/>
        <v>0.31165220529695342</v>
      </c>
      <c r="V194" s="378">
        <f t="shared" si="58"/>
        <v>62.073753944440178</v>
      </c>
      <c r="W194" s="397">
        <f t="shared" si="59"/>
        <v>62.991112566118296</v>
      </c>
      <c r="X194" s="153">
        <f t="shared" si="60"/>
        <v>47298</v>
      </c>
      <c r="Y194" s="380">
        <f t="shared" si="61"/>
        <v>60.547709142508062</v>
      </c>
      <c r="Z194" s="380">
        <f t="shared" si="62"/>
        <v>62.892882661171306</v>
      </c>
      <c r="AA194" s="381">
        <f t="shared" si="63"/>
        <v>65.72387261202698</v>
      </c>
      <c r="AB194" s="193">
        <f t="shared" si="64"/>
        <v>47298</v>
      </c>
      <c r="AC194" s="119">
        <f>IF(OR(t&lt;Tnet,NoTnet),'2028'!Resal_s+('2028'!Salim-'2028'!Resal_s)*(1-EXP(('2028'!Tnet_s-t)/'2028'!Tau_j)),Resal_s+(Salim-Resal_s)*(1-EXP((Tnet_s-t)/Tau_j)))*Salcycl</f>
        <v>4.3073997899777137E-2</v>
      </c>
      <c r="AD194" s="227">
        <f>(INDEX(Models!$BJ194:$BT194,,AH194)*(1-AF194)+INDEX(Models!$BJ194:$BT194,,AH194+1)*AF194-ERP_i)*AE194*Ramure*Pc/MaxiM</f>
        <v>8.0584013240047509E-6</v>
      </c>
      <c r="AE194" s="301">
        <f t="shared" si="65"/>
        <v>0.5</v>
      </c>
      <c r="AF194" s="173">
        <f t="shared" si="66"/>
        <v>0.83663977167093062</v>
      </c>
      <c r="AG194" s="802">
        <f t="shared" si="74"/>
        <v>3</v>
      </c>
      <c r="AH194" s="172">
        <f t="shared" si="67"/>
        <v>9</v>
      </c>
      <c r="AI194" s="221">
        <f t="shared" si="68"/>
        <v>3.8366397716709306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47299</v>
      </c>
      <c r="B195" s="406">
        <f>'2028'!Wh/'2028'!Env_an*'2029'!Env_an</f>
        <v>15.473152643013622</v>
      </c>
      <c r="C195" s="832"/>
      <c r="D195" s="388">
        <f t="shared" si="50"/>
        <v>16.072688945004941</v>
      </c>
      <c r="E195" s="380">
        <f t="shared" si="75"/>
        <v>16.145966300979342</v>
      </c>
      <c r="F195" s="380">
        <f t="shared" si="51"/>
        <v>16.145966300979342</v>
      </c>
      <c r="G195" s="110">
        <f t="shared" si="76"/>
        <v>0.24960935521367167</v>
      </c>
      <c r="H195" s="409" t="b">
        <f>Wh_hp&gt;='2028'!Maxi_hp</f>
        <v>1</v>
      </c>
      <c r="I195" s="385">
        <f>IF(H195,Wh_hp,'2028'!Maxi_hp)</f>
        <v>16.145966300979342</v>
      </c>
      <c r="J195" s="85">
        <f>IF(H195,An,'2028'!An_max)</f>
        <v>2029</v>
      </c>
      <c r="K195" s="193">
        <f t="shared" si="52"/>
        <v>47299</v>
      </c>
      <c r="L195" s="143">
        <f>IF(t&lt;Tvie,1-EXP((T0-t)*PertePVj)+'2028'!Pspv,1-EXP((T0-t)*PertePVj)+Pspv)</f>
        <v>3.7301555703760592E-2</v>
      </c>
      <c r="M195" s="836"/>
      <c r="N195" s="836"/>
      <c r="O195" s="48">
        <f>IF(t&lt;Tnet,'2028'!Resal+('2028'!Salim-'2028'!Resal)*(1-EXP(('2028'!Tnet-t)/('2028'!Tau_j))),Resal+(Salim-Resal)*(1-EXP((Tnet-t)/(Tau_j))))*Salcycl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4.5121258945548805E-7</v>
      </c>
      <c r="Q195" s="301">
        <f t="shared" si="53"/>
        <v>0.5</v>
      </c>
      <c r="R195" s="173">
        <f t="shared" si="54"/>
        <v>0.31605280554250903</v>
      </c>
      <c r="S195" s="802">
        <f t="shared" si="55"/>
        <v>0</v>
      </c>
      <c r="T195" s="172">
        <f t="shared" si="56"/>
        <v>6</v>
      </c>
      <c r="U195" s="247">
        <f t="shared" si="57"/>
        <v>0.31605280554250903</v>
      </c>
      <c r="V195" s="378">
        <f t="shared" si="58"/>
        <v>61.989446060973812</v>
      </c>
      <c r="W195" s="397">
        <f t="shared" si="59"/>
        <v>15.473152643013622</v>
      </c>
      <c r="X195" s="153">
        <f t="shared" si="60"/>
        <v>47299</v>
      </c>
      <c r="Y195" s="380">
        <f t="shared" si="61"/>
        <v>14.873408073976075</v>
      </c>
      <c r="Z195" s="380">
        <f t="shared" si="62"/>
        <v>15.449706148480347</v>
      </c>
      <c r="AA195" s="381">
        <f t="shared" si="63"/>
        <v>16.145966300979342</v>
      </c>
      <c r="AB195" s="193">
        <f t="shared" si="64"/>
        <v>47299</v>
      </c>
      <c r="AC195" s="119">
        <f>IF(OR(t&lt;Tnet,NoTnet),'2028'!Resal_s+('2028'!Salim-'2028'!Resal_s)*(1-EXP(('2028'!Tnet_s-t)/'2028'!Tau_j)),Resal_s+(Salim-Resal_s)*(1-EXP((Tnet_s-t)/Tau_j)))*Salcycl</f>
        <v>4.3122854310476466E-2</v>
      </c>
      <c r="AD195" s="227">
        <f>(INDEX(Models!$BJ195:$BT195,,AH195)*(1-AF195)+INDEX(Models!$BJ195:$BT195,,AH195+1)*AF195-ERP_i)*AE195*Ramure*Pc/MaxiM</f>
        <v>8.3780607759389098E-6</v>
      </c>
      <c r="AE195" s="301">
        <f t="shared" si="65"/>
        <v>0.5</v>
      </c>
      <c r="AF195" s="173">
        <f t="shared" si="66"/>
        <v>0.84104037191648606</v>
      </c>
      <c r="AG195" s="802">
        <f t="shared" si="74"/>
        <v>3</v>
      </c>
      <c r="AH195" s="172">
        <f t="shared" si="67"/>
        <v>9</v>
      </c>
      <c r="AI195" s="221">
        <f t="shared" si="68"/>
        <v>3.8410403719164861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47300</v>
      </c>
      <c r="B196" s="406">
        <f>'2028'!Wh/'2028'!Env_an*'2029'!Env_an</f>
        <v>52.492425719785693</v>
      </c>
      <c r="C196" s="832"/>
      <c r="D196" s="388">
        <f t="shared" si="50"/>
        <v>54.527089576033887</v>
      </c>
      <c r="E196" s="380">
        <f t="shared" si="75"/>
        <v>54.77972978218002</v>
      </c>
      <c r="F196" s="380">
        <f t="shared" si="51"/>
        <v>54.77975021474245</v>
      </c>
      <c r="G196" s="110">
        <f t="shared" si="76"/>
        <v>0.84802121766011962</v>
      </c>
      <c r="H196" s="409" t="b">
        <f>Wh_hp&gt;='2028'!Maxi_hp</f>
        <v>1</v>
      </c>
      <c r="I196" s="385">
        <f>IF(H196,Wh_hp,'2028'!Maxi_hp)</f>
        <v>54.77975021474245</v>
      </c>
      <c r="J196" s="85">
        <f>IF(H196,An,'2028'!An_max)</f>
        <v>2029</v>
      </c>
      <c r="K196" s="193">
        <f t="shared" si="52"/>
        <v>47300</v>
      </c>
      <c r="L196" s="143">
        <f>IF(t&lt;Tvie,1-EXP((T0-t)*PertePVj)+'2028'!Pspv,1-EXP((T0-t)*PertePVj)+Pspv)</f>
        <v>3.7314734237025582E-2</v>
      </c>
      <c r="M196" s="836"/>
      <c r="N196" s="836"/>
      <c r="O196" s="48">
        <f>IF(t&lt;Tnet,'2028'!Resal+('2028'!Salim-'2028'!Resal)*(1-EXP(('2028'!Tnet-t)/('2028'!Tau_j))),Resal+(Salim-Resal)*(1-EXP((Tnet-t)/(Tau_j))))*Salcycl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4.7643469926642218E-7</v>
      </c>
      <c r="Q196" s="301">
        <f t="shared" si="53"/>
        <v>0.5</v>
      </c>
      <c r="R196" s="173">
        <f t="shared" si="54"/>
        <v>0.32038357306345189</v>
      </c>
      <c r="S196" s="802">
        <f t="shared" si="55"/>
        <v>0</v>
      </c>
      <c r="T196" s="172">
        <f t="shared" si="56"/>
        <v>6</v>
      </c>
      <c r="U196" s="247">
        <f t="shared" si="57"/>
        <v>0.32038357306345189</v>
      </c>
      <c r="V196" s="378">
        <f t="shared" si="58"/>
        <v>61.899890234835418</v>
      </c>
      <c r="W196" s="397">
        <f t="shared" si="59"/>
        <v>52.492425719785693</v>
      </c>
      <c r="X196" s="153">
        <f t="shared" si="60"/>
        <v>47300</v>
      </c>
      <c r="Y196" s="380">
        <f t="shared" si="61"/>
        <v>50.458660741192013</v>
      </c>
      <c r="Z196" s="380">
        <f t="shared" si="62"/>
        <v>52.414493641596451</v>
      </c>
      <c r="AA196" s="381">
        <f t="shared" si="63"/>
        <v>54.779375320061085</v>
      </c>
      <c r="AB196" s="193">
        <f t="shared" si="64"/>
        <v>47300</v>
      </c>
      <c r="AC196" s="119">
        <f>IF(OR(t&lt;Tnet,NoTnet),'2028'!Resal_s+('2028'!Salim-'2028'!Resal_s)*(1-EXP(('2028'!Tnet_s-t)/'2028'!Tau_j)),Resal_s+(Salim-Resal_s)*(1-EXP((Tnet_s-t)/Tau_j)))*Salcycl</f>
        <v>4.317102312042214E-2</v>
      </c>
      <c r="AD196" s="227">
        <f>(INDEX(Models!$BJ196:$BT196,,AH196)*(1-AF196)+INDEX(Models!$BJ196:$BT196,,AH196+1)*AF196-ERP_i)*AE196*Ramure*Pc/MaxiM</f>
        <v>8.7415778309036543E-6</v>
      </c>
      <c r="AE196" s="301">
        <f t="shared" si="65"/>
        <v>0.5</v>
      </c>
      <c r="AF196" s="173">
        <f t="shared" si="66"/>
        <v>0.84537113943742881</v>
      </c>
      <c r="AG196" s="802">
        <f t="shared" si="74"/>
        <v>3</v>
      </c>
      <c r="AH196" s="172">
        <f t="shared" si="67"/>
        <v>9</v>
      </c>
      <c r="AI196" s="221">
        <f t="shared" si="68"/>
        <v>3.8453711394374288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47301</v>
      </c>
      <c r="B197" s="406">
        <f>'2028'!Wh/'2028'!Env_an*'2029'!Env_an</f>
        <v>58.281265241017749</v>
      </c>
      <c r="C197" s="832"/>
      <c r="D197" s="388">
        <f t="shared" si="50"/>
        <v>60.541139608412763</v>
      </c>
      <c r="E197" s="380">
        <f t="shared" si="75"/>
        <v>60.826129832834134</v>
      </c>
      <c r="F197" s="380">
        <f t="shared" si="51"/>
        <v>60.826158021559394</v>
      </c>
      <c r="G197" s="110">
        <f t="shared" si="76"/>
        <v>0.94298008040736803</v>
      </c>
      <c r="H197" s="409" t="b">
        <f>Wh_hp&gt;='2028'!Maxi_hp</f>
        <v>1</v>
      </c>
      <c r="I197" s="385">
        <f>IF(H197,Wh_hp,'2028'!Maxi_hp)</f>
        <v>60.826158021559394</v>
      </c>
      <c r="J197" s="85">
        <f>IF(H197,An,'2028'!An_max)</f>
        <v>2029</v>
      </c>
      <c r="K197" s="193">
        <f t="shared" si="52"/>
        <v>47301</v>
      </c>
      <c r="L197" s="143">
        <f>IF(t&lt;Tvie,1-EXP((T0-t)*PertePVj)+'2028'!Pspv,1-EXP((T0-t)*PertePVj)+Pspv)</f>
        <v>3.7327912589887657E-2</v>
      </c>
      <c r="M197" s="836"/>
      <c r="N197" s="836"/>
      <c r="O197" s="48">
        <f>IF(t&lt;Tnet,'2028'!Resal+('2028'!Salim-'2028'!Resal)*(1-EXP(('2028'!Tnet-t)/('2028'!Tau_j))),Resal+(Salim-Resal)*(1-EXP((Tnet-t)/(Tau_j))))*Salcycl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5.0452831674522923E-7</v>
      </c>
      <c r="Q197" s="301">
        <f t="shared" si="53"/>
        <v>0.5</v>
      </c>
      <c r="R197" s="173">
        <f t="shared" si="54"/>
        <v>0.32464258837111254</v>
      </c>
      <c r="S197" s="802">
        <f t="shared" si="55"/>
        <v>0</v>
      </c>
      <c r="T197" s="172">
        <f t="shared" si="56"/>
        <v>6</v>
      </c>
      <c r="U197" s="247">
        <f t="shared" si="57"/>
        <v>0.32464258837111254</v>
      </c>
      <c r="V197" s="378">
        <f t="shared" si="58"/>
        <v>61.805401892088298</v>
      </c>
      <c r="W197" s="397">
        <f t="shared" si="59"/>
        <v>58.281265241017749</v>
      </c>
      <c r="X197" s="153">
        <f t="shared" si="60"/>
        <v>47301</v>
      </c>
      <c r="Y197" s="380">
        <f t="shared" si="61"/>
        <v>56.024485603954787</v>
      </c>
      <c r="Z197" s="380">
        <f t="shared" si="62"/>
        <v>58.196852632008991</v>
      </c>
      <c r="AA197" s="381">
        <f t="shared" si="63"/>
        <v>60.825646827476476</v>
      </c>
      <c r="AB197" s="193">
        <f t="shared" si="64"/>
        <v>47301</v>
      </c>
      <c r="AC197" s="119">
        <f>IF(OR(t&lt;Tnet,NoTnet),'2028'!Resal_s+('2028'!Salim-'2028'!Resal_s)*(1-EXP(('2028'!Tnet_s-t)/'2028'!Tau_j)),Resal_s+(Salim-Resal_s)*(1-EXP((Tnet_s-t)/Tau_j)))*Salcycl</f>
        <v>4.3218516079634936E-2</v>
      </c>
      <c r="AD197" s="227">
        <f>(INDEX(Models!$BJ197:$BT197,,AH197)*(1-AF197)+INDEX(Models!$BJ197:$BT197,,AH197+1)*AF197-ERP_i)*AE197*Ramure*Pc/MaxiM</f>
        <v>9.1494697903838323E-6</v>
      </c>
      <c r="AE197" s="301">
        <f t="shared" si="65"/>
        <v>0.5</v>
      </c>
      <c r="AF197" s="173">
        <f t="shared" si="66"/>
        <v>0.84963015474508952</v>
      </c>
      <c r="AG197" s="802">
        <f t="shared" si="74"/>
        <v>3</v>
      </c>
      <c r="AH197" s="172">
        <f t="shared" si="67"/>
        <v>9</v>
      </c>
      <c r="AI197" s="221">
        <f t="shared" si="68"/>
        <v>3.8496301547450895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47302</v>
      </c>
      <c r="B198" s="406">
        <f>'2028'!Wh/'2028'!Env_an*'2029'!Env_an</f>
        <v>54.200854693781011</v>
      </c>
      <c r="C198" s="832"/>
      <c r="D198" s="388">
        <f t="shared" si="50"/>
        <v>56.303280605073056</v>
      </c>
      <c r="E198" s="380">
        <f t="shared" si="75"/>
        <v>56.572487593871386</v>
      </c>
      <c r="F198" s="380">
        <f t="shared" si="51"/>
        <v>56.572512739018393</v>
      </c>
      <c r="G198" s="110">
        <f t="shared" si="76"/>
        <v>0.87836822146269578</v>
      </c>
      <c r="H198" s="409" t="b">
        <f>Wh_hp&gt;='2028'!Maxi_hp</f>
        <v>1</v>
      </c>
      <c r="I198" s="385">
        <f>IF(H198,Wh_hp,'2028'!Maxi_hp)</f>
        <v>56.572512739018393</v>
      </c>
      <c r="J198" s="85">
        <f>IF(H198,An,'2028'!An_max)</f>
        <v>2029</v>
      </c>
      <c r="K198" s="193">
        <f t="shared" si="52"/>
        <v>47302</v>
      </c>
      <c r="L198" s="143">
        <f>IF(t&lt;Tvie,1-EXP((T0-t)*PertePVj)+'2028'!Pspv,1-EXP((T0-t)*PertePVj)+Pspv)</f>
        <v>3.7341090762349149E-2</v>
      </c>
      <c r="M198" s="836"/>
      <c r="N198" s="836"/>
      <c r="O198" s="48">
        <f>IF(t&lt;Tnet,'2028'!Resal+('2028'!Salim-'2028'!Resal)*(1-EXP(('2028'!Tnet-t)/('2028'!Tau_j))),Resal+(Salim-Resal)*(1-EXP((Tnet-t)/(Tau_j))))*Salcycl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5.3795043859967378E-7</v>
      </c>
      <c r="Q198" s="301">
        <f t="shared" si="53"/>
        <v>0.5</v>
      </c>
      <c r="R198" s="173">
        <f t="shared" si="54"/>
        <v>0.32882811413840901</v>
      </c>
      <c r="S198" s="802">
        <f t="shared" si="55"/>
        <v>0</v>
      </c>
      <c r="T198" s="172">
        <f t="shared" si="56"/>
        <v>6</v>
      </c>
      <c r="U198" s="247">
        <f t="shared" si="57"/>
        <v>0.32882811413840901</v>
      </c>
      <c r="V198" s="378">
        <f t="shared" si="58"/>
        <v>61.706296178553259</v>
      </c>
      <c r="W198" s="397">
        <f t="shared" si="59"/>
        <v>54.200854693781011</v>
      </c>
      <c r="X198" s="153">
        <f t="shared" si="60"/>
        <v>47302</v>
      </c>
      <c r="Y198" s="380">
        <f t="shared" si="61"/>
        <v>52.10338515263615</v>
      </c>
      <c r="Z198" s="380">
        <f t="shared" si="62"/>
        <v>54.12445119725519</v>
      </c>
      <c r="AA198" s="381">
        <f t="shared" si="63"/>
        <v>56.572061013916851</v>
      </c>
      <c r="AB198" s="193">
        <f t="shared" si="64"/>
        <v>47302</v>
      </c>
      <c r="AC198" s="119">
        <f>IF(OR(t&lt;Tnet,NoTnet),'2028'!Resal_s+('2028'!Salim-'2028'!Resal_s)*(1-EXP(('2028'!Tnet_s-t)/'2028'!Tau_j)),Resal_s+(Salim-Resal_s)*(1-EXP((Tnet_s-t)/Tau_j)))*Salcycl</f>
        <v>4.3265346405879451E-2</v>
      </c>
      <c r="AD198" s="227">
        <f>(INDEX(Models!$BJ198:$BT198,,AH198)*(1-AF198)+INDEX(Models!$BJ198:$BT198,,AH198+1)*AF198-ERP_i)*AE198*Ramure*Pc/MaxiM</f>
        <v>9.6641199358602589E-6</v>
      </c>
      <c r="AE198" s="301">
        <f t="shared" si="65"/>
        <v>0.5</v>
      </c>
      <c r="AF198" s="173">
        <f t="shared" si="66"/>
        <v>0.85381568051238599</v>
      </c>
      <c r="AG198" s="802">
        <f t="shared" si="74"/>
        <v>3</v>
      </c>
      <c r="AH198" s="172">
        <f t="shared" si="67"/>
        <v>9</v>
      </c>
      <c r="AI198" s="221">
        <f t="shared" si="68"/>
        <v>3.853815680512386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47303</v>
      </c>
      <c r="B199" s="406">
        <f>'2028'!Wh/'2028'!Env_an*'2029'!Env_an</f>
        <v>50.454308446603029</v>
      </c>
      <c r="C199" s="832"/>
      <c r="D199" s="388">
        <f t="shared" si="50"/>
        <v>52.412125051776975</v>
      </c>
      <c r="E199" s="380">
        <f t="shared" si="75"/>
        <v>52.666600127770423</v>
      </c>
      <c r="F199" s="380">
        <f t="shared" si="51"/>
        <v>52.666622625450024</v>
      </c>
      <c r="G199" s="110">
        <f t="shared" si="76"/>
        <v>0.81902492433389251</v>
      </c>
      <c r="H199" s="409" t="b">
        <f>Wh_hp&gt;='2028'!Maxi_hp</f>
        <v>1</v>
      </c>
      <c r="I199" s="385">
        <f>IF(H199,Wh_hp,'2028'!Maxi_hp)</f>
        <v>52.666622625450024</v>
      </c>
      <c r="J199" s="85">
        <f>IF(H199,An,'2028'!An_max)</f>
        <v>2029</v>
      </c>
      <c r="K199" s="193">
        <f t="shared" si="52"/>
        <v>47303</v>
      </c>
      <c r="L199" s="143">
        <f>IF(t&lt;Tvie,1-EXP((T0-t)*PertePVj)+'2028'!Pspv,1-EXP((T0-t)*PertePVj)+Pspv)</f>
        <v>3.735426875441239E-2</v>
      </c>
      <c r="M199" s="836"/>
      <c r="N199" s="836"/>
      <c r="O199" s="48">
        <f>IF(t&lt;Tnet,'2028'!Resal+('2028'!Salim-'2028'!Resal)*(1-EXP(('2028'!Tnet-t)/('2028'!Tau_j))),Resal+(Salim-Resal)*(1-EXP((Tnet-t)/(Tau_j))))*Salcycl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5.7611871410704505E-7</v>
      </c>
      <c r="Q199" s="301">
        <f t="shared" si="53"/>
        <v>0.5</v>
      </c>
      <c r="R199" s="173">
        <f t="shared" si="54"/>
        <v>0.33293859436236611</v>
      </c>
      <c r="S199" s="802">
        <f t="shared" si="55"/>
        <v>0</v>
      </c>
      <c r="T199" s="172">
        <f t="shared" si="56"/>
        <v>6</v>
      </c>
      <c r="U199" s="247">
        <f t="shared" si="57"/>
        <v>0.33293859436236611</v>
      </c>
      <c r="V199" s="378">
        <f t="shared" si="58"/>
        <v>61.602888303557698</v>
      </c>
      <c r="W199" s="397">
        <f t="shared" si="59"/>
        <v>50.454308446603029</v>
      </c>
      <c r="X199" s="153">
        <f t="shared" si="60"/>
        <v>47303</v>
      </c>
      <c r="Y199" s="380">
        <f t="shared" si="61"/>
        <v>48.503065860984478</v>
      </c>
      <c r="Z199" s="380">
        <f t="shared" si="62"/>
        <v>50.385166927635296</v>
      </c>
      <c r="AA199" s="381">
        <f t="shared" si="63"/>
        <v>52.666221489948249</v>
      </c>
      <c r="AB199" s="193">
        <f t="shared" si="64"/>
        <v>47303</v>
      </c>
      <c r="AC199" s="119">
        <f>IF(OR(t&lt;Tnet,NoTnet),'2028'!Resal_s+('2028'!Salim-'2028'!Resal_s)*(1-EXP(('2028'!Tnet_s-t)/'2028'!Tau_j)),Resal_s+(Salim-Resal_s)*(1-EXP((Tnet_s-t)/Tau_j)))*Salcycl</f>
        <v>4.3311528675895397E-2</v>
      </c>
      <c r="AD199" s="227">
        <f>(INDEX(Models!$BJ199:$BT199,,AH199)*(1-AF199)+INDEX(Models!$BJ199:$BT199,,AH199+1)*AF199-ERP_i)*AE199*Ramure*Pc/MaxiM</f>
        <v>1.0272244672123664E-5</v>
      </c>
      <c r="AE199" s="301">
        <f t="shared" si="65"/>
        <v>0.5</v>
      </c>
      <c r="AF199" s="173">
        <f t="shared" si="66"/>
        <v>0.85792616073634331</v>
      </c>
      <c r="AG199" s="802">
        <f t="shared" si="74"/>
        <v>3</v>
      </c>
      <c r="AH199" s="172">
        <f t="shared" si="67"/>
        <v>9</v>
      </c>
      <c r="AI199" s="221">
        <f t="shared" si="68"/>
        <v>3.8579261607363433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47304</v>
      </c>
      <c r="B200" s="406">
        <f>'2028'!Wh/'2028'!Env_an*'2029'!Env_an</f>
        <v>60.498678136019187</v>
      </c>
      <c r="C200" s="832"/>
      <c r="D200" s="388">
        <f t="shared" si="50"/>
        <v>62.847114322289677</v>
      </c>
      <c r="E200" s="380">
        <f t="shared" si="75"/>
        <v>63.156892408543058</v>
      </c>
      <c r="F200" s="380">
        <f t="shared" si="51"/>
        <v>63.156930609446704</v>
      </c>
      <c r="G200" s="110">
        <f t="shared" si="76"/>
        <v>0.98379042142204476</v>
      </c>
      <c r="H200" s="409" t="b">
        <f>Wh_hp&gt;='2028'!Maxi_hp</f>
        <v>1</v>
      </c>
      <c r="I200" s="385">
        <f>IF(H200,Wh_hp,'2028'!Maxi_hp)</f>
        <v>63.156930609446704</v>
      </c>
      <c r="J200" s="85">
        <f>IF(H200,An,'2028'!An_max)</f>
        <v>2029</v>
      </c>
      <c r="K200" s="193">
        <f t="shared" si="52"/>
        <v>47304</v>
      </c>
      <c r="L200" s="143">
        <f>IF(t&lt;Tvie,1-EXP((T0-t)*PertePVj)+'2028'!Pspv,1-EXP((T0-t)*PertePVj)+Pspv)</f>
        <v>3.7367446566080154E-2</v>
      </c>
      <c r="M200" s="836"/>
      <c r="N200" s="836"/>
      <c r="O200" s="48">
        <f>IF(t&lt;Tnet,'2028'!Resal+('2028'!Salim-'2028'!Resal)*(1-EXP(('2028'!Tnet-t)/('2028'!Tau_j))),Resal+(Salim-Resal)*(1-EXP((Tnet-t)/(Tau_j))))*Salcycl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6.1919528270514516E-7</v>
      </c>
      <c r="Q200" s="301">
        <f t="shared" si="53"/>
        <v>0.5</v>
      </c>
      <c r="R200" s="173">
        <f t="shared" si="54"/>
        <v>0.33697265272233995</v>
      </c>
      <c r="S200" s="802">
        <f t="shared" si="55"/>
        <v>0</v>
      </c>
      <c r="T200" s="172">
        <f t="shared" si="56"/>
        <v>6</v>
      </c>
      <c r="U200" s="247">
        <f t="shared" si="57"/>
        <v>0.33697265272233995</v>
      </c>
      <c r="V200" s="378">
        <f t="shared" si="58"/>
        <v>61.495493299390503</v>
      </c>
      <c r="W200" s="397">
        <f t="shared" si="59"/>
        <v>60.498678136019187</v>
      </c>
      <c r="X200" s="153">
        <f t="shared" si="60"/>
        <v>47304</v>
      </c>
      <c r="Y200" s="380">
        <f t="shared" si="61"/>
        <v>58.160317115916541</v>
      </c>
      <c r="Z200" s="380">
        <f t="shared" si="62"/>
        <v>60.417982862148207</v>
      </c>
      <c r="AA200" s="381">
        <f t="shared" si="63"/>
        <v>63.156253516949661</v>
      </c>
      <c r="AB200" s="193">
        <f t="shared" si="64"/>
        <v>47304</v>
      </c>
      <c r="AC200" s="119">
        <f>IF(OR(t&lt;Tnet,NoTnet),'2028'!Resal_s+('2028'!Salim-'2028'!Resal_s)*(1-EXP(('2028'!Tnet_s-t)/'2028'!Tau_j)),Resal_s+(Salim-Resal_s)*(1-EXP((Tnet_s-t)/Tau_j)))*Salcycl</f>
        <v>4.3357078710607289E-2</v>
      </c>
      <c r="AD200" s="227">
        <f>(INDEX(Models!$BJ200:$BT200,,AH200)*(1-AF200)+INDEX(Models!$BJ200:$BT200,,AH200+1)*AF200-ERP_i)*AE200*Ramure*Pc/MaxiM</f>
        <v>1.0974936196772048E-5</v>
      </c>
      <c r="AE200" s="301">
        <f t="shared" si="65"/>
        <v>0.5</v>
      </c>
      <c r="AF200" s="173">
        <f t="shared" si="66"/>
        <v>0.86196021909631693</v>
      </c>
      <c r="AG200" s="802">
        <f t="shared" si="74"/>
        <v>3</v>
      </c>
      <c r="AH200" s="172">
        <f t="shared" si="67"/>
        <v>9</v>
      </c>
      <c r="AI200" s="221">
        <f t="shared" si="68"/>
        <v>3.8619602190963169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47305</v>
      </c>
      <c r="B201" s="406">
        <f>'2028'!Wh/'2028'!Env_an*'2029'!Env_an</f>
        <v>44.53866539902706</v>
      </c>
      <c r="C201" s="832"/>
      <c r="D201" s="388">
        <f t="shared" si="50"/>
        <v>46.268199579808069</v>
      </c>
      <c r="E201" s="380">
        <f t="shared" si="75"/>
        <v>46.499669259601681</v>
      </c>
      <c r="F201" s="380">
        <f t="shared" si="51"/>
        <v>46.499688125069234</v>
      </c>
      <c r="G201" s="110">
        <f t="shared" si="76"/>
        <v>0.7255692786513952</v>
      </c>
      <c r="H201" s="409" t="b">
        <f>Wh_hp&gt;='2028'!Maxi_hp</f>
        <v>1</v>
      </c>
      <c r="I201" s="385">
        <f>IF(H201,Wh_hp,'2028'!Maxi_hp)</f>
        <v>46.499688125069234</v>
      </c>
      <c r="J201" s="85">
        <f>IF(H201,An,'2028'!An_max)</f>
        <v>2029</v>
      </c>
      <c r="K201" s="193">
        <f t="shared" si="52"/>
        <v>47305</v>
      </c>
      <c r="L201" s="143">
        <f>IF(t&lt;Tvie,1-EXP((T0-t)*PertePVj)+'2028'!Pspv,1-EXP((T0-t)*PertePVj)+Pspv)</f>
        <v>3.7380624197354662E-2</v>
      </c>
      <c r="M201" s="836"/>
      <c r="N201" s="836"/>
      <c r="O201" s="48">
        <f>IF(t&lt;Tnet,'2028'!Resal+('2028'!Salim-'2028'!Resal)*(1-EXP(('2028'!Tnet-t)/('2028'!Tau_j))),Resal+(Salim-Resal)*(1-EXP((Tnet-t)/(Tau_j))))*Salcycl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6.6733685444880889E-7</v>
      </c>
      <c r="Q201" s="301">
        <f t="shared" si="53"/>
        <v>0.5</v>
      </c>
      <c r="R201" s="173">
        <f t="shared" si="54"/>
        <v>0.34092909018346607</v>
      </c>
      <c r="S201" s="802">
        <f t="shared" si="55"/>
        <v>0</v>
      </c>
      <c r="T201" s="172">
        <f t="shared" si="56"/>
        <v>6</v>
      </c>
      <c r="U201" s="247">
        <f t="shared" si="57"/>
        <v>0.34092909018346607</v>
      </c>
      <c r="V201" s="378">
        <f t="shared" si="58"/>
        <v>61.384426073510831</v>
      </c>
      <c r="W201" s="397">
        <f t="shared" si="59"/>
        <v>44.53866539902706</v>
      </c>
      <c r="X201" s="153">
        <f t="shared" si="60"/>
        <v>47305</v>
      </c>
      <c r="Y201" s="380">
        <f t="shared" si="61"/>
        <v>42.818455019214646</v>
      </c>
      <c r="Z201" s="380">
        <f t="shared" si="62"/>
        <v>44.48118965350352</v>
      </c>
      <c r="AA201" s="381">
        <f t="shared" si="63"/>
        <v>46.499355297796484</v>
      </c>
      <c r="AB201" s="193">
        <f t="shared" si="64"/>
        <v>47305</v>
      </c>
      <c r="AC201" s="119">
        <f>IF(OR(t&lt;Tnet,NoTnet),'2028'!Resal_s+('2028'!Salim-'2028'!Resal_s)*(1-EXP(('2028'!Tnet_s-t)/'2028'!Tau_j)),Resal_s+(Salim-Resal_s)*(1-EXP((Tnet_s-t)/Tau_j)))*Salcycl</f>
        <v>4.3402013455197397E-2</v>
      </c>
      <c r="AD201" s="227">
        <f>(INDEX(Models!$BJ201:$BT201,,AH201)*(1-AF201)+INDEX(Models!$BJ201:$BT201,,AH201+1)*AF201-ERP_i)*AE201*Ramure*Pc/MaxiM</f>
        <v>1.1773252091643891E-5</v>
      </c>
      <c r="AE201" s="301">
        <f t="shared" si="65"/>
        <v>0.5</v>
      </c>
      <c r="AF201" s="173">
        <f t="shared" si="66"/>
        <v>0.86591665655744343</v>
      </c>
      <c r="AG201" s="802">
        <f t="shared" si="74"/>
        <v>3</v>
      </c>
      <c r="AH201" s="172">
        <f t="shared" si="67"/>
        <v>9</v>
      </c>
      <c r="AI201" s="221">
        <f t="shared" si="68"/>
        <v>3.8659166565574434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47306</v>
      </c>
      <c r="B202" s="406">
        <f>'2028'!Wh/'2028'!Env_an*'2029'!Env_an</f>
        <v>60.038087904534116</v>
      </c>
      <c r="C202" s="832"/>
      <c r="D202" s="388">
        <f t="shared" si="50"/>
        <v>62.370352494441995</v>
      </c>
      <c r="E202" s="380">
        <f t="shared" si="75"/>
        <v>62.686968826710022</v>
      </c>
      <c r="F202" s="380">
        <f t="shared" si="51"/>
        <v>62.687012707228902</v>
      </c>
      <c r="G202" s="110">
        <f t="shared" si="76"/>
        <v>0.97989367202812327</v>
      </c>
      <c r="H202" s="409" t="b">
        <f>Wh_hp&gt;='2028'!Maxi_hp</f>
        <v>1</v>
      </c>
      <c r="I202" s="385">
        <f>IF(H202,Wh_hp,'2028'!Maxi_hp)</f>
        <v>62.687012707228902</v>
      </c>
      <c r="J202" s="85">
        <f>IF(H202,An,'2028'!An_max)</f>
        <v>2029</v>
      </c>
      <c r="K202" s="193">
        <f t="shared" si="52"/>
        <v>47306</v>
      </c>
      <c r="L202" s="143">
        <f>IF(t&lt;Tvie,1-EXP((T0-t)*PertePVj)+'2028'!Pspv,1-EXP((T0-t)*PertePVj)+Pspv)</f>
        <v>3.7393801648238467E-2</v>
      </c>
      <c r="M202" s="836"/>
      <c r="N202" s="836"/>
      <c r="O202" s="48">
        <f>IF(t&lt;Tnet,'2028'!Resal+('2028'!Salim-'2028'!Resal)*(1-EXP(('2028'!Tnet-t)/('2028'!Tau_j))),Resal+(Salim-Resal)*(1-EXP((Tnet-t)/(Tau_j))))*Salcycl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7.2069450031491446E-7</v>
      </c>
      <c r="Q202" s="301">
        <f t="shared" si="53"/>
        <v>0.5</v>
      </c>
      <c r="R202" s="173">
        <f t="shared" si="54"/>
        <v>0.34480688189850567</v>
      </c>
      <c r="S202" s="802">
        <f t="shared" si="55"/>
        <v>0</v>
      </c>
      <c r="T202" s="172">
        <f t="shared" si="56"/>
        <v>6</v>
      </c>
      <c r="U202" s="247">
        <f t="shared" si="57"/>
        <v>0.34480688189850567</v>
      </c>
      <c r="V202" s="378">
        <f t="shared" si="58"/>
        <v>61.270001404783407</v>
      </c>
      <c r="W202" s="397">
        <f t="shared" si="59"/>
        <v>60.038087904534116</v>
      </c>
      <c r="X202" s="153">
        <f t="shared" si="60"/>
        <v>47306</v>
      </c>
      <c r="Y202" s="380">
        <f t="shared" si="61"/>
        <v>57.720517657816103</v>
      </c>
      <c r="Z202" s="380">
        <f t="shared" si="62"/>
        <v>59.962752947829571</v>
      </c>
      <c r="AA202" s="381">
        <f t="shared" si="63"/>
        <v>62.686241384812931</v>
      </c>
      <c r="AB202" s="193">
        <f t="shared" si="64"/>
        <v>47306</v>
      </c>
      <c r="AC202" s="119">
        <f>IF(OR(t&lt;Tnet,NoTnet),'2028'!Resal_s+('2028'!Salim-'2028'!Resal_s)*(1-EXP(('2028'!Tnet_s-t)/'2028'!Tau_j)),Resal_s+(Salim-Resal_s)*(1-EXP((Tnet_s-t)/Tau_j)))*Salcycl</f>
        <v>4.3446350854960986E-2</v>
      </c>
      <c r="AD202" s="227">
        <f>(INDEX(Models!$BJ202:$BT202,,AH202)*(1-AF202)+INDEX(Models!$BJ202:$BT202,,AH202+1)*AF202-ERP_i)*AE202*Ramure*Pc/MaxiM</f>
        <v>1.2668214446145208E-5</v>
      </c>
      <c r="AE202" s="301">
        <f t="shared" si="65"/>
        <v>0.5</v>
      </c>
      <c r="AF202" s="173">
        <f t="shared" si="66"/>
        <v>0.86979444827248287</v>
      </c>
      <c r="AG202" s="802">
        <f t="shared" si="74"/>
        <v>3</v>
      </c>
      <c r="AH202" s="172">
        <f t="shared" si="67"/>
        <v>9</v>
      </c>
      <c r="AI202" s="221">
        <f t="shared" si="68"/>
        <v>3.8697944482724829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47307</v>
      </c>
      <c r="B203" s="406">
        <f>'2028'!Wh/'2028'!Env_an*'2029'!Env_an</f>
        <v>62.955049960772776</v>
      </c>
      <c r="C203" s="832"/>
      <c r="D203" s="388">
        <f t="shared" si="50"/>
        <v>65.401523366600287</v>
      </c>
      <c r="E203" s="380">
        <f t="shared" si="75"/>
        <v>65.738334981149734</v>
      </c>
      <c r="F203" s="380">
        <f t="shared" si="51"/>
        <v>65.738386218533648</v>
      </c>
      <c r="G203" s="110">
        <f t="shared" si="76"/>
        <v>1.0294757370422234</v>
      </c>
      <c r="H203" s="409" t="b">
        <f>Wh_hp&gt;='2028'!Maxi_hp</f>
        <v>1</v>
      </c>
      <c r="I203" s="385">
        <f>IF(H203,Wh_hp,'2028'!Maxi_hp)</f>
        <v>65.738386218533648</v>
      </c>
      <c r="J203" s="85">
        <f>IF(H203,An,'2028'!An_max)</f>
        <v>2029</v>
      </c>
      <c r="K203" s="193">
        <f t="shared" si="52"/>
        <v>47307</v>
      </c>
      <c r="L203" s="143">
        <f>IF(t&lt;Tvie,1-EXP((T0-t)*PertePVj)+'2028'!Pspv,1-EXP((T0-t)*PertePVj)+Pspv)</f>
        <v>3.7406978918734013E-2</v>
      </c>
      <c r="M203" s="836"/>
      <c r="N203" s="836"/>
      <c r="O203" s="48">
        <f>IF(t&lt;Tnet,'2028'!Resal+('2028'!Salim-'2028'!Resal)*(1-EXP(('2028'!Tnet-t)/('2028'!Tau_j))),Resal+(Salim-Resal)*(1-EXP((Tnet-t)/(Tau_j))))*Salcycl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7.7941347299632363E-7</v>
      </c>
      <c r="Q203" s="301">
        <f t="shared" si="53"/>
        <v>0.5</v>
      </c>
      <c r="R203" s="173">
        <f t="shared" si="54"/>
        <v>0.34860517346410808</v>
      </c>
      <c r="S203" s="802">
        <f t="shared" si="55"/>
        <v>0</v>
      </c>
      <c r="T203" s="172">
        <f t="shared" si="56"/>
        <v>6</v>
      </c>
      <c r="U203" s="247">
        <f t="shared" si="57"/>
        <v>0.34860517346410808</v>
      </c>
      <c r="V203" s="378">
        <f t="shared" si="58"/>
        <v>61.152533950579844</v>
      </c>
      <c r="W203" s="397">
        <f t="shared" si="59"/>
        <v>62.955049960772776</v>
      </c>
      <c r="X203" s="153">
        <f t="shared" si="60"/>
        <v>47307</v>
      </c>
      <c r="Y203" s="380">
        <f t="shared" si="61"/>
        <v>60.526460726084473</v>
      </c>
      <c r="Z203" s="380">
        <f t="shared" si="62"/>
        <v>62.878557604849476</v>
      </c>
      <c r="AA203" s="381">
        <f t="shared" si="63"/>
        <v>65.737488178989565</v>
      </c>
      <c r="AB203" s="193">
        <f t="shared" si="64"/>
        <v>47307</v>
      </c>
      <c r="AC203" s="119">
        <f>IF(OR(t&lt;Tnet,NoTnet),'2028'!Resal_s+('2028'!Salim-'2028'!Resal_s)*(1-EXP(('2028'!Tnet_s-t)/'2028'!Tau_j)),Resal_s+(Salim-Resal_s)*(1-EXP((Tnet_s-t)/Tau_j)))*Salcycl</f>
        <v>4.3490109727889366E-2</v>
      </c>
      <c r="AD203" s="227">
        <f>(INDEX(Models!$BJ203:$BT203,,AH203)*(1-AF203)+INDEX(Models!$BJ203:$BT203,,AH203+1)*AF203-ERP_i)*AE203*Ramure*Pc/MaxiM</f>
        <v>1.3660809090942366E-5</v>
      </c>
      <c r="AE203" s="301">
        <f t="shared" si="65"/>
        <v>0.5</v>
      </c>
      <c r="AF203" s="173">
        <f t="shared" si="66"/>
        <v>0.87359273983808539</v>
      </c>
      <c r="AG203" s="802">
        <f t="shared" si="74"/>
        <v>3</v>
      </c>
      <c r="AH203" s="172">
        <f t="shared" si="67"/>
        <v>9</v>
      </c>
      <c r="AI203" s="221">
        <f t="shared" si="68"/>
        <v>3.8735927398380854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47308</v>
      </c>
      <c r="B204" s="406">
        <f>'2028'!Wh/'2028'!Env_an*'2029'!Env_an</f>
        <v>61.982441209717621</v>
      </c>
      <c r="C204" s="832"/>
      <c r="D204" s="388">
        <f t="shared" si="50"/>
        <v>64.391999891374297</v>
      </c>
      <c r="E204" s="380">
        <f t="shared" si="75"/>
        <v>64.728339936913784</v>
      </c>
      <c r="F204" s="380">
        <f t="shared" si="51"/>
        <v>64.728394543927052</v>
      </c>
      <c r="G204" s="110">
        <f t="shared" si="76"/>
        <v>1.0155672058317349</v>
      </c>
      <c r="H204" s="409" t="b">
        <f>Wh_hp&gt;='2028'!Maxi_hp</f>
        <v>1</v>
      </c>
      <c r="I204" s="385">
        <f>IF(H204,Wh_hp,'2028'!Maxi_hp)</f>
        <v>64.728394543927052</v>
      </c>
      <c r="J204" s="85">
        <f>IF(H204,An,'2028'!An_max)</f>
        <v>2029</v>
      </c>
      <c r="K204" s="193">
        <f t="shared" si="52"/>
        <v>47308</v>
      </c>
      <c r="L204" s="143">
        <f>IF(t&lt;Tvie,1-EXP((T0-t)*PertePVj)+'2028'!Pspv,1-EXP((T0-t)*PertePVj)+Pspv)</f>
        <v>3.7420156008843852E-2</v>
      </c>
      <c r="M204" s="836"/>
      <c r="N204" s="836"/>
      <c r="O204" s="48">
        <f>IF(t&lt;Tnet,'2028'!Resal+('2028'!Salim-'2028'!Resal)*(1-EXP(('2028'!Tnet-t)/('2028'!Tau_j))),Resal+(Salim-Resal)*(1-EXP((Tnet-t)/(Tau_j))))*Salcycl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8.4363305567021822E-7</v>
      </c>
      <c r="Q204" s="301">
        <f t="shared" si="53"/>
        <v>0.5</v>
      </c>
      <c r="R204" s="173">
        <f t="shared" si="54"/>
        <v>0.35232327658956014</v>
      </c>
      <c r="S204" s="802">
        <f t="shared" si="55"/>
        <v>0</v>
      </c>
      <c r="T204" s="172">
        <f t="shared" si="56"/>
        <v>6</v>
      </c>
      <c r="U204" s="247">
        <f t="shared" si="57"/>
        <v>0.35232327658956014</v>
      </c>
      <c r="V204" s="378">
        <f t="shared" si="58"/>
        <v>61.03233823797499</v>
      </c>
      <c r="W204" s="397">
        <f t="shared" si="59"/>
        <v>61.982441209717621</v>
      </c>
      <c r="X204" s="153">
        <f t="shared" si="60"/>
        <v>47308</v>
      </c>
      <c r="Y204" s="380">
        <f t="shared" si="61"/>
        <v>59.592971611329808</v>
      </c>
      <c r="Z204" s="380">
        <f t="shared" si="62"/>
        <v>61.909639998526011</v>
      </c>
      <c r="AA204" s="381">
        <f t="shared" si="63"/>
        <v>64.727439671628147</v>
      </c>
      <c r="AB204" s="193">
        <f t="shared" si="64"/>
        <v>47308</v>
      </c>
      <c r="AC204" s="119">
        <f>IF(OR(t&lt;Tnet,NoTnet),'2028'!Resal_s+('2028'!Salim-'2028'!Resal_s)*(1-EXP(('2028'!Tnet_s-t)/'2028'!Tau_j)),Resal_s+(Salim-Resal_s)*(1-EXP((Tnet_s-t)/Tau_j)))*Salcycl</f>
        <v>4.3533309634943812E-2</v>
      </c>
      <c r="AD204" s="227">
        <f>(INDEX(Models!$BJ204:$BT204,,AH204)*(1-AF204)+INDEX(Models!$BJ204:$BT204,,AH204+1)*AF204-ERP_i)*AE204*Ramure*Pc/MaxiM</f>
        <v>1.4751984899812404E-5</v>
      </c>
      <c r="AE204" s="301">
        <f t="shared" si="65"/>
        <v>0.5</v>
      </c>
      <c r="AF204" s="173">
        <f t="shared" si="66"/>
        <v>0.87731084296353723</v>
      </c>
      <c r="AG204" s="802">
        <f t="shared" si="74"/>
        <v>3</v>
      </c>
      <c r="AH204" s="172">
        <f t="shared" si="67"/>
        <v>9</v>
      </c>
      <c r="AI204" s="221">
        <f t="shared" si="68"/>
        <v>3.8773108429635372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47309</v>
      </c>
      <c r="B205" s="406">
        <f>'2028'!Wh/'2028'!Env_an*'2029'!Env_an</f>
        <v>61.329978188391621</v>
      </c>
      <c r="C205" s="832"/>
      <c r="D205" s="388">
        <f t="shared" si="50"/>
        <v>63.715044667345964</v>
      </c>
      <c r="E205" s="380">
        <f t="shared" si="75"/>
        <v>64.052520223814184</v>
      </c>
      <c r="F205" s="380">
        <f t="shared" si="51"/>
        <v>64.052578735294119</v>
      </c>
      <c r="G205" s="110">
        <f t="shared" si="76"/>
        <v>1.0069050210726642</v>
      </c>
      <c r="H205" s="409" t="b">
        <f>Wh_hp&gt;='2028'!Maxi_hp</f>
        <v>1</v>
      </c>
      <c r="I205" s="385">
        <f>IF(H205,Wh_hp,'2028'!Maxi_hp)</f>
        <v>64.052578735294119</v>
      </c>
      <c r="J205" s="85">
        <f>IF(H205,An,'2028'!An_max)</f>
        <v>2029</v>
      </c>
      <c r="K205" s="193">
        <f t="shared" si="52"/>
        <v>47309</v>
      </c>
      <c r="L205" s="143">
        <f>IF(t&lt;Tvie,1-EXP((T0-t)*PertePVj)+'2028'!Pspv,1-EXP((T0-t)*PertePVj)+Pspv)</f>
        <v>3.7433332918570317E-2</v>
      </c>
      <c r="M205" s="836"/>
      <c r="N205" s="836"/>
      <c r="O205" s="48">
        <f>IF(t&lt;Tnet,'2028'!Resal+('2028'!Salim-'2028'!Resal)*(1-EXP(('2028'!Tnet-t)/('2028'!Tau_j))),Resal+(Salim-Resal)*(1-EXP((Tnet-t)/(Tau_j))))*Salcycl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9.1349140176028434E-7</v>
      </c>
      <c r="Q205" s="301">
        <f t="shared" si="53"/>
        <v>0.5</v>
      </c>
      <c r="R205" s="173">
        <f t="shared" si="54"/>
        <v>0.35596066423738887</v>
      </c>
      <c r="S205" s="802">
        <f t="shared" si="55"/>
        <v>0</v>
      </c>
      <c r="T205" s="172">
        <f t="shared" si="56"/>
        <v>6</v>
      </c>
      <c r="U205" s="247">
        <f t="shared" si="57"/>
        <v>0.35596066423738887</v>
      </c>
      <c r="V205" s="378">
        <f t="shared" si="58"/>
        <v>60.909397515027081</v>
      </c>
      <c r="W205" s="397">
        <f t="shared" si="59"/>
        <v>61.329978188391621</v>
      </c>
      <c r="X205" s="153">
        <f t="shared" si="60"/>
        <v>47309</v>
      </c>
      <c r="Y205" s="380">
        <f t="shared" si="61"/>
        <v>58.967265989677863</v>
      </c>
      <c r="Z205" s="380">
        <f t="shared" si="62"/>
        <v>61.260448762962874</v>
      </c>
      <c r="AA205" s="381">
        <f t="shared" si="63"/>
        <v>64.051557561698843</v>
      </c>
      <c r="AB205" s="193">
        <f t="shared" si="64"/>
        <v>47309</v>
      </c>
      <c r="AC205" s="119">
        <f>IF(OR(t&lt;Tnet,NoTnet),'2028'!Resal_s+('2028'!Salim-'2028'!Resal_s)*(1-EXP(('2028'!Tnet_s-t)/'2028'!Tau_j)),Resal_s+(Salim-Resal_s)*(1-EXP((Tnet_s-t)/Tau_j)))*Salcycl</f>
        <v>4.3575970748992034E-2</v>
      </c>
      <c r="AD205" s="227">
        <f>(INDEX(Models!$BJ205:$BT205,,AH205)*(1-AF205)+INDEX(Models!$BJ205:$BT205,,AH205+1)*AF205-ERP_i)*AE205*Ramure*Pc/MaxiM</f>
        <v>1.5942739783983425E-5</v>
      </c>
      <c r="AE205" s="301">
        <f t="shared" si="65"/>
        <v>0.5</v>
      </c>
      <c r="AF205" s="173">
        <f t="shared" si="66"/>
        <v>0.88094823061136607</v>
      </c>
      <c r="AG205" s="802">
        <f t="shared" si="74"/>
        <v>3</v>
      </c>
      <c r="AH205" s="172">
        <f t="shared" si="67"/>
        <v>9</v>
      </c>
      <c r="AI205" s="221">
        <f t="shared" si="68"/>
        <v>3.8809482306113661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47310</v>
      </c>
      <c r="B206" s="406">
        <f>'2028'!Wh/'2028'!Env_an*'2029'!Env_an</f>
        <v>60.274419673701246</v>
      </c>
      <c r="C206" s="832"/>
      <c r="D206" s="388">
        <f t="shared" si="50"/>
        <v>62.61929365780388</v>
      </c>
      <c r="E206" s="380">
        <f t="shared" si="75"/>
        <v>62.955550442050047</v>
      </c>
      <c r="F206" s="380">
        <f t="shared" si="51"/>
        <v>62.955611856490201</v>
      </c>
      <c r="G206" s="110">
        <f t="shared" si="76"/>
        <v>0.99162718689217255</v>
      </c>
      <c r="H206" s="409" t="b">
        <f>Wh_hp&gt;='2028'!Maxi_hp</f>
        <v>1</v>
      </c>
      <c r="I206" s="385">
        <f>IF(H206,Wh_hp,'2028'!Maxi_hp)</f>
        <v>62.955611856490201</v>
      </c>
      <c r="J206" s="85">
        <f>IF(H206,An,'2028'!An_max)</f>
        <v>2029</v>
      </c>
      <c r="K206" s="193">
        <f t="shared" si="52"/>
        <v>47310</v>
      </c>
      <c r="L206" s="143">
        <f>IF(t&lt;Tvie,1-EXP((T0-t)*PertePVj)+'2028'!Pspv,1-EXP((T0-t)*PertePVj)+Pspv)</f>
        <v>3.744650964791596E-2</v>
      </c>
      <c r="M206" s="836"/>
      <c r="N206" s="836"/>
      <c r="O206" s="48">
        <f>IF(t&lt;Tnet,'2028'!Resal+('2028'!Salim-'2028'!Resal)*(1-EXP(('2028'!Tnet-t)/('2028'!Tau_j))),Resal+(Salim-Resal)*(1-EXP((Tnet-t)/(Tau_j))))*Salcycl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9.8732929768219518E-7</v>
      </c>
      <c r="Q206" s="301">
        <f t="shared" si="53"/>
        <v>0.5</v>
      </c>
      <c r="R206" s="173">
        <f t="shared" si="54"/>
        <v>0.35951696529575317</v>
      </c>
      <c r="S206" s="802">
        <f t="shared" si="55"/>
        <v>0</v>
      </c>
      <c r="T206" s="172">
        <f t="shared" si="56"/>
        <v>6</v>
      </c>
      <c r="U206" s="247">
        <f t="shared" si="57"/>
        <v>0.35951696529575317</v>
      </c>
      <c r="V206" s="378">
        <f t="shared" si="58"/>
        <v>60.783346562722429</v>
      </c>
      <c r="W206" s="397">
        <f t="shared" si="59"/>
        <v>60.274419673701246</v>
      </c>
      <c r="X206" s="153">
        <f t="shared" si="60"/>
        <v>47310</v>
      </c>
      <c r="Y206" s="380">
        <f t="shared" si="61"/>
        <v>57.953981863890455</v>
      </c>
      <c r="Z206" s="380">
        <f t="shared" si="62"/>
        <v>60.208583153848387</v>
      </c>
      <c r="AA206" s="381">
        <f t="shared" si="63"/>
        <v>62.95454150459917</v>
      </c>
      <c r="AB206" s="193">
        <f t="shared" si="64"/>
        <v>47310</v>
      </c>
      <c r="AC206" s="119">
        <f>IF(OR(t&lt;Tnet,NoTnet),'2028'!Resal_s+('2028'!Salim-'2028'!Resal_s)*(1-EXP(('2028'!Tnet_s-t)/'2028'!Tau_j)),Resal_s+(Salim-Resal_s)*(1-EXP((Tnet_s-t)/Tau_j)))*Salcycl</f>
        <v>4.3618113723378843E-2</v>
      </c>
      <c r="AD206" s="227">
        <f>(INDEX(Models!$BJ206:$BT206,,AH206)*(1-AF206)+INDEX(Models!$BJ206:$BT206,,AH206+1)*AF206-ERP_i)*AE206*Ramure*Pc/MaxiM</f>
        <v>1.7207513057159894E-5</v>
      </c>
      <c r="AE206" s="301">
        <f t="shared" si="65"/>
        <v>0.5</v>
      </c>
      <c r="AF206" s="173">
        <f t="shared" si="66"/>
        <v>0.8845045316697302</v>
      </c>
      <c r="AG206" s="802">
        <f t="shared" si="74"/>
        <v>3</v>
      </c>
      <c r="AH206" s="172">
        <f t="shared" si="67"/>
        <v>9</v>
      </c>
      <c r="AI206" s="221">
        <f t="shared" si="68"/>
        <v>3.8845045316697302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47311</v>
      </c>
      <c r="B207" s="406">
        <f>'2028'!Wh/'2028'!Env_an*'2029'!Env_an</f>
        <v>59.329160826073903</v>
      </c>
      <c r="C207" s="832"/>
      <c r="D207" s="388">
        <f t="shared" ref="D207:D270" si="77">Wh/(1-Ppv)</f>
        <v>61.638104893141566</v>
      </c>
      <c r="E207" s="380">
        <f t="shared" si="75"/>
        <v>61.973600026331951</v>
      </c>
      <c r="F207" s="380">
        <f t="shared" ref="F207:F270" si="78">Wh_sa/(1-Pvg*MEDIAN((-Sdif+Wh/Env_an)/Csdif,0,1))</f>
        <v>61.973663870347522</v>
      </c>
      <c r="G207" s="110">
        <f t="shared" si="76"/>
        <v>0.97815776749221339</v>
      </c>
      <c r="H207" s="409" t="b">
        <f>Wh_hp&gt;='2028'!Maxi_hp</f>
        <v>1</v>
      </c>
      <c r="I207" s="385">
        <f>IF(H207,Wh_hp,'2028'!Maxi_hp)</f>
        <v>61.973663870347522</v>
      </c>
      <c r="J207" s="85">
        <f>IF(H207,An,'2028'!An_max)</f>
        <v>2029</v>
      </c>
      <c r="K207" s="193">
        <f t="shared" ref="K207:K270" si="79">t</f>
        <v>47311</v>
      </c>
      <c r="L207" s="143">
        <f>IF(t&lt;Tvie,1-EXP((T0-t)*PertePVj)+'2028'!Pspv,1-EXP((T0-t)*PertePVj)+Pspv)</f>
        <v>3.7459686196883335E-2</v>
      </c>
      <c r="M207" s="836"/>
      <c r="N207" s="836"/>
      <c r="O207" s="48">
        <f>IF(t&lt;Tnet,'2028'!Resal+('2028'!Salim-'2028'!Resal)*(1-EXP(('2028'!Tnet-t)/('2028'!Tau_j))),Resal+(Salim-Resal)*(1-EXP((Tnet-t)/(Tau_j))))*Salcycl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1.0633599552747664E-6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0.36299195884247137</v>
      </c>
      <c r="S207" s="802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0.36299195884247137</v>
      </c>
      <c r="V207" s="378">
        <f t="shared" ref="V207:V270" si="85">MaxiM*(1-Ppv)*(1-Pvg)*(1-Psa)</f>
        <v>60.653977128482346</v>
      </c>
      <c r="W207" s="397">
        <f t="shared" ref="W207:W270" si="86">Wh*(A207&gt;Tmaj)</f>
        <v>59.329160826073903</v>
      </c>
      <c r="X207" s="153">
        <f t="shared" ref="X207:X270" si="87">t</f>
        <v>47311</v>
      </c>
      <c r="Y207" s="380">
        <f t="shared" ref="Y207:Y270" si="88">Wh_pvt_s*(1-Ppv)</f>
        <v>57.046727870766084</v>
      </c>
      <c r="Z207" s="380">
        <f t="shared" ref="Z207:Z270" si="89">Wh_sa_s*(1-Psa_s)</f>
        <v>59.266845297489262</v>
      </c>
      <c r="AA207" s="381">
        <f t="shared" ref="AA207:AA270" si="90">Wh_hp*(1-Pvg_s*MEDIAN((-Sdif+Wh/Env_an)/Csdif,0,1))</f>
        <v>61.972552017981684</v>
      </c>
      <c r="AB207" s="193">
        <f t="shared" ref="AB207:AB270" si="91">t</f>
        <v>47311</v>
      </c>
      <c r="AC207" s="119">
        <f>IF(OR(t&lt;Tnet,NoTnet),'2028'!Resal_s+('2028'!Salim-'2028'!Resal_s)*(1-EXP(('2028'!Tnet_s-t)/'2028'!Tau_j)),Resal_s+(Salim-Resal_s)*(1-EXP((Tnet_s-t)/Tau_j)))*Salcycl</f>
        <v>4.3659759561093275E-2</v>
      </c>
      <c r="AD207" s="227">
        <f>(INDEX(Models!$BJ207:$BT207,,AH207)*(1-AF207)+INDEX(Models!$BJ207:$BT207,,AH207+1)*AF207-ERP_i)*AE207*Ramure*Pc/MaxiM</f>
        <v>1.8518560767266865E-5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0.88797952521644863</v>
      </c>
      <c r="AG207" s="802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3.8879795252164486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47312</v>
      </c>
      <c r="B208" s="406">
        <f>'2028'!Wh/'2028'!Env_an*'2029'!Env_an</f>
        <v>58.152596386380971</v>
      </c>
      <c r="C208" s="832"/>
      <c r="D208" s="388">
        <f t="shared" si="77"/>
        <v>60.416578530324017</v>
      </c>
      <c r="E208" s="380">
        <f t="shared" si="75"/>
        <v>60.749836949483267</v>
      </c>
      <c r="F208" s="380">
        <f t="shared" si="78"/>
        <v>60.74990242341601</v>
      </c>
      <c r="G208" s="110">
        <f t="shared" si="76"/>
        <v>0.96086507057006787</v>
      </c>
      <c r="H208" s="409" t="b">
        <f>Wh_hp&gt;='2028'!Maxi_hp</f>
        <v>1</v>
      </c>
      <c r="I208" s="385">
        <f>IF(H208,Wh_hp,'2028'!Maxi_hp)</f>
        <v>60.74990242341601</v>
      </c>
      <c r="J208" s="85">
        <f>IF(H208,An,'2028'!An_max)</f>
        <v>2029</v>
      </c>
      <c r="K208" s="193">
        <f t="shared" si="79"/>
        <v>47312</v>
      </c>
      <c r="L208" s="143">
        <f>IF(t&lt;Tvie,1-EXP((T0-t)*PertePVj)+'2028'!Pspv,1-EXP((T0-t)*PertePVj)+Pspv)</f>
        <v>3.7472862565474774E-2</v>
      </c>
      <c r="M208" s="836"/>
      <c r="N208" s="836"/>
      <c r="O208" s="48">
        <f>IF(t&lt;Tnet,'2028'!Resal+('2028'!Salim-'2028'!Resal)*(1-EXP(('2028'!Tnet-t)/('2028'!Tau_j))),Resal+(Salim-Resal)*(1-EXP((Tnet-t)/(Tau_j))))*Salcycl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1.1415844507497941E-6</v>
      </c>
      <c r="Q208" s="301">
        <f t="shared" si="80"/>
        <v>0.5</v>
      </c>
      <c r="R208" s="173">
        <f t="shared" si="81"/>
        <v>0.36638556805981681</v>
      </c>
      <c r="S208" s="802">
        <f t="shared" si="82"/>
        <v>0</v>
      </c>
      <c r="T208" s="172">
        <f t="shared" si="83"/>
        <v>6</v>
      </c>
      <c r="U208" s="247">
        <f t="shared" si="84"/>
        <v>0.36638556805981681</v>
      </c>
      <c r="V208" s="378">
        <f t="shared" si="85"/>
        <v>60.52108090517973</v>
      </c>
      <c r="W208" s="397">
        <f t="shared" si="86"/>
        <v>58.152596386380971</v>
      </c>
      <c r="X208" s="153">
        <f t="shared" si="87"/>
        <v>47312</v>
      </c>
      <c r="Y208" s="380">
        <f t="shared" si="88"/>
        <v>55.917037141996694</v>
      </c>
      <c r="Z208" s="380">
        <f t="shared" si="89"/>
        <v>58.093985060032018</v>
      </c>
      <c r="AA208" s="381">
        <f t="shared" si="90"/>
        <v>60.748762443923908</v>
      </c>
      <c r="AB208" s="193">
        <f t="shared" si="91"/>
        <v>47312</v>
      </c>
      <c r="AC208" s="119">
        <f>IF(OR(t&lt;Tnet,NoTnet),'2028'!Resal_s+('2028'!Salim-'2028'!Resal_s)*(1-EXP(('2028'!Tnet_s-t)/'2028'!Tau_j)),Resal_s+(Salim-Resal_s)*(1-EXP((Tnet_s-t)/Tau_j)))*Salcycl</f>
        <v>4.3700929485476707E-2</v>
      </c>
      <c r="AD208" s="227">
        <f>(INDEX(Models!$BJ208:$BT208,,AH208)*(1-AF208)+INDEX(Models!$BJ208:$BT208,,AH208+1)*AF208-ERP_i)*AE208*Ramure*Pc/MaxiM</f>
        <v>1.9876350905055143E-5</v>
      </c>
      <c r="AE208" s="301">
        <f t="shared" si="92"/>
        <v>0.5</v>
      </c>
      <c r="AF208" s="173">
        <f t="shared" si="93"/>
        <v>0.89137313443379407</v>
      </c>
      <c r="AG208" s="802">
        <f t="shared" ref="AG208:AG271" si="99">INDEX(Echel_vg,AH208)</f>
        <v>3</v>
      </c>
      <c r="AH208" s="172">
        <f t="shared" si="94"/>
        <v>9</v>
      </c>
      <c r="AI208" s="221">
        <f t="shared" si="95"/>
        <v>3.8913731344337941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47313</v>
      </c>
      <c r="B209" s="406">
        <f>'2028'!Wh/'2028'!Env_an*'2029'!Env_an</f>
        <v>57.995966634450461</v>
      </c>
      <c r="C209" s="832"/>
      <c r="D209" s="388">
        <f t="shared" si="77"/>
        <v>60.254675744499977</v>
      </c>
      <c r="E209" s="380">
        <f t="shared" si="75"/>
        <v>60.591435530482435</v>
      </c>
      <c r="F209" s="380">
        <f t="shared" si="78"/>
        <v>60.591505389714662</v>
      </c>
      <c r="G209" s="110">
        <f t="shared" si="76"/>
        <v>0.96044532929955484</v>
      </c>
      <c r="H209" s="409" t="b">
        <f>Wh_hp&gt;='2028'!Maxi_hp</f>
        <v>1</v>
      </c>
      <c r="I209" s="385">
        <f>IF(H209,Wh_hp,'2028'!Maxi_hp)</f>
        <v>60.591505389714662</v>
      </c>
      <c r="J209" s="85">
        <f>IF(H209,An,'2028'!An_max)</f>
        <v>2029</v>
      </c>
      <c r="K209" s="193">
        <f t="shared" si="79"/>
        <v>47313</v>
      </c>
      <c r="L209" s="143">
        <f>IF(t&lt;Tvie,1-EXP((T0-t)*PertePVj)+'2028'!Pspv,1-EXP((T0-t)*PertePVj)+Pspv)</f>
        <v>3.7486038753692719E-2</v>
      </c>
      <c r="M209" s="836"/>
      <c r="N209" s="836"/>
      <c r="O209" s="48">
        <f>IF(t&lt;Tnet,'2028'!Resal+('2028'!Salim-'2028'!Resal)*(1-EXP(('2028'!Tnet-t)/('2028'!Tau_j))),Resal+(Salim-Resal)*(1-EXP((Tnet-t)/(Tau_j))))*Salcycl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1.2220055796231341E-6</v>
      </c>
      <c r="Q209" s="301">
        <f t="shared" si="80"/>
        <v>0.5</v>
      </c>
      <c r="R209" s="173">
        <f t="shared" si="81"/>
        <v>0.36969785385794973</v>
      </c>
      <c r="S209" s="802">
        <f t="shared" si="82"/>
        <v>0</v>
      </c>
      <c r="T209" s="172">
        <f t="shared" si="83"/>
        <v>6</v>
      </c>
      <c r="U209" s="247">
        <f t="shared" si="84"/>
        <v>0.36969785385794973</v>
      </c>
      <c r="V209" s="378">
        <f t="shared" si="85"/>
        <v>60.384449651123681</v>
      </c>
      <c r="W209" s="397">
        <f t="shared" si="86"/>
        <v>57.995966634450461</v>
      </c>
      <c r="X209" s="153">
        <f t="shared" si="87"/>
        <v>47313</v>
      </c>
      <c r="Y209" s="380">
        <f t="shared" si="88"/>
        <v>55.768029934102543</v>
      </c>
      <c r="Z209" s="380">
        <f t="shared" si="89"/>
        <v>57.939969890817515</v>
      </c>
      <c r="AA209" s="381">
        <f t="shared" si="90"/>
        <v>60.590288781854092</v>
      </c>
      <c r="AB209" s="193">
        <f t="shared" si="91"/>
        <v>47313</v>
      </c>
      <c r="AC209" s="119">
        <f>IF(OR(t&lt;Tnet,NoTnet),'2028'!Resal_s+('2028'!Salim-'2028'!Resal_s)*(1-EXP(('2028'!Tnet_s-t)/'2028'!Tau_j)),Resal_s+(Salim-Resal_s)*(1-EXP((Tnet_s-t)/Tau_j)))*Salcycl</f>
        <v>4.3741644813389755E-2</v>
      </c>
      <c r="AD209" s="227">
        <f>(INDEX(Models!$BJ209:$BT209,,AH209)*(1-AF209)+INDEX(Models!$BJ209:$BT209,,AH209+1)*AF209-ERP_i)*AE209*Ramure*Pc/MaxiM</f>
        <v>2.1281390397715364E-5</v>
      </c>
      <c r="AE209" s="301">
        <f t="shared" si="92"/>
        <v>0.5</v>
      </c>
      <c r="AF209" s="173">
        <f t="shared" si="93"/>
        <v>0.89468542023192699</v>
      </c>
      <c r="AG209" s="802">
        <f t="shared" si="99"/>
        <v>3</v>
      </c>
      <c r="AH209" s="172">
        <f t="shared" si="94"/>
        <v>9</v>
      </c>
      <c r="AI209" s="221">
        <f t="shared" si="95"/>
        <v>3.894685420231927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47314</v>
      </c>
      <c r="B210" s="406">
        <f>'2028'!Wh/'2028'!Env_an*'2029'!Env_an</f>
        <v>55.436437627706951</v>
      </c>
      <c r="C210" s="832"/>
      <c r="D210" s="388">
        <f t="shared" si="77"/>
        <v>57.59625184510633</v>
      </c>
      <c r="E210" s="380">
        <f t="shared" si="75"/>
        <v>57.922348916209323</v>
      </c>
      <c r="F210" s="380">
        <f t="shared" si="78"/>
        <v>57.922415868802247</v>
      </c>
      <c r="G210" s="110">
        <f t="shared" si="76"/>
        <v>0.92020025628928692</v>
      </c>
      <c r="H210" s="409" t="b">
        <f>Wh_hp&gt;='2028'!Maxi_hp</f>
        <v>1</v>
      </c>
      <c r="I210" s="385">
        <f>IF(H210,Wh_hp,'2028'!Maxi_hp)</f>
        <v>57.922415868802247</v>
      </c>
      <c r="J210" s="85">
        <f>IF(H210,An,'2028'!An_max)</f>
        <v>2029</v>
      </c>
      <c r="K210" s="193">
        <f t="shared" si="79"/>
        <v>47314</v>
      </c>
      <c r="L210" s="143">
        <f>IF(t&lt;Tvie,1-EXP((T0-t)*PertePVj)+'2028'!Pspv,1-EXP((T0-t)*PertePVj)+Pspv)</f>
        <v>3.7499214761539834E-2</v>
      </c>
      <c r="M210" s="836"/>
      <c r="N210" s="836"/>
      <c r="O210" s="48">
        <f>IF(t&lt;Tnet,'2028'!Resal+('2028'!Salim-'2028'!Resal)*(1-EXP(('2028'!Tnet-t)/('2028'!Tau_j))),Resal+(Salim-Resal)*(1-EXP((Tnet-t)/(Tau_j))))*Salcycl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1.3046281236720057E-6</v>
      </c>
      <c r="Q210" s="301">
        <f t="shared" si="80"/>
        <v>0.5</v>
      </c>
      <c r="R210" s="173">
        <f t="shared" si="81"/>
        <v>0.3729290082631021</v>
      </c>
      <c r="S210" s="802">
        <f t="shared" si="82"/>
        <v>0</v>
      </c>
      <c r="T210" s="172">
        <f t="shared" si="83"/>
        <v>6</v>
      </c>
      <c r="U210" s="247">
        <f t="shared" si="84"/>
        <v>0.3729290082631021</v>
      </c>
      <c r="V210" s="378">
        <f t="shared" si="85"/>
        <v>60.243875182514202</v>
      </c>
      <c r="W210" s="397">
        <f t="shared" si="86"/>
        <v>55.436437627706951</v>
      </c>
      <c r="X210" s="153">
        <f t="shared" si="87"/>
        <v>47314</v>
      </c>
      <c r="Y210" s="380">
        <f t="shared" si="88"/>
        <v>53.308438314355321</v>
      </c>
      <c r="Z210" s="380">
        <f t="shared" si="89"/>
        <v>55.385345271326841</v>
      </c>
      <c r="AA210" s="381">
        <f t="shared" si="90"/>
        <v>57.921249164237352</v>
      </c>
      <c r="AB210" s="193">
        <f t="shared" si="91"/>
        <v>47314</v>
      </c>
      <c r="AC210" s="119">
        <f>IF(OR(t&lt;Tnet,NoTnet),'2028'!Resal_s+('2028'!Salim-'2028'!Resal_s)*(1-EXP(('2028'!Tnet_s-t)/'2028'!Tau_j)),Resal_s+(Salim-Resal_s)*(1-EXP((Tnet_s-t)/Tau_j)))*Salcycl</f>
        <v>4.3781926831720754E-2</v>
      </c>
      <c r="AD210" s="227">
        <f>(INDEX(Models!$BJ210:$BT210,,AH210)*(1-AF210)+INDEX(Models!$BJ210:$BT210,,AH210+1)*AF210-ERP_i)*AE210*Ramure*Pc/MaxiM</f>
        <v>2.2734229115248075E-5</v>
      </c>
      <c r="AE210" s="301">
        <f t="shared" si="92"/>
        <v>0.5</v>
      </c>
      <c r="AF210" s="173">
        <f t="shared" si="93"/>
        <v>0.89791657463707919</v>
      </c>
      <c r="AG210" s="802">
        <f t="shared" si="99"/>
        <v>3</v>
      </c>
      <c r="AH210" s="172">
        <f t="shared" si="94"/>
        <v>9</v>
      </c>
      <c r="AI210" s="221">
        <f t="shared" si="95"/>
        <v>3.8979165746370792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47315</v>
      </c>
      <c r="B211" s="406">
        <f>'2028'!Wh/'2028'!Env_an*'2029'!Env_an</f>
        <v>56.575930992072415</v>
      </c>
      <c r="C211" s="832"/>
      <c r="D211" s="388">
        <f t="shared" si="77"/>
        <v>58.780944750754216</v>
      </c>
      <c r="E211" s="380">
        <f t="shared" si="75"/>
        <v>59.118025087555289</v>
      </c>
      <c r="F211" s="380">
        <f t="shared" si="78"/>
        <v>59.118100350514474</v>
      </c>
      <c r="G211" s="110">
        <f t="shared" si="76"/>
        <v>0.94137645857634011</v>
      </c>
      <c r="H211" s="409" t="b">
        <f>Wh_hp&gt;='2028'!Maxi_hp</f>
        <v>1</v>
      </c>
      <c r="I211" s="385">
        <f>IF(H211,Wh_hp,'2028'!Maxi_hp)</f>
        <v>59.118100350514474</v>
      </c>
      <c r="J211" s="85">
        <f>IF(H211,An,'2028'!An_max)</f>
        <v>2029</v>
      </c>
      <c r="K211" s="193">
        <f t="shared" si="79"/>
        <v>47315</v>
      </c>
      <c r="L211" s="143">
        <f>IF(t&lt;Tvie,1-EXP((T0-t)*PertePVj)+'2028'!Pspv,1-EXP((T0-t)*PertePVj)+Pspv)</f>
        <v>3.7512390589018341E-2</v>
      </c>
      <c r="M211" s="836"/>
      <c r="N211" s="836"/>
      <c r="O211" s="48">
        <f>IF(t&lt;Tnet,'2028'!Resal+('2028'!Salim-'2028'!Resal)*(1-EXP(('2028'!Tnet-t)/('2028'!Tau_j))),Resal+(Salim-Resal)*(1-EXP((Tnet-t)/(Tau_j))))*Salcycl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1.3894591083779606E-6</v>
      </c>
      <c r="Q211" s="301">
        <f t="shared" si="80"/>
        <v>0.5</v>
      </c>
      <c r="R211" s="173">
        <f t="shared" si="81"/>
        <v>0.37607934762444351</v>
      </c>
      <c r="S211" s="802">
        <f t="shared" si="82"/>
        <v>0</v>
      </c>
      <c r="T211" s="172">
        <f t="shared" si="83"/>
        <v>6</v>
      </c>
      <c r="U211" s="247">
        <f t="shared" si="84"/>
        <v>0.37607934762444351</v>
      </c>
      <c r="V211" s="378">
        <f t="shared" si="85"/>
        <v>60.099149381978577</v>
      </c>
      <c r="W211" s="397">
        <f t="shared" si="86"/>
        <v>56.575930992072415</v>
      </c>
      <c r="X211" s="153">
        <f t="shared" si="87"/>
        <v>47315</v>
      </c>
      <c r="Y211" s="380">
        <f t="shared" si="88"/>
        <v>54.405751457103001</v>
      </c>
      <c r="Z211" s="380">
        <f t="shared" si="89"/>
        <v>56.526183740067012</v>
      </c>
      <c r="AA211" s="381">
        <f t="shared" si="90"/>
        <v>59.116787585918111</v>
      </c>
      <c r="AB211" s="193">
        <f t="shared" si="91"/>
        <v>47315</v>
      </c>
      <c r="AC211" s="119">
        <f>IF(OR(t&lt;Tnet,NoTnet),'2028'!Resal_s+('2028'!Salim-'2028'!Resal_s)*(1-EXP(('2028'!Tnet_s-t)/'2028'!Tau_j)),Resal_s+(Salim-Resal_s)*(1-EXP((Tnet_s-t)/Tau_j)))*Salcycl</f>
        <v>4.3821796678075862E-2</v>
      </c>
      <c r="AD211" s="227">
        <f>(INDEX(Models!$BJ211:$BT211,,AH211)*(1-AF211)+INDEX(Models!$BJ211:$BT211,,AH211+1)*AF211-ERP_i)*AE211*Ramure*Pc/MaxiM</f>
        <v>2.4235463835683008E-5</v>
      </c>
      <c r="AE211" s="301">
        <f t="shared" si="92"/>
        <v>0.5</v>
      </c>
      <c r="AF211" s="173">
        <f t="shared" si="93"/>
        <v>0.90106691399842065</v>
      </c>
      <c r="AG211" s="802">
        <f t="shared" si="99"/>
        <v>3</v>
      </c>
      <c r="AH211" s="172">
        <f t="shared" si="94"/>
        <v>9</v>
      </c>
      <c r="AI211" s="221">
        <f t="shared" si="95"/>
        <v>3.9010669139984206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47316</v>
      </c>
      <c r="B212" s="406">
        <f>'2028'!Wh/'2028'!Env_an*'2029'!Env_an</f>
        <v>56.983417641717466</v>
      </c>
      <c r="C212" s="832"/>
      <c r="D212" s="388">
        <f t="shared" si="77"/>
        <v>59.20512342221614</v>
      </c>
      <c r="E212" s="380">
        <f t="shared" si="75"/>
        <v>59.54893734801005</v>
      </c>
      <c r="F212" s="380">
        <f t="shared" si="78"/>
        <v>59.549019008951987</v>
      </c>
      <c r="G212" s="110">
        <f t="shared" si="76"/>
        <v>0.95051460605996285</v>
      </c>
      <c r="H212" s="409" t="b">
        <f>Wh_hp&gt;='2028'!Maxi_hp</f>
        <v>1</v>
      </c>
      <c r="I212" s="385">
        <f>IF(H212,Wh_hp,'2028'!Maxi_hp)</f>
        <v>59.549019008951987</v>
      </c>
      <c r="J212" s="85">
        <f>IF(H212,An,'2028'!An_max)</f>
        <v>2029</v>
      </c>
      <c r="K212" s="193">
        <f t="shared" si="79"/>
        <v>47316</v>
      </c>
      <c r="L212" s="143">
        <f>IF(t&lt;Tvie,1-EXP((T0-t)*PertePVj)+'2028'!Pspv,1-EXP((T0-t)*PertePVj)+Pspv)</f>
        <v>3.7525566236130903E-2</v>
      </c>
      <c r="M212" s="836"/>
      <c r="N212" s="836"/>
      <c r="O212" s="48">
        <f>IF(t&lt;Tnet,'2028'!Resal+('2028'!Salim-'2028'!Resal)*(1-EXP(('2028'!Tnet-t)/('2028'!Tau_j))),Resal+(Salim-Resal)*(1-EXP((Tnet-t)/(Tau_j))))*Salcycl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1.4756409381462072E-6</v>
      </c>
      <c r="Q212" s="301">
        <f t="shared" si="80"/>
        <v>0.5</v>
      </c>
      <c r="R212" s="173">
        <f t="shared" si="81"/>
        <v>0.37914930569101984</v>
      </c>
      <c r="S212" s="802">
        <f t="shared" si="82"/>
        <v>0</v>
      </c>
      <c r="T212" s="172">
        <f t="shared" si="83"/>
        <v>6</v>
      </c>
      <c r="U212" s="247">
        <f t="shared" si="84"/>
        <v>0.37914930569101984</v>
      </c>
      <c r="V212" s="378">
        <f t="shared" si="85"/>
        <v>59.950064243120458</v>
      </c>
      <c r="W212" s="397">
        <f t="shared" si="86"/>
        <v>56.983417641717466</v>
      </c>
      <c r="X212" s="153">
        <f t="shared" si="87"/>
        <v>47316</v>
      </c>
      <c r="Y212" s="380">
        <f t="shared" si="88"/>
        <v>54.799214874202299</v>
      </c>
      <c r="Z212" s="380">
        <f t="shared" si="89"/>
        <v>56.935761566053806</v>
      </c>
      <c r="AA212" s="381">
        <f t="shared" si="90"/>
        <v>59.547595020312315</v>
      </c>
      <c r="AB212" s="193">
        <f t="shared" si="91"/>
        <v>47316</v>
      </c>
      <c r="AC212" s="119">
        <f>IF(OR(t&lt;Tnet,NoTnet),'2028'!Resal_s+('2028'!Salim-'2028'!Resal_s)*(1-EXP(('2028'!Tnet_s-t)/'2028'!Tau_j)),Resal_s+(Salim-Resal_s)*(1-EXP((Tnet_s-t)/Tau_j)))*Salcycl</f>
        <v>4.3861275226440059E-2</v>
      </c>
      <c r="AD212" s="227">
        <f>(INDEX(Models!$BJ212:$BT212,,AH212)*(1-AF212)+INDEX(Models!$BJ212:$BT212,,AH212+1)*AF212-ERP_i)*AE212*Ramure*Pc/MaxiM</f>
        <v>2.5731958048997816E-5</v>
      </c>
      <c r="AE212" s="301">
        <f t="shared" si="92"/>
        <v>0.5</v>
      </c>
      <c r="AF212" s="173">
        <f t="shared" si="93"/>
        <v>0.90413687206499693</v>
      </c>
      <c r="AG212" s="802">
        <f t="shared" si="99"/>
        <v>3</v>
      </c>
      <c r="AH212" s="172">
        <f t="shared" si="94"/>
        <v>9</v>
      </c>
      <c r="AI212" s="221">
        <f t="shared" si="95"/>
        <v>3.9041368720649969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47317</v>
      </c>
      <c r="B213" s="406">
        <f>'2028'!Wh/'2028'!Env_an*'2029'!Env_an</f>
        <v>58.72211498531685</v>
      </c>
      <c r="C213" s="832"/>
      <c r="D213" s="388">
        <f t="shared" si="77"/>
        <v>61.012445414388651</v>
      </c>
      <c r="E213" s="380">
        <f t="shared" si="75"/>
        <v>61.371181556388947</v>
      </c>
      <c r="F213" s="380">
        <f t="shared" si="78"/>
        <v>61.371274856817003</v>
      </c>
      <c r="G213" s="110">
        <f t="shared" si="76"/>
        <v>0.98203405054253767</v>
      </c>
      <c r="H213" s="409" t="b">
        <f>Wh_hp&gt;='2028'!Maxi_hp</f>
        <v>1</v>
      </c>
      <c r="I213" s="385">
        <f>IF(H213,Wh_hp,'2028'!Maxi_hp)</f>
        <v>61.371274856817003</v>
      </c>
      <c r="J213" s="85">
        <f>IF(H213,An,'2028'!An_max)</f>
        <v>2029</v>
      </c>
      <c r="K213" s="193">
        <f t="shared" si="79"/>
        <v>47317</v>
      </c>
      <c r="L213" s="143">
        <f>IF(t&lt;Tvie,1-EXP((T0-t)*PertePVj)+'2028'!Pspv,1-EXP((T0-t)*PertePVj)+Pspv)</f>
        <v>3.7538741702879963E-2</v>
      </c>
      <c r="M213" s="836"/>
      <c r="N213" s="836"/>
      <c r="O213" s="48">
        <f>IF(t&lt;Tnet,'2028'!Resal+('2028'!Salim-'2028'!Resal)*(1-EXP(('2028'!Tnet-t)/('2028'!Tau_j))),Resal+(Salim-Resal)*(1-EXP((Tnet-t)/(Tau_j))))*Salcycl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1.5603084087470976E-6</v>
      </c>
      <c r="Q213" s="301">
        <f t="shared" si="80"/>
        <v>0.5</v>
      </c>
      <c r="R213" s="173">
        <f t="shared" si="81"/>
        <v>0.38213942660731026</v>
      </c>
      <c r="S213" s="802">
        <f t="shared" si="82"/>
        <v>0</v>
      </c>
      <c r="T213" s="172">
        <f t="shared" si="83"/>
        <v>6</v>
      </c>
      <c r="U213" s="247">
        <f t="shared" si="84"/>
        <v>0.38213942660731026</v>
      </c>
      <c r="V213" s="378">
        <f t="shared" si="85"/>
        <v>59.796411948518667</v>
      </c>
      <c r="W213" s="397">
        <f t="shared" si="86"/>
        <v>58.72211498531685</v>
      </c>
      <c r="X213" s="153">
        <f t="shared" si="87"/>
        <v>47317</v>
      </c>
      <c r="Y213" s="380">
        <f t="shared" si="88"/>
        <v>56.472895302348171</v>
      </c>
      <c r="Z213" s="380">
        <f t="shared" si="89"/>
        <v>58.675499731039046</v>
      </c>
      <c r="AA213" s="381">
        <f t="shared" si="90"/>
        <v>61.369650909212851</v>
      </c>
      <c r="AB213" s="193">
        <f t="shared" si="91"/>
        <v>47317</v>
      </c>
      <c r="AC213" s="119">
        <f>IF(OR(t&lt;Tnet,NoTnet),'2028'!Resal_s+('2028'!Salim-'2028'!Resal_s)*(1-EXP(('2028'!Tnet_s-t)/'2028'!Tau_j)),Resal_s+(Salim-Resal_s)*(1-EXP((Tnet_s-t)/Tau_j)))*Salcycl</f>
        <v>4.3900382978540944E-2</v>
      </c>
      <c r="AD213" s="227">
        <f>(INDEX(Models!$BJ213:$BT213,,AH213)*(1-AF213)+INDEX(Models!$BJ213:$BT213,,AH213+1)*AF213-ERP_i)*AE213*Ramure*Pc/MaxiM</f>
        <v>2.715806513308965E-5</v>
      </c>
      <c r="AE213" s="301">
        <f t="shared" si="92"/>
        <v>0.5</v>
      </c>
      <c r="AF213" s="173">
        <f t="shared" si="93"/>
        <v>0.90712699298128729</v>
      </c>
      <c r="AG213" s="802">
        <f t="shared" si="99"/>
        <v>3</v>
      </c>
      <c r="AH213" s="172">
        <f t="shared" si="94"/>
        <v>9</v>
      </c>
      <c r="AI213" s="221">
        <f t="shared" si="95"/>
        <v>3.9071269929812873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47318</v>
      </c>
      <c r="B214" s="406">
        <f>'2028'!Wh/'2028'!Env_an*'2029'!Env_an</f>
        <v>43.132592600379645</v>
      </c>
      <c r="C214" s="832"/>
      <c r="D214" s="388">
        <f t="shared" si="77"/>
        <v>44.815500557133618</v>
      </c>
      <c r="E214" s="380">
        <f t="shared" si="75"/>
        <v>45.082250722854852</v>
      </c>
      <c r="F214" s="380">
        <f t="shared" si="78"/>
        <v>45.082295517723566</v>
      </c>
      <c r="G214" s="110">
        <f t="shared" si="76"/>
        <v>0.72323980900301521</v>
      </c>
      <c r="H214" s="409" t="b">
        <f>Wh_hp&gt;='2028'!Maxi_hp</f>
        <v>1</v>
      </c>
      <c r="I214" s="385">
        <f>IF(H214,Wh_hp,'2028'!Maxi_hp)</f>
        <v>45.082295517723566</v>
      </c>
      <c r="J214" s="85">
        <f>IF(H214,An,'2028'!An_max)</f>
        <v>2029</v>
      </c>
      <c r="K214" s="193">
        <f t="shared" si="79"/>
        <v>47318</v>
      </c>
      <c r="L214" s="143">
        <f>IF(t&lt;Tvie,1-EXP((T0-t)*PertePVj)+'2028'!Pspv,1-EXP((T0-t)*PertePVj)+Pspv)</f>
        <v>3.7551916989267853E-2</v>
      </c>
      <c r="M214" s="836"/>
      <c r="N214" s="836"/>
      <c r="O214" s="48">
        <f>IF(t&lt;Tnet,'2028'!Resal+('2028'!Salim-'2028'!Resal)*(1-EXP(('2028'!Tnet-t)/('2028'!Tau_j))),Resal+(Salim-Resal)*(1-EXP((Tnet-t)/(Tau_j))))*Salcycl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1.6433622052802743E-6</v>
      </c>
      <c r="Q214" s="301">
        <f t="shared" si="80"/>
        <v>0.5</v>
      </c>
      <c r="R214" s="173">
        <f t="shared" si="81"/>
        <v>0.38505035787287401</v>
      </c>
      <c r="S214" s="802">
        <f t="shared" si="82"/>
        <v>0</v>
      </c>
      <c r="T214" s="172">
        <f t="shared" si="83"/>
        <v>6</v>
      </c>
      <c r="U214" s="247">
        <f t="shared" si="84"/>
        <v>0.38505035787287401</v>
      </c>
      <c r="V214" s="378">
        <f t="shared" si="85"/>
        <v>59.637984577942127</v>
      </c>
      <c r="W214" s="397">
        <f t="shared" si="86"/>
        <v>43.132592600379645</v>
      </c>
      <c r="X214" s="153">
        <f t="shared" si="87"/>
        <v>47318</v>
      </c>
      <c r="Y214" s="380">
        <f t="shared" si="88"/>
        <v>41.482162185123322</v>
      </c>
      <c r="Z214" s="380">
        <f t="shared" si="89"/>
        <v>43.100675160948661</v>
      </c>
      <c r="AA214" s="381">
        <f t="shared" si="90"/>
        <v>45.081518303360703</v>
      </c>
      <c r="AB214" s="193">
        <f t="shared" si="91"/>
        <v>47318</v>
      </c>
      <c r="AC214" s="119">
        <f>IF(OR(t&lt;Tnet,NoTnet),'2028'!Resal_s+('2028'!Salim-'2028'!Resal_s)*(1-EXP(('2028'!Tnet_s-t)/'2028'!Tau_j)),Resal_s+(Salim-Resal_s)*(1-EXP((Tnet_s-t)/Tau_j)))*Salcycl</f>
        <v>4.3939139961583253E-2</v>
      </c>
      <c r="AD214" s="227">
        <f>(INDEX(Models!$BJ214:$BT214,,AH214)*(1-AF214)+INDEX(Models!$BJ214:$BT214,,AH214+1)*AF214-ERP_i)*AE214*Ramure*Pc/MaxiM</f>
        <v>2.8513192381283158E-5</v>
      </c>
      <c r="AE214" s="301">
        <f t="shared" si="92"/>
        <v>0.5</v>
      </c>
      <c r="AF214" s="173">
        <f t="shared" si="93"/>
        <v>0.91003792424685104</v>
      </c>
      <c r="AG214" s="802">
        <f t="shared" si="99"/>
        <v>3</v>
      </c>
      <c r="AH214" s="172">
        <f t="shared" si="94"/>
        <v>9</v>
      </c>
      <c r="AI214" s="221">
        <f t="shared" si="95"/>
        <v>3.910037924246851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47319</v>
      </c>
      <c r="B215" s="406">
        <f>'2028'!Wh/'2028'!Env_an*'2029'!Env_an</f>
        <v>40.503007169043045</v>
      </c>
      <c r="C215" s="832"/>
      <c r="D215" s="388">
        <f t="shared" si="77"/>
        <v>42.083892465227919</v>
      </c>
      <c r="E215" s="380">
        <f t="shared" si="75"/>
        <v>42.337429402841821</v>
      </c>
      <c r="F215" s="380">
        <f t="shared" si="78"/>
        <v>42.337469147916153</v>
      </c>
      <c r="G215" s="110">
        <f t="shared" si="76"/>
        <v>0.6810132872832324</v>
      </c>
      <c r="H215" s="409" t="b">
        <f>Wh_hp&gt;='2028'!Maxi_hp</f>
        <v>1</v>
      </c>
      <c r="I215" s="385">
        <f>IF(H215,Wh_hp,'2028'!Maxi_hp)</f>
        <v>42.337469147916153</v>
      </c>
      <c r="J215" s="85">
        <f>IF(H215,An,'2028'!An_max)</f>
        <v>2029</v>
      </c>
      <c r="K215" s="193">
        <f t="shared" si="79"/>
        <v>47319</v>
      </c>
      <c r="L215" s="143">
        <f>IF(t&lt;Tvie,1-EXP((T0-t)*PertePVj)+'2028'!Pspv,1-EXP((T0-t)*PertePVj)+Pspv)</f>
        <v>3.7565092095297237E-2</v>
      </c>
      <c r="M215" s="836"/>
      <c r="N215" s="836"/>
      <c r="O215" s="48">
        <f>IF(t&lt;Tnet,'2028'!Resal+('2028'!Salim-'2028'!Resal)*(1-EXP(('2028'!Tnet-t)/('2028'!Tau_j))),Resal+(Salim-Resal)*(1-EXP((Tnet-t)/(Tau_j))))*Salcycl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1.7247086001744749E-6</v>
      </c>
      <c r="Q215" s="301">
        <f t="shared" si="80"/>
        <v>0.5</v>
      </c>
      <c r="R215" s="173">
        <f t="shared" si="81"/>
        <v>0.38788284330830913</v>
      </c>
      <c r="S215" s="802">
        <f t="shared" si="82"/>
        <v>0</v>
      </c>
      <c r="T215" s="172">
        <f t="shared" si="83"/>
        <v>6</v>
      </c>
      <c r="U215" s="247">
        <f t="shared" si="84"/>
        <v>0.38788284330830913</v>
      </c>
      <c r="V215" s="378">
        <f t="shared" si="85"/>
        <v>59.47457427394189</v>
      </c>
      <c r="W215" s="397">
        <f t="shared" si="86"/>
        <v>40.503007169043045</v>
      </c>
      <c r="X215" s="153">
        <f t="shared" si="87"/>
        <v>47319</v>
      </c>
      <c r="Y215" s="380">
        <f t="shared" si="88"/>
        <v>38.954469997676462</v>
      </c>
      <c r="Z215" s="380">
        <f t="shared" si="89"/>
        <v>40.47491386454741</v>
      </c>
      <c r="AA215" s="381">
        <f t="shared" si="90"/>
        <v>42.336782495428125</v>
      </c>
      <c r="AB215" s="193">
        <f t="shared" si="91"/>
        <v>47319</v>
      </c>
      <c r="AC215" s="119">
        <f>IF(OR(t&lt;Tnet,NoTnet),'2028'!Resal_s+('2028'!Salim-'2028'!Resal_s)*(1-EXP(('2028'!Tnet_s-t)/'2028'!Tau_j)),Resal_s+(Salim-Resal_s)*(1-EXP((Tnet_s-t)/Tau_j)))*Salcycl</f>
        <v>4.3977565632952222E-2</v>
      </c>
      <c r="AD215" s="227">
        <f>(INDEX(Models!$BJ215:$BT215,,AH215)*(1-AF215)+INDEX(Models!$BJ215:$BT215,,AH215+1)*AF215-ERP_i)*AE215*Ramure*Pc/MaxiM</f>
        <v>2.9796785422406909E-5</v>
      </c>
      <c r="AE215" s="301">
        <f t="shared" si="92"/>
        <v>0.5</v>
      </c>
      <c r="AF215" s="173">
        <f t="shared" si="93"/>
        <v>0.91287040968228617</v>
      </c>
      <c r="AG215" s="802">
        <f t="shared" si="99"/>
        <v>3</v>
      </c>
      <c r="AH215" s="172">
        <f t="shared" si="94"/>
        <v>9</v>
      </c>
      <c r="AI215" s="221">
        <f t="shared" si="95"/>
        <v>3.9128704096822862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47320</v>
      </c>
      <c r="B216" s="406">
        <f>'2028'!Wh/'2028'!Env_an*'2029'!Env_an</f>
        <v>55.888417314159128</v>
      </c>
      <c r="C216" s="832"/>
      <c r="D216" s="388">
        <f t="shared" si="77"/>
        <v>58.070610210728582</v>
      </c>
      <c r="E216" s="380">
        <f t="shared" si="75"/>
        <v>58.424657786551712</v>
      </c>
      <c r="F216" s="380">
        <f t="shared" si="78"/>
        <v>58.424754522049035</v>
      </c>
      <c r="G216" s="110">
        <f t="shared" si="76"/>
        <v>0.94237402997111708</v>
      </c>
      <c r="H216" s="409" t="b">
        <f>Wh_hp&gt;='2028'!Maxi_hp</f>
        <v>1</v>
      </c>
      <c r="I216" s="385">
        <f>IF(H216,Wh_hp,'2028'!Maxi_hp)</f>
        <v>58.424754522049035</v>
      </c>
      <c r="J216" s="85">
        <f>IF(H216,An,'2028'!An_max)</f>
        <v>2029</v>
      </c>
      <c r="K216" s="193">
        <f t="shared" si="79"/>
        <v>47320</v>
      </c>
      <c r="L216" s="143">
        <f>IF(t&lt;Tvie,1-EXP((T0-t)*PertePVj)+'2028'!Pspv,1-EXP((T0-t)*PertePVj)+Pspv)</f>
        <v>3.7578267020970446E-2</v>
      </c>
      <c r="M216" s="836"/>
      <c r="N216" s="836"/>
      <c r="O216" s="48">
        <f>IF(t&lt;Tnet,'2028'!Resal+('2028'!Salim-'2028'!Resal)*(1-EXP(('2028'!Tnet-t)/('2028'!Tau_j))),Resal+(Salim-Resal)*(1-EXP((Tnet-t)/(Tau_j))))*Salcycl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1.8042592600553907E-6</v>
      </c>
      <c r="Q216" s="301">
        <f t="shared" si="80"/>
        <v>0.5</v>
      </c>
      <c r="R216" s="173">
        <f t="shared" si="81"/>
        <v>0.3906377160663691</v>
      </c>
      <c r="S216" s="802">
        <f t="shared" si="82"/>
        <v>0</v>
      </c>
      <c r="T216" s="172">
        <f t="shared" si="83"/>
        <v>6</v>
      </c>
      <c r="U216" s="247">
        <f t="shared" si="84"/>
        <v>0.3906377160663691</v>
      </c>
      <c r="V216" s="378">
        <f t="shared" si="85"/>
        <v>59.305973250002275</v>
      </c>
      <c r="W216" s="397">
        <f t="shared" si="86"/>
        <v>55.888417314159128</v>
      </c>
      <c r="X216" s="153">
        <f t="shared" si="87"/>
        <v>47320</v>
      </c>
      <c r="Y216" s="380">
        <f t="shared" si="88"/>
        <v>53.752755123066351</v>
      </c>
      <c r="Z216" s="380">
        <f t="shared" si="89"/>
        <v>55.851559956655286</v>
      </c>
      <c r="AA216" s="381">
        <f t="shared" si="90"/>
        <v>58.423092008563593</v>
      </c>
      <c r="AB216" s="193">
        <f t="shared" si="91"/>
        <v>47320</v>
      </c>
      <c r="AC216" s="119">
        <f>IF(OR(t&lt;Tnet,NoTnet),'2028'!Resal_s+('2028'!Salim-'2028'!Resal_s)*(1-EXP(('2028'!Tnet_s-t)/'2028'!Tau_j)),Resal_s+(Salim-Resal_s)*(1-EXP((Tnet_s-t)/Tau_j)))*Salcycl</f>
        <v>4.4015678792409155E-2</v>
      </c>
      <c r="AD216" s="227">
        <f>(INDEX(Models!$BJ216:$BT216,,AH216)*(1-AF216)+INDEX(Models!$BJ216:$BT216,,AH216+1)*AF216-ERP_i)*AE216*Ramure*Pc/MaxiM</f>
        <v>3.1008320978123358E-5</v>
      </c>
      <c r="AE216" s="301">
        <f t="shared" si="92"/>
        <v>0.5</v>
      </c>
      <c r="AF216" s="173">
        <f t="shared" si="93"/>
        <v>0.91562528244034613</v>
      </c>
      <c r="AG216" s="802">
        <f t="shared" si="99"/>
        <v>3</v>
      </c>
      <c r="AH216" s="172">
        <f t="shared" si="94"/>
        <v>9</v>
      </c>
      <c r="AI216" s="221">
        <f t="shared" si="95"/>
        <v>3.9156252824403461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47321</v>
      </c>
      <c r="B217" s="406">
        <f>'2028'!Wh/'2028'!Env_an*'2029'!Env_an</f>
        <v>48.000420021357549</v>
      </c>
      <c r="C217" s="832"/>
      <c r="D217" s="388">
        <f t="shared" si="77"/>
        <v>49.875304630968571</v>
      </c>
      <c r="E217" s="380">
        <f t="shared" si="75"/>
        <v>50.182987622928636</v>
      </c>
      <c r="F217" s="380">
        <f t="shared" si="78"/>
        <v>50.18305666617475</v>
      </c>
      <c r="G217" s="110">
        <f t="shared" si="76"/>
        <v>0.8117502706655445</v>
      </c>
      <c r="H217" s="409" t="b">
        <f>Wh_hp&gt;='2028'!Maxi_hp</f>
        <v>1</v>
      </c>
      <c r="I217" s="385">
        <f>IF(H217,Wh_hp,'2028'!Maxi_hp)</f>
        <v>50.18305666617475</v>
      </c>
      <c r="J217" s="85">
        <f>IF(H217,An,'2028'!An_max)</f>
        <v>2029</v>
      </c>
      <c r="K217" s="193">
        <f t="shared" si="79"/>
        <v>47321</v>
      </c>
      <c r="L217" s="143">
        <f>IF(t&lt;Tvie,1-EXP((T0-t)*PertePVj)+'2028'!Pspv,1-EXP((T0-t)*PertePVj)+Pspv)</f>
        <v>3.7591441766289924E-2</v>
      </c>
      <c r="M217" s="836"/>
      <c r="N217" s="836"/>
      <c r="O217" s="48">
        <f>IF(t&lt;Tnet,'2028'!Resal+('2028'!Salim-'2028'!Resal)*(1-EXP(('2028'!Tnet-t)/('2028'!Tau_j))),Resal+(Salim-Resal)*(1-EXP((Tnet-t)/(Tau_j))))*Salcycl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1.8819310222626543E-6</v>
      </c>
      <c r="Q217" s="301">
        <f t="shared" si="80"/>
        <v>0.5</v>
      </c>
      <c r="R217" s="173">
        <f t="shared" si="81"/>
        <v>0.39331589172364823</v>
      </c>
      <c r="S217" s="802">
        <f t="shared" si="82"/>
        <v>0</v>
      </c>
      <c r="T217" s="172">
        <f t="shared" si="83"/>
        <v>6</v>
      </c>
      <c r="U217" s="247">
        <f t="shared" si="84"/>
        <v>0.39331589172364823</v>
      </c>
      <c r="V217" s="378">
        <f t="shared" si="85"/>
        <v>59.131973788938204</v>
      </c>
      <c r="W217" s="397">
        <f t="shared" si="86"/>
        <v>48.000420021357549</v>
      </c>
      <c r="X217" s="153">
        <f t="shared" si="87"/>
        <v>47321</v>
      </c>
      <c r="Y217" s="380">
        <f t="shared" si="88"/>
        <v>46.167883861537767</v>
      </c>
      <c r="Z217" s="380">
        <f t="shared" si="89"/>
        <v>47.97119005910421</v>
      </c>
      <c r="AA217" s="381">
        <f t="shared" si="90"/>
        <v>50.181877263802008</v>
      </c>
      <c r="AB217" s="193">
        <f t="shared" si="91"/>
        <v>47321</v>
      </c>
      <c r="AC217" s="119">
        <f>IF(OR(t&lt;Tnet,NoTnet),'2028'!Resal_s+('2028'!Salim-'2028'!Resal_s)*(1-EXP(('2028'!Tnet_s-t)/'2028'!Tau_j)),Resal_s+(Salim-Resal_s)*(1-EXP((Tnet_s-t)/Tau_j)))*Salcycl</f>
        <v>4.4053497502223628E-2</v>
      </c>
      <c r="AD217" s="227">
        <f>(INDEX(Models!$BJ217:$BT217,,AH217)*(1-AF217)+INDEX(Models!$BJ217:$BT217,,AH217+1)*AF217-ERP_i)*AE217*Ramure*Pc/MaxiM</f>
        <v>3.2147299525953576E-5</v>
      </c>
      <c r="AE217" s="301">
        <f t="shared" si="92"/>
        <v>0.5</v>
      </c>
      <c r="AF217" s="173">
        <f t="shared" si="93"/>
        <v>0.91830345809762548</v>
      </c>
      <c r="AG217" s="802">
        <f t="shared" si="99"/>
        <v>3</v>
      </c>
      <c r="AH217" s="172">
        <f t="shared" si="94"/>
        <v>9</v>
      </c>
      <c r="AI217" s="221">
        <f t="shared" si="95"/>
        <v>3.9183034580976255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47322</v>
      </c>
      <c r="B218" s="406">
        <f>'2028'!Wh/'2028'!Env_an*'2029'!Env_an</f>
        <v>45.418673421762406</v>
      </c>
      <c r="C218" s="832"/>
      <c r="D218" s="388">
        <f t="shared" si="77"/>
        <v>47.193361681164916</v>
      </c>
      <c r="E218" s="380">
        <f t="shared" si="75"/>
        <v>47.487902884201432</v>
      </c>
      <c r="F218" s="380">
        <f t="shared" si="78"/>
        <v>47.487965360403408</v>
      </c>
      <c r="G218" s="110">
        <f t="shared" si="76"/>
        <v>0.77042951150752614</v>
      </c>
      <c r="H218" s="409" t="b">
        <f>Wh_hp&gt;='2028'!Maxi_hp</f>
        <v>1</v>
      </c>
      <c r="I218" s="385">
        <f>IF(H218,Wh_hp,'2028'!Maxi_hp)</f>
        <v>47.487965360403408</v>
      </c>
      <c r="J218" s="85">
        <f>IF(H218,An,'2028'!An_max)</f>
        <v>2029</v>
      </c>
      <c r="K218" s="193">
        <f t="shared" si="79"/>
        <v>47322</v>
      </c>
      <c r="L218" s="143">
        <f>IF(t&lt;Tvie,1-EXP((T0-t)*PertePVj)+'2028'!Pspv,1-EXP((T0-t)*PertePVj)+Pspv)</f>
        <v>3.7604616331258223E-2</v>
      </c>
      <c r="M218" s="836"/>
      <c r="N218" s="836"/>
      <c r="O218" s="48">
        <f>IF(t&lt;Tnet,'2028'!Resal+('2028'!Salim-'2028'!Resal)*(1-EXP(('2028'!Tnet-t)/('2028'!Tau_j))),Resal+(Salim-Resal)*(1-EXP((Tnet-t)/(Tau_j))))*Salcycl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1.9576456448857081E-6</v>
      </c>
      <c r="Q218" s="301">
        <f t="shared" si="80"/>
        <v>0.5</v>
      </c>
      <c r="R218" s="173">
        <f t="shared" si="81"/>
        <v>0.39591836148478032</v>
      </c>
      <c r="S218" s="802">
        <f t="shared" si="82"/>
        <v>0</v>
      </c>
      <c r="T218" s="172">
        <f t="shared" si="83"/>
        <v>6</v>
      </c>
      <c r="U218" s="247">
        <f t="shared" si="84"/>
        <v>0.39591836148478032</v>
      </c>
      <c r="V218" s="378">
        <f t="shared" si="85"/>
        <v>58.952368235453484</v>
      </c>
      <c r="W218" s="397">
        <f t="shared" si="86"/>
        <v>45.418673421762406</v>
      </c>
      <c r="X218" s="153">
        <f t="shared" si="87"/>
        <v>47322</v>
      </c>
      <c r="Y218" s="380">
        <f t="shared" si="88"/>
        <v>43.686166090791616</v>
      </c>
      <c r="Z218" s="380">
        <f t="shared" si="89"/>
        <v>45.393158396350408</v>
      </c>
      <c r="AA218" s="381">
        <f t="shared" si="90"/>
        <v>47.486905394844804</v>
      </c>
      <c r="AB218" s="193">
        <f t="shared" si="91"/>
        <v>47322</v>
      </c>
      <c r="AC218" s="119">
        <f>IF(OR(t&lt;Tnet,NoTnet),'2028'!Resal_s+('2028'!Salim-'2028'!Resal_s)*(1-EXP(('2028'!Tnet_s-t)/'2028'!Tau_j)),Resal_s+(Salim-Resal_s)*(1-EXP((Tnet_s-t)/Tau_j)))*Salcycl</f>
        <v>4.4091039015604017E-2</v>
      </c>
      <c r="AD218" s="227">
        <f>(INDEX(Models!$BJ218:$BT218,,AH218)*(1-AF218)+INDEX(Models!$BJ218:$BT218,,AH218+1)*AF218-ERP_i)*AE218*Ramure*Pc/MaxiM</f>
        <v>3.321323790454743E-5</v>
      </c>
      <c r="AE218" s="301">
        <f t="shared" si="92"/>
        <v>0.5</v>
      </c>
      <c r="AF218" s="173">
        <f t="shared" si="93"/>
        <v>0.92090592785875725</v>
      </c>
      <c r="AG218" s="802">
        <f t="shared" si="99"/>
        <v>3</v>
      </c>
      <c r="AH218" s="172">
        <f t="shared" si="94"/>
        <v>9</v>
      </c>
      <c r="AI218" s="221">
        <f t="shared" si="95"/>
        <v>3.9209059278587572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47323</v>
      </c>
      <c r="B219" s="406">
        <f>'2028'!Wh/'2028'!Env_an*'2029'!Env_an</f>
        <v>55.296522216809429</v>
      </c>
      <c r="C219" s="832"/>
      <c r="D219" s="388">
        <f t="shared" si="77"/>
        <v>57.45796387689078</v>
      </c>
      <c r="E219" s="380">
        <f t="shared" si="75"/>
        <v>57.820706649055182</v>
      </c>
      <c r="F219" s="380">
        <f t="shared" si="78"/>
        <v>57.820814196098695</v>
      </c>
      <c r="G219" s="110">
        <f t="shared" si="76"/>
        <v>0.94095553712166635</v>
      </c>
      <c r="H219" s="409" t="b">
        <f>Wh_hp&gt;='2028'!Maxi_hp</f>
        <v>1</v>
      </c>
      <c r="I219" s="385">
        <f>IF(H219,Wh_hp,'2028'!Maxi_hp)</f>
        <v>57.820814196098695</v>
      </c>
      <c r="J219" s="85">
        <f>IF(H219,An,'2028'!An_max)</f>
        <v>2029</v>
      </c>
      <c r="K219" s="193">
        <f t="shared" si="79"/>
        <v>47323</v>
      </c>
      <c r="L219" s="143">
        <f>IF(t&lt;Tvie,1-EXP((T0-t)*PertePVj)+'2028'!Pspv,1-EXP((T0-t)*PertePVj)+Pspv)</f>
        <v>3.7617790715877897E-2</v>
      </c>
      <c r="M219" s="836"/>
      <c r="N219" s="836"/>
      <c r="O219" s="48">
        <f>IF(t&lt;Tnet,'2028'!Resal+('2028'!Salim-'2028'!Resal)*(1-EXP(('2028'!Tnet-t)/('2028'!Tau_j))),Resal+(Salim-Resal)*(1-EXP((Tnet-t)/(Tau_j))))*Salcycl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2.0313478570583485E-6</v>
      </c>
      <c r="Q219" s="301">
        <f t="shared" si="80"/>
        <v>0.5</v>
      </c>
      <c r="R219" s="173">
        <f t="shared" si="81"/>
        <v>0.39844618552765759</v>
      </c>
      <c r="S219" s="802">
        <f t="shared" si="82"/>
        <v>0</v>
      </c>
      <c r="T219" s="172">
        <f t="shared" si="83"/>
        <v>6</v>
      </c>
      <c r="U219" s="247">
        <f t="shared" si="84"/>
        <v>0.39844618552765759</v>
      </c>
      <c r="V219" s="378">
        <f t="shared" si="85"/>
        <v>58.766339705396803</v>
      </c>
      <c r="W219" s="397">
        <f t="shared" si="86"/>
        <v>55.296522216809429</v>
      </c>
      <c r="X219" s="153">
        <f t="shared" si="87"/>
        <v>47323</v>
      </c>
      <c r="Y219" s="380">
        <f t="shared" si="88"/>
        <v>53.188504702410683</v>
      </c>
      <c r="Z219" s="380">
        <f t="shared" si="89"/>
        <v>55.26754774693466</v>
      </c>
      <c r="AA219" s="381">
        <f t="shared" si="90"/>
        <v>57.81900320593374</v>
      </c>
      <c r="AB219" s="193">
        <f t="shared" si="91"/>
        <v>47323</v>
      </c>
      <c r="AC219" s="119">
        <f>IF(OR(t&lt;Tnet,NoTnet),'2028'!Resal_s+('2028'!Salim-'2028'!Resal_s)*(1-EXP(('2028'!Tnet_s-t)/'2028'!Tau_j)),Resal_s+(Salim-Resal_s)*(1-EXP((Tnet_s-t)/Tau_j)))*Salcycl</f>
        <v>4.4128319713703269E-2</v>
      </c>
      <c r="AD219" s="227">
        <f>(INDEX(Models!$BJ219:$BT219,,AH219)*(1-AF219)+INDEX(Models!$BJ219:$BT219,,AH219+1)*AF219-ERP_i)*AE219*Ramure*Pc/MaxiM</f>
        <v>3.4205970434536944E-5</v>
      </c>
      <c r="AE219" s="301">
        <f t="shared" si="92"/>
        <v>0.5</v>
      </c>
      <c r="AF219" s="173">
        <f t="shared" si="93"/>
        <v>0.9234337519016349</v>
      </c>
      <c r="AG219" s="802">
        <f t="shared" si="99"/>
        <v>3</v>
      </c>
      <c r="AH219" s="172">
        <f t="shared" si="94"/>
        <v>9</v>
      </c>
      <c r="AI219" s="221">
        <f t="shared" si="95"/>
        <v>3.9234337519016349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47324</v>
      </c>
      <c r="B220" s="406">
        <f>'2028'!Wh/'2028'!Env_an*'2029'!Env_an</f>
        <v>29.170924477032766</v>
      </c>
      <c r="C220" s="832"/>
      <c r="D220" s="388">
        <f t="shared" si="77"/>
        <v>30.311578421278302</v>
      </c>
      <c r="E220" s="380">
        <f t="shared" si="75"/>
        <v>30.505121773654526</v>
      </c>
      <c r="F220" s="380">
        <f t="shared" si="78"/>
        <v>30.50514003279957</v>
      </c>
      <c r="G220" s="110">
        <f t="shared" si="76"/>
        <v>0.49802131017188284</v>
      </c>
      <c r="H220" s="409" t="b">
        <f>Wh_hp&gt;='2028'!Maxi_hp</f>
        <v>1</v>
      </c>
      <c r="I220" s="385">
        <f>IF(H220,Wh_hp,'2028'!Maxi_hp)</f>
        <v>30.50514003279957</v>
      </c>
      <c r="J220" s="85">
        <f>IF(H220,An,'2028'!An_max)</f>
        <v>2029</v>
      </c>
      <c r="K220" s="193">
        <f t="shared" si="79"/>
        <v>47324</v>
      </c>
      <c r="L220" s="143">
        <f>IF(t&lt;Tvie,1-EXP((T0-t)*PertePVj)+'2028'!Pspv,1-EXP((T0-t)*PertePVj)+Pspv)</f>
        <v>3.7630964920151166E-2</v>
      </c>
      <c r="M220" s="836"/>
      <c r="N220" s="836"/>
      <c r="O220" s="48">
        <f>IF(t&lt;Tnet,'2028'!Resal+('2028'!Salim-'2028'!Resal)*(1-EXP(('2028'!Tnet-t)/('2028'!Tau_j))),Resal+(Salim-Resal)*(1-EXP((Tnet-t)/(Tau_j))))*Salcycl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2.1158840688570815E-6</v>
      </c>
      <c r="Q220" s="301">
        <f t="shared" si="80"/>
        <v>0.5</v>
      </c>
      <c r="R220" s="173">
        <f t="shared" si="81"/>
        <v>0.4009004865147926</v>
      </c>
      <c r="S220" s="802">
        <f t="shared" si="82"/>
        <v>0</v>
      </c>
      <c r="T220" s="172">
        <f t="shared" si="83"/>
        <v>6</v>
      </c>
      <c r="U220" s="247">
        <f t="shared" si="84"/>
        <v>0.4009004865147926</v>
      </c>
      <c r="V220" s="378">
        <f t="shared" si="85"/>
        <v>58.573558238264134</v>
      </c>
      <c r="W220" s="397">
        <f t="shared" si="86"/>
        <v>29.170924477032766</v>
      </c>
      <c r="X220" s="153">
        <f t="shared" si="87"/>
        <v>47324</v>
      </c>
      <c r="Y220" s="380">
        <f t="shared" si="88"/>
        <v>28.060350529828202</v>
      </c>
      <c r="Z220" s="380">
        <f t="shared" si="89"/>
        <v>29.157578337399439</v>
      </c>
      <c r="AA220" s="381">
        <f t="shared" si="90"/>
        <v>30.50483521547503</v>
      </c>
      <c r="AB220" s="193">
        <f t="shared" si="91"/>
        <v>47324</v>
      </c>
      <c r="AC220" s="119">
        <f>IF(OR(t&lt;Tnet,NoTnet),'2028'!Resal_s+('2028'!Salim-'2028'!Resal_s)*(1-EXP(('2028'!Tnet_s-t)/'2028'!Tau_j)),Resal_s+(Salim-Resal_s)*(1-EXP((Tnet_s-t)/Tau_j)))*Salcycl</f>
        <v>4.4165355051389792E-2</v>
      </c>
      <c r="AD220" s="227">
        <f>(INDEX(Models!$BJ220:$BT220,,AH220)*(1-AF220)+INDEX(Models!$BJ220:$BT220,,AH220+1)*AF220-ERP_i)*AE220*Ramure*Pc/MaxiM</f>
        <v>3.5322470981400031E-5</v>
      </c>
      <c r="AE220" s="301">
        <f t="shared" si="92"/>
        <v>0.5</v>
      </c>
      <c r="AF220" s="173">
        <f t="shared" si="93"/>
        <v>0.92588805288876985</v>
      </c>
      <c r="AG220" s="802">
        <f t="shared" si="99"/>
        <v>3</v>
      </c>
      <c r="AH220" s="172">
        <f t="shared" si="94"/>
        <v>9</v>
      </c>
      <c r="AI220" s="221">
        <f t="shared" si="95"/>
        <v>3.9258880528887699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47325</v>
      </c>
      <c r="B221" s="406">
        <f>'2028'!Wh/'2028'!Env_an*'2029'!Env_an</f>
        <v>51.697395413135375</v>
      </c>
      <c r="C221" s="832"/>
      <c r="D221" s="388">
        <f t="shared" si="77"/>
        <v>53.719624418779752</v>
      </c>
      <c r="E221" s="380">
        <f t="shared" si="75"/>
        <v>54.066491560751324</v>
      </c>
      <c r="F221" s="380">
        <f t="shared" si="78"/>
        <v>54.066591686678493</v>
      </c>
      <c r="G221" s="110">
        <f t="shared" si="76"/>
        <v>0.88561503158833899</v>
      </c>
      <c r="H221" s="409" t="b">
        <f>Wh_hp&gt;='2028'!Maxi_hp</f>
        <v>1</v>
      </c>
      <c r="I221" s="385">
        <f>IF(H221,Wh_hp,'2028'!Maxi_hp)</f>
        <v>54.066591686678493</v>
      </c>
      <c r="J221" s="85">
        <f>IF(H221,An,'2028'!An_max)</f>
        <v>2029</v>
      </c>
      <c r="K221" s="193">
        <f t="shared" si="79"/>
        <v>47325</v>
      </c>
      <c r="L221" s="143">
        <f>IF(t&lt;Tvie,1-EXP((T0-t)*PertePVj)+'2028'!Pspv,1-EXP((T0-t)*PertePVj)+Pspv)</f>
        <v>3.7644138944080696E-2</v>
      </c>
      <c r="M221" s="836"/>
      <c r="N221" s="836"/>
      <c r="O221" s="48">
        <f>IF(t&lt;Tnet,'2028'!Resal+('2028'!Salim-'2028'!Resal)*(1-EXP(('2028'!Tnet-t)/('2028'!Tau_j))),Resal+(Salim-Resal)*(1-EXP((Tnet-t)/(Tau_j))))*Salcycl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2.2136203801799916E-6</v>
      </c>
      <c r="Q221" s="301">
        <f t="shared" si="80"/>
        <v>0.5</v>
      </c>
      <c r="R221" s="173">
        <f t="shared" si="81"/>
        <v>0.4032824432926515</v>
      </c>
      <c r="S221" s="802">
        <f t="shared" si="82"/>
        <v>0</v>
      </c>
      <c r="T221" s="172">
        <f t="shared" si="83"/>
        <v>6</v>
      </c>
      <c r="U221" s="247">
        <f t="shared" si="84"/>
        <v>0.4032824432926515</v>
      </c>
      <c r="V221" s="378">
        <f t="shared" si="85"/>
        <v>58.374547482992028</v>
      </c>
      <c r="W221" s="397">
        <f t="shared" si="86"/>
        <v>51.697395413135375</v>
      </c>
      <c r="X221" s="153">
        <f t="shared" si="87"/>
        <v>47325</v>
      </c>
      <c r="Y221" s="380">
        <f t="shared" si="88"/>
        <v>49.72988308738357</v>
      </c>
      <c r="Z221" s="380">
        <f t="shared" si="89"/>
        <v>51.675149598838395</v>
      </c>
      <c r="AA221" s="381">
        <f t="shared" si="90"/>
        <v>54.064936548139237</v>
      </c>
      <c r="AB221" s="193">
        <f t="shared" si="91"/>
        <v>47325</v>
      </c>
      <c r="AC221" s="119">
        <f>IF(OR(t&lt;Tnet,NoTnet),'2028'!Resal_s+('2028'!Salim-'2028'!Resal_s)*(1-EXP(('2028'!Tnet_s-t)/'2028'!Tau_j)),Resal_s+(Salim-Resal_s)*(1-EXP((Tnet_s-t)/Tau_j)))*Salcycl</f>
        <v>4.4202159511885851E-2</v>
      </c>
      <c r="AD221" s="227">
        <f>(INDEX(Models!$BJ221:$BT221,,AH221)*(1-AF221)+INDEX(Models!$BJ221:$BT221,,AH221+1)*AF221-ERP_i)*AE221*Ramure*Pc/MaxiM</f>
        <v>3.6592404246678257E-5</v>
      </c>
      <c r="AE221" s="301">
        <f t="shared" si="92"/>
        <v>0.5</v>
      </c>
      <c r="AF221" s="173">
        <f t="shared" si="93"/>
        <v>0.92827000966662876</v>
      </c>
      <c r="AG221" s="802">
        <f t="shared" si="99"/>
        <v>3</v>
      </c>
      <c r="AH221" s="172">
        <f t="shared" si="94"/>
        <v>9</v>
      </c>
      <c r="AI221" s="221">
        <f t="shared" si="95"/>
        <v>3.9282700096666288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47326</v>
      </c>
      <c r="B222" s="406">
        <f>'2028'!Wh/'2028'!Env_an*'2029'!Env_an</f>
        <v>58.511592998564893</v>
      </c>
      <c r="C222" s="832"/>
      <c r="D222" s="388">
        <f t="shared" si="77"/>
        <v>60.801202914585986</v>
      </c>
      <c r="E222" s="380">
        <f t="shared" si="75"/>
        <v>61.198160082492258</v>
      </c>
      <c r="F222" s="380">
        <f t="shared" si="78"/>
        <v>61.198302360762867</v>
      </c>
      <c r="G222" s="110">
        <f t="shared" si="76"/>
        <v>1.0058752442346581</v>
      </c>
      <c r="H222" s="409" t="b">
        <f>Wh_hp&gt;='2028'!Maxi_hp</f>
        <v>1</v>
      </c>
      <c r="I222" s="385">
        <f>IF(H222,Wh_hp,'2028'!Maxi_hp)</f>
        <v>61.198302360762867</v>
      </c>
      <c r="J222" s="85">
        <f>IF(H222,An,'2028'!An_max)</f>
        <v>2029</v>
      </c>
      <c r="K222" s="193">
        <f t="shared" si="79"/>
        <v>47326</v>
      </c>
      <c r="L222" s="143">
        <f>IF(t&lt;Tvie,1-EXP((T0-t)*PertePVj)+'2028'!Pspv,1-EXP((T0-t)*PertePVj)+Pspv)</f>
        <v>3.7657312787668928E-2</v>
      </c>
      <c r="M222" s="836"/>
      <c r="N222" s="836"/>
      <c r="O222" s="48">
        <f>IF(t&lt;Tnet,'2028'!Resal+('2028'!Salim-'2028'!Resal)*(1-EXP(('2028'!Tnet-t)/('2028'!Tau_j))),Resal+(Salim-Resal)*(1-EXP((Tnet-t)/(Tau_j))))*Salcycl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2.3248728333475118E-6</v>
      </c>
      <c r="Q222" s="301">
        <f t="shared" si="80"/>
        <v>0.5</v>
      </c>
      <c r="R222" s="173">
        <f t="shared" si="81"/>
        <v>0.40559328479761736</v>
      </c>
      <c r="S222" s="802">
        <f t="shared" si="82"/>
        <v>0</v>
      </c>
      <c r="T222" s="172">
        <f t="shared" si="83"/>
        <v>6</v>
      </c>
      <c r="U222" s="247">
        <f t="shared" si="84"/>
        <v>0.40559328479761736</v>
      </c>
      <c r="V222" s="378">
        <f t="shared" si="85"/>
        <v>58.169831034150462</v>
      </c>
      <c r="W222" s="397">
        <f t="shared" si="86"/>
        <v>58.511592998564893</v>
      </c>
      <c r="X222" s="153">
        <f t="shared" si="87"/>
        <v>47326</v>
      </c>
      <c r="Y222" s="380">
        <f t="shared" si="88"/>
        <v>56.286213614064003</v>
      </c>
      <c r="Z222" s="380">
        <f t="shared" si="89"/>
        <v>58.488742484354773</v>
      </c>
      <c r="AA222" s="381">
        <f t="shared" si="90"/>
        <v>61.195975746526898</v>
      </c>
      <c r="AB222" s="193">
        <f t="shared" si="91"/>
        <v>47326</v>
      </c>
      <c r="AC222" s="119">
        <f>IF(OR(t&lt;Tnet,NoTnet),'2028'!Resal_s+('2028'!Salim-'2028'!Resal_s)*(1-EXP(('2028'!Tnet_s-t)/'2028'!Tau_j)),Resal_s+(Salim-Resal_s)*(1-EXP((Tnet_s-t)/Tau_j)))*Salcycl</f>
        <v>4.4238746570288423E-2</v>
      </c>
      <c r="AD222" s="227">
        <f>(INDEX(Models!$BJ222:$BT222,,AH222)*(1-AF222)+INDEX(Models!$BJ222:$BT222,,AH222+1)*AF222-ERP_i)*AE222*Ramure*Pc/MaxiM</f>
        <v>3.8017627061758589E-5</v>
      </c>
      <c r="AE222" s="301">
        <f t="shared" si="92"/>
        <v>0.5</v>
      </c>
      <c r="AF222" s="173">
        <f t="shared" si="93"/>
        <v>0.9305808511715945</v>
      </c>
      <c r="AG222" s="802">
        <f t="shared" si="99"/>
        <v>3</v>
      </c>
      <c r="AH222" s="172">
        <f t="shared" si="94"/>
        <v>9</v>
      </c>
      <c r="AI222" s="221">
        <f t="shared" si="95"/>
        <v>3.9305808511715945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47327</v>
      </c>
      <c r="B223" s="406">
        <f>'2028'!Wh/'2028'!Env_an*'2029'!Env_an</f>
        <v>45.971937846797978</v>
      </c>
      <c r="C223" s="832"/>
      <c r="D223" s="388">
        <f t="shared" si="77"/>
        <v>47.771514018366716</v>
      </c>
      <c r="E223" s="380">
        <f t="shared" si="75"/>
        <v>48.086828548303629</v>
      </c>
      <c r="F223" s="380">
        <f t="shared" si="78"/>
        <v>48.086911548880181</v>
      </c>
      <c r="G223" s="110">
        <f t="shared" si="76"/>
        <v>0.79316698162278443</v>
      </c>
      <c r="H223" s="409" t="b">
        <f>Wh_hp&gt;='2028'!Maxi_hp</f>
        <v>1</v>
      </c>
      <c r="I223" s="385">
        <f>IF(H223,Wh_hp,'2028'!Maxi_hp)</f>
        <v>48.086911548880181</v>
      </c>
      <c r="J223" s="85">
        <f>IF(H223,An,'2028'!An_max)</f>
        <v>2029</v>
      </c>
      <c r="K223" s="193">
        <f t="shared" si="79"/>
        <v>47327</v>
      </c>
      <c r="L223" s="143">
        <f>IF(t&lt;Tvie,1-EXP((T0-t)*PertePVj)+'2028'!Pspv,1-EXP((T0-t)*PertePVj)+Pspv)</f>
        <v>3.7670486450918306E-2</v>
      </c>
      <c r="M223" s="836"/>
      <c r="N223" s="836"/>
      <c r="O223" s="48">
        <f>IF(t&lt;Tnet,'2028'!Resal+('2028'!Salim-'2028'!Resal)*(1-EXP(('2028'!Tnet-t)/('2028'!Tau_j))),Resal+(Salim-Resal)*(1-EXP((Tnet-t)/(Tau_j))))*Salcycl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2.4499530773400619E-6</v>
      </c>
      <c r="Q223" s="301">
        <f t="shared" si="80"/>
        <v>0.5</v>
      </c>
      <c r="R223" s="173">
        <f t="shared" si="81"/>
        <v>0.40783428418419887</v>
      </c>
      <c r="S223" s="802">
        <f t="shared" si="82"/>
        <v>0</v>
      </c>
      <c r="T223" s="172">
        <f t="shared" si="83"/>
        <v>6</v>
      </c>
      <c r="U223" s="247">
        <f t="shared" si="84"/>
        <v>0.40783428418419887</v>
      </c>
      <c r="V223" s="378">
        <f t="shared" si="85"/>
        <v>57.959932312881328</v>
      </c>
      <c r="W223" s="397">
        <f t="shared" si="86"/>
        <v>45.971937846797978</v>
      </c>
      <c r="X223" s="153">
        <f t="shared" si="87"/>
        <v>47327</v>
      </c>
      <c r="Y223" s="380">
        <f t="shared" si="88"/>
        <v>44.225368622757685</v>
      </c>
      <c r="Z223" s="380">
        <f t="shared" si="89"/>
        <v>45.956575164835222</v>
      </c>
      <c r="AA223" s="381">
        <f t="shared" si="90"/>
        <v>48.085569961870206</v>
      </c>
      <c r="AB223" s="193">
        <f t="shared" si="91"/>
        <v>47327</v>
      </c>
      <c r="AC223" s="119">
        <f>IF(OR(t&lt;Tnet,NoTnet),'2028'!Resal_s+('2028'!Salim-'2028'!Resal_s)*(1-EXP(('2028'!Tnet_s-t)/'2028'!Tau_j)),Resal_s+(Salim-Resal_s)*(1-EXP((Tnet_s-t)/Tau_j)))*Salcycl</f>
        <v>4.4275128665900998E-2</v>
      </c>
      <c r="AD223" s="227">
        <f>(INDEX(Models!$BJ223:$BT223,,AH223)*(1-AF223)+INDEX(Models!$BJ223:$BT223,,AH223+1)*AF223-ERP_i)*AE223*Ramure*Pc/MaxiM</f>
        <v>3.9600028819948991E-5</v>
      </c>
      <c r="AE223" s="301">
        <f t="shared" si="92"/>
        <v>0.5</v>
      </c>
      <c r="AF223" s="173">
        <f t="shared" si="93"/>
        <v>0.93282185055817601</v>
      </c>
      <c r="AG223" s="802">
        <f t="shared" si="99"/>
        <v>3</v>
      </c>
      <c r="AH223" s="172">
        <f t="shared" si="94"/>
        <v>9</v>
      </c>
      <c r="AI223" s="221">
        <f t="shared" si="95"/>
        <v>3.932821850558176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47328</v>
      </c>
      <c r="B224" s="406">
        <f>'2028'!Wh/'2028'!Env_an*'2029'!Env_an</f>
        <v>28.558009646652295</v>
      </c>
      <c r="C224" s="832"/>
      <c r="D224" s="388">
        <f t="shared" si="77"/>
        <v>29.676322075845299</v>
      </c>
      <c r="E224" s="380">
        <f t="shared" si="75"/>
        <v>29.874325245980373</v>
      </c>
      <c r="F224" s="380">
        <f t="shared" si="78"/>
        <v>29.874346743738087</v>
      </c>
      <c r="G224" s="110">
        <f t="shared" si="76"/>
        <v>0.49454967556673657</v>
      </c>
      <c r="H224" s="409" t="b">
        <f>Wh_hp&gt;='2028'!Maxi_hp</f>
        <v>1</v>
      </c>
      <c r="I224" s="385">
        <f>IF(H224,Wh_hp,'2028'!Maxi_hp)</f>
        <v>29.874346743738087</v>
      </c>
      <c r="J224" s="85">
        <f>IF(H224,An,'2028'!An_max)</f>
        <v>2029</v>
      </c>
      <c r="K224" s="193">
        <f t="shared" si="79"/>
        <v>47328</v>
      </c>
      <c r="L224" s="143">
        <f>IF(t&lt;Tvie,1-EXP((T0-t)*PertePVj)+'2028'!Pspv,1-EXP((T0-t)*PertePVj)+Pspv)</f>
        <v>3.7683659933831271E-2</v>
      </c>
      <c r="M224" s="836"/>
      <c r="N224" s="836"/>
      <c r="O224" s="48">
        <f>IF(t&lt;Tnet,'2028'!Resal+('2028'!Salim-'2028'!Resal)*(1-EXP(('2028'!Tnet-t)/('2028'!Tau_j))),Resal+(Salim-Resal)*(1-EXP((Tnet-t)/(Tau_j))))*Salcycl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2.5891678854908217E-6</v>
      </c>
      <c r="Q224" s="301">
        <f t="shared" si="80"/>
        <v>0.5</v>
      </c>
      <c r="R224" s="173">
        <f t="shared" si="81"/>
        <v>0.41000675318823226</v>
      </c>
      <c r="S224" s="802">
        <f t="shared" si="82"/>
        <v>0</v>
      </c>
      <c r="T224" s="172">
        <f t="shared" si="83"/>
        <v>6</v>
      </c>
      <c r="U224" s="247">
        <f t="shared" si="84"/>
        <v>0.41000675318823226</v>
      </c>
      <c r="V224" s="378">
        <f t="shared" si="85"/>
        <v>57.745374563070357</v>
      </c>
      <c r="W224" s="397">
        <f t="shared" si="86"/>
        <v>28.558009646652295</v>
      </c>
      <c r="X224" s="153">
        <f t="shared" si="87"/>
        <v>47328</v>
      </c>
      <c r="Y224" s="380">
        <f t="shared" si="88"/>
        <v>27.474369242111848</v>
      </c>
      <c r="Z224" s="380">
        <f t="shared" si="89"/>
        <v>28.550247042695663</v>
      </c>
      <c r="AA224" s="381">
        <f t="shared" si="90"/>
        <v>29.874003486728718</v>
      </c>
      <c r="AB224" s="193">
        <f t="shared" si="91"/>
        <v>47328</v>
      </c>
      <c r="AC224" s="119">
        <f>IF(OR(t&lt;Tnet,NoTnet),'2028'!Resal_s+('2028'!Salim-'2028'!Resal_s)*(1-EXP(('2028'!Tnet_s-t)/'2028'!Tau_j)),Resal_s+(Salim-Resal_s)*(1-EXP((Tnet_s-t)/Tau_j)))*Salcycl</f>
        <v>4.4311317183219991E-2</v>
      </c>
      <c r="AD224" s="227">
        <f>(INDEX(Models!$BJ224:$BT224,,AH224)*(1-AF224)+INDEX(Models!$BJ224:$BT224,,AH224+1)*AF224-ERP_i)*AE224*Ramure*Pc/MaxiM</f>
        <v>4.1341522077517254E-5</v>
      </c>
      <c r="AE224" s="301">
        <f t="shared" si="92"/>
        <v>0.5</v>
      </c>
      <c r="AF224" s="173">
        <f t="shared" si="93"/>
        <v>0.93499431956220924</v>
      </c>
      <c r="AG224" s="802">
        <f t="shared" si="99"/>
        <v>3</v>
      </c>
      <c r="AH224" s="172">
        <f t="shared" si="94"/>
        <v>9</v>
      </c>
      <c r="AI224" s="221">
        <f t="shared" si="95"/>
        <v>3.9349943195622092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47329</v>
      </c>
      <c r="B225" s="406">
        <f>'2028'!Wh/'2028'!Env_an*'2029'!Env_an</f>
        <v>46.969422859739815</v>
      </c>
      <c r="C225" s="832"/>
      <c r="D225" s="388">
        <f t="shared" si="77"/>
        <v>48.809381993106193</v>
      </c>
      <c r="E225" s="380">
        <f t="shared" si="75"/>
        <v>49.138534654509677</v>
      </c>
      <c r="F225" s="380">
        <f t="shared" si="78"/>
        <v>49.138634097962324</v>
      </c>
      <c r="G225" s="110">
        <f t="shared" si="76"/>
        <v>0.81648008166867325</v>
      </c>
      <c r="H225" s="409" t="b">
        <f>Wh_hp&gt;='2028'!Maxi_hp</f>
        <v>1</v>
      </c>
      <c r="I225" s="385">
        <f>IF(H225,Wh_hp,'2028'!Maxi_hp)</f>
        <v>49.138634097962324</v>
      </c>
      <c r="J225" s="85">
        <f>IF(H225,An,'2028'!An_max)</f>
        <v>2029</v>
      </c>
      <c r="K225" s="193">
        <f t="shared" si="79"/>
        <v>47329</v>
      </c>
      <c r="L225" s="143">
        <f>IF(t&lt;Tvie,1-EXP((T0-t)*PertePVj)+'2028'!Pspv,1-EXP((T0-t)*PertePVj)+Pspv)</f>
        <v>3.7696833236410376E-2</v>
      </c>
      <c r="M225" s="836"/>
      <c r="N225" s="836"/>
      <c r="O225" s="48">
        <f>IF(t&lt;Tnet,'2028'!Resal+('2028'!Salim-'2028'!Resal)*(1-EXP(('2028'!Tnet-t)/('2028'!Tau_j))),Resal+(Salim-Resal)*(1-EXP((Tnet-t)/(Tau_j))))*Salcycl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2.7428185825208991E-6</v>
      </c>
      <c r="Q225" s="301">
        <f t="shared" si="80"/>
        <v>0.5</v>
      </c>
      <c r="R225" s="173">
        <f t="shared" si="81"/>
        <v>0.41211203673511471</v>
      </c>
      <c r="S225" s="802">
        <f t="shared" si="82"/>
        <v>0</v>
      </c>
      <c r="T225" s="172">
        <f t="shared" si="83"/>
        <v>6</v>
      </c>
      <c r="U225" s="247">
        <f t="shared" si="84"/>
        <v>0.41211203673511471</v>
      </c>
      <c r="V225" s="378">
        <f t="shared" si="85"/>
        <v>57.526680857445648</v>
      </c>
      <c r="W225" s="397">
        <f t="shared" si="86"/>
        <v>46.969422859739815</v>
      </c>
      <c r="X225" s="153">
        <f t="shared" si="87"/>
        <v>47329</v>
      </c>
      <c r="Y225" s="380">
        <f t="shared" si="88"/>
        <v>45.187802200870152</v>
      </c>
      <c r="Z225" s="380">
        <f t="shared" si="89"/>
        <v>46.957968924539038</v>
      </c>
      <c r="AA225" s="381">
        <f t="shared" si="90"/>
        <v>49.137066245133369</v>
      </c>
      <c r="AB225" s="193">
        <f t="shared" si="91"/>
        <v>47329</v>
      </c>
      <c r="AC225" s="119">
        <f>IF(OR(t&lt;Tnet,NoTnet),'2028'!Resal_s+('2028'!Salim-'2028'!Resal_s)*(1-EXP(('2028'!Tnet_s-t)/'2028'!Tau_j)),Resal_s+(Salim-Resal_s)*(1-EXP((Tnet_s-t)/Tau_j)))*Salcycl</f>
        <v>4.4347322441338349E-2</v>
      </c>
      <c r="AD225" s="227">
        <f>(INDEX(Models!$BJ225:$BT225,,AH225)*(1-AF225)+INDEX(Models!$BJ225:$BT225,,AH225+1)*AF225-ERP_i)*AE225*Ramure*Pc/MaxiM</f>
        <v>4.3244032256562752E-5</v>
      </c>
      <c r="AE225" s="301">
        <f t="shared" si="92"/>
        <v>0.5</v>
      </c>
      <c r="AF225" s="173">
        <f t="shared" si="93"/>
        <v>0.93709960310909191</v>
      </c>
      <c r="AG225" s="802">
        <f t="shared" si="99"/>
        <v>3</v>
      </c>
      <c r="AH225" s="172">
        <f t="shared" si="94"/>
        <v>9</v>
      </c>
      <c r="AI225" s="221">
        <f t="shared" si="95"/>
        <v>3.9370996031090919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47330</v>
      </c>
      <c r="B226" s="406">
        <f>'2028'!Wh/'2028'!Env_an*'2029'!Env_an</f>
        <v>57.518018867978697</v>
      </c>
      <c r="C226" s="832"/>
      <c r="D226" s="388">
        <f t="shared" si="77"/>
        <v>59.772022205414729</v>
      </c>
      <c r="E226" s="380">
        <f t="shared" si="75"/>
        <v>60.179374509145347</v>
      </c>
      <c r="F226" s="380">
        <f t="shared" si="78"/>
        <v>60.179550846641447</v>
      </c>
      <c r="G226" s="110">
        <f t="shared" si="76"/>
        <v>1.003728264484145</v>
      </c>
      <c r="H226" s="409" t="b">
        <f>Wh_hp&gt;='2028'!Maxi_hp</f>
        <v>0</v>
      </c>
      <c r="I226" s="385">
        <f>IF(H226,Wh_hp,'2028'!Maxi_hp)</f>
        <v>60.179550846641455</v>
      </c>
      <c r="J226" s="85">
        <f>IF(H226,An,'2028'!An_max)</f>
        <v>2027</v>
      </c>
      <c r="K226" s="193">
        <f t="shared" si="79"/>
        <v>47330</v>
      </c>
      <c r="L226" s="143">
        <f>IF(t&lt;Tvie,1-EXP((T0-t)*PertePVj)+'2028'!Pspv,1-EXP((T0-t)*PertePVj)+Pspv)</f>
        <v>3.7710006358657955E-2</v>
      </c>
      <c r="M226" s="836"/>
      <c r="N226" s="836"/>
      <c r="O226" s="48">
        <f>IF(t&lt;Tnet,'2028'!Resal+('2028'!Salim-'2028'!Resal)*(1-EXP(('2028'!Tnet-t)/('2028'!Tau_j))),Resal+(Salim-Resal)*(1-EXP((Tnet-t)/(Tau_j))))*Salcycl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2.9301896345021061E-6</v>
      </c>
      <c r="Q226" s="301">
        <f t="shared" si="80"/>
        <v>0.5</v>
      </c>
      <c r="R226" s="173">
        <f t="shared" si="81"/>
        <v>0.41415150780058779</v>
      </c>
      <c r="S226" s="802">
        <f t="shared" si="82"/>
        <v>0</v>
      </c>
      <c r="T226" s="172">
        <f t="shared" si="83"/>
        <v>6</v>
      </c>
      <c r="U226" s="247">
        <f t="shared" si="84"/>
        <v>0.41415150780058779</v>
      </c>
      <c r="V226" s="378">
        <f t="shared" si="85"/>
        <v>57.304373009301919</v>
      </c>
      <c r="W226" s="397">
        <f t="shared" si="86"/>
        <v>57.518018867978697</v>
      </c>
      <c r="X226" s="153">
        <f t="shared" si="87"/>
        <v>47330</v>
      </c>
      <c r="Y226" s="380">
        <f t="shared" si="88"/>
        <v>55.33742687471895</v>
      </c>
      <c r="Z226" s="380">
        <f t="shared" si="89"/>
        <v>57.505977657857606</v>
      </c>
      <c r="AA226" s="381">
        <f t="shared" si="90"/>
        <v>60.176814462822946</v>
      </c>
      <c r="AB226" s="193">
        <f t="shared" si="91"/>
        <v>47330</v>
      </c>
      <c r="AC226" s="119">
        <f>IF(OR(t&lt;Tnet,NoTnet),'2028'!Resal_s+('2028'!Salim-'2028'!Resal_s)*(1-EXP(('2028'!Tnet_s-t)/'2028'!Tau_j)),Resal_s+(Salim-Resal_s)*(1-EXP((Tnet_s-t)/Tau_j)))*Salcycl</f>
        <v>4.4383153691449961E-2</v>
      </c>
      <c r="AD226" s="227">
        <f>(INDEX(Models!$BJ226:$BT226,,AH226)*(1-AF226)+INDEX(Models!$BJ226:$BT226,,AH226+1)*AF226-ERP_i)*AE226*Ramure*Pc/MaxiM</f>
        <v>4.5470326381654549E-5</v>
      </c>
      <c r="AE226" s="301">
        <f t="shared" si="92"/>
        <v>0.5</v>
      </c>
      <c r="AF226" s="173">
        <f t="shared" si="93"/>
        <v>0.9391390741745651</v>
      </c>
      <c r="AG226" s="802">
        <f t="shared" si="99"/>
        <v>3</v>
      </c>
      <c r="AH226" s="172">
        <f t="shared" si="94"/>
        <v>9</v>
      </c>
      <c r="AI226" s="221">
        <f t="shared" si="95"/>
        <v>3.9391390741745651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47331</v>
      </c>
      <c r="B227" s="406">
        <f>'2028'!Wh/'2028'!Env_an*'2029'!Env_an</f>
        <v>57.012984652054421</v>
      </c>
      <c r="C227" s="832"/>
      <c r="D227" s="388">
        <f t="shared" si="77"/>
        <v>59.24800787637696</v>
      </c>
      <c r="E227" s="380">
        <f t="shared" si="75"/>
        <v>59.656018558999548</v>
      </c>
      <c r="F227" s="380">
        <f t="shared" si="78"/>
        <v>59.656206346936855</v>
      </c>
      <c r="G227" s="110">
        <f t="shared" si="76"/>
        <v>0.99884389441834931</v>
      </c>
      <c r="H227" s="409" t="b">
        <f>Wh_hp&gt;='2028'!Maxi_hp</f>
        <v>1</v>
      </c>
      <c r="I227" s="385">
        <f>IF(H227,Wh_hp,'2028'!Maxi_hp)</f>
        <v>59.656206346936855</v>
      </c>
      <c r="J227" s="85">
        <f>IF(H227,An,'2028'!An_max)</f>
        <v>2029</v>
      </c>
      <c r="K227" s="193">
        <f t="shared" si="79"/>
        <v>47331</v>
      </c>
      <c r="L227" s="143">
        <f>IF(t&lt;Tvie,1-EXP((T0-t)*PertePVj)+'2028'!Pspv,1-EXP((T0-t)*PertePVj)+Pspv)</f>
        <v>3.7723179300576559E-2</v>
      </c>
      <c r="M227" s="836"/>
      <c r="N227" s="836"/>
      <c r="O227" s="48">
        <f>IF(t&lt;Tnet,'2028'!Resal+('2028'!Salim-'2028'!Resal)*(1-EXP(('2028'!Tnet-t)/('2028'!Tau_j))),Resal+(Salim-Resal)*(1-EXP((Tnet-t)/(Tau_j))))*Salcycl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3.1530431986078236E-6</v>
      </c>
      <c r="Q227" s="301">
        <f t="shared" si="80"/>
        <v>0.5</v>
      </c>
      <c r="R227" s="173">
        <f t="shared" si="81"/>
        <v>0.416126562529257</v>
      </c>
      <c r="S227" s="802">
        <f t="shared" si="82"/>
        <v>0</v>
      </c>
      <c r="T227" s="172">
        <f t="shared" si="83"/>
        <v>6</v>
      </c>
      <c r="U227" s="247">
        <f t="shared" si="84"/>
        <v>0.416126562529257</v>
      </c>
      <c r="V227" s="378">
        <f t="shared" si="85"/>
        <v>57.078973675220439</v>
      </c>
      <c r="W227" s="397">
        <f t="shared" si="86"/>
        <v>57.012984652054421</v>
      </c>
      <c r="X227" s="153">
        <f t="shared" si="87"/>
        <v>47331</v>
      </c>
      <c r="Y227" s="380">
        <f t="shared" si="88"/>
        <v>54.853254225870948</v>
      </c>
      <c r="Z227" s="380">
        <f t="shared" si="89"/>
        <v>57.003611690450242</v>
      </c>
      <c r="AA227" s="381">
        <f t="shared" si="90"/>
        <v>59.653342731256522</v>
      </c>
      <c r="AB227" s="193">
        <f t="shared" si="91"/>
        <v>47331</v>
      </c>
      <c r="AC227" s="119">
        <f>IF(OR(t&lt;Tnet,NoTnet),'2028'!Resal_s+('2028'!Salim-'2028'!Resal_s)*(1-EXP(('2028'!Tnet_s-t)/'2028'!Tau_j)),Resal_s+(Salim-Resal_s)*(1-EXP((Tnet_s-t)/Tau_j)))*Salcycl</f>
        <v>4.4418819122065772E-2</v>
      </c>
      <c r="AD227" s="227">
        <f>(INDEX(Models!$BJ227:$BT227,,AH227)*(1-AF227)+INDEX(Models!$BJ227:$BT227,,AH227+1)*AF227-ERP_i)*AE227*Ramure*Pc/MaxiM</f>
        <v>4.8081384106476222E-5</v>
      </c>
      <c r="AE227" s="301">
        <f t="shared" si="92"/>
        <v>0.5</v>
      </c>
      <c r="AF227" s="173">
        <f t="shared" si="93"/>
        <v>0.94111412890323409</v>
      </c>
      <c r="AG227" s="802">
        <f t="shared" si="99"/>
        <v>3</v>
      </c>
      <c r="AH227" s="172">
        <f t="shared" si="94"/>
        <v>9</v>
      </c>
      <c r="AI227" s="221">
        <f t="shared" si="95"/>
        <v>3.9411141289032341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47332</v>
      </c>
      <c r="B228" s="406">
        <f>'2028'!Wh/'2028'!Env_an*'2029'!Env_an</f>
        <v>57.023201839606763</v>
      </c>
      <c r="C228" s="832"/>
      <c r="D228" s="388">
        <f t="shared" si="77"/>
        <v>59.259436810077688</v>
      </c>
      <c r="E228" s="380">
        <f t="shared" si="75"/>
        <v>59.671752075437169</v>
      </c>
      <c r="F228" s="380">
        <f t="shared" si="78"/>
        <v>59.671955685390998</v>
      </c>
      <c r="G228" s="110">
        <f t="shared" si="76"/>
        <v>1.0030289075718304</v>
      </c>
      <c r="H228" s="409" t="b">
        <f>Wh_hp&gt;='2028'!Maxi_hp</f>
        <v>1</v>
      </c>
      <c r="I228" s="385">
        <f>IF(H228,Wh_hp,'2028'!Maxi_hp)</f>
        <v>59.671955685390998</v>
      </c>
      <c r="J228" s="85">
        <f>IF(H228,An,'2028'!An_max)</f>
        <v>2029</v>
      </c>
      <c r="K228" s="193">
        <f t="shared" si="79"/>
        <v>47332</v>
      </c>
      <c r="L228" s="143">
        <f>IF(t&lt;Tvie,1-EXP((T0-t)*PertePVj)+'2028'!Pspv,1-EXP((T0-t)*PertePVj)+Pspv)</f>
        <v>3.7736352062168632E-2</v>
      </c>
      <c r="M228" s="836"/>
      <c r="N228" s="836"/>
      <c r="O228" s="48">
        <f>IF(t&lt;Tnet,'2028'!Resal+('2028'!Salim-'2028'!Resal)*(1-EXP(('2028'!Tnet-t)/('2028'!Tau_j))),Resal+(Salim-Resal)*(1-EXP((Tnet-t)/(Tau_j))))*Salcycl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3.4121548638469076E-6</v>
      </c>
      <c r="Q228" s="301">
        <f t="shared" si="80"/>
        <v>0.5</v>
      </c>
      <c r="R228" s="173">
        <f t="shared" si="81"/>
        <v>0.41803861561389383</v>
      </c>
      <c r="S228" s="802">
        <f t="shared" si="82"/>
        <v>0</v>
      </c>
      <c r="T228" s="172">
        <f t="shared" si="83"/>
        <v>6</v>
      </c>
      <c r="U228" s="247">
        <f t="shared" si="84"/>
        <v>0.41803861561389383</v>
      </c>
      <c r="V228" s="378">
        <f t="shared" si="85"/>
        <v>56.851005398887899</v>
      </c>
      <c r="W228" s="397">
        <f t="shared" si="86"/>
        <v>57.023201839606763</v>
      </c>
      <c r="X228" s="153">
        <f t="shared" si="87"/>
        <v>47332</v>
      </c>
      <c r="Y228" s="380">
        <f t="shared" si="88"/>
        <v>54.864776793097384</v>
      </c>
      <c r="Z228" s="380">
        <f t="shared" si="89"/>
        <v>57.016366471574344</v>
      </c>
      <c r="AA228" s="381">
        <f t="shared" si="90"/>
        <v>59.668907531369229</v>
      </c>
      <c r="AB228" s="193">
        <f t="shared" si="91"/>
        <v>47332</v>
      </c>
      <c r="AC228" s="119">
        <f>IF(OR(t&lt;Tnet,NoTnet),'2028'!Resal_s+('2028'!Salim-'2028'!Resal_s)*(1-EXP(('2028'!Tnet_s-t)/'2028'!Tau_j)),Resal_s+(Salim-Resal_s)*(1-EXP((Tnet_s-t)/Tau_j)))*Salcycl</f>
        <v>4.4454325871483222E-2</v>
      </c>
      <c r="AD228" s="227">
        <f>(INDEX(Models!$BJ228:$BT228,,AH228)*(1-AF228)+INDEX(Models!$BJ228:$BT228,,AH228+1)*AF228-ERP_i)*AE228*Ramure*Pc/MaxiM</f>
        <v>5.1081852216135728E-5</v>
      </c>
      <c r="AE228" s="301">
        <f t="shared" si="92"/>
        <v>0.5</v>
      </c>
      <c r="AF228" s="173">
        <f t="shared" si="93"/>
        <v>0.94302618198787114</v>
      </c>
      <c r="AG228" s="802">
        <f t="shared" si="99"/>
        <v>3</v>
      </c>
      <c r="AH228" s="172">
        <f t="shared" si="94"/>
        <v>9</v>
      </c>
      <c r="AI228" s="221">
        <f t="shared" si="95"/>
        <v>3.9430261819878711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47333</v>
      </c>
      <c r="B229" s="406">
        <f>'2028'!Wh/'2028'!Env_an*'2029'!Env_an</f>
        <v>56.617713745144073</v>
      </c>
      <c r="C229" s="832"/>
      <c r="D229" s="388">
        <f t="shared" si="77"/>
        <v>58.838852455920374</v>
      </c>
      <c r="E229" s="380">
        <f t="shared" si="75"/>
        <v>59.252432795618709</v>
      </c>
      <c r="F229" s="380">
        <f t="shared" si="78"/>
        <v>59.252652503112273</v>
      </c>
      <c r="G229" s="110">
        <f t="shared" si="76"/>
        <v>0.999942126953274</v>
      </c>
      <c r="H229" s="409" t="b">
        <f>Wh_hp&gt;='2028'!Maxi_hp</f>
        <v>1</v>
      </c>
      <c r="I229" s="385">
        <f>IF(H229,Wh_hp,'2028'!Maxi_hp)</f>
        <v>59.252652503112273</v>
      </c>
      <c r="J229" s="85">
        <f>IF(H229,An,'2028'!An_max)</f>
        <v>2029</v>
      </c>
      <c r="K229" s="193">
        <f t="shared" si="79"/>
        <v>47333</v>
      </c>
      <c r="L229" s="143">
        <f>IF(t&lt;Tvie,1-EXP((T0-t)*PertePVj)+'2028'!Pspv,1-EXP((T0-t)*PertePVj)+Pspv)</f>
        <v>3.7749524643436727E-2</v>
      </c>
      <c r="M229" s="836"/>
      <c r="N229" s="836"/>
      <c r="O229" s="48">
        <f>IF(t&lt;Tnet,'2028'!Resal+('2028'!Salim-'2028'!Resal)*(1-EXP(('2028'!Tnet-t)/('2028'!Tau_j))),Resal+(Salim-Resal)*(1-EXP((Tnet-t)/(Tau_j))))*Salcycl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3.7082839362671638E-6</v>
      </c>
      <c r="Q229" s="301">
        <f t="shared" si="80"/>
        <v>0.5</v>
      </c>
      <c r="R229" s="173">
        <f t="shared" si="81"/>
        <v>0.41988909593661677</v>
      </c>
      <c r="S229" s="802">
        <f t="shared" si="82"/>
        <v>0</v>
      </c>
      <c r="T229" s="172">
        <f t="shared" si="83"/>
        <v>6</v>
      </c>
      <c r="U229" s="247">
        <f t="shared" si="84"/>
        <v>0.41988909593661677</v>
      </c>
      <c r="V229" s="378">
        <f t="shared" si="85"/>
        <v>56.620990557018118</v>
      </c>
      <c r="W229" s="397">
        <f t="shared" si="86"/>
        <v>56.617713745144073</v>
      </c>
      <c r="X229" s="153">
        <f t="shared" si="87"/>
        <v>47333</v>
      </c>
      <c r="Y229" s="380">
        <f t="shared" si="88"/>
        <v>54.476306609611747</v>
      </c>
      <c r="Z229" s="380">
        <f t="shared" si="89"/>
        <v>56.613436942627096</v>
      </c>
      <c r="AA229" s="381">
        <f t="shared" si="90"/>
        <v>59.24942489936808</v>
      </c>
      <c r="AB229" s="193">
        <f t="shared" si="91"/>
        <v>47333</v>
      </c>
      <c r="AC229" s="119">
        <f>IF(OR(t&lt;Tnet,NoTnet),'2028'!Resal_s+('2028'!Salim-'2028'!Resal_s)*(1-EXP(('2028'!Tnet_s-t)/'2028'!Tau_j)),Resal_s+(Salim-Resal_s)*(1-EXP((Tnet_s-t)/Tau_j)))*Salcycl</f>
        <v>4.4489680046988903E-2</v>
      </c>
      <c r="AD229" s="227">
        <f>(INDEX(Models!$BJ229:$BT229,,AH229)*(1-AF229)+INDEX(Models!$BJ229:$BT229,,AH229+1)*AF229-ERP_i)*AE229*Ramure*Pc/MaxiM</f>
        <v>5.4476390054163412E-5</v>
      </c>
      <c r="AE229" s="301">
        <f t="shared" si="92"/>
        <v>0.5</v>
      </c>
      <c r="AF229" s="173">
        <f t="shared" si="93"/>
        <v>0.94487666231059375</v>
      </c>
      <c r="AG229" s="802">
        <f t="shared" si="99"/>
        <v>3</v>
      </c>
      <c r="AH229" s="172">
        <f t="shared" si="94"/>
        <v>9</v>
      </c>
      <c r="AI229" s="221">
        <f t="shared" si="95"/>
        <v>3.9448766623105938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47334</v>
      </c>
      <c r="B230" s="406">
        <f>'2028'!Wh/'2028'!Env_an*'2029'!Env_an</f>
        <v>54.012729005131767</v>
      </c>
      <c r="C230" s="832"/>
      <c r="D230" s="388">
        <f t="shared" si="77"/>
        <v>56.13244138345685</v>
      </c>
      <c r="E230" s="380">
        <f t="shared" si="75"/>
        <v>56.530992643134155</v>
      </c>
      <c r="F230" s="380">
        <f t="shared" si="78"/>
        <v>56.531207392998965</v>
      </c>
      <c r="G230" s="110">
        <f t="shared" si="76"/>
        <v>0.95785141654921757</v>
      </c>
      <c r="H230" s="409" t="b">
        <f>Wh_hp&gt;='2028'!Maxi_hp</f>
        <v>1</v>
      </c>
      <c r="I230" s="385">
        <f>IF(H230,Wh_hp,'2028'!Maxi_hp)</f>
        <v>56.531207392998965</v>
      </c>
      <c r="J230" s="85">
        <f>IF(H230,An,'2028'!An_max)</f>
        <v>2029</v>
      </c>
      <c r="K230" s="193">
        <f t="shared" si="79"/>
        <v>47334</v>
      </c>
      <c r="L230" s="143">
        <f>IF(t&lt;Tvie,1-EXP((T0-t)*PertePVj)+'2028'!Pspv,1-EXP((T0-t)*PertePVj)+Pspv)</f>
        <v>3.7762697044383287E-2</v>
      </c>
      <c r="M230" s="836"/>
      <c r="N230" s="836"/>
      <c r="O230" s="48">
        <f>IF(t&lt;Tnet,'2028'!Resal+('2028'!Salim-'2028'!Resal)*(1-EXP(('2028'!Tnet-t)/('2028'!Tau_j))),Resal+(Salim-Resal)*(1-EXP((Tnet-t)/(Tau_j))))*Salcycl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4.0421712591720485E-6</v>
      </c>
      <c r="Q230" s="301">
        <f t="shared" si="80"/>
        <v>0.5</v>
      </c>
      <c r="R230" s="173">
        <f t="shared" si="81"/>
        <v>0.42167944247129358</v>
      </c>
      <c r="S230" s="802">
        <f t="shared" si="82"/>
        <v>0</v>
      </c>
      <c r="T230" s="172">
        <f t="shared" si="83"/>
        <v>6</v>
      </c>
      <c r="U230" s="247">
        <f t="shared" si="84"/>
        <v>0.42167944247129358</v>
      </c>
      <c r="V230" s="378">
        <f t="shared" si="85"/>
        <v>56.389451355281516</v>
      </c>
      <c r="W230" s="397">
        <f t="shared" si="86"/>
        <v>54.012729005131767</v>
      </c>
      <c r="X230" s="153">
        <f t="shared" si="87"/>
        <v>47334</v>
      </c>
      <c r="Y230" s="380">
        <f t="shared" si="88"/>
        <v>51.971595180208141</v>
      </c>
      <c r="Z230" s="380">
        <f t="shared" si="89"/>
        <v>54.011203910482088</v>
      </c>
      <c r="AA230" s="381">
        <f t="shared" si="90"/>
        <v>56.528111681295442</v>
      </c>
      <c r="AB230" s="193">
        <f t="shared" si="91"/>
        <v>47334</v>
      </c>
      <c r="AC230" s="119">
        <f>IF(OR(t&lt;Tnet,NoTnet),'2028'!Resal_s+('2028'!Salim-'2028'!Resal_s)*(1-EXP(('2028'!Tnet_s-t)/'2028'!Tau_j)),Resal_s+(Salim-Resal_s)*(1-EXP((Tnet_s-t)/Tau_j)))*Salcycl</f>
        <v>4.4524886750217985E-2</v>
      </c>
      <c r="AD230" s="227">
        <f>(INDEX(Models!$BJ230:$BT230,,AH230)*(1-AF230)+INDEX(Models!$BJ230:$BT230,,AH230+1)*AF230-ERP_i)*AE230*Ramure*Pc/MaxiM</f>
        <v>5.8269637960856493E-5</v>
      </c>
      <c r="AE230" s="301">
        <f t="shared" si="92"/>
        <v>0.5</v>
      </c>
      <c r="AF230" s="173">
        <f t="shared" si="93"/>
        <v>0.94666700884527089</v>
      </c>
      <c r="AG230" s="802">
        <f t="shared" si="99"/>
        <v>3</v>
      </c>
      <c r="AH230" s="172">
        <f t="shared" si="94"/>
        <v>9</v>
      </c>
      <c r="AI230" s="221">
        <f t="shared" si="95"/>
        <v>3.9466670088452709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47335</v>
      </c>
      <c r="B231" s="406">
        <f>'2028'!Wh/'2028'!Env_an*'2029'!Env_an</f>
        <v>43.114354484107466</v>
      </c>
      <c r="C231" s="832"/>
      <c r="D231" s="388">
        <f t="shared" si="77"/>
        <v>44.80697698900444</v>
      </c>
      <c r="E231" s="380">
        <f t="shared" si="75"/>
        <v>45.128300325446226</v>
      </c>
      <c r="F231" s="380">
        <f t="shared" si="78"/>
        <v>45.128433447277068</v>
      </c>
      <c r="G231" s="110">
        <f t="shared" si="76"/>
        <v>0.76774686256097591</v>
      </c>
      <c r="H231" s="409" t="b">
        <f>Wh_hp&gt;='2028'!Maxi_hp</f>
        <v>1</v>
      </c>
      <c r="I231" s="385">
        <f>IF(H231,Wh_hp,'2028'!Maxi_hp)</f>
        <v>45.128433447277068</v>
      </c>
      <c r="J231" s="85">
        <f>IF(H231,An,'2028'!An_max)</f>
        <v>2029</v>
      </c>
      <c r="K231" s="193">
        <f t="shared" si="79"/>
        <v>47335</v>
      </c>
      <c r="L231" s="143">
        <f>IF(t&lt;Tvie,1-EXP((T0-t)*PertePVj)+'2028'!Pspv,1-EXP((T0-t)*PertePVj)+Pspv)</f>
        <v>3.7775869265010642E-2</v>
      </c>
      <c r="M231" s="836"/>
      <c r="N231" s="836"/>
      <c r="O231" s="48">
        <f>IF(t&lt;Tnet,'2028'!Resal+('2028'!Salim-'2028'!Resal)*(1-EXP(('2028'!Tnet-t)/('2028'!Tau_j))),Resal+(Salim-Resal)*(1-EXP((Tnet-t)/(Tau_j))))*Salcycl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4.4145367509250239E-6</v>
      </c>
      <c r="Q231" s="301">
        <f t="shared" si="80"/>
        <v>0.5</v>
      </c>
      <c r="R231" s="173">
        <f t="shared" si="81"/>
        <v>0.42341110044493591</v>
      </c>
      <c r="S231" s="802">
        <f t="shared" si="82"/>
        <v>0</v>
      </c>
      <c r="T231" s="172">
        <f t="shared" si="83"/>
        <v>6</v>
      </c>
      <c r="U231" s="247">
        <f t="shared" si="84"/>
        <v>0.42341110044493591</v>
      </c>
      <c r="V231" s="378">
        <f t="shared" si="85"/>
        <v>56.156909831991719</v>
      </c>
      <c r="W231" s="397">
        <f t="shared" si="86"/>
        <v>43.114354484107466</v>
      </c>
      <c r="X231" s="153">
        <f t="shared" si="87"/>
        <v>47335</v>
      </c>
      <c r="Y231" s="380">
        <f t="shared" si="88"/>
        <v>41.48697941708226</v>
      </c>
      <c r="Z231" s="380">
        <f t="shared" si="89"/>
        <v>43.115712952857116</v>
      </c>
      <c r="AA231" s="381">
        <f t="shared" si="90"/>
        <v>45.126549758650818</v>
      </c>
      <c r="AB231" s="193">
        <f t="shared" si="91"/>
        <v>47335</v>
      </c>
      <c r="AC231" s="119">
        <f>IF(OR(t&lt;Tnet,NoTnet),'2028'!Resal_s+('2028'!Salim-'2028'!Resal_s)*(1-EXP(('2028'!Tnet_s-t)/'2028'!Tau_j)),Resal_s+(Salim-Resal_s)*(1-EXP((Tnet_s-t)/Tau_j)))*Salcycl</f>
        <v>4.4559950108045282E-2</v>
      </c>
      <c r="AD231" s="227">
        <f>(INDEX(Models!$BJ231:$BT231,,AH231)*(1-AF231)+INDEX(Models!$BJ231:$BT231,,AH231+1)*AF231-ERP_i)*AE231*Ramure*Pc/MaxiM</f>
        <v>6.2466183159429268E-5</v>
      </c>
      <c r="AE231" s="301">
        <f t="shared" si="92"/>
        <v>0.5</v>
      </c>
      <c r="AF231" s="173">
        <f t="shared" si="93"/>
        <v>0.94839866681891305</v>
      </c>
      <c r="AG231" s="802">
        <f t="shared" si="99"/>
        <v>3</v>
      </c>
      <c r="AH231" s="172">
        <f t="shared" si="94"/>
        <v>9</v>
      </c>
      <c r="AI231" s="221">
        <f t="shared" si="95"/>
        <v>3.948398666818913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47336</v>
      </c>
      <c r="B232" s="406">
        <f>'2028'!Wh/'2028'!Env_an*'2029'!Env_an</f>
        <v>51.443425820635738</v>
      </c>
      <c r="C232" s="832"/>
      <c r="D232" s="388">
        <f t="shared" si="77"/>
        <v>53.463770450528997</v>
      </c>
      <c r="E232" s="380">
        <f t="shared" si="75"/>
        <v>53.850970480327078</v>
      </c>
      <c r="F232" s="380">
        <f t="shared" si="78"/>
        <v>53.851200625141161</v>
      </c>
      <c r="G232" s="110">
        <f t="shared" si="76"/>
        <v>0.91988235036076738</v>
      </c>
      <c r="H232" s="409" t="b">
        <f>Wh_hp&gt;='2028'!Maxi_hp</f>
        <v>1</v>
      </c>
      <c r="I232" s="385">
        <f>IF(H232,Wh_hp,'2028'!Maxi_hp)</f>
        <v>53.851200625141161</v>
      </c>
      <c r="J232" s="85">
        <f>IF(H232,An,'2028'!An_max)</f>
        <v>2029</v>
      </c>
      <c r="K232" s="193">
        <f t="shared" si="79"/>
        <v>47336</v>
      </c>
      <c r="L232" s="143">
        <f>IF(t&lt;Tvie,1-EXP((T0-t)*PertePVj)+'2028'!Pspv,1-EXP((T0-t)*PertePVj)+Pspv)</f>
        <v>3.7789041305321347E-2</v>
      </c>
      <c r="M232" s="836"/>
      <c r="N232" s="836"/>
      <c r="O232" s="48">
        <f>IF(t&lt;Tnet,'2028'!Resal+('2028'!Salim-'2028'!Resal)*(1-EXP(('2028'!Tnet-t)/('2028'!Tau_j))),Resal+(Salim-Resal)*(1-EXP((Tnet-t)/(Tau_j))))*Salcycl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4.8260766556750717E-6</v>
      </c>
      <c r="Q232" s="301">
        <f t="shared" si="80"/>
        <v>0.5</v>
      </c>
      <c r="R232" s="173">
        <f t="shared" si="81"/>
        <v>0.42508551775446746</v>
      </c>
      <c r="S232" s="802">
        <f t="shared" si="82"/>
        <v>0</v>
      </c>
      <c r="T232" s="172">
        <f t="shared" si="83"/>
        <v>6</v>
      </c>
      <c r="U232" s="247">
        <f t="shared" si="84"/>
        <v>0.42508551775446746</v>
      </c>
      <c r="V232" s="378">
        <f t="shared" si="85"/>
        <v>55.923887859232551</v>
      </c>
      <c r="W232" s="397">
        <f t="shared" si="86"/>
        <v>51.443425820635738</v>
      </c>
      <c r="X232" s="153">
        <f t="shared" si="87"/>
        <v>47336</v>
      </c>
      <c r="Y232" s="380">
        <f t="shared" si="88"/>
        <v>49.502537487043178</v>
      </c>
      <c r="Z232" s="380">
        <f t="shared" si="89"/>
        <v>51.446657346531993</v>
      </c>
      <c r="AA232" s="381">
        <f t="shared" si="90"/>
        <v>53.84800218173374</v>
      </c>
      <c r="AB232" s="193">
        <f t="shared" si="91"/>
        <v>47336</v>
      </c>
      <c r="AC232" s="119">
        <f>IF(OR(t&lt;Tnet,NoTnet),'2028'!Resal_s+('2028'!Salim-'2028'!Resal_s)*(1-EXP(('2028'!Tnet_s-t)/'2028'!Tau_j)),Resal_s+(Salim-Resal_s)*(1-EXP((Tnet_s-t)/Tau_j)))*Salcycl</f>
        <v>4.459487330834206E-2</v>
      </c>
      <c r="AD232" s="227">
        <f>(INDEX(Models!$BJ232:$BT232,,AH232)*(1-AF232)+INDEX(Models!$BJ232:$BT232,,AH232+1)*AF232-ERP_i)*AE232*Ramure*Pc/MaxiM</f>
        <v>6.7070523072317576E-5</v>
      </c>
      <c r="AE232" s="301">
        <f t="shared" si="92"/>
        <v>0.5</v>
      </c>
      <c r="AF232" s="173">
        <f t="shared" si="93"/>
        <v>0.95007308412844438</v>
      </c>
      <c r="AG232" s="802">
        <f t="shared" si="99"/>
        <v>3</v>
      </c>
      <c r="AH232" s="172">
        <f t="shared" si="94"/>
        <v>9</v>
      </c>
      <c r="AI232" s="221">
        <f t="shared" si="95"/>
        <v>3.9500730841284444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47337</v>
      </c>
      <c r="B233" s="406">
        <f>'2028'!Wh/'2028'!Env_an*'2029'!Env_an</f>
        <v>54.239584402430467</v>
      </c>
      <c r="C233" s="832"/>
      <c r="D233" s="388">
        <f t="shared" si="77"/>
        <v>56.370514612033219</v>
      </c>
      <c r="E233" s="380">
        <f t="shared" ref="E233:E296" si="100">Wh_pvt/(1-Psa)</f>
        <v>56.78276468460578</v>
      </c>
      <c r="F233" s="380">
        <f t="shared" si="78"/>
        <v>56.783053223603659</v>
      </c>
      <c r="G233" s="110">
        <f t="shared" ref="G233:G296" si="101">+Wh_hp/MaxiM</f>
        <v>0.97397415834564238</v>
      </c>
      <c r="H233" s="409" t="b">
        <f>Wh_hp&gt;='2028'!Maxi_hp</f>
        <v>1</v>
      </c>
      <c r="I233" s="385">
        <f>IF(H233,Wh_hp,'2028'!Maxi_hp)</f>
        <v>56.783053223603659</v>
      </c>
      <c r="J233" s="85">
        <f>IF(H233,An,'2028'!An_max)</f>
        <v>2029</v>
      </c>
      <c r="K233" s="193">
        <f t="shared" si="79"/>
        <v>47337</v>
      </c>
      <c r="L233" s="143">
        <f>IF(t&lt;Tvie,1-EXP((T0-t)*PertePVj)+'2028'!Pspv,1-EXP((T0-t)*PertePVj)+Pspv)</f>
        <v>3.7802213165317955E-2</v>
      </c>
      <c r="M233" s="836"/>
      <c r="N233" s="836"/>
      <c r="O233" s="48">
        <f>IF(t&lt;Tnet,'2028'!Resal+('2028'!Salim-'2028'!Resal)*(1-EXP(('2028'!Tnet-t)/('2028'!Tau_j))),Resal+(Salim-Resal)*(1-EXP((Tnet-t)/(Tau_j))))*Salcycl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5.2776483539509949E-6</v>
      </c>
      <c r="Q233" s="301">
        <f t="shared" si="80"/>
        <v>0.5</v>
      </c>
      <c r="R233" s="173">
        <f t="shared" si="81"/>
        <v>0.42670414163403103</v>
      </c>
      <c r="S233" s="802">
        <f t="shared" si="82"/>
        <v>0</v>
      </c>
      <c r="T233" s="172">
        <f t="shared" si="83"/>
        <v>6</v>
      </c>
      <c r="U233" s="247">
        <f t="shared" si="84"/>
        <v>0.42670414163403103</v>
      </c>
      <c r="V233" s="378">
        <f t="shared" si="85"/>
        <v>55.688924900837804</v>
      </c>
      <c r="W233" s="397">
        <f t="shared" si="86"/>
        <v>54.239584402430467</v>
      </c>
      <c r="X233" s="153">
        <f t="shared" si="87"/>
        <v>47337</v>
      </c>
      <c r="Y233" s="380">
        <f t="shared" si="88"/>
        <v>52.194495504447055</v>
      </c>
      <c r="Z233" s="380">
        <f t="shared" si="89"/>
        <v>54.245079565345897</v>
      </c>
      <c r="AA233" s="381">
        <f t="shared" si="90"/>
        <v>56.779111949530041</v>
      </c>
      <c r="AB233" s="193">
        <f t="shared" si="91"/>
        <v>47337</v>
      </c>
      <c r="AC233" s="119">
        <f>IF(OR(t&lt;Tnet,NoTnet),'2028'!Resal_s+('2028'!Salim-'2028'!Resal_s)*(1-EXP(('2028'!Tnet_s-t)/'2028'!Tau_j)),Resal_s+(Salim-Resal_s)*(1-EXP((Tnet_s-t)/Tau_j)))*Salcycl</f>
        <v>4.4629658639899081E-2</v>
      </c>
      <c r="AD233" s="227">
        <f>(INDEX(Models!$BJ233:$BT233,,AH233)*(1-AF233)+INDEX(Models!$BJ233:$BT233,,AH233+1)*AF233-ERP_i)*AE233*Ramure*Pc/MaxiM</f>
        <v>7.2089591979527254E-5</v>
      </c>
      <c r="AE233" s="301">
        <f t="shared" si="92"/>
        <v>0.5</v>
      </c>
      <c r="AF233" s="173">
        <f t="shared" si="93"/>
        <v>0.95169170800800806</v>
      </c>
      <c r="AG233" s="802">
        <f t="shared" si="99"/>
        <v>3</v>
      </c>
      <c r="AH233" s="172">
        <f t="shared" si="94"/>
        <v>9</v>
      </c>
      <c r="AI233" s="221">
        <f t="shared" si="95"/>
        <v>3.9516917080080081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47338</v>
      </c>
      <c r="B234" s="406">
        <f>'2028'!Wh/'2028'!Env_an*'2029'!Env_an</f>
        <v>55.64519531271673</v>
      </c>
      <c r="C234" s="832"/>
      <c r="D234" s="388">
        <f t="shared" si="77"/>
        <v>57.832139940995532</v>
      </c>
      <c r="E234" s="380">
        <f t="shared" si="100"/>
        <v>58.259177072280494</v>
      </c>
      <c r="F234" s="380">
        <f t="shared" si="78"/>
        <v>58.259512816427659</v>
      </c>
      <c r="G234" s="110">
        <f t="shared" si="101"/>
        <v>1.0035125626922679</v>
      </c>
      <c r="H234" s="409" t="b">
        <f>Wh_hp&gt;='2028'!Maxi_hp</f>
        <v>1</v>
      </c>
      <c r="I234" s="385">
        <f>IF(H234,Wh_hp,'2028'!Maxi_hp)</f>
        <v>58.259512816427659</v>
      </c>
      <c r="J234" s="85">
        <f>IF(H234,An,'2028'!An_max)</f>
        <v>2029</v>
      </c>
      <c r="K234" s="193">
        <f t="shared" si="79"/>
        <v>47338</v>
      </c>
      <c r="L234" s="143">
        <f>IF(t&lt;Tvie,1-EXP((T0-t)*PertePVj)+'2028'!Pspv,1-EXP((T0-t)*PertePVj)+Pspv)</f>
        <v>3.7815384845002797E-2</v>
      </c>
      <c r="M234" s="836"/>
      <c r="N234" s="836"/>
      <c r="O234" s="48">
        <f>IF(t&lt;Tnet,'2028'!Resal+('2028'!Salim-'2028'!Resal)*(1-EXP(('2028'!Tnet-t)/('2028'!Tau_j))),Resal+(Salim-Resal)*(1-EXP((Tnet-t)/(Tau_j))))*Salcycl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5.7629068787936098E-6</v>
      </c>
      <c r="Q234" s="301">
        <f t="shared" si="80"/>
        <v>0.5</v>
      </c>
      <c r="R234" s="173">
        <f t="shared" si="81"/>
        <v>0.42826841556695255</v>
      </c>
      <c r="S234" s="802">
        <f t="shared" si="82"/>
        <v>0</v>
      </c>
      <c r="T234" s="172">
        <f t="shared" si="83"/>
        <v>6</v>
      </c>
      <c r="U234" s="247">
        <f t="shared" si="84"/>
        <v>0.42826841556695255</v>
      </c>
      <c r="V234" s="378">
        <f t="shared" si="85"/>
        <v>55.450422228327007</v>
      </c>
      <c r="W234" s="397">
        <f t="shared" si="86"/>
        <v>55.64519531271673</v>
      </c>
      <c r="X234" s="153">
        <f t="shared" si="87"/>
        <v>47338</v>
      </c>
      <c r="Y234" s="380">
        <f t="shared" si="88"/>
        <v>53.548538572590346</v>
      </c>
      <c r="Z234" s="380">
        <f t="shared" si="89"/>
        <v>55.653081258178581</v>
      </c>
      <c r="AA234" s="381">
        <f t="shared" si="90"/>
        <v>58.255000516756752</v>
      </c>
      <c r="AB234" s="193">
        <f t="shared" si="91"/>
        <v>47338</v>
      </c>
      <c r="AC234" s="119">
        <f>IF(OR(t&lt;Tnet,NoTnet),'2028'!Resal_s+('2028'!Salim-'2028'!Resal_s)*(1-EXP(('2028'!Tnet_s-t)/'2028'!Tau_j)),Resal_s+(Salim-Resal_s)*(1-EXP((Tnet_s-t)/Tau_j)))*Salcycl</f>
        <v>4.4664307535792459E-2</v>
      </c>
      <c r="AD234" s="227">
        <f>(INDEX(Models!$BJ234:$BT234,,AH234)*(1-AF234)+INDEX(Models!$BJ234:$BT234,,AH234+1)*AF234-ERP_i)*AE234*Ramure*Pc/MaxiM</f>
        <v>7.7451723379904318E-5</v>
      </c>
      <c r="AE234" s="301">
        <f t="shared" si="92"/>
        <v>0.5</v>
      </c>
      <c r="AF234" s="173">
        <f t="shared" si="93"/>
        <v>0.95325598194092986</v>
      </c>
      <c r="AG234" s="802">
        <f t="shared" si="99"/>
        <v>3</v>
      </c>
      <c r="AH234" s="172">
        <f t="shared" si="94"/>
        <v>9</v>
      </c>
      <c r="AI234" s="221">
        <f t="shared" si="95"/>
        <v>3.9532559819409299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47339</v>
      </c>
      <c r="B235" s="406">
        <f>'2028'!Wh/'2028'!Env_an*'2029'!Env_an</f>
        <v>53.052043607547446</v>
      </c>
      <c r="C235" s="832"/>
      <c r="D235" s="388">
        <f t="shared" si="77"/>
        <v>55.137828042354293</v>
      </c>
      <c r="E235" s="380">
        <f t="shared" si="100"/>
        <v>55.548872927515362</v>
      </c>
      <c r="F235" s="380">
        <f t="shared" si="78"/>
        <v>55.549201670831643</v>
      </c>
      <c r="G235" s="110">
        <f t="shared" si="101"/>
        <v>0.96093605534686444</v>
      </c>
      <c r="H235" s="409" t="b">
        <f>Wh_hp&gt;='2028'!Maxi_hp</f>
        <v>1</v>
      </c>
      <c r="I235" s="385">
        <f>IF(H235,Wh_hp,'2028'!Maxi_hp)</f>
        <v>55.549201670831643</v>
      </c>
      <c r="J235" s="85">
        <f>IF(H235,An,'2028'!An_max)</f>
        <v>2029</v>
      </c>
      <c r="K235" s="193">
        <f t="shared" si="79"/>
        <v>47339</v>
      </c>
      <c r="L235" s="143">
        <f>IF(t&lt;Tvie,1-EXP((T0-t)*PertePVj)+'2028'!Pspv,1-EXP((T0-t)*PertePVj)+Pspv)</f>
        <v>3.7828556344378428E-2</v>
      </c>
      <c r="M235" s="836"/>
      <c r="N235" s="836"/>
      <c r="O235" s="48">
        <f>IF(t&lt;Tnet,'2028'!Resal+('2028'!Salim-'2028'!Resal)*(1-EXP(('2028'!Tnet-t)/('2028'!Tau_j))),Resal+(Salim-Resal)*(1-EXP((Tnet-t)/(Tau_j))))*Salcycl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6.2678339882549124E-6</v>
      </c>
      <c r="Q235" s="301">
        <f t="shared" si="80"/>
        <v>0.5</v>
      </c>
      <c r="R235" s="173">
        <f t="shared" si="81"/>
        <v>0.42977977643558085</v>
      </c>
      <c r="S235" s="802">
        <f t="shared" si="82"/>
        <v>0</v>
      </c>
      <c r="T235" s="172">
        <f t="shared" si="83"/>
        <v>6</v>
      </c>
      <c r="U235" s="247">
        <f t="shared" si="84"/>
        <v>0.42977977643558085</v>
      </c>
      <c r="V235" s="378">
        <f t="shared" si="85"/>
        <v>55.208694434802212</v>
      </c>
      <c r="W235" s="397">
        <f t="shared" si="86"/>
        <v>53.052043607547446</v>
      </c>
      <c r="X235" s="153">
        <f t="shared" si="87"/>
        <v>47339</v>
      </c>
      <c r="Y235" s="380">
        <f t="shared" si="88"/>
        <v>51.054800437661633</v>
      </c>
      <c r="Z235" s="380">
        <f t="shared" si="89"/>
        <v>53.062061625615094</v>
      </c>
      <c r="AA235" s="381">
        <f t="shared" si="90"/>
        <v>55.544850954776877</v>
      </c>
      <c r="AB235" s="193">
        <f t="shared" si="91"/>
        <v>47339</v>
      </c>
      <c r="AC235" s="119">
        <f>IF(OR(t&lt;Tnet,NoTnet),'2028'!Resal_s+('2028'!Salim-'2028'!Resal_s)*(1-EXP(('2028'!Tnet_s-t)/'2028'!Tau_j)),Resal_s+(Salim-Resal_s)*(1-EXP((Tnet_s-t)/Tau_j)))*Salcycl</f>
        <v>4.4698820619452254E-2</v>
      </c>
      <c r="AD235" s="227">
        <f>(INDEX(Models!$BJ235:$BT235,,AH235)*(1-AF235)+INDEX(Models!$BJ235:$BT235,,AH235+1)*AF235-ERP_i)*AE235*Ramure*Pc/MaxiM</f>
        <v>8.2950936524072075E-5</v>
      </c>
      <c r="AE235" s="301">
        <f t="shared" si="92"/>
        <v>0.5</v>
      </c>
      <c r="AF235" s="173">
        <f t="shared" si="93"/>
        <v>0.954767342809558</v>
      </c>
      <c r="AG235" s="802">
        <f t="shared" si="99"/>
        <v>3</v>
      </c>
      <c r="AH235" s="172">
        <f t="shared" si="94"/>
        <v>9</v>
      </c>
      <c r="AI235" s="221">
        <f t="shared" si="95"/>
        <v>3.954767342809558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47340</v>
      </c>
      <c r="B236" s="406">
        <f>'2028'!Wh/'2028'!Env_an*'2029'!Env_an</f>
        <v>51.521550602541168</v>
      </c>
      <c r="C236" s="832"/>
      <c r="D236" s="388">
        <f t="shared" si="77"/>
        <v>53.547895480255747</v>
      </c>
      <c r="E236" s="380">
        <f t="shared" si="100"/>
        <v>53.950873776927388</v>
      </c>
      <c r="F236" s="380">
        <f t="shared" si="78"/>
        <v>53.951207460934612</v>
      </c>
      <c r="G236" s="110">
        <f t="shared" si="101"/>
        <v>0.93736750485226317</v>
      </c>
      <c r="H236" s="409" t="b">
        <f>Wh_hp&gt;='2028'!Maxi_hp</f>
        <v>1</v>
      </c>
      <c r="I236" s="385">
        <f>IF(H236,Wh_hp,'2028'!Maxi_hp)</f>
        <v>53.951207460934612</v>
      </c>
      <c r="J236" s="85">
        <f>IF(H236,An,'2028'!An_max)</f>
        <v>2029</v>
      </c>
      <c r="K236" s="193">
        <f t="shared" si="79"/>
        <v>47340</v>
      </c>
      <c r="L236" s="143">
        <f>IF(t&lt;Tvie,1-EXP((T0-t)*PertePVj)+'2028'!Pspv,1-EXP((T0-t)*PertePVj)+Pspv)</f>
        <v>3.7841727663447289E-2</v>
      </c>
      <c r="M236" s="836"/>
      <c r="N236" s="836"/>
      <c r="O236" s="48">
        <f>IF(t&lt;Tnet,'2028'!Resal+('2028'!Salim-'2028'!Resal)*(1-EXP(('2028'!Tnet-t)/('2028'!Tau_j))),Resal+(Salim-Resal)*(1-EXP((Tnet-t)/(Tau_j))))*Salcycl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6.7926925388581588E-6</v>
      </c>
      <c r="Q236" s="301">
        <f t="shared" si="80"/>
        <v>0.5</v>
      </c>
      <c r="R236" s="173">
        <f t="shared" si="81"/>
        <v>0.431239651901478</v>
      </c>
      <c r="S236" s="802">
        <f t="shared" si="82"/>
        <v>0</v>
      </c>
      <c r="T236" s="172">
        <f t="shared" si="83"/>
        <v>6</v>
      </c>
      <c r="U236" s="247">
        <f t="shared" si="84"/>
        <v>0.431239651901478</v>
      </c>
      <c r="V236" s="378">
        <f t="shared" si="85"/>
        <v>54.964055210324936</v>
      </c>
      <c r="W236" s="397">
        <f t="shared" si="86"/>
        <v>51.521550602541168</v>
      </c>
      <c r="X236" s="153">
        <f t="shared" si="87"/>
        <v>47340</v>
      </c>
      <c r="Y236" s="380">
        <f t="shared" si="88"/>
        <v>49.58351827510451</v>
      </c>
      <c r="Z236" s="380">
        <f t="shared" si="89"/>
        <v>51.533640255145798</v>
      </c>
      <c r="AA236" s="381">
        <f t="shared" si="90"/>
        <v>53.946855615531007</v>
      </c>
      <c r="AB236" s="193">
        <f t="shared" si="91"/>
        <v>47340</v>
      </c>
      <c r="AC236" s="119">
        <f>IF(OR(t&lt;Tnet,NoTnet),'2028'!Resal_s+('2028'!Salim-'2028'!Resal_s)*(1-EXP(('2028'!Tnet_s-t)/'2028'!Tau_j)),Resal_s+(Salim-Resal_s)*(1-EXP((Tnet_s-t)/Tau_j)))*Salcycl</f>
        <v>4.4733197752687116E-2</v>
      </c>
      <c r="AD236" s="227">
        <f>(INDEX(Models!$BJ236:$BT236,,AH236)*(1-AF236)+INDEX(Models!$BJ236:$BT236,,AH236+1)*AF236-ERP_i)*AE236*Ramure*Pc/MaxiM</f>
        <v>8.8589045814525528E-5</v>
      </c>
      <c r="AE236" s="301">
        <f t="shared" si="92"/>
        <v>0.5</v>
      </c>
      <c r="AF236" s="173">
        <f t="shared" si="93"/>
        <v>0.9562272182754552</v>
      </c>
      <c r="AG236" s="802">
        <f t="shared" si="99"/>
        <v>3</v>
      </c>
      <c r="AH236" s="172">
        <f t="shared" si="94"/>
        <v>9</v>
      </c>
      <c r="AI236" s="221">
        <f t="shared" si="95"/>
        <v>3.9562272182754552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47341</v>
      </c>
      <c r="B237" s="406">
        <f>'2028'!Wh/'2028'!Env_an*'2029'!Env_an</f>
        <v>48.623070195066866</v>
      </c>
      <c r="C237" s="832"/>
      <c r="D237" s="388">
        <f t="shared" si="77"/>
        <v>50.536109506284774</v>
      </c>
      <c r="E237" s="380">
        <f t="shared" si="100"/>
        <v>50.919991704976297</v>
      </c>
      <c r="F237" s="380">
        <f t="shared" si="78"/>
        <v>50.92030589939894</v>
      </c>
      <c r="G237" s="110">
        <f t="shared" si="101"/>
        <v>0.88863013379536959</v>
      </c>
      <c r="H237" s="409" t="b">
        <f>Wh_hp&gt;='2028'!Maxi_hp</f>
        <v>1</v>
      </c>
      <c r="I237" s="385">
        <f>IF(H237,Wh_hp,'2028'!Maxi_hp)</f>
        <v>50.92030589939894</v>
      </c>
      <c r="J237" s="85">
        <f>IF(H237,An,'2028'!An_max)</f>
        <v>2029</v>
      </c>
      <c r="K237" s="193">
        <f t="shared" si="79"/>
        <v>47341</v>
      </c>
      <c r="L237" s="143">
        <f>IF(t&lt;Tvie,1-EXP((T0-t)*PertePVj)+'2028'!Pspv,1-EXP((T0-t)*PertePVj)+Pspv)</f>
        <v>3.7854898802211934E-2</v>
      </c>
      <c r="M237" s="836"/>
      <c r="N237" s="836"/>
      <c r="O237" s="48">
        <f>IF(t&lt;Tnet,'2028'!Resal+('2028'!Salim-'2028'!Resal)*(1-EXP(('2028'!Tnet-t)/('2028'!Tau_j))),Resal+(Salim-Resal)*(1-EXP((Tnet-t)/(Tau_j))))*Salcycl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7.3377388455599111E-6</v>
      </c>
      <c r="Q237" s="301">
        <f t="shared" si="80"/>
        <v>0.5</v>
      </c>
      <c r="R237" s="173">
        <f t="shared" si="81"/>
        <v>0.43264945800782051</v>
      </c>
      <c r="S237" s="802">
        <f t="shared" si="82"/>
        <v>0</v>
      </c>
      <c r="T237" s="172">
        <f t="shared" si="83"/>
        <v>6</v>
      </c>
      <c r="U237" s="247">
        <f t="shared" si="84"/>
        <v>0.43264945800782051</v>
      </c>
      <c r="V237" s="378">
        <f t="shared" si="85"/>
        <v>54.716818147281948</v>
      </c>
      <c r="W237" s="397">
        <f t="shared" si="86"/>
        <v>48.623070195066866</v>
      </c>
      <c r="X237" s="153">
        <f t="shared" si="87"/>
        <v>47341</v>
      </c>
      <c r="Y237" s="380">
        <f t="shared" si="88"/>
        <v>46.795730459928528</v>
      </c>
      <c r="Z237" s="380">
        <f t="shared" si="89"/>
        <v>48.636874419120211</v>
      </c>
      <c r="AA237" s="381">
        <f t="shared" si="90"/>
        <v>50.916265167522617</v>
      </c>
      <c r="AB237" s="193">
        <f t="shared" si="91"/>
        <v>47341</v>
      </c>
      <c r="AC237" s="119">
        <f>IF(OR(t&lt;Tnet,NoTnet),'2028'!Resal_s+('2028'!Salim-'2028'!Resal_s)*(1-EXP(('2028'!Tnet_s-t)/'2028'!Tau_j)),Resal_s+(Salim-Resal_s)*(1-EXP((Tnet_s-t)/Tau_j)))*Salcycl</f>
        <v>4.4767438084919384E-2</v>
      </c>
      <c r="AD237" s="227">
        <f>(INDEX(Models!$BJ237:$BT237,,AH237)*(1-AF237)+INDEX(Models!$BJ237:$BT237,,AH237+1)*AF237-ERP_i)*AE237*Ramure*Pc/MaxiM</f>
        <v>9.4367796233570789E-5</v>
      </c>
      <c r="AE237" s="301">
        <f t="shared" si="92"/>
        <v>0.5</v>
      </c>
      <c r="AF237" s="173">
        <f t="shared" si="93"/>
        <v>0.95763702438179754</v>
      </c>
      <c r="AG237" s="802">
        <f t="shared" si="99"/>
        <v>3</v>
      </c>
      <c r="AH237" s="172">
        <f t="shared" si="94"/>
        <v>9</v>
      </c>
      <c r="AI237" s="221">
        <f t="shared" si="95"/>
        <v>3.9576370243817975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47342</v>
      </c>
      <c r="B238" s="406">
        <f>'2028'!Wh/'2028'!Env_an*'2029'!Env_an</f>
        <v>0</v>
      </c>
      <c r="C238" s="832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Wh_hp&gt;='2028'!Maxi_hp</f>
        <v>1</v>
      </c>
      <c r="I238" s="385">
        <f>IF(H238,Wh_hp,'2028'!Maxi_hp)</f>
        <v>0</v>
      </c>
      <c r="J238" s="85">
        <f>IF(H238,An,'2028'!An_max)</f>
        <v>2029</v>
      </c>
      <c r="K238" s="193">
        <f t="shared" si="79"/>
        <v>47342</v>
      </c>
      <c r="L238" s="143">
        <f>IF(t&lt;Tvie,1-EXP((T0-t)*PertePVj)+'2028'!Pspv,1-EXP((T0-t)*PertePVj)+Pspv)</f>
        <v>3.7868069760674583E-2</v>
      </c>
      <c r="M238" s="836"/>
      <c r="N238" s="836"/>
      <c r="O238" s="48">
        <f>IF(t&lt;Tnet,'2028'!Resal+('2028'!Salim-'2028'!Resal)*(1-EXP(('2028'!Tnet-t)/('2028'!Tau_j))),Resal+(Salim-Resal)*(1-EXP((Tnet-t)/(Tau_j))))*Salcycl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7.9032215277315703E-6</v>
      </c>
      <c r="Q238" s="301">
        <f t="shared" si="80"/>
        <v>0.5</v>
      </c>
      <c r="R238" s="173">
        <f t="shared" si="81"/>
        <v>0.43401059699538658</v>
      </c>
      <c r="S238" s="802">
        <f t="shared" si="82"/>
        <v>0</v>
      </c>
      <c r="T238" s="172">
        <f t="shared" si="83"/>
        <v>6</v>
      </c>
      <c r="U238" s="247">
        <f t="shared" si="84"/>
        <v>0.43401059699538658</v>
      </c>
      <c r="V238" s="378">
        <f t="shared" si="85"/>
        <v>54.467296737025855</v>
      </c>
      <c r="W238" s="397">
        <f t="shared" si="86"/>
        <v>0</v>
      </c>
      <c r="X238" s="153">
        <f t="shared" si="87"/>
        <v>47342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47342</v>
      </c>
      <c r="AC238" s="119">
        <f>IF(OR(t&lt;Tnet,NoTnet),'2028'!Resal_s+('2028'!Salim-'2028'!Resal_s)*(1-EXP(('2028'!Tnet_s-t)/'2028'!Tau_j)),Resal_s+(Salim-Resal_s)*(1-EXP((Tnet_s-t)/Tau_j)))*Salcycl</f>
        <v>4.480154010289579E-2</v>
      </c>
      <c r="AD238" s="227">
        <f>(INDEX(Models!$BJ238:$BT238,,AH238)*(1-AF238)+INDEX(Models!$BJ238:$BT238,,AH238+1)*AF238-ERP_i)*AE238*Ramure*Pc/MaxiM</f>
        <v>1.0028885174581492E-4</v>
      </c>
      <c r="AE238" s="301">
        <f t="shared" si="92"/>
        <v>0.5</v>
      </c>
      <c r="AF238" s="173">
        <f t="shared" si="93"/>
        <v>0.95899816336936361</v>
      </c>
      <c r="AG238" s="802">
        <f t="shared" si="99"/>
        <v>3</v>
      </c>
      <c r="AH238" s="172">
        <f t="shared" si="94"/>
        <v>9</v>
      </c>
      <c r="AI238" s="221">
        <f t="shared" si="95"/>
        <v>3.9589981633693636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47343</v>
      </c>
      <c r="B239" s="406">
        <f>'2028'!Wh/'2028'!Env_an*'2029'!Env_an</f>
        <v>36.13658425718878</v>
      </c>
      <c r="C239" s="832"/>
      <c r="D239" s="388">
        <f t="shared" si="77"/>
        <v>37.559380171972947</v>
      </c>
      <c r="E239" s="380">
        <f t="shared" si="100"/>
        <v>37.849985355646858</v>
      </c>
      <c r="F239" s="380">
        <f t="shared" si="78"/>
        <v>37.850153606716795</v>
      </c>
      <c r="G239" s="110">
        <f t="shared" si="101"/>
        <v>0.66652959469462036</v>
      </c>
      <c r="H239" s="409" t="b">
        <f>Wh_hp&gt;='2028'!Maxi_hp</f>
        <v>1</v>
      </c>
      <c r="I239" s="385">
        <f>IF(H239,Wh_hp,'2028'!Maxi_hp)</f>
        <v>37.850153606716795</v>
      </c>
      <c r="J239" s="85">
        <f>IF(H239,An,'2028'!An_max)</f>
        <v>2029</v>
      </c>
      <c r="K239" s="193">
        <f t="shared" si="79"/>
        <v>47343</v>
      </c>
      <c r="L239" s="143">
        <f>IF(t&lt;Tvie,1-EXP((T0-t)*PertePVj)+'2028'!Pspv,1-EXP((T0-t)*PertePVj)+Pspv)</f>
        <v>3.7881240538838012E-2</v>
      </c>
      <c r="M239" s="836"/>
      <c r="N239" s="836"/>
      <c r="O239" s="48">
        <f>IF(t&lt;Tnet,'2028'!Resal+('2028'!Salim-'2028'!Resal)*(1-EXP(('2028'!Tnet-t)/('2028'!Tau_j))),Resal+(Salim-Resal)*(1-EXP((Tnet-t)/(Tau_j))))*Salcycl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8.4893802722135014E-6</v>
      </c>
      <c r="Q239" s="301">
        <f t="shared" si="80"/>
        <v>0.5</v>
      </c>
      <c r="R239" s="173">
        <f t="shared" si="81"/>
        <v>0.43532445532313019</v>
      </c>
      <c r="S239" s="802">
        <f t="shared" si="82"/>
        <v>0</v>
      </c>
      <c r="T239" s="172">
        <f t="shared" si="83"/>
        <v>6</v>
      </c>
      <c r="U239" s="247">
        <f t="shared" si="84"/>
        <v>0.43532445532313019</v>
      </c>
      <c r="V239" s="378">
        <f t="shared" si="85"/>
        <v>54.215804370728812</v>
      </c>
      <c r="W239" s="397">
        <f t="shared" si="86"/>
        <v>36.13658425718878</v>
      </c>
      <c r="X239" s="153">
        <f t="shared" si="87"/>
        <v>47343</v>
      </c>
      <c r="Y239" s="380">
        <f t="shared" si="88"/>
        <v>34.781660779581124</v>
      </c>
      <c r="Z239" s="380">
        <f t="shared" si="89"/>
        <v>36.151109660371567</v>
      </c>
      <c r="AA239" s="381">
        <f t="shared" si="90"/>
        <v>37.848045780556397</v>
      </c>
      <c r="AB239" s="193">
        <f t="shared" si="91"/>
        <v>47343</v>
      </c>
      <c r="AC239" s="119">
        <f>IF(OR(t&lt;Tnet,NoTnet),'2028'!Resal_s+('2028'!Salim-'2028'!Resal_s)*(1-EXP(('2028'!Tnet_s-t)/'2028'!Tau_j)),Resal_s+(Salim-Resal_s)*(1-EXP((Tnet_s-t)/Tau_j)))*Salcycl</f>
        <v>4.4835501680157944E-2</v>
      </c>
      <c r="AD239" s="227">
        <f>(INDEX(Models!$BJ239:$BT239,,AH239)*(1-AF239)+INDEX(Models!$BJ239:$BT239,,AH239+1)*AF239-ERP_i)*AE239*Ramure*Pc/MaxiM</f>
        <v>1.0635378325083443E-4</v>
      </c>
      <c r="AE239" s="301">
        <f t="shared" si="92"/>
        <v>0.5</v>
      </c>
      <c r="AF239" s="173">
        <f t="shared" si="93"/>
        <v>0.96031202169710728</v>
      </c>
      <c r="AG239" s="802">
        <f t="shared" si="99"/>
        <v>3</v>
      </c>
      <c r="AH239" s="172">
        <f t="shared" si="94"/>
        <v>9</v>
      </c>
      <c r="AI239" s="221">
        <f t="shared" si="95"/>
        <v>3.9603120216971073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47344</v>
      </c>
      <c r="B240" s="406">
        <f>'2028'!Wh/'2028'!Env_an*'2029'!Env_an</f>
        <v>36.202599309147189</v>
      </c>
      <c r="C240" s="832"/>
      <c r="D240" s="388">
        <f t="shared" si="77"/>
        <v>37.628509519334244</v>
      </c>
      <c r="E240" s="380">
        <f t="shared" si="100"/>
        <v>37.922298370011923</v>
      </c>
      <c r="F240" s="380">
        <f t="shared" si="78"/>
        <v>37.922481293251799</v>
      </c>
      <c r="G240" s="110">
        <f t="shared" si="101"/>
        <v>0.67087961227956838</v>
      </c>
      <c r="H240" s="409" t="b">
        <f>Wh_hp&gt;='2028'!Maxi_hp</f>
        <v>1</v>
      </c>
      <c r="I240" s="385">
        <f>IF(H240,Wh_hp,'2028'!Maxi_hp)</f>
        <v>37.922481293251799</v>
      </c>
      <c r="J240" s="85">
        <f>IF(H240,An,'2028'!An_max)</f>
        <v>2029</v>
      </c>
      <c r="K240" s="193">
        <f t="shared" si="79"/>
        <v>47344</v>
      </c>
      <c r="L240" s="143">
        <f>IF(t&lt;Tvie,1-EXP((T0-t)*PertePVj)+'2028'!Pspv,1-EXP((T0-t)*PertePVj)+Pspv)</f>
        <v>3.7894411136704553E-2</v>
      </c>
      <c r="M240" s="836"/>
      <c r="N240" s="836"/>
      <c r="O240" s="48">
        <f>IF(t&lt;Tnet,'2028'!Resal+('2028'!Salim-'2028'!Resal)*(1-EXP(('2028'!Tnet-t)/('2028'!Tau_j))),Resal+(Salim-Resal)*(1-EXP((Tnet-t)/(Tau_j))))*Salcycl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9.1040336893206436E-6</v>
      </c>
      <c r="Q240" s="301">
        <f t="shared" si="80"/>
        <v>0.5</v>
      </c>
      <c r="R240" s="173">
        <f t="shared" si="81"/>
        <v>0.43659240188407911</v>
      </c>
      <c r="S240" s="802">
        <f t="shared" si="82"/>
        <v>0</v>
      </c>
      <c r="T240" s="172">
        <f t="shared" si="83"/>
        <v>6</v>
      </c>
      <c r="U240" s="247">
        <f t="shared" si="84"/>
        <v>0.43659240188407911</v>
      </c>
      <c r="V240" s="378">
        <f t="shared" si="85"/>
        <v>53.962653929674872</v>
      </c>
      <c r="W240" s="397">
        <f t="shared" si="86"/>
        <v>36.202599309147189</v>
      </c>
      <c r="X240" s="153">
        <f t="shared" si="87"/>
        <v>47344</v>
      </c>
      <c r="Y240" s="380">
        <f t="shared" si="88"/>
        <v>34.846253173242964</v>
      </c>
      <c r="Z240" s="380">
        <f t="shared" si="89"/>
        <v>36.218741036951016</v>
      </c>
      <c r="AA240" s="381">
        <f t="shared" si="90"/>
        <v>37.920194377708803</v>
      </c>
      <c r="AB240" s="193">
        <f t="shared" si="91"/>
        <v>47344</v>
      </c>
      <c r="AC240" s="119">
        <f>IF(OR(t&lt;Tnet,NoTnet),'2028'!Resal_s+('2028'!Salim-'2028'!Resal_s)*(1-EXP(('2028'!Tnet_s-t)/'2028'!Tau_j)),Resal_s+(Salim-Resal_s)*(1-EXP((Tnet_s-t)/Tau_j)))*Salcycl</f>
        <v>4.4869320125584006E-2</v>
      </c>
      <c r="AD240" s="227">
        <f>(INDEX(Models!$BJ240:$BT240,,AH240)*(1-AF240)+INDEX(Models!$BJ240:$BT240,,AH240+1)*AF240-ERP_i)*AE240*Ramure*Pc/MaxiM</f>
        <v>1.1381908696876929E-4</v>
      </c>
      <c r="AE240" s="301">
        <f t="shared" si="92"/>
        <v>0.5</v>
      </c>
      <c r="AF240" s="173">
        <f t="shared" si="93"/>
        <v>0.96157996825805636</v>
      </c>
      <c r="AG240" s="802">
        <f t="shared" si="99"/>
        <v>3</v>
      </c>
      <c r="AH240" s="172">
        <f t="shared" si="94"/>
        <v>9</v>
      </c>
      <c r="AI240" s="221">
        <f t="shared" si="95"/>
        <v>3.9615799682580564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47345</v>
      </c>
      <c r="B241" s="406">
        <f>'2028'!Wh/'2028'!Env_an*'2029'!Env_an</f>
        <v>36.614018541989068</v>
      </c>
      <c r="C241" s="832"/>
      <c r="D241" s="388">
        <f t="shared" si="77"/>
        <v>38.05665426731003</v>
      </c>
      <c r="E241" s="380">
        <f t="shared" si="100"/>
        <v>38.356461786805127</v>
      </c>
      <c r="F241" s="380">
        <f t="shared" si="78"/>
        <v>38.356665226910529</v>
      </c>
      <c r="G241" s="110">
        <f t="shared" si="101"/>
        <v>0.68171869589837419</v>
      </c>
      <c r="H241" s="409" t="b">
        <f>Wh_hp&gt;='2028'!Maxi_hp</f>
        <v>1</v>
      </c>
      <c r="I241" s="385">
        <f>IF(H241,Wh_hp,'2028'!Maxi_hp)</f>
        <v>38.356665226910529</v>
      </c>
      <c r="J241" s="85">
        <f>IF(H241,An,'2028'!An_max)</f>
        <v>2029</v>
      </c>
      <c r="K241" s="193">
        <f t="shared" si="79"/>
        <v>47345</v>
      </c>
      <c r="L241" s="143">
        <f>IF(t&lt;Tvie,1-EXP((T0-t)*PertePVj)+'2028'!Pspv,1-EXP((T0-t)*PertePVj)+Pspv)</f>
        <v>3.7907581554276537E-2</v>
      </c>
      <c r="M241" s="836"/>
      <c r="N241" s="836"/>
      <c r="O241" s="48">
        <f>IF(t&lt;Tnet,'2028'!Resal+('2028'!Salim-'2028'!Resal)*(1-EXP(('2028'!Tnet-t)/('2028'!Tau_j))),Resal+(Salim-Resal)*(1-EXP((Tnet-t)/(Tau_j))))*Salcycl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9.7262831517255853E-6</v>
      </c>
      <c r="Q241" s="301">
        <f t="shared" si="80"/>
        <v>0.5</v>
      </c>
      <c r="R241" s="173">
        <f t="shared" si="81"/>
        <v>0.43781578640711932</v>
      </c>
      <c r="S241" s="802">
        <f t="shared" si="82"/>
        <v>0</v>
      </c>
      <c r="T241" s="172">
        <f t="shared" si="83"/>
        <v>6</v>
      </c>
      <c r="U241" s="247">
        <f t="shared" si="84"/>
        <v>0.43781578640711932</v>
      </c>
      <c r="V241" s="378">
        <f t="shared" si="85"/>
        <v>53.708159744455351</v>
      </c>
      <c r="W241" s="397">
        <f t="shared" si="86"/>
        <v>36.614018541989068</v>
      </c>
      <c r="X241" s="153">
        <f t="shared" si="87"/>
        <v>47345</v>
      </c>
      <c r="Y241" s="380">
        <f t="shared" si="88"/>
        <v>35.243262024840178</v>
      </c>
      <c r="Z241" s="380">
        <f t="shared" si="89"/>
        <v>36.631888318771146</v>
      </c>
      <c r="AA241" s="381">
        <f t="shared" si="90"/>
        <v>38.354102275238162</v>
      </c>
      <c r="AB241" s="193">
        <f t="shared" si="91"/>
        <v>47345</v>
      </c>
      <c r="AC241" s="119">
        <f>IF(OR(t&lt;Tnet,NoTnet),'2028'!Resal_s+('2028'!Salim-'2028'!Resal_s)*(1-EXP(('2028'!Tnet_s-t)/'2028'!Tau_j)),Resal_s+(Salim-Resal_s)*(1-EXP((Tnet_s-t)/Tau_j)))*Salcycl</f>
        <v>4.4902992230348548E-2</v>
      </c>
      <c r="AD241" s="227">
        <f>(INDEX(Models!$BJ241:$BT241,,AH241)*(1-AF241)+INDEX(Models!$BJ241:$BT241,,AH241+1)*AF241-ERP_i)*AE241*Ramure*Pc/MaxiM</f>
        <v>1.22532347395342E-4</v>
      </c>
      <c r="AE241" s="301">
        <f t="shared" si="92"/>
        <v>0.5</v>
      </c>
      <c r="AF241" s="173">
        <f t="shared" si="93"/>
        <v>0.96280335278109641</v>
      </c>
      <c r="AG241" s="802">
        <f t="shared" si="99"/>
        <v>3</v>
      </c>
      <c r="AH241" s="172">
        <f t="shared" si="94"/>
        <v>9</v>
      </c>
      <c r="AI241" s="221">
        <f t="shared" si="95"/>
        <v>3.9628033527810964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47346</v>
      </c>
      <c r="B242" s="406">
        <f>'2028'!Wh/'2028'!Env_an*'2029'!Env_an</f>
        <v>37.923086564723732</v>
      </c>
      <c r="C242" s="832"/>
      <c r="D242" s="388">
        <f t="shared" si="77"/>
        <v>39.417840718779694</v>
      </c>
      <c r="E242" s="380">
        <f t="shared" si="100"/>
        <v>39.731139944958535</v>
      </c>
      <c r="F242" s="380">
        <f t="shared" si="78"/>
        <v>39.731380632019373</v>
      </c>
      <c r="G242" s="110">
        <f t="shared" si="101"/>
        <v>0.70946780504961804</v>
      </c>
      <c r="H242" s="409" t="b">
        <f>Wh_hp&gt;='2028'!Maxi_hp</f>
        <v>1</v>
      </c>
      <c r="I242" s="385">
        <f>IF(H242,Wh_hp,'2028'!Maxi_hp)</f>
        <v>39.731380632019373</v>
      </c>
      <c r="J242" s="85">
        <f>IF(H242,An,'2028'!An_max)</f>
        <v>2029</v>
      </c>
      <c r="K242" s="193">
        <f t="shared" si="79"/>
        <v>47346</v>
      </c>
      <c r="L242" s="143">
        <f>IF(t&lt;Tvie,1-EXP((T0-t)*PertePVj)+'2028'!Pspv,1-EXP((T0-t)*PertePVj)+Pspv)</f>
        <v>3.7920751791556739E-2</v>
      </c>
      <c r="M242" s="836"/>
      <c r="N242" s="836"/>
      <c r="O242" s="48">
        <f>IF(t&lt;Tnet,'2028'!Resal+('2028'!Salim-'2028'!Resal)*(1-EXP(('2028'!Tnet-t)/('2028'!Tau_j))),Resal+(Salim-Resal)*(1-EXP((Tnet-t)/(Tau_j))))*Salcycl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1.0356049844818069E-5</v>
      </c>
      <c r="Q242" s="301">
        <f t="shared" si="80"/>
        <v>0.5</v>
      </c>
      <c r="R242" s="173">
        <f t="shared" si="81"/>
        <v>0.43899593803513809</v>
      </c>
      <c r="S242" s="802">
        <f t="shared" si="82"/>
        <v>0</v>
      </c>
      <c r="T242" s="172">
        <f t="shared" si="83"/>
        <v>6</v>
      </c>
      <c r="U242" s="247">
        <f t="shared" si="84"/>
        <v>0.43899593803513809</v>
      </c>
      <c r="V242" s="378">
        <f t="shared" si="85"/>
        <v>53.45263490903799</v>
      </c>
      <c r="W242" s="397">
        <f t="shared" si="86"/>
        <v>37.923086564723732</v>
      </c>
      <c r="X242" s="153">
        <f t="shared" si="87"/>
        <v>47346</v>
      </c>
      <c r="Y242" s="380">
        <f t="shared" si="88"/>
        <v>36.504220602686871</v>
      </c>
      <c r="Z242" s="380">
        <f t="shared" si="89"/>
        <v>37.943049567552777</v>
      </c>
      <c r="AA242" s="381">
        <f t="shared" si="90"/>
        <v>39.728300930955555</v>
      </c>
      <c r="AB242" s="193">
        <f t="shared" si="91"/>
        <v>47346</v>
      </c>
      <c r="AC242" s="119">
        <f>IF(OR(t&lt;Tnet,NoTnet),'2028'!Resal_s+('2028'!Salim-'2028'!Resal_s)*(1-EXP(('2028'!Tnet_s-t)/'2028'!Tau_j)),Resal_s+(Salim-Resal_s)*(1-EXP((Tnet_s-t)/Tau_j)))*Salcycl</f>
        <v>4.4936514312691016E-2</v>
      </c>
      <c r="AD242" s="227">
        <f>(INDEX(Models!$BJ242:$BT242,,AH242)*(1-AF242)+INDEX(Models!$BJ242:$BT242,,AH242+1)*AF242-ERP_i)*AE242*Ramure*Pc/MaxiM</f>
        <v>1.3251039591821647E-4</v>
      </c>
      <c r="AE242" s="301">
        <f t="shared" si="92"/>
        <v>0.5</v>
      </c>
      <c r="AF242" s="173">
        <f t="shared" si="93"/>
        <v>0.96398350440911518</v>
      </c>
      <c r="AG242" s="802">
        <f t="shared" si="99"/>
        <v>3</v>
      </c>
      <c r="AH242" s="172">
        <f t="shared" si="94"/>
        <v>9</v>
      </c>
      <c r="AI242" s="221">
        <f t="shared" si="95"/>
        <v>3.9639835044091152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47347</v>
      </c>
      <c r="B243" s="406">
        <f>'2028'!Wh/'2028'!Env_an*'2029'!Env_an</f>
        <v>26.378189459140273</v>
      </c>
      <c r="C243" s="832"/>
      <c r="D243" s="388">
        <f t="shared" si="77"/>
        <v>27.418272048240436</v>
      </c>
      <c r="E243" s="380">
        <f t="shared" si="100"/>
        <v>27.638120171861473</v>
      </c>
      <c r="F243" s="380">
        <f t="shared" si="78"/>
        <v>27.638205186320917</v>
      </c>
      <c r="G243" s="110">
        <f t="shared" si="101"/>
        <v>0.49586032842153088</v>
      </c>
      <c r="H243" s="409" t="b">
        <f>Wh_hp&gt;='2028'!Maxi_hp</f>
        <v>1</v>
      </c>
      <c r="I243" s="385">
        <f>IF(H243,Wh_hp,'2028'!Maxi_hp)</f>
        <v>27.638205186320917</v>
      </c>
      <c r="J243" s="85">
        <f>IF(H243,An,'2028'!An_max)</f>
        <v>2029</v>
      </c>
      <c r="K243" s="193">
        <f t="shared" si="79"/>
        <v>47347</v>
      </c>
      <c r="L243" s="143">
        <f>IF(t&lt;Tvie,1-EXP((T0-t)*PertePVj)+'2028'!Pspv,1-EXP((T0-t)*PertePVj)+Pspv)</f>
        <v>3.793392184854727E-2</v>
      </c>
      <c r="M243" s="836"/>
      <c r="N243" s="836"/>
      <c r="O243" s="48">
        <f>IF(t&lt;Tnet,'2028'!Resal+('2028'!Salim-'2028'!Resal)*(1-EXP(('2028'!Tnet-t)/('2028'!Tau_j))),Resal+(Salim-Resal)*(1-EXP((Tnet-t)/(Tau_j))))*Salcycl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1.0993242737844471E-5</v>
      </c>
      <c r="Q243" s="301">
        <f t="shared" si="80"/>
        <v>0.5</v>
      </c>
      <c r="R243" s="173">
        <f t="shared" si="81"/>
        <v>0.44013416406999073</v>
      </c>
      <c r="S243" s="802">
        <f t="shared" si="82"/>
        <v>0</v>
      </c>
      <c r="T243" s="172">
        <f t="shared" si="83"/>
        <v>6</v>
      </c>
      <c r="U243" s="247">
        <f t="shared" si="84"/>
        <v>0.44013416406999073</v>
      </c>
      <c r="V243" s="378">
        <f t="shared" si="85"/>
        <v>53.196392418220213</v>
      </c>
      <c r="W243" s="397">
        <f t="shared" si="86"/>
        <v>26.378189459140273</v>
      </c>
      <c r="X243" s="153">
        <f t="shared" si="87"/>
        <v>47347</v>
      </c>
      <c r="Y243" s="380">
        <f t="shared" si="88"/>
        <v>25.393018864838101</v>
      </c>
      <c r="Z243" s="380">
        <f t="shared" si="89"/>
        <v>26.394256529269935</v>
      </c>
      <c r="AA243" s="381">
        <f t="shared" si="90"/>
        <v>27.637093363848997</v>
      </c>
      <c r="AB243" s="193">
        <f t="shared" si="91"/>
        <v>47347</v>
      </c>
      <c r="AC243" s="119">
        <f>IF(OR(t&lt;Tnet,NoTnet),'2028'!Resal_s+('2028'!Salim-'2028'!Resal_s)*(1-EXP(('2028'!Tnet_s-t)/'2028'!Tau_j)),Resal_s+(Salim-Resal_s)*(1-EXP((Tnet_s-t)/Tau_j)))*Salcycl</f>
        <v>4.4969882259932981E-2</v>
      </c>
      <c r="AD243" s="227">
        <f>(INDEX(Models!$BJ243:$BT243,,AH243)*(1-AF243)+INDEX(Models!$BJ243:$BT243,,AH243+1)*AF243-ERP_i)*AE243*Ramure*Pc/MaxiM</f>
        <v>1.4377006446613533E-4</v>
      </c>
      <c r="AE243" s="301">
        <f t="shared" si="92"/>
        <v>0.5</v>
      </c>
      <c r="AF243" s="173">
        <f t="shared" si="93"/>
        <v>0.96512173044396787</v>
      </c>
      <c r="AG243" s="802">
        <f t="shared" si="99"/>
        <v>3</v>
      </c>
      <c r="AH243" s="172">
        <f t="shared" si="94"/>
        <v>9</v>
      </c>
      <c r="AI243" s="221">
        <f t="shared" si="95"/>
        <v>3.9651217304439679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47348</v>
      </c>
      <c r="B244" s="406">
        <f>'2028'!Wh/'2028'!Env_an*'2029'!Env_an</f>
        <v>40.248438295061128</v>
      </c>
      <c r="C244" s="832"/>
      <c r="D244" s="388">
        <f t="shared" si="77"/>
        <v>41.835992541448384</v>
      </c>
      <c r="E244" s="380">
        <f t="shared" si="100"/>
        <v>42.17437761827064</v>
      </c>
      <c r="F244" s="380">
        <f t="shared" si="78"/>
        <v>42.174700344926478</v>
      </c>
      <c r="G244" s="110">
        <f t="shared" si="101"/>
        <v>0.76026580321422021</v>
      </c>
      <c r="H244" s="409" t="b">
        <f>Wh_hp&gt;='2028'!Maxi_hp</f>
        <v>1</v>
      </c>
      <c r="I244" s="385">
        <f>IF(H244,Wh_hp,'2028'!Maxi_hp)</f>
        <v>42.174700344926478</v>
      </c>
      <c r="J244" s="85">
        <f>IF(H244,An,'2028'!An_max)</f>
        <v>2029</v>
      </c>
      <c r="K244" s="193">
        <f t="shared" si="79"/>
        <v>47348</v>
      </c>
      <c r="L244" s="143">
        <f>IF(t&lt;Tvie,1-EXP((T0-t)*PertePVj)+'2028'!Pspv,1-EXP((T0-t)*PertePVj)+Pspv)</f>
        <v>3.7947091725250903E-2</v>
      </c>
      <c r="M244" s="836"/>
      <c r="N244" s="836"/>
      <c r="O244" s="48">
        <f>IF(t&lt;Tnet,'2028'!Resal+('2028'!Salim-'2028'!Resal)*(1-EXP(('2028'!Tnet-t)/('2028'!Tau_j))),Resal+(Salim-Resal)*(1-EXP((Tnet-t)/(Tau_j))))*Salcycl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1.1637757518398087E-5</v>
      </c>
      <c r="Q244" s="301">
        <f t="shared" si="80"/>
        <v>0.5</v>
      </c>
      <c r="R244" s="173">
        <f t="shared" si="81"/>
        <v>0.44123174887480432</v>
      </c>
      <c r="S244" s="802">
        <f t="shared" si="82"/>
        <v>0</v>
      </c>
      <c r="T244" s="172">
        <f t="shared" si="83"/>
        <v>6</v>
      </c>
      <c r="U244" s="247">
        <f t="shared" si="84"/>
        <v>0.44123174887480432</v>
      </c>
      <c r="V244" s="378">
        <f t="shared" si="85"/>
        <v>52.939745163783151</v>
      </c>
      <c r="W244" s="397">
        <f t="shared" si="86"/>
        <v>40.248438295061128</v>
      </c>
      <c r="X244" s="153">
        <f t="shared" si="87"/>
        <v>47348</v>
      </c>
      <c r="Y244" s="380">
        <f t="shared" si="88"/>
        <v>38.74434155605848</v>
      </c>
      <c r="Z244" s="380">
        <f t="shared" si="89"/>
        <v>40.272568403268764</v>
      </c>
      <c r="AA244" s="381">
        <f t="shared" si="90"/>
        <v>42.170365210249656</v>
      </c>
      <c r="AB244" s="193">
        <f t="shared" si="91"/>
        <v>47348</v>
      </c>
      <c r="AC244" s="119">
        <f>IF(OR(t&lt;Tnet,NoTnet),'2028'!Resal_s+('2028'!Salim-'2028'!Resal_s)*(1-EXP(('2028'!Tnet_s-t)/'2028'!Tau_j)),Resal_s+(Salim-Resal_s)*(1-EXP((Tnet_s-t)/Tau_j)))*Salcycl</f>
        <v>4.5003091567241818E-2</v>
      </c>
      <c r="AD244" s="227">
        <f>(INDEX(Models!$BJ244:$BT244,,AH244)*(1-AF244)+INDEX(Models!$BJ244:$BT244,,AH244+1)*AF244-ERP_i)*AE244*Ramure*Pc/MaxiM</f>
        <v>1.5632810388049588E-4</v>
      </c>
      <c r="AE244" s="301">
        <f t="shared" si="92"/>
        <v>0.5</v>
      </c>
      <c r="AF244" s="173">
        <f t="shared" si="93"/>
        <v>0.96621931524878146</v>
      </c>
      <c r="AG244" s="802">
        <f t="shared" si="99"/>
        <v>3</v>
      </c>
      <c r="AH244" s="172">
        <f t="shared" si="94"/>
        <v>9</v>
      </c>
      <c r="AI244" s="221">
        <f t="shared" si="95"/>
        <v>3.9662193152487815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47349</v>
      </c>
      <c r="B245" s="406">
        <f>'2028'!Wh/'2028'!Env_an*'2029'!Env_an</f>
        <v>39.844127078090736</v>
      </c>
      <c r="C245" s="832"/>
      <c r="D245" s="388">
        <f t="shared" si="77"/>
        <v>41.416300678983433</v>
      </c>
      <c r="E245" s="380">
        <f t="shared" si="100"/>
        <v>41.754189436716473</v>
      </c>
      <c r="F245" s="380">
        <f t="shared" si="78"/>
        <v>41.75452393105094</v>
      </c>
      <c r="G245" s="110">
        <f t="shared" si="101"/>
        <v>0.75629618878159588</v>
      </c>
      <c r="H245" s="409" t="b">
        <f>Wh_hp&gt;='2028'!Maxi_hp</f>
        <v>1</v>
      </c>
      <c r="I245" s="385">
        <f>IF(H245,Wh_hp,'2028'!Maxi_hp)</f>
        <v>41.75452393105094</v>
      </c>
      <c r="J245" s="85">
        <f>IF(H245,An,'2028'!An_max)</f>
        <v>2029</v>
      </c>
      <c r="K245" s="193">
        <f t="shared" si="79"/>
        <v>47349</v>
      </c>
      <c r="L245" s="143">
        <f>IF(t&lt;Tvie,1-EXP((T0-t)*PertePVj)+'2028'!Pspv,1-EXP((T0-t)*PertePVj)+Pspv)</f>
        <v>3.7960261421669972E-2</v>
      </c>
      <c r="M245" s="836"/>
      <c r="N245" s="836"/>
      <c r="O245" s="48">
        <f>IF(t&lt;Tnet,'2028'!Resal+('2028'!Salim-'2028'!Resal)*(1-EXP(('2028'!Tnet-t)/('2028'!Tau_j))),Resal+(Salim-Resal)*(1-EXP((Tnet-t)/(Tau_j))))*Salcycl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1.2289475517225402E-5</v>
      </c>
      <c r="Q245" s="301">
        <f t="shared" si="80"/>
        <v>0.5</v>
      </c>
      <c r="R245" s="173">
        <f t="shared" si="81"/>
        <v>0.44228995292424367</v>
      </c>
      <c r="S245" s="802">
        <f t="shared" si="82"/>
        <v>0</v>
      </c>
      <c r="T245" s="172">
        <f t="shared" si="83"/>
        <v>6</v>
      </c>
      <c r="U245" s="247">
        <f t="shared" si="84"/>
        <v>0.44228995292424367</v>
      </c>
      <c r="V245" s="378">
        <f t="shared" si="85"/>
        <v>52.683005936719354</v>
      </c>
      <c r="W245" s="397">
        <f t="shared" si="86"/>
        <v>39.844127078090736</v>
      </c>
      <c r="X245" s="153">
        <f t="shared" si="87"/>
        <v>47349</v>
      </c>
      <c r="Y245" s="380">
        <f t="shared" si="88"/>
        <v>38.356175696772809</v>
      </c>
      <c r="Z245" s="380">
        <f t="shared" si="89"/>
        <v>39.869637561390419</v>
      </c>
      <c r="AA245" s="381">
        <f t="shared" si="90"/>
        <v>41.749891406048555</v>
      </c>
      <c r="AB245" s="193">
        <f t="shared" si="91"/>
        <v>47349</v>
      </c>
      <c r="AC245" s="119">
        <f>IF(OR(t&lt;Tnet,NoTnet),'2028'!Resal_s+('2028'!Salim-'2028'!Resal_s)*(1-EXP(('2028'!Tnet_s-t)/'2028'!Tau_j)),Resal_s+(Salim-Resal_s)*(1-EXP((Tnet_s-t)/Tau_j)))*Salcycl</f>
        <v>4.5036137372700673E-2</v>
      </c>
      <c r="AD245" s="227">
        <f>(INDEX(Models!$BJ245:$BT245,,AH245)*(1-AF245)+INDEX(Models!$BJ245:$BT245,,AH245+1)*AF245-ERP_i)*AE245*Ramure*Pc/MaxiM</f>
        <v>1.7020109679968863E-4</v>
      </c>
      <c r="AE245" s="301">
        <f t="shared" si="92"/>
        <v>0.5</v>
      </c>
      <c r="AF245" s="173">
        <f t="shared" si="93"/>
        <v>0.96727751929822059</v>
      </c>
      <c r="AG245" s="802">
        <f t="shared" si="99"/>
        <v>3</v>
      </c>
      <c r="AH245" s="172">
        <f t="shared" si="94"/>
        <v>9</v>
      </c>
      <c r="AI245" s="221">
        <f t="shared" si="95"/>
        <v>3.9672775192982206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47350</v>
      </c>
      <c r="B246" s="406">
        <f>'2028'!Wh/'2028'!Env_an*'2029'!Env_an</f>
        <v>51.998746796715523</v>
      </c>
      <c r="C246" s="832"/>
      <c r="D246" s="388">
        <f t="shared" si="77"/>
        <v>54.051258529590477</v>
      </c>
      <c r="E246" s="380">
        <f t="shared" si="100"/>
        <v>54.496005527046051</v>
      </c>
      <c r="F246" s="380">
        <f t="shared" si="78"/>
        <v>54.496702940093506</v>
      </c>
      <c r="G246" s="110">
        <f t="shared" si="101"/>
        <v>0.99184098534866971</v>
      </c>
      <c r="H246" s="409" t="b">
        <f>Wh_hp&gt;='2028'!Maxi_hp</f>
        <v>1</v>
      </c>
      <c r="I246" s="385">
        <f>IF(H246,Wh_hp,'2028'!Maxi_hp)</f>
        <v>54.496702940093506</v>
      </c>
      <c r="J246" s="85">
        <f>IF(H246,An,'2028'!An_max)</f>
        <v>2029</v>
      </c>
      <c r="K246" s="193">
        <f t="shared" si="79"/>
        <v>47350</v>
      </c>
      <c r="L246" s="143">
        <f>IF(t&lt;Tvie,1-EXP((T0-t)*PertePVj)+'2028'!Pspv,1-EXP((T0-t)*PertePVj)+Pspv)</f>
        <v>3.7973430937806918E-2</v>
      </c>
      <c r="M246" s="836"/>
      <c r="N246" s="836"/>
      <c r="O246" s="48">
        <f>IF(t&lt;Tnet,'2028'!Resal+('2028'!Salim-'2028'!Resal)*(1-EXP(('2028'!Tnet-t)/('2028'!Tau_j))),Resal+(Salim-Resal)*(1-EXP((Tnet-t)/(Tau_j))))*Salcycl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1.294826262447747E-5</v>
      </c>
      <c r="Q246" s="301">
        <f t="shared" si="80"/>
        <v>0.5</v>
      </c>
      <c r="R246" s="173">
        <f t="shared" si="81"/>
        <v>0.44331001199352893</v>
      </c>
      <c r="S246" s="802">
        <f t="shared" si="82"/>
        <v>0</v>
      </c>
      <c r="T246" s="172">
        <f t="shared" si="83"/>
        <v>6</v>
      </c>
      <c r="U246" s="247">
        <f t="shared" si="84"/>
        <v>0.44331001199352893</v>
      </c>
      <c r="V246" s="378">
        <f t="shared" si="85"/>
        <v>52.426487428072562</v>
      </c>
      <c r="W246" s="397">
        <f t="shared" si="86"/>
        <v>51.998746796715523</v>
      </c>
      <c r="X246" s="153">
        <f t="shared" si="87"/>
        <v>47350</v>
      </c>
      <c r="Y246" s="380">
        <f t="shared" si="88"/>
        <v>50.055256461098857</v>
      </c>
      <c r="Z246" s="380">
        <f t="shared" si="89"/>
        <v>52.031054100609651</v>
      </c>
      <c r="AA246" s="381">
        <f t="shared" si="90"/>
        <v>54.486716726161625</v>
      </c>
      <c r="AB246" s="193">
        <f t="shared" si="91"/>
        <v>47350</v>
      </c>
      <c r="AC246" s="119">
        <f>IF(OR(t&lt;Tnet,NoTnet),'2028'!Resal_s+('2028'!Salim-'2028'!Resal_s)*(1-EXP(('2028'!Tnet_s-t)/'2028'!Tau_j)),Resal_s+(Salim-Resal_s)*(1-EXP((Tnet_s-t)/Tau_j)))*Salcycl</f>
        <v>4.5069014488312832E-2</v>
      </c>
      <c r="AD246" s="227">
        <f>(INDEX(Models!$BJ246:$BT246,,AH246)*(1-AF246)+INDEX(Models!$BJ246:$BT246,,AH246+1)*AF246-ERP_i)*AE246*Ramure*Pc/MaxiM</f>
        <v>1.8540536499347696E-4</v>
      </c>
      <c r="AE246" s="301">
        <f t="shared" si="92"/>
        <v>0.5</v>
      </c>
      <c r="AF246" s="173">
        <f t="shared" si="93"/>
        <v>0.96829757836750607</v>
      </c>
      <c r="AG246" s="802">
        <f t="shared" si="99"/>
        <v>3</v>
      </c>
      <c r="AH246" s="172">
        <f t="shared" si="94"/>
        <v>9</v>
      </c>
      <c r="AI246" s="221">
        <f t="shared" si="95"/>
        <v>3.9682975783675061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47351</v>
      </c>
      <c r="B247" s="406">
        <f>'2028'!Wh/'2028'!Env_an*'2029'!Env_an</f>
        <v>37.523238319559674</v>
      </c>
      <c r="C247" s="832"/>
      <c r="D247" s="388">
        <f t="shared" si="77"/>
        <v>39.004901938199531</v>
      </c>
      <c r="E247" s="380">
        <f t="shared" si="100"/>
        <v>39.328566553154012</v>
      </c>
      <c r="F247" s="380">
        <f t="shared" si="78"/>
        <v>39.328887221224242</v>
      </c>
      <c r="G247" s="110">
        <f t="shared" si="101"/>
        <v>0.71923370480247961</v>
      </c>
      <c r="H247" s="409" t="b">
        <f>Wh_hp&gt;='2028'!Maxi_hp</f>
        <v>1</v>
      </c>
      <c r="I247" s="385">
        <f>IF(H247,Wh_hp,'2028'!Maxi_hp)</f>
        <v>39.328887221224242</v>
      </c>
      <c r="J247" s="85">
        <f>IF(H247,An,'2028'!An_max)</f>
        <v>2029</v>
      </c>
      <c r="K247" s="193">
        <f t="shared" si="79"/>
        <v>47351</v>
      </c>
      <c r="L247" s="143">
        <f>IF(t&lt;Tvie,1-EXP((T0-t)*PertePVj)+'2028'!Pspv,1-EXP((T0-t)*PertePVj)+Pspv)</f>
        <v>3.7986600273664295E-2</v>
      </c>
      <c r="M247" s="836"/>
      <c r="N247" s="836"/>
      <c r="O247" s="48">
        <f>IF(t&lt;Tnet,'2028'!Resal+('2028'!Salim-'2028'!Resal)*(1-EXP(('2028'!Tnet-t)/('2028'!Tau_j))),Resal+(Salim-Resal)*(1-EXP((Tnet-t)/(Tau_j))))*Salcycl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1.3613877556899564E-5</v>
      </c>
      <c r="Q247" s="301">
        <f t="shared" si="80"/>
        <v>0.5</v>
      </c>
      <c r="R247" s="173">
        <f t="shared" si="81"/>
        <v>0.44429313647719315</v>
      </c>
      <c r="S247" s="802">
        <f t="shared" si="82"/>
        <v>0</v>
      </c>
      <c r="T247" s="172">
        <f t="shared" si="83"/>
        <v>6</v>
      </c>
      <c r="U247" s="247">
        <f t="shared" si="84"/>
        <v>0.44429313647719315</v>
      </c>
      <c r="V247" s="378">
        <f t="shared" si="85"/>
        <v>52.170849580991636</v>
      </c>
      <c r="W247" s="397">
        <f t="shared" si="86"/>
        <v>37.523238319559674</v>
      </c>
      <c r="X247" s="153">
        <f t="shared" si="87"/>
        <v>47351</v>
      </c>
      <c r="Y247" s="380">
        <f t="shared" si="88"/>
        <v>36.124126926836581</v>
      </c>
      <c r="Z247" s="380">
        <f t="shared" si="89"/>
        <v>37.55054444887444</v>
      </c>
      <c r="AA247" s="381">
        <f t="shared" si="90"/>
        <v>39.324130259905097</v>
      </c>
      <c r="AB247" s="193">
        <f t="shared" si="91"/>
        <v>47351</v>
      </c>
      <c r="AC247" s="119">
        <f>IF(OR(t&lt;Tnet,NoTnet),'2028'!Resal_s+('2028'!Salim-'2028'!Resal_s)*(1-EXP(('2028'!Tnet_s-t)/'2028'!Tau_j)),Resal_s+(Salim-Resal_s)*(1-EXP((Tnet_s-t)/Tau_j)))*Salcycl</f>
        <v>4.5101717426640861E-2</v>
      </c>
      <c r="AD247" s="227">
        <f>(INDEX(Models!$BJ247:$BT247,,AH247)*(1-AF247)+INDEX(Models!$BJ247:$BT247,,AH247+1)*AF247-ERP_i)*AE247*Ramure*Pc/MaxiM</f>
        <v>2.0195552645866201E-4</v>
      </c>
      <c r="AE247" s="301">
        <f t="shared" si="92"/>
        <v>0.5</v>
      </c>
      <c r="AF247" s="173">
        <f t="shared" si="93"/>
        <v>0.96928070285117052</v>
      </c>
      <c r="AG247" s="802">
        <f t="shared" si="99"/>
        <v>3</v>
      </c>
      <c r="AH247" s="172">
        <f t="shared" si="94"/>
        <v>9</v>
      </c>
      <c r="AI247" s="221">
        <f t="shared" si="95"/>
        <v>3.9692807028511705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47352</v>
      </c>
      <c r="B248" s="406">
        <f>'2028'!Wh/'2028'!Env_an*'2029'!Env_an</f>
        <v>27.447249954662407</v>
      </c>
      <c r="C248" s="832"/>
      <c r="D248" s="388">
        <f t="shared" si="77"/>
        <v>28.531438020943021</v>
      </c>
      <c r="E248" s="380">
        <f t="shared" si="100"/>
        <v>28.770182373662845</v>
      </c>
      <c r="F248" s="380">
        <f t="shared" si="78"/>
        <v>28.770317385561622</v>
      </c>
      <c r="G248" s="110">
        <f t="shared" si="101"/>
        <v>0.52867868876226831</v>
      </c>
      <c r="H248" s="409" t="b">
        <f>Wh_hp&gt;='2028'!Maxi_hp</f>
        <v>1</v>
      </c>
      <c r="I248" s="385">
        <f>IF(H248,Wh_hp,'2028'!Maxi_hp)</f>
        <v>28.770317385561622</v>
      </c>
      <c r="J248" s="85">
        <f>IF(H248,An,'2028'!An_max)</f>
        <v>2029</v>
      </c>
      <c r="K248" s="193">
        <f t="shared" si="79"/>
        <v>47352</v>
      </c>
      <c r="L248" s="143">
        <f>IF(t&lt;Tvie,1-EXP((T0-t)*PertePVj)+'2028'!Pspv,1-EXP((T0-t)*PertePVj)+Pspv)</f>
        <v>3.7999769429244434E-2</v>
      </c>
      <c r="M248" s="836"/>
      <c r="N248" s="836"/>
      <c r="O248" s="48">
        <f>IF(t&lt;Tnet,'2028'!Resal+('2028'!Salim-'2028'!Resal)*(1-EXP(('2028'!Tnet-t)/('2028'!Tau_j))),Resal+(Salim-Resal)*(1-EXP((Tnet-t)/(Tau_j))))*Salcycl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1.4364483939211807E-5</v>
      </c>
      <c r="Q248" s="301">
        <f t="shared" si="80"/>
        <v>0.5</v>
      </c>
      <c r="R248" s="173">
        <f t="shared" si="81"/>
        <v>0.44524051082881155</v>
      </c>
      <c r="S248" s="802">
        <f t="shared" si="82"/>
        <v>0</v>
      </c>
      <c r="T248" s="172">
        <f t="shared" si="83"/>
        <v>6</v>
      </c>
      <c r="U248" s="247">
        <f t="shared" si="84"/>
        <v>0.44524051082881155</v>
      </c>
      <c r="V248" s="378">
        <f t="shared" si="85"/>
        <v>51.9161923382391</v>
      </c>
      <c r="W248" s="397">
        <f t="shared" si="86"/>
        <v>27.447249954662407</v>
      </c>
      <c r="X248" s="153">
        <f t="shared" si="87"/>
        <v>47352</v>
      </c>
      <c r="Y248" s="380">
        <f t="shared" si="88"/>
        <v>26.42596872414245</v>
      </c>
      <c r="Z248" s="380">
        <f t="shared" si="89"/>
        <v>27.469815374642788</v>
      </c>
      <c r="AA248" s="381">
        <f t="shared" si="90"/>
        <v>28.768248415156947</v>
      </c>
      <c r="AB248" s="193">
        <f t="shared" si="91"/>
        <v>47352</v>
      </c>
      <c r="AC248" s="119">
        <f>IF(OR(t&lt;Tnet,NoTnet),'2028'!Resal_s+('2028'!Salim-'2028'!Resal_s)*(1-EXP(('2028'!Tnet_s-t)/'2028'!Tau_j)),Resal_s+(Salim-Resal_s)*(1-EXP((Tnet_s-t)/Tau_j)))*Salcycl</f>
        <v>4.5134240422856658E-2</v>
      </c>
      <c r="AD248" s="227">
        <f>(INDEX(Models!$BJ248:$BT248,,AH248)*(1-AF248)+INDEX(Models!$BJ248:$BT248,,AH248+1)*AF248-ERP_i)*AE248*Ramure*Pc/MaxiM</f>
        <v>2.2012646602297486E-4</v>
      </c>
      <c r="AE248" s="301">
        <f t="shared" si="92"/>
        <v>0.5</v>
      </c>
      <c r="AF248" s="173">
        <f t="shared" si="93"/>
        <v>0.9702280772027887</v>
      </c>
      <c r="AG248" s="802">
        <f t="shared" si="99"/>
        <v>3</v>
      </c>
      <c r="AH248" s="172">
        <f t="shared" si="94"/>
        <v>9</v>
      </c>
      <c r="AI248" s="221">
        <f t="shared" si="95"/>
        <v>3.9702280772027887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47353</v>
      </c>
      <c r="B249" s="406">
        <f>'2028'!Wh/'2028'!Env_an*'2029'!Env_an</f>
        <v>46.431191508863165</v>
      </c>
      <c r="C249" s="832"/>
      <c r="D249" s="388">
        <f t="shared" si="77"/>
        <v>48.265920990514466</v>
      </c>
      <c r="E249" s="380">
        <f t="shared" si="100"/>
        <v>48.673159269605883</v>
      </c>
      <c r="F249" s="380">
        <f t="shared" si="78"/>
        <v>48.67379250059259</v>
      </c>
      <c r="G249" s="110">
        <f t="shared" si="101"/>
        <v>0.89874752542438374</v>
      </c>
      <c r="H249" s="409" t="b">
        <f>Wh_hp&gt;='2028'!Maxi_hp</f>
        <v>1</v>
      </c>
      <c r="I249" s="385">
        <f>IF(H249,Wh_hp,'2028'!Maxi_hp)</f>
        <v>48.67379250059259</v>
      </c>
      <c r="J249" s="85">
        <f>IF(H249,An,'2028'!An_max)</f>
        <v>2029</v>
      </c>
      <c r="K249" s="193">
        <f t="shared" si="79"/>
        <v>47353</v>
      </c>
      <c r="L249" s="143">
        <f>IF(t&lt;Tvie,1-EXP((T0-t)*PertePVj)+'2028'!Pspv,1-EXP((T0-t)*PertePVj)+Pspv)</f>
        <v>3.8012938404550001E-2</v>
      </c>
      <c r="M249" s="836"/>
      <c r="N249" s="836"/>
      <c r="O249" s="48">
        <f>IF(t&lt;Tnet,'2028'!Resal+('2028'!Salim-'2028'!Resal)*(1-EXP(('2028'!Tnet-t)/('2028'!Tau_j))),Resal+(Salim-Resal)*(1-EXP((Tnet-t)/(Tau_j))))*Salcycl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1.5209671932378923E-5</v>
      </c>
      <c r="Q249" s="301">
        <f t="shared" si="80"/>
        <v>0.5</v>
      </c>
      <c r="R249" s="173">
        <f t="shared" si="81"/>
        <v>0.44615329311319785</v>
      </c>
      <c r="S249" s="802">
        <f t="shared" si="82"/>
        <v>0</v>
      </c>
      <c r="T249" s="172">
        <f t="shared" si="83"/>
        <v>6</v>
      </c>
      <c r="U249" s="247">
        <f t="shared" si="84"/>
        <v>0.44615329311319785</v>
      </c>
      <c r="V249" s="378">
        <f t="shared" si="85"/>
        <v>51.661994104363004</v>
      </c>
      <c r="W249" s="397">
        <f t="shared" si="86"/>
        <v>46.431191508863165</v>
      </c>
      <c r="X249" s="153">
        <f t="shared" si="87"/>
        <v>47353</v>
      </c>
      <c r="Y249" s="380">
        <f t="shared" si="88"/>
        <v>44.699519729685029</v>
      </c>
      <c r="Z249" s="380">
        <f t="shared" si="89"/>
        <v>46.465822165582075</v>
      </c>
      <c r="AA249" s="381">
        <f t="shared" si="90"/>
        <v>48.663799431726517</v>
      </c>
      <c r="AB249" s="193">
        <f t="shared" si="91"/>
        <v>47353</v>
      </c>
      <c r="AC249" s="119">
        <f>IF(OR(t&lt;Tnet,NoTnet),'2028'!Resal_s+('2028'!Salim-'2028'!Resal_s)*(1-EXP(('2028'!Tnet_s-t)/'2028'!Tau_j)),Resal_s+(Salim-Resal_s)*(1-EXP((Tnet_s-t)/Tau_j)))*Salcycl</f>
        <v>4.5166577452057016E-2</v>
      </c>
      <c r="AD249" s="227">
        <f>(INDEX(Models!$BJ249:$BT249,,AH249)*(1-AF249)+INDEX(Models!$BJ249:$BT249,,AH249+1)*AF249-ERP_i)*AE249*Ramure*Pc/MaxiM</f>
        <v>2.4002504969272047E-4</v>
      </c>
      <c r="AE249" s="301">
        <f t="shared" si="92"/>
        <v>0.5</v>
      </c>
      <c r="AF249" s="173">
        <f t="shared" si="93"/>
        <v>0.97114085948717488</v>
      </c>
      <c r="AG249" s="802">
        <f t="shared" si="99"/>
        <v>3</v>
      </c>
      <c r="AH249" s="172">
        <f t="shared" si="94"/>
        <v>9</v>
      </c>
      <c r="AI249" s="221">
        <f t="shared" si="95"/>
        <v>3.9711408594871749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47354</v>
      </c>
      <c r="B250" s="406">
        <f>'2028'!Wh/'2028'!Env_an*'2029'!Env_an</f>
        <v>50.42990375225822</v>
      </c>
      <c r="C250" s="832"/>
      <c r="D250" s="388">
        <f t="shared" si="77"/>
        <v>52.423360061727834</v>
      </c>
      <c r="E250" s="380">
        <f t="shared" si="100"/>
        <v>52.869321240174813</v>
      </c>
      <c r="F250" s="380">
        <f t="shared" si="78"/>
        <v>52.870151950506376</v>
      </c>
      <c r="G250" s="110">
        <f t="shared" si="101"/>
        <v>0.98097849906480472</v>
      </c>
      <c r="H250" s="409" t="b">
        <f>Wh_hp&gt;='2028'!Maxi_hp</f>
        <v>1</v>
      </c>
      <c r="I250" s="385">
        <f>IF(H250,Wh_hp,'2028'!Maxi_hp)</f>
        <v>52.870151950506376</v>
      </c>
      <c r="J250" s="85">
        <f>IF(H250,An,'2028'!An_max)</f>
        <v>2029</v>
      </c>
      <c r="K250" s="193">
        <f t="shared" si="79"/>
        <v>47354</v>
      </c>
      <c r="L250" s="143">
        <f>IF(t&lt;Tvie,1-EXP((T0-t)*PertePVj)+'2028'!Pspv,1-EXP((T0-t)*PertePVj)+Pspv)</f>
        <v>3.8026107199583326E-2</v>
      </c>
      <c r="M250" s="836"/>
      <c r="N250" s="836"/>
      <c r="O250" s="48">
        <f>IF(t&lt;Tnet,'2028'!Resal+('2028'!Salim-'2028'!Resal)*(1-EXP(('2028'!Tnet-t)/('2028'!Tau_j))),Resal+(Salim-Resal)*(1-EXP((Tnet-t)/(Tau_j))))*Salcycl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1.6151148818697052E-5</v>
      </c>
      <c r="Q250" s="301">
        <f t="shared" si="80"/>
        <v>0.5</v>
      </c>
      <c r="R250" s="173">
        <f t="shared" si="81"/>
        <v>0.44703261466286209</v>
      </c>
      <c r="S250" s="802">
        <f t="shared" si="82"/>
        <v>0</v>
      </c>
      <c r="T250" s="172">
        <f t="shared" si="83"/>
        <v>6</v>
      </c>
      <c r="U250" s="247">
        <f t="shared" si="84"/>
        <v>0.44703261466286209</v>
      </c>
      <c r="V250" s="378">
        <f t="shared" si="85"/>
        <v>51.40773387754038</v>
      </c>
      <c r="W250" s="397">
        <f t="shared" si="86"/>
        <v>50.42990375225822</v>
      </c>
      <c r="X250" s="153">
        <f t="shared" si="87"/>
        <v>47354</v>
      </c>
      <c r="Y250" s="380">
        <f t="shared" si="88"/>
        <v>48.548550272923976</v>
      </c>
      <c r="Z250" s="380">
        <f t="shared" si="89"/>
        <v>50.467638089006307</v>
      </c>
      <c r="AA250" s="381">
        <f t="shared" si="90"/>
        <v>52.856693078060573</v>
      </c>
      <c r="AB250" s="193">
        <f t="shared" si="91"/>
        <v>47354</v>
      </c>
      <c r="AC250" s="119">
        <f>IF(OR(t&lt;Tnet,NoTnet),'2028'!Resal_s+('2028'!Salim-'2028'!Resal_s)*(1-EXP(('2028'!Tnet_s-t)/'2028'!Tau_j)),Resal_s+(Salim-Resal_s)*(1-EXP((Tnet_s-t)/Tau_j)))*Salcycl</f>
        <v>4.5198722241779801E-2</v>
      </c>
      <c r="AD250" s="227">
        <f>(INDEX(Models!$BJ250:$BT250,,AH250)*(1-AF250)+INDEX(Models!$BJ250:$BT250,,AH250+1)*AF250-ERP_i)*AE250*Ramure*Pc/MaxiM</f>
        <v>2.6167515142600732E-4</v>
      </c>
      <c r="AE250" s="301">
        <f t="shared" si="92"/>
        <v>0.5</v>
      </c>
      <c r="AF250" s="173">
        <f t="shared" si="93"/>
        <v>0.9720201810368394</v>
      </c>
      <c r="AG250" s="802">
        <f t="shared" si="99"/>
        <v>3</v>
      </c>
      <c r="AH250" s="172">
        <f t="shared" si="94"/>
        <v>9</v>
      </c>
      <c r="AI250" s="221">
        <f t="shared" si="95"/>
        <v>3.9720201810368394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47355</v>
      </c>
      <c r="B251" s="406">
        <f>'2028'!Wh/'2028'!Env_an*'2029'!Env_an</f>
        <v>32.34511634277856</v>
      </c>
      <c r="C251" s="832"/>
      <c r="D251" s="388">
        <f t="shared" si="77"/>
        <v>33.62415484287083</v>
      </c>
      <c r="E251" s="380">
        <f t="shared" si="100"/>
        <v>33.912527408693506</v>
      </c>
      <c r="F251" s="380">
        <f t="shared" si="78"/>
        <v>33.912804177715458</v>
      </c>
      <c r="G251" s="110">
        <f t="shared" si="101"/>
        <v>0.63231664439558233</v>
      </c>
      <c r="H251" s="409" t="b">
        <f>Wh_hp&gt;='2028'!Maxi_hp</f>
        <v>1</v>
      </c>
      <c r="I251" s="385">
        <f>IF(H251,Wh_hp,'2028'!Maxi_hp)</f>
        <v>33.912804177715458</v>
      </c>
      <c r="J251" s="85">
        <f>IF(H251,An,'2028'!An_max)</f>
        <v>2029</v>
      </c>
      <c r="K251" s="193">
        <f t="shared" si="79"/>
        <v>47355</v>
      </c>
      <c r="L251" s="143">
        <f>IF(t&lt;Tvie,1-EXP((T0-t)*PertePVj)+'2028'!Pspv,1-EXP((T0-t)*PertePVj)+Pspv)</f>
        <v>3.8039275814346851E-2</v>
      </c>
      <c r="M251" s="836"/>
      <c r="N251" s="836"/>
      <c r="O251" s="48">
        <f>IF(t&lt;Tnet,'2028'!Resal+('2028'!Salim-'2028'!Resal)*(1-EXP(('2028'!Tnet-t)/('2028'!Tau_j))),Resal+(Salim-Resal)*(1-EXP((Tnet-t)/(Tau_j))))*Salcycl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1.719064854362523E-5</v>
      </c>
      <c r="Q251" s="301">
        <f t="shared" si="80"/>
        <v>0.5</v>
      </c>
      <c r="R251" s="173">
        <f t="shared" si="81"/>
        <v>0.44787957983082671</v>
      </c>
      <c r="S251" s="802">
        <f t="shared" si="82"/>
        <v>0</v>
      </c>
      <c r="T251" s="172">
        <f t="shared" si="83"/>
        <v>6</v>
      </c>
      <c r="U251" s="247">
        <f t="shared" si="84"/>
        <v>0.44787957983082671</v>
      </c>
      <c r="V251" s="378">
        <f t="shared" si="85"/>
        <v>51.152890831461079</v>
      </c>
      <c r="W251" s="397">
        <f t="shared" si="86"/>
        <v>32.34511634277856</v>
      </c>
      <c r="X251" s="153">
        <f t="shared" si="87"/>
        <v>47355</v>
      </c>
      <c r="Y251" s="380">
        <f t="shared" si="88"/>
        <v>31.143019461152644</v>
      </c>
      <c r="Z251" s="380">
        <f t="shared" si="89"/>
        <v>32.374522865802795</v>
      </c>
      <c r="AA251" s="381">
        <f t="shared" si="90"/>
        <v>33.908214047336166</v>
      </c>
      <c r="AB251" s="193">
        <f t="shared" si="91"/>
        <v>47355</v>
      </c>
      <c r="AC251" s="119">
        <f>IF(OR(t&lt;Tnet,NoTnet),'2028'!Resal_s+('2028'!Salim-'2028'!Resal_s)*(1-EXP(('2028'!Tnet_s-t)/'2028'!Tau_j)),Resal_s+(Salim-Resal_s)*(1-EXP((Tnet_s-t)/Tau_j)))*Salcycl</f>
        <v>4.5230668279736763E-2</v>
      </c>
      <c r="AD251" s="227">
        <f>(INDEX(Models!$BJ251:$BT251,,AH251)*(1-AF251)+INDEX(Models!$BJ251:$BT251,,AH251+1)*AF251-ERP_i)*AE251*Ramure*Pc/MaxiM</f>
        <v>2.8510169802676492E-4</v>
      </c>
      <c r="AE251" s="301">
        <f t="shared" si="92"/>
        <v>0.5</v>
      </c>
      <c r="AF251" s="173">
        <f t="shared" si="93"/>
        <v>0.97286714620480375</v>
      </c>
      <c r="AG251" s="802">
        <f t="shared" si="99"/>
        <v>3</v>
      </c>
      <c r="AH251" s="172">
        <f t="shared" si="94"/>
        <v>9</v>
      </c>
      <c r="AI251" s="221">
        <f t="shared" si="95"/>
        <v>3.9728671462048037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47356</v>
      </c>
      <c r="B252" s="406">
        <f>'2028'!Wh/'2028'!Env_an*'2029'!Env_an</f>
        <v>37.278530597838341</v>
      </c>
      <c r="C252" s="832"/>
      <c r="D252" s="388">
        <f t="shared" si="77"/>
        <v>38.753183970334661</v>
      </c>
      <c r="E252" s="380">
        <f t="shared" si="100"/>
        <v>39.088231919455517</v>
      </c>
      <c r="F252" s="380">
        <f t="shared" si="78"/>
        <v>39.088674539563129</v>
      </c>
      <c r="G252" s="110">
        <f t="shared" si="101"/>
        <v>0.73242647285508244</v>
      </c>
      <c r="H252" s="409" t="b">
        <f>Wh_hp&gt;='2028'!Maxi_hp</f>
        <v>1</v>
      </c>
      <c r="I252" s="385">
        <f>IF(H252,Wh_hp,'2028'!Maxi_hp)</f>
        <v>39.088674539563129</v>
      </c>
      <c r="J252" s="85">
        <f>IF(H252,An,'2028'!An_max)</f>
        <v>2029</v>
      </c>
      <c r="K252" s="193">
        <f t="shared" si="79"/>
        <v>47356</v>
      </c>
      <c r="L252" s="143">
        <f>IF(t&lt;Tvie,1-EXP((T0-t)*PertePVj)+'2028'!Pspv,1-EXP((T0-t)*PertePVj)+Pspv)</f>
        <v>3.8052444248843131E-2</v>
      </c>
      <c r="M252" s="836"/>
      <c r="N252" s="836"/>
      <c r="O252" s="48">
        <f>IF(t&lt;Tnet,'2028'!Resal+('2028'!Salim-'2028'!Resal)*(1-EXP(('2028'!Tnet-t)/('2028'!Tau_j))),Resal+(Salim-Resal)*(1-EXP((Tnet-t)/(Tau_j))))*Salcycl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1.8329930067556747E-5</v>
      </c>
      <c r="Q252" s="301">
        <f t="shared" si="80"/>
        <v>0.5</v>
      </c>
      <c r="R252" s="173">
        <f t="shared" si="81"/>
        <v>0.44869526583223035</v>
      </c>
      <c r="S252" s="802">
        <f t="shared" si="82"/>
        <v>0</v>
      </c>
      <c r="T252" s="172">
        <f t="shared" si="83"/>
        <v>6</v>
      </c>
      <c r="U252" s="247">
        <f t="shared" si="84"/>
        <v>0.44869526583223035</v>
      </c>
      <c r="V252" s="378">
        <f t="shared" si="85"/>
        <v>50.896944316707511</v>
      </c>
      <c r="W252" s="397">
        <f t="shared" si="86"/>
        <v>37.278530597838341</v>
      </c>
      <c r="X252" s="153">
        <f t="shared" si="87"/>
        <v>47356</v>
      </c>
      <c r="Y252" s="380">
        <f t="shared" si="88"/>
        <v>35.892449308648388</v>
      </c>
      <c r="Z252" s="380">
        <f t="shared" si="89"/>
        <v>37.312272476872209</v>
      </c>
      <c r="AA252" s="381">
        <f t="shared" si="90"/>
        <v>39.081180862098137</v>
      </c>
      <c r="AB252" s="193">
        <f t="shared" si="91"/>
        <v>47356</v>
      </c>
      <c r="AC252" s="119">
        <f>IF(OR(t&lt;Tnet,NoTnet),'2028'!Resal_s+('2028'!Salim-'2028'!Resal_s)*(1-EXP(('2028'!Tnet_s-t)/'2028'!Tau_j)),Resal_s+(Salim-Resal_s)*(1-EXP((Tnet_s-t)/Tau_j)))*Salcycl</f>
        <v>4.5262408816859882E-2</v>
      </c>
      <c r="AD252" s="227">
        <f>(INDEX(Models!$BJ252:$BT252,,AH252)*(1-AF252)+INDEX(Models!$BJ252:$BT252,,AH252+1)*AF252-ERP_i)*AE252*Ramure*Pc/MaxiM</f>
        <v>3.1033064589321071E-4</v>
      </c>
      <c r="AE252" s="301">
        <f t="shared" si="92"/>
        <v>0.5</v>
      </c>
      <c r="AF252" s="173">
        <f t="shared" si="93"/>
        <v>0.97368283220620766</v>
      </c>
      <c r="AG252" s="802">
        <f t="shared" si="99"/>
        <v>3</v>
      </c>
      <c r="AH252" s="172">
        <f t="shared" si="94"/>
        <v>9</v>
      </c>
      <c r="AI252" s="221">
        <f t="shared" si="95"/>
        <v>3.9736828322062077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47357</v>
      </c>
      <c r="B253" s="406">
        <f>'2028'!Wh/'2028'!Env_an*'2029'!Env_an</f>
        <v>46.995280525905365</v>
      </c>
      <c r="C253" s="832"/>
      <c r="D253" s="388">
        <f t="shared" si="77"/>
        <v>48.854975075995583</v>
      </c>
      <c r="E253" s="380">
        <f t="shared" si="100"/>
        <v>49.280742563992533</v>
      </c>
      <c r="F253" s="380">
        <f t="shared" si="78"/>
        <v>49.281607893472703</v>
      </c>
      <c r="G253" s="110">
        <f t="shared" si="101"/>
        <v>0.92803647421423363</v>
      </c>
      <c r="H253" s="409" t="b">
        <f>Wh_hp&gt;='2028'!Maxi_hp</f>
        <v>1</v>
      </c>
      <c r="I253" s="385">
        <f>IF(H253,Wh_hp,'2028'!Maxi_hp)</f>
        <v>49.281607893472703</v>
      </c>
      <c r="J253" s="85">
        <f>IF(H253,An,'2028'!An_max)</f>
        <v>2029</v>
      </c>
      <c r="K253" s="193">
        <f t="shared" si="79"/>
        <v>47357</v>
      </c>
      <c r="L253" s="143">
        <f>IF(t&lt;Tvie,1-EXP((T0-t)*PertePVj)+'2028'!Pspv,1-EXP((T0-t)*PertePVj)+Pspv)</f>
        <v>3.8065612503074608E-2</v>
      </c>
      <c r="M253" s="836"/>
      <c r="N253" s="836"/>
      <c r="O253" s="48">
        <f>IF(t&lt;Tnet,'2028'!Resal+('2028'!Salim-'2028'!Resal)*(1-EXP(('2028'!Tnet-t)/('2028'!Tau_j))),Resal+(Salim-Resal)*(1-EXP((Tnet-t)/(Tau_j))))*Salcycl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1.9570797020164582E-5</v>
      </c>
      <c r="Q253" s="301">
        <f t="shared" si="80"/>
        <v>0.5</v>
      </c>
      <c r="R253" s="173">
        <f t="shared" si="81"/>
        <v>0.44948072266747757</v>
      </c>
      <c r="S253" s="802">
        <f t="shared" si="82"/>
        <v>0</v>
      </c>
      <c r="T253" s="172">
        <f t="shared" si="83"/>
        <v>6</v>
      </c>
      <c r="U253" s="247">
        <f t="shared" si="84"/>
        <v>0.44948072266747757</v>
      </c>
      <c r="V253" s="378">
        <f t="shared" si="85"/>
        <v>50.63937385983531</v>
      </c>
      <c r="W253" s="397">
        <f t="shared" si="86"/>
        <v>46.995280525905365</v>
      </c>
      <c r="X253" s="153">
        <f t="shared" si="87"/>
        <v>47357</v>
      </c>
      <c r="Y253" s="380">
        <f t="shared" si="88"/>
        <v>45.244783766335466</v>
      </c>
      <c r="Z253" s="380">
        <f t="shared" si="89"/>
        <v>47.035207758886862</v>
      </c>
      <c r="AA253" s="381">
        <f t="shared" si="90"/>
        <v>49.266690110333109</v>
      </c>
      <c r="AB253" s="193">
        <f t="shared" si="91"/>
        <v>47357</v>
      </c>
      <c r="AC253" s="119">
        <f>IF(OR(t&lt;Tnet,NoTnet),'2028'!Resal_s+('2028'!Salim-'2028'!Resal_s)*(1-EXP(('2028'!Tnet_s-t)/'2028'!Tau_j)),Resal_s+(Salim-Resal_s)*(1-EXP((Tnet_s-t)/Tau_j)))*Salcycl</f>
        <v>4.5293936865838325E-2</v>
      </c>
      <c r="AD253" s="227">
        <f>(INDEX(Models!$BJ253:$BT253,,AH253)*(1-AF253)+INDEX(Models!$BJ253:$BT253,,AH253+1)*AF253-ERP_i)*AE253*Ramure*Pc/MaxiM</f>
        <v>3.3738929795581465E-4</v>
      </c>
      <c r="AE253" s="301">
        <f t="shared" si="92"/>
        <v>0.5</v>
      </c>
      <c r="AF253" s="173">
        <f t="shared" si="93"/>
        <v>0.97446828904145466</v>
      </c>
      <c r="AG253" s="802">
        <f t="shared" si="99"/>
        <v>3</v>
      </c>
      <c r="AH253" s="172">
        <f t="shared" si="94"/>
        <v>9</v>
      </c>
      <c r="AI253" s="221">
        <f t="shared" si="95"/>
        <v>3.9744682890414547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47358</v>
      </c>
      <c r="B254" s="406">
        <f>'2028'!Wh/'2028'!Env_an*'2029'!Env_an</f>
        <v>49.404571330754401</v>
      </c>
      <c r="C254" s="832"/>
      <c r="D254" s="388">
        <f t="shared" si="77"/>
        <v>51.360309278125236</v>
      </c>
      <c r="E254" s="380">
        <f t="shared" si="100"/>
        <v>51.811461422411924</v>
      </c>
      <c r="F254" s="380">
        <f t="shared" si="78"/>
        <v>51.812511657802986</v>
      </c>
      <c r="G254" s="110">
        <f t="shared" si="101"/>
        <v>0.98064457513320313</v>
      </c>
      <c r="H254" s="409" t="b">
        <f>Wh_hp&gt;='2028'!Maxi_hp</f>
        <v>1</v>
      </c>
      <c r="I254" s="385">
        <f>IF(H254,Wh_hp,'2028'!Maxi_hp)</f>
        <v>51.812511657802986</v>
      </c>
      <c r="J254" s="85">
        <f>IF(H254,An,'2028'!An_max)</f>
        <v>2029</v>
      </c>
      <c r="K254" s="193">
        <f t="shared" si="79"/>
        <v>47358</v>
      </c>
      <c r="L254" s="143">
        <f>IF(t&lt;Tvie,1-EXP((T0-t)*PertePVj)+'2028'!Pspv,1-EXP((T0-t)*PertePVj)+Pspv)</f>
        <v>3.8078780577043725E-2</v>
      </c>
      <c r="M254" s="836"/>
      <c r="N254" s="836"/>
      <c r="O254" s="48">
        <f>IF(t&lt;Tnet,'2028'!Resal+('2028'!Salim-'2028'!Resal)*(1-EXP(('2028'!Tnet-t)/('2028'!Tau_j))),Resal+(Salim-Resal)*(1-EXP((Tnet-t)/(Tau_j))))*Salcycl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2.0846314976186629E-5</v>
      </c>
      <c r="Q254" s="301">
        <f t="shared" si="80"/>
        <v>0.5</v>
      </c>
      <c r="R254" s="173">
        <f t="shared" si="81"/>
        <v>0.45023697312003741</v>
      </c>
      <c r="S254" s="802">
        <f t="shared" si="82"/>
        <v>0</v>
      </c>
      <c r="T254" s="172">
        <f t="shared" si="83"/>
        <v>6</v>
      </c>
      <c r="U254" s="247">
        <f t="shared" si="84"/>
        <v>0.45023697312003741</v>
      </c>
      <c r="V254" s="378">
        <f t="shared" si="85"/>
        <v>50.379662628376828</v>
      </c>
      <c r="W254" s="397">
        <f t="shared" si="86"/>
        <v>49.404571330754401</v>
      </c>
      <c r="X254" s="153">
        <f t="shared" si="87"/>
        <v>47358</v>
      </c>
      <c r="Y254" s="380">
        <f t="shared" si="88"/>
        <v>47.563755793003139</v>
      </c>
      <c r="Z254" s="380">
        <f t="shared" si="89"/>
        <v>49.44662289655696</v>
      </c>
      <c r="AA254" s="381">
        <f t="shared" si="90"/>
        <v>51.79420807736512</v>
      </c>
      <c r="AB254" s="193">
        <f t="shared" si="91"/>
        <v>47358</v>
      </c>
      <c r="AC254" s="119">
        <f>IF(OR(t&lt;Tnet,NoTnet),'2028'!Resal_s+('2028'!Salim-'2028'!Resal_s)*(1-EXP(('2028'!Tnet_s-t)/'2028'!Tau_j)),Resal_s+(Salim-Resal_s)*(1-EXP((Tnet_s-t)/Tau_j)))*Salcycl</f>
        <v>4.5325245195400377E-2</v>
      </c>
      <c r="AD254" s="227">
        <f>(INDEX(Models!$BJ254:$BT254,,AH254)*(1-AF254)+INDEX(Models!$BJ254:$BT254,,AH254+1)*AF254-ERP_i)*AE254*Ramure*Pc/MaxiM</f>
        <v>3.633111264837079E-4</v>
      </c>
      <c r="AE254" s="301">
        <f t="shared" si="92"/>
        <v>0.5</v>
      </c>
      <c r="AF254" s="173">
        <f t="shared" si="93"/>
        <v>0.97522453949401466</v>
      </c>
      <c r="AG254" s="802">
        <f t="shared" si="99"/>
        <v>3</v>
      </c>
      <c r="AH254" s="172">
        <f t="shared" si="94"/>
        <v>9</v>
      </c>
      <c r="AI254" s="221">
        <f t="shared" si="95"/>
        <v>3.9752245394940147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47359</v>
      </c>
      <c r="B255" s="406">
        <f>'2028'!Wh/'2028'!Env_an*'2029'!Env_an</f>
        <v>34.528234083208041</v>
      </c>
      <c r="C255" s="832"/>
      <c r="D255" s="388">
        <f t="shared" si="77"/>
        <v>35.895566138899511</v>
      </c>
      <c r="E255" s="380">
        <f t="shared" si="100"/>
        <v>36.213352980101682</v>
      </c>
      <c r="F255" s="380">
        <f t="shared" si="78"/>
        <v>36.213798655088205</v>
      </c>
      <c r="G255" s="110">
        <f t="shared" si="101"/>
        <v>0.68894175269921032</v>
      </c>
      <c r="H255" s="409" t="b">
        <f>Wh_hp&gt;='2028'!Maxi_hp</f>
        <v>1</v>
      </c>
      <c r="I255" s="385">
        <f>IF(H255,Wh_hp,'2028'!Maxi_hp)</f>
        <v>36.213798655088205</v>
      </c>
      <c r="J255" s="85">
        <f>IF(H255,An,'2028'!An_max)</f>
        <v>2029</v>
      </c>
      <c r="K255" s="193">
        <f t="shared" si="79"/>
        <v>47359</v>
      </c>
      <c r="L255" s="143">
        <f>IF(t&lt;Tvie,1-EXP((T0-t)*PertePVj)+'2028'!Pspv,1-EXP((T0-t)*PertePVj)+Pspv)</f>
        <v>3.8091948470753034E-2</v>
      </c>
      <c r="M255" s="836"/>
      <c r="N255" s="836"/>
      <c r="O255" s="48">
        <f>IF(t&lt;Tnet,'2028'!Resal+('2028'!Salim-'2028'!Resal)*(1-EXP(('2028'!Tnet-t)/('2028'!Tau_j))),Resal+(Salim-Resal)*(1-EXP((Tnet-t)/(Tau_j))))*Salcycl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2.2148793756479614E-5</v>
      </c>
      <c r="Q255" s="301">
        <f t="shared" si="80"/>
        <v>0.5</v>
      </c>
      <c r="R255" s="173">
        <f t="shared" si="81"/>
        <v>0.45096501282233203</v>
      </c>
      <c r="S255" s="802">
        <f t="shared" si="82"/>
        <v>0</v>
      </c>
      <c r="T255" s="172">
        <f t="shared" si="83"/>
        <v>6</v>
      </c>
      <c r="U255" s="247">
        <f t="shared" si="84"/>
        <v>0.45096501282233203</v>
      </c>
      <c r="V255" s="378">
        <f t="shared" si="85"/>
        <v>50.117290926467696</v>
      </c>
      <c r="W255" s="397">
        <f t="shared" si="86"/>
        <v>34.528234083208041</v>
      </c>
      <c r="X255" s="153">
        <f t="shared" si="87"/>
        <v>47359</v>
      </c>
      <c r="Y255" s="380">
        <f t="shared" si="88"/>
        <v>33.247240643316161</v>
      </c>
      <c r="Z255" s="380">
        <f t="shared" si="89"/>
        <v>34.563844839909081</v>
      </c>
      <c r="AA255" s="381">
        <f t="shared" si="90"/>
        <v>36.206016750412445</v>
      </c>
      <c r="AB255" s="193">
        <f t="shared" si="91"/>
        <v>47359</v>
      </c>
      <c r="AC255" s="119">
        <f>IF(OR(t&lt;Tnet,NoTnet),'2028'!Resal_s+('2028'!Salim-'2028'!Resal_s)*(1-EXP(('2028'!Tnet_s-t)/'2028'!Tau_j)),Resal_s+(Salim-Resal_s)*(1-EXP((Tnet_s-t)/Tau_j)))*Salcycl</f>
        <v>4.5356326320670298E-2</v>
      </c>
      <c r="AD255" s="227">
        <f>(INDEX(Models!$BJ255:$BT255,,AH255)*(1-AF255)+INDEX(Models!$BJ255:$BT255,,AH255+1)*AF255-ERP_i)*AE255*Ramure*Pc/MaxiM</f>
        <v>3.867387825416044E-4</v>
      </c>
      <c r="AE255" s="301">
        <f t="shared" si="92"/>
        <v>0.5</v>
      </c>
      <c r="AF255" s="173">
        <f t="shared" si="93"/>
        <v>0.97595257919630907</v>
      </c>
      <c r="AG255" s="802">
        <f t="shared" si="99"/>
        <v>3</v>
      </c>
      <c r="AH255" s="172">
        <f t="shared" si="94"/>
        <v>9</v>
      </c>
      <c r="AI255" s="221">
        <f t="shared" si="95"/>
        <v>3.9759525791963091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47360</v>
      </c>
      <c r="B256" s="406">
        <f>'2028'!Wh/'2028'!Env_an*'2029'!Env_an</f>
        <v>48.45632645366652</v>
      </c>
      <c r="C256" s="832"/>
      <c r="D256" s="388">
        <f t="shared" si="77"/>
        <v>50.375906212789474</v>
      </c>
      <c r="E256" s="380">
        <f t="shared" si="100"/>
        <v>50.825361110397495</v>
      </c>
      <c r="F256" s="380">
        <f t="shared" si="78"/>
        <v>50.826506738332967</v>
      </c>
      <c r="G256" s="110">
        <f t="shared" si="101"/>
        <v>0.97200783992375261</v>
      </c>
      <c r="H256" s="409" t="b">
        <f>Wh_hp&gt;='2028'!Maxi_hp</f>
        <v>1</v>
      </c>
      <c r="I256" s="385">
        <f>IF(H256,Wh_hp,'2028'!Maxi_hp)</f>
        <v>50.826506738332967</v>
      </c>
      <c r="J256" s="85">
        <f>IF(H256,An,'2028'!An_max)</f>
        <v>2029</v>
      </c>
      <c r="K256" s="193">
        <f t="shared" si="79"/>
        <v>47360</v>
      </c>
      <c r="L256" s="143">
        <f>IF(t&lt;Tvie,1-EXP((T0-t)*PertePVj)+'2028'!Pspv,1-EXP((T0-t)*PertePVj)+Pspv)</f>
        <v>3.8105116184204868E-2</v>
      </c>
      <c r="M256" s="836"/>
      <c r="N256" s="836"/>
      <c r="O256" s="48">
        <f>IF(t&lt;Tnet,'2028'!Resal+('2028'!Salim-'2028'!Resal)*(1-EXP(('2028'!Tnet-t)/('2028'!Tau_j))),Resal+(Salim-Resal)*(1-EXP((Tnet-t)/(Tau_j))))*Salcycl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2.3478829581476432E-5</v>
      </c>
      <c r="Q256" s="301">
        <f t="shared" si="80"/>
        <v>0.5</v>
      </c>
      <c r="R256" s="173">
        <f t="shared" si="81"/>
        <v>0.45166581038350673</v>
      </c>
      <c r="S256" s="802">
        <f t="shared" si="82"/>
        <v>0</v>
      </c>
      <c r="T256" s="172">
        <f t="shared" si="83"/>
        <v>6</v>
      </c>
      <c r="U256" s="247">
        <f t="shared" si="84"/>
        <v>0.45166581038350673</v>
      </c>
      <c r="V256" s="378">
        <f t="shared" si="85"/>
        <v>49.851738811853856</v>
      </c>
      <c r="W256" s="397">
        <f t="shared" si="86"/>
        <v>48.45632645366652</v>
      </c>
      <c r="X256" s="153">
        <f t="shared" si="87"/>
        <v>47360</v>
      </c>
      <c r="Y256" s="380">
        <f t="shared" si="88"/>
        <v>46.652524746290212</v>
      </c>
      <c r="Z256" s="380">
        <f t="shared" si="89"/>
        <v>48.500647556437428</v>
      </c>
      <c r="AA256" s="381">
        <f t="shared" si="90"/>
        <v>50.806616209993656</v>
      </c>
      <c r="AB256" s="193">
        <f t="shared" si="91"/>
        <v>47360</v>
      </c>
      <c r="AC256" s="119">
        <f>IF(OR(t&lt;Tnet,NoTnet),'2028'!Resal_s+('2028'!Salim-'2028'!Resal_s)*(1-EXP(('2028'!Tnet_s-t)/'2028'!Tau_j)),Resal_s+(Salim-Resal_s)*(1-EXP((Tnet_s-t)/Tau_j)))*Salcycl</f>
        <v>4.5387172490000322E-2</v>
      </c>
      <c r="AD256" s="227">
        <f>(INDEX(Models!$BJ256:$BT256,,AH256)*(1-AF256)+INDEX(Models!$BJ256:$BT256,,AH256+1)*AF256-ERP_i)*AE256*Ramure*Pc/MaxiM</f>
        <v>4.0764222895044232E-4</v>
      </c>
      <c r="AE256" s="301">
        <f t="shared" si="92"/>
        <v>0.5</v>
      </c>
      <c r="AF256" s="173">
        <f t="shared" si="93"/>
        <v>0.97665337675748365</v>
      </c>
      <c r="AG256" s="802">
        <f t="shared" si="99"/>
        <v>3</v>
      </c>
      <c r="AH256" s="172">
        <f t="shared" si="94"/>
        <v>9</v>
      </c>
      <c r="AI256" s="221">
        <f t="shared" si="95"/>
        <v>3.9766533767574836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47361</v>
      </c>
      <c r="B257" s="406">
        <f>'2028'!Wh/'2028'!Env_an*'2029'!Env_an</f>
        <v>24.532795808523005</v>
      </c>
      <c r="C257" s="832"/>
      <c r="D257" s="388">
        <f t="shared" si="77"/>
        <v>25.505002739146917</v>
      </c>
      <c r="E257" s="380">
        <f t="shared" si="100"/>
        <v>25.734314119177807</v>
      </c>
      <c r="F257" s="380">
        <f t="shared" si="78"/>
        <v>25.734491979650002</v>
      </c>
      <c r="G257" s="110">
        <f t="shared" si="101"/>
        <v>0.4947786559810895</v>
      </c>
      <c r="H257" s="409" t="b">
        <f>Wh_hp&gt;='2028'!Maxi_hp</f>
        <v>1</v>
      </c>
      <c r="I257" s="385">
        <f>IF(H257,Wh_hp,'2028'!Maxi_hp)</f>
        <v>25.734491979650002</v>
      </c>
      <c r="J257" s="85">
        <f>IF(H257,An,'2028'!An_max)</f>
        <v>2029</v>
      </c>
      <c r="K257" s="193">
        <f t="shared" si="79"/>
        <v>47361</v>
      </c>
      <c r="L257" s="143">
        <f>IF(t&lt;Tvie,1-EXP((T0-t)*PertePVj)+'2028'!Pspv,1-EXP((T0-t)*PertePVj)+Pspv)</f>
        <v>3.811828371740178E-2</v>
      </c>
      <c r="M257" s="836"/>
      <c r="N257" s="836"/>
      <c r="O257" s="48">
        <f>IF(t&lt;Tnet,'2028'!Resal+('2028'!Salim-'2028'!Resal)*(1-EXP(('2028'!Tnet-t)/('2028'!Tau_j))),Resal+(Salim-Resal)*(1-EXP((Tnet-t)/(Tau_j))))*Salcycl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2.4837091725024196E-5</v>
      </c>
      <c r="Q257" s="301">
        <f t="shared" si="80"/>
        <v>0.5</v>
      </c>
      <c r="R257" s="173">
        <f t="shared" si="81"/>
        <v>0.45234030757320692</v>
      </c>
      <c r="S257" s="802">
        <f t="shared" si="82"/>
        <v>0</v>
      </c>
      <c r="T257" s="172">
        <f t="shared" si="83"/>
        <v>6</v>
      </c>
      <c r="U257" s="247">
        <f t="shared" si="84"/>
        <v>0.45234030757320692</v>
      </c>
      <c r="V257" s="378">
        <f t="shared" si="85"/>
        <v>49.582486513388631</v>
      </c>
      <c r="W257" s="397">
        <f t="shared" si="86"/>
        <v>24.532795808523005</v>
      </c>
      <c r="X257" s="153">
        <f t="shared" si="87"/>
        <v>47361</v>
      </c>
      <c r="Y257" s="380">
        <f t="shared" si="88"/>
        <v>23.626485699604665</v>
      </c>
      <c r="Z257" s="380">
        <f t="shared" si="89"/>
        <v>24.562776586412699</v>
      </c>
      <c r="AA257" s="381">
        <f t="shared" si="90"/>
        <v>25.731441420481577</v>
      </c>
      <c r="AB257" s="193">
        <f t="shared" si="91"/>
        <v>47361</v>
      </c>
      <c r="AC257" s="119">
        <f>IF(OR(t&lt;Tnet,NoTnet),'2028'!Resal_s+('2028'!Salim-'2028'!Resal_s)*(1-EXP(('2028'!Tnet_s-t)/'2028'!Tau_j)),Resal_s+(Salim-Resal_s)*(1-EXP((Tnet_s-t)/Tau_j)))*Salcycl</f>
        <v>4.5417775668744768E-2</v>
      </c>
      <c r="AD257" s="227">
        <f>(INDEX(Models!$BJ257:$BT257,,AH257)*(1-AF257)+INDEX(Models!$BJ257:$BT257,,AH257+1)*AF257-ERP_i)*AE257*Ramure*Pc/MaxiM</f>
        <v>4.2599132310559189E-4</v>
      </c>
      <c r="AE257" s="301">
        <f t="shared" si="92"/>
        <v>0.5</v>
      </c>
      <c r="AF257" s="173">
        <f t="shared" si="93"/>
        <v>0.97732787394718423</v>
      </c>
      <c r="AG257" s="802">
        <f t="shared" si="99"/>
        <v>3</v>
      </c>
      <c r="AH257" s="172">
        <f t="shared" si="94"/>
        <v>9</v>
      </c>
      <c r="AI257" s="221">
        <f t="shared" si="95"/>
        <v>3.9773278739471842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47362</v>
      </c>
      <c r="B258" s="406">
        <f>'2028'!Wh/'2028'!Env_an*'2029'!Env_an</f>
        <v>42.184447615048192</v>
      </c>
      <c r="C258" s="832"/>
      <c r="D258" s="388">
        <f t="shared" si="77"/>
        <v>43.856769890220569</v>
      </c>
      <c r="E258" s="380">
        <f t="shared" si="100"/>
        <v>44.25409233989383</v>
      </c>
      <c r="F258" s="380">
        <f t="shared" si="78"/>
        <v>44.255013345219645</v>
      </c>
      <c r="G258" s="110">
        <f t="shared" si="101"/>
        <v>0.8555072485613352</v>
      </c>
      <c r="H258" s="409" t="b">
        <f>Wh_hp&gt;='2028'!Maxi_hp</f>
        <v>1</v>
      </c>
      <c r="I258" s="385">
        <f>IF(H258,Wh_hp,'2028'!Maxi_hp)</f>
        <v>44.255013345219645</v>
      </c>
      <c r="J258" s="85">
        <f>IF(H258,An,'2028'!An_max)</f>
        <v>2029</v>
      </c>
      <c r="K258" s="193">
        <f t="shared" si="79"/>
        <v>47362</v>
      </c>
      <c r="L258" s="143">
        <f>IF(t&lt;Tvie,1-EXP((T0-t)*PertePVj)+'2028'!Pspv,1-EXP((T0-t)*PertePVj)+Pspv)</f>
        <v>3.8131451070346212E-2</v>
      </c>
      <c r="M258" s="836"/>
      <c r="N258" s="836"/>
      <c r="O258" s="48">
        <f>IF(t&lt;Tnet,'2028'!Resal+('2028'!Salim-'2028'!Resal)*(1-EXP(('2028'!Tnet-t)/('2028'!Tau_j))),Resal+(Salim-Resal)*(1-EXP((Tnet-t)/(Tau_j))))*Salcycl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2.6224327192888202E-5</v>
      </c>
      <c r="Q258" s="301">
        <f t="shared" si="80"/>
        <v>0.5</v>
      </c>
      <c r="R258" s="173">
        <f t="shared" si="81"/>
        <v>0.45298941955582839</v>
      </c>
      <c r="S258" s="802">
        <f t="shared" si="82"/>
        <v>0</v>
      </c>
      <c r="T258" s="172">
        <f t="shared" si="83"/>
        <v>6</v>
      </c>
      <c r="U258" s="247">
        <f t="shared" si="84"/>
        <v>0.45298941955582839</v>
      </c>
      <c r="V258" s="378">
        <f t="shared" si="85"/>
        <v>49.309014431606954</v>
      </c>
      <c r="W258" s="397">
        <f t="shared" si="86"/>
        <v>42.184447615048192</v>
      </c>
      <c r="X258" s="153">
        <f t="shared" si="87"/>
        <v>47362</v>
      </c>
      <c r="Y258" s="380">
        <f t="shared" si="88"/>
        <v>40.618647295149096</v>
      </c>
      <c r="Z258" s="380">
        <f t="shared" si="89"/>
        <v>42.228896391662495</v>
      </c>
      <c r="AA258" s="381">
        <f t="shared" si="90"/>
        <v>44.239498773357205</v>
      </c>
      <c r="AB258" s="193">
        <f t="shared" si="91"/>
        <v>47362</v>
      </c>
      <c r="AC258" s="119">
        <f>IF(OR(t&lt;Tnet,NoTnet),'2028'!Resal_s+('2028'!Salim-'2028'!Resal_s)*(1-EXP(('2028'!Tnet_s-t)/'2028'!Tau_j)),Resal_s+(Salim-Resal_s)*(1-EXP((Tnet_s-t)/Tau_j)))*Salcycl</f>
        <v>4.5448127520503909E-2</v>
      </c>
      <c r="AD258" s="227">
        <f>(INDEX(Models!$BJ258:$BT258,,AH258)*(1-AF258)+INDEX(Models!$BJ258:$BT258,,AH258+1)*AF258-ERP_i)*AE258*Ramure*Pc/MaxiM</f>
        <v>4.4175554405144306E-4</v>
      </c>
      <c r="AE258" s="301">
        <f t="shared" si="92"/>
        <v>0.5</v>
      </c>
      <c r="AF258" s="173">
        <f t="shared" si="93"/>
        <v>0.97797698592980531</v>
      </c>
      <c r="AG258" s="802">
        <f t="shared" si="99"/>
        <v>3</v>
      </c>
      <c r="AH258" s="172">
        <f t="shared" si="94"/>
        <v>9</v>
      </c>
      <c r="AI258" s="221">
        <f t="shared" si="95"/>
        <v>3.9779769859298053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47363</v>
      </c>
      <c r="B259" s="406">
        <f>'2028'!Wh/'2028'!Env_an*'2029'!Env_an</f>
        <v>39.874893482233844</v>
      </c>
      <c r="C259" s="832"/>
      <c r="D259" s="388">
        <f t="shared" si="77"/>
        <v>41.4562253728798</v>
      </c>
      <c r="E259" s="380">
        <f t="shared" si="100"/>
        <v>41.834643619893306</v>
      </c>
      <c r="F259" s="380">
        <f t="shared" si="78"/>
        <v>41.835491521624917</v>
      </c>
      <c r="G259" s="110">
        <f t="shared" si="101"/>
        <v>0.81325609402922916</v>
      </c>
      <c r="H259" s="409" t="b">
        <f>Wh_hp&gt;='2028'!Maxi_hp</f>
        <v>1</v>
      </c>
      <c r="I259" s="385">
        <f>IF(H259,Wh_hp,'2028'!Maxi_hp)</f>
        <v>41.835491521624917</v>
      </c>
      <c r="J259" s="85">
        <f>IF(H259,An,'2028'!An_max)</f>
        <v>2029</v>
      </c>
      <c r="K259" s="193">
        <f t="shared" si="79"/>
        <v>47363</v>
      </c>
      <c r="L259" s="143">
        <f>IF(t&lt;Tvie,1-EXP((T0-t)*PertePVj)+'2028'!Pspv,1-EXP((T0-t)*PertePVj)+Pspv)</f>
        <v>3.8144618243040607E-2</v>
      </c>
      <c r="M259" s="836"/>
      <c r="N259" s="836"/>
      <c r="O259" s="48">
        <f>IF(t&lt;Tnet,'2028'!Resal+('2028'!Salim-'2028'!Resal)*(1-EXP(('2028'!Tnet-t)/('2028'!Tau_j))),Resal+(Salim-Resal)*(1-EXP((Tnet-t)/(Tau_j))))*Salcycl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2.7641365742065748E-5</v>
      </c>
      <c r="Q259" s="301">
        <f t="shared" si="80"/>
        <v>0.5</v>
      </c>
      <c r="R259" s="173">
        <f t="shared" si="81"/>
        <v>0.45361403517003501</v>
      </c>
      <c r="S259" s="802">
        <f t="shared" si="82"/>
        <v>0</v>
      </c>
      <c r="T259" s="172">
        <f t="shared" si="83"/>
        <v>6</v>
      </c>
      <c r="U259" s="247">
        <f t="shared" si="84"/>
        <v>0.45361403517003501</v>
      </c>
      <c r="V259" s="378">
        <f t="shared" si="85"/>
        <v>49.030803135420435</v>
      </c>
      <c r="W259" s="397">
        <f t="shared" si="86"/>
        <v>39.874893482233844</v>
      </c>
      <c r="X259" s="153">
        <f t="shared" si="87"/>
        <v>47363</v>
      </c>
      <c r="Y259" s="380">
        <f t="shared" si="88"/>
        <v>38.396851563645548</v>
      </c>
      <c r="Z259" s="380">
        <f t="shared" si="89"/>
        <v>39.919568255165849</v>
      </c>
      <c r="AA259" s="381">
        <f t="shared" si="90"/>
        <v>41.82153730374278</v>
      </c>
      <c r="AB259" s="193">
        <f t="shared" si="91"/>
        <v>47363</v>
      </c>
      <c r="AC259" s="119">
        <f>IF(OR(t&lt;Tnet,NoTnet),'2028'!Resal_s+('2028'!Salim-'2028'!Resal_s)*(1-EXP(('2028'!Tnet_s-t)/'2028'!Tau_j)),Resal_s+(Salim-Resal_s)*(1-EXP((Tnet_s-t)/Tau_j)))*Salcycl</f>
        <v>4.5478219386419286E-2</v>
      </c>
      <c r="AD259" s="227">
        <f>(INDEX(Models!$BJ259:$BT259,,AH259)*(1-AF259)+INDEX(Models!$BJ259:$BT259,,AH259+1)*AF259-ERP_i)*AE259*Ramure*Pc/MaxiM</f>
        <v>4.5490370610765682E-4</v>
      </c>
      <c r="AE259" s="301">
        <f t="shared" si="92"/>
        <v>0.5</v>
      </c>
      <c r="AF259" s="173">
        <f t="shared" si="93"/>
        <v>0.97860160154401221</v>
      </c>
      <c r="AG259" s="802">
        <f t="shared" si="99"/>
        <v>3</v>
      </c>
      <c r="AH259" s="172">
        <f t="shared" si="94"/>
        <v>9</v>
      </c>
      <c r="AI259" s="221">
        <f t="shared" si="95"/>
        <v>3.9786016015440122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47364</v>
      </c>
      <c r="B260" s="406">
        <f>'2028'!Wh/'2028'!Env_an*'2029'!Env_an</f>
        <v>36.683488518651082</v>
      </c>
      <c r="C260" s="832"/>
      <c r="D260" s="388">
        <f t="shared" si="77"/>
        <v>38.138779890870445</v>
      </c>
      <c r="E260" s="380">
        <f t="shared" si="100"/>
        <v>38.489527684259983</v>
      </c>
      <c r="F260" s="380">
        <f t="shared" si="78"/>
        <v>38.490251493308925</v>
      </c>
      <c r="G260" s="110">
        <f t="shared" si="101"/>
        <v>0.75251523972678291</v>
      </c>
      <c r="H260" s="409" t="b">
        <f>Wh_hp&gt;='2028'!Maxi_hp</f>
        <v>1</v>
      </c>
      <c r="I260" s="385">
        <f>IF(H260,Wh_hp,'2028'!Maxi_hp)</f>
        <v>38.490251493308925</v>
      </c>
      <c r="J260" s="85">
        <f>IF(H260,An,'2028'!An_max)</f>
        <v>2029</v>
      </c>
      <c r="K260" s="193">
        <f t="shared" si="79"/>
        <v>47364</v>
      </c>
      <c r="L260" s="143">
        <f>IF(t&lt;Tvie,1-EXP((T0-t)*PertePVj)+'2028'!Pspv,1-EXP((T0-t)*PertePVj)+Pspv)</f>
        <v>3.8157785235487518E-2</v>
      </c>
      <c r="M260" s="836"/>
      <c r="N260" s="836"/>
      <c r="O260" s="48">
        <f>IF(t&lt;Tnet,'2028'!Resal+('2028'!Salim-'2028'!Resal)*(1-EXP(('2028'!Tnet-t)/('2028'!Tau_j))),Resal+(Salim-Resal)*(1-EXP((Tnet-t)/(Tau_j))))*Salcycl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2.9089125286518179E-5</v>
      </c>
      <c r="Q260" s="301">
        <f t="shared" si="80"/>
        <v>0.5</v>
      </c>
      <c r="R260" s="173">
        <f t="shared" si="81"/>
        <v>0.45421501724866048</v>
      </c>
      <c r="S260" s="802">
        <f t="shared" si="82"/>
        <v>0</v>
      </c>
      <c r="T260" s="172">
        <f t="shared" si="83"/>
        <v>6</v>
      </c>
      <c r="U260" s="247">
        <f t="shared" si="84"/>
        <v>0.45421501724866048</v>
      </c>
      <c r="V260" s="378">
        <f t="shared" si="85"/>
        <v>48.747333365845293</v>
      </c>
      <c r="W260" s="397">
        <f t="shared" si="86"/>
        <v>36.683488518651082</v>
      </c>
      <c r="X260" s="153">
        <f t="shared" si="87"/>
        <v>47364</v>
      </c>
      <c r="Y260" s="380">
        <f t="shared" si="88"/>
        <v>35.326138923194371</v>
      </c>
      <c r="Z260" s="380">
        <f t="shared" si="89"/>
        <v>36.727582113707975</v>
      </c>
      <c r="AA260" s="381">
        <f t="shared" si="90"/>
        <v>38.478671104564349</v>
      </c>
      <c r="AB260" s="193">
        <f t="shared" si="91"/>
        <v>47364</v>
      </c>
      <c r="AC260" s="119">
        <f>IF(OR(t&lt;Tnet,NoTnet),'2028'!Resal_s+('2028'!Salim-'2028'!Resal_s)*(1-EXP(('2028'!Tnet_s-t)/'2028'!Tau_j)),Resal_s+(Salim-Resal_s)*(1-EXP((Tnet_s-t)/Tau_j)))*Salcycl</f>
        <v>4.5508042263150174E-2</v>
      </c>
      <c r="AD260" s="227">
        <f>(INDEX(Models!$BJ260:$BT260,,AH260)*(1-AF260)+INDEX(Models!$BJ260:$BT260,,AH260+1)*AF260-ERP_i)*AE260*Ramure*Pc/MaxiM</f>
        <v>4.654036579803734E-4</v>
      </c>
      <c r="AE260" s="301">
        <f t="shared" si="92"/>
        <v>0.5</v>
      </c>
      <c r="AF260" s="173">
        <f t="shared" si="93"/>
        <v>0.97920258362263768</v>
      </c>
      <c r="AG260" s="802">
        <f t="shared" si="99"/>
        <v>3</v>
      </c>
      <c r="AH260" s="172">
        <f t="shared" si="94"/>
        <v>9</v>
      </c>
      <c r="AI260" s="221">
        <f t="shared" si="95"/>
        <v>3.9792025836226377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47365</v>
      </c>
      <c r="B261" s="406">
        <f>'2028'!Wh/'2028'!Env_an*'2029'!Env_an</f>
        <v>48.099839394549079</v>
      </c>
      <c r="C261" s="832"/>
      <c r="D261" s="388">
        <f t="shared" si="77"/>
        <v>50.008719841588693</v>
      </c>
      <c r="E261" s="380">
        <f t="shared" si="100"/>
        <v>50.472049467329974</v>
      </c>
      <c r="F261" s="380">
        <f t="shared" si="78"/>
        <v>50.473575928072705</v>
      </c>
      <c r="G261" s="110">
        <f t="shared" si="101"/>
        <v>0.99256625206249138</v>
      </c>
      <c r="H261" s="409" t="b">
        <f>Wh_hp&gt;='2028'!Maxi_hp</f>
        <v>1</v>
      </c>
      <c r="I261" s="385">
        <f>IF(H261,Wh_hp,'2028'!Maxi_hp)</f>
        <v>50.473575928072705</v>
      </c>
      <c r="J261" s="85">
        <f>IF(H261,An,'2028'!An_max)</f>
        <v>2029</v>
      </c>
      <c r="K261" s="193">
        <f t="shared" si="79"/>
        <v>47365</v>
      </c>
      <c r="L261" s="143">
        <f>IF(t&lt;Tvie,1-EXP((T0-t)*PertePVj)+'2028'!Pspv,1-EXP((T0-t)*PertePVj)+Pspv)</f>
        <v>3.8170952047689388E-2</v>
      </c>
      <c r="M261" s="836"/>
      <c r="N261" s="836"/>
      <c r="O261" s="48">
        <f>IF(t&lt;Tnet,'2028'!Resal+('2028'!Salim-'2028'!Resal)*(1-EXP(('2028'!Tnet-t)/('2028'!Tau_j))),Resal+(Salim-Resal)*(1-EXP((Tnet-t)/(Tau_j))))*Salcycl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3.056737029405755E-5</v>
      </c>
      <c r="Q261" s="301">
        <f t="shared" si="80"/>
        <v>0.5</v>
      </c>
      <c r="R261" s="173">
        <f t="shared" si="81"/>
        <v>0.45479320297442472</v>
      </c>
      <c r="S261" s="802">
        <f t="shared" si="82"/>
        <v>0</v>
      </c>
      <c r="T261" s="172">
        <f t="shared" si="83"/>
        <v>6</v>
      </c>
      <c r="U261" s="247">
        <f t="shared" si="84"/>
        <v>0.45479320297442472</v>
      </c>
      <c r="V261" s="378">
        <f t="shared" si="85"/>
        <v>48.46006367927734</v>
      </c>
      <c r="W261" s="397">
        <f t="shared" si="86"/>
        <v>48.099839394549079</v>
      </c>
      <c r="X261" s="153">
        <f t="shared" si="87"/>
        <v>47365</v>
      </c>
      <c r="Y261" s="380">
        <f t="shared" si="88"/>
        <v>46.314546874356196</v>
      </c>
      <c r="Z261" s="380">
        <f t="shared" si="89"/>
        <v>48.152576565407038</v>
      </c>
      <c r="AA261" s="381">
        <f t="shared" si="90"/>
        <v>50.449945328877135</v>
      </c>
      <c r="AB261" s="193">
        <f t="shared" si="91"/>
        <v>47365</v>
      </c>
      <c r="AC261" s="119">
        <f>IF(OR(t&lt;Tnet,NoTnet),'2028'!Resal_s+('2028'!Salim-'2028'!Resal_s)*(1-EXP(('2028'!Tnet_s-t)/'2028'!Tau_j)),Resal_s+(Salim-Resal_s)*(1-EXP((Tnet_s-t)/Tau_j)))*Salcycl</f>
        <v>4.5537586780200166E-2</v>
      </c>
      <c r="AD261" s="227">
        <f>(INDEX(Models!$BJ261:$BT261,,AH261)*(1-AF261)+INDEX(Models!$BJ261:$BT261,,AH261+1)*AF261-ERP_i)*AE261*Ramure*Pc/MaxiM</f>
        <v>4.73202654783385E-4</v>
      </c>
      <c r="AE261" s="301">
        <f t="shared" si="92"/>
        <v>0.5</v>
      </c>
      <c r="AF261" s="173">
        <f t="shared" si="93"/>
        <v>0.97978076934840175</v>
      </c>
      <c r="AG261" s="802">
        <f t="shared" si="99"/>
        <v>3</v>
      </c>
      <c r="AH261" s="172">
        <f t="shared" si="94"/>
        <v>9</v>
      </c>
      <c r="AI261" s="221">
        <f t="shared" si="95"/>
        <v>3.9797807693484017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47366</v>
      </c>
      <c r="B262" s="406">
        <f>'2028'!Wh/'2028'!Env_an*'2029'!Env_an</f>
        <v>40.249292249344919</v>
      </c>
      <c r="C262" s="832"/>
      <c r="D262" s="388">
        <f t="shared" si="77"/>
        <v>41.847190331367706</v>
      </c>
      <c r="E262" s="380">
        <f t="shared" si="100"/>
        <v>42.23775908730034</v>
      </c>
      <c r="F262" s="380">
        <f t="shared" si="78"/>
        <v>42.238789216452098</v>
      </c>
      <c r="G262" s="110">
        <f t="shared" si="101"/>
        <v>0.83555094623591464</v>
      </c>
      <c r="H262" s="409" t="b">
        <f>Wh_hp&gt;='2028'!Maxi_hp</f>
        <v>1</v>
      </c>
      <c r="I262" s="385">
        <f>IF(H262,Wh_hp,'2028'!Maxi_hp)</f>
        <v>42.238789216452098</v>
      </c>
      <c r="J262" s="85">
        <f>IF(H262,An,'2028'!An_max)</f>
        <v>2029</v>
      </c>
      <c r="K262" s="193">
        <f t="shared" si="79"/>
        <v>47366</v>
      </c>
      <c r="L262" s="143">
        <f>IF(t&lt;Tvie,1-EXP((T0-t)*PertePVj)+'2028'!Pspv,1-EXP((T0-t)*PertePVj)+Pspv)</f>
        <v>3.8184118679648549E-2</v>
      </c>
      <c r="M262" s="836"/>
      <c r="N262" s="836"/>
      <c r="O262" s="48">
        <f>IF(t&lt;Tnet,'2028'!Resal+('2028'!Salim-'2028'!Resal)*(1-EXP(('2028'!Tnet-t)/('2028'!Tau_j))),Resal+(Salim-Resal)*(1-EXP((Tnet-t)/(Tau_j))))*Salcycl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3.1876629295142672E-5</v>
      </c>
      <c r="Q262" s="301">
        <f t="shared" si="80"/>
        <v>0.5</v>
      </c>
      <c r="R262" s="173">
        <f t="shared" si="81"/>
        <v>0.45534940426719661</v>
      </c>
      <c r="S262" s="802">
        <f t="shared" si="82"/>
        <v>0</v>
      </c>
      <c r="T262" s="172">
        <f t="shared" si="83"/>
        <v>6</v>
      </c>
      <c r="U262" s="247">
        <f t="shared" si="84"/>
        <v>0.45534940426719661</v>
      </c>
      <c r="V262" s="378">
        <f t="shared" si="85"/>
        <v>48.170600512623807</v>
      </c>
      <c r="W262" s="397">
        <f t="shared" si="86"/>
        <v>40.249292249344919</v>
      </c>
      <c r="X262" s="153">
        <f t="shared" si="87"/>
        <v>47366</v>
      </c>
      <c r="Y262" s="380">
        <f t="shared" si="88"/>
        <v>38.760586689441489</v>
      </c>
      <c r="Z262" s="380">
        <f t="shared" si="89"/>
        <v>40.29938311710152</v>
      </c>
      <c r="AA262" s="381">
        <f t="shared" si="90"/>
        <v>42.223368738841394</v>
      </c>
      <c r="AB262" s="193">
        <f t="shared" si="91"/>
        <v>47366</v>
      </c>
      <c r="AC262" s="119">
        <f>IF(OR(t&lt;Tnet,NoTnet),'2028'!Resal_s+('2028'!Salim-'2028'!Resal_s)*(1-EXP(('2028'!Tnet_s-t)/'2028'!Tau_j)),Resal_s+(Salim-Resal_s)*(1-EXP((Tnet_s-t)/Tau_j)))*Salcycl</f>
        <v>4.5566843177294765E-2</v>
      </c>
      <c r="AD262" s="227">
        <f>(INDEX(Models!$BJ262:$BT262,,AH262)*(1-AF262)+INDEX(Models!$BJ262:$BT262,,AH262+1)*AF262-ERP_i)*AE262*Ramure*Pc/MaxiM</f>
        <v>4.7717594197692006E-4</v>
      </c>
      <c r="AE262" s="301">
        <f t="shared" si="92"/>
        <v>0.5</v>
      </c>
      <c r="AF262" s="173">
        <f t="shared" si="93"/>
        <v>0.98033697064117398</v>
      </c>
      <c r="AG262" s="802">
        <f t="shared" si="99"/>
        <v>3</v>
      </c>
      <c r="AH262" s="172">
        <f t="shared" si="94"/>
        <v>9</v>
      </c>
      <c r="AI262" s="221">
        <f t="shared" si="95"/>
        <v>3.980336970641174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47367</v>
      </c>
      <c r="B263" s="406">
        <f>'2028'!Wh/'2028'!Env_an*'2029'!Env_an</f>
        <v>43.870988507826553</v>
      </c>
      <c r="C263" s="832"/>
      <c r="D263" s="388">
        <f t="shared" si="77"/>
        <v>45.613292445133787</v>
      </c>
      <c r="E263" s="380">
        <f t="shared" si="100"/>
        <v>46.042117826078893</v>
      </c>
      <c r="F263" s="380">
        <f t="shared" si="78"/>
        <v>46.043452651344005</v>
      </c>
      <c r="G263" s="110">
        <f t="shared" si="101"/>
        <v>0.91629208956579622</v>
      </c>
      <c r="H263" s="409" t="b">
        <f>Wh_hp&gt;='2028'!Maxi_hp</f>
        <v>1</v>
      </c>
      <c r="I263" s="385">
        <f>IF(H263,Wh_hp,'2028'!Maxi_hp)</f>
        <v>46.043452651344005</v>
      </c>
      <c r="J263" s="85">
        <f>IF(H263,An,'2028'!An_max)</f>
        <v>2029</v>
      </c>
      <c r="K263" s="193">
        <f t="shared" si="79"/>
        <v>47367</v>
      </c>
      <c r="L263" s="143">
        <f>IF(t&lt;Tvie,1-EXP((T0-t)*PertePVj)+'2028'!Pspv,1-EXP((T0-t)*PertePVj)+Pspv)</f>
        <v>3.8197285131367664E-2</v>
      </c>
      <c r="M263" s="836"/>
      <c r="N263" s="836"/>
      <c r="O263" s="48">
        <f>IF(t&lt;Tnet,'2028'!Resal+('2028'!Salim-'2028'!Resal)*(1-EXP(('2028'!Tnet-t)/('2028'!Tau_j))),Resal+(Salim-Resal)*(1-EXP((Tnet-t)/(Tau_j))))*Salcycl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3.2928006579187106E-5</v>
      </c>
      <c r="Q263" s="301">
        <f t="shared" si="80"/>
        <v>0.5</v>
      </c>
      <c r="R263" s="173">
        <f t="shared" si="81"/>
        <v>0.45588440819882825</v>
      </c>
      <c r="S263" s="802">
        <f t="shared" si="82"/>
        <v>0</v>
      </c>
      <c r="T263" s="172">
        <f t="shared" si="83"/>
        <v>6</v>
      </c>
      <c r="U263" s="247">
        <f t="shared" si="84"/>
        <v>0.45588440819882825</v>
      </c>
      <c r="V263" s="378">
        <f t="shared" si="85"/>
        <v>47.878636367724667</v>
      </c>
      <c r="W263" s="397">
        <f t="shared" si="86"/>
        <v>43.870988507826553</v>
      </c>
      <c r="X263" s="153">
        <f t="shared" si="87"/>
        <v>47367</v>
      </c>
      <c r="Y263" s="380">
        <f t="shared" si="88"/>
        <v>42.247771037463551</v>
      </c>
      <c r="Z263" s="380">
        <f t="shared" si="89"/>
        <v>43.925610090665998</v>
      </c>
      <c r="AA263" s="381">
        <f t="shared" si="90"/>
        <v>46.02411656370905</v>
      </c>
      <c r="AB263" s="193">
        <f t="shared" si="91"/>
        <v>47367</v>
      </c>
      <c r="AC263" s="119">
        <f>IF(OR(t&lt;Tnet,NoTnet),'2028'!Resal_s+('2028'!Salim-'2028'!Resal_s)*(1-EXP(('2028'!Tnet_s-t)/'2028'!Tau_j)),Resal_s+(Salim-Resal_s)*(1-EXP((Tnet_s-t)/Tau_j)))*Salcycl</f>
        <v>4.5595801282533856E-2</v>
      </c>
      <c r="AD263" s="227">
        <f>(INDEX(Models!$BJ263:$BT263,,AH263)*(1-AF263)+INDEX(Models!$BJ263:$BT263,,AH263+1)*AF263-ERP_i)*AE263*Ramure*Pc/MaxiM</f>
        <v>4.7699038780558663E-4</v>
      </c>
      <c r="AE263" s="301">
        <f t="shared" si="92"/>
        <v>0.5</v>
      </c>
      <c r="AF263" s="173">
        <f t="shared" si="93"/>
        <v>0.98087197457280517</v>
      </c>
      <c r="AG263" s="802">
        <f t="shared" si="99"/>
        <v>3</v>
      </c>
      <c r="AH263" s="172">
        <f t="shared" si="94"/>
        <v>9</v>
      </c>
      <c r="AI263" s="221">
        <f t="shared" si="95"/>
        <v>3.9808719745728052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47368</v>
      </c>
      <c r="B264" s="406">
        <f>'2028'!Wh/'2028'!Env_an*'2029'!Env_an</f>
        <v>35.972834816198279</v>
      </c>
      <c r="C264" s="832"/>
      <c r="D264" s="388">
        <f t="shared" si="77"/>
        <v>37.401981409204971</v>
      </c>
      <c r="E264" s="380">
        <f t="shared" si="100"/>
        <v>37.75615229190258</v>
      </c>
      <c r="F264" s="380">
        <f t="shared" si="78"/>
        <v>37.756981568842036</v>
      </c>
      <c r="G264" s="110">
        <f t="shared" si="101"/>
        <v>0.75597927972118617</v>
      </c>
      <c r="H264" s="409" t="b">
        <f>Wh_hp&gt;='2028'!Maxi_hp</f>
        <v>1</v>
      </c>
      <c r="I264" s="385">
        <f>IF(H264,Wh_hp,'2028'!Maxi_hp)</f>
        <v>37.756981568842036</v>
      </c>
      <c r="J264" s="85">
        <f>IF(H264,An,'2028'!An_max)</f>
        <v>2029</v>
      </c>
      <c r="K264" s="193">
        <f t="shared" si="79"/>
        <v>47368</v>
      </c>
      <c r="L264" s="143">
        <f>IF(t&lt;Tvie,1-EXP((T0-t)*PertePVj)+'2028'!Pspv,1-EXP((T0-t)*PertePVj)+Pspv)</f>
        <v>3.8210451402849066E-2</v>
      </c>
      <c r="M264" s="836"/>
      <c r="N264" s="836"/>
      <c r="O264" s="48">
        <f>IF(t&lt;Tnet,'2028'!Resal+('2028'!Salim-'2028'!Resal)*(1-EXP(('2028'!Tnet-t)/('2028'!Tau_j))),Resal+(Salim-Resal)*(1-EXP((Tnet-t)/(Tau_j))))*Salcycl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3.3716834147546453E-5</v>
      </c>
      <c r="Q264" s="301">
        <f t="shared" si="80"/>
        <v>0.5</v>
      </c>
      <c r="R264" s="173">
        <f t="shared" si="81"/>
        <v>0.45639897743186586</v>
      </c>
      <c r="S264" s="802">
        <f t="shared" si="82"/>
        <v>0</v>
      </c>
      <c r="T264" s="172">
        <f t="shared" si="83"/>
        <v>6</v>
      </c>
      <c r="U264" s="247">
        <f t="shared" si="84"/>
        <v>0.45639897743186586</v>
      </c>
      <c r="V264" s="378">
        <f t="shared" si="85"/>
        <v>47.58385973334638</v>
      </c>
      <c r="W264" s="397">
        <f t="shared" si="86"/>
        <v>35.972834816198279</v>
      </c>
      <c r="X264" s="153">
        <f t="shared" si="87"/>
        <v>47368</v>
      </c>
      <c r="Y264" s="380">
        <f t="shared" si="88"/>
        <v>34.6467824507817</v>
      </c>
      <c r="Z264" s="380">
        <f t="shared" si="89"/>
        <v>36.023246978839474</v>
      </c>
      <c r="AA264" s="381">
        <f t="shared" si="90"/>
        <v>37.745358205595622</v>
      </c>
      <c r="AB264" s="193">
        <f t="shared" si="91"/>
        <v>47368</v>
      </c>
      <c r="AC264" s="119">
        <f>IF(OR(t&lt;Tnet,NoTnet),'2028'!Resal_s+('2028'!Salim-'2028'!Resal_s)*(1-EXP(('2028'!Tnet_s-t)/'2028'!Tau_j)),Resal_s+(Salim-Resal_s)*(1-EXP((Tnet_s-t)/Tau_j)))*Salcycl</f>
        <v>4.5624450492056753E-2</v>
      </c>
      <c r="AD264" s="227">
        <f>(INDEX(Models!$BJ264:$BT264,,AH264)*(1-AF264)+INDEX(Models!$BJ264:$BT264,,AH264+1)*AF264-ERP_i)*AE264*Ramure*Pc/MaxiM</f>
        <v>4.7258399718014249E-4</v>
      </c>
      <c r="AE264" s="301">
        <f t="shared" si="92"/>
        <v>0.5</v>
      </c>
      <c r="AF264" s="173">
        <f t="shared" si="93"/>
        <v>0.98138654380584311</v>
      </c>
      <c r="AG264" s="802">
        <f t="shared" si="99"/>
        <v>3</v>
      </c>
      <c r="AH264" s="172">
        <f t="shared" si="94"/>
        <v>9</v>
      </c>
      <c r="AI264" s="221">
        <f t="shared" si="95"/>
        <v>3.9813865438058431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47369</v>
      </c>
      <c r="B265" s="406">
        <f>'2028'!Wh/'2028'!Env_an*'2029'!Env_an</f>
        <v>40.00908262837909</v>
      </c>
      <c r="C265" s="832"/>
      <c r="D265" s="388">
        <f t="shared" si="77"/>
        <v>41.599152730425317</v>
      </c>
      <c r="E265" s="380">
        <f t="shared" si="100"/>
        <v>41.99589048116237</v>
      </c>
      <c r="F265" s="380">
        <f t="shared" si="78"/>
        <v>41.997012275611205</v>
      </c>
      <c r="G265" s="110">
        <f t="shared" si="101"/>
        <v>0.84610277868149231</v>
      </c>
      <c r="H265" s="409" t="b">
        <f>Wh_hp&gt;='2028'!Maxi_hp</f>
        <v>1</v>
      </c>
      <c r="I265" s="385">
        <f>IF(H265,Wh_hp,'2028'!Maxi_hp)</f>
        <v>41.997012275611205</v>
      </c>
      <c r="J265" s="85">
        <f>IF(H265,An,'2028'!An_max)</f>
        <v>2029</v>
      </c>
      <c r="K265" s="193">
        <f t="shared" si="79"/>
        <v>47369</v>
      </c>
      <c r="L265" s="143">
        <f>IF(t&lt;Tvie,1-EXP((T0-t)*PertePVj)+'2028'!Pspv,1-EXP((T0-t)*PertePVj)+Pspv)</f>
        <v>3.8223617494095308E-2</v>
      </c>
      <c r="M265" s="836"/>
      <c r="N265" s="836"/>
      <c r="O265" s="48">
        <f>IF(t&lt;Tnet,'2028'!Resal+('2028'!Salim-'2028'!Resal)*(1-EXP(('2028'!Tnet-t)/('2028'!Tau_j))),Resal+(Salim-Resal)*(1-EXP((Tnet-t)/(Tau_j))))*Salcycl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3.4238401478470138E-5</v>
      </c>
      <c r="Q265" s="301">
        <f t="shared" si="80"/>
        <v>0.5</v>
      </c>
      <c r="R265" s="173">
        <f t="shared" si="81"/>
        <v>0.45689385067871169</v>
      </c>
      <c r="S265" s="802">
        <f t="shared" si="82"/>
        <v>0</v>
      </c>
      <c r="T265" s="172">
        <f t="shared" si="83"/>
        <v>6</v>
      </c>
      <c r="U265" s="247">
        <f t="shared" si="84"/>
        <v>0.45689385067871169</v>
      </c>
      <c r="V265" s="378">
        <f t="shared" si="85"/>
        <v>47.285959195084743</v>
      </c>
      <c r="W265" s="397">
        <f t="shared" si="86"/>
        <v>40.00908262837909</v>
      </c>
      <c r="X265" s="153">
        <f t="shared" si="87"/>
        <v>47369</v>
      </c>
      <c r="Y265" s="380">
        <f t="shared" si="88"/>
        <v>38.53378881608306</v>
      </c>
      <c r="Z265" s="380">
        <f t="shared" si="89"/>
        <v>40.065226716925011</v>
      </c>
      <c r="AA265" s="381">
        <f t="shared" si="90"/>
        <v>41.981813187984095</v>
      </c>
      <c r="AB265" s="193">
        <f t="shared" si="91"/>
        <v>47369</v>
      </c>
      <c r="AC265" s="119">
        <f>IF(OR(t&lt;Tnet,NoTnet),'2028'!Resal_s+('2028'!Salim-'2028'!Resal_s)*(1-EXP(('2028'!Tnet_s-t)/'2028'!Tau_j)),Resal_s+(Salim-Resal_s)*(1-EXP((Tnet_s-t)/Tau_j)))*Salcycl</f>
        <v>4.5652779751962691E-2</v>
      </c>
      <c r="AD265" s="227">
        <f>(INDEX(Models!$BJ265:$BT265,,AH265)*(1-AF265)+INDEX(Models!$BJ265:$BT265,,AH265+1)*AF265-ERP_i)*AE265*Ramure*Pc/MaxiM</f>
        <v>4.6389288592411779E-4</v>
      </c>
      <c r="AE265" s="301">
        <f t="shared" si="92"/>
        <v>0.5</v>
      </c>
      <c r="AF265" s="173">
        <f t="shared" si="93"/>
        <v>0.98188141705268883</v>
      </c>
      <c r="AG265" s="802">
        <f t="shared" si="99"/>
        <v>3</v>
      </c>
      <c r="AH265" s="172">
        <f t="shared" si="94"/>
        <v>9</v>
      </c>
      <c r="AI265" s="221">
        <f t="shared" si="95"/>
        <v>3.9818814170526888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47370</v>
      </c>
      <c r="B266" s="406">
        <f>'2028'!Wh/'2028'!Env_an*'2029'!Env_an</f>
        <v>19.06104050393612</v>
      </c>
      <c r="C266" s="832"/>
      <c r="D266" s="388">
        <f t="shared" si="77"/>
        <v>19.818849561975824</v>
      </c>
      <c r="E266" s="380">
        <f t="shared" si="100"/>
        <v>20.009207143837735</v>
      </c>
      <c r="F266" s="380">
        <f t="shared" si="78"/>
        <v>20.00931133285399</v>
      </c>
      <c r="G266" s="110">
        <f t="shared" si="101"/>
        <v>0.40567489924333794</v>
      </c>
      <c r="H266" s="409" t="b">
        <f>Wh_hp&gt;='2028'!Maxi_hp</f>
        <v>1</v>
      </c>
      <c r="I266" s="385">
        <f>IF(H266,Wh_hp,'2028'!Maxi_hp)</f>
        <v>20.00931133285399</v>
      </c>
      <c r="J266" s="85">
        <f>IF(H266,An,'2028'!An_max)</f>
        <v>2029</v>
      </c>
      <c r="K266" s="193">
        <f t="shared" si="79"/>
        <v>47370</v>
      </c>
      <c r="L266" s="143">
        <f>IF(t&lt;Tvie,1-EXP((T0-t)*PertePVj)+'2028'!Pspv,1-EXP((T0-t)*PertePVj)+Pspv)</f>
        <v>3.8236783405108832E-2</v>
      </c>
      <c r="M266" s="836"/>
      <c r="N266" s="836"/>
      <c r="O266" s="48">
        <f>IF(t&lt;Tnet,'2028'!Resal+('2028'!Salim-'2028'!Resal)*(1-EXP(('2028'!Tnet-t)/('2028'!Tau_j))),Resal+(Salim-Resal)*(1-EXP((Tnet-t)/(Tau_j))))*Salcycl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3.44879338655081E-5</v>
      </c>
      <c r="Q266" s="301">
        <f t="shared" si="80"/>
        <v>0.5</v>
      </c>
      <c r="R266" s="173">
        <f t="shared" si="81"/>
        <v>0.45736974317806689</v>
      </c>
      <c r="S266" s="802">
        <f t="shared" si="82"/>
        <v>0</v>
      </c>
      <c r="T266" s="172">
        <f t="shared" si="83"/>
        <v>6</v>
      </c>
      <c r="U266" s="247">
        <f t="shared" si="84"/>
        <v>0.45736974317806689</v>
      </c>
      <c r="V266" s="378">
        <f t="shared" si="85"/>
        <v>46.984623431279424</v>
      </c>
      <c r="W266" s="397">
        <f t="shared" si="86"/>
        <v>19.06104050393612</v>
      </c>
      <c r="X266" s="153">
        <f t="shared" si="87"/>
        <v>47370</v>
      </c>
      <c r="Y266" s="380">
        <f t="shared" si="88"/>
        <v>18.36387859949215</v>
      </c>
      <c r="Z266" s="380">
        <f t="shared" si="89"/>
        <v>19.093970618370285</v>
      </c>
      <c r="AA266" s="381">
        <f t="shared" si="90"/>
        <v>20.007949299412878</v>
      </c>
      <c r="AB266" s="193">
        <f t="shared" si="91"/>
        <v>47370</v>
      </c>
      <c r="AC266" s="119">
        <f>IF(OR(t&lt;Tnet,NoTnet),'2028'!Resal_s+('2028'!Salim-'2028'!Resal_s)*(1-EXP(('2028'!Tnet_s-t)/'2028'!Tau_j)),Resal_s+(Salim-Resal_s)*(1-EXP((Tnet_s-t)/Tau_j)))*Salcycl</f>
        <v>4.5680777543224443E-2</v>
      </c>
      <c r="AD266" s="227">
        <f>(INDEX(Models!$BJ266:$BT266,,AH266)*(1-AF266)+INDEX(Models!$BJ266:$BT266,,AH266+1)*AF266-ERP_i)*AE266*Ramure*Pc/MaxiM</f>
        <v>4.5085097189703484E-4</v>
      </c>
      <c r="AE266" s="301">
        <f t="shared" si="92"/>
        <v>0.5</v>
      </c>
      <c r="AF266" s="173">
        <f t="shared" si="93"/>
        <v>0.98235730955204392</v>
      </c>
      <c r="AG266" s="802">
        <f t="shared" si="99"/>
        <v>3</v>
      </c>
      <c r="AH266" s="172">
        <f t="shared" si="94"/>
        <v>9</v>
      </c>
      <c r="AI266" s="221">
        <f t="shared" si="95"/>
        <v>3.9823573095520439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47371</v>
      </c>
      <c r="B267" s="406">
        <f>'2028'!Wh/'2028'!Env_an*'2029'!Env_an</f>
        <v>44.434985317789121</v>
      </c>
      <c r="C267" s="832"/>
      <c r="D267" s="388">
        <f t="shared" si="77"/>
        <v>46.202217798549022</v>
      </c>
      <c r="E267" s="380">
        <f t="shared" si="100"/>
        <v>46.649106554630507</v>
      </c>
      <c r="F267" s="380">
        <f t="shared" si="78"/>
        <v>46.650603731410484</v>
      </c>
      <c r="G267" s="110">
        <f t="shared" si="101"/>
        <v>0.95191338580678519</v>
      </c>
      <c r="H267" s="409" t="b">
        <f>Wh_hp&gt;='2028'!Maxi_hp</f>
        <v>1</v>
      </c>
      <c r="I267" s="385">
        <f>IF(H267,Wh_hp,'2028'!Maxi_hp)</f>
        <v>46.650603731410484</v>
      </c>
      <c r="J267" s="85">
        <f>IF(H267,An,'2028'!An_max)</f>
        <v>2029</v>
      </c>
      <c r="K267" s="193">
        <f t="shared" si="79"/>
        <v>47371</v>
      </c>
      <c r="L267" s="143">
        <f>IF(t&lt;Tvie,1-EXP((T0-t)*PertePVj)+'2028'!Pspv,1-EXP((T0-t)*PertePVj)+Pspv)</f>
        <v>3.824994913589197E-2</v>
      </c>
      <c r="M267" s="836"/>
      <c r="N267" s="836"/>
      <c r="O267" s="48">
        <f>IF(t&lt;Tnet,'2028'!Resal+('2028'!Salim-'2028'!Resal)*(1-EXP(('2028'!Tnet-t)/('2028'!Tau_j))),Resal+(Salim-Resal)*(1-EXP((Tnet-t)/(Tau_j))))*Salcycl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3.4460569838809581E-5</v>
      </c>
      <c r="Q267" s="301">
        <f t="shared" si="80"/>
        <v>0.5</v>
      </c>
      <c r="R267" s="173">
        <f t="shared" si="81"/>
        <v>0.45782734718573176</v>
      </c>
      <c r="S267" s="802">
        <f t="shared" si="82"/>
        <v>0</v>
      </c>
      <c r="T267" s="172">
        <f t="shared" si="83"/>
        <v>6</v>
      </c>
      <c r="U267" s="247">
        <f t="shared" si="84"/>
        <v>0.45782734718573176</v>
      </c>
      <c r="V267" s="378">
        <f t="shared" si="85"/>
        <v>46.679541218843234</v>
      </c>
      <c r="W267" s="397">
        <f t="shared" si="86"/>
        <v>44.434985317789121</v>
      </c>
      <c r="X267" s="153">
        <f t="shared" si="87"/>
        <v>47371</v>
      </c>
      <c r="Y267" s="380">
        <f t="shared" si="88"/>
        <v>42.798174784830863</v>
      </c>
      <c r="Z267" s="380">
        <f t="shared" si="89"/>
        <v>44.500309354158901</v>
      </c>
      <c r="AA267" s="381">
        <f t="shared" si="90"/>
        <v>46.631774648680171</v>
      </c>
      <c r="AB267" s="193">
        <f t="shared" si="91"/>
        <v>47371</v>
      </c>
      <c r="AC267" s="119">
        <f>IF(OR(t&lt;Tnet,NoTnet),'2028'!Resal_s+('2028'!Salim-'2028'!Resal_s)*(1-EXP(('2028'!Tnet_s-t)/'2028'!Tau_j)),Resal_s+(Salim-Resal_s)*(1-EXP((Tnet_s-t)/Tau_j)))*Salcycl</f>
        <v>4.570843187031913E-2</v>
      </c>
      <c r="AD267" s="227">
        <f>(INDEX(Models!$BJ267:$BT267,,AH267)*(1-AF267)+INDEX(Models!$BJ267:$BT267,,AH267+1)*AF267-ERP_i)*AE267*Ramure*Pc/MaxiM</f>
        <v>4.3338964984280631E-4</v>
      </c>
      <c r="AE267" s="301">
        <f t="shared" si="92"/>
        <v>0.5</v>
      </c>
      <c r="AF267" s="173">
        <f t="shared" si="93"/>
        <v>0.98281491355970907</v>
      </c>
      <c r="AG267" s="802">
        <f t="shared" si="99"/>
        <v>3</v>
      </c>
      <c r="AH267" s="172">
        <f t="shared" si="94"/>
        <v>9</v>
      </c>
      <c r="AI267" s="221">
        <f t="shared" si="95"/>
        <v>3.9828149135597091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47372</v>
      </c>
      <c r="B268" s="406">
        <f>'2028'!Wh/'2028'!Env_an*'2029'!Env_an</f>
        <v>45.9689377480248</v>
      </c>
      <c r="C268" s="832"/>
      <c r="D268" s="388">
        <f t="shared" si="77"/>
        <v>47.797831662698123</v>
      </c>
      <c r="E268" s="380">
        <f t="shared" si="100"/>
        <v>48.263377121472246</v>
      </c>
      <c r="F268" s="380">
        <f t="shared" si="78"/>
        <v>48.26500627117499</v>
      </c>
      <c r="G268" s="110">
        <f t="shared" si="101"/>
        <v>0.99134184920901092</v>
      </c>
      <c r="H268" s="409" t="b">
        <f>Wh_hp&gt;='2028'!Maxi_hp</f>
        <v>1</v>
      </c>
      <c r="I268" s="385">
        <f>IF(H268,Wh_hp,'2028'!Maxi_hp)</f>
        <v>48.26500627117499</v>
      </c>
      <c r="J268" s="85">
        <f>IF(H268,An,'2028'!An_max)</f>
        <v>2029</v>
      </c>
      <c r="K268" s="193">
        <f t="shared" si="79"/>
        <v>47372</v>
      </c>
      <c r="L268" s="143">
        <f>IF(t&lt;Tvie,1-EXP((T0-t)*PertePVj)+'2028'!Pspv,1-EXP((T0-t)*PertePVj)+Pspv)</f>
        <v>3.8263114686447386E-2</v>
      </c>
      <c r="M268" s="836"/>
      <c r="N268" s="836"/>
      <c r="O268" s="48">
        <f>IF(t&lt;Tnet,'2028'!Resal+('2028'!Salim-'2028'!Resal)*(1-EXP(('2028'!Tnet-t)/('2028'!Tau_j))),Resal+(Salim-Resal)*(1-EXP((Tnet-t)/(Tau_j))))*Salcycl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3.4176969934059257E-5</v>
      </c>
      <c r="Q268" s="301">
        <f t="shared" si="80"/>
        <v>0.5</v>
      </c>
      <c r="R268" s="173">
        <f t="shared" si="81"/>
        <v>0.45826733247706847</v>
      </c>
      <c r="S268" s="802">
        <f t="shared" si="82"/>
        <v>0</v>
      </c>
      <c r="T268" s="172">
        <f t="shared" si="83"/>
        <v>6</v>
      </c>
      <c r="U268" s="247">
        <f t="shared" si="84"/>
        <v>0.45826733247706847</v>
      </c>
      <c r="V268" s="378">
        <f t="shared" si="85"/>
        <v>46.370400233427652</v>
      </c>
      <c r="W268" s="397">
        <f t="shared" si="86"/>
        <v>45.9689377480248</v>
      </c>
      <c r="X268" s="153">
        <f t="shared" si="87"/>
        <v>47372</v>
      </c>
      <c r="Y268" s="380">
        <f t="shared" si="88"/>
        <v>44.277206767157594</v>
      </c>
      <c r="Z268" s="380">
        <f t="shared" si="89"/>
        <v>46.03879443879498</v>
      </c>
      <c r="AA268" s="381">
        <f t="shared" si="90"/>
        <v>48.245329829925026</v>
      </c>
      <c r="AB268" s="193">
        <f t="shared" si="91"/>
        <v>47372</v>
      </c>
      <c r="AC268" s="119">
        <f>IF(OR(t&lt;Tnet,NoTnet),'2028'!Resal_s+('2028'!Salim-'2028'!Resal_s)*(1-EXP(('2028'!Tnet_s-t)/'2028'!Tau_j)),Resal_s+(Salim-Resal_s)*(1-EXP((Tnet_s-t)/Tau_j)))*Salcycl</f>
        <v>4.5735730254276338E-2</v>
      </c>
      <c r="AD268" s="227">
        <f>(INDEX(Models!$BJ268:$BT268,,AH268)*(1-AF268)+INDEX(Models!$BJ268:$BT268,,AH268+1)*AF268-ERP_i)*AE268*Ramure*Pc/MaxiM</f>
        <v>4.1278044606722782E-4</v>
      </c>
      <c r="AE268" s="301">
        <f t="shared" si="92"/>
        <v>0.5</v>
      </c>
      <c r="AF268" s="173">
        <f t="shared" si="93"/>
        <v>0.98325489885104567</v>
      </c>
      <c r="AG268" s="802">
        <f t="shared" si="99"/>
        <v>3</v>
      </c>
      <c r="AH268" s="172">
        <f t="shared" si="94"/>
        <v>9</v>
      </c>
      <c r="AI268" s="221">
        <f t="shared" si="95"/>
        <v>3.9832548988510457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47373</v>
      </c>
      <c r="B269" s="406">
        <f>'2028'!Wh/'2028'!Env_an*'2029'!Env_an</f>
        <v>35.706641060348176</v>
      </c>
      <c r="C269" s="832"/>
      <c r="D269" s="388">
        <f t="shared" si="77"/>
        <v>37.127753345270719</v>
      </c>
      <c r="E269" s="380">
        <f t="shared" si="100"/>
        <v>37.491871671078023</v>
      </c>
      <c r="F269" s="380">
        <f t="shared" si="78"/>
        <v>37.492729744607125</v>
      </c>
      <c r="G269" s="110">
        <f t="shared" si="101"/>
        <v>0.77526419563157845</v>
      </c>
      <c r="H269" s="409" t="b">
        <f>Wh_hp&gt;='2028'!Maxi_hp</f>
        <v>1</v>
      </c>
      <c r="I269" s="385">
        <f>IF(H269,Wh_hp,'2028'!Maxi_hp)</f>
        <v>37.492729744607125</v>
      </c>
      <c r="J269" s="85">
        <f>IF(H269,An,'2028'!An_max)</f>
        <v>2029</v>
      </c>
      <c r="K269" s="193">
        <f t="shared" si="79"/>
        <v>47373</v>
      </c>
      <c r="L269" s="143">
        <f>IF(t&lt;Tvie,1-EXP((T0-t)*PertePVj)+'2028'!Pspv,1-EXP((T0-t)*PertePVj)+Pspv)</f>
        <v>3.8276280056777523E-2</v>
      </c>
      <c r="M269" s="836"/>
      <c r="N269" s="836"/>
      <c r="O269" s="48">
        <f>IF(t&lt;Tnet,'2028'!Resal+('2028'!Salim-'2028'!Resal)*(1-EXP(('2028'!Tnet-t)/('2028'!Tau_j))),Resal+(Salim-Resal)*(1-EXP((Tnet-t)/(Tau_j))))*Salcycl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3.3707979332155824E-5</v>
      </c>
      <c r="Q269" s="301">
        <f t="shared" si="80"/>
        <v>0.5</v>
      </c>
      <c r="R269" s="173">
        <f t="shared" si="81"/>
        <v>0.45869034685865545</v>
      </c>
      <c r="S269" s="802">
        <f t="shared" si="82"/>
        <v>0</v>
      </c>
      <c r="T269" s="172">
        <f t="shared" si="83"/>
        <v>6</v>
      </c>
      <c r="U269" s="247">
        <f t="shared" si="84"/>
        <v>0.45869034685865545</v>
      </c>
      <c r="V269" s="378">
        <f t="shared" si="85"/>
        <v>46.056885962713771</v>
      </c>
      <c r="W269" s="397">
        <f t="shared" si="86"/>
        <v>35.706641060348176</v>
      </c>
      <c r="X269" s="153">
        <f t="shared" si="87"/>
        <v>47373</v>
      </c>
      <c r="Y269" s="380">
        <f t="shared" si="88"/>
        <v>34.39839120200174</v>
      </c>
      <c r="Z269" s="380">
        <f t="shared" si="89"/>
        <v>35.767435583300916</v>
      </c>
      <c r="AA269" s="381">
        <f t="shared" si="90"/>
        <v>37.482745721531892</v>
      </c>
      <c r="AB269" s="193">
        <f t="shared" si="91"/>
        <v>47373</v>
      </c>
      <c r="AC269" s="119">
        <f>IF(OR(t&lt;Tnet,NoTnet),'2028'!Resal_s+('2028'!Salim-'2028'!Resal_s)*(1-EXP(('2028'!Tnet_s-t)/'2028'!Tau_j)),Resal_s+(Salim-Resal_s)*(1-EXP((Tnet_s-t)/Tau_j)))*Salcycl</f>
        <v>4.5762659730810951E-2</v>
      </c>
      <c r="AD269" s="227">
        <f>(INDEX(Models!$BJ269:$BT269,,AH269)*(1-AF269)+INDEX(Models!$BJ269:$BT269,,AH269+1)*AF269-ERP_i)*AE269*Ramure*Pc/MaxiM</f>
        <v>3.9220560016959693E-4</v>
      </c>
      <c r="AE269" s="301">
        <f t="shared" si="92"/>
        <v>0.5</v>
      </c>
      <c r="AF269" s="173">
        <f t="shared" si="93"/>
        <v>0.98367791323263276</v>
      </c>
      <c r="AG269" s="802">
        <f t="shared" si="99"/>
        <v>3</v>
      </c>
      <c r="AH269" s="172">
        <f t="shared" si="94"/>
        <v>9</v>
      </c>
      <c r="AI269" s="221">
        <f t="shared" si="95"/>
        <v>3.9836779132326328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47374</v>
      </c>
      <c r="B270" s="406">
        <f>'2028'!Wh/'2028'!Env_an*'2029'!Env_an</f>
        <v>13.686508127950205</v>
      </c>
      <c r="C270" s="832"/>
      <c r="D270" s="388">
        <f t="shared" si="77"/>
        <v>14.231421356775819</v>
      </c>
      <c r="E270" s="380">
        <f t="shared" si="100"/>
        <v>14.371946817511974</v>
      </c>
      <c r="F270" s="380">
        <f t="shared" si="78"/>
        <v>14.371946817511974</v>
      </c>
      <c r="G270" s="110">
        <f t="shared" si="101"/>
        <v>0.29922274868159293</v>
      </c>
      <c r="H270" s="409" t="b">
        <f>Wh_hp&gt;='2028'!Maxi_hp</f>
        <v>1</v>
      </c>
      <c r="I270" s="385">
        <f>IF(H270,Wh_hp,'2028'!Maxi_hp)</f>
        <v>14.371946817511974</v>
      </c>
      <c r="J270" s="85">
        <f>IF(H270,An,'2028'!An_max)</f>
        <v>2029</v>
      </c>
      <c r="K270" s="193">
        <f t="shared" si="79"/>
        <v>47374</v>
      </c>
      <c r="L270" s="143">
        <f>IF(t&lt;Tvie,1-EXP((T0-t)*PertePVj)+'2028'!Pspv,1-EXP((T0-t)*PertePVj)+Pspv)</f>
        <v>3.8289445246884712E-2</v>
      </c>
      <c r="M270" s="836"/>
      <c r="N270" s="836"/>
      <c r="O270" s="48">
        <f>IF(t&lt;Tnet,'2028'!Resal+('2028'!Salim-'2028'!Resal)*(1-EXP(('2028'!Tnet-t)/('2028'!Tau_j))),Resal+(Salim-Resal)*(1-EXP((Tnet-t)/(Tau_j))))*Salcycl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3.3050285500663398E-5</v>
      </c>
      <c r="Q270" s="301">
        <f t="shared" si="80"/>
        <v>0.5</v>
      </c>
      <c r="R270" s="173">
        <f t="shared" si="81"/>
        <v>0.45909701668686553</v>
      </c>
      <c r="S270" s="802">
        <f t="shared" si="82"/>
        <v>0</v>
      </c>
      <c r="T270" s="172">
        <f t="shared" si="83"/>
        <v>6</v>
      </c>
      <c r="U270" s="247">
        <f t="shared" si="84"/>
        <v>0.45909701668686553</v>
      </c>
      <c r="V270" s="378">
        <f t="shared" si="85"/>
        <v>45.738687466949877</v>
      </c>
      <c r="W270" s="397">
        <f t="shared" si="86"/>
        <v>13.686508127950205</v>
      </c>
      <c r="X270" s="153">
        <f t="shared" si="87"/>
        <v>47374</v>
      </c>
      <c r="Y270" s="380">
        <f t="shared" si="88"/>
        <v>13.188770420906401</v>
      </c>
      <c r="Z270" s="380">
        <f t="shared" si="89"/>
        <v>13.713866771787844</v>
      </c>
      <c r="AA270" s="381">
        <f t="shared" si="90"/>
        <v>14.371946817511974</v>
      </c>
      <c r="AB270" s="193">
        <f t="shared" si="91"/>
        <v>47374</v>
      </c>
      <c r="AC270" s="119">
        <f>IF(OR(t&lt;Tnet,NoTnet),'2028'!Resal_s+('2028'!Salim-'2028'!Resal_s)*(1-EXP(('2028'!Tnet_s-t)/'2028'!Tau_j)),Resal_s+(Salim-Resal_s)*(1-EXP((Tnet_s-t)/Tau_j)))*Salcycl</f>
        <v>4.5789206854166056E-2</v>
      </c>
      <c r="AD270" s="227">
        <f>(INDEX(Models!$BJ270:$BT270,,AH270)*(1-AF270)+INDEX(Models!$BJ270:$BT270,,AH270+1)*AF270-ERP_i)*AE270*Ramure*Pc/MaxiM</f>
        <v>3.7166510958764335E-4</v>
      </c>
      <c r="AE270" s="301">
        <f t="shared" si="92"/>
        <v>0.5</v>
      </c>
      <c r="AF270" s="173">
        <f t="shared" si="93"/>
        <v>0.98408458306084245</v>
      </c>
      <c r="AG270" s="802">
        <f t="shared" si="99"/>
        <v>3</v>
      </c>
      <c r="AH270" s="172">
        <f t="shared" si="94"/>
        <v>9</v>
      </c>
      <c r="AI270" s="221">
        <f t="shared" si="95"/>
        <v>3.9840845830608425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47375</v>
      </c>
      <c r="B271" s="406">
        <f>'2028'!Wh/'2028'!Env_an*'2029'!Env_an</f>
        <v>36.775944718828327</v>
      </c>
      <c r="C271" s="832"/>
      <c r="D271" s="388">
        <f t="shared" ref="D271:D334" si="102">Wh/(1-Ppv)</f>
        <v>38.240661887048944</v>
      </c>
      <c r="E271" s="380">
        <f t="shared" si="100"/>
        <v>38.620823394802976</v>
      </c>
      <c r="F271" s="380">
        <f t="shared" ref="F271:F334" si="103">Wh_sa/(1-Pvg*MEDIAN((-Sdif+Wh/Env_an)/Csdif,0,1))</f>
        <v>38.621729058439904</v>
      </c>
      <c r="G271" s="110">
        <f t="shared" si="101"/>
        <v>0.80975939556340837</v>
      </c>
      <c r="H271" s="409" t="b">
        <f>Wh_hp&gt;='2028'!Maxi_hp</f>
        <v>1</v>
      </c>
      <c r="I271" s="385">
        <f>IF(H271,Wh_hp,'2028'!Maxi_hp)</f>
        <v>38.621729058439904</v>
      </c>
      <c r="J271" s="85">
        <f>IF(H271,An,'2028'!An_max)</f>
        <v>2029</v>
      </c>
      <c r="K271" s="193">
        <f t="shared" ref="K271:K334" si="104">t</f>
        <v>47375</v>
      </c>
      <c r="L271" s="143">
        <f>IF(t&lt;Tvie,1-EXP((T0-t)*PertePVj)+'2028'!Pspv,1-EXP((T0-t)*PertePVj)+Pspv)</f>
        <v>3.8302610256771619E-2</v>
      </c>
      <c r="M271" s="836"/>
      <c r="N271" s="836"/>
      <c r="O271" s="48">
        <f>IF(t&lt;Tnet,'2028'!Resal+('2028'!Salim-'2028'!Resal)*(1-EXP(('2028'!Tnet-t)/('2028'!Tau_j))),Resal+(Salim-Resal)*(1-EXP((Tnet-t)/(Tau_j))))*Salcycl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3.2200453014200469E-5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0.45948794739130111</v>
      </c>
      <c r="S271" s="802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0.45948794739130111</v>
      </c>
      <c r="V271" s="378">
        <f t="shared" ref="V271:V334" si="110">MaxiM*(1-Ppv)*(1-Pvg)*(1-Psa)</f>
        <v>45.415493900343861</v>
      </c>
      <c r="W271" s="397">
        <f t="shared" ref="W271:W334" si="111">Wh*(A271&gt;Tmaj)</f>
        <v>36.775944718828327</v>
      </c>
      <c r="X271" s="153">
        <f t="shared" ref="X271:X334" si="112">t</f>
        <v>47375</v>
      </c>
      <c r="Y271" s="380">
        <f t="shared" ref="Y271:Y334" si="113">Wh_pvt_s*(1-Ppv)</f>
        <v>35.431659800913174</v>
      </c>
      <c r="Z271" s="380">
        <f t="shared" ref="Z271:Z334" si="114">Wh_sa_s*(1-Psa_s)</f>
        <v>36.842836612433118</v>
      </c>
      <c r="AA271" s="381">
        <f t="shared" ref="AA271:AA334" si="115">Wh_hp*(1-Pvg_s*MEDIAN((-Sdif+Wh/Env_an)/Csdif,0,1))</f>
        <v>38.611852443889092</v>
      </c>
      <c r="AB271" s="193">
        <f t="shared" ref="AB271:AB334" si="116">t</f>
        <v>47375</v>
      </c>
      <c r="AC271" s="119">
        <f>IF(OR(t&lt;Tnet,NoTnet),'2028'!Resal_s+('2028'!Salim-'2028'!Resal_s)*(1-EXP(('2028'!Tnet_s-t)/'2028'!Tau_j)),Resal_s+(Salim-Resal_s)*(1-EXP((Tnet_s-t)/Tau_j)))*Salcycl</f>
        <v>4.5815357707240753E-2</v>
      </c>
      <c r="AD271" s="227">
        <f>(INDEX(Models!$BJ271:$BT271,,AH271)*(1-AF271)+INDEX(Models!$BJ271:$BT271,,AH271+1)*AF271-ERP_i)*AE271*Ramure*Pc/MaxiM</f>
        <v>3.5115847629873452E-4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0.98447551376527809</v>
      </c>
      <c r="AG271" s="802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3.9844755137652781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47376</v>
      </c>
      <c r="B272" s="406">
        <f>'2028'!Wh/'2028'!Env_an*'2029'!Env_an</f>
        <v>41.776568171283557</v>
      </c>
      <c r="C272" s="832"/>
      <c r="D272" s="388">
        <f t="shared" si="102"/>
        <v>43.441045500188608</v>
      </c>
      <c r="E272" s="380">
        <f t="shared" si="100"/>
        <v>43.875808268053333</v>
      </c>
      <c r="F272" s="380">
        <f t="shared" si="103"/>
        <v>43.877031869617284</v>
      </c>
      <c r="G272" s="110">
        <f t="shared" si="101"/>
        <v>0.9265738846512469</v>
      </c>
      <c r="H272" s="409" t="b">
        <f>Wh_hp&gt;='2028'!Maxi_hp</f>
        <v>1</v>
      </c>
      <c r="I272" s="385">
        <f>IF(H272,Wh_hp,'2028'!Maxi_hp)</f>
        <v>43.877031869617284</v>
      </c>
      <c r="J272" s="85">
        <f>IF(H272,An,'2028'!An_max)</f>
        <v>2029</v>
      </c>
      <c r="K272" s="193">
        <f t="shared" si="104"/>
        <v>47376</v>
      </c>
      <c r="L272" s="143">
        <f>IF(t&lt;Tvie,1-EXP((T0-t)*PertePVj)+'2028'!Pspv,1-EXP((T0-t)*PertePVj)+Pspv)</f>
        <v>3.8315775086440462E-2</v>
      </c>
      <c r="M272" s="836"/>
      <c r="N272" s="836"/>
      <c r="O272" s="48">
        <f>IF(t&lt;Tnet,'2028'!Resal+('2028'!Salim-'2028'!Resal)*(1-EXP(('2028'!Tnet-t)/('2028'!Tau_j))),Resal+(Salim-Resal)*(1-EXP((Tnet-t)/(Tau_j))))*Salcycl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3.1154905162973688E-5</v>
      </c>
      <c r="Q272" s="301">
        <f t="shared" si="105"/>
        <v>0.5</v>
      </c>
      <c r="R272" s="173">
        <f t="shared" si="106"/>
        <v>0.45986372400119918</v>
      </c>
      <c r="S272" s="802">
        <f t="shared" si="107"/>
        <v>0</v>
      </c>
      <c r="T272" s="172">
        <f t="shared" si="108"/>
        <v>6</v>
      </c>
      <c r="U272" s="247">
        <f t="shared" si="109"/>
        <v>0.45986372400119918</v>
      </c>
      <c r="V272" s="378">
        <f t="shared" si="110"/>
        <v>45.086994507708411</v>
      </c>
      <c r="W272" s="397">
        <f t="shared" si="111"/>
        <v>41.776568171283557</v>
      </c>
      <c r="X272" s="153">
        <f t="shared" si="112"/>
        <v>47376</v>
      </c>
      <c r="Y272" s="380">
        <f t="shared" si="113"/>
        <v>40.249627938841442</v>
      </c>
      <c r="Z272" s="380">
        <f t="shared" si="114"/>
        <v>41.853268355794498</v>
      </c>
      <c r="AA272" s="381">
        <f t="shared" si="115"/>
        <v>43.864044305924629</v>
      </c>
      <c r="AB272" s="193">
        <f t="shared" si="116"/>
        <v>47376</v>
      </c>
      <c r="AC272" s="119">
        <f>IF(OR(t&lt;Tnet,NoTnet),'2028'!Resal_s+('2028'!Salim-'2028'!Resal_s)*(1-EXP(('2028'!Tnet_s-t)/'2028'!Tau_j)),Resal_s+(Salim-Resal_s)*(1-EXP((Tnet_s-t)/Tau_j)))*Salcycl</f>
        <v>4.5841097918518696E-2</v>
      </c>
      <c r="AD272" s="227">
        <f>(INDEX(Models!$BJ272:$BT272,,AH272)*(1-AF272)+INDEX(Models!$BJ272:$BT272,,AH272+1)*AF272-ERP_i)*AE272*Ramure*Pc/MaxiM</f>
        <v>3.3068469922132812E-4</v>
      </c>
      <c r="AE272" s="301">
        <f t="shared" si="117"/>
        <v>0.5</v>
      </c>
      <c r="AF272" s="173">
        <f t="shared" si="118"/>
        <v>0.98485129037517627</v>
      </c>
      <c r="AG272" s="802">
        <f t="shared" ref="AG272:AG335" si="124">INDEX(Echel_vg,AH272)</f>
        <v>3</v>
      </c>
      <c r="AH272" s="172">
        <f t="shared" si="119"/>
        <v>9</v>
      </c>
      <c r="AI272" s="221">
        <f t="shared" si="120"/>
        <v>3.9848512903751763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47377</v>
      </c>
      <c r="B273" s="406">
        <f>'2028'!Wh/'2028'!Env_an*'2029'!Env_an</f>
        <v>28.072491365107194</v>
      </c>
      <c r="C273" s="832"/>
      <c r="D273" s="388">
        <f t="shared" si="102"/>
        <v>29.191365452338324</v>
      </c>
      <c r="E273" s="380">
        <f t="shared" si="100"/>
        <v>29.485461612236605</v>
      </c>
      <c r="F273" s="380">
        <f t="shared" si="103"/>
        <v>29.485873944823876</v>
      </c>
      <c r="G273" s="110">
        <f t="shared" si="101"/>
        <v>0.62726790192813464</v>
      </c>
      <c r="H273" s="409" t="b">
        <f>Wh_hp&gt;='2028'!Maxi_hp</f>
        <v>1</v>
      </c>
      <c r="I273" s="385">
        <f>IF(H273,Wh_hp,'2028'!Maxi_hp)</f>
        <v>29.485873944823876</v>
      </c>
      <c r="J273" s="85">
        <f>IF(H273,An,'2028'!An_max)</f>
        <v>2029</v>
      </c>
      <c r="K273" s="193">
        <f t="shared" si="104"/>
        <v>47377</v>
      </c>
      <c r="L273" s="143">
        <f>IF(t&lt;Tvie,1-EXP((T0-t)*PertePVj)+'2028'!Pspv,1-EXP((T0-t)*PertePVj)+Pspv)</f>
        <v>3.8328939735893908E-2</v>
      </c>
      <c r="M273" s="836"/>
      <c r="N273" s="836"/>
      <c r="O273" s="48">
        <f>IF(t&lt;Tnet,'2028'!Resal+('2028'!Salim-'2028'!Resal)*(1-EXP(('2028'!Tnet-t)/('2028'!Tau_j))),Resal+(Salim-Resal)*(1-EXP((Tnet-t)/(Tau_j))))*Salcycl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2.990990443233734E-5</v>
      </c>
      <c r="Q273" s="301">
        <f t="shared" si="105"/>
        <v>0.5</v>
      </c>
      <c r="R273" s="173">
        <f t="shared" si="106"/>
        <v>0.46022491167309482</v>
      </c>
      <c r="S273" s="802">
        <f t="shared" si="107"/>
        <v>0</v>
      </c>
      <c r="T273" s="172">
        <f t="shared" si="108"/>
        <v>6</v>
      </c>
      <c r="U273" s="247">
        <f t="shared" si="109"/>
        <v>0.46022491167309482</v>
      </c>
      <c r="V273" s="378">
        <f t="shared" si="110"/>
        <v>44.752878626142071</v>
      </c>
      <c r="W273" s="397">
        <f t="shared" si="111"/>
        <v>28.072491365107194</v>
      </c>
      <c r="X273" s="153">
        <f t="shared" si="112"/>
        <v>47377</v>
      </c>
      <c r="Y273" s="380">
        <f t="shared" si="113"/>
        <v>27.051212521956682</v>
      </c>
      <c r="Z273" s="380">
        <f t="shared" si="114"/>
        <v>28.129381905833313</v>
      </c>
      <c r="AA273" s="381">
        <f t="shared" si="115"/>
        <v>29.481597000508231</v>
      </c>
      <c r="AB273" s="193">
        <f t="shared" si="116"/>
        <v>47377</v>
      </c>
      <c r="AC273" s="119">
        <f>IF(OR(t&lt;Tnet,NoTnet),'2028'!Resal_s+('2028'!Salim-'2028'!Resal_s)*(1-EXP(('2028'!Tnet_s-t)/'2028'!Tau_j)),Resal_s+(Salim-Resal_s)*(1-EXP((Tnet_s-t)/Tau_j)))*Salcycl</f>
        <v>4.5866412686246444E-2</v>
      </c>
      <c r="AD273" s="227">
        <f>(INDEX(Models!$BJ273:$BT273,,AH273)*(1-AF273)+INDEX(Models!$BJ273:$BT273,,AH273+1)*AF273-ERP_i)*AE273*Ramure*Pc/MaxiM</f>
        <v>3.1024226484281713E-4</v>
      </c>
      <c r="AE273" s="301">
        <f t="shared" si="117"/>
        <v>0.5</v>
      </c>
      <c r="AF273" s="173">
        <f t="shared" si="118"/>
        <v>0.9852124780470719</v>
      </c>
      <c r="AG273" s="802">
        <f t="shared" si="124"/>
        <v>3</v>
      </c>
      <c r="AH273" s="172">
        <f t="shared" si="119"/>
        <v>9</v>
      </c>
      <c r="AI273" s="221">
        <f t="shared" si="120"/>
        <v>3.9852124780470719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47378</v>
      </c>
      <c r="B274" s="406">
        <f>'2028'!Wh/'2028'!Env_an*'2029'!Env_an</f>
        <v>45.075466901344853</v>
      </c>
      <c r="C274" s="832"/>
      <c r="D274" s="388">
        <f t="shared" si="102"/>
        <v>46.872663447625918</v>
      </c>
      <c r="E274" s="380">
        <f t="shared" si="100"/>
        <v>47.348010891465591</v>
      </c>
      <c r="F274" s="380">
        <f t="shared" si="103"/>
        <v>47.349358526733653</v>
      </c>
      <c r="G274" s="110">
        <f t="shared" si="101"/>
        <v>1.0149198133359907</v>
      </c>
      <c r="H274" s="409" t="b">
        <f>Wh_hp&gt;='2028'!Maxi_hp</f>
        <v>1</v>
      </c>
      <c r="I274" s="385">
        <f>IF(H274,Wh_hp,'2028'!Maxi_hp)</f>
        <v>47.349358526733653</v>
      </c>
      <c r="J274" s="85">
        <f>IF(H274,An,'2028'!An_max)</f>
        <v>2029</v>
      </c>
      <c r="K274" s="193">
        <f t="shared" si="104"/>
        <v>47378</v>
      </c>
      <c r="L274" s="143">
        <f>IF(t&lt;Tvie,1-EXP((T0-t)*PertePVj)+'2028'!Pspv,1-EXP((T0-t)*PertePVj)+Pspv)</f>
        <v>3.8342104205134397E-2</v>
      </c>
      <c r="M274" s="836"/>
      <c r="N274" s="836"/>
      <c r="O274" s="48">
        <f>IF(t&lt;Tnet,'2028'!Resal+('2028'!Salim-'2028'!Resal)*(1-EXP(('2028'!Tnet-t)/('2028'!Tau_j))),Resal+(Salim-Resal)*(1-EXP((Tnet-t)/(Tau_j))))*Salcycl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2.8461531686930805E-5</v>
      </c>
      <c r="Q274" s="301">
        <f t="shared" si="105"/>
        <v>0.5</v>
      </c>
      <c r="R274" s="173">
        <f t="shared" si="106"/>
        <v>0.46057205621819314</v>
      </c>
      <c r="S274" s="802">
        <f t="shared" si="107"/>
        <v>0</v>
      </c>
      <c r="T274" s="172">
        <f t="shared" si="108"/>
        <v>6</v>
      </c>
      <c r="U274" s="247">
        <f t="shared" si="109"/>
        <v>0.46057205621819314</v>
      </c>
      <c r="V274" s="378">
        <f t="shared" si="110"/>
        <v>44.412835683229048</v>
      </c>
      <c r="W274" s="397">
        <f t="shared" si="111"/>
        <v>45.075466901344853</v>
      </c>
      <c r="X274" s="153">
        <f t="shared" si="112"/>
        <v>47378</v>
      </c>
      <c r="Y274" s="380">
        <f t="shared" si="113"/>
        <v>43.43168451848269</v>
      </c>
      <c r="Z274" s="380">
        <f t="shared" si="114"/>
        <v>45.163342087035957</v>
      </c>
      <c r="AA274" s="381">
        <f t="shared" si="115"/>
        <v>47.33563530307412</v>
      </c>
      <c r="AB274" s="193">
        <f t="shared" si="116"/>
        <v>47378</v>
      </c>
      <c r="AC274" s="119">
        <f>IF(OR(t&lt;Tnet,NoTnet),'2028'!Resal_s+('2028'!Salim-'2028'!Resal_s)*(1-EXP(('2028'!Tnet_s-t)/'2028'!Tau_j)),Resal_s+(Salim-Resal_s)*(1-EXP((Tnet_s-t)/Tau_j)))*Salcycl</f>
        <v>4.5891286810237228E-2</v>
      </c>
      <c r="AD274" s="227">
        <f>(INDEX(Models!$BJ274:$BT274,,AH274)*(1-AF274)+INDEX(Models!$BJ274:$BT274,,AH274+1)*AF274-ERP_i)*AE274*Ramure*Pc/MaxiM</f>
        <v>2.8982913573755213E-4</v>
      </c>
      <c r="AE274" s="301">
        <f t="shared" si="117"/>
        <v>0.5</v>
      </c>
      <c r="AF274" s="173">
        <f t="shared" si="118"/>
        <v>0.98555962259217011</v>
      </c>
      <c r="AG274" s="802">
        <f t="shared" si="124"/>
        <v>3</v>
      </c>
      <c r="AH274" s="172">
        <f t="shared" si="119"/>
        <v>9</v>
      </c>
      <c r="AI274" s="221">
        <f t="shared" si="120"/>
        <v>3.9855596225921701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47379</v>
      </c>
      <c r="B275" s="406">
        <f>'2028'!Wh/'2028'!Env_an*'2029'!Env_an</f>
        <v>44.152251024368006</v>
      </c>
      <c r="C275" s="832"/>
      <c r="D275" s="388">
        <f t="shared" si="102"/>
        <v>45.913266695934752</v>
      </c>
      <c r="E275" s="380">
        <f t="shared" si="100"/>
        <v>46.381929197651658</v>
      </c>
      <c r="F275" s="380">
        <f t="shared" si="103"/>
        <v>46.383172558229617</v>
      </c>
      <c r="G275" s="110">
        <f t="shared" si="101"/>
        <v>1.0019679371990162</v>
      </c>
      <c r="H275" s="409" t="b">
        <f>Wh_hp&gt;='2028'!Maxi_hp</f>
        <v>1</v>
      </c>
      <c r="I275" s="385">
        <f>IF(H275,Wh_hp,'2028'!Maxi_hp)</f>
        <v>46.383172558229617</v>
      </c>
      <c r="J275" s="85">
        <f>IF(H275,An,'2028'!An_max)</f>
        <v>2029</v>
      </c>
      <c r="K275" s="193">
        <f t="shared" si="104"/>
        <v>47379</v>
      </c>
      <c r="L275" s="143">
        <f>IF(t&lt;Tvie,1-EXP((T0-t)*PertePVj)+'2028'!Pspv,1-EXP((T0-t)*PertePVj)+Pspv)</f>
        <v>3.8355268494164263E-2</v>
      </c>
      <c r="M275" s="836"/>
      <c r="N275" s="836"/>
      <c r="O275" s="48">
        <f>IF(t&lt;Tnet,'2028'!Resal+('2028'!Salim-'2028'!Resal)*(1-EXP(('2028'!Tnet-t)/('2028'!Tau_j))),Resal+(Salim-Resal)*(1-EXP((Tnet-t)/(Tau_j))))*Salcycl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2.6806285757982171E-5</v>
      </c>
      <c r="Q275" s="301">
        <f t="shared" si="105"/>
        <v>0.5</v>
      </c>
      <c r="R275" s="173">
        <f t="shared" si="106"/>
        <v>0.46090568462805098</v>
      </c>
      <c r="S275" s="802">
        <f t="shared" si="107"/>
        <v>0</v>
      </c>
      <c r="T275" s="172">
        <f t="shared" si="108"/>
        <v>6</v>
      </c>
      <c r="U275" s="247">
        <f t="shared" si="109"/>
        <v>0.46090568462805098</v>
      </c>
      <c r="V275" s="378">
        <f t="shared" si="110"/>
        <v>44.065532823130887</v>
      </c>
      <c r="W275" s="397">
        <f t="shared" si="111"/>
        <v>44.152251024368006</v>
      </c>
      <c r="X275" s="153">
        <f t="shared" si="112"/>
        <v>47379</v>
      </c>
      <c r="Y275" s="380">
        <f t="shared" si="113"/>
        <v>42.544636597627942</v>
      </c>
      <c r="Z275" s="380">
        <f t="shared" si="114"/>
        <v>44.241532453474228</v>
      </c>
      <c r="AA275" s="381">
        <f t="shared" si="115"/>
        <v>46.370674659337233</v>
      </c>
      <c r="AB275" s="193">
        <f t="shared" si="116"/>
        <v>47379</v>
      </c>
      <c r="AC275" s="119">
        <f>IF(OR(t&lt;Tnet,NoTnet),'2028'!Resal_s+('2028'!Salim-'2028'!Resal_s)*(1-EXP(('2028'!Tnet_s-t)/'2028'!Tau_j)),Resal_s+(Salim-Resal_s)*(1-EXP((Tnet_s-t)/Tau_j)))*Salcycl</f>
        <v>4.5915704731595439E-2</v>
      </c>
      <c r="AD275" s="227">
        <f>(INDEX(Models!$BJ275:$BT275,,AH275)*(1-AF275)+INDEX(Models!$BJ275:$BT275,,AH275+1)*AF275-ERP_i)*AE275*Ramure*Pc/MaxiM</f>
        <v>2.6944898770548444E-4</v>
      </c>
      <c r="AE275" s="301">
        <f t="shared" si="117"/>
        <v>0.5</v>
      </c>
      <c r="AF275" s="173">
        <f t="shared" si="118"/>
        <v>0.98589325100202796</v>
      </c>
      <c r="AG275" s="802">
        <f t="shared" si="124"/>
        <v>3</v>
      </c>
      <c r="AH275" s="172">
        <f t="shared" si="119"/>
        <v>9</v>
      </c>
      <c r="AI275" s="221">
        <f t="shared" si="120"/>
        <v>3.985893251002028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47380</v>
      </c>
      <c r="B276" s="406">
        <f>'2028'!Wh/'2028'!Env_an*'2029'!Env_an</f>
        <v>44.500953535397073</v>
      </c>
      <c r="C276" s="832"/>
      <c r="D276" s="388">
        <f t="shared" si="102"/>
        <v>46.276510717981303</v>
      </c>
      <c r="E276" s="380">
        <f t="shared" si="100"/>
        <v>46.751941352706353</v>
      </c>
      <c r="F276" s="380">
        <f t="shared" si="103"/>
        <v>46.753120968509741</v>
      </c>
      <c r="G276" s="110">
        <f t="shared" si="101"/>
        <v>1.0180864621196524</v>
      </c>
      <c r="H276" s="409" t="b">
        <f>Wh_hp&gt;='2028'!Maxi_hp</f>
        <v>1</v>
      </c>
      <c r="I276" s="385">
        <f>IF(H276,Wh_hp,'2028'!Maxi_hp)</f>
        <v>46.753120968509741</v>
      </c>
      <c r="J276" s="85">
        <f>IF(H276,An,'2028'!An_max)</f>
        <v>2029</v>
      </c>
      <c r="K276" s="193">
        <f t="shared" si="104"/>
        <v>47380</v>
      </c>
      <c r="L276" s="143">
        <f>IF(t&lt;Tvie,1-EXP((T0-t)*PertePVj)+'2028'!Pspv,1-EXP((T0-t)*PertePVj)+Pspv)</f>
        <v>3.8368432602986169E-2</v>
      </c>
      <c r="M276" s="836"/>
      <c r="N276" s="836"/>
      <c r="O276" s="48">
        <f>IF(t&lt;Tnet,'2028'!Resal+('2028'!Salim-'2028'!Resal)*(1-EXP(('2028'!Tnet-t)/('2028'!Tau_j))),Resal+(Salim-Resal)*(1-EXP((Tnet-t)/(Tau_j))))*Salcycl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2.5230739230863453E-5</v>
      </c>
      <c r="Q276" s="301">
        <f t="shared" si="105"/>
        <v>0.5</v>
      </c>
      <c r="R276" s="173">
        <f t="shared" si="106"/>
        <v>0.46122630559731259</v>
      </c>
      <c r="S276" s="802">
        <f t="shared" si="107"/>
        <v>0</v>
      </c>
      <c r="T276" s="172">
        <f t="shared" si="108"/>
        <v>6</v>
      </c>
      <c r="U276" s="247">
        <f t="shared" si="109"/>
        <v>0.46122630559731259</v>
      </c>
      <c r="V276" s="378">
        <f t="shared" si="110"/>
        <v>43.710387271770848</v>
      </c>
      <c r="W276" s="397">
        <f t="shared" si="111"/>
        <v>44.500953535397073</v>
      </c>
      <c r="X276" s="153">
        <f t="shared" si="112"/>
        <v>47380</v>
      </c>
      <c r="Y276" s="380">
        <f t="shared" si="113"/>
        <v>42.883057563878666</v>
      </c>
      <c r="Z276" s="380">
        <f t="shared" si="114"/>
        <v>44.594061819285315</v>
      </c>
      <c r="AA276" s="381">
        <f t="shared" si="115"/>
        <v>46.741342773989096</v>
      </c>
      <c r="AB276" s="193">
        <f t="shared" si="116"/>
        <v>47380</v>
      </c>
      <c r="AC276" s="119">
        <f>IF(OR(t&lt;Tnet,NoTnet),'2028'!Resal_s+('2028'!Salim-'2028'!Resal_s)*(1-EXP(('2028'!Tnet_s-t)/'2028'!Tau_j)),Resal_s+(Salim-Resal_s)*(1-EXP((Tnet_s-t)/Tau_j)))*Salcycl</f>
        <v>4.5939650580571569E-2</v>
      </c>
      <c r="AD276" s="227">
        <f>(INDEX(Models!$BJ276:$BT276,,AH276)*(1-AF276)+INDEX(Models!$BJ276:$BT276,,AH276+1)*AF276-ERP_i)*AE276*Ramure*Pc/MaxiM</f>
        <v>2.5192317168672775E-4</v>
      </c>
      <c r="AE276" s="301">
        <f t="shared" si="117"/>
        <v>0.5</v>
      </c>
      <c r="AF276" s="173">
        <f t="shared" si="118"/>
        <v>0.98621387197128962</v>
      </c>
      <c r="AG276" s="802">
        <f t="shared" si="124"/>
        <v>3</v>
      </c>
      <c r="AH276" s="172">
        <f t="shared" si="119"/>
        <v>9</v>
      </c>
      <c r="AI276" s="221">
        <f t="shared" si="120"/>
        <v>3.9862138719712896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47381</v>
      </c>
      <c r="B277" s="406">
        <f>'2028'!Wh/'2028'!Env_an*'2029'!Env_an</f>
        <v>44.852571296954302</v>
      </c>
      <c r="C277" s="832"/>
      <c r="D277" s="388">
        <f t="shared" si="102"/>
        <v>46.642796285073729</v>
      </c>
      <c r="E277" s="380">
        <f t="shared" si="100"/>
        <v>47.125065899388602</v>
      </c>
      <c r="F277" s="380">
        <f t="shared" si="103"/>
        <v>47.126194805421548</v>
      </c>
      <c r="G277" s="110">
        <f t="shared" si="101"/>
        <v>1.0347038043559282</v>
      </c>
      <c r="H277" s="409" t="b">
        <f>Wh_hp&gt;='2028'!Maxi_hp</f>
        <v>1</v>
      </c>
      <c r="I277" s="385">
        <f>IF(H277,Wh_hp,'2028'!Maxi_hp)</f>
        <v>47.126194805421548</v>
      </c>
      <c r="J277" s="85">
        <f>IF(H277,An,'2028'!An_max)</f>
        <v>2029</v>
      </c>
      <c r="K277" s="193">
        <f t="shared" si="104"/>
        <v>47381</v>
      </c>
      <c r="L277" s="143">
        <f>IF(t&lt;Tvie,1-EXP((T0-t)*PertePVj)+'2028'!Pspv,1-EXP((T0-t)*PertePVj)+Pspv)</f>
        <v>3.8381596531602447E-2</v>
      </c>
      <c r="M277" s="836"/>
      <c r="N277" s="836"/>
      <c r="O277" s="48">
        <f>IF(t&lt;Tnet,'2028'!Resal+('2028'!Salim-'2028'!Resal)*(1-EXP(('2028'!Tnet-t)/('2028'!Tau_j))),Resal+(Salim-Resal)*(1-EXP((Tnet-t)/(Tau_j))))*Salcycl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2.3954958332728066E-5</v>
      </c>
      <c r="Q277" s="301">
        <f t="shared" si="105"/>
        <v>0.5</v>
      </c>
      <c r="R277" s="173">
        <f t="shared" si="106"/>
        <v>0.46153441004237133</v>
      </c>
      <c r="S277" s="802">
        <f t="shared" si="107"/>
        <v>0</v>
      </c>
      <c r="T277" s="172">
        <f t="shared" si="108"/>
        <v>6</v>
      </c>
      <c r="U277" s="247">
        <f t="shared" si="109"/>
        <v>0.46153441004237133</v>
      </c>
      <c r="V277" s="378">
        <f t="shared" si="110"/>
        <v>43.348223045215995</v>
      </c>
      <c r="W277" s="397">
        <f t="shared" si="111"/>
        <v>44.852571296954302</v>
      </c>
      <c r="X277" s="153">
        <f t="shared" si="112"/>
        <v>47381</v>
      </c>
      <c r="Y277" s="380">
        <f t="shared" si="113"/>
        <v>43.224177325773852</v>
      </c>
      <c r="Z277" s="380">
        <f t="shared" si="114"/>
        <v>44.949407342737452</v>
      </c>
      <c r="AA277" s="381">
        <f t="shared" si="115"/>
        <v>47.114957220857178</v>
      </c>
      <c r="AB277" s="193">
        <f t="shared" si="116"/>
        <v>47381</v>
      </c>
      <c r="AC277" s="119">
        <f>IF(OR(t&lt;Tnet,NoTnet),'2028'!Resal_s+('2028'!Salim-'2028'!Resal_s)*(1-EXP(('2028'!Tnet_s-t)/'2028'!Tau_j)),Resal_s+(Salim-Resal_s)*(1-EXP((Tnet_s-t)/Tau_j)))*Salcycl</f>
        <v>4.596310823266693E-2</v>
      </c>
      <c r="AD277" s="227">
        <f>(INDEX(Models!$BJ277:$BT277,,AH277)*(1-AF277)+INDEX(Models!$BJ277:$BT277,,AH277+1)*AF277-ERP_i)*AE277*Ramure*Pc/MaxiM</f>
        <v>2.3845728709410351E-4</v>
      </c>
      <c r="AE277" s="301">
        <f t="shared" si="117"/>
        <v>0.5</v>
      </c>
      <c r="AF277" s="173">
        <f t="shared" si="118"/>
        <v>0.98652197641634842</v>
      </c>
      <c r="AG277" s="802">
        <f t="shared" si="124"/>
        <v>3</v>
      </c>
      <c r="AH277" s="172">
        <f t="shared" si="119"/>
        <v>9</v>
      </c>
      <c r="AI277" s="221">
        <f t="shared" si="120"/>
        <v>3.9865219764163484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47382</v>
      </c>
      <c r="B278" s="406">
        <f>'2028'!Wh/'2028'!Env_an*'2029'!Env_an</f>
        <v>43.527528758347792</v>
      </c>
      <c r="C278" s="832"/>
      <c r="D278" s="388">
        <f t="shared" si="102"/>
        <v>45.265486251949739</v>
      </c>
      <c r="E278" s="380">
        <f t="shared" si="100"/>
        <v>45.736491389368531</v>
      </c>
      <c r="F278" s="380">
        <f t="shared" si="103"/>
        <v>45.737542651525203</v>
      </c>
      <c r="G278" s="110">
        <f t="shared" si="101"/>
        <v>1.0127421343989176</v>
      </c>
      <c r="H278" s="409" t="b">
        <f>Wh_hp&gt;='2028'!Maxi_hp</f>
        <v>1</v>
      </c>
      <c r="I278" s="385">
        <f>IF(H278,Wh_hp,'2028'!Maxi_hp)</f>
        <v>45.737542651525203</v>
      </c>
      <c r="J278" s="85">
        <f>IF(H278,An,'2028'!An_max)</f>
        <v>2029</v>
      </c>
      <c r="K278" s="193">
        <f t="shared" si="104"/>
        <v>47382</v>
      </c>
      <c r="L278" s="143">
        <f>IF(t&lt;Tvie,1-EXP((T0-t)*PertePVj)+'2028'!Pspv,1-EXP((T0-t)*PertePVj)+Pspv)</f>
        <v>3.8394760280015539E-2</v>
      </c>
      <c r="M278" s="836"/>
      <c r="N278" s="836"/>
      <c r="O278" s="48">
        <f>IF(t&lt;Tnet,'2028'!Resal+('2028'!Salim-'2028'!Resal)*(1-EXP(('2028'!Tnet-t)/('2028'!Tau_j))),Resal+(Salim-Resal)*(1-EXP((Tnet-t)/(Tau_j))))*Salcycl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2.2984666331495435E-5</v>
      </c>
      <c r="Q278" s="301">
        <f t="shared" si="105"/>
        <v>0.5</v>
      </c>
      <c r="R278" s="173">
        <f t="shared" si="106"/>
        <v>0.46183047161495899</v>
      </c>
      <c r="S278" s="802">
        <f t="shared" si="107"/>
        <v>0</v>
      </c>
      <c r="T278" s="172">
        <f t="shared" si="108"/>
        <v>6</v>
      </c>
      <c r="U278" s="247">
        <f t="shared" si="109"/>
        <v>0.46183047161495899</v>
      </c>
      <c r="V278" s="378">
        <f t="shared" si="110"/>
        <v>42.979873434595703</v>
      </c>
      <c r="W278" s="397">
        <f t="shared" si="111"/>
        <v>43.527528758347792</v>
      </c>
      <c r="X278" s="153">
        <f t="shared" si="112"/>
        <v>47382</v>
      </c>
      <c r="Y278" s="380">
        <f t="shared" si="113"/>
        <v>41.949312787462368</v>
      </c>
      <c r="Z278" s="380">
        <f t="shared" si="114"/>
        <v>43.624255624561528</v>
      </c>
      <c r="AA278" s="381">
        <f t="shared" si="115"/>
        <v>45.727063157321766</v>
      </c>
      <c r="AB278" s="193">
        <f t="shared" si="116"/>
        <v>47382</v>
      </c>
      <c r="AC278" s="119">
        <f>IF(OR(t&lt;Tnet,NoTnet),'2028'!Resal_s+('2028'!Salim-'2028'!Resal_s)*(1-EXP(('2028'!Tnet_s-t)/'2028'!Tau_j)),Resal_s+(Salim-Resal_s)*(1-EXP((Tnet_s-t)/Tau_j)))*Salcycl</f>
        <v>4.5986061373012969E-2</v>
      </c>
      <c r="AD278" s="227">
        <f>(INDEX(Models!$BJ278:$BT278,,AH278)*(1-AF278)+INDEX(Models!$BJ278:$BT278,,AH278+1)*AF278-ERP_i)*AE278*Ramure*Pc/MaxiM</f>
        <v>2.2912237072456217E-4</v>
      </c>
      <c r="AE278" s="301">
        <f t="shared" si="117"/>
        <v>0.5</v>
      </c>
      <c r="AF278" s="173">
        <f t="shared" si="118"/>
        <v>0.98681803798893597</v>
      </c>
      <c r="AG278" s="802">
        <f t="shared" si="124"/>
        <v>3</v>
      </c>
      <c r="AH278" s="172">
        <f t="shared" si="119"/>
        <v>9</v>
      </c>
      <c r="AI278" s="221">
        <f t="shared" si="120"/>
        <v>3.986818037988936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47383</v>
      </c>
      <c r="B279" s="406">
        <f>'2028'!Wh/'2028'!Env_an*'2029'!Env_an</f>
        <v>42.308825850953426</v>
      </c>
      <c r="C279" s="832"/>
      <c r="D279" s="388">
        <f t="shared" si="102"/>
        <v>43.998725551348713</v>
      </c>
      <c r="E279" s="380">
        <f t="shared" si="100"/>
        <v>44.459434020939334</v>
      </c>
      <c r="F279" s="380">
        <f t="shared" si="103"/>
        <v>44.460416745113406</v>
      </c>
      <c r="G279" s="110">
        <f t="shared" si="101"/>
        <v>0.99302084614285269</v>
      </c>
      <c r="H279" s="409" t="b">
        <f>Wh_hp&gt;='2028'!Maxi_hp</f>
        <v>1</v>
      </c>
      <c r="I279" s="385">
        <f>IF(H279,Wh_hp,'2028'!Maxi_hp)</f>
        <v>44.460416745113406</v>
      </c>
      <c r="J279" s="85">
        <f>IF(H279,An,'2028'!An_max)</f>
        <v>2029</v>
      </c>
      <c r="K279" s="193">
        <f t="shared" si="104"/>
        <v>47383</v>
      </c>
      <c r="L279" s="143">
        <f>IF(t&lt;Tvie,1-EXP((T0-t)*PertePVj)+'2028'!Pspv,1-EXP((T0-t)*PertePVj)+Pspv)</f>
        <v>3.8407923848227998E-2</v>
      </c>
      <c r="M279" s="836"/>
      <c r="N279" s="836"/>
      <c r="O279" s="48">
        <f>IF(t&lt;Tnet,'2028'!Resal+('2028'!Salim-'2028'!Resal)*(1-EXP(('2028'!Tnet-t)/('2028'!Tau_j))),Resal+(Salim-Resal)*(1-EXP((Tnet-t)/(Tau_j))))*Salcycl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2.2325937944649331E-5</v>
      </c>
      <c r="Q279" s="301">
        <f t="shared" si="105"/>
        <v>0.5</v>
      </c>
      <c r="R279" s="173">
        <f t="shared" si="106"/>
        <v>0.46211494720976914</v>
      </c>
      <c r="S279" s="802">
        <f t="shared" si="107"/>
        <v>0</v>
      </c>
      <c r="T279" s="172">
        <f t="shared" si="108"/>
        <v>6</v>
      </c>
      <c r="U279" s="247">
        <f t="shared" si="109"/>
        <v>0.46211494720976914</v>
      </c>
      <c r="V279" s="378">
        <f t="shared" si="110"/>
        <v>42.606171459209065</v>
      </c>
      <c r="W279" s="397">
        <f t="shared" si="111"/>
        <v>42.308825850953426</v>
      </c>
      <c r="X279" s="153">
        <f t="shared" si="112"/>
        <v>47383</v>
      </c>
      <c r="Y279" s="380">
        <f t="shared" si="113"/>
        <v>40.77674852932352</v>
      </c>
      <c r="Z279" s="380">
        <f t="shared" si="114"/>
        <v>42.405453976398576</v>
      </c>
      <c r="AA279" s="381">
        <f t="shared" si="115"/>
        <v>44.450557149130773</v>
      </c>
      <c r="AB279" s="193">
        <f t="shared" si="116"/>
        <v>47383</v>
      </c>
      <c r="AC279" s="119">
        <f>IF(OR(t&lt;Tnet,NoTnet),'2028'!Resal_s+('2028'!Salim-'2028'!Resal_s)*(1-EXP(('2028'!Tnet_s-t)/'2028'!Tau_j)),Resal_s+(Salim-Resal_s)*(1-EXP((Tnet_s-t)/Tau_j)))*Salcycl</f>
        <v>4.6008493568953847E-2</v>
      </c>
      <c r="AD279" s="227">
        <f>(INDEX(Models!$BJ279:$BT279,,AH279)*(1-AF279)+INDEX(Models!$BJ279:$BT279,,AH279+1)*AF279-ERP_i)*AE279*Ramure*Pc/MaxiM</f>
        <v>2.2399441661764447E-4</v>
      </c>
      <c r="AE279" s="301">
        <f t="shared" si="117"/>
        <v>0.5</v>
      </c>
      <c r="AF279" s="173">
        <f t="shared" si="118"/>
        <v>0.98710251358374634</v>
      </c>
      <c r="AG279" s="802">
        <f t="shared" si="124"/>
        <v>3</v>
      </c>
      <c r="AH279" s="172">
        <f t="shared" si="119"/>
        <v>9</v>
      </c>
      <c r="AI279" s="221">
        <f t="shared" si="120"/>
        <v>3.9871025135837463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47384</v>
      </c>
      <c r="B280" s="406">
        <f>'2028'!Wh/'2028'!Env_an*'2029'!Env_an</f>
        <v>31.003168885565941</v>
      </c>
      <c r="C280" s="832"/>
      <c r="D280" s="388">
        <f t="shared" si="102"/>
        <v>32.241939246002218</v>
      </c>
      <c r="E280" s="380">
        <f t="shared" si="100"/>
        <v>32.581650197372525</v>
      </c>
      <c r="F280" s="380">
        <f t="shared" si="103"/>
        <v>32.582094509576486</v>
      </c>
      <c r="G280" s="110">
        <f t="shared" si="101"/>
        <v>0.73417985339680181</v>
      </c>
      <c r="H280" s="409" t="b">
        <f>Wh_hp&gt;='2028'!Maxi_hp</f>
        <v>1</v>
      </c>
      <c r="I280" s="385">
        <f>IF(H280,Wh_hp,'2028'!Maxi_hp)</f>
        <v>32.582094509576486</v>
      </c>
      <c r="J280" s="85">
        <f>IF(H280,An,'2028'!An_max)</f>
        <v>2029</v>
      </c>
      <c r="K280" s="193">
        <f t="shared" si="104"/>
        <v>47384</v>
      </c>
      <c r="L280" s="143">
        <f>IF(t&lt;Tvie,1-EXP((T0-t)*PertePVj)+'2028'!Pspv,1-EXP((T0-t)*PertePVj)+Pspv)</f>
        <v>3.8421087236242268E-2</v>
      </c>
      <c r="M280" s="836"/>
      <c r="N280" s="836"/>
      <c r="O280" s="48">
        <f>IF(t&lt;Tnet,'2028'!Resal+('2028'!Salim-'2028'!Resal)*(1-EXP(('2028'!Tnet-t)/('2028'!Tau_j))),Resal+(Salim-Resal)*(1-EXP((Tnet-t)/(Tau_j))))*Salcycl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2.1985253845333612E-5</v>
      </c>
      <c r="Q280" s="301">
        <f t="shared" si="105"/>
        <v>0.5</v>
      </c>
      <c r="R280" s="173">
        <f t="shared" si="106"/>
        <v>0.4623882774653344</v>
      </c>
      <c r="S280" s="802">
        <f t="shared" si="107"/>
        <v>0</v>
      </c>
      <c r="T280" s="172">
        <f t="shared" si="108"/>
        <v>6</v>
      </c>
      <c r="U280" s="247">
        <f t="shared" si="109"/>
        <v>0.4623882774653344</v>
      </c>
      <c r="V280" s="378">
        <f t="shared" si="110"/>
        <v>42.227949877580265</v>
      </c>
      <c r="W280" s="397">
        <f t="shared" si="111"/>
        <v>31.003168885565941</v>
      </c>
      <c r="X280" s="153">
        <f t="shared" si="112"/>
        <v>47384</v>
      </c>
      <c r="Y280" s="380">
        <f t="shared" si="113"/>
        <v>29.883974238812957</v>
      </c>
      <c r="Z280" s="380">
        <f t="shared" si="114"/>
        <v>31.078025778374052</v>
      </c>
      <c r="AA280" s="381">
        <f t="shared" si="115"/>
        <v>32.577584651404742</v>
      </c>
      <c r="AB280" s="193">
        <f t="shared" si="116"/>
        <v>47384</v>
      </c>
      <c r="AC280" s="119">
        <f>IF(OR(t&lt;Tnet,NoTnet),'2028'!Resal_s+('2028'!Salim-'2028'!Resal_s)*(1-EXP(('2028'!Tnet_s-t)/'2028'!Tau_j)),Resal_s+(Salim-Resal_s)*(1-EXP((Tnet_s-t)/Tau_j)))*Salcycl</f>
        <v>4.6030388350660818E-2</v>
      </c>
      <c r="AD280" s="227">
        <f>(INDEX(Models!$BJ280:$BT280,,AH280)*(1-AF280)+INDEX(Models!$BJ280:$BT280,,AH280+1)*AF280-ERP_i)*AE280*Ramure*Pc/MaxiM</f>
        <v>2.2315474530926251E-4</v>
      </c>
      <c r="AE280" s="301">
        <f t="shared" si="117"/>
        <v>0.5</v>
      </c>
      <c r="AF280" s="173">
        <f t="shared" si="118"/>
        <v>0.98737584383931143</v>
      </c>
      <c r="AG280" s="802">
        <f t="shared" si="124"/>
        <v>3</v>
      </c>
      <c r="AH280" s="172">
        <f t="shared" si="119"/>
        <v>9</v>
      </c>
      <c r="AI280" s="221">
        <f t="shared" si="120"/>
        <v>3.9873758438393114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47385</v>
      </c>
      <c r="B281" s="406">
        <f>'2028'!Wh/'2028'!Env_an*'2029'!Env_an</f>
        <v>19.150605471376881</v>
      </c>
      <c r="C281" s="832"/>
      <c r="D281" s="388">
        <f t="shared" si="102"/>
        <v>19.916064481519673</v>
      </c>
      <c r="E281" s="380">
        <f t="shared" si="100"/>
        <v>20.127203737934472</v>
      </c>
      <c r="F281" s="380">
        <f t="shared" si="103"/>
        <v>20.127303320288217</v>
      </c>
      <c r="G281" s="110">
        <f t="shared" si="101"/>
        <v>0.45763658765052984</v>
      </c>
      <c r="H281" s="409" t="b">
        <f>Wh_hp&gt;='2028'!Maxi_hp</f>
        <v>1</v>
      </c>
      <c r="I281" s="385">
        <f>IF(H281,Wh_hp,'2028'!Maxi_hp)</f>
        <v>20.127303320288217</v>
      </c>
      <c r="J281" s="85">
        <f>IF(H281,An,'2028'!An_max)</f>
        <v>2029</v>
      </c>
      <c r="K281" s="193">
        <f t="shared" si="104"/>
        <v>47385</v>
      </c>
      <c r="L281" s="143">
        <f>IF(t&lt;Tvie,1-EXP((T0-t)*PertePVj)+'2028'!Pspv,1-EXP((T0-t)*PertePVj)+Pspv)</f>
        <v>3.8434250444060791E-2</v>
      </c>
      <c r="M281" s="836"/>
      <c r="N281" s="836"/>
      <c r="O281" s="48">
        <f>IF(t&lt;Tnet,'2028'!Resal+('2028'!Salim-'2028'!Resal)*(1-EXP(('2028'!Tnet-t)/('2028'!Tau_j))),Resal+(Salim-Resal)*(1-EXP((Tnet-t)/(Tau_j))))*Salcycl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2.1969306583122417E-5</v>
      </c>
      <c r="Q281" s="301">
        <f t="shared" si="105"/>
        <v>0.5</v>
      </c>
      <c r="R281" s="173">
        <f t="shared" si="106"/>
        <v>0.46265088725747044</v>
      </c>
      <c r="S281" s="802">
        <f t="shared" si="107"/>
        <v>0</v>
      </c>
      <c r="T281" s="172">
        <f t="shared" si="108"/>
        <v>6</v>
      </c>
      <c r="U281" s="247">
        <f t="shared" si="109"/>
        <v>0.46265088725747044</v>
      </c>
      <c r="V281" s="378">
        <f t="shared" si="110"/>
        <v>41.846041184285689</v>
      </c>
      <c r="W281" s="397">
        <f t="shared" si="111"/>
        <v>19.150605471376881</v>
      </c>
      <c r="X281" s="153">
        <f t="shared" si="112"/>
        <v>47385</v>
      </c>
      <c r="Y281" s="380">
        <f t="shared" si="113"/>
        <v>18.461510439372603</v>
      </c>
      <c r="Z281" s="380">
        <f t="shared" si="114"/>
        <v>19.19942598610476</v>
      </c>
      <c r="AA281" s="381">
        <f t="shared" si="115"/>
        <v>20.12627579062173</v>
      </c>
      <c r="AB281" s="193">
        <f t="shared" si="116"/>
        <v>47385</v>
      </c>
      <c r="AC281" s="119">
        <f>IF(OR(t&lt;Tnet,NoTnet),'2028'!Resal_s+('2028'!Salim-'2028'!Resal_s)*(1-EXP(('2028'!Tnet_s-t)/'2028'!Tau_j)),Resal_s+(Salim-Resal_s)*(1-EXP((Tnet_s-t)/Tau_j)))*Salcycl</f>
        <v>4.6051729299508695E-2</v>
      </c>
      <c r="AD281" s="227">
        <f>(INDEX(Models!$BJ281:$BT281,,AH281)*(1-AF281)+INDEX(Models!$BJ281:$BT281,,AH281+1)*AF281-ERP_i)*AE281*Ramure*Pc/MaxiM</f>
        <v>2.2668789617510509E-4</v>
      </c>
      <c r="AE281" s="301">
        <f t="shared" si="117"/>
        <v>0.5</v>
      </c>
      <c r="AF281" s="173">
        <f t="shared" si="118"/>
        <v>0.98763845363144753</v>
      </c>
      <c r="AG281" s="802">
        <f t="shared" si="124"/>
        <v>3</v>
      </c>
      <c r="AH281" s="172">
        <f t="shared" si="119"/>
        <v>9</v>
      </c>
      <c r="AI281" s="221">
        <f t="shared" si="120"/>
        <v>3.9876384536314475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47386</v>
      </c>
      <c r="B282" s="406">
        <f>'2028'!Wh/'2028'!Env_an*'2029'!Env_an</f>
        <v>30.653297006993551</v>
      </c>
      <c r="C282" s="832"/>
      <c r="D282" s="388">
        <f t="shared" si="102"/>
        <v>31.878960585678726</v>
      </c>
      <c r="E282" s="380">
        <f t="shared" si="100"/>
        <v>32.218993997999917</v>
      </c>
      <c r="F282" s="380">
        <f t="shared" si="103"/>
        <v>32.219448271079415</v>
      </c>
      <c r="G282" s="110">
        <f t="shared" si="101"/>
        <v>0.73931745117594094</v>
      </c>
      <c r="H282" s="409" t="b">
        <f>Wh_hp&gt;='2028'!Maxi_hp</f>
        <v>1</v>
      </c>
      <c r="I282" s="385">
        <f>IF(H282,Wh_hp,'2028'!Maxi_hp)</f>
        <v>32.219448271079415</v>
      </c>
      <c r="J282" s="85">
        <f>IF(H282,An,'2028'!An_max)</f>
        <v>2029</v>
      </c>
      <c r="K282" s="193">
        <f t="shared" si="104"/>
        <v>47386</v>
      </c>
      <c r="L282" s="143">
        <f>IF(t&lt;Tvie,1-EXP((T0-t)*PertePVj)+'2028'!Pspv,1-EXP((T0-t)*PertePVj)+Pspv)</f>
        <v>3.844741347168612E-2</v>
      </c>
      <c r="M282" s="836"/>
      <c r="N282" s="836"/>
      <c r="O282" s="48">
        <f>IF(t&lt;Tnet,'2028'!Resal+('2028'!Salim-'2028'!Resal)*(1-EXP(('2028'!Tnet-t)/('2028'!Tau_j))),Resal+(Salim-Resal)*(1-EXP((Tnet-t)/(Tau_j))))*Salcycl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2.2465307735916057E-5</v>
      </c>
      <c r="Q282" s="301">
        <f t="shared" si="105"/>
        <v>0.5</v>
      </c>
      <c r="R282" s="173">
        <f t="shared" si="106"/>
        <v>0.46290318618468873</v>
      </c>
      <c r="S282" s="802">
        <f t="shared" si="107"/>
        <v>0</v>
      </c>
      <c r="T282" s="172">
        <f t="shared" si="108"/>
        <v>6</v>
      </c>
      <c r="U282" s="247">
        <f t="shared" si="109"/>
        <v>0.46290318618468873</v>
      </c>
      <c r="V282" s="378">
        <f t="shared" si="110"/>
        <v>41.46127013537383</v>
      </c>
      <c r="W282" s="397">
        <f t="shared" si="111"/>
        <v>30.653297006993551</v>
      </c>
      <c r="X282" s="153">
        <f t="shared" si="112"/>
        <v>47386</v>
      </c>
      <c r="Y282" s="380">
        <f t="shared" si="113"/>
        <v>29.548936367470503</v>
      </c>
      <c r="Z282" s="380">
        <f t="shared" si="114"/>
        <v>30.730442392294897</v>
      </c>
      <c r="AA282" s="381">
        <f t="shared" si="115"/>
        <v>32.214651948841805</v>
      </c>
      <c r="AB282" s="193">
        <f t="shared" si="116"/>
        <v>47386</v>
      </c>
      <c r="AC282" s="119">
        <f>IF(OR(t&lt;Tnet,NoTnet),'2028'!Resal_s+('2028'!Salim-'2028'!Resal_s)*(1-EXP(('2028'!Tnet_s-t)/'2028'!Tau_j)),Resal_s+(Salim-Resal_s)*(1-EXP((Tnet_s-t)/Tau_j)))*Salcycl</f>
        <v>4.6072500143844362E-2</v>
      </c>
      <c r="AD282" s="227">
        <f>(INDEX(Models!$BJ282:$BT282,,AH282)*(1-AF282)+INDEX(Models!$BJ282:$BT282,,AH282+1)*AF282-ERP_i)*AE282*Ramure*Pc/MaxiM</f>
        <v>2.3719401375752965E-4</v>
      </c>
      <c r="AE282" s="301">
        <f t="shared" si="117"/>
        <v>0.5</v>
      </c>
      <c r="AF282" s="173">
        <f t="shared" si="118"/>
        <v>0.98789075255866576</v>
      </c>
      <c r="AG282" s="802">
        <f t="shared" si="124"/>
        <v>3</v>
      </c>
      <c r="AH282" s="172">
        <f t="shared" si="119"/>
        <v>9</v>
      </c>
      <c r="AI282" s="221">
        <f t="shared" si="120"/>
        <v>3.9878907525586658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47387</v>
      </c>
      <c r="B283" s="406">
        <f>'2028'!Wh/'2028'!Env_an*'2029'!Env_an</f>
        <v>33.06000275312833</v>
      </c>
      <c r="C283" s="832"/>
      <c r="D283" s="388">
        <f t="shared" si="102"/>
        <v>34.382368459288934</v>
      </c>
      <c r="E283" s="380">
        <f t="shared" si="100"/>
        <v>34.751329267159335</v>
      </c>
      <c r="F283" s="380">
        <f t="shared" si="103"/>
        <v>34.751917189720331</v>
      </c>
      <c r="G283" s="110">
        <f t="shared" si="101"/>
        <v>0.80487433353623428</v>
      </c>
      <c r="H283" s="409" t="b">
        <f>Wh_hp&gt;='2028'!Maxi_hp</f>
        <v>1</v>
      </c>
      <c r="I283" s="385">
        <f>IF(H283,Wh_hp,'2028'!Maxi_hp)</f>
        <v>34.751917189720331</v>
      </c>
      <c r="J283" s="85">
        <f>IF(H283,An,'2028'!An_max)</f>
        <v>2029</v>
      </c>
      <c r="K283" s="193">
        <f t="shared" si="104"/>
        <v>47387</v>
      </c>
      <c r="L283" s="143">
        <f>IF(t&lt;Tvie,1-EXP((T0-t)*PertePVj)+'2028'!Pspv,1-EXP((T0-t)*PertePVj)+Pspv)</f>
        <v>3.8460576319120587E-2</v>
      </c>
      <c r="M283" s="836"/>
      <c r="N283" s="836"/>
      <c r="O283" s="48">
        <f>IF(t&lt;Tnet,'2028'!Resal+('2028'!Salim-'2028'!Resal)*(1-EXP(('2028'!Tnet-t)/('2028'!Tau_j))),Resal+(Salim-Resal)*(1-EXP((Tnet-t)/(Tau_j))))*Salcycl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2.3455871718384923E-5</v>
      </c>
      <c r="Q283" s="301">
        <f t="shared" si="105"/>
        <v>0.5</v>
      </c>
      <c r="R283" s="173">
        <f t="shared" si="106"/>
        <v>0.46314556904506665</v>
      </c>
      <c r="S283" s="802">
        <f t="shared" si="107"/>
        <v>0</v>
      </c>
      <c r="T283" s="172">
        <f t="shared" si="108"/>
        <v>6</v>
      </c>
      <c r="U283" s="247">
        <f t="shared" si="109"/>
        <v>0.46314556904506665</v>
      </c>
      <c r="V283" s="378">
        <f t="shared" si="110"/>
        <v>41.074469914199597</v>
      </c>
      <c r="W283" s="397">
        <f t="shared" si="111"/>
        <v>33.06000275312833</v>
      </c>
      <c r="X283" s="153">
        <f t="shared" si="112"/>
        <v>47387</v>
      </c>
      <c r="Y283" s="380">
        <f t="shared" si="113"/>
        <v>31.86931147171024</v>
      </c>
      <c r="Z283" s="380">
        <f t="shared" si="114"/>
        <v>33.144050765709622</v>
      </c>
      <c r="AA283" s="381">
        <f t="shared" si="115"/>
        <v>34.745567247173916</v>
      </c>
      <c r="AB283" s="193">
        <f t="shared" si="116"/>
        <v>47387</v>
      </c>
      <c r="AC283" s="119">
        <f>IF(OR(t&lt;Tnet,NoTnet),'2028'!Resal_s+('2028'!Salim-'2028'!Resal_s)*(1-EXP(('2028'!Tnet_s-t)/'2028'!Tau_j)),Resal_s+(Salim-Resal_s)*(1-EXP((Tnet_s-t)/Tau_j)))*Salcycl</f>
        <v>4.6092684861679889E-2</v>
      </c>
      <c r="AD283" s="227">
        <f>(INDEX(Models!$BJ283:$BT283,,AH283)*(1-AF283)+INDEX(Models!$BJ283:$BT283,,AH283+1)*AF283-ERP_i)*AE283*Ramure*Pc/MaxiM</f>
        <v>2.5333853073210023E-4</v>
      </c>
      <c r="AE283" s="301">
        <f t="shared" si="117"/>
        <v>0.5</v>
      </c>
      <c r="AF283" s="173">
        <f t="shared" si="118"/>
        <v>0.98813313541904391</v>
      </c>
      <c r="AG283" s="802">
        <f t="shared" si="124"/>
        <v>3</v>
      </c>
      <c r="AH283" s="172">
        <f t="shared" si="119"/>
        <v>9</v>
      </c>
      <c r="AI283" s="221">
        <f t="shared" si="120"/>
        <v>3.9881331354190439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47388</v>
      </c>
      <c r="B284" s="406">
        <f>'2028'!Wh/'2028'!Env_an*'2029'!Env_an</f>
        <v>16.178215077425047</v>
      </c>
      <c r="C284" s="832"/>
      <c r="D284" s="388">
        <f t="shared" si="102"/>
        <v>16.825557172375202</v>
      </c>
      <c r="E284" s="380">
        <f t="shared" si="100"/>
        <v>17.007199080869196</v>
      </c>
      <c r="F284" s="380">
        <f t="shared" si="103"/>
        <v>17.007258267445948</v>
      </c>
      <c r="G284" s="110">
        <f t="shared" si="101"/>
        <v>0.39762276752121123</v>
      </c>
      <c r="H284" s="409" t="b">
        <f>Wh_hp&gt;='2028'!Maxi_hp</f>
        <v>1</v>
      </c>
      <c r="I284" s="385">
        <f>IF(H284,Wh_hp,'2028'!Maxi_hp)</f>
        <v>17.007258267445948</v>
      </c>
      <c r="J284" s="85">
        <f>IF(H284,An,'2028'!An_max)</f>
        <v>2029</v>
      </c>
      <c r="K284" s="193">
        <f t="shared" si="104"/>
        <v>47388</v>
      </c>
      <c r="L284" s="143">
        <f>IF(t&lt;Tvie,1-EXP((T0-t)*PertePVj)+'2028'!Pspv,1-EXP((T0-t)*PertePVj)+Pspv)</f>
        <v>3.8473738986366746E-2</v>
      </c>
      <c r="M284" s="836"/>
      <c r="N284" s="836"/>
      <c r="O284" s="48">
        <f>IF(t&lt;Tnet,'2028'!Resal+('2028'!Salim-'2028'!Resal)*(1-EXP(('2028'!Tnet-t)/('2028'!Tau_j))),Resal+(Salim-Resal)*(1-EXP((Tnet-t)/(Tau_j))))*Salcycl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2.4951568961564262E-5</v>
      </c>
      <c r="Q284" s="301">
        <f t="shared" si="105"/>
        <v>0.5</v>
      </c>
      <c r="R284" s="173">
        <f t="shared" si="106"/>
        <v>0.4633784163041359</v>
      </c>
      <c r="S284" s="802">
        <f t="shared" si="107"/>
        <v>0</v>
      </c>
      <c r="T284" s="172">
        <f t="shared" si="108"/>
        <v>6</v>
      </c>
      <c r="U284" s="247">
        <f t="shared" si="109"/>
        <v>0.4633784163041359</v>
      </c>
      <c r="V284" s="378">
        <f t="shared" si="110"/>
        <v>40.686472272858929</v>
      </c>
      <c r="W284" s="397">
        <f t="shared" si="111"/>
        <v>16.178215077425047</v>
      </c>
      <c r="X284" s="153">
        <f t="shared" si="112"/>
        <v>47388</v>
      </c>
      <c r="Y284" s="380">
        <f t="shared" si="113"/>
        <v>15.598256167164521</v>
      </c>
      <c r="Z284" s="380">
        <f t="shared" si="114"/>
        <v>16.22239225241853</v>
      </c>
      <c r="AA284" s="381">
        <f t="shared" si="115"/>
        <v>17.006605394567384</v>
      </c>
      <c r="AB284" s="193">
        <f t="shared" si="116"/>
        <v>47388</v>
      </c>
      <c r="AC284" s="119">
        <f>IF(OR(t&lt;Tnet,NoTnet),'2028'!Resal_s+('2028'!Salim-'2028'!Resal_s)*(1-EXP(('2028'!Tnet_s-t)/'2028'!Tau_j)),Resal_s+(Salim-Resal_s)*(1-EXP((Tnet_s-t)/Tau_j)))*Salcycl</f>
        <v>4.611226778974746E-2</v>
      </c>
      <c r="AD284" s="227">
        <f>(INDEX(Models!$BJ284:$BT284,,AH284)*(1-AF284)+INDEX(Models!$BJ284:$BT284,,AH284+1)*AF284-ERP_i)*AE284*Ramure*Pc/MaxiM</f>
        <v>2.7523474994293887E-4</v>
      </c>
      <c r="AE284" s="301">
        <f t="shared" si="117"/>
        <v>0.5</v>
      </c>
      <c r="AF284" s="173">
        <f t="shared" si="118"/>
        <v>0.98836598267811304</v>
      </c>
      <c r="AG284" s="802">
        <f t="shared" si="124"/>
        <v>3</v>
      </c>
      <c r="AH284" s="172">
        <f t="shared" si="119"/>
        <v>9</v>
      </c>
      <c r="AI284" s="221">
        <f t="shared" si="120"/>
        <v>3.988365982678113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47389</v>
      </c>
      <c r="B285" s="406">
        <f>'2028'!Wh/'2028'!Env_an*'2029'!Env_an</f>
        <v>18.481648729707814</v>
      </c>
      <c r="C285" s="832"/>
      <c r="D285" s="388">
        <f t="shared" si="102"/>
        <v>19.221421692568907</v>
      </c>
      <c r="E285" s="380">
        <f t="shared" si="100"/>
        <v>19.430163545408529</v>
      </c>
      <c r="F285" s="380">
        <f t="shared" si="103"/>
        <v>19.430282263297158</v>
      </c>
      <c r="G285" s="110">
        <f t="shared" si="101"/>
        <v>0.45861366503485096</v>
      </c>
      <c r="H285" s="409" t="b">
        <f>Wh_hp&gt;='2028'!Maxi_hp</f>
        <v>1</v>
      </c>
      <c r="I285" s="385">
        <f>IF(H285,Wh_hp,'2028'!Maxi_hp)</f>
        <v>19.430282263297158</v>
      </c>
      <c r="J285" s="85">
        <f>IF(H285,An,'2028'!An_max)</f>
        <v>2029</v>
      </c>
      <c r="K285" s="193">
        <f t="shared" si="104"/>
        <v>47389</v>
      </c>
      <c r="L285" s="143">
        <f>IF(t&lt;Tvie,1-EXP((T0-t)*PertePVj)+'2028'!Pspv,1-EXP((T0-t)*PertePVj)+Pspv)</f>
        <v>3.8486901473427038E-2</v>
      </c>
      <c r="M285" s="836"/>
      <c r="N285" s="836"/>
      <c r="O285" s="48">
        <f>IF(t&lt;Tnet,'2028'!Resal+('2028'!Salim-'2028'!Resal)*(1-EXP(('2028'!Tnet-t)/('2028'!Tau_j))),Resal+(Salim-Resal)*(1-EXP((Tnet-t)/(Tau_j))))*Salcycl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2.6963006028708575E-5</v>
      </c>
      <c r="Q285" s="301">
        <f t="shared" si="105"/>
        <v>0.5</v>
      </c>
      <c r="R285" s="173">
        <f t="shared" si="106"/>
        <v>0.46360209455342255</v>
      </c>
      <c r="S285" s="802">
        <f t="shared" si="107"/>
        <v>0</v>
      </c>
      <c r="T285" s="172">
        <f t="shared" si="108"/>
        <v>6</v>
      </c>
      <c r="U285" s="247">
        <f t="shared" si="109"/>
        <v>0.46360209455342255</v>
      </c>
      <c r="V285" s="378">
        <f t="shared" si="110"/>
        <v>40.298108707545133</v>
      </c>
      <c r="W285" s="397">
        <f t="shared" si="111"/>
        <v>18.481648729707814</v>
      </c>
      <c r="X285" s="153">
        <f t="shared" si="112"/>
        <v>47389</v>
      </c>
      <c r="Y285" s="380">
        <f t="shared" si="113"/>
        <v>17.819401901505145</v>
      </c>
      <c r="Z285" s="380">
        <f t="shared" si="114"/>
        <v>18.532666823584282</v>
      </c>
      <c r="AA285" s="381">
        <f t="shared" si="115"/>
        <v>19.428948173043509</v>
      </c>
      <c r="AB285" s="193">
        <f t="shared" si="116"/>
        <v>47389</v>
      </c>
      <c r="AC285" s="119">
        <f>IF(OR(t&lt;Tnet,NoTnet),'2028'!Resal_s+('2028'!Salim-'2028'!Resal_s)*(1-EXP(('2028'!Tnet_s-t)/'2028'!Tau_j)),Resal_s+(Salim-Resal_s)*(1-EXP((Tnet_s-t)/Tau_j)))*Salcycl</f>
        <v>4.6131233738260731E-2</v>
      </c>
      <c r="AD285" s="227">
        <f>(INDEX(Models!$BJ285:$BT285,,AH285)*(1-AF285)+INDEX(Models!$BJ285:$BT285,,AH285+1)*AF285-ERP_i)*AE285*Ramure*Pc/MaxiM</f>
        <v>3.0299632150723006E-4</v>
      </c>
      <c r="AE285" s="301">
        <f t="shared" si="117"/>
        <v>0.5</v>
      </c>
      <c r="AF285" s="173">
        <f t="shared" si="118"/>
        <v>0.98858966092739964</v>
      </c>
      <c r="AG285" s="802">
        <f t="shared" si="124"/>
        <v>3</v>
      </c>
      <c r="AH285" s="172">
        <f t="shared" si="119"/>
        <v>9</v>
      </c>
      <c r="AI285" s="221">
        <f t="shared" si="120"/>
        <v>3.9885896609273996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47390</v>
      </c>
      <c r="B286" s="406">
        <f>'2028'!Wh/'2028'!Env_an*'2029'!Env_an</f>
        <v>23.919555385542299</v>
      </c>
      <c r="C286" s="832"/>
      <c r="D286" s="388">
        <f t="shared" si="102"/>
        <v>24.877334344489075</v>
      </c>
      <c r="E286" s="380">
        <f t="shared" si="100"/>
        <v>25.149091311860925</v>
      </c>
      <c r="F286" s="380">
        <f t="shared" si="103"/>
        <v>25.149408574242972</v>
      </c>
      <c r="G286" s="110">
        <f t="shared" si="101"/>
        <v>0.59932411301284216</v>
      </c>
      <c r="H286" s="409" t="b">
        <f>Wh_hp&gt;='2028'!Maxi_hp</f>
        <v>1</v>
      </c>
      <c r="I286" s="385">
        <f>IF(H286,Wh_hp,'2028'!Maxi_hp)</f>
        <v>25.149408574242972</v>
      </c>
      <c r="J286" s="85">
        <f>IF(H286,An,'2028'!An_max)</f>
        <v>2029</v>
      </c>
      <c r="K286" s="193">
        <f t="shared" si="104"/>
        <v>47390</v>
      </c>
      <c r="L286" s="143">
        <f>IF(t&lt;Tvie,1-EXP((T0-t)*PertePVj)+'2028'!Pspv,1-EXP((T0-t)*PertePVj)+Pspv)</f>
        <v>3.8500063780304017E-2</v>
      </c>
      <c r="M286" s="836"/>
      <c r="N286" s="836"/>
      <c r="O286" s="48">
        <f>IF(t&lt;Tnet,'2028'!Resal+('2028'!Salim-'2028'!Resal)*(1-EXP(('2028'!Tnet-t)/('2028'!Tau_j))),Resal+(Salim-Resal)*(1-EXP((Tnet-t)/(Tau_j))))*Salcycl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2.9500709200985087E-5</v>
      </c>
      <c r="Q286" s="301">
        <f t="shared" si="105"/>
        <v>0.5</v>
      </c>
      <c r="R286" s="173">
        <f t="shared" si="106"/>
        <v>0.46381695695933278</v>
      </c>
      <c r="S286" s="802">
        <f t="shared" si="107"/>
        <v>0</v>
      </c>
      <c r="T286" s="172">
        <f t="shared" si="108"/>
        <v>6</v>
      </c>
      <c r="U286" s="247">
        <f t="shared" si="109"/>
        <v>0.46381695695933278</v>
      </c>
      <c r="V286" s="378">
        <f t="shared" si="110"/>
        <v>39.91021046026917</v>
      </c>
      <c r="W286" s="397">
        <f t="shared" si="111"/>
        <v>23.919555385542299</v>
      </c>
      <c r="X286" s="153">
        <f t="shared" si="112"/>
        <v>47390</v>
      </c>
      <c r="Y286" s="380">
        <f t="shared" si="113"/>
        <v>23.061883615719157</v>
      </c>
      <c r="Z286" s="380">
        <f t="shared" si="114"/>
        <v>23.985319964129129</v>
      </c>
      <c r="AA286" s="381">
        <f t="shared" si="115"/>
        <v>25.145787182398923</v>
      </c>
      <c r="AB286" s="193">
        <f t="shared" si="116"/>
        <v>47390</v>
      </c>
      <c r="AC286" s="119">
        <f>IF(OR(t&lt;Tnet,NoTnet),'2028'!Resal_s+('2028'!Salim-'2028'!Resal_s)*(1-EXP(('2028'!Tnet_s-t)/'2028'!Tau_j)),Resal_s+(Salim-Resal_s)*(1-EXP((Tnet_s-t)/Tau_j)))*Salcycl</f>
        <v>4.614956811064061E-2</v>
      </c>
      <c r="AD286" s="227">
        <f>(INDEX(Models!$BJ286:$BT286,,AH286)*(1-AF286)+INDEX(Models!$BJ286:$BT286,,AH286+1)*AF286-ERP_i)*AE286*Ramure*Pc/MaxiM</f>
        <v>3.3673588089874951E-4</v>
      </c>
      <c r="AE286" s="301">
        <f t="shared" si="117"/>
        <v>0.5</v>
      </c>
      <c r="AF286" s="173">
        <f t="shared" si="118"/>
        <v>0.98880452333331004</v>
      </c>
      <c r="AG286" s="802">
        <f t="shared" si="124"/>
        <v>3</v>
      </c>
      <c r="AH286" s="172">
        <f t="shared" si="119"/>
        <v>9</v>
      </c>
      <c r="AI286" s="221">
        <f t="shared" si="120"/>
        <v>3.98880452333331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47391</v>
      </c>
      <c r="B287" s="406">
        <f>'2028'!Wh/'2028'!Env_an*'2029'!Env_an</f>
        <v>25.650361083871669</v>
      </c>
      <c r="C287" s="832"/>
      <c r="D287" s="388">
        <f t="shared" si="102"/>
        <v>26.67780959136795</v>
      </c>
      <c r="E287" s="380">
        <f t="shared" si="100"/>
        <v>26.970936268014881</v>
      </c>
      <c r="F287" s="380">
        <f t="shared" si="103"/>
        <v>26.971374294476501</v>
      </c>
      <c r="G287" s="110">
        <f t="shared" si="101"/>
        <v>0.64897773887381061</v>
      </c>
      <c r="H287" s="409" t="b">
        <f>Wh_hp&gt;='2028'!Maxi_hp</f>
        <v>1</v>
      </c>
      <c r="I287" s="385">
        <f>IF(H287,Wh_hp,'2028'!Maxi_hp)</f>
        <v>26.971374294476501</v>
      </c>
      <c r="J287" s="85">
        <f>IF(H287,An,'2028'!An_max)</f>
        <v>2029</v>
      </c>
      <c r="K287" s="193">
        <f t="shared" si="104"/>
        <v>47391</v>
      </c>
      <c r="L287" s="143">
        <f>IF(t&lt;Tvie,1-EXP((T0-t)*PertePVj)+'2028'!Pspv,1-EXP((T0-t)*PertePVj)+Pspv)</f>
        <v>3.8513225906999904E-2</v>
      </c>
      <c r="M287" s="836"/>
      <c r="N287" s="836"/>
      <c r="O287" s="48">
        <f>IF(t&lt;Tnet,'2028'!Resal+('2028'!Salim-'2028'!Resal)*(1-EXP(('2028'!Tnet-t)/('2028'!Tau_j))),Resal+(Salim-Resal)*(1-EXP((Tnet-t)/(Tau_j))))*Salcycl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3.2574997755009429E-5</v>
      </c>
      <c r="Q287" s="301">
        <f t="shared" si="105"/>
        <v>0.5</v>
      </c>
      <c r="R287" s="173">
        <f t="shared" si="106"/>
        <v>0.46402334370214177</v>
      </c>
      <c r="S287" s="802">
        <f t="shared" si="107"/>
        <v>0</v>
      </c>
      <c r="T287" s="172">
        <f t="shared" si="108"/>
        <v>6</v>
      </c>
      <c r="U287" s="247">
        <f t="shared" si="109"/>
        <v>0.46402334370214177</v>
      </c>
      <c r="V287" s="378">
        <f t="shared" si="110"/>
        <v>39.52360851972346</v>
      </c>
      <c r="W287" s="397">
        <f t="shared" si="111"/>
        <v>25.650361083871669</v>
      </c>
      <c r="X287" s="153">
        <f t="shared" si="112"/>
        <v>47391</v>
      </c>
      <c r="Y287" s="380">
        <f t="shared" si="113"/>
        <v>24.730737985494368</v>
      </c>
      <c r="Z287" s="380">
        <f t="shared" si="114"/>
        <v>25.721350154632788</v>
      </c>
      <c r="AA287" s="381">
        <f t="shared" si="115"/>
        <v>26.966310754307113</v>
      </c>
      <c r="AB287" s="193">
        <f t="shared" si="116"/>
        <v>47391</v>
      </c>
      <c r="AC287" s="119">
        <f>IF(OR(t&lt;Tnet,NoTnet),'2028'!Resal_s+('2028'!Salim-'2028'!Resal_s)*(1-EXP(('2028'!Tnet_s-t)/'2028'!Tau_j)),Resal_s+(Salim-Resal_s)*(1-EXP((Tnet_s-t)/Tau_j)))*Salcycl</f>
        <v>4.6167257027380976E-2</v>
      </c>
      <c r="AD287" s="227">
        <f>(INDEX(Models!$BJ287:$BT287,,AH287)*(1-AF287)+INDEX(Models!$BJ287:$BT287,,AH287+1)*AF287-ERP_i)*AE287*Ramure*Pc/MaxiM</f>
        <v>3.7656357344347348E-4</v>
      </c>
      <c r="AE287" s="301">
        <f t="shared" si="117"/>
        <v>0.5</v>
      </c>
      <c r="AF287" s="173">
        <f t="shared" si="118"/>
        <v>0.98901091007611885</v>
      </c>
      <c r="AG287" s="802">
        <f t="shared" si="124"/>
        <v>3</v>
      </c>
      <c r="AH287" s="172">
        <f t="shared" si="119"/>
        <v>9</v>
      </c>
      <c r="AI287" s="221">
        <f t="shared" si="120"/>
        <v>3.9890109100761189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47392</v>
      </c>
      <c r="B288" s="406">
        <f>'2028'!Wh/'2028'!Env_an*'2029'!Env_an</f>
        <v>35.009529864754306</v>
      </c>
      <c r="C288" s="832"/>
      <c r="D288" s="388">
        <f t="shared" si="102"/>
        <v>36.412366831988031</v>
      </c>
      <c r="E288" s="380">
        <f t="shared" si="100"/>
        <v>36.814766909903355</v>
      </c>
      <c r="F288" s="380">
        <f t="shared" si="103"/>
        <v>36.815898632606007</v>
      </c>
      <c r="G288" s="110">
        <f t="shared" si="101"/>
        <v>0.89448425689804534</v>
      </c>
      <c r="H288" s="409" t="b">
        <f>Wh_hp&gt;='2028'!Maxi_hp</f>
        <v>1</v>
      </c>
      <c r="I288" s="385">
        <f>IF(H288,Wh_hp,'2028'!Maxi_hp)</f>
        <v>36.815898632606007</v>
      </c>
      <c r="J288" s="85">
        <f>IF(H288,An,'2028'!An_max)</f>
        <v>2029</v>
      </c>
      <c r="K288" s="193">
        <f t="shared" si="104"/>
        <v>47392</v>
      </c>
      <c r="L288" s="143">
        <f>IF(t&lt;Tvie,1-EXP((T0-t)*PertePVj)+'2028'!Pspv,1-EXP((T0-t)*PertePVj)+Pspv)</f>
        <v>3.8526387853517474E-2</v>
      </c>
      <c r="M288" s="836"/>
      <c r="N288" s="836"/>
      <c r="O288" s="48">
        <f>IF(t&lt;Tnet,'2028'!Resal+('2028'!Salim-'2028'!Resal)*(1-EXP(('2028'!Tnet-t)/('2028'!Tau_j))),Resal+(Salim-Resal)*(1-EXP((Tnet-t)/(Tau_j))))*Salcycl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3.6195846610930064E-5</v>
      </c>
      <c r="Q288" s="301">
        <f t="shared" si="105"/>
        <v>0.5</v>
      </c>
      <c r="R288" s="173">
        <f t="shared" si="106"/>
        <v>0.46422158240489003</v>
      </c>
      <c r="S288" s="802">
        <f t="shared" si="107"/>
        <v>0</v>
      </c>
      <c r="T288" s="172">
        <f t="shared" si="108"/>
        <v>6</v>
      </c>
      <c r="U288" s="247">
        <f t="shared" si="109"/>
        <v>0.46422158240489003</v>
      </c>
      <c r="V288" s="378">
        <f t="shared" si="110"/>
        <v>39.139133622705877</v>
      </c>
      <c r="W288" s="397">
        <f t="shared" si="111"/>
        <v>35.009529864754306</v>
      </c>
      <c r="X288" s="153">
        <f t="shared" si="112"/>
        <v>47392</v>
      </c>
      <c r="Y288" s="380">
        <f t="shared" si="113"/>
        <v>33.750588961012319</v>
      </c>
      <c r="Z288" s="380">
        <f t="shared" si="114"/>
        <v>35.102979982637677</v>
      </c>
      <c r="AA288" s="381">
        <f t="shared" si="115"/>
        <v>36.802685802802444</v>
      </c>
      <c r="AB288" s="193">
        <f t="shared" si="116"/>
        <v>47392</v>
      </c>
      <c r="AC288" s="119">
        <f>IF(OR(t&lt;Tnet,NoTnet),'2028'!Resal_s+('2028'!Salim-'2028'!Resal_s)*(1-EXP(('2028'!Tnet_s-t)/'2028'!Tau_j)),Resal_s+(Salim-Resal_s)*(1-EXP((Tnet_s-t)/Tau_j)))*Salcycl</f>
        <v>4.6184287453154872E-2</v>
      </c>
      <c r="AD288" s="227">
        <f>(INDEX(Models!$BJ288:$BT288,,AH288)*(1-AF288)+INDEX(Models!$BJ288:$BT288,,AH288+1)*AF288-ERP_i)*AE288*Ramure*Pc/MaxiM</f>
        <v>4.2258546174359123E-4</v>
      </c>
      <c r="AE288" s="301">
        <f t="shared" si="117"/>
        <v>0.5</v>
      </c>
      <c r="AF288" s="173">
        <f t="shared" si="118"/>
        <v>0.98920914877886723</v>
      </c>
      <c r="AG288" s="802">
        <f t="shared" si="124"/>
        <v>3</v>
      </c>
      <c r="AH288" s="172">
        <f t="shared" si="119"/>
        <v>9</v>
      </c>
      <c r="AI288" s="221">
        <f t="shared" si="120"/>
        <v>3.9892091487788672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47393</v>
      </c>
      <c r="B289" s="406">
        <f>'2028'!Wh/'2028'!Env_an*'2029'!Env_an</f>
        <v>36.408574852967121</v>
      </c>
      <c r="C289" s="832"/>
      <c r="D289" s="388">
        <f t="shared" si="102"/>
        <v>37.867990137890686</v>
      </c>
      <c r="E289" s="380">
        <f t="shared" si="100"/>
        <v>38.288872904384831</v>
      </c>
      <c r="F289" s="380">
        <f t="shared" si="103"/>
        <v>38.290285207747907</v>
      </c>
      <c r="G289" s="110">
        <f t="shared" si="101"/>
        <v>0.93946037493801726</v>
      </c>
      <c r="H289" s="409" t="b">
        <f>Wh_hp&gt;='2028'!Maxi_hp</f>
        <v>1</v>
      </c>
      <c r="I289" s="385">
        <f>IF(H289,Wh_hp,'2028'!Maxi_hp)</f>
        <v>38.290285207747907</v>
      </c>
      <c r="J289" s="85">
        <f>IF(H289,An,'2028'!An_max)</f>
        <v>2029</v>
      </c>
      <c r="K289" s="193">
        <f t="shared" si="104"/>
        <v>47393</v>
      </c>
      <c r="L289" s="143">
        <f>IF(t&lt;Tvie,1-EXP((T0-t)*PertePVj)+'2028'!Pspv,1-EXP((T0-t)*PertePVj)+Pspv)</f>
        <v>3.8539549619858948E-2</v>
      </c>
      <c r="M289" s="836"/>
      <c r="N289" s="836"/>
      <c r="O289" s="48">
        <f>IF(t&lt;Tnet,'2028'!Resal+('2028'!Salim-'2028'!Resal)*(1-EXP(('2028'!Tnet-t)/('2028'!Tau_j))),Resal+(Salim-Resal)*(1-EXP((Tnet-t)/(Tau_j))))*Salcycl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4.0375839574252235E-5</v>
      </c>
      <c r="Q289" s="301">
        <f t="shared" si="105"/>
        <v>0.5</v>
      </c>
      <c r="R289" s="173">
        <f t="shared" si="106"/>
        <v>0.46441198855204641</v>
      </c>
      <c r="S289" s="802">
        <f t="shared" si="107"/>
        <v>0</v>
      </c>
      <c r="T289" s="172">
        <f t="shared" si="108"/>
        <v>6</v>
      </c>
      <c r="U289" s="247">
        <f t="shared" si="109"/>
        <v>0.46441198855204641</v>
      </c>
      <c r="V289" s="378">
        <f t="shared" si="110"/>
        <v>38.754639036309186</v>
      </c>
      <c r="W289" s="397">
        <f t="shared" si="111"/>
        <v>36.408574852967121</v>
      </c>
      <c r="X289" s="153">
        <f t="shared" si="112"/>
        <v>47393</v>
      </c>
      <c r="Y289" s="380">
        <f t="shared" si="113"/>
        <v>35.098502112019197</v>
      </c>
      <c r="Z289" s="380">
        <f t="shared" si="114"/>
        <v>36.50540393850001</v>
      </c>
      <c r="AA289" s="381">
        <f t="shared" si="115"/>
        <v>38.273672377910103</v>
      </c>
      <c r="AB289" s="193">
        <f t="shared" si="116"/>
        <v>47393</v>
      </c>
      <c r="AC289" s="119">
        <f>IF(OR(t&lt;Tnet,NoTnet),'2028'!Resal_s+('2028'!Salim-'2028'!Resal_s)*(1-EXP(('2028'!Tnet_s-t)/'2028'!Tau_j)),Resal_s+(Salim-Resal_s)*(1-EXP((Tnet_s-t)/Tau_j)))*Salcycl</f>
        <v>4.6200647326193368E-2</v>
      </c>
      <c r="AD289" s="227">
        <f>(INDEX(Models!$BJ289:$BT289,,AH289)*(1-AF289)+INDEX(Models!$BJ289:$BT289,,AH289+1)*AF289-ERP_i)*AE289*Ramure*Pc/MaxiM</f>
        <v>4.7493829579471408E-4</v>
      </c>
      <c r="AE289" s="301">
        <f t="shared" si="117"/>
        <v>0.5</v>
      </c>
      <c r="AF289" s="173">
        <f t="shared" si="118"/>
        <v>0.98939955492602349</v>
      </c>
      <c r="AG289" s="802">
        <f t="shared" si="124"/>
        <v>3</v>
      </c>
      <c r="AH289" s="172">
        <f t="shared" si="119"/>
        <v>9</v>
      </c>
      <c r="AI289" s="221">
        <f t="shared" si="120"/>
        <v>3.9893995549260235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47394</v>
      </c>
      <c r="B290" s="406">
        <f>'2028'!Wh/'2028'!Env_an*'2029'!Env_an</f>
        <v>32.971433839092491</v>
      </c>
      <c r="C290" s="832"/>
      <c r="D290" s="388">
        <f t="shared" si="102"/>
        <v>34.293542894537076</v>
      </c>
      <c r="E290" s="380">
        <f t="shared" si="100"/>
        <v>34.676858843960481</v>
      </c>
      <c r="F290" s="380">
        <f t="shared" si="103"/>
        <v>34.678104414130672</v>
      </c>
      <c r="G290" s="110">
        <f t="shared" si="101"/>
        <v>0.85934597666304646</v>
      </c>
      <c r="H290" s="409" t="b">
        <f>Wh_hp&gt;='2028'!Maxi_hp</f>
        <v>1</v>
      </c>
      <c r="I290" s="385">
        <f>IF(H290,Wh_hp,'2028'!Maxi_hp)</f>
        <v>34.678104414130672</v>
      </c>
      <c r="J290" s="85">
        <f>IF(H290,An,'2028'!An_max)</f>
        <v>2029</v>
      </c>
      <c r="K290" s="193">
        <f t="shared" si="104"/>
        <v>47394</v>
      </c>
      <c r="L290" s="143">
        <f>IF(t&lt;Tvie,1-EXP((T0-t)*PertePVj)+'2028'!Pspv,1-EXP((T0-t)*PertePVj)+Pspv)</f>
        <v>3.8552711206026991E-2</v>
      </c>
      <c r="M290" s="836"/>
      <c r="N290" s="836"/>
      <c r="O290" s="48">
        <f>IF(t&lt;Tnet,'2028'!Resal+('2028'!Salim-'2028'!Resal)*(1-EXP(('2028'!Tnet-t)/('2028'!Tau_j))),Resal+(Salim-Resal)*(1-EXP((Tnet-t)/(Tau_j))))*Salcycl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4.4949446081248823E-5</v>
      </c>
      <c r="Q290" s="301">
        <f t="shared" si="105"/>
        <v>0.5</v>
      </c>
      <c r="R290" s="173">
        <f t="shared" si="106"/>
        <v>0.4645948658978345</v>
      </c>
      <c r="S290" s="802">
        <f t="shared" si="107"/>
        <v>0</v>
      </c>
      <c r="T290" s="172">
        <f t="shared" si="108"/>
        <v>6</v>
      </c>
      <c r="U290" s="247">
        <f t="shared" si="109"/>
        <v>0.4645948658978345</v>
      </c>
      <c r="V290" s="378">
        <f t="shared" si="110"/>
        <v>38.3677086365348</v>
      </c>
      <c r="W290" s="397">
        <f t="shared" si="111"/>
        <v>32.971433839092491</v>
      </c>
      <c r="X290" s="153">
        <f t="shared" si="112"/>
        <v>47394</v>
      </c>
      <c r="Y290" s="380">
        <f t="shared" si="113"/>
        <v>31.786755999978922</v>
      </c>
      <c r="Z290" s="380">
        <f t="shared" si="114"/>
        <v>33.061361106807858</v>
      </c>
      <c r="AA290" s="381">
        <f t="shared" si="115"/>
        <v>34.663374932148848</v>
      </c>
      <c r="AB290" s="193">
        <f t="shared" si="116"/>
        <v>47394</v>
      </c>
      <c r="AC290" s="119">
        <f>IF(OR(t&lt;Tnet,NoTnet),'2028'!Resal_s+('2028'!Salim-'2028'!Resal_s)*(1-EXP(('2028'!Tnet_s-t)/'2028'!Tau_j)),Resal_s+(Salim-Resal_s)*(1-EXP((Tnet_s-t)/Tau_j)))*Salcycl</f>
        <v>4.6216325688910084E-2</v>
      </c>
      <c r="AD290" s="227">
        <f>(INDEX(Models!$BJ290:$BT290,,AH290)*(1-AF290)+INDEX(Models!$BJ290:$BT290,,AH290+1)*AF290-ERP_i)*AE290*Ramure*Pc/MaxiM</f>
        <v>5.3154938356305597E-4</v>
      </c>
      <c r="AE290" s="301">
        <f t="shared" si="117"/>
        <v>0.5</v>
      </c>
      <c r="AF290" s="173">
        <f t="shared" si="118"/>
        <v>0.98958243227181164</v>
      </c>
      <c r="AG290" s="802">
        <f t="shared" si="124"/>
        <v>3</v>
      </c>
      <c r="AH290" s="172">
        <f t="shared" si="119"/>
        <v>9</v>
      </c>
      <c r="AI290" s="221">
        <f t="shared" si="120"/>
        <v>3.9895824322718116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47395</v>
      </c>
      <c r="B291" s="406">
        <f>'2028'!Wh/'2028'!Env_an*'2029'!Env_an</f>
        <v>38.402973998240931</v>
      </c>
      <c r="C291" s="832"/>
      <c r="D291" s="388">
        <f t="shared" si="102"/>
        <v>39.943427120248082</v>
      </c>
      <c r="E291" s="380">
        <f t="shared" si="100"/>
        <v>40.392401496910125</v>
      </c>
      <c r="F291" s="380">
        <f t="shared" si="103"/>
        <v>40.394405046621038</v>
      </c>
      <c r="G291" s="110">
        <f t="shared" si="101"/>
        <v>1.0111694837797944</v>
      </c>
      <c r="H291" s="409" t="b">
        <f>Wh_hp&gt;='2028'!Maxi_hp</f>
        <v>0</v>
      </c>
      <c r="I291" s="385">
        <f>IF(H291,Wh_hp,'2028'!Maxi_hp)</f>
        <v>40.394405046621053</v>
      </c>
      <c r="J291" s="85">
        <f>IF(H291,An,'2028'!An_max)</f>
        <v>2027</v>
      </c>
      <c r="K291" s="193">
        <f t="shared" si="104"/>
        <v>47395</v>
      </c>
      <c r="L291" s="143">
        <f>IF(t&lt;Tvie,1-EXP((T0-t)*PertePVj)+'2028'!Pspv,1-EXP((T0-t)*PertePVj)+Pspv)</f>
        <v>3.8565872612023933E-2</v>
      </c>
      <c r="M291" s="836"/>
      <c r="N291" s="836"/>
      <c r="O291" s="48">
        <f>IF(t&lt;Tnet,'2028'!Resal+('2028'!Salim-'2028'!Resal)*(1-EXP(('2028'!Tnet-t)/('2028'!Tau_j))),Resal+(Salim-Resal)*(1-EXP((Tnet-t)/(Tau_j))))*Salcycl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4.9599683634527504E-5</v>
      </c>
      <c r="Q291" s="301">
        <f t="shared" si="105"/>
        <v>0.5</v>
      </c>
      <c r="R291" s="173">
        <f t="shared" si="106"/>
        <v>0.46477050686416493</v>
      </c>
      <c r="S291" s="802">
        <f t="shared" si="107"/>
        <v>0</v>
      </c>
      <c r="T291" s="172">
        <f t="shared" si="108"/>
        <v>6</v>
      </c>
      <c r="U291" s="247">
        <f t="shared" si="109"/>
        <v>0.46477050686416493</v>
      </c>
      <c r="V291" s="378">
        <f t="shared" si="110"/>
        <v>37.978770734544895</v>
      </c>
      <c r="W291" s="397">
        <f t="shared" si="111"/>
        <v>38.402973998240931</v>
      </c>
      <c r="X291" s="153">
        <f t="shared" si="112"/>
        <v>47395</v>
      </c>
      <c r="Y291" s="380">
        <f t="shared" si="113"/>
        <v>37.019263587983247</v>
      </c>
      <c r="Z291" s="380">
        <f t="shared" si="114"/>
        <v>38.50421212793556</v>
      </c>
      <c r="AA291" s="381">
        <f t="shared" si="115"/>
        <v>40.370597866583218</v>
      </c>
      <c r="AB291" s="193">
        <f t="shared" si="116"/>
        <v>47395</v>
      </c>
      <c r="AC291" s="119">
        <f>IF(OR(t&lt;Tnet,NoTnet),'2028'!Resal_s+('2028'!Salim-'2028'!Resal_s)*(1-EXP(('2028'!Tnet_s-t)/'2028'!Tau_j)),Resal_s+(Salim-Resal_s)*(1-EXP((Tnet_s-t)/Tau_j)))*Salcycl</f>
        <v>4.6231312818692756E-2</v>
      </c>
      <c r="AD291" s="227">
        <f>(INDEX(Models!$BJ291:$BT291,,AH291)*(1-AF291)+INDEX(Models!$BJ291:$BT291,,AH291+1)*AF291-ERP_i)*AE291*Ramure*Pc/MaxiM</f>
        <v>5.8936825558737727E-4</v>
      </c>
      <c r="AE291" s="301">
        <f t="shared" si="117"/>
        <v>0.5</v>
      </c>
      <c r="AF291" s="173">
        <f t="shared" si="118"/>
        <v>0.98975807323814191</v>
      </c>
      <c r="AG291" s="802">
        <f t="shared" si="124"/>
        <v>3</v>
      </c>
      <c r="AH291" s="172">
        <f t="shared" si="119"/>
        <v>9</v>
      </c>
      <c r="AI291" s="221">
        <f t="shared" si="120"/>
        <v>3.9897580732381419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47396</v>
      </c>
      <c r="B292" s="406">
        <f>'2028'!Wh/'2028'!Env_an*'2029'!Env_an</f>
        <v>38.654099909158113</v>
      </c>
      <c r="C292" s="832"/>
      <c r="D292" s="388">
        <f t="shared" si="102"/>
        <v>40.205176784795569</v>
      </c>
      <c r="E292" s="380">
        <f t="shared" si="100"/>
        <v>40.659605853845875</v>
      </c>
      <c r="F292" s="380">
        <f t="shared" si="103"/>
        <v>40.661814891212082</v>
      </c>
      <c r="G292" s="110">
        <f t="shared" si="101"/>
        <v>1.0283561778969419</v>
      </c>
      <c r="H292" s="409" t="b">
        <f>Wh_hp&gt;='2028'!Maxi_hp</f>
        <v>1</v>
      </c>
      <c r="I292" s="385">
        <f>IF(H292,Wh_hp,'2028'!Maxi_hp)</f>
        <v>40.661814891212082</v>
      </c>
      <c r="J292" s="85">
        <f>IF(H292,An,'2028'!An_max)</f>
        <v>2029</v>
      </c>
      <c r="K292" s="193">
        <f t="shared" si="104"/>
        <v>47396</v>
      </c>
      <c r="L292" s="143">
        <f>IF(t&lt;Tvie,1-EXP((T0-t)*PertePVj)+'2028'!Pspv,1-EXP((T0-t)*PertePVj)+Pspv)</f>
        <v>3.8579033837852217E-2</v>
      </c>
      <c r="M292" s="836"/>
      <c r="N292" s="836"/>
      <c r="O292" s="48">
        <f>IF(t&lt;Tnet,'2028'!Resal+('2028'!Salim-'2028'!Resal)*(1-EXP(('2028'!Tnet-t)/('2028'!Tau_j))),Resal+(Salim-Resal)*(1-EXP((Tnet-t)/(Tau_j))))*Salcycl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5.4327072515476984E-5</v>
      </c>
      <c r="Q292" s="301">
        <f t="shared" si="105"/>
        <v>0.5</v>
      </c>
      <c r="R292" s="173">
        <f t="shared" si="106"/>
        <v>0.46493919292814662</v>
      </c>
      <c r="S292" s="802">
        <f t="shared" si="107"/>
        <v>0</v>
      </c>
      <c r="T292" s="172">
        <f t="shared" si="108"/>
        <v>6</v>
      </c>
      <c r="U292" s="247">
        <f t="shared" si="109"/>
        <v>0.46493919292814662</v>
      </c>
      <c r="V292" s="378">
        <f t="shared" si="110"/>
        <v>37.588241058859943</v>
      </c>
      <c r="W292" s="397">
        <f t="shared" si="111"/>
        <v>38.654099909158113</v>
      </c>
      <c r="X292" s="153">
        <f t="shared" si="112"/>
        <v>47396</v>
      </c>
      <c r="Y292" s="380">
        <f t="shared" si="113"/>
        <v>37.261060409556549</v>
      </c>
      <c r="Z292" s="380">
        <f t="shared" si="114"/>
        <v>38.756238651937522</v>
      </c>
      <c r="AA292" s="381">
        <f t="shared" si="115"/>
        <v>40.635449405501646</v>
      </c>
      <c r="AB292" s="193">
        <f t="shared" si="116"/>
        <v>47396</v>
      </c>
      <c r="AC292" s="119">
        <f>IF(OR(t&lt;Tnet,NoTnet),'2028'!Resal_s+('2028'!Salim-'2028'!Resal_s)*(1-EXP(('2028'!Tnet_s-t)/'2028'!Tau_j)),Resal_s+(Salim-Resal_s)*(1-EXP((Tnet_s-t)/Tau_j)))*Salcycl</f>
        <v>4.624560035774327E-2</v>
      </c>
      <c r="AD292" s="227">
        <f>(INDEX(Models!$BJ292:$BT292,,AH292)*(1-AF292)+INDEX(Models!$BJ292:$BT292,,AH292+1)*AF292-ERP_i)*AE292*Ramure*Pc/MaxiM</f>
        <v>6.4840897488161397E-4</v>
      </c>
      <c r="AE292" s="301">
        <f t="shared" si="117"/>
        <v>0.5</v>
      </c>
      <c r="AF292" s="173">
        <f t="shared" si="118"/>
        <v>0.98992675930212393</v>
      </c>
      <c r="AG292" s="802">
        <f t="shared" si="124"/>
        <v>3</v>
      </c>
      <c r="AH292" s="172">
        <f t="shared" si="119"/>
        <v>9</v>
      </c>
      <c r="AI292" s="221">
        <f t="shared" si="120"/>
        <v>3.9899267593021239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47397</v>
      </c>
      <c r="B293" s="406">
        <f>'2028'!Wh/'2028'!Env_an*'2029'!Env_an</f>
        <v>15.492847407600644</v>
      </c>
      <c r="C293" s="832"/>
      <c r="D293" s="388">
        <f t="shared" si="102"/>
        <v>16.114751019442274</v>
      </c>
      <c r="E293" s="380">
        <f t="shared" si="100"/>
        <v>16.297894720568532</v>
      </c>
      <c r="F293" s="380">
        <f t="shared" si="103"/>
        <v>16.29805513186291</v>
      </c>
      <c r="G293" s="110">
        <f t="shared" si="101"/>
        <v>0.41649265674576846</v>
      </c>
      <c r="H293" s="409" t="b">
        <f>Wh_hp&gt;='2028'!Maxi_hp</f>
        <v>1</v>
      </c>
      <c r="I293" s="385">
        <f>IF(H293,Wh_hp,'2028'!Maxi_hp)</f>
        <v>16.29805513186291</v>
      </c>
      <c r="J293" s="85">
        <f>IF(H293,An,'2028'!An_max)</f>
        <v>2029</v>
      </c>
      <c r="K293" s="193">
        <f t="shared" si="104"/>
        <v>47397</v>
      </c>
      <c r="L293" s="143">
        <f>IF(t&lt;Tvie,1-EXP((T0-t)*PertePVj)+'2028'!Pspv,1-EXP((T0-t)*PertePVj)+Pspv)</f>
        <v>3.8592194883514508E-2</v>
      </c>
      <c r="M293" s="836"/>
      <c r="N293" s="836"/>
      <c r="O293" s="48">
        <f>IF(t&lt;Tnet,'2028'!Resal+('2028'!Salim-'2028'!Resal)*(1-EXP(('2028'!Tnet-t)/('2028'!Tau_j))),Resal+(Salim-Resal)*(1-EXP((Tnet-t)/(Tau_j))))*Salcycl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5.9131938970718256E-5</v>
      </c>
      <c r="Q293" s="301">
        <f t="shared" si="105"/>
        <v>0.5</v>
      </c>
      <c r="R293" s="173">
        <f t="shared" si="106"/>
        <v>0.46510119499918579</v>
      </c>
      <c r="S293" s="802">
        <f t="shared" si="107"/>
        <v>0</v>
      </c>
      <c r="T293" s="172">
        <f t="shared" si="108"/>
        <v>6</v>
      </c>
      <c r="U293" s="247">
        <f t="shared" si="109"/>
        <v>0.46510119499918579</v>
      </c>
      <c r="V293" s="378">
        <f t="shared" si="110"/>
        <v>37.196535192660967</v>
      </c>
      <c r="W293" s="397">
        <f t="shared" si="111"/>
        <v>15.492847407600644</v>
      </c>
      <c r="X293" s="153">
        <f t="shared" si="112"/>
        <v>47397</v>
      </c>
      <c r="Y293" s="380">
        <f t="shared" si="113"/>
        <v>14.942475917186243</v>
      </c>
      <c r="Z293" s="380">
        <f t="shared" si="114"/>
        <v>15.542286881450678</v>
      </c>
      <c r="AA293" s="381">
        <f t="shared" si="115"/>
        <v>16.296132637932384</v>
      </c>
      <c r="AB293" s="193">
        <f t="shared" si="116"/>
        <v>47397</v>
      </c>
      <c r="AC293" s="119">
        <f>IF(OR(t&lt;Tnet,NoTnet),'2028'!Resal_s+('2028'!Salim-'2028'!Resal_s)*(1-EXP(('2028'!Tnet_s-t)/'2028'!Tau_j)),Resal_s+(Salim-Resal_s)*(1-EXP((Tnet_s-t)/Tau_j)))*Salcycl</f>
        <v>4.6259181440815332E-2</v>
      </c>
      <c r="AD293" s="227">
        <f>(INDEX(Models!$BJ293:$BT293,,AH293)*(1-AF293)+INDEX(Models!$BJ293:$BT293,,AH293+1)*AF293-ERP_i)*AE293*Ramure*Pc/MaxiM</f>
        <v>7.0868322716105656E-4</v>
      </c>
      <c r="AE293" s="301">
        <f t="shared" si="117"/>
        <v>0.5</v>
      </c>
      <c r="AF293" s="173">
        <f t="shared" si="118"/>
        <v>0.99008876137316282</v>
      </c>
      <c r="AG293" s="802">
        <f t="shared" si="124"/>
        <v>3</v>
      </c>
      <c r="AH293" s="172">
        <f t="shared" si="119"/>
        <v>9</v>
      </c>
      <c r="AI293" s="221">
        <f t="shared" si="120"/>
        <v>3.9900887613731628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47398</v>
      </c>
      <c r="B294" s="406">
        <f>'2028'!Wh/'2028'!Env_an*'2029'!Env_an</f>
        <v>29.758529025374816</v>
      </c>
      <c r="C294" s="832"/>
      <c r="D294" s="388">
        <f t="shared" si="102"/>
        <v>30.953499900719116</v>
      </c>
      <c r="E294" s="380">
        <f t="shared" si="100"/>
        <v>31.307203060637669</v>
      </c>
      <c r="F294" s="380">
        <f t="shared" si="103"/>
        <v>31.308659162314775</v>
      </c>
      <c r="G294" s="110">
        <f t="shared" si="101"/>
        <v>0.80855212994512071</v>
      </c>
      <c r="H294" s="409" t="b">
        <f>Wh_hp&gt;='2028'!Maxi_hp</f>
        <v>1</v>
      </c>
      <c r="I294" s="385">
        <f>IF(H294,Wh_hp,'2028'!Maxi_hp)</f>
        <v>31.308659162314775</v>
      </c>
      <c r="J294" s="85">
        <f>IF(H294,An,'2028'!An_max)</f>
        <v>2029</v>
      </c>
      <c r="K294" s="193">
        <f t="shared" si="104"/>
        <v>47398</v>
      </c>
      <c r="L294" s="143">
        <f>IF(t&lt;Tvie,1-EXP((T0-t)*PertePVj)+'2028'!Pspv,1-EXP((T0-t)*PertePVj)+Pspv)</f>
        <v>3.8605355749013026E-2</v>
      </c>
      <c r="M294" s="836"/>
      <c r="N294" s="836"/>
      <c r="O294" s="48">
        <f>IF(t&lt;Tnet,'2028'!Resal+('2028'!Salim-'2028'!Resal)*(1-EXP(('2028'!Tnet-t)/('2028'!Tau_j))),Resal+(Salim-Resal)*(1-EXP((Tnet-t)/(Tau_j))))*Salcycl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6.4014404112384358E-5</v>
      </c>
      <c r="Q294" s="301">
        <f t="shared" si="105"/>
        <v>0.5</v>
      </c>
      <c r="R294" s="173">
        <f t="shared" si="106"/>
        <v>0.46525677378570862</v>
      </c>
      <c r="S294" s="802">
        <f t="shared" si="107"/>
        <v>0</v>
      </c>
      <c r="T294" s="172">
        <f t="shared" si="108"/>
        <v>6</v>
      </c>
      <c r="U294" s="247">
        <f t="shared" si="109"/>
        <v>0.46525677378570862</v>
      </c>
      <c r="V294" s="378">
        <f t="shared" si="110"/>
        <v>36.804068572496028</v>
      </c>
      <c r="W294" s="397">
        <f t="shared" si="111"/>
        <v>29.758529025374816</v>
      </c>
      <c r="X294" s="153">
        <f t="shared" si="112"/>
        <v>47398</v>
      </c>
      <c r="Y294" s="380">
        <f t="shared" si="113"/>
        <v>28.691125926723227</v>
      </c>
      <c r="Z294" s="380">
        <f t="shared" si="114"/>
        <v>29.843234615766139</v>
      </c>
      <c r="AA294" s="381">
        <f t="shared" si="115"/>
        <v>31.291139828097592</v>
      </c>
      <c r="AB294" s="193">
        <f t="shared" si="116"/>
        <v>47398</v>
      </c>
      <c r="AC294" s="119">
        <f>IF(OR(t&lt;Tnet,NoTnet),'2028'!Resal_s+('2028'!Salim-'2028'!Resal_s)*(1-EXP(('2028'!Tnet_s-t)/'2028'!Tau_j)),Resal_s+(Salim-Resal_s)*(1-EXP((Tnet_s-t)/Tau_j)))*Salcycl</f>
        <v>4.6272050819680229E-2</v>
      </c>
      <c r="AD294" s="227">
        <f>(INDEX(Models!$BJ294:$BT294,,AH294)*(1-AF294)+INDEX(Models!$BJ294:$BT294,,AH294+1)*AF294-ERP_i)*AE294*Ramure*Pc/MaxiM</f>
        <v>7.7020015702922758E-4</v>
      </c>
      <c r="AE294" s="301">
        <f t="shared" si="117"/>
        <v>0.5</v>
      </c>
      <c r="AF294" s="173">
        <f t="shared" si="118"/>
        <v>0.99024434015968588</v>
      </c>
      <c r="AG294" s="802">
        <f t="shared" si="124"/>
        <v>3</v>
      </c>
      <c r="AH294" s="172">
        <f t="shared" si="119"/>
        <v>9</v>
      </c>
      <c r="AI294" s="221">
        <f t="shared" si="120"/>
        <v>3.9902443401596859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47399</v>
      </c>
      <c r="B295" s="406">
        <f>'2028'!Wh/'2028'!Env_an*'2029'!Env_an</f>
        <v>15.049728393077308</v>
      </c>
      <c r="C295" s="832"/>
      <c r="D295" s="388">
        <f t="shared" si="102"/>
        <v>15.654273199916076</v>
      </c>
      <c r="E295" s="380">
        <f t="shared" si="100"/>
        <v>15.834118708262865</v>
      </c>
      <c r="F295" s="380">
        <f t="shared" si="103"/>
        <v>15.834295523225657</v>
      </c>
      <c r="G295" s="110">
        <f t="shared" si="101"/>
        <v>0.41330236424907935</v>
      </c>
      <c r="H295" s="409" t="b">
        <f>Wh_hp&gt;='2028'!Maxi_hp</f>
        <v>1</v>
      </c>
      <c r="I295" s="385">
        <f>IF(H295,Wh_hp,'2028'!Maxi_hp)</f>
        <v>15.834295523225657</v>
      </c>
      <c r="J295" s="85">
        <f>IF(H295,An,'2028'!An_max)</f>
        <v>2029</v>
      </c>
      <c r="K295" s="193">
        <f t="shared" si="104"/>
        <v>47399</v>
      </c>
      <c r="L295" s="143">
        <f>IF(t&lt;Tvie,1-EXP((T0-t)*PertePVj)+'2028'!Pspv,1-EXP((T0-t)*PertePVj)+Pspv)</f>
        <v>3.8618516434350325E-2</v>
      </c>
      <c r="M295" s="836"/>
      <c r="N295" s="836"/>
      <c r="O295" s="48">
        <f>IF(t&lt;Tnet,'2028'!Resal+('2028'!Salim-'2028'!Resal)*(1-EXP(('2028'!Tnet-t)/('2028'!Tau_j))),Resal+(Salim-Resal)*(1-EXP((Tnet-t)/(Tau_j))))*Salcycl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6.8974372661456389E-5</v>
      </c>
      <c r="Q295" s="301">
        <f t="shared" si="105"/>
        <v>0.5</v>
      </c>
      <c r="R295" s="173">
        <f t="shared" si="106"/>
        <v>0.46540618015156981</v>
      </c>
      <c r="S295" s="802">
        <f t="shared" si="107"/>
        <v>0</v>
      </c>
      <c r="T295" s="172">
        <f t="shared" si="108"/>
        <v>6</v>
      </c>
      <c r="U295" s="247">
        <f t="shared" si="109"/>
        <v>0.46540618015156981</v>
      </c>
      <c r="V295" s="378">
        <f t="shared" si="110"/>
        <v>36.411256488114027</v>
      </c>
      <c r="W295" s="397">
        <f t="shared" si="111"/>
        <v>15.049728393077308</v>
      </c>
      <c r="X295" s="153">
        <f t="shared" si="112"/>
        <v>47399</v>
      </c>
      <c r="Y295" s="380">
        <f t="shared" si="113"/>
        <v>14.516265571444622</v>
      </c>
      <c r="Z295" s="380">
        <f t="shared" si="114"/>
        <v>15.099381275376262</v>
      </c>
      <c r="AA295" s="381">
        <f t="shared" si="115"/>
        <v>15.832160224534547</v>
      </c>
      <c r="AB295" s="193">
        <f t="shared" si="116"/>
        <v>47399</v>
      </c>
      <c r="AC295" s="119">
        <f>IF(OR(t&lt;Tnet,NoTnet),'2028'!Resal_s+('2028'!Salim-'2028'!Resal_s)*(1-EXP(('2028'!Tnet_s-t)/'2028'!Tau_j)),Resal_s+(Salim-Resal_s)*(1-EXP((Tnet_s-t)/Tau_j)))*Salcycl</f>
        <v>4.628420498314078E-2</v>
      </c>
      <c r="AD295" s="227">
        <f>(INDEX(Models!$BJ295:$BT295,,AH295)*(1-AF295)+INDEX(Models!$BJ295:$BT295,,AH295+1)*AF295-ERP_i)*AE295*Ramure*Pc/MaxiM</f>
        <v>8.3296620002297126E-4</v>
      </c>
      <c r="AE295" s="301">
        <f t="shared" si="117"/>
        <v>0.5</v>
      </c>
      <c r="AF295" s="173">
        <f t="shared" si="118"/>
        <v>0.99039374652554679</v>
      </c>
      <c r="AG295" s="802">
        <f t="shared" si="124"/>
        <v>3</v>
      </c>
      <c r="AH295" s="172">
        <f t="shared" si="119"/>
        <v>9</v>
      </c>
      <c r="AI295" s="221">
        <f t="shared" si="120"/>
        <v>3.9903937465255468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47400</v>
      </c>
      <c r="B296" s="406">
        <f>'2028'!Wh/'2028'!Env_an*'2029'!Env_an</f>
        <v>35.145484442065658</v>
      </c>
      <c r="C296" s="832"/>
      <c r="D296" s="388">
        <f t="shared" si="102"/>
        <v>36.557772498870833</v>
      </c>
      <c r="E296" s="380">
        <f t="shared" si="100"/>
        <v>36.98001392163804</v>
      </c>
      <c r="F296" s="380">
        <f t="shared" si="103"/>
        <v>36.982651831701581</v>
      </c>
      <c r="G296" s="110">
        <f t="shared" si="101"/>
        <v>0.97575902357917121</v>
      </c>
      <c r="H296" s="409" t="b">
        <f>Wh_hp&gt;='2028'!Maxi_hp</f>
        <v>1</v>
      </c>
      <c r="I296" s="385">
        <f>IF(H296,Wh_hp,'2028'!Maxi_hp)</f>
        <v>36.982651831701581</v>
      </c>
      <c r="J296" s="85">
        <f>IF(H296,An,'2028'!An_max)</f>
        <v>2029</v>
      </c>
      <c r="K296" s="193">
        <f t="shared" si="104"/>
        <v>47400</v>
      </c>
      <c r="L296" s="143">
        <f>IF(t&lt;Tvie,1-EXP((T0-t)*PertePVj)+'2028'!Pspv,1-EXP((T0-t)*PertePVj)+Pspv)</f>
        <v>3.8631676939528958E-2</v>
      </c>
      <c r="M296" s="836"/>
      <c r="N296" s="836"/>
      <c r="O296" s="48">
        <f>IF(t&lt;Tnet,'2028'!Resal+('2028'!Salim-'2028'!Resal)*(1-EXP(('2028'!Tnet-t)/('2028'!Tau_j))),Resal+(Salim-Resal)*(1-EXP((Tnet-t)/(Tau_j))))*Salcycl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7.3886742113773418E-5</v>
      </c>
      <c r="Q296" s="301">
        <f t="shared" si="105"/>
        <v>0.5</v>
      </c>
      <c r="R296" s="173">
        <f t="shared" si="106"/>
        <v>0.46554965546223237</v>
      </c>
      <c r="S296" s="802">
        <f t="shared" si="107"/>
        <v>0</v>
      </c>
      <c r="T296" s="172">
        <f t="shared" si="108"/>
        <v>6</v>
      </c>
      <c r="U296" s="247">
        <f t="shared" si="109"/>
        <v>0.46554965546223237</v>
      </c>
      <c r="V296" s="378">
        <f t="shared" si="110"/>
        <v>36.018518577883789</v>
      </c>
      <c r="W296" s="397">
        <f t="shared" si="111"/>
        <v>35.145484442065658</v>
      </c>
      <c r="X296" s="153">
        <f t="shared" si="112"/>
        <v>47400</v>
      </c>
      <c r="Y296" s="380">
        <f t="shared" si="113"/>
        <v>33.878199226628503</v>
      </c>
      <c r="Z296" s="380">
        <f t="shared" si="114"/>
        <v>35.239562625465794</v>
      </c>
      <c r="AA296" s="381">
        <f t="shared" si="115"/>
        <v>36.950195665871853</v>
      </c>
      <c r="AB296" s="193">
        <f t="shared" si="116"/>
        <v>47400</v>
      </c>
      <c r="AC296" s="119">
        <f>IF(OR(t&lt;Tnet,NoTnet),'2028'!Resal_s+('2028'!Salim-'2028'!Resal_s)*(1-EXP(('2028'!Tnet_s-t)/'2028'!Tau_j)),Resal_s+(Salim-Resal_s)*(1-EXP((Tnet_s-t)/Tau_j)))*Salcycl</f>
        <v>4.6295642271416852E-2</v>
      </c>
      <c r="AD296" s="227">
        <f>(INDEX(Models!$BJ296:$BT296,,AH296)*(1-AF296)+INDEX(Models!$BJ296:$BT296,,AH296+1)*AF296-ERP_i)*AE296*Ramure*Pc/MaxiM</f>
        <v>9.0908343988055829E-4</v>
      </c>
      <c r="AE296" s="301">
        <f t="shared" si="117"/>
        <v>0.5</v>
      </c>
      <c r="AF296" s="173">
        <f t="shared" si="118"/>
        <v>0.99053722183620962</v>
      </c>
      <c r="AG296" s="802">
        <f t="shared" si="124"/>
        <v>3</v>
      </c>
      <c r="AH296" s="172">
        <f t="shared" si="119"/>
        <v>9</v>
      </c>
      <c r="AI296" s="221">
        <f t="shared" si="120"/>
        <v>3.9905372218362096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47401</v>
      </c>
      <c r="B297" s="406">
        <f>'2028'!Wh/'2028'!Env_an*'2029'!Env_an</f>
        <v>30.771522410351938</v>
      </c>
      <c r="C297" s="832"/>
      <c r="D297" s="388">
        <f t="shared" si="102"/>
        <v>32.008485108452916</v>
      </c>
      <c r="E297" s="380">
        <f t="shared" ref="E297:E360" si="125">Wh_pvt/(1-Psa)</f>
        <v>32.380138226625775</v>
      </c>
      <c r="F297" s="380">
        <f t="shared" si="103"/>
        <v>32.382186606939499</v>
      </c>
      <c r="G297" s="110">
        <f t="shared" ref="G297:G360" si="126">+Wh_hp/MaxiM</f>
        <v>0.86371786478233714</v>
      </c>
      <c r="H297" s="409" t="b">
        <f>Wh_hp&gt;='2028'!Maxi_hp</f>
        <v>1</v>
      </c>
      <c r="I297" s="385">
        <f>IF(H297,Wh_hp,'2028'!Maxi_hp)</f>
        <v>32.382186606939499</v>
      </c>
      <c r="J297" s="85">
        <f>IF(H297,An,'2028'!An_max)</f>
        <v>2029</v>
      </c>
      <c r="K297" s="193">
        <f t="shared" si="104"/>
        <v>47401</v>
      </c>
      <c r="L297" s="143">
        <f>IF(t&lt;Tvie,1-EXP((T0-t)*PertePVj)+'2028'!Pspv,1-EXP((T0-t)*PertePVj)+Pspv)</f>
        <v>3.8644837264551368E-2</v>
      </c>
      <c r="M297" s="836"/>
      <c r="N297" s="836"/>
      <c r="O297" s="48">
        <f>IF(t&lt;Tnet,'2028'!Resal+('2028'!Salim-'2028'!Resal)*(1-EXP(('2028'!Tnet-t)/('2028'!Tau_j))),Resal+(Salim-Resal)*(1-EXP((Tnet-t)/(Tau_j))))*Salcycl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7.8547160266007122E-5</v>
      </c>
      <c r="Q297" s="301">
        <f t="shared" si="105"/>
        <v>0.5</v>
      </c>
      <c r="R297" s="173">
        <f t="shared" si="106"/>
        <v>0.46568743192082346</v>
      </c>
      <c r="S297" s="802">
        <f t="shared" si="107"/>
        <v>0</v>
      </c>
      <c r="T297" s="172">
        <f t="shared" si="108"/>
        <v>6</v>
      </c>
      <c r="U297" s="247">
        <f t="shared" si="109"/>
        <v>0.46568743192082346</v>
      </c>
      <c r="V297" s="378">
        <f t="shared" si="110"/>
        <v>35.626276953465016</v>
      </c>
      <c r="W297" s="397">
        <f t="shared" si="111"/>
        <v>30.771522410351938</v>
      </c>
      <c r="X297" s="153">
        <f t="shared" si="112"/>
        <v>47401</v>
      </c>
      <c r="Y297" s="380">
        <f t="shared" si="113"/>
        <v>29.665414648732661</v>
      </c>
      <c r="Z297" s="380">
        <f t="shared" si="114"/>
        <v>30.857913702072835</v>
      </c>
      <c r="AA297" s="381">
        <f t="shared" si="115"/>
        <v>32.35621220942118</v>
      </c>
      <c r="AB297" s="193">
        <f t="shared" si="116"/>
        <v>47401</v>
      </c>
      <c r="AC297" s="119">
        <f>IF(OR(t&lt;Tnet,NoTnet),'2028'!Resal_s+('2028'!Salim-'2028'!Resal_s)*(1-EXP(('2028'!Tnet_s-t)/'2028'!Tau_j)),Resal_s+(Salim-Resal_s)*(1-EXP((Tnet_s-t)/Tau_j)))*Salcycl</f>
        <v>4.630636298373908E-2</v>
      </c>
      <c r="AD297" s="227">
        <f>(INDEX(Models!$BJ297:$BT297,,AH297)*(1-AF297)+INDEX(Models!$BJ297:$BT297,,AH297+1)*AF297-ERP_i)*AE297*Ramure*Pc/MaxiM</f>
        <v>9.9601385104956678E-4</v>
      </c>
      <c r="AE297" s="301">
        <f t="shared" si="117"/>
        <v>0.5</v>
      </c>
      <c r="AF297" s="173">
        <f t="shared" si="118"/>
        <v>0.99067499829480044</v>
      </c>
      <c r="AG297" s="802">
        <f t="shared" si="124"/>
        <v>3</v>
      </c>
      <c r="AH297" s="172">
        <f t="shared" si="119"/>
        <v>9</v>
      </c>
      <c r="AI297" s="221">
        <f t="shared" si="120"/>
        <v>3.9906749982948004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47402</v>
      </c>
      <c r="B298" s="406">
        <f>'2028'!Wh/'2028'!Env_an*'2029'!Env_an</f>
        <v>24.74775543067636</v>
      </c>
      <c r="C298" s="832"/>
      <c r="D298" s="388">
        <f t="shared" si="102"/>
        <v>25.742925373058963</v>
      </c>
      <c r="E298" s="380">
        <f t="shared" si="125"/>
        <v>26.043394228076231</v>
      </c>
      <c r="F298" s="380">
        <f t="shared" si="103"/>
        <v>26.044636008714082</v>
      </c>
      <c r="G298" s="110">
        <f t="shared" si="126"/>
        <v>0.70233915877205277</v>
      </c>
      <c r="H298" s="409" t="b">
        <f>Wh_hp&gt;='2028'!Maxi_hp</f>
        <v>1</v>
      </c>
      <c r="I298" s="385">
        <f>IF(H298,Wh_hp,'2028'!Maxi_hp)</f>
        <v>26.044636008714082</v>
      </c>
      <c r="J298" s="85">
        <f>IF(H298,An,'2028'!An_max)</f>
        <v>2029</v>
      </c>
      <c r="K298" s="193">
        <f t="shared" si="104"/>
        <v>47402</v>
      </c>
      <c r="L298" s="143">
        <f>IF(t&lt;Tvie,1-EXP((T0-t)*PertePVj)+'2028'!Pspv,1-EXP((T0-t)*PertePVj)+Pspv)</f>
        <v>3.8657997409419886E-2</v>
      </c>
      <c r="M298" s="836"/>
      <c r="N298" s="836"/>
      <c r="O298" s="48">
        <f>IF(t&lt;Tnet,'2028'!Resal+('2028'!Salim-'2028'!Resal)*(1-EXP(('2028'!Tnet-t)/('2028'!Tau_j))),Resal+(Salim-Resal)*(1-EXP((Tnet-t)/(Tau_j))))*Salcycl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8.2947936890150425E-5</v>
      </c>
      <c r="Q298" s="301">
        <f t="shared" si="105"/>
        <v>0.5</v>
      </c>
      <c r="R298" s="173">
        <f t="shared" si="106"/>
        <v>0.46581973289418976</v>
      </c>
      <c r="S298" s="802">
        <f t="shared" si="107"/>
        <v>0</v>
      </c>
      <c r="T298" s="172">
        <f t="shared" si="108"/>
        <v>6</v>
      </c>
      <c r="U298" s="247">
        <f t="shared" si="109"/>
        <v>0.46581973289418976</v>
      </c>
      <c r="V298" s="378">
        <f t="shared" si="110"/>
        <v>35.234946323961815</v>
      </c>
      <c r="W298" s="397">
        <f t="shared" si="111"/>
        <v>24.74775543067636</v>
      </c>
      <c r="X298" s="153">
        <f t="shared" si="112"/>
        <v>47402</v>
      </c>
      <c r="Y298" s="380">
        <f t="shared" si="113"/>
        <v>23.863127680472555</v>
      </c>
      <c r="Z298" s="380">
        <f t="shared" si="114"/>
        <v>24.822724499883808</v>
      </c>
      <c r="AA298" s="381">
        <f t="shared" si="115"/>
        <v>26.028258958683601</v>
      </c>
      <c r="AB298" s="193">
        <f t="shared" si="116"/>
        <v>47402</v>
      </c>
      <c r="AC298" s="119">
        <f>IF(OR(t&lt;Tnet,NoTnet),'2028'!Resal_s+('2028'!Salim-'2028'!Resal_s)*(1-EXP(('2028'!Tnet_s-t)/'2028'!Tau_j)),Resal_s+(Salim-Resal_s)*(1-EXP((Tnet_s-t)/Tau_j)))*Salcycl</f>
        <v>4.6316369478013021E-2</v>
      </c>
      <c r="AD298" s="227">
        <f>(INDEX(Models!$BJ298:$BT298,,AH298)*(1-AF298)+INDEX(Models!$BJ298:$BT298,,AH298+1)*AF298-ERP_i)*AE298*Ramure*Pc/MaxiM</f>
        <v>1.0939472487873844E-3</v>
      </c>
      <c r="AE298" s="301">
        <f t="shared" si="117"/>
        <v>0.5</v>
      </c>
      <c r="AF298" s="173">
        <f t="shared" si="118"/>
        <v>0.99080729926816691</v>
      </c>
      <c r="AG298" s="802">
        <f t="shared" si="124"/>
        <v>3</v>
      </c>
      <c r="AH298" s="172">
        <f t="shared" si="119"/>
        <v>9</v>
      </c>
      <c r="AI298" s="221">
        <f t="shared" si="120"/>
        <v>3.9908072992681669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47403</v>
      </c>
      <c r="B299" s="406">
        <f>'2028'!Wh/'2028'!Env_an*'2029'!Env_an</f>
        <v>24.652839612715216</v>
      </c>
      <c r="C299" s="832"/>
      <c r="D299" s="388">
        <f t="shared" si="102"/>
        <v>25.64454380186509</v>
      </c>
      <c r="E299" s="380">
        <f t="shared" si="125"/>
        <v>25.945416681946529</v>
      </c>
      <c r="F299" s="380">
        <f t="shared" si="103"/>
        <v>25.946732021539848</v>
      </c>
      <c r="G299" s="110">
        <f t="shared" si="126"/>
        <v>0.70747550824425109</v>
      </c>
      <c r="H299" s="409" t="b">
        <f>Wh_hp&gt;='2028'!Maxi_hp</f>
        <v>1</v>
      </c>
      <c r="I299" s="385">
        <f>IF(H299,Wh_hp,'2028'!Maxi_hp)</f>
        <v>25.946732021539848</v>
      </c>
      <c r="J299" s="85">
        <f>IF(H299,An,'2028'!An_max)</f>
        <v>2029</v>
      </c>
      <c r="K299" s="193">
        <f t="shared" si="104"/>
        <v>47403</v>
      </c>
      <c r="L299" s="143">
        <f>IF(t&lt;Tvie,1-EXP((T0-t)*PertePVj)+'2028'!Pspv,1-EXP((T0-t)*PertePVj)+Pspv)</f>
        <v>3.8671157374137066E-2</v>
      </c>
      <c r="M299" s="836"/>
      <c r="N299" s="836"/>
      <c r="O299" s="48">
        <f>IF(t&lt;Tnet,'2028'!Resal+('2028'!Salim-'2028'!Resal)*(1-EXP(('2028'!Tnet-t)/('2028'!Tau_j))),Resal+(Salim-Resal)*(1-EXP((Tnet-t)/(Tau_j))))*Salcycl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8.7081182442178242E-5</v>
      </c>
      <c r="Q299" s="301">
        <f t="shared" si="105"/>
        <v>0.5</v>
      </c>
      <c r="R299" s="173">
        <f t="shared" si="106"/>
        <v>0.46594677322909123</v>
      </c>
      <c r="S299" s="802">
        <f t="shared" si="107"/>
        <v>0</v>
      </c>
      <c r="T299" s="172">
        <f t="shared" si="108"/>
        <v>6</v>
      </c>
      <c r="U299" s="247">
        <f t="shared" si="109"/>
        <v>0.46594677322909123</v>
      </c>
      <c r="V299" s="378">
        <f t="shared" si="110"/>
        <v>34.844941243557486</v>
      </c>
      <c r="W299" s="397">
        <f t="shared" si="111"/>
        <v>24.652839612715216</v>
      </c>
      <c r="X299" s="153">
        <f t="shared" si="112"/>
        <v>47403</v>
      </c>
      <c r="Y299" s="380">
        <f t="shared" si="113"/>
        <v>23.771164901481125</v>
      </c>
      <c r="Z299" s="380">
        <f t="shared" si="114"/>
        <v>24.727402161939047</v>
      </c>
      <c r="AA299" s="381">
        <f t="shared" si="115"/>
        <v>25.928559978125769</v>
      </c>
      <c r="AB299" s="193">
        <f t="shared" si="116"/>
        <v>47403</v>
      </c>
      <c r="AC299" s="119">
        <f>IF(OR(t&lt;Tnet,NoTnet),'2028'!Resal_s+('2028'!Salim-'2028'!Resal_s)*(1-EXP(('2028'!Tnet_s-t)/'2028'!Tau_j)),Resal_s+(Salim-Resal_s)*(1-EXP((Tnet_s-t)/Tau_j)))*Salcycl</f>
        <v>4.6325666261452944E-2</v>
      </c>
      <c r="AD299" s="227">
        <f>(INDEX(Models!$BJ299:$BT299,,AH299)*(1-AF299)+INDEX(Models!$BJ299:$BT299,,AH299+1)*AF299-ERP_i)*AE299*Ramure*Pc/MaxiM</f>
        <v>1.2030680410802014E-3</v>
      </c>
      <c r="AE299" s="301">
        <f t="shared" si="117"/>
        <v>0.5</v>
      </c>
      <c r="AF299" s="173">
        <f t="shared" si="118"/>
        <v>0.99093433960306854</v>
      </c>
      <c r="AG299" s="802">
        <f t="shared" si="124"/>
        <v>3</v>
      </c>
      <c r="AH299" s="172">
        <f t="shared" si="119"/>
        <v>9</v>
      </c>
      <c r="AI299" s="221">
        <f t="shared" si="120"/>
        <v>3.9909343396030685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47404</v>
      </c>
      <c r="B300" s="406">
        <f>'2028'!Wh/'2028'!Env_an*'2029'!Env_an</f>
        <v>22.330791884249695</v>
      </c>
      <c r="C300" s="832"/>
      <c r="D300" s="388">
        <f t="shared" si="102"/>
        <v>23.229405576998506</v>
      </c>
      <c r="E300" s="380">
        <f t="shared" si="125"/>
        <v>23.503342467555214</v>
      </c>
      <c r="F300" s="380">
        <f t="shared" si="103"/>
        <v>23.504405346147131</v>
      </c>
      <c r="G300" s="110">
        <f t="shared" si="126"/>
        <v>0.6480535393536927</v>
      </c>
      <c r="H300" s="409" t="b">
        <f>Wh_hp&gt;='2028'!Maxi_hp</f>
        <v>1</v>
      </c>
      <c r="I300" s="385">
        <f>IF(H300,Wh_hp,'2028'!Maxi_hp)</f>
        <v>23.504405346147131</v>
      </c>
      <c r="J300" s="85">
        <f>IF(H300,An,'2028'!An_max)</f>
        <v>2029</v>
      </c>
      <c r="K300" s="193">
        <f t="shared" si="104"/>
        <v>47404</v>
      </c>
      <c r="L300" s="143">
        <f>IF(t&lt;Tvie,1-EXP((T0-t)*PertePVj)+'2028'!Pspv,1-EXP((T0-t)*PertePVj)+Pspv)</f>
        <v>3.8684317158705461E-2</v>
      </c>
      <c r="M300" s="836"/>
      <c r="N300" s="836"/>
      <c r="O300" s="48">
        <f>IF(t&lt;Tnet,'2028'!Resal+('2028'!Salim-'2028'!Resal)*(1-EXP(('2028'!Tnet-t)/('2028'!Tau_j))),Resal+(Salim-Resal)*(1-EXP((Tnet-t)/(Tau_j))))*Salcycl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9.0938839163836417E-5</v>
      </c>
      <c r="Q300" s="301">
        <f t="shared" si="105"/>
        <v>0.5</v>
      </c>
      <c r="R300" s="173">
        <f t="shared" si="106"/>
        <v>0.46606875955868537</v>
      </c>
      <c r="S300" s="802">
        <f t="shared" si="107"/>
        <v>0</v>
      </c>
      <c r="T300" s="172">
        <f t="shared" si="108"/>
        <v>6</v>
      </c>
      <c r="U300" s="247">
        <f t="shared" si="109"/>
        <v>0.46606875955868537</v>
      </c>
      <c r="V300" s="378">
        <f t="shared" si="110"/>
        <v>34.456676112565532</v>
      </c>
      <c r="W300" s="397">
        <f t="shared" si="111"/>
        <v>22.330791884249695</v>
      </c>
      <c r="X300" s="153">
        <f t="shared" si="112"/>
        <v>47404</v>
      </c>
      <c r="Y300" s="380">
        <f t="shared" si="113"/>
        <v>21.534041738830194</v>
      </c>
      <c r="Z300" s="380">
        <f t="shared" si="114"/>
        <v>22.400593398396985</v>
      </c>
      <c r="AA300" s="381">
        <f t="shared" si="115"/>
        <v>23.488935861392914</v>
      </c>
      <c r="AB300" s="193">
        <f t="shared" si="116"/>
        <v>47404</v>
      </c>
      <c r="AC300" s="119">
        <f>IF(OR(t&lt;Tnet,NoTnet),'2028'!Resal_s+('2028'!Salim-'2028'!Resal_s)*(1-EXP(('2028'!Tnet_s-t)/'2028'!Tau_j)),Resal_s+(Salim-Resal_s)*(1-EXP((Tnet_s-t)/Tau_j)))*Salcycl</f>
        <v>4.6334260071132539E-2</v>
      </c>
      <c r="AD300" s="227">
        <f>(INDEX(Models!$BJ300:$BT300,,AH300)*(1-AF300)+INDEX(Models!$BJ300:$BT300,,AH300+1)*AF300-ERP_i)*AE300*Ramure*Pc/MaxiM</f>
        <v>1.3235537875237906E-3</v>
      </c>
      <c r="AE300" s="301">
        <f t="shared" si="117"/>
        <v>0.5</v>
      </c>
      <c r="AF300" s="173">
        <f t="shared" si="118"/>
        <v>0.99105632593266257</v>
      </c>
      <c r="AG300" s="802">
        <f t="shared" si="124"/>
        <v>3</v>
      </c>
      <c r="AH300" s="172">
        <f t="shared" si="119"/>
        <v>9</v>
      </c>
      <c r="AI300" s="221">
        <f t="shared" si="120"/>
        <v>3.9910563259326626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47405</v>
      </c>
      <c r="B301" s="406">
        <f>'2028'!Wh/'2028'!Env_an*'2029'!Env_an</f>
        <v>15.009528237711768</v>
      </c>
      <c r="C301" s="832"/>
      <c r="D301" s="388">
        <f t="shared" si="102"/>
        <v>15.613740601836849</v>
      </c>
      <c r="E301" s="380">
        <f t="shared" si="125"/>
        <v>15.7988045748916</v>
      </c>
      <c r="F301" s="380">
        <f t="shared" si="103"/>
        <v>15.799104375148877</v>
      </c>
      <c r="G301" s="110">
        <f t="shared" si="126"/>
        <v>0.44050911289733991</v>
      </c>
      <c r="H301" s="409" t="b">
        <f>Wh_hp&gt;='2028'!Maxi_hp</f>
        <v>1</v>
      </c>
      <c r="I301" s="385">
        <f>IF(H301,Wh_hp,'2028'!Maxi_hp)</f>
        <v>15.799104375148877</v>
      </c>
      <c r="J301" s="85">
        <f>IF(H301,An,'2028'!An_max)</f>
        <v>2029</v>
      </c>
      <c r="K301" s="193">
        <f t="shared" si="104"/>
        <v>47405</v>
      </c>
      <c r="L301" s="143">
        <f>IF(t&lt;Tvie,1-EXP((T0-t)*PertePVj)+'2028'!Pspv,1-EXP((T0-t)*PertePVj)+Pspv)</f>
        <v>3.8697476763127403E-2</v>
      </c>
      <c r="M301" s="836"/>
      <c r="N301" s="836"/>
      <c r="O301" s="48">
        <f>IF(t&lt;Tnet,'2028'!Resal+('2028'!Salim-'2028'!Resal)*(1-EXP(('2028'!Tnet-t)/('2028'!Tau_j))),Resal+(Salim-Resal)*(1-EXP((Tnet-t)/(Tau_j))))*Salcycl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9.4512714342345183E-5</v>
      </c>
      <c r="Q301" s="301">
        <f t="shared" si="105"/>
        <v>0.5</v>
      </c>
      <c r="R301" s="173">
        <f t="shared" si="106"/>
        <v>0.46618589059946619</v>
      </c>
      <c r="S301" s="802">
        <f t="shared" si="107"/>
        <v>0</v>
      </c>
      <c r="T301" s="172">
        <f t="shared" si="108"/>
        <v>6</v>
      </c>
      <c r="U301" s="247">
        <f t="shared" si="109"/>
        <v>0.46618589059946619</v>
      </c>
      <c r="V301" s="378">
        <f t="shared" si="110"/>
        <v>34.070565177791998</v>
      </c>
      <c r="W301" s="397">
        <f t="shared" si="111"/>
        <v>15.009528237711768</v>
      </c>
      <c r="X301" s="153">
        <f t="shared" si="112"/>
        <v>47405</v>
      </c>
      <c r="Y301" s="380">
        <f t="shared" si="113"/>
        <v>14.47965439365078</v>
      </c>
      <c r="Z301" s="380">
        <f t="shared" si="114"/>
        <v>15.062536551860145</v>
      </c>
      <c r="AA301" s="381">
        <f t="shared" si="115"/>
        <v>15.794487204097338</v>
      </c>
      <c r="AB301" s="193">
        <f t="shared" si="116"/>
        <v>47405</v>
      </c>
      <c r="AC301" s="119">
        <f>IF(OR(t&lt;Tnet,NoTnet),'2028'!Resal_s+('2028'!Salim-'2028'!Resal_s)*(1-EXP(('2028'!Tnet_s-t)/'2028'!Tau_j)),Resal_s+(Salim-Resal_s)*(1-EXP((Tnet_s-t)/Tau_j)))*Salcycl</f>
        <v>4.6342159943458951E-2</v>
      </c>
      <c r="AD301" s="227">
        <f>(INDEX(Models!$BJ301:$BT301,,AH301)*(1-AF301)+INDEX(Models!$BJ301:$BT301,,AH301+1)*AF301-ERP_i)*AE301*Ramure*Pc/MaxiM</f>
        <v>1.4555736963936037E-3</v>
      </c>
      <c r="AE301" s="301">
        <f t="shared" si="117"/>
        <v>0.5</v>
      </c>
      <c r="AF301" s="173">
        <f t="shared" si="118"/>
        <v>0.99117345697344339</v>
      </c>
      <c r="AG301" s="802">
        <f t="shared" si="124"/>
        <v>3</v>
      </c>
      <c r="AH301" s="172">
        <f t="shared" si="119"/>
        <v>9</v>
      </c>
      <c r="AI301" s="221">
        <f t="shared" si="120"/>
        <v>3.9911734569734434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47406</v>
      </c>
      <c r="B302" s="406">
        <f>'2028'!Wh/'2028'!Env_an*'2029'!Env_an</f>
        <v>33.453831936949086</v>
      </c>
      <c r="C302" s="832"/>
      <c r="D302" s="388">
        <f t="shared" si="102"/>
        <v>34.801000818595327</v>
      </c>
      <c r="E302" s="380">
        <f t="shared" si="125"/>
        <v>35.215561000556036</v>
      </c>
      <c r="F302" s="380">
        <f t="shared" si="103"/>
        <v>35.218971163029543</v>
      </c>
      <c r="G302" s="110">
        <f t="shared" si="126"/>
        <v>0.99307677150598317</v>
      </c>
      <c r="H302" s="409" t="b">
        <f>Wh_hp&gt;='2028'!Maxi_hp</f>
        <v>1</v>
      </c>
      <c r="I302" s="385">
        <f>IF(H302,Wh_hp,'2028'!Maxi_hp)</f>
        <v>35.218971163029543</v>
      </c>
      <c r="J302" s="85">
        <f>IF(H302,An,'2028'!An_max)</f>
        <v>2029</v>
      </c>
      <c r="K302" s="193">
        <f t="shared" si="104"/>
        <v>47406</v>
      </c>
      <c r="L302" s="143">
        <f>IF(t&lt;Tvie,1-EXP((T0-t)*PertePVj)+'2028'!Pspv,1-EXP((T0-t)*PertePVj)+Pspv)</f>
        <v>3.8710636187405445E-2</v>
      </c>
      <c r="M302" s="836"/>
      <c r="N302" s="836"/>
      <c r="O302" s="48">
        <f>IF(t&lt;Tnet,'2028'!Resal+('2028'!Salim-'2028'!Resal)*(1-EXP(('2028'!Tnet-t)/('2028'!Tau_j))),Resal+(Salim-Resal)*(1-EXP((Tnet-t)/(Tau_j))))*Salcycl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9.7794515739719925E-5</v>
      </c>
      <c r="Q302" s="301">
        <f t="shared" si="105"/>
        <v>0.5</v>
      </c>
      <c r="R302" s="173">
        <f t="shared" si="106"/>
        <v>0.46629835743883219</v>
      </c>
      <c r="S302" s="802">
        <f t="shared" si="107"/>
        <v>0</v>
      </c>
      <c r="T302" s="172">
        <f t="shared" si="108"/>
        <v>6</v>
      </c>
      <c r="U302" s="247">
        <f t="shared" si="109"/>
        <v>0.46629835743883219</v>
      </c>
      <c r="V302" s="378">
        <f t="shared" si="110"/>
        <v>33.687022535396103</v>
      </c>
      <c r="W302" s="397">
        <f t="shared" si="111"/>
        <v>33.453831936949086</v>
      </c>
      <c r="X302" s="153">
        <f t="shared" si="112"/>
        <v>47406</v>
      </c>
      <c r="Y302" s="380">
        <f t="shared" si="113"/>
        <v>32.235310709413312</v>
      </c>
      <c r="Z302" s="380">
        <f t="shared" si="114"/>
        <v>33.533410357900991</v>
      </c>
      <c r="AA302" s="381">
        <f t="shared" si="115"/>
        <v>35.163202915930938</v>
      </c>
      <c r="AB302" s="193">
        <f t="shared" si="116"/>
        <v>47406</v>
      </c>
      <c r="AC302" s="119">
        <f>IF(OR(t&lt;Tnet,NoTnet),'2028'!Resal_s+('2028'!Salim-'2028'!Resal_s)*(1-EXP(('2028'!Tnet_s-t)/'2028'!Tau_j)),Resal_s+(Salim-Resal_s)*(1-EXP((Tnet_s-t)/Tau_j)))*Salcycl</f>
        <v>4.6349377271646716E-2</v>
      </c>
      <c r="AD302" s="227">
        <f>(INDEX(Models!$BJ302:$BT302,,AH302)*(1-AF302)+INDEX(Models!$BJ302:$BT302,,AH302+1)*AF302-ERP_i)*AE302*Ramure*Pc/MaxiM</f>
        <v>1.5992870606677998E-3</v>
      </c>
      <c r="AE302" s="301">
        <f t="shared" si="117"/>
        <v>0.5</v>
      </c>
      <c r="AF302" s="173">
        <f t="shared" si="118"/>
        <v>0.99128592381280933</v>
      </c>
      <c r="AG302" s="802">
        <f t="shared" si="124"/>
        <v>3</v>
      </c>
      <c r="AH302" s="172">
        <f t="shared" si="119"/>
        <v>9</v>
      </c>
      <c r="AI302" s="221">
        <f t="shared" si="120"/>
        <v>3.9912859238128093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47407</v>
      </c>
      <c r="B303" s="406">
        <f>'2028'!Wh/'2028'!Env_an*'2029'!Env_an</f>
        <v>29.326910159295149</v>
      </c>
      <c r="C303" s="832"/>
      <c r="D303" s="388">
        <f t="shared" si="102"/>
        <v>30.508307622636686</v>
      </c>
      <c r="E303" s="380">
        <f t="shared" si="125"/>
        <v>30.873543684312605</v>
      </c>
      <c r="F303" s="380">
        <f t="shared" si="103"/>
        <v>30.876124473865527</v>
      </c>
      <c r="G303" s="110">
        <f t="shared" si="126"/>
        <v>0.88054723646514277</v>
      </c>
      <c r="H303" s="409" t="b">
        <f>Wh_hp&gt;='2028'!Maxi_hp</f>
        <v>1</v>
      </c>
      <c r="I303" s="385">
        <f>IF(H303,Wh_hp,'2028'!Maxi_hp)</f>
        <v>30.876124473865527</v>
      </c>
      <c r="J303" s="85">
        <f>IF(H303,An,'2028'!An_max)</f>
        <v>2029</v>
      </c>
      <c r="K303" s="193">
        <f t="shared" si="104"/>
        <v>47407</v>
      </c>
      <c r="L303" s="143">
        <f>IF(t&lt;Tvie,1-EXP((T0-t)*PertePVj)+'2028'!Pspv,1-EXP((T0-t)*PertePVj)+Pspv)</f>
        <v>3.872379543154203E-2</v>
      </c>
      <c r="M303" s="836"/>
      <c r="N303" s="836"/>
      <c r="O303" s="48">
        <f>IF(t&lt;Tnet,'2028'!Resal+('2028'!Salim-'2028'!Resal)*(1-EXP(('2028'!Tnet-t)/('2028'!Tau_j))),Resal+(Salim-Resal)*(1-EXP((Tnet-t)/(Tau_j))))*Salcycl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1.0078106854955648E-4</v>
      </c>
      <c r="Q303" s="301">
        <f t="shared" si="105"/>
        <v>0.5</v>
      </c>
      <c r="R303" s="173">
        <f t="shared" si="106"/>
        <v>0.46640634381346519</v>
      </c>
      <c r="S303" s="802">
        <f t="shared" si="107"/>
        <v>0</v>
      </c>
      <c r="T303" s="172">
        <f t="shared" si="108"/>
        <v>6</v>
      </c>
      <c r="U303" s="247">
        <f t="shared" si="109"/>
        <v>0.46640634381346519</v>
      </c>
      <c r="V303" s="378">
        <f t="shared" si="110"/>
        <v>33.304750277296343</v>
      </c>
      <c r="W303" s="397">
        <f t="shared" si="111"/>
        <v>29.326910159295149</v>
      </c>
      <c r="X303" s="153">
        <f t="shared" si="112"/>
        <v>47407</v>
      </c>
      <c r="Y303" s="380">
        <f t="shared" si="113"/>
        <v>28.26342017690293</v>
      </c>
      <c r="Z303" s="380">
        <f t="shared" si="114"/>
        <v>29.401976292122114</v>
      </c>
      <c r="AA303" s="381">
        <f t="shared" si="115"/>
        <v>30.831184389563095</v>
      </c>
      <c r="AB303" s="193">
        <f t="shared" si="116"/>
        <v>47407</v>
      </c>
      <c r="AC303" s="119">
        <f>IF(OR(t&lt;Tnet,NoTnet),'2028'!Resal_s+('2028'!Salim-'2028'!Resal_s)*(1-EXP(('2028'!Tnet_s-t)/'2028'!Tau_j)),Resal_s+(Salim-Resal_s)*(1-EXP((Tnet_s-t)/Tau_j)))*Salcycl</f>
        <v>4.6355925850347514E-2</v>
      </c>
      <c r="AD303" s="227">
        <f>(INDEX(Models!$BJ303:$BT303,,AH303)*(1-AF303)+INDEX(Models!$BJ303:$BT303,,AH303+1)*AF303-ERP_i)*AE303*Ramure*Pc/MaxiM</f>
        <v>1.754931823704913E-3</v>
      </c>
      <c r="AE303" s="301">
        <f t="shared" si="117"/>
        <v>0.5</v>
      </c>
      <c r="AF303" s="173">
        <f t="shared" si="118"/>
        <v>0.99139391018744227</v>
      </c>
      <c r="AG303" s="802">
        <f t="shared" si="124"/>
        <v>3</v>
      </c>
      <c r="AH303" s="172">
        <f t="shared" si="119"/>
        <v>9</v>
      </c>
      <c r="AI303" s="221">
        <f t="shared" si="120"/>
        <v>3.9913939101874423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47408</v>
      </c>
      <c r="B304" s="406">
        <f>'2028'!Wh/'2028'!Env_an*'2029'!Env_an</f>
        <v>16.528030977191833</v>
      </c>
      <c r="C304" s="832"/>
      <c r="D304" s="388">
        <f t="shared" si="102"/>
        <v>17.194077161801328</v>
      </c>
      <c r="E304" s="380">
        <f t="shared" si="125"/>
        <v>17.400935568032072</v>
      </c>
      <c r="F304" s="380">
        <f t="shared" si="103"/>
        <v>17.401471097209534</v>
      </c>
      <c r="G304" s="110">
        <f t="shared" si="126"/>
        <v>0.50199373760848465</v>
      </c>
      <c r="H304" s="409" t="b">
        <f>Wh_hp&gt;='2028'!Maxi_hp</f>
        <v>1</v>
      </c>
      <c r="I304" s="385">
        <f>IF(H304,Wh_hp,'2028'!Maxi_hp)</f>
        <v>17.401471097209534</v>
      </c>
      <c r="J304" s="85">
        <f>IF(H304,An,'2028'!An_max)</f>
        <v>2029</v>
      </c>
      <c r="K304" s="193">
        <f t="shared" si="104"/>
        <v>47408</v>
      </c>
      <c r="L304" s="143">
        <f>IF(t&lt;Tvie,1-EXP((T0-t)*PertePVj)+'2028'!Pspv,1-EXP((T0-t)*PertePVj)+Pspv)</f>
        <v>3.8736954495539599E-2</v>
      </c>
      <c r="M304" s="836"/>
      <c r="N304" s="836"/>
      <c r="O304" s="48">
        <f>IF(t&lt;Tnet,'2028'!Resal+('2028'!Salim-'2028'!Resal)*(1-EXP(('2028'!Tnet-t)/('2028'!Tau_j))),Resal+(Salim-Resal)*(1-EXP((Tnet-t)/(Tau_j))))*Salcycl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1.0662902475224288E-4</v>
      </c>
      <c r="Q304" s="301">
        <f t="shared" si="105"/>
        <v>0.5</v>
      </c>
      <c r="R304" s="173">
        <f t="shared" si="106"/>
        <v>0.46651002637871003</v>
      </c>
      <c r="S304" s="802">
        <f t="shared" si="107"/>
        <v>0</v>
      </c>
      <c r="T304" s="172">
        <f t="shared" si="108"/>
        <v>6</v>
      </c>
      <c r="U304" s="247">
        <f t="shared" si="109"/>
        <v>0.46651002637871003</v>
      </c>
      <c r="V304" s="378">
        <f t="shared" si="110"/>
        <v>32.922277673483038</v>
      </c>
      <c r="W304" s="397">
        <f t="shared" si="111"/>
        <v>16.528030977191833</v>
      </c>
      <c r="X304" s="153">
        <f t="shared" si="112"/>
        <v>47408</v>
      </c>
      <c r="Y304" s="380">
        <f t="shared" si="113"/>
        <v>15.942808853022143</v>
      </c>
      <c r="Z304" s="380">
        <f t="shared" si="114"/>
        <v>16.585271770907962</v>
      </c>
      <c r="AA304" s="381">
        <f t="shared" si="115"/>
        <v>17.391576964827642</v>
      </c>
      <c r="AB304" s="193">
        <f t="shared" si="116"/>
        <v>47408</v>
      </c>
      <c r="AC304" s="119">
        <f>IF(OR(t&lt;Tnet,NoTnet),'2028'!Resal_s+('2028'!Salim-'2028'!Resal_s)*(1-EXP(('2028'!Tnet_s-t)/'2028'!Tau_j)),Resal_s+(Salim-Resal_s)*(1-EXP((Tnet_s-t)/Tau_j)))*Salcycl</f>
        <v>4.63618219066812E-2</v>
      </c>
      <c r="AD304" s="227">
        <f>(INDEX(Models!$BJ304:$BT304,,AH304)*(1-AF304)+INDEX(Models!$BJ304:$BT304,,AH304+1)*AF304-ERP_i)*AE304*Ramure*Pc/MaxiM</f>
        <v>1.970017192426685E-3</v>
      </c>
      <c r="AE304" s="301">
        <f t="shared" si="117"/>
        <v>0.5</v>
      </c>
      <c r="AF304" s="173">
        <f t="shared" si="118"/>
        <v>0.99149759275268723</v>
      </c>
      <c r="AG304" s="802">
        <f t="shared" si="124"/>
        <v>3</v>
      </c>
      <c r="AH304" s="172">
        <f t="shared" si="119"/>
        <v>9</v>
      </c>
      <c r="AI304" s="221">
        <f t="shared" si="120"/>
        <v>3.9914975927526872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47409</v>
      </c>
      <c r="B305" s="406">
        <f>'2028'!Wh/'2028'!Env_an*'2029'!Env_an</f>
        <v>29.485032415498956</v>
      </c>
      <c r="C305" s="832"/>
      <c r="D305" s="388">
        <f t="shared" si="102"/>
        <v>30.673639420814364</v>
      </c>
      <c r="E305" s="380">
        <f t="shared" si="125"/>
        <v>31.044471948934863</v>
      </c>
      <c r="F305" s="380">
        <f t="shared" si="103"/>
        <v>31.047579483972747</v>
      </c>
      <c r="G305" s="110">
        <f t="shared" si="126"/>
        <v>0.90610498897335512</v>
      </c>
      <c r="H305" s="409" t="b">
        <f>Wh_hp&gt;='2028'!Maxi_hp</f>
        <v>1</v>
      </c>
      <c r="I305" s="385">
        <f>IF(H305,Wh_hp,'2028'!Maxi_hp)</f>
        <v>31.047579483972747</v>
      </c>
      <c r="J305" s="85">
        <f>IF(H305,An,'2028'!An_max)</f>
        <v>2029</v>
      </c>
      <c r="K305" s="193">
        <f t="shared" si="104"/>
        <v>47409</v>
      </c>
      <c r="L305" s="143">
        <f>IF(t&lt;Tvie,1-EXP((T0-t)*PertePVj)+'2028'!Pspv,1-EXP((T0-t)*PertePVj)+Pspv)</f>
        <v>3.8750113379400597E-2</v>
      </c>
      <c r="M305" s="836"/>
      <c r="N305" s="836"/>
      <c r="O305" s="48">
        <f>IF(t&lt;Tnet,'2028'!Resal+('2028'!Salim-'2028'!Resal)*(1-EXP(('2028'!Tnet-t)/('2028'!Tau_j))),Resal+(Salim-Resal)*(1-EXP((Tnet-t)/(Tau_j))))*Salcycl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1.1559216592267566E-4</v>
      </c>
      <c r="Q305" s="301">
        <f t="shared" si="105"/>
        <v>0.5</v>
      </c>
      <c r="R305" s="173">
        <f t="shared" si="106"/>
        <v>0.46660957496915051</v>
      </c>
      <c r="S305" s="802">
        <f t="shared" si="107"/>
        <v>0</v>
      </c>
      <c r="T305" s="172">
        <f t="shared" si="108"/>
        <v>6</v>
      </c>
      <c r="U305" s="247">
        <f t="shared" si="109"/>
        <v>0.46660957496915051</v>
      </c>
      <c r="V305" s="378">
        <f t="shared" si="110"/>
        <v>32.539910529527553</v>
      </c>
      <c r="W305" s="397">
        <f t="shared" si="111"/>
        <v>29.485032415498956</v>
      </c>
      <c r="X305" s="153">
        <f t="shared" si="112"/>
        <v>47409</v>
      </c>
      <c r="Y305" s="380">
        <f t="shared" si="113"/>
        <v>28.405279434487298</v>
      </c>
      <c r="Z305" s="380">
        <f t="shared" si="114"/>
        <v>29.550359204046099</v>
      </c>
      <c r="AA305" s="381">
        <f t="shared" si="115"/>
        <v>30.987142654031416</v>
      </c>
      <c r="AB305" s="193">
        <f t="shared" si="116"/>
        <v>47409</v>
      </c>
      <c r="AC305" s="119">
        <f>IF(OR(t&lt;Tnet,NoTnet),'2028'!Resal_s+('2028'!Salim-'2028'!Resal_s)*(1-EXP(('2028'!Tnet_s-t)/'2028'!Tau_j)),Resal_s+(Salim-Resal_s)*(1-EXP((Tnet_s-t)/Tau_j)))*Salcycl</f>
        <v>4.6367084117011688E-2</v>
      </c>
      <c r="AD305" s="227">
        <f>(INDEX(Models!$BJ305:$BT305,,AH305)*(1-AF305)+INDEX(Models!$BJ305:$BT305,,AH305+1)*AF305-ERP_i)*AE305*Ramure*Pc/MaxiM</f>
        <v>2.2480918120800033E-3</v>
      </c>
      <c r="AE305" s="301">
        <f t="shared" si="117"/>
        <v>0.5</v>
      </c>
      <c r="AF305" s="173">
        <f t="shared" si="118"/>
        <v>0.99159714134312749</v>
      </c>
      <c r="AG305" s="802">
        <f t="shared" si="124"/>
        <v>3</v>
      </c>
      <c r="AH305" s="172">
        <f t="shared" si="119"/>
        <v>9</v>
      </c>
      <c r="AI305" s="221">
        <f t="shared" si="120"/>
        <v>3.9915971413431275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47410</v>
      </c>
      <c r="B306" s="406">
        <f>'2028'!Wh/'2028'!Env_an*'2029'!Env_an</f>
        <v>16.471026424987361</v>
      </c>
      <c r="C306" s="832"/>
      <c r="D306" s="388">
        <f t="shared" si="102"/>
        <v>17.13524457256462</v>
      </c>
      <c r="E306" s="380">
        <f t="shared" si="125"/>
        <v>17.343406284302308</v>
      </c>
      <c r="F306" s="380">
        <f t="shared" si="103"/>
        <v>17.344077822210085</v>
      </c>
      <c r="G306" s="110">
        <f t="shared" si="126"/>
        <v>0.51214566043721776</v>
      </c>
      <c r="H306" s="409" t="b">
        <f>Wh_hp&gt;='2028'!Maxi_hp</f>
        <v>1</v>
      </c>
      <c r="I306" s="385">
        <f>IF(H306,Wh_hp,'2028'!Maxi_hp)</f>
        <v>17.344077822210085</v>
      </c>
      <c r="J306" s="85">
        <f>IF(H306,An,'2028'!An_max)</f>
        <v>2029</v>
      </c>
      <c r="K306" s="193">
        <f t="shared" si="104"/>
        <v>47410</v>
      </c>
      <c r="L306" s="143">
        <f>IF(t&lt;Tvie,1-EXP((T0-t)*PertePVj)+'2028'!Pspv,1-EXP((T0-t)*PertePVj)+Pspv)</f>
        <v>3.8763272083127576E-2</v>
      </c>
      <c r="M306" s="836"/>
      <c r="N306" s="836"/>
      <c r="O306" s="48">
        <f>IF(t&lt;Tnet,'2028'!Resal+('2028'!Salim-'2028'!Resal)*(1-EXP(('2028'!Tnet-t)/('2028'!Tau_j))),Resal+(Salim-Resal)*(1-EXP((Tnet-t)/(Tau_j))))*Salcycl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1.2772910915251378E-4</v>
      </c>
      <c r="Q306" s="301">
        <f t="shared" si="105"/>
        <v>0.5</v>
      </c>
      <c r="R306" s="173">
        <f t="shared" si="106"/>
        <v>0.46670515285058062</v>
      </c>
      <c r="S306" s="802">
        <f t="shared" si="107"/>
        <v>0</v>
      </c>
      <c r="T306" s="172">
        <f t="shared" si="108"/>
        <v>6</v>
      </c>
      <c r="U306" s="247">
        <f t="shared" si="109"/>
        <v>0.46670515285058062</v>
      </c>
      <c r="V306" s="378">
        <f t="shared" si="110"/>
        <v>32.157961192589717</v>
      </c>
      <c r="W306" s="397">
        <f t="shared" si="111"/>
        <v>16.471026424987361</v>
      </c>
      <c r="X306" s="153">
        <f t="shared" si="112"/>
        <v>47410</v>
      </c>
      <c r="Y306" s="380">
        <f t="shared" si="113"/>
        <v>15.886182420156084</v>
      </c>
      <c r="Z306" s="380">
        <f t="shared" si="114"/>
        <v>16.526815880811743</v>
      </c>
      <c r="AA306" s="381">
        <f t="shared" si="115"/>
        <v>17.330459323899788</v>
      </c>
      <c r="AB306" s="193">
        <f t="shared" si="116"/>
        <v>47410</v>
      </c>
      <c r="AC306" s="119">
        <f>IF(OR(t&lt;Tnet,NoTnet),'2028'!Resal_s+('2028'!Salim-'2028'!Resal_s)*(1-EXP(('2028'!Tnet_s-t)/'2028'!Tau_j)),Resal_s+(Salim-Resal_s)*(1-EXP((Tnet_s-t)/Tau_j)))*Salcycl</f>
        <v>4.6371733608916645E-2</v>
      </c>
      <c r="AD306" s="227">
        <f>(INDEX(Models!$BJ306:$BT306,,AH306)*(1-AF306)+INDEX(Models!$BJ306:$BT306,,AH306+1)*AF306-ERP_i)*AE306*Ramure*Pc/MaxiM</f>
        <v>2.5902910871005947E-3</v>
      </c>
      <c r="AE306" s="301">
        <f t="shared" si="117"/>
        <v>0.5</v>
      </c>
      <c r="AF306" s="173">
        <f t="shared" si="118"/>
        <v>0.99169271922455771</v>
      </c>
      <c r="AG306" s="802">
        <f t="shared" si="124"/>
        <v>3</v>
      </c>
      <c r="AH306" s="172">
        <f t="shared" si="119"/>
        <v>9</v>
      </c>
      <c r="AI306" s="221">
        <f t="shared" si="120"/>
        <v>3.9916927192245577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47411</v>
      </c>
      <c r="B307" s="406">
        <f>'2028'!Wh/'2028'!Env_an*'2029'!Env_an</f>
        <v>8.6648920313183844</v>
      </c>
      <c r="C307" s="832"/>
      <c r="D307" s="388">
        <f t="shared" si="102"/>
        <v>9.0144398319192813</v>
      </c>
      <c r="E307" s="380">
        <f t="shared" si="125"/>
        <v>9.1244739912078945</v>
      </c>
      <c r="F307" s="380">
        <f t="shared" si="103"/>
        <v>9.1244739912078945</v>
      </c>
      <c r="G307" s="110">
        <f t="shared" si="126"/>
        <v>0.27264129552232458</v>
      </c>
      <c r="H307" s="409" t="b">
        <f>Wh_hp&gt;='2028'!Maxi_hp</f>
        <v>1</v>
      </c>
      <c r="I307" s="385">
        <f>IF(H307,Wh_hp,'2028'!Maxi_hp)</f>
        <v>9.1244739912078945</v>
      </c>
      <c r="J307" s="85">
        <f>IF(H307,An,'2028'!An_max)</f>
        <v>2029</v>
      </c>
      <c r="K307" s="193">
        <f t="shared" si="104"/>
        <v>47411</v>
      </c>
      <c r="L307" s="143">
        <f>IF(t&lt;Tvie,1-EXP((T0-t)*PertePVj)+'2028'!Pspv,1-EXP((T0-t)*PertePVj)+Pspv)</f>
        <v>3.8776430606722867E-2</v>
      </c>
      <c r="M307" s="836"/>
      <c r="N307" s="836"/>
      <c r="O307" s="48">
        <f>IF(t&lt;Tnet,'2028'!Resal+('2028'!Salim-'2028'!Resal)*(1-EXP(('2028'!Tnet-t)/('2028'!Tau_j))),Resal+(Salim-Resal)*(1-EXP((Tnet-t)/(Tau_j))))*Salcycl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1.4309831784287895E-4</v>
      </c>
      <c r="Q307" s="301">
        <f t="shared" si="105"/>
        <v>0.5</v>
      </c>
      <c r="R307" s="173">
        <f t="shared" si="106"/>
        <v>0.466796916963574</v>
      </c>
      <c r="S307" s="802">
        <f t="shared" si="107"/>
        <v>0</v>
      </c>
      <c r="T307" s="172">
        <f t="shared" si="108"/>
        <v>6</v>
      </c>
      <c r="U307" s="247">
        <f t="shared" si="109"/>
        <v>0.466796916963574</v>
      </c>
      <c r="V307" s="378">
        <f t="shared" si="110"/>
        <v>31.776741976106887</v>
      </c>
      <c r="W307" s="397">
        <f t="shared" si="111"/>
        <v>8.6648920313183844</v>
      </c>
      <c r="X307" s="153">
        <f t="shared" si="112"/>
        <v>47411</v>
      </c>
      <c r="Y307" s="380">
        <f t="shared" si="113"/>
        <v>8.3639131628226124</v>
      </c>
      <c r="Z307" s="380">
        <f t="shared" si="114"/>
        <v>8.7013192655085447</v>
      </c>
      <c r="AA307" s="381">
        <f t="shared" si="115"/>
        <v>9.1244739912078945</v>
      </c>
      <c r="AB307" s="193">
        <f t="shared" si="116"/>
        <v>47411</v>
      </c>
      <c r="AC307" s="119">
        <f>IF(OR(t&lt;Tnet,NoTnet),'2028'!Resal_s+('2028'!Salim-'2028'!Resal_s)*(1-EXP(('2028'!Tnet_s-t)/'2028'!Tau_j)),Resal_s+(Salim-Resal_s)*(1-EXP((Tnet_s-t)/Tau_j)))*Salcycl</f>
        <v>4.6375793947913128E-2</v>
      </c>
      <c r="AD307" s="227">
        <f>(INDEX(Models!$BJ307:$BT307,,AH307)*(1-AF307)+INDEX(Models!$BJ307:$BT307,,AH307+1)*AF307-ERP_i)*AE307*Ramure*Pc/MaxiM</f>
        <v>2.9977467842729547E-3</v>
      </c>
      <c r="AE307" s="301">
        <f t="shared" si="117"/>
        <v>0.5</v>
      </c>
      <c r="AF307" s="173">
        <f t="shared" si="118"/>
        <v>0.99178448333755131</v>
      </c>
      <c r="AG307" s="802">
        <f t="shared" si="124"/>
        <v>3</v>
      </c>
      <c r="AH307" s="172">
        <f t="shared" si="119"/>
        <v>9</v>
      </c>
      <c r="AI307" s="221">
        <f t="shared" si="120"/>
        <v>3.9917844833375513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47412</v>
      </c>
      <c r="B308" s="406">
        <f>'2028'!Wh/'2028'!Env_an*'2029'!Env_an</f>
        <v>16.753328232567331</v>
      </c>
      <c r="C308" s="832"/>
      <c r="D308" s="388">
        <f t="shared" si="102"/>
        <v>17.429407796644387</v>
      </c>
      <c r="E308" s="380">
        <f t="shared" si="125"/>
        <v>17.643169689772598</v>
      </c>
      <c r="F308" s="380">
        <f t="shared" si="103"/>
        <v>17.644122151694521</v>
      </c>
      <c r="G308" s="110">
        <f t="shared" si="126"/>
        <v>0.53354634319686878</v>
      </c>
      <c r="H308" s="409" t="b">
        <f>Wh_hp&gt;='2028'!Maxi_hp</f>
        <v>1</v>
      </c>
      <c r="I308" s="385">
        <f>IF(H308,Wh_hp,'2028'!Maxi_hp)</f>
        <v>17.644122151694521</v>
      </c>
      <c r="J308" s="85">
        <f>IF(H308,An,'2028'!An_max)</f>
        <v>2029</v>
      </c>
      <c r="K308" s="193">
        <f t="shared" si="104"/>
        <v>47412</v>
      </c>
      <c r="L308" s="143">
        <f>IF(t&lt;Tvie,1-EXP((T0-t)*PertePVj)+'2028'!Pspv,1-EXP((T0-t)*PertePVj)+Pspv)</f>
        <v>3.8789588950189136E-2</v>
      </c>
      <c r="M308" s="836"/>
      <c r="N308" s="836"/>
      <c r="O308" s="48">
        <f>IF(t&lt;Tnet,'2028'!Resal+('2028'!Salim-'2028'!Resal)*(1-EXP(('2028'!Tnet-t)/('2028'!Tau_j))),Resal+(Salim-Resal)*(1-EXP((Tnet-t)/(Tau_j))))*Salcycl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1.6175793688714171E-4</v>
      </c>
      <c r="Q308" s="301">
        <f t="shared" si="105"/>
        <v>0.5</v>
      </c>
      <c r="R308" s="173">
        <f t="shared" si="106"/>
        <v>0.4668850181588593</v>
      </c>
      <c r="S308" s="802">
        <f t="shared" si="107"/>
        <v>0</v>
      </c>
      <c r="T308" s="172">
        <f t="shared" si="108"/>
        <v>6</v>
      </c>
      <c r="U308" s="247">
        <f t="shared" si="109"/>
        <v>0.4668850181588593</v>
      </c>
      <c r="V308" s="378">
        <f t="shared" si="110"/>
        <v>31.396565153367025</v>
      </c>
      <c r="W308" s="397">
        <f t="shared" si="111"/>
        <v>16.753328232567331</v>
      </c>
      <c r="X308" s="153">
        <f t="shared" si="112"/>
        <v>47412</v>
      </c>
      <c r="Y308" s="380">
        <f t="shared" si="113"/>
        <v>16.154397236083646</v>
      </c>
      <c r="Z308" s="380">
        <f t="shared" si="114"/>
        <v>16.806306975431323</v>
      </c>
      <c r="AA308" s="381">
        <f t="shared" si="115"/>
        <v>17.623680797546108</v>
      </c>
      <c r="AB308" s="193">
        <f t="shared" si="116"/>
        <v>47412</v>
      </c>
      <c r="AC308" s="119">
        <f>IF(OR(t&lt;Tnet,NoTnet),'2028'!Resal_s+('2028'!Salim-'2028'!Resal_s)*(1-EXP(('2028'!Tnet_s-t)/'2028'!Tau_j)),Resal_s+(Salim-Resal_s)*(1-EXP((Tnet_s-t)/Tau_j)))*Salcycl</f>
        <v>4.6379291108619887E-2</v>
      </c>
      <c r="AD308" s="227">
        <f>(INDEX(Models!$BJ308:$BT308,,AH308)*(1-AF308)+INDEX(Models!$BJ308:$BT308,,AH308+1)*AF308-ERP_i)*AE308*Ramure*Pc/MaxiM</f>
        <v>3.4715836907698158E-3</v>
      </c>
      <c r="AE308" s="301">
        <f t="shared" si="117"/>
        <v>0.5</v>
      </c>
      <c r="AF308" s="173">
        <f t="shared" si="118"/>
        <v>0.99187258453283622</v>
      </c>
      <c r="AG308" s="802">
        <f t="shared" si="124"/>
        <v>3</v>
      </c>
      <c r="AH308" s="172">
        <f t="shared" si="119"/>
        <v>9</v>
      </c>
      <c r="AI308" s="221">
        <f t="shared" si="120"/>
        <v>3.9918725845328362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47413</v>
      </c>
      <c r="B309" s="406">
        <f>'2028'!Wh/'2028'!Env_an*'2029'!Env_an</f>
        <v>28.719048866916911</v>
      </c>
      <c r="C309" s="832"/>
      <c r="D309" s="388">
        <f t="shared" si="102"/>
        <v>29.878413385674715</v>
      </c>
      <c r="E309" s="380">
        <f t="shared" si="125"/>
        <v>30.246580607591788</v>
      </c>
      <c r="F309" s="380">
        <f t="shared" si="103"/>
        <v>30.25155125083587</v>
      </c>
      <c r="G309" s="110">
        <f t="shared" si="126"/>
        <v>0.92587297791378909</v>
      </c>
      <c r="H309" s="409" t="b">
        <f>Wh_hp&gt;='2028'!Maxi_hp</f>
        <v>1</v>
      </c>
      <c r="I309" s="385">
        <f>IF(H309,Wh_hp,'2028'!Maxi_hp)</f>
        <v>30.25155125083587</v>
      </c>
      <c r="J309" s="85">
        <f>IF(H309,An,'2028'!An_max)</f>
        <v>2029</v>
      </c>
      <c r="K309" s="193">
        <f t="shared" si="104"/>
        <v>47413</v>
      </c>
      <c r="L309" s="143">
        <f>IF(t&lt;Tvie,1-EXP((T0-t)*PertePVj)+'2028'!Pspv,1-EXP((T0-t)*PertePVj)+Pspv)</f>
        <v>3.8802747113528602E-2</v>
      </c>
      <c r="M309" s="836"/>
      <c r="N309" s="836"/>
      <c r="O309" s="48">
        <f>IF(t&lt;Tnet,'2028'!Resal+('2028'!Salim-'2028'!Resal)*(1-EXP(('2028'!Tnet-t)/('2028'!Tau_j))),Resal+(Salim-Resal)*(1-EXP((Tnet-t)/(Tau_j))))*Salcycl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1.8376562738489709E-4</v>
      </c>
      <c r="Q309" s="301">
        <f t="shared" si="105"/>
        <v>0.5</v>
      </c>
      <c r="R309" s="173">
        <f t="shared" si="106"/>
        <v>0.46696960142470523</v>
      </c>
      <c r="S309" s="802">
        <f t="shared" si="107"/>
        <v>0</v>
      </c>
      <c r="T309" s="172">
        <f t="shared" si="108"/>
        <v>6</v>
      </c>
      <c r="U309" s="247">
        <f t="shared" si="109"/>
        <v>0.46696960142470523</v>
      </c>
      <c r="V309" s="378">
        <f t="shared" si="110"/>
        <v>31.017742955410078</v>
      </c>
      <c r="W309" s="397">
        <f t="shared" si="111"/>
        <v>28.719048866916911</v>
      </c>
      <c r="X309" s="153">
        <f t="shared" si="112"/>
        <v>47413</v>
      </c>
      <c r="Y309" s="380">
        <f t="shared" si="113"/>
        <v>27.629524712959942</v>
      </c>
      <c r="Z309" s="380">
        <f t="shared" si="114"/>
        <v>28.744906032542843</v>
      </c>
      <c r="AA309" s="381">
        <f t="shared" si="115"/>
        <v>30.143006603996412</v>
      </c>
      <c r="AB309" s="193">
        <f t="shared" si="116"/>
        <v>47413</v>
      </c>
      <c r="AC309" s="119">
        <f>IF(OR(t&lt;Tnet,NoTnet),'2028'!Resal_s+('2028'!Salim-'2028'!Resal_s)*(1-EXP(('2028'!Tnet_s-t)/'2028'!Tau_j)),Resal_s+(Salim-Resal_s)*(1-EXP((Tnet_s-t)/Tau_j)))*Salcycl</f>
        <v>4.6382253430160648E-2</v>
      </c>
      <c r="AD309" s="227">
        <f>(INDEX(Models!$BJ309:$BT309,,AH309)*(1-AF309)+INDEX(Models!$BJ309:$BT309,,AH309+1)*AF309-ERP_i)*AE309*Ramure*Pc/MaxiM</f>
        <v>4.0129162658112411E-3</v>
      </c>
      <c r="AE309" s="301">
        <f t="shared" si="117"/>
        <v>0.5</v>
      </c>
      <c r="AF309" s="173">
        <f t="shared" si="118"/>
        <v>0.99195716779868226</v>
      </c>
      <c r="AG309" s="802">
        <f t="shared" si="124"/>
        <v>3</v>
      </c>
      <c r="AH309" s="172">
        <f t="shared" si="119"/>
        <v>9</v>
      </c>
      <c r="AI309" s="221">
        <f t="shared" si="120"/>
        <v>3.9919571677986823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47414</v>
      </c>
      <c r="B310" s="406">
        <f>'2028'!Wh/'2028'!Env_an*'2029'!Env_an</f>
        <v>18.726224201966126</v>
      </c>
      <c r="C310" s="832"/>
      <c r="D310" s="388">
        <f t="shared" si="102"/>
        <v>19.482453258707881</v>
      </c>
      <c r="E310" s="380">
        <f t="shared" si="125"/>
        <v>19.723639583740404</v>
      </c>
      <c r="F310" s="380">
        <f t="shared" si="103"/>
        <v>19.725542277555711</v>
      </c>
      <c r="G310" s="110">
        <f t="shared" si="126"/>
        <v>0.61108858104455133</v>
      </c>
      <c r="H310" s="409" t="b">
        <f>Wh_hp&gt;='2028'!Maxi_hp</f>
        <v>1</v>
      </c>
      <c r="I310" s="385">
        <f>IF(H310,Wh_hp,'2028'!Maxi_hp)</f>
        <v>19.725542277555711</v>
      </c>
      <c r="J310" s="85">
        <f>IF(H310,An,'2028'!An_max)</f>
        <v>2029</v>
      </c>
      <c r="K310" s="193">
        <f t="shared" si="104"/>
        <v>47414</v>
      </c>
      <c r="L310" s="143">
        <f>IF(t&lt;Tvie,1-EXP((T0-t)*PertePVj)+'2028'!Pspv,1-EXP((T0-t)*PertePVj)+Pspv)</f>
        <v>3.881590509674393E-2</v>
      </c>
      <c r="M310" s="836"/>
      <c r="N310" s="836"/>
      <c r="O310" s="48">
        <f>IF(t&lt;Tnet,'2028'!Resal+('2028'!Salim-'2028'!Resal)*(1-EXP(('2028'!Tnet-t)/('2028'!Tau_j))),Resal+(Salim-Resal)*(1-EXP((Tnet-t)/(Tau_j))))*Salcycl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2.1699567788405183E-4</v>
      </c>
      <c r="Q310" s="301">
        <f t="shared" si="105"/>
        <v>0.5</v>
      </c>
      <c r="R310" s="173">
        <f t="shared" si="106"/>
        <v>0.46705080610652699</v>
      </c>
      <c r="S310" s="802">
        <f t="shared" si="107"/>
        <v>0</v>
      </c>
      <c r="T310" s="172">
        <f t="shared" si="108"/>
        <v>6</v>
      </c>
      <c r="U310" s="247">
        <f t="shared" si="109"/>
        <v>0.46705080610652699</v>
      </c>
      <c r="V310" s="378">
        <f t="shared" si="110"/>
        <v>30.640347989668943</v>
      </c>
      <c r="W310" s="397">
        <f t="shared" si="111"/>
        <v>18.726224201966126</v>
      </c>
      <c r="X310" s="153">
        <f t="shared" si="112"/>
        <v>47414</v>
      </c>
      <c r="Y310" s="380">
        <f t="shared" si="113"/>
        <v>18.043078656508584</v>
      </c>
      <c r="Z310" s="380">
        <f t="shared" si="114"/>
        <v>18.771719956856582</v>
      </c>
      <c r="AA310" s="381">
        <f t="shared" si="115"/>
        <v>19.684793421759217</v>
      </c>
      <c r="AB310" s="193">
        <f t="shared" si="116"/>
        <v>47414</v>
      </c>
      <c r="AC310" s="119">
        <f>IF(OR(t&lt;Tnet,NoTnet),'2028'!Resal_s+('2028'!Salim-'2028'!Resal_s)*(1-EXP(('2028'!Tnet_s-t)/'2028'!Tau_j)),Resal_s+(Salim-Resal_s)*(1-EXP((Tnet_s-t)/Tau_j)))*Salcycl</f>
        <v>4.6384711555740317E-2</v>
      </c>
      <c r="AD310" s="227">
        <f>(INDEX(Models!$BJ310:$BT310,,AH310)*(1-AF310)+INDEX(Models!$BJ310:$BT310,,AH310+1)*AF310-ERP_i)*AE310*Ramure*Pc/MaxiM</f>
        <v>4.647266688644203E-3</v>
      </c>
      <c r="AE310" s="301">
        <f t="shared" si="117"/>
        <v>0.5</v>
      </c>
      <c r="AF310" s="173">
        <f t="shared" si="118"/>
        <v>0.99203837248050419</v>
      </c>
      <c r="AG310" s="802">
        <f t="shared" si="124"/>
        <v>3</v>
      </c>
      <c r="AH310" s="172">
        <f t="shared" si="119"/>
        <v>9</v>
      </c>
      <c r="AI310" s="221">
        <f t="shared" si="120"/>
        <v>3.9920383724805042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47415</v>
      </c>
      <c r="B311" s="406">
        <f>'2028'!Wh/'2028'!Env_an*'2029'!Env_an</f>
        <v>24.292995689796523</v>
      </c>
      <c r="C311" s="832"/>
      <c r="D311" s="388">
        <f t="shared" si="102"/>
        <v>25.274376026274897</v>
      </c>
      <c r="E311" s="380">
        <f t="shared" si="125"/>
        <v>25.588711152348903</v>
      </c>
      <c r="F311" s="380">
        <f t="shared" si="103"/>
        <v>25.593522653413345</v>
      </c>
      <c r="G311" s="110">
        <f t="shared" si="126"/>
        <v>0.80262512765335869</v>
      </c>
      <c r="H311" s="409" t="b">
        <f>Wh_hp&gt;='2028'!Maxi_hp</f>
        <v>1</v>
      </c>
      <c r="I311" s="385">
        <f>IF(H311,Wh_hp,'2028'!Maxi_hp)</f>
        <v>25.593522653413345</v>
      </c>
      <c r="J311" s="85">
        <f>IF(H311,An,'2028'!An_max)</f>
        <v>2029</v>
      </c>
      <c r="K311" s="193">
        <f t="shared" si="104"/>
        <v>47415</v>
      </c>
      <c r="L311" s="143">
        <f>IF(t&lt;Tvie,1-EXP((T0-t)*PertePVj)+'2028'!Pspv,1-EXP((T0-t)*PertePVj)+Pspv)</f>
        <v>3.8829062899837563E-2</v>
      </c>
      <c r="M311" s="836"/>
      <c r="N311" s="836"/>
      <c r="O311" s="48">
        <f>IF(t&lt;Tnet,'2028'!Resal+('2028'!Salim-'2028'!Resal)*(1-EXP(('2028'!Tnet-t)/('2028'!Tau_j))),Resal+(Salim-Resal)*(1-EXP((Tnet-t)/(Tau_j))))*Salcycl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2.6179007493716669E-4</v>
      </c>
      <c r="Q311" s="301">
        <f t="shared" si="105"/>
        <v>0.5</v>
      </c>
      <c r="R311" s="173">
        <f t="shared" si="106"/>
        <v>0.46712876611891968</v>
      </c>
      <c r="S311" s="802">
        <f t="shared" si="107"/>
        <v>0</v>
      </c>
      <c r="T311" s="172">
        <f t="shared" si="108"/>
        <v>6</v>
      </c>
      <c r="U311" s="247">
        <f t="shared" si="109"/>
        <v>0.46712876611891968</v>
      </c>
      <c r="V311" s="378">
        <f t="shared" si="110"/>
        <v>30.264692515543825</v>
      </c>
      <c r="W311" s="397">
        <f t="shared" si="111"/>
        <v>24.292995689796523</v>
      </c>
      <c r="X311" s="153">
        <f t="shared" si="112"/>
        <v>47415</v>
      </c>
      <c r="Y311" s="380">
        <f t="shared" si="113"/>
        <v>23.368304973066341</v>
      </c>
      <c r="Z311" s="380">
        <f t="shared" si="114"/>
        <v>24.312329962418701</v>
      </c>
      <c r="AA311" s="381">
        <f t="shared" si="115"/>
        <v>25.494956834721808</v>
      </c>
      <c r="AB311" s="193">
        <f t="shared" si="116"/>
        <v>47415</v>
      </c>
      <c r="AC311" s="119">
        <f>IF(OR(t&lt;Tnet,NoTnet),'2028'!Resal_s+('2028'!Salim-'2028'!Resal_s)*(1-EXP(('2028'!Tnet_s-t)/'2028'!Tau_j)),Resal_s+(Salim-Resal_s)*(1-EXP((Tnet_s-t)/Tau_j)))*Salcycl</f>
        <v>4.638669835645598E-2</v>
      </c>
      <c r="AD311" s="227">
        <f>(INDEX(Models!$BJ311:$BT311,,AH311)*(1-AF311)+INDEX(Models!$BJ311:$BT311,,AH311+1)*AF311-ERP_i)*AE311*Ramure*Pc/MaxiM</f>
        <v>5.3628904401955817E-3</v>
      </c>
      <c r="AE311" s="301">
        <f t="shared" si="117"/>
        <v>0.5</v>
      </c>
      <c r="AF311" s="173">
        <f t="shared" si="118"/>
        <v>0.99211633249289699</v>
      </c>
      <c r="AG311" s="802">
        <f t="shared" si="124"/>
        <v>3</v>
      </c>
      <c r="AH311" s="172">
        <f t="shared" si="119"/>
        <v>9</v>
      </c>
      <c r="AI311" s="221">
        <f t="shared" si="120"/>
        <v>3.992116332492897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47416</v>
      </c>
      <c r="B312" s="406">
        <f>'2028'!Wh/'2028'!Env_an*'2029'!Env_an</f>
        <v>20.41730236873877</v>
      </c>
      <c r="C312" s="832"/>
      <c r="D312" s="388">
        <f t="shared" si="102"/>
        <v>21.24240452992489</v>
      </c>
      <c r="E312" s="380">
        <f t="shared" si="125"/>
        <v>21.507805226255254</v>
      </c>
      <c r="F312" s="380">
        <f t="shared" si="103"/>
        <v>21.511552777585699</v>
      </c>
      <c r="G312" s="110">
        <f t="shared" si="126"/>
        <v>0.68295792233960273</v>
      </c>
      <c r="H312" s="409" t="b">
        <f>Wh_hp&gt;='2028'!Maxi_hp</f>
        <v>1</v>
      </c>
      <c r="I312" s="385">
        <f>IF(H312,Wh_hp,'2028'!Maxi_hp)</f>
        <v>21.511552777585699</v>
      </c>
      <c r="J312" s="85">
        <f>IF(H312,An,'2028'!An_max)</f>
        <v>2029</v>
      </c>
      <c r="K312" s="193">
        <f t="shared" si="104"/>
        <v>47416</v>
      </c>
      <c r="L312" s="143">
        <f>IF(t&lt;Tvie,1-EXP((T0-t)*PertePVj)+'2028'!Pspv,1-EXP((T0-t)*PertePVj)+Pspv)</f>
        <v>3.8842220522811832E-2</v>
      </c>
      <c r="M312" s="836"/>
      <c r="N312" s="836"/>
      <c r="O312" s="48">
        <f>IF(t&lt;Tnet,'2028'!Resal+('2028'!Salim-'2028'!Resal)*(1-EXP(('2028'!Tnet-t)/('2028'!Tau_j))),Resal+(Salim-Resal)*(1-EXP((Tnet-t)/(Tau_j))))*Salcycl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3.1835461474902298E-4</v>
      </c>
      <c r="Q312" s="301">
        <f t="shared" si="105"/>
        <v>0.5</v>
      </c>
      <c r="R312" s="173">
        <f t="shared" si="106"/>
        <v>0.46720361015032791</v>
      </c>
      <c r="S312" s="802">
        <f t="shared" si="107"/>
        <v>0</v>
      </c>
      <c r="T312" s="172">
        <f t="shared" si="108"/>
        <v>6</v>
      </c>
      <c r="U312" s="247">
        <f t="shared" si="109"/>
        <v>0.46720361015032791</v>
      </c>
      <c r="V312" s="378">
        <f t="shared" si="110"/>
        <v>29.891093091561721</v>
      </c>
      <c r="W312" s="397">
        <f t="shared" si="111"/>
        <v>20.41730236873877</v>
      </c>
      <c r="X312" s="153">
        <f t="shared" si="112"/>
        <v>47416</v>
      </c>
      <c r="Y312" s="380">
        <f t="shared" si="113"/>
        <v>19.65039748155278</v>
      </c>
      <c r="Z312" s="380">
        <f t="shared" si="114"/>
        <v>20.444507552382721</v>
      </c>
      <c r="AA312" s="381">
        <f t="shared" si="115"/>
        <v>21.439026446038969</v>
      </c>
      <c r="AB312" s="193">
        <f t="shared" si="116"/>
        <v>47416</v>
      </c>
      <c r="AC312" s="119">
        <f>IF(OR(t&lt;Tnet,NoTnet),'2028'!Resal_s+('2028'!Salim-'2028'!Resal_s)*(1-EXP(('2028'!Tnet_s-t)/'2028'!Tau_j)),Resal_s+(Salim-Resal_s)*(1-EXP((Tnet_s-t)/Tau_j)))*Salcycl</f>
        <v>4.6388248839536093E-2</v>
      </c>
      <c r="AD312" s="227">
        <f>(INDEX(Models!$BJ312:$BT312,,AH312)*(1-AF312)+INDEX(Models!$BJ312:$BT312,,AH312+1)*AF312-ERP_i)*AE312*Ramure*Pc/MaxiM</f>
        <v>6.1611143658391945E-3</v>
      </c>
      <c r="AE312" s="301">
        <f t="shared" si="117"/>
        <v>0.5</v>
      </c>
      <c r="AF312" s="173">
        <f t="shared" si="118"/>
        <v>0.992191176524305</v>
      </c>
      <c r="AG312" s="802">
        <f t="shared" si="124"/>
        <v>3</v>
      </c>
      <c r="AH312" s="172">
        <f t="shared" si="119"/>
        <v>9</v>
      </c>
      <c r="AI312" s="221">
        <f t="shared" si="120"/>
        <v>3.992191176524305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47417</v>
      </c>
      <c r="B313" s="406">
        <f>'2028'!Wh/'2028'!Env_an*'2029'!Env_an</f>
        <v>15.259671436455221</v>
      </c>
      <c r="C313" s="832"/>
      <c r="D313" s="388">
        <f t="shared" si="102"/>
        <v>15.876561223593018</v>
      </c>
      <c r="E313" s="380">
        <f t="shared" si="125"/>
        <v>16.075822870928306</v>
      </c>
      <c r="F313" s="380">
        <f t="shared" si="103"/>
        <v>16.077750549030981</v>
      </c>
      <c r="G313" s="110">
        <f t="shared" si="126"/>
        <v>0.51679084571691747</v>
      </c>
      <c r="H313" s="409" t="b">
        <f>Wh_hp&gt;='2028'!Maxi_hp</f>
        <v>1</v>
      </c>
      <c r="I313" s="385">
        <f>IF(H313,Wh_hp,'2028'!Maxi_hp)</f>
        <v>16.077750549030981</v>
      </c>
      <c r="J313" s="85">
        <f>IF(H313,An,'2028'!An_max)</f>
        <v>2029</v>
      </c>
      <c r="K313" s="193">
        <f t="shared" si="104"/>
        <v>47417</v>
      </c>
      <c r="L313" s="143">
        <f>IF(t&lt;Tvie,1-EXP((T0-t)*PertePVj)+'2028'!Pspv,1-EXP((T0-t)*PertePVj)+Pspv)</f>
        <v>3.8855377965669402E-2</v>
      </c>
      <c r="M313" s="836"/>
      <c r="N313" s="836"/>
      <c r="O313" s="48">
        <f>IF(t&lt;Tnet,'2028'!Resal+('2028'!Salim-'2028'!Resal)*(1-EXP(('2028'!Tnet-t)/('2028'!Tau_j))),Resal+(Salim-Resal)*(1-EXP((Tnet-t)/(Tau_j))))*Salcycl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3.8689212916392083E-4</v>
      </c>
      <c r="Q313" s="301">
        <f t="shared" si="105"/>
        <v>0.5</v>
      </c>
      <c r="R313" s="173">
        <f t="shared" si="106"/>
        <v>0.46727546186055741</v>
      </c>
      <c r="S313" s="802">
        <f t="shared" si="107"/>
        <v>0</v>
      </c>
      <c r="T313" s="172">
        <f t="shared" si="108"/>
        <v>6</v>
      </c>
      <c r="U313" s="247">
        <f t="shared" si="109"/>
        <v>0.46727546186055741</v>
      </c>
      <c r="V313" s="378">
        <f t="shared" si="110"/>
        <v>29.519866344835432</v>
      </c>
      <c r="W313" s="397">
        <f t="shared" si="111"/>
        <v>15.259671436455221</v>
      </c>
      <c r="X313" s="153">
        <f t="shared" si="112"/>
        <v>47417</v>
      </c>
      <c r="Y313" s="380">
        <f t="shared" si="113"/>
        <v>14.704021641946115</v>
      </c>
      <c r="Z313" s="380">
        <f t="shared" si="114"/>
        <v>15.29844864638998</v>
      </c>
      <c r="AA313" s="381">
        <f t="shared" si="115"/>
        <v>16.042657922482274</v>
      </c>
      <c r="AB313" s="193">
        <f t="shared" si="116"/>
        <v>47417</v>
      </c>
      <c r="AC313" s="119">
        <f>IF(OR(t&lt;Tnet,NoTnet),'2028'!Resal_s+('2028'!Salim-'2028'!Resal_s)*(1-EXP(('2028'!Tnet_s-t)/'2028'!Tau_j)),Resal_s+(Salim-Resal_s)*(1-EXP((Tnet_s-t)/Tau_j)))*Salcycl</f>
        <v>4.6389400041333226E-2</v>
      </c>
      <c r="AD313" s="227">
        <f>(INDEX(Models!$BJ313:$BT313,,AH313)*(1-AF313)+INDEX(Models!$BJ313:$BT313,,AH313+1)*AF313-ERP_i)*AE313*Ramure*Pc/MaxiM</f>
        <v>7.0432200192351198E-3</v>
      </c>
      <c r="AE313" s="301">
        <f t="shared" si="117"/>
        <v>0.5</v>
      </c>
      <c r="AF313" s="173">
        <f t="shared" si="118"/>
        <v>0.99226302823453461</v>
      </c>
      <c r="AG313" s="802">
        <f t="shared" si="124"/>
        <v>3</v>
      </c>
      <c r="AH313" s="172">
        <f t="shared" si="119"/>
        <v>9</v>
      </c>
      <c r="AI313" s="221">
        <f t="shared" si="120"/>
        <v>3.9922630282345346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47418</v>
      </c>
      <c r="B314" s="406">
        <f>'2028'!Wh/'2028'!Env_an*'2029'!Env_an</f>
        <v>14.430824460340755</v>
      </c>
      <c r="C314" s="832"/>
      <c r="D314" s="388">
        <f t="shared" si="102"/>
        <v>15.014412688872104</v>
      </c>
      <c r="E314" s="380">
        <f t="shared" si="125"/>
        <v>15.20370283862221</v>
      </c>
      <c r="F314" s="380">
        <f t="shared" si="103"/>
        <v>15.205683863893487</v>
      </c>
      <c r="G314" s="110">
        <f t="shared" si="126"/>
        <v>0.49486443811404085</v>
      </c>
      <c r="H314" s="409" t="b">
        <f>Wh_hp&gt;='2028'!Maxi_hp</f>
        <v>1</v>
      </c>
      <c r="I314" s="385">
        <f>IF(H314,Wh_hp,'2028'!Maxi_hp)</f>
        <v>15.205683863893487</v>
      </c>
      <c r="J314" s="85">
        <f>IF(H314,An,'2028'!An_max)</f>
        <v>2029</v>
      </c>
      <c r="K314" s="193">
        <f t="shared" si="104"/>
        <v>47418</v>
      </c>
      <c r="L314" s="143">
        <f>IF(t&lt;Tvie,1-EXP((T0-t)*PertePVj)+'2028'!Pspv,1-EXP((T0-t)*PertePVj)+Pspv)</f>
        <v>3.8868535228412493E-2</v>
      </c>
      <c r="M314" s="836"/>
      <c r="N314" s="836"/>
      <c r="O314" s="48">
        <f>IF(t&lt;Tnet,'2028'!Resal+('2028'!Salim-'2028'!Resal)*(1-EXP(('2028'!Tnet-t)/('2028'!Tau_j))),Resal+(Salim-Resal)*(1-EXP((Tnet-t)/(Tau_j))))*Salcycl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4.676031857766364E-4</v>
      </c>
      <c r="Q314" s="301">
        <f t="shared" si="105"/>
        <v>0.5</v>
      </c>
      <c r="R314" s="173">
        <f t="shared" si="106"/>
        <v>0.46734444007133469</v>
      </c>
      <c r="S314" s="802">
        <f t="shared" si="107"/>
        <v>0</v>
      </c>
      <c r="T314" s="172">
        <f t="shared" si="108"/>
        <v>6</v>
      </c>
      <c r="U314" s="247">
        <f t="shared" si="109"/>
        <v>0.46734444007133469</v>
      </c>
      <c r="V314" s="378">
        <f t="shared" si="110"/>
        <v>29.151328910757154</v>
      </c>
      <c r="W314" s="397">
        <f t="shared" si="111"/>
        <v>14.430824460340755</v>
      </c>
      <c r="X314" s="153">
        <f t="shared" si="112"/>
        <v>47418</v>
      </c>
      <c r="Y314" s="380">
        <f t="shared" si="113"/>
        <v>13.905579732253807</v>
      </c>
      <c r="Z314" s="380">
        <f t="shared" si="114"/>
        <v>14.467926856976286</v>
      </c>
      <c r="AA314" s="381">
        <f t="shared" si="115"/>
        <v>15.171747101379651</v>
      </c>
      <c r="AB314" s="193">
        <f t="shared" si="116"/>
        <v>47418</v>
      </c>
      <c r="AC314" s="119">
        <f>IF(OR(t&lt;Tnet,NoTnet),'2028'!Resal_s+('2028'!Salim-'2028'!Resal_s)*(1-EXP(('2028'!Tnet_s-t)/'2028'!Tau_j)),Resal_s+(Salim-Resal_s)*(1-EXP((Tnet_s-t)/Tau_j)))*Salcycl</f>
        <v>4.6390190905526221E-2</v>
      </c>
      <c r="AD314" s="227">
        <f>(INDEX(Models!$BJ314:$BT314,,AH314)*(1-AF314)+INDEX(Models!$BJ314:$BT314,,AH314+1)*AF314-ERP_i)*AE314*Ramure*Pc/MaxiM</f>
        <v>8.0104673557171609E-3</v>
      </c>
      <c r="AE314" s="301">
        <f t="shared" si="117"/>
        <v>0.5</v>
      </c>
      <c r="AF314" s="173">
        <f t="shared" si="118"/>
        <v>0.99233200644531205</v>
      </c>
      <c r="AG314" s="802">
        <f t="shared" si="124"/>
        <v>3</v>
      </c>
      <c r="AH314" s="172">
        <f t="shared" si="119"/>
        <v>9</v>
      </c>
      <c r="AI314" s="221">
        <f t="shared" si="120"/>
        <v>3.9923320064453121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47419</v>
      </c>
      <c r="B315" s="406">
        <f>'2028'!Wh/'2028'!Env_an*'2029'!Env_an</f>
        <v>16.601814641869961</v>
      </c>
      <c r="C315" s="832"/>
      <c r="D315" s="388">
        <f t="shared" si="102"/>
        <v>17.273435027774703</v>
      </c>
      <c r="E315" s="380">
        <f t="shared" si="125"/>
        <v>17.492178350478117</v>
      </c>
      <c r="F315" s="380">
        <f t="shared" si="103"/>
        <v>17.496056527248719</v>
      </c>
      <c r="G315" s="110">
        <f t="shared" si="126"/>
        <v>0.57654074073486239</v>
      </c>
      <c r="H315" s="409" t="b">
        <f>Wh_hp&gt;='2028'!Maxi_hp</f>
        <v>1</v>
      </c>
      <c r="I315" s="385">
        <f>IF(H315,Wh_hp,'2028'!Maxi_hp)</f>
        <v>17.496056527248719</v>
      </c>
      <c r="J315" s="85">
        <f>IF(H315,An,'2028'!An_max)</f>
        <v>2029</v>
      </c>
      <c r="K315" s="193">
        <f t="shared" si="104"/>
        <v>47419</v>
      </c>
      <c r="L315" s="143">
        <f>IF(t&lt;Tvie,1-EXP((T0-t)*PertePVj)+'2028'!Pspv,1-EXP((T0-t)*PertePVj)+Pspv)</f>
        <v>3.888169231104377E-2</v>
      </c>
      <c r="M315" s="836"/>
      <c r="N315" s="836"/>
      <c r="O315" s="48">
        <f>IF(t&lt;Tnet,'2028'!Resal+('2028'!Salim-'2028'!Resal)*(1-EXP(('2028'!Tnet-t)/('2028'!Tau_j))),Resal+(Salim-Resal)*(1-EXP((Tnet-t)/(Tau_j))))*Salcycl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5.6068549122145306E-4</v>
      </c>
      <c r="Q315" s="301">
        <f t="shared" si="105"/>
        <v>0.5</v>
      </c>
      <c r="R315" s="173">
        <f t="shared" si="106"/>
        <v>0.4674106589501168</v>
      </c>
      <c r="S315" s="802">
        <f t="shared" si="107"/>
        <v>0</v>
      </c>
      <c r="T315" s="172">
        <f t="shared" si="108"/>
        <v>6</v>
      </c>
      <c r="U315" s="247">
        <f t="shared" si="109"/>
        <v>0.4674106589501168</v>
      </c>
      <c r="V315" s="378">
        <f t="shared" si="110"/>
        <v>28.785797401431921</v>
      </c>
      <c r="W315" s="397">
        <f t="shared" si="111"/>
        <v>16.601814641869961</v>
      </c>
      <c r="X315" s="153">
        <f t="shared" si="112"/>
        <v>47419</v>
      </c>
      <c r="Y315" s="380">
        <f t="shared" si="113"/>
        <v>15.978223177473945</v>
      </c>
      <c r="Z315" s="380">
        <f t="shared" si="114"/>
        <v>16.624616397011685</v>
      </c>
      <c r="AA315" s="381">
        <f t="shared" si="115"/>
        <v>17.433361584360256</v>
      </c>
      <c r="AB315" s="193">
        <f t="shared" si="116"/>
        <v>47419</v>
      </c>
      <c r="AC315" s="119">
        <f>IF(OR(t&lt;Tnet,NoTnet),'2028'!Resal_s+('2028'!Salim-'2028'!Resal_s)*(1-EXP(('2028'!Tnet_s-t)/'2028'!Tau_j)),Resal_s+(Salim-Resal_s)*(1-EXP((Tnet_s-t)/Tau_j)))*Salcycl</f>
        <v>4.63906621471162E-2</v>
      </c>
      <c r="AD315" s="227">
        <f>(INDEX(Models!$BJ315:$BT315,,AH315)*(1-AF315)+INDEX(Models!$BJ315:$BT315,,AH315+1)*AF315-ERP_i)*AE315*Ramure*Pc/MaxiM</f>
        <v>9.0640904037676377E-3</v>
      </c>
      <c r="AE315" s="301">
        <f t="shared" si="117"/>
        <v>0.5</v>
      </c>
      <c r="AF315" s="173">
        <f t="shared" si="118"/>
        <v>0.99239822532409416</v>
      </c>
      <c r="AG315" s="802">
        <f t="shared" si="124"/>
        <v>3</v>
      </c>
      <c r="AH315" s="172">
        <f t="shared" si="119"/>
        <v>9</v>
      </c>
      <c r="AI315" s="221">
        <f t="shared" si="120"/>
        <v>3.9923982253240942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47420</v>
      </c>
      <c r="B316" s="406">
        <f>'2028'!Wh/'2028'!Env_an*'2029'!Env_an</f>
        <v>23.361652164019951</v>
      </c>
      <c r="C316" s="832"/>
      <c r="D316" s="388">
        <f t="shared" si="102"/>
        <v>24.307072066884707</v>
      </c>
      <c r="E316" s="380">
        <f t="shared" si="125"/>
        <v>24.616250900257306</v>
      </c>
      <c r="F316" s="380">
        <f t="shared" si="103"/>
        <v>24.628486560246188</v>
      </c>
      <c r="G316" s="110">
        <f t="shared" si="126"/>
        <v>0.82177132333358072</v>
      </c>
      <c r="H316" s="409" t="b">
        <f>Wh_hp&gt;='2028'!Maxi_hp</f>
        <v>1</v>
      </c>
      <c r="I316" s="385">
        <f>IF(H316,Wh_hp,'2028'!Maxi_hp)</f>
        <v>24.628486560246188</v>
      </c>
      <c r="J316" s="85">
        <f>IF(H316,An,'2028'!An_max)</f>
        <v>2029</v>
      </c>
      <c r="K316" s="193">
        <f t="shared" si="104"/>
        <v>47420</v>
      </c>
      <c r="L316" s="143">
        <f>IF(t&lt;Tvie,1-EXP((T0-t)*PertePVj)+'2028'!Pspv,1-EXP((T0-t)*PertePVj)+Pspv)</f>
        <v>3.8894849213565674E-2</v>
      </c>
      <c r="M316" s="836"/>
      <c r="N316" s="836"/>
      <c r="O316" s="48">
        <f>IF(t&lt;Tnet,'2028'!Resal+('2028'!Salim-'2028'!Resal)*(1-EXP(('2028'!Tnet-t)/('2028'!Tau_j))),Resal+(Salim-Resal)*(1-EXP((Tnet-t)/(Tau_j))))*Salcycl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6.6633326167200217E-4</v>
      </c>
      <c r="Q316" s="301">
        <f t="shared" si="105"/>
        <v>0.5</v>
      </c>
      <c r="R316" s="173">
        <f t="shared" si="106"/>
        <v>0.46747422818735296</v>
      </c>
      <c r="S316" s="802">
        <f t="shared" si="107"/>
        <v>0</v>
      </c>
      <c r="T316" s="172">
        <f t="shared" si="108"/>
        <v>6</v>
      </c>
      <c r="U316" s="247">
        <f t="shared" si="109"/>
        <v>0.46747422818735296</v>
      </c>
      <c r="V316" s="378">
        <f t="shared" si="110"/>
        <v>28.423588377118246</v>
      </c>
      <c r="W316" s="397">
        <f t="shared" si="111"/>
        <v>23.361652164019951</v>
      </c>
      <c r="X316" s="153">
        <f t="shared" si="112"/>
        <v>47420</v>
      </c>
      <c r="Y316" s="380">
        <f t="shared" si="113"/>
        <v>22.400715153532257</v>
      </c>
      <c r="Z316" s="380">
        <f t="shared" si="114"/>
        <v>23.307247011633056</v>
      </c>
      <c r="AA316" s="381">
        <f t="shared" si="115"/>
        <v>24.44109010572646</v>
      </c>
      <c r="AB316" s="193">
        <f t="shared" si="116"/>
        <v>47420</v>
      </c>
      <c r="AC316" s="119">
        <f>IF(OR(t&lt;Tnet,NoTnet),'2028'!Resal_s+('2028'!Salim-'2028'!Resal_s)*(1-EXP(('2028'!Tnet_s-t)/'2028'!Tau_j)),Resal_s+(Salim-Resal_s)*(1-EXP((Tnet_s-t)/Tau_j)))*Salcycl</f>
        <v>4.6390856102926002E-2</v>
      </c>
      <c r="AD316" s="227">
        <f>(INDEX(Models!$BJ316:$BT316,,AH316)*(1-AF316)+INDEX(Models!$BJ316:$BT316,,AH316+1)*AF316-ERP_i)*AE316*Ramure*Pc/MaxiM</f>
        <v>1.0205292634753903E-2</v>
      </c>
      <c r="AE316" s="301">
        <f t="shared" si="117"/>
        <v>0.5</v>
      </c>
      <c r="AF316" s="173">
        <f t="shared" si="118"/>
        <v>0.9924617945613301</v>
      </c>
      <c r="AG316" s="802">
        <f t="shared" si="124"/>
        <v>3</v>
      </c>
      <c r="AH316" s="172">
        <f t="shared" si="119"/>
        <v>9</v>
      </c>
      <c r="AI316" s="221">
        <f t="shared" si="120"/>
        <v>3.9924617945613301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47421</v>
      </c>
      <c r="B317" s="406">
        <f>'2028'!Wh/'2028'!Env_an*'2029'!Env_an</f>
        <v>20.462107055397361</v>
      </c>
      <c r="C317" s="832"/>
      <c r="D317" s="388">
        <f t="shared" si="102"/>
        <v>21.290477063358367</v>
      </c>
      <c r="E317" s="380">
        <f t="shared" si="125"/>
        <v>21.562476905959411</v>
      </c>
      <c r="F317" s="380">
        <f t="shared" si="103"/>
        <v>21.572856200177455</v>
      </c>
      <c r="G317" s="110">
        <f t="shared" si="126"/>
        <v>0.7289243625428663</v>
      </c>
      <c r="H317" s="409" t="b">
        <f>Wh_hp&gt;='2028'!Maxi_hp</f>
        <v>1</v>
      </c>
      <c r="I317" s="385">
        <f>IF(H317,Wh_hp,'2028'!Maxi_hp)</f>
        <v>21.572856200177455</v>
      </c>
      <c r="J317" s="85">
        <f>IF(H317,An,'2028'!An_max)</f>
        <v>2029</v>
      </c>
      <c r="K317" s="193">
        <f t="shared" si="104"/>
        <v>47421</v>
      </c>
      <c r="L317" s="143">
        <f>IF(t&lt;Tvie,1-EXP((T0-t)*PertePVj)+'2028'!Pspv,1-EXP((T0-t)*PertePVj)+Pspv)</f>
        <v>3.890800593598065E-2</v>
      </c>
      <c r="M317" s="836"/>
      <c r="N317" s="836"/>
      <c r="O317" s="48">
        <f>IF(t&lt;Tnet,'2028'!Resal+('2028'!Salim-'2028'!Resal)*(1-EXP(('2028'!Tnet-t)/('2028'!Tau_j))),Resal+(Salim-Resal)*(1-EXP((Tnet-t)/(Tau_j))))*Salcycl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7.8478964441112422E-4</v>
      </c>
      <c r="Q317" s="301">
        <f t="shared" si="105"/>
        <v>0.5</v>
      </c>
      <c r="R317" s="173">
        <f t="shared" si="106"/>
        <v>0.46753525316739564</v>
      </c>
      <c r="S317" s="802">
        <f t="shared" si="107"/>
        <v>0</v>
      </c>
      <c r="T317" s="172">
        <f t="shared" si="108"/>
        <v>6</v>
      </c>
      <c r="U317" s="247">
        <f t="shared" si="109"/>
        <v>0.46753525316739564</v>
      </c>
      <c r="V317" s="378">
        <f t="shared" si="110"/>
        <v>28.063118134268858</v>
      </c>
      <c r="W317" s="397">
        <f t="shared" si="111"/>
        <v>20.462107055397361</v>
      </c>
      <c r="X317" s="153">
        <f t="shared" si="112"/>
        <v>47421</v>
      </c>
      <c r="Y317" s="380">
        <f t="shared" si="113"/>
        <v>19.63303580270377</v>
      </c>
      <c r="Z317" s="380">
        <f t="shared" si="114"/>
        <v>20.427842416712497</v>
      </c>
      <c r="AA317" s="381">
        <f t="shared" si="115"/>
        <v>21.421608318854723</v>
      </c>
      <c r="AB317" s="193">
        <f t="shared" si="116"/>
        <v>47421</v>
      </c>
      <c r="AC317" s="119">
        <f>IF(OR(t&lt;Tnet,NoTnet),'2028'!Resal_s+('2028'!Salim-'2028'!Resal_s)*(1-EXP(('2028'!Tnet_s-t)/'2028'!Tau_j)),Resal_s+(Salim-Resal_s)*(1-EXP((Tnet_s-t)/Tau_j)))*Salcycl</f>
        <v>4.6390816569432801E-2</v>
      </c>
      <c r="AD317" s="227">
        <f>(INDEX(Models!$BJ317:$BT317,,AH317)*(1-AF317)+INDEX(Models!$BJ317:$BT317,,AH317+1)*AF317-ERP_i)*AE317*Ramure*Pc/MaxiM</f>
        <v>1.1436015639180445E-2</v>
      </c>
      <c r="AE317" s="301">
        <f t="shared" si="117"/>
        <v>0.5</v>
      </c>
      <c r="AF317" s="173">
        <f t="shared" si="118"/>
        <v>0.99252281954137267</v>
      </c>
      <c r="AG317" s="802">
        <f t="shared" si="124"/>
        <v>3</v>
      </c>
      <c r="AH317" s="172">
        <f t="shared" si="119"/>
        <v>9</v>
      </c>
      <c r="AI317" s="221">
        <f t="shared" si="120"/>
        <v>3.9925228195413727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47422</v>
      </c>
      <c r="B318" s="406">
        <f>'2028'!Wh/'2028'!Env_an*'2029'!Env_an</f>
        <v>19.633287431003925</v>
      </c>
      <c r="C318" s="832"/>
      <c r="D318" s="388">
        <f t="shared" si="102"/>
        <v>20.428383879132543</v>
      </c>
      <c r="E318" s="380">
        <f t="shared" si="125"/>
        <v>20.69050929717746</v>
      </c>
      <c r="F318" s="380">
        <f t="shared" si="103"/>
        <v>20.701574892760259</v>
      </c>
      <c r="G318" s="110">
        <f t="shared" si="126"/>
        <v>0.70843695167306764</v>
      </c>
      <c r="H318" s="409" t="b">
        <f>Wh_hp&gt;='2028'!Maxi_hp</f>
        <v>1</v>
      </c>
      <c r="I318" s="385">
        <f>IF(H318,Wh_hp,'2028'!Maxi_hp)</f>
        <v>20.701574892760259</v>
      </c>
      <c r="J318" s="85">
        <f>IF(H318,An,'2028'!An_max)</f>
        <v>2029</v>
      </c>
      <c r="K318" s="193">
        <f t="shared" si="104"/>
        <v>47422</v>
      </c>
      <c r="L318" s="143">
        <f>IF(t&lt;Tvie,1-EXP((T0-t)*PertePVj)+'2028'!Pspv,1-EXP((T0-t)*PertePVj)+Pspv)</f>
        <v>3.8921162478291027E-2</v>
      </c>
      <c r="M318" s="836"/>
      <c r="N318" s="836"/>
      <c r="O318" s="48">
        <f>IF(t&lt;Tnet,'2028'!Resal+('2028'!Salim-'2028'!Resal)*(1-EXP(('2028'!Tnet-t)/('2028'!Tau_j))),Resal+(Salim-Resal)*(1-EXP((Tnet-t)/(Tau_j))))*Salcycl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9.1549773652472395E-4</v>
      </c>
      <c r="Q318" s="301">
        <f t="shared" si="105"/>
        <v>0.5</v>
      </c>
      <c r="R318" s="173">
        <f t="shared" si="106"/>
        <v>0.46759383513325653</v>
      </c>
      <c r="S318" s="802">
        <f t="shared" si="107"/>
        <v>0</v>
      </c>
      <c r="T318" s="172">
        <f t="shared" si="108"/>
        <v>6</v>
      </c>
      <c r="U318" s="247">
        <f t="shared" si="109"/>
        <v>0.46759383513325653</v>
      </c>
      <c r="V318" s="378">
        <f t="shared" si="110"/>
        <v>27.702964560204762</v>
      </c>
      <c r="W318" s="397">
        <f t="shared" si="111"/>
        <v>19.633287431003925</v>
      </c>
      <c r="X318" s="153">
        <f t="shared" si="112"/>
        <v>47422</v>
      </c>
      <c r="Y318" s="380">
        <f t="shared" si="113"/>
        <v>18.832118386273326</v>
      </c>
      <c r="Z318" s="380">
        <f t="shared" si="114"/>
        <v>19.594769597502395</v>
      </c>
      <c r="AA318" s="381">
        <f t="shared" si="115"/>
        <v>20.548003578664964</v>
      </c>
      <c r="AB318" s="193">
        <f t="shared" si="116"/>
        <v>47422</v>
      </c>
      <c r="AC318" s="119">
        <f>IF(OR(t&lt;Tnet,NoTnet),'2028'!Resal_s+('2028'!Salim-'2028'!Resal_s)*(1-EXP(('2028'!Tnet_s-t)/'2028'!Tau_j)),Resal_s+(Salim-Resal_s)*(1-EXP((Tnet_s-t)/Tau_j)))*Salcycl</f>
        <v>4.6390588628878481E-2</v>
      </c>
      <c r="AD318" s="227">
        <f>(INDEX(Models!$BJ318:$BT318,,AH318)*(1-AF318)+INDEX(Models!$BJ318:$BT318,,AH318+1)*AF318-ERP_i)*AE318*Ramure*Pc/MaxiM</f>
        <v>1.2705524017876703E-2</v>
      </c>
      <c r="AE318" s="301">
        <f t="shared" si="117"/>
        <v>0.5</v>
      </c>
      <c r="AF318" s="173">
        <f t="shared" si="118"/>
        <v>0.99258140150723362</v>
      </c>
      <c r="AG318" s="802">
        <f t="shared" si="124"/>
        <v>3</v>
      </c>
      <c r="AH318" s="172">
        <f t="shared" si="119"/>
        <v>9</v>
      </c>
      <c r="AI318" s="221">
        <f t="shared" si="120"/>
        <v>3.9925814015072336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47423</v>
      </c>
      <c r="B319" s="406">
        <f>'2028'!Wh/'2028'!Env_an*'2029'!Env_an</f>
        <v>17.90662417169294</v>
      </c>
      <c r="C319" s="832"/>
      <c r="D319" s="388">
        <f t="shared" si="102"/>
        <v>18.632050361104422</v>
      </c>
      <c r="E319" s="380">
        <f t="shared" si="125"/>
        <v>18.872162397061455</v>
      </c>
      <c r="F319" s="380">
        <f t="shared" si="103"/>
        <v>18.88226346904651</v>
      </c>
      <c r="G319" s="110">
        <f t="shared" si="126"/>
        <v>0.65453002759856105</v>
      </c>
      <c r="H319" s="409" t="b">
        <f>Wh_hp&gt;='2028'!Maxi_hp</f>
        <v>1</v>
      </c>
      <c r="I319" s="385">
        <f>IF(H319,Wh_hp,'2028'!Maxi_hp)</f>
        <v>18.88226346904651</v>
      </c>
      <c r="J319" s="85">
        <f>IF(H319,An,'2028'!An_max)</f>
        <v>2029</v>
      </c>
      <c r="K319" s="193">
        <f t="shared" si="104"/>
        <v>47423</v>
      </c>
      <c r="L319" s="143">
        <f>IF(t&lt;Tvie,1-EXP((T0-t)*PertePVj)+'2028'!Pspv,1-EXP((T0-t)*PertePVj)+Pspv)</f>
        <v>3.8934318840499471E-2</v>
      </c>
      <c r="M319" s="836"/>
      <c r="N319" s="836"/>
      <c r="O319" s="48">
        <f>IF(t&lt;Tnet,'2028'!Resal+('2028'!Salim-'2028'!Resal)*(1-EXP(('2028'!Tnet-t)/('2028'!Tau_j))),Resal+(Salim-Resal)*(1-EXP((Tnet-t)/(Tau_j))))*Salcycl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1.0552152159966498E-3</v>
      </c>
      <c r="Q319" s="301">
        <f t="shared" si="105"/>
        <v>0.5</v>
      </c>
      <c r="R319" s="173">
        <f t="shared" si="106"/>
        <v>0.46765007134539821</v>
      </c>
      <c r="S319" s="802">
        <f t="shared" si="107"/>
        <v>0</v>
      </c>
      <c r="T319" s="172">
        <f t="shared" si="108"/>
        <v>6</v>
      </c>
      <c r="U319" s="247">
        <f t="shared" si="109"/>
        <v>0.46765007134539821</v>
      </c>
      <c r="V319" s="378">
        <f t="shared" si="110"/>
        <v>27.343746263523169</v>
      </c>
      <c r="W319" s="397">
        <f t="shared" si="111"/>
        <v>17.90662417169294</v>
      </c>
      <c r="X319" s="153">
        <f t="shared" si="112"/>
        <v>47423</v>
      </c>
      <c r="Y319" s="380">
        <f t="shared" si="113"/>
        <v>17.182751484170311</v>
      </c>
      <c r="Z319" s="380">
        <f t="shared" si="114"/>
        <v>17.878852424986992</v>
      </c>
      <c r="AA319" s="381">
        <f t="shared" si="115"/>
        <v>18.748604273125682</v>
      </c>
      <c r="AB319" s="193">
        <f t="shared" si="116"/>
        <v>47423</v>
      </c>
      <c r="AC319" s="119">
        <f>IF(OR(t&lt;Tnet,NoTnet),'2028'!Resal_s+('2028'!Salim-'2028'!Resal_s)*(1-EXP(('2028'!Tnet_s-t)/'2028'!Tau_j)),Resal_s+(Salim-Resal_s)*(1-EXP((Tnet_s-t)/Tau_j)))*Salcycl</f>
        <v>4.6390218464709733E-2</v>
      </c>
      <c r="AD319" s="227">
        <f>(INDEX(Models!$BJ319:$BT319,,AH319)*(1-AF319)+INDEX(Models!$BJ319:$BT319,,AH319+1)*AF319-ERP_i)*AE319*Ramure*Pc/MaxiM</f>
        <v>1.3962796968700529E-2</v>
      </c>
      <c r="AE319" s="301">
        <f t="shared" si="117"/>
        <v>0.5</v>
      </c>
      <c r="AF319" s="173">
        <f t="shared" si="118"/>
        <v>0.9926376377193753</v>
      </c>
      <c r="AG319" s="802">
        <f t="shared" si="124"/>
        <v>3</v>
      </c>
      <c r="AH319" s="172">
        <f t="shared" si="119"/>
        <v>9</v>
      </c>
      <c r="AI319" s="221">
        <f t="shared" si="120"/>
        <v>3.9926376377193753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47424</v>
      </c>
      <c r="B320" s="406">
        <f>'2028'!Wh/'2028'!Env_an*'2029'!Env_an</f>
        <v>24.793012728188003</v>
      </c>
      <c r="C320" s="832"/>
      <c r="D320" s="388">
        <f t="shared" si="102"/>
        <v>25.797770760522425</v>
      </c>
      <c r="E320" s="380">
        <f t="shared" si="125"/>
        <v>26.131658512267386</v>
      </c>
      <c r="F320" s="380">
        <f t="shared" si="103"/>
        <v>26.159500551407298</v>
      </c>
      <c r="G320" s="110">
        <f t="shared" si="126"/>
        <v>0.91860806744693513</v>
      </c>
      <c r="H320" s="409" t="b">
        <f>Wh_hp&gt;='2028'!Maxi_hp</f>
        <v>1</v>
      </c>
      <c r="I320" s="385">
        <f>IF(H320,Wh_hp,'2028'!Maxi_hp)</f>
        <v>26.159500551407298</v>
      </c>
      <c r="J320" s="85">
        <f>IF(H320,An,'2028'!An_max)</f>
        <v>2029</v>
      </c>
      <c r="K320" s="193">
        <f t="shared" si="104"/>
        <v>47424</v>
      </c>
      <c r="L320" s="143">
        <f>IF(t&lt;Tvie,1-EXP((T0-t)*PertePVj)+'2028'!Pspv,1-EXP((T0-t)*PertePVj)+Pspv)</f>
        <v>3.8947475022608313E-2</v>
      </c>
      <c r="M320" s="836"/>
      <c r="N320" s="836"/>
      <c r="O320" s="48">
        <f>IF(t&lt;Tnet,'2028'!Resal+('2028'!Salim-'2028'!Resal)*(1-EXP(('2028'!Tnet-t)/('2028'!Tau_j))),Resal+(Salim-Resal)*(1-EXP((Tnet-t)/(Tau_j))))*Salcycl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1.2041034595790666E-3</v>
      </c>
      <c r="Q320" s="301">
        <f t="shared" si="105"/>
        <v>0.5</v>
      </c>
      <c r="R320" s="173">
        <f t="shared" si="106"/>
        <v>0.46770405523475234</v>
      </c>
      <c r="S320" s="802">
        <f t="shared" si="107"/>
        <v>0</v>
      </c>
      <c r="T320" s="172">
        <f t="shared" si="108"/>
        <v>6</v>
      </c>
      <c r="U320" s="247">
        <f t="shared" si="109"/>
        <v>0.46770405523475234</v>
      </c>
      <c r="V320" s="378">
        <f t="shared" si="110"/>
        <v>26.985984798817391</v>
      </c>
      <c r="W320" s="397">
        <f t="shared" si="111"/>
        <v>24.793012728188003</v>
      </c>
      <c r="X320" s="153">
        <f t="shared" si="112"/>
        <v>47424</v>
      </c>
      <c r="Y320" s="380">
        <f t="shared" si="113"/>
        <v>23.652118857933683</v>
      </c>
      <c r="Z320" s="380">
        <f t="shared" si="114"/>
        <v>24.610641191010959</v>
      </c>
      <c r="AA320" s="381">
        <f t="shared" si="115"/>
        <v>25.80786151654447</v>
      </c>
      <c r="AB320" s="193">
        <f t="shared" si="116"/>
        <v>47424</v>
      </c>
      <c r="AC320" s="119">
        <f>IF(OR(t&lt;Tnet,NoTnet),'2028'!Resal_s+('2028'!Salim-'2028'!Resal_s)*(1-EXP(('2028'!Tnet_s-t)/'2028'!Tau_j)),Resal_s+(Salim-Resal_s)*(1-EXP((Tnet_s-t)/Tau_j)))*Salcycl</f>
        <v>4.6389753167499555E-2</v>
      </c>
      <c r="AD320" s="227">
        <f>(INDEX(Models!$BJ320:$BT320,,AH320)*(1-AF320)+INDEX(Models!$BJ320:$BT320,,AH320+1)*AF320-ERP_i)*AE320*Ramure*Pc/MaxiM</f>
        <v>1.5207570690985084E-2</v>
      </c>
      <c r="AE320" s="301">
        <f t="shared" si="117"/>
        <v>0.5</v>
      </c>
      <c r="AF320" s="173">
        <f t="shared" si="118"/>
        <v>0.99269162160872959</v>
      </c>
      <c r="AG320" s="802">
        <f t="shared" si="124"/>
        <v>3</v>
      </c>
      <c r="AH320" s="172">
        <f t="shared" si="119"/>
        <v>9</v>
      </c>
      <c r="AI320" s="221">
        <f t="shared" si="120"/>
        <v>3.9926916216087296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47425</v>
      </c>
      <c r="B321" s="406">
        <f>'2028'!Wh/'2028'!Env_an*'2029'!Env_an</f>
        <v>8.9951098862432843</v>
      </c>
      <c r="C321" s="832"/>
      <c r="D321" s="388">
        <f t="shared" si="102"/>
        <v>9.3597725302694883</v>
      </c>
      <c r="E321" s="380">
        <f t="shared" si="125"/>
        <v>9.4814292469305688</v>
      </c>
      <c r="F321" s="380">
        <f t="shared" si="103"/>
        <v>9.4821264073197273</v>
      </c>
      <c r="G321" s="110">
        <f t="shared" si="126"/>
        <v>0.33734315372056478</v>
      </c>
      <c r="H321" s="409" t="b">
        <f>Wh_hp&gt;='2028'!Maxi_hp</f>
        <v>1</v>
      </c>
      <c r="I321" s="385">
        <f>IF(H321,Wh_hp,'2028'!Maxi_hp)</f>
        <v>9.4821264073197273</v>
      </c>
      <c r="J321" s="85">
        <f>IF(H321,An,'2028'!An_max)</f>
        <v>2029</v>
      </c>
      <c r="K321" s="193">
        <f t="shared" si="104"/>
        <v>47425</v>
      </c>
      <c r="L321" s="143">
        <f>IF(t&lt;Tvie,1-EXP((T0-t)*PertePVj)+'2028'!Pspv,1-EXP((T0-t)*PertePVj)+Pspv)</f>
        <v>3.8960631024620107E-2</v>
      </c>
      <c r="M321" s="836"/>
      <c r="N321" s="836"/>
      <c r="O321" s="48">
        <f>IF(t&lt;Tnet,'2028'!Resal+('2028'!Salim-'2028'!Resal)*(1-EXP(('2028'!Tnet-t)/('2028'!Tau_j))),Resal+(Salim-Resal)*(1-EXP((Tnet-t)/(Tau_j))))*Salcycl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1.3623231167459197E-3</v>
      </c>
      <c r="Q321" s="301">
        <f t="shared" si="105"/>
        <v>0.5</v>
      </c>
      <c r="R321" s="173">
        <f t="shared" si="106"/>
        <v>0.46775587655014556</v>
      </c>
      <c r="S321" s="802">
        <f t="shared" si="107"/>
        <v>0</v>
      </c>
      <c r="T321" s="172">
        <f t="shared" si="108"/>
        <v>6</v>
      </c>
      <c r="U321" s="247">
        <f t="shared" si="109"/>
        <v>0.46775587655014556</v>
      </c>
      <c r="V321" s="378">
        <f t="shared" si="110"/>
        <v>26.630201448521298</v>
      </c>
      <c r="W321" s="397">
        <f t="shared" si="111"/>
        <v>8.9951098862432843</v>
      </c>
      <c r="X321" s="153">
        <f t="shared" si="112"/>
        <v>47425</v>
      </c>
      <c r="Y321" s="380">
        <f t="shared" si="113"/>
        <v>8.6822556991827913</v>
      </c>
      <c r="Z321" s="380">
        <f t="shared" si="114"/>
        <v>9.0342352035374471</v>
      </c>
      <c r="AA321" s="381">
        <f t="shared" si="115"/>
        <v>9.4737135816117242</v>
      </c>
      <c r="AB321" s="193">
        <f t="shared" si="116"/>
        <v>47425</v>
      </c>
      <c r="AC321" s="119">
        <f>IF(OR(t&lt;Tnet,NoTnet),'2028'!Resal_s+('2028'!Salim-'2028'!Resal_s)*(1-EXP(('2028'!Tnet_s-t)/'2028'!Tau_j)),Resal_s+(Salim-Resal_s)*(1-EXP((Tnet_s-t)/Tau_j)))*Salcycl</f>
        <v>4.6389240532592697E-2</v>
      </c>
      <c r="AD321" s="227">
        <f>(INDEX(Models!$BJ321:$BT321,,AH321)*(1-AF321)+INDEX(Models!$BJ321:$BT321,,AH321+1)*AF321-ERP_i)*AE321*Ramure*Pc/MaxiM</f>
        <v>1.6439526854083331E-2</v>
      </c>
      <c r="AE321" s="301">
        <f t="shared" si="117"/>
        <v>0.5</v>
      </c>
      <c r="AF321" s="173">
        <f t="shared" si="118"/>
        <v>0.99274344292412264</v>
      </c>
      <c r="AG321" s="802">
        <f t="shared" si="124"/>
        <v>3</v>
      </c>
      <c r="AH321" s="172">
        <f t="shared" si="119"/>
        <v>9</v>
      </c>
      <c r="AI321" s="221">
        <f t="shared" si="120"/>
        <v>3.9927434429241226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47426</v>
      </c>
      <c r="B322" s="406">
        <f>'2028'!Wh/'2028'!Env_an*'2029'!Env_an</f>
        <v>12.485063565722458</v>
      </c>
      <c r="C322" s="832"/>
      <c r="D322" s="388">
        <f t="shared" si="102"/>
        <v>12.991387118104305</v>
      </c>
      <c r="E322" s="380">
        <f t="shared" si="125"/>
        <v>13.160964084365951</v>
      </c>
      <c r="F322" s="380">
        <f t="shared" si="103"/>
        <v>13.16600405306964</v>
      </c>
      <c r="G322" s="110">
        <f t="shared" si="126"/>
        <v>0.47458896062957079</v>
      </c>
      <c r="H322" s="409" t="b">
        <f>Wh_hp&gt;='2028'!Maxi_hp</f>
        <v>1</v>
      </c>
      <c r="I322" s="385">
        <f>IF(H322,Wh_hp,'2028'!Maxi_hp)</f>
        <v>13.16600405306964</v>
      </c>
      <c r="J322" s="85">
        <f>IF(H322,An,'2028'!An_max)</f>
        <v>2029</v>
      </c>
      <c r="K322" s="193">
        <f t="shared" si="104"/>
        <v>47426</v>
      </c>
      <c r="L322" s="143">
        <f>IF(t&lt;Tvie,1-EXP((T0-t)*PertePVj)+'2028'!Pspv,1-EXP((T0-t)*PertePVj)+Pspv)</f>
        <v>3.8973786846537295E-2</v>
      </c>
      <c r="M322" s="836"/>
      <c r="N322" s="836"/>
      <c r="O322" s="48">
        <f>IF(t&lt;Tnet,'2028'!Resal+('2028'!Salim-'2028'!Resal)*(1-EXP(('2028'!Tnet-t)/('2028'!Tau_j))),Resal+(Salim-Resal)*(1-EXP((Tnet-t)/(Tau_j))))*Salcycl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1.5300329649066001E-3</v>
      </c>
      <c r="Q322" s="301">
        <f t="shared" si="105"/>
        <v>0.5</v>
      </c>
      <c r="R322" s="173">
        <f t="shared" si="106"/>
        <v>0.4678056215003179</v>
      </c>
      <c r="S322" s="802">
        <f t="shared" si="107"/>
        <v>0</v>
      </c>
      <c r="T322" s="172">
        <f t="shared" si="108"/>
        <v>6</v>
      </c>
      <c r="U322" s="247">
        <f t="shared" si="109"/>
        <v>0.4678056215003179</v>
      </c>
      <c r="V322" s="378">
        <f t="shared" si="110"/>
        <v>26.276917206033865</v>
      </c>
      <c r="W322" s="397">
        <f t="shared" si="111"/>
        <v>12.485063565722458</v>
      </c>
      <c r="X322" s="153">
        <f t="shared" si="112"/>
        <v>47426</v>
      </c>
      <c r="Y322" s="380">
        <f t="shared" si="113"/>
        <v>12.012617470009182</v>
      </c>
      <c r="Z322" s="380">
        <f t="shared" si="114"/>
        <v>12.499781281294698</v>
      </c>
      <c r="AA322" s="381">
        <f t="shared" si="115"/>
        <v>13.107837186352828</v>
      </c>
      <c r="AB322" s="193">
        <f t="shared" si="116"/>
        <v>47426</v>
      </c>
      <c r="AC322" s="119">
        <f>IF(OR(t&lt;Tnet,NoTnet),'2028'!Resal_s+('2028'!Salim-'2028'!Resal_s)*(1-EXP(('2028'!Tnet_s-t)/'2028'!Tau_j)),Resal_s+(Salim-Resal_s)*(1-EXP((Tnet_s-t)/Tau_j)))*Salcycl</f>
        <v>4.6388728850798165E-2</v>
      </c>
      <c r="AD322" s="227">
        <f>(INDEX(Models!$BJ322:$BT322,,AH322)*(1-AF322)+INDEX(Models!$BJ322:$BT322,,AH322+1)*AF322-ERP_i)*AE322*Ramure*Pc/MaxiM</f>
        <v>1.7658288924867819E-2</v>
      </c>
      <c r="AE322" s="301">
        <f t="shared" si="117"/>
        <v>0.5</v>
      </c>
      <c r="AF322" s="173">
        <f t="shared" si="118"/>
        <v>0.99279318787429505</v>
      </c>
      <c r="AG322" s="802">
        <f t="shared" si="124"/>
        <v>3</v>
      </c>
      <c r="AH322" s="172">
        <f t="shared" si="119"/>
        <v>9</v>
      </c>
      <c r="AI322" s="221">
        <f t="shared" si="120"/>
        <v>3.992793187874295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47427</v>
      </c>
      <c r="B323" s="406">
        <f>'2028'!Wh/'2028'!Env_an*'2029'!Env_an</f>
        <v>25.162038044532654</v>
      </c>
      <c r="C323" s="832"/>
      <c r="D323" s="388">
        <f t="shared" si="102"/>
        <v>26.182826391230325</v>
      </c>
      <c r="E323" s="380">
        <f t="shared" si="125"/>
        <v>26.526034110323948</v>
      </c>
      <c r="F323" s="380">
        <f t="shared" si="103"/>
        <v>26.56948731621242</v>
      </c>
      <c r="G323" s="110">
        <f t="shared" si="126"/>
        <v>0.97043861891849748</v>
      </c>
      <c r="H323" s="409" t="b">
        <f>Wh_hp&gt;='2028'!Maxi_hp</f>
        <v>1</v>
      </c>
      <c r="I323" s="385">
        <f>IF(H323,Wh_hp,'2028'!Maxi_hp)</f>
        <v>26.56948731621242</v>
      </c>
      <c r="J323" s="85">
        <f>IF(H323,An,'2028'!An_max)</f>
        <v>2029</v>
      </c>
      <c r="K323" s="193">
        <f t="shared" si="104"/>
        <v>47427</v>
      </c>
      <c r="L323" s="143">
        <f>IF(t&lt;Tvie,1-EXP((T0-t)*PertePVj)+'2028'!Pspv,1-EXP((T0-t)*PertePVj)+Pspv)</f>
        <v>3.8986942488362319E-2</v>
      </c>
      <c r="M323" s="836"/>
      <c r="N323" s="836"/>
      <c r="O323" s="48">
        <f>IF(t&lt;Tnet,'2028'!Resal+('2028'!Salim-'2028'!Resal)*(1-EXP(('2028'!Tnet-t)/('2028'!Tau_j))),Resal+(Salim-Resal)*(1-EXP((Tnet-t)/(Tau_j))))*Salcycl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1.7073885785608605E-3</v>
      </c>
      <c r="Q323" s="301">
        <f t="shared" si="105"/>
        <v>0.5</v>
      </c>
      <c r="R323" s="173">
        <f t="shared" si="106"/>
        <v>0.46785337289070733</v>
      </c>
      <c r="S323" s="802">
        <f t="shared" si="107"/>
        <v>0</v>
      </c>
      <c r="T323" s="172">
        <f t="shared" si="108"/>
        <v>6</v>
      </c>
      <c r="U323" s="247">
        <f t="shared" si="109"/>
        <v>0.46785337289070733</v>
      </c>
      <c r="V323" s="378">
        <f t="shared" si="110"/>
        <v>25.926652750967918</v>
      </c>
      <c r="W323" s="397">
        <f t="shared" si="111"/>
        <v>25.162038044532654</v>
      </c>
      <c r="X323" s="153">
        <f t="shared" si="112"/>
        <v>47427</v>
      </c>
      <c r="Y323" s="380">
        <f t="shared" si="113"/>
        <v>23.909206182608358</v>
      </c>
      <c r="Z323" s="380">
        <f t="shared" si="114"/>
        <v>24.879168910063246</v>
      </c>
      <c r="AA323" s="381">
        <f t="shared" si="115"/>
        <v>26.089411488047848</v>
      </c>
      <c r="AB323" s="193">
        <f t="shared" si="116"/>
        <v>47427</v>
      </c>
      <c r="AC323" s="119">
        <f>IF(OR(t&lt;Tnet,NoTnet),'2028'!Resal_s+('2028'!Salim-'2028'!Resal_s)*(1-EXP(('2028'!Tnet_s-t)/'2028'!Tau_j)),Resal_s+(Salim-Resal_s)*(1-EXP((Tnet_s-t)/Tau_j)))*Salcycl</f>
        <v>4.6388266693522036E-2</v>
      </c>
      <c r="AD323" s="227">
        <f>(INDEX(Models!$BJ323:$BT323,,AH323)*(1-AF323)+INDEX(Models!$BJ323:$BT323,,AH323+1)*AF323-ERP_i)*AE323*Ramure*Pc/MaxiM</f>
        <v>1.8863417993947813E-2</v>
      </c>
      <c r="AE323" s="301">
        <f t="shared" si="117"/>
        <v>0.5</v>
      </c>
      <c r="AF323" s="173">
        <f t="shared" si="118"/>
        <v>0.99284093926468442</v>
      </c>
      <c r="AG323" s="802">
        <f t="shared" si="124"/>
        <v>3</v>
      </c>
      <c r="AH323" s="172">
        <f t="shared" si="119"/>
        <v>9</v>
      </c>
      <c r="AI323" s="221">
        <f t="shared" si="120"/>
        <v>3.9928409392646844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47428</v>
      </c>
      <c r="B324" s="406">
        <f>'2028'!Wh/'2028'!Env_an*'2029'!Env_an</f>
        <v>25.224290181341608</v>
      </c>
      <c r="C324" s="832"/>
      <c r="D324" s="388">
        <f t="shared" si="102"/>
        <v>26.24796332188572</v>
      </c>
      <c r="E324" s="380">
        <f t="shared" si="125"/>
        <v>26.593468490330778</v>
      </c>
      <c r="F324" s="380">
        <f t="shared" si="103"/>
        <v>26.642633436722377</v>
      </c>
      <c r="G324" s="110">
        <f t="shared" si="126"/>
        <v>0.98604838197915889</v>
      </c>
      <c r="H324" s="409" t="b">
        <f>Wh_hp&gt;='2028'!Maxi_hp</f>
        <v>1</v>
      </c>
      <c r="I324" s="385">
        <f>IF(H324,Wh_hp,'2028'!Maxi_hp)</f>
        <v>26.642633436722377</v>
      </c>
      <c r="J324" s="85">
        <f>IF(H324,An,'2028'!An_max)</f>
        <v>2029</v>
      </c>
      <c r="K324" s="193">
        <f t="shared" si="104"/>
        <v>47428</v>
      </c>
      <c r="L324" s="143">
        <f>IF(t&lt;Tvie,1-EXP((T0-t)*PertePVj)+'2028'!Pspv,1-EXP((T0-t)*PertePVj)+Pspv)</f>
        <v>3.9000097950097623E-2</v>
      </c>
      <c r="M324" s="836"/>
      <c r="N324" s="836"/>
      <c r="O324" s="48">
        <f>IF(t&lt;Tnet,'2028'!Resal+('2028'!Salim-'2028'!Resal)*(1-EXP(('2028'!Tnet-t)/('2028'!Tau_j))),Resal+(Salim-Resal)*(1-EXP((Tnet-t)/(Tau_j))))*Salcycl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1.8827745148550733E-3</v>
      </c>
      <c r="Q324" s="301">
        <f t="shared" si="105"/>
        <v>0.5</v>
      </c>
      <c r="R324" s="173">
        <f t="shared" si="106"/>
        <v>0.4678992102551765</v>
      </c>
      <c r="S324" s="802">
        <f t="shared" si="107"/>
        <v>0</v>
      </c>
      <c r="T324" s="172">
        <f t="shared" si="108"/>
        <v>6</v>
      </c>
      <c r="U324" s="247">
        <f t="shared" si="109"/>
        <v>0.4678992102551765</v>
      </c>
      <c r="V324" s="378">
        <f t="shared" si="110"/>
        <v>25.580229991701721</v>
      </c>
      <c r="W324" s="397">
        <f t="shared" si="111"/>
        <v>25.224290181341608</v>
      </c>
      <c r="X324" s="153">
        <f t="shared" si="112"/>
        <v>47428</v>
      </c>
      <c r="Y324" s="380">
        <f t="shared" si="113"/>
        <v>23.937396132279972</v>
      </c>
      <c r="Z324" s="380">
        <f t="shared" si="114"/>
        <v>24.908843467329469</v>
      </c>
      <c r="AA324" s="381">
        <f t="shared" si="115"/>
        <v>26.120519588302979</v>
      </c>
      <c r="AB324" s="193">
        <f t="shared" si="116"/>
        <v>47428</v>
      </c>
      <c r="AC324" s="119">
        <f>IF(OR(t&lt;Tnet,NoTnet),'2028'!Resal_s+('2028'!Salim-'2028'!Resal_s)*(1-EXP(('2028'!Tnet_s-t)/'2028'!Tau_j)),Resal_s+(Salim-Resal_s)*(1-EXP((Tnet_s-t)/Tau_j)))*Salcycl</f>
        <v>4.6387902693792886E-2</v>
      </c>
      <c r="AD324" s="227">
        <f>(INDEX(Models!$BJ324:$BT324,,AH324)*(1-AF324)+INDEX(Models!$BJ324:$BT324,,AH324+1)*AF324-ERP_i)*AE324*Ramure*Pc/MaxiM</f>
        <v>1.999438054558508E-2</v>
      </c>
      <c r="AE324" s="301">
        <f t="shared" si="117"/>
        <v>0.5</v>
      </c>
      <c r="AF324" s="173">
        <f t="shared" si="118"/>
        <v>0.99288677662915381</v>
      </c>
      <c r="AG324" s="802">
        <f t="shared" si="124"/>
        <v>3</v>
      </c>
      <c r="AH324" s="172">
        <f t="shared" si="119"/>
        <v>9</v>
      </c>
      <c r="AI324" s="221">
        <f t="shared" si="120"/>
        <v>3.9928867766291538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47429</v>
      </c>
      <c r="B325" s="406">
        <f>'2028'!Wh/'2028'!Env_an*'2029'!Env_an</f>
        <v>25.025270176874706</v>
      </c>
      <c r="C325" s="832"/>
      <c r="D325" s="388">
        <f t="shared" si="102"/>
        <v>26.041223004410121</v>
      </c>
      <c r="E325" s="380">
        <f t="shared" si="125"/>
        <v>26.385437021454134</v>
      </c>
      <c r="F325" s="380">
        <f t="shared" si="103"/>
        <v>26.438919159325689</v>
      </c>
      <c r="G325" s="110">
        <f t="shared" si="126"/>
        <v>0.99153161898175157</v>
      </c>
      <c r="H325" s="409" t="b">
        <f>Wh_hp&gt;='2028'!Maxi_hp</f>
        <v>1</v>
      </c>
      <c r="I325" s="385">
        <f>IF(H325,Wh_hp,'2028'!Maxi_hp)</f>
        <v>26.438919159325689</v>
      </c>
      <c r="J325" s="85">
        <f>IF(H325,An,'2028'!An_max)</f>
        <v>2029</v>
      </c>
      <c r="K325" s="193">
        <f t="shared" si="104"/>
        <v>47429</v>
      </c>
      <c r="L325" s="143">
        <f>IF(t&lt;Tvie,1-EXP((T0-t)*PertePVj)+'2028'!Pspv,1-EXP((T0-t)*PertePVj)+Pspv)</f>
        <v>3.9013253231745759E-2</v>
      </c>
      <c r="M325" s="836"/>
      <c r="N325" s="836"/>
      <c r="O325" s="48">
        <f>IF(t&lt;Tnet,'2028'!Resal+('2028'!Salim-'2028'!Resal)*(1-EXP(('2028'!Tnet-t)/('2028'!Tau_j))),Resal+(Salim-Resal)*(1-EXP((Tnet-t)/(Tau_j))))*Salcycl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2.0475553419524793E-3</v>
      </c>
      <c r="Q325" s="301">
        <f t="shared" si="105"/>
        <v>0.5</v>
      </c>
      <c r="R325" s="173">
        <f t="shared" si="106"/>
        <v>0.46794320998284761</v>
      </c>
      <c r="S325" s="802">
        <f t="shared" si="107"/>
        <v>0</v>
      </c>
      <c r="T325" s="172">
        <f t="shared" si="108"/>
        <v>6</v>
      </c>
      <c r="U325" s="247">
        <f t="shared" si="109"/>
        <v>0.46794320998284761</v>
      </c>
      <c r="V325" s="378">
        <f t="shared" si="110"/>
        <v>25.238379037280037</v>
      </c>
      <c r="W325" s="397">
        <f t="shared" si="111"/>
        <v>25.025270176874706</v>
      </c>
      <c r="X325" s="153">
        <f t="shared" si="112"/>
        <v>47429</v>
      </c>
      <c r="Y325" s="380">
        <f t="shared" si="113"/>
        <v>23.72564350952571</v>
      </c>
      <c r="Z325" s="380">
        <f t="shared" si="114"/>
        <v>24.688835292800601</v>
      </c>
      <c r="AA325" s="381">
        <f t="shared" si="115"/>
        <v>25.889803343412634</v>
      </c>
      <c r="AB325" s="193">
        <f t="shared" si="116"/>
        <v>47429</v>
      </c>
      <c r="AC325" s="119">
        <f>IF(OR(t&lt;Tnet,NoTnet),'2028'!Resal_s+('2028'!Salim-'2028'!Resal_s)*(1-EXP(('2028'!Tnet_s-t)/'2028'!Tau_j)),Resal_s+(Salim-Resal_s)*(1-EXP((Tnet_s-t)/Tau_j)))*Salcycl</f>
        <v>4.6387685324678359E-2</v>
      </c>
      <c r="AD325" s="227">
        <f>(INDEX(Models!$BJ325:$BT325,,AH325)*(1-AF325)+INDEX(Models!$BJ325:$BT325,,AH325+1)*AF325-ERP_i)*AE325*Ramure*Pc/MaxiM</f>
        <v>2.1022813727522426E-2</v>
      </c>
      <c r="AE325" s="301">
        <f t="shared" si="117"/>
        <v>0.5</v>
      </c>
      <c r="AF325" s="173">
        <f t="shared" si="118"/>
        <v>0.99293077635682492</v>
      </c>
      <c r="AG325" s="802">
        <f t="shared" si="124"/>
        <v>3</v>
      </c>
      <c r="AH325" s="172">
        <f t="shared" si="119"/>
        <v>9</v>
      </c>
      <c r="AI325" s="221">
        <f t="shared" si="120"/>
        <v>3.9929307763568249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47430</v>
      </c>
      <c r="B326" s="406">
        <f>'2028'!Wh/'2028'!Env_an*'2029'!Env_an</f>
        <v>18.107645472709283</v>
      </c>
      <c r="C326" s="832"/>
      <c r="D326" s="388">
        <f t="shared" si="102"/>
        <v>18.843020900609549</v>
      </c>
      <c r="E326" s="380">
        <f t="shared" si="125"/>
        <v>19.093122427523326</v>
      </c>
      <c r="F326" s="380">
        <f t="shared" si="103"/>
        <v>19.118807313115258</v>
      </c>
      <c r="G326" s="110">
        <f t="shared" si="126"/>
        <v>0.72654291351231781</v>
      </c>
      <c r="H326" s="409" t="b">
        <f>Wh_hp&gt;='2028'!Maxi_hp</f>
        <v>1</v>
      </c>
      <c r="I326" s="385">
        <f>IF(H326,Wh_hp,'2028'!Maxi_hp)</f>
        <v>19.118807313115258</v>
      </c>
      <c r="J326" s="85">
        <f>IF(H326,An,'2028'!An_max)</f>
        <v>2029</v>
      </c>
      <c r="K326" s="193">
        <f t="shared" si="104"/>
        <v>47430</v>
      </c>
      <c r="L326" s="143">
        <f>IF(t&lt;Tvie,1-EXP((T0-t)*PertePVj)+'2028'!Pspv,1-EXP((T0-t)*PertePVj)+Pspv)</f>
        <v>3.902640833330917E-2</v>
      </c>
      <c r="M326" s="836"/>
      <c r="N326" s="836"/>
      <c r="O326" s="48">
        <f>IF(t&lt;Tnet,'2028'!Resal+('2028'!Salim-'2028'!Resal)*(1-EXP(('2028'!Tnet-t)/('2028'!Tau_j))),Resal+(Salim-Resal)*(1-EXP((Tnet-t)/(Tau_j))))*Salcycl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2.2014887553188796E-3</v>
      </c>
      <c r="Q326" s="301">
        <f t="shared" si="105"/>
        <v>0.5</v>
      </c>
      <c r="R326" s="173">
        <f t="shared" si="106"/>
        <v>0.46798544544021364</v>
      </c>
      <c r="S326" s="802">
        <f t="shared" si="107"/>
        <v>0</v>
      </c>
      <c r="T326" s="172">
        <f t="shared" si="108"/>
        <v>6</v>
      </c>
      <c r="U326" s="247">
        <f t="shared" si="109"/>
        <v>0.46798544544021364</v>
      </c>
      <c r="V326" s="378">
        <f t="shared" si="110"/>
        <v>24.901608579045782</v>
      </c>
      <c r="W326" s="397">
        <f t="shared" si="111"/>
        <v>18.107645472709283</v>
      </c>
      <c r="X326" s="153">
        <f t="shared" si="112"/>
        <v>47430</v>
      </c>
      <c r="Y326" s="380">
        <f t="shared" si="113"/>
        <v>17.285759918620293</v>
      </c>
      <c r="Z326" s="380">
        <f t="shared" si="114"/>
        <v>17.987757487321023</v>
      </c>
      <c r="AA326" s="381">
        <f t="shared" si="115"/>
        <v>18.862756681409522</v>
      </c>
      <c r="AB326" s="193">
        <f t="shared" si="116"/>
        <v>47430</v>
      </c>
      <c r="AC326" s="119">
        <f>IF(OR(t&lt;Tnet,NoTnet),'2028'!Resal_s+('2028'!Salim-'2028'!Resal_s)*(1-EXP(('2028'!Tnet_s-t)/'2028'!Tau_j)),Resal_s+(Salim-Resal_s)*(1-EXP((Tnet_s-t)/Tau_j)))*Salcycl</f>
        <v>4.6387662676625918E-2</v>
      </c>
      <c r="AD326" s="227">
        <f>(INDEX(Models!$BJ326:$BT326,,AH326)*(1-AF326)+INDEX(Models!$BJ326:$BT326,,AH326+1)*AF326-ERP_i)*AE326*Ramure*Pc/MaxiM</f>
        <v>2.194647059940865E-2</v>
      </c>
      <c r="AE326" s="301">
        <f t="shared" si="117"/>
        <v>0.5</v>
      </c>
      <c r="AF326" s="173">
        <f t="shared" si="118"/>
        <v>0.99297301181419062</v>
      </c>
      <c r="AG326" s="802">
        <f t="shared" si="124"/>
        <v>3</v>
      </c>
      <c r="AH326" s="172">
        <f t="shared" si="119"/>
        <v>9</v>
      </c>
      <c r="AI326" s="221">
        <f t="shared" si="120"/>
        <v>3.9929730118141906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47431</v>
      </c>
      <c r="B327" s="406">
        <f>'2028'!Wh/'2028'!Env_an*'2029'!Env_an</f>
        <v>10.100242106789583</v>
      </c>
      <c r="C327" s="832"/>
      <c r="D327" s="388">
        <f t="shared" si="102"/>
        <v>10.510570176020236</v>
      </c>
      <c r="E327" s="380">
        <f t="shared" si="125"/>
        <v>10.650651972502628</v>
      </c>
      <c r="F327" s="380">
        <f t="shared" si="103"/>
        <v>10.654615352614371</v>
      </c>
      <c r="G327" s="110">
        <f t="shared" si="126"/>
        <v>0.41026204367233776</v>
      </c>
      <c r="H327" s="409" t="b">
        <f>Wh_hp&gt;='2028'!Maxi_hp</f>
        <v>1</v>
      </c>
      <c r="I327" s="385">
        <f>IF(H327,Wh_hp,'2028'!Maxi_hp)</f>
        <v>10.654615352614371</v>
      </c>
      <c r="J327" s="85">
        <f>IF(H327,An,'2028'!An_max)</f>
        <v>2029</v>
      </c>
      <c r="K327" s="193">
        <f t="shared" si="104"/>
        <v>47431</v>
      </c>
      <c r="L327" s="143">
        <f>IF(t&lt;Tvie,1-EXP((T0-t)*PertePVj)+'2028'!Pspv,1-EXP((T0-t)*PertePVj)+Pspv)</f>
        <v>3.9039563254790188E-2</v>
      </c>
      <c r="M327" s="836"/>
      <c r="N327" s="836"/>
      <c r="O327" s="48">
        <f>IF(t&lt;Tnet,'2028'!Resal+('2028'!Salim-'2028'!Resal)*(1-EXP(('2028'!Tnet-t)/('2028'!Tau_j))),Resal+(Salim-Resal)*(1-EXP((Tnet-t)/(Tau_j))))*Salcycl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2.3443207093344597E-3</v>
      </c>
      <c r="Q327" s="301">
        <f t="shared" si="105"/>
        <v>0.5</v>
      </c>
      <c r="R327" s="173">
        <f t="shared" si="106"/>
        <v>0.46802598708868315</v>
      </c>
      <c r="S327" s="802">
        <f t="shared" si="107"/>
        <v>0</v>
      </c>
      <c r="T327" s="172">
        <f t="shared" si="108"/>
        <v>6</v>
      </c>
      <c r="U327" s="247">
        <f t="shared" si="109"/>
        <v>0.46802598708868315</v>
      </c>
      <c r="V327" s="378">
        <f t="shared" si="110"/>
        <v>24.570427127670701</v>
      </c>
      <c r="W327" s="397">
        <f t="shared" si="111"/>
        <v>10.100242106789583</v>
      </c>
      <c r="X327" s="153">
        <f t="shared" si="112"/>
        <v>47431</v>
      </c>
      <c r="Y327" s="380">
        <f t="shared" si="113"/>
        <v>9.7284479255205945</v>
      </c>
      <c r="Z327" s="380">
        <f t="shared" si="114"/>
        <v>10.123671645079398</v>
      </c>
      <c r="AA327" s="381">
        <f t="shared" si="115"/>
        <v>10.616131503036526</v>
      </c>
      <c r="AB327" s="193">
        <f t="shared" si="116"/>
        <v>47431</v>
      </c>
      <c r="AC327" s="119">
        <f>IF(OR(t&lt;Tnet,NoTnet),'2028'!Resal_s+('2028'!Salim-'2028'!Resal_s)*(1-EXP(('2028'!Tnet_s-t)/'2028'!Tau_j)),Resal_s+(Salim-Resal_s)*(1-EXP((Tnet_s-t)/Tau_j)))*Salcycl</f>
        <v>4.6387882235282139E-2</v>
      </c>
      <c r="AD327" s="227">
        <f>(INDEX(Models!$BJ327:$BT327,,AH327)*(1-AF327)+INDEX(Models!$BJ327:$BT327,,AH327+1)*AF327-ERP_i)*AE327*Ramure*Pc/MaxiM</f>
        <v>2.2763016162122049E-2</v>
      </c>
      <c r="AE327" s="301">
        <f t="shared" si="117"/>
        <v>0.5</v>
      </c>
      <c r="AF327" s="173">
        <f t="shared" si="118"/>
        <v>0.99301355346266007</v>
      </c>
      <c r="AG327" s="802">
        <f t="shared" si="124"/>
        <v>3</v>
      </c>
      <c r="AH327" s="172">
        <f t="shared" si="119"/>
        <v>9</v>
      </c>
      <c r="AI327" s="221">
        <f t="shared" si="120"/>
        <v>3.9930135534626601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47432</v>
      </c>
      <c r="B328" s="406">
        <f>'2028'!Wh/'2028'!Env_an*'2029'!Env_an</f>
        <v>18.367660148899116</v>
      </c>
      <c r="C328" s="832"/>
      <c r="D328" s="388">
        <f t="shared" si="102"/>
        <v>19.114118425516622</v>
      </c>
      <c r="E328" s="380">
        <f t="shared" si="125"/>
        <v>19.369912718554605</v>
      </c>
      <c r="F328" s="380">
        <f t="shared" si="103"/>
        <v>19.401311166578108</v>
      </c>
      <c r="G328" s="110">
        <f t="shared" si="126"/>
        <v>0.75692415671637636</v>
      </c>
      <c r="H328" s="409" t="b">
        <f>Wh_hp&gt;='2028'!Maxi_hp</f>
        <v>1</v>
      </c>
      <c r="I328" s="385">
        <f>IF(H328,Wh_hp,'2028'!Maxi_hp)</f>
        <v>19.401311166578108</v>
      </c>
      <c r="J328" s="85">
        <f>IF(H328,An,'2028'!An_max)</f>
        <v>2029</v>
      </c>
      <c r="K328" s="193">
        <f t="shared" si="104"/>
        <v>47432</v>
      </c>
      <c r="L328" s="143">
        <f>IF(t&lt;Tvie,1-EXP((T0-t)*PertePVj)+'2028'!Pspv,1-EXP((T0-t)*PertePVj)+Pspv)</f>
        <v>3.9052717996191366E-2</v>
      </c>
      <c r="M328" s="836"/>
      <c r="N328" s="836"/>
      <c r="O328" s="48">
        <f>IF(t&lt;Tnet,'2028'!Resal+('2028'!Salim-'2028'!Resal)*(1-EXP(('2028'!Tnet-t)/('2028'!Tau_j))),Resal+(Salim-Resal)*(1-EXP((Tnet-t)/(Tau_j))))*Salcycl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2.475785827698895E-3</v>
      </c>
      <c r="Q328" s="301">
        <f t="shared" si="105"/>
        <v>0.5</v>
      </c>
      <c r="R328" s="173">
        <f t="shared" si="106"/>
        <v>0.46806490259771832</v>
      </c>
      <c r="S328" s="802">
        <f t="shared" si="107"/>
        <v>0</v>
      </c>
      <c r="T328" s="172">
        <f t="shared" si="108"/>
        <v>6</v>
      </c>
      <c r="U328" s="247">
        <f t="shared" si="109"/>
        <v>0.46806490259771832</v>
      </c>
      <c r="V328" s="378">
        <f t="shared" si="110"/>
        <v>24.245343058157331</v>
      </c>
      <c r="W328" s="397">
        <f t="shared" si="111"/>
        <v>18.367660148899116</v>
      </c>
      <c r="X328" s="153">
        <f t="shared" si="112"/>
        <v>47432</v>
      </c>
      <c r="Y328" s="380">
        <f t="shared" si="113"/>
        <v>17.506029379954487</v>
      </c>
      <c r="Z328" s="380">
        <f t="shared" si="114"/>
        <v>18.217471143110121</v>
      </c>
      <c r="AA328" s="381">
        <f t="shared" si="115"/>
        <v>19.103659146667031</v>
      </c>
      <c r="AB328" s="193">
        <f t="shared" si="116"/>
        <v>47432</v>
      </c>
      <c r="AC328" s="119">
        <f>IF(OR(t&lt;Tnet,NoTnet),'2028'!Resal_s+('2028'!Salim-'2028'!Resal_s)*(1-EXP(('2028'!Tnet_s-t)/'2028'!Tau_j)),Resal_s+(Salim-Resal_s)*(1-EXP((Tnet_s-t)/Tau_j)))*Salcycl</f>
        <v>4.6388390661352481E-2</v>
      </c>
      <c r="AD328" s="227">
        <f>(INDEX(Models!$BJ328:$BT328,,AH328)*(1-AF328)+INDEX(Models!$BJ328:$BT328,,AH328+1)*AF328-ERP_i)*AE328*Ramure*Pc/MaxiM</f>
        <v>2.3470034312848012E-2</v>
      </c>
      <c r="AE328" s="301">
        <f t="shared" si="117"/>
        <v>0.5</v>
      </c>
      <c r="AF328" s="173">
        <f t="shared" si="118"/>
        <v>0.9930524689716953</v>
      </c>
      <c r="AG328" s="802">
        <f t="shared" si="124"/>
        <v>3</v>
      </c>
      <c r="AH328" s="172">
        <f t="shared" si="119"/>
        <v>9</v>
      </c>
      <c r="AI328" s="221">
        <f t="shared" si="120"/>
        <v>3.9930524689716953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47433</v>
      </c>
      <c r="B329" s="406">
        <f>'2028'!Wh/'2028'!Env_an*'2029'!Env_an</f>
        <v>21.853459554573259</v>
      </c>
      <c r="C329" s="832"/>
      <c r="D329" s="388">
        <f t="shared" si="102"/>
        <v>22.741891385142075</v>
      </c>
      <c r="E329" s="380">
        <f t="shared" si="125"/>
        <v>23.047479459694017</v>
      </c>
      <c r="F329" s="380">
        <f t="shared" si="103"/>
        <v>23.100015519056523</v>
      </c>
      <c r="G329" s="110">
        <f t="shared" si="126"/>
        <v>0.91304990811508391</v>
      </c>
      <c r="H329" s="409" t="b">
        <f>Wh_hp&gt;='2028'!Maxi_hp</f>
        <v>1</v>
      </c>
      <c r="I329" s="385">
        <f>IF(H329,Wh_hp,'2028'!Maxi_hp)</f>
        <v>23.100015519056523</v>
      </c>
      <c r="J329" s="85">
        <f>IF(H329,An,'2028'!An_max)</f>
        <v>2029</v>
      </c>
      <c r="K329" s="193">
        <f t="shared" si="104"/>
        <v>47433</v>
      </c>
      <c r="L329" s="143">
        <f>IF(t&lt;Tvie,1-EXP((T0-t)*PertePVj)+'2028'!Pspv,1-EXP((T0-t)*PertePVj)+Pspv)</f>
        <v>3.9065872557515258E-2</v>
      </c>
      <c r="M329" s="836"/>
      <c r="N329" s="836"/>
      <c r="O329" s="48">
        <f>IF(t&lt;Tnet,'2028'!Resal+('2028'!Salim-'2028'!Resal)*(1-EXP(('2028'!Tnet-t)/('2028'!Tau_j))),Resal+(Salim-Resal)*(1-EXP((Tnet-t)/(Tau_j))))*Salcycl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2.5956079937959936E-3</v>
      </c>
      <c r="Q329" s="301">
        <f t="shared" si="105"/>
        <v>0.5</v>
      </c>
      <c r="R329" s="173">
        <f t="shared" si="106"/>
        <v>0.46810225695371543</v>
      </c>
      <c r="S329" s="802">
        <f t="shared" si="107"/>
        <v>0</v>
      </c>
      <c r="T329" s="172">
        <f t="shared" si="108"/>
        <v>6</v>
      </c>
      <c r="U329" s="247">
        <f t="shared" si="109"/>
        <v>0.46810225695371543</v>
      </c>
      <c r="V329" s="378">
        <f t="shared" si="110"/>
        <v>23.926864647084088</v>
      </c>
      <c r="W329" s="397">
        <f t="shared" si="111"/>
        <v>21.853459554573259</v>
      </c>
      <c r="X329" s="153">
        <f t="shared" si="112"/>
        <v>47433</v>
      </c>
      <c r="Y329" s="380">
        <f t="shared" si="113"/>
        <v>20.721519935824038</v>
      </c>
      <c r="Z329" s="380">
        <f t="shared" si="114"/>
        <v>21.563933826529951</v>
      </c>
      <c r="AA329" s="381">
        <f t="shared" si="115"/>
        <v>22.61293033356775</v>
      </c>
      <c r="AB329" s="193">
        <f t="shared" si="116"/>
        <v>47433</v>
      </c>
      <c r="AC329" s="119">
        <f>IF(OR(t&lt;Tnet,NoTnet),'2028'!Resal_s+('2028'!Salim-'2028'!Resal_s)*(1-EXP(('2028'!Tnet_s-t)/'2028'!Tau_j)),Resal_s+(Salim-Resal_s)*(1-EXP((Tnet_s-t)/Tau_j)))*Salcycl</f>
        <v>4.6389233574059156E-2</v>
      </c>
      <c r="AD329" s="227">
        <f>(INDEX(Models!$BJ329:$BT329,,AH329)*(1-AF329)+INDEX(Models!$BJ329:$BT329,,AH329+1)*AF329-ERP_i)*AE329*Ramure*Pc/MaxiM</f>
        <v>2.4065036785317424E-2</v>
      </c>
      <c r="AE329" s="301">
        <f t="shared" si="117"/>
        <v>0.5</v>
      </c>
      <c r="AF329" s="173">
        <f t="shared" si="118"/>
        <v>0.99308982332769258</v>
      </c>
      <c r="AG329" s="802">
        <f t="shared" si="124"/>
        <v>3</v>
      </c>
      <c r="AH329" s="172">
        <f t="shared" si="119"/>
        <v>9</v>
      </c>
      <c r="AI329" s="221">
        <f t="shared" si="120"/>
        <v>3.9930898233276926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47434</v>
      </c>
      <c r="B330" s="406">
        <f>'2028'!Wh/'2028'!Env_an*'2029'!Env_an</f>
        <v>21.985845798060932</v>
      </c>
      <c r="C330" s="832"/>
      <c r="D330" s="388">
        <f t="shared" si="102"/>
        <v>22.8799728743769</v>
      </c>
      <c r="E330" s="380">
        <f t="shared" si="125"/>
        <v>23.188669013805729</v>
      </c>
      <c r="F330" s="380">
        <f t="shared" si="103"/>
        <v>23.245317456420246</v>
      </c>
      <c r="G330" s="110">
        <f t="shared" si="126"/>
        <v>0.93074344167074219</v>
      </c>
      <c r="H330" s="409" t="b">
        <f>Wh_hp&gt;='2028'!Maxi_hp</f>
        <v>1</v>
      </c>
      <c r="I330" s="385">
        <f>IF(H330,Wh_hp,'2028'!Maxi_hp)</f>
        <v>23.245317456420246</v>
      </c>
      <c r="J330" s="85">
        <f>IF(H330,An,'2028'!An_max)</f>
        <v>2029</v>
      </c>
      <c r="K330" s="193">
        <f t="shared" si="104"/>
        <v>47434</v>
      </c>
      <c r="L330" s="143">
        <f>IF(t&lt;Tvie,1-EXP((T0-t)*PertePVj)+'2028'!Pspv,1-EXP((T0-t)*PertePVj)+Pspv)</f>
        <v>3.9079026938764194E-2</v>
      </c>
      <c r="M330" s="836"/>
      <c r="N330" s="836"/>
      <c r="O330" s="48">
        <f>IF(t&lt;Tnet,'2028'!Resal+('2028'!Salim-'2028'!Resal)*(1-EXP(('2028'!Tnet-t)/('2028'!Tau_j))),Resal+(Salim-Resal)*(1-EXP((Tnet-t)/(Tau_j))))*Salcycl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2.7035011589836145E-3</v>
      </c>
      <c r="Q330" s="301">
        <f t="shared" si="105"/>
        <v>0.5</v>
      </c>
      <c r="R330" s="173">
        <f t="shared" si="106"/>
        <v>0.46813811256477866</v>
      </c>
      <c r="S330" s="802">
        <f t="shared" si="107"/>
        <v>0</v>
      </c>
      <c r="T330" s="172">
        <f t="shared" si="108"/>
        <v>6</v>
      </c>
      <c r="U330" s="247">
        <f t="shared" si="109"/>
        <v>0.46813811256477866</v>
      </c>
      <c r="V330" s="378">
        <f t="shared" si="110"/>
        <v>23.615500116714827</v>
      </c>
      <c r="W330" s="397">
        <f t="shared" si="111"/>
        <v>21.985845798060932</v>
      </c>
      <c r="X330" s="153">
        <f t="shared" si="112"/>
        <v>47434</v>
      </c>
      <c r="Y330" s="380">
        <f t="shared" si="113"/>
        <v>20.829400373676418</v>
      </c>
      <c r="Z330" s="380">
        <f t="shared" si="114"/>
        <v>21.676496775088122</v>
      </c>
      <c r="AA330" s="381">
        <f t="shared" si="115"/>
        <v>22.730998128600572</v>
      </c>
      <c r="AB330" s="193">
        <f t="shared" si="116"/>
        <v>47434</v>
      </c>
      <c r="AC330" s="119">
        <f>IF(OR(t&lt;Tnet,NoTnet),'2028'!Resal_s+('2028'!Salim-'2028'!Resal_s)*(1-EXP(('2028'!Tnet_s-t)/'2028'!Tau_j)),Resal_s+(Salim-Resal_s)*(1-EXP((Tnet_s-t)/Tau_j)))*Salcycl</f>
        <v>4.6390455339735209E-2</v>
      </c>
      <c r="AD330" s="227">
        <f>(INDEX(Models!$BJ330:$BT330,,AH330)*(1-AF330)+INDEX(Models!$BJ330:$BT330,,AH330+1)*AF330-ERP_i)*AE330*Ramure*Pc/MaxiM</f>
        <v>2.4545474415069702E-2</v>
      </c>
      <c r="AE330" s="301">
        <f t="shared" si="117"/>
        <v>0.5</v>
      </c>
      <c r="AF330" s="173">
        <f t="shared" si="118"/>
        <v>0.99312567893875592</v>
      </c>
      <c r="AG330" s="802">
        <f t="shared" si="124"/>
        <v>3</v>
      </c>
      <c r="AH330" s="172">
        <f t="shared" si="119"/>
        <v>9</v>
      </c>
      <c r="AI330" s="221">
        <f t="shared" si="120"/>
        <v>3.9931256789387559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47435</v>
      </c>
      <c r="B331" s="406">
        <f>'2028'!Wh/'2028'!Env_an*'2029'!Env_an</f>
        <v>20.936760127226311</v>
      </c>
      <c r="C331" s="832"/>
      <c r="D331" s="388">
        <f t="shared" si="102"/>
        <v>21.788520934363852</v>
      </c>
      <c r="E331" s="380">
        <f t="shared" si="125"/>
        <v>22.083684308961704</v>
      </c>
      <c r="F331" s="380">
        <f t="shared" si="103"/>
        <v>22.136637442604965</v>
      </c>
      <c r="G331" s="110">
        <f t="shared" si="126"/>
        <v>0.89780342381164735</v>
      </c>
      <c r="H331" s="409" t="b">
        <f>Wh_hp&gt;='2028'!Maxi_hp</f>
        <v>1</v>
      </c>
      <c r="I331" s="385">
        <f>IF(H331,Wh_hp,'2028'!Maxi_hp)</f>
        <v>22.136637442604965</v>
      </c>
      <c r="J331" s="85">
        <f>IF(H331,An,'2028'!An_max)</f>
        <v>2029</v>
      </c>
      <c r="K331" s="193">
        <f t="shared" si="104"/>
        <v>47435</v>
      </c>
      <c r="L331" s="143">
        <f>IF(t&lt;Tvie,1-EXP((T0-t)*PertePVj)+'2028'!Pspv,1-EXP((T0-t)*PertePVj)+Pspv)</f>
        <v>3.9092181139940729E-2</v>
      </c>
      <c r="M331" s="836"/>
      <c r="N331" s="836"/>
      <c r="O331" s="48">
        <f>IF(t&lt;Tnet,'2028'!Resal+('2028'!Salim-'2028'!Resal)*(1-EXP(('2028'!Tnet-t)/('2028'!Tau_j))),Resal+(Salim-Resal)*(1-EXP((Tnet-t)/(Tau_j))))*Salcycl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2.7993254044286929E-3</v>
      </c>
      <c r="Q331" s="301">
        <f t="shared" si="105"/>
        <v>0.5</v>
      </c>
      <c r="R331" s="173">
        <f t="shared" si="106"/>
        <v>0.46817252936152937</v>
      </c>
      <c r="S331" s="802">
        <f t="shared" si="107"/>
        <v>0</v>
      </c>
      <c r="T331" s="172">
        <f t="shared" si="108"/>
        <v>6</v>
      </c>
      <c r="U331" s="247">
        <f t="shared" si="109"/>
        <v>0.46817252936152937</v>
      </c>
      <c r="V331" s="378">
        <f t="shared" si="110"/>
        <v>23.310463322500418</v>
      </c>
      <c r="W331" s="397">
        <f t="shared" si="111"/>
        <v>20.936760127226311</v>
      </c>
      <c r="X331" s="153">
        <f t="shared" si="112"/>
        <v>47435</v>
      </c>
      <c r="Y331" s="380">
        <f t="shared" si="113"/>
        <v>19.852665926930541</v>
      </c>
      <c r="Z331" s="380">
        <f t="shared" si="114"/>
        <v>20.660323016709434</v>
      </c>
      <c r="AA331" s="381">
        <f t="shared" si="115"/>
        <v>21.665427679619516</v>
      </c>
      <c r="AB331" s="193">
        <f t="shared" si="116"/>
        <v>47435</v>
      </c>
      <c r="AC331" s="119">
        <f>IF(OR(t&lt;Tnet,NoTnet),'2028'!Resal_s+('2028'!Salim-'2028'!Resal_s)*(1-EXP(('2028'!Tnet_s-t)/'2028'!Tau_j)),Resal_s+(Salim-Resal_s)*(1-EXP((Tnet_s-t)/Tau_j)))*Salcycl</f>
        <v>4.6392098867061603E-2</v>
      </c>
      <c r="AD331" s="227">
        <f>(INDEX(Models!$BJ331:$BT331,,AH331)*(1-AF331)+INDEX(Models!$BJ331:$BT331,,AH331+1)*AF331-ERP_i)*AE331*Ramure*Pc/MaxiM</f>
        <v>2.4910130328196209E-2</v>
      </c>
      <c r="AE331" s="301">
        <f t="shared" si="117"/>
        <v>0.5</v>
      </c>
      <c r="AF331" s="173">
        <f t="shared" si="118"/>
        <v>0.99316009573550668</v>
      </c>
      <c r="AG331" s="802">
        <f t="shared" si="124"/>
        <v>3</v>
      </c>
      <c r="AH331" s="172">
        <f t="shared" si="119"/>
        <v>9</v>
      </c>
      <c r="AI331" s="221">
        <f t="shared" si="120"/>
        <v>3.9931600957355067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47436</v>
      </c>
      <c r="B332" s="406">
        <f>'2028'!Wh/'2028'!Env_an*'2029'!Env_an</f>
        <v>11.314395179246302</v>
      </c>
      <c r="C332" s="832"/>
      <c r="D332" s="388">
        <f t="shared" si="102"/>
        <v>11.774854823595687</v>
      </c>
      <c r="E332" s="380">
        <f t="shared" si="125"/>
        <v>11.935010729822761</v>
      </c>
      <c r="F332" s="380">
        <f t="shared" si="103"/>
        <v>11.944428368692432</v>
      </c>
      <c r="G332" s="110">
        <f t="shared" si="126"/>
        <v>0.49067240613755897</v>
      </c>
      <c r="H332" s="409" t="b">
        <f>Wh_hp&gt;='2028'!Maxi_hp</f>
        <v>1</v>
      </c>
      <c r="I332" s="385">
        <f>IF(H332,Wh_hp,'2028'!Maxi_hp)</f>
        <v>11.944428368692432</v>
      </c>
      <c r="J332" s="85">
        <f>IF(H332,An,'2028'!An_max)</f>
        <v>2029</v>
      </c>
      <c r="K332" s="193">
        <f t="shared" si="104"/>
        <v>47436</v>
      </c>
      <c r="L332" s="143">
        <f>IF(t&lt;Tvie,1-EXP((T0-t)*PertePVj)+'2028'!Pspv,1-EXP((T0-t)*PertePVj)+Pspv)</f>
        <v>3.9105335161047305E-2</v>
      </c>
      <c r="M332" s="836"/>
      <c r="N332" s="836"/>
      <c r="O332" s="48">
        <f>IF(t&lt;Tnet,'2028'!Resal+('2028'!Salim-'2028'!Resal)*(1-EXP(('2028'!Tnet-t)/('2028'!Tau_j))),Resal+(Salim-Resal)*(1-EXP((Tnet-t)/(Tau_j))))*Salcycl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2.8790548832119045E-3</v>
      </c>
      <c r="Q332" s="301">
        <f t="shared" si="105"/>
        <v>0.5</v>
      </c>
      <c r="R332" s="173">
        <f t="shared" si="106"/>
        <v>0.46820556489409104</v>
      </c>
      <c r="S332" s="802">
        <f t="shared" si="107"/>
        <v>0</v>
      </c>
      <c r="T332" s="172">
        <f t="shared" si="108"/>
        <v>6</v>
      </c>
      <c r="U332" s="247">
        <f t="shared" si="109"/>
        <v>0.46820556489409104</v>
      </c>
      <c r="V332" s="378">
        <f t="shared" si="110"/>
        <v>23.010714470463679</v>
      </c>
      <c r="W332" s="397">
        <f t="shared" si="111"/>
        <v>11.314395179246302</v>
      </c>
      <c r="X332" s="153">
        <f t="shared" si="112"/>
        <v>47436</v>
      </c>
      <c r="Y332" s="380">
        <f t="shared" si="113"/>
        <v>10.869461080602363</v>
      </c>
      <c r="Z332" s="380">
        <f t="shared" si="114"/>
        <v>11.311813332238764</v>
      </c>
      <c r="AA332" s="381">
        <f t="shared" si="115"/>
        <v>11.862148275962504</v>
      </c>
      <c r="AB332" s="193">
        <f t="shared" si="116"/>
        <v>47436</v>
      </c>
      <c r="AC332" s="119">
        <f>IF(OR(t&lt;Tnet,NoTnet),'2028'!Resal_s+('2028'!Salim-'2028'!Resal_s)*(1-EXP(('2028'!Tnet_s-t)/'2028'!Tau_j)),Resal_s+(Salim-Resal_s)*(1-EXP((Tnet_s-t)/Tau_j)))*Salcycl</f>
        <v>4.6394205410409575E-2</v>
      </c>
      <c r="AD332" s="227">
        <f>(INDEX(Models!$BJ332:$BT332,,AH332)*(1-AF332)+INDEX(Models!$BJ332:$BT332,,AH332+1)*AF332-ERP_i)*AE332*Ramure*Pc/MaxiM</f>
        <v>2.5153746713320671E-2</v>
      </c>
      <c r="AE332" s="301">
        <f t="shared" si="117"/>
        <v>0.5</v>
      </c>
      <c r="AF332" s="173">
        <f t="shared" si="118"/>
        <v>0.99319313126806819</v>
      </c>
      <c r="AG332" s="802">
        <f t="shared" si="124"/>
        <v>3</v>
      </c>
      <c r="AH332" s="172">
        <f t="shared" si="119"/>
        <v>9</v>
      </c>
      <c r="AI332" s="221">
        <f t="shared" si="120"/>
        <v>3.9931931312680682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47437</v>
      </c>
      <c r="B333" s="406">
        <f>'2028'!Wh/'2028'!Env_an*'2029'!Env_an</f>
        <v>12.847605437265068</v>
      </c>
      <c r="C333" s="832"/>
      <c r="D333" s="388">
        <f t="shared" si="102"/>
        <v>13.370644861219485</v>
      </c>
      <c r="E333" s="380">
        <f t="shared" si="125"/>
        <v>13.553238891965988</v>
      </c>
      <c r="F333" s="380">
        <f t="shared" si="103"/>
        <v>13.568390090033908</v>
      </c>
      <c r="G333" s="110">
        <f t="shared" si="126"/>
        <v>0.56453536720935871</v>
      </c>
      <c r="H333" s="409" t="b">
        <f>Wh_hp&gt;='2028'!Maxi_hp</f>
        <v>1</v>
      </c>
      <c r="I333" s="385">
        <f>IF(H333,Wh_hp,'2028'!Maxi_hp)</f>
        <v>13.568390090033908</v>
      </c>
      <c r="J333" s="85">
        <f>IF(H333,An,'2028'!An_max)</f>
        <v>2029</v>
      </c>
      <c r="K333" s="193">
        <f t="shared" si="104"/>
        <v>47437</v>
      </c>
      <c r="L333" s="143">
        <f>IF(t&lt;Tvie,1-EXP((T0-t)*PertePVj)+'2028'!Pspv,1-EXP((T0-t)*PertePVj)+Pspv)</f>
        <v>3.9118489002086365E-2</v>
      </c>
      <c r="M333" s="836"/>
      <c r="N333" s="836"/>
      <c r="O333" s="48">
        <f>IF(t&lt;Tnet,'2028'!Resal+('2028'!Salim-'2028'!Resal)*(1-EXP(('2028'!Tnet-t)/('2028'!Tau_j))),Resal+(Salim-Resal)*(1-EXP((Tnet-t)/(Tau_j))))*Salcycl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2.9433254314525491E-3</v>
      </c>
      <c r="Q333" s="301">
        <f t="shared" si="105"/>
        <v>0.5</v>
      </c>
      <c r="R333" s="173">
        <f t="shared" si="106"/>
        <v>0.46823727442538615</v>
      </c>
      <c r="S333" s="802">
        <f t="shared" si="107"/>
        <v>0</v>
      </c>
      <c r="T333" s="172">
        <f t="shared" si="108"/>
        <v>6</v>
      </c>
      <c r="U333" s="247">
        <f t="shared" si="109"/>
        <v>0.46823727442538615</v>
      </c>
      <c r="V333" s="378">
        <f t="shared" si="110"/>
        <v>22.716222213787308</v>
      </c>
      <c r="W333" s="397">
        <f t="shared" si="111"/>
        <v>12.847605437265068</v>
      </c>
      <c r="X333" s="153">
        <f t="shared" si="112"/>
        <v>47437</v>
      </c>
      <c r="Y333" s="380">
        <f t="shared" si="113"/>
        <v>12.313224391210257</v>
      </c>
      <c r="Z333" s="380">
        <f t="shared" si="114"/>
        <v>12.814508605147875</v>
      </c>
      <c r="AA333" s="381">
        <f t="shared" si="115"/>
        <v>13.43798846147153</v>
      </c>
      <c r="AB333" s="193">
        <f t="shared" si="116"/>
        <v>47437</v>
      </c>
      <c r="AC333" s="119">
        <f>IF(OR(t&lt;Tnet,NoTnet),'2028'!Resal_s+('2028'!Salim-'2028'!Resal_s)*(1-EXP(('2028'!Tnet_s-t)/'2028'!Tau_j)),Resal_s+(Salim-Resal_s)*(1-EXP((Tnet_s-t)/Tau_j)))*Salcycl</f>
        <v>4.6396814382692261E-2</v>
      </c>
      <c r="AD333" s="227">
        <f>(INDEX(Models!$BJ333:$BT333,,AH333)*(1-AF333)+INDEX(Models!$BJ333:$BT333,,AH333+1)*AF333-ERP_i)*AE333*Ramure*Pc/MaxiM</f>
        <v>2.5332282498711389E-2</v>
      </c>
      <c r="AE333" s="301">
        <f t="shared" si="117"/>
        <v>0.5</v>
      </c>
      <c r="AF333" s="173">
        <f t="shared" si="118"/>
        <v>0.99322484079936313</v>
      </c>
      <c r="AG333" s="802">
        <f t="shared" si="124"/>
        <v>3</v>
      </c>
      <c r="AH333" s="172">
        <f t="shared" si="119"/>
        <v>9</v>
      </c>
      <c r="AI333" s="221">
        <f t="shared" si="120"/>
        <v>3.9932248407993631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47438</v>
      </c>
      <c r="B334" s="406">
        <f>'2028'!Wh/'2028'!Env_an*'2029'!Env_an</f>
        <v>21.459548988390299</v>
      </c>
      <c r="C334" s="832"/>
      <c r="D334" s="388">
        <f t="shared" si="102"/>
        <v>22.3334953477558</v>
      </c>
      <c r="E334" s="380">
        <f t="shared" si="125"/>
        <v>22.639714502086132</v>
      </c>
      <c r="F334" s="380">
        <f t="shared" si="103"/>
        <v>22.703454545271786</v>
      </c>
      <c r="G334" s="110">
        <f t="shared" si="126"/>
        <v>0.95668630202292426</v>
      </c>
      <c r="H334" s="409" t="b">
        <f>Wh_hp&gt;='2028'!Maxi_hp</f>
        <v>1</v>
      </c>
      <c r="I334" s="385">
        <f>IF(H334,Wh_hp,'2028'!Maxi_hp)</f>
        <v>22.703454545271786</v>
      </c>
      <c r="J334" s="85">
        <f>IF(H334,An,'2028'!An_max)</f>
        <v>2029</v>
      </c>
      <c r="K334" s="193">
        <f t="shared" si="104"/>
        <v>47438</v>
      </c>
      <c r="L334" s="143">
        <f>IF(t&lt;Tvie,1-EXP((T0-t)*PertePVj)+'2028'!Pspv,1-EXP((T0-t)*PertePVj)+Pspv)</f>
        <v>3.9131642663060351E-2</v>
      </c>
      <c r="M334" s="836"/>
      <c r="N334" s="836"/>
      <c r="O334" s="48">
        <f>IF(t&lt;Tnet,'2028'!Resal+('2028'!Salim-'2028'!Resal)*(1-EXP(('2028'!Tnet-t)/('2028'!Tau_j))),Resal+(Salim-Resal)*(1-EXP((Tnet-t)/(Tau_j))))*Salcycl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2.9918754239251976E-3</v>
      </c>
      <c r="Q334" s="301">
        <f t="shared" si="105"/>
        <v>0.5</v>
      </c>
      <c r="R334" s="173">
        <f t="shared" si="106"/>
        <v>0.46826771102087572</v>
      </c>
      <c r="S334" s="802">
        <f t="shared" si="107"/>
        <v>0</v>
      </c>
      <c r="T334" s="172">
        <f t="shared" si="108"/>
        <v>6</v>
      </c>
      <c r="U334" s="247">
        <f t="shared" si="109"/>
        <v>0.46826771102087572</v>
      </c>
      <c r="V334" s="378">
        <f t="shared" si="110"/>
        <v>22.426976616805831</v>
      </c>
      <c r="W334" s="397">
        <f t="shared" si="111"/>
        <v>21.459548988390299</v>
      </c>
      <c r="X334" s="153">
        <f t="shared" si="112"/>
        <v>47438</v>
      </c>
      <c r="Y334" s="380">
        <f t="shared" si="113"/>
        <v>20.306111330778432</v>
      </c>
      <c r="Z334" s="380">
        <f t="shared" si="114"/>
        <v>21.133083606850274</v>
      </c>
      <c r="AA334" s="381">
        <f t="shared" si="115"/>
        <v>22.161370376308518</v>
      </c>
      <c r="AB334" s="193">
        <f t="shared" si="116"/>
        <v>47438</v>
      </c>
      <c r="AC334" s="119">
        <f>IF(OR(t&lt;Tnet,NoTnet),'2028'!Resal_s+('2028'!Salim-'2028'!Resal_s)*(1-EXP(('2028'!Tnet_s-t)/'2028'!Tau_j)),Resal_s+(Salim-Resal_s)*(1-EXP((Tnet_s-t)/Tau_j)))*Salcycl</f>
        <v>4.6399963179060859E-2</v>
      </c>
      <c r="AD334" s="227">
        <f>(INDEX(Models!$BJ334:$BT334,,AH334)*(1-AF334)+INDEX(Models!$BJ334:$BT334,,AH334+1)*AF334-ERP_i)*AE334*Ramure*Pc/MaxiM</f>
        <v>2.5444731784950658E-2</v>
      </c>
      <c r="AE334" s="301">
        <f t="shared" si="117"/>
        <v>0.5</v>
      </c>
      <c r="AF334" s="173">
        <f t="shared" si="118"/>
        <v>0.99325527739485286</v>
      </c>
      <c r="AG334" s="802">
        <f t="shared" si="124"/>
        <v>3</v>
      </c>
      <c r="AH334" s="172">
        <f t="shared" si="119"/>
        <v>9</v>
      </c>
      <c r="AI334" s="221">
        <f t="shared" si="120"/>
        <v>3.9932552773948529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47439</v>
      </c>
      <c r="B335" s="406">
        <f>'2028'!Wh/'2028'!Env_an*'2029'!Env_an</f>
        <v>14.106694782555643</v>
      </c>
      <c r="C335" s="832"/>
      <c r="D335" s="388">
        <f t="shared" ref="D335:D379" si="127">Wh/(1-Ppv)</f>
        <v>14.681394996815097</v>
      </c>
      <c r="E335" s="380">
        <f t="shared" si="125"/>
        <v>14.883501114727217</v>
      </c>
      <c r="F335" s="380">
        <f t="shared" ref="F335:F379" si="128">Wh_sa/(1-Pvg*MEDIAN((-Sdif+Wh/Env_an)/Csdif,0,1))</f>
        <v>14.90520857000852</v>
      </c>
      <c r="G335" s="110">
        <f t="shared" si="126"/>
        <v>0.63607291460529625</v>
      </c>
      <c r="H335" s="409" t="b">
        <f>Wh_hp&gt;='2028'!Maxi_hp</f>
        <v>1</v>
      </c>
      <c r="I335" s="385">
        <f>IF(H335,Wh_hp,'2028'!Maxi_hp)</f>
        <v>14.90520857000852</v>
      </c>
      <c r="J335" s="85">
        <f>IF(H335,An,'2028'!An_max)</f>
        <v>2029</v>
      </c>
      <c r="K335" s="193">
        <f t="shared" ref="K335:K379" si="129">t</f>
        <v>47439</v>
      </c>
      <c r="L335" s="143">
        <f>IF(t&lt;Tvie,1-EXP((T0-t)*PertePVj)+'2028'!Pspv,1-EXP((T0-t)*PertePVj)+Pspv)</f>
        <v>3.9144796143971816E-2</v>
      </c>
      <c r="M335" s="836"/>
      <c r="N335" s="836"/>
      <c r="O335" s="48">
        <f>IF(t&lt;Tnet,'2028'!Resal+('2028'!Salim-'2028'!Resal)*(1-EXP(('2028'!Tnet-t)/('2028'!Tau_j))),Resal+(Salim-Resal)*(1-EXP((Tnet-t)/(Tau_j))))*Salcycl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3.0244365945259087E-3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0.46829692563486996</v>
      </c>
      <c r="S335" s="802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0.46829692563486996</v>
      </c>
      <c r="V335" s="378">
        <f t="shared" ref="V335:V379" si="135">MaxiM*(1-Ppv)*(1-Pvg)*(1-Psa)</f>
        <v>22.142968076568113</v>
      </c>
      <c r="W335" s="397">
        <f t="shared" ref="W335:W379" si="136">Wh*(A335&gt;Tmaj)</f>
        <v>14.106694782555643</v>
      </c>
      <c r="X335" s="153">
        <f t="shared" ref="X335:X379" si="137">t</f>
        <v>47439</v>
      </c>
      <c r="Y335" s="380">
        <f t="shared" ref="Y335:Y379" si="138">Wh_pvt_s*(1-Ppv)</f>
        <v>13.489533058984849</v>
      </c>
      <c r="Z335" s="380">
        <f t="shared" ref="Z335:Z379" si="139">Wh_sa_s*(1-Psa_s)</f>
        <v>14.039090390362377</v>
      </c>
      <c r="AA335" s="381">
        <f t="shared" ref="AA335:AA379" si="140">Wh_hp*(1-Pvg_s*MEDIAN((-Sdif+Wh/Env_an)/Csdif,0,1))</f>
        <v>14.722257415596081</v>
      </c>
      <c r="AB335" s="193">
        <f t="shared" ref="AB335:AB379" si="141">t</f>
        <v>47439</v>
      </c>
      <c r="AC335" s="119">
        <f>IF(OR(t&lt;Tnet,NoTnet),'2028'!Resal_s+('2028'!Salim-'2028'!Resal_s)*(1-EXP(('2028'!Tnet_s-t)/'2028'!Tau_j)),Resal_s+(Salim-Resal_s)*(1-EXP((Tnet_s-t)/Tau_j)))*Salcycl</f>
        <v>4.6403687012698779E-2</v>
      </c>
      <c r="AD335" s="227">
        <f>(INDEX(Models!$BJ335:$BT335,,AH335)*(1-AF335)+INDEX(Models!$BJ335:$BT335,,AH335+1)*AF335-ERP_i)*AE335*Ramure*Pc/MaxiM</f>
        <v>2.5490052115519125E-2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0.99328449200884705</v>
      </c>
      <c r="AG335" s="802">
        <f t="shared" si="124"/>
        <v>3</v>
      </c>
      <c r="AH335" s="172">
        <f t="shared" ref="AH335:AH379" si="144">MIN(MATCH(Hp_vg_s,Echel_vg),10)</f>
        <v>9</v>
      </c>
      <c r="AI335" s="221">
        <f t="shared" ref="AI335:AI379" si="145">IF(OR(t&lt;Ttai,Notai),Hdd_s+PousH*Croivg,Hdtai_s+PousH*(Croivg-Croi_tai))</f>
        <v>3.9932844920088471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47440</v>
      </c>
      <c r="B336" s="406">
        <f>'2028'!Wh/'2028'!Env_an*'2029'!Env_an</f>
        <v>11.693046599013448</v>
      </c>
      <c r="C336" s="832"/>
      <c r="D336" s="388">
        <f t="shared" si="127"/>
        <v>12.169582495122041</v>
      </c>
      <c r="E336" s="380">
        <f t="shared" si="125"/>
        <v>12.337780084483981</v>
      </c>
      <c r="F336" s="380">
        <f t="shared" si="128"/>
        <v>12.350377028474375</v>
      </c>
      <c r="G336" s="110">
        <f t="shared" si="126"/>
        <v>0.53372180496634614</v>
      </c>
      <c r="H336" s="409" t="b">
        <f>Wh_hp&gt;='2028'!Maxi_hp</f>
        <v>1</v>
      </c>
      <c r="I336" s="385">
        <f>IF(H336,Wh_hp,'2028'!Maxi_hp)</f>
        <v>12.350377028474375</v>
      </c>
      <c r="J336" s="85">
        <f>IF(H336,An,'2028'!An_max)</f>
        <v>2029</v>
      </c>
      <c r="K336" s="193">
        <f t="shared" si="129"/>
        <v>47440</v>
      </c>
      <c r="L336" s="143">
        <f>IF(t&lt;Tvie,1-EXP((T0-t)*PertePVj)+'2028'!Pspv,1-EXP((T0-t)*PertePVj)+Pspv)</f>
        <v>3.9157949444823203E-2</v>
      </c>
      <c r="M336" s="836"/>
      <c r="N336" s="836"/>
      <c r="O336" s="48">
        <f>IF(t&lt;Tnet,'2028'!Resal+('2028'!Salim-'2028'!Resal)*(1-EXP(('2028'!Tnet-t)/('2028'!Tau_j))),Resal+(Salim-Resal)*(1-EXP((Tnet-t)/(Tau_j))))*Salcycl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3.0407325954837747E-3</v>
      </c>
      <c r="Q336" s="301">
        <f t="shared" si="130"/>
        <v>0.5</v>
      </c>
      <c r="R336" s="173">
        <f t="shared" si="131"/>
        <v>0.46832496719353334</v>
      </c>
      <c r="S336" s="802">
        <f t="shared" si="132"/>
        <v>0</v>
      </c>
      <c r="T336" s="172">
        <f t="shared" si="133"/>
        <v>6</v>
      </c>
      <c r="U336" s="247">
        <f t="shared" si="134"/>
        <v>0.46832496719353334</v>
      </c>
      <c r="V336" s="378">
        <f t="shared" si="135"/>
        <v>21.864187349318303</v>
      </c>
      <c r="W336" s="397">
        <f t="shared" si="136"/>
        <v>11.693046599013448</v>
      </c>
      <c r="X336" s="153">
        <f t="shared" si="137"/>
        <v>47440</v>
      </c>
      <c r="Y336" s="380">
        <f t="shared" si="138"/>
        <v>11.219380848795096</v>
      </c>
      <c r="Z336" s="380">
        <f t="shared" si="139"/>
        <v>11.676613073202313</v>
      </c>
      <c r="AA336" s="381">
        <f t="shared" si="140"/>
        <v>12.244873387112719</v>
      </c>
      <c r="AB336" s="193">
        <f t="shared" si="141"/>
        <v>47440</v>
      </c>
      <c r="AC336" s="119">
        <f>IF(OR(t&lt;Tnet,NoTnet),'2028'!Resal_s+('2028'!Salim-'2028'!Resal_s)*(1-EXP(('2028'!Tnet_s-t)/'2028'!Tau_j)),Resal_s+(Salim-Resal_s)*(1-EXP((Tnet_s-t)/Tau_j)))*Salcycl</f>
        <v>4.64080187638755E-2</v>
      </c>
      <c r="AD336" s="227">
        <f>(INDEX(Models!$BJ336:$BT336,,AH336)*(1-AF336)+INDEX(Models!$BJ336:$BT336,,AH336+1)*AF336-ERP_i)*AE336*Ramure*Pc/MaxiM</f>
        <v>2.5467157865850774E-2</v>
      </c>
      <c r="AE336" s="301">
        <f t="shared" si="142"/>
        <v>0.5</v>
      </c>
      <c r="AF336" s="173">
        <f t="shared" si="143"/>
        <v>0.99331253356751059</v>
      </c>
      <c r="AG336" s="802">
        <f t="shared" ref="AG336:AG379" si="149">INDEX(Echel_vg,AH336)</f>
        <v>3</v>
      </c>
      <c r="AH336" s="172">
        <f t="shared" si="144"/>
        <v>9</v>
      </c>
      <c r="AI336" s="221">
        <f t="shared" si="145"/>
        <v>3.9933125335675106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47441</v>
      </c>
      <c r="B337" s="406">
        <f>'2028'!Wh/'2028'!Env_an*'2029'!Env_an</f>
        <v>8.3914715402450568</v>
      </c>
      <c r="C337" s="832"/>
      <c r="D337" s="388">
        <f t="shared" si="127"/>
        <v>8.7335753146601487</v>
      </c>
      <c r="E337" s="380">
        <f t="shared" si="125"/>
        <v>8.8547645292633241</v>
      </c>
      <c r="F337" s="380">
        <f t="shared" si="128"/>
        <v>8.8581759020799709</v>
      </c>
      <c r="G337" s="110">
        <f t="shared" si="126"/>
        <v>0.38763029266883059</v>
      </c>
      <c r="H337" s="409" t="b">
        <f>Wh_hp&gt;='2028'!Maxi_hp</f>
        <v>1</v>
      </c>
      <c r="I337" s="385">
        <f>IF(H337,Wh_hp,'2028'!Maxi_hp)</f>
        <v>8.8581759020799709</v>
      </c>
      <c r="J337" s="85">
        <f>IF(H337,An,'2028'!An_max)</f>
        <v>2029</v>
      </c>
      <c r="K337" s="193">
        <f t="shared" si="129"/>
        <v>47441</v>
      </c>
      <c r="L337" s="143">
        <f>IF(t&lt;Tvie,1-EXP((T0-t)*PertePVj)+'2028'!Pspv,1-EXP((T0-t)*PertePVj)+Pspv)</f>
        <v>3.9171102565616844E-2</v>
      </c>
      <c r="M337" s="836"/>
      <c r="N337" s="836"/>
      <c r="O337" s="48">
        <f>IF(t&lt;Tnet,'2028'!Resal+('2028'!Salim-'2028'!Resal)*(1-EXP(('2028'!Tnet-t)/('2028'!Tau_j))),Resal+(Salim-Resal)*(1-EXP((Tnet-t)/(Tau_j))))*Salcycl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3.040477625439571E-3</v>
      </c>
      <c r="Q337" s="301">
        <f t="shared" si="130"/>
        <v>0.5</v>
      </c>
      <c r="R337" s="173">
        <f t="shared" si="131"/>
        <v>0.46835188267470385</v>
      </c>
      <c r="S337" s="802">
        <f t="shared" si="132"/>
        <v>0</v>
      </c>
      <c r="T337" s="172">
        <f t="shared" si="133"/>
        <v>6</v>
      </c>
      <c r="U337" s="247">
        <f t="shared" si="134"/>
        <v>0.46835188267470385</v>
      </c>
      <c r="V337" s="378">
        <f t="shared" si="135"/>
        <v>21.590625585336209</v>
      </c>
      <c r="W337" s="397">
        <f t="shared" si="136"/>
        <v>8.3914715402450568</v>
      </c>
      <c r="X337" s="153">
        <f t="shared" si="137"/>
        <v>47441</v>
      </c>
      <c r="Y337" s="380">
        <f t="shared" si="138"/>
        <v>8.0900761043971716</v>
      </c>
      <c r="Z337" s="380">
        <f t="shared" si="139"/>
        <v>8.4198925802496056</v>
      </c>
      <c r="AA337" s="381">
        <f t="shared" si="140"/>
        <v>8.8297056081295153</v>
      </c>
      <c r="AB337" s="193">
        <f t="shared" si="141"/>
        <v>47441</v>
      </c>
      <c r="AC337" s="119">
        <f>IF(OR(t&lt;Tnet,NoTnet),'2028'!Resal_s+('2028'!Salim-'2028'!Resal_s)*(1-EXP(('2028'!Tnet_s-t)/'2028'!Tau_j)),Resal_s+(Salim-Resal_s)*(1-EXP((Tnet_s-t)/Tau_j)))*Salcycl</f>
        <v>4.6412988843319472E-2</v>
      </c>
      <c r="AD337" s="227">
        <f>(INDEX(Models!$BJ337:$BT337,,AH337)*(1-AF337)+INDEX(Models!$BJ337:$BT337,,AH337+1)*AF337-ERP_i)*AE337*Ramure*Pc/MaxiM</f>
        <v>2.5374913971189482E-2</v>
      </c>
      <c r="AE337" s="301">
        <f t="shared" si="142"/>
        <v>0.5</v>
      </c>
      <c r="AF337" s="173">
        <f t="shared" si="143"/>
        <v>0.9933394490486811</v>
      </c>
      <c r="AG337" s="802">
        <f t="shared" si="149"/>
        <v>3</v>
      </c>
      <c r="AH337" s="172">
        <f t="shared" si="144"/>
        <v>9</v>
      </c>
      <c r="AI337" s="221">
        <f t="shared" si="145"/>
        <v>3.9933394490486811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47442</v>
      </c>
      <c r="B338" s="406">
        <f>'2028'!Wh/'2028'!Env_an*'2029'!Env_an</f>
        <v>15.105217468938328</v>
      </c>
      <c r="C338" s="832"/>
      <c r="D338" s="388">
        <f t="shared" si="127"/>
        <v>15.721242658131986</v>
      </c>
      <c r="E338" s="380">
        <f t="shared" si="125"/>
        <v>15.940262173569911</v>
      </c>
      <c r="F338" s="380">
        <f t="shared" si="128"/>
        <v>15.968452484480915</v>
      </c>
      <c r="G338" s="110">
        <f t="shared" si="126"/>
        <v>0.70753153489492582</v>
      </c>
      <c r="H338" s="409" t="b">
        <f>Wh_hp&gt;='2028'!Maxi_hp</f>
        <v>1</v>
      </c>
      <c r="I338" s="385">
        <f>IF(H338,Wh_hp,'2028'!Maxi_hp)</f>
        <v>15.968452484480915</v>
      </c>
      <c r="J338" s="85">
        <f>IF(H338,An,'2028'!An_max)</f>
        <v>2029</v>
      </c>
      <c r="K338" s="193">
        <f t="shared" si="129"/>
        <v>47442</v>
      </c>
      <c r="L338" s="143">
        <f>IF(t&lt;Tvie,1-EXP((T0-t)*PertePVj)+'2028'!Pspv,1-EXP((T0-t)*PertePVj)+Pspv)</f>
        <v>3.9184255506355403E-2</v>
      </c>
      <c r="M338" s="836"/>
      <c r="N338" s="836"/>
      <c r="O338" s="48">
        <f>IF(t&lt;Tnet,'2028'!Resal+('2028'!Salim-'2028'!Resal)*(1-EXP(('2028'!Tnet-t)/('2028'!Tau_j))),Resal+(Salim-Resal)*(1-EXP((Tnet-t)/(Tau_j))))*Salcycl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3.0256713837014961E-3</v>
      </c>
      <c r="Q338" s="301">
        <f t="shared" si="130"/>
        <v>0.5</v>
      </c>
      <c r="R338" s="173">
        <f t="shared" si="131"/>
        <v>0.46837771718464288</v>
      </c>
      <c r="S338" s="802">
        <f t="shared" si="132"/>
        <v>0</v>
      </c>
      <c r="T338" s="172">
        <f t="shared" si="133"/>
        <v>6</v>
      </c>
      <c r="U338" s="247">
        <f t="shared" si="134"/>
        <v>0.46837771718464288</v>
      </c>
      <c r="V338" s="378">
        <f t="shared" si="135"/>
        <v>21.322225244907511</v>
      </c>
      <c r="W338" s="397">
        <f t="shared" si="136"/>
        <v>15.105217468938328</v>
      </c>
      <c r="X338" s="153">
        <f t="shared" si="137"/>
        <v>47442</v>
      </c>
      <c r="Y338" s="380">
        <f t="shared" si="138"/>
        <v>14.415160070479153</v>
      </c>
      <c r="Z338" s="380">
        <f t="shared" si="139"/>
        <v>15.003043146504666</v>
      </c>
      <c r="AA338" s="381">
        <f t="shared" si="140"/>
        <v>15.733364284321832</v>
      </c>
      <c r="AB338" s="193">
        <f t="shared" si="141"/>
        <v>47442</v>
      </c>
      <c r="AC338" s="119">
        <f>IF(OR(t&lt;Tnet,NoTnet),'2028'!Resal_s+('2028'!Salim-'2028'!Resal_s)*(1-EXP(('2028'!Tnet_s-t)/'2028'!Tau_j)),Resal_s+(Salim-Resal_s)*(1-EXP((Tnet_s-t)/Tau_j)))*Salcycl</f>
        <v>4.6418625070858172E-2</v>
      </c>
      <c r="AD338" s="227">
        <f>(INDEX(Models!$BJ338:$BT338,,AH338)*(1-AF338)+INDEX(Models!$BJ338:$BT338,,AH338+1)*AF338-ERP_i)*AE338*Ramure*Pc/MaxiM</f>
        <v>2.5232060835113406E-2</v>
      </c>
      <c r="AE338" s="301">
        <f t="shared" si="142"/>
        <v>0.5</v>
      </c>
      <c r="AF338" s="173">
        <f t="shared" si="143"/>
        <v>0.99336528355861997</v>
      </c>
      <c r="AG338" s="802">
        <f t="shared" si="149"/>
        <v>3</v>
      </c>
      <c r="AH338" s="172">
        <f t="shared" si="144"/>
        <v>9</v>
      </c>
      <c r="AI338" s="221">
        <f t="shared" si="145"/>
        <v>3.99336528355862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47443</v>
      </c>
      <c r="B339" s="406">
        <f>'2028'!Wh/'2028'!Env_an*'2029'!Env_an</f>
        <v>3.4397348646630608</v>
      </c>
      <c r="C339" s="832"/>
      <c r="D339" s="388">
        <f t="shared" si="127"/>
        <v>3.58006409876451</v>
      </c>
      <c r="E339" s="380">
        <f t="shared" si="125"/>
        <v>3.630137530262179</v>
      </c>
      <c r="F339" s="380">
        <f t="shared" si="128"/>
        <v>3.630137530262179</v>
      </c>
      <c r="G339" s="110">
        <f t="shared" si="126"/>
        <v>0.16284878817839832</v>
      </c>
      <c r="H339" s="409" t="b">
        <f>Wh_hp&gt;='2028'!Maxi_hp</f>
        <v>1</v>
      </c>
      <c r="I339" s="385">
        <f>IF(H339,Wh_hp,'2028'!Maxi_hp)</f>
        <v>3.630137530262179</v>
      </c>
      <c r="J339" s="85">
        <f>IF(H339,An,'2028'!An_max)</f>
        <v>2029</v>
      </c>
      <c r="K339" s="193">
        <f t="shared" si="129"/>
        <v>47443</v>
      </c>
      <c r="L339" s="143">
        <f>IF(t&lt;Tvie,1-EXP((T0-t)*PertePVj)+'2028'!Pspv,1-EXP((T0-t)*PertePVj)+Pspv)</f>
        <v>3.9197408267041212E-2</v>
      </c>
      <c r="M339" s="836"/>
      <c r="N339" s="836"/>
      <c r="O339" s="48">
        <f>IF(t&lt;Tnet,'2028'!Resal+('2028'!Salim-'2028'!Resal)*(1-EXP(('2028'!Tnet-t)/('2028'!Tau_j))),Resal+(Salim-Resal)*(1-EXP((Tnet-t)/(Tau_j))))*Salcycl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3.0089373598126581E-3</v>
      </c>
      <c r="Q339" s="301">
        <f t="shared" si="130"/>
        <v>0.5</v>
      </c>
      <c r="R339" s="173">
        <f t="shared" si="131"/>
        <v>0.46840251403182798</v>
      </c>
      <c r="S339" s="802">
        <f t="shared" si="132"/>
        <v>0</v>
      </c>
      <c r="T339" s="172">
        <f t="shared" si="133"/>
        <v>6</v>
      </c>
      <c r="U339" s="247">
        <f t="shared" si="134"/>
        <v>0.46840251403182798</v>
      </c>
      <c r="V339" s="378">
        <f t="shared" si="135"/>
        <v>21.058707014534782</v>
      </c>
      <c r="W339" s="397">
        <f t="shared" si="136"/>
        <v>3.4397348646630608</v>
      </c>
      <c r="X339" s="153">
        <f t="shared" si="137"/>
        <v>47443</v>
      </c>
      <c r="Y339" s="380">
        <f t="shared" si="138"/>
        <v>3.325922483311849</v>
      </c>
      <c r="Z339" s="380">
        <f t="shared" si="139"/>
        <v>3.4616085675966217</v>
      </c>
      <c r="AA339" s="381">
        <f t="shared" si="140"/>
        <v>3.630137530262179</v>
      </c>
      <c r="AB339" s="193">
        <f t="shared" si="141"/>
        <v>47443</v>
      </c>
      <c r="AC339" s="119">
        <f>IF(OR(t&lt;Tnet,NoTnet),'2028'!Resal_s+('2028'!Salim-'2028'!Resal_s)*(1-EXP(('2028'!Tnet_s-t)/'2028'!Tau_j)),Resal_s+(Salim-Resal_s)*(1-EXP((Tnet_s-t)/Tau_j)))*Salcycl</f>
        <v>4.6424952570153902E-2</v>
      </c>
      <c r="AD339" s="227">
        <f>(INDEX(Models!$BJ339:$BT339,,AH339)*(1-AF339)+INDEX(Models!$BJ339:$BT339,,AH339+1)*AF339-ERP_i)*AE339*Ramure*Pc/MaxiM</f>
        <v>2.5103407609820293E-2</v>
      </c>
      <c r="AE339" s="301">
        <f t="shared" si="142"/>
        <v>0.5</v>
      </c>
      <c r="AF339" s="173">
        <f t="shared" si="143"/>
        <v>0.99339008040580534</v>
      </c>
      <c r="AG339" s="802">
        <f t="shared" si="149"/>
        <v>3</v>
      </c>
      <c r="AH339" s="172">
        <f t="shared" si="144"/>
        <v>9</v>
      </c>
      <c r="AI339" s="221">
        <f t="shared" si="145"/>
        <v>3.9933900804058053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47444</v>
      </c>
      <c r="B340" s="406">
        <f>'2028'!Wh/'2028'!Env_an*'2029'!Env_an</f>
        <v>9.6513979679119846</v>
      </c>
      <c r="C340" s="832"/>
      <c r="D340" s="388">
        <f t="shared" si="127"/>
        <v>10.045278991021316</v>
      </c>
      <c r="E340" s="380">
        <f t="shared" si="125"/>
        <v>10.186336445602912</v>
      </c>
      <c r="F340" s="380">
        <f t="shared" si="128"/>
        <v>10.193478053920225</v>
      </c>
      <c r="G340" s="110">
        <f t="shared" si="126"/>
        <v>0.46294481948029048</v>
      </c>
      <c r="H340" s="409" t="b">
        <f>Wh_hp&gt;='2028'!Maxi_hp</f>
        <v>1</v>
      </c>
      <c r="I340" s="385">
        <f>IF(H340,Wh_hp,'2028'!Maxi_hp)</f>
        <v>10.193478053920225</v>
      </c>
      <c r="J340" s="85">
        <f>IF(H340,An,'2028'!An_max)</f>
        <v>2029</v>
      </c>
      <c r="K340" s="193">
        <f t="shared" si="129"/>
        <v>47444</v>
      </c>
      <c r="L340" s="143">
        <f>IF(t&lt;Tvie,1-EXP((T0-t)*PertePVj)+'2028'!Pspv,1-EXP((T0-t)*PertePVj)+Pspv)</f>
        <v>3.9210560847676823E-2</v>
      </c>
      <c r="M340" s="836"/>
      <c r="N340" s="836"/>
      <c r="O340" s="48">
        <f>IF(t&lt;Tnet,'2028'!Resal+('2028'!Salim-'2028'!Resal)*(1-EXP(('2028'!Tnet-t)/('2028'!Tau_j))),Resal+(Salim-Resal)*(1-EXP((Tnet-t)/(Tau_j))))*Salcycl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2.9902445587288488E-3</v>
      </c>
      <c r="Q340" s="301">
        <f t="shared" si="130"/>
        <v>0.5</v>
      </c>
      <c r="R340" s="173">
        <f t="shared" si="131"/>
        <v>0.46842631479789659</v>
      </c>
      <c r="S340" s="802">
        <f t="shared" si="132"/>
        <v>0</v>
      </c>
      <c r="T340" s="172">
        <f t="shared" si="133"/>
        <v>6</v>
      </c>
      <c r="U340" s="247">
        <f t="shared" si="134"/>
        <v>0.46842631479789659</v>
      </c>
      <c r="V340" s="378">
        <f t="shared" si="135"/>
        <v>20.800069151699226</v>
      </c>
      <c r="W340" s="397">
        <f t="shared" si="136"/>
        <v>9.6513979679119846</v>
      </c>
      <c r="X340" s="153">
        <f t="shared" si="137"/>
        <v>47444</v>
      </c>
      <c r="Y340" s="380">
        <f t="shared" si="138"/>
        <v>9.2843617794891369</v>
      </c>
      <c r="Z340" s="380">
        <f t="shared" si="139"/>
        <v>9.6632637715923089</v>
      </c>
      <c r="AA340" s="381">
        <f t="shared" si="140"/>
        <v>10.133796129430854</v>
      </c>
      <c r="AB340" s="193">
        <f t="shared" si="141"/>
        <v>47444</v>
      </c>
      <c r="AC340" s="119">
        <f>IF(OR(t&lt;Tnet,NoTnet),'2028'!Resal_s+('2028'!Salim-'2028'!Resal_s)*(1-EXP(('2028'!Tnet_s-t)/'2028'!Tau_j)),Resal_s+(Salim-Resal_s)*(1-EXP((Tnet_s-t)/Tau_j)))*Salcycl</f>
        <v>4.6431993680237198E-2</v>
      </c>
      <c r="AD340" s="227">
        <f>(INDEX(Models!$BJ340:$BT340,,AH340)*(1-AF340)+INDEX(Models!$BJ340:$BT340,,AH340+1)*AF340-ERP_i)*AE340*Ramure*Pc/MaxiM</f>
        <v>2.4989266006948712E-2</v>
      </c>
      <c r="AE340" s="301">
        <f t="shared" si="142"/>
        <v>0.5</v>
      </c>
      <c r="AF340" s="173">
        <f t="shared" si="143"/>
        <v>0.99341388117187357</v>
      </c>
      <c r="AG340" s="802">
        <f t="shared" si="149"/>
        <v>3</v>
      </c>
      <c r="AH340" s="172">
        <f t="shared" si="144"/>
        <v>9</v>
      </c>
      <c r="AI340" s="221">
        <f t="shared" si="145"/>
        <v>3.9934138811718736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47445</v>
      </c>
      <c r="B341" s="406">
        <f>'2028'!Wh/'2028'!Env_an*'2029'!Env_an</f>
        <v>12.871602447453178</v>
      </c>
      <c r="C341" s="832"/>
      <c r="D341" s="388">
        <f t="shared" si="127"/>
        <v>13.397085903286037</v>
      </c>
      <c r="E341" s="380">
        <f t="shared" si="125"/>
        <v>13.585954185310563</v>
      </c>
      <c r="F341" s="380">
        <f t="shared" si="128"/>
        <v>13.60479605353742</v>
      </c>
      <c r="G341" s="110">
        <f t="shared" si="126"/>
        <v>0.62547375173874242</v>
      </c>
      <c r="H341" s="409" t="b">
        <f>Wh_hp&gt;='2028'!Maxi_hp</f>
        <v>1</v>
      </c>
      <c r="I341" s="385">
        <f>IF(H341,Wh_hp,'2028'!Maxi_hp)</f>
        <v>13.60479605353742</v>
      </c>
      <c r="J341" s="85">
        <f>IF(H341,An,'2028'!An_max)</f>
        <v>2029</v>
      </c>
      <c r="K341" s="193">
        <f t="shared" si="129"/>
        <v>47445</v>
      </c>
      <c r="L341" s="143">
        <f>IF(t&lt;Tvie,1-EXP((T0-t)*PertePVj)+'2028'!Pspv,1-EXP((T0-t)*PertePVj)+Pspv)</f>
        <v>3.9223713248264569E-2</v>
      </c>
      <c r="M341" s="836"/>
      <c r="N341" s="836"/>
      <c r="O341" s="48">
        <f>IF(t&lt;Tnet,'2028'!Resal+('2028'!Salim-'2028'!Resal)*(1-EXP(('2028'!Tnet-t)/('2028'!Tau_j))),Resal+(Salim-Resal)*(1-EXP((Tnet-t)/(Tau_j))))*Salcycl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2.9695427034458315E-3</v>
      </c>
      <c r="Q341" s="301">
        <f t="shared" si="130"/>
        <v>0.5</v>
      </c>
      <c r="R341" s="173">
        <f t="shared" si="131"/>
        <v>0.4684491594058463</v>
      </c>
      <c r="S341" s="802">
        <f t="shared" si="132"/>
        <v>0</v>
      </c>
      <c r="T341" s="172">
        <f t="shared" si="133"/>
        <v>6</v>
      </c>
      <c r="U341" s="247">
        <f t="shared" si="134"/>
        <v>0.4684491594058463</v>
      </c>
      <c r="V341" s="378">
        <f t="shared" si="135"/>
        <v>20.546310358300104</v>
      </c>
      <c r="W341" s="397">
        <f t="shared" si="136"/>
        <v>12.871602447453178</v>
      </c>
      <c r="X341" s="153">
        <f t="shared" si="137"/>
        <v>47445</v>
      </c>
      <c r="Y341" s="380">
        <f t="shared" si="138"/>
        <v>12.319457614403074</v>
      </c>
      <c r="Z341" s="380">
        <f t="shared" si="139"/>
        <v>12.822399745161926</v>
      </c>
      <c r="AA341" s="381">
        <f t="shared" si="140"/>
        <v>13.446869231022587</v>
      </c>
      <c r="AB341" s="193">
        <f t="shared" si="141"/>
        <v>47445</v>
      </c>
      <c r="AC341" s="119">
        <f>IF(OR(t&lt;Tnet,NoTnet),'2028'!Resal_s+('2028'!Salim-'2028'!Resal_s)*(1-EXP(('2028'!Tnet_s-t)/'2028'!Tau_j)),Resal_s+(Salim-Resal_s)*(1-EXP((Tnet_s-t)/Tau_j)))*Salcycl</f>
        <v>4.6439767884406888E-2</v>
      </c>
      <c r="AD341" s="227">
        <f>(INDEX(Models!$BJ341:$BT341,,AH341)*(1-AF341)+INDEX(Models!$BJ341:$BT341,,AH341+1)*AF341-ERP_i)*AE341*Ramure*Pc/MaxiM</f>
        <v>2.4889805927462278E-2</v>
      </c>
      <c r="AE341" s="301">
        <f t="shared" si="142"/>
        <v>0.5</v>
      </c>
      <c r="AF341" s="173">
        <f t="shared" si="143"/>
        <v>0.99343672577982334</v>
      </c>
      <c r="AG341" s="802">
        <f t="shared" si="149"/>
        <v>3</v>
      </c>
      <c r="AH341" s="172">
        <f t="shared" si="144"/>
        <v>9</v>
      </c>
      <c r="AI341" s="221">
        <f t="shared" si="145"/>
        <v>3.9934367257798233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47446</v>
      </c>
      <c r="B342" s="406">
        <f>'2028'!Wh/'2028'!Env_an*'2029'!Env_an</f>
        <v>11.966937092276119</v>
      </c>
      <c r="C342" s="832"/>
      <c r="D342" s="388">
        <f t="shared" si="127"/>
        <v>12.455658072387861</v>
      </c>
      <c r="E342" s="380">
        <f t="shared" si="125"/>
        <v>12.631947970510641</v>
      </c>
      <c r="F342" s="380">
        <f t="shared" si="128"/>
        <v>12.647365612879526</v>
      </c>
      <c r="G342" s="110">
        <f t="shared" si="126"/>
        <v>0.58855906666086855</v>
      </c>
      <c r="H342" s="409" t="b">
        <f>Wh_hp&gt;='2028'!Maxi_hp</f>
        <v>1</v>
      </c>
      <c r="I342" s="385">
        <f>IF(H342,Wh_hp,'2028'!Maxi_hp)</f>
        <v>12.647365612879526</v>
      </c>
      <c r="J342" s="85">
        <f>IF(H342,An,'2028'!An_max)</f>
        <v>2029</v>
      </c>
      <c r="K342" s="193">
        <f t="shared" si="129"/>
        <v>47446</v>
      </c>
      <c r="L342" s="143">
        <f>IF(t&lt;Tvie,1-EXP((T0-t)*PertePVj)+'2028'!Pspv,1-EXP((T0-t)*PertePVj)+Pspv)</f>
        <v>3.9236865468807003E-2</v>
      </c>
      <c r="M342" s="836"/>
      <c r="N342" s="836"/>
      <c r="O342" s="48">
        <f>IF(t&lt;Tnet,'2028'!Resal+('2028'!Salim-'2028'!Resal)*(1-EXP(('2028'!Tnet-t)/('2028'!Tau_j))),Resal+(Salim-Resal)*(1-EXP((Tnet-t)/(Tau_j))))*Salcycl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2.9467883136758831E-3</v>
      </c>
      <c r="Q342" s="301">
        <f t="shared" si="130"/>
        <v>0.5</v>
      </c>
      <c r="R342" s="173">
        <f t="shared" si="131"/>
        <v>0.4684710861855943</v>
      </c>
      <c r="S342" s="802">
        <f t="shared" si="132"/>
        <v>0</v>
      </c>
      <c r="T342" s="172">
        <f t="shared" si="133"/>
        <v>6</v>
      </c>
      <c r="U342" s="247">
        <f t="shared" si="134"/>
        <v>0.4684710861855943</v>
      </c>
      <c r="V342" s="378">
        <f t="shared" si="135"/>
        <v>20.297429223416934</v>
      </c>
      <c r="W342" s="397">
        <f t="shared" si="136"/>
        <v>11.966937092276119</v>
      </c>
      <c r="X342" s="153">
        <f t="shared" si="137"/>
        <v>47446</v>
      </c>
      <c r="Y342" s="380">
        <f t="shared" si="138"/>
        <v>11.467825994435701</v>
      </c>
      <c r="Z342" s="380">
        <f t="shared" si="139"/>
        <v>11.936163641448898</v>
      </c>
      <c r="AA342" s="381">
        <f t="shared" si="140"/>
        <v>12.517584036886058</v>
      </c>
      <c r="AB342" s="193">
        <f t="shared" si="141"/>
        <v>47446</v>
      </c>
      <c r="AC342" s="119">
        <f>IF(OR(t&lt;Tnet,NoTnet),'2028'!Resal_s+('2028'!Salim-'2028'!Resal_s)*(1-EXP(('2028'!Tnet_s-t)/'2028'!Tau_j)),Resal_s+(Salim-Resal_s)*(1-EXP((Tnet_s-t)/Tau_j)))*Salcycl</f>
        <v>4.6448291756928932E-2</v>
      </c>
      <c r="AD342" s="227">
        <f>(INDEX(Models!$BJ342:$BT342,,AH342)*(1-AF342)+INDEX(Models!$BJ342:$BT342,,AH342+1)*AF342-ERP_i)*AE342*Ramure*Pc/MaxiM</f>
        <v>2.4805273226458889E-2</v>
      </c>
      <c r="AE342" s="301">
        <f t="shared" si="142"/>
        <v>0.5</v>
      </c>
      <c r="AF342" s="173">
        <f t="shared" si="143"/>
        <v>0.99345865255957122</v>
      </c>
      <c r="AG342" s="802">
        <f t="shared" si="149"/>
        <v>3</v>
      </c>
      <c r="AH342" s="172">
        <f t="shared" si="144"/>
        <v>9</v>
      </c>
      <c r="AI342" s="221">
        <f t="shared" si="145"/>
        <v>3.9934586525595712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47447</v>
      </c>
      <c r="B343" s="406">
        <f>'2028'!Wh/'2028'!Env_an*'2029'!Env_an</f>
        <v>4.8566896452194719</v>
      </c>
      <c r="C343" s="832"/>
      <c r="D343" s="388">
        <f t="shared" si="127"/>
        <v>5.0551025071358957</v>
      </c>
      <c r="E343" s="380">
        <f t="shared" si="125"/>
        <v>5.1269316051657343</v>
      </c>
      <c r="F343" s="380">
        <f t="shared" si="128"/>
        <v>5.1269316051657343</v>
      </c>
      <c r="G343" s="110">
        <f t="shared" si="126"/>
        <v>0.2414798893389839</v>
      </c>
      <c r="H343" s="409" t="b">
        <f>Wh_hp&gt;='2028'!Maxi_hp</f>
        <v>1</v>
      </c>
      <c r="I343" s="385">
        <f>IF(H343,Wh_hp,'2028'!Maxi_hp)</f>
        <v>5.1269316051657343</v>
      </c>
      <c r="J343" s="85">
        <f>IF(H343,An,'2028'!An_max)</f>
        <v>2029</v>
      </c>
      <c r="K343" s="193">
        <f t="shared" si="129"/>
        <v>47447</v>
      </c>
      <c r="L343" s="143">
        <f>IF(t&lt;Tvie,1-EXP((T0-t)*PertePVj)+'2028'!Pspv,1-EXP((T0-t)*PertePVj)+Pspv)</f>
        <v>3.9250017509306567E-2</v>
      </c>
      <c r="M343" s="836"/>
      <c r="N343" s="836"/>
      <c r="O343" s="48">
        <f>IF(t&lt;Tnet,'2028'!Resal+('2028'!Salim-'2028'!Resal)*(1-EXP(('2028'!Tnet-t)/('2028'!Tau_j))),Resal+(Salim-Resal)*(1-EXP((Tnet-t)/(Tau_j))))*Salcycl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2.9219466874194225E-3</v>
      </c>
      <c r="Q343" s="301">
        <f t="shared" si="130"/>
        <v>0.5</v>
      </c>
      <c r="R343" s="173">
        <f t="shared" si="131"/>
        <v>0.46849213193699163</v>
      </c>
      <c r="S343" s="802">
        <f t="shared" si="132"/>
        <v>0</v>
      </c>
      <c r="T343" s="172">
        <f t="shared" si="133"/>
        <v>6</v>
      </c>
      <c r="U343" s="247">
        <f t="shared" si="134"/>
        <v>0.46849213193699163</v>
      </c>
      <c r="V343" s="378">
        <f t="shared" si="135"/>
        <v>20.05342420130486</v>
      </c>
      <c r="W343" s="397">
        <f t="shared" si="136"/>
        <v>4.8566896452194719</v>
      </c>
      <c r="X343" s="153">
        <f t="shared" si="137"/>
        <v>47447</v>
      </c>
      <c r="Y343" s="380">
        <f t="shared" si="138"/>
        <v>4.696863378925773</v>
      </c>
      <c r="Z343" s="380">
        <f t="shared" si="139"/>
        <v>4.8887467754611906</v>
      </c>
      <c r="AA343" s="381">
        <f t="shared" si="140"/>
        <v>5.1269316051657343</v>
      </c>
      <c r="AB343" s="193">
        <f t="shared" si="141"/>
        <v>47447</v>
      </c>
      <c r="AC343" s="119">
        <f>IF(OR(t&lt;Tnet,NoTnet),'2028'!Resal_s+('2028'!Salim-'2028'!Resal_s)*(1-EXP(('2028'!Tnet_s-t)/'2028'!Tau_j)),Resal_s+(Salim-Resal_s)*(1-EXP((Tnet_s-t)/Tau_j)))*Salcycl</f>
        <v>4.6457578927824254E-2</v>
      </c>
      <c r="AD343" s="227">
        <f>(INDEX(Models!$BJ343:$BT343,,AH343)*(1-AF343)+INDEX(Models!$BJ343:$BT343,,AH343+1)*AF343-ERP_i)*AE343*Ramure*Pc/MaxiM</f>
        <v>2.4736007894351028E-2</v>
      </c>
      <c r="AE343" s="301">
        <f t="shared" si="142"/>
        <v>0.5</v>
      </c>
      <c r="AF343" s="173">
        <f t="shared" si="143"/>
        <v>0.99347969831096883</v>
      </c>
      <c r="AG343" s="802">
        <f t="shared" si="149"/>
        <v>3</v>
      </c>
      <c r="AH343" s="172">
        <f t="shared" si="144"/>
        <v>9</v>
      </c>
      <c r="AI343" s="221">
        <f t="shared" si="145"/>
        <v>3.9934796983109688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47448</v>
      </c>
      <c r="B344" s="406">
        <f>'2028'!Wh/'2028'!Env_an*'2029'!Env_an</f>
        <v>9.7122730704302782</v>
      </c>
      <c r="C344" s="832"/>
      <c r="D344" s="388">
        <f t="shared" si="127"/>
        <v>10.10919198763216</v>
      </c>
      <c r="E344" s="380">
        <f t="shared" si="125"/>
        <v>10.253401668840933</v>
      </c>
      <c r="F344" s="380">
        <f t="shared" si="128"/>
        <v>10.261471929700905</v>
      </c>
      <c r="G344" s="110">
        <f t="shared" si="126"/>
        <v>0.48913065109777421</v>
      </c>
      <c r="H344" s="409" t="b">
        <f>Wh_hp&gt;='2028'!Maxi_hp</f>
        <v>1</v>
      </c>
      <c r="I344" s="385">
        <f>IF(H344,Wh_hp,'2028'!Maxi_hp)</f>
        <v>10.261471929700905</v>
      </c>
      <c r="J344" s="85">
        <f>IF(H344,An,'2028'!An_max)</f>
        <v>2029</v>
      </c>
      <c r="K344" s="193">
        <f t="shared" si="129"/>
        <v>47448</v>
      </c>
      <c r="L344" s="143">
        <f>IF(t&lt;Tvie,1-EXP((T0-t)*PertePVj)+'2028'!Pspv,1-EXP((T0-t)*PertePVj)+Pspv)</f>
        <v>3.9263169369765816E-2</v>
      </c>
      <c r="M344" s="836"/>
      <c r="N344" s="836"/>
      <c r="O344" s="48">
        <f>IF(t&lt;Tnet,'2028'!Resal+('2028'!Salim-'2028'!Resal)*(1-EXP(('2028'!Tnet-t)/('2028'!Tau_j))),Resal+(Salim-Resal)*(1-EXP((Tnet-t)/(Tau_j))))*Salcycl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2.8949788598636537E-3</v>
      </c>
      <c r="Q344" s="301">
        <f t="shared" si="130"/>
        <v>0.5</v>
      </c>
      <c r="R344" s="173">
        <f t="shared" si="131"/>
        <v>0.46851233199039</v>
      </c>
      <c r="S344" s="802">
        <f t="shared" si="132"/>
        <v>0</v>
      </c>
      <c r="T344" s="172">
        <f t="shared" si="133"/>
        <v>6</v>
      </c>
      <c r="U344" s="247">
        <f t="shared" si="134"/>
        <v>0.46851233199039</v>
      </c>
      <c r="V344" s="378">
        <f t="shared" si="135"/>
        <v>19.814293874003621</v>
      </c>
      <c r="W344" s="397">
        <f t="shared" si="136"/>
        <v>9.7122730704302782</v>
      </c>
      <c r="X344" s="153">
        <f t="shared" si="137"/>
        <v>47448</v>
      </c>
      <c r="Y344" s="380">
        <f t="shared" si="138"/>
        <v>9.3374363008377124</v>
      </c>
      <c r="Z344" s="380">
        <f t="shared" si="139"/>
        <v>9.7190364761101566</v>
      </c>
      <c r="AA344" s="381">
        <f t="shared" si="140"/>
        <v>10.192665592158598</v>
      </c>
      <c r="AB344" s="193">
        <f t="shared" si="141"/>
        <v>47448</v>
      </c>
      <c r="AC344" s="119">
        <f>IF(OR(t&lt;Tnet,NoTnet),'2028'!Resal_s+('2028'!Salim-'2028'!Resal_s)*(1-EXP(('2028'!Tnet_s-t)/'2028'!Tau_j)),Resal_s+(Salim-Resal_s)*(1-EXP((Tnet_s-t)/Tau_j)))*Salcycl</f>
        <v>4.6467640065893302E-2</v>
      </c>
      <c r="AD344" s="227">
        <f>(INDEX(Models!$BJ344:$BT344,,AH344)*(1-AF344)+INDEX(Models!$BJ344:$BT344,,AH344+1)*AF344-ERP_i)*AE344*Ramure*Pc/MaxiM</f>
        <v>2.4682336304346447E-2</v>
      </c>
      <c r="AE344" s="301">
        <f t="shared" si="142"/>
        <v>0.5</v>
      </c>
      <c r="AF344" s="173">
        <f t="shared" si="143"/>
        <v>0.99349989836436725</v>
      </c>
      <c r="AG344" s="802">
        <f t="shared" si="149"/>
        <v>3</v>
      </c>
      <c r="AH344" s="172">
        <f t="shared" si="144"/>
        <v>9</v>
      </c>
      <c r="AI344" s="221">
        <f t="shared" si="145"/>
        <v>3.9934998983643673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47449</v>
      </c>
      <c r="B345" s="406">
        <f>'2028'!Wh/'2028'!Env_an*'2029'!Env_an</f>
        <v>13.884513797193433</v>
      </c>
      <c r="C345" s="832"/>
      <c r="D345" s="388">
        <f t="shared" si="127"/>
        <v>14.452140715810071</v>
      </c>
      <c r="E345" s="380">
        <f t="shared" si="125"/>
        <v>14.659114657988283</v>
      </c>
      <c r="F345" s="380">
        <f t="shared" si="128"/>
        <v>14.683716756103069</v>
      </c>
      <c r="G345" s="110">
        <f t="shared" si="126"/>
        <v>0.708351137233591</v>
      </c>
      <c r="H345" s="409" t="b">
        <f>Wh_hp&gt;='2028'!Maxi_hp</f>
        <v>1</v>
      </c>
      <c r="I345" s="385">
        <f>IF(H345,Wh_hp,'2028'!Maxi_hp)</f>
        <v>14.683716756103069</v>
      </c>
      <c r="J345" s="85">
        <f>IF(H345,An,'2028'!An_max)</f>
        <v>2029</v>
      </c>
      <c r="K345" s="193">
        <f t="shared" si="129"/>
        <v>47449</v>
      </c>
      <c r="L345" s="143">
        <f>IF(t&lt;Tvie,1-EXP((T0-t)*PertePVj)+'2028'!Pspv,1-EXP((T0-t)*PertePVj)+Pspv)</f>
        <v>3.927632105018708E-2</v>
      </c>
      <c r="M345" s="836"/>
      <c r="N345" s="836"/>
      <c r="O345" s="48">
        <f>IF(t&lt;Tnet,'2028'!Resal+('2028'!Salim-'2028'!Resal)*(1-EXP(('2028'!Tnet-t)/('2028'!Tau_j))),Resal+(Salim-Resal)*(1-EXP((Tnet-t)/(Tau_j))))*Salcycl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2.8661687138524508E-3</v>
      </c>
      <c r="Q345" s="301">
        <f t="shared" si="130"/>
        <v>0.5</v>
      </c>
      <c r="R345" s="173">
        <f t="shared" si="131"/>
        <v>0.46853172026485057</v>
      </c>
      <c r="S345" s="802">
        <f t="shared" si="132"/>
        <v>0</v>
      </c>
      <c r="T345" s="172">
        <f t="shared" si="133"/>
        <v>6</v>
      </c>
      <c r="U345" s="247">
        <f t="shared" si="134"/>
        <v>0.46853172026485057</v>
      </c>
      <c r="V345" s="378">
        <f t="shared" si="135"/>
        <v>19.577795562768909</v>
      </c>
      <c r="W345" s="397">
        <f t="shared" si="136"/>
        <v>13.884513797193433</v>
      </c>
      <c r="X345" s="153">
        <f t="shared" si="137"/>
        <v>47449</v>
      </c>
      <c r="Y345" s="380">
        <f t="shared" si="138"/>
        <v>13.25751534001518</v>
      </c>
      <c r="Z345" s="380">
        <f t="shared" si="139"/>
        <v>13.799509297519602</v>
      </c>
      <c r="AA345" s="381">
        <f t="shared" si="140"/>
        <v>14.472153013598597</v>
      </c>
      <c r="AB345" s="193">
        <f t="shared" si="141"/>
        <v>47449</v>
      </c>
      <c r="AC345" s="119">
        <f>IF(OR(t&lt;Tnet,NoTnet),'2028'!Resal_s+('2028'!Salim-'2028'!Resal_s)*(1-EXP(('2028'!Tnet_s-t)/'2028'!Tau_j)),Resal_s+(Salim-Resal_s)*(1-EXP((Tnet_s-t)/Tau_j)))*Salcycl</f>
        <v>4.6478482879980014E-2</v>
      </c>
      <c r="AD345" s="227">
        <f>(INDEX(Models!$BJ345:$BT345,,AH345)*(1-AF345)+INDEX(Models!$BJ345:$BT345,,AH345+1)*AF345-ERP_i)*AE345*Ramure*Pc/MaxiM</f>
        <v>2.4647384825582059E-2</v>
      </c>
      <c r="AE345" s="301">
        <f t="shared" si="142"/>
        <v>0.5</v>
      </c>
      <c r="AF345" s="173">
        <f t="shared" si="143"/>
        <v>0.99351928663882783</v>
      </c>
      <c r="AG345" s="802">
        <f t="shared" si="149"/>
        <v>3</v>
      </c>
      <c r="AH345" s="172">
        <f t="shared" si="144"/>
        <v>9</v>
      </c>
      <c r="AI345" s="221">
        <f t="shared" si="145"/>
        <v>3.9935192866388278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47450</v>
      </c>
      <c r="B346" s="406">
        <f>'2028'!Wh/'2028'!Env_an*'2029'!Env_an</f>
        <v>9.4810300087882968</v>
      </c>
      <c r="C346" s="832"/>
      <c r="D346" s="388">
        <f t="shared" si="127"/>
        <v>9.8687687267873621</v>
      </c>
      <c r="E346" s="380">
        <f t="shared" si="125"/>
        <v>10.010658176604386</v>
      </c>
      <c r="F346" s="380">
        <f t="shared" si="128"/>
        <v>10.018379129472789</v>
      </c>
      <c r="G346" s="110">
        <f t="shared" si="126"/>
        <v>0.48915582838668514</v>
      </c>
      <c r="H346" s="409" t="b">
        <f>Wh_hp&gt;='2028'!Maxi_hp</f>
        <v>1</v>
      </c>
      <c r="I346" s="385">
        <f>IF(H346,Wh_hp,'2028'!Maxi_hp)</f>
        <v>10.018379129472789</v>
      </c>
      <c r="J346" s="85">
        <f>IF(H346,An,'2028'!An_max)</f>
        <v>2029</v>
      </c>
      <c r="K346" s="193">
        <f t="shared" si="129"/>
        <v>47450</v>
      </c>
      <c r="L346" s="143">
        <f>IF(t&lt;Tvie,1-EXP((T0-t)*PertePVj)+'2028'!Pspv,1-EXP((T0-t)*PertePVj)+Pspv)</f>
        <v>3.9289472550572913E-2</v>
      </c>
      <c r="M346" s="836"/>
      <c r="N346" s="836"/>
      <c r="O346" s="48">
        <f>IF(t&lt;Tnet,'2028'!Resal+('2028'!Salim-'2028'!Resal)*(1-EXP(('2028'!Tnet-t)/('2028'!Tau_j))),Resal+(Salim-Resal)*(1-EXP((Tnet-t)/(Tau_j))))*Salcycl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2.8368143835960421E-3</v>
      </c>
      <c r="Q346" s="301">
        <f t="shared" si="130"/>
        <v>0.5</v>
      </c>
      <c r="R346" s="173">
        <f t="shared" si="131"/>
        <v>0.4685503293240853</v>
      </c>
      <c r="S346" s="802">
        <f t="shared" si="132"/>
        <v>0</v>
      </c>
      <c r="T346" s="172">
        <f t="shared" si="133"/>
        <v>6</v>
      </c>
      <c r="U346" s="247">
        <f t="shared" si="134"/>
        <v>0.4685503293240853</v>
      </c>
      <c r="V346" s="378">
        <f t="shared" si="135"/>
        <v>19.342355253985176</v>
      </c>
      <c r="W346" s="397">
        <f t="shared" si="136"/>
        <v>9.4810300087882968</v>
      </c>
      <c r="X346" s="153">
        <f t="shared" si="137"/>
        <v>47450</v>
      </c>
      <c r="Y346" s="380">
        <f t="shared" si="138"/>
        <v>9.1158695190498111</v>
      </c>
      <c r="Z346" s="380">
        <f t="shared" si="139"/>
        <v>9.488674536804929</v>
      </c>
      <c r="AA346" s="381">
        <f t="shared" si="140"/>
        <v>9.9513121548054002</v>
      </c>
      <c r="AB346" s="193">
        <f t="shared" si="141"/>
        <v>47450</v>
      </c>
      <c r="AC346" s="119">
        <f>IF(OR(t&lt;Tnet,NoTnet),'2028'!Resal_s+('2028'!Salim-'2028'!Resal_s)*(1-EXP(('2028'!Tnet_s-t)/'2028'!Tau_j)),Resal_s+(Salim-Resal_s)*(1-EXP((Tnet_s-t)/Tau_j)))*Salcycl</f>
        <v>4.6490112138334205E-2</v>
      </c>
      <c r="AD346" s="227">
        <f>(INDEX(Models!$BJ346:$BT346,,AH346)*(1-AF346)+INDEX(Models!$BJ346:$BT346,,AH346+1)*AF346-ERP_i)*AE346*Ramure*Pc/MaxiM</f>
        <v>2.4641590441421526E-2</v>
      </c>
      <c r="AE346" s="301">
        <f t="shared" si="142"/>
        <v>0.5</v>
      </c>
      <c r="AF346" s="173">
        <f t="shared" si="143"/>
        <v>0.99353789569806228</v>
      </c>
      <c r="AG346" s="802">
        <f t="shared" si="149"/>
        <v>3</v>
      </c>
      <c r="AH346" s="172">
        <f t="shared" si="144"/>
        <v>9</v>
      </c>
      <c r="AI346" s="221">
        <f t="shared" si="145"/>
        <v>3.9935378956980623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47451</v>
      </c>
      <c r="B347" s="406">
        <f>'2028'!Wh/'2028'!Env_an*'2029'!Env_an</f>
        <v>10.50813568725534</v>
      </c>
      <c r="C347" s="832"/>
      <c r="D347" s="388">
        <f t="shared" si="127"/>
        <v>10.938028923942353</v>
      </c>
      <c r="E347" s="380">
        <f t="shared" si="125"/>
        <v>11.095909271342052</v>
      </c>
      <c r="F347" s="380">
        <f t="shared" si="128"/>
        <v>11.107056154609616</v>
      </c>
      <c r="G347" s="110">
        <f t="shared" si="126"/>
        <v>0.5489122852315711</v>
      </c>
      <c r="H347" s="409" t="b">
        <f>Wh_hp&gt;='2028'!Maxi_hp</f>
        <v>1</v>
      </c>
      <c r="I347" s="385">
        <f>IF(H347,Wh_hp,'2028'!Maxi_hp)</f>
        <v>11.107056154609616</v>
      </c>
      <c r="J347" s="85">
        <f>IF(H347,An,'2028'!An_max)</f>
        <v>2029</v>
      </c>
      <c r="K347" s="193">
        <f t="shared" si="129"/>
        <v>47451</v>
      </c>
      <c r="L347" s="143">
        <f>IF(t&lt;Tvie,1-EXP((T0-t)*PertePVj)+'2028'!Pspv,1-EXP((T0-t)*PertePVj)+Pspv)</f>
        <v>3.9302623870925757E-2</v>
      </c>
      <c r="M347" s="836"/>
      <c r="N347" s="836"/>
      <c r="O347" s="48">
        <f>IF(t&lt;Tnet,'2028'!Resal+('2028'!Salim-'2028'!Resal)*(1-EXP(('2028'!Tnet-t)/('2028'!Tau_j))),Resal+(Salim-Resal)*(1-EXP((Tnet-t)/(Tau_j))))*Salcycl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2.8110831248175975E-3</v>
      </c>
      <c r="Q347" s="301">
        <f t="shared" si="130"/>
        <v>0.5</v>
      </c>
      <c r="R347" s="173">
        <f t="shared" si="131"/>
        <v>0.46856819043021447</v>
      </c>
      <c r="S347" s="802">
        <f t="shared" si="132"/>
        <v>0</v>
      </c>
      <c r="T347" s="172">
        <f t="shared" si="133"/>
        <v>6</v>
      </c>
      <c r="U347" s="247">
        <f t="shared" si="134"/>
        <v>0.46856819043021447</v>
      </c>
      <c r="V347" s="378">
        <f t="shared" si="135"/>
        <v>19.108924068744361</v>
      </c>
      <c r="W347" s="397">
        <f t="shared" si="136"/>
        <v>10.50813568725534</v>
      </c>
      <c r="X347" s="153">
        <f t="shared" si="137"/>
        <v>47451</v>
      </c>
      <c r="Y347" s="380">
        <f t="shared" si="138"/>
        <v>10.08470663228961</v>
      </c>
      <c r="Z347" s="380">
        <f t="shared" si="139"/>
        <v>10.497277168512513</v>
      </c>
      <c r="AA347" s="381">
        <f t="shared" si="140"/>
        <v>11.009234419125907</v>
      </c>
      <c r="AB347" s="193">
        <f t="shared" si="141"/>
        <v>47451</v>
      </c>
      <c r="AC347" s="119">
        <f>IF(OR(t&lt;Tnet,NoTnet),'2028'!Resal_s+('2028'!Salim-'2028'!Resal_s)*(1-EXP(('2028'!Tnet_s-t)/'2028'!Tau_j)),Resal_s+(Salim-Resal_s)*(1-EXP((Tnet_s-t)/Tau_j)))*Salcycl</f>
        <v>4.6502529705788706E-2</v>
      </c>
      <c r="AD347" s="227">
        <f>(INDEX(Models!$BJ347:$BT347,,AH347)*(1-AF347)+INDEX(Models!$BJ347:$BT347,,AH347+1)*AF347-ERP_i)*AE347*Ramure*Pc/MaxiM</f>
        <v>2.4669230246518951E-2</v>
      </c>
      <c r="AE347" s="301">
        <f t="shared" si="142"/>
        <v>0.5</v>
      </c>
      <c r="AF347" s="173">
        <f t="shared" si="143"/>
        <v>0.9935557568041915</v>
      </c>
      <c r="AG347" s="802">
        <f t="shared" si="149"/>
        <v>3</v>
      </c>
      <c r="AH347" s="172">
        <f t="shared" si="144"/>
        <v>9</v>
      </c>
      <c r="AI347" s="221">
        <f t="shared" si="145"/>
        <v>3.9935557568041915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47452</v>
      </c>
      <c r="B348" s="406">
        <f>'2028'!Wh/'2028'!Env_an*'2029'!Env_an</f>
        <v>4.5016202106889631</v>
      </c>
      <c r="C348" s="832"/>
      <c r="D348" s="388">
        <f t="shared" si="127"/>
        <v>4.685847954609299</v>
      </c>
      <c r="E348" s="380">
        <f t="shared" si="125"/>
        <v>4.7537491431428256</v>
      </c>
      <c r="F348" s="380">
        <f t="shared" si="128"/>
        <v>4.7537491431428256</v>
      </c>
      <c r="G348" s="110">
        <f t="shared" si="126"/>
        <v>0.23778673136353259</v>
      </c>
      <c r="H348" s="409" t="b">
        <f>Wh_hp&gt;='2028'!Maxi_hp</f>
        <v>1</v>
      </c>
      <c r="I348" s="385">
        <f>IF(H348,Wh_hp,'2028'!Maxi_hp)</f>
        <v>4.7537491431428256</v>
      </c>
      <c r="J348" s="85">
        <f>IF(H348,An,'2028'!An_max)</f>
        <v>2029</v>
      </c>
      <c r="K348" s="193">
        <f t="shared" si="129"/>
        <v>47452</v>
      </c>
      <c r="L348" s="143">
        <f>IF(t&lt;Tvie,1-EXP((T0-t)*PertePVj)+'2028'!Pspv,1-EXP((T0-t)*PertePVj)+Pspv)</f>
        <v>3.9315775011248055E-2</v>
      </c>
      <c r="M348" s="836"/>
      <c r="N348" s="836"/>
      <c r="O348" s="48">
        <f>IF(t&lt;Tnet,'2028'!Resal+('2028'!Salim-'2028'!Resal)*(1-EXP(('2028'!Tnet-t)/('2028'!Tau_j))),Resal+(Salim-Resal)*(1-EXP((Tnet-t)/(Tau_j))))*Salcycl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2.7888873375272651E-3</v>
      </c>
      <c r="Q348" s="301">
        <f t="shared" si="130"/>
        <v>0.5</v>
      </c>
      <c r="R348" s="173">
        <f t="shared" si="131"/>
        <v>0.46858533359542354</v>
      </c>
      <c r="S348" s="802">
        <f t="shared" si="132"/>
        <v>0</v>
      </c>
      <c r="T348" s="172">
        <f t="shared" si="133"/>
        <v>6</v>
      </c>
      <c r="U348" s="247">
        <f t="shared" si="134"/>
        <v>0.46858533359542354</v>
      </c>
      <c r="V348" s="378">
        <f t="shared" si="135"/>
        <v>18.878537390810305</v>
      </c>
      <c r="W348" s="397">
        <f t="shared" si="136"/>
        <v>4.5016202106889631</v>
      </c>
      <c r="X348" s="153">
        <f t="shared" si="137"/>
        <v>47452</v>
      </c>
      <c r="Y348" s="380">
        <f t="shared" si="138"/>
        <v>4.3544213445634776</v>
      </c>
      <c r="Z348" s="380">
        <f t="shared" si="139"/>
        <v>4.5326250096533656</v>
      </c>
      <c r="AA348" s="381">
        <f t="shared" si="140"/>
        <v>4.7537491431428256</v>
      </c>
      <c r="AB348" s="193">
        <f t="shared" si="141"/>
        <v>47452</v>
      </c>
      <c r="AC348" s="119">
        <f>IF(OR(t&lt;Tnet,NoTnet),'2028'!Resal_s+('2028'!Salim-'2028'!Resal_s)*(1-EXP(('2028'!Tnet_s-t)/'2028'!Tau_j)),Resal_s+(Salim-Resal_s)*(1-EXP((Tnet_s-t)/Tau_j)))*Salcycl</f>
        <v>4.6515734598327856E-2</v>
      </c>
      <c r="AD348" s="227">
        <f>(INDEX(Models!$BJ348:$BT348,,AH348)*(1-AF348)+INDEX(Models!$BJ348:$BT348,,AH348+1)*AF348-ERP_i)*AE348*Ramure*Pc/MaxiM</f>
        <v>2.472968271339231E-2</v>
      </c>
      <c r="AE348" s="301">
        <f t="shared" si="142"/>
        <v>0.5</v>
      </c>
      <c r="AF348" s="173">
        <f t="shared" si="143"/>
        <v>0.99357289996940068</v>
      </c>
      <c r="AG348" s="802">
        <f t="shared" si="149"/>
        <v>3</v>
      </c>
      <c r="AH348" s="172">
        <f t="shared" si="144"/>
        <v>9</v>
      </c>
      <c r="AI348" s="221">
        <f t="shared" si="145"/>
        <v>3.9935728999694007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47453</v>
      </c>
      <c r="B349" s="406">
        <f>'2028'!Wh/'2028'!Env_an*'2029'!Env_an</f>
        <v>4.2481756099031722</v>
      </c>
      <c r="C349" s="832"/>
      <c r="D349" s="388">
        <f t="shared" si="127"/>
        <v>4.4220917281176826</v>
      </c>
      <c r="E349" s="380">
        <f t="shared" si="125"/>
        <v>4.4864220109746071</v>
      </c>
      <c r="F349" s="380">
        <f t="shared" si="128"/>
        <v>4.4864220109746071</v>
      </c>
      <c r="G349" s="110">
        <f t="shared" si="126"/>
        <v>0.22712605978658562</v>
      </c>
      <c r="H349" s="409" t="b">
        <f>Wh_hp&gt;='2028'!Maxi_hp</f>
        <v>1</v>
      </c>
      <c r="I349" s="385">
        <f>IF(H349,Wh_hp,'2028'!Maxi_hp)</f>
        <v>4.4864220109746071</v>
      </c>
      <c r="J349" s="85">
        <f>IF(H349,An,'2028'!An_max)</f>
        <v>2029</v>
      </c>
      <c r="K349" s="193">
        <f t="shared" si="129"/>
        <v>47453</v>
      </c>
      <c r="L349" s="143">
        <f>IF(t&lt;Tvie,1-EXP((T0-t)*PertePVj)+'2028'!Pspv,1-EXP((T0-t)*PertePVj)+Pspv)</f>
        <v>3.9328925971542361E-2</v>
      </c>
      <c r="M349" s="836"/>
      <c r="N349" s="836"/>
      <c r="O349" s="48">
        <f>IF(t&lt;Tnet,'2028'!Resal+('2028'!Salim-'2028'!Resal)*(1-EXP(('2028'!Tnet-t)/('2028'!Tau_j))),Resal+(Salim-Resal)*(1-EXP((Tnet-t)/(Tau_j))))*Salcycl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2.7701389341490573E-3</v>
      </c>
      <c r="Q349" s="301">
        <f t="shared" si="130"/>
        <v>0.5</v>
      </c>
      <c r="R349" s="173">
        <f t="shared" si="131"/>
        <v>0.46860178763159904</v>
      </c>
      <c r="S349" s="802">
        <f t="shared" si="132"/>
        <v>0</v>
      </c>
      <c r="T349" s="172">
        <f t="shared" si="133"/>
        <v>6</v>
      </c>
      <c r="U349" s="247">
        <f t="shared" si="134"/>
        <v>0.46860178763159904</v>
      </c>
      <c r="V349" s="378">
        <f t="shared" si="135"/>
        <v>18.652230295491993</v>
      </c>
      <c r="W349" s="397">
        <f t="shared" si="136"/>
        <v>4.2481756099031722</v>
      </c>
      <c r="X349" s="153">
        <f t="shared" si="137"/>
        <v>47453</v>
      </c>
      <c r="Y349" s="380">
        <f t="shared" si="138"/>
        <v>4.1094338690708039</v>
      </c>
      <c r="Z349" s="380">
        <f t="shared" si="139"/>
        <v>4.2776700372983978</v>
      </c>
      <c r="AA349" s="381">
        <f t="shared" si="140"/>
        <v>4.4864220109746071</v>
      </c>
      <c r="AB349" s="193">
        <f t="shared" si="141"/>
        <v>47453</v>
      </c>
      <c r="AC349" s="119">
        <f>IF(OR(t&lt;Tnet,NoTnet),'2028'!Resal_s+('2028'!Salim-'2028'!Resal_s)*(1-EXP(('2028'!Tnet_s-t)/'2028'!Tau_j)),Resal_s+(Salim-Resal_s)*(1-EXP((Tnet_s-t)/Tau_j)))*Salcycl</f>
        <v>4.652972305448843E-2</v>
      </c>
      <c r="AD349" s="227">
        <f>(INDEX(Models!$BJ349:$BT349,,AH349)*(1-AF349)+INDEX(Models!$BJ349:$BT349,,AH349+1)*AF349-ERP_i)*AE349*Ramure*Pc/MaxiM</f>
        <v>2.482227027764744E-2</v>
      </c>
      <c r="AE349" s="301">
        <f t="shared" si="142"/>
        <v>0.5</v>
      </c>
      <c r="AF349" s="173">
        <f t="shared" si="143"/>
        <v>0.99358935400557602</v>
      </c>
      <c r="AG349" s="802">
        <f t="shared" si="149"/>
        <v>3</v>
      </c>
      <c r="AH349" s="172">
        <f t="shared" si="144"/>
        <v>9</v>
      </c>
      <c r="AI349" s="221">
        <f t="shared" si="145"/>
        <v>3.993589354005576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47454</v>
      </c>
      <c r="B350" s="406">
        <f>'2028'!Wh/'2028'!Env_an*'2029'!Env_an</f>
        <v>5.4205260187118718</v>
      </c>
      <c r="C350" s="832"/>
      <c r="D350" s="388">
        <f t="shared" si="127"/>
        <v>5.6425142473024303</v>
      </c>
      <c r="E350" s="380">
        <f t="shared" si="125"/>
        <v>5.7249199528421579</v>
      </c>
      <c r="F350" s="380">
        <f t="shared" si="128"/>
        <v>5.7249199528421579</v>
      </c>
      <c r="G350" s="110">
        <f t="shared" si="126"/>
        <v>0.29328754951886221</v>
      </c>
      <c r="H350" s="409" t="b">
        <f>Wh_hp&gt;='2028'!Maxi_hp</f>
        <v>1</v>
      </c>
      <c r="I350" s="385">
        <f>IF(H350,Wh_hp,'2028'!Maxi_hp)</f>
        <v>5.7249199528421579</v>
      </c>
      <c r="J350" s="85">
        <f>IF(H350,An,'2028'!An_max)</f>
        <v>2029</v>
      </c>
      <c r="K350" s="193">
        <f t="shared" si="129"/>
        <v>47454</v>
      </c>
      <c r="L350" s="143">
        <f>IF(t&lt;Tvie,1-EXP((T0-t)*PertePVj)+'2028'!Pspv,1-EXP((T0-t)*PertePVj)+Pspv)</f>
        <v>3.9342076751810895E-2</v>
      </c>
      <c r="M350" s="836"/>
      <c r="N350" s="836"/>
      <c r="O350" s="48">
        <f>IF(t&lt;Tnet,'2028'!Resal+('2028'!Salim-'2028'!Resal)*(1-EXP(('2028'!Tnet-t)/('2028'!Tau_j))),Resal+(Salim-Resal)*(1-EXP((Tnet-t)/(Tau_j))))*Salcycl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2.7547478099430953E-3</v>
      </c>
      <c r="Q350" s="301">
        <f t="shared" si="130"/>
        <v>0.5</v>
      </c>
      <c r="R350" s="173">
        <f t="shared" si="131"/>
        <v>0.46861758019802097</v>
      </c>
      <c r="S350" s="802">
        <f t="shared" si="132"/>
        <v>0</v>
      </c>
      <c r="T350" s="172">
        <f t="shared" si="133"/>
        <v>6</v>
      </c>
      <c r="U350" s="247">
        <f t="shared" si="134"/>
        <v>0.46861758019802097</v>
      </c>
      <c r="V350" s="378">
        <f t="shared" si="135"/>
        <v>18.431037544556371</v>
      </c>
      <c r="W350" s="397">
        <f t="shared" si="136"/>
        <v>5.4205260187118718</v>
      </c>
      <c r="X350" s="153">
        <f t="shared" si="137"/>
        <v>47454</v>
      </c>
      <c r="Y350" s="380">
        <f t="shared" si="138"/>
        <v>5.2437094673990865</v>
      </c>
      <c r="Z350" s="380">
        <f t="shared" si="139"/>
        <v>5.4584564812300593</v>
      </c>
      <c r="AA350" s="381">
        <f t="shared" si="140"/>
        <v>5.7249199528421579</v>
      </c>
      <c r="AB350" s="193">
        <f t="shared" si="141"/>
        <v>47454</v>
      </c>
      <c r="AC350" s="119">
        <f>IF(OR(t&lt;Tnet,NoTnet),'2028'!Resal_s+('2028'!Salim-'2028'!Resal_s)*(1-EXP(('2028'!Tnet_s-t)/'2028'!Tau_j)),Resal_s+(Salim-Resal_s)*(1-EXP((Tnet_s-t)/Tau_j)))*Salcycl</f>
        <v>4.6544488622904029E-2</v>
      </c>
      <c r="AD350" s="227">
        <f>(INDEX(Models!$BJ350:$BT350,,AH350)*(1-AF350)+INDEX(Models!$BJ350:$BT350,,AH350+1)*AF350-ERP_i)*AE350*Ramure*Pc/MaxiM</f>
        <v>2.4946240423112435E-2</v>
      </c>
      <c r="AE350" s="301">
        <f t="shared" si="142"/>
        <v>0.5</v>
      </c>
      <c r="AF350" s="173">
        <f t="shared" si="143"/>
        <v>0.99360514657199817</v>
      </c>
      <c r="AG350" s="802">
        <f t="shared" si="149"/>
        <v>3</v>
      </c>
      <c r="AH350" s="172">
        <f t="shared" si="144"/>
        <v>9</v>
      </c>
      <c r="AI350" s="221">
        <f t="shared" si="145"/>
        <v>3.9936051465719982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47455</v>
      </c>
      <c r="B351" s="406">
        <f>'2028'!Wh/'2028'!Env_an*'2029'!Env_an</f>
        <v>9.7484535199528253</v>
      </c>
      <c r="C351" s="832"/>
      <c r="D351" s="388">
        <f t="shared" si="127"/>
        <v>10.147823417684315</v>
      </c>
      <c r="E351" s="380">
        <f t="shared" si="125"/>
        <v>10.29660623933953</v>
      </c>
      <c r="F351" s="380">
        <f t="shared" si="128"/>
        <v>10.306101868372124</v>
      </c>
      <c r="G351" s="110">
        <f t="shared" si="126"/>
        <v>0.53418347113900011</v>
      </c>
      <c r="H351" s="409" t="b">
        <f>Wh_hp&gt;='2028'!Maxi_hp</f>
        <v>1</v>
      </c>
      <c r="I351" s="385">
        <f>IF(H351,Wh_hp,'2028'!Maxi_hp)</f>
        <v>10.306101868372124</v>
      </c>
      <c r="J351" s="85">
        <f>IF(H351,An,'2028'!An_max)</f>
        <v>2029</v>
      </c>
      <c r="K351" s="193">
        <f t="shared" si="129"/>
        <v>47455</v>
      </c>
      <c r="L351" s="143">
        <f>IF(t&lt;Tvie,1-EXP((T0-t)*PertePVj)+'2028'!Pspv,1-EXP((T0-t)*PertePVj)+Pspv)</f>
        <v>3.9355227352056432E-2</v>
      </c>
      <c r="M351" s="836"/>
      <c r="N351" s="836"/>
      <c r="O351" s="48">
        <f>IF(t&lt;Tnet,'2028'!Resal+('2028'!Salim-'2028'!Resal)*(1-EXP(('2028'!Tnet-t)/('2028'!Tau_j))),Resal+(Salim-Resal)*(1-EXP((Tnet-t)/(Tau_j))))*Salcycl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2.7426202700096452E-3</v>
      </c>
      <c r="Q351" s="301">
        <f t="shared" si="130"/>
        <v>0.5</v>
      </c>
      <c r="R351" s="173">
        <f t="shared" si="131"/>
        <v>0.46863273784718357</v>
      </c>
      <c r="S351" s="802">
        <f t="shared" si="132"/>
        <v>0</v>
      </c>
      <c r="T351" s="172">
        <f t="shared" si="133"/>
        <v>6</v>
      </c>
      <c r="U351" s="247">
        <f t="shared" si="134"/>
        <v>0.46863273784718357</v>
      </c>
      <c r="V351" s="378">
        <f t="shared" si="135"/>
        <v>18.215993568350093</v>
      </c>
      <c r="W351" s="397">
        <f t="shared" si="136"/>
        <v>9.7484535199528253</v>
      </c>
      <c r="X351" s="153">
        <f t="shared" si="137"/>
        <v>47455</v>
      </c>
      <c r="Y351" s="380">
        <f t="shared" si="138"/>
        <v>9.359937486681325</v>
      </c>
      <c r="Z351" s="380">
        <f t="shared" si="139"/>
        <v>9.7433908487123446</v>
      </c>
      <c r="AA351" s="381">
        <f t="shared" si="140"/>
        <v>10.219196883122798</v>
      </c>
      <c r="AB351" s="193">
        <f t="shared" si="141"/>
        <v>47455</v>
      </c>
      <c r="AC351" s="119">
        <f>IF(OR(t&lt;Tnet,NoTnet),'2028'!Resal_s+('2028'!Salim-'2028'!Resal_s)*(1-EXP(('2028'!Tnet_s-t)/'2028'!Tau_j)),Resal_s+(Salim-Resal_s)*(1-EXP((Tnet_s-t)/Tau_j)))*Salcycl</f>
        <v>4.6560022265179822E-2</v>
      </c>
      <c r="AD351" s="227">
        <f>(INDEX(Models!$BJ351:$BT351,,AH351)*(1-AF351)+INDEX(Models!$BJ351:$BT351,,AH351+1)*AF351-ERP_i)*AE351*Ramure*Pc/MaxiM</f>
        <v>2.510074617400801E-2</v>
      </c>
      <c r="AE351" s="301">
        <f t="shared" si="142"/>
        <v>0.5</v>
      </c>
      <c r="AF351" s="173">
        <f t="shared" si="143"/>
        <v>0.99362030422116066</v>
      </c>
      <c r="AG351" s="802">
        <f t="shared" si="149"/>
        <v>3</v>
      </c>
      <c r="AH351" s="172">
        <f t="shared" si="144"/>
        <v>9</v>
      </c>
      <c r="AI351" s="221">
        <f t="shared" si="145"/>
        <v>3.9936203042211607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47456</v>
      </c>
      <c r="B352" s="406">
        <f>'2028'!Wh/'2028'!Env_an*'2029'!Env_an</f>
        <v>13.035476949407121</v>
      </c>
      <c r="C352" s="832"/>
      <c r="D352" s="388">
        <f t="shared" si="127"/>
        <v>13.569693780408414</v>
      </c>
      <c r="E352" s="380">
        <f t="shared" si="125"/>
        <v>13.769423892602738</v>
      </c>
      <c r="F352" s="380">
        <f t="shared" si="128"/>
        <v>13.792273723795391</v>
      </c>
      <c r="G352" s="110">
        <f t="shared" si="126"/>
        <v>0.72308526071016188</v>
      </c>
      <c r="H352" s="409" t="b">
        <f>Wh_hp&gt;='2028'!Maxi_hp</f>
        <v>1</v>
      </c>
      <c r="I352" s="385">
        <f>IF(H352,Wh_hp,'2028'!Maxi_hp)</f>
        <v>13.792273723795391</v>
      </c>
      <c r="J352" s="85">
        <f>IF(H352,An,'2028'!An_max)</f>
        <v>2029</v>
      </c>
      <c r="K352" s="193">
        <f t="shared" si="129"/>
        <v>47456</v>
      </c>
      <c r="L352" s="143">
        <f>IF(t&lt;Tvie,1-EXP((T0-t)*PertePVj)+'2028'!Pspv,1-EXP((T0-t)*PertePVj)+Pspv)</f>
        <v>3.9368377772281193E-2</v>
      </c>
      <c r="M352" s="836"/>
      <c r="N352" s="836"/>
      <c r="O352" s="48">
        <f>IF(t&lt;Tnet,'2028'!Resal+('2028'!Salim-'2028'!Resal)*(1-EXP(('2028'!Tnet-t)/('2028'!Tau_j))),Resal+(Salim-Resal)*(1-EXP((Tnet-t)/(Tau_j))))*Salcycl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2.7359914118109973E-3</v>
      </c>
      <c r="Q352" s="301">
        <f t="shared" si="130"/>
        <v>0.5</v>
      </c>
      <c r="R352" s="173">
        <f t="shared" si="131"/>
        <v>0.46864728606881856</v>
      </c>
      <c r="S352" s="802">
        <f t="shared" si="132"/>
        <v>0</v>
      </c>
      <c r="T352" s="172">
        <f t="shared" si="133"/>
        <v>6</v>
      </c>
      <c r="U352" s="247">
        <f t="shared" si="134"/>
        <v>0.46864728606881856</v>
      </c>
      <c r="V352" s="378">
        <f t="shared" si="135"/>
        <v>18.008090323103531</v>
      </c>
      <c r="W352" s="397">
        <f t="shared" si="136"/>
        <v>13.035476949407121</v>
      </c>
      <c r="X352" s="153">
        <f t="shared" si="137"/>
        <v>47456</v>
      </c>
      <c r="Y352" s="380">
        <f t="shared" si="138"/>
        <v>12.438802473608893</v>
      </c>
      <c r="Z352" s="380">
        <f t="shared" si="139"/>
        <v>12.948566532468636</v>
      </c>
      <c r="AA352" s="381">
        <f t="shared" si="140"/>
        <v>13.581125266624166</v>
      </c>
      <c r="AB352" s="193">
        <f t="shared" si="141"/>
        <v>47456</v>
      </c>
      <c r="AC352" s="119">
        <f>IF(OR(t&lt;Tnet,NoTnet),'2028'!Resal_s+('2028'!Salim-'2028'!Resal_s)*(1-EXP(('2028'!Tnet_s-t)/'2028'!Tau_j)),Resal_s+(Salim-Resal_s)*(1-EXP((Tnet_s-t)/Tau_j)))*Salcycl</f>
        <v>4.6576312473168437E-2</v>
      </c>
      <c r="AD352" s="227">
        <f>(INDEX(Models!$BJ352:$BT352,,AH352)*(1-AF352)+INDEX(Models!$BJ352:$BT352,,AH352+1)*AF352-ERP_i)*AE352*Ramure*Pc/MaxiM</f>
        <v>2.5282478481651358E-2</v>
      </c>
      <c r="AE352" s="301">
        <f t="shared" si="142"/>
        <v>0.5</v>
      </c>
      <c r="AF352" s="173">
        <f t="shared" si="143"/>
        <v>0.99363485244279559</v>
      </c>
      <c r="AG352" s="802">
        <f t="shared" si="149"/>
        <v>3</v>
      </c>
      <c r="AH352" s="172">
        <f t="shared" si="144"/>
        <v>9</v>
      </c>
      <c r="AI352" s="221">
        <f t="shared" si="145"/>
        <v>3.9936348524427956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47457</v>
      </c>
      <c r="B353" s="406">
        <f>'2028'!Wh/'2028'!Env_an*'2029'!Env_an</f>
        <v>18.064895980853958</v>
      </c>
      <c r="C353" s="832"/>
      <c r="D353" s="388">
        <f t="shared" si="127"/>
        <v>18.805484703492979</v>
      </c>
      <c r="E353" s="380">
        <f t="shared" si="125"/>
        <v>19.083359990061403</v>
      </c>
      <c r="F353" s="380">
        <f t="shared" si="128"/>
        <v>19.135643499951627</v>
      </c>
      <c r="G353" s="110">
        <f t="shared" si="126"/>
        <v>1.0144026581276955</v>
      </c>
      <c r="H353" s="409" t="b">
        <f>Wh_hp&gt;='2028'!Maxi_hp</f>
        <v>1</v>
      </c>
      <c r="I353" s="385">
        <f>IF(H353,Wh_hp,'2028'!Maxi_hp)</f>
        <v>19.135643499951627</v>
      </c>
      <c r="J353" s="85">
        <f>IF(H353,An,'2028'!An_max)</f>
        <v>2029</v>
      </c>
      <c r="K353" s="193">
        <f t="shared" si="129"/>
        <v>47457</v>
      </c>
      <c r="L353" s="143">
        <f>IF(t&lt;Tvie,1-EXP((T0-t)*PertePVj)+'2028'!Pspv,1-EXP((T0-t)*PertePVj)+Pspv)</f>
        <v>3.9381528012487843E-2</v>
      </c>
      <c r="M353" s="836"/>
      <c r="N353" s="836"/>
      <c r="O353" s="48">
        <f>IF(t&lt;Tnet,'2028'!Resal+('2028'!Salim-'2028'!Resal)*(1-EXP(('2028'!Tnet-t)/('2028'!Tau_j))),Resal+(Salim-Resal)*(1-EXP((Tnet-t)/(Tau_j))))*Salcycl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2.7322577309906466E-3</v>
      </c>
      <c r="Q353" s="301">
        <f t="shared" si="130"/>
        <v>0.5</v>
      </c>
      <c r="R353" s="173">
        <f t="shared" si="131"/>
        <v>0.4686612493321875</v>
      </c>
      <c r="S353" s="802">
        <f t="shared" si="132"/>
        <v>0</v>
      </c>
      <c r="T353" s="172">
        <f t="shared" si="133"/>
        <v>6</v>
      </c>
      <c r="U353" s="247">
        <f t="shared" si="134"/>
        <v>0.4686612493321875</v>
      </c>
      <c r="V353" s="378">
        <f t="shared" si="135"/>
        <v>17.808407574756085</v>
      </c>
      <c r="W353" s="397">
        <f t="shared" si="136"/>
        <v>18.064895980853958</v>
      </c>
      <c r="X353" s="153">
        <f t="shared" si="137"/>
        <v>47457</v>
      </c>
      <c r="Y353" s="380">
        <f t="shared" si="138"/>
        <v>17.079227069636715</v>
      </c>
      <c r="Z353" s="380">
        <f t="shared" si="139"/>
        <v>17.779407296114062</v>
      </c>
      <c r="AA353" s="381">
        <f t="shared" si="140"/>
        <v>18.648293684887395</v>
      </c>
      <c r="AB353" s="193">
        <f t="shared" si="141"/>
        <v>47457</v>
      </c>
      <c r="AC353" s="119">
        <f>IF(OR(t&lt;Tnet,NoTnet),'2028'!Resal_s+('2028'!Salim-'2028'!Resal_s)*(1-EXP(('2028'!Tnet_s-t)/'2028'!Tau_j)),Resal_s+(Salim-Resal_s)*(1-EXP((Tnet_s-t)/Tau_j)))*Salcycl</f>
        <v>4.659334539961045E-2</v>
      </c>
      <c r="AD353" s="227">
        <f>(INDEX(Models!$BJ353:$BT353,,AH353)*(1-AF353)+INDEX(Models!$BJ353:$BT353,,AH353+1)*AF353-ERP_i)*AE353*Ramure*Pc/MaxiM</f>
        <v>2.5468169652380017E-2</v>
      </c>
      <c r="AE353" s="301">
        <f t="shared" si="142"/>
        <v>0.5</v>
      </c>
      <c r="AF353" s="173">
        <f t="shared" si="143"/>
        <v>0.9936488157061647</v>
      </c>
      <c r="AG353" s="802">
        <f t="shared" si="149"/>
        <v>3</v>
      </c>
      <c r="AH353" s="172">
        <f t="shared" si="144"/>
        <v>9</v>
      </c>
      <c r="AI353" s="221">
        <f t="shared" si="145"/>
        <v>3.9936488157061647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47458</v>
      </c>
      <c r="B354" s="406">
        <f>'2028'!Wh/'2028'!Env_an*'2029'!Env_an</f>
        <v>11.800482886122891</v>
      </c>
      <c r="C354" s="832"/>
      <c r="D354" s="388">
        <f t="shared" si="127"/>
        <v>12.284423807320637</v>
      </c>
      <c r="E354" s="380">
        <f t="shared" si="125"/>
        <v>12.466649783039564</v>
      </c>
      <c r="F354" s="380">
        <f t="shared" si="128"/>
        <v>12.484663878420859</v>
      </c>
      <c r="G354" s="110">
        <f t="shared" si="126"/>
        <v>0.66893355744206595</v>
      </c>
      <c r="H354" s="409" t="b">
        <f>Wh_hp&gt;='2028'!Maxi_hp</f>
        <v>1</v>
      </c>
      <c r="I354" s="385">
        <f>IF(H354,Wh_hp,'2028'!Maxi_hp)</f>
        <v>12.484663878420859</v>
      </c>
      <c r="J354" s="85">
        <f>IF(H354,An,'2028'!An_max)</f>
        <v>2029</v>
      </c>
      <c r="K354" s="193">
        <f t="shared" si="129"/>
        <v>47458</v>
      </c>
      <c r="L354" s="143">
        <f>IF(t&lt;Tvie,1-EXP((T0-t)*PertePVj)+'2028'!Pspv,1-EXP((T0-t)*PertePVj)+Pspv)</f>
        <v>3.9394678072678713E-2</v>
      </c>
      <c r="M354" s="836"/>
      <c r="N354" s="836"/>
      <c r="O354" s="48">
        <f>IF(t&lt;Tnet,'2028'!Resal+('2028'!Salim-'2028'!Resal)*(1-EXP(('2028'!Tnet-t)/('2028'!Tau_j))),Resal+(Salim-Resal)*(1-EXP((Tnet-t)/(Tau_j))))*Salcycl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2.7312996686310702E-3</v>
      </c>
      <c r="Q354" s="301">
        <f t="shared" si="130"/>
        <v>0.5</v>
      </c>
      <c r="R354" s="173">
        <f t="shared" si="131"/>
        <v>0.46867465112671047</v>
      </c>
      <c r="S354" s="802">
        <f t="shared" si="132"/>
        <v>0</v>
      </c>
      <c r="T354" s="172">
        <f t="shared" si="133"/>
        <v>6</v>
      </c>
      <c r="U354" s="247">
        <f t="shared" si="134"/>
        <v>0.46867465112671047</v>
      </c>
      <c r="V354" s="378">
        <f t="shared" si="135"/>
        <v>17.61797868098347</v>
      </c>
      <c r="W354" s="397">
        <f t="shared" si="136"/>
        <v>11.800482886122891</v>
      </c>
      <c r="X354" s="153">
        <f t="shared" si="137"/>
        <v>47458</v>
      </c>
      <c r="Y354" s="380">
        <f t="shared" si="138"/>
        <v>11.278865208210345</v>
      </c>
      <c r="Z354" s="380">
        <f t="shared" si="139"/>
        <v>11.741414450610025</v>
      </c>
      <c r="AA354" s="381">
        <f t="shared" si="140"/>
        <v>12.315451241565377</v>
      </c>
      <c r="AB354" s="193">
        <f t="shared" si="141"/>
        <v>47458</v>
      </c>
      <c r="AC354" s="119">
        <f>IF(OR(t&lt;Tnet,NoTnet),'2028'!Resal_s+('2028'!Salim-'2028'!Resal_s)*(1-EXP(('2028'!Tnet_s-t)/'2028'!Tau_j)),Resal_s+(Salim-Resal_s)*(1-EXP((Tnet_s-t)/Tau_j)))*Salcycl</f>
        <v>4.6611105001004342E-2</v>
      </c>
      <c r="AD354" s="227">
        <f>(INDEX(Models!$BJ354:$BT354,,AH354)*(1-AF354)+INDEX(Models!$BJ354:$BT354,,AH354+1)*AF354-ERP_i)*AE354*Ramure*Pc/MaxiM</f>
        <v>2.5656043736253797E-2</v>
      </c>
      <c r="AE354" s="301">
        <f t="shared" si="142"/>
        <v>0.5</v>
      </c>
      <c r="AF354" s="173">
        <f t="shared" si="143"/>
        <v>0.99366221750068773</v>
      </c>
      <c r="AG354" s="802">
        <f t="shared" si="149"/>
        <v>3</v>
      </c>
      <c r="AH354" s="172">
        <f t="shared" si="144"/>
        <v>9</v>
      </c>
      <c r="AI354" s="221">
        <f t="shared" si="145"/>
        <v>3.9936622175006877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47459</v>
      </c>
      <c r="B355" s="406">
        <f>'2028'!Wh/'2028'!Env_an*'2029'!Env_an</f>
        <v>14.476373243011903</v>
      </c>
      <c r="C355" s="832"/>
      <c r="D355" s="388">
        <f t="shared" si="127"/>
        <v>15.07025943399155</v>
      </c>
      <c r="E355" s="380">
        <f t="shared" si="125"/>
        <v>15.29468092075661</v>
      </c>
      <c r="F355" s="380">
        <f t="shared" si="128"/>
        <v>15.326405452456894</v>
      </c>
      <c r="G355" s="110">
        <f t="shared" si="126"/>
        <v>0.82961865679917735</v>
      </c>
      <c r="H355" s="409" t="b">
        <f>Wh_hp&gt;='2028'!Maxi_hp</f>
        <v>1</v>
      </c>
      <c r="I355" s="385">
        <f>IF(H355,Wh_hp,'2028'!Maxi_hp)</f>
        <v>15.326405452456894</v>
      </c>
      <c r="J355" s="85">
        <f>IF(H355,An,'2028'!An_max)</f>
        <v>2029</v>
      </c>
      <c r="K355" s="193">
        <f t="shared" si="129"/>
        <v>47459</v>
      </c>
      <c r="L355" s="143">
        <f>IF(t&lt;Tvie,1-EXP((T0-t)*PertePVj)+'2028'!Pspv,1-EXP((T0-t)*PertePVj)+Pspv)</f>
        <v>3.9407827952856245E-2</v>
      </c>
      <c r="M355" s="836"/>
      <c r="N355" s="836"/>
      <c r="O355" s="48">
        <f>IF(t&lt;Tnet,'2028'!Resal+('2028'!Salim-'2028'!Resal)*(1-EXP(('2028'!Tnet-t)/('2028'!Tau_j))),Resal+(Salim-Resal)*(1-EXP((Tnet-t)/(Tau_j))))*Salcycl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2.7329871769637237E-3</v>
      </c>
      <c r="Q355" s="301">
        <f t="shared" si="130"/>
        <v>0.5</v>
      </c>
      <c r="R355" s="173">
        <f t="shared" si="131"/>
        <v>0.46868751400099551</v>
      </c>
      <c r="S355" s="802">
        <f t="shared" si="132"/>
        <v>0</v>
      </c>
      <c r="T355" s="172">
        <f t="shared" si="133"/>
        <v>6</v>
      </c>
      <c r="U355" s="247">
        <f t="shared" si="134"/>
        <v>0.46868751400099551</v>
      </c>
      <c r="V355" s="378">
        <f t="shared" si="135"/>
        <v>17.437836649075098</v>
      </c>
      <c r="W355" s="397">
        <f t="shared" si="136"/>
        <v>14.476373243011903</v>
      </c>
      <c r="X355" s="153">
        <f t="shared" si="137"/>
        <v>47459</v>
      </c>
      <c r="Y355" s="380">
        <f t="shared" si="138"/>
        <v>13.761185122300017</v>
      </c>
      <c r="Z355" s="380">
        <f t="shared" si="139"/>
        <v>14.325731067507229</v>
      </c>
      <c r="AA355" s="381">
        <f t="shared" si="140"/>
        <v>15.026405964220803</v>
      </c>
      <c r="AB355" s="193">
        <f t="shared" si="141"/>
        <v>47459</v>
      </c>
      <c r="AC355" s="119">
        <f>IF(OR(t&lt;Tnet,NoTnet),'2028'!Resal_s+('2028'!Salim-'2028'!Resal_s)*(1-EXP(('2028'!Tnet_s-t)/'2028'!Tau_j)),Resal_s+(Salim-Resal_s)*(1-EXP((Tnet_s-t)/Tau_j)))*Salcycl</f>
        <v>4.6629573191483219E-2</v>
      </c>
      <c r="AD355" s="227">
        <f>(INDEX(Models!$BJ355:$BT355,,AH355)*(1-AF355)+INDEX(Models!$BJ355:$BT355,,AH355+1)*AF355-ERP_i)*AE355*Ramure*Pc/MaxiM</f>
        <v>2.5844187778430401E-2</v>
      </c>
      <c r="AE355" s="301">
        <f t="shared" si="142"/>
        <v>0.5</v>
      </c>
      <c r="AF355" s="173">
        <f t="shared" si="143"/>
        <v>0.99367508037497254</v>
      </c>
      <c r="AG355" s="802">
        <f t="shared" si="149"/>
        <v>3</v>
      </c>
      <c r="AH355" s="172">
        <f t="shared" si="144"/>
        <v>9</v>
      </c>
      <c r="AI355" s="221">
        <f t="shared" si="145"/>
        <v>3.9936750803749725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47460</v>
      </c>
      <c r="B356" s="406">
        <f>'2028'!Wh/'2028'!Env_an*'2029'!Env_an</f>
        <v>4.6639678836323188</v>
      </c>
      <c r="C356" s="832"/>
      <c r="D356" s="388">
        <f t="shared" si="127"/>
        <v>4.8553713699023682</v>
      </c>
      <c r="E356" s="380">
        <f t="shared" si="125"/>
        <v>4.9279572871357686</v>
      </c>
      <c r="F356" s="380">
        <f t="shared" si="128"/>
        <v>4.9279572871357686</v>
      </c>
      <c r="G356" s="110">
        <f t="shared" si="126"/>
        <v>0.26933800234169475</v>
      </c>
      <c r="H356" s="409" t="b">
        <f>Wh_hp&gt;='2028'!Maxi_hp</f>
        <v>1</v>
      </c>
      <c r="I356" s="385">
        <f>IF(H356,Wh_hp,'2028'!Maxi_hp)</f>
        <v>4.9279572871357686</v>
      </c>
      <c r="J356" s="85">
        <f>IF(H356,An,'2028'!An_max)</f>
        <v>2029</v>
      </c>
      <c r="K356" s="193">
        <f t="shared" si="129"/>
        <v>47460</v>
      </c>
      <c r="L356" s="143">
        <f>IF(t&lt;Tvie,1-EXP((T0-t)*PertePVj)+'2028'!Pspv,1-EXP((T0-t)*PertePVj)+Pspv)</f>
        <v>3.9420977653023104E-2</v>
      </c>
      <c r="M356" s="836"/>
      <c r="N356" s="836"/>
      <c r="O356" s="48">
        <f>IF(t&lt;Tnet,'2028'!Resal+('2028'!Salim-'2028'!Resal)*(1-EXP(('2028'!Tnet-t)/('2028'!Tau_j))),Resal+(Salim-Resal)*(1-EXP((Tnet-t)/(Tau_j))))*Salcycl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2.7371783381512954E-3</v>
      </c>
      <c r="Q356" s="301">
        <f t="shared" si="130"/>
        <v>0.5</v>
      </c>
      <c r="R356" s="173">
        <f t="shared" si="131"/>
        <v>0.46869985960032956</v>
      </c>
      <c r="S356" s="802">
        <f t="shared" si="132"/>
        <v>0</v>
      </c>
      <c r="T356" s="172">
        <f t="shared" si="133"/>
        <v>6</v>
      </c>
      <c r="U356" s="247">
        <f t="shared" si="134"/>
        <v>0.46869985960032956</v>
      </c>
      <c r="V356" s="378">
        <f t="shared" si="135"/>
        <v>17.269014143316749</v>
      </c>
      <c r="W356" s="397">
        <f t="shared" si="136"/>
        <v>4.6639678836323188</v>
      </c>
      <c r="X356" s="153">
        <f t="shared" si="137"/>
        <v>47460</v>
      </c>
      <c r="Y356" s="380">
        <f t="shared" si="138"/>
        <v>4.5128716546680563</v>
      </c>
      <c r="Z356" s="380">
        <f t="shared" si="139"/>
        <v>4.698074338165104</v>
      </c>
      <c r="AA356" s="381">
        <f t="shared" si="140"/>
        <v>4.9279572871357686</v>
      </c>
      <c r="AB356" s="193">
        <f t="shared" si="141"/>
        <v>47460</v>
      </c>
      <c r="AC356" s="119">
        <f>IF(OR(t&lt;Tnet,NoTnet),'2028'!Resal_s+('2028'!Salim-'2028'!Resal_s)*(1-EXP(('2028'!Tnet_s-t)/'2028'!Tau_j)),Resal_s+(Salim-Resal_s)*(1-EXP((Tnet_s-t)/Tau_j)))*Salcycl</f>
        <v>4.6648730006399304E-2</v>
      </c>
      <c r="AD356" s="227">
        <f>(INDEX(Models!$BJ356:$BT356,,AH356)*(1-AF356)+INDEX(Models!$BJ356:$BT356,,AH356+1)*AF356-ERP_i)*AE356*Ramure*Pc/MaxiM</f>
        <v>2.6030555525934619E-2</v>
      </c>
      <c r="AE356" s="301">
        <f t="shared" si="142"/>
        <v>0.5</v>
      </c>
      <c r="AF356" s="173">
        <f t="shared" si="143"/>
        <v>0.99368742597430693</v>
      </c>
      <c r="AG356" s="802">
        <f t="shared" si="149"/>
        <v>3</v>
      </c>
      <c r="AH356" s="172">
        <f t="shared" si="144"/>
        <v>9</v>
      </c>
      <c r="AI356" s="221">
        <f t="shared" si="145"/>
        <v>3.9936874259743069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47461</v>
      </c>
      <c r="B357" s="406">
        <f>'2028'!Wh/'2028'!Env_an*'2029'!Env_an</f>
        <v>7.7657346085270715</v>
      </c>
      <c r="C357" s="832"/>
      <c r="D357" s="388">
        <f t="shared" si="127"/>
        <v>8.0845414439652536</v>
      </c>
      <c r="E357" s="380">
        <f t="shared" si="125"/>
        <v>8.2058717746455248</v>
      </c>
      <c r="F357" s="380">
        <f t="shared" si="128"/>
        <v>8.2108216550010145</v>
      </c>
      <c r="G357" s="110">
        <f t="shared" si="126"/>
        <v>0.45283152457344211</v>
      </c>
      <c r="H357" s="409" t="b">
        <f>Wh_hp&gt;='2028'!Maxi_hp</f>
        <v>1</v>
      </c>
      <c r="I357" s="385">
        <f>IF(H357,Wh_hp,'2028'!Maxi_hp)</f>
        <v>8.2108216550010145</v>
      </c>
      <c r="J357" s="85">
        <f>IF(H357,An,'2028'!An_max)</f>
        <v>2029</v>
      </c>
      <c r="K357" s="193">
        <f t="shared" si="129"/>
        <v>47461</v>
      </c>
      <c r="L357" s="143">
        <f>IF(t&lt;Tvie,1-EXP((T0-t)*PertePVj)+'2028'!Pspv,1-EXP((T0-t)*PertePVj)+Pspv)</f>
        <v>3.943412717318151E-2</v>
      </c>
      <c r="M357" s="836"/>
      <c r="N357" s="836"/>
      <c r="O357" s="48">
        <f>IF(t&lt;Tnet,'2028'!Resal+('2028'!Salim-'2028'!Resal)*(1-EXP(('2028'!Tnet-t)/('2028'!Tau_j))),Resal+(Salim-Resal)*(1-EXP((Tnet-t)/(Tau_j))))*Salcycl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2.7437181382080227E-3</v>
      </c>
      <c r="Q357" s="301">
        <f t="shared" si="130"/>
        <v>0.5</v>
      </c>
      <c r="R357" s="173">
        <f t="shared" si="131"/>
        <v>0.46871170870268963</v>
      </c>
      <c r="S357" s="802">
        <f t="shared" si="132"/>
        <v>0</v>
      </c>
      <c r="T357" s="172">
        <f t="shared" si="133"/>
        <v>6</v>
      </c>
      <c r="U357" s="247">
        <f t="shared" si="134"/>
        <v>0.46871170870268963</v>
      </c>
      <c r="V357" s="378">
        <f t="shared" si="135"/>
        <v>17.112543479891276</v>
      </c>
      <c r="W357" s="397">
        <f t="shared" si="136"/>
        <v>7.7657346085270715</v>
      </c>
      <c r="X357" s="153">
        <f t="shared" si="137"/>
        <v>47461</v>
      </c>
      <c r="Y357" s="380">
        <f t="shared" si="138"/>
        <v>7.4756530957908724</v>
      </c>
      <c r="Z357" s="380">
        <f t="shared" si="139"/>
        <v>7.7825512099352574</v>
      </c>
      <c r="AA357" s="381">
        <f t="shared" si="140"/>
        <v>8.1635314147524234</v>
      </c>
      <c r="AB357" s="193">
        <f t="shared" si="141"/>
        <v>47461</v>
      </c>
      <c r="AC357" s="119">
        <f>IF(OR(t&lt;Tnet,NoTnet),'2028'!Resal_s+('2028'!Salim-'2028'!Resal_s)*(1-EXP(('2028'!Tnet_s-t)/'2028'!Tau_j)),Resal_s+(Salim-Resal_s)*(1-EXP((Tnet_s-t)/Tau_j)))*Salcycl</f>
        <v>4.6668553774251657E-2</v>
      </c>
      <c r="AD357" s="227">
        <f>(INDEX(Models!$BJ357:$BT357,,AH357)*(1-AF357)+INDEX(Models!$BJ357:$BT357,,AH357+1)*AF357-ERP_i)*AE357*Ramure*Pc/MaxiM</f>
        <v>2.621297498360331E-2</v>
      </c>
      <c r="AE357" s="301">
        <f t="shared" si="142"/>
        <v>0.5</v>
      </c>
      <c r="AF357" s="173">
        <f t="shared" si="143"/>
        <v>0.99369927507666667</v>
      </c>
      <c r="AG357" s="802">
        <f t="shared" si="149"/>
        <v>3</v>
      </c>
      <c r="AH357" s="172">
        <f t="shared" si="144"/>
        <v>9</v>
      </c>
      <c r="AI357" s="221">
        <f t="shared" si="145"/>
        <v>3.9936992750766667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47462</v>
      </c>
      <c r="B358" s="406">
        <f>'2028'!Wh/'2028'!Env_an*'2029'!Env_an</f>
        <v>11.308886283725114</v>
      </c>
      <c r="C358" s="832"/>
      <c r="D358" s="388">
        <f t="shared" si="127"/>
        <v>11.773311352109346</v>
      </c>
      <c r="E358" s="380">
        <f t="shared" si="125"/>
        <v>11.950687168892465</v>
      </c>
      <c r="F358" s="380">
        <f t="shared" si="128"/>
        <v>11.967930640546628</v>
      </c>
      <c r="G358" s="110">
        <f t="shared" si="126"/>
        <v>0.66555058614341667</v>
      </c>
      <c r="H358" s="409" t="b">
        <f>Wh_hp&gt;='2028'!Maxi_hp</f>
        <v>1</v>
      </c>
      <c r="I358" s="385">
        <f>IF(H358,Wh_hp,'2028'!Maxi_hp)</f>
        <v>11.967930640546628</v>
      </c>
      <c r="J358" s="85">
        <f>IF(H358,An,'2028'!An_max)</f>
        <v>2029</v>
      </c>
      <c r="K358" s="193">
        <f t="shared" si="129"/>
        <v>47462</v>
      </c>
      <c r="L358" s="143">
        <f>IF(t&lt;Tvie,1-EXP((T0-t)*PertePVj)+'2028'!Pspv,1-EXP((T0-t)*PertePVj)+Pspv)</f>
        <v>3.9447276513334018E-2</v>
      </c>
      <c r="M358" s="836"/>
      <c r="N358" s="836"/>
      <c r="O358" s="48">
        <f>IF(t&lt;Tnet,'2028'!Resal+('2028'!Salim-'2028'!Resal)*(1-EXP(('2028'!Tnet-t)/('2028'!Tau_j))),Resal+(Salim-Resal)*(1-EXP((Tnet-t)/(Tau_j))))*Salcycl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2.752437452311306E-3</v>
      </c>
      <c r="Q358" s="301">
        <f t="shared" si="130"/>
        <v>0.5</v>
      </c>
      <c r="R358" s="173">
        <f t="shared" si="131"/>
        <v>0.46872308125333417</v>
      </c>
      <c r="S358" s="802">
        <f t="shared" si="132"/>
        <v>0</v>
      </c>
      <c r="T358" s="172">
        <f t="shared" si="133"/>
        <v>6</v>
      </c>
      <c r="U358" s="247">
        <f t="shared" si="134"/>
        <v>0.46872308125333417</v>
      </c>
      <c r="V358" s="378">
        <f t="shared" si="135"/>
        <v>16.969456613162613</v>
      </c>
      <c r="W358" s="397">
        <f t="shared" si="136"/>
        <v>11.308886283725114</v>
      </c>
      <c r="X358" s="153">
        <f t="shared" si="137"/>
        <v>47462</v>
      </c>
      <c r="Y358" s="380">
        <f t="shared" si="138"/>
        <v>10.807712382052163</v>
      </c>
      <c r="Z358" s="380">
        <f t="shared" si="139"/>
        <v>11.251555607298418</v>
      </c>
      <c r="AA358" s="381">
        <f t="shared" si="140"/>
        <v>11.802607814911747</v>
      </c>
      <c r="AB358" s="193">
        <f t="shared" si="141"/>
        <v>47462</v>
      </c>
      <c r="AC358" s="119">
        <f>IF(OR(t&lt;Tnet,NoTnet),'2028'!Resal_s+('2028'!Salim-'2028'!Resal_s)*(1-EXP(('2028'!Tnet_s-t)/'2028'!Tau_j)),Resal_s+(Salim-Resal_s)*(1-EXP((Tnet_s-t)/Tau_j)))*Salcycl</f>
        <v>4.6689021295540652E-2</v>
      </c>
      <c r="AD358" s="227">
        <f>(INDEX(Models!$BJ358:$BT358,,AH358)*(1-AF358)+INDEX(Models!$BJ358:$BT358,,AH358+1)*AF358-ERP_i)*AE358*Ramure*Pc/MaxiM</f>
        <v>2.6389160264576206E-2</v>
      </c>
      <c r="AE358" s="301">
        <f t="shared" si="142"/>
        <v>0.5</v>
      </c>
      <c r="AF358" s="173">
        <f t="shared" si="143"/>
        <v>0.99371064762731143</v>
      </c>
      <c r="AG358" s="802">
        <f t="shared" si="149"/>
        <v>3</v>
      </c>
      <c r="AH358" s="172">
        <f t="shared" si="144"/>
        <v>9</v>
      </c>
      <c r="AI358" s="221">
        <f t="shared" si="145"/>
        <v>3.9937106476273114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47463</v>
      </c>
      <c r="B359" s="406">
        <f>'2028'!Wh/'2028'!Env_an*'2029'!Env_an</f>
        <v>12.860149252800914</v>
      </c>
      <c r="C359" s="832"/>
      <c r="D359" s="388">
        <f t="shared" si="127"/>
        <v>13.388463730729489</v>
      </c>
      <c r="E359" s="380">
        <f t="shared" si="125"/>
        <v>13.590954797866699</v>
      </c>
      <c r="F359" s="380">
        <f t="shared" si="128"/>
        <v>13.615892722604087</v>
      </c>
      <c r="G359" s="110">
        <f t="shared" si="126"/>
        <v>0.76314030156341695</v>
      </c>
      <c r="H359" s="409" t="b">
        <f>Wh_hp&gt;='2028'!Maxi_hp</f>
        <v>1</v>
      </c>
      <c r="I359" s="385">
        <f>IF(H359,Wh_hp,'2028'!Maxi_hp)</f>
        <v>13.615892722604087</v>
      </c>
      <c r="J359" s="85">
        <f>IF(H359,An,'2028'!An_max)</f>
        <v>2029</v>
      </c>
      <c r="K359" s="193">
        <f t="shared" si="129"/>
        <v>47463</v>
      </c>
      <c r="L359" s="143">
        <f>IF(t&lt;Tvie,1-EXP((T0-t)*PertePVj)+'2028'!Pspv,1-EXP((T0-t)*PertePVj)+Pspv)</f>
        <v>3.9460425673483068E-2</v>
      </c>
      <c r="M359" s="836"/>
      <c r="N359" s="836"/>
      <c r="O359" s="48">
        <f>IF(t&lt;Tnet,'2028'!Resal+('2028'!Salim-'2028'!Resal)*(1-EXP(('2028'!Tnet-t)/('2028'!Tau_j))),Resal+(Salim-Resal)*(1-EXP((Tnet-t)/(Tau_j))))*Salcycl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2.763955637100377E-3</v>
      </c>
      <c r="Q359" s="301">
        <f t="shared" si="130"/>
        <v>0.5</v>
      </c>
      <c r="R359" s="173">
        <f t="shared" si="131"/>
        <v>0.46873399639802549</v>
      </c>
      <c r="S359" s="802">
        <f t="shared" si="132"/>
        <v>0</v>
      </c>
      <c r="T359" s="172">
        <f t="shared" si="133"/>
        <v>6</v>
      </c>
      <c r="U359" s="247">
        <f t="shared" si="134"/>
        <v>0.46873399639802549</v>
      </c>
      <c r="V359" s="378">
        <f t="shared" si="135"/>
        <v>16.835876836098201</v>
      </c>
      <c r="W359" s="397">
        <f t="shared" si="136"/>
        <v>12.860149252800914</v>
      </c>
      <c r="X359" s="153">
        <f t="shared" si="137"/>
        <v>47463</v>
      </c>
      <c r="Y359" s="380">
        <f t="shared" si="138"/>
        <v>12.248233259219761</v>
      </c>
      <c r="Z359" s="380">
        <f t="shared" si="139"/>
        <v>12.751409298057938</v>
      </c>
      <c r="AA359" s="381">
        <f t="shared" si="140"/>
        <v>13.376213684242371</v>
      </c>
      <c r="AB359" s="193">
        <f t="shared" si="141"/>
        <v>47463</v>
      </c>
      <c r="AC359" s="119">
        <f>IF(OR(t&lt;Tnet,NoTnet),'2028'!Resal_s+('2028'!Salim-'2028'!Resal_s)*(1-EXP(('2028'!Tnet_s-t)/'2028'!Tau_j)),Resal_s+(Salim-Resal_s)*(1-EXP((Tnet_s-t)/Tau_j)))*Salcycl</f>
        <v>4.6710108027092412E-2</v>
      </c>
      <c r="AD359" s="227">
        <f>(INDEX(Models!$BJ359:$BT359,,AH359)*(1-AF359)+INDEX(Models!$BJ359:$BT359,,AH359+1)*AF359-ERP_i)*AE359*Ramure*Pc/MaxiM</f>
        <v>2.6564448972830817E-2</v>
      </c>
      <c r="AE359" s="301">
        <f t="shared" si="142"/>
        <v>0.5</v>
      </c>
      <c r="AF359" s="173">
        <f t="shared" si="143"/>
        <v>0.99372156277200263</v>
      </c>
      <c r="AG359" s="802">
        <f t="shared" si="149"/>
        <v>3</v>
      </c>
      <c r="AH359" s="172">
        <f t="shared" si="144"/>
        <v>9</v>
      </c>
      <c r="AI359" s="221">
        <f t="shared" si="145"/>
        <v>3.9937215627720026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47464</v>
      </c>
      <c r="B360" s="406">
        <f>'2028'!Wh/'2028'!Env_an*'2029'!Env_an</f>
        <v>5.8887026379758955</v>
      </c>
      <c r="C360" s="832"/>
      <c r="D360" s="388">
        <f t="shared" si="127"/>
        <v>6.1307034169855461</v>
      </c>
      <c r="E360" s="380">
        <f t="shared" si="125"/>
        <v>6.2237846557096184</v>
      </c>
      <c r="F360" s="380">
        <f t="shared" si="128"/>
        <v>6.225080817486667</v>
      </c>
      <c r="G360" s="110">
        <f t="shared" si="126"/>
        <v>0.3515428134694541</v>
      </c>
      <c r="H360" s="409" t="b">
        <f>Wh_hp&gt;='2028'!Maxi_hp</f>
        <v>1</v>
      </c>
      <c r="I360" s="385">
        <f>IF(H360,Wh_hp,'2028'!Maxi_hp)</f>
        <v>6.225080817486667</v>
      </c>
      <c r="J360" s="85">
        <f>IF(H360,An,'2028'!An_max)</f>
        <v>2029</v>
      </c>
      <c r="K360" s="193">
        <f t="shared" si="129"/>
        <v>47464</v>
      </c>
      <c r="L360" s="143">
        <f>IF(t&lt;Tvie,1-EXP((T0-t)*PertePVj)+'2028'!Pspv,1-EXP((T0-t)*PertePVj)+Pspv)</f>
        <v>3.9473574653631216E-2</v>
      </c>
      <c r="M360" s="836"/>
      <c r="N360" s="836"/>
      <c r="O360" s="48">
        <f>IF(t&lt;Tnet,'2028'!Resal+('2028'!Salim-'2028'!Resal)*(1-EXP(('2028'!Tnet-t)/('2028'!Tau_j))),Resal+(Salim-Resal)*(1-EXP((Tnet-t)/(Tau_j))))*Salcycl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2.7789114112786754E-3</v>
      </c>
      <c r="Q360" s="301">
        <f t="shared" si="130"/>
        <v>0.5</v>
      </c>
      <c r="R360" s="173">
        <f t="shared" si="131"/>
        <v>0.46874447251494022</v>
      </c>
      <c r="S360" s="802">
        <f t="shared" si="132"/>
        <v>0</v>
      </c>
      <c r="T360" s="172">
        <f t="shared" si="133"/>
        <v>6</v>
      </c>
      <c r="U360" s="247">
        <f t="shared" si="134"/>
        <v>0.46874447251494022</v>
      </c>
      <c r="V360" s="378">
        <f t="shared" si="135"/>
        <v>16.707954763306233</v>
      </c>
      <c r="W360" s="397">
        <f t="shared" si="136"/>
        <v>5.8887026379758955</v>
      </c>
      <c r="X360" s="153">
        <f t="shared" si="137"/>
        <v>47464</v>
      </c>
      <c r="Y360" s="380">
        <f t="shared" si="138"/>
        <v>5.6885066669723496</v>
      </c>
      <c r="Z360" s="380">
        <f t="shared" si="139"/>
        <v>5.9222802380695114</v>
      </c>
      <c r="AA360" s="381">
        <f t="shared" si="140"/>
        <v>6.2126064471655864</v>
      </c>
      <c r="AB360" s="193">
        <f t="shared" si="141"/>
        <v>47464</v>
      </c>
      <c r="AC360" s="119">
        <f>IF(OR(t&lt;Tnet,NoTnet),'2028'!Resal_s+('2028'!Salim-'2028'!Resal_s)*(1-EXP(('2028'!Tnet_s-t)/'2028'!Tau_j)),Resal_s+(Salim-Resal_s)*(1-EXP((Tnet_s-t)/Tau_j)))*Salcycl</f>
        <v>4.6731788270369529E-2</v>
      </c>
      <c r="AD360" s="227">
        <f>(INDEX(Models!$BJ360:$BT360,,AH360)*(1-AF360)+INDEX(Models!$BJ360:$BT360,,AH360+1)*AF360-ERP_i)*AE360*Ramure*Pc/MaxiM</f>
        <v>2.6744477925207698E-2</v>
      </c>
      <c r="AE360" s="301">
        <f t="shared" si="142"/>
        <v>0.5</v>
      </c>
      <c r="AF360" s="173">
        <f t="shared" si="143"/>
        <v>0.99373203888891748</v>
      </c>
      <c r="AG360" s="802">
        <f t="shared" si="149"/>
        <v>3</v>
      </c>
      <c r="AH360" s="172">
        <f t="shared" si="144"/>
        <v>9</v>
      </c>
      <c r="AI360" s="221">
        <f t="shared" si="145"/>
        <v>3.9937320388889175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47465</v>
      </c>
      <c r="B361" s="406">
        <f>'2028'!Wh/'2028'!Env_an*'2029'!Env_an</f>
        <v>5.5475922232950508</v>
      </c>
      <c r="C361" s="832"/>
      <c r="D361" s="388">
        <f t="shared" si="127"/>
        <v>5.7756538704419516</v>
      </c>
      <c r="E361" s="380">
        <f t="shared" ref="E361:E379" si="150">Wh_pvt/(1-Psa)</f>
        <v>5.8636831054861327</v>
      </c>
      <c r="F361" s="380">
        <f t="shared" si="128"/>
        <v>5.864489945974193</v>
      </c>
      <c r="G361" s="110">
        <f t="shared" ref="G361:G379" si="151">+Wh_hp/MaxiM</f>
        <v>0.33356936955731886</v>
      </c>
      <c r="H361" s="409" t="b">
        <f>Wh_hp&gt;='2028'!Maxi_hp</f>
        <v>1</v>
      </c>
      <c r="I361" s="385">
        <f>IF(H361,Wh_hp,'2028'!Maxi_hp)</f>
        <v>5.864489945974193</v>
      </c>
      <c r="J361" s="85">
        <f>IF(H361,An,'2028'!An_max)</f>
        <v>2029</v>
      </c>
      <c r="K361" s="193">
        <f t="shared" si="129"/>
        <v>47465</v>
      </c>
      <c r="L361" s="143">
        <f>IF(t&lt;Tvie,1-EXP((T0-t)*PertePVj)+'2028'!Pspv,1-EXP((T0-t)*PertePVj)+Pspv)</f>
        <v>3.9486723453780903E-2</v>
      </c>
      <c r="M361" s="836"/>
      <c r="N361" s="836"/>
      <c r="O361" s="48">
        <f>IF(t&lt;Tnet,'2028'!Resal+('2028'!Salim-'2028'!Resal)*(1-EXP(('2028'!Tnet-t)/('2028'!Tau_j))),Resal+(Salim-Resal)*(1-EXP((Tnet-t)/(Tau_j))))*Salcycl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2.7948745187362945E-3</v>
      </c>
      <c r="Q361" s="301">
        <f t="shared" si="130"/>
        <v>0.5</v>
      </c>
      <c r="R361" s="173">
        <f t="shared" si="131"/>
        <v>0.46875452724531613</v>
      </c>
      <c r="S361" s="802">
        <f t="shared" si="132"/>
        <v>0</v>
      </c>
      <c r="T361" s="172">
        <f t="shared" si="133"/>
        <v>6</v>
      </c>
      <c r="U361" s="247">
        <f t="shared" si="134"/>
        <v>0.46875452724531613</v>
      </c>
      <c r="V361" s="378">
        <f t="shared" si="135"/>
        <v>16.586800579267315</v>
      </c>
      <c r="W361" s="397">
        <f t="shared" si="136"/>
        <v>5.5475922232950508</v>
      </c>
      <c r="X361" s="153">
        <f t="shared" si="137"/>
        <v>47465</v>
      </c>
      <c r="Y361" s="380">
        <f t="shared" si="138"/>
        <v>5.362444089419883</v>
      </c>
      <c r="Z361" s="380">
        <f t="shared" si="139"/>
        <v>5.5828942924162135</v>
      </c>
      <c r="AA361" s="381">
        <f t="shared" si="140"/>
        <v>5.856719566117369</v>
      </c>
      <c r="AB361" s="193">
        <f t="shared" si="141"/>
        <v>47465</v>
      </c>
      <c r="AC361" s="119">
        <f>IF(OR(t&lt;Tnet,NoTnet),'2028'!Resal_s+('2028'!Salim-'2028'!Resal_s)*(1-EXP(('2028'!Tnet_s-t)/'2028'!Tau_j)),Resal_s+(Salim-Resal_s)*(1-EXP((Tnet_s-t)/Tau_j)))*Salcycl</f>
        <v>4.6754035362270928E-2</v>
      </c>
      <c r="AD361" s="227">
        <f>(INDEX(Models!$BJ361:$BT361,,AH361)*(1-AF361)+INDEX(Models!$BJ361:$BT361,,AH361+1)*AF361-ERP_i)*AE361*Ramure*Pc/MaxiM</f>
        <v>2.6916394236651188E-2</v>
      </c>
      <c r="AE361" s="301">
        <f t="shared" si="142"/>
        <v>0.5</v>
      </c>
      <c r="AF361" s="173">
        <f t="shared" si="143"/>
        <v>0.99374209361929333</v>
      </c>
      <c r="AG361" s="802">
        <f t="shared" si="149"/>
        <v>3</v>
      </c>
      <c r="AH361" s="172">
        <f t="shared" si="144"/>
        <v>9</v>
      </c>
      <c r="AI361" s="221">
        <f t="shared" si="145"/>
        <v>3.9937420936192933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47466</v>
      </c>
      <c r="B362" s="406">
        <f>'2028'!Wh/'2028'!Env_an*'2029'!Env_an</f>
        <v>12.633749356137557</v>
      </c>
      <c r="C362" s="832"/>
      <c r="D362" s="388">
        <f t="shared" si="127"/>
        <v>13.153303147826378</v>
      </c>
      <c r="E362" s="380">
        <f t="shared" si="150"/>
        <v>13.354551126616707</v>
      </c>
      <c r="F362" s="380">
        <f t="shared" si="128"/>
        <v>13.379643575055832</v>
      </c>
      <c r="G362" s="110">
        <f t="shared" si="151"/>
        <v>0.76619478727078327</v>
      </c>
      <c r="H362" s="409" t="b">
        <f>Wh_hp&gt;='2028'!Maxi_hp</f>
        <v>1</v>
      </c>
      <c r="I362" s="385">
        <f>IF(H362,Wh_hp,'2028'!Maxi_hp)</f>
        <v>13.379643575055832</v>
      </c>
      <c r="J362" s="85">
        <f>IF(H362,An,'2028'!An_max)</f>
        <v>2029</v>
      </c>
      <c r="K362" s="193">
        <f t="shared" si="129"/>
        <v>47466</v>
      </c>
      <c r="L362" s="143">
        <f>IF(t&lt;Tvie,1-EXP((T0-t)*PertePVj)+'2028'!Pspv,1-EXP((T0-t)*PertePVj)+Pspv)</f>
        <v>3.9499872073934461E-2</v>
      </c>
      <c r="M362" s="836"/>
      <c r="N362" s="836"/>
      <c r="O362" s="48">
        <f>IF(t&lt;Tnet,'2028'!Resal+('2028'!Salim-'2028'!Resal)*(1-EXP(('2028'!Tnet-t)/('2028'!Tau_j))),Resal+(Salim-Resal)*(1-EXP((Tnet-t)/(Tau_j))))*Salcycl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2.8116387085689843E-3</v>
      </c>
      <c r="Q362" s="301">
        <f t="shared" si="130"/>
        <v>0.5</v>
      </c>
      <c r="R362" s="173">
        <f t="shared" si="131"/>
        <v>0.46876417752288546</v>
      </c>
      <c r="S362" s="802">
        <f t="shared" si="132"/>
        <v>0</v>
      </c>
      <c r="T362" s="172">
        <f t="shared" si="133"/>
        <v>6</v>
      </c>
      <c r="U362" s="247">
        <f t="shared" si="134"/>
        <v>0.46876417752288546</v>
      </c>
      <c r="V362" s="378">
        <f t="shared" si="135"/>
        <v>16.473486098707436</v>
      </c>
      <c r="W362" s="397">
        <f t="shared" si="136"/>
        <v>12.633749356137557</v>
      </c>
      <c r="X362" s="153">
        <f t="shared" si="137"/>
        <v>47466</v>
      </c>
      <c r="Y362" s="380">
        <f t="shared" si="138"/>
        <v>12.028759480113752</v>
      </c>
      <c r="Z362" s="380">
        <f t="shared" si="139"/>
        <v>12.523433501343234</v>
      </c>
      <c r="AA362" s="381">
        <f t="shared" si="140"/>
        <v>13.137986768083879</v>
      </c>
      <c r="AB362" s="193">
        <f t="shared" si="141"/>
        <v>47466</v>
      </c>
      <c r="AC362" s="119">
        <f>IF(OR(t&lt;Tnet,NoTnet),'2028'!Resal_s+('2028'!Salim-'2028'!Resal_s)*(1-EXP(('2028'!Tnet_s-t)/'2028'!Tau_j)),Resal_s+(Salim-Resal_s)*(1-EXP((Tnet_s-t)/Tau_j)))*Salcycl</f>
        <v>4.6776821866922579E-2</v>
      </c>
      <c r="AD362" s="227">
        <f>(INDEX(Models!$BJ362:$BT362,,AH362)*(1-AF362)+INDEX(Models!$BJ362:$BT362,,AH362+1)*AF362-ERP_i)*AE362*Ramure*Pc/MaxiM</f>
        <v>2.7077932801971391E-2</v>
      </c>
      <c r="AE362" s="301">
        <f t="shared" si="142"/>
        <v>0.5</v>
      </c>
      <c r="AF362" s="173">
        <f t="shared" si="143"/>
        <v>0.99375174389686283</v>
      </c>
      <c r="AG362" s="802">
        <f t="shared" si="149"/>
        <v>3</v>
      </c>
      <c r="AH362" s="172">
        <f t="shared" si="144"/>
        <v>9</v>
      </c>
      <c r="AI362" s="221">
        <f t="shared" si="145"/>
        <v>3.9937517438968628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47467</v>
      </c>
      <c r="B363" s="406">
        <f>'2028'!Wh/'2028'!Env_an*'2029'!Env_an</f>
        <v>6.7480138606085749</v>
      </c>
      <c r="C363" s="832"/>
      <c r="D363" s="388">
        <f t="shared" si="127"/>
        <v>7.0256172178621377</v>
      </c>
      <c r="E363" s="380">
        <f t="shared" si="150"/>
        <v>7.1335240439622627</v>
      </c>
      <c r="F363" s="380">
        <f t="shared" si="128"/>
        <v>7.136761375036941</v>
      </c>
      <c r="G363" s="110">
        <f t="shared" si="151"/>
        <v>0.41126174338878752</v>
      </c>
      <c r="H363" s="409" t="b">
        <f>Wh_hp&gt;='2028'!Maxi_hp</f>
        <v>1</v>
      </c>
      <c r="I363" s="385">
        <f>IF(H363,Wh_hp,'2028'!Maxi_hp)</f>
        <v>7.136761375036941</v>
      </c>
      <c r="J363" s="85">
        <f>IF(H363,An,'2028'!An_max)</f>
        <v>2029</v>
      </c>
      <c r="K363" s="193">
        <f t="shared" si="129"/>
        <v>47467</v>
      </c>
      <c r="L363" s="143">
        <f>IF(t&lt;Tvie,1-EXP((T0-t)*PertePVj)+'2028'!Pspv,1-EXP((T0-t)*PertePVj)+Pspv)</f>
        <v>3.9513020514094555E-2</v>
      </c>
      <c r="M363" s="836"/>
      <c r="N363" s="836"/>
      <c r="O363" s="48">
        <f>IF(t&lt;Tnet,'2028'!Resal+('2028'!Salim-'2028'!Resal)*(1-EXP(('2028'!Tnet-t)/('2028'!Tau_j))),Resal+(Salim-Resal)*(1-EXP((Tnet-t)/(Tau_j))))*Salcycl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2.8289863215310777E-3</v>
      </c>
      <c r="Q363" s="301">
        <f t="shared" si="130"/>
        <v>0.5</v>
      </c>
      <c r="R363" s="173">
        <f t="shared" si="131"/>
        <v>0.46877343960214196</v>
      </c>
      <c r="S363" s="802">
        <f t="shared" si="132"/>
        <v>0</v>
      </c>
      <c r="T363" s="172">
        <f t="shared" si="133"/>
        <v>6</v>
      </c>
      <c r="U363" s="247">
        <f t="shared" si="134"/>
        <v>0.46877343960214196</v>
      </c>
      <c r="V363" s="378">
        <f t="shared" si="135"/>
        <v>16.369082817921552</v>
      </c>
      <c r="W363" s="397">
        <f t="shared" si="136"/>
        <v>6.7480138606085749</v>
      </c>
      <c r="X363" s="153">
        <f t="shared" si="137"/>
        <v>47467</v>
      </c>
      <c r="Y363" s="380">
        <f t="shared" si="138"/>
        <v>6.5054373745522929</v>
      </c>
      <c r="Z363" s="380">
        <f t="shared" si="139"/>
        <v>6.7730614922383294</v>
      </c>
      <c r="AA363" s="381">
        <f t="shared" si="140"/>
        <v>7.1056046404270816</v>
      </c>
      <c r="AB363" s="193">
        <f t="shared" si="141"/>
        <v>47467</v>
      </c>
      <c r="AC363" s="119">
        <f>IF(OR(t&lt;Tnet,NoTnet),'2028'!Resal_s+('2028'!Salim-'2028'!Resal_s)*(1-EXP(('2028'!Tnet_s-t)/'2028'!Tau_j)),Resal_s+(Salim-Resal_s)*(1-EXP((Tnet_s-t)/Tau_j)))*Salcycl</f>
        <v>4.6800119766973874E-2</v>
      </c>
      <c r="AD363" s="227">
        <f>(INDEX(Models!$BJ363:$BT363,,AH363)*(1-AF363)+INDEX(Models!$BJ363:$BT363,,AH363+1)*AF363-ERP_i)*AE363*Ramure*Pc/MaxiM</f>
        <v>2.7226741411862609E-2</v>
      </c>
      <c r="AE363" s="301">
        <f t="shared" si="142"/>
        <v>0.5</v>
      </c>
      <c r="AF363" s="173">
        <f t="shared" si="143"/>
        <v>0.99376100597611927</v>
      </c>
      <c r="AG363" s="802">
        <f t="shared" si="149"/>
        <v>3</v>
      </c>
      <c r="AH363" s="172">
        <f t="shared" si="144"/>
        <v>9</v>
      </c>
      <c r="AI363" s="221">
        <f t="shared" si="145"/>
        <v>3.9937610059761193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47468</v>
      </c>
      <c r="B364" s="406">
        <f>'2028'!Wh/'2028'!Env_an*'2029'!Env_an</f>
        <v>5.66341390698752</v>
      </c>
      <c r="C364" s="832"/>
      <c r="D364" s="388">
        <f t="shared" si="127"/>
        <v>5.8964791365111839</v>
      </c>
      <c r="E364" s="380">
        <f t="shared" si="150"/>
        <v>5.9873912060574668</v>
      </c>
      <c r="F364" s="380">
        <f t="shared" si="128"/>
        <v>5.9885599299290551</v>
      </c>
      <c r="G364" s="110">
        <f t="shared" si="151"/>
        <v>0.34706676576203477</v>
      </c>
      <c r="H364" s="409" t="b">
        <f>Wh_hp&gt;='2028'!Maxi_hp</f>
        <v>1</v>
      </c>
      <c r="I364" s="385">
        <f>IF(H364,Wh_hp,'2028'!Maxi_hp)</f>
        <v>5.9885599299290551</v>
      </c>
      <c r="J364" s="85">
        <f>IF(H364,An,'2028'!An_max)</f>
        <v>2029</v>
      </c>
      <c r="K364" s="193">
        <f t="shared" si="129"/>
        <v>47468</v>
      </c>
      <c r="L364" s="143">
        <f>IF(t&lt;Tvie,1-EXP((T0-t)*PertePVj)+'2028'!Pspv,1-EXP((T0-t)*PertePVj)+Pspv)</f>
        <v>3.9526168774263404E-2</v>
      </c>
      <c r="M364" s="836"/>
      <c r="N364" s="836"/>
      <c r="O364" s="48">
        <f>IF(t&lt;Tnet,'2028'!Resal+('2028'!Salim-'2028'!Resal)*(1-EXP(('2028'!Tnet-t)/('2028'!Tau_j))),Resal+(Salim-Resal)*(1-EXP((Tnet-t)/(Tau_j))))*Salcycl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2.8466886301866112E-3</v>
      </c>
      <c r="Q364" s="301">
        <f t="shared" si="130"/>
        <v>0.5</v>
      </c>
      <c r="R364" s="173">
        <f t="shared" si="131"/>
        <v>0.46878232908548717</v>
      </c>
      <c r="S364" s="802">
        <f t="shared" si="132"/>
        <v>0</v>
      </c>
      <c r="T364" s="172">
        <f t="shared" si="133"/>
        <v>6</v>
      </c>
      <c r="U364" s="247">
        <f t="shared" si="134"/>
        <v>0.46878232908548717</v>
      </c>
      <c r="V364" s="378">
        <f t="shared" si="135"/>
        <v>16.274661896674527</v>
      </c>
      <c r="W364" s="397">
        <f t="shared" si="136"/>
        <v>5.66341390698752</v>
      </c>
      <c r="X364" s="153">
        <f t="shared" si="137"/>
        <v>47468</v>
      </c>
      <c r="Y364" s="380">
        <f t="shared" si="138"/>
        <v>5.4722470209992125</v>
      </c>
      <c r="Z364" s="380">
        <f t="shared" si="139"/>
        <v>5.6974452016205852</v>
      </c>
      <c r="AA364" s="381">
        <f t="shared" si="140"/>
        <v>5.9773269656293486</v>
      </c>
      <c r="AB364" s="193">
        <f t="shared" si="141"/>
        <v>47468</v>
      </c>
      <c r="AC364" s="119">
        <f>IF(OR(t&lt;Tnet,NoTnet),'2028'!Resal_s+('2028'!Salim-'2028'!Resal_s)*(1-EXP(('2028'!Tnet_s-t)/'2028'!Tau_j)),Resal_s+(Salim-Resal_s)*(1-EXP((Tnet_s-t)/Tau_j)))*Salcycl</f>
        <v>4.6823900652939253E-2</v>
      </c>
      <c r="AD364" s="227">
        <f>(INDEX(Models!$BJ364:$BT364,,AH364)*(1-AF364)+INDEX(Models!$BJ364:$BT364,,AH364+1)*AF364-ERP_i)*AE364*Ramure*Pc/MaxiM</f>
        <v>2.736039926335013E-2</v>
      </c>
      <c r="AE364" s="301">
        <f t="shared" si="142"/>
        <v>0.5</v>
      </c>
      <c r="AF364" s="173">
        <f t="shared" si="143"/>
        <v>0.99376989545946426</v>
      </c>
      <c r="AG364" s="802">
        <f t="shared" si="149"/>
        <v>3</v>
      </c>
      <c r="AH364" s="172">
        <f t="shared" si="144"/>
        <v>9</v>
      </c>
      <c r="AI364" s="221">
        <f t="shared" si="145"/>
        <v>3.9937698954594643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47469</v>
      </c>
      <c r="B365" s="406">
        <f>'2028'!Wh/'2028'!Env_an*'2029'!Env_an</f>
        <v>3.6570240711943502</v>
      </c>
      <c r="C365" s="832"/>
      <c r="D365" s="388">
        <f t="shared" si="127"/>
        <v>3.8075729026381544</v>
      </c>
      <c r="E365" s="380">
        <f t="shared" si="150"/>
        <v>3.8665030803996028</v>
      </c>
      <c r="F365" s="380">
        <f t="shared" si="128"/>
        <v>3.8665030803996028</v>
      </c>
      <c r="G365" s="110">
        <f t="shared" si="151"/>
        <v>0.22521661721006891</v>
      </c>
      <c r="H365" s="409" t="b">
        <f>Wh_hp&gt;='2028'!Maxi_hp</f>
        <v>1</v>
      </c>
      <c r="I365" s="385">
        <f>IF(H365,Wh_hp,'2028'!Maxi_hp)</f>
        <v>3.8665030803996028</v>
      </c>
      <c r="J365" s="85">
        <f>IF(H365,An,'2028'!An_max)</f>
        <v>2029</v>
      </c>
      <c r="K365" s="193">
        <f t="shared" si="129"/>
        <v>47469</v>
      </c>
      <c r="L365" s="143">
        <f>IF(t&lt;Tvie,1-EXP((T0-t)*PertePVj)+'2028'!Pspv,1-EXP((T0-t)*PertePVj)+Pspv)</f>
        <v>3.9539316854443785E-2</v>
      </c>
      <c r="M365" s="836"/>
      <c r="N365" s="836"/>
      <c r="O365" s="48">
        <f>IF(t&lt;Tnet,'2028'!Resal+('2028'!Salim-'2028'!Resal)*(1-EXP(('2028'!Tnet-t)/('2028'!Tau_j))),Resal+(Salim-Resal)*(1-EXP((Tnet-t)/(Tau_j))))*Salcycl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2.8645065682957999E-3</v>
      </c>
      <c r="Q365" s="301">
        <f t="shared" si="130"/>
        <v>0.5</v>
      </c>
      <c r="R365" s="173">
        <f t="shared" si="131"/>
        <v>0.46879086094929961</v>
      </c>
      <c r="S365" s="802">
        <f t="shared" si="132"/>
        <v>0</v>
      </c>
      <c r="T365" s="172">
        <f t="shared" si="133"/>
        <v>6</v>
      </c>
      <c r="U365" s="247">
        <f t="shared" si="134"/>
        <v>0.46879086094929961</v>
      </c>
      <c r="V365" s="378">
        <f t="shared" si="135"/>
        <v>16.191294172226691</v>
      </c>
      <c r="W365" s="397">
        <f t="shared" si="136"/>
        <v>3.6570240711943502</v>
      </c>
      <c r="X365" s="153">
        <f t="shared" si="137"/>
        <v>47469</v>
      </c>
      <c r="Y365" s="380">
        <f t="shared" si="138"/>
        <v>3.5396478192170262</v>
      </c>
      <c r="Z365" s="380">
        <f t="shared" si="139"/>
        <v>3.6853646185958437</v>
      </c>
      <c r="AA365" s="381">
        <f t="shared" si="140"/>
        <v>3.8665030803996028</v>
      </c>
      <c r="AB365" s="193">
        <f t="shared" si="141"/>
        <v>47469</v>
      </c>
      <c r="AC365" s="119">
        <f>IF(OR(t&lt;Tnet,NoTnet),'2028'!Resal_s+('2028'!Salim-'2028'!Resal_s)*(1-EXP(('2028'!Tnet_s-t)/'2028'!Tau_j)),Resal_s+(Salim-Resal_s)*(1-EXP((Tnet_s-t)/Tau_j)))*Salcycl</f>
        <v>4.6848135909163272E-2</v>
      </c>
      <c r="AD365" s="227">
        <f>(INDEX(Models!$BJ365:$BT365,,AH365)*(1-AF365)+INDEX(Models!$BJ365:$BT365,,AH365+1)*AF365-ERP_i)*AE365*Ramure*Pc/MaxiM</f>
        <v>2.747643984051323E-2</v>
      </c>
      <c r="AE365" s="301">
        <f t="shared" si="142"/>
        <v>0.5</v>
      </c>
      <c r="AF365" s="173">
        <f t="shared" si="143"/>
        <v>0.99377842732327659</v>
      </c>
      <c r="AG365" s="802">
        <f t="shared" si="149"/>
        <v>3</v>
      </c>
      <c r="AH365" s="172">
        <f t="shared" si="144"/>
        <v>9</v>
      </c>
      <c r="AI365" s="221">
        <f t="shared" si="145"/>
        <v>3.9937784273232766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47470</v>
      </c>
      <c r="B366" s="406">
        <f>'2028'!Wh/'2028'!Env_an*'2029'!Env_an</f>
        <v>14.717627403734381</v>
      </c>
      <c r="C366" s="832"/>
      <c r="D366" s="388">
        <f t="shared" si="127"/>
        <v>15.323718228892661</v>
      </c>
      <c r="E366" s="380">
        <f t="shared" si="150"/>
        <v>15.561791491664824</v>
      </c>
      <c r="F366" s="380">
        <f t="shared" si="128"/>
        <v>15.601154054383358</v>
      </c>
      <c r="G366" s="110">
        <f t="shared" si="151"/>
        <v>0.91267261908577202</v>
      </c>
      <c r="H366" s="409" t="b">
        <f>Wh_hp&gt;='2028'!Maxi_hp</f>
        <v>1</v>
      </c>
      <c r="I366" s="385">
        <f>IF(H366,Wh_hp,'2028'!Maxi_hp)</f>
        <v>15.601154054383358</v>
      </c>
      <c r="J366" s="85">
        <f>IF(H366,An,'2028'!An_max)</f>
        <v>2029</v>
      </c>
      <c r="K366" s="193">
        <f t="shared" si="129"/>
        <v>47470</v>
      </c>
      <c r="L366" s="143">
        <f>IF(t&lt;Tvie,1-EXP((T0-t)*PertePVj)+'2028'!Pspv,1-EXP((T0-t)*PertePVj)+Pspv)</f>
        <v>3.9552464754637917E-2</v>
      </c>
      <c r="M366" s="836"/>
      <c r="N366" s="836"/>
      <c r="O366" s="48">
        <f>IF(t&lt;Tnet,'2028'!Resal+('2028'!Salim-'2028'!Resal)*(1-EXP(('2028'!Tnet-t)/('2028'!Tau_j))),Resal+(Salim-Resal)*(1-EXP((Tnet-t)/(Tau_j))))*Salcycl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2.881137198379952E-3</v>
      </c>
      <c r="Q366" s="301">
        <f t="shared" si="130"/>
        <v>0.5</v>
      </c>
      <c r="R366" s="173">
        <f t="shared" si="131"/>
        <v>0.4687990495689689</v>
      </c>
      <c r="S366" s="802">
        <f t="shared" si="132"/>
        <v>0</v>
      </c>
      <c r="T366" s="172">
        <f t="shared" si="133"/>
        <v>6</v>
      </c>
      <c r="U366" s="247">
        <f t="shared" si="134"/>
        <v>0.4687990495689689</v>
      </c>
      <c r="V366" s="378">
        <f t="shared" si="135"/>
        <v>16.120067194541686</v>
      </c>
      <c r="W366" s="397">
        <f t="shared" si="136"/>
        <v>14.717627403734381</v>
      </c>
      <c r="X366" s="153">
        <f t="shared" si="137"/>
        <v>47470</v>
      </c>
      <c r="Y366" s="380">
        <f t="shared" si="138"/>
        <v>13.936928018745308</v>
      </c>
      <c r="Z366" s="380">
        <f t="shared" si="139"/>
        <v>14.510868639154653</v>
      </c>
      <c r="AA366" s="381">
        <f t="shared" si="140"/>
        <v>15.224482725792729</v>
      </c>
      <c r="AB366" s="193">
        <f t="shared" si="141"/>
        <v>47470</v>
      </c>
      <c r="AC366" s="119">
        <f>IF(OR(t&lt;Tnet,NoTnet),'2028'!Resal_s+('2028'!Salim-'2028'!Resal_s)*(1-EXP(('2028'!Tnet_s-t)/'2028'!Tau_j)),Resal_s+(Salim-Resal_s)*(1-EXP((Tnet_s-t)/Tau_j)))*Salcycl</f>
        <v>4.6872796895036692E-2</v>
      </c>
      <c r="AD366" s="227">
        <f>(INDEX(Models!$BJ366:$BT366,,AH366)*(1-AF366)+INDEX(Models!$BJ366:$BT366,,AH366+1)*AF366-ERP_i)*AE366*Ramure*Pc/MaxiM</f>
        <v>2.757040450149972E-2</v>
      </c>
      <c r="AE366" s="301">
        <f t="shared" si="142"/>
        <v>0.5</v>
      </c>
      <c r="AF366" s="173">
        <f t="shared" si="143"/>
        <v>0.99378661594294604</v>
      </c>
      <c r="AG366" s="802">
        <f t="shared" si="149"/>
        <v>3</v>
      </c>
      <c r="AH366" s="172">
        <f t="shared" si="144"/>
        <v>9</v>
      </c>
      <c r="AI366" s="221">
        <f t="shared" si="145"/>
        <v>3.993786615942946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47471</v>
      </c>
      <c r="B367" s="406">
        <f>'2028'!Wh/'2028'!Env_an*'2029'!Env_an</f>
        <v>14.09193738190692</v>
      </c>
      <c r="C367" s="832"/>
      <c r="D367" s="388">
        <f t="shared" si="127"/>
        <v>14.672462340940372</v>
      </c>
      <c r="E367" s="380">
        <f t="shared" si="150"/>
        <v>14.901286779294926</v>
      </c>
      <c r="F367" s="380">
        <f t="shared" si="128"/>
        <v>14.936937183070963</v>
      </c>
      <c r="G367" s="110">
        <f t="shared" si="151"/>
        <v>0.8768954256288628</v>
      </c>
      <c r="H367" s="409" t="b">
        <f>Wh_hp&gt;='2028'!Maxi_hp</f>
        <v>1</v>
      </c>
      <c r="I367" s="385">
        <f>IF(H367,Wh_hp,'2028'!Maxi_hp)</f>
        <v>14.936937183070963</v>
      </c>
      <c r="J367" s="85">
        <f>IF(H367,An,'2028'!An_max)</f>
        <v>2029</v>
      </c>
      <c r="K367" s="193">
        <f t="shared" si="129"/>
        <v>47471</v>
      </c>
      <c r="L367" s="143">
        <f>IF(t&lt;Tvie,1-EXP((T0-t)*PertePVj)+'2028'!Pspv,1-EXP((T0-t)*PertePVj)+Pspv)</f>
        <v>3.9565612474848244E-2</v>
      </c>
      <c r="M367" s="836"/>
      <c r="N367" s="836"/>
      <c r="O367" s="48">
        <f>IF(t&lt;Tnet,'2028'!Resal+('2028'!Salim-'2028'!Resal)*(1-EXP(('2028'!Tnet-t)/('2028'!Tau_j))),Resal+(Salim-Resal)*(1-EXP((Tnet-t)/(Tau_j))))*Salcycl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2.8937983495610129E-3</v>
      </c>
      <c r="Q367" s="301">
        <f t="shared" si="130"/>
        <v>0.5</v>
      </c>
      <c r="R367" s="173">
        <f t="shared" si="131"/>
        <v>0.46880690874293512</v>
      </c>
      <c r="S367" s="802">
        <f t="shared" si="132"/>
        <v>0</v>
      </c>
      <c r="T367" s="172">
        <f t="shared" si="133"/>
        <v>6</v>
      </c>
      <c r="U367" s="247">
        <f t="shared" si="134"/>
        <v>0.46880690874293512</v>
      </c>
      <c r="V367" s="378">
        <f t="shared" si="135"/>
        <v>16.062091634789613</v>
      </c>
      <c r="W367" s="397">
        <f t="shared" si="136"/>
        <v>14.09193738190692</v>
      </c>
      <c r="X367" s="153">
        <f t="shared" si="137"/>
        <v>47471</v>
      </c>
      <c r="Y367" s="380">
        <f t="shared" si="138"/>
        <v>13.361424207928728</v>
      </c>
      <c r="Z367" s="380">
        <f t="shared" si="139"/>
        <v>13.911855282856395</v>
      </c>
      <c r="AA367" s="381">
        <f t="shared" si="140"/>
        <v>14.596394895963856</v>
      </c>
      <c r="AB367" s="193">
        <f t="shared" si="141"/>
        <v>47471</v>
      </c>
      <c r="AC367" s="119">
        <f>IF(OR(t&lt;Tnet,NoTnet),'2028'!Resal_s+('2028'!Salim-'2028'!Resal_s)*(1-EXP(('2028'!Tnet_s-t)/'2028'!Tau_j)),Resal_s+(Salim-Resal_s)*(1-EXP((Tnet_s-t)/Tau_j)))*Salcycl</f>
        <v>4.6897855120153396E-2</v>
      </c>
      <c r="AD367" s="227">
        <f>(INDEX(Models!$BJ367:$BT367,,AH367)*(1-AF367)+INDEX(Models!$BJ367:$BT367,,AH367+1)*AF367-ERP_i)*AE367*Ramure*Pc/MaxiM</f>
        <v>2.7642343536335007E-2</v>
      </c>
      <c r="AE367" s="301">
        <f t="shared" si="142"/>
        <v>0.5</v>
      </c>
      <c r="AF367" s="173">
        <f t="shared" si="143"/>
        <v>0.99379447511691232</v>
      </c>
      <c r="AG367" s="802">
        <f t="shared" si="149"/>
        <v>3</v>
      </c>
      <c r="AH367" s="172">
        <f t="shared" si="144"/>
        <v>9</v>
      </c>
      <c r="AI367" s="221">
        <f t="shared" si="145"/>
        <v>3.9937944751169123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47472</v>
      </c>
      <c r="B368" s="406">
        <f>'2028'!Wh/'2028'!Env_an*'2029'!Env_an</f>
        <v>4.2542454053251495</v>
      </c>
      <c r="C368" s="832"/>
      <c r="D368" s="388">
        <f t="shared" si="127"/>
        <v>4.4295619757346643</v>
      </c>
      <c r="E368" s="380">
        <f t="shared" si="150"/>
        <v>4.4989059789896171</v>
      </c>
      <c r="F368" s="380">
        <f t="shared" si="128"/>
        <v>4.4989059789896171</v>
      </c>
      <c r="G368" s="110">
        <f t="shared" si="151"/>
        <v>0.26481351699956707</v>
      </c>
      <c r="H368" s="409" t="b">
        <f>Wh_hp&gt;='2028'!Maxi_hp</f>
        <v>1</v>
      </c>
      <c r="I368" s="385">
        <f>IF(H368,Wh_hp,'2028'!Maxi_hp)</f>
        <v>4.4989059789896171</v>
      </c>
      <c r="J368" s="85">
        <f>IF(H368,An,'2028'!An_max)</f>
        <v>2029</v>
      </c>
      <c r="K368" s="193">
        <f t="shared" si="129"/>
        <v>47472</v>
      </c>
      <c r="L368" s="143">
        <f>IF(t&lt;Tvie,1-EXP((T0-t)*PertePVj)+'2028'!Pspv,1-EXP((T0-t)*PertePVj)+Pspv)</f>
        <v>3.957876001507743E-2</v>
      </c>
      <c r="M368" s="836"/>
      <c r="N368" s="836"/>
      <c r="O368" s="48">
        <f>IF(t&lt;Tnet,'2028'!Resal+('2028'!Salim-'2028'!Resal)*(1-EXP(('2028'!Tnet-t)/('2028'!Tau_j))),Resal+(Salim-Resal)*(1-EXP((Tnet-t)/(Tau_j))))*Salcycl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2.9022155720062962E-3</v>
      </c>
      <c r="Q368" s="301">
        <f t="shared" si="130"/>
        <v>0.5</v>
      </c>
      <c r="R368" s="173">
        <f t="shared" si="131"/>
        <v>0.46881445171577346</v>
      </c>
      <c r="S368" s="802">
        <f t="shared" si="132"/>
        <v>0</v>
      </c>
      <c r="T368" s="172">
        <f t="shared" si="133"/>
        <v>6</v>
      </c>
      <c r="U368" s="247">
        <f t="shared" si="134"/>
        <v>0.46881445171577346</v>
      </c>
      <c r="V368" s="378">
        <f t="shared" si="135"/>
        <v>16.018437110480331</v>
      </c>
      <c r="W368" s="397">
        <f t="shared" si="136"/>
        <v>4.2542454053251495</v>
      </c>
      <c r="X368" s="153">
        <f t="shared" si="137"/>
        <v>47472</v>
      </c>
      <c r="Y368" s="380">
        <f t="shared" si="138"/>
        <v>4.1180966353426651</v>
      </c>
      <c r="Z368" s="380">
        <f t="shared" si="139"/>
        <v>4.2878025431916873</v>
      </c>
      <c r="AA368" s="381">
        <f t="shared" si="140"/>
        <v>4.4989059789896171</v>
      </c>
      <c r="AB368" s="193">
        <f t="shared" si="141"/>
        <v>47472</v>
      </c>
      <c r="AC368" s="119">
        <f>IF(OR(t&lt;Tnet,NoTnet),'2028'!Resal_s+('2028'!Salim-'2028'!Resal_s)*(1-EXP(('2028'!Tnet_s-t)/'2028'!Tau_j)),Resal_s+(Salim-Resal_s)*(1-EXP((Tnet_s-t)/Tau_j)))*Salcycl</f>
        <v>4.692328241217001E-2</v>
      </c>
      <c r="AD368" s="227">
        <f>(INDEX(Models!$BJ368:$BT368,,AH368)*(1-AF368)+INDEX(Models!$BJ368:$BT368,,AH368+1)*AF368-ERP_i)*AE368*Ramure*Pc/MaxiM</f>
        <v>2.7689841436519889E-2</v>
      </c>
      <c r="AE368" s="301">
        <f t="shared" si="142"/>
        <v>0.5</v>
      </c>
      <c r="AF368" s="173">
        <f t="shared" si="143"/>
        <v>0.99380201808975066</v>
      </c>
      <c r="AG368" s="802">
        <f t="shared" si="149"/>
        <v>3</v>
      </c>
      <c r="AH368" s="172">
        <f t="shared" si="144"/>
        <v>9</v>
      </c>
      <c r="AI368" s="221">
        <f t="shared" si="145"/>
        <v>3.9938020180897507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47473</v>
      </c>
      <c r="B369" s="406">
        <f>'2028'!Wh/'2028'!Env_an*'2029'!Env_an</f>
        <v>15.086563017209636</v>
      </c>
      <c r="C369" s="832"/>
      <c r="D369" s="388">
        <f t="shared" si="127"/>
        <v>15.708492184796146</v>
      </c>
      <c r="E369" s="380">
        <f t="shared" si="150"/>
        <v>15.955338669508381</v>
      </c>
      <c r="F369" s="380">
        <f t="shared" si="128"/>
        <v>15.998077862301324</v>
      </c>
      <c r="G369" s="110">
        <f t="shared" si="151"/>
        <v>0.94326772727937902</v>
      </c>
      <c r="H369" s="409" t="b">
        <f>Wh_hp&gt;='2028'!Maxi_hp</f>
        <v>1</v>
      </c>
      <c r="I369" s="385">
        <f>IF(H369,Wh_hp,'2028'!Maxi_hp)</f>
        <v>15.998077862301324</v>
      </c>
      <c r="J369" s="85">
        <f>IF(H369,An,'2028'!An_max)</f>
        <v>2029</v>
      </c>
      <c r="K369" s="193">
        <f t="shared" si="129"/>
        <v>47473</v>
      </c>
      <c r="L369" s="143">
        <f>IF(t&lt;Tvie,1-EXP((T0-t)*PertePVj)+'2028'!Pspv,1-EXP((T0-t)*PertePVj)+Pspv)</f>
        <v>3.9591907375327806E-2</v>
      </c>
      <c r="M369" s="836"/>
      <c r="N369" s="836"/>
      <c r="O369" s="48">
        <f>IF(t&lt;Tnet,'2028'!Resal+('2028'!Salim-'2028'!Resal)*(1-EXP(('2028'!Tnet-t)/('2028'!Tau_j))),Resal+(Salim-Resal)*(1-EXP((Tnet-t)/(Tau_j))))*Salcycl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2.9061295391547251E-3</v>
      </c>
      <c r="Q369" s="301">
        <f t="shared" si="130"/>
        <v>0.5</v>
      </c>
      <c r="R369" s="173">
        <f t="shared" si="131"/>
        <v>0.46882169120036038</v>
      </c>
      <c r="S369" s="802">
        <f t="shared" si="132"/>
        <v>0</v>
      </c>
      <c r="T369" s="172">
        <f t="shared" si="133"/>
        <v>6</v>
      </c>
      <c r="U369" s="247">
        <f t="shared" si="134"/>
        <v>0.46882169120036038</v>
      </c>
      <c r="V369" s="378">
        <f t="shared" si="135"/>
        <v>15.990172944288036</v>
      </c>
      <c r="W369" s="397">
        <f t="shared" si="136"/>
        <v>15.086563017209636</v>
      </c>
      <c r="X369" s="153">
        <f t="shared" si="137"/>
        <v>47473</v>
      </c>
      <c r="Y369" s="380">
        <f t="shared" si="138"/>
        <v>14.270309061970048</v>
      </c>
      <c r="Z369" s="380">
        <f t="shared" si="139"/>
        <v>14.858588938969811</v>
      </c>
      <c r="AA369" s="381">
        <f t="shared" si="140"/>
        <v>15.590550490242487</v>
      </c>
      <c r="AB369" s="193">
        <f t="shared" si="141"/>
        <v>47473</v>
      </c>
      <c r="AC369" s="119">
        <f>IF(OR(t&lt;Tnet,NoTnet),'2028'!Resal_s+('2028'!Salim-'2028'!Resal_s)*(1-EXP(('2028'!Tnet_s-t)/'2028'!Tau_j)),Resal_s+(Salim-Resal_s)*(1-EXP((Tnet_s-t)/Tau_j)))*Salcycl</f>
        <v>4.6949051076213215E-2</v>
      </c>
      <c r="AD369" s="227">
        <f>(INDEX(Models!$BJ369:$BT369,,AH369)*(1-AF369)+INDEX(Models!$BJ369:$BT369,,AH369+1)*AF369-ERP_i)*AE369*Ramure*Pc/MaxiM</f>
        <v>2.7710568603668381E-2</v>
      </c>
      <c r="AE369" s="301">
        <f t="shared" si="142"/>
        <v>0.5</v>
      </c>
      <c r="AF369" s="173">
        <f t="shared" si="143"/>
        <v>0.99380925757433758</v>
      </c>
      <c r="AG369" s="802">
        <f t="shared" si="149"/>
        <v>3</v>
      </c>
      <c r="AH369" s="172">
        <f t="shared" si="144"/>
        <v>9</v>
      </c>
      <c r="AI369" s="221">
        <f t="shared" si="145"/>
        <v>3.9938092575743376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47474</v>
      </c>
      <c r="B370" s="406">
        <f>'2028'!Wh/'2028'!Env_an*'2029'!Env_an</f>
        <v>15.018227845245528</v>
      </c>
      <c r="C370" s="832"/>
      <c r="D370" s="388">
        <f t="shared" si="127"/>
        <v>15.637554025543343</v>
      </c>
      <c r="E370" s="380">
        <f t="shared" si="150"/>
        <v>15.884215310432609</v>
      </c>
      <c r="F370" s="380">
        <f t="shared" si="128"/>
        <v>15.92651457827774</v>
      </c>
      <c r="G370" s="110">
        <f t="shared" si="151"/>
        <v>0.93967495227986197</v>
      </c>
      <c r="H370" s="409" t="b">
        <f>Wh_hp&gt;='2028'!Maxi_hp</f>
        <v>1</v>
      </c>
      <c r="I370" s="385">
        <f>IF(H370,Wh_hp,'2028'!Maxi_hp)</f>
        <v>15.92651457827774</v>
      </c>
      <c r="J370" s="85">
        <f>IF(H370,An,'2028'!An_max)</f>
        <v>2029</v>
      </c>
      <c r="K370" s="193">
        <f t="shared" si="129"/>
        <v>47474</v>
      </c>
      <c r="L370" s="143">
        <f>IF(t&lt;Tvie,1-EXP((T0-t)*PertePVj)+'2028'!Pspv,1-EXP((T0-t)*PertePVj)+Pspv)</f>
        <v>3.9605054555601815E-2</v>
      </c>
      <c r="M370" s="836"/>
      <c r="N370" s="836"/>
      <c r="O370" s="48">
        <f>IF(t&lt;Tnet,'2028'!Resal+('2028'!Salim-'2028'!Resal)*(1-EXP(('2028'!Tnet-t)/('2028'!Tau_j))),Resal+(Salim-Resal)*(1-EXP((Tnet-t)/(Tau_j))))*Salcycl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2.9053018247991009E-3</v>
      </c>
      <c r="Q370" s="301">
        <f t="shared" si="130"/>
        <v>0.5</v>
      </c>
      <c r="R370" s="173">
        <f t="shared" si="131"/>
        <v>0.46882863939915764</v>
      </c>
      <c r="S370" s="802">
        <f t="shared" si="132"/>
        <v>0</v>
      </c>
      <c r="T370" s="172">
        <f t="shared" si="133"/>
        <v>6</v>
      </c>
      <c r="U370" s="247">
        <f t="shared" si="134"/>
        <v>0.46882863939915764</v>
      </c>
      <c r="V370" s="378">
        <f t="shared" si="135"/>
        <v>15.978368154579458</v>
      </c>
      <c r="W370" s="397">
        <f t="shared" si="136"/>
        <v>15.018227845245528</v>
      </c>
      <c r="X370" s="153">
        <f t="shared" si="137"/>
        <v>47474</v>
      </c>
      <c r="Y370" s="380">
        <f t="shared" si="138"/>
        <v>14.208066819859313</v>
      </c>
      <c r="Z370" s="380">
        <f t="shared" si="139"/>
        <v>14.793983337016517</v>
      </c>
      <c r="AA370" s="381">
        <f t="shared" si="140"/>
        <v>15.523187133410545</v>
      </c>
      <c r="AB370" s="193">
        <f t="shared" si="141"/>
        <v>47474</v>
      </c>
      <c r="AC370" s="119">
        <f>IF(OR(t&lt;Tnet,NoTnet),'2028'!Resal_s+('2028'!Salim-'2028'!Resal_s)*(1-EXP(('2028'!Tnet_s-t)/'2028'!Tau_j)),Resal_s+(Salim-Resal_s)*(1-EXP((Tnet_s-t)/Tau_j)))*Salcycl</f>
        <v>4.6975134044771147E-2</v>
      </c>
      <c r="AD370" s="227">
        <f>(INDEX(Models!$BJ370:$BT370,,AH370)*(1-AF370)+INDEX(Models!$BJ370:$BT370,,AH370+1)*AF370-ERP_i)*AE370*Ramure*Pc/MaxiM</f>
        <v>2.7702322552117107E-2</v>
      </c>
      <c r="AE370" s="301">
        <f t="shared" si="142"/>
        <v>0.5</v>
      </c>
      <c r="AF370" s="173">
        <f t="shared" si="143"/>
        <v>0.99381620577313479</v>
      </c>
      <c r="AG370" s="802">
        <f t="shared" si="149"/>
        <v>3</v>
      </c>
      <c r="AH370" s="172">
        <f t="shared" si="144"/>
        <v>9</v>
      </c>
      <c r="AI370" s="221">
        <f t="shared" si="145"/>
        <v>3.9938162057731348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47475</v>
      </c>
      <c r="B371" s="406">
        <f>'2028'!Wh/'2028'!Env_an*'2029'!Env_an</f>
        <v>14.735527634489371</v>
      </c>
      <c r="C371" s="832"/>
      <c r="D371" s="388">
        <f t="shared" si="127"/>
        <v>15.343405777121356</v>
      </c>
      <c r="E371" s="380">
        <f t="shared" si="150"/>
        <v>15.58634009647132</v>
      </c>
      <c r="F371" s="380">
        <f t="shared" si="128"/>
        <v>15.626593087861776</v>
      </c>
      <c r="G371" s="110">
        <f t="shared" si="151"/>
        <v>0.92158800866557744</v>
      </c>
      <c r="H371" s="409" t="b">
        <f>Wh_hp&gt;='2028'!Maxi_hp</f>
        <v>1</v>
      </c>
      <c r="I371" s="385">
        <f>IF(H371,Wh_hp,'2028'!Maxi_hp)</f>
        <v>15.626593087861776</v>
      </c>
      <c r="J371" s="85">
        <f>IF(H371,An,'2028'!An_max)</f>
        <v>2029</v>
      </c>
      <c r="K371" s="193">
        <f t="shared" si="129"/>
        <v>47475</v>
      </c>
      <c r="L371" s="143">
        <f>IF(t&lt;Tvie,1-EXP((T0-t)*PertePVj)+'2028'!Pspv,1-EXP((T0-t)*PertePVj)+Pspv)</f>
        <v>3.9618201555902011E-2</v>
      </c>
      <c r="M371" s="836"/>
      <c r="N371" s="836"/>
      <c r="O371" s="48">
        <f>IF(t&lt;Tnet,'2028'!Resal+('2028'!Salim-'2028'!Resal)*(1-EXP(('2028'!Tnet-t)/('2028'!Tau_j))),Resal+(Salim-Resal)*(1-EXP((Tnet-t)/(Tau_j))))*Salcycl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2.8994817394297268E-3</v>
      </c>
      <c r="Q371" s="301">
        <f t="shared" si="130"/>
        <v>0.5</v>
      </c>
      <c r="R371" s="173">
        <f t="shared" si="131"/>
        <v>0.46882863939915764</v>
      </c>
      <c r="S371" s="802">
        <f t="shared" si="132"/>
        <v>0</v>
      </c>
      <c r="T371" s="172">
        <f t="shared" si="133"/>
        <v>6</v>
      </c>
      <c r="U371" s="247">
        <f t="shared" si="134"/>
        <v>0.46882863939915764</v>
      </c>
      <c r="V371" s="378">
        <f t="shared" si="135"/>
        <v>15.984092088723639</v>
      </c>
      <c r="W371" s="397">
        <f t="shared" si="136"/>
        <v>14.735527634489371</v>
      </c>
      <c r="X371" s="153">
        <f t="shared" si="137"/>
        <v>47475</v>
      </c>
      <c r="Y371" s="380">
        <f t="shared" si="138"/>
        <v>13.950630043479832</v>
      </c>
      <c r="Z371" s="380">
        <f t="shared" si="139"/>
        <v>14.526129156217939</v>
      </c>
      <c r="AA371" s="381">
        <f t="shared" si="140"/>
        <v>15.242552042517842</v>
      </c>
      <c r="AB371" s="193">
        <f t="shared" si="141"/>
        <v>47475</v>
      </c>
      <c r="AC371" s="119">
        <f>IF(OR(t&lt;Tnet,NoTnet),'2028'!Resal_s+('2028'!Salim-'2028'!Resal_s)*(1-EXP(('2028'!Tnet_s-t)/'2028'!Tau_j)),Resal_s+(Salim-Resal_s)*(1-EXP((Tnet_s-t)/Tau_j)))*Salcycl</f>
        <v>4.7001505017106135E-2</v>
      </c>
      <c r="AD371" s="227">
        <f>(INDEX(Models!$BJ371:$BT371,,AH371)*(1-AF371)+INDEX(Models!$BJ371:$BT371,,AH371+1)*AF371-ERP_i)*AE371*Ramure*Pc/MaxiM</f>
        <v>2.7663037198031974E-2</v>
      </c>
      <c r="AE371" s="301">
        <f t="shared" si="142"/>
        <v>0.5</v>
      </c>
      <c r="AF371" s="173">
        <f t="shared" si="143"/>
        <v>0.99381620577313479</v>
      </c>
      <c r="AG371" s="802">
        <f t="shared" si="149"/>
        <v>3</v>
      </c>
      <c r="AH371" s="172">
        <f t="shared" si="144"/>
        <v>9</v>
      </c>
      <c r="AI371" s="221">
        <f t="shared" si="145"/>
        <v>3.9938162057731348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47476</v>
      </c>
      <c r="B372" s="406">
        <f>'2028'!Wh/'2028'!Env_an*'2029'!Env_an</f>
        <v>15.942640945594047</v>
      </c>
      <c r="C372" s="832"/>
      <c r="D372" s="388">
        <f t="shared" si="127"/>
        <v>16.600542842208142</v>
      </c>
      <c r="E372" s="380">
        <f t="shared" si="150"/>
        <v>16.864369917901172</v>
      </c>
      <c r="F372" s="380">
        <f t="shared" si="128"/>
        <v>16.912936659129191</v>
      </c>
      <c r="G372" s="110">
        <f t="shared" si="151"/>
        <v>0.99587450125745525</v>
      </c>
      <c r="H372" s="409" t="b">
        <f>Wh_hp&gt;='2028'!Maxi_hp</f>
        <v>1</v>
      </c>
      <c r="I372" s="385">
        <f>IF(H372,Wh_hp,'2028'!Maxi_hp)</f>
        <v>16.912936659129191</v>
      </c>
      <c r="J372" s="85">
        <f>IF(H372,An,'2028'!An_max)</f>
        <v>2029</v>
      </c>
      <c r="K372" s="193">
        <f t="shared" si="129"/>
        <v>47476</v>
      </c>
      <c r="L372" s="143">
        <f>IF(t&lt;Tvie,1-EXP((T0-t)*PertePVj)+'2028'!Pspv,1-EXP((T0-t)*PertePVj)+Pspv)</f>
        <v>3.9631348376230835E-2</v>
      </c>
      <c r="M372" s="836"/>
      <c r="N372" s="836"/>
      <c r="O372" s="48">
        <f>IF(t&lt;Tnet,'2028'!Resal+('2028'!Salim-'2028'!Resal)*(1-EXP(('2028'!Tnet-t)/('2028'!Tau_j))),Resal+(Salim-Resal)*(1-EXP((Tnet-t)/(Tau_j))))*Salcycl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2.8885273947326017E-3</v>
      </c>
      <c r="Q372" s="301">
        <f t="shared" si="130"/>
        <v>0.5</v>
      </c>
      <c r="R372" s="173">
        <f t="shared" si="131"/>
        <v>0.46882863939915764</v>
      </c>
      <c r="S372" s="802">
        <f t="shared" si="132"/>
        <v>0</v>
      </c>
      <c r="T372" s="172">
        <f t="shared" si="133"/>
        <v>6</v>
      </c>
      <c r="U372" s="247">
        <f t="shared" si="134"/>
        <v>0.46882863939915764</v>
      </c>
      <c r="V372" s="378">
        <f t="shared" si="135"/>
        <v>16.008412563729678</v>
      </c>
      <c r="W372" s="397">
        <f t="shared" si="136"/>
        <v>15.942640945594047</v>
      </c>
      <c r="X372" s="153">
        <f t="shared" si="137"/>
        <v>47476</v>
      </c>
      <c r="Y372" s="380">
        <f t="shared" si="138"/>
        <v>15.05422533673956</v>
      </c>
      <c r="Z372" s="380">
        <f t="shared" si="139"/>
        <v>15.675465157349963</v>
      </c>
      <c r="AA372" s="381">
        <f t="shared" si="140"/>
        <v>16.449032539232547</v>
      </c>
      <c r="AB372" s="193">
        <f t="shared" si="141"/>
        <v>47476</v>
      </c>
      <c r="AC372" s="119">
        <f>IF(OR(t&lt;Tnet,NoTnet),'2028'!Resal_s+('2028'!Salim-'2028'!Resal_s)*(1-EXP(('2028'!Tnet_s-t)/'2028'!Tau_j)),Resal_s+(Salim-Resal_s)*(1-EXP((Tnet_s-t)/Tau_j)))*Salcycl</f>
        <v>4.7028138587333304E-2</v>
      </c>
      <c r="AD372" s="227">
        <f>(INDEX(Models!$BJ372:$BT372,,AH372)*(1-AF372)+INDEX(Models!$BJ372:$BT372,,AH372+1)*AF372-ERP_i)*AE372*Ramure*Pc/MaxiM</f>
        <v>2.759089296437529E-2</v>
      </c>
      <c r="AE372" s="301">
        <f t="shared" si="142"/>
        <v>0.5</v>
      </c>
      <c r="AF372" s="173">
        <f t="shared" si="143"/>
        <v>0.99381620577313479</v>
      </c>
      <c r="AG372" s="802">
        <f t="shared" si="149"/>
        <v>3</v>
      </c>
      <c r="AH372" s="172">
        <f t="shared" si="144"/>
        <v>9</v>
      </c>
      <c r="AI372" s="221">
        <f t="shared" si="145"/>
        <v>3.9938162057731348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47477</v>
      </c>
      <c r="B373" s="406">
        <f>'2028'!Wh/'2028'!Env_an*'2029'!Env_an</f>
        <v>8.8403777926733049</v>
      </c>
      <c r="C373" s="832"/>
      <c r="D373" s="388">
        <f t="shared" si="127"/>
        <v>9.2053179752700309</v>
      </c>
      <c r="E373" s="380">
        <f t="shared" si="150"/>
        <v>9.3521634983258597</v>
      </c>
      <c r="F373" s="380">
        <f t="shared" si="128"/>
        <v>9.3617927334027389</v>
      </c>
      <c r="G373" s="110">
        <f t="shared" si="151"/>
        <v>0.54966963660932655</v>
      </c>
      <c r="H373" s="409" t="b">
        <f>Wh_hp&gt;='2028'!Maxi_hp</f>
        <v>1</v>
      </c>
      <c r="I373" s="385">
        <f>IF(H373,Wh_hp,'2028'!Maxi_hp)</f>
        <v>9.3617927334027389</v>
      </c>
      <c r="J373" s="85">
        <f>IF(H373,An,'2028'!An_max)</f>
        <v>2029</v>
      </c>
      <c r="K373" s="193">
        <f t="shared" si="129"/>
        <v>47477</v>
      </c>
      <c r="L373" s="143">
        <f>IF(t&lt;Tvie,1-EXP((T0-t)*PertePVj)+'2028'!Pspv,1-EXP((T0-t)*PertePVj)+Pspv)</f>
        <v>3.9644495016590731E-2</v>
      </c>
      <c r="M373" s="836"/>
      <c r="N373" s="836"/>
      <c r="O373" s="48">
        <f>IF(t&lt;Tnet,'2028'!Resal+('2028'!Salim-'2028'!Resal)*(1-EXP(('2028'!Tnet-t)/('2028'!Tau_j))),Resal+(Salim-Resal)*(1-EXP((Tnet-t)/(Tau_j))))*Salcycl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2.8721089479013043E-3</v>
      </c>
      <c r="Q373" s="301">
        <f t="shared" si="130"/>
        <v>0.5</v>
      </c>
      <c r="R373" s="173">
        <f t="shared" si="131"/>
        <v>0.46882863939915764</v>
      </c>
      <c r="S373" s="802">
        <f t="shared" si="132"/>
        <v>0</v>
      </c>
      <c r="T373" s="172">
        <f t="shared" si="133"/>
        <v>6</v>
      </c>
      <c r="U373" s="247">
        <f t="shared" si="134"/>
        <v>0.46882863939915764</v>
      </c>
      <c r="V373" s="378">
        <f t="shared" si="135"/>
        <v>16.053394295439315</v>
      </c>
      <c r="W373" s="397">
        <f t="shared" si="136"/>
        <v>8.8403777926733049</v>
      </c>
      <c r="X373" s="153">
        <f t="shared" si="137"/>
        <v>47477</v>
      </c>
      <c r="Y373" s="380">
        <f t="shared" si="138"/>
        <v>8.4832708617131729</v>
      </c>
      <c r="Z373" s="380">
        <f t="shared" si="139"/>
        <v>8.8334692909994068</v>
      </c>
      <c r="AA373" s="381">
        <f t="shared" si="140"/>
        <v>9.2696529044561196</v>
      </c>
      <c r="AB373" s="193">
        <f t="shared" si="141"/>
        <v>47477</v>
      </c>
      <c r="AC373" s="119">
        <f>IF(OR(t&lt;Tnet,NoTnet),'2028'!Resal_s+('2028'!Salim-'2028'!Resal_s)*(1-EXP(('2028'!Tnet_s-t)/'2028'!Tau_j)),Resal_s+(Salim-Resal_s)*(1-EXP((Tnet_s-t)/Tau_j)))*Salcycl</f>
        <v>4.7055010360423609E-2</v>
      </c>
      <c r="AD373" s="227">
        <f>(INDEX(Models!$BJ373:$BT373,,AH373)*(1-AF373)+INDEX(Models!$BJ373:$BT373,,AH373+1)*AF373-ERP_i)*AE373*Ramure*Pc/MaxiM</f>
        <v>2.7482518088180488E-2</v>
      </c>
      <c r="AE373" s="301">
        <f t="shared" si="142"/>
        <v>0.5</v>
      </c>
      <c r="AF373" s="173">
        <f t="shared" si="143"/>
        <v>0.99381620577313479</v>
      </c>
      <c r="AG373" s="802">
        <f t="shared" si="149"/>
        <v>3</v>
      </c>
      <c r="AH373" s="172">
        <f t="shared" si="144"/>
        <v>9</v>
      </c>
      <c r="AI373" s="221">
        <f t="shared" si="145"/>
        <v>3.9938162057731348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47478</v>
      </c>
      <c r="B374" s="406">
        <f>'2028'!Wh/'2028'!Env_an*'2029'!Env_an</f>
        <v>14.773123951986769</v>
      </c>
      <c r="C374" s="832"/>
      <c r="D374" s="388">
        <f t="shared" si="127"/>
        <v>15.383184778715258</v>
      </c>
      <c r="E374" s="380">
        <f t="shared" si="150"/>
        <v>15.629498000805523</v>
      </c>
      <c r="F374" s="380">
        <f t="shared" si="128"/>
        <v>15.668829921528692</v>
      </c>
      <c r="G374" s="110">
        <f t="shared" si="151"/>
        <v>0.91617216482418351</v>
      </c>
      <c r="H374" s="409" t="b">
        <f>Wh_hp&gt;='2028'!Maxi_hp</f>
        <v>1</v>
      </c>
      <c r="I374" s="385">
        <f>IF(H374,Wh_hp,'2028'!Maxi_hp)</f>
        <v>15.668829921528692</v>
      </c>
      <c r="J374" s="85">
        <f>IF(H374,An,'2028'!An_max)</f>
        <v>2029</v>
      </c>
      <c r="K374" s="193">
        <f t="shared" si="129"/>
        <v>47478</v>
      </c>
      <c r="L374" s="143">
        <f>IF(t&lt;Tvie,1-EXP((T0-t)*PertePVj)+'2028'!Pspv,1-EXP((T0-t)*PertePVj)+Pspv)</f>
        <v>3.965764147698414E-2</v>
      </c>
      <c r="M374" s="836"/>
      <c r="N374" s="836"/>
      <c r="O374" s="48">
        <f>IF(t&lt;Tnet,'2028'!Resal+('2028'!Salim-'2028'!Resal)*(1-EXP(('2028'!Tnet-t)/('2028'!Tau_j))),Resal+(Salim-Resal)*(1-EXP((Tnet-t)/(Tau_j))))*Salcycl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2.8502594320255628E-3</v>
      </c>
      <c r="Q374" s="301">
        <f t="shared" si="130"/>
        <v>0.5</v>
      </c>
      <c r="R374" s="173">
        <f t="shared" si="131"/>
        <v>0.46882863939915764</v>
      </c>
      <c r="S374" s="802">
        <f t="shared" si="132"/>
        <v>0</v>
      </c>
      <c r="T374" s="172">
        <f t="shared" si="133"/>
        <v>6</v>
      </c>
      <c r="U374" s="247">
        <f t="shared" si="134"/>
        <v>0.46882863939915764</v>
      </c>
      <c r="V374" s="378">
        <f t="shared" si="135"/>
        <v>16.119336691365898</v>
      </c>
      <c r="W374" s="397">
        <f t="shared" si="136"/>
        <v>14.773123951986769</v>
      </c>
      <c r="X374" s="153">
        <f t="shared" si="137"/>
        <v>47478</v>
      </c>
      <c r="Y374" s="380">
        <f t="shared" si="138"/>
        <v>13.993747000272888</v>
      </c>
      <c r="Z374" s="380">
        <f t="shared" si="139"/>
        <v>14.571623209242738</v>
      </c>
      <c r="AA374" s="381">
        <f t="shared" si="140"/>
        <v>15.291583004387688</v>
      </c>
      <c r="AB374" s="193">
        <f t="shared" si="141"/>
        <v>47478</v>
      </c>
      <c r="AC374" s="119">
        <f>IF(OR(t&lt;Tnet,NoTnet),'2028'!Resal_s+('2028'!Salim-'2028'!Resal_s)*(1-EXP(('2028'!Tnet_s-t)/'2028'!Tau_j)),Resal_s+(Salim-Resal_s)*(1-EXP((Tnet_s-t)/Tau_j)))*Salcycl</f>
        <v>4.7082097055508844E-2</v>
      </c>
      <c r="AD374" s="227">
        <f>(INDEX(Models!$BJ374:$BT374,,AH374)*(1-AF374)+INDEX(Models!$BJ374:$BT374,,AH374+1)*AF374-ERP_i)*AE374*Ramure*Pc/MaxiM</f>
        <v>2.7337886480339597E-2</v>
      </c>
      <c r="AE374" s="301">
        <f t="shared" si="142"/>
        <v>0.5</v>
      </c>
      <c r="AF374" s="173">
        <f t="shared" si="143"/>
        <v>0.99381620577313479</v>
      </c>
      <c r="AG374" s="802">
        <f t="shared" si="149"/>
        <v>3</v>
      </c>
      <c r="AH374" s="172">
        <f t="shared" si="144"/>
        <v>9</v>
      </c>
      <c r="AI374" s="221">
        <f t="shared" si="145"/>
        <v>3.9938162057731348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47479</v>
      </c>
      <c r="B375" s="406">
        <f>'2028'!Wh/'2028'!Env_an*'2029'!Env_an</f>
        <v>6.3575862983087736</v>
      </c>
      <c r="C375" s="832"/>
      <c r="D375" s="388">
        <f t="shared" si="127"/>
        <v>6.6202154607609698</v>
      </c>
      <c r="E375" s="380">
        <f t="shared" si="150"/>
        <v>6.7266120508156888</v>
      </c>
      <c r="F375" s="380">
        <f t="shared" si="128"/>
        <v>6.7291202495307125</v>
      </c>
      <c r="G375" s="110">
        <f t="shared" si="151"/>
        <v>0.39136891063778417</v>
      </c>
      <c r="H375" s="409" t="b">
        <f>Wh_hp&gt;='2028'!Maxi_hp</f>
        <v>1</v>
      </c>
      <c r="I375" s="385">
        <f>IF(H375,Wh_hp,'2028'!Maxi_hp)</f>
        <v>6.7291202495307125</v>
      </c>
      <c r="J375" s="85">
        <f>IF(H375,An,'2028'!An_max)</f>
        <v>2029</v>
      </c>
      <c r="K375" s="193">
        <f t="shared" si="129"/>
        <v>47479</v>
      </c>
      <c r="L375" s="143">
        <f>IF(t&lt;Tvie,1-EXP((T0-t)*PertePVj)+'2028'!Pspv,1-EXP((T0-t)*PertePVj)+Pspv)</f>
        <v>3.9670787757413506E-2</v>
      </c>
      <c r="M375" s="836"/>
      <c r="N375" s="836"/>
      <c r="O375" s="48">
        <f>IF(t&lt;Tnet,'2028'!Resal+('2028'!Salim-'2028'!Resal)*(1-EXP(('2028'!Tnet-t)/('2028'!Tau_j))),Resal+(Salim-Resal)*(1-EXP((Tnet-t)/(Tau_j))))*Salcycl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2.8258611879364926E-3</v>
      </c>
      <c r="Q375" s="301">
        <f t="shared" si="130"/>
        <v>0.5</v>
      </c>
      <c r="R375" s="173">
        <f t="shared" si="131"/>
        <v>0.46882863939915764</v>
      </c>
      <c r="S375" s="802">
        <f t="shared" si="132"/>
        <v>0</v>
      </c>
      <c r="T375" s="172">
        <f t="shared" si="133"/>
        <v>6</v>
      </c>
      <c r="U375" s="247">
        <f t="shared" si="134"/>
        <v>0.46882863939915764</v>
      </c>
      <c r="V375" s="378">
        <f t="shared" si="135"/>
        <v>16.204620162944781</v>
      </c>
      <c r="W375" s="397">
        <f t="shared" si="136"/>
        <v>6.3575862983087736</v>
      </c>
      <c r="X375" s="153">
        <f t="shared" si="137"/>
        <v>47479</v>
      </c>
      <c r="Y375" s="380">
        <f t="shared" si="138"/>
        <v>6.1356836792221383</v>
      </c>
      <c r="Z375" s="380">
        <f t="shared" si="139"/>
        <v>6.3891461396805012</v>
      </c>
      <c r="AA375" s="381">
        <f t="shared" si="140"/>
        <v>6.7050152270955916</v>
      </c>
      <c r="AB375" s="193">
        <f t="shared" si="141"/>
        <v>47479</v>
      </c>
      <c r="AC375" s="119">
        <f>IF(OR(t&lt;Tnet,NoTnet),'2028'!Resal_s+('2028'!Salim-'2028'!Resal_s)*(1-EXP(('2028'!Tnet_s-t)/'2028'!Tau_j)),Resal_s+(Salim-Resal_s)*(1-EXP((Tnet_s-t)/Tau_j)))*Salcycl</f>
        <v>4.7109376595989481E-2</v>
      </c>
      <c r="AD375" s="227">
        <f>(INDEX(Models!$BJ375:$BT375,,AH375)*(1-AF375)+INDEX(Models!$BJ375:$BT375,,AH375+1)*AF375-ERP_i)*AE375*Ramure*Pc/MaxiM</f>
        <v>2.7157914931433783E-2</v>
      </c>
      <c r="AE375" s="301">
        <f t="shared" si="142"/>
        <v>0.5</v>
      </c>
      <c r="AF375" s="173">
        <f t="shared" si="143"/>
        <v>0.99381620577313479</v>
      </c>
      <c r="AG375" s="802">
        <f t="shared" si="149"/>
        <v>3</v>
      </c>
      <c r="AH375" s="172">
        <f t="shared" si="144"/>
        <v>9</v>
      </c>
      <c r="AI375" s="221">
        <f t="shared" si="145"/>
        <v>3.9938162057731348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47480</v>
      </c>
      <c r="B376" s="406">
        <f>'2028'!Wh/'2028'!Env_an*'2029'!Env_an</f>
        <v>13.020993066633922</v>
      </c>
      <c r="C376" s="832"/>
      <c r="D376" s="388">
        <f t="shared" si="127"/>
        <v>13.559070316237868</v>
      </c>
      <c r="E376" s="380">
        <f t="shared" si="150"/>
        <v>13.777793108894091</v>
      </c>
      <c r="F376" s="380">
        <f t="shared" si="128"/>
        <v>13.805321805879533</v>
      </c>
      <c r="G376" s="110">
        <f t="shared" si="151"/>
        <v>0.79781419304105883</v>
      </c>
      <c r="H376" s="409" t="b">
        <f>Wh_hp&gt;='2028'!Maxi_hp</f>
        <v>1</v>
      </c>
      <c r="I376" s="385">
        <f>IF(H376,Wh_hp,'2028'!Maxi_hp)</f>
        <v>13.805321805879533</v>
      </c>
      <c r="J376" s="85">
        <f>IF(H376,An,'2028'!An_max)</f>
        <v>2029</v>
      </c>
      <c r="K376" s="193">
        <f t="shared" si="129"/>
        <v>47480</v>
      </c>
      <c r="L376" s="143">
        <f>IF(t&lt;Tvie,1-EXP((T0-t)*PertePVj)+'2028'!Pspv,1-EXP((T0-t)*PertePVj)+Pspv)</f>
        <v>3.9683933857881382E-2</v>
      </c>
      <c r="M376" s="836"/>
      <c r="N376" s="836"/>
      <c r="O376" s="48">
        <f>IF(t&lt;Tnet,'2028'!Resal+('2028'!Salim-'2028'!Resal)*(1-EXP(('2028'!Tnet-t)/('2028'!Tau_j))),Resal+(Salim-Resal)*(1-EXP((Tnet-t)/(Tau_j))))*Salcycl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2.8003190124832981E-3</v>
      </c>
      <c r="Q376" s="301">
        <f t="shared" si="130"/>
        <v>0.5</v>
      </c>
      <c r="R376" s="173">
        <f t="shared" si="131"/>
        <v>0.46882863939915764</v>
      </c>
      <c r="S376" s="802">
        <f t="shared" si="132"/>
        <v>0</v>
      </c>
      <c r="T376" s="172">
        <f t="shared" si="133"/>
        <v>6</v>
      </c>
      <c r="U376" s="247">
        <f t="shared" si="134"/>
        <v>0.46882863939915764</v>
      </c>
      <c r="V376" s="378">
        <f t="shared" si="135"/>
        <v>16.307649030143015</v>
      </c>
      <c r="W376" s="397">
        <f t="shared" si="136"/>
        <v>13.020993066633922</v>
      </c>
      <c r="X376" s="153">
        <f t="shared" si="137"/>
        <v>47480</v>
      </c>
      <c r="Y376" s="380">
        <f t="shared" si="138"/>
        <v>12.39014670649027</v>
      </c>
      <c r="Z376" s="380">
        <f t="shared" si="139"/>
        <v>12.902154970982892</v>
      </c>
      <c r="AA376" s="381">
        <f t="shared" si="140"/>
        <v>13.540406799878271</v>
      </c>
      <c r="AB376" s="193">
        <f t="shared" si="141"/>
        <v>47480</v>
      </c>
      <c r="AC376" s="119">
        <f>IF(OR(t&lt;Tnet,NoTnet),'2028'!Resal_s+('2028'!Salim-'2028'!Resal_s)*(1-EXP(('2028'!Tnet_s-t)/'2028'!Tau_j)),Resal_s+(Salim-Resal_s)*(1-EXP((Tnet_s-t)/Tau_j)))*Salcycl</f>
        <v>4.7136828186071698E-2</v>
      </c>
      <c r="AD376" s="227">
        <f>(INDEX(Models!$BJ376:$BT376,,AH376)*(1-AF376)+INDEX(Models!$BJ376:$BT376,,AH376+1)*AF376-ERP_i)*AE376*Ramure*Pc/MaxiM</f>
        <v>2.6948116301682062E-2</v>
      </c>
      <c r="AE376" s="301">
        <f t="shared" si="142"/>
        <v>0.5</v>
      </c>
      <c r="AF376" s="173">
        <f t="shared" si="143"/>
        <v>0.99381620577313479</v>
      </c>
      <c r="AG376" s="802">
        <f t="shared" si="149"/>
        <v>3</v>
      </c>
      <c r="AH376" s="172">
        <f t="shared" si="144"/>
        <v>9</v>
      </c>
      <c r="AI376" s="221">
        <f t="shared" si="145"/>
        <v>3.9938162057731348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47481</v>
      </c>
      <c r="B377" s="406">
        <f>'2028'!Wh/'2028'!Env_an*'2029'!Env_an</f>
        <v>9.9205700115501703</v>
      </c>
      <c r="C377" s="832"/>
      <c r="D377" s="388">
        <f t="shared" si="127"/>
        <v>10.3306673369907</v>
      </c>
      <c r="E377" s="380">
        <f t="shared" si="150"/>
        <v>10.497928593366325</v>
      </c>
      <c r="F377" s="380">
        <f t="shared" si="128"/>
        <v>10.510587532857029</v>
      </c>
      <c r="G377" s="110">
        <f t="shared" si="151"/>
        <v>0.60297519937583777</v>
      </c>
      <c r="H377" s="409" t="b">
        <f>Wh_hp&gt;='2028'!Maxi_hp</f>
        <v>1</v>
      </c>
      <c r="I377" s="385">
        <f>IF(H377,Wh_hp,'2028'!Maxi_hp)</f>
        <v>10.510587532857029</v>
      </c>
      <c r="J377" s="85">
        <f>IF(H377,An,'2028'!An_max)</f>
        <v>2029</v>
      </c>
      <c r="K377" s="193">
        <f t="shared" si="129"/>
        <v>47481</v>
      </c>
      <c r="L377" s="143">
        <f>IF(t&lt;Tvie,1-EXP((T0-t)*PertePVj)+'2028'!Pspv,1-EXP((T0-t)*PertePVj)+Pspv)</f>
        <v>3.969707977839021E-2</v>
      </c>
      <c r="M377" s="836"/>
      <c r="N377" s="836"/>
      <c r="O377" s="48">
        <f>IF(t&lt;Tnet,'2028'!Resal+('2028'!Salim-'2028'!Resal)*(1-EXP(('2028'!Tnet-t)/('2028'!Tau_j))),Resal+(Salim-Resal)*(1-EXP((Tnet-t)/(Tau_j))))*Salcycl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2.7739780346902015E-3</v>
      </c>
      <c r="Q377" s="301">
        <f t="shared" si="130"/>
        <v>0.5</v>
      </c>
      <c r="R377" s="173">
        <f t="shared" si="131"/>
        <v>0.46882863939915764</v>
      </c>
      <c r="S377" s="802">
        <f t="shared" si="132"/>
        <v>0</v>
      </c>
      <c r="T377" s="172">
        <f t="shared" si="133"/>
        <v>6</v>
      </c>
      <c r="U377" s="247">
        <f t="shared" si="134"/>
        <v>0.46882863939915764</v>
      </c>
      <c r="V377" s="378">
        <f t="shared" si="135"/>
        <v>16.426844959983679</v>
      </c>
      <c r="W377" s="397">
        <f t="shared" si="136"/>
        <v>9.9205700115501703</v>
      </c>
      <c r="X377" s="153">
        <f t="shared" si="137"/>
        <v>47481</v>
      </c>
      <c r="Y377" s="380">
        <f t="shared" si="138"/>
        <v>9.505761485403319</v>
      </c>
      <c r="Z377" s="380">
        <f t="shared" si="139"/>
        <v>9.8987114224433128</v>
      </c>
      <c r="AA377" s="381">
        <f t="shared" si="140"/>
        <v>10.388687994824473</v>
      </c>
      <c r="AB377" s="193">
        <f t="shared" si="141"/>
        <v>47481</v>
      </c>
      <c r="AC377" s="119">
        <f>IF(OR(t&lt;Tnet,NoTnet),'2028'!Resal_s+('2028'!Salim-'2028'!Resal_s)*(1-EXP(('2028'!Tnet_s-t)/'2028'!Tau_j)),Resal_s+(Salim-Resal_s)*(1-EXP((Tnet_s-t)/Tau_j)))*Salcycl</f>
        <v>4.7164432373487469E-2</v>
      </c>
      <c r="AD377" s="227">
        <f>(INDEX(Models!$BJ377:$BT377,,AH377)*(1-AF377)+INDEX(Models!$BJ377:$BT377,,AH377+1)*AF377-ERP_i)*AE377*Ramure*Pc/MaxiM</f>
        <v>2.671208288731473E-2</v>
      </c>
      <c r="AE377" s="301">
        <f t="shared" si="142"/>
        <v>0.5</v>
      </c>
      <c r="AF377" s="173">
        <f t="shared" si="143"/>
        <v>0.99381620577313479</v>
      </c>
      <c r="AG377" s="802">
        <f t="shared" si="149"/>
        <v>3</v>
      </c>
      <c r="AH377" s="172">
        <f t="shared" si="144"/>
        <v>9</v>
      </c>
      <c r="AI377" s="221">
        <f t="shared" si="145"/>
        <v>3.9938162057731348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47482</v>
      </c>
      <c r="B378" s="406">
        <f>'2028'!Wh/'2028'!Env_an*'2029'!Env_an</f>
        <v>11.885669896594138</v>
      </c>
      <c r="C378" s="832"/>
      <c r="D378" s="388">
        <f t="shared" si="127"/>
        <v>12.377170113070479</v>
      </c>
      <c r="E378" s="380">
        <f t="shared" si="150"/>
        <v>12.578304061584854</v>
      </c>
      <c r="F378" s="380">
        <f t="shared" si="128"/>
        <v>12.598957546876406</v>
      </c>
      <c r="G378" s="110">
        <f t="shared" si="151"/>
        <v>0.71690995296260651</v>
      </c>
      <c r="H378" s="409" t="b">
        <f>Wh_hp&gt;='2028'!Maxi_hp</f>
        <v>1</v>
      </c>
      <c r="I378" s="385">
        <f>IF(H378,Wh_hp,'2028'!Maxi_hp)</f>
        <v>12.598957546876406</v>
      </c>
      <c r="J378" s="85">
        <f>IF(H378,An,'2028'!An_max)</f>
        <v>2029</v>
      </c>
      <c r="K378" s="193">
        <f t="shared" si="129"/>
        <v>47482</v>
      </c>
      <c r="L378" s="143">
        <f>IF(t&lt;Tvie,1-EXP((T0-t)*PertePVj)+'2028'!Pspv,1-EXP((T0-t)*PertePVj)+Pspv)</f>
        <v>3.9710225518942321E-2</v>
      </c>
      <c r="M378" s="836"/>
      <c r="N378" s="836"/>
      <c r="O378" s="48">
        <f>IF(t&lt;Tnet,'2028'!Resal+('2028'!Salim-'2028'!Resal)*(1-EXP(('2028'!Tnet-t)/('2028'!Tau_j))),Resal+(Salim-Resal)*(1-EXP((Tnet-t)/(Tau_j))))*Salcycl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2.7471708187573312E-3</v>
      </c>
      <c r="Q378" s="301">
        <f t="shared" si="130"/>
        <v>0.5</v>
      </c>
      <c r="R378" s="173">
        <f t="shared" si="131"/>
        <v>0.46882863939915764</v>
      </c>
      <c r="S378" s="802">
        <f t="shared" si="132"/>
        <v>0</v>
      </c>
      <c r="T378" s="172">
        <f t="shared" si="133"/>
        <v>6</v>
      </c>
      <c r="U378" s="247">
        <f t="shared" si="134"/>
        <v>0.46882863939915764</v>
      </c>
      <c r="V378" s="378">
        <f t="shared" si="135"/>
        <v>16.560630038240845</v>
      </c>
      <c r="W378" s="397">
        <f t="shared" si="136"/>
        <v>11.885669896594138</v>
      </c>
      <c r="X378" s="153">
        <f t="shared" si="137"/>
        <v>47482</v>
      </c>
      <c r="Y378" s="380">
        <f t="shared" si="138"/>
        <v>11.345719860051151</v>
      </c>
      <c r="Z378" s="380">
        <f t="shared" si="139"/>
        <v>11.814891881132857</v>
      </c>
      <c r="AA378" s="381">
        <f t="shared" si="140"/>
        <v>12.400078507700353</v>
      </c>
      <c r="AB378" s="193">
        <f t="shared" si="141"/>
        <v>47482</v>
      </c>
      <c r="AC378" s="119">
        <f>IF(OR(t&lt;Tnet,NoTnet),'2028'!Resal_s+('2028'!Salim-'2028'!Resal_s)*(1-EXP(('2028'!Tnet_s-t)/'2028'!Tau_j)),Resal_s+(Salim-Resal_s)*(1-EXP((Tnet_s-t)/Tau_j)))*Salcycl</f>
        <v>4.7192171098279743E-2</v>
      </c>
      <c r="AD378" s="227">
        <f>(INDEX(Models!$BJ378:$BT378,,AH378)*(1-AF378)+INDEX(Models!$BJ378:$BT378,,AH378+1)*AF378-ERP_i)*AE378*Ramure*Pc/MaxiM</f>
        <v>2.6453389593786361E-2</v>
      </c>
      <c r="AE378" s="301">
        <f t="shared" si="142"/>
        <v>0.5</v>
      </c>
      <c r="AF378" s="173">
        <f t="shared" si="143"/>
        <v>0.99381620577313479</v>
      </c>
      <c r="AG378" s="802">
        <f t="shared" si="149"/>
        <v>3</v>
      </c>
      <c r="AH378" s="172">
        <f t="shared" si="144"/>
        <v>9</v>
      </c>
      <c r="AI378" s="221">
        <f t="shared" si="145"/>
        <v>3.9938162057731348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47483</v>
      </c>
      <c r="B379" s="406">
        <f>'2028'!Wh/'2028'!Env_an*'2029'!Env_an</f>
        <v>10.807001344580129</v>
      </c>
      <c r="C379" s="832"/>
      <c r="D379" s="388">
        <f t="shared" si="127"/>
        <v>11.254050155036399</v>
      </c>
      <c r="E379" s="380">
        <f t="shared" si="150"/>
        <v>11.437604218261894</v>
      </c>
      <c r="F379" s="380">
        <f t="shared" si="128"/>
        <v>11.453040856870238</v>
      </c>
      <c r="G379" s="110">
        <f t="shared" si="151"/>
        <v>0.64594925451153629</v>
      </c>
      <c r="H379" s="409" t="b">
        <f>Wh_hp&gt;='2028'!Maxi_hp</f>
        <v>1</v>
      </c>
      <c r="I379" s="385">
        <f>IF(H379,Wh_hp,'2028'!Maxi_hp)</f>
        <v>11.453040856870238</v>
      </c>
      <c r="J379" s="85">
        <f>IF(H379,An,'2028'!An_max)</f>
        <v>2029</v>
      </c>
      <c r="K379" s="193">
        <f t="shared" si="129"/>
        <v>47483</v>
      </c>
      <c r="L379" s="143">
        <f>IF(t&lt;Tvie,1-EXP((T0-t)*PertePVj)+'2028'!Pspv,1-EXP((T0-t)*PertePVj)+Pspv)</f>
        <v>3.9723371079540382E-2</v>
      </c>
      <c r="M379" s="836"/>
      <c r="N379" s="836"/>
      <c r="O379" s="48">
        <f>IF(t&lt;Tnet,'2028'!Resal+('2028'!Salim-'2028'!Resal)*(1-EXP(('2028'!Tnet-t)/('2028'!Tau_j))),Resal+(Salim-Resal)*(1-EXP((Tnet-t)/(Tau_j))))*Salcycl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2.7202140630856421E-3</v>
      </c>
      <c r="Q379" s="302">
        <f t="shared" si="130"/>
        <v>0.5</v>
      </c>
      <c r="R379" s="173">
        <f t="shared" si="131"/>
        <v>0.46882863939915764</v>
      </c>
      <c r="S379" s="802">
        <f t="shared" si="132"/>
        <v>0</v>
      </c>
      <c r="T379" s="172">
        <f t="shared" si="133"/>
        <v>6</v>
      </c>
      <c r="U379" s="303">
        <f t="shared" si="134"/>
        <v>0.46882863939915764</v>
      </c>
      <c r="V379" s="378">
        <f t="shared" si="135"/>
        <v>16.707426765515432</v>
      </c>
      <c r="W379" s="397">
        <f t="shared" si="136"/>
        <v>10.807001344580129</v>
      </c>
      <c r="X379" s="153">
        <f t="shared" si="137"/>
        <v>47483</v>
      </c>
      <c r="Y379" s="380">
        <f t="shared" si="138"/>
        <v>10.342852834567761</v>
      </c>
      <c r="Z379" s="380">
        <f t="shared" si="139"/>
        <v>10.770701403193753</v>
      </c>
      <c r="AA379" s="381">
        <f t="shared" si="140"/>
        <v>11.304500216882285</v>
      </c>
      <c r="AB379" s="193">
        <f t="shared" si="141"/>
        <v>47483</v>
      </c>
      <c r="AC379" s="119">
        <f>IF(OR(t&lt;Tnet,NoTnet),'2028'!Resal_s+('2028'!Salim-'2028'!Resal_s)*(1-EXP(('2028'!Tnet_s-t)/'2028'!Tau_j)),Resal_s+(Salim-Resal_s)*(1-EXP((Tnet_s-t)/Tau_j)))*Salcycl</f>
        <v>4.7220027727661082E-2</v>
      </c>
      <c r="AD379" s="227">
        <f>(INDEX(Models!$BJ379:$BT379,,AH379)*(1-AF379)+INDEX(Models!$BJ379:$BT379,,AH379+1)*AF379-ERP_i)*AE379*Ramure*Pc/MaxiM</f>
        <v>2.6175539123948554E-2</v>
      </c>
      <c r="AE379" s="302">
        <f t="shared" si="142"/>
        <v>0.5</v>
      </c>
      <c r="AF379" s="173">
        <f t="shared" si="143"/>
        <v>0.99381620577313479</v>
      </c>
      <c r="AG379" s="802">
        <f t="shared" si="149"/>
        <v>3</v>
      </c>
      <c r="AH379" s="172">
        <f t="shared" si="144"/>
        <v>9</v>
      </c>
      <c r="AI379" s="218">
        <f t="shared" si="145"/>
        <v>3.9938162057731348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40"/>
      <c r="D380" s="396"/>
      <c r="E380" s="382"/>
      <c r="F380" s="382"/>
      <c r="G380" s="122"/>
      <c r="H380" s="409" t="b">
        <f>Wh_hp&gt;='2028'!Maxi_hp</f>
        <v>0</v>
      </c>
      <c r="I380" s="385">
        <f>IF(H380,Wh_hp,'2028'!Maxi_hp)</f>
        <v>12.79301018817635</v>
      </c>
      <c r="J380" s="85">
        <f>IF(H380,An,'2028'!An_max)</f>
        <v>2024</v>
      </c>
      <c r="K380" s="230"/>
      <c r="L380" s="210"/>
      <c r="M380" s="841"/>
      <c r="N380" s="841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3.492647850819941E-2</v>
      </c>
      <c r="M381" s="838"/>
      <c r="N381" s="838"/>
      <c r="O381" s="47">
        <f t="shared" si="152"/>
        <v>0</v>
      </c>
      <c r="P381" s="164">
        <f t="shared" si="152"/>
        <v>0</v>
      </c>
      <c r="Q381" s="306">
        <f t="shared" si="152"/>
        <v>0.5</v>
      </c>
      <c r="R381" s="307">
        <f t="shared" si="152"/>
        <v>5.344361861195461E-4</v>
      </c>
      <c r="S381" s="802">
        <f t="shared" si="152"/>
        <v>-1</v>
      </c>
      <c r="T381" s="172">
        <f t="shared" si="152"/>
        <v>5</v>
      </c>
      <c r="U381" s="248">
        <f>MIN(U15:U380)</f>
        <v>-6.1831739233302249E-3</v>
      </c>
      <c r="V381" s="57">
        <f>MIN(V15:V380)</f>
        <v>15.978368154579458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3.9395213726602998E-2</v>
      </c>
      <c r="AD381" s="164">
        <f t="shared" si="153"/>
        <v>6.9601155493676225E-6</v>
      </c>
      <c r="AE381" s="306">
        <f t="shared" si="153"/>
        <v>0.5</v>
      </c>
      <c r="AF381" s="307">
        <f t="shared" si="153"/>
        <v>0.49381747880930593</v>
      </c>
      <c r="AG381" s="802">
        <f t="shared" si="153"/>
        <v>3</v>
      </c>
      <c r="AH381" s="172">
        <f t="shared" si="153"/>
        <v>9</v>
      </c>
      <c r="AI381" s="222">
        <f>MIN(AI15:AI380)</f>
        <v>3.4938174788093059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30.252856849691479</v>
      </c>
      <c r="C382" s="370"/>
      <c r="D382" s="370">
        <f>AVERAGE(D15:D380)</f>
        <v>31.424691902815095</v>
      </c>
      <c r="E382" s="370">
        <f>AVERAGE(E15:E380)</f>
        <v>31.873522744520837</v>
      </c>
      <c r="F382" s="371">
        <f>AVERAGE(F15:F380)</f>
        <v>31.896456311838424</v>
      </c>
      <c r="G382" s="126">
        <f>AVERAGE(G15:G380)</f>
        <v>0.69539843939169665</v>
      </c>
      <c r="H382" s="94"/>
      <c r="I382" s="371">
        <f>AVERAGE(I15:I380)</f>
        <v>31.853099857046224</v>
      </c>
      <c r="J382" s="59">
        <f>AVERAGE(J15:J380)</f>
        <v>2027.5</v>
      </c>
      <c r="K382" s="196" t="s">
        <v>8</v>
      </c>
      <c r="L382" s="143">
        <f t="shared" ref="L382:V382" si="154">AVERAGE(L15:L380)</f>
        <v>3.7326911185933342E-2</v>
      </c>
      <c r="M382" s="836"/>
      <c r="N382" s="836"/>
      <c r="O382" s="48">
        <f t="shared" si="154"/>
        <v>1.7721514073499534E-2</v>
      </c>
      <c r="P382" s="165">
        <f t="shared" si="154"/>
        <v>2.6764354099236272E-3</v>
      </c>
      <c r="Q382" s="308">
        <f t="shared" si="154"/>
        <v>0.5</v>
      </c>
      <c r="R382" s="173">
        <f t="shared" si="154"/>
        <v>0.39316253246812705</v>
      </c>
      <c r="S382" s="802">
        <f t="shared" si="154"/>
        <v>0.71506849315068488</v>
      </c>
      <c r="T382" s="172">
        <f t="shared" si="154"/>
        <v>6.7150684931506852</v>
      </c>
      <c r="U382" s="247">
        <f>AVERAGE(U15:U380)</f>
        <v>1.108231025618813</v>
      </c>
      <c r="V382" s="59">
        <f t="shared" si="154"/>
        <v>41.592557346063529</v>
      </c>
      <c r="X382" s="112" t="s">
        <v>8</v>
      </c>
      <c r="Y382" s="370">
        <f>AVERAGE(Y15:Y380)</f>
        <v>29.201910585693049</v>
      </c>
      <c r="Z382" s="370">
        <f>AVERAGE(Z15:Z380)</f>
        <v>30.332842281315781</v>
      </c>
      <c r="AA382" s="370">
        <f>AVERAGE(AA15:AA380)</f>
        <v>31.839104430720329</v>
      </c>
      <c r="AB382" s="196" t="s">
        <v>8</v>
      </c>
      <c r="AC382" s="48">
        <f t="shared" ref="AC382:AH382" si="155">AVERAGE(AC15:AC380)</f>
        <v>4.8903251476662794E-2</v>
      </c>
      <c r="AD382" s="165">
        <f t="shared" si="155"/>
        <v>6.7233300264429169E-3</v>
      </c>
      <c r="AE382" s="308">
        <f t="shared" si="155"/>
        <v>0.5</v>
      </c>
      <c r="AF382" s="173">
        <f t="shared" si="155"/>
        <v>0.7737010758084506</v>
      </c>
      <c r="AG382" s="802">
        <f t="shared" si="155"/>
        <v>3</v>
      </c>
      <c r="AH382" s="172">
        <f t="shared" si="155"/>
        <v>9</v>
      </c>
      <c r="AI382" s="221">
        <f>AVERAGE(AI15:AI380)</f>
        <v>3.7737010758084475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64.916384714292818</v>
      </c>
      <c r="C383" s="372"/>
      <c r="D383" s="372">
        <f>MAX(D15:D380)</f>
        <v>67.429845565323703</v>
      </c>
      <c r="E383" s="372">
        <f>MAX(E15:E380)</f>
        <v>67.727245529803625</v>
      </c>
      <c r="F383" s="373">
        <f>MAX(F15:F380)</f>
        <v>67.727273228607231</v>
      </c>
      <c r="G383" s="127">
        <f>+MAX(G15:G380)</f>
        <v>1.0444694332725442</v>
      </c>
      <c r="H383" s="94"/>
      <c r="I383" s="373">
        <f>MAX(I15:I380)</f>
        <v>67.727273228607231</v>
      </c>
      <c r="J383" s="60">
        <f>MAX(J15:J380)</f>
        <v>2029</v>
      </c>
      <c r="K383" s="196" t="s">
        <v>9</v>
      </c>
      <c r="L383" s="144">
        <f t="shared" ref="L383:T383" si="156">MAX(L15:L380)</f>
        <v>3.9723371079540382E-2</v>
      </c>
      <c r="M383" s="839"/>
      <c r="N383" s="839"/>
      <c r="O383" s="49">
        <f t="shared" si="156"/>
        <v>3.9337621462875547E-2</v>
      </c>
      <c r="P383" s="166">
        <f t="shared" si="156"/>
        <v>2.2307613661583146E-2</v>
      </c>
      <c r="Q383" s="309">
        <f t="shared" si="156"/>
        <v>0.5</v>
      </c>
      <c r="R383" s="310">
        <f t="shared" si="156"/>
        <v>0.99931105166307932</v>
      </c>
      <c r="S383" s="803">
        <f t="shared" si="156"/>
        <v>3</v>
      </c>
      <c r="T383" s="229">
        <f t="shared" si="156"/>
        <v>9</v>
      </c>
      <c r="U383" s="249">
        <f>MAX(U15:U380)</f>
        <v>3.5178212679669829</v>
      </c>
      <c r="V383" s="60">
        <f>MAX(V15:V380)</f>
        <v>62.62220458513687</v>
      </c>
      <c r="X383" s="112" t="s">
        <v>9</v>
      </c>
      <c r="Y383" s="372">
        <f>MAX(Y15:Y380)</f>
        <v>62.396929119998006</v>
      </c>
      <c r="Z383" s="372">
        <f>MAX(Z15:Z380)</f>
        <v>64.812840592238913</v>
      </c>
      <c r="AA383" s="372">
        <f>MAX(AA15:AA380)</f>
        <v>67.726746170368756</v>
      </c>
      <c r="AB383" s="196" t="s">
        <v>9</v>
      </c>
      <c r="AC383" s="49">
        <f t="shared" ref="AC383:AH383" si="157">MAX(AC15:AC380)</f>
        <v>5.9534229743939765E-2</v>
      </c>
      <c r="AD383" s="166">
        <f t="shared" si="157"/>
        <v>2.7710568603668381E-2</v>
      </c>
      <c r="AE383" s="309">
        <f t="shared" si="157"/>
        <v>0.5</v>
      </c>
      <c r="AF383" s="310">
        <f t="shared" si="157"/>
        <v>0.99381620577313479</v>
      </c>
      <c r="AG383" s="803">
        <f t="shared" si="157"/>
        <v>3</v>
      </c>
      <c r="AH383" s="229">
        <f t="shared" si="157"/>
        <v>9</v>
      </c>
      <c r="AI383" s="223">
        <f>MAX(AI15:AI380)</f>
        <v>3.9938162057731348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'2029'!An+1</f>
        <v>2030</v>
      </c>
      <c r="K1" s="1250"/>
      <c r="L1" s="113" t="str">
        <f>"Calcul pertes et enveloppes en "&amp;TEXT(An,0)</f>
        <v>Calcul pertes et enveloppes en 2030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2030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0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302.92015190278295</v>
      </c>
      <c r="AK4" s="825">
        <f>AM12-AK12</f>
        <v>18.430225125756937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302.92015190278295</v>
      </c>
      <c r="AA5" s="233">
        <f>Wh_Pvg_s-Wh_Pvg</f>
        <v>18.430225125756937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0</v>
      </c>
      <c r="AK5" s="510">
        <f>SUMIF(AK15:AK380,"VRAI",Wh)</f>
        <v>0</v>
      </c>
      <c r="AL5" s="510">
        <f>SUMIF(AJ15:AJ380,"VRAI",Wh_s)</f>
        <v>0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10856.944336974133</v>
      </c>
      <c r="AK6" s="510">
        <f>SUMIF(AK15:AK380,"FAUX",Wh)</f>
        <v>10856.944336974133</v>
      </c>
      <c r="AL6" s="510">
        <f>SUMIF(AJ15:AJ380,"FAUX",Wh_s)</f>
        <v>10534.437348591662</v>
      </c>
      <c r="AM6" s="510">
        <f>SUMIF(AK15:AK380,"FAUX",Wh_s)</f>
        <v>10534.437348591662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AND(YEAR(Tnet)=An,Resal_2030="I")</f>
        <v>0</v>
      </c>
      <c r="F7" s="316" t="b">
        <f>YEAR(Tnet)=An</f>
        <v>0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0</v>
      </c>
      <c r="AK7" s="510">
        <f>SUMIF(AK15:AK380,"VRAI",Wh_sa)</f>
        <v>0</v>
      </c>
      <c r="AL7" s="510">
        <f>SUMIF(AJ15:AJ380,"VRAI",Wh_pvt_s)</f>
        <v>0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AND(YEAR(Tnet)=An,Resal_2030&lt;&gt;"I")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11333.802839686972</v>
      </c>
      <c r="AK8" s="510">
        <f>SUMIF(AK15:AK380,"FAUX",Wh_sa)</f>
        <v>11640.415334746882</v>
      </c>
      <c r="AL8" s="510">
        <f>SUMIF(AJ15:AJ380,"FAUX",Wh_pvt_s)</f>
        <v>10997.141389346367</v>
      </c>
      <c r="AM8" s="510">
        <f>SUMIF(AK15:AK380,"FAUX",Wh_sa_s)</f>
        <v>11619.97949455518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11333.802839686972</v>
      </c>
      <c r="E9" s="180">
        <f>SUM(E$15:E$380)</f>
        <v>11640.415334746882</v>
      </c>
      <c r="F9" s="180">
        <f>SUM(F$15:F$380)</f>
        <v>11644.110350956131</v>
      </c>
      <c r="H9" s="1251">
        <f>+SUM(Wh)</f>
        <v>10856.944336974133</v>
      </c>
      <c r="I9" s="1252"/>
      <c r="J9" s="1253"/>
      <c r="K9" s="187"/>
      <c r="L9" s="228"/>
      <c r="M9" s="228"/>
      <c r="N9" s="228"/>
      <c r="O9" s="219">
        <f>Tnet_2030</f>
        <v>47238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10534.437348591662</v>
      </c>
      <c r="Y9" s="1246"/>
      <c r="Z9" s="510">
        <f>SUM(Z$15:Z$380)</f>
        <v>10997.141389346367</v>
      </c>
      <c r="AA9" s="510">
        <f>SUM(AA$15:AA$380)</f>
        <v>11619.97949455518</v>
      </c>
      <c r="AB9" s="510">
        <f>F9</f>
        <v>11644.110350956131</v>
      </c>
      <c r="AC9" s="321">
        <f>IF(An_Tnet,Tnet,'2029'!Tnet_s)</f>
        <v>47238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0</v>
      </c>
      <c r="AK9" s="510">
        <f>SUMIF(AK15:AK380,"VRAI",Wh_hp)</f>
        <v>0</v>
      </c>
      <c r="AL9" s="510">
        <f>SUMIF(AJ15:AJ380,"VRAI",Wh_sa_s)</f>
        <v>0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IF(Inflex,'2029'!Resal+('2029'!Salim-'2029'!Resal)*(1-EXP(-(Tnet-'2029'!Tnet)/('2029'!Tau_j))),IF(An_Tnet,Resal_2030,'2029'!Resal))</f>
        <v>0</v>
      </c>
      <c r="P10" s="416" t="b">
        <f>NOT(Acti_tai)</f>
        <v>1</v>
      </c>
      <c r="Q10" s="253">
        <f>IF(Acti_tai,'2029'!PousD,Dens-Dd)</f>
        <v>0</v>
      </c>
      <c r="R10" s="270"/>
      <c r="S10" s="271"/>
      <c r="T10" s="272"/>
      <c r="U10" s="262">
        <f>IF(Acti_tai,'2029'!PousH,Hdtf-Hdd)</f>
        <v>0.5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IF(OR(Inflex,GainD),'2029'!Resal_s+('2029'!Salim-'2029'!Resal_s)*(1-EXP(('2029'!Tnet_s-Tnet)/('2029'!Tau_j))),IF(Acti_net,'2029'!Resal+('2029'!Salim-'2029'!Resal)*(1-EXP(('2029'!Tnet-Tnet)/'2029'!Tau_j)),'2029'!Resal_s))</f>
        <v>3.8964123281289738E-2</v>
      </c>
      <c r="AD10" s="422"/>
      <c r="AE10" s="422"/>
      <c r="AF10" s="256"/>
      <c r="AG10" s="257"/>
      <c r="AH10" s="258"/>
      <c r="AI10" s="467"/>
      <c r="AJ10" s="510">
        <f>SUMIF(AJ15:AJ380,"FAUX",Wh_sa)</f>
        <v>11640.415334746882</v>
      </c>
      <c r="AK10" s="510">
        <f>SUMIF(AK15:AK380,"FAUX",Wh_hp)</f>
        <v>11644.110350956131</v>
      </c>
      <c r="AL10" s="510">
        <f>SUMIF(AJ15:AJ380,"FAUX",Wh_sa_s)</f>
        <v>11619.97949455518</v>
      </c>
      <c r="AM10" s="510">
        <f>SUMIF(AK15:AK380,"FAUX",Wh_hp)</f>
        <v>11644.110350956131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476.85850271283925</v>
      </c>
      <c r="E11" s="51">
        <f>(E$9-D$9)*Prod_an/D$9</f>
        <v>293.71207872344945</v>
      </c>
      <c r="F11" s="182">
        <f>(F$9-E$9)*Prod_an/E$9</f>
        <v>3.4463190663209411</v>
      </c>
      <c r="G11" s="181" t="s">
        <v>6</v>
      </c>
      <c r="K11" s="190"/>
      <c r="L11" s="207">
        <f>Tvie_2030</f>
        <v>44522</v>
      </c>
      <c r="M11" s="835"/>
      <c r="N11" s="835"/>
      <c r="O11" s="198">
        <f>IF(An_Tnet,Salim_2030,'2029'!Salim)</f>
        <v>0.08</v>
      </c>
      <c r="P11" s="252">
        <f>Ttai_2030</f>
        <v>47208</v>
      </c>
      <c r="Q11" s="268">
        <f>Dens_2030</f>
        <v>0.5</v>
      </c>
      <c r="R11" s="273"/>
      <c r="S11" s="226"/>
      <c r="T11" s="226"/>
      <c r="U11" s="262">
        <f>Htf_2030</f>
        <v>0.96882863939915764</v>
      </c>
      <c r="V11" s="422"/>
      <c r="W11" s="513"/>
      <c r="X11" s="520" t="s">
        <v>43</v>
      </c>
      <c r="Y11" s="50">
        <f>Z$9-Prod_an_s</f>
        <v>462.70404075470469</v>
      </c>
      <c r="Z11" s="51">
        <f>(AA$9-Z$9)*Prod_an_s/Z$9</f>
        <v>596.6322306262324</v>
      </c>
      <c r="AA11" s="182">
        <f>(AB$9-AA$9)*Prod_an_s/AA$9</f>
        <v>21.87654419207788</v>
      </c>
      <c r="AB11" s="521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0</v>
      </c>
      <c r="AK11" s="825">
        <f>IF($AK7=0,0,($AK9-$AK7)*$AK5/$AK7)</f>
        <v>0</v>
      </c>
      <c r="AL11" s="824">
        <f>IF($AL7=0,0,($AL9-$AL7)*$AL5/$AL7)</f>
        <v>0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Pspv_2030</f>
        <v>0</v>
      </c>
      <c r="M12" s="208"/>
      <c r="N12" s="208"/>
      <c r="O12" s="201">
        <f>IF(An_Tnet,Tau_2030*365,'2029'!Tau_j)</f>
        <v>1095</v>
      </c>
      <c r="P12" s="277">
        <f>INDEX(Croivg,MIN(MAX(Ttai-$A$15,0)+1,366))</f>
        <v>2.3909964587625958E-6</v>
      </c>
      <c r="Q12" s="276">
        <f>'2029'!Df</f>
        <v>0.5</v>
      </c>
      <c r="R12" s="274"/>
      <c r="S12" s="275"/>
      <c r="T12" s="275"/>
      <c r="U12" s="263">
        <f>'2029'!Hdf</f>
        <v>0.46882863939915764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'2029'!Df_s</f>
        <v>0.5</v>
      </c>
      <c r="AF12" s="199"/>
      <c r="AG12" s="199"/>
      <c r="AH12" s="199"/>
      <c r="AI12" s="293">
        <f>'2029'!Hdf_s</f>
        <v>3.9938162057731348</v>
      </c>
      <c r="AJ12" s="824">
        <f>IF($AJ8=0,0,($AJ10-$AJ8)*$AJ6/$AJ8)</f>
        <v>293.71207872344945</v>
      </c>
      <c r="AK12" s="825">
        <f>IF($AK8=0,0,($AK10-$AK8)*$AK6/$AK8)</f>
        <v>3.4463190663209411</v>
      </c>
      <c r="AL12" s="824">
        <f>IF($AL8=0,0,($AL10-$AL8)*$AL6/$AL8)</f>
        <v>596.6322306262324</v>
      </c>
      <c r="AM12" s="825">
        <f>IF($AM8=0,0,($AM10-$AM8)*$AM6/$AM8)</f>
        <v>21.87654419207788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293.71207872344945</v>
      </c>
      <c r="AK13" s="73">
        <f>+AK11+AK12</f>
        <v>3.4463190663209411</v>
      </c>
      <c r="AL13" s="73">
        <f>+AL11+AL12</f>
        <v>596.6322306262324</v>
      </c>
      <c r="AM13" s="73">
        <f>+AM11+AM12</f>
        <v>21.87654419207788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411"/>
      <c r="D14" s="53" t="s">
        <v>30</v>
      </c>
      <c r="E14" s="158" t="s">
        <v>29</v>
      </c>
      <c r="F14" s="158" t="str">
        <f>"Hors pertes "&amp; TEXT(An,0)</f>
        <v>Hors pertes 2030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2030</v>
      </c>
      <c r="W14" s="367" t="s">
        <v>116</v>
      </c>
      <c r="X14" s="254" t="s">
        <v>2</v>
      </c>
      <c r="Y14" s="107" t="str">
        <f>"Wh / Jour "&amp; TEXT(An,0)</f>
        <v>Wh / Jour 2030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129">
        <f>DATE(An,1,1)</f>
        <v>47484</v>
      </c>
      <c r="B15" s="405">
        <f>'2029'!Wh/'2029'!Env_an*'2030'!Env_an</f>
        <v>0</v>
      </c>
      <c r="C15" s="832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Wh_hp&gt;='2029'!Maxi_hp</f>
        <v>1</v>
      </c>
      <c r="I15" s="391">
        <f>IF(H15,Wh_hp,'2029'!Maxi_hp)</f>
        <v>0</v>
      </c>
      <c r="J15" s="84">
        <f>IF(H15,An,'2029'!An_max)</f>
        <v>2030</v>
      </c>
      <c r="K15" s="193">
        <f t="shared" ref="K15:K78" si="3">t</f>
        <v>47484</v>
      </c>
      <c r="L15" s="142">
        <f>IF(t&lt;Tvie,1-EXP((T0-t)*PertePVj)+'2029'!Pspv,1-EXP((T0-t)*PertePVj)+Pspv)</f>
        <v>3.9736516460186722E-2</v>
      </c>
      <c r="M15" s="836"/>
      <c r="N15" s="836"/>
      <c r="O15" s="48">
        <f>IF(t&lt;Tnet,'2029'!Resal+('2029'!Salim-'2029'!Resal)*(1-EXP(('2029'!Tnet-t)/('2029'!Tau_j))),Resal+(Salim-Resal)*(1-EXP((Tnet-t)/(Tau_j))))*Salcycl</f>
        <v>1.6106033604694817E-2</v>
      </c>
      <c r="P15" s="298">
        <f>(INDEX(Models!$BJ15:$BT15,,T15)*(1-R15)+INDEX(Models!$BJ15:$BT15,,T15+1)*R15-ERP_i)*Q15*Ramure*Pc/MaxiM</f>
        <v>2.6934130287521773E-3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0.468829834897387</v>
      </c>
      <c r="S15" s="801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0.468829834897387</v>
      </c>
      <c r="V15" s="377">
        <f t="shared" ref="V15:V78" si="9">MaxiM*(1-Ppv)*(1-Pvg)*(1-Psa)</f>
        <v>16.865657962927397</v>
      </c>
      <c r="W15" s="397">
        <f t="shared" ref="W15:W78" si="10">Wh*(A15&gt;Tmaj)</f>
        <v>0</v>
      </c>
      <c r="X15" s="152">
        <f t="shared" ref="X15:X78" si="11">t</f>
        <v>47484</v>
      </c>
      <c r="Y15" s="380">
        <f t="shared" ref="Y15:Y78" si="12">Wh_pvt_s*(1-Ppv)</f>
        <v>0</v>
      </c>
      <c r="Z15" s="380">
        <f>Wh_sa_s*(1-Psa_s)</f>
        <v>0</v>
      </c>
      <c r="AA15" s="381">
        <f t="shared" ref="AA15:AA78" si="13">Wh_hp*(1-Pvg_s*MEDIAN((-Sdif+Wh/Env_an)/Csdif,0,1))</f>
        <v>0</v>
      </c>
      <c r="AB15" s="193">
        <f t="shared" ref="AB15:AB78" si="14">t</f>
        <v>47484</v>
      </c>
      <c r="AC15" s="119">
        <f>IF(OR(t&lt;Tnet,NoTnet),'2029'!Resal_s+('2029'!Salim-'2029'!Resal_s)*(1-EXP(('2029'!Tnet_s-t)/'2029'!Tau_j)),Resal_s+(Salim-Resal_s)*(1-EXP((Tnet_s-t)/Tau_j)))*Salcycl</f>
        <v>4.7247987077079896E-2</v>
      </c>
      <c r="AD15" s="227">
        <f>(INDEX(Models!$BJ15:$BT15,,AH15)*(1-AF15)+INDEX(Models!$BJ15:$BT15,,AH15+1)*AF15-ERP_i)*AE15*Ramure*Pc/MaxiM</f>
        <v>2.5881925520645079E-2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0.99381740127136409</v>
      </c>
      <c r="AG15" s="801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3.9938174012713641</v>
      </c>
      <c r="AJ15" s="261" t="b">
        <f t="shared" ref="AJ15:AJ78" si="18">t&lt;Tnet</f>
        <v>0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47485</v>
      </c>
      <c r="B16" s="406">
        <f>'2029'!Wh/'2029'!Env_an*'2030'!Env_an</f>
        <v>0</v>
      </c>
      <c r="C16" s="832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21">+Wh_hp/MaxiM</f>
        <v>0</v>
      </c>
      <c r="H16" s="409" t="b">
        <f>Wh_hp&gt;='2029'!Maxi_hp</f>
        <v>1</v>
      </c>
      <c r="I16" s="385">
        <f>IF(H16,Wh_hp,'2029'!Maxi_hp)</f>
        <v>0</v>
      </c>
      <c r="J16" s="85">
        <f>IF(H16,An,'2029'!An_max)</f>
        <v>2030</v>
      </c>
      <c r="K16" s="193">
        <f t="shared" si="3"/>
        <v>47485</v>
      </c>
      <c r="L16" s="143">
        <f>IF(t&lt;Tvie,1-EXP((T0-t)*PertePVj)+'2029'!Pspv,1-EXP((T0-t)*PertePVj)+Pspv)</f>
        <v>3.9749661660883895E-2</v>
      </c>
      <c r="M16" s="836"/>
      <c r="N16" s="836"/>
      <c r="O16" s="48">
        <f>IF(t&lt;Tnet,'2029'!Resal+('2029'!Salim-'2029'!Resal)*(1-EXP(('2029'!Tnet-t)/('2029'!Tau_j))),Resal+(Salim-Resal)*(1-EXP((Tnet-t)/(Tau_j))))*Salcycl</f>
        <v>1.6163753114156187E-2</v>
      </c>
      <c r="P16" s="165">
        <f>(INDEX(Models!$BJ16:$BT16,,T16)*(1-R16)+INDEX(Models!$BJ16:$BT16,,T16+1)*R16-ERP_i)*Q16*Ramure*Pc/MaxiM</f>
        <v>2.6693648324977049E-3</v>
      </c>
      <c r="Q16" s="301">
        <f t="shared" si="4"/>
        <v>0.5</v>
      </c>
      <c r="R16" s="173">
        <f t="shared" si="5"/>
        <v>0.46885904951138124</v>
      </c>
      <c r="S16" s="802">
        <f t="shared" si="6"/>
        <v>0</v>
      </c>
      <c r="T16" s="172">
        <f t="shared" si="7"/>
        <v>6</v>
      </c>
      <c r="U16" s="247">
        <f t="shared" si="8"/>
        <v>0.46885904951138124</v>
      </c>
      <c r="V16" s="378">
        <f t="shared" si="9"/>
        <v>17.03370739732275</v>
      </c>
      <c r="W16" s="397">
        <f t="shared" si="10"/>
        <v>0</v>
      </c>
      <c r="X16" s="153">
        <f t="shared" si="11"/>
        <v>47485</v>
      </c>
      <c r="Y16" s="380">
        <f t="shared" si="12"/>
        <v>0</v>
      </c>
      <c r="Z16" s="380">
        <f t="shared" ref="Z16:Z78" si="22">Wh_sa_s*(1-Psa_s)</f>
        <v>0</v>
      </c>
      <c r="AA16" s="381">
        <f t="shared" si="13"/>
        <v>0</v>
      </c>
      <c r="AB16" s="193">
        <f t="shared" si="14"/>
        <v>47485</v>
      </c>
      <c r="AC16" s="119">
        <f>IF(OR(t&lt;Tnet,NoTnet),'2029'!Resal_s+('2029'!Salim-'2029'!Resal_s)*(1-EXP(('2029'!Tnet_s-t)/'2029'!Tau_j)),Resal_s+(Salim-Resal_s)*(1-EXP((Tnet_s-t)/Tau_j)))*Salcycl</f>
        <v>4.7276035417749267E-2</v>
      </c>
      <c r="AD16" s="227">
        <f>(INDEX(Models!$BJ16:$BT16,,AH16)*(1-AF16)+INDEX(Models!$BJ16:$BT16,,AH16+1)*AF16-ERP_i)*AE16*Ramure*Pc/MaxiM</f>
        <v>2.5586334610441502E-2</v>
      </c>
      <c r="AE16" s="301">
        <f t="shared" si="15"/>
        <v>0.5</v>
      </c>
      <c r="AF16" s="173">
        <f t="shared" ref="AF16:AF78" si="23">(Hp_vg_s-AG16)/(INDEX(Echel_vg,AH16+1)-AG16)</f>
        <v>0.99384661588535828</v>
      </c>
      <c r="AG16" s="802">
        <f t="shared" ref="AG16:AG79" si="24">INDEX(Echel_vg,AH16)</f>
        <v>3</v>
      </c>
      <c r="AH16" s="172">
        <f t="shared" si="16"/>
        <v>9</v>
      </c>
      <c r="AI16" s="221">
        <f t="shared" si="17"/>
        <v>3.9938466158853583</v>
      </c>
      <c r="AJ16" s="261" t="b">
        <f t="shared" si="18"/>
        <v>0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47486</v>
      </c>
      <c r="B17" s="406">
        <f>'2029'!Wh/'2029'!Env_an*'2030'!Env_an</f>
        <v>0</v>
      </c>
      <c r="C17" s="832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21"/>
        <v>0</v>
      </c>
      <c r="H17" s="409" t="b">
        <f>Wh_hp&gt;='2029'!Maxi_hp</f>
        <v>1</v>
      </c>
      <c r="I17" s="385">
        <f>IF(H17,Wh_hp,'2029'!Maxi_hp)</f>
        <v>0</v>
      </c>
      <c r="J17" s="85">
        <f>IF(H17,An,'2029'!An_max)</f>
        <v>2030</v>
      </c>
      <c r="K17" s="193">
        <f t="shared" si="3"/>
        <v>47486</v>
      </c>
      <c r="L17" s="143">
        <f>IF(t&lt;Tvie,1-EXP((T0-t)*PertePVj)+'2029'!Pspv,1-EXP((T0-t)*PertePVj)+Pspv)</f>
        <v>3.9762806681634233E-2</v>
      </c>
      <c r="M17" s="836"/>
      <c r="N17" s="836"/>
      <c r="O17" s="48">
        <f>IF(t&lt;Tnet,'2029'!Resal+('2029'!Salim-'2029'!Resal)*(1-EXP(('2029'!Tnet-t)/('2029'!Tau_j))),Resal+(Salim-Resal)*(1-EXP((Tnet-t)/(Tau_j))))*Salcycl</f>
        <v>1.6221451180702163E-2</v>
      </c>
      <c r="P17" s="165">
        <f>(INDEX(Models!$BJ17:$BT17,,T17)*(1-R17)+INDEX(Models!$BJ17:$BT17,,T17+1)*R17-ERP_i)*Q17*Ramure*Pc/MaxiM</f>
        <v>2.6481072762397852E-3</v>
      </c>
      <c r="Q17" s="301">
        <f t="shared" si="4"/>
        <v>0.5</v>
      </c>
      <c r="R17" s="173">
        <f t="shared" si="5"/>
        <v>0.46888948610687087</v>
      </c>
      <c r="S17" s="802">
        <f t="shared" si="6"/>
        <v>0</v>
      </c>
      <c r="T17" s="172">
        <f t="shared" si="7"/>
        <v>6</v>
      </c>
      <c r="U17" s="247">
        <f t="shared" si="8"/>
        <v>0.46888948610687087</v>
      </c>
      <c r="V17" s="378">
        <f t="shared" si="9"/>
        <v>17.21000142567145</v>
      </c>
      <c r="W17" s="397">
        <f t="shared" si="10"/>
        <v>0</v>
      </c>
      <c r="X17" s="153">
        <f t="shared" si="11"/>
        <v>47486</v>
      </c>
      <c r="Y17" s="380">
        <f t="shared" si="12"/>
        <v>0</v>
      </c>
      <c r="Z17" s="380">
        <f t="shared" si="22"/>
        <v>0</v>
      </c>
      <c r="AA17" s="381">
        <f t="shared" si="13"/>
        <v>0</v>
      </c>
      <c r="AB17" s="193">
        <f t="shared" si="14"/>
        <v>47486</v>
      </c>
      <c r="AC17" s="119">
        <f>IF(OR(t&lt;Tnet,NoTnet),'2029'!Resal_s+('2029'!Salim-'2029'!Resal_s)*(1-EXP(('2029'!Tnet_s-t)/'2029'!Tau_j)),Resal_s+(Salim-Resal_s)*(1-EXP((Tnet_s-t)/Tau_j)))*Salcycl</f>
        <v>4.7304160471011804E-2</v>
      </c>
      <c r="AD17" s="227">
        <f>(INDEX(Models!$BJ17:$BT17,,AH17)*(1-AF17)+INDEX(Models!$BJ17:$BT17,,AH17+1)*AF17-ERP_i)*AE17*Ramure*Pc/MaxiM</f>
        <v>2.52913037935335E-2</v>
      </c>
      <c r="AE17" s="301">
        <f t="shared" si="15"/>
        <v>0.5</v>
      </c>
      <c r="AF17" s="173">
        <f>(Hp_vg_s-AG17)/(INDEX(Echel_vg,AH17+1)-AG17)</f>
        <v>0.99387705248084801</v>
      </c>
      <c r="AG17" s="802">
        <f>INDEX(Echel_vg,AH17)</f>
        <v>3</v>
      </c>
      <c r="AH17" s="172">
        <f t="shared" si="16"/>
        <v>9</v>
      </c>
      <c r="AI17" s="221">
        <f t="shared" si="17"/>
        <v>3.993877052480848</v>
      </c>
      <c r="AJ17" s="261" t="b">
        <f t="shared" si="18"/>
        <v>0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47487</v>
      </c>
      <c r="B18" s="406">
        <f>'2029'!Wh/'2029'!Env_an*'2030'!Env_an</f>
        <v>0</v>
      </c>
      <c r="C18" s="832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21"/>
        <v>0</v>
      </c>
      <c r="H18" s="409" t="b">
        <f>Wh_hp&gt;='2029'!Maxi_hp</f>
        <v>1</v>
      </c>
      <c r="I18" s="385">
        <f>IF(H18,Wh_hp,'2029'!Maxi_hp)</f>
        <v>0</v>
      </c>
      <c r="J18" s="85">
        <f>IF(H18,An,'2029'!An_max)</f>
        <v>2030</v>
      </c>
      <c r="K18" s="193">
        <f t="shared" si="3"/>
        <v>47487</v>
      </c>
      <c r="L18" s="143">
        <f>IF(t&lt;Tvie,1-EXP((T0-t)*PertePVj)+'2029'!Pspv,1-EXP((T0-t)*PertePVj)+Pspv)</f>
        <v>3.9775951522440289E-2</v>
      </c>
      <c r="M18" s="836"/>
      <c r="N18" s="836"/>
      <c r="O18" s="48">
        <f>IF(t&lt;Tnet,'2029'!Resal+('2029'!Salim-'2029'!Resal)*(1-EXP(('2029'!Tnet-t)/('2029'!Tau_j))),Resal+(Salim-Resal)*(1-EXP((Tnet-t)/(Tau_j))))*Salcycl</f>
        <v>1.6279124442909899E-2</v>
      </c>
      <c r="P18" s="165">
        <f>(INDEX(Models!$BJ18:$BT18,,T18)*(1-R18)+INDEX(Models!$BJ18:$BT18,,T18+1)*R18-ERP_i)*Q18*Ramure*Pc/MaxiM</f>
        <v>2.6298098608299337E-3</v>
      </c>
      <c r="Q18" s="301">
        <f t="shared" si="4"/>
        <v>0.5</v>
      </c>
      <c r="R18" s="173">
        <f t="shared" si="5"/>
        <v>0.46892119563816598</v>
      </c>
      <c r="S18" s="802">
        <f t="shared" si="6"/>
        <v>0</v>
      </c>
      <c r="T18" s="172">
        <f t="shared" si="7"/>
        <v>6</v>
      </c>
      <c r="U18" s="247">
        <f t="shared" si="8"/>
        <v>0.46892119563816598</v>
      </c>
      <c r="V18" s="378">
        <f t="shared" si="9"/>
        <v>17.392964259178544</v>
      </c>
      <c r="W18" s="397">
        <f t="shared" si="10"/>
        <v>0</v>
      </c>
      <c r="X18" s="153">
        <f t="shared" si="11"/>
        <v>47487</v>
      </c>
      <c r="Y18" s="380">
        <f t="shared" si="12"/>
        <v>0</v>
      </c>
      <c r="Z18" s="380">
        <f>Wh_sa_s*(1-Psa_s)</f>
        <v>0</v>
      </c>
      <c r="AA18" s="381">
        <f t="shared" si="13"/>
        <v>0</v>
      </c>
      <c r="AB18" s="193">
        <f>t</f>
        <v>47487</v>
      </c>
      <c r="AC18" s="119">
        <f>IF(OR(t&lt;Tnet,NoTnet),'2029'!Resal_s+('2029'!Salim-'2029'!Resal_s)*(1-EXP(('2029'!Tnet_s-t)/'2029'!Tau_j)),Resal_s+(Salim-Resal_s)*(1-EXP((Tnet_s-t)/Tau_j)))*Salcycl</f>
        <v>4.7332351390025465E-2</v>
      </c>
      <c r="AD18" s="227">
        <f>(INDEX(Models!$BJ18:$BT18,,AH18)*(1-AF18)+INDEX(Models!$BJ18:$BT18,,AH18+1)*AF18-ERP_i)*AE18*Ramure*Pc/MaxiM</f>
        <v>2.4999359916412802E-2</v>
      </c>
      <c r="AE18" s="301">
        <f t="shared" si="15"/>
        <v>0.5</v>
      </c>
      <c r="AF18" s="173">
        <f t="shared" si="23"/>
        <v>0.99390876201214295</v>
      </c>
      <c r="AG18" s="802">
        <f t="shared" si="24"/>
        <v>3</v>
      </c>
      <c r="AH18" s="172">
        <f t="shared" si="16"/>
        <v>9</v>
      </c>
      <c r="AI18" s="221">
        <f t="shared" si="17"/>
        <v>3.993908762012143</v>
      </c>
      <c r="AJ18" s="261" t="b">
        <f t="shared" si="18"/>
        <v>0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47488</v>
      </c>
      <c r="B19" s="406">
        <f>'2029'!Wh/'2029'!Env_an*'2030'!Env_an</f>
        <v>0</v>
      </c>
      <c r="C19" s="832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21"/>
        <v>0</v>
      </c>
      <c r="H19" s="409" t="b">
        <f>Wh_hp&gt;='2029'!Maxi_hp</f>
        <v>1</v>
      </c>
      <c r="I19" s="385">
        <f>IF(H19,Wh_hp,'2029'!Maxi_hp)</f>
        <v>0</v>
      </c>
      <c r="J19" s="85">
        <f>IF(H19,An,'2029'!An_max)</f>
        <v>2030</v>
      </c>
      <c r="K19" s="193">
        <f t="shared" si="3"/>
        <v>47488</v>
      </c>
      <c r="L19" s="143">
        <f>IF(t&lt;Tvie,1-EXP((T0-t)*PertePVj)+'2029'!Pspv,1-EXP((T0-t)*PertePVj)+Pspv)</f>
        <v>3.9789096183304506E-2</v>
      </c>
      <c r="M19" s="836"/>
      <c r="N19" s="836"/>
      <c r="O19" s="48">
        <f>IF(t&lt;Tnet,'2029'!Resal+('2029'!Salim-'2029'!Resal)*(1-EXP(('2029'!Tnet-t)/('2029'!Tau_j))),Resal+(Salim-Resal)*(1-EXP((Tnet-t)/(Tau_j))))*Salcycl</f>
        <v>1.6336769977292193E-2</v>
      </c>
      <c r="P19" s="165">
        <f>(INDEX(Models!$BJ19:$BT19,,T19)*(1-R19)+INDEX(Models!$BJ19:$BT19,,T19+1)*R19-ERP_i)*Q19*Ramure*Pc/MaxiM</f>
        <v>2.6146228345681052E-3</v>
      </c>
      <c r="Q19" s="301">
        <f t="shared" si="4"/>
        <v>0.5</v>
      </c>
      <c r="R19" s="173">
        <f t="shared" si="5"/>
        <v>0.46895423117072765</v>
      </c>
      <c r="S19" s="802">
        <f t="shared" si="6"/>
        <v>0</v>
      </c>
      <c r="T19" s="172">
        <f t="shared" si="7"/>
        <v>6</v>
      </c>
      <c r="U19" s="247">
        <f t="shared" si="8"/>
        <v>0.46895423117072765</v>
      </c>
      <c r="V19" s="378">
        <f t="shared" si="9"/>
        <v>17.581020531735785</v>
      </c>
      <c r="W19" s="397">
        <f t="shared" si="10"/>
        <v>0</v>
      </c>
      <c r="X19" s="153">
        <f t="shared" si="11"/>
        <v>47488</v>
      </c>
      <c r="Y19" s="380">
        <f t="shared" si="12"/>
        <v>0</v>
      </c>
      <c r="Z19" s="380">
        <f t="shared" si="22"/>
        <v>0</v>
      </c>
      <c r="AA19" s="381">
        <f t="shared" si="13"/>
        <v>0</v>
      </c>
      <c r="AB19" s="193">
        <f t="shared" si="14"/>
        <v>47488</v>
      </c>
      <c r="AC19" s="119">
        <f>IF(OR(t&lt;Tnet,NoTnet),'2029'!Resal_s+('2029'!Salim-'2029'!Resal_s)*(1-EXP(('2029'!Tnet_s-t)/'2029'!Tau_j)),Resal_s+(Salim-Resal_s)*(1-EXP((Tnet_s-t)/Tau_j)))*Salcycl</f>
        <v>4.7360598729361408E-2</v>
      </c>
      <c r="AD19" s="227">
        <f>(INDEX(Models!$BJ19:$BT19,,AH19)*(1-AF19)+INDEX(Models!$BJ19:$BT19,,AH19+1)*AF19-ERP_i)*AE19*Ramure*Pc/MaxiM</f>
        <v>2.4712825992646563E-2</v>
      </c>
      <c r="AE19" s="301">
        <f t="shared" si="15"/>
        <v>0.5</v>
      </c>
      <c r="AF19" s="173">
        <f t="shared" si="23"/>
        <v>0.99394179754470491</v>
      </c>
      <c r="AG19" s="802">
        <f t="shared" si="24"/>
        <v>3</v>
      </c>
      <c r="AH19" s="172">
        <f t="shared" si="16"/>
        <v>9</v>
      </c>
      <c r="AI19" s="221">
        <f t="shared" si="17"/>
        <v>3.9939417975447049</v>
      </c>
      <c r="AJ19" s="261" t="b">
        <f t="shared" si="18"/>
        <v>0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47489</v>
      </c>
      <c r="B20" s="406">
        <f>'2029'!Wh/'2029'!Env_an*'2030'!Env_an</f>
        <v>0</v>
      </c>
      <c r="C20" s="832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1"/>
        <v>0</v>
      </c>
      <c r="H20" s="409" t="b">
        <f>Wh_hp&gt;='2029'!Maxi_hp</f>
        <v>1</v>
      </c>
      <c r="I20" s="385">
        <f>IF(H20,Wh_hp,'2029'!Maxi_hp)</f>
        <v>0</v>
      </c>
      <c r="J20" s="85">
        <f>IF(H20,An,'2029'!An_max)</f>
        <v>2030</v>
      </c>
      <c r="K20" s="193">
        <f t="shared" si="3"/>
        <v>47489</v>
      </c>
      <c r="L20" s="143">
        <f>IF(t&lt;Tvie,1-EXP((T0-t)*PertePVj)+'2029'!Pspv,1-EXP((T0-t)*PertePVj)+Pspv)</f>
        <v>3.9802240664229327E-2</v>
      </c>
      <c r="M20" s="836"/>
      <c r="N20" s="836"/>
      <c r="O20" s="48">
        <f>IF(t&lt;Tnet,'2029'!Resal+('2029'!Salim-'2029'!Resal)*(1-EXP(('2029'!Tnet-t)/('2029'!Tau_j))),Resal+(Salim-Resal)*(1-EXP((Tnet-t)/(Tau_j))))*Salcycl</f>
        <v>1.6394385291158688E-2</v>
      </c>
      <c r="P20" s="165">
        <f>(INDEX(Models!$BJ20:$BT20,,T20)*(1-R20)+INDEX(Models!$BJ20:$BT20,,T20+1)*R20-ERP_i)*Q20*Ramure*Pc/MaxiM</f>
        <v>2.6026801857073722E-3</v>
      </c>
      <c r="Q20" s="301">
        <f t="shared" si="4"/>
        <v>0.5</v>
      </c>
      <c r="R20" s="173">
        <f t="shared" si="5"/>
        <v>0.46898864796747836</v>
      </c>
      <c r="S20" s="802">
        <f t="shared" si="6"/>
        <v>0</v>
      </c>
      <c r="T20" s="172">
        <f t="shared" si="7"/>
        <v>6</v>
      </c>
      <c r="U20" s="247">
        <f t="shared" si="8"/>
        <v>0.46898864796747836</v>
      </c>
      <c r="V20" s="378">
        <f t="shared" si="9"/>
        <v>17.772595304428485</v>
      </c>
      <c r="W20" s="397">
        <f t="shared" si="10"/>
        <v>0</v>
      </c>
      <c r="X20" s="153">
        <f t="shared" si="11"/>
        <v>47489</v>
      </c>
      <c r="Y20" s="380">
        <f t="shared" si="12"/>
        <v>0</v>
      </c>
      <c r="Z20" s="380">
        <f t="shared" si="22"/>
        <v>0</v>
      </c>
      <c r="AA20" s="381">
        <f t="shared" si="13"/>
        <v>0</v>
      </c>
      <c r="AB20" s="193">
        <f t="shared" si="14"/>
        <v>47489</v>
      </c>
      <c r="AC20" s="119">
        <f>IF(OR(t&lt;Tnet,NoTnet),'2029'!Resal_s+('2029'!Salim-'2029'!Resal_s)*(1-EXP(('2029'!Tnet_s-t)/'2029'!Tau_j)),Resal_s+(Salim-Resal_s)*(1-EXP((Tnet_s-t)/Tau_j)))*Salcycl</f>
        <v>4.7388894403203284E-2</v>
      </c>
      <c r="AD20" s="227">
        <f>(INDEX(Models!$BJ20:$BT20,,AH20)*(1-AF20)+INDEX(Models!$BJ20:$BT20,,AH20+1)*AF20-ERP_i)*AE20*Ramure*Pc/MaxiM</f>
        <v>2.4433826983276865E-2</v>
      </c>
      <c r="AE20" s="301">
        <f t="shared" si="15"/>
        <v>0.5</v>
      </c>
      <c r="AF20" s="173">
        <f t="shared" si="23"/>
        <v>0.99397621434145567</v>
      </c>
      <c r="AG20" s="802">
        <f t="shared" si="24"/>
        <v>3</v>
      </c>
      <c r="AH20" s="172">
        <f t="shared" si="16"/>
        <v>9</v>
      </c>
      <c r="AI20" s="221">
        <f t="shared" si="17"/>
        <v>3.9939762143414557</v>
      </c>
      <c r="AJ20" s="261" t="b">
        <f t="shared" si="18"/>
        <v>0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47490</v>
      </c>
      <c r="B21" s="406">
        <f>'2029'!Wh/'2029'!Env_an*'2030'!Env_an</f>
        <v>5.8062636906280023</v>
      </c>
      <c r="C21" s="832"/>
      <c r="D21" s="388">
        <f t="shared" si="0"/>
        <v>6.0470284565199686</v>
      </c>
      <c r="E21" s="380">
        <f t="shared" si="1"/>
        <v>6.1481780875904182</v>
      </c>
      <c r="F21" s="380">
        <f t="shared" si="2"/>
        <v>6.1487062411235049</v>
      </c>
      <c r="G21" s="110">
        <f t="shared" si="21"/>
        <v>0.3223679373907487</v>
      </c>
      <c r="H21" s="409" t="b">
        <f>Wh_hp&gt;='2029'!Maxi_hp</f>
        <v>0</v>
      </c>
      <c r="I21" s="385">
        <f>IF(H21,Wh_hp,'2029'!Maxi_hp)</f>
        <v>6.1641621547056991</v>
      </c>
      <c r="J21" s="85">
        <f>IF(H21,An,'2029'!An_max)</f>
        <v>2022</v>
      </c>
      <c r="K21" s="193">
        <f t="shared" si="3"/>
        <v>47490</v>
      </c>
      <c r="L21" s="143">
        <f>IF(t&lt;Tvie,1-EXP((T0-t)*PertePVj)+'2029'!Pspv,1-EXP((T0-t)*PertePVj)+Pspv)</f>
        <v>3.9815384965217304E-2</v>
      </c>
      <c r="M21" s="836"/>
      <c r="N21" s="836"/>
      <c r="O21" s="48">
        <f>IF(t&lt;Tnet,'2029'!Resal+('2029'!Salim-'2029'!Resal)*(1-EXP(('2029'!Tnet-t)/('2029'!Tau_j))),Resal+(Salim-Resal)*(1-EXP((Tnet-t)/(Tau_j))))*Salcycl</f>
        <v>1.6451968311492454E-2</v>
      </c>
      <c r="P21" s="165">
        <f>(INDEX(Models!$BJ21:$BT21,,T21)*(1-R21)+INDEX(Models!$BJ21:$BT21,,T21+1)*R21-ERP_i)*Q21*Ramure*Pc/MaxiM</f>
        <v>2.5941027816246635E-3</v>
      </c>
      <c r="Q21" s="301">
        <f t="shared" si="4"/>
        <v>0.5</v>
      </c>
      <c r="R21" s="173">
        <f t="shared" si="5"/>
        <v>0.46902450357854153</v>
      </c>
      <c r="S21" s="802">
        <f t="shared" si="6"/>
        <v>0</v>
      </c>
      <c r="T21" s="172">
        <f t="shared" si="7"/>
        <v>6</v>
      </c>
      <c r="U21" s="247">
        <f t="shared" si="8"/>
        <v>0.46902450357854153</v>
      </c>
      <c r="V21" s="378">
        <f t="shared" si="9"/>
        <v>17.966114063695471</v>
      </c>
      <c r="W21" s="397">
        <f t="shared" si="10"/>
        <v>5.8062636906280023</v>
      </c>
      <c r="X21" s="153">
        <f t="shared" si="11"/>
        <v>47490</v>
      </c>
      <c r="Y21" s="380">
        <f t="shared" si="12"/>
        <v>5.6194469478194131</v>
      </c>
      <c r="Z21" s="380">
        <f t="shared" si="22"/>
        <v>5.8524650987204669</v>
      </c>
      <c r="AA21" s="381">
        <f t="shared" si="13"/>
        <v>6.1437864436208818</v>
      </c>
      <c r="AB21" s="193">
        <f t="shared" si="14"/>
        <v>47490</v>
      </c>
      <c r="AC21" s="119">
        <f>IF(OR(t&lt;Tnet,NoTnet),'2029'!Resal_s+('2029'!Salim-'2029'!Resal_s)*(1-EXP(('2029'!Tnet_s-t)/'2029'!Tau_j)),Resal_s+(Salim-Resal_s)*(1-EXP((Tnet_s-t)/Tau_j)))*Salcycl</f>
        <v>4.7417231632928096E-2</v>
      </c>
      <c r="AD21" s="227">
        <f>(INDEX(Models!$BJ21:$BT21,,AH21)*(1-AF21)+INDEX(Models!$BJ21:$BT21,,AH21+1)*AF21-ERP_i)*AE21*Ramure*Pc/MaxiM</f>
        <v>2.4164299937529121E-2</v>
      </c>
      <c r="AE21" s="301">
        <f t="shared" si="15"/>
        <v>0.5</v>
      </c>
      <c r="AF21" s="173">
        <f t="shared" si="23"/>
        <v>0.99401206995251856</v>
      </c>
      <c r="AG21" s="802">
        <f t="shared" si="24"/>
        <v>3</v>
      </c>
      <c r="AH21" s="172">
        <f t="shared" si="16"/>
        <v>9</v>
      </c>
      <c r="AI21" s="221">
        <f t="shared" si="17"/>
        <v>3.9940120699525186</v>
      </c>
      <c r="AJ21" s="261" t="b">
        <f t="shared" si="18"/>
        <v>0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47491</v>
      </c>
      <c r="B22" s="406">
        <f>'2029'!Wh/'2029'!Env_an*'2030'!Env_an</f>
        <v>7.5842061094092177</v>
      </c>
      <c r="C22" s="832"/>
      <c r="D22" s="388">
        <f t="shared" si="0"/>
        <v>7.8988038482249951</v>
      </c>
      <c r="E22" s="380">
        <f t="shared" si="1"/>
        <v>8.0313983589378282</v>
      </c>
      <c r="F22" s="380">
        <f t="shared" si="2"/>
        <v>8.0348941181467879</v>
      </c>
      <c r="G22" s="110">
        <f t="shared" si="21"/>
        <v>0.41673248991482631</v>
      </c>
      <c r="H22" s="409" t="b">
        <f>Wh_hp&gt;='2029'!Maxi_hp</f>
        <v>0</v>
      </c>
      <c r="I22" s="385">
        <f>IF(H22,Wh_hp,'2029'!Maxi_hp)</f>
        <v>8.052237097122509</v>
      </c>
      <c r="J22" s="85">
        <f>IF(H22,An,'2029'!An_max)</f>
        <v>2022</v>
      </c>
      <c r="K22" s="193">
        <f t="shared" si="3"/>
        <v>47491</v>
      </c>
      <c r="L22" s="143">
        <f>IF(t&lt;Tvie,1-EXP((T0-t)*PertePVj)+'2029'!Pspv,1-EXP((T0-t)*PertePVj)+Pspv)</f>
        <v>3.9828529086270881E-2</v>
      </c>
      <c r="M22" s="836"/>
      <c r="N22" s="836"/>
      <c r="O22" s="48">
        <f>IF(t&lt;Tnet,'2029'!Resal+('2029'!Salim-'2029'!Resal)*(1-EXP(('2029'!Tnet-t)/('2029'!Tau_j))),Resal+(Salim-Resal)*(1-EXP((Tnet-t)/(Tau_j))))*Salcycl</f>
        <v>1.6509517370069525E-2</v>
      </c>
      <c r="P22" s="165">
        <f>(INDEX(Models!$BJ22:$BT22,,T22)*(1-R22)+INDEX(Models!$BJ22:$BT22,,T22+1)*R22-ERP_i)*Q22*Ramure*Pc/MaxiM</f>
        <v>2.5890015804543452E-3</v>
      </c>
      <c r="Q22" s="301">
        <f t="shared" si="4"/>
        <v>0.5</v>
      </c>
      <c r="R22" s="173">
        <f t="shared" si="5"/>
        <v>0.4690618579345387</v>
      </c>
      <c r="S22" s="802">
        <f t="shared" si="6"/>
        <v>0</v>
      </c>
      <c r="T22" s="172">
        <f t="shared" si="7"/>
        <v>6</v>
      </c>
      <c r="U22" s="247">
        <f t="shared" si="8"/>
        <v>0.4690618579345387</v>
      </c>
      <c r="V22" s="378">
        <f t="shared" si="9"/>
        <v>18.160002730681931</v>
      </c>
      <c r="W22" s="397">
        <f t="shared" si="10"/>
        <v>7.5842061094092177</v>
      </c>
      <c r="X22" s="153">
        <f t="shared" si="11"/>
        <v>47491</v>
      </c>
      <c r="Y22" s="380">
        <f t="shared" si="12"/>
        <v>7.3193165252253705</v>
      </c>
      <c r="Z22" s="380">
        <f t="shared" si="22"/>
        <v>7.6229264740183131</v>
      </c>
      <c r="AA22" s="381">
        <f t="shared" si="13"/>
        <v>8.0026154024489617</v>
      </c>
      <c r="AB22" s="193">
        <f t="shared" si="14"/>
        <v>47491</v>
      </c>
      <c r="AC22" s="119">
        <f>IF(OR(t&lt;Tnet,NoTnet),'2029'!Resal_s+('2029'!Salim-'2029'!Resal_s)*(1-EXP(('2029'!Tnet_s-t)/'2029'!Tau_j)),Resal_s+(Salim-Resal_s)*(1-EXP((Tnet_s-t)/Tau_j)))*Salcycl</f>
        <v>4.7445604884929951E-2</v>
      </c>
      <c r="AD22" s="227">
        <f>(INDEX(Models!$BJ22:$BT22,,AH22)*(1-AF22)+INDEX(Models!$BJ22:$BT22,,AH22+1)*AF22-ERP_i)*AE22*Ramure*Pc/MaxiM</f>
        <v>2.3906007525493295E-2</v>
      </c>
      <c r="AE22" s="301">
        <f t="shared" si="15"/>
        <v>0.5</v>
      </c>
      <c r="AF22" s="173">
        <f t="shared" si="23"/>
        <v>0.99404942430851584</v>
      </c>
      <c r="AG22" s="802">
        <f t="shared" si="24"/>
        <v>3</v>
      </c>
      <c r="AH22" s="172">
        <f t="shared" si="16"/>
        <v>9</v>
      </c>
      <c r="AI22" s="221">
        <f t="shared" si="17"/>
        <v>3.9940494243085158</v>
      </c>
      <c r="AJ22" s="261" t="b">
        <f t="shared" si="18"/>
        <v>0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47492</v>
      </c>
      <c r="B23" s="406">
        <f>'2029'!Wh/'2029'!Env_an*'2030'!Env_an</f>
        <v>2.2781305553534237</v>
      </c>
      <c r="C23" s="832"/>
      <c r="D23" s="388">
        <f t="shared" si="0"/>
        <v>2.3726613531920311</v>
      </c>
      <c r="E23" s="380">
        <f t="shared" si="1"/>
        <v>2.4126314943978286</v>
      </c>
      <c r="F23" s="380">
        <f t="shared" si="2"/>
        <v>2.4126314943978286</v>
      </c>
      <c r="G23" s="110">
        <f t="shared" si="21"/>
        <v>0.123782660919722</v>
      </c>
      <c r="H23" s="409" t="b">
        <f>Wh_hp&gt;='2029'!Maxi_hp</f>
        <v>0</v>
      </c>
      <c r="I23" s="385">
        <f>IF(H23,Wh_hp,'2029'!Maxi_hp)</f>
        <v>2.4188853930491918</v>
      </c>
      <c r="J23" s="85">
        <f>IF(H23,An,'2029'!An_max)</f>
        <v>2022</v>
      </c>
      <c r="K23" s="193">
        <f t="shared" si="3"/>
        <v>47492</v>
      </c>
      <c r="L23" s="143">
        <f>IF(t&lt;Tvie,1-EXP((T0-t)*PertePVj)+'2029'!Pspv,1-EXP((T0-t)*PertePVj)+Pspv)</f>
        <v>3.9841673027392388E-2</v>
      </c>
      <c r="M23" s="836"/>
      <c r="N23" s="836"/>
      <c r="O23" s="48">
        <f>IF(t&lt;Tnet,'2029'!Resal+('2029'!Salim-'2029'!Resal)*(1-EXP(('2029'!Tnet-t)/('2029'!Tau_j))),Resal+(Salim-Resal)*(1-EXP((Tnet-t)/(Tau_j))))*Salcycl</f>
        <v>1.6567031185081058E-2</v>
      </c>
      <c r="P23" s="165">
        <f>(INDEX(Models!$BJ23:$BT23,,T23)*(1-R23)+INDEX(Models!$BJ23:$BT23,,T23+1)*R23-ERP_i)*Q23*Ramure*Pc/MaxiM</f>
        <v>2.5869212659911751E-3</v>
      </c>
      <c r="Q23" s="301">
        <f t="shared" si="4"/>
        <v>0.5</v>
      </c>
      <c r="R23" s="173">
        <f t="shared" si="5"/>
        <v>0.46910077344357382</v>
      </c>
      <c r="S23" s="802">
        <f t="shared" si="6"/>
        <v>0</v>
      </c>
      <c r="T23" s="172">
        <f t="shared" si="7"/>
        <v>6</v>
      </c>
      <c r="U23" s="247">
        <f t="shared" si="8"/>
        <v>0.46910077344357382</v>
      </c>
      <c r="V23" s="378">
        <f t="shared" si="9"/>
        <v>18.356668002529954</v>
      </c>
      <c r="W23" s="397">
        <f t="shared" si="10"/>
        <v>2.2781305553534237</v>
      </c>
      <c r="X23" s="153">
        <f t="shared" si="11"/>
        <v>47492</v>
      </c>
      <c r="Y23" s="380">
        <f t="shared" si="12"/>
        <v>2.2065342853602754</v>
      </c>
      <c r="Z23" s="380">
        <f t="shared" si="22"/>
        <v>2.2980942031899136</v>
      </c>
      <c r="AA23" s="381">
        <f t="shared" si="13"/>
        <v>2.4126314943978286</v>
      </c>
      <c r="AB23" s="193">
        <f t="shared" si="14"/>
        <v>47492</v>
      </c>
      <c r="AC23" s="119">
        <f>IF(OR(t&lt;Tnet,NoTnet),'2029'!Resal_s+('2029'!Salim-'2029'!Resal_s)*(1-EXP(('2029'!Tnet_s-t)/'2029'!Tau_j)),Resal_s+(Salim-Resal_s)*(1-EXP((Tnet_s-t)/Tau_j)))*Salcycl</f>
        <v>4.7474009799620319E-2</v>
      </c>
      <c r="AD23" s="227">
        <f>(INDEX(Models!$BJ23:$BT23,,AH23)*(1-AF23)+INDEX(Models!$BJ23:$BT23,,AH23+1)*AF23-ERP_i)*AE23*Ramure*Pc/MaxiM</f>
        <v>2.3655437034083373E-2</v>
      </c>
      <c r="AE23" s="301">
        <f t="shared" si="15"/>
        <v>0.5</v>
      </c>
      <c r="AF23" s="173">
        <f t="shared" si="23"/>
        <v>0.99408833981755107</v>
      </c>
      <c r="AG23" s="802">
        <f t="shared" si="24"/>
        <v>3</v>
      </c>
      <c r="AH23" s="172">
        <f t="shared" si="16"/>
        <v>9</v>
      </c>
      <c r="AI23" s="221">
        <f t="shared" si="17"/>
        <v>3.9940883398175511</v>
      </c>
      <c r="AJ23" s="261" t="b">
        <f t="shared" si="18"/>
        <v>0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47493</v>
      </c>
      <c r="B24" s="406">
        <f>'2029'!Wh/'2029'!Env_an*'2030'!Env_an</f>
        <v>1.8838013655254846</v>
      </c>
      <c r="C24" s="832"/>
      <c r="D24" s="388">
        <f t="shared" si="0"/>
        <v>1.9619963714494706</v>
      </c>
      <c r="E24" s="380">
        <f t="shared" si="1"/>
        <v>1.9951650097910993</v>
      </c>
      <c r="F24" s="380">
        <f t="shared" si="2"/>
        <v>1.9951650097910993</v>
      </c>
      <c r="G24" s="110">
        <f t="shared" si="21"/>
        <v>0.10123732594643985</v>
      </c>
      <c r="H24" s="409" t="b">
        <f>Wh_hp&gt;='2029'!Maxi_hp</f>
        <v>0</v>
      </c>
      <c r="I24" s="385">
        <f>IF(H24,Wh_hp,'2029'!Maxi_hp)</f>
        <v>2.0003417507562942</v>
      </c>
      <c r="J24" s="85">
        <f>IF(H24,An,'2029'!An_max)</f>
        <v>2022</v>
      </c>
      <c r="K24" s="193">
        <f t="shared" si="3"/>
        <v>47493</v>
      </c>
      <c r="L24" s="143">
        <f>IF(t&lt;Tvie,1-EXP((T0-t)*PertePVj)+'2029'!Pspv,1-EXP((T0-t)*PertePVj)+Pspv)</f>
        <v>3.985481678858438E-2</v>
      </c>
      <c r="M24" s="836"/>
      <c r="N24" s="836"/>
      <c r="O24" s="48">
        <f>IF(t&lt;Tnet,'2029'!Resal+('2029'!Salim-'2029'!Resal)*(1-EXP(('2029'!Tnet-t)/('2029'!Tau_j))),Resal+(Salim-Resal)*(1-EXP((Tnet-t)/(Tau_j))))*Salcycl</f>
        <v>1.662450883954792E-2</v>
      </c>
      <c r="P24" s="165">
        <f>(INDEX(Models!$BJ24:$BT24,,T24)*(1-R24)+INDEX(Models!$BJ24:$BT24,,T24+1)*R24-ERP_i)*Q24*Ramure*Pc/MaxiM</f>
        <v>2.589614136871623E-3</v>
      </c>
      <c r="Q24" s="301">
        <f t="shared" si="4"/>
        <v>0.5</v>
      </c>
      <c r="R24" s="173">
        <f t="shared" si="5"/>
        <v>0.46914131509204338</v>
      </c>
      <c r="S24" s="802">
        <f t="shared" si="6"/>
        <v>0</v>
      </c>
      <c r="T24" s="172">
        <f t="shared" si="7"/>
        <v>6</v>
      </c>
      <c r="U24" s="247">
        <f t="shared" si="8"/>
        <v>0.46914131509204338</v>
      </c>
      <c r="V24" s="378">
        <f t="shared" si="9"/>
        <v>18.559587872484066</v>
      </c>
      <c r="W24" s="397">
        <f t="shared" si="10"/>
        <v>1.8838013655254846</v>
      </c>
      <c r="X24" s="153">
        <f t="shared" si="11"/>
        <v>47493</v>
      </c>
      <c r="Y24" s="380">
        <f t="shared" si="12"/>
        <v>1.8246501102104478</v>
      </c>
      <c r="Z24" s="380">
        <f t="shared" si="22"/>
        <v>1.9003897974132478</v>
      </c>
      <c r="AA24" s="381">
        <f t="shared" si="13"/>
        <v>1.9951650097910993</v>
      </c>
      <c r="AB24" s="193">
        <f t="shared" si="14"/>
        <v>47493</v>
      </c>
      <c r="AC24" s="119">
        <f>IF(OR(t&lt;Tnet,NoTnet),'2029'!Resal_s+('2029'!Salim-'2029'!Resal_s)*(1-EXP(('2029'!Tnet_s-t)/'2029'!Tau_j)),Resal_s+(Salim-Resal_s)*(1-EXP((Tnet_s-t)/Tau_j)))*Salcycl</f>
        <v>4.7502443112599921E-2</v>
      </c>
      <c r="AD24" s="227">
        <f>(INDEX(Models!$BJ24:$BT24,,AH24)*(1-AF24)+INDEX(Models!$BJ24:$BT24,,AH24+1)*AF24-ERP_i)*AE24*Ramure*Pc/MaxiM</f>
        <v>2.3428267993674128E-2</v>
      </c>
      <c r="AE24" s="301">
        <f t="shared" si="15"/>
        <v>0.5</v>
      </c>
      <c r="AF24" s="173">
        <f t="shared" si="23"/>
        <v>0.99412888146602052</v>
      </c>
      <c r="AG24" s="802">
        <f t="shared" si="24"/>
        <v>3</v>
      </c>
      <c r="AH24" s="172">
        <f t="shared" si="16"/>
        <v>9</v>
      </c>
      <c r="AI24" s="221">
        <f t="shared" si="17"/>
        <v>3.9941288814660205</v>
      </c>
      <c r="AJ24" s="261" t="b">
        <f t="shared" si="18"/>
        <v>0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47494</v>
      </c>
      <c r="B25" s="406">
        <f>'2029'!Wh/'2029'!Env_an*'2030'!Env_an</f>
        <v>18.903391432916447</v>
      </c>
      <c r="C25" s="832"/>
      <c r="D25" s="388">
        <f t="shared" si="0"/>
        <v>19.688324785201587</v>
      </c>
      <c r="E25" s="380">
        <f t="shared" si="1"/>
        <v>20.022336394956884</v>
      </c>
      <c r="F25" s="380">
        <f t="shared" si="2"/>
        <v>20.074424837955931</v>
      </c>
      <c r="G25" s="110">
        <f t="shared" si="21"/>
        <v>1.0071655941106643</v>
      </c>
      <c r="H25" s="409" t="b">
        <f>Wh_hp&gt;='2029'!Maxi_hp</f>
        <v>1</v>
      </c>
      <c r="I25" s="385">
        <f>IF(H25,Wh_hp,'2029'!Maxi_hp)</f>
        <v>20.074424837955931</v>
      </c>
      <c r="J25" s="85">
        <f>IF(H25,An,'2029'!An_max)</f>
        <v>2030</v>
      </c>
      <c r="K25" s="193">
        <f t="shared" si="3"/>
        <v>47494</v>
      </c>
      <c r="L25" s="143">
        <f>IF(t&lt;Tvie,1-EXP((T0-t)*PertePVj)+'2029'!Pspv,1-EXP((T0-t)*PertePVj)+Pspv)</f>
        <v>3.9867960369849409E-2</v>
      </c>
      <c r="M25" s="836"/>
      <c r="N25" s="836"/>
      <c r="O25" s="48">
        <f>IF(t&lt;Tnet,'2029'!Resal+('2029'!Salim-'2029'!Resal)*(1-EXP(('2029'!Tnet-t)/('2029'!Tau_j))),Resal+(Salim-Resal)*(1-EXP((Tnet-t)/(Tau_j))))*Salcycl</f>
        <v>1.6681949756843926E-2</v>
      </c>
      <c r="P25" s="165">
        <f>(INDEX(Models!$BJ25:$BT25,,T25)*(1-R25)+INDEX(Models!$BJ25:$BT25,,T25+1)*R25-ERP_i)*Q25*Ramure*Pc/MaxiM</f>
        <v>2.5947663965225224E-3</v>
      </c>
      <c r="Q25" s="301">
        <f t="shared" si="4"/>
        <v>0.5</v>
      </c>
      <c r="R25" s="173">
        <f t="shared" si="5"/>
        <v>0.46918355054940936</v>
      </c>
      <c r="S25" s="802">
        <f t="shared" si="6"/>
        <v>0</v>
      </c>
      <c r="T25" s="172">
        <f t="shared" si="7"/>
        <v>6</v>
      </c>
      <c r="U25" s="247">
        <f t="shared" si="8"/>
        <v>0.46918355054940936</v>
      </c>
      <c r="V25" s="378">
        <f t="shared" si="9"/>
        <v>18.768901105689874</v>
      </c>
      <c r="W25" s="397">
        <f t="shared" si="10"/>
        <v>18.903391432916447</v>
      </c>
      <c r="X25" s="153">
        <f t="shared" si="11"/>
        <v>47494</v>
      </c>
      <c r="Y25" s="380">
        <f t="shared" si="12"/>
        <v>17.93160187881514</v>
      </c>
      <c r="Z25" s="380">
        <f t="shared" si="22"/>
        <v>18.676183210928485</v>
      </c>
      <c r="AA25" s="381">
        <f t="shared" si="13"/>
        <v>19.608177589491213</v>
      </c>
      <c r="AB25" s="193">
        <f t="shared" si="14"/>
        <v>47494</v>
      </c>
      <c r="AC25" s="119">
        <f>IF(OR(t&lt;Tnet,NoTnet),'2029'!Resal_s+('2029'!Salim-'2029'!Resal_s)*(1-EXP(('2029'!Tnet_s-t)/'2029'!Tau_j)),Resal_s+(Salim-Resal_s)*(1-EXP((Tnet_s-t)/Tau_j)))*Salcycl</f>
        <v>4.7530902569049432E-2</v>
      </c>
      <c r="AD25" s="227">
        <f>(INDEX(Models!$BJ25:$BT25,,AH25)*(1-AF25)+INDEX(Models!$BJ25:$BT25,,AH25+1)*AF25-ERP_i)*AE25*Ramure*Pc/MaxiM</f>
        <v>2.3225933107839627E-2</v>
      </c>
      <c r="AE25" s="301">
        <f t="shared" si="15"/>
        <v>0.5</v>
      </c>
      <c r="AF25" s="173">
        <f t="shared" si="23"/>
        <v>0.99417111692338667</v>
      </c>
      <c r="AG25" s="802">
        <f t="shared" si="24"/>
        <v>3</v>
      </c>
      <c r="AH25" s="172">
        <f t="shared" si="16"/>
        <v>9</v>
      </c>
      <c r="AI25" s="221">
        <f t="shared" si="17"/>
        <v>3.9941711169233867</v>
      </c>
      <c r="AJ25" s="261" t="b">
        <f t="shared" si="18"/>
        <v>0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47495</v>
      </c>
      <c r="B26" s="406">
        <f>'2029'!Wh/'2029'!Env_an*'2030'!Env_an</f>
        <v>16.968582752822918</v>
      </c>
      <c r="C26" s="832"/>
      <c r="D26" s="388">
        <f t="shared" si="0"/>
        <v>17.673418177136949</v>
      </c>
      <c r="E26" s="380">
        <f t="shared" si="1"/>
        <v>17.974296279596384</v>
      </c>
      <c r="F26" s="380">
        <f t="shared" si="2"/>
        <v>18.014061981466469</v>
      </c>
      <c r="G26" s="110">
        <f t="shared" si="21"/>
        <v>0.89344911010473449</v>
      </c>
      <c r="H26" s="409" t="b">
        <f>Wh_hp&gt;='2029'!Maxi_hp</f>
        <v>0</v>
      </c>
      <c r="I26" s="385">
        <f>IF(H26,Wh_hp,'2029'!Maxi_hp)</f>
        <v>18.021186492350228</v>
      </c>
      <c r="J26" s="85">
        <f>IF(H26,An,'2029'!An_max)</f>
        <v>2022</v>
      </c>
      <c r="K26" s="193">
        <f t="shared" si="3"/>
        <v>47495</v>
      </c>
      <c r="L26" s="143">
        <f>IF(t&lt;Tvie,1-EXP((T0-t)*PertePVj)+'2029'!Pspv,1-EXP((T0-t)*PertePVj)+Pspv)</f>
        <v>3.9881103771189697E-2</v>
      </c>
      <c r="M26" s="836"/>
      <c r="N26" s="836"/>
      <c r="O26" s="48">
        <f>IF(t&lt;Tnet,'2029'!Resal+('2029'!Salim-'2029'!Resal)*(1-EXP(('2029'!Tnet-t)/('2029'!Tau_j))),Resal+(Salim-Resal)*(1-EXP((Tnet-t)/(Tau_j))))*Salcycl</f>
        <v>1.673935367366668E-2</v>
      </c>
      <c r="P26" s="165">
        <f>(INDEX(Models!$BJ26:$BT26,,T26)*(1-R26)+INDEX(Models!$BJ26:$BT26,,T26+1)*R26-ERP_i)*Q26*Ramure*Pc/MaxiM</f>
        <v>2.6022728464199364E-3</v>
      </c>
      <c r="Q26" s="301">
        <f t="shared" si="4"/>
        <v>0.5</v>
      </c>
      <c r="R26" s="173">
        <f t="shared" si="5"/>
        <v>0.46922755027708046</v>
      </c>
      <c r="S26" s="802">
        <f t="shared" si="6"/>
        <v>0</v>
      </c>
      <c r="T26" s="172">
        <f t="shared" si="7"/>
        <v>6</v>
      </c>
      <c r="U26" s="247">
        <f t="shared" si="8"/>
        <v>0.46922755027708046</v>
      </c>
      <c r="V26" s="378">
        <f t="shared" si="9"/>
        <v>18.984706218064595</v>
      </c>
      <c r="W26" s="397">
        <f t="shared" si="10"/>
        <v>16.968582752822918</v>
      </c>
      <c r="X26" s="153">
        <f t="shared" si="11"/>
        <v>47495</v>
      </c>
      <c r="Y26" s="380">
        <f t="shared" si="12"/>
        <v>16.151005011009314</v>
      </c>
      <c r="Z26" s="380">
        <f t="shared" si="22"/>
        <v>16.821880159267582</v>
      </c>
      <c r="AA26" s="381">
        <f t="shared" si="13"/>
        <v>17.661867760260979</v>
      </c>
      <c r="AB26" s="193">
        <f t="shared" si="14"/>
        <v>47495</v>
      </c>
      <c r="AC26" s="119">
        <f>IF(OR(t&lt;Tnet,NoTnet),'2029'!Resal_s+('2029'!Salim-'2029'!Resal_s)*(1-EXP(('2029'!Tnet_s-t)/'2029'!Tau_j)),Resal_s+(Salim-Resal_s)*(1-EXP((Tnet_s-t)/Tau_j)))*Salcycl</f>
        <v>4.7559386832425478E-2</v>
      </c>
      <c r="AD26" s="227">
        <f>(INDEX(Models!$BJ26:$BT26,,AH26)*(1-AF26)+INDEX(Models!$BJ26:$BT26,,AH26+1)*AF26-ERP_i)*AE26*Ramure*Pc/MaxiM</f>
        <v>2.30476369184506E-2</v>
      </c>
      <c r="AE26" s="301">
        <f t="shared" si="15"/>
        <v>0.5</v>
      </c>
      <c r="AF26" s="173">
        <f t="shared" si="23"/>
        <v>0.99421511665105777</v>
      </c>
      <c r="AG26" s="802">
        <f t="shared" si="24"/>
        <v>3</v>
      </c>
      <c r="AH26" s="172">
        <f t="shared" si="16"/>
        <v>9</v>
      </c>
      <c r="AI26" s="221">
        <f t="shared" si="17"/>
        <v>3.9942151166510578</v>
      </c>
      <c r="AJ26" s="261" t="b">
        <f t="shared" si="18"/>
        <v>0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47496</v>
      </c>
      <c r="B27" s="406">
        <f>'2029'!Wh/'2029'!Env_an*'2030'!Env_an</f>
        <v>5.7649605598410893</v>
      </c>
      <c r="C27" s="832"/>
      <c r="D27" s="388">
        <f t="shared" si="0"/>
        <v>6.004505797182432</v>
      </c>
      <c r="E27" s="380">
        <f t="shared" si="1"/>
        <v>6.1070847942174575</v>
      </c>
      <c r="F27" s="380">
        <f t="shared" si="2"/>
        <v>6.1070881519571021</v>
      </c>
      <c r="G27" s="110">
        <f t="shared" si="21"/>
        <v>0.29936351538561617</v>
      </c>
      <c r="H27" s="409" t="b">
        <f>Wh_hp&gt;='2029'!Maxi_hp</f>
        <v>0</v>
      </c>
      <c r="I27" s="385">
        <f>IF(H27,Wh_hp,'2029'!Maxi_hp)</f>
        <v>6.1230639003066996</v>
      </c>
      <c r="J27" s="85">
        <f>IF(H27,An,'2029'!An_max)</f>
        <v>2022</v>
      </c>
      <c r="K27" s="193">
        <f t="shared" si="3"/>
        <v>47496</v>
      </c>
      <c r="L27" s="143">
        <f>IF(t&lt;Tvie,1-EXP((T0-t)*PertePVj)+'2029'!Pspv,1-EXP((T0-t)*PertePVj)+Pspv)</f>
        <v>3.9894246992608018E-2</v>
      </c>
      <c r="M27" s="836"/>
      <c r="N27" s="836"/>
      <c r="O27" s="48">
        <f>IF(t&lt;Tnet,'2029'!Resal+('2029'!Salim-'2029'!Resal)*(1-EXP(('2029'!Tnet-t)/('2029'!Tau_j))),Resal+(Salim-Resal)*(1-EXP((Tnet-t)/(Tau_j))))*Salcycl</f>
        <v>1.6796720610814685E-2</v>
      </c>
      <c r="P27" s="165">
        <f>(INDEX(Models!$BJ27:$BT27,,T27)*(1-R27)+INDEX(Models!$BJ27:$BT27,,T27+1)*R27-ERP_i)*Q27*Ramure*Pc/MaxiM</f>
        <v>2.6120283903024858E-3</v>
      </c>
      <c r="Q27" s="301">
        <f t="shared" si="4"/>
        <v>0.5</v>
      </c>
      <c r="R27" s="173">
        <f t="shared" si="5"/>
        <v>0.46927338764154958</v>
      </c>
      <c r="S27" s="802">
        <f t="shared" si="6"/>
        <v>0</v>
      </c>
      <c r="T27" s="172">
        <f t="shared" si="7"/>
        <v>6</v>
      </c>
      <c r="U27" s="247">
        <f t="shared" si="8"/>
        <v>0.46927338764154958</v>
      </c>
      <c r="V27" s="378">
        <f t="shared" si="9"/>
        <v>19.207101684185506</v>
      </c>
      <c r="W27" s="397">
        <f t="shared" si="10"/>
        <v>5.7649605598410893</v>
      </c>
      <c r="X27" s="153">
        <f t="shared" si="11"/>
        <v>47496</v>
      </c>
      <c r="Y27" s="380">
        <f t="shared" si="12"/>
        <v>5.5843942916551965</v>
      </c>
      <c r="Z27" s="380">
        <f t="shared" si="22"/>
        <v>5.8164366520697239</v>
      </c>
      <c r="AA27" s="381">
        <f t="shared" si="13"/>
        <v>6.1070587237473193</v>
      </c>
      <c r="AB27" s="193">
        <f t="shared" si="14"/>
        <v>47496</v>
      </c>
      <c r="AC27" s="119">
        <f>IF(OR(t&lt;Tnet,NoTnet),'2029'!Resal_s+('2029'!Salim-'2029'!Resal_s)*(1-EXP(('2029'!Tnet_s-t)/'2029'!Tau_j)),Resal_s+(Salim-Resal_s)*(1-EXP((Tnet_s-t)/Tau_j)))*Salcycl</f>
        <v>4.7587895388578903E-2</v>
      </c>
      <c r="AD27" s="227">
        <f>(INDEX(Models!$BJ27:$BT27,,AH27)*(1-AF27)+INDEX(Models!$BJ27:$BT27,,AH27+1)*AF27-ERP_i)*AE27*Ramure*Pc/MaxiM</f>
        <v>2.2892578807396716E-2</v>
      </c>
      <c r="AE27" s="301">
        <f t="shared" si="15"/>
        <v>0.5</v>
      </c>
      <c r="AF27" s="173">
        <f t="shared" si="23"/>
        <v>0.99426095401552672</v>
      </c>
      <c r="AG27" s="802">
        <f t="shared" si="24"/>
        <v>3</v>
      </c>
      <c r="AH27" s="172">
        <f t="shared" si="16"/>
        <v>9</v>
      </c>
      <c r="AI27" s="221">
        <f t="shared" si="17"/>
        <v>3.9942609540155267</v>
      </c>
      <c r="AJ27" s="261" t="b">
        <f t="shared" si="18"/>
        <v>0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47497</v>
      </c>
      <c r="B28" s="406">
        <f>'2029'!Wh/'2029'!Env_an*'2030'!Env_an</f>
        <v>19.503077775005401</v>
      </c>
      <c r="C28" s="832"/>
      <c r="D28" s="388">
        <f t="shared" si="0"/>
        <v>20.313746374631748</v>
      </c>
      <c r="E28" s="380">
        <f t="shared" si="1"/>
        <v>20.661984512098261</v>
      </c>
      <c r="F28" s="380">
        <f t="shared" si="2"/>
        <v>20.71634270725017</v>
      </c>
      <c r="G28" s="110">
        <f t="shared" si="21"/>
        <v>1.0034416130426369</v>
      </c>
      <c r="H28" s="409" t="b">
        <f>Wh_hp&gt;='2029'!Maxi_hp</f>
        <v>1</v>
      </c>
      <c r="I28" s="385">
        <f>IF(H28,Wh_hp,'2029'!Maxi_hp)</f>
        <v>20.71634270725017</v>
      </c>
      <c r="J28" s="85">
        <f>IF(H28,An,'2029'!An_max)</f>
        <v>2030</v>
      </c>
      <c r="K28" s="193">
        <f t="shared" si="3"/>
        <v>47497</v>
      </c>
      <c r="L28" s="143">
        <f>IF(t&lt;Tvie,1-EXP((T0-t)*PertePVj)+'2029'!Pspv,1-EXP((T0-t)*PertePVj)+Pspv)</f>
        <v>3.9907390034106593E-2</v>
      </c>
      <c r="M28" s="836"/>
      <c r="N28" s="836"/>
      <c r="O28" s="48">
        <f>IF(t&lt;Tnet,'2029'!Resal+('2029'!Salim-'2029'!Resal)*(1-EXP(('2029'!Tnet-t)/('2029'!Tau_j))),Resal+(Salim-Resal)*(1-EXP((Tnet-t)/(Tau_j))))*Salcycl</f>
        <v>1.6854050842144794E-2</v>
      </c>
      <c r="P28" s="165">
        <f>(INDEX(Models!$BJ28:$BT28,,T28)*(1-R28)+INDEX(Models!$BJ28:$BT28,,T28+1)*R28-ERP_i)*Q28*Ramure*Pc/MaxiM</f>
        <v>2.6239281672476638E-3</v>
      </c>
      <c r="Q28" s="301">
        <f t="shared" si="4"/>
        <v>0.5</v>
      </c>
      <c r="R28" s="173">
        <f t="shared" si="5"/>
        <v>0.46932113903193906</v>
      </c>
      <c r="S28" s="802">
        <f t="shared" si="6"/>
        <v>0</v>
      </c>
      <c r="T28" s="172">
        <f t="shared" si="7"/>
        <v>6</v>
      </c>
      <c r="U28" s="247">
        <f t="shared" si="8"/>
        <v>0.46932113903193906</v>
      </c>
      <c r="V28" s="378">
        <f t="shared" si="9"/>
        <v>19.436185943961547</v>
      </c>
      <c r="W28" s="397">
        <f t="shared" si="10"/>
        <v>19.503077775005401</v>
      </c>
      <c r="X28" s="153">
        <f t="shared" si="11"/>
        <v>47497</v>
      </c>
      <c r="Y28" s="380">
        <f t="shared" si="12"/>
        <v>18.511404235532165</v>
      </c>
      <c r="Z28" s="380">
        <f t="shared" si="22"/>
        <v>19.280852746267644</v>
      </c>
      <c r="AA28" s="381">
        <f t="shared" si="13"/>
        <v>20.244839707614712</v>
      </c>
      <c r="AB28" s="193">
        <f t="shared" si="14"/>
        <v>47497</v>
      </c>
      <c r="AC28" s="119">
        <f>IF(OR(t&lt;Tnet,NoTnet),'2029'!Resal_s+('2029'!Salim-'2029'!Resal_s)*(1-EXP(('2029'!Tnet_s-t)/'2029'!Tau_j)),Resal_s+(Salim-Resal_s)*(1-EXP((Tnet_s-t)/Tau_j)))*Salcycl</f>
        <v>4.7616428446429312E-2</v>
      </c>
      <c r="AD28" s="227">
        <f>(INDEX(Models!$BJ28:$BT28,,AH28)*(1-AF28)+INDEX(Models!$BJ28:$BT28,,AH28+1)*AF28-ERP_i)*AE28*Ramure*Pc/MaxiM</f>
        <v>2.2759953641356103E-2</v>
      </c>
      <c r="AE28" s="301">
        <f t="shared" si="15"/>
        <v>0.5</v>
      </c>
      <c r="AF28" s="173">
        <f t="shared" si="23"/>
        <v>0.99430870540591609</v>
      </c>
      <c r="AG28" s="802">
        <f t="shared" si="24"/>
        <v>3</v>
      </c>
      <c r="AH28" s="172">
        <f t="shared" si="16"/>
        <v>9</v>
      </c>
      <c r="AI28" s="221">
        <f t="shared" si="17"/>
        <v>3.9943087054059161</v>
      </c>
      <c r="AJ28" s="261" t="b">
        <f t="shared" si="18"/>
        <v>0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47498</v>
      </c>
      <c r="B29" s="406">
        <f>'2029'!Wh/'2029'!Env_an*'2030'!Env_an</f>
        <v>20.06666767444765</v>
      </c>
      <c r="C29" s="832"/>
      <c r="D29" s="388">
        <f t="shared" si="0"/>
        <v>20.901048675658657</v>
      </c>
      <c r="E29" s="380">
        <f t="shared" si="1"/>
        <v>21.26059391126503</v>
      </c>
      <c r="F29" s="380">
        <f t="shared" si="2"/>
        <v>21.31682487483608</v>
      </c>
      <c r="G29" s="110">
        <f t="shared" si="21"/>
        <v>1.0200594310119342</v>
      </c>
      <c r="H29" s="409" t="b">
        <f>Wh_hp&gt;='2029'!Maxi_hp</f>
        <v>1</v>
      </c>
      <c r="I29" s="385">
        <f>IF(H29,Wh_hp,'2029'!Maxi_hp)</f>
        <v>21.31682487483608</v>
      </c>
      <c r="J29" s="85">
        <f>IF(H29,An,'2029'!An_max)</f>
        <v>2030</v>
      </c>
      <c r="K29" s="193">
        <f t="shared" si="3"/>
        <v>47498</v>
      </c>
      <c r="L29" s="143">
        <f>IF(t&lt;Tvie,1-EXP((T0-t)*PertePVj)+'2029'!Pspv,1-EXP((T0-t)*PertePVj)+Pspv)</f>
        <v>3.9920532895687977E-2</v>
      </c>
      <c r="M29" s="836"/>
      <c r="N29" s="836"/>
      <c r="O29" s="48">
        <f>IF(t&lt;Tnet,'2029'!Resal+('2029'!Salim-'2029'!Resal)*(1-EXP(('2029'!Tnet-t)/('2029'!Tau_j))),Resal+(Salim-Resal)*(1-EXP((Tnet-t)/(Tau_j))))*Salcycl</f>
        <v>1.6911344862095584E-2</v>
      </c>
      <c r="P29" s="165">
        <f>(INDEX(Models!$BJ29:$BT29,,T29)*(1-R29)+INDEX(Models!$BJ29:$BT29,,T29+1)*R29-ERP_i)*Q29*Ramure*Pc/MaxiM</f>
        <v>2.6378676890773329E-3</v>
      </c>
      <c r="Q29" s="301">
        <f t="shared" si="4"/>
        <v>0.5</v>
      </c>
      <c r="R29" s="173">
        <f t="shared" si="5"/>
        <v>0.46937088398211141</v>
      </c>
      <c r="S29" s="802">
        <f t="shared" si="6"/>
        <v>0</v>
      </c>
      <c r="T29" s="172">
        <f t="shared" si="7"/>
        <v>6</v>
      </c>
      <c r="U29" s="247">
        <f t="shared" si="8"/>
        <v>0.46937088398211141</v>
      </c>
      <c r="V29" s="378">
        <f t="shared" si="9"/>
        <v>19.672057396244867</v>
      </c>
      <c r="W29" s="397">
        <f t="shared" si="10"/>
        <v>20.06666767444765</v>
      </c>
      <c r="X29" s="153">
        <f t="shared" si="11"/>
        <v>47498</v>
      </c>
      <c r="Y29" s="380">
        <f t="shared" si="12"/>
        <v>19.049305816937444</v>
      </c>
      <c r="Z29" s="380">
        <f t="shared" si="22"/>
        <v>19.841384457884413</v>
      </c>
      <c r="AA29" s="381">
        <f t="shared" si="13"/>
        <v>20.834021119889517</v>
      </c>
      <c r="AB29" s="193">
        <f t="shared" si="14"/>
        <v>47498</v>
      </c>
      <c r="AC29" s="119">
        <f>IF(OR(t&lt;Tnet,NoTnet),'2029'!Resal_s+('2029'!Salim-'2029'!Resal_s)*(1-EXP(('2029'!Tnet_s-t)/'2029'!Tau_j)),Resal_s+(Salim-Resal_s)*(1-EXP((Tnet_s-t)/Tau_j)))*Salcycl</f>
        <v>4.7644986836337132E-2</v>
      </c>
      <c r="AD29" s="227">
        <f>(INDEX(Models!$BJ29:$BT29,,AH29)*(1-AF29)+INDEX(Models!$BJ29:$BT29,,AH29+1)*AF29-ERP_i)*AE29*Ramure*Pc/MaxiM</f>
        <v>2.2648952542481959E-2</v>
      </c>
      <c r="AE29" s="301">
        <f t="shared" si="15"/>
        <v>0.5</v>
      </c>
      <c r="AF29" s="173">
        <f t="shared" si="23"/>
        <v>0.9943584503560885</v>
      </c>
      <c r="AG29" s="802">
        <f t="shared" si="24"/>
        <v>3</v>
      </c>
      <c r="AH29" s="172">
        <f t="shared" si="16"/>
        <v>9</v>
      </c>
      <c r="AI29" s="221">
        <f t="shared" si="17"/>
        <v>3.9943584503560885</v>
      </c>
      <c r="AJ29" s="261" t="b">
        <f t="shared" si="18"/>
        <v>0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47499</v>
      </c>
      <c r="B30" s="406">
        <f>'2029'!Wh/'2029'!Env_an*'2030'!Env_an</f>
        <v>19.791465350336257</v>
      </c>
      <c r="C30" s="832"/>
      <c r="D30" s="388">
        <f t="shared" si="0"/>
        <v>20.614685513772436</v>
      </c>
      <c r="E30" s="380">
        <f t="shared" si="1"/>
        <v>20.970526052442683</v>
      </c>
      <c r="F30" s="380">
        <f t="shared" si="2"/>
        <v>21.025747785329607</v>
      </c>
      <c r="G30" s="110">
        <f t="shared" si="21"/>
        <v>0.99377890664386226</v>
      </c>
      <c r="H30" s="409" t="b">
        <f>Wh_hp&gt;='2029'!Maxi_hp</f>
        <v>0</v>
      </c>
      <c r="I30" s="385">
        <f>IF(H30,Wh_hp,'2029'!Maxi_hp)</f>
        <v>21.026241804609086</v>
      </c>
      <c r="J30" s="85">
        <f>IF(H30,An,'2029'!An_max)</f>
        <v>2022</v>
      </c>
      <c r="K30" s="193">
        <f t="shared" si="3"/>
        <v>47499</v>
      </c>
      <c r="L30" s="143">
        <f>IF(t&lt;Tvie,1-EXP((T0-t)*PertePVj)+'2029'!Pspv,1-EXP((T0-t)*PertePVj)+Pspv)</f>
        <v>3.993367557735461E-2</v>
      </c>
      <c r="M30" s="836"/>
      <c r="N30" s="836"/>
      <c r="O30" s="48">
        <f>IF(t&lt;Tnet,'2029'!Resal+('2029'!Salim-'2029'!Resal)*(1-EXP(('2029'!Tnet-t)/('2029'!Tau_j))),Resal+(Salim-Resal)*(1-EXP((Tnet-t)/(Tau_j))))*Salcycl</f>
        <v>1.6968603352169941E-2</v>
      </c>
      <c r="P30" s="165">
        <f>(INDEX(Models!$BJ30:$BT30,,T30)*(1-R30)+INDEX(Models!$BJ30:$BT30,,T30+1)*R30-ERP_i)*Q30*Ramure*Pc/MaxiM</f>
        <v>2.6498475875431525E-3</v>
      </c>
      <c r="Q30" s="301">
        <f t="shared" si="4"/>
        <v>0.5</v>
      </c>
      <c r="R30" s="173">
        <f t="shared" si="5"/>
        <v>0.46942270529750468</v>
      </c>
      <c r="S30" s="802">
        <f t="shared" si="6"/>
        <v>0</v>
      </c>
      <c r="T30" s="172">
        <f t="shared" si="7"/>
        <v>6</v>
      </c>
      <c r="U30" s="247">
        <f t="shared" si="8"/>
        <v>0.46942270529750468</v>
      </c>
      <c r="V30" s="378">
        <f t="shared" si="9"/>
        <v>19.91489219499687</v>
      </c>
      <c r="W30" s="397">
        <f t="shared" si="10"/>
        <v>19.791465350336257</v>
      </c>
      <c r="X30" s="153">
        <f t="shared" si="11"/>
        <v>47499</v>
      </c>
      <c r="Y30" s="380">
        <f t="shared" si="12"/>
        <v>18.794028054690429</v>
      </c>
      <c r="Z30" s="380">
        <f t="shared" si="22"/>
        <v>19.575760108024394</v>
      </c>
      <c r="AA30" s="381">
        <f t="shared" si="13"/>
        <v>20.555724939011228</v>
      </c>
      <c r="AB30" s="193">
        <f t="shared" si="14"/>
        <v>47499</v>
      </c>
      <c r="AC30" s="119">
        <f>IF(OR(t&lt;Tnet,NoTnet),'2029'!Resal_s+('2029'!Salim-'2029'!Resal_s)*(1-EXP(('2029'!Tnet_s-t)/'2029'!Tau_j)),Resal_s+(Salim-Resal_s)*(1-EXP((Tnet_s-t)/Tau_j)))*Salcycl</f>
        <v>4.7673571907309809E-2</v>
      </c>
      <c r="AD30" s="227">
        <f>(INDEX(Models!$BJ30:$BT30,,AH30)*(1-AF30)+INDEX(Models!$BJ30:$BT30,,AH30+1)*AF30-ERP_i)*AE30*Ramure*Pc/MaxiM</f>
        <v>2.2554324906052109E-2</v>
      </c>
      <c r="AE30" s="301">
        <f t="shared" si="15"/>
        <v>0.5</v>
      </c>
      <c r="AF30" s="173">
        <f t="shared" si="23"/>
        <v>0.99441027167148199</v>
      </c>
      <c r="AG30" s="802">
        <f t="shared" si="24"/>
        <v>3</v>
      </c>
      <c r="AH30" s="172">
        <f t="shared" si="16"/>
        <v>9</v>
      </c>
      <c r="AI30" s="221">
        <f t="shared" si="17"/>
        <v>3.994410271671482</v>
      </c>
      <c r="AJ30" s="261" t="b">
        <f t="shared" si="18"/>
        <v>0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47500</v>
      </c>
      <c r="B31" s="406">
        <f>'2029'!Wh/'2029'!Env_an*'2030'!Env_an</f>
        <v>13.28040305454201</v>
      </c>
      <c r="C31" s="832"/>
      <c r="D31" s="388">
        <f t="shared" si="0"/>
        <v>13.832986864300944</v>
      </c>
      <c r="E31" s="380">
        <f t="shared" si="1"/>
        <v>14.072584251271504</v>
      </c>
      <c r="F31" s="380">
        <f t="shared" si="2"/>
        <v>14.091778612412995</v>
      </c>
      <c r="G31" s="110">
        <f t="shared" si="21"/>
        <v>0.65773781602108705</v>
      </c>
      <c r="H31" s="409" t="b">
        <f>Wh_hp&gt;='2029'!Maxi_hp</f>
        <v>0</v>
      </c>
      <c r="I31" s="385">
        <f>IF(H31,Wh_hp,'2029'!Maxi_hp)</f>
        <v>14.110078337543527</v>
      </c>
      <c r="J31" s="85">
        <f>IF(H31,An,'2029'!An_max)</f>
        <v>2022</v>
      </c>
      <c r="K31" s="193">
        <f t="shared" si="3"/>
        <v>47500</v>
      </c>
      <c r="L31" s="143">
        <f>IF(t&lt;Tvie,1-EXP((T0-t)*PertePVj)+'2029'!Pspv,1-EXP((T0-t)*PertePVj)+Pspv)</f>
        <v>3.9946818079108937E-2</v>
      </c>
      <c r="M31" s="836"/>
      <c r="N31" s="836"/>
      <c r="O31" s="48">
        <f>IF(t&lt;Tnet,'2029'!Resal+('2029'!Salim-'2029'!Resal)*(1-EXP(('2029'!Tnet-t)/('2029'!Tau_j))),Resal+(Salim-Resal)*(1-EXP((Tnet-t)/(Tau_j))))*Salcycl</f>
        <v>1.7025827146773784E-2</v>
      </c>
      <c r="P31" s="165">
        <f>(INDEX(Models!$BJ31:$BT31,,T31)*(1-R31)+INDEX(Models!$BJ31:$BT31,,T31+1)*R31-ERP_i)*Q31*Ramure*Pc/MaxiM</f>
        <v>2.6589123189412803E-3</v>
      </c>
      <c r="Q31" s="301">
        <f t="shared" si="4"/>
        <v>0.5</v>
      </c>
      <c r="R31" s="173">
        <f t="shared" si="5"/>
        <v>0.46947668918685881</v>
      </c>
      <c r="S31" s="802">
        <f t="shared" si="6"/>
        <v>0</v>
      </c>
      <c r="T31" s="172">
        <f t="shared" si="7"/>
        <v>6</v>
      </c>
      <c r="U31" s="247">
        <f t="shared" si="8"/>
        <v>0.46947668918685881</v>
      </c>
      <c r="V31" s="378">
        <f t="shared" si="9"/>
        <v>20.164808839107611</v>
      </c>
      <c r="W31" s="397">
        <f t="shared" si="10"/>
        <v>13.28040305454201</v>
      </c>
      <c r="X31" s="153">
        <f t="shared" si="11"/>
        <v>47500</v>
      </c>
      <c r="Y31" s="380">
        <f t="shared" si="12"/>
        <v>12.735212596912454</v>
      </c>
      <c r="Z31" s="380">
        <f t="shared" si="22"/>
        <v>13.265111596663447</v>
      </c>
      <c r="AA31" s="381">
        <f t="shared" si="13"/>
        <v>13.929583155214806</v>
      </c>
      <c r="AB31" s="193">
        <f t="shared" si="14"/>
        <v>47500</v>
      </c>
      <c r="AC31" s="119">
        <f>IF(OR(t&lt;Tnet,NoTnet),'2029'!Resal_s+('2029'!Salim-'2029'!Resal_s)*(1-EXP(('2029'!Tnet_s-t)/'2029'!Tau_j)),Resal_s+(Salim-Resal_s)*(1-EXP((Tnet_s-t)/Tau_j)))*Salcycl</f>
        <v>4.7702185424163407E-2</v>
      </c>
      <c r="AD31" s="227">
        <f>(INDEX(Models!$BJ31:$BT31,,AH31)*(1-AF31)+INDEX(Models!$BJ31:$BT31,,AH31+1)*AF31-ERP_i)*AE31*Ramure*Pc/MaxiM</f>
        <v>2.2468239293900415E-2</v>
      </c>
      <c r="AE31" s="301">
        <f t="shared" si="15"/>
        <v>0.5</v>
      </c>
      <c r="AF31" s="173">
        <f t="shared" si="23"/>
        <v>0.99446425556083584</v>
      </c>
      <c r="AG31" s="802">
        <f t="shared" si="24"/>
        <v>3</v>
      </c>
      <c r="AH31" s="172">
        <f t="shared" si="16"/>
        <v>9</v>
      </c>
      <c r="AI31" s="221">
        <f t="shared" si="17"/>
        <v>3.9944642555608358</v>
      </c>
      <c r="AJ31" s="261" t="b">
        <f t="shared" si="18"/>
        <v>0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47501</v>
      </c>
      <c r="B32" s="406">
        <f>'2029'!Wh/'2029'!Env_an*'2030'!Env_an</f>
        <v>4.2130966960884999</v>
      </c>
      <c r="C32" s="832"/>
      <c r="D32" s="388">
        <f t="shared" si="0"/>
        <v>4.3884593582660036</v>
      </c>
      <c r="E32" s="380">
        <f t="shared" si="1"/>
        <v>4.4647304249026529</v>
      </c>
      <c r="F32" s="380">
        <f t="shared" si="2"/>
        <v>4.4647304249026529</v>
      </c>
      <c r="G32" s="110">
        <f t="shared" si="21"/>
        <v>0.20575299219977486</v>
      </c>
      <c r="H32" s="409" t="b">
        <f>Wh_hp&gt;='2029'!Maxi_hp</f>
        <v>0</v>
      </c>
      <c r="I32" s="385">
        <f>IF(H32,Wh_hp,'2029'!Maxi_hp)</f>
        <v>4.4766449642017561</v>
      </c>
      <c r="J32" s="85">
        <f>IF(H32,An,'2029'!An_max)</f>
        <v>2022</v>
      </c>
      <c r="K32" s="193">
        <f t="shared" si="3"/>
        <v>47501</v>
      </c>
      <c r="L32" s="143">
        <f>IF(t&lt;Tvie,1-EXP((T0-t)*PertePVj)+'2029'!Pspv,1-EXP((T0-t)*PertePVj)+Pspv)</f>
        <v>3.9959960400953509E-2</v>
      </c>
      <c r="M32" s="836"/>
      <c r="N32" s="836"/>
      <c r="O32" s="48">
        <f>IF(t&lt;Tnet,'2029'!Resal+('2029'!Salim-'2029'!Resal)*(1-EXP(('2029'!Tnet-t)/('2029'!Tau_j))),Resal+(Salim-Resal)*(1-EXP((Tnet-t)/(Tau_j))))*Salcycl</f>
        <v>1.7083017198807084E-2</v>
      </c>
      <c r="P32" s="165">
        <f>(INDEX(Models!$BJ32:$BT32,,T32)*(1-R32)+INDEX(Models!$BJ32:$BT32,,T32+1)*R32-ERP_i)*Q32*Ramure*Pc/MaxiM</f>
        <v>2.6651424678338816E-3</v>
      </c>
      <c r="Q32" s="301">
        <f t="shared" si="4"/>
        <v>0.5</v>
      </c>
      <c r="R32" s="173">
        <f t="shared" si="5"/>
        <v>0.46953292539900049</v>
      </c>
      <c r="S32" s="802">
        <f t="shared" si="6"/>
        <v>0</v>
      </c>
      <c r="T32" s="172">
        <f t="shared" si="7"/>
        <v>6</v>
      </c>
      <c r="U32" s="247">
        <f t="shared" si="8"/>
        <v>0.46953292539900049</v>
      </c>
      <c r="V32" s="378">
        <f t="shared" si="9"/>
        <v>20.421905646372718</v>
      </c>
      <c r="W32" s="397">
        <f t="shared" si="10"/>
        <v>4.2130966960884999</v>
      </c>
      <c r="X32" s="153">
        <f t="shared" si="11"/>
        <v>47501</v>
      </c>
      <c r="Y32" s="380">
        <f t="shared" si="12"/>
        <v>4.0817303662117386</v>
      </c>
      <c r="Z32" s="380">
        <f t="shared" si="22"/>
        <v>4.2516251383811481</v>
      </c>
      <c r="AA32" s="381">
        <f t="shared" si="13"/>
        <v>4.4647304249026529</v>
      </c>
      <c r="AB32" s="193">
        <f t="shared" si="14"/>
        <v>47501</v>
      </c>
      <c r="AC32" s="119">
        <f>IF(OR(t&lt;Tnet,NoTnet),'2029'!Resal_s+('2029'!Salim-'2029'!Resal_s)*(1-EXP(('2029'!Tnet_s-t)/'2029'!Tau_j)),Resal_s+(Salim-Resal_s)*(1-EXP((Tnet_s-t)/Tau_j)))*Salcycl</f>
        <v>4.7730829465734453E-2</v>
      </c>
      <c r="AD32" s="227">
        <f>(INDEX(Models!$BJ32:$BT32,,AH32)*(1-AF32)+INDEX(Models!$BJ32:$BT32,,AH32+1)*AF32-ERP_i)*AE32*Ramure*Pc/MaxiM</f>
        <v>2.2390321896026015E-2</v>
      </c>
      <c r="AE32" s="301">
        <f t="shared" si="15"/>
        <v>0.5</v>
      </c>
      <c r="AF32" s="173">
        <f t="shared" si="23"/>
        <v>0.99452049177297752</v>
      </c>
      <c r="AG32" s="802">
        <f t="shared" si="24"/>
        <v>3</v>
      </c>
      <c r="AH32" s="172">
        <f t="shared" si="16"/>
        <v>9</v>
      </c>
      <c r="AI32" s="221">
        <f t="shared" si="17"/>
        <v>3.9945204917729775</v>
      </c>
      <c r="AJ32" s="261" t="b">
        <f t="shared" si="18"/>
        <v>0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47502</v>
      </c>
      <c r="B33" s="406">
        <f>'2029'!Wh/'2029'!Env_an*'2030'!Env_an</f>
        <v>10.652459800924101</v>
      </c>
      <c r="C33" s="832"/>
      <c r="D33" s="388">
        <f t="shared" si="0"/>
        <v>11.096001402814879</v>
      </c>
      <c r="E33" s="380">
        <f t="shared" si="1"/>
        <v>11.289505497574552</v>
      </c>
      <c r="F33" s="380">
        <f t="shared" si="2"/>
        <v>11.298764473894364</v>
      </c>
      <c r="G33" s="110">
        <f t="shared" si="21"/>
        <v>0.5139998666129757</v>
      </c>
      <c r="H33" s="409" t="b">
        <f>Wh_hp&gt;='2029'!Maxi_hp</f>
        <v>0</v>
      </c>
      <c r="I33" s="385">
        <f>IF(H33,Wh_hp,'2029'!Maxi_hp)</f>
        <v>11.319682789711347</v>
      </c>
      <c r="J33" s="85">
        <f>IF(H33,An,'2029'!An_max)</f>
        <v>2022</v>
      </c>
      <c r="K33" s="193">
        <f t="shared" si="3"/>
        <v>47502</v>
      </c>
      <c r="L33" s="143">
        <f>IF(t&lt;Tvie,1-EXP((T0-t)*PertePVj)+'2029'!Pspv,1-EXP((T0-t)*PertePVj)+Pspv)</f>
        <v>3.997310254289077E-2</v>
      </c>
      <c r="M33" s="836"/>
      <c r="N33" s="836"/>
      <c r="O33" s="48">
        <f>IF(t&lt;Tnet,'2029'!Resal+('2029'!Salim-'2029'!Resal)*(1-EXP(('2029'!Tnet-t)/('2029'!Tau_j))),Resal+(Salim-Resal)*(1-EXP((Tnet-t)/(Tau_j))))*Salcycl</f>
        <v>1.7140174545399286E-2</v>
      </c>
      <c r="P33" s="165">
        <f>(INDEX(Models!$BJ33:$BT33,,T33)*(1-R33)+INDEX(Models!$BJ33:$BT33,,T33+1)*R33-ERP_i)*Q33*Ramure*Pc/MaxiM</f>
        <v>2.668620400394321E-3</v>
      </c>
      <c r="Q33" s="301">
        <f t="shared" si="4"/>
        <v>0.5</v>
      </c>
      <c r="R33" s="173">
        <f t="shared" si="5"/>
        <v>0.46959150736486138</v>
      </c>
      <c r="S33" s="802">
        <f t="shared" si="6"/>
        <v>0</v>
      </c>
      <c r="T33" s="172">
        <f t="shared" si="7"/>
        <v>6</v>
      </c>
      <c r="U33" s="247">
        <f t="shared" si="8"/>
        <v>0.46959150736486138</v>
      </c>
      <c r="V33" s="378">
        <f t="shared" si="9"/>
        <v>20.686280902390237</v>
      </c>
      <c r="W33" s="397">
        <f t="shared" si="10"/>
        <v>10.652459800924101</v>
      </c>
      <c r="X33" s="153">
        <f t="shared" si="11"/>
        <v>47502</v>
      </c>
      <c r="Y33" s="380">
        <f t="shared" si="12"/>
        <v>10.258269528180538</v>
      </c>
      <c r="Z33" s="380">
        <f t="shared" si="22"/>
        <v>10.685398039734446</v>
      </c>
      <c r="AA33" s="381">
        <f t="shared" si="13"/>
        <v>11.221322880839001</v>
      </c>
      <c r="AB33" s="193">
        <f t="shared" si="14"/>
        <v>47502</v>
      </c>
      <c r="AC33" s="119">
        <f>IF(OR(t&lt;Tnet,NoTnet),'2029'!Resal_s+('2029'!Salim-'2029'!Resal_s)*(1-EXP(('2029'!Tnet_s-t)/'2029'!Tau_j)),Resal_s+(Salim-Resal_s)*(1-EXP((Tnet_s-t)/Tau_j)))*Salcycl</f>
        <v>4.7759506325201255E-2</v>
      </c>
      <c r="AD33" s="227">
        <f>(INDEX(Models!$BJ33:$BT33,,AH33)*(1-AF33)+INDEX(Models!$BJ33:$BT33,,AH33+1)*AF33-ERP_i)*AE33*Ramure*Pc/MaxiM</f>
        <v>2.2320201275858945E-2</v>
      </c>
      <c r="AE33" s="301">
        <f t="shared" si="15"/>
        <v>0.5</v>
      </c>
      <c r="AF33" s="173">
        <f t="shared" si="23"/>
        <v>0.99457907373883847</v>
      </c>
      <c r="AG33" s="802">
        <f t="shared" si="24"/>
        <v>3</v>
      </c>
      <c r="AH33" s="172">
        <f t="shared" si="16"/>
        <v>9</v>
      </c>
      <c r="AI33" s="221">
        <f t="shared" si="17"/>
        <v>3.9945790737388385</v>
      </c>
      <c r="AJ33" s="261" t="b">
        <f t="shared" si="18"/>
        <v>0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47503</v>
      </c>
      <c r="B34" s="406">
        <f>'2029'!Wh/'2029'!Env_an*'2030'!Env_an</f>
        <v>6.1660855194355157</v>
      </c>
      <c r="C34" s="832"/>
      <c r="D34" s="388">
        <f t="shared" si="0"/>
        <v>6.4229137177890534</v>
      </c>
      <c r="E34" s="380">
        <f t="shared" si="1"/>
        <v>6.5353032908648441</v>
      </c>
      <c r="F34" s="380">
        <f t="shared" si="2"/>
        <v>6.5353032908648441</v>
      </c>
      <c r="G34" s="110">
        <f t="shared" si="21"/>
        <v>0.29342570577104293</v>
      </c>
      <c r="H34" s="409" t="b">
        <f>Wh_hp&gt;='2029'!Maxi_hp</f>
        <v>0</v>
      </c>
      <c r="I34" s="385">
        <f>IF(H34,Wh_hp,'2029'!Maxi_hp)</f>
        <v>6.552768311666</v>
      </c>
      <c r="J34" s="85">
        <f>IF(H34,An,'2029'!An_max)</f>
        <v>2022</v>
      </c>
      <c r="K34" s="193">
        <f t="shared" si="3"/>
        <v>47503</v>
      </c>
      <c r="L34" s="143">
        <f>IF(t&lt;Tvie,1-EXP((T0-t)*PertePVj)+'2029'!Pspv,1-EXP((T0-t)*PertePVj)+Pspv)</f>
        <v>3.9986244504923052E-2</v>
      </c>
      <c r="M34" s="836"/>
      <c r="N34" s="836"/>
      <c r="O34" s="48">
        <f>IF(t&lt;Tnet,'2029'!Resal+('2029'!Salim-'2029'!Resal)*(1-EXP(('2029'!Tnet-t)/('2029'!Tau_j))),Resal+(Salim-Resal)*(1-EXP((Tnet-t)/(Tau_j))))*Salcycl</f>
        <v>1.7197300274172492E-2</v>
      </c>
      <c r="P34" s="165">
        <f>(INDEX(Models!$BJ34:$BT34,,T34)*(1-R34)+INDEX(Models!$BJ34:$BT34,,T34+1)*R34-ERP_i)*Q34*Ramure*Pc/MaxiM</f>
        <v>2.6694424798535355E-3</v>
      </c>
      <c r="Q34" s="301">
        <f t="shared" si="4"/>
        <v>0.5</v>
      </c>
      <c r="R34" s="173">
        <f t="shared" si="5"/>
        <v>0.46965253234490401</v>
      </c>
      <c r="S34" s="802">
        <f t="shared" si="6"/>
        <v>0</v>
      </c>
      <c r="T34" s="172">
        <f t="shared" si="7"/>
        <v>6</v>
      </c>
      <c r="U34" s="247">
        <f t="shared" si="8"/>
        <v>0.46965253234490401</v>
      </c>
      <c r="V34" s="378">
        <f t="shared" si="9"/>
        <v>20.958032605411926</v>
      </c>
      <c r="W34" s="397">
        <f t="shared" si="10"/>
        <v>6.1660855194355157</v>
      </c>
      <c r="X34" s="153">
        <f t="shared" si="11"/>
        <v>47503</v>
      </c>
      <c r="Y34" s="380">
        <f t="shared" si="12"/>
        <v>5.9741586785569432</v>
      </c>
      <c r="Z34" s="380">
        <f t="shared" si="22"/>
        <v>6.2229927898023529</v>
      </c>
      <c r="AA34" s="381">
        <f t="shared" si="13"/>
        <v>6.5353032908648441</v>
      </c>
      <c r="AB34" s="193">
        <f t="shared" si="14"/>
        <v>47503</v>
      </c>
      <c r="AC34" s="119">
        <f>IF(OR(t&lt;Tnet,NoTnet),'2029'!Resal_s+('2029'!Salim-'2029'!Resal_s)*(1-EXP(('2029'!Tnet_s-t)/'2029'!Tau_j)),Resal_s+(Salim-Resal_s)*(1-EXP((Tnet_s-t)/Tau_j)))*Salcycl</f>
        <v>4.7788218413527053E-2</v>
      </c>
      <c r="AD34" s="227">
        <f>(INDEX(Models!$BJ34:$BT34,,AH34)*(1-AF34)+INDEX(Models!$BJ34:$BT34,,AH34+1)*AF34-ERP_i)*AE34*Ramure*Pc/MaxiM</f>
        <v>2.2257612721512596E-2</v>
      </c>
      <c r="AE34" s="301">
        <f t="shared" si="15"/>
        <v>0.5</v>
      </c>
      <c r="AF34" s="173">
        <f t="shared" si="23"/>
        <v>0.99464009871888104</v>
      </c>
      <c r="AG34" s="802">
        <f t="shared" si="24"/>
        <v>3</v>
      </c>
      <c r="AH34" s="172">
        <f t="shared" si="16"/>
        <v>9</v>
      </c>
      <c r="AI34" s="221">
        <f t="shared" si="17"/>
        <v>3.994640098718881</v>
      </c>
      <c r="AJ34" s="261" t="b">
        <f t="shared" si="18"/>
        <v>0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47504</v>
      </c>
      <c r="B35" s="406">
        <f>'2029'!Wh/'2029'!Env_an*'2030'!Env_an</f>
        <v>17.3570052461607</v>
      </c>
      <c r="C35" s="832"/>
      <c r="D35" s="388">
        <f t="shared" si="0"/>
        <v>18.08020223969427</v>
      </c>
      <c r="E35" s="380">
        <f t="shared" si="1"/>
        <v>18.397642438417769</v>
      </c>
      <c r="F35" s="380">
        <f t="shared" si="2"/>
        <v>18.433983231173308</v>
      </c>
      <c r="G35" s="110">
        <f t="shared" si="21"/>
        <v>0.81672007946786684</v>
      </c>
      <c r="H35" s="409" t="b">
        <f>Wh_hp&gt;='2029'!Maxi_hp</f>
        <v>0</v>
      </c>
      <c r="I35" s="385">
        <f>IF(H35,Wh_hp,'2029'!Maxi_hp)</f>
        <v>18.44683212449177</v>
      </c>
      <c r="J35" s="85">
        <f>IF(H35,An,'2029'!An_max)</f>
        <v>2022</v>
      </c>
      <c r="K35" s="193">
        <f t="shared" si="3"/>
        <v>47504</v>
      </c>
      <c r="L35" s="143">
        <f>IF(t&lt;Tvie,1-EXP((T0-t)*PertePVj)+'2029'!Pspv,1-EXP((T0-t)*PertePVj)+Pspv)</f>
        <v>3.9999386287052907E-2</v>
      </c>
      <c r="M35" s="836"/>
      <c r="N35" s="836"/>
      <c r="O35" s="48">
        <f>IF(t&lt;Tnet,'2029'!Resal+('2029'!Salim-'2029'!Resal)*(1-EXP(('2029'!Tnet-t)/('2029'!Tau_j))),Resal+(Salim-Resal)*(1-EXP((Tnet-t)/(Tau_j))))*Salcycl</f>
        <v>1.7254395490403848E-2</v>
      </c>
      <c r="P35" s="165">
        <f>(INDEX(Models!$BJ35:$BT35,,T35)*(1-R35)+INDEX(Models!$BJ35:$BT35,,T35+1)*R35-ERP_i)*Q35*Ramure*Pc/MaxiM</f>
        <v>2.6677118739299147E-3</v>
      </c>
      <c r="Q35" s="301">
        <f t="shared" si="4"/>
        <v>0.5</v>
      </c>
      <c r="R35" s="173">
        <f t="shared" si="5"/>
        <v>0.46971610158214022</v>
      </c>
      <c r="S35" s="802">
        <f t="shared" si="6"/>
        <v>0</v>
      </c>
      <c r="T35" s="172">
        <f t="shared" si="7"/>
        <v>6</v>
      </c>
      <c r="U35" s="247">
        <f t="shared" si="8"/>
        <v>0.46971610158214022</v>
      </c>
      <c r="V35" s="378">
        <f t="shared" si="9"/>
        <v>21.237258586142588</v>
      </c>
      <c r="W35" s="397">
        <f t="shared" si="10"/>
        <v>17.3570052461607</v>
      </c>
      <c r="X35" s="153">
        <f t="shared" si="11"/>
        <v>47504</v>
      </c>
      <c r="Y35" s="380">
        <f t="shared" si="12"/>
        <v>16.57396694451436</v>
      </c>
      <c r="Z35" s="380">
        <f t="shared" si="22"/>
        <v>17.264537863587446</v>
      </c>
      <c r="AA35" s="381">
        <f t="shared" si="13"/>
        <v>18.131532789816717</v>
      </c>
      <c r="AB35" s="193">
        <f t="shared" si="14"/>
        <v>47504</v>
      </c>
      <c r="AC35" s="119">
        <f>IF(OR(t&lt;Tnet,NoTnet),'2029'!Resal_s+('2029'!Salim-'2029'!Resal_s)*(1-EXP(('2029'!Tnet_s-t)/'2029'!Tau_j)),Resal_s+(Salim-Resal_s)*(1-EXP((Tnet_s-t)/Tau_j)))*Salcycl</f>
        <v>4.7816968166982908E-2</v>
      </c>
      <c r="AD35" s="227">
        <f>(INDEX(Models!$BJ35:$BT35,,AH35)*(1-AF35)+INDEX(Models!$BJ35:$BT35,,AH35+1)*AF35-ERP_i)*AE35*Ramure*Pc/MaxiM</f>
        <v>2.220233991894336E-2</v>
      </c>
      <c r="AE35" s="301">
        <f t="shared" si="15"/>
        <v>0.5</v>
      </c>
      <c r="AF35" s="173">
        <f t="shared" si="23"/>
        <v>0.99470366795611742</v>
      </c>
      <c r="AG35" s="802">
        <f t="shared" si="24"/>
        <v>3</v>
      </c>
      <c r="AH35" s="172">
        <f t="shared" si="16"/>
        <v>9</v>
      </c>
      <c r="AI35" s="221">
        <f t="shared" si="17"/>
        <v>3.9947036679561174</v>
      </c>
      <c r="AJ35" s="261" t="b">
        <f t="shared" si="18"/>
        <v>0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47505</v>
      </c>
      <c r="B36" s="406">
        <f>'2029'!Wh/'2029'!Env_an*'2030'!Env_an</f>
        <v>21.405071832373711</v>
      </c>
      <c r="C36" s="832"/>
      <c r="D36" s="388">
        <f t="shared" si="0"/>
        <v>22.297240801810197</v>
      </c>
      <c r="E36" s="380">
        <f t="shared" si="1"/>
        <v>22.690038525306239</v>
      </c>
      <c r="F36" s="380">
        <f t="shared" si="2"/>
        <v>22.750155551271934</v>
      </c>
      <c r="G36" s="110">
        <f t="shared" si="21"/>
        <v>0.99445102532599505</v>
      </c>
      <c r="H36" s="409" t="b">
        <f>Wh_hp&gt;='2029'!Maxi_hp</f>
        <v>0</v>
      </c>
      <c r="I36" s="385">
        <f>IF(H36,Wh_hp,'2029'!Maxi_hp)</f>
        <v>22.750634528837967</v>
      </c>
      <c r="J36" s="85">
        <f>IF(H36,An,'2029'!An_max)</f>
        <v>2022</v>
      </c>
      <c r="K36" s="193">
        <f t="shared" si="3"/>
        <v>47505</v>
      </c>
      <c r="L36" s="143">
        <f>IF(t&lt;Tvie,1-EXP((T0-t)*PertePVj)+'2029'!Pspv,1-EXP((T0-t)*PertePVj)+Pspv)</f>
        <v>4.001252788928289E-2</v>
      </c>
      <c r="M36" s="836"/>
      <c r="N36" s="836"/>
      <c r="O36" s="48">
        <f>IF(t&lt;Tnet,'2029'!Resal+('2029'!Salim-'2029'!Resal)*(1-EXP(('2029'!Tnet-t)/('2029'!Tau_j))),Resal+(Salim-Resal)*(1-EXP((Tnet-t)/(Tau_j))))*Salcycl</f>
        <v>1.7311461285442746E-2</v>
      </c>
      <c r="P36" s="165">
        <f>(INDEX(Models!$BJ36:$BT36,,T36)*(1-R36)+INDEX(Models!$BJ36:$BT36,,T36+1)*R36-ERP_i)*Q36*Ramure*Pc/MaxiM</f>
        <v>2.6635227930172354E-3</v>
      </c>
      <c r="Q36" s="301">
        <f t="shared" si="4"/>
        <v>0.5</v>
      </c>
      <c r="R36" s="173">
        <f t="shared" si="5"/>
        <v>0.46978232046092228</v>
      </c>
      <c r="S36" s="802">
        <f t="shared" si="6"/>
        <v>0</v>
      </c>
      <c r="T36" s="172">
        <f t="shared" si="7"/>
        <v>6</v>
      </c>
      <c r="U36" s="247">
        <f t="shared" si="8"/>
        <v>0.46978232046092228</v>
      </c>
      <c r="V36" s="378">
        <f t="shared" si="9"/>
        <v>21.524056846697711</v>
      </c>
      <c r="W36" s="397">
        <f t="shared" si="10"/>
        <v>21.405071832373711</v>
      </c>
      <c r="X36" s="153">
        <f t="shared" si="11"/>
        <v>47505</v>
      </c>
      <c r="Y36" s="380">
        <f t="shared" si="12"/>
        <v>20.337865146614547</v>
      </c>
      <c r="Z36" s="380">
        <f t="shared" si="22"/>
        <v>21.185552663409073</v>
      </c>
      <c r="AA36" s="381">
        <f t="shared" si="13"/>
        <v>22.250126847107143</v>
      </c>
      <c r="AB36" s="193">
        <f t="shared" si="14"/>
        <v>47505</v>
      </c>
      <c r="AC36" s="119">
        <f>IF(OR(t&lt;Tnet,NoTnet),'2029'!Resal_s+('2029'!Salim-'2029'!Resal_s)*(1-EXP(('2029'!Tnet_s-t)/'2029'!Tau_j)),Resal_s+(Salim-Resal_s)*(1-EXP((Tnet_s-t)/Tau_j)))*Salcycl</f>
        <v>4.7845757959644297E-2</v>
      </c>
      <c r="AD36" s="227">
        <f>(INDEX(Models!$BJ36:$BT36,,AH36)*(1-AF36)+INDEX(Models!$BJ36:$BT36,,AH36+1)*AF36-ERP_i)*AE36*Ramure*Pc/MaxiM</f>
        <v>2.2154087453790747E-2</v>
      </c>
      <c r="AE36" s="301">
        <f t="shared" si="15"/>
        <v>0.5</v>
      </c>
      <c r="AF36" s="173">
        <f t="shared" si="23"/>
        <v>0.99476988683489953</v>
      </c>
      <c r="AG36" s="802">
        <f t="shared" si="24"/>
        <v>3</v>
      </c>
      <c r="AH36" s="172">
        <f t="shared" si="16"/>
        <v>9</v>
      </c>
      <c r="AI36" s="221">
        <f t="shared" si="17"/>
        <v>3.9947698868348995</v>
      </c>
      <c r="AJ36" s="261" t="b">
        <f t="shared" si="18"/>
        <v>0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47506</v>
      </c>
      <c r="B37" s="406">
        <f>'2029'!Wh/'2029'!Env_an*'2030'!Env_an</f>
        <v>21.475449696873479</v>
      </c>
      <c r="C37" s="832"/>
      <c r="D37" s="388">
        <f t="shared" si="0"/>
        <v>22.370858272297472</v>
      </c>
      <c r="E37" s="380">
        <f t="shared" si="1"/>
        <v>22.766274277645579</v>
      </c>
      <c r="F37" s="380">
        <f t="shared" si="2"/>
        <v>22.825547117360554</v>
      </c>
      <c r="G37" s="110">
        <f t="shared" si="21"/>
        <v>0.98413738122265715</v>
      </c>
      <c r="H37" s="409" t="b">
        <f>Wh_hp&gt;='2029'!Maxi_hp</f>
        <v>0</v>
      </c>
      <c r="I37" s="385">
        <f>IF(H37,Wh_hp,'2029'!Maxi_hp)</f>
        <v>22.826917337644495</v>
      </c>
      <c r="J37" s="85">
        <f>IF(H37,An,'2029'!An_max)</f>
        <v>2022</v>
      </c>
      <c r="K37" s="193">
        <f t="shared" si="3"/>
        <v>47506</v>
      </c>
      <c r="L37" s="143">
        <f>IF(t&lt;Tvie,1-EXP((T0-t)*PertePVj)+'2029'!Pspv,1-EXP((T0-t)*PertePVj)+Pspv)</f>
        <v>4.0025669311615331E-2</v>
      </c>
      <c r="M37" s="836"/>
      <c r="N37" s="836"/>
      <c r="O37" s="48">
        <f>IF(t&lt;Tnet,'2029'!Resal+('2029'!Salim-'2029'!Resal)*(1-EXP(('2029'!Tnet-t)/('2029'!Tau_j))),Resal+(Salim-Resal)*(1-EXP((Tnet-t)/(Tau_j))))*Salcycl</f>
        <v>1.7368498706719422E-2</v>
      </c>
      <c r="P37" s="165">
        <f>(INDEX(Models!$BJ37:$BT37,,T37)*(1-R37)+INDEX(Models!$BJ37:$BT37,,T37+1)*R37-ERP_i)*Q37*Ramure*Pc/MaxiM</f>
        <v>2.656756107579939E-3</v>
      </c>
      <c r="Q37" s="301">
        <f t="shared" si="4"/>
        <v>0.5</v>
      </c>
      <c r="R37" s="173">
        <f t="shared" si="5"/>
        <v>0.46985129867169961</v>
      </c>
      <c r="S37" s="802">
        <f t="shared" si="6"/>
        <v>0</v>
      </c>
      <c r="T37" s="172">
        <f t="shared" si="7"/>
        <v>6</v>
      </c>
      <c r="U37" s="247">
        <f t="shared" si="8"/>
        <v>0.46985129867169961</v>
      </c>
      <c r="V37" s="378">
        <f t="shared" si="9"/>
        <v>21.820285114244626</v>
      </c>
      <c r="W37" s="397">
        <f t="shared" si="10"/>
        <v>21.475449696873479</v>
      </c>
      <c r="X37" s="153">
        <f t="shared" si="11"/>
        <v>47506</v>
      </c>
      <c r="Y37" s="380">
        <f t="shared" si="12"/>
        <v>20.412033179120407</v>
      </c>
      <c r="Z37" s="380">
        <f t="shared" si="22"/>
        <v>21.263103112854292</v>
      </c>
      <c r="AA37" s="381">
        <f t="shared" si="13"/>
        <v>22.332250447279371</v>
      </c>
      <c r="AB37" s="193">
        <f t="shared" si="14"/>
        <v>47506</v>
      </c>
      <c r="AC37" s="119">
        <f>IF(OR(t&lt;Tnet,NoTnet),'2029'!Resal_s+('2029'!Salim-'2029'!Resal_s)*(1-EXP(('2029'!Tnet_s-t)/'2029'!Tau_j)),Resal_s+(Salim-Resal_s)*(1-EXP((Tnet_s-t)/Tau_j)))*Salcycl</f>
        <v>4.787459002168435E-2</v>
      </c>
      <c r="AD37" s="227">
        <f>(INDEX(Models!$BJ37:$BT37,,AH37)*(1-AF37)+INDEX(Models!$BJ37:$BT37,,AH37+1)*AF37-ERP_i)*AE37*Ramure*Pc/MaxiM</f>
        <v>2.2110783748327076E-2</v>
      </c>
      <c r="AE37" s="301">
        <f t="shared" si="15"/>
        <v>0.5</v>
      </c>
      <c r="AF37" s="173">
        <f t="shared" si="23"/>
        <v>0.99483886504567653</v>
      </c>
      <c r="AG37" s="802">
        <f t="shared" si="24"/>
        <v>3</v>
      </c>
      <c r="AH37" s="172">
        <f t="shared" si="16"/>
        <v>9</v>
      </c>
      <c r="AI37" s="221">
        <f t="shared" si="17"/>
        <v>3.9948388650456765</v>
      </c>
      <c r="AJ37" s="261" t="b">
        <f t="shared" si="18"/>
        <v>0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47507</v>
      </c>
      <c r="B38" s="406">
        <f>'2029'!Wh/'2029'!Env_an*'2030'!Env_an</f>
        <v>22.007669193104842</v>
      </c>
      <c r="C38" s="832"/>
      <c r="D38" s="388">
        <f t="shared" si="0"/>
        <v>22.925582237139007</v>
      </c>
      <c r="E38" s="380">
        <f t="shared" si="1"/>
        <v>23.332156941606755</v>
      </c>
      <c r="F38" s="380">
        <f t="shared" si="2"/>
        <v>23.393355078892881</v>
      </c>
      <c r="G38" s="110">
        <f t="shared" si="21"/>
        <v>0.99457053722979938</v>
      </c>
      <c r="H38" s="409" t="b">
        <f>Wh_hp&gt;='2029'!Maxi_hp</f>
        <v>0</v>
      </c>
      <c r="I38" s="385">
        <f>IF(H38,Wh_hp,'2029'!Maxi_hp)</f>
        <v>23.393832011186525</v>
      </c>
      <c r="J38" s="85">
        <f>IF(H38,An,'2029'!An_max)</f>
        <v>2022</v>
      </c>
      <c r="K38" s="193">
        <f t="shared" si="3"/>
        <v>47507</v>
      </c>
      <c r="L38" s="143">
        <f>IF(t&lt;Tvie,1-EXP((T0-t)*PertePVj)+'2029'!Pspv,1-EXP((T0-t)*PertePVj)+Pspv)</f>
        <v>4.0038810554052673E-2</v>
      </c>
      <c r="M38" s="836"/>
      <c r="N38" s="836"/>
      <c r="O38" s="48">
        <f>IF(t&lt;Tnet,'2029'!Resal+('2029'!Salim-'2029'!Resal)*(1-EXP(('2029'!Tnet-t)/('2029'!Tau_j))),Resal+(Salim-Resal)*(1-EXP((Tnet-t)/(Tau_j))))*Salcycl</f>
        <v>1.7425508729659204E-2</v>
      </c>
      <c r="P38" s="165">
        <f>(INDEX(Models!$BJ38:$BT38,,T38)*(1-R38)+INDEX(Models!$BJ38:$BT38,,T38+1)*R38-ERP_i)*Q38*Ramure*Pc/MaxiM</f>
        <v>2.6364204460142203E-3</v>
      </c>
      <c r="Q38" s="301">
        <f t="shared" si="4"/>
        <v>0.5</v>
      </c>
      <c r="R38" s="173">
        <f t="shared" si="5"/>
        <v>0.46992315038192906</v>
      </c>
      <c r="S38" s="802">
        <f t="shared" si="6"/>
        <v>0</v>
      </c>
      <c r="T38" s="172">
        <f t="shared" si="7"/>
        <v>6</v>
      </c>
      <c r="U38" s="247">
        <f t="shared" si="8"/>
        <v>0.46992315038192906</v>
      </c>
      <c r="V38" s="378">
        <f t="shared" si="9"/>
        <v>22.127359338461254</v>
      </c>
      <c r="W38" s="397">
        <f t="shared" si="10"/>
        <v>22.007669193104842</v>
      </c>
      <c r="X38" s="153">
        <f t="shared" si="11"/>
        <v>47507</v>
      </c>
      <c r="Y38" s="380">
        <f t="shared" si="12"/>
        <v>20.913885133512544</v>
      </c>
      <c r="Z38" s="380">
        <f t="shared" si="22"/>
        <v>21.78617777827376</v>
      </c>
      <c r="AA38" s="381">
        <f t="shared" si="13"/>
        <v>22.882320236035753</v>
      </c>
      <c r="AB38" s="193">
        <f t="shared" si="14"/>
        <v>47507</v>
      </c>
      <c r="AC38" s="119">
        <f>IF(OR(t&lt;Tnet,NoTnet),'2029'!Resal_s+('2029'!Salim-'2029'!Resal_s)*(1-EXP(('2029'!Tnet_s-t)/'2029'!Tau_j)),Resal_s+(Salim-Resal_s)*(1-EXP((Tnet_s-t)/Tau_j)))*Salcycl</f>
        <v>4.7903466364208835E-2</v>
      </c>
      <c r="AD38" s="227">
        <f>(INDEX(Models!$BJ38:$BT38,,AH38)*(1-AF38)+INDEX(Models!$BJ38:$BT38,,AH38+1)*AF38-ERP_i)*AE38*Ramure*Pc/MaxiM</f>
        <v>2.2015420208542771E-2</v>
      </c>
      <c r="AE38" s="301">
        <f t="shared" si="15"/>
        <v>0.5</v>
      </c>
      <c r="AF38" s="173">
        <f t="shared" si="23"/>
        <v>0.99491071675590614</v>
      </c>
      <c r="AG38" s="802">
        <f t="shared" si="24"/>
        <v>3</v>
      </c>
      <c r="AH38" s="172">
        <f t="shared" si="16"/>
        <v>9</v>
      </c>
      <c r="AI38" s="221">
        <f t="shared" si="17"/>
        <v>3.9949107167559061</v>
      </c>
      <c r="AJ38" s="261" t="b">
        <f t="shared" si="18"/>
        <v>0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47508</v>
      </c>
      <c r="B39" s="406">
        <f>'2029'!Wh/'2029'!Env_an*'2030'!Env_an</f>
        <v>20.609801216341953</v>
      </c>
      <c r="C39" s="832"/>
      <c r="D39" s="388">
        <f t="shared" si="0"/>
        <v>21.469704793972785</v>
      </c>
      <c r="E39" s="380">
        <f t="shared" si="1"/>
        <v>21.851727449357394</v>
      </c>
      <c r="F39" s="380">
        <f t="shared" si="2"/>
        <v>21.902047853769957</v>
      </c>
      <c r="G39" s="110">
        <f t="shared" si="21"/>
        <v>0.91798098085978541</v>
      </c>
      <c r="H39" s="409" t="b">
        <f>Wh_hp&gt;='2029'!Maxi_hp</f>
        <v>0</v>
      </c>
      <c r="I39" s="385">
        <f>IF(H39,Wh_hp,'2029'!Maxi_hp)</f>
        <v>21.908704752489474</v>
      </c>
      <c r="J39" s="85">
        <f>IF(H39,An,'2029'!An_max)</f>
        <v>2022</v>
      </c>
      <c r="K39" s="193">
        <f t="shared" si="3"/>
        <v>47508</v>
      </c>
      <c r="L39" s="143">
        <f>IF(t&lt;Tvie,1-EXP((T0-t)*PertePVj)+'2029'!Pspv,1-EXP((T0-t)*PertePVj)+Pspv)</f>
        <v>4.0051951616597581E-2</v>
      </c>
      <c r="M39" s="836"/>
      <c r="N39" s="836"/>
      <c r="O39" s="48">
        <f>IF(t&lt;Tnet,'2029'!Resal+('2029'!Salim-'2029'!Resal)*(1-EXP(('2029'!Tnet-t)/('2029'!Tau_j))),Resal+(Salim-Resal)*(1-EXP((Tnet-t)/(Tau_j))))*Salcycl</f>
        <v>1.7482492231791207E-2</v>
      </c>
      <c r="P39" s="165">
        <f>(INDEX(Models!$BJ39:$BT39,,T39)*(1-R39)+INDEX(Models!$BJ39:$BT39,,T39+1)*R39-ERP_i)*Q39*Ramure*Pc/MaxiM</f>
        <v>2.6012728342576811E-3</v>
      </c>
      <c r="Q39" s="301">
        <f t="shared" si="4"/>
        <v>0.5</v>
      </c>
      <c r="R39" s="173">
        <f t="shared" si="5"/>
        <v>0.46999799441333728</v>
      </c>
      <c r="S39" s="802">
        <f t="shared" si="6"/>
        <v>0</v>
      </c>
      <c r="T39" s="172">
        <f t="shared" si="7"/>
        <v>6</v>
      </c>
      <c r="U39" s="247">
        <f t="shared" si="8"/>
        <v>0.46999799441333728</v>
      </c>
      <c r="V39" s="378">
        <f t="shared" si="9"/>
        <v>22.444393680175821</v>
      </c>
      <c r="W39" s="397">
        <f t="shared" si="10"/>
        <v>20.609801216341953</v>
      </c>
      <c r="X39" s="153">
        <f t="shared" si="11"/>
        <v>47508</v>
      </c>
      <c r="Y39" s="380">
        <f t="shared" si="12"/>
        <v>19.630679001148643</v>
      </c>
      <c r="Z39" s="380">
        <f t="shared" si="22"/>
        <v>20.449730622618201</v>
      </c>
      <c r="AA39" s="381">
        <f t="shared" si="13"/>
        <v>21.479284013178127</v>
      </c>
      <c r="AB39" s="193">
        <f t="shared" si="14"/>
        <v>47508</v>
      </c>
      <c r="AC39" s="119">
        <f>IF(OR(t&lt;Tnet,NoTnet),'2029'!Resal_s+('2029'!Salim-'2029'!Resal_s)*(1-EXP(('2029'!Tnet_s-t)/'2029'!Tau_j)),Resal_s+(Salim-Resal_s)*(1-EXP((Tnet_s-t)/Tau_j)))*Salcycl</f>
        <v>4.7932388711293517E-2</v>
      </c>
      <c r="AD39" s="227">
        <f>(INDEX(Models!$BJ39:$BT39,,AH39)*(1-AF39)+INDEX(Models!$BJ39:$BT39,,AH39+1)*AF39-ERP_i)*AE39*Ramure*Pc/MaxiM</f>
        <v>2.1854436717592074E-2</v>
      </c>
      <c r="AE39" s="301">
        <f t="shared" si="15"/>
        <v>0.5</v>
      </c>
      <c r="AF39" s="173">
        <f t="shared" si="23"/>
        <v>0.99498556078731459</v>
      </c>
      <c r="AG39" s="802">
        <f t="shared" si="24"/>
        <v>3</v>
      </c>
      <c r="AH39" s="172">
        <f t="shared" si="16"/>
        <v>9</v>
      </c>
      <c r="AI39" s="221">
        <f t="shared" si="17"/>
        <v>3.9949855607873146</v>
      </c>
      <c r="AJ39" s="261" t="b">
        <f t="shared" si="18"/>
        <v>0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47509</v>
      </c>
      <c r="B40" s="406">
        <f>'2029'!Wh/'2029'!Env_an*'2030'!Env_an</f>
        <v>22.177452563875441</v>
      </c>
      <c r="C40" s="832"/>
      <c r="D40" s="388">
        <f t="shared" si="0"/>
        <v>23.103079584443769</v>
      </c>
      <c r="E40" s="380">
        <f t="shared" si="1"/>
        <v>23.515529029356088</v>
      </c>
      <c r="F40" s="380">
        <f t="shared" si="2"/>
        <v>23.573452151285458</v>
      </c>
      <c r="G40" s="110">
        <f t="shared" si="21"/>
        <v>0.97386450192438068</v>
      </c>
      <c r="H40" s="409" t="b">
        <f>Wh_hp&gt;='2029'!Maxi_hp</f>
        <v>0</v>
      </c>
      <c r="I40" s="385">
        <f>IF(H40,Wh_hp,'2029'!Maxi_hp)</f>
        <v>23.575691488486939</v>
      </c>
      <c r="J40" s="85">
        <f>IF(H40,An,'2029'!An_max)</f>
        <v>2022</v>
      </c>
      <c r="K40" s="193">
        <f t="shared" si="3"/>
        <v>47509</v>
      </c>
      <c r="L40" s="143">
        <f>IF(t&lt;Tvie,1-EXP((T0-t)*PertePVj)+'2029'!Pspv,1-EXP((T0-t)*PertePVj)+Pspv)</f>
        <v>4.0065092499252275E-2</v>
      </c>
      <c r="M40" s="836"/>
      <c r="N40" s="836"/>
      <c r="O40" s="48">
        <f>IF(t&lt;Tnet,'2029'!Resal+('2029'!Salim-'2029'!Resal)*(1-EXP(('2029'!Tnet-t)/('2029'!Tau_j))),Resal+(Salim-Resal)*(1-EXP((Tnet-t)/(Tau_j))))*Salcycl</f>
        <v>1.7539449969313045E-2</v>
      </c>
      <c r="P40" s="165">
        <f>(INDEX(Models!$BJ40:$BT40,,T40)*(1-R40)+INDEX(Models!$BJ40:$BT40,,T40+1)*R40-ERP_i)*Q40*Ramure*Pc/MaxiM</f>
        <v>2.5520812381658836E-3</v>
      </c>
      <c r="Q40" s="301">
        <f t="shared" si="4"/>
        <v>0.5</v>
      </c>
      <c r="R40" s="173">
        <f t="shared" si="5"/>
        <v>0.47007595442572997</v>
      </c>
      <c r="S40" s="802">
        <f t="shared" si="6"/>
        <v>0</v>
      </c>
      <c r="T40" s="172">
        <f t="shared" si="7"/>
        <v>6</v>
      </c>
      <c r="U40" s="247">
        <f t="shared" si="8"/>
        <v>0.47007595442572997</v>
      </c>
      <c r="V40" s="378">
        <f t="shared" si="9"/>
        <v>22.770458967484309</v>
      </c>
      <c r="W40" s="397">
        <f t="shared" si="10"/>
        <v>22.177452563875441</v>
      </c>
      <c r="X40" s="153">
        <f t="shared" si="11"/>
        <v>47509</v>
      </c>
      <c r="Y40" s="380">
        <f t="shared" si="12"/>
        <v>21.094974916917909</v>
      </c>
      <c r="Z40" s="380">
        <f t="shared" si="22"/>
        <v>21.975422241743487</v>
      </c>
      <c r="AA40" s="381">
        <f t="shared" si="13"/>
        <v>23.082489809163739</v>
      </c>
      <c r="AB40" s="193">
        <f t="shared" si="14"/>
        <v>47509</v>
      </c>
      <c r="AC40" s="119">
        <f>IF(OR(t&lt;Tnet,NoTnet),'2029'!Resal_s+('2029'!Salim-'2029'!Resal_s)*(1-EXP(('2029'!Tnet_s-t)/'2029'!Tau_j)),Resal_s+(Salim-Resal_s)*(1-EXP((Tnet_s-t)/Tau_j)))*Salcycl</f>
        <v>4.7961358439796528E-2</v>
      </c>
      <c r="AD40" s="227">
        <f>(INDEX(Models!$BJ40:$BT40,,AH40)*(1-AF40)+INDEX(Models!$BJ40:$BT40,,AH40+1)*AF40-ERP_i)*AE40*Ramure*Pc/MaxiM</f>
        <v>2.1631703199676108E-2</v>
      </c>
      <c r="AE40" s="301">
        <f t="shared" si="15"/>
        <v>0.5</v>
      </c>
      <c r="AF40" s="173">
        <f t="shared" si="23"/>
        <v>0.99506352079970695</v>
      </c>
      <c r="AG40" s="802">
        <f t="shared" si="24"/>
        <v>3</v>
      </c>
      <c r="AH40" s="172">
        <f t="shared" si="16"/>
        <v>9</v>
      </c>
      <c r="AI40" s="221">
        <f t="shared" si="17"/>
        <v>3.9950635207997069</v>
      </c>
      <c r="AJ40" s="261" t="b">
        <f t="shared" si="18"/>
        <v>0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47510</v>
      </c>
      <c r="B41" s="406">
        <f>'2029'!Wh/'2029'!Env_an*'2030'!Env_an</f>
        <v>18.564559235969277</v>
      </c>
      <c r="C41" s="832"/>
      <c r="D41" s="388">
        <f t="shared" si="0"/>
        <v>19.339658582693918</v>
      </c>
      <c r="E41" s="380">
        <f t="shared" si="1"/>
        <v>19.686062061760556</v>
      </c>
      <c r="F41" s="380">
        <f t="shared" si="2"/>
        <v>19.721377699198143</v>
      </c>
      <c r="G41" s="110">
        <f t="shared" si="21"/>
        <v>0.8029371073042938</v>
      </c>
      <c r="H41" s="409" t="b">
        <f>Wh_hp&gt;='2029'!Maxi_hp</f>
        <v>0</v>
      </c>
      <c r="I41" s="385">
        <f>IF(H41,Wh_hp,'2029'!Maxi_hp)</f>
        <v>19.735165141649773</v>
      </c>
      <c r="J41" s="85">
        <f>IF(H41,An,'2029'!An_max)</f>
        <v>2022</v>
      </c>
      <c r="K41" s="193">
        <f t="shared" si="3"/>
        <v>47510</v>
      </c>
      <c r="L41" s="143">
        <f>IF(t&lt;Tvie,1-EXP((T0-t)*PertePVj)+'2029'!Pspv,1-EXP((T0-t)*PertePVj)+Pspv)</f>
        <v>4.0078233202019309E-2</v>
      </c>
      <c r="M41" s="836"/>
      <c r="N41" s="836"/>
      <c r="O41" s="48">
        <f>IF(t&lt;Tnet,'2029'!Resal+('2029'!Salim-'2029'!Resal)*(1-EXP(('2029'!Tnet-t)/('2029'!Tau_j))),Resal+(Salim-Resal)*(1-EXP((Tnet-t)/(Tau_j))))*Salcycl</f>
        <v>1.7596382556342455E-2</v>
      </c>
      <c r="P41" s="165">
        <f>(INDEX(Models!$BJ41:$BT41,,T41)*(1-R41)+INDEX(Models!$BJ41:$BT41,,T41+1)*R41-ERP_i)*Q41*Ramure*Pc/MaxiM</f>
        <v>2.4895947704371992E-3</v>
      </c>
      <c r="Q41" s="301">
        <f t="shared" si="4"/>
        <v>0.5</v>
      </c>
      <c r="R41" s="173">
        <f t="shared" si="5"/>
        <v>0.47015715910755174</v>
      </c>
      <c r="S41" s="802">
        <f t="shared" si="6"/>
        <v>0</v>
      </c>
      <c r="T41" s="172">
        <f t="shared" si="7"/>
        <v>6</v>
      </c>
      <c r="U41" s="247">
        <f t="shared" si="8"/>
        <v>0.47015715910755174</v>
      </c>
      <c r="V41" s="378">
        <f t="shared" si="9"/>
        <v>23.104626317758381</v>
      </c>
      <c r="W41" s="397">
        <f t="shared" si="10"/>
        <v>18.564559235969277</v>
      </c>
      <c r="X41" s="153">
        <f t="shared" si="11"/>
        <v>47510</v>
      </c>
      <c r="Y41" s="380">
        <f t="shared" si="12"/>
        <v>17.745695723193418</v>
      </c>
      <c r="Z41" s="380">
        <f t="shared" si="22"/>
        <v>18.486606239160391</v>
      </c>
      <c r="AA41" s="381">
        <f t="shared" si="13"/>
        <v>19.41850773706274</v>
      </c>
      <c r="AB41" s="193">
        <f t="shared" si="14"/>
        <v>47510</v>
      </c>
      <c r="AC41" s="119">
        <f>IF(OR(t&lt;Tnet,NoTnet),'2029'!Resal_s+('2029'!Salim-'2029'!Resal_s)*(1-EXP(('2029'!Tnet_s-t)/'2029'!Tau_j)),Resal_s+(Salim-Resal_s)*(1-EXP((Tnet_s-t)/Tau_j)))*Salcycl</f>
        <v>4.7990376527424668E-2</v>
      </c>
      <c r="AD41" s="227">
        <f>(INDEX(Models!$BJ41:$BT41,,AH41)*(1-AF41)+INDEX(Models!$BJ41:$BT41,,AH41+1)*AF41-ERP_i)*AE41*Ramure*Pc/MaxiM</f>
        <v>2.1350980148307962E-2</v>
      </c>
      <c r="AE41" s="301">
        <f t="shared" si="15"/>
        <v>0.5</v>
      </c>
      <c r="AF41" s="173">
        <f t="shared" si="23"/>
        <v>0.99514472548152888</v>
      </c>
      <c r="AG41" s="802">
        <f t="shared" si="24"/>
        <v>3</v>
      </c>
      <c r="AH41" s="172">
        <f t="shared" si="16"/>
        <v>9</v>
      </c>
      <c r="AI41" s="221">
        <f t="shared" si="17"/>
        <v>3.9951447254815289</v>
      </c>
      <c r="AJ41" s="261" t="b">
        <f t="shared" si="18"/>
        <v>0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47511</v>
      </c>
      <c r="B42" s="406">
        <f>'2029'!Wh/'2029'!Env_an*'2030'!Env_an</f>
        <v>4.4274976960884995</v>
      </c>
      <c r="C42" s="832"/>
      <c r="D42" s="388">
        <f t="shared" si="0"/>
        <v>4.6124157809366633</v>
      </c>
      <c r="E42" s="380">
        <f t="shared" si="1"/>
        <v>4.6953033344364972</v>
      </c>
      <c r="F42" s="380">
        <f t="shared" si="2"/>
        <v>4.6953033344364972</v>
      </c>
      <c r="G42" s="110">
        <f t="shared" si="21"/>
        <v>0.18838239048841657</v>
      </c>
      <c r="H42" s="409" t="b">
        <f>Wh_hp&gt;='2029'!Maxi_hp</f>
        <v>0</v>
      </c>
      <c r="I42" s="385">
        <f>IF(H42,Wh_hp,'2029'!Maxi_hp)</f>
        <v>4.7066426478923402</v>
      </c>
      <c r="J42" s="85">
        <f>IF(H42,An,'2029'!An_max)</f>
        <v>2022</v>
      </c>
      <c r="K42" s="193">
        <f t="shared" si="3"/>
        <v>47511</v>
      </c>
      <c r="L42" s="143">
        <f>IF(t&lt;Tvie,1-EXP((T0-t)*PertePVj)+'2029'!Pspv,1-EXP((T0-t)*PertePVj)+Pspv)</f>
        <v>4.0091373724901236E-2</v>
      </c>
      <c r="M42" s="836"/>
      <c r="N42" s="836"/>
      <c r="O42" s="48">
        <f>IF(t&lt;Tnet,'2029'!Resal+('2029'!Salim-'2029'!Resal)*(1-EXP(('2029'!Tnet-t)/('2029'!Tau_j))),Resal+(Salim-Resal)*(1-EXP((Tnet-t)/(Tau_j))))*Salcycl</f>
        <v>1.7653290447055062E-2</v>
      </c>
      <c r="P42" s="165">
        <f>(INDEX(Models!$BJ42:$BT42,,T42)*(1-R42)+INDEX(Models!$BJ42:$BT42,,T42+1)*R42-ERP_i)*Q42*Ramure*Pc/MaxiM</f>
        <v>2.4145367314131836E-3</v>
      </c>
      <c r="Q42" s="301">
        <f t="shared" si="4"/>
        <v>0.5</v>
      </c>
      <c r="R42" s="173">
        <f t="shared" si="5"/>
        <v>0.47024174237339766</v>
      </c>
      <c r="S42" s="802">
        <f t="shared" si="6"/>
        <v>0</v>
      </c>
      <c r="T42" s="172">
        <f t="shared" si="7"/>
        <v>6</v>
      </c>
      <c r="U42" s="247">
        <f t="shared" si="8"/>
        <v>0.47024174237339766</v>
      </c>
      <c r="V42" s="378">
        <f t="shared" si="9"/>
        <v>23.445967156599124</v>
      </c>
      <c r="W42" s="397">
        <f t="shared" si="10"/>
        <v>4.4274976960884995</v>
      </c>
      <c r="X42" s="153">
        <f t="shared" si="11"/>
        <v>47511</v>
      </c>
      <c r="Y42" s="380">
        <f t="shared" si="12"/>
        <v>4.2906355562601366</v>
      </c>
      <c r="Z42" s="380">
        <f t="shared" si="22"/>
        <v>4.4698374812088515</v>
      </c>
      <c r="AA42" s="381">
        <f t="shared" si="13"/>
        <v>4.6953033344364972</v>
      </c>
      <c r="AB42" s="193">
        <f t="shared" si="14"/>
        <v>47511</v>
      </c>
      <c r="AC42" s="119">
        <f>IF(OR(t&lt;Tnet,NoTnet),'2029'!Resal_s+('2029'!Salim-'2029'!Resal_s)*(1-EXP(('2029'!Tnet_s-t)/'2029'!Tau_j)),Resal_s+(Salim-Resal_s)*(1-EXP((Tnet_s-t)/Tau_j)))*Salcycl</f>
        <v>4.801944350943721E-2</v>
      </c>
      <c r="AD42" s="227">
        <f>(INDEX(Models!$BJ42:$BT42,,AH42)*(1-AF42)+INDEX(Models!$BJ42:$BT42,,AH42+1)*AF42-ERP_i)*AE42*Ramure*Pc/MaxiM</f>
        <v>2.101588831725883E-2</v>
      </c>
      <c r="AE42" s="301">
        <f t="shared" si="15"/>
        <v>0.5</v>
      </c>
      <c r="AF42" s="173">
        <f t="shared" si="23"/>
        <v>0.99522930874737492</v>
      </c>
      <c r="AG42" s="802">
        <f t="shared" si="24"/>
        <v>3</v>
      </c>
      <c r="AH42" s="172">
        <f t="shared" si="16"/>
        <v>9</v>
      </c>
      <c r="AI42" s="221">
        <f t="shared" si="17"/>
        <v>3.9952293087473749</v>
      </c>
      <c r="AJ42" s="261" t="b">
        <f t="shared" si="18"/>
        <v>0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47512</v>
      </c>
      <c r="B43" s="406">
        <f>'2029'!Wh/'2029'!Env_an*'2030'!Env_an</f>
        <v>6.6532523576095217</v>
      </c>
      <c r="C43" s="832"/>
      <c r="D43" s="388">
        <f t="shared" si="0"/>
        <v>6.9312258002223324</v>
      </c>
      <c r="E43" s="380">
        <f t="shared" si="1"/>
        <v>7.0561921911466516</v>
      </c>
      <c r="F43" s="380">
        <f t="shared" si="2"/>
        <v>7.0561921911466516</v>
      </c>
      <c r="G43" s="110">
        <f t="shared" si="21"/>
        <v>0.27897330817404126</v>
      </c>
      <c r="H43" s="409" t="b">
        <f>Wh_hp&gt;='2029'!Maxi_hp</f>
        <v>0</v>
      </c>
      <c r="I43" s="385">
        <f>IF(H43,Wh_hp,'2029'!Maxi_hp)</f>
        <v>7.0726171921905499</v>
      </c>
      <c r="J43" s="85">
        <f>IF(H43,An,'2029'!An_max)</f>
        <v>2022</v>
      </c>
      <c r="K43" s="193">
        <f t="shared" si="3"/>
        <v>47512</v>
      </c>
      <c r="L43" s="143">
        <f>IF(t&lt;Tvie,1-EXP((T0-t)*PertePVj)+'2029'!Pspv,1-EXP((T0-t)*PertePVj)+Pspv)</f>
        <v>4.0104514067900388E-2</v>
      </c>
      <c r="M43" s="836"/>
      <c r="N43" s="836"/>
      <c r="O43" s="48">
        <f>IF(t&lt;Tnet,'2029'!Resal+('2029'!Salim-'2029'!Resal)*(1-EXP(('2029'!Tnet-t)/('2029'!Tau_j))),Resal+(Salim-Resal)*(1-EXP((Tnet-t)/(Tau_j))))*Salcycl</f>
        <v>1.7710173920873876E-2</v>
      </c>
      <c r="P43" s="165">
        <f>(INDEX(Models!$BJ43:$BT43,,T43)*(1-R43)+INDEX(Models!$BJ43:$BT43,,T43+1)*R43-ERP_i)*Q43*Ramure*Pc/MaxiM</f>
        <v>2.3275989591101027E-3</v>
      </c>
      <c r="Q43" s="301">
        <f t="shared" si="4"/>
        <v>0.5</v>
      </c>
      <c r="R43" s="173">
        <f t="shared" si="5"/>
        <v>0.47032984356868296</v>
      </c>
      <c r="S43" s="802">
        <f t="shared" si="6"/>
        <v>0</v>
      </c>
      <c r="T43" s="172">
        <f t="shared" si="7"/>
        <v>6</v>
      </c>
      <c r="U43" s="247">
        <f t="shared" si="8"/>
        <v>0.47032984356868296</v>
      </c>
      <c r="V43" s="378">
        <f t="shared" si="9"/>
        <v>23.793553217665515</v>
      </c>
      <c r="W43" s="397">
        <f t="shared" si="10"/>
        <v>6.6532523576095217</v>
      </c>
      <c r="X43" s="153">
        <f t="shared" si="11"/>
        <v>47512</v>
      </c>
      <c r="Y43" s="380">
        <f t="shared" si="12"/>
        <v>6.4477641914383286</v>
      </c>
      <c r="Z43" s="380">
        <f t="shared" si="22"/>
        <v>6.7171523212001292</v>
      </c>
      <c r="AA43" s="381">
        <f t="shared" si="13"/>
        <v>7.0561921911466516</v>
      </c>
      <c r="AB43" s="193">
        <f t="shared" si="14"/>
        <v>47512</v>
      </c>
      <c r="AC43" s="119">
        <f>IF(OR(t&lt;Tnet,NoTnet),'2029'!Resal_s+('2029'!Salim-'2029'!Resal_s)*(1-EXP(('2029'!Tnet_s-t)/'2029'!Tau_j)),Resal_s+(Salim-Resal_s)*(1-EXP((Tnet_s-t)/Tau_j)))*Salcycl</f>
        <v>4.80485594442727E-2</v>
      </c>
      <c r="AD43" s="227">
        <f>(INDEX(Models!$BJ43:$BT43,,AH43)*(1-AF43)+INDEX(Models!$BJ43:$BT43,,AH43+1)*AF43-ERP_i)*AE43*Ramure*Pc/MaxiM</f>
        <v>2.0629884654437568E-2</v>
      </c>
      <c r="AE43" s="301">
        <f t="shared" si="15"/>
        <v>0.5</v>
      </c>
      <c r="AF43" s="173">
        <f t="shared" si="23"/>
        <v>0.99531740994266027</v>
      </c>
      <c r="AG43" s="802">
        <f t="shared" si="24"/>
        <v>3</v>
      </c>
      <c r="AH43" s="172">
        <f t="shared" si="16"/>
        <v>9</v>
      </c>
      <c r="AI43" s="221">
        <f t="shared" si="17"/>
        <v>3.9953174099426603</v>
      </c>
      <c r="AJ43" s="261" t="b">
        <f t="shared" si="18"/>
        <v>0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47513</v>
      </c>
      <c r="B44" s="406">
        <f>'2029'!Wh/'2029'!Env_an*'2030'!Env_an</f>
        <v>4.7946162297989128</v>
      </c>
      <c r="C44" s="832"/>
      <c r="D44" s="388">
        <f t="shared" si="0"/>
        <v>4.9950040762108729</v>
      </c>
      <c r="E44" s="380">
        <f t="shared" si="1"/>
        <v>5.085355760178965</v>
      </c>
      <c r="F44" s="380">
        <f t="shared" si="2"/>
        <v>5.085355760178965</v>
      </c>
      <c r="G44" s="110">
        <f t="shared" si="21"/>
        <v>0.19812128229736181</v>
      </c>
      <c r="H44" s="409" t="b">
        <f>Wh_hp&gt;='2029'!Maxi_hp</f>
        <v>0</v>
      </c>
      <c r="I44" s="385">
        <f>IF(H44,Wh_hp,'2029'!Maxi_hp)</f>
        <v>5.0966884891748485</v>
      </c>
      <c r="J44" s="85">
        <f>IF(H44,An,'2029'!An_max)</f>
        <v>2022</v>
      </c>
      <c r="K44" s="193">
        <f t="shared" si="3"/>
        <v>47513</v>
      </c>
      <c r="L44" s="143">
        <f>IF(t&lt;Tvie,1-EXP((T0-t)*PertePVj)+'2029'!Pspv,1-EXP((T0-t)*PertePVj)+Pspv)</f>
        <v>4.0117654231019317E-2</v>
      </c>
      <c r="M44" s="836"/>
      <c r="N44" s="836"/>
      <c r="O44" s="48">
        <f>IF(t&lt;Tnet,'2029'!Resal+('2029'!Salim-'2029'!Resal)*(1-EXP(('2029'!Tnet-t)/('2029'!Tau_j))),Resal+(Salim-Resal)*(1-EXP((Tnet-t)/(Tau_j))))*Salcycl</f>
        <v>1.7767033070841081E-2</v>
      </c>
      <c r="P44" s="165">
        <f>(INDEX(Models!$BJ44:$BT44,,T44)*(1-R44)+INDEX(Models!$BJ44:$BT44,,T44+1)*R44-ERP_i)*Q44*Ramure*Pc/MaxiM</f>
        <v>2.2287013956467164E-3</v>
      </c>
      <c r="Q44" s="301">
        <f t="shared" si="4"/>
        <v>0.5</v>
      </c>
      <c r="R44" s="173">
        <f t="shared" si="5"/>
        <v>0.4704216076816764</v>
      </c>
      <c r="S44" s="802">
        <f t="shared" si="6"/>
        <v>0</v>
      </c>
      <c r="T44" s="172">
        <f t="shared" si="7"/>
        <v>6</v>
      </c>
      <c r="U44" s="247">
        <f t="shared" si="8"/>
        <v>0.4704216076816764</v>
      </c>
      <c r="V44" s="378">
        <f t="shared" si="9"/>
        <v>24.146474353702857</v>
      </c>
      <c r="W44" s="397">
        <f t="shared" si="10"/>
        <v>4.7946162297989128</v>
      </c>
      <c r="X44" s="153">
        <f t="shared" si="11"/>
        <v>47513</v>
      </c>
      <c r="Y44" s="380">
        <f t="shared" si="12"/>
        <v>4.6466593448003488</v>
      </c>
      <c r="Z44" s="380">
        <f t="shared" si="22"/>
        <v>4.8408634300673778</v>
      </c>
      <c r="AA44" s="381">
        <f t="shared" si="13"/>
        <v>5.085355760178965</v>
      </c>
      <c r="AB44" s="193">
        <f t="shared" si="14"/>
        <v>47513</v>
      </c>
      <c r="AC44" s="119">
        <f>IF(OR(t&lt;Tnet,NoTnet),'2029'!Resal_s+('2029'!Salim-'2029'!Resal_s)*(1-EXP(('2029'!Tnet_s-t)/'2029'!Tau_j)),Resal_s+(Salim-Resal_s)*(1-EXP((Tnet_s-t)/Tau_j)))*Salcycl</f>
        <v>4.8077723888285684E-2</v>
      </c>
      <c r="AD44" s="227">
        <f>(INDEX(Models!$BJ44:$BT44,,AH44)*(1-AF44)+INDEX(Models!$BJ44:$BT44,,AH44+1)*AF44-ERP_i)*AE44*Ramure*Pc/MaxiM</f>
        <v>2.0149498797667434E-2</v>
      </c>
      <c r="AE44" s="301">
        <f t="shared" si="15"/>
        <v>0.5</v>
      </c>
      <c r="AF44" s="173">
        <f t="shared" si="23"/>
        <v>0.99540917405565343</v>
      </c>
      <c r="AG44" s="802">
        <f t="shared" si="24"/>
        <v>3</v>
      </c>
      <c r="AH44" s="172">
        <f t="shared" si="16"/>
        <v>9</v>
      </c>
      <c r="AI44" s="221">
        <f t="shared" si="17"/>
        <v>3.9954091740556534</v>
      </c>
      <c r="AJ44" s="261" t="b">
        <f t="shared" si="18"/>
        <v>0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47514</v>
      </c>
      <c r="B45" s="406">
        <f>'2029'!Wh/'2029'!Env_an*'2030'!Env_an</f>
        <v>11.11589073522949</v>
      </c>
      <c r="C45" s="832"/>
      <c r="D45" s="388">
        <f t="shared" si="0"/>
        <v>11.580630640327845</v>
      </c>
      <c r="E45" s="380">
        <f t="shared" si="1"/>
        <v>11.790788088417818</v>
      </c>
      <c r="F45" s="380">
        <f t="shared" si="2"/>
        <v>11.796281346849661</v>
      </c>
      <c r="G45" s="110">
        <f t="shared" si="21"/>
        <v>0.45288927982771293</v>
      </c>
      <c r="H45" s="409" t="b">
        <f>Wh_hp&gt;='2029'!Maxi_hp</f>
        <v>0</v>
      </c>
      <c r="I45" s="385">
        <f>IF(H45,Wh_hp,'2029'!Maxi_hp)</f>
        <v>11.815810990102225</v>
      </c>
      <c r="J45" s="85">
        <f>IF(H45,An,'2029'!An_max)</f>
        <v>2022</v>
      </c>
      <c r="K45" s="193">
        <f t="shared" si="3"/>
        <v>47514</v>
      </c>
      <c r="L45" s="143">
        <f>IF(t&lt;Tvie,1-EXP((T0-t)*PertePVj)+'2029'!Pspv,1-EXP((T0-t)*PertePVj)+Pspv)</f>
        <v>4.0130794214260357E-2</v>
      </c>
      <c r="M45" s="836"/>
      <c r="N45" s="836"/>
      <c r="O45" s="48">
        <f>IF(t&lt;Tnet,'2029'!Resal+('2029'!Salim-'2029'!Resal)*(1-EXP(('2029'!Tnet-t)/('2029'!Tau_j))),Resal+(Salim-Resal)*(1-EXP((Tnet-t)/(Tau_j))))*Salcycl</f>
        <v>1.7823867795267345E-2</v>
      </c>
      <c r="P45" s="165">
        <f>(INDEX(Models!$BJ45:$BT45,,T45)*(1-R45)+INDEX(Models!$BJ45:$BT45,,T45+1)*R45-ERP_i)*Q45*Ramure*Pc/MaxiM</f>
        <v>2.1216622109127116E-3</v>
      </c>
      <c r="Q45" s="301">
        <f t="shared" si="4"/>
        <v>0.5</v>
      </c>
      <c r="R45" s="173">
        <f t="shared" si="5"/>
        <v>0.47051718556310645</v>
      </c>
      <c r="S45" s="802">
        <f t="shared" si="6"/>
        <v>0</v>
      </c>
      <c r="T45" s="172">
        <f t="shared" si="7"/>
        <v>6</v>
      </c>
      <c r="U45" s="247">
        <f t="shared" si="8"/>
        <v>0.47051718556310645</v>
      </c>
      <c r="V45" s="378">
        <f t="shared" si="9"/>
        <v>24.50372509183978</v>
      </c>
      <c r="W45" s="397">
        <f t="shared" si="10"/>
        <v>11.11589073522949</v>
      </c>
      <c r="X45" s="153">
        <f t="shared" si="11"/>
        <v>47514</v>
      </c>
      <c r="Y45" s="380">
        <f t="shared" si="12"/>
        <v>10.731849841725401</v>
      </c>
      <c r="Z45" s="380">
        <f t="shared" si="22"/>
        <v>11.180533532108067</v>
      </c>
      <c r="AA45" s="381">
        <f t="shared" si="13"/>
        <v>11.745577264438241</v>
      </c>
      <c r="AB45" s="193">
        <f t="shared" si="14"/>
        <v>47514</v>
      </c>
      <c r="AC45" s="119">
        <f>IF(OR(t&lt;Tnet,NoTnet),'2029'!Resal_s+('2029'!Salim-'2029'!Resal_s)*(1-EXP(('2029'!Tnet_s-t)/'2029'!Tau_j)),Resal_s+(Salim-Resal_s)*(1-EXP((Tnet_s-t)/Tau_j)))*Salcycl</f>
        <v>4.8106935879681408E-2</v>
      </c>
      <c r="AD45" s="227">
        <f>(INDEX(Models!$BJ45:$BT45,,AH45)*(1-AF45)+INDEX(Models!$BJ45:$BT45,,AH45+1)*AF45-ERP_i)*AE45*Ramure*Pc/MaxiM</f>
        <v>1.9583447042602981E-2</v>
      </c>
      <c r="AE45" s="301">
        <f t="shared" si="15"/>
        <v>0.5</v>
      </c>
      <c r="AF45" s="173">
        <f t="shared" si="23"/>
        <v>0.99550475193708365</v>
      </c>
      <c r="AG45" s="802">
        <f t="shared" si="24"/>
        <v>3</v>
      </c>
      <c r="AH45" s="172">
        <f t="shared" si="16"/>
        <v>9</v>
      </c>
      <c r="AI45" s="221">
        <f t="shared" si="17"/>
        <v>3.9955047519370837</v>
      </c>
      <c r="AJ45" s="261" t="b">
        <f t="shared" si="18"/>
        <v>0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47515</v>
      </c>
      <c r="B46" s="406">
        <f>'2029'!Wh/'2029'!Env_an*'2030'!Env_an</f>
        <v>14.328677078012229</v>
      </c>
      <c r="C46" s="832"/>
      <c r="D46" s="388">
        <f t="shared" si="0"/>
        <v>14.927943455092308</v>
      </c>
      <c r="E46" s="380">
        <f t="shared" si="1"/>
        <v>15.199724837448692</v>
      </c>
      <c r="F46" s="380">
        <f t="shared" si="2"/>
        <v>15.211774016905736</v>
      </c>
      <c r="G46" s="110">
        <f t="shared" si="21"/>
        <v>0.57557265094385668</v>
      </c>
      <c r="H46" s="409" t="b">
        <f>Wh_hp&gt;='2029'!Maxi_hp</f>
        <v>0</v>
      </c>
      <c r="I46" s="385">
        <f>IF(H46,Wh_hp,'2029'!Maxi_hp)</f>
        <v>15.230246512611631</v>
      </c>
      <c r="J46" s="85">
        <f>IF(H46,An,'2029'!An_max)</f>
        <v>2022</v>
      </c>
      <c r="K46" s="193">
        <f t="shared" si="3"/>
        <v>47515</v>
      </c>
      <c r="L46" s="143">
        <f>IF(t&lt;Tvie,1-EXP((T0-t)*PertePVj)+'2029'!Pspv,1-EXP((T0-t)*PertePVj)+Pspv)</f>
        <v>4.0143934017626171E-2</v>
      </c>
      <c r="M46" s="836"/>
      <c r="N46" s="836"/>
      <c r="O46" s="48">
        <f>IF(t&lt;Tnet,'2029'!Resal+('2029'!Salim-'2029'!Resal)*(1-EXP(('2029'!Tnet-t)/('2029'!Tau_j))),Resal+(Salim-Resal)*(1-EXP((Tnet-t)/(Tau_j))))*Salcycl</f>
        <v>1.7880677792717431E-2</v>
      </c>
      <c r="P46" s="165">
        <f>(INDEX(Models!$BJ46:$BT46,,T46)*(1-R46)+INDEX(Models!$BJ46:$BT46,,T46+1)*R46-ERP_i)*Q46*Ramure*Pc/MaxiM</f>
        <v>2.006950869518514E-3</v>
      </c>
      <c r="Q46" s="301">
        <f t="shared" si="4"/>
        <v>0.5</v>
      </c>
      <c r="R46" s="173">
        <f t="shared" si="5"/>
        <v>0.47061673415354693</v>
      </c>
      <c r="S46" s="802">
        <f t="shared" si="6"/>
        <v>0</v>
      </c>
      <c r="T46" s="172">
        <f t="shared" si="7"/>
        <v>6</v>
      </c>
      <c r="U46" s="247">
        <f t="shared" si="8"/>
        <v>0.47061673415354693</v>
      </c>
      <c r="V46" s="378">
        <f t="shared" si="9"/>
        <v>24.864378088010263</v>
      </c>
      <c r="W46" s="397">
        <f t="shared" si="10"/>
        <v>14.328677078012229</v>
      </c>
      <c r="X46" s="153">
        <f t="shared" si="11"/>
        <v>47515</v>
      </c>
      <c r="Y46" s="380">
        <f t="shared" si="12"/>
        <v>13.794399408269356</v>
      </c>
      <c r="Z46" s="380">
        <f t="shared" si="22"/>
        <v>14.371320760630237</v>
      </c>
      <c r="AA46" s="381">
        <f t="shared" si="13"/>
        <v>15.098085113657651</v>
      </c>
      <c r="AB46" s="193">
        <f t="shared" si="14"/>
        <v>47515</v>
      </c>
      <c r="AC46" s="119">
        <f>IF(OR(t&lt;Tnet,NoTnet),'2029'!Resal_s+('2029'!Salim-'2029'!Resal_s)*(1-EXP(('2029'!Tnet_s-t)/'2029'!Tau_j)),Resal_s+(Salim-Resal_s)*(1-EXP((Tnet_s-t)/Tau_j)))*Salcycl</f>
        <v>4.8136193931638878E-2</v>
      </c>
      <c r="AD46" s="227">
        <f>(INDEX(Models!$BJ46:$BT46,,AH46)*(1-AF46)+INDEX(Models!$BJ46:$BT46,,AH46+1)*AF46-ERP_i)*AE46*Ramure*Pc/MaxiM</f>
        <v>1.8936396792975974E-2</v>
      </c>
      <c r="AE46" s="301">
        <f t="shared" si="15"/>
        <v>0.5</v>
      </c>
      <c r="AF46" s="173">
        <f t="shared" si="23"/>
        <v>0.99560430052752391</v>
      </c>
      <c r="AG46" s="802">
        <f t="shared" si="24"/>
        <v>3</v>
      </c>
      <c r="AH46" s="172">
        <f t="shared" si="16"/>
        <v>9</v>
      </c>
      <c r="AI46" s="221">
        <f t="shared" si="17"/>
        <v>3.9956043005275239</v>
      </c>
      <c r="AJ46" s="261" t="b">
        <f t="shared" si="18"/>
        <v>0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47516</v>
      </c>
      <c r="B47" s="406">
        <f>'2029'!Wh/'2029'!Env_an*'2030'!Env_an</f>
        <v>5.7780485084748952</v>
      </c>
      <c r="C47" s="832"/>
      <c r="D47" s="388">
        <f t="shared" si="0"/>
        <v>6.0197854771859927</v>
      </c>
      <c r="E47" s="380">
        <f t="shared" si="1"/>
        <v>6.1297374125280211</v>
      </c>
      <c r="F47" s="380">
        <f t="shared" si="2"/>
        <v>6.1297374125280211</v>
      </c>
      <c r="G47" s="110">
        <f t="shared" si="21"/>
        <v>0.2286059044966873</v>
      </c>
      <c r="H47" s="409" t="b">
        <f>Wh_hp&gt;='2029'!Maxi_hp</f>
        <v>0</v>
      </c>
      <c r="I47" s="385">
        <f>IF(H47,Wh_hp,'2029'!Maxi_hp)</f>
        <v>6.1412851991901132</v>
      </c>
      <c r="J47" s="85">
        <f>IF(H47,An,'2029'!An_max)</f>
        <v>2022</v>
      </c>
      <c r="K47" s="193">
        <f t="shared" si="3"/>
        <v>47516</v>
      </c>
      <c r="L47" s="143">
        <f>IF(t&lt;Tvie,1-EXP((T0-t)*PertePVj)+'2029'!Pspv,1-EXP((T0-t)*PertePVj)+Pspv)</f>
        <v>4.015707364111909E-2</v>
      </c>
      <c r="M47" s="836"/>
      <c r="N47" s="836"/>
      <c r="O47" s="48">
        <f>IF(t&lt;Tnet,'2029'!Resal+('2029'!Salim-'2029'!Resal)*(1-EXP(('2029'!Tnet-t)/('2029'!Tau_j))),Resal+(Salim-Resal)*(1-EXP((Tnet-t)/(Tau_j))))*Salcycl</f>
        <v>1.7937462560354979E-2</v>
      </c>
      <c r="P47" s="165">
        <f>(INDEX(Models!$BJ47:$BT47,,T47)*(1-R47)+INDEX(Models!$BJ47:$BT47,,T47+1)*R47-ERP_i)*Q47*Ramure*Pc/MaxiM</f>
        <v>1.8849981071624837E-3</v>
      </c>
      <c r="Q47" s="301">
        <f t="shared" si="4"/>
        <v>0.5</v>
      </c>
      <c r="R47" s="173">
        <f t="shared" si="5"/>
        <v>0.47072041671879183</v>
      </c>
      <c r="S47" s="802">
        <f t="shared" si="6"/>
        <v>0</v>
      </c>
      <c r="T47" s="172">
        <f t="shared" si="7"/>
        <v>6</v>
      </c>
      <c r="U47" s="247">
        <f t="shared" si="8"/>
        <v>0.47072041671879183</v>
      </c>
      <c r="V47" s="378">
        <f t="shared" si="9"/>
        <v>25.227506309037167</v>
      </c>
      <c r="W47" s="397">
        <f t="shared" si="10"/>
        <v>5.7780485084748952</v>
      </c>
      <c r="X47" s="153">
        <f t="shared" si="11"/>
        <v>47516</v>
      </c>
      <c r="Y47" s="380">
        <f t="shared" si="12"/>
        <v>5.6001993012493845</v>
      </c>
      <c r="Z47" s="380">
        <f t="shared" si="22"/>
        <v>5.8344955694922689</v>
      </c>
      <c r="AA47" s="381">
        <f t="shared" si="13"/>
        <v>6.1297374125280211</v>
      </c>
      <c r="AB47" s="193">
        <f t="shared" si="14"/>
        <v>47516</v>
      </c>
      <c r="AC47" s="119">
        <f>IF(OR(t&lt;Tnet,NoTnet),'2029'!Resal_s+('2029'!Salim-'2029'!Resal_s)*(1-EXP(('2029'!Tnet_s-t)/'2029'!Tau_j)),Resal_s+(Salim-Resal_s)*(1-EXP((Tnet_s-t)/Tau_j)))*Salcycl</f>
        <v>4.8165496034517537E-2</v>
      </c>
      <c r="AD47" s="227">
        <f>(INDEX(Models!$BJ47:$BT47,,AH47)*(1-AF47)+INDEX(Models!$BJ47:$BT47,,AH47+1)*AF47-ERP_i)*AE47*Ramure*Pc/MaxiM</f>
        <v>1.8212713931775776E-2</v>
      </c>
      <c r="AE47" s="301">
        <f t="shared" si="15"/>
        <v>0.5</v>
      </c>
      <c r="AF47" s="173">
        <f t="shared" si="23"/>
        <v>0.99570798309276887</v>
      </c>
      <c r="AG47" s="802">
        <f t="shared" si="24"/>
        <v>3</v>
      </c>
      <c r="AH47" s="172">
        <f t="shared" si="16"/>
        <v>9</v>
      </c>
      <c r="AI47" s="221">
        <f t="shared" si="17"/>
        <v>3.9957079830927689</v>
      </c>
      <c r="AJ47" s="261" t="b">
        <f t="shared" si="18"/>
        <v>0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47517</v>
      </c>
      <c r="B48" s="406">
        <f>'2029'!Wh/'2029'!Env_an*'2030'!Env_an</f>
        <v>13.350823928177848</v>
      </c>
      <c r="C48" s="832"/>
      <c r="D48" s="388">
        <f t="shared" si="0"/>
        <v>13.90957449975093</v>
      </c>
      <c r="E48" s="380">
        <f t="shared" si="1"/>
        <v>14.164452799370805</v>
      </c>
      <c r="F48" s="380">
        <f t="shared" si="2"/>
        <v>14.17233476622464</v>
      </c>
      <c r="G48" s="110">
        <f t="shared" si="21"/>
        <v>0.52104947120216005</v>
      </c>
      <c r="H48" s="409" t="b">
        <f>Wh_hp&gt;='2029'!Maxi_hp</f>
        <v>0</v>
      </c>
      <c r="I48" s="385">
        <f>IF(H48,Wh_hp,'2029'!Maxi_hp)</f>
        <v>14.189329287709032</v>
      </c>
      <c r="J48" s="85">
        <f>IF(H48,An,'2029'!An_max)</f>
        <v>2022</v>
      </c>
      <c r="K48" s="193">
        <f t="shared" si="3"/>
        <v>47517</v>
      </c>
      <c r="L48" s="143">
        <f>IF(t&lt;Tvie,1-EXP((T0-t)*PertePVj)+'2029'!Pspv,1-EXP((T0-t)*PertePVj)+Pspv)</f>
        <v>4.0170213084741557E-2</v>
      </c>
      <c r="M48" s="836"/>
      <c r="N48" s="836"/>
      <c r="O48" s="48">
        <f>IF(t&lt;Tnet,'2029'!Resal+('2029'!Salim-'2029'!Resal)*(1-EXP(('2029'!Tnet-t)/('2029'!Tau_j))),Resal+(Salim-Resal)*(1-EXP((Tnet-t)/(Tau_j))))*Salcycl</f>
        <v>1.7994221395633267E-2</v>
      </c>
      <c r="P48" s="165">
        <f>(INDEX(Models!$BJ48:$BT48,,T48)*(1-R48)+INDEX(Models!$BJ48:$BT48,,T48+1)*R48-ERP_i)*Q48*Ramure*Pc/MaxiM</f>
        <v>1.756195470463481E-3</v>
      </c>
      <c r="Q48" s="301">
        <f t="shared" si="4"/>
        <v>0.5</v>
      </c>
      <c r="R48" s="173">
        <f t="shared" si="5"/>
        <v>0.47082840309342483</v>
      </c>
      <c r="S48" s="802">
        <f t="shared" si="6"/>
        <v>0</v>
      </c>
      <c r="T48" s="172">
        <f t="shared" si="7"/>
        <v>6</v>
      </c>
      <c r="U48" s="247">
        <f t="shared" si="8"/>
        <v>0.47082840309342483</v>
      </c>
      <c r="V48" s="378">
        <f t="shared" si="9"/>
        <v>25.592183037428338</v>
      </c>
      <c r="W48" s="397">
        <f t="shared" si="10"/>
        <v>13.350823928177848</v>
      </c>
      <c r="X48" s="153">
        <f t="shared" si="11"/>
        <v>47517</v>
      </c>
      <c r="Y48" s="380">
        <f t="shared" si="12"/>
        <v>12.876022489423818</v>
      </c>
      <c r="Z48" s="380">
        <f t="shared" si="22"/>
        <v>13.414901959654038</v>
      </c>
      <c r="AA48" s="381">
        <f t="shared" si="13"/>
        <v>14.094168133066196</v>
      </c>
      <c r="AB48" s="193">
        <f t="shared" si="14"/>
        <v>47517</v>
      </c>
      <c r="AC48" s="119">
        <f>IF(OR(t&lt;Tnet,NoTnet),'2029'!Resal_s+('2029'!Salim-'2029'!Resal_s)*(1-EXP(('2029'!Tnet_s-t)/'2029'!Tau_j)),Resal_s+(Salim-Resal_s)*(1-EXP((Tnet_s-t)/Tau_j)))*Salcycl</f>
        <v>4.8194839666949714E-2</v>
      </c>
      <c r="AD48" s="227">
        <f>(INDEX(Models!$BJ48:$BT48,,AH48)*(1-AF48)+INDEX(Models!$BJ48:$BT48,,AH48+1)*AF48-ERP_i)*AE48*Ramure*Pc/MaxiM</f>
        <v>1.7416450695608938E-2</v>
      </c>
      <c r="AE48" s="301">
        <f t="shared" si="15"/>
        <v>0.5</v>
      </c>
      <c r="AF48" s="173">
        <f t="shared" si="23"/>
        <v>0.99581596946740181</v>
      </c>
      <c r="AG48" s="802">
        <f t="shared" si="24"/>
        <v>3</v>
      </c>
      <c r="AH48" s="172">
        <f t="shared" si="16"/>
        <v>9</v>
      </c>
      <c r="AI48" s="221">
        <f t="shared" si="17"/>
        <v>3.9958159694674018</v>
      </c>
      <c r="AJ48" s="261" t="b">
        <f t="shared" si="18"/>
        <v>0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47518</v>
      </c>
      <c r="B49" s="406">
        <f>'2029'!Wh/'2029'!Env_an*'2030'!Env_an</f>
        <v>12.182443251733833</v>
      </c>
      <c r="C49" s="832"/>
      <c r="D49" s="388">
        <f t="shared" si="0"/>
        <v>12.692469214346351</v>
      </c>
      <c r="E49" s="380">
        <f t="shared" si="1"/>
        <v>12.925792084946401</v>
      </c>
      <c r="F49" s="380">
        <f t="shared" si="2"/>
        <v>12.93086199602768</v>
      </c>
      <c r="G49" s="110">
        <f t="shared" si="21"/>
        <v>0.46874606132108482</v>
      </c>
      <c r="H49" s="409" t="b">
        <f>Wh_hp&gt;='2029'!Maxi_hp</f>
        <v>0</v>
      </c>
      <c r="I49" s="385">
        <f>IF(H49,Wh_hp,'2029'!Maxi_hp)</f>
        <v>12.946736780036268</v>
      </c>
      <c r="J49" s="85">
        <f>IF(H49,An,'2029'!An_max)</f>
        <v>2022</v>
      </c>
      <c r="K49" s="193">
        <f t="shared" si="3"/>
        <v>47518</v>
      </c>
      <c r="L49" s="143">
        <f>IF(t&lt;Tvie,1-EXP((T0-t)*PertePVj)+'2029'!Pspv,1-EXP((T0-t)*PertePVj)+Pspv)</f>
        <v>4.0183352348496015E-2</v>
      </c>
      <c r="M49" s="836"/>
      <c r="N49" s="836"/>
      <c r="O49" s="48">
        <f>IF(t&lt;Tnet,'2029'!Resal+('2029'!Salim-'2029'!Resal)*(1-EXP(('2029'!Tnet-t)/('2029'!Tau_j))),Resal+(Salim-Resal)*(1-EXP((Tnet-t)/(Tau_j))))*Salcycl</f>
        <v>1.8050953401283699E-2</v>
      </c>
      <c r="P49" s="165">
        <f>(INDEX(Models!$BJ49:$BT49,,T49)*(1-R49)+INDEX(Models!$BJ49:$BT49,,T49+1)*R49-ERP_i)*Q49*Ramure*Pc/MaxiM</f>
        <v>1.6208952604668671E-3</v>
      </c>
      <c r="Q49" s="301">
        <f t="shared" si="4"/>
        <v>0.5</v>
      </c>
      <c r="R49" s="173">
        <f t="shared" si="5"/>
        <v>0.47094086993279077</v>
      </c>
      <c r="S49" s="802">
        <f t="shared" si="6"/>
        <v>0</v>
      </c>
      <c r="T49" s="172">
        <f t="shared" si="7"/>
        <v>6</v>
      </c>
      <c r="U49" s="247">
        <f t="shared" si="8"/>
        <v>0.47094086993279077</v>
      </c>
      <c r="V49" s="378">
        <f t="shared" si="9"/>
        <v>25.957481868742182</v>
      </c>
      <c r="W49" s="397">
        <f t="shared" si="10"/>
        <v>12.182443251733833</v>
      </c>
      <c r="X49" s="153">
        <f t="shared" si="11"/>
        <v>47518</v>
      </c>
      <c r="Y49" s="380">
        <f t="shared" si="12"/>
        <v>11.765439923247772</v>
      </c>
      <c r="Z49" s="380">
        <f t="shared" si="22"/>
        <v>12.25800776850001</v>
      </c>
      <c r="AA49" s="381">
        <f t="shared" si="13"/>
        <v>12.879091955757083</v>
      </c>
      <c r="AB49" s="193">
        <f t="shared" si="14"/>
        <v>47518</v>
      </c>
      <c r="AC49" s="119">
        <f>IF(OR(t&lt;Tnet,NoTnet),'2029'!Resal_s+('2029'!Salim-'2029'!Resal_s)*(1-EXP(('2029'!Tnet_s-t)/'2029'!Tau_j)),Resal_s+(Salim-Resal_s)*(1-EXP((Tnet_s-t)/Tau_j)))*Salcycl</f>
        <v>4.8224221815532771E-2</v>
      </c>
      <c r="AD49" s="227">
        <f>(INDEX(Models!$BJ49:$BT49,,AH49)*(1-AF49)+INDEX(Models!$BJ49:$BT49,,AH49+1)*AF49-ERP_i)*AE49*Ramure*Pc/MaxiM</f>
        <v>1.6551338191835116E-2</v>
      </c>
      <c r="AE49" s="301">
        <f t="shared" si="15"/>
        <v>0.5</v>
      </c>
      <c r="AF49" s="173">
        <f t="shared" si="23"/>
        <v>0.99592843630676775</v>
      </c>
      <c r="AG49" s="802">
        <f t="shared" si="24"/>
        <v>3</v>
      </c>
      <c r="AH49" s="172">
        <f t="shared" si="16"/>
        <v>9</v>
      </c>
      <c r="AI49" s="221">
        <f t="shared" si="17"/>
        <v>3.9959284363067678</v>
      </c>
      <c r="AJ49" s="261" t="b">
        <f t="shared" si="18"/>
        <v>0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47519</v>
      </c>
      <c r="B50" s="406">
        <f>'2029'!Wh/'2029'!Env_an*'2030'!Env_an</f>
        <v>9.565801567212862</v>
      </c>
      <c r="C50" s="832"/>
      <c r="D50" s="388">
        <f t="shared" si="0"/>
        <v>9.9664165444535708</v>
      </c>
      <c r="E50" s="380">
        <f t="shared" si="1"/>
        <v>10.150213127248005</v>
      </c>
      <c r="F50" s="380">
        <f t="shared" si="2"/>
        <v>10.15157353447027</v>
      </c>
      <c r="G50" s="110">
        <f t="shared" si="21"/>
        <v>0.36291911677797561</v>
      </c>
      <c r="H50" s="409" t="b">
        <f>Wh_hp&gt;='2029'!Maxi_hp</f>
        <v>0</v>
      </c>
      <c r="I50" s="385">
        <f>IF(H50,Wh_hp,'2029'!Maxi_hp)</f>
        <v>10.165216263192344</v>
      </c>
      <c r="J50" s="85">
        <f>IF(H50,An,'2029'!An_max)</f>
        <v>2022</v>
      </c>
      <c r="K50" s="193">
        <f t="shared" si="3"/>
        <v>47519</v>
      </c>
      <c r="L50" s="143">
        <f>IF(t&lt;Tvie,1-EXP((T0-t)*PertePVj)+'2029'!Pspv,1-EXP((T0-t)*PertePVj)+Pspv)</f>
        <v>4.0196491432385129E-2</v>
      </c>
      <c r="M50" s="836"/>
      <c r="N50" s="836"/>
      <c r="O50" s="48">
        <f>IF(t&lt;Tnet,'2029'!Resal+('2029'!Salim-'2029'!Resal)*(1-EXP(('2029'!Tnet-t)/('2029'!Tau_j))),Resal+(Salim-Resal)*(1-EXP((Tnet-t)/(Tau_j))))*Salcycl</f>
        <v>1.8107657493519565E-2</v>
      </c>
      <c r="P50" s="165">
        <f>(INDEX(Models!$BJ50:$BT50,,T50)*(1-R50)+INDEX(Models!$BJ50:$BT50,,T50+1)*R50-ERP_i)*Q50*Ramure*Pc/MaxiM</f>
        <v>1.4794107890327255E-3</v>
      </c>
      <c r="Q50" s="301">
        <f t="shared" si="4"/>
        <v>0.5</v>
      </c>
      <c r="R50" s="173">
        <f t="shared" si="5"/>
        <v>0.47105800097357164</v>
      </c>
      <c r="S50" s="802">
        <f t="shared" si="6"/>
        <v>0</v>
      </c>
      <c r="T50" s="172">
        <f t="shared" si="7"/>
        <v>6</v>
      </c>
      <c r="U50" s="247">
        <f t="shared" si="8"/>
        <v>0.47105800097357164</v>
      </c>
      <c r="V50" s="378">
        <f t="shared" si="9"/>
        <v>26.322476714056961</v>
      </c>
      <c r="W50" s="397">
        <f t="shared" si="10"/>
        <v>9.565801567212862</v>
      </c>
      <c r="X50" s="153">
        <f t="shared" si="11"/>
        <v>47519</v>
      </c>
      <c r="Y50" s="380">
        <f t="shared" si="12"/>
        <v>9.2602342062139851</v>
      </c>
      <c r="Z50" s="380">
        <f t="shared" si="22"/>
        <v>9.6480520476880844</v>
      </c>
      <c r="AA50" s="381">
        <f t="shared" si="13"/>
        <v>10.137209285022916</v>
      </c>
      <c r="AB50" s="193">
        <f t="shared" si="14"/>
        <v>47519</v>
      </c>
      <c r="AC50" s="119">
        <f>IF(OR(t&lt;Tnet,NoTnet),'2029'!Resal_s+('2029'!Salim-'2029'!Resal_s)*(1-EXP(('2029'!Tnet_s-t)/'2029'!Tau_j)),Resal_s+(Salim-Resal_s)*(1-EXP((Tnet_s-t)/Tau_j)))*Salcycl</f>
        <v>4.8253639002750995E-2</v>
      </c>
      <c r="AD50" s="227">
        <f>(INDEX(Models!$BJ50:$BT50,,AH50)*(1-AF50)+INDEX(Models!$BJ50:$BT50,,AH50+1)*AF50-ERP_i)*AE50*Ramure*Pc/MaxiM</f>
        <v>1.5620782704607124E-2</v>
      </c>
      <c r="AE50" s="301">
        <f t="shared" si="15"/>
        <v>0.5</v>
      </c>
      <c r="AF50" s="173">
        <f t="shared" si="23"/>
        <v>0.99604556734754857</v>
      </c>
      <c r="AG50" s="802">
        <f t="shared" si="24"/>
        <v>3</v>
      </c>
      <c r="AH50" s="172">
        <f t="shared" si="16"/>
        <v>9</v>
      </c>
      <c r="AI50" s="221">
        <f t="shared" si="17"/>
        <v>3.9960455673475486</v>
      </c>
      <c r="AJ50" s="261" t="b">
        <f t="shared" si="18"/>
        <v>0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47520</v>
      </c>
      <c r="B51" s="406">
        <f>'2029'!Wh/'2029'!Env_an*'2030'!Env_an</f>
        <v>21.008124531396032</v>
      </c>
      <c r="C51" s="832"/>
      <c r="D51" s="388">
        <f t="shared" si="0"/>
        <v>21.888242678200115</v>
      </c>
      <c r="E51" s="380">
        <f t="shared" si="1"/>
        <v>22.293183473361836</v>
      </c>
      <c r="F51" s="380">
        <f t="shared" si="2"/>
        <v>22.313865384385657</v>
      </c>
      <c r="G51" s="110">
        <f t="shared" si="21"/>
        <v>0.78681966212173449</v>
      </c>
      <c r="H51" s="409" t="b">
        <f>Wh_hp&gt;='2029'!Maxi_hp</f>
        <v>0</v>
      </c>
      <c r="I51" s="385">
        <f>IF(H51,Wh_hp,'2029'!Maxi_hp)</f>
        <v>22.322890993589862</v>
      </c>
      <c r="J51" s="85">
        <f>IF(H51,An,'2029'!An_max)</f>
        <v>2022</v>
      </c>
      <c r="K51" s="193">
        <f t="shared" si="3"/>
        <v>47520</v>
      </c>
      <c r="L51" s="143">
        <f>IF(t&lt;Tvie,1-EXP((T0-t)*PertePVj)+'2029'!Pspv,1-EXP((T0-t)*PertePVj)+Pspv)</f>
        <v>4.0209630336411117E-2</v>
      </c>
      <c r="M51" s="836"/>
      <c r="N51" s="836"/>
      <c r="O51" s="48">
        <f>IF(t&lt;Tnet,'2029'!Resal+('2029'!Salim-'2029'!Resal)*(1-EXP(('2029'!Tnet-t)/('2029'!Tau_j))),Resal+(Salim-Resal)*(1-EXP((Tnet-t)/(Tau_j))))*Salcycl</f>
        <v>1.8164332413339895E-2</v>
      </c>
      <c r="P51" s="165">
        <f>(INDEX(Models!$BJ51:$BT51,,T51)*(1-R51)+INDEX(Models!$BJ51:$BT51,,T51+1)*R51-ERP_i)*Q51*Ramure*Pc/MaxiM</f>
        <v>1.3318680996981763E-3</v>
      </c>
      <c r="Q51" s="301">
        <f t="shared" si="4"/>
        <v>0.5</v>
      </c>
      <c r="R51" s="173">
        <f t="shared" si="5"/>
        <v>0.47117998730316579</v>
      </c>
      <c r="S51" s="802">
        <f t="shared" si="6"/>
        <v>0</v>
      </c>
      <c r="T51" s="172">
        <f t="shared" si="7"/>
        <v>6</v>
      </c>
      <c r="U51" s="247">
        <f t="shared" si="8"/>
        <v>0.47117998730316579</v>
      </c>
      <c r="V51" s="378">
        <f t="shared" si="9"/>
        <v>26.689226598272615</v>
      </c>
      <c r="W51" s="397">
        <f t="shared" si="10"/>
        <v>21.008124531396032</v>
      </c>
      <c r="X51" s="153">
        <f t="shared" si="11"/>
        <v>47520</v>
      </c>
      <c r="Y51" s="380">
        <f t="shared" si="12"/>
        <v>20.175106356768836</v>
      </c>
      <c r="Z51" s="380">
        <f t="shared" si="22"/>
        <v>21.02032589037157</v>
      </c>
      <c r="AA51" s="381">
        <f t="shared" si="13"/>
        <v>22.086741982170164</v>
      </c>
      <c r="AB51" s="193">
        <f t="shared" si="14"/>
        <v>47520</v>
      </c>
      <c r="AC51" s="119">
        <f>IF(OR(t&lt;Tnet,NoTnet),'2029'!Resal_s+('2029'!Salim-'2029'!Resal_s)*(1-EXP(('2029'!Tnet_s-t)/'2029'!Tau_j)),Resal_s+(Salim-Resal_s)*(1-EXP((Tnet_s-t)/Tau_j)))*Salcycl</f>
        <v>4.8283087322678615E-2</v>
      </c>
      <c r="AD51" s="227">
        <f>(INDEX(Models!$BJ51:$BT51,,AH51)*(1-AF51)+INDEX(Models!$BJ51:$BT51,,AH51+1)*AF51-ERP_i)*AE51*Ramure*Pc/MaxiM</f>
        <v>1.4626231287684682E-2</v>
      </c>
      <c r="AE51" s="301">
        <f t="shared" si="15"/>
        <v>0.5</v>
      </c>
      <c r="AF51" s="173">
        <f t="shared" si="23"/>
        <v>0.99616755367714305</v>
      </c>
      <c r="AG51" s="802">
        <f t="shared" si="24"/>
        <v>3</v>
      </c>
      <c r="AH51" s="172">
        <f t="shared" si="16"/>
        <v>9</v>
      </c>
      <c r="AI51" s="221">
        <f t="shared" si="17"/>
        <v>3.996167553677143</v>
      </c>
      <c r="AJ51" s="261" t="b">
        <f t="shared" si="18"/>
        <v>0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47521</v>
      </c>
      <c r="B52" s="406">
        <f>'2029'!Wh/'2029'!Env_an*'2030'!Env_an</f>
        <v>14.394444331934244</v>
      </c>
      <c r="C52" s="832"/>
      <c r="D52" s="388">
        <f t="shared" si="0"/>
        <v>14.997693077012318</v>
      </c>
      <c r="E52" s="380">
        <f t="shared" si="1"/>
        <v>15.276037399153692</v>
      </c>
      <c r="F52" s="380">
        <f t="shared" si="2"/>
        <v>15.28203749246136</v>
      </c>
      <c r="G52" s="110">
        <f t="shared" si="21"/>
        <v>0.53152334432317538</v>
      </c>
      <c r="H52" s="409" t="b">
        <f>Wh_hp&gt;='2029'!Maxi_hp</f>
        <v>0</v>
      </c>
      <c r="I52" s="385">
        <f>IF(H52,Wh_hp,'2029'!Maxi_hp)</f>
        <v>15.294127889599769</v>
      </c>
      <c r="J52" s="85">
        <f>IF(H52,An,'2029'!An_max)</f>
        <v>2022</v>
      </c>
      <c r="K52" s="193">
        <f t="shared" si="3"/>
        <v>47521</v>
      </c>
      <c r="L52" s="143">
        <f>IF(t&lt;Tvie,1-EXP((T0-t)*PertePVj)+'2029'!Pspv,1-EXP((T0-t)*PertePVj)+Pspv)</f>
        <v>4.0222769060576535E-2</v>
      </c>
      <c r="M52" s="836"/>
      <c r="N52" s="836"/>
      <c r="O52" s="48">
        <f>IF(t&lt;Tnet,'2029'!Resal+('2029'!Salim-'2029'!Resal)*(1-EXP(('2029'!Tnet-t)/('2029'!Tau_j))),Resal+(Salim-Resal)*(1-EXP((Tnet-t)/(Tau_j))))*Salcycl</f>
        <v>1.8220976740787154E-2</v>
      </c>
      <c r="P52" s="165">
        <f>(INDEX(Models!$BJ52:$BT52,,T52)*(1-R52)+INDEX(Models!$BJ52:$BT52,,T52+1)*R52-ERP_i)*Q52*Ramure*Pc/MaxiM</f>
        <v>1.1849221736128172E-3</v>
      </c>
      <c r="Q52" s="301">
        <f t="shared" si="4"/>
        <v>0.5</v>
      </c>
      <c r="R52" s="173">
        <f t="shared" si="5"/>
        <v>0.47130702763806726</v>
      </c>
      <c r="S52" s="802">
        <f t="shared" si="6"/>
        <v>0</v>
      </c>
      <c r="T52" s="172">
        <f t="shared" si="7"/>
        <v>6</v>
      </c>
      <c r="U52" s="247">
        <f t="shared" si="8"/>
        <v>0.47130702763806726</v>
      </c>
      <c r="V52" s="378">
        <f t="shared" si="9"/>
        <v>27.060025326790075</v>
      </c>
      <c r="W52" s="397">
        <f t="shared" si="10"/>
        <v>14.394444331934244</v>
      </c>
      <c r="X52" s="153">
        <f t="shared" si="11"/>
        <v>47521</v>
      </c>
      <c r="Y52" s="380">
        <f t="shared" si="12"/>
        <v>13.895880799078812</v>
      </c>
      <c r="Z52" s="380">
        <f t="shared" si="22"/>
        <v>14.478235522921937</v>
      </c>
      <c r="AA52" s="381">
        <f t="shared" si="13"/>
        <v>15.213225426943465</v>
      </c>
      <c r="AB52" s="193">
        <f t="shared" si="14"/>
        <v>47521</v>
      </c>
      <c r="AC52" s="119">
        <f>IF(OR(t&lt;Tnet,NoTnet),'2029'!Resal_s+('2029'!Salim-'2029'!Resal_s)*(1-EXP(('2029'!Tnet_s-t)/'2029'!Tau_j)),Resal_s+(Salim-Resal_s)*(1-EXP((Tnet_s-t)/Tau_j)))*Salcycl</f>
        <v>4.8312562483943722E-2</v>
      </c>
      <c r="AD52" s="227">
        <f>(INDEX(Models!$BJ52:$BT52,,AH52)*(1-AF52)+INDEX(Models!$BJ52:$BT52,,AH52+1)*AF52-ERP_i)*AE52*Ramure*Pc/MaxiM</f>
        <v>1.3589279043385763E-2</v>
      </c>
      <c r="AE52" s="301">
        <f t="shared" si="15"/>
        <v>0.5</v>
      </c>
      <c r="AF52" s="173">
        <f t="shared" si="23"/>
        <v>0.99629459401204423</v>
      </c>
      <c r="AG52" s="802">
        <f t="shared" si="24"/>
        <v>3</v>
      </c>
      <c r="AH52" s="172">
        <f t="shared" si="16"/>
        <v>9</v>
      </c>
      <c r="AI52" s="221">
        <f t="shared" si="17"/>
        <v>3.9962945940120442</v>
      </c>
      <c r="AJ52" s="261" t="b">
        <f t="shared" si="18"/>
        <v>0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47522</v>
      </c>
      <c r="B53" s="406">
        <f>'2029'!Wh/'2029'!Env_an*'2030'!Env_an</f>
        <v>27.895912188800203</v>
      </c>
      <c r="C53" s="832"/>
      <c r="D53" s="388">
        <f t="shared" si="0"/>
        <v>29.065384306246791</v>
      </c>
      <c r="E53" s="380">
        <f t="shared" si="1"/>
        <v>29.606520109930479</v>
      </c>
      <c r="F53" s="380">
        <f t="shared" si="2"/>
        <v>29.637565329868824</v>
      </c>
      <c r="G53" s="110">
        <f t="shared" si="21"/>
        <v>1.016825364425431</v>
      </c>
      <c r="H53" s="409" t="b">
        <f>Wh_hp&gt;='2029'!Maxi_hp</f>
        <v>1</v>
      </c>
      <c r="I53" s="385">
        <f>IF(H53,Wh_hp,'2029'!Maxi_hp)</f>
        <v>29.637565329868824</v>
      </c>
      <c r="J53" s="85">
        <f>IF(H53,An,'2029'!An_max)</f>
        <v>2030</v>
      </c>
      <c r="K53" s="193">
        <f t="shared" si="3"/>
        <v>47522</v>
      </c>
      <c r="L53" s="143">
        <f>IF(t&lt;Tvie,1-EXP((T0-t)*PertePVj)+'2029'!Pspv,1-EXP((T0-t)*PertePVj)+Pspv)</f>
        <v>4.0235907604883936E-2</v>
      </c>
      <c r="M53" s="836"/>
      <c r="N53" s="836"/>
      <c r="O53" s="48">
        <f>IF(t&lt;Tnet,'2029'!Resal+('2029'!Salim-'2029'!Resal)*(1-EXP(('2029'!Tnet-t)/('2029'!Tau_j))),Resal+(Salim-Resal)*(1-EXP((Tnet-t)/(Tau_j))))*Salcycl</f>
        <v>1.8277588911983694E-2</v>
      </c>
      <c r="P53" s="165">
        <f>(INDEX(Models!$BJ53:$BT53,,T53)*(1-R53)+INDEX(Models!$BJ53:$BT53,,T53+1)*R53-ERP_i)*Q53*Ramure*Pc/MaxiM</f>
        <v>1.047495622289091E-3</v>
      </c>
      <c r="Q53" s="301">
        <f t="shared" si="4"/>
        <v>0.5</v>
      </c>
      <c r="R53" s="173">
        <f t="shared" si="5"/>
        <v>0.47143932861143351</v>
      </c>
      <c r="S53" s="802">
        <f t="shared" si="6"/>
        <v>0</v>
      </c>
      <c r="T53" s="172">
        <f t="shared" si="7"/>
        <v>6</v>
      </c>
      <c r="U53" s="247">
        <f t="shared" si="8"/>
        <v>0.47143932861143351</v>
      </c>
      <c r="V53" s="378">
        <f t="shared" si="9"/>
        <v>27.434319761056621</v>
      </c>
      <c r="W53" s="397">
        <f t="shared" si="10"/>
        <v>27.895912188800203</v>
      </c>
      <c r="X53" s="153">
        <f t="shared" si="11"/>
        <v>47522</v>
      </c>
      <c r="Y53" s="380">
        <f t="shared" si="12"/>
        <v>26.730055432188369</v>
      </c>
      <c r="Z53" s="380">
        <f t="shared" si="22"/>
        <v>27.850651679917327</v>
      </c>
      <c r="AA53" s="381">
        <f t="shared" si="13"/>
        <v>29.265401469567575</v>
      </c>
      <c r="AB53" s="193">
        <f t="shared" si="14"/>
        <v>47522</v>
      </c>
      <c r="AC53" s="119">
        <f>IF(OR(t&lt;Tnet,NoTnet),'2029'!Resal_s+('2029'!Salim-'2029'!Resal_s)*(1-EXP(('2029'!Tnet_s-t)/'2029'!Tau_j)),Resal_s+(Salim-Resal_s)*(1-EXP((Tnet_s-t)/Tau_j)))*Salcycl</f>
        <v>4.8342059859367167E-2</v>
      </c>
      <c r="AD53" s="227">
        <f>(INDEX(Models!$BJ53:$BT53,,AH53)*(1-AF53)+INDEX(Models!$BJ53:$BT53,,AH53+1)*AF53-ERP_i)*AE53*Ramure*Pc/MaxiM</f>
        <v>1.2557167100570895E-2</v>
      </c>
      <c r="AE53" s="301">
        <f t="shared" si="15"/>
        <v>0.5</v>
      </c>
      <c r="AF53" s="173">
        <f t="shared" si="23"/>
        <v>0.9964268949854107</v>
      </c>
      <c r="AG53" s="802">
        <f t="shared" si="24"/>
        <v>3</v>
      </c>
      <c r="AH53" s="172">
        <f t="shared" si="16"/>
        <v>9</v>
      </c>
      <c r="AI53" s="221">
        <f t="shared" si="17"/>
        <v>3.9964268949854107</v>
      </c>
      <c r="AJ53" s="261" t="b">
        <f t="shared" si="18"/>
        <v>0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47523</v>
      </c>
      <c r="B54" s="406">
        <f>'2029'!Wh/'2029'!Env_an*'2030'!Env_an</f>
        <v>28.113940259737202</v>
      </c>
      <c r="C54" s="832"/>
      <c r="D54" s="388">
        <f t="shared" si="0"/>
        <v>29.292953699777154</v>
      </c>
      <c r="E54" s="380">
        <f t="shared" si="1"/>
        <v>29.840046095300242</v>
      </c>
      <c r="F54" s="380">
        <f t="shared" si="2"/>
        <v>29.867502380139104</v>
      </c>
      <c r="G54" s="110">
        <f t="shared" si="21"/>
        <v>1.0108637230245661</v>
      </c>
      <c r="H54" s="409" t="b">
        <f>Wh_hp&gt;='2029'!Maxi_hp</f>
        <v>1</v>
      </c>
      <c r="I54" s="385">
        <f>IF(H54,Wh_hp,'2029'!Maxi_hp)</f>
        <v>29.867502380139104</v>
      </c>
      <c r="J54" s="85">
        <f>IF(H54,An,'2029'!An_max)</f>
        <v>2030</v>
      </c>
      <c r="K54" s="193">
        <f t="shared" si="3"/>
        <v>47523</v>
      </c>
      <c r="L54" s="143">
        <f>IF(t&lt;Tvie,1-EXP((T0-t)*PertePVj)+'2029'!Pspv,1-EXP((T0-t)*PertePVj)+Pspv)</f>
        <v>4.0249045969335651E-2</v>
      </c>
      <c r="M54" s="836"/>
      <c r="N54" s="836"/>
      <c r="O54" s="48">
        <f>IF(t&lt;Tnet,'2029'!Resal+('2029'!Salim-'2029'!Resal)*(1-EXP(('2029'!Tnet-t)/('2029'!Tau_j))),Resal+(Salim-Resal)*(1-EXP((Tnet-t)/(Tau_j))))*Salcycl</f>
        <v>1.8334167238744842E-2</v>
      </c>
      <c r="P54" s="165">
        <f>(INDEX(Models!$BJ54:$BT54,,T54)*(1-R54)+INDEX(Models!$BJ54:$BT54,,T54+1)*R54-ERP_i)*Q54*Ramure*Pc/MaxiM</f>
        <v>9.1926952878119766E-4</v>
      </c>
      <c r="Q54" s="301">
        <f t="shared" si="4"/>
        <v>0.5</v>
      </c>
      <c r="R54" s="173">
        <f t="shared" si="5"/>
        <v>0.47157710507002465</v>
      </c>
      <c r="S54" s="802">
        <f t="shared" si="6"/>
        <v>0</v>
      </c>
      <c r="T54" s="172">
        <f t="shared" si="7"/>
        <v>6</v>
      </c>
      <c r="U54" s="247">
        <f t="shared" si="8"/>
        <v>0.47157710507002465</v>
      </c>
      <c r="V54" s="378">
        <f t="shared" si="9"/>
        <v>27.811800561621279</v>
      </c>
      <c r="W54" s="397">
        <f t="shared" si="10"/>
        <v>28.113940259737202</v>
      </c>
      <c r="X54" s="153">
        <f t="shared" si="11"/>
        <v>47523</v>
      </c>
      <c r="Y54" s="380">
        <f t="shared" si="12"/>
        <v>26.964245478530867</v>
      </c>
      <c r="Z54" s="380">
        <f t="shared" si="22"/>
        <v>28.095044204216912</v>
      </c>
      <c r="AA54" s="381">
        <f t="shared" si="13"/>
        <v>29.523124207523001</v>
      </c>
      <c r="AB54" s="193">
        <f t="shared" si="14"/>
        <v>47523</v>
      </c>
      <c r="AC54" s="119">
        <f>IF(OR(t&lt;Tnet,NoTnet),'2029'!Resal_s+('2029'!Salim-'2029'!Resal_s)*(1-EXP(('2029'!Tnet_s-t)/'2029'!Tau_j)),Resal_s+(Salim-Resal_s)*(1-EXP((Tnet_s-t)/Tau_j)))*Salcycl</f>
        <v>4.8371574541633038E-2</v>
      </c>
      <c r="AD54" s="227">
        <f>(INDEX(Models!$BJ54:$BT54,,AH54)*(1-AF54)+INDEX(Models!$BJ54:$BT54,,AH54+1)*AF54-ERP_i)*AE54*Ramure*Pc/MaxiM</f>
        <v>1.1530196540474779E-2</v>
      </c>
      <c r="AE54" s="301">
        <f t="shared" si="15"/>
        <v>0.5</v>
      </c>
      <c r="AF54" s="173">
        <f t="shared" si="23"/>
        <v>0.99656467144400196</v>
      </c>
      <c r="AG54" s="802">
        <f t="shared" si="24"/>
        <v>3</v>
      </c>
      <c r="AH54" s="172">
        <f t="shared" si="16"/>
        <v>9</v>
      </c>
      <c r="AI54" s="221">
        <f t="shared" si="17"/>
        <v>3.996564671444002</v>
      </c>
      <c r="AJ54" s="261" t="b">
        <f t="shared" si="18"/>
        <v>0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47524</v>
      </c>
      <c r="B55" s="406">
        <f>'2029'!Wh/'2029'!Env_an*'2030'!Env_an</f>
        <v>27.131975832154659</v>
      </c>
      <c r="C55" s="832"/>
      <c r="D55" s="388">
        <f t="shared" si="0"/>
        <v>28.270195655712712</v>
      </c>
      <c r="E55" s="380">
        <f t="shared" si="1"/>
        <v>28.799845255857715</v>
      </c>
      <c r="F55" s="380">
        <f t="shared" si="2"/>
        <v>28.821661986473316</v>
      </c>
      <c r="G55" s="110">
        <f t="shared" si="21"/>
        <v>0.96235302487416574</v>
      </c>
      <c r="H55" s="409" t="b">
        <f>Wh_hp&gt;='2029'!Maxi_hp</f>
        <v>0</v>
      </c>
      <c r="I55" s="385">
        <f>IF(H55,Wh_hp,'2029'!Maxi_hp)</f>
        <v>28.822898257849857</v>
      </c>
      <c r="J55" s="85">
        <f>IF(H55,An,'2029'!An_max)</f>
        <v>2022</v>
      </c>
      <c r="K55" s="193">
        <f t="shared" si="3"/>
        <v>47524</v>
      </c>
      <c r="L55" s="143">
        <f>IF(t&lt;Tvie,1-EXP((T0-t)*PertePVj)+'2029'!Pspv,1-EXP((T0-t)*PertePVj)+Pspv)</f>
        <v>4.0262184153934122E-2</v>
      </c>
      <c r="M55" s="836"/>
      <c r="N55" s="836"/>
      <c r="O55" s="48">
        <f>IF(t&lt;Tnet,'2029'!Resal+('2029'!Salim-'2029'!Resal)*(1-EXP(('2029'!Tnet-t)/('2029'!Tau_j))),Resal+(Salim-Resal)*(1-EXP((Tnet-t)/(Tau_j))))*Salcycl</f>
        <v>1.8390709930542908E-2</v>
      </c>
      <c r="P55" s="165">
        <f>(INDEX(Models!$BJ55:$BT55,,T55)*(1-R55)+INDEX(Models!$BJ55:$BT55,,T55+1)*R55-ERP_i)*Q55*Ramure*Pc/MaxiM</f>
        <v>7.9993007837800105E-4</v>
      </c>
      <c r="Q55" s="301">
        <f t="shared" si="4"/>
        <v>0.5</v>
      </c>
      <c r="R55" s="173">
        <f t="shared" si="5"/>
        <v>0.47172058038068715</v>
      </c>
      <c r="S55" s="802">
        <f t="shared" si="6"/>
        <v>0</v>
      </c>
      <c r="T55" s="172">
        <f t="shared" si="7"/>
        <v>6</v>
      </c>
      <c r="U55" s="247">
        <f t="shared" si="8"/>
        <v>0.47172058038068715</v>
      </c>
      <c r="V55" s="378">
        <f t="shared" si="9"/>
        <v>28.192158466375687</v>
      </c>
      <c r="W55" s="397">
        <f t="shared" si="10"/>
        <v>27.131975832154659</v>
      </c>
      <c r="X55" s="153">
        <f t="shared" si="11"/>
        <v>47524</v>
      </c>
      <c r="Y55" s="380">
        <f t="shared" si="12"/>
        <v>26.060653020944514</v>
      </c>
      <c r="Z55" s="380">
        <f t="shared" si="22"/>
        <v>27.15392953227596</v>
      </c>
      <c r="AA55" s="381">
        <f t="shared" si="13"/>
        <v>28.535057756316945</v>
      </c>
      <c r="AB55" s="193">
        <f t="shared" si="14"/>
        <v>47524</v>
      </c>
      <c r="AC55" s="119">
        <f>IF(OR(t&lt;Tnet,NoTnet),'2029'!Resal_s+('2029'!Salim-'2029'!Resal_s)*(1-EXP(('2029'!Tnet_s-t)/'2029'!Tau_j)),Resal_s+(Salim-Resal_s)*(1-EXP((Tnet_s-t)/Tau_j)))*Salcycl</f>
        <v>4.8401101404297528E-2</v>
      </c>
      <c r="AD55" s="227">
        <f>(INDEX(Models!$BJ55:$BT55,,AH55)*(1-AF55)+INDEX(Models!$BJ55:$BT55,,AH55+1)*AF55-ERP_i)*AE55*Ramure*Pc/MaxiM</f>
        <v>1.0508602243476868E-2</v>
      </c>
      <c r="AE55" s="301">
        <f t="shared" si="15"/>
        <v>0.5</v>
      </c>
      <c r="AF55" s="173">
        <f t="shared" si="23"/>
        <v>0.99670814675466435</v>
      </c>
      <c r="AG55" s="802">
        <f t="shared" si="24"/>
        <v>3</v>
      </c>
      <c r="AH55" s="172">
        <f t="shared" si="16"/>
        <v>9</v>
      </c>
      <c r="AI55" s="221">
        <f t="shared" si="17"/>
        <v>3.9967081467546643</v>
      </c>
      <c r="AJ55" s="261" t="b">
        <f t="shared" si="18"/>
        <v>0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47525</v>
      </c>
      <c r="B56" s="406">
        <f>'2029'!Wh/'2029'!Env_an*'2030'!Env_an</f>
        <v>14.183246393356848</v>
      </c>
      <c r="C56" s="832"/>
      <c r="D56" s="388">
        <f t="shared" si="0"/>
        <v>14.778453363582178</v>
      </c>
      <c r="E56" s="380">
        <f t="shared" si="1"/>
        <v>15.056198292349054</v>
      </c>
      <c r="F56" s="380">
        <f t="shared" si="2"/>
        <v>15.059109401692572</v>
      </c>
      <c r="G56" s="110">
        <f t="shared" si="21"/>
        <v>0.49610394928383872</v>
      </c>
      <c r="H56" s="409" t="b">
        <f>Wh_hp&gt;='2029'!Maxi_hp</f>
        <v>0</v>
      </c>
      <c r="I56" s="385">
        <f>IF(H56,Wh_hp,'2029'!Maxi_hp)</f>
        <v>15.066561571107581</v>
      </c>
      <c r="J56" s="85">
        <f>IF(H56,An,'2029'!An_max)</f>
        <v>2022</v>
      </c>
      <c r="K56" s="193">
        <f t="shared" si="3"/>
        <v>47525</v>
      </c>
      <c r="L56" s="143">
        <f>IF(t&lt;Tvie,1-EXP((T0-t)*PertePVj)+'2029'!Pspv,1-EXP((T0-t)*PertePVj)+Pspv)</f>
        <v>4.0275322158682014E-2</v>
      </c>
      <c r="M56" s="836"/>
      <c r="N56" s="836"/>
      <c r="O56" s="48">
        <f>IF(t&lt;Tnet,'2029'!Resal+('2029'!Salim-'2029'!Resal)*(1-EXP(('2029'!Tnet-t)/('2029'!Tau_j))),Resal+(Salim-Resal)*(1-EXP((Tnet-t)/(Tau_j))))*Salcycl</f>
        <v>1.8447215118574386E-2</v>
      </c>
      <c r="P56" s="165">
        <f>(INDEX(Models!$BJ56:$BT56,,T56)*(1-R56)+INDEX(Models!$BJ56:$BT56,,T56+1)*R56-ERP_i)*Q56*Ramure*Pc/MaxiM</f>
        <v>6.8916959393610961E-4</v>
      </c>
      <c r="Q56" s="301">
        <f t="shared" si="4"/>
        <v>0.5</v>
      </c>
      <c r="R56" s="173">
        <f t="shared" si="5"/>
        <v>0.47186998674654834</v>
      </c>
      <c r="S56" s="802">
        <f t="shared" si="6"/>
        <v>0</v>
      </c>
      <c r="T56" s="172">
        <f t="shared" si="7"/>
        <v>6</v>
      </c>
      <c r="U56" s="247">
        <f t="shared" si="8"/>
        <v>0.47186998674654834</v>
      </c>
      <c r="V56" s="378">
        <f t="shared" si="9"/>
        <v>28.575084286696903</v>
      </c>
      <c r="W56" s="397">
        <f t="shared" si="10"/>
        <v>14.183246393356848</v>
      </c>
      <c r="X56" s="153">
        <f t="shared" si="11"/>
        <v>47525</v>
      </c>
      <c r="Y56" s="380">
        <f t="shared" si="12"/>
        <v>13.71603168544091</v>
      </c>
      <c r="Z56" s="380">
        <f t="shared" si="22"/>
        <v>14.291631758695628</v>
      </c>
      <c r="AA56" s="381">
        <f t="shared" si="13"/>
        <v>15.019012051958841</v>
      </c>
      <c r="AB56" s="193">
        <f t="shared" si="14"/>
        <v>47525</v>
      </c>
      <c r="AC56" s="119">
        <f>IF(OR(t&lt;Tnet,NoTnet),'2029'!Resal_s+('2029'!Salim-'2029'!Resal_s)*(1-EXP(('2029'!Tnet_s-t)/'2029'!Tau_j)),Resal_s+(Salim-Resal_s)*(1-EXP((Tnet_s-t)/Tau_j)))*Salcycl</f>
        <v>4.8430635167400787E-2</v>
      </c>
      <c r="AD56" s="227">
        <f>(INDEX(Models!$BJ56:$BT56,,AH56)*(1-AF56)+INDEX(Models!$BJ56:$BT56,,AH56+1)*AF56-ERP_i)*AE56*Ramure*Pc/MaxiM</f>
        <v>9.4925579815278039E-3</v>
      </c>
      <c r="AE56" s="301">
        <f t="shared" si="15"/>
        <v>0.5</v>
      </c>
      <c r="AF56" s="173">
        <f t="shared" si="23"/>
        <v>0.99685755312052571</v>
      </c>
      <c r="AG56" s="802">
        <f t="shared" si="24"/>
        <v>3</v>
      </c>
      <c r="AH56" s="172">
        <f t="shared" si="16"/>
        <v>9</v>
      </c>
      <c r="AI56" s="221">
        <f t="shared" si="17"/>
        <v>3.9968575531205257</v>
      </c>
      <c r="AJ56" s="261" t="b">
        <f t="shared" si="18"/>
        <v>0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47526</v>
      </c>
      <c r="B57" s="406">
        <f>'2029'!Wh/'2029'!Env_an*'2030'!Env_an</f>
        <v>22.679266564421745</v>
      </c>
      <c r="C57" s="832"/>
      <c r="D57" s="388">
        <f t="shared" si="0"/>
        <v>23.631336728569249</v>
      </c>
      <c r="E57" s="380">
        <f t="shared" si="1"/>
        <v>24.076847022510442</v>
      </c>
      <c r="F57" s="380">
        <f t="shared" si="2"/>
        <v>24.086599976122095</v>
      </c>
      <c r="G57" s="110">
        <f t="shared" si="21"/>
        <v>0.78297416479100912</v>
      </c>
      <c r="H57" s="409" t="b">
        <f>Wh_hp&gt;='2029'!Maxi_hp</f>
        <v>0</v>
      </c>
      <c r="I57" s="385">
        <f>IF(H57,Wh_hp,'2029'!Maxi_hp)</f>
        <v>24.090968807798074</v>
      </c>
      <c r="J57" s="85">
        <f>IF(H57,An,'2029'!An_max)</f>
        <v>2022</v>
      </c>
      <c r="K57" s="193">
        <f t="shared" si="3"/>
        <v>47526</v>
      </c>
      <c r="L57" s="143">
        <f>IF(t&lt;Tvie,1-EXP((T0-t)*PertePVj)+'2029'!Pspv,1-EXP((T0-t)*PertePVj)+Pspv)</f>
        <v>4.0288459983581548E-2</v>
      </c>
      <c r="M57" s="836"/>
      <c r="N57" s="836"/>
      <c r="O57" s="48">
        <f>IF(t&lt;Tnet,'2029'!Resal+('2029'!Salim-'2029'!Resal)*(1-EXP(('2029'!Tnet-t)/('2029'!Tau_j))),Resal+(Salim-Resal)*(1-EXP((Tnet-t)/(Tau_j))))*Salcycl</f>
        <v>1.8503680881664764E-2</v>
      </c>
      <c r="P57" s="165">
        <f>(INDEX(Models!$BJ57:$BT57,,T57)*(1-R57)+INDEX(Models!$BJ57:$BT57,,T57+1)*R57-ERP_i)*Q57*Ramure*Pc/MaxiM</f>
        <v>5.8668740097549458E-4</v>
      </c>
      <c r="Q57" s="301">
        <f t="shared" si="4"/>
        <v>0.5</v>
      </c>
      <c r="R57" s="173">
        <f t="shared" si="5"/>
        <v>0.47202556553307118</v>
      </c>
      <c r="S57" s="802">
        <f t="shared" si="6"/>
        <v>0</v>
      </c>
      <c r="T57" s="172">
        <f t="shared" si="7"/>
        <v>6</v>
      </c>
      <c r="U57" s="247">
        <f t="shared" si="8"/>
        <v>0.47202556553307118</v>
      </c>
      <c r="V57" s="378">
        <f t="shared" si="9"/>
        <v>28.960268910008615</v>
      </c>
      <c r="W57" s="397">
        <f t="shared" si="10"/>
        <v>22.679266564421745</v>
      </c>
      <c r="X57" s="153">
        <f t="shared" si="11"/>
        <v>47526</v>
      </c>
      <c r="Y57" s="380">
        <f t="shared" si="12"/>
        <v>21.867206532410453</v>
      </c>
      <c r="Z57" s="380">
        <f t="shared" si="22"/>
        <v>22.785186611423214</v>
      </c>
      <c r="AA57" s="381">
        <f t="shared" si="13"/>
        <v>23.945594187690226</v>
      </c>
      <c r="AB57" s="193">
        <f t="shared" si="14"/>
        <v>47526</v>
      </c>
      <c r="AC57" s="119">
        <f>IF(OR(t&lt;Tnet,NoTnet),'2029'!Resal_s+('2029'!Salim-'2029'!Resal_s)*(1-EXP(('2029'!Tnet_s-t)/'2029'!Tau_j)),Resal_s+(Salim-Resal_s)*(1-EXP((Tnet_s-t)/Tau_j)))*Salcycl</f>
        <v>4.8460170466913956E-2</v>
      </c>
      <c r="AD57" s="227">
        <f>(INDEX(Models!$BJ57:$BT57,,AH57)*(1-AF57)+INDEX(Models!$BJ57:$BT57,,AH57+1)*AF57-ERP_i)*AE57*Ramure*Pc/MaxiM</f>
        <v>8.4821811762484343E-3</v>
      </c>
      <c r="AE57" s="301">
        <f t="shared" si="15"/>
        <v>0.5</v>
      </c>
      <c r="AF57" s="173">
        <f t="shared" si="23"/>
        <v>0.99701313190704832</v>
      </c>
      <c r="AG57" s="802">
        <f t="shared" si="24"/>
        <v>3</v>
      </c>
      <c r="AH57" s="172">
        <f t="shared" si="16"/>
        <v>9</v>
      </c>
      <c r="AI57" s="221">
        <f t="shared" si="17"/>
        <v>3.9970131319070483</v>
      </c>
      <c r="AJ57" s="261" t="b">
        <f t="shared" si="18"/>
        <v>0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47527</v>
      </c>
      <c r="B58" s="406">
        <f>'2029'!Wh/'2029'!Env_an*'2030'!Env_an</f>
        <v>24.986251563982822</v>
      </c>
      <c r="C58" s="832"/>
      <c r="D58" s="388">
        <f t="shared" si="0"/>
        <v>26.035524808880687</v>
      </c>
      <c r="E58" s="380">
        <f t="shared" si="1"/>
        <v>26.527885149953235</v>
      </c>
      <c r="F58" s="380">
        <f t="shared" si="2"/>
        <v>26.538226952335542</v>
      </c>
      <c r="G58" s="110">
        <f t="shared" si="21"/>
        <v>0.85130835341085476</v>
      </c>
      <c r="H58" s="409" t="b">
        <f>Wh_hp&gt;='2029'!Maxi_hp</f>
        <v>0</v>
      </c>
      <c r="I58" s="385">
        <f>IF(H58,Wh_hp,'2029'!Maxi_hp)</f>
        <v>26.541007451756311</v>
      </c>
      <c r="J58" s="85">
        <f>IF(H58,An,'2029'!An_max)</f>
        <v>2022</v>
      </c>
      <c r="K58" s="193">
        <f t="shared" si="3"/>
        <v>47527</v>
      </c>
      <c r="L58" s="143">
        <f>IF(t&lt;Tvie,1-EXP((T0-t)*PertePVj)+'2029'!Pspv,1-EXP((T0-t)*PertePVj)+Pspv)</f>
        <v>4.0301597628635388E-2</v>
      </c>
      <c r="M58" s="836"/>
      <c r="N58" s="836"/>
      <c r="O58" s="48">
        <f>IF(t&lt;Tnet,'2029'!Resal+('2029'!Salim-'2029'!Resal)*(1-EXP(('2029'!Tnet-t)/('2029'!Tau_j))),Resal+(Salim-Resal)*(1-EXP((Tnet-t)/(Tau_j))))*Salcycl</f>
        <v>1.8560105273729866E-2</v>
      </c>
      <c r="P58" s="165">
        <f>(INDEX(Models!$BJ58:$BT58,,T58)*(1-R58)+INDEX(Models!$BJ58:$BT58,,T58+1)*R58-ERP_i)*Q58*Ramure*Pc/MaxiM</f>
        <v>4.9471757408723065E-4</v>
      </c>
      <c r="Q58" s="301">
        <f t="shared" si="4"/>
        <v>0.5</v>
      </c>
      <c r="R58" s="173">
        <f t="shared" si="5"/>
        <v>0.47218756760411035</v>
      </c>
      <c r="S58" s="802">
        <f t="shared" si="6"/>
        <v>0</v>
      </c>
      <c r="T58" s="172">
        <f t="shared" si="7"/>
        <v>6</v>
      </c>
      <c r="U58" s="247">
        <f t="shared" si="8"/>
        <v>0.47218756760411035</v>
      </c>
      <c r="V58" s="378">
        <f t="shared" si="9"/>
        <v>29.347329095443428</v>
      </c>
      <c r="W58" s="397">
        <f t="shared" si="10"/>
        <v>24.986251563982822</v>
      </c>
      <c r="X58" s="153">
        <f t="shared" si="11"/>
        <v>47527</v>
      </c>
      <c r="Y58" s="380">
        <f t="shared" si="12"/>
        <v>24.090270719614139</v>
      </c>
      <c r="Z58" s="380">
        <f t="shared" si="22"/>
        <v>25.101918123535832</v>
      </c>
      <c r="AA58" s="381">
        <f t="shared" si="13"/>
        <v>26.381131317630839</v>
      </c>
      <c r="AB58" s="193">
        <f t="shared" si="14"/>
        <v>47527</v>
      </c>
      <c r="AC58" s="119">
        <f>IF(OR(t&lt;Tnet,NoTnet),'2029'!Resal_s+('2029'!Salim-'2029'!Resal_s)*(1-EXP(('2029'!Tnet_s-t)/'2029'!Tau_j)),Resal_s+(Salim-Resal_s)*(1-EXP((Tnet_s-t)/Tau_j)))*Salcycl</f>
        <v>4.8489701927228991E-2</v>
      </c>
      <c r="AD58" s="227">
        <f>(INDEX(Models!$BJ58:$BT58,,AH58)*(1-AF58)+INDEX(Models!$BJ58:$BT58,,AH58+1)*AF58-ERP_i)*AE58*Ramure*Pc/MaxiM</f>
        <v>7.5149348660716831E-3</v>
      </c>
      <c r="AE58" s="301">
        <f t="shared" si="15"/>
        <v>0.5</v>
      </c>
      <c r="AF58" s="173">
        <f t="shared" si="23"/>
        <v>0.99717513397808766</v>
      </c>
      <c r="AG58" s="802">
        <f t="shared" si="24"/>
        <v>3</v>
      </c>
      <c r="AH58" s="172">
        <f t="shared" si="16"/>
        <v>9</v>
      </c>
      <c r="AI58" s="221">
        <f t="shared" si="17"/>
        <v>3.9971751339780877</v>
      </c>
      <c r="AJ58" s="261" t="b">
        <f t="shared" si="18"/>
        <v>0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47528</v>
      </c>
      <c r="B59" s="406">
        <f>'2029'!Wh/'2029'!Env_an*'2030'!Env_an</f>
        <v>16.042123360589809</v>
      </c>
      <c r="C59" s="832"/>
      <c r="D59" s="388">
        <f t="shared" si="0"/>
        <v>16.716025500462944</v>
      </c>
      <c r="E59" s="380">
        <f t="shared" si="1"/>
        <v>17.033122390995381</v>
      </c>
      <c r="F59" s="380">
        <f t="shared" si="2"/>
        <v>17.035532263233122</v>
      </c>
      <c r="G59" s="110">
        <f t="shared" si="21"/>
        <v>0.53933926769323459</v>
      </c>
      <c r="H59" s="409" t="b">
        <f>Wh_hp&gt;='2029'!Maxi_hp</f>
        <v>0</v>
      </c>
      <c r="I59" s="385">
        <f>IF(H59,Wh_hp,'2029'!Maxi_hp)</f>
        <v>17.04015432936102</v>
      </c>
      <c r="J59" s="85">
        <f>IF(H59,An,'2029'!An_max)</f>
        <v>2022</v>
      </c>
      <c r="K59" s="193">
        <f t="shared" si="3"/>
        <v>47528</v>
      </c>
      <c r="L59" s="143">
        <f>IF(t&lt;Tvie,1-EXP((T0-t)*PertePVj)+'2029'!Pspv,1-EXP((T0-t)*PertePVj)+Pspv)</f>
        <v>4.0314735093845755E-2</v>
      </c>
      <c r="M59" s="836"/>
      <c r="N59" s="836"/>
      <c r="O59" s="48">
        <f>IF(t&lt;Tnet,'2029'!Resal+('2029'!Salim-'2029'!Resal)*(1-EXP(('2029'!Tnet-t)/('2029'!Tau_j))),Resal+(Salim-Resal)*(1-EXP((Tnet-t)/(Tau_j))))*Salcycl</f>
        <v>1.8616486352500471E-2</v>
      </c>
      <c r="P59" s="165">
        <f>(INDEX(Models!$BJ59:$BT59,,T59)*(1-R59)+INDEX(Models!$BJ59:$BT59,,T59+1)*R59-ERP_i)*Q59*Ramure*Pc/MaxiM</f>
        <v>4.134815630760156E-4</v>
      </c>
      <c r="Q59" s="301">
        <f t="shared" si="4"/>
        <v>0.5</v>
      </c>
      <c r="R59" s="173">
        <f t="shared" si="5"/>
        <v>0.47235625366809209</v>
      </c>
      <c r="S59" s="802">
        <f t="shared" si="6"/>
        <v>0</v>
      </c>
      <c r="T59" s="172">
        <f t="shared" si="7"/>
        <v>6</v>
      </c>
      <c r="U59" s="247">
        <f t="shared" si="8"/>
        <v>0.47235625366809209</v>
      </c>
      <c r="V59" s="378">
        <f t="shared" si="9"/>
        <v>29.735937886841832</v>
      </c>
      <c r="W59" s="397">
        <f t="shared" si="10"/>
        <v>16.042123360589809</v>
      </c>
      <c r="X59" s="153">
        <f t="shared" si="11"/>
        <v>47528</v>
      </c>
      <c r="Y59" s="380">
        <f t="shared" si="12"/>
        <v>15.52025006608298</v>
      </c>
      <c r="Z59" s="380">
        <f t="shared" si="22"/>
        <v>16.172229202248587</v>
      </c>
      <c r="AA59" s="381">
        <f t="shared" si="13"/>
        <v>16.99690589046422</v>
      </c>
      <c r="AB59" s="193">
        <f t="shared" si="14"/>
        <v>47528</v>
      </c>
      <c r="AC59" s="119">
        <f>IF(OR(t&lt;Tnet,NoTnet),'2029'!Resal_s+('2029'!Salim-'2029'!Resal_s)*(1-EXP(('2029'!Tnet_s-t)/'2029'!Tau_j)),Resal_s+(Salim-Resal_s)*(1-EXP((Tnet_s-t)/Tau_j)))*Salcycl</f>
        <v>4.8519224235882896E-2</v>
      </c>
      <c r="AD59" s="227">
        <f>(INDEX(Models!$BJ59:$BT59,,AH59)*(1-AF59)+INDEX(Models!$BJ59:$BT59,,AH59+1)*AF59-ERP_i)*AE59*Ramure*Pc/MaxiM</f>
        <v>6.6274438695619851E-3</v>
      </c>
      <c r="AE59" s="301">
        <f t="shared" si="15"/>
        <v>0.5</v>
      </c>
      <c r="AF59" s="173">
        <f t="shared" si="23"/>
        <v>0.99734382004206923</v>
      </c>
      <c r="AG59" s="802">
        <f t="shared" si="24"/>
        <v>3</v>
      </c>
      <c r="AH59" s="172">
        <f t="shared" si="16"/>
        <v>9</v>
      </c>
      <c r="AI59" s="221">
        <f t="shared" si="17"/>
        <v>3.9973438200420692</v>
      </c>
      <c r="AJ59" s="261" t="b">
        <f t="shared" si="18"/>
        <v>0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47529</v>
      </c>
      <c r="B60" s="406">
        <f>'2029'!Wh/'2029'!Env_an*'2030'!Env_an</f>
        <v>20.649753678189718</v>
      </c>
      <c r="C60" s="832"/>
      <c r="D60" s="388">
        <f t="shared" si="0"/>
        <v>21.517509036533664</v>
      </c>
      <c r="E60" s="380">
        <f t="shared" si="1"/>
        <v>21.926947019825601</v>
      </c>
      <c r="F60" s="380">
        <f t="shared" si="2"/>
        <v>21.931084218703123</v>
      </c>
      <c r="G60" s="110">
        <f t="shared" si="21"/>
        <v>0.68534557011550734</v>
      </c>
      <c r="H60" s="409" t="b">
        <f>Wh_hp&gt;='2029'!Maxi_hp</f>
        <v>0</v>
      </c>
      <c r="I60" s="385">
        <f>IF(H60,Wh_hp,'2029'!Maxi_hp)</f>
        <v>21.934451021953191</v>
      </c>
      <c r="J60" s="85">
        <f>IF(H60,An,'2029'!An_max)</f>
        <v>2022</v>
      </c>
      <c r="K60" s="193">
        <f t="shared" si="3"/>
        <v>47529</v>
      </c>
      <c r="L60" s="143">
        <f>IF(t&lt;Tvie,1-EXP((T0-t)*PertePVj)+'2029'!Pspv,1-EXP((T0-t)*PertePVj)+Pspv)</f>
        <v>4.0327872379215424E-2</v>
      </c>
      <c r="M60" s="836"/>
      <c r="N60" s="836"/>
      <c r="O60" s="48">
        <f>IF(t&lt;Tnet,'2029'!Resal+('2029'!Salim-'2029'!Resal)*(1-EXP(('2029'!Tnet-t)/('2029'!Tau_j))),Resal+(Salim-Resal)*(1-EXP((Tnet-t)/(Tau_j))))*Salcycl</f>
        <v>1.8672822209208531E-2</v>
      </c>
      <c r="P60" s="165">
        <f>(INDEX(Models!$BJ60:$BT60,,T60)*(1-R60)+INDEX(Models!$BJ60:$BT60,,T60+1)*R60-ERP_i)*Q60*Ramure*Pc/MaxiM</f>
        <v>3.4259027684951649E-4</v>
      </c>
      <c r="Q60" s="301">
        <f t="shared" si="4"/>
        <v>0.5</v>
      </c>
      <c r="R60" s="173">
        <f t="shared" si="5"/>
        <v>0.47253189463442252</v>
      </c>
      <c r="S60" s="802">
        <f t="shared" si="6"/>
        <v>0</v>
      </c>
      <c r="T60" s="172">
        <f t="shared" si="7"/>
        <v>6</v>
      </c>
      <c r="U60" s="247">
        <f t="shared" si="8"/>
        <v>0.47253189463442252</v>
      </c>
      <c r="V60" s="378">
        <f t="shared" si="9"/>
        <v>30.125786253788672</v>
      </c>
      <c r="W60" s="397">
        <f t="shared" si="10"/>
        <v>20.649753678189718</v>
      </c>
      <c r="X60" s="153">
        <f t="shared" si="11"/>
        <v>47529</v>
      </c>
      <c r="Y60" s="380">
        <f t="shared" si="12"/>
        <v>19.960722132532279</v>
      </c>
      <c r="Z60" s="380">
        <f t="shared" si="22"/>
        <v>20.799522626564997</v>
      </c>
      <c r="AA60" s="381">
        <f t="shared" si="13"/>
        <v>21.860838627173774</v>
      </c>
      <c r="AB60" s="193">
        <f t="shared" si="14"/>
        <v>47529</v>
      </c>
      <c r="AC60" s="119">
        <f>IF(OR(t&lt;Tnet,NoTnet),'2029'!Resal_s+('2029'!Salim-'2029'!Resal_s)*(1-EXP(('2029'!Tnet_s-t)/'2029'!Tau_j)),Resal_s+(Salim-Resal_s)*(1-EXP((Tnet_s-t)/Tau_j)))*Salcycl</f>
        <v>4.8548732219702039E-2</v>
      </c>
      <c r="AD60" s="227">
        <f>(INDEX(Models!$BJ60:$BT60,,AH60)*(1-AF60)+INDEX(Models!$BJ60:$BT60,,AH60+1)*AF60-ERP_i)*AE60*Ramure*Pc/MaxiM</f>
        <v>5.8168479113331886E-3</v>
      </c>
      <c r="AE60" s="301">
        <f t="shared" si="15"/>
        <v>0.5</v>
      </c>
      <c r="AF60" s="173">
        <f t="shared" si="23"/>
        <v>0.9975194610083995</v>
      </c>
      <c r="AG60" s="802">
        <f t="shared" si="24"/>
        <v>3</v>
      </c>
      <c r="AH60" s="172">
        <f t="shared" si="16"/>
        <v>9</v>
      </c>
      <c r="AI60" s="221">
        <f t="shared" si="17"/>
        <v>3.9975194610083995</v>
      </c>
      <c r="AJ60" s="261" t="b">
        <f t="shared" si="18"/>
        <v>0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47530</v>
      </c>
      <c r="B61" s="406">
        <f>'2029'!Wh/'2029'!Env_an*'2030'!Env_an</f>
        <v>9.8069164527950097</v>
      </c>
      <c r="C61" s="832"/>
      <c r="D61" s="388">
        <f t="shared" si="0"/>
        <v>10.219168006261837</v>
      </c>
      <c r="E61" s="380">
        <f t="shared" si="1"/>
        <v>10.414217033040577</v>
      </c>
      <c r="F61" s="380">
        <f t="shared" si="2"/>
        <v>10.414306558882021</v>
      </c>
      <c r="G61" s="110">
        <f t="shared" si="21"/>
        <v>0.32127594816365485</v>
      </c>
      <c r="H61" s="409" t="b">
        <f>Wh_hp&gt;='2029'!Maxi_hp</f>
        <v>0</v>
      </c>
      <c r="I61" s="385">
        <f>IF(H61,Wh_hp,'2029'!Maxi_hp)</f>
        <v>10.417141926380237</v>
      </c>
      <c r="J61" s="85">
        <f>IF(H61,An,'2029'!An_max)</f>
        <v>2022</v>
      </c>
      <c r="K61" s="193">
        <f t="shared" si="3"/>
        <v>47530</v>
      </c>
      <c r="L61" s="143">
        <f>IF(t&lt;Tvie,1-EXP((T0-t)*PertePVj)+'2029'!Pspv,1-EXP((T0-t)*PertePVj)+Pspv)</f>
        <v>4.0341009484746615E-2</v>
      </c>
      <c r="M61" s="836"/>
      <c r="N61" s="836"/>
      <c r="O61" s="48">
        <f>IF(t&lt;Tnet,'2029'!Resal+('2029'!Salim-'2029'!Resal)*(1-EXP(('2029'!Tnet-t)/('2029'!Tau_j))),Resal+(Salim-Resal)*(1-EXP((Tnet-t)/(Tau_j))))*Salcycl</f>
        <v>1.8729110998927646E-2</v>
      </c>
      <c r="P61" s="165">
        <f>(INDEX(Models!$BJ61:$BT61,,T61)*(1-R61)+INDEX(Models!$BJ61:$BT61,,T61+1)*R61-ERP_i)*Q61*Ramure*Pc/MaxiM</f>
        <v>2.8166930951650695E-4</v>
      </c>
      <c r="Q61" s="301">
        <f t="shared" si="4"/>
        <v>0.5</v>
      </c>
      <c r="R61" s="173">
        <f t="shared" si="5"/>
        <v>0.47271477198021061</v>
      </c>
      <c r="S61" s="802">
        <f t="shared" si="6"/>
        <v>0</v>
      </c>
      <c r="T61" s="172">
        <f t="shared" si="7"/>
        <v>6</v>
      </c>
      <c r="U61" s="247">
        <f t="shared" si="8"/>
        <v>0.47271477198021061</v>
      </c>
      <c r="V61" s="378">
        <f t="shared" si="9"/>
        <v>30.516565223393144</v>
      </c>
      <c r="W61" s="397">
        <f t="shared" si="10"/>
        <v>9.8069164527950097</v>
      </c>
      <c r="X61" s="153">
        <f t="shared" si="11"/>
        <v>47530</v>
      </c>
      <c r="Y61" s="380">
        <f t="shared" si="12"/>
        <v>9.5072089624383427</v>
      </c>
      <c r="Z61" s="380">
        <f t="shared" si="22"/>
        <v>9.9068617669426491</v>
      </c>
      <c r="AA61" s="381">
        <f t="shared" si="13"/>
        <v>10.412691810080805</v>
      </c>
      <c r="AB61" s="193">
        <f t="shared" si="14"/>
        <v>47530</v>
      </c>
      <c r="AC61" s="119">
        <f>IF(OR(t&lt;Tnet,NoTnet),'2029'!Resal_s+('2029'!Salim-'2029'!Resal_s)*(1-EXP(('2029'!Tnet_s-t)/'2029'!Tau_j)),Resal_s+(Salim-Resal_s)*(1-EXP((Tnet_s-t)/Tau_j)))*Salcycl</f>
        <v>4.8578220921553381E-2</v>
      </c>
      <c r="AD61" s="227">
        <f>(INDEX(Models!$BJ61:$BT61,,AH61)*(1-AF61)+INDEX(Models!$BJ61:$BT61,,AH61+1)*AF61-ERP_i)*AE61*Ramure*Pc/MaxiM</f>
        <v>5.0803787213575449E-3</v>
      </c>
      <c r="AE61" s="301">
        <f t="shared" si="15"/>
        <v>0.5</v>
      </c>
      <c r="AF61" s="173">
        <f t="shared" si="23"/>
        <v>0.99770233835418765</v>
      </c>
      <c r="AG61" s="802">
        <f t="shared" si="24"/>
        <v>3</v>
      </c>
      <c r="AH61" s="172">
        <f t="shared" si="16"/>
        <v>9</v>
      </c>
      <c r="AI61" s="221">
        <f t="shared" si="17"/>
        <v>3.9977023383541876</v>
      </c>
      <c r="AJ61" s="261" t="b">
        <f t="shared" si="18"/>
        <v>0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47531</v>
      </c>
      <c r="B62" s="406">
        <f>'2029'!Wh/'2029'!Env_an*'2030'!Env_an</f>
        <v>11.784770518686269</v>
      </c>
      <c r="C62" s="832"/>
      <c r="D62" s="388">
        <f t="shared" si="0"/>
        <v>12.280332869261406</v>
      </c>
      <c r="E62" s="380">
        <f t="shared" si="1"/>
        <v>12.515439798434658</v>
      </c>
      <c r="F62" s="380">
        <f t="shared" si="2"/>
        <v>12.515774594453019</v>
      </c>
      <c r="G62" s="110">
        <f t="shared" si="21"/>
        <v>0.38120823002537663</v>
      </c>
      <c r="H62" s="409" t="b">
        <f>Wh_hp&gt;='2029'!Maxi_hp</f>
        <v>0</v>
      </c>
      <c r="I62" s="385">
        <f>IF(H62,Wh_hp,'2029'!Maxi_hp)</f>
        <v>12.518314703244648</v>
      </c>
      <c r="J62" s="85">
        <f>IF(H62,An,'2029'!An_max)</f>
        <v>2022</v>
      </c>
      <c r="K62" s="193">
        <f t="shared" si="3"/>
        <v>47531</v>
      </c>
      <c r="L62" s="143">
        <f>IF(t&lt;Tvie,1-EXP((T0-t)*PertePVj)+'2029'!Pspv,1-EXP((T0-t)*PertePVj)+Pspv)</f>
        <v>4.0354146410441882E-2</v>
      </c>
      <c r="M62" s="836"/>
      <c r="N62" s="836"/>
      <c r="O62" s="48">
        <f>IF(t&lt;Tnet,'2029'!Resal+('2029'!Salim-'2029'!Resal)*(1-EXP(('2029'!Tnet-t)/('2029'!Tau_j))),Resal+(Salim-Resal)*(1-EXP((Tnet-t)/(Tau_j))))*Salcycl</f>
        <v>1.8785350971258569E-2</v>
      </c>
      <c r="P62" s="165">
        <f>(INDEX(Models!$BJ62:$BT62,,T62)*(1-R62)+INDEX(Models!$BJ62:$BT62,,T62+1)*R62-ERP_i)*Q62*Ramure*Pc/MaxiM</f>
        <v>2.3035919777077989E-4</v>
      </c>
      <c r="Q62" s="301">
        <f t="shared" si="4"/>
        <v>0.5</v>
      </c>
      <c r="R62" s="173">
        <f t="shared" si="5"/>
        <v>0.47290517812736693</v>
      </c>
      <c r="S62" s="802">
        <f t="shared" si="6"/>
        <v>0</v>
      </c>
      <c r="T62" s="172">
        <f t="shared" si="7"/>
        <v>6</v>
      </c>
      <c r="U62" s="247">
        <f t="shared" si="8"/>
        <v>0.47290517812736693</v>
      </c>
      <c r="V62" s="378">
        <f t="shared" si="9"/>
        <v>30.907965877720994</v>
      </c>
      <c r="W62" s="397">
        <f t="shared" si="10"/>
        <v>11.784770518686269</v>
      </c>
      <c r="X62" s="153">
        <f t="shared" si="11"/>
        <v>47531</v>
      </c>
      <c r="Y62" s="380">
        <f t="shared" si="12"/>
        <v>11.421039478135512</v>
      </c>
      <c r="Z62" s="380">
        <f t="shared" si="22"/>
        <v>11.901306544924964</v>
      </c>
      <c r="AA62" s="381">
        <f t="shared" si="13"/>
        <v>12.509357460379059</v>
      </c>
      <c r="AB62" s="193">
        <f t="shared" si="14"/>
        <v>47531</v>
      </c>
      <c r="AC62" s="119">
        <f>IF(OR(t&lt;Tnet,NoTnet),'2029'!Resal_s+('2029'!Salim-'2029'!Resal_s)*(1-EXP(('2029'!Tnet_s-t)/'2029'!Tau_j)),Resal_s+(Salim-Resal_s)*(1-EXP((Tnet_s-t)/Tau_j)))*Salcycl</f>
        <v>4.8607685676900415E-2</v>
      </c>
      <c r="AD62" s="227">
        <f>(INDEX(Models!$BJ62:$BT62,,AH62)*(1-AF62)+INDEX(Models!$BJ62:$BT62,,AH62+1)*AF62-ERP_i)*AE62*Ramure*Pc/MaxiM</f>
        <v>4.4153627169790186E-3</v>
      </c>
      <c r="AE62" s="301">
        <f t="shared" si="15"/>
        <v>0.5</v>
      </c>
      <c r="AF62" s="173">
        <f t="shared" si="23"/>
        <v>0.99789274450134391</v>
      </c>
      <c r="AG62" s="802">
        <f t="shared" si="24"/>
        <v>3</v>
      </c>
      <c r="AH62" s="172">
        <f t="shared" si="16"/>
        <v>9</v>
      </c>
      <c r="AI62" s="221">
        <f t="shared" si="17"/>
        <v>3.9978927445013439</v>
      </c>
      <c r="AJ62" s="261" t="b">
        <f t="shared" si="18"/>
        <v>0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47532</v>
      </c>
      <c r="B63" s="406">
        <f>'2029'!Wh/'2029'!Env_an*'2030'!Env_an</f>
        <v>27.614631037035846</v>
      </c>
      <c r="C63" s="832"/>
      <c r="D63" s="388">
        <f t="shared" si="0"/>
        <v>28.776250071863355</v>
      </c>
      <c r="E63" s="380">
        <f t="shared" si="1"/>
        <v>29.328850802100437</v>
      </c>
      <c r="F63" s="380">
        <f t="shared" si="2"/>
        <v>29.333445663845474</v>
      </c>
      <c r="G63" s="110">
        <f t="shared" si="21"/>
        <v>0.88223767235605888</v>
      </c>
      <c r="H63" s="409" t="b">
        <f>Wh_hp&gt;='2029'!Maxi_hp</f>
        <v>0</v>
      </c>
      <c r="I63" s="385">
        <f>IF(H63,Wh_hp,'2029'!Maxi_hp)</f>
        <v>29.334371482242279</v>
      </c>
      <c r="J63" s="85">
        <f>IF(H63,An,'2029'!An_max)</f>
        <v>2022</v>
      </c>
      <c r="K63" s="193">
        <f t="shared" si="3"/>
        <v>47532</v>
      </c>
      <c r="L63" s="143">
        <f>IF(t&lt;Tvie,1-EXP((T0-t)*PertePVj)+'2029'!Pspv,1-EXP((T0-t)*PertePVj)+Pspv)</f>
        <v>4.0367283156303557E-2</v>
      </c>
      <c r="M63" s="836"/>
      <c r="N63" s="836"/>
      <c r="O63" s="48">
        <f>IF(t&lt;Tnet,'2029'!Resal+('2029'!Salim-'2029'!Resal)*(1-EXP(('2029'!Tnet-t)/('2029'!Tau_j))),Resal+(Salim-Resal)*(1-EXP((Tnet-t)/(Tau_j))))*Salcycl</f>
        <v>1.8841540501051815E-2</v>
      </c>
      <c r="P63" s="165">
        <f>(INDEX(Models!$BJ63:$BT63,,T63)*(1-R63)+INDEX(Models!$BJ63:$BT63,,T63+1)*R63-ERP_i)*Q63*Ramure*Pc/MaxiM</f>
        <v>1.8831558311952436E-4</v>
      </c>
      <c r="Q63" s="301">
        <f t="shared" si="4"/>
        <v>0.5</v>
      </c>
      <c r="R63" s="173">
        <f t="shared" si="5"/>
        <v>0.4731034168301152</v>
      </c>
      <c r="S63" s="802">
        <f t="shared" si="6"/>
        <v>0</v>
      </c>
      <c r="T63" s="172">
        <f t="shared" si="7"/>
        <v>6</v>
      </c>
      <c r="U63" s="247">
        <f t="shared" si="8"/>
        <v>0.4731034168301152</v>
      </c>
      <c r="V63" s="378">
        <f t="shared" si="9"/>
        <v>31.299679352152708</v>
      </c>
      <c r="W63" s="397">
        <f t="shared" si="10"/>
        <v>27.614631037035846</v>
      </c>
      <c r="X63" s="153">
        <f t="shared" si="11"/>
        <v>47532</v>
      </c>
      <c r="Y63" s="380">
        <f t="shared" si="12"/>
        <v>26.695154498639031</v>
      </c>
      <c r="Z63" s="380">
        <f t="shared" si="22"/>
        <v>27.818095433887859</v>
      </c>
      <c r="AA63" s="381">
        <f t="shared" si="13"/>
        <v>29.24025740620224</v>
      </c>
      <c r="AB63" s="193">
        <f t="shared" si="14"/>
        <v>47532</v>
      </c>
      <c r="AC63" s="119">
        <f>IF(OR(t&lt;Tnet,NoTnet),'2029'!Resal_s+('2029'!Salim-'2029'!Resal_s)*(1-EXP(('2029'!Tnet_s-t)/'2029'!Tau_j)),Resal_s+(Salim-Resal_s)*(1-EXP((Tnet_s-t)/Tau_j)))*Salcycl</f>
        <v>4.8637122189380017E-2</v>
      </c>
      <c r="AD63" s="227">
        <f>(INDEX(Models!$BJ63:$BT63,,AH63)*(1-AF63)+INDEX(Models!$BJ63:$BT63,,AH63+1)*AF63-ERP_i)*AE63*Ramure*Pc/MaxiM</f>
        <v>3.8192228736648199E-3</v>
      </c>
      <c r="AE63" s="301">
        <f t="shared" si="15"/>
        <v>0.5</v>
      </c>
      <c r="AF63" s="173">
        <f t="shared" si="23"/>
        <v>0.99809098320409229</v>
      </c>
      <c r="AG63" s="802">
        <f t="shared" si="24"/>
        <v>3</v>
      </c>
      <c r="AH63" s="172">
        <f t="shared" si="16"/>
        <v>9</v>
      </c>
      <c r="AI63" s="221">
        <f t="shared" si="17"/>
        <v>3.9980909832040923</v>
      </c>
      <c r="AJ63" s="261" t="b">
        <f t="shared" si="18"/>
        <v>0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47533</v>
      </c>
      <c r="B64" s="406">
        <f>'2029'!Wh/'2029'!Env_an*'2030'!Env_an</f>
        <v>16.669276324447008</v>
      </c>
      <c r="C64" s="832"/>
      <c r="D64" s="388">
        <f t="shared" si="0"/>
        <v>17.370713006526771</v>
      </c>
      <c r="E64" s="380">
        <f t="shared" si="1"/>
        <v>17.705302106737129</v>
      </c>
      <c r="F64" s="380">
        <f t="shared" si="2"/>
        <v>17.70618932213852</v>
      </c>
      <c r="G64" s="110">
        <f t="shared" si="21"/>
        <v>0.52593214348190387</v>
      </c>
      <c r="H64" s="409" t="b">
        <f>Wh_hp&gt;='2029'!Maxi_hp</f>
        <v>0</v>
      </c>
      <c r="I64" s="385">
        <f>IF(H64,Wh_hp,'2029'!Maxi_hp)</f>
        <v>17.708043029969524</v>
      </c>
      <c r="J64" s="85">
        <f>IF(H64,An,'2029'!An_max)</f>
        <v>2022</v>
      </c>
      <c r="K64" s="193">
        <f t="shared" si="3"/>
        <v>47533</v>
      </c>
      <c r="L64" s="143">
        <f>IF(t&lt;Tvie,1-EXP((T0-t)*PertePVj)+'2029'!Pspv,1-EXP((T0-t)*PertePVj)+Pspv)</f>
        <v>4.0380419722334304E-2</v>
      </c>
      <c r="M64" s="836"/>
      <c r="N64" s="836"/>
      <c r="O64" s="48">
        <f>IF(t&lt;Tnet,'2029'!Resal+('2029'!Salim-'2029'!Resal)*(1-EXP(('2029'!Tnet-t)/('2029'!Tau_j))),Resal+(Salim-Resal)*(1-EXP((Tnet-t)/(Tau_j))))*Salcycl</f>
        <v>1.8897678118863802E-2</v>
      </c>
      <c r="P64" s="165">
        <f>(INDEX(Models!$BJ64:$BT64,,T64)*(1-R64)+INDEX(Models!$BJ64:$BT64,,T64+1)*R64-ERP_i)*Q64*Ramure*Pc/MaxiM</f>
        <v>1.5520929580785741E-4</v>
      </c>
      <c r="Q64" s="301">
        <f t="shared" si="4"/>
        <v>0.5</v>
      </c>
      <c r="R64" s="173">
        <f t="shared" si="5"/>
        <v>0.47330980357292418</v>
      </c>
      <c r="S64" s="802">
        <f t="shared" si="6"/>
        <v>0</v>
      </c>
      <c r="T64" s="172">
        <f t="shared" si="7"/>
        <v>6</v>
      </c>
      <c r="U64" s="247">
        <f t="shared" si="8"/>
        <v>0.47330980357292418</v>
      </c>
      <c r="V64" s="378">
        <f t="shared" si="9"/>
        <v>31.691396836491194</v>
      </c>
      <c r="W64" s="397">
        <f t="shared" si="10"/>
        <v>16.669276324447008</v>
      </c>
      <c r="X64" s="153">
        <f t="shared" si="11"/>
        <v>47533</v>
      </c>
      <c r="Y64" s="380">
        <f t="shared" si="12"/>
        <v>16.147136934994236</v>
      </c>
      <c r="Z64" s="380">
        <f t="shared" si="22"/>
        <v>16.826602194092441</v>
      </c>
      <c r="AA64" s="381">
        <f t="shared" si="13"/>
        <v>17.687385827009162</v>
      </c>
      <c r="AB64" s="193">
        <f t="shared" si="14"/>
        <v>47533</v>
      </c>
      <c r="AC64" s="119">
        <f>IF(OR(t&lt;Tnet,NoTnet),'2029'!Resal_s+('2029'!Salim-'2029'!Resal_s)*(1-EXP(('2029'!Tnet_s-t)/'2029'!Tau_j)),Resal_s+(Salim-Resal_s)*(1-EXP((Tnet_s-t)/Tau_j)))*Salcycl</f>
        <v>4.866652660464274E-2</v>
      </c>
      <c r="AD64" s="227">
        <f>(INDEX(Models!$BJ64:$BT64,,AH64)*(1-AF64)+INDEX(Models!$BJ64:$BT64,,AH64+1)*AF64-ERP_i)*AE64*Ramure*Pc/MaxiM</f>
        <v>3.2894799089145887E-3</v>
      </c>
      <c r="AE64" s="301">
        <f t="shared" si="15"/>
        <v>0.5</v>
      </c>
      <c r="AF64" s="173">
        <f t="shared" si="23"/>
        <v>0.9982973699469011</v>
      </c>
      <c r="AG64" s="802">
        <f t="shared" si="24"/>
        <v>3</v>
      </c>
      <c r="AH64" s="172">
        <f t="shared" si="16"/>
        <v>9</v>
      </c>
      <c r="AI64" s="221">
        <f t="shared" si="17"/>
        <v>3.9982973699469011</v>
      </c>
      <c r="AJ64" s="261" t="b">
        <f t="shared" si="18"/>
        <v>0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47534</v>
      </c>
      <c r="B65" s="406">
        <f>'2029'!Wh/'2029'!Env_an*'2030'!Env_an</f>
        <v>20.99002739656202</v>
      </c>
      <c r="C65" s="832"/>
      <c r="D65" s="388">
        <f t="shared" si="0"/>
        <v>21.873579038758628</v>
      </c>
      <c r="E65" s="380">
        <f t="shared" si="1"/>
        <v>22.296175453880636</v>
      </c>
      <c r="F65" s="380">
        <f t="shared" si="2"/>
        <v>22.297650534769812</v>
      </c>
      <c r="G65" s="110">
        <f t="shared" si="21"/>
        <v>0.65419641345008028</v>
      </c>
      <c r="H65" s="409" t="b">
        <f>Wh_hp&gt;='2029'!Maxi_hp</f>
        <v>0</v>
      </c>
      <c r="I65" s="385">
        <f>IF(H65,Wh_hp,'2029'!Maxi_hp)</f>
        <v>22.299083982726547</v>
      </c>
      <c r="J65" s="85">
        <f>IF(H65,An,'2029'!An_max)</f>
        <v>2022</v>
      </c>
      <c r="K65" s="193">
        <f t="shared" si="3"/>
        <v>47534</v>
      </c>
      <c r="L65" s="143">
        <f>IF(t&lt;Tvie,1-EXP((T0-t)*PertePVj)+'2029'!Pspv,1-EXP((T0-t)*PertePVj)+Pspv)</f>
        <v>4.0393556108536566E-2</v>
      </c>
      <c r="M65" s="836"/>
      <c r="N65" s="836"/>
      <c r="O65" s="48">
        <f>IF(t&lt;Tnet,'2029'!Resal+('2029'!Salim-'2029'!Resal)*(1-EXP(('2029'!Tnet-t)/('2029'!Tau_j))),Resal+(Salim-Resal)*(1-EXP((Tnet-t)/(Tau_j))))*Salcycl</f>
        <v>1.8953762540851141E-2</v>
      </c>
      <c r="P65" s="165">
        <f>(INDEX(Models!$BJ65:$BT65,,T65)*(1-R65)+INDEX(Models!$BJ65:$BT65,,T65+1)*R65-ERP_i)*Q65*Ramure*Pc/MaxiM</f>
        <v>1.3072504926617582E-4</v>
      </c>
      <c r="Q65" s="301">
        <f t="shared" si="4"/>
        <v>0.5</v>
      </c>
      <c r="R65" s="173">
        <f t="shared" si="5"/>
        <v>0.47352466597883447</v>
      </c>
      <c r="S65" s="802">
        <f t="shared" si="6"/>
        <v>0</v>
      </c>
      <c r="T65" s="172">
        <f t="shared" si="7"/>
        <v>6</v>
      </c>
      <c r="U65" s="247">
        <f t="shared" si="8"/>
        <v>0.47352466597883447</v>
      </c>
      <c r="V65" s="378">
        <f t="shared" si="9"/>
        <v>32.083135170527008</v>
      </c>
      <c r="W65" s="397">
        <f t="shared" si="10"/>
        <v>20.99002739656202</v>
      </c>
      <c r="X65" s="153">
        <f t="shared" si="11"/>
        <v>47534</v>
      </c>
      <c r="Y65" s="380">
        <f t="shared" si="12"/>
        <v>20.325938037501185</v>
      </c>
      <c r="Z65" s="380">
        <f t="shared" si="22"/>
        <v>21.181535583560709</v>
      </c>
      <c r="AA65" s="381">
        <f t="shared" si="13"/>
        <v>22.26578807469086</v>
      </c>
      <c r="AB65" s="193">
        <f t="shared" si="14"/>
        <v>47534</v>
      </c>
      <c r="AC65" s="119">
        <f>IF(OR(t&lt;Tnet,NoTnet),'2029'!Resal_s+('2029'!Salim-'2029'!Resal_s)*(1-EXP(('2029'!Tnet_s-t)/'2029'!Tau_j)),Resal_s+(Salim-Resal_s)*(1-EXP((Tnet_s-t)/Tau_j)))*Salcycl</f>
        <v>4.869589558173347E-2</v>
      </c>
      <c r="AD65" s="227">
        <f>(INDEX(Models!$BJ65:$BT65,,AH65)*(1-AF65)+INDEX(Models!$BJ65:$BT65,,AH65+1)*AF65-ERP_i)*AE65*Ramure*Pc/MaxiM</f>
        <v>2.8237242405701689E-3</v>
      </c>
      <c r="AE65" s="301">
        <f t="shared" si="15"/>
        <v>0.5</v>
      </c>
      <c r="AF65" s="173">
        <f t="shared" si="23"/>
        <v>0.9985122323528115</v>
      </c>
      <c r="AG65" s="802">
        <f t="shared" si="24"/>
        <v>3</v>
      </c>
      <c r="AH65" s="172">
        <f t="shared" si="16"/>
        <v>9</v>
      </c>
      <c r="AI65" s="221">
        <f t="shared" si="17"/>
        <v>3.9985122323528115</v>
      </c>
      <c r="AJ65" s="261" t="b">
        <f t="shared" si="18"/>
        <v>0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47535</v>
      </c>
      <c r="B66" s="406">
        <f>'2029'!Wh/'2029'!Env_an*'2030'!Env_an</f>
        <v>18.507498280068681</v>
      </c>
      <c r="C66" s="832"/>
      <c r="D66" s="388">
        <f t="shared" si="0"/>
        <v>19.286814666013012</v>
      </c>
      <c r="E66" s="380">
        <f t="shared" si="1"/>
        <v>19.660557794000422</v>
      </c>
      <c r="F66" s="380">
        <f t="shared" si="2"/>
        <v>19.661425537092772</v>
      </c>
      <c r="G66" s="110">
        <f t="shared" si="21"/>
        <v>0.56985527669614455</v>
      </c>
      <c r="H66" s="409" t="b">
        <f>Wh_hp&gt;='2029'!Maxi_hp</f>
        <v>0</v>
      </c>
      <c r="I66" s="385">
        <f>IF(H66,Wh_hp,'2029'!Maxi_hp)</f>
        <v>19.662801372105708</v>
      </c>
      <c r="J66" s="85">
        <f>IF(H66,An,'2029'!An_max)</f>
        <v>2022</v>
      </c>
      <c r="K66" s="193">
        <f t="shared" si="3"/>
        <v>47535</v>
      </c>
      <c r="L66" s="143">
        <f>IF(t&lt;Tvie,1-EXP((T0-t)*PertePVj)+'2029'!Pspv,1-EXP((T0-t)*PertePVj)+Pspv)</f>
        <v>4.0406692314912562E-2</v>
      </c>
      <c r="M66" s="836"/>
      <c r="N66" s="836"/>
      <c r="O66" s="48">
        <f>IF(t&lt;Tnet,'2029'!Resal+('2029'!Salim-'2029'!Resal)*(1-EXP(('2029'!Tnet-t)/('2029'!Tau_j))),Resal+(Salim-Resal)*(1-EXP((Tnet-t)/(Tau_j))))*Salcycl</f>
        <v>1.9009792697817548E-2</v>
      </c>
      <c r="P66" s="165">
        <f>(INDEX(Models!$BJ66:$BT66,,T66)*(1-R66)+INDEX(Models!$BJ66:$BT66,,T66+1)*R66-ERP_i)*Q66*Ramure*Pc/MaxiM</f>
        <v>1.1446660001040582E-4</v>
      </c>
      <c r="Q66" s="301">
        <f t="shared" si="4"/>
        <v>0.5</v>
      </c>
      <c r="R66" s="173">
        <f t="shared" si="5"/>
        <v>0.47374834422812107</v>
      </c>
      <c r="S66" s="802">
        <f t="shared" si="6"/>
        <v>0</v>
      </c>
      <c r="T66" s="172">
        <f t="shared" si="7"/>
        <v>6</v>
      </c>
      <c r="U66" s="247">
        <f t="shared" si="8"/>
        <v>0.47374834422812107</v>
      </c>
      <c r="V66" s="378">
        <f t="shared" si="9"/>
        <v>32.475256971977906</v>
      </c>
      <c r="W66" s="397">
        <f t="shared" si="10"/>
        <v>18.507498280068681</v>
      </c>
      <c r="X66" s="153">
        <f t="shared" si="11"/>
        <v>47535</v>
      </c>
      <c r="Y66" s="380">
        <f t="shared" si="12"/>
        <v>17.930867557778754</v>
      </c>
      <c r="Z66" s="380">
        <f t="shared" si="22"/>
        <v>18.685903094754782</v>
      </c>
      <c r="AA66" s="381">
        <f t="shared" si="13"/>
        <v>19.643013367505084</v>
      </c>
      <c r="AB66" s="193">
        <f t="shared" si="14"/>
        <v>47535</v>
      </c>
      <c r="AC66" s="119">
        <f>IF(OR(t&lt;Tnet,NoTnet),'2029'!Resal_s+('2029'!Salim-'2029'!Resal_s)*(1-EXP(('2029'!Tnet_s-t)/'2029'!Tau_j)),Resal_s+(Salim-Resal_s)*(1-EXP((Tnet_s-t)/Tau_j)))*Salcycl</f>
        <v>4.8725226361329206E-2</v>
      </c>
      <c r="AD66" s="227">
        <f>(INDEX(Models!$BJ66:$BT66,,AH66)*(1-AF66)+INDEX(Models!$BJ66:$BT66,,AH66+1)*AF66-ERP_i)*AE66*Ramure*Pc/MaxiM</f>
        <v>2.4288046428737773E-3</v>
      </c>
      <c r="AE66" s="301">
        <f t="shared" si="15"/>
        <v>0.5</v>
      </c>
      <c r="AF66" s="173">
        <f t="shared" si="23"/>
        <v>0.9987359106020981</v>
      </c>
      <c r="AG66" s="802">
        <f t="shared" si="24"/>
        <v>3</v>
      </c>
      <c r="AH66" s="172">
        <f t="shared" si="16"/>
        <v>9</v>
      </c>
      <c r="AI66" s="221">
        <f t="shared" si="17"/>
        <v>3.9987359106020981</v>
      </c>
      <c r="AJ66" s="261" t="b">
        <f t="shared" si="18"/>
        <v>0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47536</v>
      </c>
      <c r="B67" s="406">
        <f>'2029'!Wh/'2029'!Env_an*'2030'!Env_an</f>
        <v>30.243657627567561</v>
      </c>
      <c r="C67" s="832"/>
      <c r="D67" s="388">
        <f t="shared" si="0"/>
        <v>31.517593340110949</v>
      </c>
      <c r="E67" s="380">
        <f t="shared" si="1"/>
        <v>32.130179888044388</v>
      </c>
      <c r="F67" s="380">
        <f t="shared" si="2"/>
        <v>32.133048040083672</v>
      </c>
      <c r="G67" s="110">
        <f t="shared" si="21"/>
        <v>0.92014046020014195</v>
      </c>
      <c r="H67" s="409" t="b">
        <f>Wh_hp&gt;='2029'!Maxi_hp</f>
        <v>0</v>
      </c>
      <c r="I67" s="385">
        <f>IF(H67,Wh_hp,'2029'!Maxi_hp)</f>
        <v>32.133415210523701</v>
      </c>
      <c r="J67" s="85">
        <f>IF(H67,An,'2029'!An_max)</f>
        <v>2022</v>
      </c>
      <c r="K67" s="193">
        <f t="shared" si="3"/>
        <v>47536</v>
      </c>
      <c r="L67" s="143">
        <f>IF(t&lt;Tvie,1-EXP((T0-t)*PertePVj)+'2029'!Pspv,1-EXP((T0-t)*PertePVj)+Pspv)</f>
        <v>4.0419828341465069E-2</v>
      </c>
      <c r="M67" s="836"/>
      <c r="N67" s="836"/>
      <c r="O67" s="48">
        <f>IF(t&lt;Tnet,'2029'!Resal+('2029'!Salim-'2029'!Resal)*(1-EXP(('2029'!Tnet-t)/('2029'!Tau_j))),Resal+(Salim-Resal)*(1-EXP((Tnet-t)/(Tau_j))))*Salcycl</f>
        <v>1.906576776314238E-2</v>
      </c>
      <c r="P67" s="165">
        <f>(INDEX(Models!$BJ67:$BT67,,T67)*(1-R67)+INDEX(Models!$BJ67:$BT67,,T67+1)*R67-ERP_i)*Q67*Ramure*Pc/MaxiM</f>
        <v>1.0075133567766389E-4</v>
      </c>
      <c r="Q67" s="301">
        <f t="shared" si="4"/>
        <v>0.5</v>
      </c>
      <c r="R67" s="173">
        <f t="shared" si="5"/>
        <v>0.47398119148719037</v>
      </c>
      <c r="S67" s="802">
        <f t="shared" si="6"/>
        <v>0</v>
      </c>
      <c r="T67" s="172">
        <f t="shared" si="7"/>
        <v>6</v>
      </c>
      <c r="U67" s="247">
        <f t="shared" si="8"/>
        <v>0.47398119148719037</v>
      </c>
      <c r="V67" s="378">
        <f t="shared" si="9"/>
        <v>32.868144944618848</v>
      </c>
      <c r="W67" s="397">
        <f t="shared" si="10"/>
        <v>30.243657627567561</v>
      </c>
      <c r="X67" s="153">
        <f t="shared" si="11"/>
        <v>47536</v>
      </c>
      <c r="Y67" s="380">
        <f t="shared" si="12"/>
        <v>29.276732456301811</v>
      </c>
      <c r="Z67" s="380">
        <f t="shared" si="22"/>
        <v>30.509938951427074</v>
      </c>
      <c r="AA67" s="381">
        <f t="shared" si="13"/>
        <v>32.073675503572318</v>
      </c>
      <c r="AB67" s="193">
        <f t="shared" si="14"/>
        <v>47536</v>
      </c>
      <c r="AC67" s="119">
        <f>IF(OR(t&lt;Tnet,NoTnet),'2029'!Resal_s+('2029'!Salim-'2029'!Resal_s)*(1-EXP(('2029'!Tnet_s-t)/'2029'!Tau_j)),Resal_s+(Salim-Resal_s)*(1-EXP((Tnet_s-t)/Tau_j)))*Salcycl</f>
        <v>4.8754516830198588E-2</v>
      </c>
      <c r="AD67" s="227">
        <f>(INDEX(Models!$BJ67:$BT67,,AH67)*(1-AF67)+INDEX(Models!$BJ67:$BT67,,AH67+1)*AF67-ERP_i)*AE67*Ramure*Pc/MaxiM</f>
        <v>2.0856155023004086E-3</v>
      </c>
      <c r="AE67" s="301">
        <f t="shared" si="15"/>
        <v>0.5</v>
      </c>
      <c r="AF67" s="173">
        <f t="shared" si="23"/>
        <v>0.99896875786116768</v>
      </c>
      <c r="AG67" s="802">
        <f t="shared" si="24"/>
        <v>3</v>
      </c>
      <c r="AH67" s="172">
        <f t="shared" si="16"/>
        <v>9</v>
      </c>
      <c r="AI67" s="221">
        <f t="shared" si="17"/>
        <v>3.9989687578611677</v>
      </c>
      <c r="AJ67" s="261" t="b">
        <f t="shared" si="18"/>
        <v>0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47537</v>
      </c>
      <c r="B68" s="406">
        <f>'2029'!Wh/'2029'!Env_an*'2030'!Env_an</f>
        <v>31.804626881147428</v>
      </c>
      <c r="C68" s="832"/>
      <c r="D68" s="388">
        <f t="shared" si="0"/>
        <v>33.14476810287713</v>
      </c>
      <c r="E68" s="380">
        <f t="shared" si="1"/>
        <v>33.790907261028444</v>
      </c>
      <c r="F68" s="380">
        <f t="shared" si="2"/>
        <v>33.793742247176894</v>
      </c>
      <c r="G68" s="110">
        <f t="shared" si="21"/>
        <v>0.95617955657092246</v>
      </c>
      <c r="H68" s="409" t="b">
        <f>Wh_hp&gt;='2029'!Maxi_hp</f>
        <v>0</v>
      </c>
      <c r="I68" s="385">
        <f>IF(H68,Wh_hp,'2029'!Maxi_hp)</f>
        <v>33.793930327105848</v>
      </c>
      <c r="J68" s="85">
        <f>IF(H68,An,'2029'!An_max)</f>
        <v>2022</v>
      </c>
      <c r="K68" s="193">
        <f t="shared" si="3"/>
        <v>47537</v>
      </c>
      <c r="L68" s="143">
        <f>IF(t&lt;Tvie,1-EXP((T0-t)*PertePVj)+'2029'!Pspv,1-EXP((T0-t)*PertePVj)+Pspv)</f>
        <v>4.0432964188196308E-2</v>
      </c>
      <c r="M68" s="836"/>
      <c r="N68" s="836"/>
      <c r="O68" s="48">
        <f>IF(t&lt;Tnet,'2029'!Resal+('2029'!Salim-'2029'!Resal)*(1-EXP(('2029'!Tnet-t)/('2029'!Tau_j))),Resal+(Salim-Resal)*(1-EXP((Tnet-t)/(Tau_j))))*Salcycl</f>
        <v>1.9121687179335108E-2</v>
      </c>
      <c r="P68" s="165">
        <f>(INDEX(Models!$BJ68:$BT68,,T68)*(1-R68)+INDEX(Models!$BJ68:$BT68,,T68+1)*R68-ERP_i)*Q68*Ramure*Pc/MaxiM</f>
        <v>8.9492461391870351E-5</v>
      </c>
      <c r="Q68" s="301">
        <f t="shared" si="4"/>
        <v>0.5</v>
      </c>
      <c r="R68" s="173">
        <f t="shared" si="5"/>
        <v>0.47422357434756823</v>
      </c>
      <c r="S68" s="802">
        <f t="shared" si="6"/>
        <v>0</v>
      </c>
      <c r="T68" s="172">
        <f t="shared" si="7"/>
        <v>6</v>
      </c>
      <c r="U68" s="247">
        <f t="shared" si="8"/>
        <v>0.47422357434756823</v>
      </c>
      <c r="V68" s="378">
        <f t="shared" si="9"/>
        <v>33.262004495747725</v>
      </c>
      <c r="W68" s="397">
        <f t="shared" si="10"/>
        <v>31.804626881147428</v>
      </c>
      <c r="X68" s="153">
        <f t="shared" si="11"/>
        <v>47537</v>
      </c>
      <c r="Y68" s="380">
        <f t="shared" si="12"/>
        <v>30.79360695066438</v>
      </c>
      <c r="Z68" s="380">
        <f t="shared" si="22"/>
        <v>32.09114715431285</v>
      </c>
      <c r="AA68" s="381">
        <f t="shared" si="13"/>
        <v>33.73696326148611</v>
      </c>
      <c r="AB68" s="193">
        <f t="shared" si="14"/>
        <v>47537</v>
      </c>
      <c r="AC68" s="119">
        <f>IF(OR(t&lt;Tnet,NoTnet),'2029'!Resal_s+('2029'!Salim-'2029'!Resal_s)*(1-EXP(('2029'!Tnet_s-t)/'2029'!Tau_j)),Resal_s+(Salim-Resal_s)*(1-EXP((Tnet_s-t)/Tau_j)))*Salcycl</f>
        <v>4.8783765581299793E-2</v>
      </c>
      <c r="AD68" s="227">
        <f>(INDEX(Models!$BJ68:$BT68,,AH68)*(1-AF68)+INDEX(Models!$BJ68:$BT68,,AH68+1)*AF68-ERP_i)*AE68*Ramure*Pc/MaxiM</f>
        <v>1.792351326856292E-3</v>
      </c>
      <c r="AE68" s="301">
        <f t="shared" si="15"/>
        <v>0.5</v>
      </c>
      <c r="AF68" s="173">
        <f t="shared" si="23"/>
        <v>0.99921114072154538</v>
      </c>
      <c r="AG68" s="802">
        <f t="shared" si="24"/>
        <v>3</v>
      </c>
      <c r="AH68" s="172">
        <f t="shared" si="16"/>
        <v>9</v>
      </c>
      <c r="AI68" s="221">
        <f t="shared" si="17"/>
        <v>3.9992111407215454</v>
      </c>
      <c r="AJ68" s="261" t="b">
        <f t="shared" si="18"/>
        <v>0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47538</v>
      </c>
      <c r="B69" s="406">
        <f>'2029'!Wh/'2029'!Env_an*'2030'!Env_an</f>
        <v>22.646217460809421</v>
      </c>
      <c r="C69" s="832"/>
      <c r="D69" s="388">
        <f t="shared" si="0"/>
        <v>23.600776837434438</v>
      </c>
      <c r="E69" s="380">
        <f t="shared" si="1"/>
        <v>24.062231501601985</v>
      </c>
      <c r="F69" s="380">
        <f t="shared" si="2"/>
        <v>24.063264669025969</v>
      </c>
      <c r="G69" s="110">
        <f t="shared" si="21"/>
        <v>0.67282695255201097</v>
      </c>
      <c r="H69" s="409" t="b">
        <f>Wh_hp&gt;='2029'!Maxi_hp</f>
        <v>0</v>
      </c>
      <c r="I69" s="385">
        <f>IF(H69,Wh_hp,'2029'!Maxi_hp)</f>
        <v>24.064164791213923</v>
      </c>
      <c r="J69" s="85">
        <f>IF(H69,An,'2029'!An_max)</f>
        <v>2022</v>
      </c>
      <c r="K69" s="193">
        <f t="shared" si="3"/>
        <v>47538</v>
      </c>
      <c r="L69" s="143">
        <f>IF(t&lt;Tvie,1-EXP((T0-t)*PertePVj)+'2029'!Pspv,1-EXP((T0-t)*PertePVj)+Pspv)</f>
        <v>4.0446099855108941E-2</v>
      </c>
      <c r="M69" s="836"/>
      <c r="N69" s="836"/>
      <c r="O69" s="48">
        <f>IF(t&lt;Tnet,'2029'!Resal+('2029'!Salim-'2029'!Resal)*(1-EXP(('2029'!Tnet-t)/('2029'!Tau_j))),Resal+(Salim-Resal)*(1-EXP((Tnet-t)/(Tau_j))))*Salcycl</f>
        <v>1.9177550682979036E-2</v>
      </c>
      <c r="P69" s="165">
        <f>(INDEX(Models!$BJ69:$BT69,,T69)*(1-R69)+INDEX(Models!$BJ69:$BT69,,T69+1)*R69-ERP_i)*Q69*Ramure*Pc/MaxiM</f>
        <v>8.0607855663595258E-5</v>
      </c>
      <c r="Q69" s="301">
        <f t="shared" si="4"/>
        <v>0.5</v>
      </c>
      <c r="R69" s="173">
        <f t="shared" si="5"/>
        <v>0.47447587327478652</v>
      </c>
      <c r="S69" s="802">
        <f t="shared" si="6"/>
        <v>0</v>
      </c>
      <c r="T69" s="172">
        <f t="shared" si="7"/>
        <v>6</v>
      </c>
      <c r="U69" s="247">
        <f t="shared" si="8"/>
        <v>0.47447587327478652</v>
      </c>
      <c r="V69" s="378">
        <f t="shared" si="9"/>
        <v>33.657040939132479</v>
      </c>
      <c r="W69" s="397">
        <f t="shared" si="10"/>
        <v>22.646217460809421</v>
      </c>
      <c r="X69" s="153">
        <f t="shared" si="11"/>
        <v>47538</v>
      </c>
      <c r="Y69" s="380">
        <f t="shared" si="12"/>
        <v>21.944806918201675</v>
      </c>
      <c r="Z69" s="380">
        <f t="shared" si="22"/>
        <v>22.86980118041107</v>
      </c>
      <c r="AA69" s="381">
        <f t="shared" si="13"/>
        <v>24.043432581027066</v>
      </c>
      <c r="AB69" s="193">
        <f t="shared" si="14"/>
        <v>47538</v>
      </c>
      <c r="AC69" s="119">
        <f>IF(OR(t&lt;Tnet,NoTnet),'2029'!Resal_s+('2029'!Salim-'2029'!Resal_s)*(1-EXP(('2029'!Tnet_s-t)/'2029'!Tau_j)),Resal_s+(Salim-Resal_s)*(1-EXP((Tnet_s-t)/Tau_j)))*Salcycl</f>
        <v>4.8812971968990843E-2</v>
      </c>
      <c r="AD69" s="227">
        <f>(INDEX(Models!$BJ69:$BT69,,AH69)*(1-AF69)+INDEX(Models!$BJ69:$BT69,,AH69+1)*AF69-ERP_i)*AE69*Ramure*Pc/MaxiM</f>
        <v>1.5473020633605748E-3</v>
      </c>
      <c r="AE69" s="301">
        <f t="shared" si="15"/>
        <v>0.5</v>
      </c>
      <c r="AF69" s="173">
        <f t="shared" si="23"/>
        <v>0.99946343964876361</v>
      </c>
      <c r="AG69" s="802">
        <f t="shared" si="24"/>
        <v>3</v>
      </c>
      <c r="AH69" s="172">
        <f t="shared" si="16"/>
        <v>9</v>
      </c>
      <c r="AI69" s="221">
        <f t="shared" si="17"/>
        <v>3.9994634396487636</v>
      </c>
      <c r="AJ69" s="261" t="b">
        <f t="shared" si="18"/>
        <v>0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47539</v>
      </c>
      <c r="B70" s="406">
        <f>'2029'!Wh/'2029'!Env_an*'2030'!Env_an</f>
        <v>25.001855454087796</v>
      </c>
      <c r="C70" s="832"/>
      <c r="D70" s="388">
        <f t="shared" si="0"/>
        <v>26.056063874476784</v>
      </c>
      <c r="E70" s="380">
        <f t="shared" si="1"/>
        <v>26.567037221058687</v>
      </c>
      <c r="F70" s="380">
        <f t="shared" si="2"/>
        <v>26.568257034212877</v>
      </c>
      <c r="G70" s="110">
        <f t="shared" si="21"/>
        <v>0.73417365104414756</v>
      </c>
      <c r="H70" s="409" t="b">
        <f>Wh_hp&gt;='2029'!Maxi_hp</f>
        <v>0</v>
      </c>
      <c r="I70" s="385">
        <f>IF(H70,Wh_hp,'2029'!Maxi_hp)</f>
        <v>26.56899815763115</v>
      </c>
      <c r="J70" s="85">
        <f>IF(H70,An,'2029'!An_max)</f>
        <v>2022</v>
      </c>
      <c r="K70" s="193">
        <f t="shared" si="3"/>
        <v>47539</v>
      </c>
      <c r="L70" s="143">
        <f>IF(t&lt;Tvie,1-EXP((T0-t)*PertePVj)+'2029'!Pspv,1-EXP((T0-t)*PertePVj)+Pspv)</f>
        <v>4.0459235342205191E-2</v>
      </c>
      <c r="M70" s="836"/>
      <c r="N70" s="836"/>
      <c r="O70" s="48">
        <f>IF(t&lt;Tnet,'2029'!Resal+('2029'!Salim-'2029'!Resal)*(1-EXP(('2029'!Tnet-t)/('2029'!Tau_j))),Resal+(Salim-Resal)*(1-EXP((Tnet-t)/(Tau_j))))*Salcycl</f>
        <v>1.9233358327848234E-2</v>
      </c>
      <c r="P70" s="165">
        <f>(INDEX(Models!$BJ70:$BT70,,T70)*(1-R70)+INDEX(Models!$BJ70:$BT70,,T70+1)*R70-ERP_i)*Q70*Ramure*Pc/MaxiM</f>
        <v>7.4019165170635006E-5</v>
      </c>
      <c r="Q70" s="301">
        <f t="shared" si="4"/>
        <v>0.5</v>
      </c>
      <c r="R70" s="173">
        <f t="shared" si="5"/>
        <v>0.47473848306692257</v>
      </c>
      <c r="S70" s="802">
        <f t="shared" si="6"/>
        <v>0</v>
      </c>
      <c r="T70" s="172">
        <f t="shared" si="7"/>
        <v>6</v>
      </c>
      <c r="U70" s="247">
        <f t="shared" si="8"/>
        <v>0.47473848306692257</v>
      </c>
      <c r="V70" s="378">
        <f t="shared" si="9"/>
        <v>34.053459512819444</v>
      </c>
      <c r="W70" s="397">
        <f t="shared" si="10"/>
        <v>25.001855454087796</v>
      </c>
      <c r="X70" s="153">
        <f t="shared" si="11"/>
        <v>47539</v>
      </c>
      <c r="Y70" s="380">
        <f t="shared" si="12"/>
        <v>24.227889918407659</v>
      </c>
      <c r="Z70" s="380">
        <f t="shared" si="22"/>
        <v>25.249463921470973</v>
      </c>
      <c r="AA70" s="381">
        <f t="shared" si="13"/>
        <v>26.54602866815895</v>
      </c>
      <c r="AB70" s="193">
        <f t="shared" si="14"/>
        <v>47539</v>
      </c>
      <c r="AC70" s="119">
        <f>IF(OR(t&lt;Tnet,NoTnet),'2029'!Resal_s+('2029'!Salim-'2029'!Resal_s)*(1-EXP(('2029'!Tnet_s-t)/'2029'!Tau_j)),Resal_s+(Salim-Resal_s)*(1-EXP((Tnet_s-t)/Tau_j)))*Salcycl</f>
        <v>4.8842136158888584E-2</v>
      </c>
      <c r="AD70" s="227">
        <f>(INDEX(Models!$BJ70:$BT70,,AH70)*(1-AF70)+INDEX(Models!$BJ70:$BT70,,AH70+1)*AF70-ERP_i)*AE70*Ramure*Pc/MaxiM</f>
        <v>1.348833706842807E-3</v>
      </c>
      <c r="AE70" s="301">
        <f t="shared" si="15"/>
        <v>0.5</v>
      </c>
      <c r="AF70" s="173">
        <f t="shared" si="23"/>
        <v>0.99972604944089971</v>
      </c>
      <c r="AG70" s="802">
        <f t="shared" si="24"/>
        <v>3</v>
      </c>
      <c r="AH70" s="172">
        <f t="shared" si="16"/>
        <v>9</v>
      </c>
      <c r="AI70" s="221">
        <f t="shared" si="17"/>
        <v>3.9997260494408997</v>
      </c>
      <c r="AJ70" s="261" t="b">
        <f t="shared" si="18"/>
        <v>0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47540</v>
      </c>
      <c r="B71" s="406">
        <f>'2029'!Wh/'2029'!Env_an*'2030'!Env_an</f>
        <v>35.207349220397887</v>
      </c>
      <c r="C71" s="832"/>
      <c r="D71" s="388">
        <f t="shared" si="0"/>
        <v>36.692376689798017</v>
      </c>
      <c r="E71" s="380">
        <f t="shared" si="1"/>
        <v>37.414060639960553</v>
      </c>
      <c r="F71" s="380">
        <f t="shared" si="2"/>
        <v>37.416666766304843</v>
      </c>
      <c r="G71" s="110">
        <f t="shared" si="21"/>
        <v>1.0219405426181238</v>
      </c>
      <c r="H71" s="409" t="b">
        <f>Wh_hp&gt;='2029'!Maxi_hp</f>
        <v>0</v>
      </c>
      <c r="I71" s="385">
        <f>IF(H71,Wh_hp,'2029'!Maxi_hp)</f>
        <v>37.41666676630485</v>
      </c>
      <c r="J71" s="85">
        <f>IF(H71,An,'2029'!An_max)</f>
        <v>2029</v>
      </c>
      <c r="K71" s="193">
        <f t="shared" si="3"/>
        <v>47540</v>
      </c>
      <c r="L71" s="143">
        <f>IF(t&lt;Tvie,1-EXP((T0-t)*PertePVj)+'2029'!Pspv,1-EXP((T0-t)*PertePVj)+Pspv)</f>
        <v>4.0472370649487721E-2</v>
      </c>
      <c r="M71" s="836"/>
      <c r="N71" s="836"/>
      <c r="O71" s="48">
        <f>IF(t&lt;Tnet,'2029'!Resal+('2029'!Salim-'2029'!Resal)*(1-EXP(('2029'!Tnet-t)/('2029'!Tau_j))),Resal+(Salim-Resal)*(1-EXP((Tnet-t)/(Tau_j))))*Salcycl</f>
        <v>1.9289110506004046E-2</v>
      </c>
      <c r="P71" s="165">
        <f>(INDEX(Models!$BJ71:$BT71,,T71)*(1-R71)+INDEX(Models!$BJ71:$BT71,,T71+1)*R71-ERP_i)*Q71*Ramure*Pc/MaxiM</f>
        <v>6.9651483403689108E-5</v>
      </c>
      <c r="Q71" s="301">
        <f t="shared" si="4"/>
        <v>0.5</v>
      </c>
      <c r="R71" s="173">
        <f t="shared" si="5"/>
        <v>0.47501181332248787</v>
      </c>
      <c r="S71" s="802">
        <f t="shared" si="6"/>
        <v>0</v>
      </c>
      <c r="T71" s="172">
        <f t="shared" si="7"/>
        <v>6</v>
      </c>
      <c r="U71" s="247">
        <f t="shared" si="8"/>
        <v>0.47501181332248787</v>
      </c>
      <c r="V71" s="378">
        <f t="shared" si="9"/>
        <v>34.451465376057676</v>
      </c>
      <c r="W71" s="397">
        <f t="shared" si="10"/>
        <v>35.207349220397887</v>
      </c>
      <c r="X71" s="153">
        <f t="shared" si="11"/>
        <v>47540</v>
      </c>
      <c r="Y71" s="380">
        <f t="shared" si="12"/>
        <v>34.106914134919542</v>
      </c>
      <c r="Z71" s="380">
        <f t="shared" si="22"/>
        <v>35.54552583129464</v>
      </c>
      <c r="AA71" s="381">
        <f t="shared" si="13"/>
        <v>37.371939576076528</v>
      </c>
      <c r="AB71" s="193">
        <f t="shared" si="14"/>
        <v>47540</v>
      </c>
      <c r="AC71" s="119">
        <f>IF(OR(t&lt;Tnet,NoTnet),'2029'!Resal_s+('2029'!Salim-'2029'!Resal_s)*(1-EXP(('2029'!Tnet_s-t)/'2029'!Tau_j)),Resal_s+(Salim-Resal_s)*(1-EXP((Tnet_s-t)/Tau_j)))*Salcycl</f>
        <v>4.8871259171976808E-2</v>
      </c>
      <c r="AD71" s="227">
        <f>(INDEX(Models!$BJ71:$BT71,,AH71)*(1-AF71)+INDEX(Models!$BJ71:$BT71,,AH71+1)*AF71-ERP_i)*AE71*Ramure*Pc/MaxiM</f>
        <v>1.1953814728519405E-3</v>
      </c>
      <c r="AE71" s="301">
        <f t="shared" si="15"/>
        <v>0.5</v>
      </c>
      <c r="AF71" s="173">
        <f t="shared" si="23"/>
        <v>0.9999993796964648</v>
      </c>
      <c r="AG71" s="802">
        <f t="shared" si="24"/>
        <v>3</v>
      </c>
      <c r="AH71" s="172">
        <f t="shared" si="16"/>
        <v>9</v>
      </c>
      <c r="AI71" s="221">
        <f t="shared" si="17"/>
        <v>3.9999993796964648</v>
      </c>
      <c r="AJ71" s="261" t="b">
        <f t="shared" si="18"/>
        <v>0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47541</v>
      </c>
      <c r="B72" s="406">
        <f>'2029'!Wh/'2029'!Env_an*'2030'!Env_an</f>
        <v>22.51918560484075</v>
      </c>
      <c r="C72" s="832"/>
      <c r="D72" s="388">
        <f t="shared" si="0"/>
        <v>23.469354283257051</v>
      </c>
      <c r="E72" s="380">
        <f t="shared" si="1"/>
        <v>23.93232042609748</v>
      </c>
      <c r="F72" s="380">
        <f t="shared" si="2"/>
        <v>23.93311690380019</v>
      </c>
      <c r="G72" s="110">
        <f t="shared" si="21"/>
        <v>0.64612912510003129</v>
      </c>
      <c r="H72" s="409" t="b">
        <f>Wh_hp&gt;='2029'!Maxi_hp</f>
        <v>0</v>
      </c>
      <c r="I72" s="385">
        <f>IF(H72,Wh_hp,'2029'!Maxi_hp)</f>
        <v>23.933924564086386</v>
      </c>
      <c r="J72" s="85">
        <f>IF(H72,An,'2029'!An_max)</f>
        <v>2022</v>
      </c>
      <c r="K72" s="193">
        <f t="shared" si="3"/>
        <v>47541</v>
      </c>
      <c r="L72" s="143">
        <f>IF(t&lt;Tvie,1-EXP((T0-t)*PertePVj)+'2029'!Pspv,1-EXP((T0-t)*PertePVj)+Pspv)</f>
        <v>4.0485505776958974E-2</v>
      </c>
      <c r="M72" s="836"/>
      <c r="N72" s="836"/>
      <c r="O72" s="48">
        <f>IF(t&lt;Tnet,'2029'!Resal+('2029'!Salim-'2029'!Resal)*(1-EXP(('2029'!Tnet-t)/('2029'!Tau_j))),Resal+(Salim-Resal)*(1-EXP((Tnet-t)/(Tau_j))))*Salcycl</f>
        <v>1.9344807966701849E-2</v>
      </c>
      <c r="P72" s="165">
        <f>(INDEX(Models!$BJ72:$BT72,,T72)*(1-R72)+INDEX(Models!$BJ72:$BT72,,T72+1)*R72-ERP_i)*Q72*Ramure*Pc/MaxiM</f>
        <v>6.7298699934566732E-5</v>
      </c>
      <c r="Q72" s="301">
        <f t="shared" si="4"/>
        <v>0.5</v>
      </c>
      <c r="R72" s="173">
        <f t="shared" si="5"/>
        <v>0.47529628891729803</v>
      </c>
      <c r="S72" s="802">
        <f t="shared" si="6"/>
        <v>0</v>
      </c>
      <c r="T72" s="172">
        <f t="shared" si="7"/>
        <v>6</v>
      </c>
      <c r="U72" s="247">
        <f t="shared" si="8"/>
        <v>0.47529628891729803</v>
      </c>
      <c r="V72" s="378">
        <f t="shared" si="9"/>
        <v>34.851268292515968</v>
      </c>
      <c r="W72" s="397">
        <f t="shared" si="10"/>
        <v>22.51918560484075</v>
      </c>
      <c r="X72" s="153">
        <f t="shared" si="11"/>
        <v>47541</v>
      </c>
      <c r="Y72" s="380">
        <f t="shared" si="12"/>
        <v>21.829510545726091</v>
      </c>
      <c r="Z72" s="380">
        <f t="shared" si="22"/>
        <v>22.750579253523792</v>
      </c>
      <c r="AA72" s="381">
        <f t="shared" si="13"/>
        <v>23.92028961868623</v>
      </c>
      <c r="AB72" s="193">
        <f t="shared" si="14"/>
        <v>47541</v>
      </c>
      <c r="AC72" s="119">
        <f>IF(OR(t&lt;Tnet,NoTnet),'2029'!Resal_s+('2029'!Salim-'2029'!Resal_s)*(1-EXP(('2029'!Tnet_s-t)/'2029'!Tau_j)),Resal_s+(Salim-Resal_s)*(1-EXP((Tnet_s-t)/Tau_j)))*Salcycl</f>
        <v>4.8900342922632199E-2</v>
      </c>
      <c r="AD72" s="227">
        <f>(INDEX(Models!$BJ72:$BT72,,AH72)*(1-AF72)+INDEX(Models!$BJ72:$BT72,,AH72+1)*AF72-ERP_i)*AE72*Ramure*Pc/MaxiM</f>
        <v>1.0838465520422358E-3</v>
      </c>
      <c r="AE72" s="301">
        <f t="shared" si="15"/>
        <v>0.5</v>
      </c>
      <c r="AF72" s="173">
        <f t="shared" si="23"/>
        <v>2.8385529127472608E-4</v>
      </c>
      <c r="AG72" s="802">
        <f t="shared" si="24"/>
        <v>4</v>
      </c>
      <c r="AH72" s="172">
        <f t="shared" si="16"/>
        <v>10</v>
      </c>
      <c r="AI72" s="221">
        <f t="shared" si="17"/>
        <v>4.0002838552912747</v>
      </c>
      <c r="AJ72" s="261" t="b">
        <f t="shared" si="18"/>
        <v>0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47542</v>
      </c>
      <c r="B73" s="406">
        <f>'2029'!Wh/'2029'!Env_an*'2030'!Env_an</f>
        <v>32.840121593736903</v>
      </c>
      <c r="C73" s="832"/>
      <c r="D73" s="388">
        <f t="shared" si="0"/>
        <v>34.226237697607814</v>
      </c>
      <c r="E73" s="380">
        <f t="shared" si="1"/>
        <v>34.903379021114638</v>
      </c>
      <c r="F73" s="380">
        <f t="shared" si="2"/>
        <v>34.905418876619841</v>
      </c>
      <c r="G73" s="110">
        <f t="shared" si="21"/>
        <v>0.93154555927247895</v>
      </c>
      <c r="H73" s="409" t="b">
        <f>Wh_hp&gt;='2029'!Maxi_hp</f>
        <v>0</v>
      </c>
      <c r="I73" s="385">
        <f>IF(H73,Wh_hp,'2029'!Maxi_hp)</f>
        <v>34.905638121982101</v>
      </c>
      <c r="J73" s="85">
        <f>IF(H73,An,'2029'!An_max)</f>
        <v>2022</v>
      </c>
      <c r="K73" s="193">
        <f t="shared" si="3"/>
        <v>47542</v>
      </c>
      <c r="L73" s="143">
        <f>IF(t&lt;Tvie,1-EXP((T0-t)*PertePVj)+'2029'!Pspv,1-EXP((T0-t)*PertePVj)+Pspv)</f>
        <v>4.0498640724621282E-2</v>
      </c>
      <c r="M73" s="836"/>
      <c r="N73" s="836"/>
      <c r="O73" s="48">
        <f>IF(t&lt;Tnet,'2029'!Resal+('2029'!Salim-'2029'!Resal)*(1-EXP(('2029'!Tnet-t)/('2029'!Tau_j))),Resal+(Salim-Resal)*(1-EXP((Tnet-t)/(Tau_j))))*Salcycl</f>
        <v>1.940045183296411E-2</v>
      </c>
      <c r="P73" s="165">
        <f>(INDEX(Models!$BJ73:$BT73,,T73)*(1-R73)+INDEX(Models!$BJ73:$BT73,,T73+1)*R73-ERP_i)*Q73*Ramure*Pc/MaxiM</f>
        <v>6.4773273741187715E-5</v>
      </c>
      <c r="Q73" s="301">
        <f t="shared" si="4"/>
        <v>0.5</v>
      </c>
      <c r="R73" s="173">
        <f t="shared" si="5"/>
        <v>0.47559235048988568</v>
      </c>
      <c r="S73" s="802">
        <f t="shared" si="6"/>
        <v>0</v>
      </c>
      <c r="T73" s="172">
        <f t="shared" si="7"/>
        <v>6</v>
      </c>
      <c r="U73" s="247">
        <f t="shared" si="8"/>
        <v>0.47559235048988568</v>
      </c>
      <c r="V73" s="378">
        <f t="shared" si="9"/>
        <v>35.253148118263319</v>
      </c>
      <c r="W73" s="397">
        <f t="shared" si="10"/>
        <v>32.840121593736903</v>
      </c>
      <c r="X73" s="153">
        <f t="shared" si="11"/>
        <v>47542</v>
      </c>
      <c r="Y73" s="380">
        <f t="shared" si="12"/>
        <v>31.824854967390941</v>
      </c>
      <c r="Z73" s="380">
        <f t="shared" si="22"/>
        <v>33.168118689717403</v>
      </c>
      <c r="AA73" s="381">
        <f t="shared" si="13"/>
        <v>34.87450705520876</v>
      </c>
      <c r="AB73" s="193">
        <f t="shared" si="14"/>
        <v>47542</v>
      </c>
      <c r="AC73" s="119">
        <f>IF(OR(t&lt;Tnet,NoTnet),'2029'!Resal_s+('2029'!Salim-'2029'!Resal_s)*(1-EXP(('2029'!Tnet_s-t)/'2029'!Tau_j)),Resal_s+(Salim-Resal_s)*(1-EXP((Tnet_s-t)/Tau_j)))*Salcycl</f>
        <v>4.8929390250305821E-2</v>
      </c>
      <c r="AD73" s="227">
        <f>(INDEX(Models!$BJ73:$BT73,,AH73)*(1-AF73)+INDEX(Models!$BJ73:$BT73,,AH73+1)*AF73-ERP_i)*AE73*Ramure*Pc/MaxiM</f>
        <v>9.8156946165882278E-4</v>
      </c>
      <c r="AE73" s="301">
        <f t="shared" si="15"/>
        <v>0.5</v>
      </c>
      <c r="AF73" s="173">
        <f t="shared" si="23"/>
        <v>5.7991686386316132E-4</v>
      </c>
      <c r="AG73" s="802">
        <f t="shared" si="24"/>
        <v>4</v>
      </c>
      <c r="AH73" s="172">
        <f t="shared" si="16"/>
        <v>10</v>
      </c>
      <c r="AI73" s="221">
        <f t="shared" si="17"/>
        <v>4.0005799168638632</v>
      </c>
      <c r="AJ73" s="261" t="b">
        <f t="shared" si="18"/>
        <v>0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47543</v>
      </c>
      <c r="B74" s="406">
        <f>'2029'!Wh/'2029'!Env_an*'2030'!Env_an</f>
        <v>34.649541687430883</v>
      </c>
      <c r="C74" s="832"/>
      <c r="D74" s="388">
        <f t="shared" si="0"/>
        <v>36.112524158611201</v>
      </c>
      <c r="E74" s="380">
        <f t="shared" si="1"/>
        <v>36.829072193534444</v>
      </c>
      <c r="F74" s="380">
        <f t="shared" si="2"/>
        <v>36.83126638359996</v>
      </c>
      <c r="G74" s="110">
        <f t="shared" si="21"/>
        <v>0.97173496492164524</v>
      </c>
      <c r="H74" s="409" t="b">
        <f>Wh_hp&gt;='2029'!Maxi_hp</f>
        <v>0</v>
      </c>
      <c r="I74" s="385">
        <f>IF(H74,Wh_hp,'2029'!Maxi_hp)</f>
        <v>36.831357903305943</v>
      </c>
      <c r="J74" s="85">
        <f>IF(H74,An,'2029'!An_max)</f>
        <v>2022</v>
      </c>
      <c r="K74" s="193">
        <f t="shared" si="3"/>
        <v>47543</v>
      </c>
      <c r="L74" s="143">
        <f>IF(t&lt;Tvie,1-EXP((T0-t)*PertePVj)+'2029'!Pspv,1-EXP((T0-t)*PertePVj)+Pspv)</f>
        <v>4.0511775492477309E-2</v>
      </c>
      <c r="M74" s="836"/>
      <c r="N74" s="836"/>
      <c r="O74" s="48">
        <f>IF(t&lt;Tnet,'2029'!Resal+('2029'!Salim-'2029'!Resal)*(1-EXP(('2029'!Tnet-t)/('2029'!Tau_j))),Resal+(Salim-Resal)*(1-EXP((Tnet-t)/(Tau_j))))*Salcycl</f>
        <v>1.9456043615701975E-2</v>
      </c>
      <c r="P74" s="165">
        <f>(INDEX(Models!$BJ74:$BT74,,T74)*(1-R74)+INDEX(Models!$BJ74:$BT74,,T74+1)*R74-ERP_i)*Q74*Ramure*Pc/MaxiM</f>
        <v>6.2080628256126107E-5</v>
      </c>
      <c r="Q74" s="301">
        <f t="shared" si="4"/>
        <v>0.5</v>
      </c>
      <c r="R74" s="173">
        <f t="shared" si="5"/>
        <v>0.47590045493494443</v>
      </c>
      <c r="S74" s="802">
        <f t="shared" si="6"/>
        <v>0</v>
      </c>
      <c r="T74" s="172">
        <f t="shared" si="7"/>
        <v>6</v>
      </c>
      <c r="U74" s="247">
        <f t="shared" si="8"/>
        <v>0.47590045493494443</v>
      </c>
      <c r="V74" s="378">
        <f t="shared" si="9"/>
        <v>35.657309949203409</v>
      </c>
      <c r="W74" s="397">
        <f t="shared" si="10"/>
        <v>34.649541687430883</v>
      </c>
      <c r="X74" s="153">
        <f t="shared" si="11"/>
        <v>47543</v>
      </c>
      <c r="Y74" s="380">
        <f t="shared" si="12"/>
        <v>33.580369016179176</v>
      </c>
      <c r="Z74" s="380">
        <f t="shared" si="22"/>
        <v>34.998208585014162</v>
      </c>
      <c r="AA74" s="381">
        <f t="shared" si="13"/>
        <v>36.79987160075575</v>
      </c>
      <c r="AB74" s="193">
        <f t="shared" si="14"/>
        <v>47543</v>
      </c>
      <c r="AC74" s="119">
        <f>IF(OR(t&lt;Tnet,NoTnet),'2029'!Resal_s+('2029'!Salim-'2029'!Resal_s)*(1-EXP(('2029'!Tnet_s-t)/'2029'!Tau_j)),Resal_s+(Salim-Resal_s)*(1-EXP((Tnet_s-t)/Tau_j)))*Salcycl</f>
        <v>4.8958404944667966E-2</v>
      </c>
      <c r="AD74" s="227">
        <f>(INDEX(Models!$BJ74:$BT74,,AH74)*(1-AF74)+INDEX(Models!$BJ74:$BT74,,AH74+1)*AF74-ERP_i)*AE74*Ramure*Pc/MaxiM</f>
        <v>8.8825843921374866E-4</v>
      </c>
      <c r="AE74" s="301">
        <f t="shared" si="15"/>
        <v>0.5</v>
      </c>
      <c r="AF74" s="173">
        <f t="shared" si="23"/>
        <v>8.8802130892151609E-4</v>
      </c>
      <c r="AG74" s="802">
        <f t="shared" si="24"/>
        <v>4</v>
      </c>
      <c r="AH74" s="172">
        <f t="shared" si="16"/>
        <v>10</v>
      </c>
      <c r="AI74" s="221">
        <f t="shared" si="17"/>
        <v>4.0008880213089215</v>
      </c>
      <c r="AJ74" s="261" t="b">
        <f t="shared" si="18"/>
        <v>0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47544</v>
      </c>
      <c r="B75" s="406">
        <f>'2029'!Wh/'2029'!Env_an*'2030'!Env_an</f>
        <v>16.010700597767293</v>
      </c>
      <c r="C75" s="832"/>
      <c r="D75" s="388">
        <f t="shared" si="0"/>
        <v>16.686937228470498</v>
      </c>
      <c r="E75" s="380">
        <f t="shared" si="1"/>
        <v>17.019004994877776</v>
      </c>
      <c r="F75" s="380">
        <f t="shared" si="2"/>
        <v>17.019212283115152</v>
      </c>
      <c r="G75" s="110">
        <f t="shared" si="21"/>
        <v>0.44393205496140031</v>
      </c>
      <c r="H75" s="409" t="b">
        <f>Wh_hp&gt;='2029'!Maxi_hp</f>
        <v>0</v>
      </c>
      <c r="I75" s="385">
        <f>IF(H75,Wh_hp,'2029'!Maxi_hp)</f>
        <v>17.020005743772145</v>
      </c>
      <c r="J75" s="85">
        <f>IF(H75,An,'2029'!An_max)</f>
        <v>2022</v>
      </c>
      <c r="K75" s="193">
        <f t="shared" si="3"/>
        <v>47544</v>
      </c>
      <c r="L75" s="143">
        <f>IF(t&lt;Tvie,1-EXP((T0-t)*PertePVj)+'2029'!Pspv,1-EXP((T0-t)*PertePVj)+Pspv)</f>
        <v>4.0524910080529275E-2</v>
      </c>
      <c r="M75" s="836"/>
      <c r="N75" s="836"/>
      <c r="O75" s="48">
        <f>IF(t&lt;Tnet,'2029'!Resal+('2029'!Salim-'2029'!Resal)*(1-EXP(('2029'!Tnet-t)/('2029'!Tau_j))),Resal+(Salim-Resal)*(1-EXP((Tnet-t)/(Tau_j))))*Salcycl</f>
        <v>1.9511585225294985E-2</v>
      </c>
      <c r="P75" s="165">
        <f>(INDEX(Models!$BJ75:$BT75,,T75)*(1-R75)+INDEX(Models!$BJ75:$BT75,,T75+1)*R75-ERP_i)*Q75*Ramure*Pc/MaxiM</f>
        <v>5.9226040526531416E-5</v>
      </c>
      <c r="Q75" s="301">
        <f t="shared" si="4"/>
        <v>0.5</v>
      </c>
      <c r="R75" s="173">
        <f t="shared" si="5"/>
        <v>0.47622107590420598</v>
      </c>
      <c r="S75" s="802">
        <f t="shared" si="6"/>
        <v>0</v>
      </c>
      <c r="T75" s="172">
        <f t="shared" si="7"/>
        <v>6</v>
      </c>
      <c r="U75" s="247">
        <f t="shared" si="8"/>
        <v>0.47622107590420598</v>
      </c>
      <c r="V75" s="378">
        <f t="shared" si="9"/>
        <v>36.063958806690273</v>
      </c>
      <c r="W75" s="397">
        <f t="shared" si="10"/>
        <v>16.010700597767293</v>
      </c>
      <c r="X75" s="153">
        <f t="shared" si="11"/>
        <v>47544</v>
      </c>
      <c r="Y75" s="380">
        <f t="shared" si="12"/>
        <v>15.527003626180166</v>
      </c>
      <c r="Z75" s="380">
        <f t="shared" si="22"/>
        <v>16.182810569353453</v>
      </c>
      <c r="AA75" s="381">
        <f t="shared" si="13"/>
        <v>17.016399603126189</v>
      </c>
      <c r="AB75" s="193">
        <f t="shared" si="14"/>
        <v>47544</v>
      </c>
      <c r="AC75" s="119">
        <f>IF(OR(t&lt;Tnet,NoTnet),'2029'!Resal_s+('2029'!Salim-'2029'!Resal_s)*(1-EXP(('2029'!Tnet_s-t)/'2029'!Tau_j)),Resal_s+(Salim-Resal_s)*(1-EXP((Tnet_s-t)/Tau_j)))*Salcycl</f>
        <v>4.8987391764095028E-2</v>
      </c>
      <c r="AD75" s="227">
        <f>(INDEX(Models!$BJ75:$BT75,,AH75)*(1-AF75)+INDEX(Models!$BJ75:$BT75,,AH75+1)*AF75-ERP_i)*AE75*Ramure*Pc/MaxiM</f>
        <v>8.0363411412580745E-4</v>
      </c>
      <c r="AE75" s="301">
        <f t="shared" si="15"/>
        <v>0.5</v>
      </c>
      <c r="AF75" s="173">
        <f t="shared" si="23"/>
        <v>1.2086422781827366E-3</v>
      </c>
      <c r="AG75" s="802">
        <f t="shared" si="24"/>
        <v>4</v>
      </c>
      <c r="AH75" s="172">
        <f t="shared" si="16"/>
        <v>10</v>
      </c>
      <c r="AI75" s="221">
        <f t="shared" si="17"/>
        <v>4.0012086422781827</v>
      </c>
      <c r="AJ75" s="261" t="b">
        <f t="shared" si="18"/>
        <v>0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47545</v>
      </c>
      <c r="B76" s="406">
        <f>'2029'!Wh/'2029'!Env_an*'2030'!Env_an</f>
        <v>27.618313739164407</v>
      </c>
      <c r="C76" s="832"/>
      <c r="D76" s="388">
        <f t="shared" si="0"/>
        <v>28.785209856964912</v>
      </c>
      <c r="E76" s="380">
        <f t="shared" si="1"/>
        <v>29.359693294503639</v>
      </c>
      <c r="F76" s="380">
        <f t="shared" si="2"/>
        <v>29.360771357610915</v>
      </c>
      <c r="G76" s="110">
        <f t="shared" si="21"/>
        <v>0.75720528506755458</v>
      </c>
      <c r="H76" s="409" t="b">
        <f>Wh_hp&gt;='2029'!Maxi_hp</f>
        <v>0</v>
      </c>
      <c r="I76" s="385">
        <f>IF(H76,Wh_hp,'2029'!Maxi_hp)</f>
        <v>29.361338384403382</v>
      </c>
      <c r="J76" s="85">
        <f>IF(H76,An,'2029'!An_max)</f>
        <v>2022</v>
      </c>
      <c r="K76" s="193">
        <f t="shared" si="3"/>
        <v>47545</v>
      </c>
      <c r="L76" s="143">
        <f>IF(t&lt;Tvie,1-EXP((T0-t)*PertePVj)+'2029'!Pspv,1-EXP((T0-t)*PertePVj)+Pspv)</f>
        <v>4.0538044488779734E-2</v>
      </c>
      <c r="M76" s="836"/>
      <c r="N76" s="836"/>
      <c r="O76" s="48">
        <f>IF(t&lt;Tnet,'2029'!Resal+('2029'!Salim-'2029'!Resal)*(1-EXP(('2029'!Tnet-t)/('2029'!Tau_j))),Resal+(Salim-Resal)*(1-EXP((Tnet-t)/(Tau_j))))*Salcycl</f>
        <v>1.9567078980565318E-2</v>
      </c>
      <c r="P76" s="165">
        <f>(INDEX(Models!$BJ76:$BT76,,T76)*(1-R76)+INDEX(Models!$BJ76:$BT76,,T76+1)*R76-ERP_i)*Q76*Ramure*Pc/MaxiM</f>
        <v>5.6214648218034683E-5</v>
      </c>
      <c r="Q76" s="301">
        <f t="shared" si="4"/>
        <v>0.5</v>
      </c>
      <c r="R76" s="173">
        <f t="shared" si="5"/>
        <v>0.47655470431406388</v>
      </c>
      <c r="S76" s="802">
        <f t="shared" si="6"/>
        <v>0</v>
      </c>
      <c r="T76" s="172">
        <f t="shared" si="7"/>
        <v>6</v>
      </c>
      <c r="U76" s="247">
        <f t="shared" si="8"/>
        <v>0.47655470431406388</v>
      </c>
      <c r="V76" s="378">
        <f t="shared" si="9"/>
        <v>36.473299637658414</v>
      </c>
      <c r="W76" s="397">
        <f t="shared" si="10"/>
        <v>27.618313739164407</v>
      </c>
      <c r="X76" s="153">
        <f t="shared" si="11"/>
        <v>47545</v>
      </c>
      <c r="Y76" s="380">
        <f t="shared" si="12"/>
        <v>26.776996970142047</v>
      </c>
      <c r="Z76" s="380">
        <f t="shared" si="22"/>
        <v>27.908346773244109</v>
      </c>
      <c r="AA76" s="381">
        <f t="shared" si="13"/>
        <v>29.346821012596966</v>
      </c>
      <c r="AB76" s="193">
        <f t="shared" si="14"/>
        <v>47545</v>
      </c>
      <c r="AC76" s="119">
        <f>IF(OR(t&lt;Tnet,NoTnet),'2029'!Resal_s+('2029'!Salim-'2029'!Resal_s)*(1-EXP(('2029'!Tnet_s-t)/'2029'!Tau_j)),Resal_s+(Salim-Resal_s)*(1-EXP((Tnet_s-t)/Tau_j)))*Salcycl</f>
        <v>4.9016356447446126E-2</v>
      </c>
      <c r="AD76" s="227">
        <f>(INDEX(Models!$BJ76:$BT76,,AH76)*(1-AF76)+INDEX(Models!$BJ76:$BT76,,AH76+1)*AF76-ERP_i)*AE76*Ramure*Pc/MaxiM</f>
        <v>7.2742841507685474E-4</v>
      </c>
      <c r="AE76" s="301">
        <f t="shared" si="15"/>
        <v>0.5</v>
      </c>
      <c r="AF76" s="173">
        <f t="shared" si="23"/>
        <v>1.5422706880405812E-3</v>
      </c>
      <c r="AG76" s="802">
        <f t="shared" si="24"/>
        <v>4</v>
      </c>
      <c r="AH76" s="172">
        <f t="shared" si="16"/>
        <v>10</v>
      </c>
      <c r="AI76" s="221">
        <f t="shared" si="17"/>
        <v>4.0015422706880406</v>
      </c>
      <c r="AJ76" s="261" t="b">
        <f t="shared" si="18"/>
        <v>0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47546</v>
      </c>
      <c r="B77" s="406">
        <f>'2029'!Wh/'2029'!Env_an*'2030'!Env_an</f>
        <v>5.4394997074179869</v>
      </c>
      <c r="C77" s="832"/>
      <c r="D77" s="388">
        <f t="shared" si="0"/>
        <v>5.6694005837074846</v>
      </c>
      <c r="E77" s="380">
        <f t="shared" si="1"/>
        <v>5.7828752122546909</v>
      </c>
      <c r="F77" s="380">
        <f t="shared" si="2"/>
        <v>5.7828752122546909</v>
      </c>
      <c r="G77" s="110">
        <f t="shared" si="21"/>
        <v>0.14746189237385091</v>
      </c>
      <c r="H77" s="409" t="b">
        <f>Wh_hp&gt;='2029'!Maxi_hp</f>
        <v>0</v>
      </c>
      <c r="I77" s="385">
        <f>IF(H77,Wh_hp,'2029'!Maxi_hp)</f>
        <v>5.7831789540560674</v>
      </c>
      <c r="J77" s="85">
        <f>IF(H77,An,'2029'!An_max)</f>
        <v>2022</v>
      </c>
      <c r="K77" s="193">
        <f t="shared" si="3"/>
        <v>47546</v>
      </c>
      <c r="L77" s="143">
        <f>IF(t&lt;Tvie,1-EXP((T0-t)*PertePVj)+'2029'!Pspv,1-EXP((T0-t)*PertePVj)+Pspv)</f>
        <v>4.055117871723124E-2</v>
      </c>
      <c r="M77" s="836"/>
      <c r="N77" s="836"/>
      <c r="O77" s="48">
        <f>IF(t&lt;Tnet,'2029'!Resal+('2029'!Salim-'2029'!Resal)*(1-EXP(('2029'!Tnet-t)/('2029'!Tau_j))),Resal+(Salim-Resal)*(1-EXP((Tnet-t)/(Tau_j))))*Salcycl</f>
        <v>1.9622527615110599E-2</v>
      </c>
      <c r="P77" s="165">
        <f>(INDEX(Models!$BJ77:$BT77,,T77)*(1-R77)+INDEX(Models!$BJ77:$BT77,,T77+1)*R77-ERP_i)*Q77*Ramure*Pc/MaxiM</f>
        <v>5.3051454607801942E-5</v>
      </c>
      <c r="Q77" s="301">
        <f t="shared" si="4"/>
        <v>0.5</v>
      </c>
      <c r="R77" s="173">
        <f t="shared" si="5"/>
        <v>0.47690184885916215</v>
      </c>
      <c r="S77" s="802">
        <f t="shared" si="6"/>
        <v>0</v>
      </c>
      <c r="T77" s="172">
        <f t="shared" si="7"/>
        <v>6</v>
      </c>
      <c r="U77" s="247">
        <f t="shared" si="8"/>
        <v>0.47690184885916215</v>
      </c>
      <c r="V77" s="378">
        <f t="shared" si="9"/>
        <v>36.885537317373348</v>
      </c>
      <c r="W77" s="397">
        <f t="shared" si="10"/>
        <v>5.4394997074179869</v>
      </c>
      <c r="X77" s="153">
        <f t="shared" si="11"/>
        <v>47546</v>
      </c>
      <c r="Y77" s="380">
        <f t="shared" si="12"/>
        <v>5.2762511655079063</v>
      </c>
      <c r="Z77" s="380">
        <f t="shared" si="22"/>
        <v>5.4992523295339897</v>
      </c>
      <c r="AA77" s="381">
        <f t="shared" si="13"/>
        <v>5.7828752122546909</v>
      </c>
      <c r="AB77" s="193">
        <f t="shared" si="14"/>
        <v>47546</v>
      </c>
      <c r="AC77" s="119">
        <f>IF(OR(t&lt;Tnet,NoTnet),'2029'!Resal_s+('2029'!Salim-'2029'!Resal_s)*(1-EXP(('2029'!Tnet_s-t)/'2029'!Tau_j)),Resal_s+(Salim-Resal_s)*(1-EXP((Tnet_s-t)/Tau_j)))*Salcycl</f>
        <v>4.9045305719145782E-2</v>
      </c>
      <c r="AD77" s="227">
        <f>(INDEX(Models!$BJ77:$BT77,,AH77)*(1-AF77)+INDEX(Models!$BJ77:$BT77,,AH77+1)*AF77-ERP_i)*AE77*Ramure*Pc/MaxiM</f>
        <v>6.5938368123496941E-4</v>
      </c>
      <c r="AE77" s="301">
        <f t="shared" si="15"/>
        <v>0.5</v>
      </c>
      <c r="AF77" s="173">
        <f t="shared" si="23"/>
        <v>1.8894152331396796E-3</v>
      </c>
      <c r="AG77" s="802">
        <f t="shared" si="24"/>
        <v>4</v>
      </c>
      <c r="AH77" s="172">
        <f t="shared" si="16"/>
        <v>10</v>
      </c>
      <c r="AI77" s="221">
        <f t="shared" si="17"/>
        <v>4.0018894152331397</v>
      </c>
      <c r="AJ77" s="261" t="b">
        <f t="shared" si="18"/>
        <v>0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47547</v>
      </c>
      <c r="B78" s="406">
        <f>'2029'!Wh/'2029'!Env_an*'2030'!Env_an</f>
        <v>14.106467833796298</v>
      </c>
      <c r="C78" s="832"/>
      <c r="D78" s="388">
        <f t="shared" si="0"/>
        <v>14.702880059071799</v>
      </c>
      <c r="E78" s="380">
        <f t="shared" si="1"/>
        <v>14.998009912475059</v>
      </c>
      <c r="F78" s="380">
        <f t="shared" si="2"/>
        <v>14.998093233462056</v>
      </c>
      <c r="G78" s="110">
        <f t="shared" si="21"/>
        <v>0.37816388765232606</v>
      </c>
      <c r="H78" s="409" t="b">
        <f>Wh_hp&gt;='2029'!Maxi_hp</f>
        <v>0</v>
      </c>
      <c r="I78" s="385">
        <f>IF(H78,Wh_hp,'2029'!Maxi_hp)</f>
        <v>14.998749007725031</v>
      </c>
      <c r="J78" s="85">
        <f>IF(H78,An,'2029'!An_max)</f>
        <v>2022</v>
      </c>
      <c r="K78" s="193">
        <f t="shared" si="3"/>
        <v>47547</v>
      </c>
      <c r="L78" s="143">
        <f>IF(t&lt;Tvie,1-EXP((T0-t)*PertePVj)+'2029'!Pspv,1-EXP((T0-t)*PertePVj)+Pspv)</f>
        <v>4.0564312765886235E-2</v>
      </c>
      <c r="M78" s="836"/>
      <c r="N78" s="836"/>
      <c r="O78" s="48">
        <f>IF(t&lt;Tnet,'2029'!Resal+('2029'!Salim-'2029'!Resal)*(1-EXP(('2029'!Tnet-t)/('2029'!Tau_j))),Resal+(Salim-Resal)*(1-EXP((Tnet-t)/(Tau_j))))*Salcycl</f>
        <v>1.9677934280985975E-2</v>
      </c>
      <c r="P78" s="165">
        <f>(INDEX(Models!$BJ78:$BT78,,T78)*(1-R78)+INDEX(Models!$BJ78:$BT78,,T78+1)*R78-ERP_i)*Q78*Ramure*Pc/MaxiM</f>
        <v>4.9741331773573651E-5</v>
      </c>
      <c r="Q78" s="301">
        <f t="shared" si="4"/>
        <v>0.5</v>
      </c>
      <c r="R78" s="173">
        <f t="shared" si="5"/>
        <v>0.47726303653105778</v>
      </c>
      <c r="S78" s="802">
        <f t="shared" si="6"/>
        <v>0</v>
      </c>
      <c r="T78" s="172">
        <f t="shared" si="7"/>
        <v>6</v>
      </c>
      <c r="U78" s="247">
        <f t="shared" si="8"/>
        <v>0.47726303653105778</v>
      </c>
      <c r="V78" s="378">
        <f t="shared" si="9"/>
        <v>37.300876641140796</v>
      </c>
      <c r="W78" s="397">
        <f t="shared" si="10"/>
        <v>14.106467833796298</v>
      </c>
      <c r="X78" s="153">
        <f t="shared" si="11"/>
        <v>47547</v>
      </c>
      <c r="Y78" s="380">
        <f t="shared" si="12"/>
        <v>13.682626086100671</v>
      </c>
      <c r="Z78" s="380">
        <f t="shared" si="22"/>
        <v>14.261118559749745</v>
      </c>
      <c r="AA78" s="381">
        <f t="shared" si="13"/>
        <v>14.997089435292354</v>
      </c>
      <c r="AB78" s="193">
        <f t="shared" si="14"/>
        <v>47547</v>
      </c>
      <c r="AC78" s="119">
        <f>IF(OR(t&lt;Tnet,NoTnet),'2029'!Resal_s+('2029'!Salim-'2029'!Resal_s)*(1-EXP(('2029'!Tnet_s-t)/'2029'!Tau_j)),Resal_s+(Salim-Resal_s)*(1-EXP((Tnet_s-t)/Tau_j)))*Salcycl</f>
        <v>4.907424728765461E-2</v>
      </c>
      <c r="AD78" s="227">
        <f>(INDEX(Models!$BJ78:$BT78,,AH78)*(1-AF78)+INDEX(Models!$BJ78:$BT78,,AH78+1)*AF78-ERP_i)*AE78*Ramure*Pc/MaxiM</f>
        <v>5.9925187629614109E-4</v>
      </c>
      <c r="AE78" s="301">
        <f t="shared" si="15"/>
        <v>0.5</v>
      </c>
      <c r="AF78" s="173">
        <f t="shared" si="23"/>
        <v>2.2506029050353149E-3</v>
      </c>
      <c r="AG78" s="802">
        <f t="shared" si="24"/>
        <v>4</v>
      </c>
      <c r="AH78" s="172">
        <f t="shared" si="16"/>
        <v>10</v>
      </c>
      <c r="AI78" s="221">
        <f t="shared" si="17"/>
        <v>4.0022506029050353</v>
      </c>
      <c r="AJ78" s="261" t="b">
        <f t="shared" si="18"/>
        <v>0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47548</v>
      </c>
      <c r="B79" s="406">
        <f>'2029'!Wh/'2029'!Env_an*'2030'!Env_an</f>
        <v>21.595436708513098</v>
      </c>
      <c r="C79" s="832"/>
      <c r="D79" s="388">
        <f t="shared" ref="D79:D142" si="25">Wh/(1-Ppv)</f>
        <v>22.508785761565996</v>
      </c>
      <c r="E79" s="380">
        <f t="shared" si="1"/>
        <v>22.961899878995336</v>
      </c>
      <c r="F79" s="380">
        <f t="shared" ref="F79:F142" si="26">Wh_sa/(1-Pvg*MEDIAN((-Sdif+Wh/Env_an)/Csdif,0,1))</f>
        <v>22.962313672249039</v>
      </c>
      <c r="G79" s="110">
        <f t="shared" si="21"/>
        <v>0.5725015022597284</v>
      </c>
      <c r="H79" s="409" t="b">
        <f>Wh_hp&gt;='2029'!Maxi_hp</f>
        <v>0</v>
      </c>
      <c r="I79" s="385">
        <f>IF(H79,Wh_hp,'2029'!Maxi_hp)</f>
        <v>22.962955608308192</v>
      </c>
      <c r="J79" s="85">
        <f>IF(H79,An,'2029'!An_max)</f>
        <v>2022</v>
      </c>
      <c r="K79" s="193">
        <f t="shared" ref="K79:K142" si="27">t</f>
        <v>47548</v>
      </c>
      <c r="L79" s="143">
        <f>IF(t&lt;Tvie,1-EXP((T0-t)*PertePVj)+'2029'!Pspv,1-EXP((T0-t)*PertePVj)+Pspv)</f>
        <v>4.057744663474705E-2</v>
      </c>
      <c r="M79" s="836"/>
      <c r="N79" s="836"/>
      <c r="O79" s="48">
        <f>IF(t&lt;Tnet,'2029'!Resal+('2029'!Salim-'2029'!Resal)*(1-EXP(('2029'!Tnet-t)/('2029'!Tau_j))),Resal+(Salim-Resal)*(1-EXP((Tnet-t)/(Tau_j))))*Salcycl</f>
        <v>1.9733302549752463E-2</v>
      </c>
      <c r="P79" s="165">
        <f>(INDEX(Models!$BJ79:$BT79,,T79)*(1-R79)+INDEX(Models!$BJ79:$BT79,,T79+1)*R79-ERP_i)*Q79*Ramure*Pc/MaxiM</f>
        <v>4.628828683161504E-5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0.47763881314095591</v>
      </c>
      <c r="S79" s="802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0.47763881314095591</v>
      </c>
      <c r="V79" s="378">
        <f t="shared" ref="V79:V142" si="33">MaxiM*(1-Ppv)*(1-Pvg)*(1-Psa)</f>
        <v>37.720121533133657</v>
      </c>
      <c r="W79" s="397">
        <f t="shared" ref="W79:W142" si="34">Wh*(A79&gt;Tmaj)</f>
        <v>21.595436708513098</v>
      </c>
      <c r="X79" s="153">
        <f t="shared" ref="X79:X142" si="35">t</f>
        <v>47548</v>
      </c>
      <c r="Y79" s="380">
        <f t="shared" ref="Y79:Y142" si="36">Wh_pvt_s*(1-Ppv)</f>
        <v>20.944331407075669</v>
      </c>
      <c r="Z79" s="380">
        <f t="shared" ref="Z79:Z142" si="37">Wh_sa_s*(1-Psa_s)</f>
        <v>21.830142864175659</v>
      </c>
      <c r="AA79" s="381">
        <f t="shared" ref="AA79:AA142" si="38">Wh_hp*(1-Pvg_s*MEDIAN((-Sdif+Wh/Env_an)/Csdif,0,1))</f>
        <v>22.957425696321835</v>
      </c>
      <c r="AB79" s="193">
        <f t="shared" ref="AB79:AB142" si="39">t</f>
        <v>47548</v>
      </c>
      <c r="AC79" s="119">
        <f>IF(OR(t&lt;Tnet,NoTnet),'2029'!Resal_s+('2029'!Salim-'2029'!Resal_s)*(1-EXP(('2029'!Tnet_s-t)/'2029'!Tau_j)),Resal_s+(Salim-Resal_s)*(1-EXP((Tnet_s-t)/Tau_j)))*Salcycl</f>
        <v>4.9103189837473089E-2</v>
      </c>
      <c r="AD79" s="227">
        <f>(INDEX(Models!$BJ79:$BT79,,AH79)*(1-AF79)+INDEX(Models!$BJ79:$BT79,,AH79+1)*AF79-ERP_i)*AE79*Ramure*Pc/MaxiM</f>
        <v>5.4678521150037997E-4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2.6263795149334968E-3</v>
      </c>
      <c r="AG79" s="802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4.0026263795149335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47549</v>
      </c>
      <c r="B80" s="406">
        <f>'2029'!Wh/'2029'!Env_an*'2030'!Env_an</f>
        <v>35.002478192750139</v>
      </c>
      <c r="C80" s="832"/>
      <c r="D80" s="388">
        <f t="shared" si="25"/>
        <v>36.483358902775883</v>
      </c>
      <c r="E80" s="380">
        <f t="shared" ref="E80:E143" si="47">Wh_pvt/(1-Psa)</f>
        <v>37.219889768662995</v>
      </c>
      <c r="F80" s="380">
        <f t="shared" si="26"/>
        <v>37.22129637030114</v>
      </c>
      <c r="G80" s="110">
        <f t="shared" ref="G80:G143" si="48">+Wh_hp/MaxiM</f>
        <v>0.91764568088446219</v>
      </c>
      <c r="H80" s="409" t="b">
        <f>Wh_hp&gt;='2029'!Maxi_hp</f>
        <v>0</v>
      </c>
      <c r="I80" s="385">
        <f>IF(H80,Wh_hp,'2029'!Maxi_hp)</f>
        <v>37.221481723491209</v>
      </c>
      <c r="J80" s="85">
        <f>IF(H80,An,'2029'!An_max)</f>
        <v>2022</v>
      </c>
      <c r="K80" s="193">
        <f t="shared" si="27"/>
        <v>47549</v>
      </c>
      <c r="L80" s="143">
        <f>IF(t&lt;Tvie,1-EXP((T0-t)*PertePVj)+'2029'!Pspv,1-EXP((T0-t)*PertePVj)+Pspv)</f>
        <v>4.0590580323816239E-2</v>
      </c>
      <c r="M80" s="836"/>
      <c r="N80" s="836"/>
      <c r="O80" s="48">
        <f>IF(t&lt;Tnet,'2029'!Resal+('2029'!Salim-'2029'!Resal)*(1-EXP(('2029'!Tnet-t)/('2029'!Tau_j))),Resal+(Salim-Resal)*(1-EXP((Tnet-t)/(Tau_j))))*Salcycl</f>
        <v>1.9788636410933931E-2</v>
      </c>
      <c r="P80" s="165">
        <f>(INDEX(Models!$BJ80:$BT80,,T80)*(1-R80)+INDEX(Models!$BJ80:$BT80,,T80+1)*R80-ERP_i)*Q80*Ramure*Pc/MaxiM</f>
        <v>4.2828711015766098E-5</v>
      </c>
      <c r="Q80" s="301">
        <f t="shared" si="28"/>
        <v>0.5</v>
      </c>
      <c r="R80" s="173">
        <f t="shared" si="29"/>
        <v>0.47802974384539149</v>
      </c>
      <c r="S80" s="802">
        <f t="shared" si="30"/>
        <v>0</v>
      </c>
      <c r="T80" s="172">
        <f t="shared" si="31"/>
        <v>6</v>
      </c>
      <c r="U80" s="247">
        <f t="shared" si="32"/>
        <v>0.47802974384539149</v>
      </c>
      <c r="V80" s="378">
        <f t="shared" si="33"/>
        <v>38.143591318707095</v>
      </c>
      <c r="W80" s="397">
        <f t="shared" si="34"/>
        <v>35.002478192750139</v>
      </c>
      <c r="X80" s="153">
        <f t="shared" si="35"/>
        <v>47549</v>
      </c>
      <c r="Y80" s="380">
        <f t="shared" si="36"/>
        <v>33.94084407949952</v>
      </c>
      <c r="Z80" s="380">
        <f t="shared" si="37"/>
        <v>35.376809298948835</v>
      </c>
      <c r="AA80" s="381">
        <f t="shared" si="38"/>
        <v>37.204758830650583</v>
      </c>
      <c r="AB80" s="193">
        <f t="shared" si="39"/>
        <v>47549</v>
      </c>
      <c r="AC80" s="119">
        <f>IF(OR(t&lt;Tnet,NoTnet),'2029'!Resal_s+('2029'!Salim-'2029'!Resal_s)*(1-EXP(('2029'!Tnet_s-t)/'2029'!Tau_j)),Resal_s+(Salim-Resal_s)*(1-EXP((Tnet_s-t)/Tau_j)))*Salcycl</f>
        <v>4.9132143014882723E-2</v>
      </c>
      <c r="AD80" s="227">
        <f>(INDEX(Models!$BJ80:$BT80,,AH80)*(1-AF80)+INDEX(Models!$BJ80:$BT80,,AH80+1)*AF80-ERP_i)*AE80*Ramure*Pc/MaxiM</f>
        <v>5.0354093682160404E-4</v>
      </c>
      <c r="AE80" s="301">
        <f t="shared" si="40"/>
        <v>0.5</v>
      </c>
      <c r="AF80" s="173">
        <f t="shared" si="41"/>
        <v>3.0173102193682411E-3</v>
      </c>
      <c r="AG80" s="802">
        <f t="shared" ref="AG80:AG143" si="49">INDEX(Echel_vg,AH80)</f>
        <v>4</v>
      </c>
      <c r="AH80" s="172">
        <f t="shared" si="42"/>
        <v>10</v>
      </c>
      <c r="AI80" s="221">
        <f t="shared" si="43"/>
        <v>4.0030173102193682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47550</v>
      </c>
      <c r="B81" s="406">
        <f>'2029'!Wh/'2029'!Env_an*'2030'!Env_an</f>
        <v>31.403625842345971</v>
      </c>
      <c r="C81" s="832"/>
      <c r="D81" s="388">
        <f t="shared" si="25"/>
        <v>32.732694815625713</v>
      </c>
      <c r="E81" s="380">
        <f t="shared" si="47"/>
        <v>33.395390959041734</v>
      </c>
      <c r="F81" s="380">
        <f t="shared" si="26"/>
        <v>33.396358603155576</v>
      </c>
      <c r="G81" s="110">
        <f t="shared" si="48"/>
        <v>0.81417348881396112</v>
      </c>
      <c r="H81" s="409" t="b">
        <f>Wh_hp&gt;='2029'!Maxi_hp</f>
        <v>0</v>
      </c>
      <c r="I81" s="385">
        <f>IF(H81,Wh_hp,'2029'!Maxi_hp)</f>
        <v>33.396703977303218</v>
      </c>
      <c r="J81" s="85">
        <f>IF(H81,An,'2029'!An_max)</f>
        <v>2022</v>
      </c>
      <c r="K81" s="193">
        <f t="shared" si="27"/>
        <v>47550</v>
      </c>
      <c r="L81" s="143">
        <f>IF(t&lt;Tvie,1-EXP((T0-t)*PertePVj)+'2029'!Pspv,1-EXP((T0-t)*PertePVj)+Pspv)</f>
        <v>4.0603713833096355E-2</v>
      </c>
      <c r="M81" s="836"/>
      <c r="N81" s="836"/>
      <c r="O81" s="48">
        <f>IF(t&lt;Tnet,'2029'!Resal+('2029'!Salim-'2029'!Resal)*(1-EXP(('2029'!Tnet-t)/('2029'!Tau_j))),Resal+(Salim-Resal)*(1-EXP((Tnet-t)/(Tau_j))))*Salcycl</f>
        <v>1.9843940267948775E-2</v>
      </c>
      <c r="P81" s="165">
        <f>(INDEX(Models!$BJ81:$BT81,,T81)*(1-R81)+INDEX(Models!$BJ81:$BT81,,T81+1)*R81-ERP_i)*Q81*Ramure*Pc/MaxiM</f>
        <v>3.9445521494680473E-5</v>
      </c>
      <c r="Q81" s="301">
        <f t="shared" si="28"/>
        <v>0.5</v>
      </c>
      <c r="R81" s="173">
        <f t="shared" si="29"/>
        <v>0.47843641367360157</v>
      </c>
      <c r="S81" s="802">
        <f t="shared" si="30"/>
        <v>0</v>
      </c>
      <c r="T81" s="172">
        <f t="shared" si="31"/>
        <v>6</v>
      </c>
      <c r="U81" s="247">
        <f t="shared" si="32"/>
        <v>0.47843641367360157</v>
      </c>
      <c r="V81" s="378">
        <f t="shared" si="33"/>
        <v>38.570768315934679</v>
      </c>
      <c r="W81" s="397">
        <f t="shared" si="34"/>
        <v>31.403625842345971</v>
      </c>
      <c r="X81" s="153">
        <f t="shared" si="35"/>
        <v>47550</v>
      </c>
      <c r="Y81" s="380">
        <f t="shared" si="36"/>
        <v>30.454876332472359</v>
      </c>
      <c r="Z81" s="380">
        <f t="shared" si="37"/>
        <v>31.743792186385644</v>
      </c>
      <c r="AA81" s="381">
        <f t="shared" si="38"/>
        <v>33.385037957052269</v>
      </c>
      <c r="AB81" s="193">
        <f t="shared" si="39"/>
        <v>47550</v>
      </c>
      <c r="AC81" s="119">
        <f>IF(OR(t&lt;Tnet,NoTnet),'2029'!Resal_s+('2029'!Salim-'2029'!Resal_s)*(1-EXP(('2029'!Tnet_s-t)/'2029'!Tau_j)),Resal_s+(Salim-Resal_s)*(1-EXP((Tnet_s-t)/Tau_j)))*Salcycl</f>
        <v>4.9161117407683801E-2</v>
      </c>
      <c r="AD81" s="227">
        <f>(INDEX(Models!$BJ81:$BT81,,AH81)*(1-AF81)+INDEX(Models!$BJ81:$BT81,,AH81+1)*AF81-ERP_i)*AE81*Ramure*Pc/MaxiM</f>
        <v>4.6148039636950992E-4</v>
      </c>
      <c r="AE81" s="301">
        <f t="shared" si="40"/>
        <v>0.5</v>
      </c>
      <c r="AF81" s="173">
        <f t="shared" si="41"/>
        <v>3.4239800475788229E-3</v>
      </c>
      <c r="AG81" s="802">
        <f t="shared" si="49"/>
        <v>4</v>
      </c>
      <c r="AH81" s="172">
        <f t="shared" si="42"/>
        <v>10</v>
      </c>
      <c r="AI81" s="221">
        <f t="shared" si="43"/>
        <v>4.0034239800475788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47551</v>
      </c>
      <c r="B82" s="406">
        <f>'2029'!Wh/'2029'!Env_an*'2030'!Env_an</f>
        <v>28.030462416317636</v>
      </c>
      <c r="C82" s="832"/>
      <c r="D82" s="388">
        <f t="shared" si="25"/>
        <v>29.2171718185967</v>
      </c>
      <c r="E82" s="380">
        <f t="shared" si="47"/>
        <v>29.810374997097188</v>
      </c>
      <c r="F82" s="380">
        <f t="shared" si="26"/>
        <v>29.811019386153681</v>
      </c>
      <c r="G82" s="110">
        <f t="shared" si="48"/>
        <v>0.7186983951546686</v>
      </c>
      <c r="H82" s="409" t="b">
        <f>Wh_hp&gt;='2029'!Maxi_hp</f>
        <v>0</v>
      </c>
      <c r="I82" s="385">
        <f>IF(H82,Wh_hp,'2029'!Maxi_hp)</f>
        <v>29.811446608214982</v>
      </c>
      <c r="J82" s="85">
        <f>IF(H82,An,'2029'!An_max)</f>
        <v>2022</v>
      </c>
      <c r="K82" s="193">
        <f t="shared" si="27"/>
        <v>47551</v>
      </c>
      <c r="L82" s="143">
        <f>IF(t&lt;Tvie,1-EXP((T0-t)*PertePVj)+'2029'!Pspv,1-EXP((T0-t)*PertePVj)+Pspv)</f>
        <v>4.061684716258962E-2</v>
      </c>
      <c r="M82" s="836"/>
      <c r="N82" s="836"/>
      <c r="O82" s="48">
        <f>IF(t&lt;Tnet,'2029'!Resal+('2029'!Salim-'2029'!Resal)*(1-EXP(('2029'!Tnet-t)/('2029'!Tau_j))),Resal+(Salim-Resal)*(1-EXP((Tnet-t)/(Tau_j))))*Salcycl</f>
        <v>1.9899218931605331E-2</v>
      </c>
      <c r="P82" s="165">
        <f>(INDEX(Models!$BJ82:$BT82,,T82)*(1-R82)+INDEX(Models!$BJ82:$BT82,,T82+1)*R82-ERP_i)*Q82*Ramure*Pc/MaxiM</f>
        <v>3.6137428665234131E-5</v>
      </c>
      <c r="Q82" s="301">
        <f t="shared" si="28"/>
        <v>0.5</v>
      </c>
      <c r="R82" s="173">
        <f t="shared" si="29"/>
        <v>0.4788594280551885</v>
      </c>
      <c r="S82" s="802">
        <f t="shared" si="30"/>
        <v>0</v>
      </c>
      <c r="T82" s="172">
        <f t="shared" si="31"/>
        <v>6</v>
      </c>
      <c r="U82" s="247">
        <f t="shared" si="32"/>
        <v>0.4788594280551885</v>
      </c>
      <c r="V82" s="378">
        <f t="shared" si="33"/>
        <v>39.001138097076499</v>
      </c>
      <c r="W82" s="397">
        <f t="shared" si="34"/>
        <v>28.030462416317636</v>
      </c>
      <c r="X82" s="153">
        <f t="shared" si="35"/>
        <v>47551</v>
      </c>
      <c r="Y82" s="380">
        <f t="shared" si="36"/>
        <v>27.186501745463435</v>
      </c>
      <c r="Z82" s="380">
        <f t="shared" si="37"/>
        <v>28.337480875141878</v>
      </c>
      <c r="AA82" s="381">
        <f t="shared" si="38"/>
        <v>29.803519721346529</v>
      </c>
      <c r="AB82" s="193">
        <f t="shared" si="39"/>
        <v>47551</v>
      </c>
      <c r="AC82" s="119">
        <f>IF(OR(t&lt;Tnet,NoTnet),'2029'!Resal_s+('2029'!Salim-'2029'!Resal_s)*(1-EXP(('2029'!Tnet_s-t)/'2029'!Tau_j)),Resal_s+(Salim-Resal_s)*(1-EXP((Tnet_s-t)/Tau_j)))*Salcycl</f>
        <v>4.9190124519239674E-2</v>
      </c>
      <c r="AD82" s="227">
        <f>(INDEX(Models!$BJ82:$BT82,,AH82)*(1-AF82)+INDEX(Models!$BJ82:$BT82,,AH82+1)*AF82-ERP_i)*AE82*Ramure*Pc/MaxiM</f>
        <v>4.2058225423121775E-4</v>
      </c>
      <c r="AE82" s="301">
        <f t="shared" si="40"/>
        <v>0.5</v>
      </c>
      <c r="AF82" s="173">
        <f t="shared" si="41"/>
        <v>3.8469944291659175E-3</v>
      </c>
      <c r="AG82" s="802">
        <f t="shared" si="49"/>
        <v>4</v>
      </c>
      <c r="AH82" s="172">
        <f t="shared" si="42"/>
        <v>10</v>
      </c>
      <c r="AI82" s="221">
        <f t="shared" si="43"/>
        <v>4.0038469944291659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47552</v>
      </c>
      <c r="B83" s="406">
        <f>'2029'!Wh/'2029'!Env_an*'2030'!Env_an</f>
        <v>23.682868884170922</v>
      </c>
      <c r="C83" s="832"/>
      <c r="D83" s="388">
        <f t="shared" si="25"/>
        <v>24.685854673549507</v>
      </c>
      <c r="E83" s="380">
        <f t="shared" si="47"/>
        <v>25.188477585593205</v>
      </c>
      <c r="F83" s="380">
        <f t="shared" si="26"/>
        <v>25.18883345126866</v>
      </c>
      <c r="G83" s="110">
        <f t="shared" si="48"/>
        <v>0.60055567059597414</v>
      </c>
      <c r="H83" s="409" t="b">
        <f>Wh_hp&gt;='2029'!Maxi_hp</f>
        <v>0</v>
      </c>
      <c r="I83" s="385">
        <f>IF(H83,Wh_hp,'2029'!Maxi_hp)</f>
        <v>25.189299753187651</v>
      </c>
      <c r="J83" s="85">
        <f>IF(H83,An,'2029'!An_max)</f>
        <v>2022</v>
      </c>
      <c r="K83" s="193">
        <f t="shared" si="27"/>
        <v>47552</v>
      </c>
      <c r="L83" s="143">
        <f>IF(t&lt;Tvie,1-EXP((T0-t)*PertePVj)+'2029'!Pspv,1-EXP((T0-t)*PertePVj)+Pspv)</f>
        <v>4.0629980312298697E-2</v>
      </c>
      <c r="M83" s="836"/>
      <c r="N83" s="836"/>
      <c r="O83" s="48">
        <f>IF(t&lt;Tnet,'2029'!Resal+('2029'!Salim-'2029'!Resal)*(1-EXP(('2029'!Tnet-t)/('2029'!Tau_j))),Resal+(Salim-Resal)*(1-EXP((Tnet-t)/(Tau_j))))*Salcycl</f>
        <v>1.9954477611270168E-2</v>
      </c>
      <c r="P83" s="165">
        <f>(INDEX(Models!$BJ83:$BT83,,T83)*(1-R83)+INDEX(Models!$BJ83:$BT83,,T83+1)*R83-ERP_i)*Q83*Ramure*Pc/MaxiM</f>
        <v>3.290295221282159E-5</v>
      </c>
      <c r="Q83" s="301">
        <f t="shared" si="28"/>
        <v>0.5</v>
      </c>
      <c r="R83" s="173">
        <f t="shared" si="29"/>
        <v>0.47929941334652526</v>
      </c>
      <c r="S83" s="802">
        <f t="shared" si="30"/>
        <v>0</v>
      </c>
      <c r="T83" s="172">
        <f t="shared" si="31"/>
        <v>6</v>
      </c>
      <c r="U83" s="247">
        <f t="shared" si="32"/>
        <v>0.47929941334652526</v>
      </c>
      <c r="V83" s="378">
        <f t="shared" si="33"/>
        <v>39.434186355482069</v>
      </c>
      <c r="W83" s="397">
        <f t="shared" si="34"/>
        <v>23.682868884170922</v>
      </c>
      <c r="X83" s="153">
        <f t="shared" si="35"/>
        <v>47552</v>
      </c>
      <c r="Y83" s="380">
        <f t="shared" si="36"/>
        <v>22.972252978474994</v>
      </c>
      <c r="Z83" s="380">
        <f t="shared" si="37"/>
        <v>23.945143695394016</v>
      </c>
      <c r="AA83" s="381">
        <f t="shared" si="38"/>
        <v>25.184714615110632</v>
      </c>
      <c r="AB83" s="193">
        <f t="shared" si="39"/>
        <v>47552</v>
      </c>
      <c r="AC83" s="119">
        <f>IF(OR(t&lt;Tnet,NoTnet),'2029'!Resal_s+('2029'!Salim-'2029'!Resal_s)*(1-EXP(('2029'!Tnet_s-t)/'2029'!Tau_j)),Resal_s+(Salim-Resal_s)*(1-EXP((Tnet_s-t)/Tau_j)))*Salcycl</f>
        <v>4.9219176737181763E-2</v>
      </c>
      <c r="AD83" s="227">
        <f>(INDEX(Models!$BJ83:$BT83,,AH83)*(1-AF83)+INDEX(Models!$BJ83:$BT83,,AH83+1)*AF83-ERP_i)*AE83*Ramure*Pc/MaxiM</f>
        <v>3.8082309879085513E-4</v>
      </c>
      <c r="AE83" s="301">
        <f t="shared" si="40"/>
        <v>0.5</v>
      </c>
      <c r="AF83" s="173">
        <f t="shared" si="41"/>
        <v>4.2869797205025151E-3</v>
      </c>
      <c r="AG83" s="802">
        <f t="shared" si="49"/>
        <v>4</v>
      </c>
      <c r="AH83" s="172">
        <f t="shared" si="42"/>
        <v>10</v>
      </c>
      <c r="AI83" s="221">
        <f t="shared" si="43"/>
        <v>4.0042869797205025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47553</v>
      </c>
      <c r="B84" s="406">
        <f>'2029'!Wh/'2029'!Env_an*'2030'!Env_an</f>
        <v>17.091403240093996</v>
      </c>
      <c r="C84" s="832"/>
      <c r="D84" s="388">
        <f t="shared" si="25"/>
        <v>17.815479803942857</v>
      </c>
      <c r="E84" s="380">
        <f t="shared" si="47"/>
        <v>18.179241368142122</v>
      </c>
      <c r="F84" s="380">
        <f t="shared" si="26"/>
        <v>18.179340760851719</v>
      </c>
      <c r="G84" s="110">
        <f t="shared" si="48"/>
        <v>0.42867434285672307</v>
      </c>
      <c r="H84" s="409" t="b">
        <f>Wh_hp&gt;='2029'!Maxi_hp</f>
        <v>0</v>
      </c>
      <c r="I84" s="385">
        <f>IF(H84,Wh_hp,'2029'!Maxi_hp)</f>
        <v>18.179775420005882</v>
      </c>
      <c r="J84" s="85">
        <f>IF(H84,An,'2029'!An_max)</f>
        <v>2022</v>
      </c>
      <c r="K84" s="193">
        <f t="shared" si="27"/>
        <v>47553</v>
      </c>
      <c r="L84" s="143">
        <f>IF(t&lt;Tvie,1-EXP((T0-t)*PertePVj)+'2029'!Pspv,1-EXP((T0-t)*PertePVj)+Pspv)</f>
        <v>4.0643113282226029E-2</v>
      </c>
      <c r="M84" s="836"/>
      <c r="N84" s="836"/>
      <c r="O84" s="48">
        <f>IF(t&lt;Tnet,'2029'!Resal+('2029'!Salim-'2029'!Resal)*(1-EXP(('2029'!Tnet-t)/('2029'!Tau_j))),Resal+(Salim-Resal)*(1-EXP((Tnet-t)/(Tau_j))))*Salcycl</f>
        <v>2.0009721903837787E-2</v>
      </c>
      <c r="P84" s="165">
        <f>(INDEX(Models!$BJ84:$BT84,,T84)*(1-R84)+INDEX(Models!$BJ84:$BT84,,T84+1)*R84-ERP_i)*Q84*Ramure*Pc/MaxiM</f>
        <v>2.9740438129739929E-5</v>
      </c>
      <c r="Q84" s="301">
        <f t="shared" si="28"/>
        <v>0.5</v>
      </c>
      <c r="R84" s="173">
        <f t="shared" si="29"/>
        <v>0.47975701735419013</v>
      </c>
      <c r="S84" s="802">
        <f t="shared" si="30"/>
        <v>0</v>
      </c>
      <c r="T84" s="172">
        <f t="shared" si="31"/>
        <v>6</v>
      </c>
      <c r="U84" s="247">
        <f t="shared" si="32"/>
        <v>0.47975701735419013</v>
      </c>
      <c r="V84" s="378">
        <f t="shared" si="33"/>
        <v>39.869398907082406</v>
      </c>
      <c r="W84" s="397">
        <f t="shared" si="34"/>
        <v>17.091403240093996</v>
      </c>
      <c r="X84" s="153">
        <f t="shared" si="35"/>
        <v>47553</v>
      </c>
      <c r="Y84" s="380">
        <f t="shared" si="36"/>
        <v>16.580519141837275</v>
      </c>
      <c r="Z84" s="380">
        <f t="shared" si="37"/>
        <v>17.28295212281618</v>
      </c>
      <c r="AA84" s="381">
        <f t="shared" si="38"/>
        <v>18.17819720112162</v>
      </c>
      <c r="AB84" s="193">
        <f t="shared" si="39"/>
        <v>47553</v>
      </c>
      <c r="AC84" s="119">
        <f>IF(OR(t&lt;Tnet,NoTnet),'2029'!Resal_s+('2029'!Salim-'2029'!Resal_s)*(1-EXP(('2029'!Tnet_s-t)/'2029'!Tau_j)),Resal_s+(Salim-Resal_s)*(1-EXP((Tnet_s-t)/Tau_j)))*Salcycl</f>
        <v>4.9248287297169603E-2</v>
      </c>
      <c r="AD84" s="227">
        <f>(INDEX(Models!$BJ84:$BT84,,AH84)*(1-AF84)+INDEX(Models!$BJ84:$BT84,,AH84+1)*AF84-ERP_i)*AE84*Ramure*Pc/MaxiM</f>
        <v>3.4217768625918391E-4</v>
      </c>
      <c r="AE84" s="301">
        <f t="shared" si="40"/>
        <v>0.5</v>
      </c>
      <c r="AF84" s="173">
        <f t="shared" si="41"/>
        <v>4.7445837281676617E-3</v>
      </c>
      <c r="AG84" s="802">
        <f t="shared" si="49"/>
        <v>4</v>
      </c>
      <c r="AH84" s="172">
        <f t="shared" si="42"/>
        <v>10</v>
      </c>
      <c r="AI84" s="221">
        <f t="shared" si="43"/>
        <v>4.0047445837281677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47554</v>
      </c>
      <c r="B85" s="406">
        <f>'2029'!Wh/'2029'!Env_an*'2030'!Env_an</f>
        <v>13.375401741259287</v>
      </c>
      <c r="C85" s="832"/>
      <c r="D85" s="388">
        <f t="shared" si="25"/>
        <v>13.942240918856644</v>
      </c>
      <c r="E85" s="380">
        <f t="shared" si="47"/>
        <v>14.227719510142533</v>
      </c>
      <c r="F85" s="380">
        <f t="shared" si="26"/>
        <v>14.227736757987127</v>
      </c>
      <c r="G85" s="110">
        <f t="shared" si="48"/>
        <v>0.3318358231926623</v>
      </c>
      <c r="H85" s="409" t="b">
        <f>Wh_hp&gt;='2029'!Maxi_hp</f>
        <v>0</v>
      </c>
      <c r="I85" s="385">
        <f>IF(H85,Wh_hp,'2029'!Maxi_hp)</f>
        <v>14.228092826357823</v>
      </c>
      <c r="J85" s="85">
        <f>IF(H85,An,'2029'!An_max)</f>
        <v>2022</v>
      </c>
      <c r="K85" s="193">
        <f t="shared" si="27"/>
        <v>47554</v>
      </c>
      <c r="L85" s="143">
        <f>IF(t&lt;Tvie,1-EXP((T0-t)*PertePVj)+'2029'!Pspv,1-EXP((T0-t)*PertePVj)+Pspv)</f>
        <v>4.0656246072373947E-2</v>
      </c>
      <c r="M85" s="836"/>
      <c r="N85" s="836"/>
      <c r="O85" s="48">
        <f>IF(t&lt;Tnet,'2029'!Resal+('2029'!Salim-'2029'!Resal)*(1-EXP(('2029'!Tnet-t)/('2029'!Tau_j))),Resal+(Salim-Resal)*(1-EXP((Tnet-t)/(Tau_j))))*Salcycl</f>
        <v>2.0064957780646382E-2</v>
      </c>
      <c r="P85" s="165">
        <f>(INDEX(Models!$BJ85:$BT85,,T85)*(1-R85)+INDEX(Models!$BJ85:$BT85,,T85+1)*R85-ERP_i)*Q85*Ramure*Pc/MaxiM</f>
        <v>2.6648074539972972E-5</v>
      </c>
      <c r="Q85" s="301">
        <f t="shared" si="28"/>
        <v>0.5</v>
      </c>
      <c r="R85" s="173">
        <f t="shared" si="29"/>
        <v>0.48023290985354533</v>
      </c>
      <c r="S85" s="802">
        <f t="shared" si="30"/>
        <v>0</v>
      </c>
      <c r="T85" s="172">
        <f t="shared" si="31"/>
        <v>6</v>
      </c>
      <c r="U85" s="247">
        <f t="shared" si="32"/>
        <v>0.48023290985354533</v>
      </c>
      <c r="V85" s="378">
        <f t="shared" si="33"/>
        <v>40.306261687015052</v>
      </c>
      <c r="W85" s="397">
        <f t="shared" si="34"/>
        <v>13.375401741259287</v>
      </c>
      <c r="X85" s="153">
        <f t="shared" si="35"/>
        <v>47554</v>
      </c>
      <c r="Y85" s="380">
        <f t="shared" si="36"/>
        <v>12.976508063482417</v>
      </c>
      <c r="Z85" s="380">
        <f t="shared" si="37"/>
        <v>13.526442435629157</v>
      </c>
      <c r="AA85" s="381">
        <f t="shared" si="38"/>
        <v>14.227539594621902</v>
      </c>
      <c r="AB85" s="193">
        <f t="shared" si="39"/>
        <v>47554</v>
      </c>
      <c r="AC85" s="119">
        <f>IF(OR(t&lt;Tnet,NoTnet),'2029'!Resal_s+('2029'!Salim-'2029'!Resal_s)*(1-EXP(('2029'!Tnet_s-t)/'2029'!Tau_j)),Resal_s+(Salim-Resal_s)*(1-EXP((Tnet_s-t)/Tau_j)))*Salcycl</f>
        <v>4.9277470242132651E-2</v>
      </c>
      <c r="AD85" s="227">
        <f>(INDEX(Models!$BJ85:$BT85,,AH85)*(1-AF85)+INDEX(Models!$BJ85:$BT85,,AH85+1)*AF85-ERP_i)*AE85*Ramure*Pc/MaxiM</f>
        <v>3.0461916699790542E-4</v>
      </c>
      <c r="AE85" s="301">
        <f t="shared" si="40"/>
        <v>0.5</v>
      </c>
      <c r="AF85" s="173">
        <f t="shared" si="41"/>
        <v>5.2204762275227523E-3</v>
      </c>
      <c r="AG85" s="802">
        <f t="shared" si="49"/>
        <v>4</v>
      </c>
      <c r="AH85" s="172">
        <f t="shared" si="42"/>
        <v>10</v>
      </c>
      <c r="AI85" s="221">
        <f t="shared" si="43"/>
        <v>4.0052204762275228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47555</v>
      </c>
      <c r="B86" s="406">
        <f>'2029'!Wh/'2029'!Env_an*'2030'!Env_an</f>
        <v>8.5188905747634642</v>
      </c>
      <c r="C86" s="832"/>
      <c r="D86" s="388">
        <f t="shared" si="25"/>
        <v>8.8800361267173908</v>
      </c>
      <c r="E86" s="380">
        <f t="shared" si="47"/>
        <v>9.0623728036277829</v>
      </c>
      <c r="F86" s="380">
        <f t="shared" si="26"/>
        <v>9.0623728036277829</v>
      </c>
      <c r="G86" s="110">
        <f t="shared" si="48"/>
        <v>0.2090770373134298</v>
      </c>
      <c r="H86" s="409" t="b">
        <f>Wh_hp&gt;='2029'!Maxi_hp</f>
        <v>0</v>
      </c>
      <c r="I86" s="385">
        <f>IF(H86,Wh_hp,'2029'!Maxi_hp)</f>
        <v>9.0625850333182196</v>
      </c>
      <c r="J86" s="85">
        <f>IF(H86,An,'2029'!An_max)</f>
        <v>2022</v>
      </c>
      <c r="K86" s="193">
        <f t="shared" si="27"/>
        <v>47555</v>
      </c>
      <c r="L86" s="143">
        <f>IF(t&lt;Tvie,1-EXP((T0-t)*PertePVj)+'2029'!Pspv,1-EXP((T0-t)*PertePVj)+Pspv)</f>
        <v>4.0669378682745005E-2</v>
      </c>
      <c r="M86" s="836"/>
      <c r="N86" s="836"/>
      <c r="O86" s="48">
        <f>IF(t&lt;Tnet,'2029'!Resal+('2029'!Salim-'2029'!Resal)*(1-EXP(('2029'!Tnet-t)/('2029'!Tau_j))),Resal+(Salim-Resal)*(1-EXP((Tnet-t)/(Tau_j))))*Salcycl</f>
        <v>2.01201915724986E-2</v>
      </c>
      <c r="P86" s="165">
        <f>(INDEX(Models!$BJ86:$BT86,,T86)*(1-R86)+INDEX(Models!$BJ86:$BT86,,T86+1)*R86-ERP_i)*Q86*Ramure*Pc/MaxiM</f>
        <v>2.383309001887492E-5</v>
      </c>
      <c r="Q86" s="301">
        <f t="shared" si="28"/>
        <v>0.5</v>
      </c>
      <c r="R86" s="173">
        <f t="shared" si="29"/>
        <v>0.48072778310039116</v>
      </c>
      <c r="S86" s="802">
        <f t="shared" si="30"/>
        <v>0</v>
      </c>
      <c r="T86" s="172">
        <f t="shared" si="31"/>
        <v>6</v>
      </c>
      <c r="U86" s="247">
        <f t="shared" si="32"/>
        <v>0.48072778310039116</v>
      </c>
      <c r="V86" s="378">
        <f t="shared" si="33"/>
        <v>40.744252227503459</v>
      </c>
      <c r="W86" s="397">
        <f t="shared" si="34"/>
        <v>8.5188905747634642</v>
      </c>
      <c r="X86" s="153">
        <f t="shared" si="35"/>
        <v>47555</v>
      </c>
      <c r="Y86" s="380">
        <f t="shared" si="36"/>
        <v>8.2651482143372732</v>
      </c>
      <c r="Z86" s="380">
        <f t="shared" si="37"/>
        <v>8.61553674059566</v>
      </c>
      <c r="AA86" s="381">
        <f t="shared" si="38"/>
        <v>9.0623728036277829</v>
      </c>
      <c r="AB86" s="193">
        <f t="shared" si="39"/>
        <v>47555</v>
      </c>
      <c r="AC86" s="119">
        <f>IF(OR(t&lt;Tnet,NoTnet),'2029'!Resal_s+('2029'!Salim-'2029'!Resal_s)*(1-EXP(('2029'!Tnet_s-t)/'2029'!Tau_j)),Resal_s+(Salim-Resal_s)*(1-EXP((Tnet_s-t)/Tau_j)))*Salcycl</f>
        <v>4.9306740377448165E-2</v>
      </c>
      <c r="AD86" s="227">
        <f>(INDEX(Models!$BJ86:$BT86,,AH86)*(1-AF86)+INDEX(Models!$BJ86:$BT86,,AH86+1)*AF86-ERP_i)*AE86*Ramure*Pc/MaxiM</f>
        <v>2.7007743784722503E-4</v>
      </c>
      <c r="AE86" s="301">
        <f t="shared" si="40"/>
        <v>0.5</v>
      </c>
      <c r="AF86" s="173">
        <f t="shared" si="41"/>
        <v>5.7153494743680255E-3</v>
      </c>
      <c r="AG86" s="802">
        <f t="shared" si="49"/>
        <v>4</v>
      </c>
      <c r="AH86" s="172">
        <f t="shared" si="42"/>
        <v>10</v>
      </c>
      <c r="AI86" s="221">
        <f t="shared" si="43"/>
        <v>4.005715349474368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47556</v>
      </c>
      <c r="B87" s="406">
        <f>'2029'!Wh/'2029'!Env_an*'2030'!Env_an</f>
        <v>12.685045540977779</v>
      </c>
      <c r="C87" s="832"/>
      <c r="D87" s="388">
        <f t="shared" si="25"/>
        <v>13.222989977697043</v>
      </c>
      <c r="E87" s="380">
        <f t="shared" si="47"/>
        <v>13.49526270510057</v>
      </c>
      <c r="F87" s="380">
        <f t="shared" si="26"/>
        <v>13.495266013399512</v>
      </c>
      <c r="G87" s="110">
        <f t="shared" si="48"/>
        <v>0.30801113965216698</v>
      </c>
      <c r="H87" s="409" t="b">
        <f>Wh_hp&gt;='2029'!Maxi_hp</f>
        <v>0</v>
      </c>
      <c r="I87" s="385">
        <f>IF(H87,Wh_hp,'2029'!Maxi_hp)</f>
        <v>13.495546182179719</v>
      </c>
      <c r="J87" s="85">
        <f>IF(H87,An,'2029'!An_max)</f>
        <v>2022</v>
      </c>
      <c r="K87" s="193">
        <f t="shared" si="27"/>
        <v>47556</v>
      </c>
      <c r="L87" s="143">
        <f>IF(t&lt;Tvie,1-EXP((T0-t)*PertePVj)+'2029'!Pspv,1-EXP((T0-t)*PertePVj)+Pspv)</f>
        <v>4.0682511113341646E-2</v>
      </c>
      <c r="M87" s="836"/>
      <c r="N87" s="836"/>
      <c r="O87" s="48">
        <f>IF(t&lt;Tnet,'2029'!Resal+('2029'!Salim-'2029'!Resal)*(1-EXP(('2029'!Tnet-t)/('2029'!Tau_j))),Resal+(Salim-Resal)*(1-EXP((Tnet-t)/(Tau_j))))*Salcycl</f>
        <v>2.0175429952958304E-2</v>
      </c>
      <c r="P87" s="165">
        <f>(INDEX(Models!$BJ87:$BT87,,T87)*(1-R87)+INDEX(Models!$BJ87:$BT87,,T87+1)*R87-ERP_i)*Q87*Ramure*Pc/MaxiM</f>
        <v>2.1402962141055371E-5</v>
      </c>
      <c r="Q87" s="301">
        <f t="shared" si="28"/>
        <v>0.5</v>
      </c>
      <c r="R87" s="173">
        <f t="shared" si="29"/>
        <v>0.48124235233342877</v>
      </c>
      <c r="S87" s="802">
        <f t="shared" si="30"/>
        <v>0</v>
      </c>
      <c r="T87" s="172">
        <f t="shared" si="31"/>
        <v>6</v>
      </c>
      <c r="U87" s="247">
        <f t="shared" si="32"/>
        <v>0.48124235233342877</v>
      </c>
      <c r="V87" s="378">
        <f t="shared" si="33"/>
        <v>41.182851916864415</v>
      </c>
      <c r="W87" s="397">
        <f t="shared" si="34"/>
        <v>12.685045540977779</v>
      </c>
      <c r="X87" s="153">
        <f t="shared" si="35"/>
        <v>47556</v>
      </c>
      <c r="Y87" s="380">
        <f t="shared" si="36"/>
        <v>12.307493498385893</v>
      </c>
      <c r="Z87" s="380">
        <f t="shared" si="37"/>
        <v>12.829426796617071</v>
      </c>
      <c r="AA87" s="381">
        <f t="shared" si="38"/>
        <v>13.495228939542287</v>
      </c>
      <c r="AB87" s="193">
        <f t="shared" si="39"/>
        <v>47556</v>
      </c>
      <c r="AC87" s="119">
        <f>IF(OR(t&lt;Tnet,NoTnet),'2029'!Resal_s+('2029'!Salim-'2029'!Resal_s)*(1-EXP(('2029'!Tnet_s-t)/'2029'!Tau_j)),Resal_s+(Salim-Resal_s)*(1-EXP((Tnet_s-t)/Tau_j)))*Salcycl</f>
        <v>4.9336113222529579E-2</v>
      </c>
      <c r="AD87" s="227">
        <f>(INDEX(Models!$BJ87:$BT87,,AH87)*(1-AF87)+INDEX(Models!$BJ87:$BT87,,AH87+1)*AF87-ERP_i)*AE87*Ramure*Pc/MaxiM</f>
        <v>2.3984844674163048E-4</v>
      </c>
      <c r="AE87" s="301">
        <f t="shared" si="40"/>
        <v>0.5</v>
      </c>
      <c r="AF87" s="173">
        <f t="shared" si="41"/>
        <v>6.229918707405524E-3</v>
      </c>
      <c r="AG87" s="802">
        <f t="shared" si="49"/>
        <v>4</v>
      </c>
      <c r="AH87" s="172">
        <f t="shared" si="42"/>
        <v>10</v>
      </c>
      <c r="AI87" s="221">
        <f t="shared" si="43"/>
        <v>4.0062299187074055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47557</v>
      </c>
      <c r="B88" s="406">
        <f>'2029'!Wh/'2029'!Env_an*'2030'!Env_an</f>
        <v>15.03248682499393</v>
      </c>
      <c r="C88" s="832"/>
      <c r="D88" s="388">
        <f t="shared" si="25"/>
        <v>15.670195513039339</v>
      </c>
      <c r="E88" s="380">
        <f t="shared" si="47"/>
        <v>15.993760155463418</v>
      </c>
      <c r="F88" s="380">
        <f t="shared" si="26"/>
        <v>15.993787195473798</v>
      </c>
      <c r="G88" s="110">
        <f t="shared" si="48"/>
        <v>0.36116440869196675</v>
      </c>
      <c r="H88" s="409" t="b">
        <f>Wh_hp&gt;='2029'!Maxi_hp</f>
        <v>0</v>
      </c>
      <c r="I88" s="385">
        <f>IF(H88,Wh_hp,'2029'!Maxi_hp)</f>
        <v>15.994063855850605</v>
      </c>
      <c r="J88" s="85">
        <f>IF(H88,An,'2029'!An_max)</f>
        <v>2022</v>
      </c>
      <c r="K88" s="193">
        <f t="shared" si="27"/>
        <v>47557</v>
      </c>
      <c r="L88" s="143">
        <f>IF(t&lt;Tvie,1-EXP((T0-t)*PertePVj)+'2029'!Pspv,1-EXP((T0-t)*PertePVj)+Pspv)</f>
        <v>4.0695643364166423E-2</v>
      </c>
      <c r="M88" s="836"/>
      <c r="N88" s="836"/>
      <c r="O88" s="48">
        <f>IF(t&lt;Tnet,'2029'!Resal+('2029'!Salim-'2029'!Resal)*(1-EXP(('2029'!Tnet-t)/('2029'!Tau_j))),Resal+(Salim-Resal)*(1-EXP((Tnet-t)/(Tau_j))))*Salcycl</f>
        <v>2.0230679920103148E-2</v>
      </c>
      <c r="P88" s="165">
        <f>(INDEX(Models!$BJ88:$BT88,,T88)*(1-R88)+INDEX(Models!$BJ88:$BT88,,T88+1)*R88-ERP_i)*Q88*Ramure*Pc/MaxiM</f>
        <v>1.934681695777891E-5</v>
      </c>
      <c r="Q88" s="301">
        <f t="shared" si="28"/>
        <v>0.5</v>
      </c>
      <c r="R88" s="173">
        <f t="shared" si="29"/>
        <v>0.48177735626506035</v>
      </c>
      <c r="S88" s="802">
        <f t="shared" si="30"/>
        <v>0</v>
      </c>
      <c r="T88" s="172">
        <f t="shared" si="31"/>
        <v>6</v>
      </c>
      <c r="U88" s="247">
        <f t="shared" si="32"/>
        <v>0.48177735626506035</v>
      </c>
      <c r="V88" s="378">
        <f t="shared" si="33"/>
        <v>41.621546992954251</v>
      </c>
      <c r="W88" s="397">
        <f t="shared" si="34"/>
        <v>15.03248682499393</v>
      </c>
      <c r="X88" s="153">
        <f t="shared" si="35"/>
        <v>47557</v>
      </c>
      <c r="Y88" s="380">
        <f t="shared" si="36"/>
        <v>14.585225206453098</v>
      </c>
      <c r="Z88" s="380">
        <f t="shared" si="37"/>
        <v>15.203960146289495</v>
      </c>
      <c r="AA88" s="381">
        <f t="shared" si="38"/>
        <v>15.993488375348315</v>
      </c>
      <c r="AB88" s="193">
        <f t="shared" si="39"/>
        <v>47557</v>
      </c>
      <c r="AC88" s="119">
        <f>IF(OR(t&lt;Tnet,NoTnet),'2029'!Resal_s+('2029'!Salim-'2029'!Resal_s)*(1-EXP(('2029'!Tnet_s-t)/'2029'!Tau_j)),Resal_s+(Salim-Resal_s)*(1-EXP((Tnet_s-t)/Tau_j)))*Salcycl</f>
        <v>4.9365604959313691E-2</v>
      </c>
      <c r="AD88" s="227">
        <f>(INDEX(Models!$BJ88:$BT88,,AH88)*(1-AF88)+INDEX(Models!$BJ88:$BT88,,AH88+1)*AF88-ERP_i)*AE88*Ramure*Pc/MaxiM</f>
        <v>2.1380236877034981E-4</v>
      </c>
      <c r="AE88" s="301">
        <f t="shared" si="40"/>
        <v>0.5</v>
      </c>
      <c r="AF88" s="173">
        <f t="shared" si="41"/>
        <v>6.7649226390376072E-3</v>
      </c>
      <c r="AG88" s="802">
        <f t="shared" si="49"/>
        <v>4</v>
      </c>
      <c r="AH88" s="172">
        <f t="shared" si="42"/>
        <v>10</v>
      </c>
      <c r="AI88" s="221">
        <f t="shared" si="43"/>
        <v>4.0067649226390376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47558</v>
      </c>
      <c r="B89" s="406">
        <f>'2029'!Wh/'2029'!Env_an*'2030'!Env_an</f>
        <v>12.622734032944766</v>
      </c>
      <c r="C89" s="832"/>
      <c r="D89" s="388">
        <f t="shared" si="25"/>
        <v>13.158396230166273</v>
      </c>
      <c r="E89" s="380">
        <f t="shared" si="47"/>
        <v>13.430853843260959</v>
      </c>
      <c r="F89" s="380">
        <f t="shared" si="26"/>
        <v>13.43085388181238</v>
      </c>
      <c r="G89" s="110">
        <f t="shared" si="48"/>
        <v>0.3001085140683738</v>
      </c>
      <c r="H89" s="409" t="b">
        <f>Wh_hp&gt;='2029'!Maxi_hp</f>
        <v>0</v>
      </c>
      <c r="I89" s="385">
        <f>IF(H89,Wh_hp,'2029'!Maxi_hp)</f>
        <v>13.431085760338645</v>
      </c>
      <c r="J89" s="85">
        <f>IF(H89,An,'2029'!An_max)</f>
        <v>2022</v>
      </c>
      <c r="K89" s="193">
        <f t="shared" si="27"/>
        <v>47558</v>
      </c>
      <c r="L89" s="143">
        <f>IF(t&lt;Tvie,1-EXP((T0-t)*PertePVj)+'2029'!Pspv,1-EXP((T0-t)*PertePVj)+Pspv)</f>
        <v>4.0708775435221667E-2</v>
      </c>
      <c r="M89" s="836"/>
      <c r="N89" s="836"/>
      <c r="O89" s="48">
        <f>IF(t&lt;Tnet,'2029'!Resal+('2029'!Salim-'2029'!Resal)*(1-EXP(('2029'!Tnet-t)/('2029'!Tau_j))),Resal+(Salim-Resal)*(1-EXP((Tnet-t)/(Tau_j))))*Salcycl</f>
        <v>2.0285948776919575E-2</v>
      </c>
      <c r="P89" s="165">
        <f>(INDEX(Models!$BJ89:$BT89,,T89)*(1-R89)+INDEX(Models!$BJ89:$BT89,,T89+1)*R89-ERP_i)*Q89*Ramure*Pc/MaxiM</f>
        <v>1.7654227989418208E-5</v>
      </c>
      <c r="Q89" s="301">
        <f t="shared" si="28"/>
        <v>0.5</v>
      </c>
      <c r="R89" s="173">
        <f t="shared" si="29"/>
        <v>0.4823335575578323</v>
      </c>
      <c r="S89" s="802">
        <f t="shared" si="30"/>
        <v>0</v>
      </c>
      <c r="T89" s="172">
        <f t="shared" si="31"/>
        <v>6</v>
      </c>
      <c r="U89" s="247">
        <f t="shared" si="32"/>
        <v>0.4823335575578323</v>
      </c>
      <c r="V89" s="378">
        <f t="shared" si="33"/>
        <v>42.059823806517187</v>
      </c>
      <c r="W89" s="397">
        <f t="shared" si="34"/>
        <v>12.622734032944766</v>
      </c>
      <c r="X89" s="153">
        <f t="shared" si="35"/>
        <v>47558</v>
      </c>
      <c r="Y89" s="380">
        <f t="shared" si="36"/>
        <v>12.247686758587406</v>
      </c>
      <c r="Z89" s="380">
        <f t="shared" si="37"/>
        <v>12.767433335110587</v>
      </c>
      <c r="AA89" s="381">
        <f t="shared" si="38"/>
        <v>13.43085346294977</v>
      </c>
      <c r="AB89" s="193">
        <f t="shared" si="39"/>
        <v>47558</v>
      </c>
      <c r="AC89" s="119">
        <f>IF(OR(t&lt;Tnet,NoTnet),'2029'!Resal_s+('2029'!Salim-'2029'!Resal_s)*(1-EXP(('2029'!Tnet_s-t)/'2029'!Tau_j)),Resal_s+(Salim-Resal_s)*(1-EXP((Tnet_s-t)/Tau_j)))*Salcycl</f>
        <v>4.9395232378142438E-2</v>
      </c>
      <c r="AD89" s="227">
        <f>(INDEX(Models!$BJ89:$BT89,,AH89)*(1-AF89)+INDEX(Models!$BJ89:$BT89,,AH89+1)*AF89-ERP_i)*AE89*Ramure*Pc/MaxiM</f>
        <v>1.9181383246371709E-4</v>
      </c>
      <c r="AE89" s="301">
        <f t="shared" si="40"/>
        <v>0.5</v>
      </c>
      <c r="AF89" s="173">
        <f t="shared" si="41"/>
        <v>7.3211239318098364E-3</v>
      </c>
      <c r="AG89" s="802">
        <f t="shared" si="49"/>
        <v>4</v>
      </c>
      <c r="AH89" s="172">
        <f t="shared" si="42"/>
        <v>10</v>
      </c>
      <c r="AI89" s="221">
        <f t="shared" si="43"/>
        <v>4.0073211239318098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47559</v>
      </c>
      <c r="B90" s="406">
        <f>'2029'!Wh/'2029'!Env_an*'2030'!Env_an</f>
        <v>12.122860635530689</v>
      </c>
      <c r="C90" s="832"/>
      <c r="D90" s="388">
        <f t="shared" si="25"/>
        <v>12.637483049096328</v>
      </c>
      <c r="E90" s="380">
        <f t="shared" si="47"/>
        <v>12.899882712345361</v>
      </c>
      <c r="F90" s="380">
        <f t="shared" si="26"/>
        <v>12.899882712345361</v>
      </c>
      <c r="G90" s="110">
        <f t="shared" si="48"/>
        <v>0.28525812857881588</v>
      </c>
      <c r="H90" s="409" t="b">
        <f>Wh_hp&gt;='2029'!Maxi_hp</f>
        <v>0</v>
      </c>
      <c r="I90" s="385">
        <f>IF(H90,Wh_hp,'2029'!Maxi_hp)</f>
        <v>12.900088201183433</v>
      </c>
      <c r="J90" s="85">
        <f>IF(H90,An,'2029'!An_max)</f>
        <v>2022</v>
      </c>
      <c r="K90" s="193">
        <f t="shared" si="27"/>
        <v>47559</v>
      </c>
      <c r="L90" s="143">
        <f>IF(t&lt;Tvie,1-EXP((T0-t)*PertePVj)+'2029'!Pspv,1-EXP((T0-t)*PertePVj)+Pspv)</f>
        <v>4.0721907326509821E-2</v>
      </c>
      <c r="M90" s="836"/>
      <c r="N90" s="836"/>
      <c r="O90" s="48">
        <f>IF(t&lt;Tnet,'2029'!Resal+('2029'!Salim-'2029'!Resal)*(1-EXP(('2029'!Tnet-t)/('2029'!Tau_j))),Resal+(Salim-Resal)*(1-EXP((Tnet-t)/(Tau_j))))*Salcycl</f>
        <v>2.0341244110530808E-2</v>
      </c>
      <c r="P90" s="165">
        <f>(INDEX(Models!$BJ90:$BT90,,T90)*(1-R90)+INDEX(Models!$BJ90:$BT90,,T90+1)*R90-ERP_i)*Q90*Ramure*Pc/MaxiM</f>
        <v>1.6315253799479882E-5</v>
      </c>
      <c r="Q90" s="301">
        <f t="shared" si="28"/>
        <v>0.5</v>
      </c>
      <c r="R90" s="173">
        <f t="shared" si="29"/>
        <v>0.48291174328359654</v>
      </c>
      <c r="S90" s="802">
        <f t="shared" si="30"/>
        <v>0</v>
      </c>
      <c r="T90" s="172">
        <f t="shared" si="31"/>
        <v>6</v>
      </c>
      <c r="U90" s="247">
        <f t="shared" si="32"/>
        <v>0.48291174328359654</v>
      </c>
      <c r="V90" s="378">
        <f t="shared" si="33"/>
        <v>42.497168821722781</v>
      </c>
      <c r="W90" s="397">
        <f t="shared" si="34"/>
        <v>12.122860635530689</v>
      </c>
      <c r="X90" s="153">
        <f t="shared" si="35"/>
        <v>47559</v>
      </c>
      <c r="Y90" s="380">
        <f t="shared" si="36"/>
        <v>11.76296136170712</v>
      </c>
      <c r="Z90" s="380">
        <f t="shared" si="37"/>
        <v>12.262305843891385</v>
      </c>
      <c r="AA90" s="381">
        <f t="shared" si="38"/>
        <v>12.899882712345361</v>
      </c>
      <c r="AB90" s="193">
        <f t="shared" si="39"/>
        <v>47559</v>
      </c>
      <c r="AC90" s="119">
        <f>IF(OR(t&lt;Tnet,NoTnet),'2029'!Resal_s+('2029'!Salim-'2029'!Resal_s)*(1-EXP(('2029'!Tnet_s-t)/'2029'!Tau_j)),Resal_s+(Salim-Resal_s)*(1-EXP((Tnet_s-t)/Tau_j)))*Salcycl</f>
        <v>4.9425012821535726E-2</v>
      </c>
      <c r="AD90" s="227">
        <f>(INDEX(Models!$BJ90:$BT90,,AH90)*(1-AF90)+INDEX(Models!$BJ90:$BT90,,AH90+1)*AF90-ERP_i)*AE90*Ramure*Pc/MaxiM</f>
        <v>1.7376231482939646E-4</v>
      </c>
      <c r="AE90" s="301">
        <f t="shared" si="40"/>
        <v>0.5</v>
      </c>
      <c r="AF90" s="173">
        <f t="shared" si="41"/>
        <v>7.8993096575734612E-3</v>
      </c>
      <c r="AG90" s="802">
        <f t="shared" si="49"/>
        <v>4</v>
      </c>
      <c r="AH90" s="172">
        <f t="shared" si="42"/>
        <v>10</v>
      </c>
      <c r="AI90" s="221">
        <f t="shared" si="43"/>
        <v>4.0078993096575735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47560</v>
      </c>
      <c r="B91" s="406">
        <f>'2029'!Wh/'2029'!Env_an*'2030'!Env_an</f>
        <v>14.309063401574004</v>
      </c>
      <c r="C91" s="832"/>
      <c r="D91" s="388">
        <f t="shared" si="25"/>
        <v>14.916695578273435</v>
      </c>
      <c r="E91" s="380">
        <f t="shared" si="47"/>
        <v>15.227279916411812</v>
      </c>
      <c r="F91" s="380">
        <f t="shared" si="26"/>
        <v>15.227291010214927</v>
      </c>
      <c r="G91" s="110">
        <f t="shared" si="48"/>
        <v>0.33328282990158958</v>
      </c>
      <c r="H91" s="409" t="b">
        <f>Wh_hp&gt;='2029'!Maxi_hp</f>
        <v>0</v>
      </c>
      <c r="I91" s="385">
        <f>IF(H91,Wh_hp,'2029'!Maxi_hp)</f>
        <v>15.227507547270084</v>
      </c>
      <c r="J91" s="85">
        <f>IF(H91,An,'2029'!An_max)</f>
        <v>2022</v>
      </c>
      <c r="K91" s="193">
        <f t="shared" si="27"/>
        <v>47560</v>
      </c>
      <c r="L91" s="143">
        <f>IF(t&lt;Tvie,1-EXP((T0-t)*PertePVj)+'2029'!Pspv,1-EXP((T0-t)*PertePVj)+Pspv)</f>
        <v>4.0735039038033549E-2</v>
      </c>
      <c r="M91" s="836"/>
      <c r="N91" s="836"/>
      <c r="O91" s="48">
        <f>IF(t&lt;Tnet,'2029'!Resal+('2029'!Salim-'2029'!Resal)*(1-EXP(('2029'!Tnet-t)/('2029'!Tau_j))),Resal+(Salim-Resal)*(1-EXP((Tnet-t)/(Tau_j))))*Salcycl</f>
        <v>2.0396573770449438E-2</v>
      </c>
      <c r="P91" s="165">
        <f>(INDEX(Models!$BJ91:$BT91,,T91)*(1-R91)+INDEX(Models!$BJ91:$BT91,,T91+1)*R91-ERP_i)*Q91*Ramure*Pc/MaxiM</f>
        <v>1.5320472025915373E-5</v>
      </c>
      <c r="Q91" s="301">
        <f t="shared" si="28"/>
        <v>0.5</v>
      </c>
      <c r="R91" s="173">
        <f t="shared" si="29"/>
        <v>0.48351272536222195</v>
      </c>
      <c r="S91" s="802">
        <f t="shared" si="30"/>
        <v>0</v>
      </c>
      <c r="T91" s="172">
        <f t="shared" si="31"/>
        <v>6</v>
      </c>
      <c r="U91" s="247">
        <f t="shared" si="32"/>
        <v>0.48351272536222195</v>
      </c>
      <c r="V91" s="378">
        <f t="shared" si="33"/>
        <v>42.933068615842515</v>
      </c>
      <c r="W91" s="397">
        <f t="shared" si="34"/>
        <v>14.309063401574004</v>
      </c>
      <c r="X91" s="153">
        <f t="shared" si="35"/>
        <v>47560</v>
      </c>
      <c r="Y91" s="380">
        <f t="shared" si="36"/>
        <v>13.884512389274656</v>
      </c>
      <c r="Z91" s="380">
        <f t="shared" si="37"/>
        <v>14.474116072530203</v>
      </c>
      <c r="AA91" s="381">
        <f t="shared" si="38"/>
        <v>15.227175490140686</v>
      </c>
      <c r="AB91" s="193">
        <f t="shared" si="39"/>
        <v>47560</v>
      </c>
      <c r="AC91" s="119">
        <f>IF(OR(t&lt;Tnet,NoTnet),'2029'!Resal_s+('2029'!Salim-'2029'!Resal_s)*(1-EXP(('2029'!Tnet_s-t)/'2029'!Tau_j)),Resal_s+(Salim-Resal_s)*(1-EXP((Tnet_s-t)/Tau_j)))*Salcycl</f>
        <v>4.9454964126346104E-2</v>
      </c>
      <c r="AD91" s="227">
        <f>(INDEX(Models!$BJ91:$BT91,,AH91)*(1-AF91)+INDEX(Models!$BJ91:$BT91,,AH91+1)*AF91-ERP_i)*AE91*Ramure*Pc/MaxiM</f>
        <v>1.5953249281688102E-4</v>
      </c>
      <c r="AE91" s="301">
        <f t="shared" si="40"/>
        <v>0.5</v>
      </c>
      <c r="AF91" s="173">
        <f t="shared" si="41"/>
        <v>8.5002917361993724E-3</v>
      </c>
      <c r="AG91" s="802">
        <f t="shared" si="49"/>
        <v>4</v>
      </c>
      <c r="AH91" s="172">
        <f t="shared" si="42"/>
        <v>10</v>
      </c>
      <c r="AI91" s="221">
        <f t="shared" si="43"/>
        <v>4.0085002917361994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47561</v>
      </c>
      <c r="B92" s="406">
        <f>'2029'!Wh/'2029'!Env_an*'2030'!Env_an</f>
        <v>26.291918311985508</v>
      </c>
      <c r="C92" s="832"/>
      <c r="D92" s="388">
        <f t="shared" si="25"/>
        <v>27.408775782687737</v>
      </c>
      <c r="E92" s="380">
        <f t="shared" si="47"/>
        <v>27.981042549628622</v>
      </c>
      <c r="F92" s="380">
        <f t="shared" si="26"/>
        <v>27.981222035593774</v>
      </c>
      <c r="G92" s="110">
        <f t="shared" si="48"/>
        <v>0.60626041703161482</v>
      </c>
      <c r="H92" s="409" t="b">
        <f>Wh_hp&gt;='2029'!Maxi_hp</f>
        <v>0</v>
      </c>
      <c r="I92" s="385">
        <f>IF(H92,Wh_hp,'2029'!Maxi_hp)</f>
        <v>27.981446472007683</v>
      </c>
      <c r="J92" s="85">
        <f>IF(H92,An,'2029'!An_max)</f>
        <v>2022</v>
      </c>
      <c r="K92" s="193">
        <f t="shared" si="27"/>
        <v>47561</v>
      </c>
      <c r="L92" s="143">
        <f>IF(t&lt;Tvie,1-EXP((T0-t)*PertePVj)+'2029'!Pspv,1-EXP((T0-t)*PertePVj)+Pspv)</f>
        <v>4.0748170569795072E-2</v>
      </c>
      <c r="M92" s="836"/>
      <c r="N92" s="836"/>
      <c r="O92" s="48">
        <f>IF(t&lt;Tnet,'2029'!Resal+('2029'!Salim-'2029'!Resal)*(1-EXP(('2029'!Tnet-t)/('2029'!Tau_j))),Resal+(Salim-Resal)*(1-EXP((Tnet-t)/(Tau_j))))*Salcycl</f>
        <v>2.045194584604507E-2</v>
      </c>
      <c r="P92" s="165">
        <f>(INDEX(Models!$BJ92:$BT92,,T92)*(1-R92)+INDEX(Models!$BJ92:$BT92,,T92+1)*R92-ERP_i)*Q92*Ramure*Pc/MaxiM</f>
        <v>1.4661010265332144E-5</v>
      </c>
      <c r="Q92" s="301">
        <f t="shared" si="28"/>
        <v>0.5</v>
      </c>
      <c r="R92" s="173">
        <f t="shared" si="29"/>
        <v>0.48413734097642858</v>
      </c>
      <c r="S92" s="802">
        <f t="shared" si="30"/>
        <v>0</v>
      </c>
      <c r="T92" s="172">
        <f t="shared" si="31"/>
        <v>6</v>
      </c>
      <c r="U92" s="247">
        <f t="shared" si="32"/>
        <v>0.48413734097642858</v>
      </c>
      <c r="V92" s="378">
        <f t="shared" si="33"/>
        <v>43.367009878595944</v>
      </c>
      <c r="W92" s="397">
        <f t="shared" si="34"/>
        <v>26.291918311985508</v>
      </c>
      <c r="X92" s="153">
        <f t="shared" si="35"/>
        <v>47561</v>
      </c>
      <c r="Y92" s="380">
        <f t="shared" si="36"/>
        <v>25.511143471841567</v>
      </c>
      <c r="Z92" s="380">
        <f t="shared" si="37"/>
        <v>26.594834316860435</v>
      </c>
      <c r="AA92" s="381">
        <f t="shared" si="38"/>
        <v>27.979397739667288</v>
      </c>
      <c r="AB92" s="193">
        <f t="shared" si="39"/>
        <v>47561</v>
      </c>
      <c r="AC92" s="119">
        <f>IF(OR(t&lt;Tnet,NoTnet),'2029'!Resal_s+('2029'!Salim-'2029'!Resal_s)*(1-EXP(('2029'!Tnet_s-t)/'2029'!Tau_j)),Resal_s+(Salim-Resal_s)*(1-EXP((Tnet_s-t)/Tau_j)))*Salcycl</f>
        <v>4.9485104564774486E-2</v>
      </c>
      <c r="AD92" s="227">
        <f>(INDEX(Models!$BJ92:$BT92,,AH92)*(1-AF92)+INDEX(Models!$BJ92:$BT92,,AH92+1)*AF92-ERP_i)*AE92*Ramure*Pc/MaxiM</f>
        <v>1.4901455544187036E-4</v>
      </c>
      <c r="AE92" s="301">
        <f t="shared" si="40"/>
        <v>0.5</v>
      </c>
      <c r="AF92" s="173">
        <f t="shared" si="41"/>
        <v>9.1249073504053868E-3</v>
      </c>
      <c r="AG92" s="802">
        <f t="shared" si="49"/>
        <v>4</v>
      </c>
      <c r="AH92" s="172">
        <f t="shared" si="42"/>
        <v>10</v>
      </c>
      <c r="AI92" s="221">
        <f t="shared" si="43"/>
        <v>4.0091249073504054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47562</v>
      </c>
      <c r="B93" s="406">
        <f>'2029'!Wh/'2029'!Env_an*'2030'!Env_an</f>
        <v>31.515522991167323</v>
      </c>
      <c r="C93" s="832"/>
      <c r="D93" s="388">
        <f t="shared" si="25"/>
        <v>32.854724329103313</v>
      </c>
      <c r="E93" s="380">
        <f t="shared" si="47"/>
        <v>33.542594683535171</v>
      </c>
      <c r="F93" s="380">
        <f t="shared" si="26"/>
        <v>33.542882678200399</v>
      </c>
      <c r="G93" s="110">
        <f t="shared" si="48"/>
        <v>0.71948478389436865</v>
      </c>
      <c r="H93" s="409" t="b">
        <f>Wh_hp&gt;='2029'!Maxi_hp</f>
        <v>0</v>
      </c>
      <c r="I93" s="385">
        <f>IF(H93,Wh_hp,'2029'!Maxi_hp)</f>
        <v>33.543069625939346</v>
      </c>
      <c r="J93" s="85">
        <f>IF(H93,An,'2029'!An_max)</f>
        <v>2022</v>
      </c>
      <c r="K93" s="193">
        <f t="shared" si="27"/>
        <v>47562</v>
      </c>
      <c r="L93" s="143">
        <f>IF(t&lt;Tvie,1-EXP((T0-t)*PertePVj)+'2029'!Pspv,1-EXP((T0-t)*PertePVj)+Pspv)</f>
        <v>4.0761301921796944E-2</v>
      </c>
      <c r="M93" s="836"/>
      <c r="N93" s="836"/>
      <c r="O93" s="48">
        <f>IF(t&lt;Tnet,'2029'!Resal+('2029'!Salim-'2029'!Resal)*(1-EXP(('2029'!Tnet-t)/('2029'!Tau_j))),Resal+(Salim-Resal)*(1-EXP((Tnet-t)/(Tau_j))))*Salcycl</f>
        <v>2.0507368643413577E-2</v>
      </c>
      <c r="P93" s="165">
        <f>(INDEX(Models!$BJ93:$BT93,,T93)*(1-R93)+INDEX(Models!$BJ93:$BT93,,T93+1)*R93-ERP_i)*Q93*Ramure*Pc/MaxiM</f>
        <v>1.4327209487122685E-5</v>
      </c>
      <c r="Q93" s="301">
        <f t="shared" si="28"/>
        <v>0.5</v>
      </c>
      <c r="R93" s="173">
        <f t="shared" si="29"/>
        <v>0.48478645295905004</v>
      </c>
      <c r="S93" s="802">
        <f t="shared" si="30"/>
        <v>0</v>
      </c>
      <c r="T93" s="172">
        <f t="shared" si="31"/>
        <v>6</v>
      </c>
      <c r="U93" s="247">
        <f t="shared" si="32"/>
        <v>0.48478645295905004</v>
      </c>
      <c r="V93" s="378">
        <f t="shared" si="33"/>
        <v>43.802652611440344</v>
      </c>
      <c r="W93" s="397">
        <f t="shared" si="34"/>
        <v>31.515522991167323</v>
      </c>
      <c r="X93" s="153">
        <f t="shared" si="35"/>
        <v>47562</v>
      </c>
      <c r="Y93" s="380">
        <f t="shared" si="36"/>
        <v>30.579836047001198</v>
      </c>
      <c r="Z93" s="380">
        <f t="shared" si="37"/>
        <v>31.879276876826065</v>
      </c>
      <c r="AA93" s="381">
        <f t="shared" si="38"/>
        <v>33.540026474102348</v>
      </c>
      <c r="AB93" s="193">
        <f t="shared" si="39"/>
        <v>47562</v>
      </c>
      <c r="AC93" s="119">
        <f>IF(OR(t&lt;Tnet,NoTnet),'2029'!Resal_s+('2029'!Salim-'2029'!Resal_s)*(1-EXP(('2029'!Tnet_s-t)/'2029'!Tau_j)),Resal_s+(Salim-Resal_s)*(1-EXP((Tnet_s-t)/Tau_j)))*Salcycl</f>
        <v>4.9515452784708404E-2</v>
      </c>
      <c r="AD93" s="227">
        <f>(INDEX(Models!$BJ93:$BT93,,AH93)*(1-AF93)+INDEX(Models!$BJ93:$BT93,,AH93+1)*AF93-ERP_i)*AE93*Ramure*Pc/MaxiM</f>
        <v>1.4209094608807655E-4</v>
      </c>
      <c r="AE93" s="301">
        <f t="shared" si="40"/>
        <v>0.5</v>
      </c>
      <c r="AF93" s="173">
        <f t="shared" si="41"/>
        <v>9.7740193330269065E-3</v>
      </c>
      <c r="AG93" s="802">
        <f t="shared" si="49"/>
        <v>4</v>
      </c>
      <c r="AH93" s="172">
        <f t="shared" si="42"/>
        <v>10</v>
      </c>
      <c r="AI93" s="221">
        <f t="shared" si="43"/>
        <v>4.0097740193330269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47563</v>
      </c>
      <c r="B94" s="406">
        <f>'2029'!Wh/'2029'!Env_an*'2030'!Env_an</f>
        <v>42.388636037876893</v>
      </c>
      <c r="C94" s="832"/>
      <c r="D94" s="388">
        <f t="shared" si="25"/>
        <v>44.190477714854993</v>
      </c>
      <c r="E94" s="380">
        <f t="shared" si="47"/>
        <v>45.118237290382034</v>
      </c>
      <c r="F94" s="380">
        <f t="shared" si="26"/>
        <v>45.11884506149606</v>
      </c>
      <c r="G94" s="110">
        <f t="shared" si="48"/>
        <v>0.9580836855242254</v>
      </c>
      <c r="H94" s="409" t="b">
        <f>Wh_hp&gt;='2029'!Maxi_hp</f>
        <v>0</v>
      </c>
      <c r="I94" s="385">
        <f>IF(H94,Wh_hp,'2029'!Maxi_hp)</f>
        <v>45.118882566979195</v>
      </c>
      <c r="J94" s="85">
        <f>IF(H94,An,'2029'!An_max)</f>
        <v>2022</v>
      </c>
      <c r="K94" s="193">
        <f t="shared" si="27"/>
        <v>47563</v>
      </c>
      <c r="L94" s="143">
        <f>IF(t&lt;Tvie,1-EXP((T0-t)*PertePVj)+'2029'!Pspv,1-EXP((T0-t)*PertePVj)+Pspv)</f>
        <v>4.0774433094041718E-2</v>
      </c>
      <c r="M94" s="836"/>
      <c r="N94" s="836"/>
      <c r="O94" s="48">
        <f>IF(t&lt;Tnet,'2029'!Resal+('2029'!Salim-'2029'!Resal)*(1-EXP(('2029'!Tnet-t)/('2029'!Tau_j))),Resal+(Salim-Resal)*(1-EXP((Tnet-t)/(Tau_j))))*Salcycl</f>
        <v>2.0562850661827954E-2</v>
      </c>
      <c r="P94" s="165">
        <f>(INDEX(Models!$BJ94:$BT94,,T94)*(1-R94)+INDEX(Models!$BJ94:$BT94,,T94+1)*R94-ERP_i)*Q94*Ramure*Pc/MaxiM</f>
        <v>1.4328424979866989E-5</v>
      </c>
      <c r="Q94" s="301">
        <f t="shared" si="28"/>
        <v>0.5</v>
      </c>
      <c r="R94" s="173">
        <f t="shared" si="29"/>
        <v>0.48546095014875024</v>
      </c>
      <c r="S94" s="802">
        <f t="shared" si="30"/>
        <v>0</v>
      </c>
      <c r="T94" s="172">
        <f t="shared" si="31"/>
        <v>6</v>
      </c>
      <c r="U94" s="247">
        <f t="shared" si="32"/>
        <v>0.48546095014875024</v>
      </c>
      <c r="V94" s="378">
        <f t="shared" si="33"/>
        <v>44.243107684037021</v>
      </c>
      <c r="W94" s="397">
        <f t="shared" si="34"/>
        <v>42.388636037876893</v>
      </c>
      <c r="X94" s="153">
        <f t="shared" si="35"/>
        <v>47563</v>
      </c>
      <c r="Y94" s="380">
        <f t="shared" si="36"/>
        <v>41.12944290707987</v>
      </c>
      <c r="Z94" s="380">
        <f t="shared" si="37"/>
        <v>42.877759232112055</v>
      </c>
      <c r="AA94" s="381">
        <f t="shared" si="38"/>
        <v>45.112925490331655</v>
      </c>
      <c r="AB94" s="193">
        <f t="shared" si="39"/>
        <v>47563</v>
      </c>
      <c r="AC94" s="119">
        <f>IF(OR(t&lt;Tnet,NoTnet),'2029'!Resal_s+('2029'!Salim-'2029'!Resal_s)*(1-EXP(('2029'!Tnet_s-t)/'2029'!Tau_j)),Resal_s+(Salim-Resal_s)*(1-EXP((Tnet_s-t)/Tau_j)))*Salcycl</f>
        <v>4.9546027749821406E-2</v>
      </c>
      <c r="AD94" s="227">
        <f>(INDEX(Models!$BJ94:$BT94,,AH94)*(1-AF94)+INDEX(Models!$BJ94:$BT94,,AH94+1)*AF94-ERP_i)*AE94*Ramure*Pc/MaxiM</f>
        <v>1.3955604237310485E-4</v>
      </c>
      <c r="AE94" s="301">
        <f t="shared" si="40"/>
        <v>0.5</v>
      </c>
      <c r="AF94" s="173">
        <f t="shared" si="41"/>
        <v>1.0448516522727047E-2</v>
      </c>
      <c r="AG94" s="802">
        <f t="shared" si="49"/>
        <v>4</v>
      </c>
      <c r="AH94" s="172">
        <f t="shared" si="42"/>
        <v>10</v>
      </c>
      <c r="AI94" s="221">
        <f t="shared" si="43"/>
        <v>4.010448516522727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47564</v>
      </c>
      <c r="B95" s="406">
        <f>'2029'!Wh/'2029'!Env_an*'2030'!Env_an</f>
        <v>41.371877594670863</v>
      </c>
      <c r="C95" s="832"/>
      <c r="D95" s="388">
        <f t="shared" si="25"/>
        <v>43.131089679078215</v>
      </c>
      <c r="E95" s="380">
        <f t="shared" si="47"/>
        <v>44.039105599061664</v>
      </c>
      <c r="F95" s="380">
        <f t="shared" si="26"/>
        <v>44.039678166510306</v>
      </c>
      <c r="G95" s="110">
        <f t="shared" si="48"/>
        <v>0.92581225832494018</v>
      </c>
      <c r="H95" s="409" t="b">
        <f>Wh_hp&gt;='2029'!Maxi_hp</f>
        <v>0</v>
      </c>
      <c r="I95" s="385">
        <f>IF(H95,Wh_hp,'2029'!Maxi_hp)</f>
        <v>44.0397438016956</v>
      </c>
      <c r="J95" s="85">
        <f>IF(H95,An,'2029'!An_max)</f>
        <v>2022</v>
      </c>
      <c r="K95" s="193">
        <f t="shared" si="27"/>
        <v>47564</v>
      </c>
      <c r="L95" s="143">
        <f>IF(t&lt;Tvie,1-EXP((T0-t)*PertePVj)+'2029'!Pspv,1-EXP((T0-t)*PertePVj)+Pspv)</f>
        <v>4.0787564086531725E-2</v>
      </c>
      <c r="M95" s="836"/>
      <c r="N95" s="836"/>
      <c r="O95" s="48">
        <f>IF(t&lt;Tnet,'2029'!Resal+('2029'!Salim-'2029'!Resal)*(1-EXP(('2029'!Tnet-t)/('2029'!Tau_j))),Resal+(Salim-Resal)*(1-EXP((Tnet-t)/(Tau_j))))*Salcycl</f>
        <v>2.0618400569942474E-2</v>
      </c>
      <c r="P95" s="165">
        <f>(INDEX(Models!$BJ95:$BT95,,T95)*(1-R95)+INDEX(Models!$BJ95:$BT95,,T95+1)*R95-ERP_i)*Q95*Ramure*Pc/MaxiM</f>
        <v>1.4542380425235033E-5</v>
      </c>
      <c r="Q95" s="301">
        <f t="shared" si="28"/>
        <v>0.5</v>
      </c>
      <c r="R95" s="173">
        <f t="shared" si="29"/>
        <v>0.48616174770992493</v>
      </c>
      <c r="S95" s="802">
        <f t="shared" si="30"/>
        <v>0</v>
      </c>
      <c r="T95" s="172">
        <f t="shared" si="31"/>
        <v>6</v>
      </c>
      <c r="U95" s="247">
        <f t="shared" si="32"/>
        <v>0.48616174770992493</v>
      </c>
      <c r="V95" s="378">
        <f t="shared" si="33"/>
        <v>44.687044764373617</v>
      </c>
      <c r="W95" s="397">
        <f t="shared" si="34"/>
        <v>41.371877594670863</v>
      </c>
      <c r="X95" s="153">
        <f t="shared" si="35"/>
        <v>47564</v>
      </c>
      <c r="Y95" s="380">
        <f t="shared" si="36"/>
        <v>40.144095505913484</v>
      </c>
      <c r="Z95" s="380">
        <f t="shared" si="37"/>
        <v>41.85109992624713</v>
      </c>
      <c r="AA95" s="381">
        <f t="shared" si="38"/>
        <v>44.034175586016758</v>
      </c>
      <c r="AB95" s="193">
        <f t="shared" si="39"/>
        <v>47564</v>
      </c>
      <c r="AC95" s="119">
        <f>IF(OR(t&lt;Tnet,NoTnet),'2029'!Resal_s+('2029'!Salim-'2029'!Resal_s)*(1-EXP(('2029'!Tnet_s-t)/'2029'!Tau_j)),Resal_s+(Salim-Resal_s)*(1-EXP((Tnet_s-t)/Tau_j)))*Salcycl</f>
        <v>4.9576848679843917E-2</v>
      </c>
      <c r="AD95" s="227">
        <f>(INDEX(Models!$BJ95:$BT95,,AH95)*(1-AF95)+INDEX(Models!$BJ95:$BT95,,AH95+1)*AF95-ERP_i)*AE95*Ramure*Pc/MaxiM</f>
        <v>1.3975754131209477E-4</v>
      </c>
      <c r="AE95" s="301">
        <f t="shared" si="40"/>
        <v>0.5</v>
      </c>
      <c r="AF95" s="173">
        <f t="shared" si="41"/>
        <v>1.1149314083902517E-2</v>
      </c>
      <c r="AG95" s="802">
        <f t="shared" si="49"/>
        <v>4</v>
      </c>
      <c r="AH95" s="172">
        <f t="shared" si="42"/>
        <v>10</v>
      </c>
      <c r="AI95" s="221">
        <f t="shared" si="43"/>
        <v>4.0111493140839025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47565</v>
      </c>
      <c r="B96" s="406">
        <f>'2029'!Wh/'2029'!Env_an*'2030'!Env_an</f>
        <v>44.136301897526458</v>
      </c>
      <c r="C96" s="832"/>
      <c r="D96" s="388">
        <f t="shared" si="25"/>
        <v>46.013692527531042</v>
      </c>
      <c r="E96" s="380">
        <f t="shared" si="47"/>
        <v>46.985062997076383</v>
      </c>
      <c r="F96" s="380">
        <f t="shared" si="26"/>
        <v>46.985743941594798</v>
      </c>
      <c r="G96" s="110">
        <f t="shared" si="48"/>
        <v>0.97791317086813201</v>
      </c>
      <c r="H96" s="409" t="b">
        <f>Wh_hp&gt;='2029'!Maxi_hp</f>
        <v>0</v>
      </c>
      <c r="I96" s="385">
        <f>IF(H96,Wh_hp,'2029'!Maxi_hp)</f>
        <v>46.985765354828146</v>
      </c>
      <c r="J96" s="85">
        <f>IF(H96,An,'2029'!An_max)</f>
        <v>2022</v>
      </c>
      <c r="K96" s="193">
        <f t="shared" si="27"/>
        <v>47565</v>
      </c>
      <c r="L96" s="143">
        <f>IF(t&lt;Tvie,1-EXP((T0-t)*PertePVj)+'2029'!Pspv,1-EXP((T0-t)*PertePVj)+Pspv)</f>
        <v>4.0800694899269407E-2</v>
      </c>
      <c r="M96" s="836"/>
      <c r="N96" s="836"/>
      <c r="O96" s="48">
        <f>IF(t&lt;Tnet,'2029'!Resal+('2029'!Salim-'2029'!Resal)*(1-EXP(('2029'!Tnet-t)/('2029'!Tau_j))),Resal+(Salim-Resal)*(1-EXP((Tnet-t)/(Tau_j))))*Salcycl</f>
        <v>2.067402718191072E-2</v>
      </c>
      <c r="P96" s="165">
        <f>(INDEX(Models!$BJ96:$BT96,,T96)*(1-R96)+INDEX(Models!$BJ96:$BT96,,T96+1)*R96-ERP_i)*Q96*Ramure*Pc/MaxiM</f>
        <v>1.4964744043931157E-5</v>
      </c>
      <c r="Q96" s="301">
        <f t="shared" si="28"/>
        <v>0.5</v>
      </c>
      <c r="R96" s="173">
        <f t="shared" si="29"/>
        <v>0.48688978741221961</v>
      </c>
      <c r="S96" s="802">
        <f t="shared" si="30"/>
        <v>0</v>
      </c>
      <c r="T96" s="172">
        <f t="shared" si="31"/>
        <v>6</v>
      </c>
      <c r="U96" s="247">
        <f t="shared" si="32"/>
        <v>0.48688978741221961</v>
      </c>
      <c r="V96" s="378">
        <f t="shared" si="33"/>
        <v>45.133128760646265</v>
      </c>
      <c r="W96" s="397">
        <f t="shared" si="34"/>
        <v>44.136301897526458</v>
      </c>
      <c r="X96" s="153">
        <f t="shared" si="35"/>
        <v>47565</v>
      </c>
      <c r="Y96" s="380">
        <f t="shared" si="36"/>
        <v>42.827011801440371</v>
      </c>
      <c r="Z96" s="380">
        <f t="shared" si="37"/>
        <v>44.648710204124761</v>
      </c>
      <c r="AA96" s="381">
        <f t="shared" si="38"/>
        <v>46.979253981587021</v>
      </c>
      <c r="AB96" s="193">
        <f t="shared" si="39"/>
        <v>47565</v>
      </c>
      <c r="AC96" s="119">
        <f>IF(OR(t&lt;Tnet,NoTnet),'2029'!Resal_s+('2029'!Salim-'2029'!Resal_s)*(1-EXP(('2029'!Tnet_s-t)/'2029'!Tau_j)),Resal_s+(Salim-Resal_s)*(1-EXP((Tnet_s-t)/Tau_j)))*Salcycl</f>
        <v>4.9607934991383378E-2</v>
      </c>
      <c r="AD96" s="227">
        <f>(INDEX(Models!$BJ96:$BT96,,AH96)*(1-AF96)+INDEX(Models!$BJ96:$BT96,,AH96+1)*AF96-ERP_i)*AE96*Ramure*Pc/MaxiM</f>
        <v>1.4262629002090199E-4</v>
      </c>
      <c r="AE96" s="301">
        <f t="shared" si="40"/>
        <v>0.5</v>
      </c>
      <c r="AF96" s="173">
        <f t="shared" si="41"/>
        <v>1.187735378619692E-2</v>
      </c>
      <c r="AG96" s="802">
        <f t="shared" si="49"/>
        <v>4</v>
      </c>
      <c r="AH96" s="172">
        <f t="shared" si="42"/>
        <v>10</v>
      </c>
      <c r="AI96" s="221">
        <f t="shared" si="43"/>
        <v>4.0118773537861969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47566</v>
      </c>
      <c r="B97" s="406">
        <f>'2029'!Wh/'2029'!Env_an*'2030'!Env_an</f>
        <v>43.846351384587599</v>
      </c>
      <c r="C97" s="832"/>
      <c r="D97" s="388">
        <f t="shared" si="25"/>
        <v>45.712034380518638</v>
      </c>
      <c r="E97" s="380">
        <f t="shared" si="47"/>
        <v>46.679692237439802</v>
      </c>
      <c r="F97" s="380">
        <f t="shared" si="26"/>
        <v>46.680380507779496</v>
      </c>
      <c r="G97" s="110">
        <f t="shared" si="48"/>
        <v>0.96196336681219174</v>
      </c>
      <c r="H97" s="409" t="b">
        <f>Wh_hp&gt;='2029'!Maxi_hp</f>
        <v>0</v>
      </c>
      <c r="I97" s="385">
        <f>IF(H97,Wh_hp,'2029'!Maxi_hp)</f>
        <v>46.68041860984021</v>
      </c>
      <c r="J97" s="85">
        <f>IF(H97,An,'2029'!An_max)</f>
        <v>2022</v>
      </c>
      <c r="K97" s="193">
        <f t="shared" si="27"/>
        <v>47566</v>
      </c>
      <c r="L97" s="143">
        <f>IF(t&lt;Tvie,1-EXP((T0-t)*PertePVj)+'2029'!Pspv,1-EXP((T0-t)*PertePVj)+Pspv)</f>
        <v>4.0813825532257431E-2</v>
      </c>
      <c r="M97" s="836"/>
      <c r="N97" s="836"/>
      <c r="O97" s="48">
        <f>IF(t&lt;Tnet,'2029'!Resal+('2029'!Salim-'2029'!Resal)*(1-EXP(('2029'!Tnet-t)/('2029'!Tau_j))),Resal+(Salim-Resal)*(1-EXP((Tnet-t)/(Tau_j))))*Salcycl</f>
        <v>2.0729739433565705E-2</v>
      </c>
      <c r="P97" s="165">
        <f>(INDEX(Models!$BJ97:$BT97,,T97)*(1-R97)+INDEX(Models!$BJ97:$BT97,,T97+1)*R97-ERP_i)*Q97*Ramure*Pc/MaxiM</f>
        <v>1.5591511385128441E-5</v>
      </c>
      <c r="Q97" s="301">
        <f t="shared" si="28"/>
        <v>0.5</v>
      </c>
      <c r="R97" s="173">
        <f t="shared" si="29"/>
        <v>0.48764603786477939</v>
      </c>
      <c r="S97" s="802">
        <f t="shared" si="30"/>
        <v>0</v>
      </c>
      <c r="T97" s="172">
        <f t="shared" si="31"/>
        <v>6</v>
      </c>
      <c r="U97" s="247">
        <f t="shared" si="32"/>
        <v>0.48764603786477939</v>
      </c>
      <c r="V97" s="378">
        <f t="shared" si="33"/>
        <v>45.580024926488271</v>
      </c>
      <c r="W97" s="397">
        <f t="shared" si="34"/>
        <v>43.846351384587599</v>
      </c>
      <c r="X97" s="153">
        <f t="shared" si="35"/>
        <v>47566</v>
      </c>
      <c r="Y97" s="380">
        <f t="shared" si="36"/>
        <v>42.546607483264111</v>
      </c>
      <c r="Z97" s="380">
        <f t="shared" si="37"/>
        <v>44.356985761261043</v>
      </c>
      <c r="AA97" s="381">
        <f t="shared" si="38"/>
        <v>46.673842944567035</v>
      </c>
      <c r="AB97" s="193">
        <f t="shared" si="39"/>
        <v>47566</v>
      </c>
      <c r="AC97" s="119">
        <f>IF(OR(t&lt;Tnet,NoTnet),'2029'!Resal_s+('2029'!Salim-'2029'!Resal_s)*(1-EXP(('2029'!Tnet_s-t)/'2029'!Tau_j)),Resal_s+(Salim-Resal_s)*(1-EXP((Tnet_s-t)/Tau_j)))*Salcycl</f>
        <v>4.9639306239635021E-2</v>
      </c>
      <c r="AD97" s="227">
        <f>(INDEX(Models!$BJ97:$BT97,,AH97)*(1-AF97)+INDEX(Models!$BJ97:$BT97,,AH97+1)*AF97-ERP_i)*AE97*Ramure*Pc/MaxiM</f>
        <v>1.4809659138284505E-4</v>
      </c>
      <c r="AE97" s="301">
        <f t="shared" si="40"/>
        <v>0.5</v>
      </c>
      <c r="AF97" s="173">
        <f t="shared" si="41"/>
        <v>1.2633604238756924E-2</v>
      </c>
      <c r="AG97" s="802">
        <f t="shared" si="49"/>
        <v>4</v>
      </c>
      <c r="AH97" s="172">
        <f t="shared" si="42"/>
        <v>10</v>
      </c>
      <c r="AI97" s="221">
        <f t="shared" si="43"/>
        <v>4.0126336042387569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47567</v>
      </c>
      <c r="B98" s="406">
        <f>'2029'!Wh/'2029'!Env_an*'2030'!Env_an</f>
        <v>36.524242551629399</v>
      </c>
      <c r="C98" s="832"/>
      <c r="D98" s="388">
        <f t="shared" si="25"/>
        <v>38.078887620487777</v>
      </c>
      <c r="E98" s="380">
        <f t="shared" si="47"/>
        <v>38.887178879857835</v>
      </c>
      <c r="F98" s="380">
        <f t="shared" si="26"/>
        <v>38.887629066807719</v>
      </c>
      <c r="G98" s="110">
        <f t="shared" si="48"/>
        <v>0.79354602113478356</v>
      </c>
      <c r="H98" s="409" t="b">
        <f>Wh_hp&gt;='2029'!Maxi_hp</f>
        <v>0</v>
      </c>
      <c r="I98" s="385">
        <f>IF(H98,Wh_hp,'2029'!Maxi_hp)</f>
        <v>38.887810174833888</v>
      </c>
      <c r="J98" s="85">
        <f>IF(H98,An,'2029'!An_max)</f>
        <v>2022</v>
      </c>
      <c r="K98" s="193">
        <f t="shared" si="27"/>
        <v>47567</v>
      </c>
      <c r="L98" s="143">
        <f>IF(t&lt;Tvie,1-EXP((T0-t)*PertePVj)+'2029'!Pspv,1-EXP((T0-t)*PertePVj)+Pspv)</f>
        <v>4.0826955985498015E-2</v>
      </c>
      <c r="M98" s="836"/>
      <c r="N98" s="836"/>
      <c r="O98" s="48">
        <f>IF(t&lt;Tnet,'2029'!Resal+('2029'!Salim-'2029'!Resal)*(1-EXP(('2029'!Tnet-t)/('2029'!Tau_j))),Resal+(Salim-Resal)*(1-EXP((Tnet-t)/(Tau_j))))*Salcycl</f>
        <v>2.0785546358795485E-2</v>
      </c>
      <c r="P98" s="165">
        <f>(INDEX(Models!$BJ98:$BT98,,T98)*(1-R98)+INDEX(Models!$BJ98:$BT98,,T98+1)*R98-ERP_i)*Q98*Ramure*Pc/MaxiM</f>
        <v>1.6419065652728313E-5</v>
      </c>
      <c r="Q98" s="301">
        <f t="shared" si="28"/>
        <v>0.5</v>
      </c>
      <c r="R98" s="173">
        <f t="shared" si="29"/>
        <v>0.48843149470002667</v>
      </c>
      <c r="S98" s="802">
        <f t="shared" si="30"/>
        <v>0</v>
      </c>
      <c r="T98" s="172">
        <f t="shared" si="31"/>
        <v>6</v>
      </c>
      <c r="U98" s="247">
        <f t="shared" si="32"/>
        <v>0.48843149470002667</v>
      </c>
      <c r="V98" s="378">
        <f t="shared" si="33"/>
        <v>46.026398860092968</v>
      </c>
      <c r="W98" s="397">
        <f t="shared" si="34"/>
        <v>36.524242551629399</v>
      </c>
      <c r="X98" s="153">
        <f t="shared" si="35"/>
        <v>47567</v>
      </c>
      <c r="Y98" s="380">
        <f t="shared" si="36"/>
        <v>35.443338072660708</v>
      </c>
      <c r="Z98" s="380">
        <f t="shared" si="37"/>
        <v>36.951974718051844</v>
      </c>
      <c r="AA98" s="381">
        <f t="shared" si="38"/>
        <v>38.883348840806185</v>
      </c>
      <c r="AB98" s="193">
        <f t="shared" si="39"/>
        <v>47567</v>
      </c>
      <c r="AC98" s="119">
        <f>IF(OR(t&lt;Tnet,NoTnet),'2029'!Resal_s+('2029'!Salim-'2029'!Resal_s)*(1-EXP(('2029'!Tnet_s-t)/'2029'!Tau_j)),Resal_s+(Salim-Resal_s)*(1-EXP((Tnet_s-t)/Tau_j)))*Salcycl</f>
        <v>4.9670982061284244E-2</v>
      </c>
      <c r="AD98" s="227">
        <f>(INDEX(Models!$BJ98:$BT98,,AH98)*(1-AF98)+INDEX(Models!$BJ98:$BT98,,AH98+1)*AF98-ERP_i)*AE98*Ramure*Pc/MaxiM</f>
        <v>1.5610695011382769E-4</v>
      </c>
      <c r="AE98" s="301">
        <f t="shared" si="40"/>
        <v>0.5</v>
      </c>
      <c r="AF98" s="173">
        <f t="shared" si="41"/>
        <v>1.341906107400348E-2</v>
      </c>
      <c r="AG98" s="802">
        <f t="shared" si="49"/>
        <v>4</v>
      </c>
      <c r="AH98" s="172">
        <f t="shared" si="42"/>
        <v>10</v>
      </c>
      <c r="AI98" s="221">
        <f t="shared" si="43"/>
        <v>4.0134190610740035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47568</v>
      </c>
      <c r="B99" s="406">
        <f>'2029'!Wh/'2029'!Env_an*'2030'!Env_an</f>
        <v>40.116093212127112</v>
      </c>
      <c r="C99" s="832"/>
      <c r="D99" s="388">
        <f t="shared" si="25"/>
        <v>41.824197026398366</v>
      </c>
      <c r="E99" s="380">
        <f t="shared" si="47"/>
        <v>42.714427942470017</v>
      </c>
      <c r="F99" s="380">
        <f t="shared" si="26"/>
        <v>42.715027508413939</v>
      </c>
      <c r="G99" s="110">
        <f t="shared" si="48"/>
        <v>0.86324866208568785</v>
      </c>
      <c r="H99" s="409" t="b">
        <f>Wh_hp&gt;='2029'!Maxi_hp</f>
        <v>0</v>
      </c>
      <c r="I99" s="385">
        <f>IF(H99,Wh_hp,'2029'!Maxi_hp)</f>
        <v>42.715167261365842</v>
      </c>
      <c r="J99" s="85">
        <f>IF(H99,An,'2029'!An_max)</f>
        <v>2022</v>
      </c>
      <c r="K99" s="193">
        <f t="shared" si="27"/>
        <v>47568</v>
      </c>
      <c r="L99" s="143">
        <f>IF(t&lt;Tvie,1-EXP((T0-t)*PertePVj)+'2029'!Pspv,1-EXP((T0-t)*PertePVj)+Pspv)</f>
        <v>4.0840086258993713E-2</v>
      </c>
      <c r="M99" s="836"/>
      <c r="N99" s="836"/>
      <c r="O99" s="48">
        <f>IF(t&lt;Tnet,'2029'!Resal+('2029'!Salim-'2029'!Resal)*(1-EXP(('2029'!Tnet-t)/('2029'!Tau_j))),Resal+(Salim-Resal)*(1-EXP((Tnet-t)/(Tau_j))))*Salcycl</f>
        <v>2.084145706623209E-2</v>
      </c>
      <c r="P99" s="165">
        <f>(INDEX(Models!$BJ99:$BT99,,T99)*(1-R99)+INDEX(Models!$BJ99:$BT99,,T99+1)*R99-ERP_i)*Q99*Ramure*Pc/MaxiM</f>
        <v>1.744423260217111E-5</v>
      </c>
      <c r="Q99" s="301">
        <f t="shared" si="28"/>
        <v>0.5</v>
      </c>
      <c r="R99" s="173">
        <f t="shared" si="29"/>
        <v>0.48924718070143025</v>
      </c>
      <c r="S99" s="802">
        <f t="shared" si="30"/>
        <v>0</v>
      </c>
      <c r="T99" s="172">
        <f t="shared" si="31"/>
        <v>6</v>
      </c>
      <c r="U99" s="247">
        <f t="shared" si="32"/>
        <v>0.48924718070143025</v>
      </c>
      <c r="V99" s="378">
        <f t="shared" si="33"/>
        <v>46.470916508623738</v>
      </c>
      <c r="W99" s="397">
        <f t="shared" si="34"/>
        <v>40.116093212127112</v>
      </c>
      <c r="X99" s="153">
        <f t="shared" si="35"/>
        <v>47568</v>
      </c>
      <c r="Y99" s="380">
        <f t="shared" si="36"/>
        <v>38.928964677374154</v>
      </c>
      <c r="Z99" s="380">
        <f t="shared" si="37"/>
        <v>40.586521725600186</v>
      </c>
      <c r="AA99" s="381">
        <f t="shared" si="38"/>
        <v>42.709301367792548</v>
      </c>
      <c r="AB99" s="193">
        <f t="shared" si="39"/>
        <v>47568</v>
      </c>
      <c r="AC99" s="119">
        <f>IF(OR(t&lt;Tnet,NoTnet),'2029'!Resal_s+('2029'!Salim-'2029'!Resal_s)*(1-EXP(('2029'!Tnet_s-t)/'2029'!Tau_j)),Resal_s+(Salim-Resal_s)*(1-EXP((Tnet_s-t)/Tau_j)))*Salcycl</f>
        <v>4.9702982118859269E-2</v>
      </c>
      <c r="AD99" s="227">
        <f>(INDEX(Models!$BJ99:$BT99,,AH99)*(1-AF99)+INDEX(Models!$BJ99:$BT99,,AH99+1)*AF99-ERP_i)*AE99*Ramure*Pc/MaxiM</f>
        <v>1.6660073829338713E-4</v>
      </c>
      <c r="AE99" s="301">
        <f t="shared" si="40"/>
        <v>0.5</v>
      </c>
      <c r="AF99" s="173">
        <f t="shared" si="41"/>
        <v>1.4234747075407839E-2</v>
      </c>
      <c r="AG99" s="802">
        <f t="shared" si="49"/>
        <v>4</v>
      </c>
      <c r="AH99" s="172">
        <f t="shared" si="42"/>
        <v>10</v>
      </c>
      <c r="AI99" s="221">
        <f t="shared" si="43"/>
        <v>4.0142347470754078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47569</v>
      </c>
      <c r="B100" s="406">
        <f>'2029'!Wh/'2029'!Env_an*'2030'!Env_an</f>
        <v>41.980061326386782</v>
      </c>
      <c r="C100" s="832"/>
      <c r="D100" s="388">
        <f t="shared" si="25"/>
        <v>43.768130219603449</v>
      </c>
      <c r="E100" s="380">
        <f t="shared" si="47"/>
        <v>44.702295579451807</v>
      </c>
      <c r="F100" s="380">
        <f t="shared" si="26"/>
        <v>44.702999306747785</v>
      </c>
      <c r="G100" s="110">
        <f t="shared" si="48"/>
        <v>0.8948610198110305</v>
      </c>
      <c r="H100" s="409" t="b">
        <f>Wh_hp&gt;='2029'!Maxi_hp</f>
        <v>0</v>
      </c>
      <c r="I100" s="385">
        <f>IF(H100,Wh_hp,'2029'!Maxi_hp)</f>
        <v>44.703118513444139</v>
      </c>
      <c r="J100" s="85">
        <f>IF(H100,An,'2029'!An_max)</f>
        <v>2022</v>
      </c>
      <c r="K100" s="193">
        <f t="shared" si="27"/>
        <v>47569</v>
      </c>
      <c r="L100" s="143">
        <f>IF(t&lt;Tvie,1-EXP((T0-t)*PertePVj)+'2029'!Pspv,1-EXP((T0-t)*PertePVj)+Pspv)</f>
        <v>4.0853216352747079E-2</v>
      </c>
      <c r="M100" s="836"/>
      <c r="N100" s="836"/>
      <c r="O100" s="48">
        <f>IF(t&lt;Tnet,'2029'!Resal+('2029'!Salim-'2029'!Resal)*(1-EXP(('2029'!Tnet-t)/('2029'!Tau_j))),Resal+(Salim-Resal)*(1-EXP((Tnet-t)/(Tau_j))))*Salcycl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1.8524583186650777E-5</v>
      </c>
      <c r="Q100" s="301">
        <f t="shared" si="28"/>
        <v>0.5</v>
      </c>
      <c r="R100" s="173">
        <f t="shared" si="29"/>
        <v>0.49009414586939487</v>
      </c>
      <c r="S100" s="802">
        <f t="shared" si="30"/>
        <v>0</v>
      </c>
      <c r="T100" s="172">
        <f t="shared" si="31"/>
        <v>6</v>
      </c>
      <c r="U100" s="247">
        <f t="shared" si="32"/>
        <v>0.49009414586939487</v>
      </c>
      <c r="V100" s="378">
        <f t="shared" si="33"/>
        <v>46.912250722809084</v>
      </c>
      <c r="W100" s="397">
        <f t="shared" si="34"/>
        <v>41.980061326386782</v>
      </c>
      <c r="X100" s="153">
        <f t="shared" si="35"/>
        <v>47569</v>
      </c>
      <c r="Y100" s="380">
        <f t="shared" si="36"/>
        <v>40.738057639926353</v>
      </c>
      <c r="Z100" s="380">
        <f t="shared" si="37"/>
        <v>42.473225510923115</v>
      </c>
      <c r="AA100" s="381">
        <f t="shared" si="38"/>
        <v>44.696205883596335</v>
      </c>
      <c r="AB100" s="193">
        <f t="shared" si="39"/>
        <v>47569</v>
      </c>
      <c r="AC100" s="119">
        <f>IF(OR(t&lt;Tnet,NoTnet),'2029'!Resal_s+('2029'!Salim-'2029'!Resal_s)*(1-EXP(('2029'!Tnet_s-t)/'2029'!Tau_j)),Resal_s+(Salim-Resal_s)*(1-EXP((Tnet_s-t)/Tau_j)))*Salcycl</f>
        <v>4.9735326046747547E-2</v>
      </c>
      <c r="AD100" s="227">
        <f>(INDEX(Models!$BJ100:$BT100,,AH100)*(1-AF100)+INDEX(Models!$BJ100:$BT100,,AH100+1)*AF100-ERP_i)*AE100*Ramure*Pc/MaxiM</f>
        <v>1.7882684530069209E-4</v>
      </c>
      <c r="AE100" s="301">
        <f t="shared" si="40"/>
        <v>0.5</v>
      </c>
      <c r="AF100" s="173">
        <f t="shared" si="41"/>
        <v>1.5081712243372181E-2</v>
      </c>
      <c r="AG100" s="802">
        <f t="shared" si="49"/>
        <v>4</v>
      </c>
      <c r="AH100" s="172">
        <f t="shared" si="42"/>
        <v>10</v>
      </c>
      <c r="AI100" s="221">
        <f t="shared" si="43"/>
        <v>4.0150817122433722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47570</v>
      </c>
      <c r="B101" s="406">
        <f>'2029'!Wh/'2029'!Env_an*'2030'!Env_an</f>
        <v>36.062108680275195</v>
      </c>
      <c r="C101" s="832"/>
      <c r="D101" s="388">
        <f t="shared" si="25"/>
        <v>37.598627198524952</v>
      </c>
      <c r="E101" s="380">
        <f t="shared" si="47"/>
        <v>38.403315936995135</v>
      </c>
      <c r="F101" s="380">
        <f t="shared" si="26"/>
        <v>38.403809155867009</v>
      </c>
      <c r="G101" s="110">
        <f t="shared" si="48"/>
        <v>0.76161715918988326</v>
      </c>
      <c r="H101" s="409" t="b">
        <f>Wh_hp&gt;='2029'!Maxi_hp</f>
        <v>0</v>
      </c>
      <c r="I101" s="385">
        <f>IF(H101,Wh_hp,'2029'!Maxi_hp)</f>
        <v>38.404052832194026</v>
      </c>
      <c r="J101" s="85">
        <f>IF(H101,An,'2029'!An_max)</f>
        <v>2022</v>
      </c>
      <c r="K101" s="193">
        <f t="shared" si="27"/>
        <v>47570</v>
      </c>
      <c r="L101" s="143">
        <f>IF(t&lt;Tvie,1-EXP((T0-t)*PertePVj)+'2029'!Pspv,1-EXP((T0-t)*PertePVj)+Pspv)</f>
        <v>4.0866346266760334E-2</v>
      </c>
      <c r="M101" s="836"/>
      <c r="N101" s="836"/>
      <c r="O101" s="48">
        <f>IF(t&lt;Tnet,'2029'!Resal+('2029'!Salim-'2029'!Resal)*(1-EXP(('2029'!Tnet-t)/('2029'!Tau_j))),Resal+(Salim-Resal)*(1-EXP((Tnet-t)/(Tau_j))))*Salcycl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1.9474966825260825E-5</v>
      </c>
      <c r="Q101" s="301">
        <f t="shared" si="28"/>
        <v>0.5</v>
      </c>
      <c r="R101" s="173">
        <f t="shared" si="29"/>
        <v>0.49097346741905906</v>
      </c>
      <c r="S101" s="802">
        <f t="shared" si="30"/>
        <v>0</v>
      </c>
      <c r="T101" s="172">
        <f t="shared" si="31"/>
        <v>6</v>
      </c>
      <c r="U101" s="247">
        <f t="shared" si="32"/>
        <v>0.49097346741905906</v>
      </c>
      <c r="V101" s="378">
        <f t="shared" si="33"/>
        <v>47.349076997793077</v>
      </c>
      <c r="W101" s="397">
        <f t="shared" si="34"/>
        <v>36.062108680275195</v>
      </c>
      <c r="X101" s="153">
        <f t="shared" si="35"/>
        <v>47570</v>
      </c>
      <c r="Y101" s="380">
        <f t="shared" si="36"/>
        <v>34.996801039335097</v>
      </c>
      <c r="Z101" s="380">
        <f t="shared" si="37"/>
        <v>36.487929396614234</v>
      </c>
      <c r="AA101" s="381">
        <f t="shared" si="38"/>
        <v>38.398970650433903</v>
      </c>
      <c r="AB101" s="193">
        <f t="shared" si="39"/>
        <v>47570</v>
      </c>
      <c r="AC101" s="119">
        <f>IF(OR(t&lt;Tnet,NoTnet),'2029'!Resal_s+('2029'!Salim-'2029'!Resal_s)*(1-EXP(('2029'!Tnet_s-t)/'2029'!Tau_j)),Resal_s+(Salim-Resal_s)*(1-EXP((Tnet_s-t)/Tau_j)))*Salcycl</f>
        <v>4.9768033399043149E-2</v>
      </c>
      <c r="AD101" s="227">
        <f>(INDEX(Models!$BJ101:$BT101,,AH101)*(1-AF101)+INDEX(Models!$BJ101:$BT101,,AH101+1)*AF101-ERP_i)*AE101*Ramure*Pc/MaxiM</f>
        <v>1.9105054199270357E-4</v>
      </c>
      <c r="AE101" s="301">
        <f t="shared" si="40"/>
        <v>0.5</v>
      </c>
      <c r="AF101" s="173">
        <f t="shared" si="41"/>
        <v>1.5961033793035817E-2</v>
      </c>
      <c r="AG101" s="802">
        <f t="shared" si="49"/>
        <v>4</v>
      </c>
      <c r="AH101" s="172">
        <f t="shared" si="42"/>
        <v>10</v>
      </c>
      <c r="AI101" s="221">
        <f t="shared" si="43"/>
        <v>4.0159610337930358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47571</v>
      </c>
      <c r="B102" s="406">
        <f>'2029'!Wh/'2029'!Env_an*'2030'!Env_an</f>
        <v>27.46243382632796</v>
      </c>
      <c r="C102" s="832"/>
      <c r="D102" s="388">
        <f t="shared" si="25"/>
        <v>28.632933129014795</v>
      </c>
      <c r="E102" s="380">
        <f t="shared" si="47"/>
        <v>29.247418574156317</v>
      </c>
      <c r="F102" s="380">
        <f t="shared" si="26"/>
        <v>29.247651620203143</v>
      </c>
      <c r="G102" s="110">
        <f t="shared" si="48"/>
        <v>0.57476055383593538</v>
      </c>
      <c r="H102" s="409" t="b">
        <f>Wh_hp&gt;='2029'!Maxi_hp</f>
        <v>0</v>
      </c>
      <c r="I102" s="385">
        <f>IF(H102,Wh_hp,'2029'!Maxi_hp)</f>
        <v>29.247996056103595</v>
      </c>
      <c r="J102" s="85">
        <f>IF(H102,An,'2029'!An_max)</f>
        <v>2022</v>
      </c>
      <c r="K102" s="193">
        <f t="shared" si="27"/>
        <v>47571</v>
      </c>
      <c r="L102" s="143">
        <f>IF(t&lt;Tvie,1-EXP((T0-t)*PertePVj)+'2029'!Pspv,1-EXP((T0-t)*PertePVj)+Pspv)</f>
        <v>4.0879476001036252E-2</v>
      </c>
      <c r="M102" s="836"/>
      <c r="N102" s="836"/>
      <c r="O102" s="48">
        <f>IF(t&lt;Tnet,'2029'!Resal+('2029'!Salim-'2029'!Resal)*(1-EXP(('2029'!Tnet-t)/('2029'!Tau_j))),Resal+(Salim-Resal)*(1-EXP((Tnet-t)/(Tau_j))))*Salcycl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2.0299399619874799E-5</v>
      </c>
      <c r="Q102" s="301">
        <f t="shared" si="28"/>
        <v>0.5</v>
      </c>
      <c r="R102" s="173">
        <f t="shared" si="29"/>
        <v>0.49188624970344547</v>
      </c>
      <c r="S102" s="802">
        <f t="shared" si="30"/>
        <v>0</v>
      </c>
      <c r="T102" s="172">
        <f t="shared" si="31"/>
        <v>6</v>
      </c>
      <c r="U102" s="247">
        <f t="shared" si="32"/>
        <v>0.49188624970344547</v>
      </c>
      <c r="V102" s="378">
        <f t="shared" si="33"/>
        <v>47.780062481349312</v>
      </c>
      <c r="W102" s="397">
        <f t="shared" si="34"/>
        <v>27.46243382632796</v>
      </c>
      <c r="X102" s="153">
        <f t="shared" si="35"/>
        <v>47571</v>
      </c>
      <c r="Y102" s="380">
        <f t="shared" si="36"/>
        <v>26.652873746344977</v>
      </c>
      <c r="Z102" s="380">
        <f t="shared" si="37"/>
        <v>27.788868113486195</v>
      </c>
      <c r="AA102" s="381">
        <f t="shared" si="38"/>
        <v>29.245317799943315</v>
      </c>
      <c r="AB102" s="193">
        <f t="shared" si="39"/>
        <v>47571</v>
      </c>
      <c r="AC102" s="119">
        <f>IF(OR(t&lt;Tnet,NoTnet),'2029'!Resal_s+('2029'!Salim-'2029'!Resal_s)*(1-EXP(('2029'!Tnet_s-t)/'2029'!Tau_j)),Resal_s+(Salim-Resal_s)*(1-EXP((Tnet_s-t)/Tau_j)))*Salcycl</f>
        <v>4.980112359934559E-2</v>
      </c>
      <c r="AD102" s="227">
        <f>(INDEX(Models!$BJ102:$BT102,,AH102)*(1-AF102)+INDEX(Models!$BJ102:$BT102,,AH102+1)*AF102-ERP_i)*AE102*Ramure*Pc/MaxiM</f>
        <v>2.0328664974318621E-4</v>
      </c>
      <c r="AE102" s="301">
        <f t="shared" si="40"/>
        <v>0.5</v>
      </c>
      <c r="AF102" s="173">
        <f t="shared" si="41"/>
        <v>1.6873816077422887E-2</v>
      </c>
      <c r="AG102" s="802">
        <f t="shared" si="49"/>
        <v>4</v>
      </c>
      <c r="AH102" s="172">
        <f t="shared" si="42"/>
        <v>10</v>
      </c>
      <c r="AI102" s="221">
        <f t="shared" si="43"/>
        <v>4.0168738160774229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47572</v>
      </c>
      <c r="B103" s="406">
        <f>'2029'!Wh/'2029'!Env_an*'2030'!Env_an</f>
        <v>7.6482877166868235</v>
      </c>
      <c r="C103" s="832"/>
      <c r="D103" s="388">
        <f t="shared" si="25"/>
        <v>7.974380930633119</v>
      </c>
      <c r="E103" s="380">
        <f t="shared" si="47"/>
        <v>8.145986907636912</v>
      </c>
      <c r="F103" s="380">
        <f t="shared" si="26"/>
        <v>8.145986907636912</v>
      </c>
      <c r="G103" s="110">
        <f t="shared" si="48"/>
        <v>0.15866208138818333</v>
      </c>
      <c r="H103" s="409" t="b">
        <f>Wh_hp&gt;='2029'!Maxi_hp</f>
        <v>0</v>
      </c>
      <c r="I103" s="385">
        <f>IF(H103,Wh_hp,'2029'!Maxi_hp)</f>
        <v>8.146149983745957</v>
      </c>
      <c r="J103" s="85">
        <f>IF(H103,An,'2029'!An_max)</f>
        <v>2022</v>
      </c>
      <c r="K103" s="193">
        <f t="shared" si="27"/>
        <v>47572</v>
      </c>
      <c r="L103" s="143">
        <f>IF(t&lt;Tvie,1-EXP((T0-t)*PertePVj)+'2029'!Pspv,1-EXP((T0-t)*PertePVj)+Pspv)</f>
        <v>4.0892605555577055E-2</v>
      </c>
      <c r="M103" s="836"/>
      <c r="N103" s="836"/>
      <c r="O103" s="48">
        <f>IF(t&lt;Tnet,'2029'!Resal+('2029'!Salim-'2029'!Resal)*(1-EXP(('2029'!Tnet-t)/('2029'!Tau_j))),Resal+(Salim-Resal)*(1-EXP((Tnet-t)/(Tau_j))))*Salcycl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2.1001665659097834E-5</v>
      </c>
      <c r="Q103" s="301">
        <f t="shared" si="28"/>
        <v>0.5</v>
      </c>
      <c r="R103" s="173">
        <f t="shared" si="29"/>
        <v>0.49283362405506381</v>
      </c>
      <c r="S103" s="802">
        <f t="shared" si="30"/>
        <v>0</v>
      </c>
      <c r="T103" s="172">
        <f t="shared" si="31"/>
        <v>6</v>
      </c>
      <c r="U103" s="247">
        <f t="shared" si="32"/>
        <v>0.49283362405506381</v>
      </c>
      <c r="V103" s="378">
        <f t="shared" si="33"/>
        <v>48.20387469387466</v>
      </c>
      <c r="W103" s="397">
        <f t="shared" si="34"/>
        <v>7.6482877166868235</v>
      </c>
      <c r="X103" s="153">
        <f t="shared" si="35"/>
        <v>47572</v>
      </c>
      <c r="Y103" s="380">
        <f t="shared" si="36"/>
        <v>7.4235245898235407</v>
      </c>
      <c r="Z103" s="380">
        <f t="shared" si="37"/>
        <v>7.7400347790288135</v>
      </c>
      <c r="AA103" s="381">
        <f t="shared" si="38"/>
        <v>8.145986907636912</v>
      </c>
      <c r="AB103" s="193">
        <f t="shared" si="39"/>
        <v>47572</v>
      </c>
      <c r="AC103" s="119">
        <f>IF(OR(t&lt;Tnet,NoTnet),'2029'!Resal_s+('2029'!Salim-'2029'!Resal_s)*(1-EXP(('2029'!Tnet_s-t)/'2029'!Tau_j)),Resal_s+(Salim-Resal_s)*(1-EXP((Tnet_s-t)/Tau_j)))*Salcycl</f>
        <v>4.9834615892583339E-2</v>
      </c>
      <c r="AD103" s="227">
        <f>(INDEX(Models!$BJ103:$BT103,,AH103)*(1-AF103)+INDEX(Models!$BJ103:$BT103,,AH103+1)*AF103-ERP_i)*AE103*Ramure*Pc/MaxiM</f>
        <v>2.1555114943692168E-4</v>
      </c>
      <c r="AE103" s="301">
        <f t="shared" si="40"/>
        <v>0.5</v>
      </c>
      <c r="AF103" s="173">
        <f t="shared" si="41"/>
        <v>1.7821190429041067E-2</v>
      </c>
      <c r="AG103" s="802">
        <f t="shared" si="49"/>
        <v>4</v>
      </c>
      <c r="AH103" s="172">
        <f t="shared" si="42"/>
        <v>10</v>
      </c>
      <c r="AI103" s="221">
        <f t="shared" si="43"/>
        <v>4.0178211904290411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47573</v>
      </c>
      <c r="B104" s="406">
        <f>'2029'!Wh/'2029'!Env_an*'2030'!Env_an</f>
        <v>26.711349576680163</v>
      </c>
      <c r="C104" s="832"/>
      <c r="D104" s="388">
        <f t="shared" si="25"/>
        <v>27.850598788369727</v>
      </c>
      <c r="E104" s="380">
        <f t="shared" si="47"/>
        <v>28.451578305401405</v>
      </c>
      <c r="F104" s="380">
        <f t="shared" si="26"/>
        <v>28.45179711428894</v>
      </c>
      <c r="G104" s="110">
        <f t="shared" si="48"/>
        <v>0.54939177468091949</v>
      </c>
      <c r="H104" s="409" t="b">
        <f>Wh_hp&gt;='2029'!Maxi_hp</f>
        <v>0</v>
      </c>
      <c r="I104" s="385">
        <f>IF(H104,Wh_hp,'2029'!Maxi_hp)</f>
        <v>28.452192454209683</v>
      </c>
      <c r="J104" s="85">
        <f>IF(H104,An,'2029'!An_max)</f>
        <v>2029</v>
      </c>
      <c r="K104" s="193">
        <f t="shared" si="27"/>
        <v>47573</v>
      </c>
      <c r="L104" s="143">
        <f>IF(t&lt;Tvie,1-EXP((T0-t)*PertePVj)+'2029'!Pspv,1-EXP((T0-t)*PertePVj)+Pspv)</f>
        <v>4.0905734930385296E-2</v>
      </c>
      <c r="M104" s="836"/>
      <c r="N104" s="836"/>
      <c r="O104" s="48">
        <f>IF(t&lt;Tnet,'2029'!Resal+('2029'!Salim-'2029'!Resal)*(1-EXP(('2029'!Tnet-t)/('2029'!Tau_j))),Resal+(Salim-Resal)*(1-EXP((Tnet-t)/(Tau_j))))*Salcycl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2.1585289403237819E-5</v>
      </c>
      <c r="Q104" s="301">
        <f t="shared" si="28"/>
        <v>0.5</v>
      </c>
      <c r="R104" s="173">
        <f t="shared" si="29"/>
        <v>0.49381674853872809</v>
      </c>
      <c r="S104" s="802">
        <f t="shared" si="30"/>
        <v>0</v>
      </c>
      <c r="T104" s="172">
        <f t="shared" si="31"/>
        <v>6</v>
      </c>
      <c r="U104" s="247">
        <f t="shared" si="32"/>
        <v>0.49381674853872809</v>
      </c>
      <c r="V104" s="378">
        <f t="shared" si="33"/>
        <v>48.619181532310215</v>
      </c>
      <c r="W104" s="397">
        <f t="shared" si="34"/>
        <v>26.711349576680163</v>
      </c>
      <c r="X104" s="153">
        <f t="shared" si="35"/>
        <v>47573</v>
      </c>
      <c r="Y104" s="380">
        <f t="shared" si="36"/>
        <v>25.925040381772263</v>
      </c>
      <c r="Z104" s="380">
        <f t="shared" si="37"/>
        <v>27.030753207444658</v>
      </c>
      <c r="AA104" s="381">
        <f t="shared" si="38"/>
        <v>28.449487298319255</v>
      </c>
      <c r="AB104" s="193">
        <f t="shared" si="39"/>
        <v>47573</v>
      </c>
      <c r="AC104" s="119">
        <f>IF(OR(t&lt;Tnet,NoTnet),'2029'!Resal_s+('2029'!Salim-'2029'!Resal_s)*(1-EXP(('2029'!Tnet_s-t)/'2029'!Tau_j)),Resal_s+(Salim-Resal_s)*(1-EXP((Tnet_s-t)/Tau_j)))*Salcycl</f>
        <v>4.9868529298888735E-2</v>
      </c>
      <c r="AD104" s="227">
        <f>(INDEX(Models!$BJ104:$BT104,,AH104)*(1-AF104)+INDEX(Models!$BJ104:$BT104,,AH104+1)*AF104-ERP_i)*AE104*Ramure*Pc/MaxiM</f>
        <v>2.2786115653679079E-4</v>
      </c>
      <c r="AE104" s="301">
        <f t="shared" si="40"/>
        <v>0.5</v>
      </c>
      <c r="AF104" s="173">
        <f t="shared" si="41"/>
        <v>1.8804314912705067E-2</v>
      </c>
      <c r="AG104" s="802">
        <f t="shared" si="49"/>
        <v>4</v>
      </c>
      <c r="AH104" s="172">
        <f t="shared" si="42"/>
        <v>10</v>
      </c>
      <c r="AI104" s="221">
        <f t="shared" si="43"/>
        <v>4.0188043149127051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47574</v>
      </c>
      <c r="B105" s="406">
        <f>'2029'!Wh/'2029'!Env_an*'2030'!Env_an</f>
        <v>29.37998166954846</v>
      </c>
      <c r="C105" s="832"/>
      <c r="D105" s="388">
        <f t="shared" si="25"/>
        <v>30.633468400729591</v>
      </c>
      <c r="E105" s="380">
        <f t="shared" si="47"/>
        <v>31.296312231542458</v>
      </c>
      <c r="F105" s="380">
        <f t="shared" si="26"/>
        <v>31.296607331479208</v>
      </c>
      <c r="G105" s="110">
        <f t="shared" si="48"/>
        <v>0.59928240178018821</v>
      </c>
      <c r="H105" s="409" t="b">
        <f>Wh_hp&gt;='2029'!Maxi_hp</f>
        <v>0</v>
      </c>
      <c r="I105" s="385">
        <f>IF(H105,Wh_hp,'2029'!Maxi_hp)</f>
        <v>31.297001729447363</v>
      </c>
      <c r="J105" s="85">
        <f>IF(H105,An,'2029'!An_max)</f>
        <v>2029</v>
      </c>
      <c r="K105" s="193">
        <f t="shared" si="27"/>
        <v>47574</v>
      </c>
      <c r="L105" s="143">
        <f>IF(t&lt;Tvie,1-EXP((T0-t)*PertePVj)+'2029'!Pspv,1-EXP((T0-t)*PertePVj)+Pspv)</f>
        <v>4.0918864125463417E-2</v>
      </c>
      <c r="M105" s="836"/>
      <c r="N105" s="836"/>
      <c r="O105" s="48">
        <f>IF(t&lt;Tnet,'2029'!Resal+('2029'!Salim-'2029'!Resal)*(1-EXP(('2029'!Tnet-t)/('2029'!Tau_j))),Resal+(Salim-Resal)*(1-EXP((Tnet-t)/(Tau_j))))*Salcycl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2.2053510784756146E-5</v>
      </c>
      <c r="Q105" s="301">
        <f t="shared" si="28"/>
        <v>0.5</v>
      </c>
      <c r="R105" s="173">
        <f t="shared" si="29"/>
        <v>0.4948368076080133</v>
      </c>
      <c r="S105" s="802">
        <f t="shared" si="30"/>
        <v>0</v>
      </c>
      <c r="T105" s="172">
        <f t="shared" si="31"/>
        <v>6</v>
      </c>
      <c r="U105" s="247">
        <f t="shared" si="32"/>
        <v>0.4948368076080133</v>
      </c>
      <c r="V105" s="378">
        <f t="shared" si="33"/>
        <v>49.024651274340741</v>
      </c>
      <c r="W105" s="397">
        <f t="shared" si="34"/>
        <v>29.37998166954846</v>
      </c>
      <c r="X105" s="153">
        <f t="shared" si="35"/>
        <v>47574</v>
      </c>
      <c r="Y105" s="380">
        <f t="shared" si="36"/>
        <v>28.515172286214863</v>
      </c>
      <c r="Z105" s="380">
        <f t="shared" si="37"/>
        <v>29.731762224906394</v>
      </c>
      <c r="AA105" s="381">
        <f t="shared" si="38"/>
        <v>31.293392727382408</v>
      </c>
      <c r="AB105" s="193">
        <f t="shared" si="39"/>
        <v>47574</v>
      </c>
      <c r="AC105" s="119">
        <f>IF(OR(t&lt;Tnet,NoTnet),'2029'!Resal_s+('2029'!Salim-'2029'!Resal_s)*(1-EXP(('2029'!Tnet_s-t)/'2029'!Tau_j)),Resal_s+(Salim-Resal_s)*(1-EXP((Tnet_s-t)/Tau_j)))*Salcycl</f>
        <v>4.9902882569506445E-2</v>
      </c>
      <c r="AD105" s="227">
        <f>(INDEX(Models!$BJ105:$BT105,,AH105)*(1-AF105)+INDEX(Models!$BJ105:$BT105,,AH105+1)*AF105-ERP_i)*AE105*Ramure*Pc/MaxiM</f>
        <v>2.4023490787176689E-4</v>
      </c>
      <c r="AE105" s="301">
        <f t="shared" si="40"/>
        <v>0.5</v>
      </c>
      <c r="AF105" s="173">
        <f t="shared" si="41"/>
        <v>1.9824373981990107E-2</v>
      </c>
      <c r="AG105" s="802">
        <f t="shared" si="49"/>
        <v>4</v>
      </c>
      <c r="AH105" s="172">
        <f t="shared" si="42"/>
        <v>10</v>
      </c>
      <c r="AI105" s="221">
        <f t="shared" si="43"/>
        <v>4.0198243739819901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47575</v>
      </c>
      <c r="B106" s="406">
        <f>'2029'!Wh/'2029'!Env_an*'2030'!Env_an</f>
        <v>20.021752447560758</v>
      </c>
      <c r="C106" s="832"/>
      <c r="D106" s="388">
        <f t="shared" si="25"/>
        <v>20.876259352169615</v>
      </c>
      <c r="E106" s="380">
        <f t="shared" si="47"/>
        <v>21.32921745809421</v>
      </c>
      <c r="F106" s="380">
        <f t="shared" si="26"/>
        <v>21.329289251918379</v>
      </c>
      <c r="G106" s="110">
        <f t="shared" si="48"/>
        <v>0.40513548182000242</v>
      </c>
      <c r="H106" s="409" t="b">
        <f>Wh_hp&gt;='2029'!Maxi_hp</f>
        <v>0</v>
      </c>
      <c r="I106" s="385">
        <f>IF(H106,Wh_hp,'2029'!Maxi_hp)</f>
        <v>21.329693962857156</v>
      </c>
      <c r="J106" s="85">
        <f>IF(H106,An,'2029'!An_max)</f>
        <v>2029</v>
      </c>
      <c r="K106" s="193">
        <f t="shared" si="27"/>
        <v>47575</v>
      </c>
      <c r="L106" s="143">
        <f>IF(t&lt;Tvie,1-EXP((T0-t)*PertePVj)+'2029'!Pspv,1-EXP((T0-t)*PertePVj)+Pspv)</f>
        <v>4.093199314081386E-2</v>
      </c>
      <c r="M106" s="836"/>
      <c r="N106" s="836"/>
      <c r="O106" s="48">
        <f>IF(t&lt;Tnet,'2029'!Resal+('2029'!Salim-'2029'!Resal)*(1-EXP(('2029'!Tnet-t)/('2029'!Tau_j))),Resal+(Salim-Resal)*(1-EXP((Tnet-t)/(Tau_j))))*Salcycl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2.2409262540073247E-5</v>
      </c>
      <c r="Q106" s="301">
        <f t="shared" si="28"/>
        <v>0.5</v>
      </c>
      <c r="R106" s="173">
        <f t="shared" si="29"/>
        <v>0.49589501165745264</v>
      </c>
      <c r="S106" s="802">
        <f t="shared" si="30"/>
        <v>0</v>
      </c>
      <c r="T106" s="172">
        <f t="shared" si="31"/>
        <v>6</v>
      </c>
      <c r="U106" s="247">
        <f t="shared" si="32"/>
        <v>0.49589501165745264</v>
      </c>
      <c r="V106" s="378">
        <f t="shared" si="33"/>
        <v>49.418952584250285</v>
      </c>
      <c r="W106" s="397">
        <f t="shared" si="34"/>
        <v>20.021752447560758</v>
      </c>
      <c r="X106" s="153">
        <f t="shared" si="35"/>
        <v>47575</v>
      </c>
      <c r="Y106" s="380">
        <f t="shared" si="36"/>
        <v>19.433963874526547</v>
      </c>
      <c r="Z106" s="380">
        <f t="shared" si="37"/>
        <v>20.263384593726638</v>
      </c>
      <c r="AA106" s="381">
        <f t="shared" si="38"/>
        <v>21.328479689007175</v>
      </c>
      <c r="AB106" s="193">
        <f t="shared" si="39"/>
        <v>47575</v>
      </c>
      <c r="AC106" s="119">
        <f>IF(OR(t&lt;Tnet,NoTnet),'2029'!Resal_s+('2029'!Salim-'2029'!Resal_s)*(1-EXP(('2029'!Tnet_s-t)/'2029'!Tau_j)),Resal_s+(Salim-Resal_s)*(1-EXP((Tnet_s-t)/Tau_j)))*Salcycl</f>
        <v>4.9937694144674298E-2</v>
      </c>
      <c r="AD106" s="227">
        <f>(INDEX(Models!$BJ106:$BT106,,AH106)*(1-AF106)+INDEX(Models!$BJ106:$BT106,,AH106+1)*AF106-ERP_i)*AE106*Ramure*Pc/MaxiM</f>
        <v>2.5269176046309293E-4</v>
      </c>
      <c r="AE106" s="301">
        <f t="shared" si="40"/>
        <v>0.5</v>
      </c>
      <c r="AF106" s="173">
        <f t="shared" si="41"/>
        <v>2.0882578031430121E-2</v>
      </c>
      <c r="AG106" s="802">
        <f t="shared" si="49"/>
        <v>4</v>
      </c>
      <c r="AH106" s="172">
        <f t="shared" si="42"/>
        <v>10</v>
      </c>
      <c r="AI106" s="221">
        <f t="shared" si="43"/>
        <v>4.0208825780314301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47576</v>
      </c>
      <c r="B107" s="406">
        <f>'2029'!Wh/'2029'!Env_an*'2030'!Env_an</f>
        <v>27.335488316140399</v>
      </c>
      <c r="C107" s="832"/>
      <c r="D107" s="388">
        <f t="shared" si="25"/>
        <v>28.502527793272801</v>
      </c>
      <c r="E107" s="380">
        <f t="shared" si="47"/>
        <v>29.122653310812932</v>
      </c>
      <c r="F107" s="380">
        <f t="shared" si="26"/>
        <v>29.122887847807576</v>
      </c>
      <c r="G107" s="110">
        <f t="shared" si="48"/>
        <v>0.54884499438583967</v>
      </c>
      <c r="H107" s="409" t="b">
        <f>Wh_hp&gt;='2029'!Maxi_hp</f>
        <v>0</v>
      </c>
      <c r="I107" s="385">
        <f>IF(H107,Wh_hp,'2029'!Maxi_hp)</f>
        <v>29.123310706341144</v>
      </c>
      <c r="J107" s="85">
        <f>IF(H107,An,'2029'!An_max)</f>
        <v>2029</v>
      </c>
      <c r="K107" s="193">
        <f t="shared" si="27"/>
        <v>47576</v>
      </c>
      <c r="L107" s="143">
        <f>IF(t&lt;Tvie,1-EXP((T0-t)*PertePVj)+'2029'!Pspv,1-EXP((T0-t)*PertePVj)+Pspv)</f>
        <v>4.0945121976439181E-2</v>
      </c>
      <c r="M107" s="836"/>
      <c r="N107" s="836"/>
      <c r="O107" s="48">
        <f>IF(t&lt;Tnet,'2029'!Resal+('2029'!Salim-'2029'!Resal)*(1-EXP(('2029'!Tnet-t)/('2029'!Tau_j))),Resal+(Salim-Resal)*(1-EXP((Tnet-t)/(Tau_j))))*Salcycl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2.2653330647353008E-5</v>
      </c>
      <c r="Q107" s="301">
        <f t="shared" si="28"/>
        <v>0.5</v>
      </c>
      <c r="R107" s="173">
        <f t="shared" si="29"/>
        <v>0.49699259646226623</v>
      </c>
      <c r="S107" s="802">
        <f t="shared" si="30"/>
        <v>0</v>
      </c>
      <c r="T107" s="172">
        <f t="shared" si="31"/>
        <v>6</v>
      </c>
      <c r="U107" s="247">
        <f t="shared" si="32"/>
        <v>0.49699259646226623</v>
      </c>
      <c r="V107" s="378">
        <f t="shared" si="33"/>
        <v>49.804752699053751</v>
      </c>
      <c r="W107" s="397">
        <f t="shared" si="34"/>
        <v>27.335488316140399</v>
      </c>
      <c r="X107" s="153">
        <f t="shared" si="35"/>
        <v>47576</v>
      </c>
      <c r="Y107" s="380">
        <f t="shared" si="36"/>
        <v>26.532177917329122</v>
      </c>
      <c r="Z107" s="380">
        <f t="shared" si="37"/>
        <v>27.664921502726891</v>
      </c>
      <c r="AA107" s="381">
        <f t="shared" si="38"/>
        <v>29.12014182951204</v>
      </c>
      <c r="AB107" s="193">
        <f t="shared" si="39"/>
        <v>47576</v>
      </c>
      <c r="AC107" s="119">
        <f>IF(OR(t&lt;Tnet,NoTnet),'2029'!Resal_s+('2029'!Salim-'2029'!Resal_s)*(1-EXP(('2029'!Tnet_s-t)/'2029'!Tau_j)),Resal_s+(Salim-Resal_s)*(1-EXP((Tnet_s-t)/Tau_j)))*Salcycl</f>
        <v>4.9972982113374961E-2</v>
      </c>
      <c r="AD107" s="227">
        <f>(INDEX(Models!$BJ107:$BT107,,AH107)*(1-AF107)+INDEX(Models!$BJ107:$BT107,,AH107+1)*AF107-ERP_i)*AE107*Ramure*Pc/MaxiM</f>
        <v>2.6523090954872733E-4</v>
      </c>
      <c r="AE107" s="301">
        <f t="shared" si="40"/>
        <v>0.5</v>
      </c>
      <c r="AF107" s="173">
        <f t="shared" si="41"/>
        <v>2.1980162836243267E-2</v>
      </c>
      <c r="AG107" s="802">
        <f t="shared" si="49"/>
        <v>4</v>
      </c>
      <c r="AH107" s="172">
        <f t="shared" si="42"/>
        <v>10</v>
      </c>
      <c r="AI107" s="221">
        <f t="shared" si="43"/>
        <v>4.0219801628362433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47577</v>
      </c>
      <c r="B108" s="406">
        <f>'2029'!Wh/'2029'!Env_an*'2030'!Env_an</f>
        <v>42.451691099525696</v>
      </c>
      <c r="C108" s="832"/>
      <c r="D108" s="388">
        <f t="shared" si="25"/>
        <v>44.264695595907178</v>
      </c>
      <c r="E108" s="380">
        <f t="shared" si="47"/>
        <v>45.230402456738652</v>
      </c>
      <c r="F108" s="380">
        <f t="shared" si="26"/>
        <v>45.231204475292124</v>
      </c>
      <c r="G108" s="110">
        <f t="shared" si="48"/>
        <v>0.84589293419690903</v>
      </c>
      <c r="H108" s="409" t="b">
        <f>Wh_hp&gt;='2029'!Maxi_hp</f>
        <v>0</v>
      </c>
      <c r="I108" s="385">
        <f>IF(H108,Wh_hp,'2029'!Maxi_hp)</f>
        <v>45.231429203227307</v>
      </c>
      <c r="J108" s="85">
        <f>IF(H108,An,'2029'!An_max)</f>
        <v>2029</v>
      </c>
      <c r="K108" s="193">
        <f t="shared" si="27"/>
        <v>47577</v>
      </c>
      <c r="L108" s="143">
        <f>IF(t&lt;Tvie,1-EXP((T0-t)*PertePVj)+'2029'!Pspv,1-EXP((T0-t)*PertePVj)+Pspv)</f>
        <v>4.0958250632341708E-2</v>
      </c>
      <c r="M108" s="836"/>
      <c r="N108" s="836"/>
      <c r="O108" s="48">
        <f>IF(t&lt;Tnet,'2029'!Resal+('2029'!Salim-'2029'!Resal)*(1-EXP(('2029'!Tnet-t)/('2029'!Tau_j))),Resal+(Salim-Resal)*(1-EXP((Tnet-t)/(Tau_j))))*Salcycl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2.2737015649055561E-5</v>
      </c>
      <c r="Q108" s="301">
        <f t="shared" si="28"/>
        <v>0.5</v>
      </c>
      <c r="R108" s="173">
        <f t="shared" si="29"/>
        <v>0.49813082249711893</v>
      </c>
      <c r="S108" s="802">
        <f t="shared" si="30"/>
        <v>0</v>
      </c>
      <c r="T108" s="172">
        <f t="shared" si="31"/>
        <v>6</v>
      </c>
      <c r="U108" s="247">
        <f t="shared" si="32"/>
        <v>0.49813082249711893</v>
      </c>
      <c r="V108" s="378">
        <f t="shared" si="33"/>
        <v>50.185403954011377</v>
      </c>
      <c r="W108" s="397">
        <f t="shared" si="34"/>
        <v>42.451691099525696</v>
      </c>
      <c r="X108" s="153">
        <f t="shared" si="35"/>
        <v>47577</v>
      </c>
      <c r="Y108" s="380">
        <f t="shared" si="36"/>
        <v>41.200435876285439</v>
      </c>
      <c r="Z108" s="380">
        <f t="shared" si="37"/>
        <v>42.960002422679558</v>
      </c>
      <c r="AA108" s="381">
        <f t="shared" si="38"/>
        <v>45.221472370072661</v>
      </c>
      <c r="AB108" s="193">
        <f t="shared" si="39"/>
        <v>47577</v>
      </c>
      <c r="AC108" s="119">
        <f>IF(OR(t&lt;Tnet,NoTnet),'2029'!Resal_s+('2029'!Salim-'2029'!Resal_s)*(1-EXP(('2029'!Tnet_s-t)/'2029'!Tau_j)),Resal_s+(Salim-Resal_s)*(1-EXP((Tnet_s-t)/Tau_j)))*Salcycl</f>
        <v>5.0008764174820003E-2</v>
      </c>
      <c r="AD108" s="227">
        <f>(INDEX(Models!$BJ108:$BT108,,AH108)*(1-AF108)+INDEX(Models!$BJ108:$BT108,,AH108+1)*AF108-ERP_i)*AE108*Ramure*Pc/MaxiM</f>
        <v>2.7590263057666149E-4</v>
      </c>
      <c r="AE108" s="301">
        <f t="shared" si="40"/>
        <v>0.5</v>
      </c>
      <c r="AF108" s="173">
        <f t="shared" si="41"/>
        <v>2.3118388871096407E-2</v>
      </c>
      <c r="AG108" s="802">
        <f t="shared" si="49"/>
        <v>4</v>
      </c>
      <c r="AH108" s="172">
        <f t="shared" si="42"/>
        <v>10</v>
      </c>
      <c r="AI108" s="221">
        <f t="shared" si="43"/>
        <v>4.0231183888710964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47578</v>
      </c>
      <c r="B109" s="406">
        <f>'2029'!Wh/'2029'!Env_an*'2030'!Env_an</f>
        <v>50.804861467817311</v>
      </c>
      <c r="C109" s="832"/>
      <c r="D109" s="388">
        <f t="shared" si="25"/>
        <v>52.975333958845852</v>
      </c>
      <c r="E109" s="380">
        <f t="shared" si="47"/>
        <v>54.134255546808589</v>
      </c>
      <c r="F109" s="380">
        <f t="shared" si="26"/>
        <v>54.13548147924606</v>
      </c>
      <c r="G109" s="110">
        <f t="shared" si="48"/>
        <v>1.0048310592931586</v>
      </c>
      <c r="H109" s="409" t="b">
        <f>Wh_hp&gt;='2029'!Maxi_hp</f>
        <v>1</v>
      </c>
      <c r="I109" s="385">
        <f>IF(H109,Wh_hp,'2029'!Maxi_hp)</f>
        <v>54.13548147924606</v>
      </c>
      <c r="J109" s="85">
        <f>IF(H109,An,'2029'!An_max)</f>
        <v>2030</v>
      </c>
      <c r="K109" s="193">
        <f t="shared" si="27"/>
        <v>47578</v>
      </c>
      <c r="L109" s="143">
        <f>IF(t&lt;Tvie,1-EXP((T0-t)*PertePVj)+'2029'!Pspv,1-EXP((T0-t)*PertePVj)+Pspv)</f>
        <v>4.0971379108523998E-2</v>
      </c>
      <c r="M109" s="836"/>
      <c r="N109" s="836"/>
      <c r="O109" s="48">
        <f>IF(t&lt;Tnet,'2029'!Resal+('2029'!Salim-'2029'!Resal)*(1-EXP(('2029'!Tnet-t)/('2029'!Tau_j))),Resal+(Salim-Resal)*(1-EXP((Tnet-t)/(Tau_j))))*Salcycl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2.2645636539549695E-5</v>
      </c>
      <c r="Q109" s="301">
        <f t="shared" si="28"/>
        <v>0.5</v>
      </c>
      <c r="R109" s="173">
        <f t="shared" si="29"/>
        <v>0.49931097412513764</v>
      </c>
      <c r="S109" s="802">
        <f t="shared" si="30"/>
        <v>0</v>
      </c>
      <c r="T109" s="172">
        <f t="shared" si="31"/>
        <v>6</v>
      </c>
      <c r="U109" s="247">
        <f t="shared" si="32"/>
        <v>0.49931097412513764</v>
      </c>
      <c r="V109" s="378">
        <f t="shared" si="33"/>
        <v>50.560600210303647</v>
      </c>
      <c r="W109" s="397">
        <f t="shared" si="34"/>
        <v>50.804861467817311</v>
      </c>
      <c r="X109" s="153">
        <f t="shared" si="35"/>
        <v>47578</v>
      </c>
      <c r="Y109" s="380">
        <f t="shared" si="36"/>
        <v>49.305259184661672</v>
      </c>
      <c r="Z109" s="380">
        <f t="shared" si="37"/>
        <v>51.411666044783317</v>
      </c>
      <c r="AA109" s="381">
        <f t="shared" si="38"/>
        <v>54.12011007066917</v>
      </c>
      <c r="AB109" s="193">
        <f t="shared" si="39"/>
        <v>47578</v>
      </c>
      <c r="AC109" s="119">
        <f>IF(OR(t&lt;Tnet,NoTnet),'2029'!Resal_s+('2029'!Salim-'2029'!Resal_s)*(1-EXP(('2029'!Tnet_s-t)/'2029'!Tau_j)),Resal_s+(Salim-Resal_s)*(1-EXP((Tnet_s-t)/Tau_j)))*Salcycl</f>
        <v>5.0045057601494386E-2</v>
      </c>
      <c r="AD109" s="227">
        <f>(INDEX(Models!$BJ109:$BT109,,AH109)*(1-AF109)+INDEX(Models!$BJ109:$BT109,,AH109+1)*AF109-ERP_i)*AE109*Ramure*Pc/MaxiM</f>
        <v>2.8394332435706225E-4</v>
      </c>
      <c r="AE109" s="301">
        <f t="shared" si="40"/>
        <v>0.5</v>
      </c>
      <c r="AF109" s="173">
        <f t="shared" si="41"/>
        <v>2.4298540499114729E-2</v>
      </c>
      <c r="AG109" s="802">
        <f t="shared" si="49"/>
        <v>4</v>
      </c>
      <c r="AH109" s="172">
        <f t="shared" si="42"/>
        <v>10</v>
      </c>
      <c r="AI109" s="221">
        <f t="shared" si="43"/>
        <v>4.0242985404991147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47579</v>
      </c>
      <c r="B110" s="406">
        <f>'2029'!Wh/'2029'!Env_an*'2030'!Env_an</f>
        <v>12.392669231157898</v>
      </c>
      <c r="C110" s="832"/>
      <c r="D110" s="388">
        <f t="shared" si="25"/>
        <v>12.922282618839059</v>
      </c>
      <c r="E110" s="380">
        <f t="shared" si="47"/>
        <v>13.205756575619722</v>
      </c>
      <c r="F110" s="380">
        <f t="shared" si="26"/>
        <v>13.205756575619722</v>
      </c>
      <c r="G110" s="110">
        <f t="shared" si="48"/>
        <v>0.24332188202689647</v>
      </c>
      <c r="H110" s="409" t="b">
        <f>Wh_hp&gt;='2029'!Maxi_hp</f>
        <v>0</v>
      </c>
      <c r="I110" s="385">
        <f>IF(H110,Wh_hp,'2029'!Maxi_hp)</f>
        <v>13.206048737814166</v>
      </c>
      <c r="J110" s="85">
        <f>IF(H110,An,'2029'!An_max)</f>
        <v>2029</v>
      </c>
      <c r="K110" s="193">
        <f t="shared" si="27"/>
        <v>47579</v>
      </c>
      <c r="L110" s="143">
        <f>IF(t&lt;Tvie,1-EXP((T0-t)*PertePVj)+'2029'!Pspv,1-EXP((T0-t)*PertePVj)+Pspv)</f>
        <v>4.098450740498838E-2</v>
      </c>
      <c r="M110" s="836"/>
      <c r="N110" s="836"/>
      <c r="O110" s="48">
        <f>IF(t&lt;Tnet,'2029'!Resal+('2029'!Salim-'2029'!Resal)*(1-EXP(('2029'!Tnet-t)/('2029'!Tau_j))),Resal+(Salim-Resal)*(1-EXP((Tnet-t)/(Tau_j))))*Salcycl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2.2380904318931824E-5</v>
      </c>
      <c r="Q110" s="301">
        <f t="shared" si="28"/>
        <v>0.5</v>
      </c>
      <c r="R110" s="173">
        <f t="shared" si="29"/>
        <v>0.50053435864817786</v>
      </c>
      <c r="S110" s="802">
        <f t="shared" si="30"/>
        <v>0</v>
      </c>
      <c r="T110" s="172">
        <f t="shared" si="31"/>
        <v>6</v>
      </c>
      <c r="U110" s="247">
        <f t="shared" si="32"/>
        <v>0.50053435864817786</v>
      </c>
      <c r="V110" s="378">
        <f t="shared" si="33"/>
        <v>50.930034605945309</v>
      </c>
      <c r="W110" s="397">
        <f t="shared" si="34"/>
        <v>12.392669231157898</v>
      </c>
      <c r="X110" s="153">
        <f t="shared" si="35"/>
        <v>47579</v>
      </c>
      <c r="Y110" s="380">
        <f t="shared" si="36"/>
        <v>12.030261928852328</v>
      </c>
      <c r="Z110" s="380">
        <f t="shared" si="37"/>
        <v>12.54438747000791</v>
      </c>
      <c r="AA110" s="381">
        <f t="shared" si="38"/>
        <v>13.205756575619722</v>
      </c>
      <c r="AB110" s="193">
        <f t="shared" si="39"/>
        <v>47579</v>
      </c>
      <c r="AC110" s="119">
        <f>IF(OR(t&lt;Tnet,NoTnet),'2029'!Resal_s+('2029'!Salim-'2029'!Resal_s)*(1-EXP(('2029'!Tnet_s-t)/'2029'!Tau_j)),Resal_s+(Salim-Resal_s)*(1-EXP((Tnet_s-t)/Tau_j)))*Salcycl</f>
        <v>5.0081879203560387E-2</v>
      </c>
      <c r="AD110" s="227">
        <f>(INDEX(Models!$BJ110:$BT110,,AH110)*(1-AF110)+INDEX(Models!$BJ110:$BT110,,AH110+1)*AF110-ERP_i)*AE110*Ramure*Pc/MaxiM</f>
        <v>2.89403344795022E-4</v>
      </c>
      <c r="AE110" s="301">
        <f t="shared" si="40"/>
        <v>0.5</v>
      </c>
      <c r="AF110" s="173">
        <f t="shared" si="41"/>
        <v>2.5521925022155223E-2</v>
      </c>
      <c r="AG110" s="802">
        <f t="shared" si="49"/>
        <v>4</v>
      </c>
      <c r="AH110" s="172">
        <f t="shared" si="42"/>
        <v>10</v>
      </c>
      <c r="AI110" s="221">
        <f t="shared" si="43"/>
        <v>4.0255219250221552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47580</v>
      </c>
      <c r="B111" s="406">
        <f>'2029'!Wh/'2029'!Env_an*'2030'!Env_an</f>
        <v>42.00580357015582</v>
      </c>
      <c r="C111" s="832"/>
      <c r="D111" s="388">
        <f t="shared" si="25"/>
        <v>43.801564131709661</v>
      </c>
      <c r="E111" s="380">
        <f t="shared" si="47"/>
        <v>44.76507885115079</v>
      </c>
      <c r="F111" s="380">
        <f t="shared" si="26"/>
        <v>44.765807094734072</v>
      </c>
      <c r="G111" s="110">
        <f t="shared" si="48"/>
        <v>0.81892728545589377</v>
      </c>
      <c r="H111" s="409" t="b">
        <f>Wh_hp&gt;='2029'!Maxi_hp</f>
        <v>0</v>
      </c>
      <c r="I111" s="385">
        <f>IF(H111,Wh_hp,'2029'!Maxi_hp)</f>
        <v>44.766057669859549</v>
      </c>
      <c r="J111" s="85">
        <f>IF(H111,An,'2029'!An_max)</f>
        <v>2029</v>
      </c>
      <c r="K111" s="193">
        <f t="shared" si="27"/>
        <v>47580</v>
      </c>
      <c r="L111" s="143">
        <f>IF(t&lt;Tvie,1-EXP((T0-t)*PertePVj)+'2029'!Pspv,1-EXP((T0-t)*PertePVj)+Pspv)</f>
        <v>4.0997635521737519E-2</v>
      </c>
      <c r="M111" s="836"/>
      <c r="N111" s="836"/>
      <c r="O111" s="48">
        <f>IF(t&lt;Tnet,'2029'!Resal+('2029'!Salim-'2029'!Resal)*(1-EXP(('2029'!Tnet-t)/('2029'!Tau_j))),Resal+(Salim-Resal)*(1-EXP((Tnet-t)/(Tau_j))))*Salcycl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2.1944105909685375E-5</v>
      </c>
      <c r="Q111" s="301">
        <f t="shared" si="28"/>
        <v>0.5</v>
      </c>
      <c r="R111" s="173">
        <f t="shared" si="29"/>
        <v>0.50180230520912683</v>
      </c>
      <c r="S111" s="802">
        <f t="shared" si="30"/>
        <v>0</v>
      </c>
      <c r="T111" s="172">
        <f t="shared" si="31"/>
        <v>6</v>
      </c>
      <c r="U111" s="247">
        <f t="shared" si="32"/>
        <v>0.50180230520912683</v>
      </c>
      <c r="V111" s="378">
        <f t="shared" si="33"/>
        <v>51.293400374785428</v>
      </c>
      <c r="W111" s="397">
        <f t="shared" si="34"/>
        <v>42.00580357015582</v>
      </c>
      <c r="X111" s="153">
        <f t="shared" si="35"/>
        <v>47580</v>
      </c>
      <c r="Y111" s="380">
        <f t="shared" si="36"/>
        <v>40.770032582031547</v>
      </c>
      <c r="Z111" s="380">
        <f t="shared" si="37"/>
        <v>42.512963567313157</v>
      </c>
      <c r="AA111" s="381">
        <f t="shared" si="38"/>
        <v>44.756105812975605</v>
      </c>
      <c r="AB111" s="193">
        <f t="shared" si="39"/>
        <v>47580</v>
      </c>
      <c r="AC111" s="119">
        <f>IF(OR(t&lt;Tnet,NoTnet),'2029'!Resal_s+('2029'!Salim-'2029'!Resal_s)*(1-EXP(('2029'!Tnet_s-t)/'2029'!Tau_j)),Resal_s+(Salim-Resal_s)*(1-EXP((Tnet_s-t)/Tau_j)))*Salcycl</f>
        <v>5.0119245294395522E-2</v>
      </c>
      <c r="AD111" s="227">
        <f>(INDEX(Models!$BJ111:$BT111,,AH111)*(1-AF111)+INDEX(Models!$BJ111:$BT111,,AH111+1)*AF111-ERP_i)*AE111*Ramure*Pc/MaxiM</f>
        <v>2.9232795077709165E-4</v>
      </c>
      <c r="AE111" s="301">
        <f t="shared" si="40"/>
        <v>0.5</v>
      </c>
      <c r="AF111" s="173">
        <f t="shared" si="41"/>
        <v>2.6789871583104308E-2</v>
      </c>
      <c r="AG111" s="802">
        <f t="shared" si="49"/>
        <v>4</v>
      </c>
      <c r="AH111" s="172">
        <f t="shared" si="42"/>
        <v>10</v>
      </c>
      <c r="AI111" s="221">
        <f t="shared" si="43"/>
        <v>4.0267898715831043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47581</v>
      </c>
      <c r="B112" s="406">
        <f>'2029'!Wh/'2029'!Env_an*'2030'!Env_an</f>
        <v>35.781726650870816</v>
      </c>
      <c r="C112" s="832"/>
      <c r="D112" s="388">
        <f t="shared" si="25"/>
        <v>37.311916846871291</v>
      </c>
      <c r="E112" s="380">
        <f t="shared" si="47"/>
        <v>38.134940796770977</v>
      </c>
      <c r="F112" s="380">
        <f t="shared" si="26"/>
        <v>38.135397339104927</v>
      </c>
      <c r="G112" s="110">
        <f t="shared" si="48"/>
        <v>0.69276129320196433</v>
      </c>
      <c r="H112" s="409" t="b">
        <f>Wh_hp&gt;='2029'!Maxi_hp</f>
        <v>0</v>
      </c>
      <c r="I112" s="385">
        <f>IF(H112,Wh_hp,'2029'!Maxi_hp)</f>
        <v>38.135748620344017</v>
      </c>
      <c r="J112" s="85">
        <f>IF(H112,An,'2029'!An_max)</f>
        <v>2029</v>
      </c>
      <c r="K112" s="193">
        <f t="shared" si="27"/>
        <v>47581</v>
      </c>
      <c r="L112" s="143">
        <f>IF(t&lt;Tvie,1-EXP((T0-t)*PertePVj)+'2029'!Pspv,1-EXP((T0-t)*PertePVj)+Pspv)</f>
        <v>4.1010763458773747E-2</v>
      </c>
      <c r="M112" s="836"/>
      <c r="N112" s="836"/>
      <c r="O112" s="48">
        <f>IF(t&lt;Tnet,'2029'!Resal+('2029'!Salim-'2029'!Resal)*(1-EXP(('2029'!Tnet-t)/('2029'!Tau_j))),Resal+(Salim-Resal)*(1-EXP((Tnet-t)/(Tau_j))))*Salcycl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2.1336096366087853E-5</v>
      </c>
      <c r="Q112" s="301">
        <f t="shared" si="28"/>
        <v>0.5</v>
      </c>
      <c r="R112" s="173">
        <f t="shared" si="29"/>
        <v>0.50311616353687039</v>
      </c>
      <c r="S112" s="802">
        <f t="shared" si="30"/>
        <v>0</v>
      </c>
      <c r="T112" s="172">
        <f t="shared" si="31"/>
        <v>6</v>
      </c>
      <c r="U112" s="247">
        <f t="shared" si="32"/>
        <v>0.50311616353687039</v>
      </c>
      <c r="V112" s="378">
        <f t="shared" si="33"/>
        <v>51.650390864363814</v>
      </c>
      <c r="W112" s="397">
        <f t="shared" si="34"/>
        <v>35.781726650870816</v>
      </c>
      <c r="X112" s="153">
        <f t="shared" si="35"/>
        <v>47581</v>
      </c>
      <c r="Y112" s="380">
        <f t="shared" si="36"/>
        <v>34.731409708594697</v>
      </c>
      <c r="Z112" s="380">
        <f t="shared" si="37"/>
        <v>36.216683550964568</v>
      </c>
      <c r="AA112" s="381">
        <f t="shared" si="38"/>
        <v>38.129133021033908</v>
      </c>
      <c r="AB112" s="193">
        <f t="shared" si="39"/>
        <v>47581</v>
      </c>
      <c r="AC112" s="119">
        <f>IF(OR(t&lt;Tnet,NoTnet),'2029'!Resal_s+('2029'!Salim-'2029'!Resal_s)*(1-EXP(('2029'!Tnet_s-t)/'2029'!Tau_j)),Resal_s+(Salim-Resal_s)*(1-EXP((Tnet_s-t)/Tau_j)))*Salcycl</f>
        <v>5.0157171657019876E-2</v>
      </c>
      <c r="AD112" s="227">
        <f>(INDEX(Models!$BJ112:$BT112,,AH112)*(1-AF112)+INDEX(Models!$BJ112:$BT112,,AH112+1)*AF112-ERP_i)*AE112*Ramure*Pc/MaxiM</f>
        <v>2.9275728468660528E-4</v>
      </c>
      <c r="AE112" s="301">
        <f t="shared" si="40"/>
        <v>0.5</v>
      </c>
      <c r="AF112" s="173">
        <f t="shared" si="41"/>
        <v>2.8103729910847974E-2</v>
      </c>
      <c r="AG112" s="802">
        <f t="shared" si="49"/>
        <v>4</v>
      </c>
      <c r="AH112" s="172">
        <f t="shared" si="42"/>
        <v>10</v>
      </c>
      <c r="AI112" s="221">
        <f t="shared" si="43"/>
        <v>4.028103729910848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47582</v>
      </c>
      <c r="B113" s="406">
        <f>'2029'!Wh/'2029'!Env_an*'2030'!Env_an</f>
        <v>33.288061311159097</v>
      </c>
      <c r="C113" s="832"/>
      <c r="D113" s="388">
        <f t="shared" si="25"/>
        <v>34.712086157571171</v>
      </c>
      <c r="E113" s="380">
        <f t="shared" si="47"/>
        <v>35.479877702232663</v>
      </c>
      <c r="F113" s="380">
        <f t="shared" si="26"/>
        <v>35.480232123836906</v>
      </c>
      <c r="G113" s="110">
        <f t="shared" si="48"/>
        <v>0.64013964846872573</v>
      </c>
      <c r="H113" s="409" t="b">
        <f>Wh_hp&gt;='2029'!Maxi_hp</f>
        <v>0</v>
      </c>
      <c r="I113" s="385">
        <f>IF(H113,Wh_hp,'2029'!Maxi_hp)</f>
        <v>35.480600001328156</v>
      </c>
      <c r="J113" s="85">
        <f>IF(H113,An,'2029'!An_max)</f>
        <v>2029</v>
      </c>
      <c r="K113" s="193">
        <f t="shared" si="27"/>
        <v>47582</v>
      </c>
      <c r="L113" s="143">
        <f>IF(t&lt;Tvie,1-EXP((T0-t)*PertePVj)+'2029'!Pspv,1-EXP((T0-t)*PertePVj)+Pspv)</f>
        <v>4.1023891216099506E-2</v>
      </c>
      <c r="M113" s="836"/>
      <c r="N113" s="836"/>
      <c r="O113" s="48">
        <f>IF(t&lt;Tnet,'2029'!Resal+('2029'!Salim-'2029'!Resal)*(1-EXP(('2029'!Tnet-t)/('2029'!Tau_j))),Resal+(Salim-Resal)*(1-EXP((Tnet-t)/(Tau_j))))*Salcycl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2.0557290748191615E-5</v>
      </c>
      <c r="Q113" s="301">
        <f t="shared" si="28"/>
        <v>0.5</v>
      </c>
      <c r="R113" s="173">
        <f t="shared" si="29"/>
        <v>0.50447730252443646</v>
      </c>
      <c r="S113" s="802">
        <f t="shared" si="30"/>
        <v>0</v>
      </c>
      <c r="T113" s="172">
        <f t="shared" si="31"/>
        <v>6</v>
      </c>
      <c r="U113" s="247">
        <f t="shared" si="32"/>
        <v>0.50447730252443646</v>
      </c>
      <c r="V113" s="378">
        <f t="shared" si="33"/>
        <v>52.000699532260576</v>
      </c>
      <c r="W113" s="397">
        <f t="shared" si="34"/>
        <v>33.288061311159097</v>
      </c>
      <c r="X113" s="153">
        <f t="shared" si="35"/>
        <v>47582</v>
      </c>
      <c r="Y113" s="380">
        <f t="shared" si="36"/>
        <v>32.312237043310439</v>
      </c>
      <c r="Z113" s="380">
        <f t="shared" si="37"/>
        <v>33.694517253705442</v>
      </c>
      <c r="AA113" s="381">
        <f t="shared" si="38"/>
        <v>35.475219804761693</v>
      </c>
      <c r="AB113" s="193">
        <f t="shared" si="39"/>
        <v>47582</v>
      </c>
      <c r="AC113" s="119">
        <f>IF(OR(t&lt;Tnet,NoTnet),'2029'!Resal_s+('2029'!Salim-'2029'!Resal_s)*(1-EXP(('2029'!Tnet_s-t)/'2029'!Tau_j)),Resal_s+(Salim-Resal_s)*(1-EXP((Tnet_s-t)/Tau_j)))*Salcycl</f>
        <v>5.0195673511154171E-2</v>
      </c>
      <c r="AD113" s="227">
        <f>(INDEX(Models!$BJ113:$BT113,,AH113)*(1-AF113)+INDEX(Models!$BJ113:$BT113,,AH113+1)*AF113-ERP_i)*AE113*Ramure*Pc/MaxiM</f>
        <v>2.9072635335674338E-4</v>
      </c>
      <c r="AE113" s="301">
        <f t="shared" si="40"/>
        <v>0.5</v>
      </c>
      <c r="AF113" s="173">
        <f t="shared" si="41"/>
        <v>2.9464868898413599E-2</v>
      </c>
      <c r="AG113" s="802">
        <f t="shared" si="49"/>
        <v>4</v>
      </c>
      <c r="AH113" s="172">
        <f t="shared" si="42"/>
        <v>10</v>
      </c>
      <c r="AI113" s="221">
        <f t="shared" si="43"/>
        <v>4.0294648688984136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47583</v>
      </c>
      <c r="B114" s="406">
        <f>'2029'!Wh/'2029'!Env_an*'2030'!Env_an</f>
        <v>54.538525156382534</v>
      </c>
      <c r="C114" s="832"/>
      <c r="D114" s="388">
        <f t="shared" si="25"/>
        <v>56.872398857126214</v>
      </c>
      <c r="E114" s="380">
        <f t="shared" si="47"/>
        <v>58.133829898387994</v>
      </c>
      <c r="F114" s="380">
        <f t="shared" si="26"/>
        <v>58.134973098692683</v>
      </c>
      <c r="G114" s="110">
        <f t="shared" si="48"/>
        <v>1.0419247187108809</v>
      </c>
      <c r="H114" s="409" t="b">
        <f>Wh_hp&gt;='2029'!Maxi_hp</f>
        <v>1</v>
      </c>
      <c r="I114" s="385">
        <f>IF(H114,Wh_hp,'2029'!Maxi_hp)</f>
        <v>58.134973098692683</v>
      </c>
      <c r="J114" s="85">
        <f>IF(H114,An,'2029'!An_max)</f>
        <v>2030</v>
      </c>
      <c r="K114" s="193">
        <f t="shared" si="27"/>
        <v>47583</v>
      </c>
      <c r="L114" s="143">
        <f>IF(t&lt;Tvie,1-EXP((T0-t)*PertePVj)+'2029'!Pspv,1-EXP((T0-t)*PertePVj)+Pspv)</f>
        <v>4.103701879371735E-2</v>
      </c>
      <c r="M114" s="836"/>
      <c r="N114" s="836"/>
      <c r="O114" s="48">
        <f>IF(t&lt;Tnet,'2029'!Resal+('2029'!Salim-'2029'!Resal)*(1-EXP(('2029'!Tnet-t)/('2029'!Tau_j))),Resal+(Salim-Resal)*(1-EXP((Tnet-t)/(Tau_j))))*Salcycl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1.9664588177375359E-5</v>
      </c>
      <c r="Q114" s="301">
        <f t="shared" si="28"/>
        <v>0.5</v>
      </c>
      <c r="R114" s="173">
        <f t="shared" si="29"/>
        <v>0.50588710863077901</v>
      </c>
      <c r="S114" s="802">
        <f t="shared" si="30"/>
        <v>0</v>
      </c>
      <c r="T114" s="172">
        <f t="shared" si="31"/>
        <v>6</v>
      </c>
      <c r="U114" s="247">
        <f t="shared" si="32"/>
        <v>0.50588710863077901</v>
      </c>
      <c r="V114" s="378">
        <f t="shared" si="33"/>
        <v>52.344016968769303</v>
      </c>
      <c r="W114" s="397">
        <f t="shared" si="34"/>
        <v>54.538525156382534</v>
      </c>
      <c r="X114" s="153">
        <f t="shared" si="35"/>
        <v>47583</v>
      </c>
      <c r="Y114" s="380">
        <f t="shared" si="36"/>
        <v>52.93356871661296</v>
      </c>
      <c r="Z114" s="380">
        <f t="shared" si="37"/>
        <v>55.198761322389785</v>
      </c>
      <c r="AA114" s="381">
        <f t="shared" si="38"/>
        <v>58.118321576935671</v>
      </c>
      <c r="AB114" s="193">
        <f t="shared" si="39"/>
        <v>47583</v>
      </c>
      <c r="AC114" s="119">
        <f>IF(OR(t&lt;Tnet,NoTnet),'2029'!Resal_s+('2029'!Salim-'2029'!Resal_s)*(1-EXP(('2029'!Tnet_s-t)/'2029'!Tau_j)),Resal_s+(Salim-Resal_s)*(1-EXP((Tnet_s-t)/Tau_j)))*Salcycl</f>
        <v>5.0234765480641722E-2</v>
      </c>
      <c r="AD114" s="227">
        <f>(INDEX(Models!$BJ114:$BT114,,AH114)*(1-AF114)+INDEX(Models!$BJ114:$BT114,,AH114+1)*AF114-ERP_i)*AE114*Ramure*Pc/MaxiM</f>
        <v>2.8642864818642736E-4</v>
      </c>
      <c r="AE114" s="301">
        <f t="shared" si="40"/>
        <v>0.5</v>
      </c>
      <c r="AF114" s="173">
        <f t="shared" si="41"/>
        <v>3.0874675004755936E-2</v>
      </c>
      <c r="AG114" s="802">
        <f t="shared" si="49"/>
        <v>4</v>
      </c>
      <c r="AH114" s="172">
        <f t="shared" si="42"/>
        <v>10</v>
      </c>
      <c r="AI114" s="221">
        <f t="shared" si="43"/>
        <v>4.0308746750047559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47584</v>
      </c>
      <c r="B115" s="406">
        <f>'2029'!Wh/'2029'!Env_an*'2030'!Env_an</f>
        <v>43.99921131595282</v>
      </c>
      <c r="C115" s="832"/>
      <c r="D115" s="388">
        <f t="shared" si="25"/>
        <v>45.882702980989563</v>
      </c>
      <c r="E115" s="380">
        <f t="shared" si="47"/>
        <v>46.903200870248227</v>
      </c>
      <c r="F115" s="380">
        <f t="shared" si="26"/>
        <v>46.903874730192825</v>
      </c>
      <c r="G115" s="110">
        <f t="shared" si="48"/>
        <v>0.83521244848815757</v>
      </c>
      <c r="H115" s="409" t="b">
        <f>Wh_hp&gt;='2029'!Maxi_hp</f>
        <v>0</v>
      </c>
      <c r="I115" s="385">
        <f>IF(H115,Wh_hp,'2029'!Maxi_hp)</f>
        <v>46.904077182092792</v>
      </c>
      <c r="J115" s="85">
        <f>IF(H115,An,'2029'!An_max)</f>
        <v>2029</v>
      </c>
      <c r="K115" s="193">
        <f t="shared" si="27"/>
        <v>47584</v>
      </c>
      <c r="L115" s="143">
        <f>IF(t&lt;Tvie,1-EXP((T0-t)*PertePVj)+'2029'!Pspv,1-EXP((T0-t)*PertePVj)+Pspv)</f>
        <v>4.1050146191629611E-2</v>
      </c>
      <c r="M115" s="836"/>
      <c r="N115" s="836"/>
      <c r="O115" s="48">
        <f>IF(t&lt;Tnet,'2029'!Resal+('2029'!Salim-'2029'!Resal)*(1-EXP(('2029'!Tnet-t)/('2029'!Tau_j))),Resal+(Salim-Resal)*(1-EXP((Tnet-t)/(Tau_j))))*Salcycl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1.8790128785137727E-5</v>
      </c>
      <c r="Q115" s="301">
        <f t="shared" si="28"/>
        <v>0.5</v>
      </c>
      <c r="R115" s="173">
        <f t="shared" si="29"/>
        <v>0.50734698409667611</v>
      </c>
      <c r="S115" s="802">
        <f t="shared" si="30"/>
        <v>0</v>
      </c>
      <c r="T115" s="172">
        <f t="shared" si="31"/>
        <v>6</v>
      </c>
      <c r="U115" s="247">
        <f t="shared" si="32"/>
        <v>0.50734698409667611</v>
      </c>
      <c r="V115" s="378">
        <f t="shared" si="33"/>
        <v>52.680029818875099</v>
      </c>
      <c r="W115" s="397">
        <f t="shared" si="34"/>
        <v>43.99921131595282</v>
      </c>
      <c r="X115" s="153">
        <f t="shared" si="35"/>
        <v>47584</v>
      </c>
      <c r="Y115" s="380">
        <f t="shared" si="36"/>
        <v>42.70803326489964</v>
      </c>
      <c r="Z115" s="380">
        <f t="shared" si="37"/>
        <v>44.536252959723697</v>
      </c>
      <c r="AA115" s="381">
        <f t="shared" si="38"/>
        <v>46.893814220183316</v>
      </c>
      <c r="AB115" s="193">
        <f t="shared" si="39"/>
        <v>47584</v>
      </c>
      <c r="AC115" s="119">
        <f>IF(OR(t&lt;Tnet,NoTnet),'2029'!Resal_s+('2029'!Salim-'2029'!Resal_s)*(1-EXP(('2029'!Tnet_s-t)/'2029'!Tau_j)),Resal_s+(Salim-Resal_s)*(1-EXP((Tnet_s-t)/Tau_j)))*Salcycl</f>
        <v>5.0274461560964524E-2</v>
      </c>
      <c r="AD115" s="227">
        <f>(INDEX(Models!$BJ115:$BT115,,AH115)*(1-AF115)+INDEX(Models!$BJ115:$BT115,,AH115+1)*AF115-ERP_i)*AE115*Ramure*Pc/MaxiM</f>
        <v>2.8053051711606397E-4</v>
      </c>
      <c r="AE115" s="301">
        <f t="shared" si="40"/>
        <v>0.5</v>
      </c>
      <c r="AF115" s="173">
        <f t="shared" si="41"/>
        <v>3.2334550470653589E-2</v>
      </c>
      <c r="AG115" s="802">
        <f t="shared" si="49"/>
        <v>4</v>
      </c>
      <c r="AH115" s="172">
        <f t="shared" si="42"/>
        <v>10</v>
      </c>
      <c r="AI115" s="221">
        <f t="shared" si="43"/>
        <v>4.0323345504706536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47585</v>
      </c>
      <c r="B116" s="406">
        <f>'2029'!Wh/'2029'!Env_an*'2030'!Env_an</f>
        <v>36.712019167080008</v>
      </c>
      <c r="C116" s="832"/>
      <c r="D116" s="388">
        <f t="shared" si="25"/>
        <v>38.284089188681492</v>
      </c>
      <c r="E116" s="380">
        <f t="shared" si="47"/>
        <v>39.137944932419408</v>
      </c>
      <c r="F116" s="380">
        <f t="shared" si="26"/>
        <v>39.138338547495557</v>
      </c>
      <c r="G116" s="110">
        <f t="shared" si="48"/>
        <v>0.69256397223324184</v>
      </c>
      <c r="H116" s="409" t="b">
        <f>Wh_hp&gt;='2029'!Maxi_hp</f>
        <v>0</v>
      </c>
      <c r="I116" s="385">
        <f>IF(H116,Wh_hp,'2029'!Maxi_hp)</f>
        <v>39.138638480152373</v>
      </c>
      <c r="J116" s="85">
        <f>IF(H116,An,'2029'!An_max)</f>
        <v>2029</v>
      </c>
      <c r="K116" s="193">
        <f t="shared" si="27"/>
        <v>47585</v>
      </c>
      <c r="L116" s="143">
        <f>IF(t&lt;Tvie,1-EXP((T0-t)*PertePVj)+'2029'!Pspv,1-EXP((T0-t)*PertePVj)+Pspv)</f>
        <v>4.1063273409838841E-2</v>
      </c>
      <c r="M116" s="836"/>
      <c r="N116" s="836"/>
      <c r="O116" s="48">
        <f>IF(t&lt;Tnet,'2029'!Resal+('2029'!Salim-'2029'!Resal)*(1-EXP(('2029'!Tnet-t)/('2029'!Tau_j))),Resal+(Salim-Resal)*(1-EXP((Tnet-t)/(Tau_j))))*Salcycl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1.793291561225514E-5</v>
      </c>
      <c r="Q116" s="301">
        <f t="shared" si="28"/>
        <v>0.5</v>
      </c>
      <c r="R116" s="173">
        <f t="shared" si="29"/>
        <v>0.50885834496530447</v>
      </c>
      <c r="S116" s="802">
        <f t="shared" si="30"/>
        <v>0</v>
      </c>
      <c r="T116" s="172">
        <f t="shared" si="31"/>
        <v>6</v>
      </c>
      <c r="U116" s="247">
        <f t="shared" si="32"/>
        <v>0.50885834496530447</v>
      </c>
      <c r="V116" s="378">
        <f t="shared" si="33"/>
        <v>53.008431706001069</v>
      </c>
      <c r="W116" s="397">
        <f t="shared" si="34"/>
        <v>36.712019167080008</v>
      </c>
      <c r="X116" s="153">
        <f t="shared" si="35"/>
        <v>47585</v>
      </c>
      <c r="Y116" s="380">
        <f t="shared" si="36"/>
        <v>35.637358983570344</v>
      </c>
      <c r="Z116" s="380">
        <f t="shared" si="37"/>
        <v>37.163410259915253</v>
      </c>
      <c r="AA116" s="381">
        <f t="shared" si="38"/>
        <v>39.132345418244903</v>
      </c>
      <c r="AB116" s="193">
        <f t="shared" si="39"/>
        <v>47585</v>
      </c>
      <c r="AC116" s="119">
        <f>IF(OR(t&lt;Tnet,NoTnet),'2029'!Resal_s+('2029'!Salim-'2029'!Resal_s)*(1-EXP(('2029'!Tnet_s-t)/'2029'!Tau_j)),Resal_s+(Salim-Resal_s)*(1-EXP((Tnet_s-t)/Tau_j)))*Salcycl</f>
        <v>5.0314775086587653E-2</v>
      </c>
      <c r="AD116" s="227">
        <f>(INDEX(Models!$BJ116:$BT116,,AH116)*(1-AF116)+INDEX(Models!$BJ116:$BT116,,AH116+1)*AF116-ERP_i)*AE116*Ramure*Pc/MaxiM</f>
        <v>2.7304411750807869E-4</v>
      </c>
      <c r="AE116" s="301">
        <f t="shared" si="40"/>
        <v>0.5</v>
      </c>
      <c r="AF116" s="173">
        <f t="shared" si="41"/>
        <v>3.384591133928172E-2</v>
      </c>
      <c r="AG116" s="802">
        <f t="shared" si="49"/>
        <v>4</v>
      </c>
      <c r="AH116" s="172">
        <f t="shared" si="42"/>
        <v>10</v>
      </c>
      <c r="AI116" s="221">
        <f t="shared" si="43"/>
        <v>4.0338459113392817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47586</v>
      </c>
      <c r="B117" s="406">
        <f>'2029'!Wh/'2029'!Env_an*'2030'!Env_an</f>
        <v>8.4890814078493513</v>
      </c>
      <c r="C117" s="832"/>
      <c r="D117" s="388">
        <f t="shared" si="25"/>
        <v>8.8527192487685635</v>
      </c>
      <c r="E117" s="380">
        <f t="shared" si="47"/>
        <v>9.0507114044951749</v>
      </c>
      <c r="F117" s="380">
        <f t="shared" si="26"/>
        <v>9.0507114044951749</v>
      </c>
      <c r="G117" s="110">
        <f t="shared" si="48"/>
        <v>0.15918073892466708</v>
      </c>
      <c r="H117" s="409" t="b">
        <f>Wh_hp&gt;='2029'!Maxi_hp</f>
        <v>0</v>
      </c>
      <c r="I117" s="385">
        <f>IF(H117,Wh_hp,'2029'!Maxi_hp)</f>
        <v>9.0508614779213179</v>
      </c>
      <c r="J117" s="85">
        <f>IF(H117,An,'2029'!An_max)</f>
        <v>2029</v>
      </c>
      <c r="K117" s="193">
        <f t="shared" si="27"/>
        <v>47586</v>
      </c>
      <c r="L117" s="143">
        <f>IF(t&lt;Tvie,1-EXP((T0-t)*PertePVj)+'2029'!Pspv,1-EXP((T0-t)*PertePVj)+Pspv)</f>
        <v>4.1076400448347483E-2</v>
      </c>
      <c r="M117" s="836"/>
      <c r="N117" s="836"/>
      <c r="O117" s="48">
        <f>IF(t&lt;Tnet,'2029'!Resal+('2029'!Salim-'2029'!Resal)*(1-EXP(('2029'!Tnet-t)/('2029'!Tau_j))),Resal+(Salim-Resal)*(1-EXP((Tnet-t)/(Tau_j))))*Salcycl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1.7091958911217282E-5</v>
      </c>
      <c r="Q117" s="301">
        <f t="shared" si="28"/>
        <v>0.5</v>
      </c>
      <c r="R117" s="173">
        <f t="shared" si="29"/>
        <v>0.51042261889822593</v>
      </c>
      <c r="S117" s="802">
        <f t="shared" si="30"/>
        <v>0</v>
      </c>
      <c r="T117" s="172">
        <f t="shared" si="31"/>
        <v>6</v>
      </c>
      <c r="U117" s="247">
        <f t="shared" si="32"/>
        <v>0.51042261889822593</v>
      </c>
      <c r="V117" s="378">
        <f t="shared" si="33"/>
        <v>53.328916363657271</v>
      </c>
      <c r="W117" s="397">
        <f t="shared" si="34"/>
        <v>8.4890814078493513</v>
      </c>
      <c r="X117" s="153">
        <f t="shared" si="35"/>
        <v>47586</v>
      </c>
      <c r="Y117" s="380">
        <f t="shared" si="36"/>
        <v>8.2419064590710764</v>
      </c>
      <c r="Z117" s="380">
        <f t="shared" si="37"/>
        <v>8.5949563269947706</v>
      </c>
      <c r="AA117" s="381">
        <f t="shared" si="38"/>
        <v>9.0507114044951749</v>
      </c>
      <c r="AB117" s="193">
        <f t="shared" si="39"/>
        <v>47586</v>
      </c>
      <c r="AC117" s="119">
        <f>IF(OR(t&lt;Tnet,NoTnet),'2029'!Resal_s+('2029'!Salim-'2029'!Resal_s)*(1-EXP(('2029'!Tnet_s-t)/'2029'!Tau_j)),Resal_s+(Salim-Resal_s)*(1-EXP((Tnet_s-t)/Tau_j)))*Salcycl</f>
        <v>5.0355718697874453E-2</v>
      </c>
      <c r="AD117" s="227">
        <f>(INDEX(Models!$BJ117:$BT117,,AH117)*(1-AF117)+INDEX(Models!$BJ117:$BT117,,AH117+1)*AF117-ERP_i)*AE117*Ramure*Pc/MaxiM</f>
        <v>2.6397804634250047E-4</v>
      </c>
      <c r="AE117" s="301">
        <f t="shared" si="40"/>
        <v>0.5</v>
      </c>
      <c r="AF117" s="173">
        <f t="shared" si="41"/>
        <v>3.541018527220352E-2</v>
      </c>
      <c r="AG117" s="802">
        <f t="shared" si="49"/>
        <v>4</v>
      </c>
      <c r="AH117" s="172">
        <f t="shared" si="42"/>
        <v>10</v>
      </c>
      <c r="AI117" s="221">
        <f t="shared" si="43"/>
        <v>4.0354101852722035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47587</v>
      </c>
      <c r="B118" s="406">
        <f>'2029'!Wh/'2029'!Env_an*'2030'!Env_an</f>
        <v>39.188637773424269</v>
      </c>
      <c r="C118" s="832"/>
      <c r="D118" s="388">
        <f t="shared" si="25"/>
        <v>40.867879629443948</v>
      </c>
      <c r="E118" s="380">
        <f t="shared" si="47"/>
        <v>41.784439119640119</v>
      </c>
      <c r="F118" s="380">
        <f t="shared" si="26"/>
        <v>41.784857193328385</v>
      </c>
      <c r="G118" s="110">
        <f t="shared" si="48"/>
        <v>0.73056547488494106</v>
      </c>
      <c r="H118" s="409" t="b">
        <f>Wh_hp&gt;='2029'!Maxi_hp</f>
        <v>0</v>
      </c>
      <c r="I118" s="385">
        <f>IF(H118,Wh_hp,'2029'!Maxi_hp)</f>
        <v>41.785110206797619</v>
      </c>
      <c r="J118" s="85">
        <f>IF(H118,An,'2029'!An_max)</f>
        <v>2029</v>
      </c>
      <c r="K118" s="193">
        <f t="shared" si="27"/>
        <v>47587</v>
      </c>
      <c r="L118" s="143">
        <f>IF(t&lt;Tvie,1-EXP((T0-t)*PertePVj)+'2029'!Pspv,1-EXP((T0-t)*PertePVj)+Pspv)</f>
        <v>4.108952730715798E-2</v>
      </c>
      <c r="M118" s="836"/>
      <c r="N118" s="836"/>
      <c r="O118" s="48">
        <f>IF(t&lt;Tnet,'2029'!Resal+('2029'!Salim-'2029'!Resal)*(1-EXP(('2029'!Tnet-t)/('2029'!Tau_j))),Resal+(Salim-Resal)*(1-EXP((Tnet-t)/(Tau_j))))*Salcycl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1.6266276007857208E-5</v>
      </c>
      <c r="Q118" s="301">
        <f t="shared" si="28"/>
        <v>0.5</v>
      </c>
      <c r="R118" s="173">
        <f t="shared" si="29"/>
        <v>0.51204124277778951</v>
      </c>
      <c r="S118" s="802">
        <f t="shared" si="30"/>
        <v>0</v>
      </c>
      <c r="T118" s="172">
        <f t="shared" si="31"/>
        <v>6</v>
      </c>
      <c r="U118" s="247">
        <f t="shared" si="32"/>
        <v>0.51204124277778951</v>
      </c>
      <c r="V118" s="378">
        <f t="shared" si="33"/>
        <v>53.641177639074414</v>
      </c>
      <c r="W118" s="397">
        <f t="shared" si="34"/>
        <v>39.188637773424269</v>
      </c>
      <c r="X118" s="153">
        <f t="shared" si="35"/>
        <v>47587</v>
      </c>
      <c r="Y118" s="380">
        <f t="shared" si="36"/>
        <v>38.042692107289902</v>
      </c>
      <c r="Z118" s="380">
        <f t="shared" si="37"/>
        <v>39.672829936310151</v>
      </c>
      <c r="AA118" s="381">
        <f t="shared" si="38"/>
        <v>41.778345950641558</v>
      </c>
      <c r="AB118" s="193">
        <f t="shared" si="39"/>
        <v>47587</v>
      </c>
      <c r="AC118" s="119">
        <f>IF(OR(t&lt;Tnet,NoTnet),'2029'!Resal_s+('2029'!Salim-'2029'!Resal_s)*(1-EXP(('2029'!Tnet_s-t)/'2029'!Tau_j)),Resal_s+(Salim-Resal_s)*(1-EXP((Tnet_s-t)/Tau_j)))*Salcycl</f>
        <v>5.0397304307330394E-2</v>
      </c>
      <c r="AD118" s="227">
        <f>(INDEX(Models!$BJ118:$BT118,,AH118)*(1-AF118)+INDEX(Models!$BJ118:$BT118,,AH118+1)*AF118-ERP_i)*AE118*Ramure*Pc/MaxiM</f>
        <v>2.5333732705788643E-4</v>
      </c>
      <c r="AE118" s="301">
        <f t="shared" si="40"/>
        <v>0.5</v>
      </c>
      <c r="AF118" s="173">
        <f t="shared" si="41"/>
        <v>3.7028809151766318E-2</v>
      </c>
      <c r="AG118" s="802">
        <f t="shared" si="49"/>
        <v>4</v>
      </c>
      <c r="AH118" s="172">
        <f t="shared" si="42"/>
        <v>10</v>
      </c>
      <c r="AI118" s="221">
        <f t="shared" si="43"/>
        <v>4.0370288091517663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47588</v>
      </c>
      <c r="B119" s="406">
        <f>'2029'!Wh/'2029'!Env_an*'2030'!Env_an</f>
        <v>42.942410297234126</v>
      </c>
      <c r="C119" s="832"/>
      <c r="D119" s="388">
        <f t="shared" si="25"/>
        <v>44.783115185115321</v>
      </c>
      <c r="E119" s="380">
        <f t="shared" si="47"/>
        <v>45.79028423454848</v>
      </c>
      <c r="F119" s="380">
        <f t="shared" si="26"/>
        <v>45.790785727000276</v>
      </c>
      <c r="G119" s="110">
        <f t="shared" si="48"/>
        <v>0.79603835346097851</v>
      </c>
      <c r="H119" s="409" t="b">
        <f>Wh_hp&gt;='2029'!Maxi_hp</f>
        <v>0</v>
      </c>
      <c r="I119" s="385">
        <f>IF(H119,Wh_hp,'2029'!Maxi_hp)</f>
        <v>45.790984512458699</v>
      </c>
      <c r="J119" s="85">
        <f>IF(H119,An,'2029'!An_max)</f>
        <v>2029</v>
      </c>
      <c r="K119" s="193">
        <f t="shared" si="27"/>
        <v>47588</v>
      </c>
      <c r="L119" s="143">
        <f>IF(t&lt;Tvie,1-EXP((T0-t)*PertePVj)+'2029'!Pspv,1-EXP((T0-t)*PertePVj)+Pspv)</f>
        <v>4.1102653986272775E-2</v>
      </c>
      <c r="M119" s="836"/>
      <c r="N119" s="836"/>
      <c r="O119" s="48">
        <f>IF(t&lt;Tnet,'2029'!Resal+('2029'!Salim-'2029'!Resal)*(1-EXP(('2029'!Tnet-t)/('2029'!Tau_j))),Resal+(Salim-Resal)*(1-EXP((Tnet-t)/(Tau_j))))*Salcycl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1.5454891101000326E-5</v>
      </c>
      <c r="Q119" s="301">
        <f t="shared" si="28"/>
        <v>0.5</v>
      </c>
      <c r="R119" s="173">
        <f t="shared" si="29"/>
        <v>0.51371566008732106</v>
      </c>
      <c r="S119" s="802">
        <f t="shared" si="30"/>
        <v>0</v>
      </c>
      <c r="T119" s="172">
        <f t="shared" si="31"/>
        <v>6</v>
      </c>
      <c r="U119" s="247">
        <f t="shared" si="32"/>
        <v>0.51371566008732106</v>
      </c>
      <c r="V119" s="378">
        <f t="shared" si="33"/>
        <v>53.944909482935891</v>
      </c>
      <c r="W119" s="397">
        <f t="shared" si="34"/>
        <v>42.942410297234126</v>
      </c>
      <c r="X119" s="153">
        <f t="shared" si="35"/>
        <v>47588</v>
      </c>
      <c r="Y119" s="380">
        <f t="shared" si="36"/>
        <v>41.686805870428763</v>
      </c>
      <c r="Z119" s="380">
        <f t="shared" si="37"/>
        <v>43.473689904061942</v>
      </c>
      <c r="AA119" s="381">
        <f t="shared" si="38"/>
        <v>45.782961565590675</v>
      </c>
      <c r="AB119" s="193">
        <f t="shared" si="39"/>
        <v>47588</v>
      </c>
      <c r="AC119" s="119">
        <f>IF(OR(t&lt;Tnet,NoTnet),'2029'!Resal_s+('2029'!Salim-'2029'!Resal_s)*(1-EXP(('2029'!Tnet_s-t)/'2029'!Tau_j)),Resal_s+(Salim-Resal_s)*(1-EXP((Tnet_s-t)/Tau_j)))*Salcycl</f>
        <v>5.0439543064953761E-2</v>
      </c>
      <c r="AD119" s="227">
        <f>(INDEX(Models!$BJ119:$BT119,,AH119)*(1-AF119)+INDEX(Models!$BJ119:$BT119,,AH119+1)*AF119-ERP_i)*AE119*Ramure*Pc/MaxiM</f>
        <v>2.4112339499587421E-4</v>
      </c>
      <c r="AE119" s="301">
        <f t="shared" si="40"/>
        <v>0.5</v>
      </c>
      <c r="AF119" s="173">
        <f t="shared" si="41"/>
        <v>3.8703226461298534E-2</v>
      </c>
      <c r="AG119" s="802">
        <f t="shared" si="49"/>
        <v>4</v>
      </c>
      <c r="AH119" s="172">
        <f t="shared" si="42"/>
        <v>10</v>
      </c>
      <c r="AI119" s="221">
        <f t="shared" si="43"/>
        <v>4.0387032264612985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47589</v>
      </c>
      <c r="B120" s="406">
        <f>'2029'!Wh/'2029'!Env_an*'2030'!Env_an</f>
        <v>39.073441378867102</v>
      </c>
      <c r="C120" s="832"/>
      <c r="D120" s="388">
        <f t="shared" si="25"/>
        <v>40.748862671510643</v>
      </c>
      <c r="E120" s="380">
        <f t="shared" si="47"/>
        <v>41.667862511964522</v>
      </c>
      <c r="F120" s="380">
        <f t="shared" si="26"/>
        <v>41.668229280850916</v>
      </c>
      <c r="G120" s="110">
        <f t="shared" si="48"/>
        <v>0.72037891569466994</v>
      </c>
      <c r="H120" s="409" t="b">
        <f>Wh_hp&gt;='2029'!Maxi_hp</f>
        <v>0</v>
      </c>
      <c r="I120" s="385">
        <f>IF(H120,Wh_hp,'2029'!Maxi_hp)</f>
        <v>41.668463684708897</v>
      </c>
      <c r="J120" s="85">
        <f>IF(H120,An,'2029'!An_max)</f>
        <v>2029</v>
      </c>
      <c r="K120" s="193">
        <f t="shared" si="27"/>
        <v>47589</v>
      </c>
      <c r="L120" s="143">
        <f>IF(t&lt;Tvie,1-EXP((T0-t)*PertePVj)+'2029'!Pspv,1-EXP((T0-t)*PertePVj)+Pspv)</f>
        <v>4.111578048569442E-2</v>
      </c>
      <c r="M120" s="836"/>
      <c r="N120" s="836"/>
      <c r="O120" s="48">
        <f>IF(t&lt;Tnet,'2029'!Resal+('2029'!Salim-'2029'!Resal)*(1-EXP(('2029'!Tnet-t)/('2029'!Tau_j))),Resal+(Salim-Resal)*(1-EXP((Tnet-t)/(Tau_j))))*Salcycl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1.4656834991121598E-5</v>
      </c>
      <c r="Q120" s="301">
        <f t="shared" si="28"/>
        <v>0.5</v>
      </c>
      <c r="R120" s="173">
        <f t="shared" si="29"/>
        <v>0.51544731806096344</v>
      </c>
      <c r="S120" s="802">
        <f t="shared" si="30"/>
        <v>0</v>
      </c>
      <c r="T120" s="172">
        <f t="shared" si="31"/>
        <v>6</v>
      </c>
      <c r="U120" s="247">
        <f t="shared" si="32"/>
        <v>0.51544731806096344</v>
      </c>
      <c r="V120" s="378">
        <f t="shared" si="33"/>
        <v>54.239805971327705</v>
      </c>
      <c r="W120" s="397">
        <f t="shared" si="34"/>
        <v>39.073441378867102</v>
      </c>
      <c r="X120" s="153">
        <f t="shared" si="35"/>
        <v>47589</v>
      </c>
      <c r="Y120" s="380">
        <f t="shared" si="36"/>
        <v>37.932801552244435</v>
      </c>
      <c r="Z120" s="380">
        <f t="shared" si="37"/>
        <v>39.559313606660638</v>
      </c>
      <c r="AA120" s="381">
        <f t="shared" si="38"/>
        <v>41.662540531013853</v>
      </c>
      <c r="AB120" s="193">
        <f t="shared" si="39"/>
        <v>47589</v>
      </c>
      <c r="AC120" s="119">
        <f>IF(OR(t&lt;Tnet,NoTnet),'2029'!Resal_s+('2029'!Salim-'2029'!Resal_s)*(1-EXP(('2029'!Tnet_s-t)/'2029'!Tau_j)),Resal_s+(Salim-Resal_s)*(1-EXP((Tnet_s-t)/Tau_j)))*Salcycl</f>
        <v>5.0482445322496947E-2</v>
      </c>
      <c r="AD120" s="227">
        <f>(INDEX(Models!$BJ120:$BT120,,AH120)*(1-AF120)+INDEX(Models!$BJ120:$BT120,,AH120+1)*AF120-ERP_i)*AE120*Ramure*Pc/MaxiM</f>
        <v>2.2733408083518397E-4</v>
      </c>
      <c r="AE120" s="301">
        <f t="shared" si="40"/>
        <v>0.5</v>
      </c>
      <c r="AF120" s="173">
        <f t="shared" si="41"/>
        <v>4.0434884434940699E-2</v>
      </c>
      <c r="AG120" s="802">
        <f t="shared" si="49"/>
        <v>4</v>
      </c>
      <c r="AH120" s="172">
        <f t="shared" si="42"/>
        <v>10</v>
      </c>
      <c r="AI120" s="221">
        <f t="shared" si="43"/>
        <v>4.0404348844349407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47590</v>
      </c>
      <c r="B121" s="406">
        <f>'2029'!Wh/'2029'!Env_an*'2030'!Env_an</f>
        <v>54.115365793866175</v>
      </c>
      <c r="C121" s="832"/>
      <c r="D121" s="388">
        <f t="shared" si="25"/>
        <v>56.436538944536778</v>
      </c>
      <c r="E121" s="380">
        <f t="shared" si="47"/>
        <v>57.712903205409972</v>
      </c>
      <c r="F121" s="380">
        <f t="shared" si="26"/>
        <v>57.713695145296256</v>
      </c>
      <c r="G121" s="110">
        <f t="shared" si="48"/>
        <v>0.99247095445500444</v>
      </c>
      <c r="H121" s="409" t="b">
        <f>Wh_hp&gt;='2029'!Maxi_hp</f>
        <v>0</v>
      </c>
      <c r="I121" s="385">
        <f>IF(H121,Wh_hp,'2029'!Maxi_hp)</f>
        <v>57.713703390054775</v>
      </c>
      <c r="J121" s="85">
        <f>IF(H121,An,'2029'!An_max)</f>
        <v>2029</v>
      </c>
      <c r="K121" s="193">
        <f t="shared" si="27"/>
        <v>47590</v>
      </c>
      <c r="L121" s="143">
        <f>IF(t&lt;Tvie,1-EXP((T0-t)*PertePVj)+'2029'!Pspv,1-EXP((T0-t)*PertePVj)+Pspv)</f>
        <v>4.1128906805425247E-2</v>
      </c>
      <c r="M121" s="836"/>
      <c r="N121" s="836"/>
      <c r="O121" s="48">
        <f>IF(t&lt;Tnet,'2029'!Resal+('2029'!Salim-'2029'!Resal)*(1-EXP(('2029'!Tnet-t)/('2029'!Tau_j))),Resal+(Salim-Resal)*(1-EXP((Tnet-t)/(Tau_j))))*Salcycl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1.3871062264797418E-5</v>
      </c>
      <c r="Q121" s="301">
        <f t="shared" si="28"/>
        <v>0.5</v>
      </c>
      <c r="R121" s="173">
        <f t="shared" si="29"/>
        <v>0.51723766459564025</v>
      </c>
      <c r="S121" s="802">
        <f t="shared" si="30"/>
        <v>0</v>
      </c>
      <c r="T121" s="172">
        <f t="shared" si="31"/>
        <v>6</v>
      </c>
      <c r="U121" s="247">
        <f t="shared" si="32"/>
        <v>0.51723766459564025</v>
      </c>
      <c r="V121" s="378">
        <f t="shared" si="33"/>
        <v>54.525885596257119</v>
      </c>
      <c r="W121" s="397">
        <f t="shared" si="34"/>
        <v>54.115365793866175</v>
      </c>
      <c r="X121" s="153">
        <f t="shared" si="35"/>
        <v>47590</v>
      </c>
      <c r="Y121" s="380">
        <f t="shared" si="36"/>
        <v>52.532866745863053</v>
      </c>
      <c r="Z121" s="380">
        <f t="shared" si="37"/>
        <v>54.786161683990876</v>
      </c>
      <c r="AA121" s="381">
        <f t="shared" si="38"/>
        <v>57.701593590177509</v>
      </c>
      <c r="AB121" s="193">
        <f t="shared" si="39"/>
        <v>47590</v>
      </c>
      <c r="AC121" s="119">
        <f>IF(OR(t&lt;Tnet,NoTnet),'2029'!Resal_s+('2029'!Salim-'2029'!Resal_s)*(1-EXP(('2029'!Tnet_s-t)/'2029'!Tau_j)),Resal_s+(Salim-Resal_s)*(1-EXP((Tnet_s-t)/Tau_j)))*Salcycl</f>
        <v>5.0526020596473188E-2</v>
      </c>
      <c r="AD121" s="227">
        <f>(INDEX(Models!$BJ121:$BT121,,AH121)*(1-AF121)+INDEX(Models!$BJ121:$BT121,,AH121+1)*AF121-ERP_i)*AE121*Ramure*Pc/MaxiM</f>
        <v>2.119623313075996E-4</v>
      </c>
      <c r="AE121" s="301">
        <f t="shared" si="40"/>
        <v>0.5</v>
      </c>
      <c r="AF121" s="173">
        <f t="shared" si="41"/>
        <v>4.2225230969616945E-2</v>
      </c>
      <c r="AG121" s="802">
        <f t="shared" si="49"/>
        <v>4</v>
      </c>
      <c r="AH121" s="172">
        <f t="shared" si="42"/>
        <v>10</v>
      </c>
      <c r="AI121" s="221">
        <f t="shared" si="43"/>
        <v>4.0422252309696169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47591</v>
      </c>
      <c r="B122" s="406">
        <f>'2029'!Wh/'2029'!Env_an*'2030'!Env_an</f>
        <v>34.523226816841635</v>
      </c>
      <c r="C122" s="832"/>
      <c r="D122" s="388">
        <f t="shared" si="25"/>
        <v>36.004526220803911</v>
      </c>
      <c r="E122" s="380">
        <f t="shared" si="47"/>
        <v>36.821086422857945</v>
      </c>
      <c r="F122" s="380">
        <f t="shared" si="26"/>
        <v>36.821313824412918</v>
      </c>
      <c r="G122" s="110">
        <f t="shared" si="48"/>
        <v>0.62994120288466038</v>
      </c>
      <c r="H122" s="409" t="b">
        <f>Wh_hp&gt;='2029'!Maxi_hp</f>
        <v>0</v>
      </c>
      <c r="I122" s="385">
        <f>IF(H122,Wh_hp,'2029'!Maxi_hp)</f>
        <v>36.821557169334042</v>
      </c>
      <c r="J122" s="85">
        <f>IF(H122,An,'2029'!An_max)</f>
        <v>2029</v>
      </c>
      <c r="K122" s="193">
        <f t="shared" si="27"/>
        <v>47591</v>
      </c>
      <c r="L122" s="143">
        <f>IF(t&lt;Tvie,1-EXP((T0-t)*PertePVj)+'2029'!Pspv,1-EXP((T0-t)*PertePVj)+Pspv)</f>
        <v>4.114203294546781E-2</v>
      </c>
      <c r="M122" s="836"/>
      <c r="N122" s="836"/>
      <c r="O122" s="48">
        <f>IF(t&lt;Tnet,'2029'!Resal+('2029'!Salim-'2029'!Resal)*(1-EXP(('2029'!Tnet-t)/('2029'!Tau_j))),Resal+(Salim-Resal)*(1-EXP((Tnet-t)/(Tau_j))))*Salcycl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1.3102371006941658E-5</v>
      </c>
      <c r="Q122" s="301">
        <f t="shared" si="28"/>
        <v>0.5</v>
      </c>
      <c r="R122" s="173">
        <f t="shared" si="29"/>
        <v>0.51908814491836308</v>
      </c>
      <c r="S122" s="802">
        <f t="shared" si="30"/>
        <v>0</v>
      </c>
      <c r="T122" s="172">
        <f t="shared" si="31"/>
        <v>6</v>
      </c>
      <c r="U122" s="247">
        <f t="shared" si="32"/>
        <v>0.51908814491836308</v>
      </c>
      <c r="V122" s="378">
        <f t="shared" si="33"/>
        <v>54.803507899067668</v>
      </c>
      <c r="W122" s="397">
        <f t="shared" si="34"/>
        <v>34.523226816841635</v>
      </c>
      <c r="X122" s="153">
        <f t="shared" si="35"/>
        <v>47591</v>
      </c>
      <c r="Y122" s="380">
        <f t="shared" si="36"/>
        <v>33.517861049991502</v>
      </c>
      <c r="Z122" s="380">
        <f t="shared" si="37"/>
        <v>34.95602289560501</v>
      </c>
      <c r="AA122" s="381">
        <f t="shared" si="38"/>
        <v>36.817915079229472</v>
      </c>
      <c r="AB122" s="193">
        <f t="shared" si="39"/>
        <v>47591</v>
      </c>
      <c r="AC122" s="119">
        <f>IF(OR(t&lt;Tnet,NoTnet),'2029'!Resal_s+('2029'!Salim-'2029'!Resal_s)*(1-EXP(('2029'!Tnet_s-t)/'2029'!Tau_j)),Resal_s+(Salim-Resal_s)*(1-EXP((Tnet_s-t)/Tau_j)))*Salcycl</f>
        <v>5.0570277529778829E-2</v>
      </c>
      <c r="AD122" s="227">
        <f>(INDEX(Models!$BJ122:$BT122,,AH122)*(1-AF122)+INDEX(Models!$BJ122:$BT122,,AH122+1)*AF122-ERP_i)*AE122*Ramure*Pc/MaxiM</f>
        <v>1.9582812596181354E-4</v>
      </c>
      <c r="AE122" s="301">
        <f t="shared" si="40"/>
        <v>0.5</v>
      </c>
      <c r="AF122" s="173">
        <f t="shared" si="41"/>
        <v>4.4075711292340003E-2</v>
      </c>
      <c r="AG122" s="802">
        <f t="shared" si="49"/>
        <v>4</v>
      </c>
      <c r="AH122" s="172">
        <f t="shared" si="42"/>
        <v>10</v>
      </c>
      <c r="AI122" s="221">
        <f t="shared" si="43"/>
        <v>4.04407571129234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47592</v>
      </c>
      <c r="B123" s="406">
        <f>'2029'!Wh/'2029'!Env_an*'2030'!Env_an</f>
        <v>11.358499769193969</v>
      </c>
      <c r="C123" s="832"/>
      <c r="D123" s="388">
        <f t="shared" si="25"/>
        <v>11.846024802336466</v>
      </c>
      <c r="E123" s="380">
        <f t="shared" si="47"/>
        <v>12.1154406833185</v>
      </c>
      <c r="F123" s="380">
        <f t="shared" si="26"/>
        <v>12.1154406833185</v>
      </c>
      <c r="G123" s="110">
        <f t="shared" si="48"/>
        <v>0.20624234080045703</v>
      </c>
      <c r="H123" s="409" t="b">
        <f>Wh_hp&gt;='2029'!Maxi_hp</f>
        <v>0</v>
      </c>
      <c r="I123" s="385">
        <f>IF(H123,Wh_hp,'2029'!Maxi_hp)</f>
        <v>12.115583479446171</v>
      </c>
      <c r="J123" s="85">
        <f>IF(H123,An,'2029'!An_max)</f>
        <v>2029</v>
      </c>
      <c r="K123" s="193">
        <f t="shared" si="27"/>
        <v>47592</v>
      </c>
      <c r="L123" s="143">
        <f>IF(t&lt;Tvie,1-EXP((T0-t)*PertePVj)+'2029'!Pspv,1-EXP((T0-t)*PertePVj)+Pspv)</f>
        <v>4.1155158905824551E-2</v>
      </c>
      <c r="M123" s="836"/>
      <c r="N123" s="836"/>
      <c r="O123" s="48">
        <f>IF(t&lt;Tnet,'2029'!Resal+('2029'!Salim-'2029'!Resal)*(1-EXP(('2029'!Tnet-t)/('2029'!Tau_j))),Resal+(Salim-Resal)*(1-EXP((Tnet-t)/(Tau_j))))*Salcycl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1.2398536701768855E-5</v>
      </c>
      <c r="Q123" s="301">
        <f t="shared" si="28"/>
        <v>0.5</v>
      </c>
      <c r="R123" s="173">
        <f t="shared" si="29"/>
        <v>0.52100019800300001</v>
      </c>
      <c r="S123" s="802">
        <f t="shared" si="30"/>
        <v>0</v>
      </c>
      <c r="T123" s="172">
        <f t="shared" si="31"/>
        <v>6</v>
      </c>
      <c r="U123" s="247">
        <f t="shared" si="32"/>
        <v>0.52100019800300001</v>
      </c>
      <c r="V123" s="378">
        <f t="shared" si="33"/>
        <v>55.072876385781086</v>
      </c>
      <c r="W123" s="397">
        <f t="shared" si="34"/>
        <v>11.358499769193969</v>
      </c>
      <c r="X123" s="153">
        <f t="shared" si="35"/>
        <v>47592</v>
      </c>
      <c r="Y123" s="380">
        <f t="shared" si="36"/>
        <v>11.028839457400002</v>
      </c>
      <c r="Z123" s="380">
        <f t="shared" si="37"/>
        <v>11.502214941068631</v>
      </c>
      <c r="AA123" s="381">
        <f t="shared" si="38"/>
        <v>12.1154406833185</v>
      </c>
      <c r="AB123" s="193">
        <f t="shared" si="39"/>
        <v>47592</v>
      </c>
      <c r="AC123" s="119">
        <f>IF(OR(t&lt;Tnet,NoTnet),'2029'!Resal_s+('2029'!Salim-'2029'!Resal_s)*(1-EXP(('2029'!Tnet_s-t)/'2029'!Tau_j)),Resal_s+(Salim-Resal_s)*(1-EXP((Tnet_s-t)/Tau_j)))*Salcycl</f>
        <v>5.0615223851841015E-2</v>
      </c>
      <c r="AD123" s="227">
        <f>(INDEX(Models!$BJ123:$BT123,,AH123)*(1-AF123)+INDEX(Models!$BJ123:$BT123,,AH123+1)*AF123-ERP_i)*AE123*Ramure*Pc/MaxiM</f>
        <v>1.8077448016090672E-4</v>
      </c>
      <c r="AE123" s="301">
        <f t="shared" si="40"/>
        <v>0.5</v>
      </c>
      <c r="AF123" s="173">
        <f t="shared" si="41"/>
        <v>4.5987764376977047E-2</v>
      </c>
      <c r="AG123" s="802">
        <f t="shared" si="49"/>
        <v>4</v>
      </c>
      <c r="AH123" s="172">
        <f t="shared" si="42"/>
        <v>10</v>
      </c>
      <c r="AI123" s="221">
        <f t="shared" si="43"/>
        <v>4.045987764376977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47593</v>
      </c>
      <c r="B124" s="406">
        <f>'2029'!Wh/'2029'!Env_an*'2030'!Env_an</f>
        <v>11.382301284240793</v>
      </c>
      <c r="C124" s="832"/>
      <c r="D124" s="388">
        <f t="shared" si="25"/>
        <v>11.871010420758981</v>
      </c>
      <c r="E124" s="380">
        <f t="shared" si="47"/>
        <v>12.141755361710752</v>
      </c>
      <c r="F124" s="380">
        <f t="shared" si="26"/>
        <v>12.141755361710752</v>
      </c>
      <c r="G124" s="110">
        <f t="shared" si="48"/>
        <v>0.20569861001629899</v>
      </c>
      <c r="H124" s="409" t="b">
        <f>Wh_hp&gt;='2029'!Maxi_hp</f>
        <v>0</v>
      </c>
      <c r="I124" s="385">
        <f>IF(H124,Wh_hp,'2029'!Maxi_hp)</f>
        <v>12.141890573672137</v>
      </c>
      <c r="J124" s="85">
        <f>IF(H124,An,'2029'!An_max)</f>
        <v>2029</v>
      </c>
      <c r="K124" s="193">
        <f t="shared" si="27"/>
        <v>47593</v>
      </c>
      <c r="L124" s="143">
        <f>IF(t&lt;Tvie,1-EXP((T0-t)*PertePVj)+'2029'!Pspv,1-EXP((T0-t)*PertePVj)+Pspv)</f>
        <v>4.1168284686497914E-2</v>
      </c>
      <c r="M124" s="836"/>
      <c r="N124" s="836"/>
      <c r="O124" s="48">
        <f>IF(t&lt;Tnet,'2029'!Resal+('2029'!Salim-'2029'!Resal)*(1-EXP(('2029'!Tnet-t)/('2029'!Tau_j))),Resal+(Salim-Resal)*(1-EXP((Tnet-t)/(Tau_j))))*Salcycl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1.1759117291975242E-5</v>
      </c>
      <c r="Q124" s="301">
        <f t="shared" si="28"/>
        <v>0.5</v>
      </c>
      <c r="R124" s="173">
        <f t="shared" si="29"/>
        <v>0.52297525273166923</v>
      </c>
      <c r="S124" s="802">
        <f t="shared" si="30"/>
        <v>0</v>
      </c>
      <c r="T124" s="172">
        <f t="shared" si="31"/>
        <v>6</v>
      </c>
      <c r="U124" s="247">
        <f t="shared" si="32"/>
        <v>0.52297525273166923</v>
      </c>
      <c r="V124" s="378">
        <f t="shared" si="33"/>
        <v>55.334197141745605</v>
      </c>
      <c r="W124" s="397">
        <f t="shared" si="34"/>
        <v>11.382301284240793</v>
      </c>
      <c r="X124" s="153">
        <f t="shared" si="35"/>
        <v>47593</v>
      </c>
      <c r="Y124" s="380">
        <f t="shared" si="36"/>
        <v>11.052111374475608</v>
      </c>
      <c r="Z124" s="380">
        <f t="shared" si="37"/>
        <v>11.526643516231607</v>
      </c>
      <c r="AA124" s="381">
        <f t="shared" si="38"/>
        <v>12.141755361710752</v>
      </c>
      <c r="AB124" s="193">
        <f t="shared" si="39"/>
        <v>47593</v>
      </c>
      <c r="AC124" s="119">
        <f>IF(OR(t&lt;Tnet,NoTnet),'2029'!Resal_s+('2029'!Salim-'2029'!Resal_s)*(1-EXP(('2029'!Tnet_s-t)/'2029'!Tau_j)),Resal_s+(Salim-Resal_s)*(1-EXP((Tnet_s-t)/Tau_j)))*Salcycl</f>
        <v>5.0660866337244079E-2</v>
      </c>
      <c r="AD124" s="227">
        <f>(INDEX(Models!$BJ124:$BT124,,AH124)*(1-AF124)+INDEX(Models!$BJ124:$BT124,,AH124+1)*AF124-ERP_i)*AE124*Ramure*Pc/MaxiM</f>
        <v>1.6678314640238576E-4</v>
      </c>
      <c r="AE124" s="301">
        <f t="shared" si="40"/>
        <v>0.5</v>
      </c>
      <c r="AF124" s="173">
        <f t="shared" si="41"/>
        <v>4.7962819105646481E-2</v>
      </c>
      <c r="AG124" s="802">
        <f t="shared" si="49"/>
        <v>4</v>
      </c>
      <c r="AH124" s="172">
        <f t="shared" si="42"/>
        <v>10</v>
      </c>
      <c r="AI124" s="221">
        <f t="shared" si="43"/>
        <v>4.0479628191056465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47594</v>
      </c>
      <c r="B125" s="406">
        <f>'2029'!Wh/'2029'!Env_an*'2030'!Env_an</f>
        <v>10.924914459037284</v>
      </c>
      <c r="C125" s="832"/>
      <c r="D125" s="388">
        <f t="shared" si="25"/>
        <v>11.394141265359686</v>
      </c>
      <c r="E125" s="380">
        <f t="shared" si="47"/>
        <v>11.654744073927674</v>
      </c>
      <c r="F125" s="380">
        <f t="shared" si="26"/>
        <v>11.654744073927674</v>
      </c>
      <c r="G125" s="110">
        <f t="shared" si="48"/>
        <v>0.19653263131080367</v>
      </c>
      <c r="H125" s="409" t="b">
        <f>Wh_hp&gt;='2029'!Maxi_hp</f>
        <v>0</v>
      </c>
      <c r="I125" s="385">
        <f>IF(H125,Wh_hp,'2029'!Maxi_hp)</f>
        <v>11.654867031641119</v>
      </c>
      <c r="J125" s="85">
        <f>IF(H125,An,'2029'!An_max)</f>
        <v>2029</v>
      </c>
      <c r="K125" s="193">
        <f t="shared" si="27"/>
        <v>47594</v>
      </c>
      <c r="L125" s="143">
        <f>IF(t&lt;Tvie,1-EXP((T0-t)*PertePVj)+'2029'!Pspv,1-EXP((T0-t)*PertePVj)+Pspv)</f>
        <v>4.1181410287490339E-2</v>
      </c>
      <c r="M125" s="836"/>
      <c r="N125" s="836"/>
      <c r="O125" s="48">
        <f>IF(t&lt;Tnet,'2029'!Resal+('2029'!Salim-'2029'!Resal)*(1-EXP(('2029'!Tnet-t)/('2029'!Tau_j))),Resal+(Salim-Resal)*(1-EXP((Tnet-t)/(Tau_j))))*Salcycl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1.1183869017273443E-5</v>
      </c>
      <c r="Q125" s="301">
        <f t="shared" si="28"/>
        <v>0.5</v>
      </c>
      <c r="R125" s="173">
        <f t="shared" si="29"/>
        <v>0.52501472379714231</v>
      </c>
      <c r="S125" s="802">
        <f t="shared" si="30"/>
        <v>0</v>
      </c>
      <c r="T125" s="172">
        <f t="shared" si="31"/>
        <v>6</v>
      </c>
      <c r="U125" s="247">
        <f t="shared" si="32"/>
        <v>0.52501472379714231</v>
      </c>
      <c r="V125" s="378">
        <f t="shared" si="33"/>
        <v>55.587676221299326</v>
      </c>
      <c r="W125" s="397">
        <f t="shared" si="34"/>
        <v>10.924914459037284</v>
      </c>
      <c r="X125" s="153">
        <f t="shared" si="35"/>
        <v>47594</v>
      </c>
      <c r="Y125" s="380">
        <f t="shared" si="36"/>
        <v>10.608143084182537</v>
      </c>
      <c r="Z125" s="380">
        <f t="shared" si="37"/>
        <v>11.063764509784132</v>
      </c>
      <c r="AA125" s="381">
        <f t="shared" si="38"/>
        <v>11.654744073927674</v>
      </c>
      <c r="AB125" s="193">
        <f t="shared" si="39"/>
        <v>47594</v>
      </c>
      <c r="AC125" s="119">
        <f>IF(OR(t&lt;Tnet,NoTnet),'2029'!Resal_s+('2029'!Salim-'2029'!Resal_s)*(1-EXP(('2029'!Tnet_s-t)/'2029'!Tau_j)),Resal_s+(Salim-Resal_s)*(1-EXP((Tnet_s-t)/Tau_j)))*Salcycl</f>
        <v>5.0707210762833972E-2</v>
      </c>
      <c r="AD125" s="227">
        <f>(INDEX(Models!$BJ125:$BT125,,AH125)*(1-AF125)+INDEX(Models!$BJ125:$BT125,,AH125+1)*AF125-ERP_i)*AE125*Ramure*Pc/MaxiM</f>
        <v>1.5383858020530432E-4</v>
      </c>
      <c r="AE125" s="301">
        <f t="shared" si="40"/>
        <v>0.5</v>
      </c>
      <c r="AF125" s="173">
        <f t="shared" si="41"/>
        <v>5.0002290171119235E-2</v>
      </c>
      <c r="AG125" s="802">
        <f t="shared" si="49"/>
        <v>4</v>
      </c>
      <c r="AH125" s="172">
        <f t="shared" si="42"/>
        <v>10</v>
      </c>
      <c r="AI125" s="221">
        <f t="shared" si="43"/>
        <v>4.0500022901711192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47595</v>
      </c>
      <c r="B126" s="406">
        <f>'2029'!Wh/'2029'!Env_an*'2030'!Env_an</f>
        <v>29.059253636693295</v>
      </c>
      <c r="C126" s="832"/>
      <c r="D126" s="388">
        <f t="shared" si="25"/>
        <v>30.307768070737449</v>
      </c>
      <c r="E126" s="380">
        <f t="shared" si="47"/>
        <v>31.002918890744315</v>
      </c>
      <c r="F126" s="380">
        <f t="shared" si="26"/>
        <v>31.003023102227505</v>
      </c>
      <c r="G126" s="110">
        <f t="shared" si="48"/>
        <v>0.52045870214103873</v>
      </c>
      <c r="H126" s="409" t="b">
        <f>Wh_hp&gt;='2029'!Maxi_hp</f>
        <v>0</v>
      </c>
      <c r="I126" s="385">
        <f>IF(H126,Wh_hp,'2029'!Maxi_hp)</f>
        <v>31.003236070890104</v>
      </c>
      <c r="J126" s="85">
        <f>IF(H126,An,'2029'!An_max)</f>
        <v>2029</v>
      </c>
      <c r="K126" s="193">
        <f t="shared" si="27"/>
        <v>47595</v>
      </c>
      <c r="L126" s="143">
        <f>IF(t&lt;Tvie,1-EXP((T0-t)*PertePVj)+'2029'!Pspv,1-EXP((T0-t)*PertePVj)+Pspv)</f>
        <v>4.1194535708804381E-2</v>
      </c>
      <c r="M126" s="836"/>
      <c r="N126" s="836"/>
      <c r="O126" s="48">
        <f>IF(t&lt;Tnet,'2029'!Resal+('2029'!Salim-'2029'!Resal)*(1-EXP(('2029'!Tnet-t)/('2029'!Tau_j))),Resal+(Salim-Resal)*(1-EXP((Tnet-t)/(Tau_j))))*Salcycl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1.0672712989645694E-5</v>
      </c>
      <c r="Q126" s="301">
        <f t="shared" si="28"/>
        <v>0.5</v>
      </c>
      <c r="R126" s="173">
        <f t="shared" si="29"/>
        <v>0.52712000734402475</v>
      </c>
      <c r="S126" s="802">
        <f t="shared" si="30"/>
        <v>0</v>
      </c>
      <c r="T126" s="172">
        <f t="shared" si="31"/>
        <v>6</v>
      </c>
      <c r="U126" s="247">
        <f t="shared" si="32"/>
        <v>0.52712000734402475</v>
      </c>
      <c r="V126" s="378">
        <f t="shared" si="33"/>
        <v>55.833519649475512</v>
      </c>
      <c r="W126" s="397">
        <f t="shared" si="34"/>
        <v>29.059253636693295</v>
      </c>
      <c r="X126" s="153">
        <f t="shared" si="35"/>
        <v>47595</v>
      </c>
      <c r="Y126" s="380">
        <f t="shared" si="36"/>
        <v>28.215892180174048</v>
      </c>
      <c r="Z126" s="380">
        <f t="shared" si="37"/>
        <v>29.428172065156996</v>
      </c>
      <c r="AA126" s="381">
        <f t="shared" si="38"/>
        <v>31.001637281958089</v>
      </c>
      <c r="AB126" s="193">
        <f t="shared" si="39"/>
        <v>47595</v>
      </c>
      <c r="AC126" s="119">
        <f>IF(OR(t&lt;Tnet,NoTnet),'2029'!Resal_s+('2029'!Salim-'2029'!Resal_s)*(1-EXP(('2029'!Tnet_s-t)/'2029'!Tau_j)),Resal_s+(Salim-Resal_s)*(1-EXP((Tnet_s-t)/Tau_j)))*Salcycl</f>
        <v>5.0754261863349921E-2</v>
      </c>
      <c r="AD126" s="227">
        <f>(INDEX(Models!$BJ126:$BT126,,AH126)*(1-AF126)+INDEX(Models!$BJ126:$BT126,,AH126+1)*AF126-ERP_i)*AE126*Ramure*Pc/MaxiM</f>
        <v>1.4192737246968129E-4</v>
      </c>
      <c r="AE126" s="301">
        <f t="shared" si="40"/>
        <v>0.5</v>
      </c>
      <c r="AF126" s="173">
        <f t="shared" si="41"/>
        <v>5.2107573718001454E-2</v>
      </c>
      <c r="AG126" s="802">
        <f t="shared" si="49"/>
        <v>4</v>
      </c>
      <c r="AH126" s="172">
        <f t="shared" si="42"/>
        <v>10</v>
      </c>
      <c r="AI126" s="221">
        <f t="shared" si="43"/>
        <v>4.0521075737180015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47596</v>
      </c>
      <c r="B127" s="406">
        <f>'2029'!Wh/'2029'!Env_an*'2030'!Env_an</f>
        <v>9.5403138111604147</v>
      </c>
      <c r="C127" s="832"/>
      <c r="D127" s="388">
        <f t="shared" si="25"/>
        <v>9.9503442222094129</v>
      </c>
      <c r="E127" s="380">
        <f t="shared" si="47"/>
        <v>10.17921670448694</v>
      </c>
      <c r="F127" s="380">
        <f t="shared" si="26"/>
        <v>10.17921670448694</v>
      </c>
      <c r="G127" s="110">
        <f t="shared" si="48"/>
        <v>0.17014245227388627</v>
      </c>
      <c r="H127" s="409" t="b">
        <f>Wh_hp&gt;='2029'!Maxi_hp</f>
        <v>0</v>
      </c>
      <c r="I127" s="385">
        <f>IF(H127,Wh_hp,'2029'!Maxi_hp)</f>
        <v>10.179314095727591</v>
      </c>
      <c r="J127" s="85">
        <f>IF(H127,An,'2029'!An_max)</f>
        <v>2029</v>
      </c>
      <c r="K127" s="193">
        <f t="shared" si="27"/>
        <v>47596</v>
      </c>
      <c r="L127" s="143">
        <f>IF(t&lt;Tvie,1-EXP((T0-t)*PertePVj)+'2029'!Pspv,1-EXP((T0-t)*PertePVj)+Pspv)</f>
        <v>4.1207660950442371E-2</v>
      </c>
      <c r="M127" s="836"/>
      <c r="N127" s="836"/>
      <c r="O127" s="48">
        <f>IF(t&lt;Tnet,'2029'!Resal+('2029'!Salim-'2029'!Resal)*(1-EXP(('2029'!Tnet-t)/('2029'!Tau_j))),Resal+(Salim-Resal)*(1-EXP((Tnet-t)/(Tau_j))))*Salcycl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1.0225709789422957E-5</v>
      </c>
      <c r="Q127" s="301">
        <f t="shared" si="28"/>
        <v>0.5</v>
      </c>
      <c r="R127" s="173">
        <f t="shared" si="29"/>
        <v>0.52929247634805809</v>
      </c>
      <c r="S127" s="802">
        <f t="shared" si="30"/>
        <v>0</v>
      </c>
      <c r="T127" s="172">
        <f t="shared" si="31"/>
        <v>6</v>
      </c>
      <c r="U127" s="247">
        <f t="shared" si="32"/>
        <v>0.52929247634805809</v>
      </c>
      <c r="V127" s="378">
        <f t="shared" si="33"/>
        <v>56.071933413318561</v>
      </c>
      <c r="W127" s="397">
        <f t="shared" si="34"/>
        <v>9.5403138111604147</v>
      </c>
      <c r="X127" s="153">
        <f t="shared" si="35"/>
        <v>47596</v>
      </c>
      <c r="Y127" s="380">
        <f t="shared" si="36"/>
        <v>9.263939693330423</v>
      </c>
      <c r="Z127" s="380">
        <f t="shared" si="37"/>
        <v>9.6620919004355876</v>
      </c>
      <c r="AA127" s="381">
        <f t="shared" si="38"/>
        <v>10.17921670448694</v>
      </c>
      <c r="AB127" s="193">
        <f t="shared" si="39"/>
        <v>47596</v>
      </c>
      <c r="AC127" s="119">
        <f>IF(OR(t&lt;Tnet,NoTnet),'2029'!Resal_s+('2029'!Salim-'2029'!Resal_s)*(1-EXP(('2029'!Tnet_s-t)/'2029'!Tau_j)),Resal_s+(Salim-Resal_s)*(1-EXP((Tnet_s-t)/Tau_j)))*Salcycl</f>
        <v>5.0802023285682361E-2</v>
      </c>
      <c r="AD127" s="227">
        <f>(INDEX(Models!$BJ127:$BT127,,AH127)*(1-AF127)+INDEX(Models!$BJ127:$BT127,,AH127+1)*AF127-ERP_i)*AE127*Ramure*Pc/MaxiM</f>
        <v>1.3103786461757185E-4</v>
      </c>
      <c r="AE127" s="301">
        <f t="shared" si="40"/>
        <v>0.5</v>
      </c>
      <c r="AF127" s="173">
        <f t="shared" si="41"/>
        <v>5.4280042722035127E-2</v>
      </c>
      <c r="AG127" s="802">
        <f t="shared" si="49"/>
        <v>4</v>
      </c>
      <c r="AH127" s="172">
        <f t="shared" si="42"/>
        <v>10</v>
      </c>
      <c r="AI127" s="221">
        <f t="shared" si="43"/>
        <v>4.0542800427220351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47597</v>
      </c>
      <c r="B128" s="406">
        <f>'2029'!Wh/'2029'!Env_an*'2030'!Env_an</f>
        <v>34.207513455032135</v>
      </c>
      <c r="C128" s="832"/>
      <c r="D128" s="388">
        <f t="shared" si="25"/>
        <v>35.678196769370913</v>
      </c>
      <c r="E128" s="380">
        <f t="shared" si="47"/>
        <v>36.501181135588254</v>
      </c>
      <c r="F128" s="380">
        <f t="shared" si="26"/>
        <v>36.501338899076117</v>
      </c>
      <c r="G128" s="110">
        <f t="shared" si="48"/>
        <v>0.60755642819682976</v>
      </c>
      <c r="H128" s="409" t="b">
        <f>Wh_hp&gt;='2029'!Maxi_hp</f>
        <v>0</v>
      </c>
      <c r="I128" s="385">
        <f>IF(H128,Wh_hp,'2029'!Maxi_hp)</f>
        <v>36.501526446022538</v>
      </c>
      <c r="J128" s="85">
        <f>IF(H128,An,'2029'!An_max)</f>
        <v>2029</v>
      </c>
      <c r="K128" s="193">
        <f t="shared" si="27"/>
        <v>47597</v>
      </c>
      <c r="L128" s="143">
        <f>IF(t&lt;Tvie,1-EXP((T0-t)*PertePVj)+'2029'!Pspv,1-EXP((T0-t)*PertePVj)+Pspv)</f>
        <v>4.1220786012406752E-2</v>
      </c>
      <c r="M128" s="836"/>
      <c r="N128" s="836"/>
      <c r="O128" s="48">
        <f>IF(t&lt;Tnet,'2029'!Resal+('2029'!Salim-'2029'!Resal)*(1-EXP(('2029'!Tnet-t)/('2029'!Tau_j))),Resal+(Salim-Resal)*(1-EXP((Tnet-t)/(Tau_j))))*Salcycl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9.8370800194604326E-6</v>
      </c>
      <c r="Q128" s="301">
        <f t="shared" si="28"/>
        <v>0.5</v>
      </c>
      <c r="R128" s="173">
        <f t="shared" si="29"/>
        <v>0.5315334757346396</v>
      </c>
      <c r="S128" s="802">
        <f t="shared" si="30"/>
        <v>0</v>
      </c>
      <c r="T128" s="172">
        <f t="shared" si="31"/>
        <v>6</v>
      </c>
      <c r="U128" s="247">
        <f t="shared" si="32"/>
        <v>0.5315334757346396</v>
      </c>
      <c r="V128" s="378">
        <f t="shared" si="33"/>
        <v>56.303123815136985</v>
      </c>
      <c r="W128" s="397">
        <f t="shared" si="34"/>
        <v>34.207513455032135</v>
      </c>
      <c r="X128" s="153">
        <f t="shared" si="35"/>
        <v>47597</v>
      </c>
      <c r="Y128" s="380">
        <f t="shared" si="36"/>
        <v>33.215356641132004</v>
      </c>
      <c r="Z128" s="380">
        <f t="shared" si="37"/>
        <v>34.643384166609408</v>
      </c>
      <c r="AA128" s="381">
        <f t="shared" si="38"/>
        <v>36.499396646040026</v>
      </c>
      <c r="AB128" s="193">
        <f t="shared" si="39"/>
        <v>47597</v>
      </c>
      <c r="AC128" s="119">
        <f>IF(OR(t&lt;Tnet,NoTnet),'2029'!Resal_s+('2029'!Salim-'2029'!Resal_s)*(1-EXP(('2029'!Tnet_s-t)/'2029'!Tau_j)),Resal_s+(Salim-Resal_s)*(1-EXP((Tnet_s-t)/Tau_j)))*Salcycl</f>
        <v>5.0850497541908853E-2</v>
      </c>
      <c r="AD128" s="227">
        <f>(INDEX(Models!$BJ128:$BT128,,AH128)*(1-AF128)+INDEX(Models!$BJ128:$BT128,,AH128+1)*AF128-ERP_i)*AE128*Ramure*Pc/MaxiM</f>
        <v>1.21105959261837E-4</v>
      </c>
      <c r="AE128" s="301">
        <f t="shared" si="40"/>
        <v>0.5</v>
      </c>
      <c r="AF128" s="173">
        <f t="shared" si="41"/>
        <v>5.6521042108617081E-2</v>
      </c>
      <c r="AG128" s="802">
        <f t="shared" si="49"/>
        <v>4</v>
      </c>
      <c r="AH128" s="172">
        <f t="shared" si="42"/>
        <v>10</v>
      </c>
      <c r="AI128" s="221">
        <f t="shared" si="43"/>
        <v>4.0565210421086171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47598</v>
      </c>
      <c r="B129" s="406">
        <f>'2029'!Wh/'2029'!Env_an*'2030'!Env_an</f>
        <v>45.144255177744434</v>
      </c>
      <c r="C129" s="832"/>
      <c r="D129" s="388">
        <f t="shared" si="25"/>
        <v>47.085786294206649</v>
      </c>
      <c r="E129" s="380">
        <f t="shared" si="47"/>
        <v>48.175003686382183</v>
      </c>
      <c r="F129" s="380">
        <f t="shared" si="26"/>
        <v>48.175327913034025</v>
      </c>
      <c r="G129" s="110">
        <f t="shared" si="48"/>
        <v>0.79862530798014331</v>
      </c>
      <c r="H129" s="409" t="b">
        <f>Wh_hp&gt;='2029'!Maxi_hp</f>
        <v>0</v>
      </c>
      <c r="I129" s="385">
        <f>IF(H129,Wh_hp,'2029'!Maxi_hp)</f>
        <v>48.175449373434041</v>
      </c>
      <c r="J129" s="85">
        <f>IF(H129,An,'2029'!An_max)</f>
        <v>2029</v>
      </c>
      <c r="K129" s="193">
        <f t="shared" si="27"/>
        <v>47598</v>
      </c>
      <c r="L129" s="143">
        <f>IF(t&lt;Tvie,1-EXP((T0-t)*PertePVj)+'2029'!Pspv,1-EXP((T0-t)*PertePVj)+Pspv)</f>
        <v>4.1233910894700188E-2</v>
      </c>
      <c r="M129" s="836"/>
      <c r="N129" s="836"/>
      <c r="O129" s="48">
        <f>IF(t&lt;Tnet,'2029'!Resal+('2029'!Salim-'2029'!Resal)*(1-EXP(('2029'!Tnet-t)/('2029'!Tau_j))),Resal+(Salim-Resal)*(1-EXP((Tnet-t)/(Tau_j))))*Salcycl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9.4481300801255244E-6</v>
      </c>
      <c r="Q129" s="301">
        <f t="shared" si="28"/>
        <v>0.5</v>
      </c>
      <c r="R129" s="173">
        <f t="shared" si="29"/>
        <v>0.53384431723960546</v>
      </c>
      <c r="S129" s="802">
        <f t="shared" si="30"/>
        <v>0</v>
      </c>
      <c r="T129" s="172">
        <f t="shared" si="31"/>
        <v>6</v>
      </c>
      <c r="U129" s="247">
        <f t="shared" si="32"/>
        <v>0.53384431723960546</v>
      </c>
      <c r="V129" s="378">
        <f t="shared" si="33"/>
        <v>56.527300129533195</v>
      </c>
      <c r="W129" s="397">
        <f t="shared" si="34"/>
        <v>45.144255177744434</v>
      </c>
      <c r="X129" s="153">
        <f t="shared" si="35"/>
        <v>47598</v>
      </c>
      <c r="Y129" s="380">
        <f t="shared" si="36"/>
        <v>43.834375429025592</v>
      </c>
      <c r="Z129" s="380">
        <f t="shared" si="37"/>
        <v>45.719572195060529</v>
      </c>
      <c r="AA129" s="381">
        <f t="shared" si="38"/>
        <v>48.171485688916199</v>
      </c>
      <c r="AB129" s="193">
        <f t="shared" si="39"/>
        <v>47598</v>
      </c>
      <c r="AC129" s="119">
        <f>IF(OR(t&lt;Tnet,NoTnet),'2029'!Resal_s+('2029'!Salim-'2029'!Resal_s)*(1-EXP(('2029'!Tnet_s-t)/'2029'!Tau_j)),Resal_s+(Salim-Resal_s)*(1-EXP((Tnet_s-t)/Tau_j)))*Salcycl</f>
        <v>5.0899685961311981E-2</v>
      </c>
      <c r="AD129" s="227">
        <f>(INDEX(Models!$BJ129:$BT129,,AH129)*(1-AF129)+INDEX(Models!$BJ129:$BT129,,AH129+1)*AF129-ERP_i)*AE129*Ramure*Pc/MaxiM</f>
        <v>1.1196437139320906E-4</v>
      </c>
      <c r="AE129" s="301">
        <f t="shared" si="40"/>
        <v>0.5</v>
      </c>
      <c r="AF129" s="173">
        <f t="shared" si="41"/>
        <v>5.8831883613582825E-2</v>
      </c>
      <c r="AG129" s="802">
        <f t="shared" si="49"/>
        <v>4</v>
      </c>
      <c r="AH129" s="172">
        <f t="shared" si="42"/>
        <v>10</v>
      </c>
      <c r="AI129" s="221">
        <f t="shared" si="43"/>
        <v>4.0588318836135828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47599</v>
      </c>
      <c r="B130" s="406">
        <f>'2029'!Wh/'2029'!Env_an*'2030'!Env_an</f>
        <v>56.365839722109676</v>
      </c>
      <c r="C130" s="832"/>
      <c r="D130" s="388">
        <f t="shared" si="25"/>
        <v>58.790785337729702</v>
      </c>
      <c r="E130" s="380">
        <f t="shared" si="47"/>
        <v>60.154655075469542</v>
      </c>
      <c r="F130" s="380">
        <f t="shared" si="26"/>
        <v>60.155194782613627</v>
      </c>
      <c r="G130" s="110">
        <f t="shared" si="48"/>
        <v>0.99332389235051033</v>
      </c>
      <c r="H130" s="409" t="b">
        <f>Wh_hp&gt;='2029'!Maxi_hp</f>
        <v>0</v>
      </c>
      <c r="I130" s="385">
        <f>IF(H130,Wh_hp,'2029'!Maxi_hp)</f>
        <v>60.155199581708509</v>
      </c>
      <c r="J130" s="85">
        <f>IF(H130,An,'2029'!An_max)</f>
        <v>2029</v>
      </c>
      <c r="K130" s="193">
        <f t="shared" si="27"/>
        <v>47599</v>
      </c>
      <c r="L130" s="143">
        <f>IF(t&lt;Tvie,1-EXP((T0-t)*PertePVj)+'2029'!Pspv,1-EXP((T0-t)*PertePVj)+Pspv)</f>
        <v>4.1247035597324899E-2</v>
      </c>
      <c r="M130" s="836"/>
      <c r="N130" s="836"/>
      <c r="O130" s="48">
        <f>IF(t&lt;Tnet,'2029'!Resal+('2029'!Salim-'2029'!Resal)*(1-EXP(('2029'!Tnet-t)/('2029'!Tau_j))),Resal+(Salim-Resal)*(1-EXP((Tnet-t)/(Tau_j))))*Salcycl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9.0583031147106846E-6</v>
      </c>
      <c r="Q130" s="301">
        <f t="shared" si="28"/>
        <v>0.5</v>
      </c>
      <c r="R130" s="173">
        <f t="shared" si="29"/>
        <v>0.53622627401746437</v>
      </c>
      <c r="S130" s="802">
        <f t="shared" si="30"/>
        <v>0</v>
      </c>
      <c r="T130" s="172">
        <f t="shared" si="31"/>
        <v>6</v>
      </c>
      <c r="U130" s="247">
        <f t="shared" si="32"/>
        <v>0.53622627401746437</v>
      </c>
      <c r="V130" s="378">
        <f t="shared" si="33"/>
        <v>56.744668367140129</v>
      </c>
      <c r="W130" s="397">
        <f t="shared" si="34"/>
        <v>56.365839722109676</v>
      </c>
      <c r="X130" s="153">
        <f t="shared" si="35"/>
        <v>47599</v>
      </c>
      <c r="Y130" s="380">
        <f t="shared" si="36"/>
        <v>54.729889318892084</v>
      </c>
      <c r="Z130" s="380">
        <f t="shared" si="37"/>
        <v>57.084453817558781</v>
      </c>
      <c r="AA130" s="381">
        <f t="shared" si="38"/>
        <v>60.149021732001003</v>
      </c>
      <c r="AB130" s="193">
        <f t="shared" si="39"/>
        <v>47599</v>
      </c>
      <c r="AC130" s="119">
        <f>IF(OR(t&lt;Tnet,NoTnet),'2029'!Resal_s+('2029'!Salim-'2029'!Resal_s)*(1-EXP(('2029'!Tnet_s-t)/'2029'!Tau_j)),Resal_s+(Salim-Resal_s)*(1-EXP((Tnet_s-t)/Tau_j)))*Salcycl</f>
        <v>5.0949588641635152E-2</v>
      </c>
      <c r="AD130" s="227">
        <f>(INDEX(Models!$BJ130:$BT130,,AH130)*(1-AF130)+INDEX(Models!$BJ130:$BT130,,AH130+1)*AF130-ERP_i)*AE130*Ramure*Pc/MaxiM</f>
        <v>1.0360686198807809E-4</v>
      </c>
      <c r="AE130" s="301">
        <f t="shared" si="40"/>
        <v>0.5</v>
      </c>
      <c r="AF130" s="173">
        <f t="shared" si="41"/>
        <v>6.1213840391441288E-2</v>
      </c>
      <c r="AG130" s="802">
        <f t="shared" si="49"/>
        <v>4</v>
      </c>
      <c r="AH130" s="172">
        <f t="shared" si="42"/>
        <v>10</v>
      </c>
      <c r="AI130" s="221">
        <f t="shared" si="43"/>
        <v>4.0612138403914413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47600</v>
      </c>
      <c r="B131" s="406">
        <f>'2029'!Wh/'2029'!Env_an*'2030'!Env_an</f>
        <v>44.803041563754697</v>
      </c>
      <c r="C131" s="832"/>
      <c r="D131" s="388">
        <f t="shared" si="25"/>
        <v>46.731177427002187</v>
      </c>
      <c r="E131" s="380">
        <f t="shared" si="47"/>
        <v>47.81838402088033</v>
      </c>
      <c r="F131" s="380">
        <f t="shared" si="26"/>
        <v>47.818672140149253</v>
      </c>
      <c r="G131" s="110">
        <f t="shared" si="48"/>
        <v>0.78663122450209522</v>
      </c>
      <c r="H131" s="409" t="b">
        <f>Wh_hp&gt;='2029'!Maxi_hp</f>
        <v>0</v>
      </c>
      <c r="I131" s="385">
        <f>IF(H131,Wh_hp,'2029'!Maxi_hp)</f>
        <v>47.818788266202148</v>
      </c>
      <c r="J131" s="85">
        <f>IF(H131,An,'2029'!An_max)</f>
        <v>2029</v>
      </c>
      <c r="K131" s="193">
        <f t="shared" si="27"/>
        <v>47600</v>
      </c>
      <c r="L131" s="143">
        <f>IF(t&lt;Tvie,1-EXP((T0-t)*PertePVj)+'2029'!Pspv,1-EXP((T0-t)*PertePVj)+Pspv)</f>
        <v>4.1260160120283551E-2</v>
      </c>
      <c r="M131" s="836"/>
      <c r="N131" s="836"/>
      <c r="O131" s="48">
        <f>IF(t&lt;Tnet,'2029'!Resal+('2029'!Salim-'2029'!Resal)*(1-EXP(('2029'!Tnet-t)/('2029'!Tau_j))),Resal+(Salim-Resal)*(1-EXP((Tnet-t)/(Tau_j))))*Salcycl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8.6670440828851662E-6</v>
      </c>
      <c r="Q131" s="301">
        <f t="shared" si="28"/>
        <v>0.5</v>
      </c>
      <c r="R131" s="173">
        <f t="shared" si="29"/>
        <v>0.53868057500459932</v>
      </c>
      <c r="S131" s="802">
        <f t="shared" si="30"/>
        <v>0</v>
      </c>
      <c r="T131" s="172">
        <f t="shared" si="31"/>
        <v>6</v>
      </c>
      <c r="U131" s="247">
        <f t="shared" si="32"/>
        <v>0.53868057500459932</v>
      </c>
      <c r="V131" s="378">
        <f t="shared" si="33"/>
        <v>56.955434525010283</v>
      </c>
      <c r="W131" s="397">
        <f t="shared" si="34"/>
        <v>44.803041563754697</v>
      </c>
      <c r="X131" s="153">
        <f t="shared" si="35"/>
        <v>47600</v>
      </c>
      <c r="Y131" s="380">
        <f t="shared" si="36"/>
        <v>43.504623243911908</v>
      </c>
      <c r="Z131" s="380">
        <f t="shared" si="37"/>
        <v>45.37688060336577</v>
      </c>
      <c r="AA131" s="381">
        <f t="shared" si="38"/>
        <v>47.815479849150996</v>
      </c>
      <c r="AB131" s="193">
        <f t="shared" si="39"/>
        <v>47600</v>
      </c>
      <c r="AC131" s="119">
        <f>IF(OR(t&lt;Tnet,NoTnet),'2029'!Resal_s+('2029'!Salim-'2029'!Resal_s)*(1-EXP(('2029'!Tnet_s-t)/'2029'!Tau_j)),Resal_s+(Salim-Resal_s)*(1-EXP((Tnet_s-t)/Tau_j)))*Salcycl</f>
        <v>5.1000204399883828E-2</v>
      </c>
      <c r="AD131" s="227">
        <f>(INDEX(Models!$BJ131:$BT131,,AH131)*(1-AF131)+INDEX(Models!$BJ131:$BT131,,AH131+1)*AF131-ERP_i)*AE131*Ramure*Pc/MaxiM</f>
        <v>9.6028727653310039E-5</v>
      </c>
      <c r="AE131" s="301">
        <f t="shared" si="40"/>
        <v>0.5</v>
      </c>
      <c r="AF131" s="173">
        <f t="shared" si="41"/>
        <v>6.3668141378576237E-2</v>
      </c>
      <c r="AG131" s="802">
        <f t="shared" si="49"/>
        <v>4</v>
      </c>
      <c r="AH131" s="172">
        <f t="shared" si="42"/>
        <v>10</v>
      </c>
      <c r="AI131" s="221">
        <f t="shared" si="43"/>
        <v>4.0636681413785762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47601</v>
      </c>
      <c r="B132" s="406">
        <f>'2029'!Wh/'2029'!Env_an*'2030'!Env_an</f>
        <v>23.885582006939085</v>
      </c>
      <c r="C132" s="832"/>
      <c r="D132" s="388">
        <f t="shared" si="25"/>
        <v>24.913858787772234</v>
      </c>
      <c r="E132" s="380">
        <f t="shared" si="47"/>
        <v>25.495146156690254</v>
      </c>
      <c r="F132" s="380">
        <f t="shared" si="26"/>
        <v>25.495181677443473</v>
      </c>
      <c r="G132" s="110">
        <f t="shared" si="48"/>
        <v>0.41787087690192626</v>
      </c>
      <c r="H132" s="409" t="b">
        <f>Wh_hp&gt;='2029'!Maxi_hp</f>
        <v>0</v>
      </c>
      <c r="I132" s="385">
        <f>IF(H132,Wh_hp,'2029'!Maxi_hp)</f>
        <v>25.495342180579392</v>
      </c>
      <c r="J132" s="85">
        <f>IF(H132,An,'2029'!An_max)</f>
        <v>2029</v>
      </c>
      <c r="K132" s="193">
        <f t="shared" si="27"/>
        <v>47601</v>
      </c>
      <c r="L132" s="143">
        <f>IF(t&lt;Tvie,1-EXP((T0-t)*PertePVj)+'2029'!Pspv,1-EXP((T0-t)*PertePVj)+Pspv)</f>
        <v>4.1273284463578475E-2</v>
      </c>
      <c r="M132" s="836"/>
      <c r="N132" s="836"/>
      <c r="O132" s="48">
        <f>IF(t&lt;Tnet,'2029'!Resal+('2029'!Salim-'2029'!Resal)*(1-EXP(('2029'!Tnet-t)/('2029'!Tau_j))),Resal+(Salim-Resal)*(1-EXP((Tnet-t)/(Tau_j))))*Salcycl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8.2737994033873735E-6</v>
      </c>
      <c r="Q132" s="301">
        <f t="shared" si="28"/>
        <v>0.5</v>
      </c>
      <c r="R132" s="173">
        <f t="shared" si="29"/>
        <v>0.54120839904747664</v>
      </c>
      <c r="S132" s="802">
        <f t="shared" si="30"/>
        <v>0</v>
      </c>
      <c r="T132" s="172">
        <f t="shared" si="31"/>
        <v>6</v>
      </c>
      <c r="U132" s="247">
        <f t="shared" si="32"/>
        <v>0.54120839904747664</v>
      </c>
      <c r="V132" s="378">
        <f t="shared" si="33"/>
        <v>57.159804572851598</v>
      </c>
      <c r="W132" s="397">
        <f t="shared" si="34"/>
        <v>23.885582006939085</v>
      </c>
      <c r="X132" s="153">
        <f t="shared" si="35"/>
        <v>47601</v>
      </c>
      <c r="Y132" s="380">
        <f t="shared" si="36"/>
        <v>23.194715223793175</v>
      </c>
      <c r="Z132" s="380">
        <f t="shared" si="37"/>
        <v>24.193250118012404</v>
      </c>
      <c r="AA132" s="381">
        <f t="shared" si="38"/>
        <v>25.494798612664262</v>
      </c>
      <c r="AB132" s="193">
        <f t="shared" si="39"/>
        <v>47601</v>
      </c>
      <c r="AC132" s="119">
        <f>IF(OR(t&lt;Tnet,NoTnet),'2029'!Resal_s+('2029'!Salim-'2029'!Resal_s)*(1-EXP(('2029'!Tnet_s-t)/'2029'!Tau_j)),Resal_s+(Salim-Resal_s)*(1-EXP((Tnet_s-t)/Tau_j)))*Salcycl</f>
        <v>5.10515307230286E-2</v>
      </c>
      <c r="AD132" s="227">
        <f>(INDEX(Models!$BJ132:$BT132,,AH132)*(1-AF132)+INDEX(Models!$BJ132:$BT132,,AH132+1)*AF132-ERP_i)*AE132*Ramure*Pc/MaxiM</f>
        <v>8.9226743652887387E-5</v>
      </c>
      <c r="AE132" s="301">
        <f t="shared" si="40"/>
        <v>0.5</v>
      </c>
      <c r="AF132" s="173">
        <f t="shared" si="41"/>
        <v>6.6195965421453451E-2</v>
      </c>
      <c r="AG132" s="802">
        <f t="shared" si="49"/>
        <v>4</v>
      </c>
      <c r="AH132" s="172">
        <f t="shared" si="42"/>
        <v>10</v>
      </c>
      <c r="AI132" s="221">
        <f t="shared" si="43"/>
        <v>4.0661959654214535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47602</v>
      </c>
      <c r="B133" s="406">
        <f>'2029'!Wh/'2029'!Env_an*'2030'!Env_an</f>
        <v>43.290569090051505</v>
      </c>
      <c r="C133" s="832"/>
      <c r="D133" s="388">
        <f t="shared" si="25"/>
        <v>45.154850707877699</v>
      </c>
      <c r="E133" s="380">
        <f t="shared" si="47"/>
        <v>46.211428819425073</v>
      </c>
      <c r="F133" s="380">
        <f t="shared" si="26"/>
        <v>46.211665322629159</v>
      </c>
      <c r="G133" s="110">
        <f t="shared" si="48"/>
        <v>0.75474147137581804</v>
      </c>
      <c r="H133" s="409" t="b">
        <f>Wh_hp&gt;='2029'!Maxi_hp</f>
        <v>0</v>
      </c>
      <c r="I133" s="385">
        <f>IF(H133,Wh_hp,'2029'!Maxi_hp)</f>
        <v>46.211781472249143</v>
      </c>
      <c r="J133" s="85">
        <f>IF(H133,An,'2029'!An_max)</f>
        <v>2029</v>
      </c>
      <c r="K133" s="193">
        <f t="shared" si="27"/>
        <v>47602</v>
      </c>
      <c r="L133" s="143">
        <f>IF(t&lt;Tvie,1-EXP((T0-t)*PertePVj)+'2029'!Pspv,1-EXP((T0-t)*PertePVj)+Pspv)</f>
        <v>4.1286408627212112E-2</v>
      </c>
      <c r="M133" s="836"/>
      <c r="N133" s="836"/>
      <c r="O133" s="48">
        <f>IF(t&lt;Tnet,'2029'!Resal+('2029'!Salim-'2029'!Resal)*(1-EXP(('2029'!Tnet-t)/('2029'!Tau_j))),Resal+(Salim-Resal)*(1-EXP((Tnet-t)/(Tau_j))))*Salcycl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7.8780167016414548E-6</v>
      </c>
      <c r="Q133" s="301">
        <f t="shared" si="28"/>
        <v>0.5</v>
      </c>
      <c r="R133" s="173">
        <f t="shared" si="29"/>
        <v>0.54381086880860874</v>
      </c>
      <c r="S133" s="802">
        <f t="shared" si="30"/>
        <v>0</v>
      </c>
      <c r="T133" s="172">
        <f t="shared" si="31"/>
        <v>6</v>
      </c>
      <c r="U133" s="247">
        <f t="shared" si="32"/>
        <v>0.54381086880860874</v>
      </c>
      <c r="V133" s="378">
        <f t="shared" si="33"/>
        <v>57.357984476783848</v>
      </c>
      <c r="W133" s="397">
        <f t="shared" si="34"/>
        <v>43.290569090051505</v>
      </c>
      <c r="X133" s="153">
        <f t="shared" si="35"/>
        <v>47602</v>
      </c>
      <c r="Y133" s="380">
        <f t="shared" si="36"/>
        <v>42.037399830911376</v>
      </c>
      <c r="Z133" s="380">
        <f t="shared" si="37"/>
        <v>43.847714488659498</v>
      </c>
      <c r="AA133" s="381">
        <f t="shared" si="38"/>
        <v>46.209167631097891</v>
      </c>
      <c r="AB133" s="193">
        <f t="shared" si="39"/>
        <v>47602</v>
      </c>
      <c r="AC133" s="119">
        <f>IF(OR(t&lt;Tnet,NoTnet),'2029'!Resal_s+('2029'!Salim-'2029'!Resal_s)*(1-EXP(('2029'!Tnet_s-t)/'2029'!Tau_j)),Resal_s+(Salim-Resal_s)*(1-EXP((Tnet_s-t)/Tau_j)))*Salcycl</f>
        <v>5.1103563719013624E-2</v>
      </c>
      <c r="AD133" s="227">
        <f>(INDEX(Models!$BJ133:$BT133,,AH133)*(1-AF133)+INDEX(Models!$BJ133:$BT133,,AH133+1)*AF133-ERP_i)*AE133*Ramure*Pc/MaxiM</f>
        <v>8.3199107915329302E-5</v>
      </c>
      <c r="AE133" s="301">
        <f t="shared" si="40"/>
        <v>0.5</v>
      </c>
      <c r="AF133" s="173">
        <f t="shared" si="41"/>
        <v>6.8798435182586104E-2</v>
      </c>
      <c r="AG133" s="802">
        <f t="shared" si="49"/>
        <v>4</v>
      </c>
      <c r="AH133" s="172">
        <f t="shared" si="42"/>
        <v>10</v>
      </c>
      <c r="AI133" s="221">
        <f t="shared" si="43"/>
        <v>4.0687984351825861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47603</v>
      </c>
      <c r="B134" s="406">
        <f>'2029'!Wh/'2029'!Env_an*'2030'!Env_an</f>
        <v>42.697561413265667</v>
      </c>
      <c r="C134" s="832"/>
      <c r="D134" s="388">
        <f t="shared" si="25"/>
        <v>44.536915194753043</v>
      </c>
      <c r="E134" s="380">
        <f t="shared" si="47"/>
        <v>45.58203812169905</v>
      </c>
      <c r="F134" s="380">
        <f t="shared" si="26"/>
        <v>45.582253346431209</v>
      </c>
      <c r="G134" s="110">
        <f t="shared" si="48"/>
        <v>0.74191676794092876</v>
      </c>
      <c r="H134" s="409" t="b">
        <f>Wh_hp&gt;='2029'!Maxi_hp</f>
        <v>0</v>
      </c>
      <c r="I134" s="385">
        <f>IF(H134,Wh_hp,'2029'!Maxi_hp)</f>
        <v>45.5823672443764</v>
      </c>
      <c r="J134" s="85">
        <f>IF(H134,An,'2029'!An_max)</f>
        <v>2029</v>
      </c>
      <c r="K134" s="193">
        <f t="shared" si="27"/>
        <v>47603</v>
      </c>
      <c r="L134" s="143">
        <f>IF(t&lt;Tvie,1-EXP((T0-t)*PertePVj)+'2029'!Pspv,1-EXP((T0-t)*PertePVj)+Pspv)</f>
        <v>4.1299532611187018E-2</v>
      </c>
      <c r="M134" s="836"/>
      <c r="N134" s="836"/>
      <c r="O134" s="48">
        <f>IF(t&lt;Tnet,'2029'!Resal+('2029'!Salim-'2029'!Resal)*(1-EXP(('2029'!Tnet-t)/('2029'!Tau_j))),Resal+(Salim-Resal)*(1-EXP((Tnet-t)/(Tau_j))))*Salcycl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7.4791446765753259E-6</v>
      </c>
      <c r="Q134" s="301">
        <f t="shared" si="28"/>
        <v>0.5</v>
      </c>
      <c r="R134" s="173">
        <f t="shared" si="29"/>
        <v>0.54648904446588786</v>
      </c>
      <c r="S134" s="802">
        <f t="shared" si="30"/>
        <v>0</v>
      </c>
      <c r="T134" s="172">
        <f t="shared" si="31"/>
        <v>6</v>
      </c>
      <c r="U134" s="247">
        <f t="shared" si="32"/>
        <v>0.54648904446588786</v>
      </c>
      <c r="V134" s="378">
        <f t="shared" si="33"/>
        <v>57.550180182765857</v>
      </c>
      <c r="W134" s="397">
        <f t="shared" si="34"/>
        <v>42.697561413265667</v>
      </c>
      <c r="X134" s="153">
        <f t="shared" si="35"/>
        <v>47603</v>
      </c>
      <c r="Y134" s="380">
        <f t="shared" si="36"/>
        <v>41.462170930958202</v>
      </c>
      <c r="Z134" s="380">
        <f t="shared" si="37"/>
        <v>43.248305744428826</v>
      </c>
      <c r="AA134" s="381">
        <f t="shared" si="38"/>
        <v>45.580010339312828</v>
      </c>
      <c r="AB134" s="193">
        <f t="shared" si="39"/>
        <v>47603</v>
      </c>
      <c r="AC134" s="119">
        <f>IF(OR(t&lt;Tnet,NoTnet),'2029'!Resal_s+('2029'!Salim-'2029'!Resal_s)*(1-EXP(('2029'!Tnet_s-t)/'2029'!Tau_j)),Resal_s+(Salim-Resal_s)*(1-EXP((Tnet_s-t)/Tau_j)))*Salcycl</f>
        <v>5.115629806851768E-2</v>
      </c>
      <c r="AD134" s="227">
        <f>(INDEX(Models!$BJ134:$BT134,,AH134)*(1-AF134)+INDEX(Models!$BJ134:$BT134,,AH134+1)*AF134-ERP_i)*AE134*Ramure*Pc/MaxiM</f>
        <v>7.794538564768169E-5</v>
      </c>
      <c r="AE134" s="301">
        <f t="shared" si="40"/>
        <v>0.5</v>
      </c>
      <c r="AF134" s="173">
        <f t="shared" si="41"/>
        <v>7.1476610839865451E-2</v>
      </c>
      <c r="AG134" s="802">
        <f t="shared" si="49"/>
        <v>4</v>
      </c>
      <c r="AH134" s="172">
        <f t="shared" si="42"/>
        <v>10</v>
      </c>
      <c r="AI134" s="221">
        <f t="shared" si="43"/>
        <v>4.0714766108398655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47604</v>
      </c>
      <c r="B135" s="406">
        <f>'2029'!Wh/'2029'!Env_an*'2030'!Env_an</f>
        <v>48.439062804865777</v>
      </c>
      <c r="C135" s="832"/>
      <c r="D135" s="388">
        <f t="shared" si="25"/>
        <v>50.526444444081243</v>
      </c>
      <c r="E135" s="380">
        <f t="shared" si="47"/>
        <v>51.715545316199567</v>
      </c>
      <c r="F135" s="380">
        <f t="shared" si="26"/>
        <v>51.71582711598262</v>
      </c>
      <c r="G135" s="110">
        <f t="shared" si="48"/>
        <v>0.83898530456904441</v>
      </c>
      <c r="H135" s="409" t="b">
        <f>Wh_hp&gt;='2029'!Maxi_hp</f>
        <v>0</v>
      </c>
      <c r="I135" s="385">
        <f>IF(H135,Wh_hp,'2029'!Maxi_hp)</f>
        <v>51.715903021990087</v>
      </c>
      <c r="J135" s="85">
        <f>IF(H135,An,'2029'!An_max)</f>
        <v>2029</v>
      </c>
      <c r="K135" s="193">
        <f t="shared" si="27"/>
        <v>47604</v>
      </c>
      <c r="L135" s="143">
        <f>IF(t&lt;Tvie,1-EXP((T0-t)*PertePVj)+'2029'!Pspv,1-EXP((T0-t)*PertePVj)+Pspv)</f>
        <v>4.1312656415505633E-2</v>
      </c>
      <c r="M135" s="836"/>
      <c r="N135" s="836"/>
      <c r="O135" s="48">
        <f>IF(t&lt;Tnet,'2029'!Resal+('2029'!Salim-'2029'!Resal)*(1-EXP(('2029'!Tnet-t)/('2029'!Tau_j))),Resal+(Salim-Resal)*(1-EXP((Tnet-t)/(Tau_j))))*Salcycl</f>
        <v>2.2993103231299494E-2</v>
      </c>
      <c r="P135" s="165">
        <f>(INDEX(Models!$BJ135:$BT135,,T135)*(1-R135)+INDEX(Models!$BJ135:$BT135,,T135+1)*R135-ERP_i)*Q135*Ramure*Pc/MaxiM</f>
        <v>7.0768044439276661E-6</v>
      </c>
      <c r="Q135" s="301">
        <f t="shared" si="28"/>
        <v>0.5</v>
      </c>
      <c r="R135" s="173">
        <f t="shared" si="29"/>
        <v>0.54924391722394783</v>
      </c>
      <c r="S135" s="802">
        <f t="shared" si="30"/>
        <v>0</v>
      </c>
      <c r="T135" s="172">
        <f t="shared" si="31"/>
        <v>6</v>
      </c>
      <c r="U135" s="247">
        <f t="shared" si="32"/>
        <v>0.54924391722394783</v>
      </c>
      <c r="V135" s="378">
        <f t="shared" si="33"/>
        <v>57.735199522024473</v>
      </c>
      <c r="W135" s="397">
        <f t="shared" si="34"/>
        <v>48.439062804865777</v>
      </c>
      <c r="X135" s="153">
        <f t="shared" si="35"/>
        <v>47604</v>
      </c>
      <c r="Y135" s="380">
        <f t="shared" si="36"/>
        <v>47.037705012522949</v>
      </c>
      <c r="Z135" s="380">
        <f t="shared" si="37"/>
        <v>49.064698024124127</v>
      </c>
      <c r="AA135" s="381">
        <f t="shared" si="38"/>
        <v>51.712901596098149</v>
      </c>
      <c r="AB135" s="193">
        <f t="shared" si="39"/>
        <v>47604</v>
      </c>
      <c r="AC135" s="119">
        <f>IF(OR(t&lt;Tnet,NoTnet),'2029'!Resal_s+('2029'!Salim-'2029'!Resal_s)*(1-EXP(('2029'!Tnet_s-t)/'2029'!Tau_j)),Resal_s+(Salim-Resal_s)*(1-EXP((Tnet_s-t)/Tau_j)))*Salcycl</f>
        <v>5.120972697795468E-2</v>
      </c>
      <c r="AD135" s="227">
        <f>(INDEX(Models!$BJ135:$BT135,,AH135)*(1-AF135)+INDEX(Models!$BJ135:$BT135,,AH135+1)*AF135-ERP_i)*AE135*Ramure*Pc/MaxiM</f>
        <v>7.3468232993570247E-5</v>
      </c>
      <c r="AE135" s="301">
        <f t="shared" si="40"/>
        <v>0.5</v>
      </c>
      <c r="AF135" s="173">
        <f t="shared" si="41"/>
        <v>7.4231483597925418E-2</v>
      </c>
      <c r="AG135" s="802">
        <f t="shared" si="49"/>
        <v>4</v>
      </c>
      <c r="AH135" s="172">
        <f t="shared" si="42"/>
        <v>10</v>
      </c>
      <c r="AI135" s="221">
        <f t="shared" si="43"/>
        <v>4.0742314835979254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47605</v>
      </c>
      <c r="B136" s="406">
        <f>'2029'!Wh/'2029'!Env_an*'2030'!Env_an</f>
        <v>31.1345805390343</v>
      </c>
      <c r="C136" s="832"/>
      <c r="D136" s="388">
        <f t="shared" si="25"/>
        <v>32.476705736740158</v>
      </c>
      <c r="E136" s="380">
        <f t="shared" si="47"/>
        <v>33.243232371014358</v>
      </c>
      <c r="F136" s="380">
        <f t="shared" si="26"/>
        <v>33.243307844620098</v>
      </c>
      <c r="G136" s="110">
        <f t="shared" si="48"/>
        <v>0.5376165638621998</v>
      </c>
      <c r="H136" s="409" t="b">
        <f>Wh_hp&gt;='2029'!Maxi_hp</f>
        <v>0</v>
      </c>
      <c r="I136" s="385">
        <f>IF(H136,Wh_hp,'2029'!Maxi_hp)</f>
        <v>33.243439599072822</v>
      </c>
      <c r="J136" s="85">
        <f>IF(H136,An,'2029'!An_max)</f>
        <v>2029</v>
      </c>
      <c r="K136" s="193">
        <f t="shared" si="27"/>
        <v>47605</v>
      </c>
      <c r="L136" s="143">
        <f>IF(t&lt;Tvie,1-EXP((T0-t)*PertePVj)+'2029'!Pspv,1-EXP((T0-t)*PertePVj)+Pspv)</f>
        <v>4.132578004017029E-2</v>
      </c>
      <c r="M136" s="836"/>
      <c r="N136" s="836"/>
      <c r="O136" s="48">
        <f>IF(t&lt;Tnet,'2029'!Resal+('2029'!Salim-'2029'!Resal)*(1-EXP(('2029'!Tnet-t)/('2029'!Tau_j))),Resal+(Salim-Resal)*(1-EXP((Tnet-t)/(Tau_j))))*Salcycl</f>
        <v>2.3058125807963067E-2</v>
      </c>
      <c r="P136" s="165">
        <f>(INDEX(Models!$BJ136:$BT136,,T136)*(1-R136)+INDEX(Models!$BJ136:$BT136,,T136+1)*R136-ERP_i)*Q136*Ramure*Pc/MaxiM</f>
        <v>6.6881784963915263E-6</v>
      </c>
      <c r="Q136" s="301">
        <f t="shared" si="28"/>
        <v>0.5</v>
      </c>
      <c r="R136" s="173">
        <f t="shared" si="29"/>
        <v>0.55207640265938296</v>
      </c>
      <c r="S136" s="802">
        <f t="shared" si="30"/>
        <v>0</v>
      </c>
      <c r="T136" s="172">
        <f t="shared" si="31"/>
        <v>6</v>
      </c>
      <c r="U136" s="247">
        <f t="shared" si="32"/>
        <v>0.55207640265938296</v>
      </c>
      <c r="V136" s="378">
        <f t="shared" si="33"/>
        <v>57.911986132831295</v>
      </c>
      <c r="W136" s="397">
        <f t="shared" si="34"/>
        <v>31.1345805390343</v>
      </c>
      <c r="X136" s="153">
        <f t="shared" si="35"/>
        <v>47605</v>
      </c>
      <c r="Y136" s="380">
        <f t="shared" si="36"/>
        <v>30.23503179328884</v>
      </c>
      <c r="Z136" s="380">
        <f t="shared" si="37"/>
        <v>31.538379945750233</v>
      </c>
      <c r="AA136" s="381">
        <f t="shared" si="38"/>
        <v>33.242519202280228</v>
      </c>
      <c r="AB136" s="193">
        <f t="shared" si="39"/>
        <v>47605</v>
      </c>
      <c r="AC136" s="119">
        <f>IF(OR(t&lt;Tnet,NoTnet),'2029'!Resal_s+('2029'!Salim-'2029'!Resal_s)*(1-EXP(('2029'!Tnet_s-t)/'2029'!Tau_j)),Resal_s+(Salim-Resal_s)*(1-EXP((Tnet_s-t)/Tau_j)))*Salcycl</f>
        <v>5.1263842134235696E-2</v>
      </c>
      <c r="AD136" s="227">
        <f>(INDEX(Models!$BJ136:$BT136,,AH136)*(1-AF136)+INDEX(Models!$BJ136:$BT136,,AH136+1)*AF136-ERP_i)*AE136*Ramure*Pc/MaxiM</f>
        <v>6.9886428337266238E-5</v>
      </c>
      <c r="AE136" s="301">
        <f t="shared" si="40"/>
        <v>0.5</v>
      </c>
      <c r="AF136" s="173">
        <f t="shared" si="41"/>
        <v>7.7063969033360102E-2</v>
      </c>
      <c r="AG136" s="802">
        <f t="shared" si="49"/>
        <v>4</v>
      </c>
      <c r="AH136" s="172">
        <f t="shared" si="42"/>
        <v>10</v>
      </c>
      <c r="AI136" s="221">
        <f t="shared" si="43"/>
        <v>4.0770639690333601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47606</v>
      </c>
      <c r="B137" s="406">
        <f>'2029'!Wh/'2029'!Env_an*'2030'!Env_an</f>
        <v>34.700634101183965</v>
      </c>
      <c r="C137" s="832"/>
      <c r="D137" s="388">
        <f t="shared" si="25"/>
        <v>36.196977458809037</v>
      </c>
      <c r="E137" s="380">
        <f t="shared" si="47"/>
        <v>37.053789228475694</v>
      </c>
      <c r="F137" s="380">
        <f t="shared" si="26"/>
        <v>37.053888529204428</v>
      </c>
      <c r="G137" s="110">
        <f t="shared" si="48"/>
        <v>0.59745075391647384</v>
      </c>
      <c r="H137" s="409" t="b">
        <f>Wh_hp&gt;='2029'!Maxi_hp</f>
        <v>0</v>
      </c>
      <c r="I137" s="385">
        <f>IF(H137,Wh_hp,'2029'!Maxi_hp)</f>
        <v>37.054008465235746</v>
      </c>
      <c r="J137" s="85">
        <f>IF(H137,An,'2029'!An_max)</f>
        <v>2029</v>
      </c>
      <c r="K137" s="193">
        <f t="shared" si="27"/>
        <v>47606</v>
      </c>
      <c r="L137" s="143">
        <f>IF(t&lt;Tvie,1-EXP((T0-t)*PertePVj)+'2029'!Pspv,1-EXP((T0-t)*PertePVj)+Pspv)</f>
        <v>4.1338903485183653E-2</v>
      </c>
      <c r="M137" s="836"/>
      <c r="N137" s="836"/>
      <c r="O137" s="48">
        <f>IF(t&lt;Tnet,'2029'!Resal+('2029'!Salim-'2029'!Resal)*(1-EXP(('2029'!Tnet-t)/('2029'!Tau_j))),Resal+(Salim-Resal)*(1-EXP((Tnet-t)/(Tau_j))))*Salcycl</f>
        <v>2.312345882855631E-2</v>
      </c>
      <c r="P137" s="165">
        <f>(INDEX(Models!$BJ137:$BT137,,T137)*(1-R137)+INDEX(Models!$BJ137:$BT137,,T137+1)*R137-ERP_i)*Q137*Ramure*Pc/MaxiM</f>
        <v>6.3066459003044981E-6</v>
      </c>
      <c r="Q137" s="301">
        <f t="shared" si="28"/>
        <v>0.5</v>
      </c>
      <c r="R137" s="173">
        <f t="shared" si="29"/>
        <v>0.5549873339249467</v>
      </c>
      <c r="S137" s="802">
        <f t="shared" si="30"/>
        <v>0</v>
      </c>
      <c r="T137" s="172">
        <f t="shared" si="31"/>
        <v>6</v>
      </c>
      <c r="U137" s="247">
        <f t="shared" si="32"/>
        <v>0.5549873339249467</v>
      </c>
      <c r="V137" s="378">
        <f t="shared" si="33"/>
        <v>58.080951480944243</v>
      </c>
      <c r="W137" s="397">
        <f t="shared" si="34"/>
        <v>34.700634101183965</v>
      </c>
      <c r="X137" s="153">
        <f t="shared" si="35"/>
        <v>47606</v>
      </c>
      <c r="Y137" s="380">
        <f t="shared" si="36"/>
        <v>33.698224474175326</v>
      </c>
      <c r="Z137" s="380">
        <f t="shared" si="37"/>
        <v>35.151342426102623</v>
      </c>
      <c r="AA137" s="381">
        <f t="shared" si="38"/>
        <v>37.05284374013204</v>
      </c>
      <c r="AB137" s="193">
        <f t="shared" si="39"/>
        <v>47606</v>
      </c>
      <c r="AC137" s="119">
        <f>IF(OR(t&lt;Tnet,NoTnet),'2029'!Resal_s+('2029'!Salim-'2029'!Resal_s)*(1-EXP(('2029'!Tnet_s-t)/'2029'!Tau_j)),Resal_s+(Salim-Resal_s)*(1-EXP((Tnet_s-t)/Tau_j)))*Salcycl</f>
        <v>5.1318633661844873E-2</v>
      </c>
      <c r="AD137" s="227">
        <f>(INDEX(Models!$BJ137:$BT137,,AH137)*(1-AF137)+INDEX(Models!$BJ137:$BT137,,AH137+1)*AF137-ERP_i)*AE137*Ramure*Pc/MaxiM</f>
        <v>6.6355149694728344E-5</v>
      </c>
      <c r="AE137" s="301">
        <f t="shared" si="40"/>
        <v>0.5</v>
      </c>
      <c r="AF137" s="173">
        <f t="shared" si="41"/>
        <v>7.997490029892429E-2</v>
      </c>
      <c r="AG137" s="802">
        <f t="shared" si="49"/>
        <v>4</v>
      </c>
      <c r="AH137" s="172">
        <f t="shared" si="42"/>
        <v>10</v>
      </c>
      <c r="AI137" s="221">
        <f t="shared" si="43"/>
        <v>4.0799749002989243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47607</v>
      </c>
      <c r="B138" s="406">
        <f>'2029'!Wh/'2029'!Env_an*'2030'!Env_an</f>
        <v>19.529623545253667</v>
      </c>
      <c r="C138" s="832"/>
      <c r="D138" s="388">
        <f t="shared" si="25"/>
        <v>20.372049063073352</v>
      </c>
      <c r="E138" s="380">
        <f t="shared" si="47"/>
        <v>20.855673330047249</v>
      </c>
      <c r="F138" s="380">
        <f t="shared" si="26"/>
        <v>20.855679571519719</v>
      </c>
      <c r="G138" s="110">
        <f t="shared" si="48"/>
        <v>0.33531375417381593</v>
      </c>
      <c r="H138" s="409" t="b">
        <f>Wh_hp&gt;='2029'!Maxi_hp</f>
        <v>0</v>
      </c>
      <c r="I138" s="385">
        <f>IF(H138,Wh_hp,'2029'!Maxi_hp)</f>
        <v>20.855783858295169</v>
      </c>
      <c r="J138" s="85">
        <f>IF(H138,An,'2029'!An_max)</f>
        <v>2029</v>
      </c>
      <c r="K138" s="193">
        <f t="shared" si="27"/>
        <v>47607</v>
      </c>
      <c r="L138" s="143">
        <f>IF(t&lt;Tvie,1-EXP((T0-t)*PertePVj)+'2029'!Pspv,1-EXP((T0-t)*PertePVj)+Pspv)</f>
        <v>4.1352026750547943E-2</v>
      </c>
      <c r="M138" s="836"/>
      <c r="N138" s="836"/>
      <c r="O138" s="48">
        <f>IF(t&lt;Tnet,'2029'!Resal+('2029'!Salim-'2029'!Resal)*(1-EXP(('2029'!Tnet-t)/('2029'!Tau_j))),Resal+(Salim-Resal)*(1-EXP((Tnet-t)/(Tau_j))))*Salcycl</f>
        <v>2.3189098684103834E-2</v>
      </c>
      <c r="P138" s="165">
        <f>(INDEX(Models!$BJ138:$BT138,,T138)*(1-R138)+INDEX(Models!$BJ138:$BT138,,T138+1)*R138-ERP_i)*Q138*Ramure*Pc/MaxiM</f>
        <v>5.9318974889192494E-6</v>
      </c>
      <c r="Q138" s="301">
        <f t="shared" si="28"/>
        <v>0.5</v>
      </c>
      <c r="R138" s="173">
        <f t="shared" si="29"/>
        <v>0.55797745484123717</v>
      </c>
      <c r="S138" s="802">
        <f t="shared" si="30"/>
        <v>0</v>
      </c>
      <c r="T138" s="172">
        <f t="shared" si="31"/>
        <v>6</v>
      </c>
      <c r="U138" s="247">
        <f t="shared" si="32"/>
        <v>0.55797745484123717</v>
      </c>
      <c r="V138" s="378">
        <f t="shared" si="33"/>
        <v>58.242506604714222</v>
      </c>
      <c r="W138" s="397">
        <f t="shared" si="34"/>
        <v>19.529623545253667</v>
      </c>
      <c r="X138" s="153">
        <f t="shared" si="35"/>
        <v>47607</v>
      </c>
      <c r="Y138" s="380">
        <f t="shared" si="36"/>
        <v>18.966059512371313</v>
      </c>
      <c r="Z138" s="380">
        <f t="shared" si="37"/>
        <v>19.784175256829243</v>
      </c>
      <c r="AA138" s="381">
        <f t="shared" si="38"/>
        <v>20.855613419368026</v>
      </c>
      <c r="AB138" s="193">
        <f t="shared" si="39"/>
        <v>47607</v>
      </c>
      <c r="AC138" s="119">
        <f>IF(OR(t&lt;Tnet,NoTnet),'2029'!Resal_s+('2029'!Salim-'2029'!Resal_s)*(1-EXP(('2029'!Tnet_s-t)/'2029'!Tau_j)),Resal_s+(Salim-Resal_s)*(1-EXP((Tnet_s-t)/Tau_j)))*Salcycl</f>
        <v>5.1374090082805746E-2</v>
      </c>
      <c r="AD138" s="227">
        <f>(INDEX(Models!$BJ138:$BT138,,AH138)*(1-AF138)+INDEX(Models!$BJ138:$BT138,,AH138+1)*AF138-ERP_i)*AE138*Ramure*Pc/MaxiM</f>
        <v>6.2871026712688134E-5</v>
      </c>
      <c r="AE138" s="301">
        <f t="shared" si="40"/>
        <v>0.5</v>
      </c>
      <c r="AF138" s="173">
        <f t="shared" si="41"/>
        <v>8.2965021215214207E-2</v>
      </c>
      <c r="AG138" s="802">
        <f t="shared" si="49"/>
        <v>4</v>
      </c>
      <c r="AH138" s="172">
        <f t="shared" si="42"/>
        <v>10</v>
      </c>
      <c r="AI138" s="221">
        <f t="shared" si="43"/>
        <v>4.0829650212152142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47608</v>
      </c>
      <c r="B139" s="406">
        <f>'2029'!Wh/'2029'!Env_an*'2030'!Env_an</f>
        <v>39.309968796339305</v>
      </c>
      <c r="C139" s="832"/>
      <c r="D139" s="388">
        <f t="shared" si="25"/>
        <v>41.006196248368383</v>
      </c>
      <c r="E139" s="380">
        <f t="shared" si="47"/>
        <v>41.98250103035955</v>
      </c>
      <c r="F139" s="380">
        <f t="shared" si="26"/>
        <v>41.982625543520442</v>
      </c>
      <c r="G139" s="110">
        <f t="shared" si="48"/>
        <v>0.67314801486943576</v>
      </c>
      <c r="H139" s="409" t="b">
        <f>Wh_hp&gt;='2029'!Maxi_hp</f>
        <v>0</v>
      </c>
      <c r="I139" s="385">
        <f>IF(H139,Wh_hp,'2029'!Maxi_hp)</f>
        <v>41.982721841523478</v>
      </c>
      <c r="J139" s="85">
        <f>IF(H139,An,'2029'!An_max)</f>
        <v>2029</v>
      </c>
      <c r="K139" s="193">
        <f t="shared" si="27"/>
        <v>47608</v>
      </c>
      <c r="L139" s="143">
        <f>IF(t&lt;Tvie,1-EXP((T0-t)*PertePVj)+'2029'!Pspv,1-EXP((T0-t)*PertePVj)+Pspv)</f>
        <v>4.1365149836265824E-2</v>
      </c>
      <c r="M139" s="836"/>
      <c r="N139" s="836"/>
      <c r="O139" s="48">
        <f>IF(t&lt;Tnet,'2029'!Resal+('2029'!Salim-'2029'!Resal)*(1-EXP(('2029'!Tnet-t)/('2029'!Tau_j))),Resal+(Salim-Resal)*(1-EXP((Tnet-t)/(Tau_j))))*Salcycl</f>
        <v>2.3255040982078527E-2</v>
      </c>
      <c r="P139" s="165">
        <f>(INDEX(Models!$BJ139:$BT139,,T139)*(1-R139)+INDEX(Models!$BJ139:$BT139,,T139+1)*R139-ERP_i)*Q139*Ramure*Pc/MaxiM</f>
        <v>5.5636593603132393E-6</v>
      </c>
      <c r="Q139" s="301">
        <f t="shared" si="28"/>
        <v>0.5</v>
      </c>
      <c r="R139" s="173">
        <f t="shared" si="29"/>
        <v>0.56104741290781357</v>
      </c>
      <c r="S139" s="802">
        <f t="shared" si="30"/>
        <v>0</v>
      </c>
      <c r="T139" s="172">
        <f t="shared" si="31"/>
        <v>6</v>
      </c>
      <c r="U139" s="247">
        <f t="shared" si="32"/>
        <v>0.56104741290781357</v>
      </c>
      <c r="V139" s="378">
        <f t="shared" si="33"/>
        <v>58.397062469108327</v>
      </c>
      <c r="W139" s="397">
        <f t="shared" si="34"/>
        <v>39.309968796339305</v>
      </c>
      <c r="X139" s="153">
        <f t="shared" si="35"/>
        <v>47608</v>
      </c>
      <c r="Y139" s="380">
        <f t="shared" si="36"/>
        <v>38.174938323656669</v>
      </c>
      <c r="Z139" s="380">
        <f t="shared" si="37"/>
        <v>39.822189144423881</v>
      </c>
      <c r="AA139" s="381">
        <f t="shared" si="38"/>
        <v>41.981295495831326</v>
      </c>
      <c r="AB139" s="193">
        <f t="shared" si="39"/>
        <v>47608</v>
      </c>
      <c r="AC139" s="119">
        <f>IF(OR(t&lt;Tnet,NoTnet),'2029'!Resal_s+('2029'!Salim-'2029'!Resal_s)*(1-EXP(('2029'!Tnet_s-t)/'2029'!Tau_j)),Resal_s+(Salim-Resal_s)*(1-EXP((Tnet_s-t)/Tau_j)))*Salcycl</f>
        <v>5.1430198280132726E-2</v>
      </c>
      <c r="AD139" s="227">
        <f>(INDEX(Models!$BJ139:$BT139,,AH139)*(1-AF139)+INDEX(Models!$BJ139:$BT139,,AH139+1)*AF139-ERP_i)*AE139*Ramure*Pc/MaxiM</f>
        <v>5.9430924588552467E-5</v>
      </c>
      <c r="AE139" s="301">
        <f t="shared" si="40"/>
        <v>0.5</v>
      </c>
      <c r="AF139" s="173">
        <f t="shared" si="41"/>
        <v>8.6034979281790491E-2</v>
      </c>
      <c r="AG139" s="802">
        <f t="shared" si="49"/>
        <v>4</v>
      </c>
      <c r="AH139" s="172">
        <f t="shared" si="42"/>
        <v>10</v>
      </c>
      <c r="AI139" s="221">
        <f t="shared" si="43"/>
        <v>4.0860349792817905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47609</v>
      </c>
      <c r="B140" s="406">
        <f>'2029'!Wh/'2029'!Env_an*'2030'!Env_an</f>
        <v>41.208415305347202</v>
      </c>
      <c r="C140" s="832"/>
      <c r="D140" s="388">
        <f t="shared" si="25"/>
        <v>42.987149293217641</v>
      </c>
      <c r="E140" s="380">
        <f t="shared" si="47"/>
        <v>44.013602872748635</v>
      </c>
      <c r="F140" s="380">
        <f t="shared" si="26"/>
        <v>44.013734966549031</v>
      </c>
      <c r="G140" s="110">
        <f t="shared" si="48"/>
        <v>0.70387400341602824</v>
      </c>
      <c r="H140" s="409" t="b">
        <f>Wh_hp&gt;='2029'!Maxi_hp</f>
        <v>0</v>
      </c>
      <c r="I140" s="385">
        <f>IF(H140,Wh_hp,'2029'!Maxi_hp)</f>
        <v>44.013820008810121</v>
      </c>
      <c r="J140" s="85">
        <f>IF(H140,An,'2029'!An_max)</f>
        <v>2029</v>
      </c>
      <c r="K140" s="193">
        <f t="shared" si="27"/>
        <v>47609</v>
      </c>
      <c r="L140" s="143">
        <f>IF(t&lt;Tvie,1-EXP((T0-t)*PertePVj)+'2029'!Pspv,1-EXP((T0-t)*PertePVj)+Pspv)</f>
        <v>4.1378272742339739E-2</v>
      </c>
      <c r="M140" s="836"/>
      <c r="N140" s="836"/>
      <c r="O140" s="48">
        <f>IF(t&lt;Tnet,'2029'!Resal+('2029'!Salim-'2029'!Resal)*(1-EXP(('2029'!Tnet-t)/('2029'!Tau_j))),Resal+(Salim-Resal)*(1-EXP((Tnet-t)/(Tau_j))))*Salcycl</f>
        <v>2.3321280525447036E-2</v>
      </c>
      <c r="P140" s="165">
        <f>(INDEX(Models!$BJ140:$BT140,,T140)*(1-R140)+INDEX(Models!$BJ140:$BT140,,T140+1)*R140-ERP_i)*Q140*Ramure*Pc/MaxiM</f>
        <v>5.201692633926679E-6</v>
      </c>
      <c r="Q140" s="301">
        <f t="shared" si="28"/>
        <v>0.5</v>
      </c>
      <c r="R140" s="173">
        <f t="shared" si="29"/>
        <v>0.56419775226915492</v>
      </c>
      <c r="S140" s="802">
        <f t="shared" si="30"/>
        <v>0</v>
      </c>
      <c r="T140" s="172">
        <f t="shared" si="31"/>
        <v>6</v>
      </c>
      <c r="U140" s="247">
        <f t="shared" si="32"/>
        <v>0.56419775226915492</v>
      </c>
      <c r="V140" s="378">
        <f t="shared" si="33"/>
        <v>58.545029971361842</v>
      </c>
      <c r="W140" s="397">
        <f t="shared" si="34"/>
        <v>41.208415305347202</v>
      </c>
      <c r="X140" s="153">
        <f t="shared" si="35"/>
        <v>47609</v>
      </c>
      <c r="Y140" s="380">
        <f t="shared" si="36"/>
        <v>40.018864818480814</v>
      </c>
      <c r="Z140" s="380">
        <f t="shared" si="37"/>
        <v>41.746252646456512</v>
      </c>
      <c r="AA140" s="381">
        <f t="shared" si="38"/>
        <v>44.01231206977333</v>
      </c>
      <c r="AB140" s="193">
        <f t="shared" si="39"/>
        <v>47609</v>
      </c>
      <c r="AC140" s="119">
        <f>IF(OR(t&lt;Tnet,NoTnet),'2029'!Resal_s+('2029'!Salim-'2029'!Resal_s)*(1-EXP(('2029'!Tnet_s-t)/'2029'!Tau_j)),Resal_s+(Salim-Resal_s)*(1-EXP((Tnet_s-t)/Tau_j)))*Salcycl</f>
        <v>5.148694346537408E-2</v>
      </c>
      <c r="AD140" s="227">
        <f>(INDEX(Models!$BJ140:$BT140,,AH140)*(1-AF140)+INDEX(Models!$BJ140:$BT140,,AH140+1)*AF140-ERP_i)*AE140*Ramure*Pc/MaxiM</f>
        <v>5.6031938326048174E-5</v>
      </c>
      <c r="AE140" s="301">
        <f t="shared" si="40"/>
        <v>0.5</v>
      </c>
      <c r="AF140" s="173">
        <f t="shared" si="41"/>
        <v>8.918531864313195E-2</v>
      </c>
      <c r="AG140" s="802">
        <f t="shared" si="49"/>
        <v>4</v>
      </c>
      <c r="AH140" s="172">
        <f t="shared" si="42"/>
        <v>10</v>
      </c>
      <c r="AI140" s="221">
        <f t="shared" si="43"/>
        <v>4.089185318643132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47610</v>
      </c>
      <c r="B141" s="406">
        <f>'2029'!Wh/'2029'!Env_an*'2030'!Env_an</f>
        <v>47.397053967741627</v>
      </c>
      <c r="C141" s="832"/>
      <c r="D141" s="388">
        <f t="shared" si="25"/>
        <v>49.443593291048543</v>
      </c>
      <c r="E141" s="380">
        <f t="shared" si="47"/>
        <v>50.627663531977028</v>
      </c>
      <c r="F141" s="380">
        <f t="shared" si="26"/>
        <v>50.627841442189634</v>
      </c>
      <c r="G141" s="110">
        <f t="shared" si="48"/>
        <v>0.80762581613163675</v>
      </c>
      <c r="H141" s="409" t="b">
        <f>Wh_hp&gt;='2029'!Maxi_hp</f>
        <v>0</v>
      </c>
      <c r="I141" s="385">
        <f>IF(H141,Wh_hp,'2029'!Maxi_hp)</f>
        <v>50.627900307832576</v>
      </c>
      <c r="J141" s="85">
        <f>IF(H141,An,'2029'!An_max)</f>
        <v>2029</v>
      </c>
      <c r="K141" s="193">
        <f t="shared" si="27"/>
        <v>47610</v>
      </c>
      <c r="L141" s="143">
        <f>IF(t&lt;Tvie,1-EXP((T0-t)*PertePVj)+'2029'!Pspv,1-EXP((T0-t)*PertePVj)+Pspv)</f>
        <v>4.1391395468772019E-2</v>
      </c>
      <c r="M141" s="836"/>
      <c r="N141" s="836"/>
      <c r="O141" s="48">
        <f>IF(t&lt;Tnet,'2029'!Resal+('2029'!Salim-'2029'!Resal)*(1-EXP(('2029'!Tnet-t)/('2029'!Tau_j))),Resal+(Salim-Resal)*(1-EXP((Tnet-t)/(Tau_j))))*Salcycl</f>
        <v>2.3387811293732876E-2</v>
      </c>
      <c r="P141" s="165">
        <f>(INDEX(Models!$BJ141:$BT141,,T141)*(1-R141)+INDEX(Models!$BJ141:$BT141,,T141+1)*R141-ERP_i)*Q141*Ramure*Pc/MaxiM</f>
        <v>4.8457933153840285E-6</v>
      </c>
      <c r="Q141" s="301">
        <f t="shared" si="28"/>
        <v>0.5</v>
      </c>
      <c r="R141" s="173">
        <f t="shared" si="29"/>
        <v>0.56742890667430723</v>
      </c>
      <c r="S141" s="802">
        <f t="shared" si="30"/>
        <v>0</v>
      </c>
      <c r="T141" s="172">
        <f t="shared" si="31"/>
        <v>6</v>
      </c>
      <c r="U141" s="247">
        <f t="shared" si="32"/>
        <v>0.56742890667430723</v>
      </c>
      <c r="V141" s="378">
        <f t="shared" si="33"/>
        <v>58.686819937463191</v>
      </c>
      <c r="W141" s="397">
        <f t="shared" si="34"/>
        <v>47.397053967741627</v>
      </c>
      <c r="X141" s="153">
        <f t="shared" si="35"/>
        <v>47610</v>
      </c>
      <c r="Y141" s="380">
        <f t="shared" si="36"/>
        <v>46.028963159159801</v>
      </c>
      <c r="Z141" s="380">
        <f t="shared" si="37"/>
        <v>48.016430211022943</v>
      </c>
      <c r="AA141" s="381">
        <f t="shared" si="38"/>
        <v>50.625907645758694</v>
      </c>
      <c r="AB141" s="193">
        <f t="shared" si="39"/>
        <v>47610</v>
      </c>
      <c r="AC141" s="119">
        <f>IF(OR(t&lt;Tnet,NoTnet),'2029'!Resal_s+('2029'!Salim-'2029'!Resal_s)*(1-EXP(('2029'!Tnet_s-t)/'2029'!Tau_j)),Resal_s+(Salim-Resal_s)*(1-EXP((Tnet_s-t)/Tau_j)))*Salcycl</f>
        <v>5.1544309150857594E-2</v>
      </c>
      <c r="AD141" s="227">
        <f>(INDEX(Models!$BJ141:$BT141,,AH141)*(1-AF141)+INDEX(Models!$BJ141:$BT141,,AH141+1)*AF141-ERP_i)*AE141*Ramure*Pc/MaxiM</f>
        <v>5.2671387892437752E-5</v>
      </c>
      <c r="AE141" s="301">
        <f t="shared" si="40"/>
        <v>0.5</v>
      </c>
      <c r="AF141" s="173">
        <f t="shared" si="41"/>
        <v>9.2416473048284153E-2</v>
      </c>
      <c r="AG141" s="802">
        <f t="shared" si="49"/>
        <v>4</v>
      </c>
      <c r="AH141" s="172">
        <f t="shared" si="42"/>
        <v>10</v>
      </c>
      <c r="AI141" s="221">
        <f t="shared" si="43"/>
        <v>4.0924164730482842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47611</v>
      </c>
      <c r="B142" s="406">
        <f>'2029'!Wh/'2029'!Env_an*'2030'!Env_an</f>
        <v>53.759422756711729</v>
      </c>
      <c r="C142" s="832"/>
      <c r="D142" s="388">
        <f t="shared" si="25"/>
        <v>56.081448084255264</v>
      </c>
      <c r="E142" s="380">
        <f t="shared" si="47"/>
        <v>57.42840998675679</v>
      </c>
      <c r="F142" s="380">
        <f t="shared" si="26"/>
        <v>57.428637097867508</v>
      </c>
      <c r="G142" s="110">
        <f t="shared" si="48"/>
        <v>0.91392035488916501</v>
      </c>
      <c r="H142" s="409" t="b">
        <f>Wh_hp&gt;='2029'!Maxi_hp</f>
        <v>0</v>
      </c>
      <c r="I142" s="385">
        <f>IF(H142,Wh_hp,'2029'!Maxi_hp)</f>
        <v>57.4286647399964</v>
      </c>
      <c r="J142" s="85">
        <f>IF(H142,An,'2029'!An_max)</f>
        <v>2029</v>
      </c>
      <c r="K142" s="193">
        <f t="shared" si="27"/>
        <v>47611</v>
      </c>
      <c r="L142" s="143">
        <f>IF(t&lt;Tvie,1-EXP((T0-t)*PertePVj)+'2029'!Pspv,1-EXP((T0-t)*PertePVj)+Pspv)</f>
        <v>4.1404518015565217E-2</v>
      </c>
      <c r="M142" s="836"/>
      <c r="N142" s="836"/>
      <c r="O142" s="48">
        <f>IF(t&lt;Tnet,'2029'!Resal+('2029'!Salim-'2029'!Resal)*(1-EXP(('2029'!Tnet-t)/('2029'!Tau_j))),Resal+(Salim-Resal)*(1-EXP((Tnet-t)/(Tau_j))))*Salcycl</f>
        <v>2.3454626426400151E-2</v>
      </c>
      <c r="P142" s="165">
        <f>(INDEX(Models!$BJ142:$BT142,,T142)*(1-R142)+INDEX(Models!$BJ142:$BT142,,T142+1)*R142-ERP_i)*Q142*Ramure*Pc/MaxiM</f>
        <v>4.5091586960641865E-6</v>
      </c>
      <c r="Q142" s="301">
        <f t="shared" si="28"/>
        <v>0.5</v>
      </c>
      <c r="R142" s="173">
        <f t="shared" si="29"/>
        <v>0.57074119247244015</v>
      </c>
      <c r="S142" s="802">
        <f t="shared" si="30"/>
        <v>0</v>
      </c>
      <c r="T142" s="172">
        <f t="shared" si="31"/>
        <v>6</v>
      </c>
      <c r="U142" s="247">
        <f t="shared" si="32"/>
        <v>0.57074119247244015</v>
      </c>
      <c r="V142" s="378">
        <f t="shared" si="33"/>
        <v>58.822842340497289</v>
      </c>
      <c r="W142" s="397">
        <f t="shared" si="34"/>
        <v>53.759422756711729</v>
      </c>
      <c r="X142" s="153">
        <f t="shared" si="35"/>
        <v>47611</v>
      </c>
      <c r="Y142" s="380">
        <f t="shared" si="36"/>
        <v>52.207817165690813</v>
      </c>
      <c r="Z142" s="380">
        <f t="shared" si="37"/>
        <v>54.462824149361616</v>
      </c>
      <c r="AA142" s="381">
        <f t="shared" si="38"/>
        <v>57.426143943482366</v>
      </c>
      <c r="AB142" s="193">
        <f t="shared" si="39"/>
        <v>47611</v>
      </c>
      <c r="AC142" s="119">
        <f>IF(OR(t&lt;Tnet,NoTnet),'2029'!Resal_s+('2029'!Salim-'2029'!Resal_s)*(1-EXP(('2029'!Tnet_s-t)/'2029'!Tau_j)),Resal_s+(Salim-Resal_s)*(1-EXP((Tnet_s-t)/Tau_j)))*Salcycl</f>
        <v>5.1602277127246993E-2</v>
      </c>
      <c r="AD142" s="227">
        <f>(INDEX(Models!$BJ142:$BT142,,AH142)*(1-AF142)+INDEX(Models!$BJ142:$BT142,,AH142+1)*AF142-ERP_i)*AE142*Ramure*Pc/MaxiM</f>
        <v>4.9500126791786756E-5</v>
      </c>
      <c r="AE142" s="301">
        <f t="shared" si="40"/>
        <v>0.5</v>
      </c>
      <c r="AF142" s="173">
        <f t="shared" si="41"/>
        <v>9.5728758846417072E-2</v>
      </c>
      <c r="AG142" s="802">
        <f t="shared" si="49"/>
        <v>4</v>
      </c>
      <c r="AH142" s="172">
        <f t="shared" si="42"/>
        <v>10</v>
      </c>
      <c r="AI142" s="221">
        <f t="shared" si="43"/>
        <v>4.0957287588464171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47612</v>
      </c>
      <c r="B143" s="406">
        <f>'2029'!Wh/'2029'!Env_an*'2030'!Env_an</f>
        <v>56.882333540379776</v>
      </c>
      <c r="C143" s="832"/>
      <c r="D143" s="388">
        <f t="shared" ref="D143:D206" si="50">Wh/(1-Ppv)</f>
        <v>59.340058754148686</v>
      </c>
      <c r="E143" s="380">
        <f t="shared" si="47"/>
        <v>60.769460888881298</v>
      </c>
      <c r="F143" s="380">
        <f t="shared" ref="F143:F206" si="51">Wh_sa/(1-Pvg*MEDIAN((-Sdif+Wh/Env_an)/Csdif,0,1))</f>
        <v>60.769703243633643</v>
      </c>
      <c r="G143" s="110">
        <f t="shared" si="48"/>
        <v>0.9648674697237376</v>
      </c>
      <c r="H143" s="409" t="b">
        <f>Wh_hp&gt;='2029'!Maxi_hp</f>
        <v>0</v>
      </c>
      <c r="I143" s="385">
        <f>IF(H143,Wh_hp,'2029'!Maxi_hp)</f>
        <v>60.7697142948535</v>
      </c>
      <c r="J143" s="85">
        <f>IF(H143,An,'2029'!An_max)</f>
        <v>2029</v>
      </c>
      <c r="K143" s="193">
        <f t="shared" ref="K143:K206" si="52">t</f>
        <v>47612</v>
      </c>
      <c r="L143" s="143">
        <f>IF(t&lt;Tvie,1-EXP((T0-t)*PertePVj)+'2029'!Pspv,1-EXP((T0-t)*PertePVj)+Pspv)</f>
        <v>4.1417640382721777E-2</v>
      </c>
      <c r="M143" s="836"/>
      <c r="N143" s="836"/>
      <c r="O143" s="48">
        <f>IF(t&lt;Tnet,'2029'!Resal+('2029'!Salim-'2029'!Resal)*(1-EXP(('2029'!Tnet-t)/('2029'!Tau_j))),Resal+(Salim-Resal)*(1-EXP((Tnet-t)/(Tau_j))))*Salcycl</f>
        <v>2.3521718208860027E-2</v>
      </c>
      <c r="P143" s="165">
        <f>(INDEX(Models!$BJ143:$BT143,,T143)*(1-R143)+INDEX(Models!$BJ143:$BT143,,T143+1)*R143-ERP_i)*Q143*Ramure*Pc/MaxiM</f>
        <v>4.1988199047043017E-6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0.57413480168978559</v>
      </c>
      <c r="S143" s="802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0.57413480168978559</v>
      </c>
      <c r="V143" s="378">
        <f t="shared" ref="V143:V206" si="58">MaxiM*(1-Ppv)*(1-Pvg)*(1-Psa)</f>
        <v>58.95350743821345</v>
      </c>
      <c r="W143" s="397">
        <f t="shared" ref="W143:W206" si="59">Wh*(A143&gt;Tmaj)</f>
        <v>56.882333540379776</v>
      </c>
      <c r="X143" s="153">
        <f t="shared" ref="X143:X206" si="60">t</f>
        <v>47612</v>
      </c>
      <c r="Y143" s="380">
        <f t="shared" ref="Y143:Y206" si="61">Wh_pvt_s*(1-Ppv)</f>
        <v>55.240935586087339</v>
      </c>
      <c r="Z143" s="380">
        <f t="shared" ref="Z143:Z206" si="62">Wh_sa_s*(1-Psa_s)</f>
        <v>57.627740623291601</v>
      </c>
      <c r="AA143" s="381">
        <f t="shared" ref="AA143:AA206" si="63">Wh_hp*(1-Pvg_s*MEDIAN((-Sdif+Wh/Env_an)/Csdif,0,1))</f>
        <v>60.767014894211187</v>
      </c>
      <c r="AB143" s="193">
        <f t="shared" ref="AB143:AB206" si="64">t</f>
        <v>47612</v>
      </c>
      <c r="AC143" s="119">
        <f>IF(OR(t&lt;Tnet,NoTnet),'2029'!Resal_s+('2029'!Salim-'2029'!Resal_s)*(1-EXP(('2029'!Tnet_s-t)/'2029'!Tau_j)),Resal_s+(Salim-Resal_s)*(1-EXP((Tnet_s-t)/Tau_j)))*Salcycl</f>
        <v>5.1660827447007569E-2</v>
      </c>
      <c r="AD143" s="227">
        <f>(INDEX(Models!$BJ143:$BT143,,AH143)*(1-AF143)+INDEX(Models!$BJ143:$BT143,,AH143+1)*AF143-ERP_i)*AE143*Ramure*Pc/MaxiM</f>
        <v>4.6575917973928433E-5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9.9122368063762956E-2</v>
      </c>
      <c r="AG143" s="802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4.099122368063763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47613</v>
      </c>
      <c r="B144" s="406">
        <f>'2029'!Wh/'2029'!Env_an*'2030'!Env_an</f>
        <v>55.717876823334962</v>
      </c>
      <c r="C144" s="832"/>
      <c r="D144" s="388">
        <f t="shared" si="50"/>
        <v>58.126084843629229</v>
      </c>
      <c r="E144" s="380">
        <f t="shared" ref="E144:E169" si="72">Wh_pvt/(1-Psa)</f>
        <v>59.530350938950541</v>
      </c>
      <c r="F144" s="380">
        <f t="shared" si="51"/>
        <v>59.530565075912712</v>
      </c>
      <c r="G144" s="110">
        <f t="shared" ref="G144:G169" si="73">+Wh_hp/MaxiM</f>
        <v>0.94310408324693706</v>
      </c>
      <c r="H144" s="409" t="b">
        <f>Wh_hp&gt;='2029'!Maxi_hp</f>
        <v>0</v>
      </c>
      <c r="I144" s="385">
        <f>IF(H144,Wh_hp,'2029'!Maxi_hp)</f>
        <v>59.530581326512973</v>
      </c>
      <c r="J144" s="85">
        <f>IF(H144,An,'2029'!An_max)</f>
        <v>2029</v>
      </c>
      <c r="K144" s="193">
        <f t="shared" si="52"/>
        <v>47613</v>
      </c>
      <c r="L144" s="143">
        <f>IF(t&lt;Tvie,1-EXP((T0-t)*PertePVj)+'2029'!Pspv,1-EXP((T0-t)*PertePVj)+Pspv)</f>
        <v>4.143076257024414E-2</v>
      </c>
      <c r="M144" s="836"/>
      <c r="N144" s="836"/>
      <c r="O144" s="48">
        <f>IF(t&lt;Tnet,'2029'!Resal+('2029'!Salim-'2029'!Resal)*(1-EXP(('2029'!Tnet-t)/('2029'!Tau_j))),Resal+(Salim-Resal)*(1-EXP((Tnet-t)/(Tau_j))))*Salcycl</f>
        <v>2.3589078061397848E-2</v>
      </c>
      <c r="P144" s="165">
        <f>(INDEX(Models!$BJ144:$BT144,,T144)*(1-R144)+INDEX(Models!$BJ144:$BT144,,T144+1)*R144-ERP_i)*Q144*Ramure*Pc/MaxiM</f>
        <v>3.9153284725410232E-6</v>
      </c>
      <c r="Q144" s="301">
        <f t="shared" si="53"/>
        <v>0.5</v>
      </c>
      <c r="R144" s="173">
        <f t="shared" si="54"/>
        <v>0.5776097952365038</v>
      </c>
      <c r="S144" s="802">
        <f t="shared" si="55"/>
        <v>0</v>
      </c>
      <c r="T144" s="172">
        <f t="shared" si="56"/>
        <v>6</v>
      </c>
      <c r="U144" s="247">
        <f t="shared" si="57"/>
        <v>0.5776097952365038</v>
      </c>
      <c r="V144" s="378">
        <f t="shared" si="58"/>
        <v>59.079225805092598</v>
      </c>
      <c r="W144" s="397">
        <f t="shared" si="59"/>
        <v>55.717876823334962</v>
      </c>
      <c r="X144" s="153">
        <f t="shared" si="60"/>
        <v>47613</v>
      </c>
      <c r="Y144" s="380">
        <f t="shared" si="61"/>
        <v>54.11063060538153</v>
      </c>
      <c r="Z144" s="380">
        <f t="shared" si="62"/>
        <v>56.449371096521098</v>
      </c>
      <c r="AA144" s="381">
        <f t="shared" si="63"/>
        <v>59.528164076476479</v>
      </c>
      <c r="AB144" s="193">
        <f t="shared" si="64"/>
        <v>47613</v>
      </c>
      <c r="AC144" s="119">
        <f>IF(OR(t&lt;Tnet,NoTnet),'2029'!Resal_s+('2029'!Salim-'2029'!Resal_s)*(1-EXP(('2029'!Tnet_s-t)/'2029'!Tau_j)),Resal_s+(Salim-Resal_s)*(1-EXP((Tnet_s-t)/Tau_j)))*Salcycl</f>
        <v>5.1719938414361705E-2</v>
      </c>
      <c r="AD144" s="227">
        <f>(INDEX(Models!$BJ144:$BT144,,AH144)*(1-AF144)+INDEX(Models!$BJ144:$BT144,,AH144+1)*AF144-ERP_i)*AE144*Ramure*Pc/MaxiM</f>
        <v>4.3900414762150301E-5</v>
      </c>
      <c r="AE144" s="301">
        <f t="shared" si="65"/>
        <v>0.5</v>
      </c>
      <c r="AF144" s="173">
        <f t="shared" si="66"/>
        <v>0.10259736161048139</v>
      </c>
      <c r="AG144" s="802">
        <f t="shared" ref="AG144:AG207" si="74">INDEX(Echel_vg,AH144)</f>
        <v>4</v>
      </c>
      <c r="AH144" s="172">
        <f t="shared" si="67"/>
        <v>10</v>
      </c>
      <c r="AI144" s="221">
        <f t="shared" si="68"/>
        <v>4.1025973616104814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47614</v>
      </c>
      <c r="B145" s="406">
        <f>'2029'!Wh/'2029'!Env_an*'2030'!Env_an</f>
        <v>59.436872223646361</v>
      </c>
      <c r="C145" s="832"/>
      <c r="D145" s="388">
        <f t="shared" si="50"/>
        <v>62.006669476505195</v>
      </c>
      <c r="E145" s="380">
        <f t="shared" si="72"/>
        <v>63.50908461830165</v>
      </c>
      <c r="F145" s="380">
        <f t="shared" si="51"/>
        <v>63.509317018832235</v>
      </c>
      <c r="G145" s="110">
        <f t="shared" si="73"/>
        <v>1.0039943016367112</v>
      </c>
      <c r="H145" s="409" t="b">
        <f>Wh_hp&gt;='2029'!Maxi_hp</f>
        <v>1</v>
      </c>
      <c r="I145" s="385">
        <f>IF(H145,Wh_hp,'2029'!Maxi_hp)</f>
        <v>63.509317018832235</v>
      </c>
      <c r="J145" s="85">
        <f>IF(H145,An,'2029'!An_max)</f>
        <v>2030</v>
      </c>
      <c r="K145" s="193">
        <f t="shared" si="52"/>
        <v>47614</v>
      </c>
      <c r="L145" s="143">
        <f>IF(t&lt;Tvie,1-EXP((T0-t)*PertePVj)+'2029'!Pspv,1-EXP((T0-t)*PertePVj)+Pspv)</f>
        <v>4.1443884578134749E-2</v>
      </c>
      <c r="M145" s="836"/>
      <c r="N145" s="836"/>
      <c r="O145" s="48">
        <f>IF(t&lt;Tnet,'2029'!Resal+('2029'!Salim-'2029'!Resal)*(1-EXP(('2029'!Tnet-t)/('2029'!Tau_j))),Resal+(Salim-Resal)*(1-EXP((Tnet-t)/(Tau_j))))*Salcycl</f>
        <v>2.3656696531310122E-2</v>
      </c>
      <c r="P145" s="165">
        <f>(INDEX(Models!$BJ145:$BT145,,T145)*(1-R145)+INDEX(Models!$BJ145:$BT145,,T145+1)*R145-ERP_i)*Q145*Ramure*Pc/MaxiM</f>
        <v>3.6593139636683613E-6</v>
      </c>
      <c r="Q145" s="301">
        <f t="shared" si="53"/>
        <v>0.5</v>
      </c>
      <c r="R145" s="173">
        <f t="shared" si="54"/>
        <v>0.58116609629486804</v>
      </c>
      <c r="S145" s="802">
        <f t="shared" si="55"/>
        <v>0</v>
      </c>
      <c r="T145" s="172">
        <f t="shared" si="56"/>
        <v>6</v>
      </c>
      <c r="U145" s="247">
        <f t="shared" si="57"/>
        <v>0.58116609629486804</v>
      </c>
      <c r="V145" s="378">
        <f t="shared" si="58"/>
        <v>59.200407937328322</v>
      </c>
      <c r="W145" s="397">
        <f t="shared" si="59"/>
        <v>59.436872223646361</v>
      </c>
      <c r="X145" s="153">
        <f t="shared" si="60"/>
        <v>47614</v>
      </c>
      <c r="Y145" s="380">
        <f t="shared" si="61"/>
        <v>57.722651488609593</v>
      </c>
      <c r="Z145" s="380">
        <f t="shared" si="62"/>
        <v>60.218333136610966</v>
      </c>
      <c r="AA145" s="381">
        <f t="shared" si="63"/>
        <v>63.506682923607933</v>
      </c>
      <c r="AB145" s="193">
        <f t="shared" si="64"/>
        <v>47614</v>
      </c>
      <c r="AC145" s="119">
        <f>IF(OR(t&lt;Tnet,NoTnet),'2029'!Resal_s+('2029'!Salim-'2029'!Resal_s)*(1-EXP(('2029'!Tnet_s-t)/'2029'!Tau_j)),Resal_s+(Salim-Resal_s)*(1-EXP((Tnet_s-t)/Tau_j)))*Salcycl</f>
        <v>5.1779586582289511E-2</v>
      </c>
      <c r="AD145" s="227">
        <f>(INDEX(Models!$BJ145:$BT145,,AH145)*(1-AF145)+INDEX(Models!$BJ145:$BT145,,AH145+1)*AF145-ERP_i)*AE145*Ramure*Pc/MaxiM</f>
        <v>4.1475729041806639E-5</v>
      </c>
      <c r="AE145" s="301">
        <f t="shared" si="65"/>
        <v>0.5</v>
      </c>
      <c r="AF145" s="173">
        <f t="shared" si="66"/>
        <v>0.10615366266884507</v>
      </c>
      <c r="AG145" s="802">
        <f t="shared" si="74"/>
        <v>4</v>
      </c>
      <c r="AH145" s="172">
        <f t="shared" si="67"/>
        <v>10</v>
      </c>
      <c r="AI145" s="221">
        <f t="shared" si="68"/>
        <v>4.1061536626688451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47615</v>
      </c>
      <c r="B146" s="406">
        <f>'2029'!Wh/'2029'!Env_an*'2030'!Env_an</f>
        <v>45.258328380068008</v>
      </c>
      <c r="C146" s="832"/>
      <c r="D146" s="388">
        <f t="shared" si="50"/>
        <v>47.215752118111361</v>
      </c>
      <c r="E146" s="380">
        <f t="shared" si="72"/>
        <v>48.363146651681603</v>
      </c>
      <c r="F146" s="380">
        <f t="shared" si="51"/>
        <v>48.363256417234268</v>
      </c>
      <c r="G146" s="110">
        <f t="shared" si="73"/>
        <v>0.76298399398053185</v>
      </c>
      <c r="H146" s="409" t="b">
        <f>Wh_hp&gt;='2029'!Maxi_hp</f>
        <v>0</v>
      </c>
      <c r="I146" s="385">
        <f>IF(H146,Wh_hp,'2029'!Maxi_hp)</f>
        <v>48.363304028487015</v>
      </c>
      <c r="J146" s="85">
        <f>IF(H146,An,'2029'!An_max)</f>
        <v>2029</v>
      </c>
      <c r="K146" s="193">
        <f t="shared" si="52"/>
        <v>47615</v>
      </c>
      <c r="L146" s="143">
        <f>IF(t&lt;Tvie,1-EXP((T0-t)*PertePVj)+'2029'!Pspv,1-EXP((T0-t)*PertePVj)+Pspv)</f>
        <v>4.1457006406396157E-2</v>
      </c>
      <c r="M146" s="836"/>
      <c r="N146" s="836"/>
      <c r="O146" s="48">
        <f>IF(t&lt;Tnet,'2029'!Resal+('2029'!Salim-'2029'!Resal)*(1-EXP(('2029'!Tnet-t)/('2029'!Tau_j))),Resal+(Salim-Resal)*(1-EXP((Tnet-t)/(Tau_j))))*Salcycl</f>
        <v>2.3724563288529284E-2</v>
      </c>
      <c r="P146" s="165">
        <f>(INDEX(Models!$BJ146:$BT146,,T146)*(1-R146)+INDEX(Models!$BJ146:$BT146,,T146+1)*R146-ERP_i)*Q146*Ramure*Pc/MaxiM</f>
        <v>3.4314823108655504E-6</v>
      </c>
      <c r="Q146" s="301">
        <f t="shared" si="53"/>
        <v>0.5</v>
      </c>
      <c r="R146" s="173">
        <f t="shared" si="54"/>
        <v>0.58480348394269677</v>
      </c>
      <c r="S146" s="802">
        <f t="shared" si="55"/>
        <v>0</v>
      </c>
      <c r="T146" s="172">
        <f t="shared" si="56"/>
        <v>6</v>
      </c>
      <c r="U146" s="247">
        <f t="shared" si="57"/>
        <v>0.58480348394269677</v>
      </c>
      <c r="V146" s="378">
        <f t="shared" si="58"/>
        <v>59.317464261954832</v>
      </c>
      <c r="W146" s="397">
        <f t="shared" si="59"/>
        <v>45.258328380068008</v>
      </c>
      <c r="X146" s="153">
        <f t="shared" si="60"/>
        <v>47615</v>
      </c>
      <c r="Y146" s="380">
        <f t="shared" si="61"/>
        <v>43.953917432408552</v>
      </c>
      <c r="Z146" s="380">
        <f t="shared" si="62"/>
        <v>45.854925367117978</v>
      </c>
      <c r="AA146" s="381">
        <f t="shared" si="63"/>
        <v>48.36199915603374</v>
      </c>
      <c r="AB146" s="193">
        <f t="shared" si="64"/>
        <v>47615</v>
      </c>
      <c r="AC146" s="119">
        <f>IF(OR(t&lt;Tnet,NoTnet),'2029'!Resal_s+('2029'!Salim-'2029'!Resal_s)*(1-EXP(('2029'!Tnet_s-t)/'2029'!Tau_j)),Resal_s+(Salim-Resal_s)*(1-EXP((Tnet_s-t)/Tau_j)))*Salcycl</f>
        <v>5.1839746757097675E-2</v>
      </c>
      <c r="AD146" s="227">
        <f>(INDEX(Models!$BJ146:$BT146,,AH146)*(1-AF146)+INDEX(Models!$BJ146:$BT146,,AH146+1)*AF146-ERP_i)*AE146*Ramure*Pc/MaxiM</f>
        <v>3.9304403476088852E-5</v>
      </c>
      <c r="AE146" s="301">
        <f t="shared" si="65"/>
        <v>0.5</v>
      </c>
      <c r="AF146" s="173">
        <f t="shared" si="66"/>
        <v>0.10979105031667391</v>
      </c>
      <c r="AG146" s="802">
        <f t="shared" si="74"/>
        <v>4</v>
      </c>
      <c r="AH146" s="172">
        <f t="shared" si="67"/>
        <v>10</v>
      </c>
      <c r="AI146" s="221">
        <f t="shared" si="68"/>
        <v>4.1097910503166739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47616</v>
      </c>
      <c r="B147" s="406">
        <f>'2029'!Wh/'2029'!Env_an*'2030'!Env_an</f>
        <v>47.95883914297842</v>
      </c>
      <c r="C147" s="832"/>
      <c r="D147" s="388">
        <f t="shared" si="50"/>
        <v>50.033744953262982</v>
      </c>
      <c r="E147" s="380">
        <f t="shared" si="72"/>
        <v>51.253195164914381</v>
      </c>
      <c r="F147" s="380">
        <f t="shared" si="51"/>
        <v>51.253315158899376</v>
      </c>
      <c r="G147" s="110">
        <f t="shared" si="73"/>
        <v>0.80696864679572</v>
      </c>
      <c r="H147" s="409" t="b">
        <f>Wh_hp&gt;='2029'!Maxi_hp</f>
        <v>0</v>
      </c>
      <c r="I147" s="385">
        <f>IF(H147,Wh_hp,'2029'!Maxi_hp)</f>
        <v>51.253353627075597</v>
      </c>
      <c r="J147" s="85">
        <f>IF(H147,An,'2029'!An_max)</f>
        <v>2029</v>
      </c>
      <c r="K147" s="193">
        <f t="shared" si="52"/>
        <v>47616</v>
      </c>
      <c r="L147" s="143">
        <f>IF(t&lt;Tvie,1-EXP((T0-t)*PertePVj)+'2029'!Pspv,1-EXP((T0-t)*PertePVj)+Pspv)</f>
        <v>4.1470128055030697E-2</v>
      </c>
      <c r="M147" s="836"/>
      <c r="N147" s="836"/>
      <c r="O147" s="48">
        <f>IF(t&lt;Tnet,'2029'!Resal+('2029'!Salim-'2029'!Resal)*(1-EXP(('2029'!Tnet-t)/('2029'!Tau_j))),Resal+(Salim-Resal)*(1-EXP((Tnet-t)/(Tau_j))))*Salcycl</f>
        <v>2.3792667124998647E-2</v>
      </c>
      <c r="P147" s="165">
        <f>(INDEX(Models!$BJ147:$BT147,,T147)*(1-R147)+INDEX(Models!$BJ147:$BT147,,T147+1)*R147-ERP_i)*Q147*Ramure*Pc/MaxiM</f>
        <v>3.2326139088525461E-6</v>
      </c>
      <c r="Q147" s="301">
        <f t="shared" si="53"/>
        <v>0.5</v>
      </c>
      <c r="R147" s="173">
        <f t="shared" si="54"/>
        <v>0.58852158706814894</v>
      </c>
      <c r="S147" s="802">
        <f t="shared" si="55"/>
        <v>0</v>
      </c>
      <c r="T147" s="172">
        <f t="shared" si="56"/>
        <v>6</v>
      </c>
      <c r="U147" s="247">
        <f t="shared" si="57"/>
        <v>0.58852158706814894</v>
      </c>
      <c r="V147" s="378">
        <f t="shared" si="58"/>
        <v>59.430805127158692</v>
      </c>
      <c r="W147" s="397">
        <f t="shared" si="59"/>
        <v>47.95883914297842</v>
      </c>
      <c r="X147" s="153">
        <f t="shared" si="60"/>
        <v>47616</v>
      </c>
      <c r="Y147" s="380">
        <f t="shared" si="61"/>
        <v>46.576818506754435</v>
      </c>
      <c r="Z147" s="380">
        <f t="shared" si="62"/>
        <v>48.591932155692362</v>
      </c>
      <c r="AA147" s="381">
        <f t="shared" si="63"/>
        <v>51.251927272453976</v>
      </c>
      <c r="AB147" s="193">
        <f t="shared" si="64"/>
        <v>47616</v>
      </c>
      <c r="AC147" s="119">
        <f>IF(OR(t&lt;Tnet,NoTnet),'2029'!Resal_s+('2029'!Salim-'2029'!Resal_s)*(1-EXP(('2029'!Tnet_s-t)/'2029'!Tau_j)),Resal_s+(Salim-Resal_s)*(1-EXP((Tnet_s-t)/Tau_j)))*Salcycl</f>
        <v>5.1900392011038854E-2</v>
      </c>
      <c r="AD147" s="227">
        <f>(INDEX(Models!$BJ147:$BT147,,AH147)*(1-AF147)+INDEX(Models!$BJ147:$BT147,,AH147+1)*AF147-ERP_i)*AE147*Ramure*Pc/MaxiM</f>
        <v>3.7389382703272844E-5</v>
      </c>
      <c r="AE147" s="301">
        <f t="shared" si="65"/>
        <v>0.5</v>
      </c>
      <c r="AF147" s="173">
        <f t="shared" si="66"/>
        <v>0.1135091534421262</v>
      </c>
      <c r="AG147" s="802">
        <f t="shared" si="74"/>
        <v>4</v>
      </c>
      <c r="AH147" s="172">
        <f t="shared" si="67"/>
        <v>10</v>
      </c>
      <c r="AI147" s="221">
        <f t="shared" si="68"/>
        <v>4.1135091534421262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47617</v>
      </c>
      <c r="B148" s="406">
        <f>'2029'!Wh/'2029'!Env_an*'2030'!Env_an</f>
        <v>53.691021460543759</v>
      </c>
      <c r="C148" s="832"/>
      <c r="D148" s="388">
        <f t="shared" si="50"/>
        <v>56.014692944993456</v>
      </c>
      <c r="E148" s="380">
        <f t="shared" si="72"/>
        <v>57.383930683078873</v>
      </c>
      <c r="F148" s="380">
        <f t="shared" si="51"/>
        <v>57.384081808288137</v>
      </c>
      <c r="G148" s="110">
        <f t="shared" si="73"/>
        <v>0.90175075874093102</v>
      </c>
      <c r="H148" s="409" t="b">
        <f>Wh_hp&gt;='2029'!Maxi_hp</f>
        <v>0</v>
      </c>
      <c r="I148" s="385">
        <f>IF(H148,Wh_hp,'2029'!Maxi_hp)</f>
        <v>57.384102451065466</v>
      </c>
      <c r="J148" s="85">
        <f>IF(H148,An,'2029'!An_max)</f>
        <v>2029</v>
      </c>
      <c r="K148" s="193">
        <f t="shared" si="52"/>
        <v>47617</v>
      </c>
      <c r="L148" s="143">
        <f>IF(t&lt;Tvie,1-EXP((T0-t)*PertePVj)+'2029'!Pspv,1-EXP((T0-t)*PertePVj)+Pspv)</f>
        <v>4.1483249524040922E-2</v>
      </c>
      <c r="M148" s="836"/>
      <c r="N148" s="836"/>
      <c r="O148" s="48">
        <f>IF(t&lt;Tnet,'2029'!Resal+('2029'!Salim-'2029'!Resal)*(1-EXP(('2029'!Tnet-t)/('2029'!Tau_j))),Resal+(Salim-Resal)*(1-EXP((Tnet-t)/(Tau_j))))*Salcycl</f>
        <v>2.3860995958040532E-2</v>
      </c>
      <c r="P148" s="165">
        <f>(INDEX(Models!$BJ148:$BT148,,T148)*(1-R148)+INDEX(Models!$BJ148:$BT148,,T148+1)*R148-ERP_i)*Q148*Ramure*Pc/MaxiM</f>
        <v>3.0635614211877858E-6</v>
      </c>
      <c r="Q148" s="301">
        <f t="shared" si="53"/>
        <v>0.5</v>
      </c>
      <c r="R148" s="173">
        <f t="shared" si="54"/>
        <v>0.59231987863375135</v>
      </c>
      <c r="S148" s="802">
        <f t="shared" si="55"/>
        <v>0</v>
      </c>
      <c r="T148" s="172">
        <f t="shared" si="56"/>
        <v>6</v>
      </c>
      <c r="U148" s="247">
        <f t="shared" si="57"/>
        <v>0.59231987863375135</v>
      </c>
      <c r="V148" s="378">
        <f t="shared" si="58"/>
        <v>59.540840807242112</v>
      </c>
      <c r="W148" s="397">
        <f t="shared" si="59"/>
        <v>53.691021460543759</v>
      </c>
      <c r="X148" s="153">
        <f t="shared" si="60"/>
        <v>47617</v>
      </c>
      <c r="Y148" s="380">
        <f t="shared" si="61"/>
        <v>52.143932386814313</v>
      </c>
      <c r="Z148" s="380">
        <f t="shared" si="62"/>
        <v>54.400648043888467</v>
      </c>
      <c r="AA148" s="381">
        <f t="shared" si="63"/>
        <v>57.382319054105878</v>
      </c>
      <c r="AB148" s="193">
        <f t="shared" si="64"/>
        <v>47617</v>
      </c>
      <c r="AC148" s="119">
        <f>IF(OR(t&lt;Tnet,NoTnet),'2029'!Resal_s+('2029'!Salim-'2029'!Resal_s)*(1-EXP(('2029'!Tnet_s-t)/'2029'!Tau_j)),Resal_s+(Salim-Resal_s)*(1-EXP((Tnet_s-t)/Tau_j)))*Salcycl</f>
        <v>5.1961493703417433E-2</v>
      </c>
      <c r="AD148" s="227">
        <f>(INDEX(Models!$BJ148:$BT148,,AH148)*(1-AF148)+INDEX(Models!$BJ148:$BT148,,AH148+1)*AF148-ERP_i)*AE148*Ramure*Pc/MaxiM</f>
        <v>3.5733983324479837E-5</v>
      </c>
      <c r="AE148" s="301">
        <f t="shared" si="65"/>
        <v>0.5</v>
      </c>
      <c r="AF148" s="173">
        <f t="shared" si="66"/>
        <v>0.11730744500772872</v>
      </c>
      <c r="AG148" s="802">
        <f t="shared" si="74"/>
        <v>4</v>
      </c>
      <c r="AH148" s="172">
        <f t="shared" si="67"/>
        <v>10</v>
      </c>
      <c r="AI148" s="221">
        <f t="shared" si="68"/>
        <v>4.1173074450077287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47618</v>
      </c>
      <c r="B149" s="406">
        <f>'2029'!Wh/'2029'!Env_an*'2030'!Env_an</f>
        <v>55.424341711982784</v>
      </c>
      <c r="C149" s="832"/>
      <c r="D149" s="388">
        <f t="shared" si="50"/>
        <v>57.823820405373283</v>
      </c>
      <c r="E149" s="380">
        <f t="shared" si="72"/>
        <v>59.241440641537515</v>
      </c>
      <c r="F149" s="380">
        <f t="shared" si="51"/>
        <v>59.241596417308564</v>
      </c>
      <c r="G149" s="110">
        <f t="shared" si="73"/>
        <v>0.92921310771244547</v>
      </c>
      <c r="H149" s="409" t="b">
        <f>Wh_hp&gt;='2029'!Maxi_hp</f>
        <v>0</v>
      </c>
      <c r="I149" s="385">
        <f>IF(H149,Wh_hp,'2029'!Maxi_hp)</f>
        <v>59.241610983913915</v>
      </c>
      <c r="J149" s="85">
        <f>IF(H149,An,'2029'!An_max)</f>
        <v>2029</v>
      </c>
      <c r="K149" s="193">
        <f t="shared" si="52"/>
        <v>47618</v>
      </c>
      <c r="L149" s="143">
        <f>IF(t&lt;Tvie,1-EXP((T0-t)*PertePVj)+'2029'!Pspv,1-EXP((T0-t)*PertePVj)+Pspv)</f>
        <v>4.1496370813429162E-2</v>
      </c>
      <c r="M149" s="836"/>
      <c r="N149" s="836"/>
      <c r="O149" s="48">
        <f>IF(t&lt;Tnet,'2029'!Resal+('2029'!Salim-'2029'!Resal)*(1-EXP(('2029'!Tnet-t)/('2029'!Tau_j))),Resal+(Salim-Resal)*(1-EXP((Tnet-t)/(Tau_j))))*Salcycl</f>
        <v>2.3929536837938786E-2</v>
      </c>
      <c r="P149" s="165">
        <f>(INDEX(Models!$BJ149:$BT149,,T149)*(1-R149)+INDEX(Models!$BJ149:$BT149,,T149+1)*R149-ERP_i)*Q149*Ramure*Pc/MaxiM</f>
        <v>2.9253190910908884E-6</v>
      </c>
      <c r="Q149" s="301">
        <f t="shared" si="53"/>
        <v>0.5</v>
      </c>
      <c r="R149" s="173">
        <f t="shared" si="54"/>
        <v>0.5961976703487909</v>
      </c>
      <c r="S149" s="802">
        <f t="shared" si="55"/>
        <v>0</v>
      </c>
      <c r="T149" s="172">
        <f t="shared" si="56"/>
        <v>6</v>
      </c>
      <c r="U149" s="247">
        <f t="shared" si="57"/>
        <v>0.5961976703487909</v>
      </c>
      <c r="V149" s="378">
        <f t="shared" si="58"/>
        <v>59.64651688222483</v>
      </c>
      <c r="W149" s="397">
        <f t="shared" si="59"/>
        <v>55.424341711982784</v>
      </c>
      <c r="X149" s="153">
        <f t="shared" si="60"/>
        <v>47618</v>
      </c>
      <c r="Y149" s="380">
        <f t="shared" si="61"/>
        <v>53.827585398821576</v>
      </c>
      <c r="Z149" s="380">
        <f t="shared" si="62"/>
        <v>56.157935932388781</v>
      </c>
      <c r="AA149" s="381">
        <f t="shared" si="63"/>
        <v>59.239767638528704</v>
      </c>
      <c r="AB149" s="193">
        <f t="shared" si="64"/>
        <v>47618</v>
      </c>
      <c r="AC149" s="119">
        <f>IF(OR(t&lt;Tnet,NoTnet),'2029'!Resal_s+('2029'!Salim-'2029'!Resal_s)*(1-EXP(('2029'!Tnet_s-t)/'2029'!Tau_j)),Resal_s+(Salim-Resal_s)*(1-EXP((Tnet_s-t)/Tau_j)))*Salcycl</f>
        <v>5.2023021510562775E-2</v>
      </c>
      <c r="AD149" s="227">
        <f>(INDEX(Models!$BJ149:$BT149,,AH149)*(1-AF149)+INDEX(Models!$BJ149:$BT149,,AH149+1)*AF149-ERP_i)*AE149*Ramure*Pc/MaxiM</f>
        <v>3.4342705814311522E-5</v>
      </c>
      <c r="AE149" s="301">
        <f t="shared" si="65"/>
        <v>0.5</v>
      </c>
      <c r="AF149" s="173">
        <f t="shared" si="66"/>
        <v>0.12118523672276815</v>
      </c>
      <c r="AG149" s="802">
        <f t="shared" si="74"/>
        <v>4</v>
      </c>
      <c r="AH149" s="172">
        <f t="shared" si="67"/>
        <v>10</v>
      </c>
      <c r="AI149" s="221">
        <f t="shared" si="68"/>
        <v>4.1211852367227682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47619</v>
      </c>
      <c r="B150" s="406">
        <f>'2029'!Wh/'2029'!Env_an*'2030'!Env_an</f>
        <v>54.169647892754604</v>
      </c>
      <c r="C150" s="832"/>
      <c r="D150" s="388">
        <f t="shared" si="50"/>
        <v>56.515580943462091</v>
      </c>
      <c r="E150" s="380">
        <f t="shared" si="72"/>
        <v>57.905206057957592</v>
      </c>
      <c r="F150" s="380">
        <f t="shared" si="51"/>
        <v>57.905347469823056</v>
      </c>
      <c r="G150" s="110">
        <f t="shared" si="73"/>
        <v>0.90665558193904505</v>
      </c>
      <c r="H150" s="409" t="b">
        <f>Wh_hp&gt;='2029'!Maxi_hp</f>
        <v>0</v>
      </c>
      <c r="I150" s="385">
        <f>IF(H150,Wh_hp,'2029'!Maxi_hp)</f>
        <v>57.905365437101423</v>
      </c>
      <c r="J150" s="85">
        <f>IF(H150,An,'2029'!An_max)</f>
        <v>2029</v>
      </c>
      <c r="K150" s="193">
        <f t="shared" si="52"/>
        <v>47619</v>
      </c>
      <c r="L150" s="143">
        <f>IF(t&lt;Tvie,1-EXP((T0-t)*PertePVj)+'2029'!Pspv,1-EXP((T0-t)*PertePVj)+Pspv)</f>
        <v>4.1509491923198083E-2</v>
      </c>
      <c r="M150" s="836"/>
      <c r="N150" s="836"/>
      <c r="O150" s="48">
        <f>IF(t&lt;Tnet,'2029'!Resal+('2029'!Salim-'2029'!Resal)*(1-EXP(('2029'!Tnet-t)/('2029'!Tau_j))),Resal+(Salim-Resal)*(1-EXP((Tnet-t)/(Tau_j))))*Salcycl</f>
        <v>2.3998275959930482E-2</v>
      </c>
      <c r="P150" s="165">
        <f>(INDEX(Models!$BJ150:$BT150,,T150)*(1-R150)+INDEX(Models!$BJ150:$BT150,,T150+1)*R150-ERP_i)*Q150*Ramure*Pc/MaxiM</f>
        <v>2.8178818355552144E-6</v>
      </c>
      <c r="Q150" s="301">
        <f t="shared" si="53"/>
        <v>0.5</v>
      </c>
      <c r="R150" s="173">
        <f t="shared" si="54"/>
        <v>0.60015410780991707</v>
      </c>
      <c r="S150" s="802">
        <f t="shared" si="55"/>
        <v>0</v>
      </c>
      <c r="T150" s="172">
        <f t="shared" si="56"/>
        <v>6</v>
      </c>
      <c r="U150" s="247">
        <f t="shared" si="57"/>
        <v>0.60015410780991707</v>
      </c>
      <c r="V150" s="378">
        <f t="shared" si="58"/>
        <v>59.746643176256278</v>
      </c>
      <c r="W150" s="397">
        <f t="shared" si="59"/>
        <v>54.169647892754604</v>
      </c>
      <c r="X150" s="153">
        <f t="shared" si="60"/>
        <v>47619</v>
      </c>
      <c r="Y150" s="380">
        <f t="shared" si="61"/>
        <v>52.609408955765154</v>
      </c>
      <c r="Z150" s="380">
        <f t="shared" si="62"/>
        <v>54.88777250525434</v>
      </c>
      <c r="AA150" s="381">
        <f t="shared" si="63"/>
        <v>57.903682536587311</v>
      </c>
      <c r="AB150" s="193">
        <f t="shared" si="64"/>
        <v>47619</v>
      </c>
      <c r="AC150" s="119">
        <f>IF(OR(t&lt;Tnet,NoTnet),'2029'!Resal_s+('2029'!Salim-'2029'!Resal_s)*(1-EXP(('2029'!Tnet_s-t)/'2029'!Tau_j)),Resal_s+(Salim-Resal_s)*(1-EXP((Tnet_s-t)/Tau_j)))*Salcycl</f>
        <v>5.2084943464991582E-2</v>
      </c>
      <c r="AD150" s="227">
        <f>(INDEX(Models!$BJ150:$BT150,,AH150)*(1-AF150)+INDEX(Models!$BJ150:$BT150,,AH150+1)*AF150-ERP_i)*AE150*Ramure*Pc/MaxiM</f>
        <v>3.3176743033331425E-5</v>
      </c>
      <c r="AE150" s="301">
        <f t="shared" si="65"/>
        <v>0.5</v>
      </c>
      <c r="AF150" s="173">
        <f t="shared" si="66"/>
        <v>0.12514167418389377</v>
      </c>
      <c r="AG150" s="802">
        <f t="shared" si="74"/>
        <v>4</v>
      </c>
      <c r="AH150" s="172">
        <f t="shared" si="67"/>
        <v>10</v>
      </c>
      <c r="AI150" s="221">
        <f t="shared" si="68"/>
        <v>4.1251416741838938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47620</v>
      </c>
      <c r="B151" s="406">
        <f>'2029'!Wh/'2029'!Env_an*'2030'!Env_an</f>
        <v>57.850685291295406</v>
      </c>
      <c r="C151" s="832"/>
      <c r="D151" s="388">
        <f t="shared" si="50"/>
        <v>60.356859814413205</v>
      </c>
      <c r="E151" s="380">
        <f t="shared" si="72"/>
        <v>61.845303009413371</v>
      </c>
      <c r="F151" s="380">
        <f t="shared" si="51"/>
        <v>61.845463336089267</v>
      </c>
      <c r="G151" s="110">
        <f t="shared" si="73"/>
        <v>0.9667329193284554</v>
      </c>
      <c r="H151" s="409" t="b">
        <f>Wh_hp&gt;='2029'!Maxi_hp</f>
        <v>0</v>
      </c>
      <c r="I151" s="385">
        <f>IF(H151,Wh_hp,'2029'!Maxi_hp)</f>
        <v>61.845469898094777</v>
      </c>
      <c r="J151" s="85">
        <f>IF(H151,An,'2029'!An_max)</f>
        <v>2029</v>
      </c>
      <c r="K151" s="193">
        <f t="shared" si="52"/>
        <v>47620</v>
      </c>
      <c r="L151" s="143">
        <f>IF(t&lt;Tvie,1-EXP((T0-t)*PertePVj)+'2029'!Pspv,1-EXP((T0-t)*PertePVj)+Pspv)</f>
        <v>4.1522612853350016E-2</v>
      </c>
      <c r="M151" s="836"/>
      <c r="N151" s="836"/>
      <c r="O151" s="48">
        <f>IF(t&lt;Tnet,'2029'!Resal+('2029'!Salim-'2029'!Resal)*(1-EXP(('2029'!Tnet-t)/('2029'!Tau_j))),Resal+(Salim-Resal)*(1-EXP((Tnet-t)/(Tau_j))))*Salcycl</f>
        <v>2.4067198680773071E-2</v>
      </c>
      <c r="P151" s="165">
        <f>(INDEX(Models!$BJ151:$BT151,,T151)*(1-R151)+INDEX(Models!$BJ151:$BT151,,T151+1)*R151-ERP_i)*Q151*Ramure*Pc/MaxiM</f>
        <v>2.7217234853170763E-6</v>
      </c>
      <c r="Q151" s="301">
        <f t="shared" si="53"/>
        <v>0.5</v>
      </c>
      <c r="R151" s="173">
        <f t="shared" si="54"/>
        <v>0.60418816616989091</v>
      </c>
      <c r="S151" s="802">
        <f t="shared" si="55"/>
        <v>0</v>
      </c>
      <c r="T151" s="172">
        <f t="shared" si="56"/>
        <v>6</v>
      </c>
      <c r="U151" s="247">
        <f t="shared" si="57"/>
        <v>0.60418816616989091</v>
      </c>
      <c r="V151" s="378">
        <f t="shared" si="58"/>
        <v>59.841427401276235</v>
      </c>
      <c r="W151" s="397">
        <f t="shared" si="59"/>
        <v>57.850685291295406</v>
      </c>
      <c r="X151" s="153">
        <f t="shared" si="60"/>
        <v>47620</v>
      </c>
      <c r="Y151" s="380">
        <f t="shared" si="61"/>
        <v>56.184603369848858</v>
      </c>
      <c r="Z151" s="380">
        <f t="shared" si="62"/>
        <v>58.618600838469696</v>
      </c>
      <c r="AA151" s="381">
        <f t="shared" si="63"/>
        <v>61.843571540486863</v>
      </c>
      <c r="AB151" s="193">
        <f t="shared" si="64"/>
        <v>47620</v>
      </c>
      <c r="AC151" s="119">
        <f>IF(OR(t&lt;Tnet,NoTnet),'2029'!Resal_s+('2029'!Salim-'2029'!Resal_s)*(1-EXP(('2029'!Tnet_s-t)/'2029'!Tau_j)),Resal_s+(Salim-Resal_s)*(1-EXP((Tnet_s-t)/Tau_j)))*Salcycl</f>
        <v>5.214722600401387E-2</v>
      </c>
      <c r="AD151" s="227">
        <f>(INDEX(Models!$BJ151:$BT151,,AH151)*(1-AF151)+INDEX(Models!$BJ151:$BT151,,AH151+1)*AF151-ERP_i)*AE151*Ramure*Pc/MaxiM</f>
        <v>3.2115332596948409E-5</v>
      </c>
      <c r="AE151" s="301">
        <f t="shared" si="65"/>
        <v>0.5</v>
      </c>
      <c r="AF151" s="173">
        <f t="shared" si="66"/>
        <v>0.12917573254386827</v>
      </c>
      <c r="AG151" s="802">
        <f t="shared" si="74"/>
        <v>4</v>
      </c>
      <c r="AH151" s="172">
        <f t="shared" si="67"/>
        <v>10</v>
      </c>
      <c r="AI151" s="221">
        <f t="shared" si="68"/>
        <v>4.1291757325438683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47621</v>
      </c>
      <c r="B152" s="406">
        <f>'2029'!Wh/'2029'!Env_an*'2030'!Env_an</f>
        <v>55.235802774338872</v>
      </c>
      <c r="C152" s="832"/>
      <c r="D152" s="388">
        <f t="shared" si="50"/>
        <v>57.629485741841009</v>
      </c>
      <c r="E152" s="380">
        <f t="shared" si="72"/>
        <v>59.054850717501338</v>
      </c>
      <c r="F152" s="380">
        <f t="shared" si="51"/>
        <v>59.054989025883891</v>
      </c>
      <c r="G152" s="110">
        <f t="shared" si="73"/>
        <v>0.9216551759125694</v>
      </c>
      <c r="H152" s="409" t="b">
        <f>Wh_hp&gt;='2029'!Maxi_hp</f>
        <v>0</v>
      </c>
      <c r="I152" s="385">
        <f>IF(H152,Wh_hp,'2029'!Maxi_hp)</f>
        <v>59.0550032284944</v>
      </c>
      <c r="J152" s="85">
        <f>IF(H152,An,'2029'!An_max)</f>
        <v>2029</v>
      </c>
      <c r="K152" s="193">
        <f t="shared" si="52"/>
        <v>47621</v>
      </c>
      <c r="L152" s="143">
        <f>IF(t&lt;Tvie,1-EXP((T0-t)*PertePVj)+'2029'!Pspv,1-EXP((T0-t)*PertePVj)+Pspv)</f>
        <v>4.1535733603887404E-2</v>
      </c>
      <c r="M152" s="836"/>
      <c r="N152" s="836"/>
      <c r="O152" s="48">
        <f>IF(t&lt;Tnet,'2029'!Resal+('2029'!Salim-'2029'!Resal)*(1-EXP(('2029'!Tnet-t)/('2029'!Tau_j))),Resal+(Salim-Resal)*(1-EXP((Tnet-t)/(Tau_j))))*Salcycl</f>
        <v>2.4136289540021019E-2</v>
      </c>
      <c r="P152" s="165">
        <f>(INDEX(Models!$BJ152:$BT152,,T152)*(1-R152)+INDEX(Models!$BJ152:$BT152,,T152+1)*R152-ERP_i)*Q152*Ramure*Pc/MaxiM</f>
        <v>2.6371826228554027E-6</v>
      </c>
      <c r="Q152" s="301">
        <f t="shared" si="53"/>
        <v>0.5</v>
      </c>
      <c r="R152" s="173">
        <f t="shared" si="54"/>
        <v>0.60829864639384801</v>
      </c>
      <c r="S152" s="802">
        <f t="shared" si="55"/>
        <v>0</v>
      </c>
      <c r="T152" s="172">
        <f t="shared" si="56"/>
        <v>6</v>
      </c>
      <c r="U152" s="247">
        <f t="shared" si="57"/>
        <v>0.60829864639384801</v>
      </c>
      <c r="V152" s="378">
        <f t="shared" si="58"/>
        <v>59.931076084344859</v>
      </c>
      <c r="W152" s="397">
        <f t="shared" si="59"/>
        <v>55.235802774338872</v>
      </c>
      <c r="X152" s="153">
        <f t="shared" si="60"/>
        <v>47621</v>
      </c>
      <c r="Y152" s="380">
        <f t="shared" si="61"/>
        <v>53.64542611121351</v>
      </c>
      <c r="Z152" s="380">
        <f t="shared" si="62"/>
        <v>55.970188970031998</v>
      </c>
      <c r="AA152" s="381">
        <f t="shared" si="63"/>
        <v>59.053354824197967</v>
      </c>
      <c r="AB152" s="193">
        <f t="shared" si="64"/>
        <v>47621</v>
      </c>
      <c r="AC152" s="119">
        <f>IF(OR(t&lt;Tnet,NoTnet),'2029'!Resal_s+('2029'!Salim-'2029'!Resal_s)*(1-EXP(('2029'!Tnet_s-t)/'2029'!Tau_j)),Resal_s+(Salim-Resal_s)*(1-EXP((Tnet_s-t)/Tau_j)))*Salcycl</f>
        <v>5.2209834027966195E-2</v>
      </c>
      <c r="AD152" s="227">
        <f>(INDEX(Models!$BJ152:$BT152,,AH152)*(1-AF152)+INDEX(Models!$BJ152:$BT152,,AH152+1)*AF152-ERP_i)*AE152*Ramure*Pc/MaxiM</f>
        <v>3.115999340542152E-5</v>
      </c>
      <c r="AE152" s="301">
        <f t="shared" si="65"/>
        <v>0.5</v>
      </c>
      <c r="AF152" s="173">
        <f t="shared" si="66"/>
        <v>0.13328621276782471</v>
      </c>
      <c r="AG152" s="802">
        <f t="shared" si="74"/>
        <v>4</v>
      </c>
      <c r="AH152" s="172">
        <f t="shared" si="67"/>
        <v>10</v>
      </c>
      <c r="AI152" s="221">
        <f t="shared" si="68"/>
        <v>4.1332862127678247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47622</v>
      </c>
      <c r="B153" s="406">
        <f>'2029'!Wh/'2029'!Env_an*'2030'!Env_an</f>
        <v>54.05607340251926</v>
      </c>
      <c r="C153" s="832"/>
      <c r="D153" s="388">
        <f t="shared" si="50"/>
        <v>56.399404015505858</v>
      </c>
      <c r="E153" s="380">
        <f t="shared" si="72"/>
        <v>57.798446170369836</v>
      </c>
      <c r="F153" s="380">
        <f t="shared" si="51"/>
        <v>57.798573373806754</v>
      </c>
      <c r="G153" s="110">
        <f t="shared" si="73"/>
        <v>0.90069710923675239</v>
      </c>
      <c r="H153" s="409" t="b">
        <f>Wh_hp&gt;='2029'!Maxi_hp</f>
        <v>0</v>
      </c>
      <c r="I153" s="385">
        <f>IF(H153,Wh_hp,'2029'!Maxi_hp)</f>
        <v>57.798590392687245</v>
      </c>
      <c r="J153" s="85">
        <f>IF(H153,An,'2029'!An_max)</f>
        <v>2029</v>
      </c>
      <c r="K153" s="193">
        <f t="shared" si="52"/>
        <v>47622</v>
      </c>
      <c r="L153" s="143">
        <f>IF(t&lt;Tvie,1-EXP((T0-t)*PertePVj)+'2029'!Pspv,1-EXP((T0-t)*PertePVj)+Pspv)</f>
        <v>4.1548854174812688E-2</v>
      </c>
      <c r="M153" s="836"/>
      <c r="N153" s="836"/>
      <c r="O153" s="48">
        <f>IF(t&lt;Tnet,'2029'!Resal+('2029'!Salim-'2029'!Resal)*(1-EXP(('2029'!Tnet-t)/('2029'!Tau_j))),Resal+(Salim-Resal)*(1-EXP((Tnet-t)/(Tau_j))))*Salcycl</f>
        <v>2.4205532286111678E-2</v>
      </c>
      <c r="P153" s="165">
        <f>(INDEX(Models!$BJ153:$BT153,,T153)*(1-R153)+INDEX(Models!$BJ153:$BT153,,T153+1)*R153-ERP_i)*Q153*Ramure*Pc/MaxiM</f>
        <v>2.5646256873468957E-6</v>
      </c>
      <c r="Q153" s="301">
        <f t="shared" si="53"/>
        <v>0.5</v>
      </c>
      <c r="R153" s="173">
        <f t="shared" si="54"/>
        <v>0.61248417216114448</v>
      </c>
      <c r="S153" s="802">
        <f t="shared" si="55"/>
        <v>0</v>
      </c>
      <c r="T153" s="172">
        <f t="shared" si="56"/>
        <v>6</v>
      </c>
      <c r="U153" s="247">
        <f t="shared" si="57"/>
        <v>0.61248417216114448</v>
      </c>
      <c r="V153" s="378">
        <f t="shared" si="58"/>
        <v>60.015795744708974</v>
      </c>
      <c r="W153" s="397">
        <f t="shared" si="59"/>
        <v>54.05607340251926</v>
      </c>
      <c r="X153" s="153">
        <f t="shared" si="60"/>
        <v>47622</v>
      </c>
      <c r="Y153" s="380">
        <f t="shared" si="61"/>
        <v>52.499985029426526</v>
      </c>
      <c r="Z153" s="380">
        <f t="shared" si="62"/>
        <v>54.775859216304845</v>
      </c>
      <c r="AA153" s="381">
        <f t="shared" si="63"/>
        <v>57.797069902043397</v>
      </c>
      <c r="AB153" s="193">
        <f t="shared" si="64"/>
        <v>47622</v>
      </c>
      <c r="AC153" s="119">
        <f>IF(OR(t&lt;Tnet,NoTnet),'2029'!Resal_s+('2029'!Salim-'2029'!Resal_s)*(1-EXP(('2029'!Tnet_s-t)/'2029'!Tau_j)),Resal_s+(Salim-Resal_s)*(1-EXP((Tnet_s-t)/Tau_j)))*Salcycl</f>
        <v>5.2272730968179061E-2</v>
      </c>
      <c r="AD153" s="227">
        <f>(INDEX(Models!$BJ153:$BT153,,AH153)*(1-AF153)+INDEX(Models!$BJ153:$BT153,,AH153+1)*AF153-ERP_i)*AE153*Ramure*Pc/MaxiM</f>
        <v>3.0312406628266097E-5</v>
      </c>
      <c r="AE153" s="301">
        <f t="shared" si="65"/>
        <v>0.5</v>
      </c>
      <c r="AF153" s="173">
        <f t="shared" si="66"/>
        <v>0.13747173853512162</v>
      </c>
      <c r="AG153" s="802">
        <f t="shared" si="74"/>
        <v>4</v>
      </c>
      <c r="AH153" s="172">
        <f t="shared" si="67"/>
        <v>10</v>
      </c>
      <c r="AI153" s="221">
        <f t="shared" si="68"/>
        <v>4.1374717385351216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47623</v>
      </c>
      <c r="B154" s="406">
        <f>'2029'!Wh/'2029'!Env_an*'2030'!Env_an</f>
        <v>51.374723039957459</v>
      </c>
      <c r="C154" s="832"/>
      <c r="D154" s="388">
        <f t="shared" si="50"/>
        <v>53.602550897018965</v>
      </c>
      <c r="E154" s="380">
        <f t="shared" si="72"/>
        <v>54.936120267162195</v>
      </c>
      <c r="F154" s="380">
        <f t="shared" si="51"/>
        <v>54.936229328794049</v>
      </c>
      <c r="G154" s="110">
        <f t="shared" si="73"/>
        <v>0.85488008231922386</v>
      </c>
      <c r="H154" s="409" t="b">
        <f>Wh_hp&gt;='2029'!Maxi_hp</f>
        <v>0</v>
      </c>
      <c r="I154" s="385">
        <f>IF(H154,Wh_hp,'2029'!Maxi_hp)</f>
        <v>54.936252257049425</v>
      </c>
      <c r="J154" s="85">
        <f>IF(H154,An,'2029'!An_max)</f>
        <v>2029</v>
      </c>
      <c r="K154" s="193">
        <f t="shared" si="52"/>
        <v>47623</v>
      </c>
      <c r="L154" s="143">
        <f>IF(t&lt;Tvie,1-EXP((T0-t)*PertePVj)+'2029'!Pspv,1-EXP((T0-t)*PertePVj)+Pspv)</f>
        <v>4.1561974566128423E-2</v>
      </c>
      <c r="M154" s="836"/>
      <c r="N154" s="836"/>
      <c r="O154" s="48">
        <f>IF(t&lt;Tnet,'2029'!Resal+('2029'!Salim-'2029'!Resal)*(1-EXP(('2029'!Tnet-t)/('2029'!Tau_j))),Resal+(Salim-Resal)*(1-EXP((Tnet-t)/(Tau_j))))*Salcycl</f>
        <v>2.427490990732312E-2</v>
      </c>
      <c r="P154" s="165">
        <f>(INDEX(Models!$BJ154:$BT154,,T154)*(1-R154)+INDEX(Models!$BJ154:$BT154,,T154+1)*R154-ERP_i)*Q154*Ramure*Pc/MaxiM</f>
        <v>2.5044461670403725E-6</v>
      </c>
      <c r="Q154" s="301">
        <f t="shared" si="53"/>
        <v>0.5</v>
      </c>
      <c r="R154" s="173">
        <f t="shared" si="54"/>
        <v>0.61674318746880508</v>
      </c>
      <c r="S154" s="802">
        <f t="shared" si="55"/>
        <v>0</v>
      </c>
      <c r="T154" s="172">
        <f t="shared" si="56"/>
        <v>6</v>
      </c>
      <c r="U154" s="247">
        <f t="shared" si="57"/>
        <v>0.61674318746880508</v>
      </c>
      <c r="V154" s="378">
        <f t="shared" si="58"/>
        <v>60.095792881834072</v>
      </c>
      <c r="W154" s="397">
        <f t="shared" si="59"/>
        <v>51.374723039957459</v>
      </c>
      <c r="X154" s="153">
        <f t="shared" si="60"/>
        <v>47623</v>
      </c>
      <c r="Y154" s="380">
        <f t="shared" si="61"/>
        <v>49.896161887343084</v>
      </c>
      <c r="Z154" s="380">
        <f t="shared" si="62"/>
        <v>52.05987300509679</v>
      </c>
      <c r="AA154" s="381">
        <f t="shared" si="63"/>
        <v>54.934941446057344</v>
      </c>
      <c r="AB154" s="193">
        <f t="shared" si="64"/>
        <v>47623</v>
      </c>
      <c r="AC154" s="119">
        <f>IF(OR(t&lt;Tnet,NoTnet),'2029'!Resal_s+('2029'!Salim-'2029'!Resal_s)*(1-EXP(('2029'!Tnet_s-t)/'2029'!Tau_j)),Resal_s+(Salim-Resal_s)*(1-EXP((Tnet_s-t)/Tau_j)))*Salcycl</f>
        <v>5.2335878864705587E-2</v>
      </c>
      <c r="AD154" s="227">
        <f>(INDEX(Models!$BJ154:$BT154,,AH154)*(1-AF154)+INDEX(Models!$BJ154:$BT154,,AH154+1)*AF154-ERP_i)*AE154*Ramure*Pc/MaxiM</f>
        <v>2.9574406038211715E-5</v>
      </c>
      <c r="AE154" s="301">
        <f t="shared" si="65"/>
        <v>0.5</v>
      </c>
      <c r="AF154" s="173">
        <f t="shared" si="66"/>
        <v>0.14173075384278189</v>
      </c>
      <c r="AG154" s="802">
        <f t="shared" si="74"/>
        <v>4</v>
      </c>
      <c r="AH154" s="172">
        <f t="shared" si="67"/>
        <v>10</v>
      </c>
      <c r="AI154" s="221">
        <f t="shared" si="68"/>
        <v>4.1417307538427819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47624</v>
      </c>
      <c r="B155" s="406">
        <f>'2029'!Wh/'2029'!Env_an*'2030'!Env_an</f>
        <v>53.800942315136794</v>
      </c>
      <c r="C155" s="832"/>
      <c r="D155" s="388">
        <f t="shared" si="50"/>
        <v>56.134749860935358</v>
      </c>
      <c r="E155" s="380">
        <f t="shared" si="72"/>
        <v>57.535415293561826</v>
      </c>
      <c r="F155" s="380">
        <f t="shared" si="51"/>
        <v>57.535535281066551</v>
      </c>
      <c r="G155" s="110">
        <f t="shared" si="73"/>
        <v>0.8941296861547684</v>
      </c>
      <c r="H155" s="409" t="b">
        <f>Wh_hp&gt;='2029'!Maxi_hp</f>
        <v>0</v>
      </c>
      <c r="I155" s="385">
        <f>IF(H155,Wh_hp,'2029'!Maxi_hp)</f>
        <v>57.535552350788613</v>
      </c>
      <c r="J155" s="85">
        <f>IF(H155,An,'2029'!An_max)</f>
        <v>2029</v>
      </c>
      <c r="K155" s="193">
        <f t="shared" si="52"/>
        <v>47624</v>
      </c>
      <c r="L155" s="143">
        <f>IF(t&lt;Tvie,1-EXP((T0-t)*PertePVj)+'2029'!Pspv,1-EXP((T0-t)*PertePVj)+Pspv)</f>
        <v>4.1575094777837052E-2</v>
      </c>
      <c r="M155" s="836"/>
      <c r="N155" s="836"/>
      <c r="O155" s="48">
        <f>IF(t&lt;Tnet,'2029'!Resal+('2029'!Salim-'2029'!Resal)*(1-EXP(('2029'!Tnet-t)/('2029'!Tau_j))),Resal+(Salim-Resal)*(1-EXP((Tnet-t)/(Tau_j))))*Salcycl</f>
        <v>2.4344404667627467E-2</v>
      </c>
      <c r="P155" s="165">
        <f>(INDEX(Models!$BJ155:$BT155,,T155)*(1-R155)+INDEX(Models!$BJ155:$BT155,,T155+1)*R155-ERP_i)*Q155*Ramure*Pc/MaxiM</f>
        <v>2.4570636570545793E-6</v>
      </c>
      <c r="Q155" s="301">
        <f t="shared" si="53"/>
        <v>0.5</v>
      </c>
      <c r="R155" s="173">
        <f t="shared" si="54"/>
        <v>0.62107395498974793</v>
      </c>
      <c r="S155" s="802">
        <f t="shared" si="55"/>
        <v>0</v>
      </c>
      <c r="T155" s="172">
        <f t="shared" si="56"/>
        <v>6</v>
      </c>
      <c r="U155" s="247">
        <f t="shared" si="57"/>
        <v>0.62107395498974793</v>
      </c>
      <c r="V155" s="378">
        <f t="shared" si="58"/>
        <v>60.171273982998883</v>
      </c>
      <c r="W155" s="397">
        <f t="shared" si="59"/>
        <v>53.800942315136794</v>
      </c>
      <c r="X155" s="153">
        <f t="shared" si="60"/>
        <v>47624</v>
      </c>
      <c r="Y155" s="380">
        <f t="shared" si="61"/>
        <v>52.252729199273062</v>
      </c>
      <c r="Z155" s="380">
        <f t="shared" si="62"/>
        <v>54.519377485459728</v>
      </c>
      <c r="AA155" s="381">
        <f t="shared" si="63"/>
        <v>57.534121644750329</v>
      </c>
      <c r="AB155" s="193">
        <f t="shared" si="64"/>
        <v>47624</v>
      </c>
      <c r="AC155" s="119">
        <f>IF(OR(t&lt;Tnet,NoTnet),'2029'!Resal_s+('2029'!Salim-'2029'!Resal_s)*(1-EXP(('2029'!Tnet_s-t)/'2029'!Tau_j)),Resal_s+(Salim-Resal_s)*(1-EXP((Tnet_s-t)/Tau_j)))*Salcycl</f>
        <v>5.2399238453754729E-2</v>
      </c>
      <c r="AD155" s="227">
        <f>(INDEX(Models!$BJ155:$BT155,,AH155)*(1-AF155)+INDEX(Models!$BJ155:$BT155,,AH155+1)*AF155-ERP_i)*AE155*Ramure*Pc/MaxiM</f>
        <v>2.8947967747771868E-5</v>
      </c>
      <c r="AE155" s="301">
        <f t="shared" si="65"/>
        <v>0.5</v>
      </c>
      <c r="AF155" s="173">
        <f t="shared" si="66"/>
        <v>0.14606152136372508</v>
      </c>
      <c r="AG155" s="802">
        <f t="shared" si="74"/>
        <v>4</v>
      </c>
      <c r="AH155" s="172">
        <f t="shared" si="67"/>
        <v>10</v>
      </c>
      <c r="AI155" s="221">
        <f t="shared" si="68"/>
        <v>4.1460615213637251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47625</v>
      </c>
      <c r="B156" s="406">
        <f>'2029'!Wh/'2029'!Env_an*'2030'!Env_an</f>
        <v>41.60109942800451</v>
      </c>
      <c r="C156" s="832"/>
      <c r="D156" s="388">
        <f t="shared" si="50"/>
        <v>43.406289520693605</v>
      </c>
      <c r="E156" s="380">
        <f t="shared" si="72"/>
        <v>44.4925300673316</v>
      </c>
      <c r="F156" s="380">
        <f t="shared" si="51"/>
        <v>44.492590151856071</v>
      </c>
      <c r="G156" s="110">
        <f t="shared" si="73"/>
        <v>0.69056052512643717</v>
      </c>
      <c r="H156" s="409" t="b">
        <f>Wh_hp&gt;='2029'!Maxi_hp</f>
        <v>0</v>
      </c>
      <c r="I156" s="385">
        <f>IF(H156,Wh_hp,'2029'!Maxi_hp)</f>
        <v>44.492627896286265</v>
      </c>
      <c r="J156" s="85">
        <f>IF(H156,An,'2029'!An_max)</f>
        <v>2029</v>
      </c>
      <c r="K156" s="193">
        <f t="shared" si="52"/>
        <v>47625</v>
      </c>
      <c r="L156" s="143">
        <f>IF(t&lt;Tvie,1-EXP((T0-t)*PertePVj)+'2029'!Pspv,1-EXP((T0-t)*PertePVj)+Pspv)</f>
        <v>4.1588214809941015E-2</v>
      </c>
      <c r="M156" s="836"/>
      <c r="N156" s="836"/>
      <c r="O156" s="48">
        <f>IF(t&lt;Tnet,'2029'!Resal+('2029'!Salim-'2029'!Resal)*(1-EXP(('2029'!Tnet-t)/('2029'!Tau_j))),Resal+(Salim-Resal)*(1-EXP((Tnet-t)/(Tau_j))))*Salcycl</f>
        <v>2.4413998147422955E-2</v>
      </c>
      <c r="P156" s="165">
        <f>(INDEX(Models!$BJ156:$BT156,,T156)*(1-R156)+INDEX(Models!$BJ156:$BT156,,T156+1)*R156-ERP_i)*Q156*Ramure*Pc/MaxiM</f>
        <v>2.4203814270319562E-6</v>
      </c>
      <c r="Q156" s="301">
        <f t="shared" si="53"/>
        <v>0.5</v>
      </c>
      <c r="R156" s="173">
        <f t="shared" si="54"/>
        <v>0.6254745552353036</v>
      </c>
      <c r="S156" s="802">
        <f t="shared" si="55"/>
        <v>0</v>
      </c>
      <c r="T156" s="172">
        <f t="shared" si="56"/>
        <v>6</v>
      </c>
      <c r="U156" s="247">
        <f t="shared" si="57"/>
        <v>0.6254745552353036</v>
      </c>
      <c r="V156" s="378">
        <f t="shared" si="58"/>
        <v>60.24244567055441</v>
      </c>
      <c r="W156" s="397">
        <f t="shared" si="59"/>
        <v>41.60109942800451</v>
      </c>
      <c r="X156" s="153">
        <f t="shared" si="60"/>
        <v>47625</v>
      </c>
      <c r="Y156" s="380">
        <f t="shared" si="61"/>
        <v>40.404453155348158</v>
      </c>
      <c r="Z156" s="380">
        <f t="shared" si="62"/>
        <v>42.157717360847876</v>
      </c>
      <c r="AA156" s="381">
        <f t="shared" si="63"/>
        <v>44.491884849878041</v>
      </c>
      <c r="AB156" s="193">
        <f t="shared" si="64"/>
        <v>47625</v>
      </c>
      <c r="AC156" s="119">
        <f>IF(OR(t&lt;Tnet,NoTnet),'2029'!Resal_s+('2029'!Salim-'2029'!Resal_s)*(1-EXP(('2029'!Tnet_s-t)/'2029'!Tau_j)),Resal_s+(Salim-Resal_s)*(1-EXP((Tnet_s-t)/Tau_j)))*Salcycl</f>
        <v>5.2462769264686814E-2</v>
      </c>
      <c r="AD156" s="227">
        <f>(INDEX(Models!$BJ156:$BT156,,AH156)*(1-AF156)+INDEX(Models!$BJ156:$BT156,,AH156+1)*AF156-ERP_i)*AE156*Ramure*Pc/MaxiM</f>
        <v>2.8411638822960083E-5</v>
      </c>
      <c r="AE156" s="301">
        <f t="shared" si="65"/>
        <v>0.5</v>
      </c>
      <c r="AF156" s="173">
        <f t="shared" si="66"/>
        <v>0.15046212160928096</v>
      </c>
      <c r="AG156" s="802">
        <f t="shared" si="74"/>
        <v>4</v>
      </c>
      <c r="AH156" s="172">
        <f t="shared" si="67"/>
        <v>10</v>
      </c>
      <c r="AI156" s="221">
        <f t="shared" si="68"/>
        <v>4.150462121609281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47626</v>
      </c>
      <c r="B157" s="406">
        <f>'2029'!Wh/'2029'!Env_an*'2030'!Env_an</f>
        <v>19.794443334933039</v>
      </c>
      <c r="C157" s="832"/>
      <c r="D157" s="388">
        <f t="shared" si="50"/>
        <v>20.653663293616173</v>
      </c>
      <c r="E157" s="380">
        <f t="shared" si="72"/>
        <v>21.172032374802722</v>
      </c>
      <c r="F157" s="380">
        <f t="shared" si="51"/>
        <v>21.172034404829045</v>
      </c>
      <c r="G157" s="110">
        <f t="shared" si="73"/>
        <v>0.328213517033135</v>
      </c>
      <c r="H157" s="409" t="b">
        <f>Wh_hp&gt;='2029'!Maxi_hp</f>
        <v>0</v>
      </c>
      <c r="I157" s="385">
        <f>IF(H157,Wh_hp,'2029'!Maxi_hp)</f>
        <v>21.172072462811972</v>
      </c>
      <c r="J157" s="85">
        <f>IF(H157,An,'2029'!An_max)</f>
        <v>2029</v>
      </c>
      <c r="K157" s="193">
        <f t="shared" si="52"/>
        <v>47626</v>
      </c>
      <c r="L157" s="143">
        <f>IF(t&lt;Tvie,1-EXP((T0-t)*PertePVj)+'2029'!Pspv,1-EXP((T0-t)*PertePVj)+Pspv)</f>
        <v>4.1601334662442646E-2</v>
      </c>
      <c r="M157" s="836"/>
      <c r="N157" s="836"/>
      <c r="O157" s="48">
        <f>IF(t&lt;Tnet,'2029'!Resal+('2029'!Salim-'2029'!Resal)*(1-EXP(('2029'!Tnet-t)/('2029'!Tau_j))),Resal+(Salim-Resal)*(1-EXP((Tnet-t)/(Tau_j))))*Salcycl</f>
        <v>2.4483671289085653E-2</v>
      </c>
      <c r="P157" s="165">
        <f>(INDEX(Models!$BJ157:$BT157,,T157)*(1-R157)+INDEX(Models!$BJ157:$BT157,,T157+1)*R157-ERP_i)*Q157*Ramure*Pc/MaxiM</f>
        <v>2.3788571127023301E-6</v>
      </c>
      <c r="Q157" s="301">
        <f t="shared" si="53"/>
        <v>0.5</v>
      </c>
      <c r="R157" s="173">
        <f t="shared" si="54"/>
        <v>0.62994288656707587</v>
      </c>
      <c r="S157" s="802">
        <f t="shared" si="55"/>
        <v>0</v>
      </c>
      <c r="T157" s="172">
        <f t="shared" si="56"/>
        <v>6</v>
      </c>
      <c r="U157" s="247">
        <f t="shared" si="57"/>
        <v>0.62994288656707587</v>
      </c>
      <c r="V157" s="378">
        <f t="shared" si="58"/>
        <v>60.309515353438535</v>
      </c>
      <c r="W157" s="397">
        <f t="shared" si="59"/>
        <v>19.794443334933039</v>
      </c>
      <c r="X157" s="153">
        <f t="shared" si="60"/>
        <v>47626</v>
      </c>
      <c r="Y157" s="380">
        <f t="shared" si="61"/>
        <v>19.225401083648418</v>
      </c>
      <c r="Z157" s="380">
        <f t="shared" si="62"/>
        <v>20.059920551826984</v>
      </c>
      <c r="AA157" s="381">
        <f t="shared" si="63"/>
        <v>21.172010683140307</v>
      </c>
      <c r="AB157" s="193">
        <f t="shared" si="64"/>
        <v>47626</v>
      </c>
      <c r="AC157" s="119">
        <f>IF(OR(t&lt;Tnet,NoTnet),'2029'!Resal_s+('2029'!Salim-'2029'!Resal_s)*(1-EXP(('2029'!Tnet_s-t)/'2029'!Tau_j)),Resal_s+(Salim-Resal_s)*(1-EXP((Tnet_s-t)/Tau_j)))*Salcycl</f>
        <v>5.2526429726341556E-2</v>
      </c>
      <c r="AD157" s="227">
        <f>(INDEX(Models!$BJ157:$BT157,,AH157)*(1-AF157)+INDEX(Models!$BJ157:$BT157,,AH157+1)*AF157-ERP_i)*AE157*Ramure*Pc/MaxiM</f>
        <v>2.7797919336024671E-5</v>
      </c>
      <c r="AE157" s="301">
        <f t="shared" si="65"/>
        <v>0.5</v>
      </c>
      <c r="AF157" s="173">
        <f t="shared" si="66"/>
        <v>0.1549304529410529</v>
      </c>
      <c r="AG157" s="802">
        <f t="shared" si="74"/>
        <v>4</v>
      </c>
      <c r="AH157" s="172">
        <f t="shared" si="67"/>
        <v>10</v>
      </c>
      <c r="AI157" s="221">
        <f t="shared" si="68"/>
        <v>4.1549304529410529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47627</v>
      </c>
      <c r="B158" s="406">
        <f>'2029'!Wh/'2029'!Env_an*'2030'!Env_an</f>
        <v>17.002900533122748</v>
      </c>
      <c r="C158" s="832"/>
      <c r="D158" s="388">
        <f t="shared" si="50"/>
        <v>17.741190494824263</v>
      </c>
      <c r="E158" s="380">
        <f t="shared" si="72"/>
        <v>18.187761970475457</v>
      </c>
      <c r="F158" s="380">
        <f t="shared" si="51"/>
        <v>18.187761970475457</v>
      </c>
      <c r="G158" s="110">
        <f t="shared" si="73"/>
        <v>0.28163166191985783</v>
      </c>
      <c r="H158" s="409" t="b">
        <f>Wh_hp&gt;='2029'!Maxi_hp</f>
        <v>0</v>
      </c>
      <c r="I158" s="385">
        <f>IF(H158,Wh_hp,'2029'!Maxi_hp)</f>
        <v>18.187795136243519</v>
      </c>
      <c r="J158" s="85">
        <f>IF(H158,An,'2029'!An_max)</f>
        <v>2029</v>
      </c>
      <c r="K158" s="193">
        <f t="shared" si="52"/>
        <v>47627</v>
      </c>
      <c r="L158" s="143">
        <f>IF(t&lt;Tvie,1-EXP((T0-t)*PertePVj)+'2029'!Pspv,1-EXP((T0-t)*PertePVj)+Pspv)</f>
        <v>4.1614454335344608E-2</v>
      </c>
      <c r="M158" s="836"/>
      <c r="N158" s="836"/>
      <c r="O158" s="48">
        <f>IF(t&lt;Tnet,'2029'!Resal+('2029'!Salim-'2029'!Resal)*(1-EXP(('2029'!Tnet-t)/('2029'!Tau_j))),Resal+(Salim-Resal)*(1-EXP((Tnet-t)/(Tau_j))))*Salcycl</f>
        <v>2.4553404447238913E-2</v>
      </c>
      <c r="P158" s="165">
        <f>(INDEX(Models!$BJ158:$BT158,,T158)*(1-R158)+INDEX(Models!$BJ158:$BT158,,T158+1)*R158-ERP_i)*Q158*Ramure*Pc/MaxiM</f>
        <v>2.332261510772414E-6</v>
      </c>
      <c r="Q158" s="301">
        <f t="shared" si="53"/>
        <v>0.5</v>
      </c>
      <c r="R158" s="173">
        <f t="shared" si="54"/>
        <v>0.63447666609790543</v>
      </c>
      <c r="S158" s="802">
        <f t="shared" si="55"/>
        <v>0</v>
      </c>
      <c r="T158" s="172">
        <f t="shared" si="56"/>
        <v>6</v>
      </c>
      <c r="U158" s="247">
        <f t="shared" si="57"/>
        <v>0.63447666609790543</v>
      </c>
      <c r="V158" s="378">
        <f t="shared" si="58"/>
        <v>60.37268949806738</v>
      </c>
      <c r="W158" s="397">
        <f t="shared" si="59"/>
        <v>17.002900533122748</v>
      </c>
      <c r="X158" s="153">
        <f t="shared" si="60"/>
        <v>47627</v>
      </c>
      <c r="Y158" s="380">
        <f t="shared" si="61"/>
        <v>16.51419468089151</v>
      </c>
      <c r="Z158" s="380">
        <f t="shared" si="62"/>
        <v>17.231264344078411</v>
      </c>
      <c r="AA158" s="381">
        <f t="shared" si="63"/>
        <v>18.187761970475457</v>
      </c>
      <c r="AB158" s="193">
        <f t="shared" si="64"/>
        <v>47627</v>
      </c>
      <c r="AC158" s="119">
        <f>IF(OR(t&lt;Tnet,NoTnet),'2029'!Resal_s+('2029'!Salim-'2029'!Resal_s)*(1-EXP(('2029'!Tnet_s-t)/'2029'!Tau_j)),Resal_s+(Salim-Resal_s)*(1-EXP((Tnet_s-t)/Tau_j)))*Salcycl</f>
        <v>5.2590177282380683E-2</v>
      </c>
      <c r="AD158" s="227">
        <f>(INDEX(Models!$BJ158:$BT158,,AH158)*(1-AF158)+INDEX(Models!$BJ158:$BT158,,AH158+1)*AF158-ERP_i)*AE158*Ramure*Pc/MaxiM</f>
        <v>2.7104833293544284E-5</v>
      </c>
      <c r="AE158" s="301">
        <f t="shared" si="65"/>
        <v>0.5</v>
      </c>
      <c r="AF158" s="173">
        <f t="shared" si="66"/>
        <v>0.15946423247188246</v>
      </c>
      <c r="AG158" s="802">
        <f t="shared" si="74"/>
        <v>4</v>
      </c>
      <c r="AH158" s="172">
        <f t="shared" si="67"/>
        <v>10</v>
      </c>
      <c r="AI158" s="221">
        <f t="shared" si="68"/>
        <v>4.1594642324718825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47628</v>
      </c>
      <c r="B159" s="406">
        <f>'2029'!Wh/'2029'!Env_an*'2030'!Env_an</f>
        <v>41.439007233335964</v>
      </c>
      <c r="C159" s="832"/>
      <c r="D159" s="388">
        <f t="shared" si="50"/>
        <v>43.238939374416994</v>
      </c>
      <c r="E159" s="380">
        <f t="shared" si="72"/>
        <v>44.33049706993274</v>
      </c>
      <c r="F159" s="380">
        <f t="shared" si="51"/>
        <v>44.330552772252574</v>
      </c>
      <c r="G159" s="110">
        <f t="shared" si="73"/>
        <v>0.68571030450564652</v>
      </c>
      <c r="H159" s="409" t="b">
        <f>Wh_hp&gt;='2029'!Maxi_hp</f>
        <v>0</v>
      </c>
      <c r="I159" s="385">
        <f>IF(H159,Wh_hp,'2029'!Maxi_hp)</f>
        <v>44.330588009494271</v>
      </c>
      <c r="J159" s="85">
        <f>IF(H159,An,'2029'!An_max)</f>
        <v>2029</v>
      </c>
      <c r="K159" s="193">
        <f t="shared" si="52"/>
        <v>47628</v>
      </c>
      <c r="L159" s="143">
        <f>IF(t&lt;Tvie,1-EXP((T0-t)*PertePVj)+'2029'!Pspv,1-EXP((T0-t)*PertePVj)+Pspv)</f>
        <v>4.1627573828649234E-2</v>
      </c>
      <c r="M159" s="836"/>
      <c r="N159" s="836"/>
      <c r="O159" s="48">
        <f>IF(t&lt;Tnet,'2029'!Resal+('2029'!Salim-'2029'!Resal)*(1-EXP(('2029'!Tnet-t)/('2029'!Tau_j))),Resal+(Salim-Resal)*(1-EXP((Tnet-t)/(Tau_j))))*Salcycl</f>
        <v>2.462317744359559E-2</v>
      </c>
      <c r="P159" s="165">
        <f>(INDEX(Models!$BJ159:$BT159,,T159)*(1-R159)+INDEX(Models!$BJ159:$BT159,,T159+1)*R159-ERP_i)*Q159*Ramure*Pc/MaxiM</f>
        <v>2.2803743320152371E-6</v>
      </c>
      <c r="Q159" s="301">
        <f t="shared" si="53"/>
        <v>0.5</v>
      </c>
      <c r="R159" s="173">
        <f t="shared" si="54"/>
        <v>0.63907343151562246</v>
      </c>
      <c r="S159" s="802">
        <f t="shared" si="55"/>
        <v>0</v>
      </c>
      <c r="T159" s="172">
        <f t="shared" si="56"/>
        <v>6</v>
      </c>
      <c r="U159" s="247">
        <f t="shared" si="57"/>
        <v>0.63907343151562246</v>
      </c>
      <c r="V159" s="378">
        <f t="shared" si="58"/>
        <v>60.43217454014782</v>
      </c>
      <c r="W159" s="397">
        <f t="shared" si="59"/>
        <v>41.439007233335964</v>
      </c>
      <c r="X159" s="153">
        <f t="shared" si="60"/>
        <v>47628</v>
      </c>
      <c r="Y159" s="380">
        <f t="shared" si="61"/>
        <v>40.247582172155745</v>
      </c>
      <c r="Z159" s="380">
        <f t="shared" si="62"/>
        <v>41.995763935887425</v>
      </c>
      <c r="AA159" s="381">
        <f t="shared" si="63"/>
        <v>44.329909600263093</v>
      </c>
      <c r="AB159" s="193">
        <f t="shared" si="64"/>
        <v>47628</v>
      </c>
      <c r="AC159" s="119">
        <f>IF(OR(t&lt;Tnet,NoTnet),'2029'!Resal_s+('2029'!Salim-'2029'!Resal_s)*(1-EXP(('2029'!Tnet_s-t)/'2029'!Tau_j)),Resal_s+(Salim-Resal_s)*(1-EXP((Tnet_s-t)/Tau_j)))*Salcycl</f>
        <v>5.2653968515239583E-2</v>
      </c>
      <c r="AD159" s="227">
        <f>(INDEX(Models!$BJ159:$BT159,,AH159)*(1-AF159)+INDEX(Models!$BJ159:$BT159,,AH159+1)*AF159-ERP_i)*AE159*Ramure*Pc/MaxiM</f>
        <v>2.6330553203589037E-5</v>
      </c>
      <c r="AE159" s="301">
        <f t="shared" si="65"/>
        <v>0.5</v>
      </c>
      <c r="AF159" s="173">
        <f t="shared" si="66"/>
        <v>0.16406099788959949</v>
      </c>
      <c r="AG159" s="802">
        <f t="shared" si="74"/>
        <v>4</v>
      </c>
      <c r="AH159" s="172">
        <f t="shared" si="67"/>
        <v>10</v>
      </c>
      <c r="AI159" s="221">
        <f t="shared" si="68"/>
        <v>4.1640609978895995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47629</v>
      </c>
      <c r="B160" s="406">
        <f>'2029'!Wh/'2029'!Env_an*'2030'!Env_an</f>
        <v>27.649150952381156</v>
      </c>
      <c r="C160" s="832"/>
      <c r="D160" s="388">
        <f t="shared" si="50"/>
        <v>28.850506020586163</v>
      </c>
      <c r="E160" s="380">
        <f t="shared" si="72"/>
        <v>29.58094745767221</v>
      </c>
      <c r="F160" s="380">
        <f t="shared" si="51"/>
        <v>29.580962215579433</v>
      </c>
      <c r="G160" s="110">
        <f t="shared" si="73"/>
        <v>0.45709929954244249</v>
      </c>
      <c r="H160" s="409" t="b">
        <f>Wh_hp&gt;='2029'!Maxi_hp</f>
        <v>0</v>
      </c>
      <c r="I160" s="385">
        <f>IF(H160,Wh_hp,'2029'!Maxi_hp)</f>
        <v>29.581001528563949</v>
      </c>
      <c r="J160" s="85">
        <f>IF(H160,An,'2029'!An_max)</f>
        <v>2029</v>
      </c>
      <c r="K160" s="193">
        <f t="shared" si="52"/>
        <v>47629</v>
      </c>
      <c r="L160" s="143">
        <f>IF(t&lt;Tvie,1-EXP((T0-t)*PertePVj)+'2029'!Pspv,1-EXP((T0-t)*PertePVj)+Pspv)</f>
        <v>4.1640693142358964E-2</v>
      </c>
      <c r="M160" s="836"/>
      <c r="N160" s="836"/>
      <c r="O160" s="48">
        <f>IF(t&lt;Tnet,'2029'!Resal+('2029'!Salim-'2029'!Resal)*(1-EXP(('2029'!Tnet-t)/('2029'!Tau_j))),Resal+(Salim-Resal)*(1-EXP((Tnet-t)/(Tau_j))))*Salcycl</f>
        <v>2.4692969626184058E-2</v>
      </c>
      <c r="P160" s="165">
        <f>(INDEX(Models!$BJ160:$BT160,,T160)*(1-R160)+INDEX(Models!$BJ160:$BT160,,T160+1)*R160-ERP_i)*Q160*Ramure*Pc/MaxiM</f>
        <v>2.222972508909278E-6</v>
      </c>
      <c r="Q160" s="301">
        <f t="shared" si="53"/>
        <v>0.5</v>
      </c>
      <c r="R160" s="173">
        <f t="shared" si="54"/>
        <v>0.64373054385645478</v>
      </c>
      <c r="S160" s="802">
        <f t="shared" si="55"/>
        <v>0</v>
      </c>
      <c r="T160" s="172">
        <f t="shared" si="56"/>
        <v>6</v>
      </c>
      <c r="U160" s="247">
        <f t="shared" si="57"/>
        <v>0.64373054385645478</v>
      </c>
      <c r="V160" s="378">
        <f t="shared" si="58"/>
        <v>60.488176881611039</v>
      </c>
      <c r="W160" s="397">
        <f t="shared" si="59"/>
        <v>27.649150952381156</v>
      </c>
      <c r="X160" s="153">
        <f t="shared" si="60"/>
        <v>47629</v>
      </c>
      <c r="Y160" s="380">
        <f t="shared" si="61"/>
        <v>26.854531121105513</v>
      </c>
      <c r="Z160" s="380">
        <f t="shared" si="62"/>
        <v>28.021359973180292</v>
      </c>
      <c r="AA160" s="381">
        <f t="shared" si="63"/>
        <v>29.580793103255843</v>
      </c>
      <c r="AB160" s="193">
        <f t="shared" si="64"/>
        <v>47629</v>
      </c>
      <c r="AC160" s="119">
        <f>IF(OR(t&lt;Tnet,NoTnet),'2029'!Resal_s+('2029'!Salim-'2029'!Resal_s)*(1-EXP(('2029'!Tnet_s-t)/'2029'!Tau_j)),Resal_s+(Salim-Resal_s)*(1-EXP((Tnet_s-t)/Tau_j)))*Salcycl</f>
        <v>5.2717759278195664E-2</v>
      </c>
      <c r="AD160" s="227">
        <f>(INDEX(Models!$BJ160:$BT160,,AH160)*(1-AF160)+INDEX(Models!$BJ160:$BT160,,AH160+1)*AF160-ERP_i)*AE160*Ramure*Pc/MaxiM</f>
        <v>2.5473262605897695E-5</v>
      </c>
      <c r="AE160" s="301">
        <f t="shared" si="65"/>
        <v>0.5</v>
      </c>
      <c r="AF160" s="173">
        <f t="shared" si="66"/>
        <v>0.16871811023043204</v>
      </c>
      <c r="AG160" s="802">
        <f t="shared" si="74"/>
        <v>4</v>
      </c>
      <c r="AH160" s="172">
        <f t="shared" si="67"/>
        <v>10</v>
      </c>
      <c r="AI160" s="221">
        <f t="shared" si="68"/>
        <v>4.168718110230432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47630</v>
      </c>
      <c r="B161" s="406">
        <f>'2029'!Wh/'2029'!Env_an*'2030'!Env_an</f>
        <v>43.293888898559878</v>
      </c>
      <c r="C161" s="832"/>
      <c r="D161" s="388">
        <f t="shared" si="50"/>
        <v>45.175625940977675</v>
      </c>
      <c r="E161" s="380">
        <f t="shared" si="72"/>
        <v>46.322703938029875</v>
      </c>
      <c r="F161" s="380">
        <f t="shared" si="51"/>
        <v>46.322763269859131</v>
      </c>
      <c r="G161" s="110">
        <f t="shared" si="73"/>
        <v>0.71511736333521092</v>
      </c>
      <c r="H161" s="409" t="b">
        <f>Wh_hp&gt;='2029'!Maxi_hp</f>
        <v>0</v>
      </c>
      <c r="I161" s="385">
        <f>IF(H161,Wh_hp,'2029'!Maxi_hp)</f>
        <v>46.322794432676091</v>
      </c>
      <c r="J161" s="85">
        <f>IF(H161,An,'2029'!An_max)</f>
        <v>2029</v>
      </c>
      <c r="K161" s="193">
        <f t="shared" si="52"/>
        <v>47630</v>
      </c>
      <c r="L161" s="143">
        <f>IF(t&lt;Tvie,1-EXP((T0-t)*PertePVj)+'2029'!Pspv,1-EXP((T0-t)*PertePVj)+Pspv)</f>
        <v>4.1653812276476354E-2</v>
      </c>
      <c r="M161" s="836"/>
      <c r="N161" s="836"/>
      <c r="O161" s="48">
        <f>IF(t&lt;Tnet,'2029'!Resal+('2029'!Salim-'2029'!Resal)*(1-EXP(('2029'!Tnet-t)/('2029'!Tau_j))),Resal+(Salim-Resal)*(1-EXP((Tnet-t)/(Tau_j))))*Salcycl</f>
        <v>2.4762759932726627E-2</v>
      </c>
      <c r="P161" s="165">
        <f>(INDEX(Models!$BJ161:$BT161,,T161)*(1-R161)+INDEX(Models!$BJ161:$BT161,,T161+1)*R161-ERP_i)*Q161*Ramure*Pc/MaxiM</f>
        <v>2.1598309644451846E-6</v>
      </c>
      <c r="Q161" s="301">
        <f t="shared" si="53"/>
        <v>0.5</v>
      </c>
      <c r="R161" s="173">
        <f t="shared" si="54"/>
        <v>0.64844519124743072</v>
      </c>
      <c r="S161" s="802">
        <f t="shared" si="55"/>
        <v>0</v>
      </c>
      <c r="T161" s="172">
        <f t="shared" si="56"/>
        <v>6</v>
      </c>
      <c r="U161" s="247">
        <f t="shared" si="57"/>
        <v>0.64844519124743072</v>
      </c>
      <c r="V161" s="378">
        <f t="shared" si="58"/>
        <v>60.540902882643977</v>
      </c>
      <c r="W161" s="397">
        <f t="shared" si="59"/>
        <v>43.293888898559878</v>
      </c>
      <c r="X161" s="153">
        <f t="shared" si="60"/>
        <v>47630</v>
      </c>
      <c r="Y161" s="380">
        <f t="shared" si="61"/>
        <v>42.049489655062168</v>
      </c>
      <c r="Z161" s="380">
        <f t="shared" si="62"/>
        <v>43.877139799499218</v>
      </c>
      <c r="AA161" s="381">
        <f t="shared" si="63"/>
        <v>46.322089384303005</v>
      </c>
      <c r="AB161" s="193">
        <f t="shared" si="64"/>
        <v>47630</v>
      </c>
      <c r="AC161" s="119">
        <f>IF(OR(t&lt;Tnet,NoTnet),'2029'!Resal_s+('2029'!Salim-'2029'!Resal_s)*(1-EXP(('2029'!Tnet_s-t)/'2029'!Tau_j)),Resal_s+(Salim-Resal_s)*(1-EXP((Tnet_s-t)/Tau_j)))*Salcycl</f>
        <v>5.2781504834976116E-2</v>
      </c>
      <c r="AD161" s="227">
        <f>(INDEX(Models!$BJ161:$BT161,,AH161)*(1-AF161)+INDEX(Models!$BJ161:$BT161,,AH161+1)*AF161-ERP_i)*AE161*Ramure*Pc/MaxiM</f>
        <v>2.4531164956525459E-5</v>
      </c>
      <c r="AE161" s="301">
        <f t="shared" si="65"/>
        <v>0.5</v>
      </c>
      <c r="AF161" s="173">
        <f t="shared" si="66"/>
        <v>0.17343275762140742</v>
      </c>
      <c r="AG161" s="802">
        <f t="shared" si="74"/>
        <v>4</v>
      </c>
      <c r="AH161" s="172">
        <f t="shared" si="67"/>
        <v>10</v>
      </c>
      <c r="AI161" s="221">
        <f t="shared" si="68"/>
        <v>4.1734327576214074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47631</v>
      </c>
      <c r="B162" s="406">
        <f>'2029'!Wh/'2029'!Env_an*'2030'!Env_an</f>
        <v>56.838105070823559</v>
      </c>
      <c r="C162" s="832"/>
      <c r="D162" s="388">
        <f t="shared" si="50"/>
        <v>59.309343403785064</v>
      </c>
      <c r="E162" s="380">
        <f t="shared" si="72"/>
        <v>60.819648976565432</v>
      </c>
      <c r="F162" s="380">
        <f t="shared" si="51"/>
        <v>60.819764883842858</v>
      </c>
      <c r="G162" s="110">
        <f t="shared" si="73"/>
        <v>0.93806849815780036</v>
      </c>
      <c r="H162" s="409" t="b">
        <f>Wh_hp&gt;='2029'!Maxi_hp</f>
        <v>0</v>
      </c>
      <c r="I162" s="385">
        <f>IF(H162,Wh_hp,'2029'!Maxi_hp)</f>
        <v>60.819773432151607</v>
      </c>
      <c r="J162" s="85">
        <f>IF(H162,An,'2029'!An_max)</f>
        <v>2029</v>
      </c>
      <c r="K162" s="193">
        <f t="shared" si="52"/>
        <v>47631</v>
      </c>
      <c r="L162" s="143">
        <f>IF(t&lt;Tvie,1-EXP((T0-t)*PertePVj)+'2029'!Pspv,1-EXP((T0-t)*PertePVj)+Pspv)</f>
        <v>4.1666931231003845E-2</v>
      </c>
      <c r="M162" s="836"/>
      <c r="N162" s="836"/>
      <c r="O162" s="48">
        <f>IF(t&lt;Tnet,'2029'!Resal+('2029'!Salim-'2029'!Resal)*(1-EXP(('2029'!Tnet-t)/('2029'!Tau_j))),Resal+(Salim-Resal)*(1-EXP((Tnet-t)/(Tau_j))))*Salcycl</f>
        <v>2.4832526957896606E-2</v>
      </c>
      <c r="P162" s="165">
        <f>(INDEX(Models!$BJ162:$BT162,,T162)*(1-R162)+INDEX(Models!$BJ162:$BT162,,T162+1)*R162-ERP_i)*Q162*Ramure*Pc/MaxiM</f>
        <v>2.0907234285302693E-6</v>
      </c>
      <c r="Q162" s="301">
        <f t="shared" si="53"/>
        <v>0.5</v>
      </c>
      <c r="R162" s="173">
        <f t="shared" si="54"/>
        <v>0.65321439362897304</v>
      </c>
      <c r="S162" s="802">
        <f t="shared" si="55"/>
        <v>0</v>
      </c>
      <c r="T162" s="172">
        <f t="shared" si="56"/>
        <v>6</v>
      </c>
      <c r="U162" s="247">
        <f t="shared" si="57"/>
        <v>0.65321439362897304</v>
      </c>
      <c r="V162" s="378">
        <f t="shared" si="58"/>
        <v>60.59055886525779</v>
      </c>
      <c r="W162" s="397">
        <f t="shared" si="59"/>
        <v>56.838105070823559</v>
      </c>
      <c r="X162" s="153">
        <f t="shared" si="60"/>
        <v>47631</v>
      </c>
      <c r="Y162" s="380">
        <f t="shared" si="61"/>
        <v>55.204297816486118</v>
      </c>
      <c r="Z162" s="380">
        <f t="shared" si="62"/>
        <v>57.604500580781881</v>
      </c>
      <c r="AA162" s="381">
        <f t="shared" si="63"/>
        <v>60.818461932963174</v>
      </c>
      <c r="AB162" s="193">
        <f t="shared" si="64"/>
        <v>47631</v>
      </c>
      <c r="AC162" s="119">
        <f>IF(OR(t&lt;Tnet,NoTnet),'2029'!Resal_s+('2029'!Salim-'2029'!Resal_s)*(1-EXP(('2029'!Tnet_s-t)/'2029'!Tau_j)),Resal_s+(Salim-Resal_s)*(1-EXP((Tnet_s-t)/Tau_j)))*Salcycl</f>
        <v>5.2845160006247158E-2</v>
      </c>
      <c r="AD162" s="227">
        <f>(INDEX(Models!$BJ162:$BT162,,AH162)*(1-AF162)+INDEX(Models!$BJ162:$BT162,,AH162+1)*AF162-ERP_i)*AE162*Ramure*Pc/MaxiM</f>
        <v>2.3502492602384047E-5</v>
      </c>
      <c r="AE162" s="301">
        <f t="shared" si="65"/>
        <v>0.5</v>
      </c>
      <c r="AF162" s="173">
        <f t="shared" si="66"/>
        <v>0.17820196000295052</v>
      </c>
      <c r="AG162" s="802">
        <f t="shared" si="74"/>
        <v>4</v>
      </c>
      <c r="AH162" s="172">
        <f t="shared" si="67"/>
        <v>10</v>
      </c>
      <c r="AI162" s="221">
        <f t="shared" si="68"/>
        <v>4.1782019600029505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47632</v>
      </c>
      <c r="B163" s="406">
        <f>'2029'!Wh/'2029'!Env_an*'2030'!Env_an</f>
        <v>61.81108045008088</v>
      </c>
      <c r="C163" s="832"/>
      <c r="D163" s="388">
        <f t="shared" si="50"/>
        <v>64.499419479333866</v>
      </c>
      <c r="E163" s="380">
        <f t="shared" si="72"/>
        <v>66.146619059252231</v>
      </c>
      <c r="F163" s="380">
        <f t="shared" si="51"/>
        <v>66.146752375052444</v>
      </c>
      <c r="G163" s="110">
        <f t="shared" si="73"/>
        <v>1.0193725542453584</v>
      </c>
      <c r="H163" s="409" t="b">
        <f>Wh_hp&gt;='2029'!Maxi_hp</f>
        <v>0</v>
      </c>
      <c r="I163" s="385">
        <f>IF(H163,Wh_hp,'2029'!Maxi_hp)</f>
        <v>66.146752375052472</v>
      </c>
      <c r="J163" s="85">
        <f>IF(H163,An,'2029'!An_max)</f>
        <v>2028</v>
      </c>
      <c r="K163" s="193">
        <f t="shared" si="52"/>
        <v>47632</v>
      </c>
      <c r="L163" s="143">
        <f>IF(t&lt;Tvie,1-EXP((T0-t)*PertePVj)+'2029'!Pspv,1-EXP((T0-t)*PertePVj)+Pspv)</f>
        <v>4.1680050005943881E-2</v>
      </c>
      <c r="M163" s="836"/>
      <c r="N163" s="836"/>
      <c r="O163" s="48">
        <f>IF(t&lt;Tnet,'2029'!Resal+('2029'!Salim-'2029'!Resal)*(1-EXP(('2029'!Tnet-t)/('2029'!Tau_j))),Resal+(Salim-Resal)*(1-EXP((Tnet-t)/(Tau_j))))*Salcycl</f>
        <v>2.4902249024139192E-2</v>
      </c>
      <c r="P163" s="165">
        <f>(INDEX(Models!$BJ163:$BT163,,T163)*(1-R163)+INDEX(Models!$BJ163:$BT163,,T163+1)*R163-ERP_i)*Q163*Ramure*Pc/MaxiM</f>
        <v>2.0154549606991894E-6</v>
      </c>
      <c r="Q163" s="301">
        <f t="shared" si="53"/>
        <v>0.5</v>
      </c>
      <c r="R163" s="173">
        <f t="shared" si="54"/>
        <v>0.65803500846019503</v>
      </c>
      <c r="S163" s="802">
        <f t="shared" si="55"/>
        <v>0</v>
      </c>
      <c r="T163" s="172">
        <f t="shared" si="56"/>
        <v>6</v>
      </c>
      <c r="U163" s="247">
        <f t="shared" si="57"/>
        <v>0.65803500846019503</v>
      </c>
      <c r="V163" s="378">
        <f t="shared" si="58"/>
        <v>60.636398530309293</v>
      </c>
      <c r="W163" s="397">
        <f t="shared" si="59"/>
        <v>61.81108045008088</v>
      </c>
      <c r="X163" s="153">
        <f t="shared" si="60"/>
        <v>47632</v>
      </c>
      <c r="Y163" s="380">
        <f t="shared" si="61"/>
        <v>60.034540389431854</v>
      </c>
      <c r="Z163" s="380">
        <f t="shared" si="62"/>
        <v>62.645612657655946</v>
      </c>
      <c r="AA163" s="381">
        <f t="shared" si="63"/>
        <v>66.145271622620129</v>
      </c>
      <c r="AB163" s="193">
        <f t="shared" si="64"/>
        <v>47632</v>
      </c>
      <c r="AC163" s="119">
        <f>IF(OR(t&lt;Tnet,NoTnet),'2029'!Resal_s+('2029'!Salim-'2029'!Resal_s)*(1-EXP(('2029'!Tnet_s-t)/'2029'!Tau_j)),Resal_s+(Salim-Resal_s)*(1-EXP((Tnet_s-t)/Tau_j)))*Salcycl</f>
        <v>5.2908679322247729E-2</v>
      </c>
      <c r="AD163" s="227">
        <f>(INDEX(Models!$BJ163:$BT163,,AH163)*(1-AF163)+INDEX(Models!$BJ163:$BT163,,AH163+1)*AF163-ERP_i)*AE163*Ramure*Pc/MaxiM</f>
        <v>2.2385867471087364E-5</v>
      </c>
      <c r="AE163" s="301">
        <f t="shared" si="65"/>
        <v>0.5</v>
      </c>
      <c r="AF163" s="173">
        <f t="shared" si="66"/>
        <v>0.1830225748341725</v>
      </c>
      <c r="AG163" s="802">
        <f t="shared" si="74"/>
        <v>4</v>
      </c>
      <c r="AH163" s="172">
        <f t="shared" si="67"/>
        <v>10</v>
      </c>
      <c r="AI163" s="221">
        <f t="shared" si="68"/>
        <v>4.1830225748341725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47633</v>
      </c>
      <c r="B164" s="406">
        <f>'2029'!Wh/'2029'!Env_an*'2030'!Env_an</f>
        <v>49.710749918397291</v>
      </c>
      <c r="C164" s="832"/>
      <c r="D164" s="388">
        <f t="shared" si="50"/>
        <v>51.873521391725589</v>
      </c>
      <c r="E164" s="380">
        <f t="shared" si="72"/>
        <v>53.202078604850279</v>
      </c>
      <c r="F164" s="380">
        <f t="shared" si="51"/>
        <v>53.202155085631048</v>
      </c>
      <c r="G164" s="110">
        <f t="shared" si="73"/>
        <v>0.819258888177536</v>
      </c>
      <c r="H164" s="409" t="b">
        <f>Wh_hp&gt;='2029'!Maxi_hp</f>
        <v>0</v>
      </c>
      <c r="I164" s="385">
        <f>IF(H164,Wh_hp,'2029'!Maxi_hp)</f>
        <v>53.202175022253925</v>
      </c>
      <c r="J164" s="85">
        <f>IF(H164,An,'2029'!An_max)</f>
        <v>2029</v>
      </c>
      <c r="K164" s="193">
        <f t="shared" si="52"/>
        <v>47633</v>
      </c>
      <c r="L164" s="143">
        <f>IF(t&lt;Tvie,1-EXP((T0-t)*PertePVj)+'2029'!Pspv,1-EXP((T0-t)*PertePVj)+Pspv)</f>
        <v>4.1693168601298902E-2</v>
      </c>
      <c r="M164" s="836"/>
      <c r="N164" s="836"/>
      <c r="O164" s="48">
        <f>IF(t&lt;Tnet,'2029'!Resal+('2029'!Salim-'2029'!Resal)*(1-EXP(('2029'!Tnet-t)/('2029'!Tau_j))),Resal+(Salim-Resal)*(1-EXP((Tnet-t)/(Tau_j))))*Salcycl</f>
        <v>2.4971904255702775E-2</v>
      </c>
      <c r="P164" s="165">
        <f>(INDEX(Models!$BJ164:$BT164,,T164)*(1-R164)+INDEX(Models!$BJ164:$BT164,,T164+1)*R164-ERP_i)*Q164*Ramure*Pc/MaxiM</f>
        <v>1.9379244679619732E-6</v>
      </c>
      <c r="Q164" s="301">
        <f t="shared" si="53"/>
        <v>0.5</v>
      </c>
      <c r="R164" s="173">
        <f t="shared" si="54"/>
        <v>0.66290373740028263</v>
      </c>
      <c r="S164" s="802">
        <f t="shared" si="55"/>
        <v>0</v>
      </c>
      <c r="T164" s="172">
        <f t="shared" si="56"/>
        <v>6</v>
      </c>
      <c r="U164" s="247">
        <f t="shared" si="57"/>
        <v>0.66290373740028263</v>
      </c>
      <c r="V164" s="378">
        <f t="shared" si="58"/>
        <v>60.67767559406721</v>
      </c>
      <c r="W164" s="397">
        <f t="shared" si="59"/>
        <v>49.710749918397291</v>
      </c>
      <c r="X164" s="153">
        <f t="shared" si="60"/>
        <v>47633</v>
      </c>
      <c r="Y164" s="380">
        <f t="shared" si="61"/>
        <v>48.282503210108558</v>
      </c>
      <c r="Z164" s="380">
        <f t="shared" si="62"/>
        <v>50.383135785057078</v>
      </c>
      <c r="AA164" s="381">
        <f t="shared" si="63"/>
        <v>53.201316855569303</v>
      </c>
      <c r="AB164" s="193">
        <f t="shared" si="64"/>
        <v>47633</v>
      </c>
      <c r="AC164" s="119">
        <f>IF(OR(t&lt;Tnet,NoTnet),'2029'!Resal_s+('2029'!Salim-'2029'!Resal_s)*(1-EXP(('2029'!Tnet_s-t)/'2029'!Tau_j)),Resal_s+(Salim-Resal_s)*(1-EXP((Tnet_s-t)/Tau_j)))*Salcycl</f>
        <v>5.2972017180759001E-2</v>
      </c>
      <c r="AD164" s="227">
        <f>(INDEX(Models!$BJ164:$BT164,,AH164)*(1-AF164)+INDEX(Models!$BJ164:$BT164,,AH164+1)*AF164-ERP_i)*AE164*Ramure*Pc/MaxiM</f>
        <v>2.1239670020023134E-5</v>
      </c>
      <c r="AE164" s="301">
        <f t="shared" si="65"/>
        <v>0.5</v>
      </c>
      <c r="AF164" s="173">
        <f t="shared" si="66"/>
        <v>0.18789130377425955</v>
      </c>
      <c r="AG164" s="802">
        <f t="shared" si="74"/>
        <v>4</v>
      </c>
      <c r="AH164" s="172">
        <f t="shared" si="67"/>
        <v>10</v>
      </c>
      <c r="AI164" s="221">
        <f t="shared" si="68"/>
        <v>4.1878913037742596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47634</v>
      </c>
      <c r="B165" s="406">
        <f>'2029'!Wh/'2029'!Env_an*'2030'!Env_an</f>
        <v>58.761524389592502</v>
      </c>
      <c r="C165" s="832"/>
      <c r="D165" s="388">
        <f t="shared" si="50"/>
        <v>61.318908382152031</v>
      </c>
      <c r="E165" s="380">
        <f t="shared" si="72"/>
        <v>62.893863212190496</v>
      </c>
      <c r="F165" s="380">
        <f t="shared" si="51"/>
        <v>62.893974779449344</v>
      </c>
      <c r="G165" s="110">
        <f t="shared" si="73"/>
        <v>0.96783183357152314</v>
      </c>
      <c r="H165" s="409" t="b">
        <f>Wh_hp&gt;='2029'!Maxi_hp</f>
        <v>0</v>
      </c>
      <c r="I165" s="385">
        <f>IF(H165,Wh_hp,'2029'!Maxi_hp)</f>
        <v>62.893978774830671</v>
      </c>
      <c r="J165" s="85">
        <f>IF(H165,An,'2029'!An_max)</f>
        <v>2029</v>
      </c>
      <c r="K165" s="193">
        <f t="shared" si="52"/>
        <v>47634</v>
      </c>
      <c r="L165" s="143">
        <f>IF(t&lt;Tvie,1-EXP((T0-t)*PertePVj)+'2029'!Pspv,1-EXP((T0-t)*PertePVj)+Pspv)</f>
        <v>4.1706287017071242E-2</v>
      </c>
      <c r="M165" s="836"/>
      <c r="N165" s="836"/>
      <c r="O165" s="48">
        <f>IF(t&lt;Tnet,'2029'!Resal+('2029'!Salim-'2029'!Resal)*(1-EXP(('2029'!Tnet-t)/('2029'!Tau_j))),Resal+(Salim-Resal)*(1-EXP((Tnet-t)/(Tau_j))))*Salcycl</f>
        <v>2.5041470655489891E-2</v>
      </c>
      <c r="P165" s="165">
        <f>(INDEX(Models!$BJ165:$BT165,,T165)*(1-R165)+INDEX(Models!$BJ165:$BT165,,T165+1)*R165-ERP_i)*Q165*Ramure*Pc/MaxiM</f>
        <v>1.8593390484416602E-6</v>
      </c>
      <c r="Q165" s="301">
        <f t="shared" si="53"/>
        <v>0.5</v>
      </c>
      <c r="R165" s="173">
        <f t="shared" si="54"/>
        <v>0.66781713394990927</v>
      </c>
      <c r="S165" s="802">
        <f t="shared" si="55"/>
        <v>0</v>
      </c>
      <c r="T165" s="172">
        <f t="shared" si="56"/>
        <v>6</v>
      </c>
      <c r="U165" s="247">
        <f t="shared" si="57"/>
        <v>0.66781713394990927</v>
      </c>
      <c r="V165" s="378">
        <f t="shared" si="58"/>
        <v>60.714596617340149</v>
      </c>
      <c r="W165" s="397">
        <f t="shared" si="59"/>
        <v>58.761524389592502</v>
      </c>
      <c r="X165" s="153">
        <f t="shared" si="60"/>
        <v>47634</v>
      </c>
      <c r="Y165" s="380">
        <f t="shared" si="61"/>
        <v>57.073330610384666</v>
      </c>
      <c r="Z165" s="380">
        <f t="shared" si="62"/>
        <v>59.557242040887083</v>
      </c>
      <c r="AA165" s="381">
        <f t="shared" si="63"/>
        <v>62.892768045029044</v>
      </c>
      <c r="AB165" s="193">
        <f t="shared" si="64"/>
        <v>47634</v>
      </c>
      <c r="AC165" s="119">
        <f>IF(OR(t&lt;Tnet,NoTnet),'2029'!Resal_s+('2029'!Salim-'2029'!Resal_s)*(1-EXP(('2029'!Tnet_s-t)/'2029'!Tau_j)),Resal_s+(Salim-Resal_s)*(1-EXP((Tnet_s-t)/Tau_j)))*Salcycl</f>
        <v>5.3035128009532716E-2</v>
      </c>
      <c r="AD165" s="227">
        <f>(INDEX(Models!$BJ165:$BT165,,AH165)*(1-AF165)+INDEX(Models!$BJ165:$BT165,,AH165+1)*AF165-ERP_i)*AE165*Ramure*Pc/MaxiM</f>
        <v>2.0110993601066812E-5</v>
      </c>
      <c r="AE165" s="301">
        <f t="shared" si="65"/>
        <v>0.5</v>
      </c>
      <c r="AF165" s="173">
        <f t="shared" si="66"/>
        <v>0.19280470032388664</v>
      </c>
      <c r="AG165" s="802">
        <f t="shared" si="74"/>
        <v>4</v>
      </c>
      <c r="AH165" s="172">
        <f t="shared" si="67"/>
        <v>10</v>
      </c>
      <c r="AI165" s="221">
        <f t="shared" si="68"/>
        <v>4.1928047003238866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47635</v>
      </c>
      <c r="B166" s="406">
        <f>'2029'!Wh/'2029'!Env_an*'2030'!Env_an</f>
        <v>61.265654852969199</v>
      </c>
      <c r="C166" s="832"/>
      <c r="D166" s="388">
        <f t="shared" si="50"/>
        <v>63.932897304636619</v>
      </c>
      <c r="E166" s="380">
        <f t="shared" si="72"/>
        <v>65.579663391245646</v>
      </c>
      <c r="F166" s="380">
        <f t="shared" si="51"/>
        <v>65.579780102115706</v>
      </c>
      <c r="G166" s="110">
        <f t="shared" si="73"/>
        <v>1.008531837726554</v>
      </c>
      <c r="H166" s="409" t="b">
        <f>Wh_hp&gt;='2029'!Maxi_hp</f>
        <v>1</v>
      </c>
      <c r="I166" s="385">
        <f>IF(H166,Wh_hp,'2029'!Maxi_hp)</f>
        <v>65.579780102115706</v>
      </c>
      <c r="J166" s="85">
        <f>IF(H166,An,'2029'!An_max)</f>
        <v>2030</v>
      </c>
      <c r="K166" s="193">
        <f t="shared" si="52"/>
        <v>47635</v>
      </c>
      <c r="L166" s="143">
        <f>IF(t&lt;Tvie,1-EXP((T0-t)*PertePVj)+'2029'!Pspv,1-EXP((T0-t)*PertePVj)+Pspv)</f>
        <v>4.1719405253263564E-2</v>
      </c>
      <c r="M166" s="836"/>
      <c r="N166" s="836"/>
      <c r="O166" s="48">
        <f>IF(t&lt;Tnet,'2029'!Resal+('2029'!Salim-'2029'!Resal)*(1-EXP(('2029'!Tnet-t)/('2029'!Tau_j))),Resal+(Salim-Resal)*(1-EXP((Tnet-t)/(Tau_j))))*Salcycl</f>
        <v>2.5110926184303224E-2</v>
      </c>
      <c r="P166" s="165">
        <f>(INDEX(Models!$BJ166:$BT166,,T166)*(1-R166)+INDEX(Models!$BJ166:$BT166,,T166+1)*R166-ERP_i)*Q166*Ramure*Pc/MaxiM</f>
        <v>1.7796776671124503E-6</v>
      </c>
      <c r="Q166" s="301">
        <f t="shared" si="53"/>
        <v>0.5</v>
      </c>
      <c r="R166" s="173">
        <f t="shared" si="54"/>
        <v>0.67277161202699154</v>
      </c>
      <c r="S166" s="802">
        <f t="shared" si="55"/>
        <v>0</v>
      </c>
      <c r="T166" s="172">
        <f t="shared" si="56"/>
        <v>6</v>
      </c>
      <c r="U166" s="247">
        <f t="shared" si="57"/>
        <v>0.67277161202699154</v>
      </c>
      <c r="V166" s="378">
        <f t="shared" si="58"/>
        <v>60.747368165466227</v>
      </c>
      <c r="W166" s="397">
        <f t="shared" si="59"/>
        <v>61.265654852969199</v>
      </c>
      <c r="X166" s="153">
        <f t="shared" si="60"/>
        <v>47635</v>
      </c>
      <c r="Y166" s="380">
        <f t="shared" si="61"/>
        <v>59.505820423082405</v>
      </c>
      <c r="Z166" s="380">
        <f t="shared" si="62"/>
        <v>62.096447271593945</v>
      </c>
      <c r="AA166" s="381">
        <f t="shared" si="63"/>
        <v>65.578534072448377</v>
      </c>
      <c r="AB166" s="193">
        <f t="shared" si="64"/>
        <v>47635</v>
      </c>
      <c r="AC166" s="119">
        <f>IF(OR(t&lt;Tnet,NoTnet),'2029'!Resal_s+('2029'!Salim-'2029'!Resal_s)*(1-EXP(('2029'!Tnet_s-t)/'2029'!Tau_j)),Resal_s+(Salim-Resal_s)*(1-EXP((Tnet_s-t)/Tau_j)))*Salcycl</f>
        <v>5.3097966432241003E-2</v>
      </c>
      <c r="AD166" s="227">
        <f>(INDEX(Models!$BJ166:$BT166,,AH166)*(1-AF166)+INDEX(Models!$BJ166:$BT166,,AH166+1)*AF166-ERP_i)*AE166*Ramure*Pc/MaxiM</f>
        <v>1.9000211122742245E-5</v>
      </c>
      <c r="AE166" s="301">
        <f t="shared" si="65"/>
        <v>0.5</v>
      </c>
      <c r="AF166" s="173">
        <f t="shared" si="66"/>
        <v>0.19775917840096913</v>
      </c>
      <c r="AG166" s="802">
        <f t="shared" si="74"/>
        <v>4</v>
      </c>
      <c r="AH166" s="172">
        <f t="shared" si="67"/>
        <v>10</v>
      </c>
      <c r="AI166" s="221">
        <f t="shared" si="68"/>
        <v>4.1977591784009691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47636</v>
      </c>
      <c r="B167" s="406">
        <f>'2029'!Wh/'2029'!Env_an*'2030'!Env_an</f>
        <v>44.12970451870148</v>
      </c>
      <c r="C167" s="832"/>
      <c r="D167" s="388">
        <f t="shared" si="50"/>
        <v>46.051551985387746</v>
      </c>
      <c r="E167" s="380">
        <f t="shared" si="72"/>
        <v>47.241094500479697</v>
      </c>
      <c r="F167" s="380">
        <f t="shared" si="51"/>
        <v>47.241143355583731</v>
      </c>
      <c r="G167" s="110">
        <f t="shared" si="73"/>
        <v>0.72610129549849323</v>
      </c>
      <c r="H167" s="409" t="b">
        <f>Wh_hp&gt;='2029'!Maxi_hp</f>
        <v>0</v>
      </c>
      <c r="I167" s="385">
        <f>IF(H167,Wh_hp,'2029'!Maxi_hp)</f>
        <v>47.241166364897694</v>
      </c>
      <c r="J167" s="85">
        <f>IF(H167,An,'2029'!An_max)</f>
        <v>2029</v>
      </c>
      <c r="K167" s="193">
        <f t="shared" si="52"/>
        <v>47636</v>
      </c>
      <c r="L167" s="143">
        <f>IF(t&lt;Tvie,1-EXP((T0-t)*PertePVj)+'2029'!Pspv,1-EXP((T0-t)*PertePVj)+Pspv)</f>
        <v>4.1732523309878311E-2</v>
      </c>
      <c r="M167" s="836"/>
      <c r="N167" s="836"/>
      <c r="O167" s="48">
        <f>IF(t&lt;Tnet,'2029'!Resal+('2029'!Salim-'2029'!Resal)*(1-EXP(('2029'!Tnet-t)/('2029'!Tau_j))),Resal+(Salim-Resal)*(1-EXP((Tnet-t)/(Tau_j))))*Salcycl</f>
        <v>2.5180248842030364E-2</v>
      </c>
      <c r="P167" s="165">
        <f>(INDEX(Models!$BJ167:$BT167,,T167)*(1-R167)+INDEX(Models!$BJ167:$BT167,,T167+1)*R167-ERP_i)*Q167*Ramure*Pc/MaxiM</f>
        <v>1.698925111982725E-6</v>
      </c>
      <c r="Q167" s="301">
        <f t="shared" si="53"/>
        <v>0.5</v>
      </c>
      <c r="R167" s="173">
        <f t="shared" si="54"/>
        <v>0.67776345544140415</v>
      </c>
      <c r="S167" s="802">
        <f t="shared" si="55"/>
        <v>0</v>
      </c>
      <c r="T167" s="172">
        <f t="shared" si="56"/>
        <v>6</v>
      </c>
      <c r="U167" s="247">
        <f t="shared" si="57"/>
        <v>0.67776345544140415</v>
      </c>
      <c r="V167" s="378">
        <f t="shared" si="58"/>
        <v>60.776196732546097</v>
      </c>
      <c r="W167" s="397">
        <f t="shared" si="59"/>
        <v>44.12970451870148</v>
      </c>
      <c r="X167" s="153">
        <f t="shared" si="60"/>
        <v>47636</v>
      </c>
      <c r="Y167" s="380">
        <f t="shared" si="61"/>
        <v>42.862627273492386</v>
      </c>
      <c r="Z167" s="380">
        <f t="shared" si="62"/>
        <v>44.729293559602901</v>
      </c>
      <c r="AA167" s="381">
        <f t="shared" si="63"/>
        <v>47.240628391735683</v>
      </c>
      <c r="AB167" s="193">
        <f t="shared" si="64"/>
        <v>47636</v>
      </c>
      <c r="AC167" s="119">
        <f>IF(OR(t&lt;Tnet,NoTnet),'2029'!Resal_s+('2029'!Salim-'2029'!Resal_s)*(1-EXP(('2029'!Tnet_s-t)/'2029'!Tau_j)),Resal_s+(Salim-Resal_s)*(1-EXP((Tnet_s-t)/Tau_j)))*Salcycl</f>
        <v>5.3160487436956234E-2</v>
      </c>
      <c r="AD167" s="227">
        <f>(INDEX(Models!$BJ167:$BT167,,AH167)*(1-AF167)+INDEX(Models!$BJ167:$BT167,,AH167+1)*AF167-ERP_i)*AE167*Ramure*Pc/MaxiM</f>
        <v>1.7907750491156508E-5</v>
      </c>
      <c r="AE167" s="301">
        <f t="shared" si="65"/>
        <v>0.5</v>
      </c>
      <c r="AF167" s="173">
        <f t="shared" si="66"/>
        <v>0.20275102181538163</v>
      </c>
      <c r="AG167" s="802">
        <f t="shared" si="74"/>
        <v>4</v>
      </c>
      <c r="AH167" s="172">
        <f t="shared" si="67"/>
        <v>10</v>
      </c>
      <c r="AI167" s="221">
        <f t="shared" si="68"/>
        <v>4.2027510218153816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47637</v>
      </c>
      <c r="B168" s="406">
        <f>'2029'!Wh/'2029'!Env_an*'2030'!Env_an</f>
        <v>58.429677706326856</v>
      </c>
      <c r="C168" s="832"/>
      <c r="D168" s="388">
        <f t="shared" si="50"/>
        <v>60.97512332602308</v>
      </c>
      <c r="E168" s="380">
        <f t="shared" si="72"/>
        <v>62.554590244756156</v>
      </c>
      <c r="F168" s="380">
        <f t="shared" si="51"/>
        <v>62.554685763534152</v>
      </c>
      <c r="G168" s="110">
        <f t="shared" si="73"/>
        <v>0.9609939798176933</v>
      </c>
      <c r="H168" s="409" t="b">
        <f>Wh_hp&gt;='2029'!Maxi_hp</f>
        <v>0</v>
      </c>
      <c r="I168" s="385">
        <f>IF(H168,Wh_hp,'2029'!Maxi_hp)</f>
        <v>62.554689863332811</v>
      </c>
      <c r="J168" s="85">
        <f>IF(H168,An,'2029'!An_max)</f>
        <v>2029</v>
      </c>
      <c r="K168" s="193">
        <f t="shared" si="52"/>
        <v>47637</v>
      </c>
      <c r="L168" s="143">
        <f>IF(t&lt;Tvie,1-EXP((T0-t)*PertePVj)+'2029'!Pspv,1-EXP((T0-t)*PertePVj)+Pspv)</f>
        <v>4.1745641186917815E-2</v>
      </c>
      <c r="M168" s="836"/>
      <c r="N168" s="836"/>
      <c r="O168" s="48">
        <f>IF(t&lt;Tnet,'2029'!Resal+('2029'!Salim-'2029'!Resal)*(1-EXP(('2029'!Tnet-t)/('2029'!Tau_j))),Resal+(Salim-Resal)*(1-EXP((Tnet-t)/(Tau_j))))*Salcycl</f>
        <v>2.5249416750283537E-2</v>
      </c>
      <c r="P168" s="165">
        <f>(INDEX(Models!$BJ168:$BT168,,T168)*(1-R168)+INDEX(Models!$BJ168:$BT168,,T168+1)*R168-ERP_i)*Q168*Ramure*Pc/MaxiM</f>
        <v>1.6170721219342834E-6</v>
      </c>
      <c r="Q168" s="301">
        <f t="shared" si="53"/>
        <v>0.5</v>
      </c>
      <c r="R168" s="173">
        <f t="shared" si="54"/>
        <v>0.68278882822367604</v>
      </c>
      <c r="S168" s="802">
        <f t="shared" si="55"/>
        <v>0</v>
      </c>
      <c r="T168" s="172">
        <f t="shared" si="56"/>
        <v>6</v>
      </c>
      <c r="U168" s="247">
        <f t="shared" si="57"/>
        <v>0.68278882822367604</v>
      </c>
      <c r="V168" s="378">
        <f t="shared" si="58"/>
        <v>60.801288736936669</v>
      </c>
      <c r="W168" s="397">
        <f t="shared" si="59"/>
        <v>58.429677706326856</v>
      </c>
      <c r="X168" s="153">
        <f t="shared" si="60"/>
        <v>47637</v>
      </c>
      <c r="Y168" s="380">
        <f t="shared" si="61"/>
        <v>56.752057064710051</v>
      </c>
      <c r="Z168" s="380">
        <f t="shared" si="62"/>
        <v>59.22441838407557</v>
      </c>
      <c r="AA168" s="381">
        <f t="shared" si="63"/>
        <v>62.553691391141577</v>
      </c>
      <c r="AB168" s="193">
        <f t="shared" si="64"/>
        <v>47637</v>
      </c>
      <c r="AC168" s="119">
        <f>IF(OR(t&lt;Tnet,NoTnet),'2029'!Resal_s+('2029'!Salim-'2029'!Resal_s)*(1-EXP(('2029'!Tnet_s-t)/'2029'!Tau_j)),Resal_s+(Salim-Resal_s)*(1-EXP((Tnet_s-t)/Tau_j)))*Salcycl</f>
        <v>5.3222646546123312E-2</v>
      </c>
      <c r="AD168" s="227">
        <f>(INDEX(Models!$BJ168:$BT168,,AH168)*(1-AF168)+INDEX(Models!$BJ168:$BT168,,AH168+1)*AF168-ERP_i)*AE168*Ramure*Pc/MaxiM</f>
        <v>1.6834091773327492E-5</v>
      </c>
      <c r="AE168" s="301">
        <f t="shared" si="65"/>
        <v>0.5</v>
      </c>
      <c r="AF168" s="173">
        <f t="shared" si="66"/>
        <v>0.20777639459765318</v>
      </c>
      <c r="AG168" s="802">
        <f t="shared" si="74"/>
        <v>4</v>
      </c>
      <c r="AH168" s="172">
        <f t="shared" si="67"/>
        <v>10</v>
      </c>
      <c r="AI168" s="221">
        <f t="shared" si="68"/>
        <v>4.2077763945976532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47638</v>
      </c>
      <c r="B169" s="406">
        <f>'2029'!Wh/'2029'!Env_an*'2030'!Env_an</f>
        <v>29.697107612499547</v>
      </c>
      <c r="C169" s="832"/>
      <c r="D169" s="388">
        <f t="shared" si="50"/>
        <v>30.991264347926851</v>
      </c>
      <c r="E169" s="380">
        <f t="shared" si="72"/>
        <v>31.796295949159916</v>
      </c>
      <c r="F169" s="380">
        <f t="shared" si="51"/>
        <v>31.796309067685229</v>
      </c>
      <c r="G169" s="110">
        <f t="shared" si="73"/>
        <v>0.4882552207806537</v>
      </c>
      <c r="H169" s="409" t="b">
        <f>Wh_hp&gt;='2029'!Maxi_hp</f>
        <v>0</v>
      </c>
      <c r="I169" s="385">
        <f>IF(H169,Wh_hp,'2029'!Maxi_hp)</f>
        <v>31.796334816212941</v>
      </c>
      <c r="J169" s="85">
        <f>IF(H169,An,'2029'!An_max)</f>
        <v>2029</v>
      </c>
      <c r="K169" s="193">
        <f t="shared" si="52"/>
        <v>47638</v>
      </c>
      <c r="L169" s="143">
        <f>IF(t&lt;Tvie,1-EXP((T0-t)*PertePVj)+'2029'!Pspv,1-EXP((T0-t)*PertePVj)+Pspv)</f>
        <v>4.1758758884384628E-2</v>
      </c>
      <c r="M169" s="836"/>
      <c r="N169" s="836"/>
      <c r="O169" s="48">
        <f>IF(t&lt;Tnet,'2029'!Resal+('2029'!Salim-'2029'!Resal)*(1-EXP(('2029'!Tnet-t)/('2029'!Tau_j))),Resal+(Salim-Resal)*(1-EXP((Tnet-t)/(Tau_j))))*Salcycl</f>
        <v>2.5318408235986221E-2</v>
      </c>
      <c r="P169" s="165">
        <f>(INDEX(Models!$BJ169:$BT169,,T169)*(1-R169)+INDEX(Models!$BJ169:$BT169,,T169+1)*R169-ERP_i)*Q169*Ramure*Pc/MaxiM</f>
        <v>1.5341154915125371E-6</v>
      </c>
      <c r="Q169" s="301">
        <f t="shared" si="53"/>
        <v>0.5</v>
      </c>
      <c r="R169" s="173">
        <f t="shared" si="54"/>
        <v>0.68784378575333582</v>
      </c>
      <c r="S169" s="802">
        <f t="shared" si="55"/>
        <v>0</v>
      </c>
      <c r="T169" s="172">
        <f t="shared" si="56"/>
        <v>6</v>
      </c>
      <c r="U169" s="247">
        <f t="shared" si="57"/>
        <v>0.68784378575333582</v>
      </c>
      <c r="V169" s="378">
        <f t="shared" si="58"/>
        <v>60.82285051381097</v>
      </c>
      <c r="W169" s="397">
        <f t="shared" si="59"/>
        <v>29.697107612499547</v>
      </c>
      <c r="X169" s="153">
        <f t="shared" si="60"/>
        <v>47638</v>
      </c>
      <c r="Y169" s="380">
        <f t="shared" si="61"/>
        <v>28.844914664466735</v>
      </c>
      <c r="Z169" s="380">
        <f t="shared" si="62"/>
        <v>30.101934071303958</v>
      </c>
      <c r="AA169" s="381">
        <f t="shared" si="63"/>
        <v>31.796174131797354</v>
      </c>
      <c r="AB169" s="193">
        <f t="shared" si="64"/>
        <v>47638</v>
      </c>
      <c r="AC169" s="119">
        <f>IF(OR(t&lt;Tnet,NoTnet),'2029'!Resal_s+('2029'!Salim-'2029'!Resal_s)*(1-EXP(('2029'!Tnet_s-t)/'2029'!Tau_j)),Resal_s+(Salim-Resal_s)*(1-EXP((Tnet_s-t)/Tau_j)))*Salcycl</f>
        <v>5.3284399986949761E-2</v>
      </c>
      <c r="AD169" s="227">
        <f>(INDEX(Models!$BJ169:$BT169,,AH169)*(1-AF169)+INDEX(Models!$BJ169:$BT169,,AH169+1)*AF169-ERP_i)*AE169*Ramure*Pc/MaxiM</f>
        <v>1.577976419042854E-5</v>
      </c>
      <c r="AE169" s="301">
        <f t="shared" si="65"/>
        <v>0.5</v>
      </c>
      <c r="AF169" s="173">
        <f t="shared" si="66"/>
        <v>0.21283135212731263</v>
      </c>
      <c r="AG169" s="802">
        <f t="shared" si="74"/>
        <v>4</v>
      </c>
      <c r="AH169" s="172">
        <f t="shared" si="67"/>
        <v>10</v>
      </c>
      <c r="AI169" s="221">
        <f t="shared" si="68"/>
        <v>4.2128313521273126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47639</v>
      </c>
      <c r="B170" s="406">
        <f>'2029'!Wh/'2029'!Env_an*'2030'!Env_an</f>
        <v>32.818203109290664</v>
      </c>
      <c r="C170" s="832"/>
      <c r="D170" s="388">
        <f t="shared" si="50"/>
        <v>34.248841482624158</v>
      </c>
      <c r="E170" s="380">
        <f t="shared" ref="E170:E232" si="75">Wh_pvt/(1-Psa)</f>
        <v>35.140972445603438</v>
      </c>
      <c r="F170" s="380">
        <f t="shared" si="51"/>
        <v>35.140989910286969</v>
      </c>
      <c r="G170" s="110">
        <f t="shared" ref="G170:G232" si="76">+Wh_hp/MaxiM</f>
        <v>0.53940803402046456</v>
      </c>
      <c r="H170" s="409" t="b">
        <f>Wh_hp&gt;='2029'!Maxi_hp</f>
        <v>0</v>
      </c>
      <c r="I170" s="385">
        <f>IF(H170,Wh_hp,'2029'!Maxi_hp)</f>
        <v>35.141013993918293</v>
      </c>
      <c r="J170" s="85">
        <f>IF(H170,An,'2029'!An_max)</f>
        <v>2029</v>
      </c>
      <c r="K170" s="193">
        <f t="shared" si="52"/>
        <v>47639</v>
      </c>
      <c r="L170" s="143">
        <f>IF(t&lt;Tvie,1-EXP((T0-t)*PertePVj)+'2029'!Pspv,1-EXP((T0-t)*PertePVj)+Pspv)</f>
        <v>4.1771876402281194E-2</v>
      </c>
      <c r="M170" s="836"/>
      <c r="N170" s="836"/>
      <c r="O170" s="48">
        <f>IF(t&lt;Tnet,'2029'!Resal+('2029'!Salim-'2029'!Resal)*(1-EXP(('2029'!Tnet-t)/('2029'!Tau_j))),Resal+(Salim-Resal)*(1-EXP((Tnet-t)/(Tau_j))))*Salcycl</f>
        <v>2.5387201915378372E-2</v>
      </c>
      <c r="P170" s="165">
        <f>(INDEX(Models!$BJ170:$BT170,,T170)*(1-R170)+INDEX(Models!$BJ170:$BT170,,T170+1)*R170-ERP_i)*Q170*Ramure*Pc/MaxiM</f>
        <v>1.4531321560072251E-6</v>
      </c>
      <c r="Q170" s="301">
        <f t="shared" si="53"/>
        <v>0.5</v>
      </c>
      <c r="R170" s="173">
        <f t="shared" si="54"/>
        <v>0.69292428662360783</v>
      </c>
      <c r="S170" s="802">
        <f t="shared" si="55"/>
        <v>0</v>
      </c>
      <c r="T170" s="172">
        <f t="shared" si="56"/>
        <v>6</v>
      </c>
      <c r="U170" s="247">
        <f t="shared" si="57"/>
        <v>0.69292428662360783</v>
      </c>
      <c r="V170" s="378">
        <f t="shared" si="58"/>
        <v>60.841088119810806</v>
      </c>
      <c r="W170" s="397">
        <f t="shared" si="59"/>
        <v>32.818203109290664</v>
      </c>
      <c r="X170" s="153">
        <f t="shared" si="60"/>
        <v>47639</v>
      </c>
      <c r="Y170" s="380">
        <f t="shared" si="61"/>
        <v>31.876609314180492</v>
      </c>
      <c r="Z170" s="380">
        <f t="shared" si="62"/>
        <v>33.266200948577939</v>
      </c>
      <c r="AA170" s="381">
        <f t="shared" si="63"/>
        <v>35.14081235293736</v>
      </c>
      <c r="AB170" s="193">
        <f t="shared" si="64"/>
        <v>47639</v>
      </c>
      <c r="AC170" s="119">
        <f>IF(OR(t&lt;Tnet,NoTnet),'2029'!Resal_s+('2029'!Salim-'2029'!Resal_s)*(1-EXP(('2029'!Tnet_s-t)/'2029'!Tau_j)),Resal_s+(Salim-Resal_s)*(1-EXP((Tnet_s-t)/Tau_j)))*Salcycl</f>
        <v>5.3345704861109233E-2</v>
      </c>
      <c r="AD170" s="227">
        <f>(INDEX(Models!$BJ170:$BT170,,AH170)*(1-AF170)+INDEX(Models!$BJ170:$BT170,,AH170+1)*AF170-ERP_i)*AE170*Ramure*Pc/MaxiM</f>
        <v>1.4773488095876853E-5</v>
      </c>
      <c r="AE170" s="301">
        <f t="shared" si="65"/>
        <v>0.5</v>
      </c>
      <c r="AF170" s="173">
        <f t="shared" si="66"/>
        <v>0.21791185299758453</v>
      </c>
      <c r="AG170" s="802">
        <f t="shared" si="74"/>
        <v>4</v>
      </c>
      <c r="AH170" s="172">
        <f t="shared" si="67"/>
        <v>10</v>
      </c>
      <c r="AI170" s="221">
        <f t="shared" si="68"/>
        <v>4.2179118529975845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47640</v>
      </c>
      <c r="B171" s="406">
        <f>'2029'!Wh/'2029'!Env_an*'2030'!Env_an</f>
        <v>52.481352071663558</v>
      </c>
      <c r="C171" s="832"/>
      <c r="D171" s="388">
        <f t="shared" si="50"/>
        <v>54.769912523637501</v>
      </c>
      <c r="E171" s="380">
        <f t="shared" si="75"/>
        <v>56.200540948827893</v>
      </c>
      <c r="F171" s="380">
        <f t="shared" si="51"/>
        <v>56.200603137428025</v>
      </c>
      <c r="G171" s="110">
        <f t="shared" si="76"/>
        <v>0.86238265586280782</v>
      </c>
      <c r="H171" s="409" t="b">
        <f>Wh_hp&gt;='2029'!Maxi_hp</f>
        <v>0</v>
      </c>
      <c r="I171" s="385">
        <f>IF(H171,Wh_hp,'2029'!Maxi_hp)</f>
        <v>56.200613965873593</v>
      </c>
      <c r="J171" s="85">
        <f>IF(H171,An,'2029'!An_max)</f>
        <v>2029</v>
      </c>
      <c r="K171" s="193">
        <f t="shared" si="52"/>
        <v>47640</v>
      </c>
      <c r="L171" s="143">
        <f>IF(t&lt;Tvie,1-EXP((T0-t)*PertePVj)+'2029'!Pspv,1-EXP((T0-t)*PertePVj)+Pspv)</f>
        <v>4.1784993740609844E-2</v>
      </c>
      <c r="M171" s="836"/>
      <c r="N171" s="836"/>
      <c r="O171" s="48">
        <f>IF(t&lt;Tnet,'2029'!Resal+('2029'!Salim-'2029'!Resal)*(1-EXP(('2029'!Tnet-t)/('2029'!Tau_j))),Resal+(Salim-Resal)*(1-EXP((Tnet-t)/(Tau_j))))*Salcycl</f>
        <v>2.5455776777896507E-2</v>
      </c>
      <c r="P171" s="165">
        <f>(INDEX(Models!$BJ171:$BT171,,T171)*(1-R171)+INDEX(Models!$BJ171:$BT171,,T171+1)*R171-ERP_i)*Q171*Ramure*Pc/MaxiM</f>
        <v>1.377322828789964E-6</v>
      </c>
      <c r="Q171" s="301">
        <f t="shared" si="53"/>
        <v>0.5</v>
      </c>
      <c r="R171" s="173">
        <f t="shared" si="54"/>
        <v>0.69802620517074776</v>
      </c>
      <c r="S171" s="802">
        <f t="shared" si="55"/>
        <v>0</v>
      </c>
      <c r="T171" s="172">
        <f t="shared" si="56"/>
        <v>6</v>
      </c>
      <c r="U171" s="247">
        <f t="shared" si="57"/>
        <v>0.69802620517074776</v>
      </c>
      <c r="V171" s="378">
        <f t="shared" si="58"/>
        <v>60.856207513184415</v>
      </c>
      <c r="W171" s="397">
        <f t="shared" si="59"/>
        <v>52.481352071663558</v>
      </c>
      <c r="X171" s="153">
        <f t="shared" si="60"/>
        <v>47640</v>
      </c>
      <c r="Y171" s="380">
        <f t="shared" si="61"/>
        <v>50.97563253748627</v>
      </c>
      <c r="Z171" s="380">
        <f t="shared" si="62"/>
        <v>53.198532901797506</v>
      </c>
      <c r="AA171" s="381">
        <f t="shared" si="63"/>
        <v>56.199978118555876</v>
      </c>
      <c r="AB171" s="193">
        <f t="shared" si="64"/>
        <v>47640</v>
      </c>
      <c r="AC171" s="119">
        <f>IF(OR(t&lt;Tnet,NoTnet),'2029'!Resal_s+('2029'!Salim-'2029'!Resal_s)*(1-EXP(('2029'!Tnet_s-t)/'2029'!Tau_j)),Resal_s+(Salim-Resal_s)*(1-EXP((Tnet_s-t)/Tau_j)))*Salcycl</f>
        <v>5.3406519312635833E-2</v>
      </c>
      <c r="AD171" s="227">
        <f>(INDEX(Models!$BJ171:$BT171,,AH171)*(1-AF171)+INDEX(Models!$BJ171:$BT171,,AH171+1)*AF171-ERP_i)*AE171*Ramure*Pc/MaxiM</f>
        <v>1.3842613584810882E-5</v>
      </c>
      <c r="AE171" s="301">
        <f t="shared" si="65"/>
        <v>0.5</v>
      </c>
      <c r="AF171" s="173">
        <f t="shared" si="66"/>
        <v>0.2230137715447249</v>
      </c>
      <c r="AG171" s="802">
        <f t="shared" si="74"/>
        <v>4</v>
      </c>
      <c r="AH171" s="172">
        <f t="shared" si="67"/>
        <v>10</v>
      </c>
      <c r="AI171" s="221">
        <f t="shared" si="68"/>
        <v>4.2230137715447249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47641</v>
      </c>
      <c r="B172" s="406">
        <f>'2029'!Wh/'2029'!Env_an*'2030'!Env_an</f>
        <v>27.404966171902299</v>
      </c>
      <c r="C172" s="832"/>
      <c r="D172" s="388">
        <f t="shared" si="50"/>
        <v>28.600409249479505</v>
      </c>
      <c r="E172" s="380">
        <f t="shared" si="75"/>
        <v>29.349529946897455</v>
      </c>
      <c r="F172" s="380">
        <f t="shared" si="51"/>
        <v>29.349538179208775</v>
      </c>
      <c r="G172" s="110">
        <f t="shared" si="76"/>
        <v>0.45023249190550352</v>
      </c>
      <c r="H172" s="409" t="b">
        <f>Wh_hp&gt;='2029'!Maxi_hp</f>
        <v>0</v>
      </c>
      <c r="I172" s="385">
        <f>IF(H172,Wh_hp,'2029'!Maxi_hp)</f>
        <v>29.349559460101258</v>
      </c>
      <c r="J172" s="85">
        <f>IF(H172,An,'2029'!An_max)</f>
        <v>2029</v>
      </c>
      <c r="K172" s="193">
        <f t="shared" si="52"/>
        <v>47641</v>
      </c>
      <c r="L172" s="143">
        <f>IF(t&lt;Tvie,1-EXP((T0-t)*PertePVj)+'2029'!Pspv,1-EXP((T0-t)*PertePVj)+Pspv)</f>
        <v>4.1798110899373242E-2</v>
      </c>
      <c r="M172" s="836"/>
      <c r="N172" s="836"/>
      <c r="O172" s="48">
        <f>IF(t&lt;Tnet,'2029'!Resal+('2029'!Salim-'2029'!Resal)*(1-EXP(('2029'!Tnet-t)/('2029'!Tau_j))),Resal+(Salim-Resal)*(1-EXP((Tnet-t)/(Tau_j))))*Salcycl</f>
        <v>2.5524112269373411E-2</v>
      </c>
      <c r="P172" s="165">
        <f>(INDEX(Models!$BJ172:$BT172,,T172)*(1-R172)+INDEX(Models!$BJ172:$BT172,,T172+1)*R172-ERP_i)*Q172*Ramure*Pc/MaxiM</f>
        <v>1.3069330690587542E-6</v>
      </c>
      <c r="Q172" s="301">
        <f t="shared" si="53"/>
        <v>0.5</v>
      </c>
      <c r="R172" s="173">
        <f t="shared" si="54"/>
        <v>0.70314534458857381</v>
      </c>
      <c r="S172" s="802">
        <f t="shared" si="55"/>
        <v>0</v>
      </c>
      <c r="T172" s="172">
        <f t="shared" si="56"/>
        <v>6</v>
      </c>
      <c r="U172" s="247">
        <f t="shared" si="57"/>
        <v>0.70314534458857381</v>
      </c>
      <c r="V172" s="378">
        <f t="shared" si="58"/>
        <v>60.868414730192555</v>
      </c>
      <c r="W172" s="397">
        <f t="shared" si="59"/>
        <v>27.404966171902299</v>
      </c>
      <c r="X172" s="153">
        <f t="shared" si="60"/>
        <v>47641</v>
      </c>
      <c r="Y172" s="380">
        <f t="shared" si="61"/>
        <v>26.619073436494357</v>
      </c>
      <c r="Z172" s="380">
        <f t="shared" si="62"/>
        <v>27.7802347702311</v>
      </c>
      <c r="AA172" s="381">
        <f t="shared" si="63"/>
        <v>29.34945636271982</v>
      </c>
      <c r="AB172" s="193">
        <f t="shared" si="64"/>
        <v>47641</v>
      </c>
      <c r="AC172" s="119">
        <f>IF(OR(t&lt;Tnet,NoTnet),'2029'!Resal_s+('2029'!Salim-'2029'!Resal_s)*(1-EXP(('2029'!Tnet_s-t)/'2029'!Tau_j)),Resal_s+(Salim-Resal_s)*(1-EXP((Tnet_s-t)/Tau_j)))*Salcycl</f>
        <v>5.3466802692876132E-2</v>
      </c>
      <c r="AD172" s="227">
        <f>(INDEX(Models!$BJ172:$BT172,,AH172)*(1-AF172)+INDEX(Models!$BJ172:$BT172,,AH172+1)*AF172-ERP_i)*AE172*Ramure*Pc/MaxiM</f>
        <v>1.2988900788208805E-5</v>
      </c>
      <c r="AE172" s="301">
        <f t="shared" si="65"/>
        <v>0.5</v>
      </c>
      <c r="AF172" s="173">
        <f t="shared" si="66"/>
        <v>0.22813291096255117</v>
      </c>
      <c r="AG172" s="802">
        <f t="shared" si="74"/>
        <v>4</v>
      </c>
      <c r="AH172" s="172">
        <f t="shared" si="67"/>
        <v>10</v>
      </c>
      <c r="AI172" s="221">
        <f t="shared" si="68"/>
        <v>4.2281329109625512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47642</v>
      </c>
      <c r="B173" s="406">
        <f>'2029'!Wh/'2029'!Env_an*'2030'!Env_an</f>
        <v>24.695008996477544</v>
      </c>
      <c r="C173" s="832"/>
      <c r="D173" s="388">
        <f t="shared" si="50"/>
        <v>25.772592744749961</v>
      </c>
      <c r="E173" s="380">
        <f t="shared" si="75"/>
        <v>26.449493155994901</v>
      </c>
      <c r="F173" s="380">
        <f t="shared" si="51"/>
        <v>26.449498114809408</v>
      </c>
      <c r="G173" s="110">
        <f t="shared" si="76"/>
        <v>0.40564764191321023</v>
      </c>
      <c r="H173" s="409" t="b">
        <f>Wh_hp&gt;='2029'!Maxi_hp</f>
        <v>0</v>
      </c>
      <c r="I173" s="385">
        <f>IF(H173,Wh_hp,'2029'!Maxi_hp)</f>
        <v>26.449517679188737</v>
      </c>
      <c r="J173" s="85">
        <f>IF(H173,An,'2029'!An_max)</f>
        <v>2029</v>
      </c>
      <c r="K173" s="193">
        <f t="shared" si="52"/>
        <v>47642</v>
      </c>
      <c r="L173" s="143">
        <f>IF(t&lt;Tvie,1-EXP((T0-t)*PertePVj)+'2029'!Pspv,1-EXP((T0-t)*PertePVj)+Pspv)</f>
        <v>4.181122787857372E-2</v>
      </c>
      <c r="M173" s="836"/>
      <c r="N173" s="836"/>
      <c r="O173" s="48">
        <f>IF(t&lt;Tnet,'2029'!Resal+('2029'!Salim-'2029'!Resal)*(1-EXP(('2029'!Tnet-t)/('2029'!Tau_j))),Resal+(Salim-Resal)*(1-EXP((Tnet-t)/(Tau_j))))*Salcycl</f>
        <v>2.5592188373995964E-2</v>
      </c>
      <c r="P173" s="165">
        <f>(INDEX(Models!$BJ173:$BT173,,T173)*(1-R173)+INDEX(Models!$BJ173:$BT173,,T173+1)*R173-ERP_i)*Q173*Ramure*Pc/MaxiM</f>
        <v>1.2422153772062668E-6</v>
      </c>
      <c r="Q173" s="301">
        <f t="shared" si="53"/>
        <v>0.5</v>
      </c>
      <c r="R173" s="173">
        <f t="shared" si="54"/>
        <v>0.70827745054184021</v>
      </c>
      <c r="S173" s="802">
        <f t="shared" si="55"/>
        <v>0</v>
      </c>
      <c r="T173" s="172">
        <f t="shared" si="56"/>
        <v>6</v>
      </c>
      <c r="U173" s="247">
        <f t="shared" si="57"/>
        <v>0.70827745054184021</v>
      </c>
      <c r="V173" s="378">
        <f t="shared" si="58"/>
        <v>60.877915703784758</v>
      </c>
      <c r="W173" s="397">
        <f t="shared" si="59"/>
        <v>24.695008996477544</v>
      </c>
      <c r="X173" s="153">
        <f t="shared" si="60"/>
        <v>47642</v>
      </c>
      <c r="Y173" s="380">
        <f t="shared" si="61"/>
        <v>23.9870126507811</v>
      </c>
      <c r="Z173" s="380">
        <f t="shared" si="62"/>
        <v>25.033702490245158</v>
      </c>
      <c r="AA173" s="381">
        <f t="shared" si="63"/>
        <v>26.449449357078297</v>
      </c>
      <c r="AB173" s="193">
        <f t="shared" si="64"/>
        <v>47642</v>
      </c>
      <c r="AC173" s="119">
        <f>IF(OR(t&lt;Tnet,NoTnet),'2029'!Resal_s+('2029'!Salim-'2029'!Resal_s)*(1-EXP(('2029'!Tnet_s-t)/'2029'!Tau_j)),Resal_s+(Salim-Resal_s)*(1-EXP((Tnet_s-t)/Tau_j)))*Salcycl</f>
        <v>5.3526515721366491E-2</v>
      </c>
      <c r="AD173" s="227">
        <f>(INDEX(Models!$BJ173:$BT173,,AH173)*(1-AF173)+INDEX(Models!$BJ173:$BT173,,AH173+1)*AF173-ERP_i)*AE173*Ramure*Pc/MaxiM</f>
        <v>1.2214129651728762E-5</v>
      </c>
      <c r="AE173" s="301">
        <f t="shared" si="65"/>
        <v>0.5</v>
      </c>
      <c r="AF173" s="173">
        <f t="shared" si="66"/>
        <v>0.23326501691581747</v>
      </c>
      <c r="AG173" s="802">
        <f t="shared" si="74"/>
        <v>4</v>
      </c>
      <c r="AH173" s="172">
        <f t="shared" si="67"/>
        <v>10</v>
      </c>
      <c r="AI173" s="221">
        <f t="shared" si="68"/>
        <v>4.2332650169158175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47643</v>
      </c>
      <c r="B174" s="406">
        <f>'2029'!Wh/'2029'!Env_an*'2030'!Env_an</f>
        <v>50.746608803981552</v>
      </c>
      <c r="C174" s="832"/>
      <c r="D174" s="388">
        <f t="shared" si="50"/>
        <v>52.961697077285073</v>
      </c>
      <c r="E174" s="380">
        <f t="shared" si="75"/>
        <v>54.356483670675644</v>
      </c>
      <c r="F174" s="380">
        <f t="shared" si="51"/>
        <v>54.356532695617666</v>
      </c>
      <c r="G174" s="110">
        <f t="shared" si="76"/>
        <v>0.83348385182994134</v>
      </c>
      <c r="H174" s="409" t="b">
        <f>Wh_hp&gt;='2029'!Maxi_hp</f>
        <v>0</v>
      </c>
      <c r="I174" s="385">
        <f>IF(H174,Wh_hp,'2029'!Maxi_hp)</f>
        <v>54.356543349873313</v>
      </c>
      <c r="J174" s="85">
        <f>IF(H174,An,'2029'!An_max)</f>
        <v>2029</v>
      </c>
      <c r="K174" s="193">
        <f t="shared" si="52"/>
        <v>47643</v>
      </c>
      <c r="L174" s="143">
        <f>IF(t&lt;Tvie,1-EXP((T0-t)*PertePVj)+'2029'!Pspv,1-EXP((T0-t)*PertePVj)+Pspv)</f>
        <v>4.1824344678213832E-2</v>
      </c>
      <c r="M174" s="836"/>
      <c r="N174" s="836"/>
      <c r="O174" s="48">
        <f>IF(t&lt;Tnet,'2029'!Resal+('2029'!Salim-'2029'!Resal)*(1-EXP(('2029'!Tnet-t)/('2029'!Tau_j))),Resal+(Salim-Resal)*(1-EXP((Tnet-t)/(Tau_j))))*Salcycl</f>
        <v>2.5659985694457852E-2</v>
      </c>
      <c r="P174" s="165">
        <f>(INDEX(Models!$BJ174:$BT174,,T174)*(1-R174)+INDEX(Models!$BJ174:$BT174,,T174+1)*R174-ERP_i)*Q174*Ramure*Pc/MaxiM</f>
        <v>1.1834281988848138E-6</v>
      </c>
      <c r="Q174" s="301">
        <f t="shared" si="53"/>
        <v>0.5</v>
      </c>
      <c r="R174" s="173">
        <f t="shared" si="54"/>
        <v>0.71341822518614606</v>
      </c>
      <c r="S174" s="802">
        <f t="shared" si="55"/>
        <v>0</v>
      </c>
      <c r="T174" s="172">
        <f t="shared" si="56"/>
        <v>6</v>
      </c>
      <c r="U174" s="247">
        <f t="shared" si="57"/>
        <v>0.71341822518614606</v>
      </c>
      <c r="V174" s="378">
        <f t="shared" si="58"/>
        <v>60.884916254447532</v>
      </c>
      <c r="W174" s="397">
        <f t="shared" si="59"/>
        <v>50.746608803981552</v>
      </c>
      <c r="X174" s="153">
        <f t="shared" si="60"/>
        <v>47643</v>
      </c>
      <c r="Y174" s="380">
        <f t="shared" si="61"/>
        <v>49.291767988257625</v>
      </c>
      <c r="Z174" s="380">
        <f t="shared" si="62"/>
        <v>51.443352494385664</v>
      </c>
      <c r="AA174" s="381">
        <f t="shared" si="63"/>
        <v>54.356055461938148</v>
      </c>
      <c r="AB174" s="193">
        <f t="shared" si="64"/>
        <v>47643</v>
      </c>
      <c r="AC174" s="119">
        <f>IF(OR(t&lt;Tnet,NoTnet),'2029'!Resal_s+('2029'!Salim-'2029'!Resal_s)*(1-EXP(('2029'!Tnet_s-t)/'2029'!Tau_j)),Resal_s+(Salim-Resal_s)*(1-EXP((Tnet_s-t)/Tau_j)))*Salcycl</f>
        <v>5.3585620641513496E-2</v>
      </c>
      <c r="AD174" s="227">
        <f>(INDEX(Models!$BJ174:$BT174,,AH174)*(1-AF174)+INDEX(Models!$BJ174:$BT174,,AH174+1)*AF174-ERP_i)*AE174*Ramure*Pc/MaxiM</f>
        <v>1.1520091008288875E-5</v>
      </c>
      <c r="AE174" s="301">
        <f t="shared" si="65"/>
        <v>0.5</v>
      </c>
      <c r="AF174" s="173">
        <f t="shared" si="66"/>
        <v>0.23840579156012343</v>
      </c>
      <c r="AG174" s="802">
        <f t="shared" si="74"/>
        <v>4</v>
      </c>
      <c r="AH174" s="172">
        <f t="shared" si="67"/>
        <v>10</v>
      </c>
      <c r="AI174" s="221">
        <f t="shared" si="68"/>
        <v>4.2384057915601234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47644</v>
      </c>
      <c r="B175" s="406">
        <f>'2029'!Wh/'2029'!Env_an*'2030'!Env_an</f>
        <v>62.435580098692192</v>
      </c>
      <c r="C175" s="832"/>
      <c r="D175" s="388">
        <f t="shared" si="50"/>
        <v>65.161783702472306</v>
      </c>
      <c r="E175" s="380">
        <f t="shared" si="75"/>
        <v>66.882502312921304</v>
      </c>
      <c r="F175" s="380">
        <f t="shared" si="51"/>
        <v>66.882577946073695</v>
      </c>
      <c r="G175" s="110">
        <f t="shared" si="76"/>
        <v>1.0253895155984707</v>
      </c>
      <c r="H175" s="409" t="b">
        <f>Wh_hp&gt;='2029'!Maxi_hp</f>
        <v>1</v>
      </c>
      <c r="I175" s="385">
        <f>IF(H175,Wh_hp,'2029'!Maxi_hp)</f>
        <v>66.882577946073695</v>
      </c>
      <c r="J175" s="85">
        <f>IF(H175,An,'2029'!An_max)</f>
        <v>2030</v>
      </c>
      <c r="K175" s="193">
        <f t="shared" si="52"/>
        <v>47644</v>
      </c>
      <c r="L175" s="143">
        <f>IF(t&lt;Tvie,1-EXP((T0-t)*PertePVj)+'2029'!Pspv,1-EXP((T0-t)*PertePVj)+Pspv)</f>
        <v>4.1837461298295908E-2</v>
      </c>
      <c r="M175" s="836"/>
      <c r="N175" s="836"/>
      <c r="O175" s="48">
        <f>IF(t&lt;Tnet,'2029'!Resal+('2029'!Salim-'2029'!Resal)*(1-EXP(('2029'!Tnet-t)/('2029'!Tau_j))),Resal+(Salim-Resal)*(1-EXP((Tnet-t)/(Tau_j))))*Salcycl</f>
        <v>2.5727485529747608E-2</v>
      </c>
      <c r="P175" s="165">
        <f>(INDEX(Models!$BJ175:$BT175,,T175)*(1-R175)+INDEX(Models!$BJ175:$BT175,,T175+1)*R175-ERP_i)*Q175*Ramure*Pc/MaxiM</f>
        <v>1.1308348857418669E-6</v>
      </c>
      <c r="Q175" s="301">
        <f t="shared" si="53"/>
        <v>0.5</v>
      </c>
      <c r="R175" s="173">
        <f t="shared" si="54"/>
        <v>0.71856334149715761</v>
      </c>
      <c r="S175" s="802">
        <f t="shared" si="55"/>
        <v>0</v>
      </c>
      <c r="T175" s="172">
        <f t="shared" si="56"/>
        <v>6</v>
      </c>
      <c r="U175" s="247">
        <f t="shared" si="57"/>
        <v>0.71856334149715761</v>
      </c>
      <c r="V175" s="378">
        <f t="shared" si="58"/>
        <v>60.889622088881559</v>
      </c>
      <c r="W175" s="397">
        <f t="shared" si="59"/>
        <v>62.435580098692192</v>
      </c>
      <c r="X175" s="153">
        <f t="shared" si="60"/>
        <v>47644</v>
      </c>
      <c r="Y175" s="380">
        <f t="shared" si="61"/>
        <v>60.645971379489069</v>
      </c>
      <c r="Z175" s="380">
        <f t="shared" si="62"/>
        <v>63.294033037091445</v>
      </c>
      <c r="AA175" s="381">
        <f t="shared" si="63"/>
        <v>66.881848352275298</v>
      </c>
      <c r="AB175" s="193">
        <f t="shared" si="64"/>
        <v>47644</v>
      </c>
      <c r="AC175" s="119">
        <f>IF(OR(t&lt;Tnet,NoTnet),'2029'!Resal_s+('2029'!Salim-'2029'!Resal_s)*(1-EXP(('2029'!Tnet_s-t)/'2029'!Tau_j)),Resal_s+(Salim-Resal_s)*(1-EXP((Tnet_s-t)/Tau_j)))*Salcycl</f>
        <v>5.3644081369975997E-2</v>
      </c>
      <c r="AD175" s="227">
        <f>(INDEX(Models!$BJ175:$BT175,,AH175)*(1-AF175)+INDEX(Models!$BJ175:$BT175,,AH175+1)*AF175-ERP_i)*AE175*Ramure*Pc/MaxiM</f>
        <v>1.0908577701436882E-5</v>
      </c>
      <c r="AE175" s="301">
        <f t="shared" si="65"/>
        <v>0.5</v>
      </c>
      <c r="AF175" s="173">
        <f t="shared" si="66"/>
        <v>0.24355090787113465</v>
      </c>
      <c r="AG175" s="802">
        <f t="shared" si="74"/>
        <v>4</v>
      </c>
      <c r="AH175" s="172">
        <f t="shared" si="67"/>
        <v>10</v>
      </c>
      <c r="AI175" s="221">
        <f t="shared" si="68"/>
        <v>4.2435509078711346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47645</v>
      </c>
      <c r="B176" s="406">
        <f>'2029'!Wh/'2029'!Env_an*'2030'!Env_an</f>
        <v>59.779830298452623</v>
      </c>
      <c r="C176" s="832"/>
      <c r="D176" s="388">
        <f t="shared" si="50"/>
        <v>62.390926623298135</v>
      </c>
      <c r="E176" s="380">
        <f t="shared" si="75"/>
        <v>64.042891882040223</v>
      </c>
      <c r="F176" s="380">
        <f t="shared" si="51"/>
        <v>64.042959536653839</v>
      </c>
      <c r="G176" s="110">
        <f t="shared" si="76"/>
        <v>0.98173149469130216</v>
      </c>
      <c r="H176" s="409" t="b">
        <f>Wh_hp&gt;='2029'!Maxi_hp</f>
        <v>0</v>
      </c>
      <c r="I176" s="385">
        <f>IF(H176,Wh_hp,'2029'!Maxi_hp)</f>
        <v>64.042960780995472</v>
      </c>
      <c r="J176" s="85">
        <f>IF(H176,An,'2029'!An_max)</f>
        <v>2029</v>
      </c>
      <c r="K176" s="193">
        <f t="shared" si="52"/>
        <v>47645</v>
      </c>
      <c r="L176" s="143">
        <f>IF(t&lt;Tvie,1-EXP((T0-t)*PertePVj)+'2029'!Pspv,1-EXP((T0-t)*PertePVj)+Pspv)</f>
        <v>4.1850577738822503E-2</v>
      </c>
      <c r="M176" s="836"/>
      <c r="N176" s="836"/>
      <c r="O176" s="48">
        <f>IF(t&lt;Tnet,'2029'!Resal+('2029'!Salim-'2029'!Resal)*(1-EXP(('2029'!Tnet-t)/('2029'!Tau_j))),Resal+(Salim-Resal)*(1-EXP((Tnet-t)/(Tau_j))))*Salcycl</f>
        <v>2.5794669950020731E-2</v>
      </c>
      <c r="P176" s="165">
        <f>(INDEX(Models!$BJ176:$BT176,,T176)*(1-R176)+INDEX(Models!$BJ176:$BT176,,T176+1)*R176-ERP_i)*Q176*Ramure*Pc/MaxiM</f>
        <v>1.0847026199557145E-6</v>
      </c>
      <c r="Q176" s="301">
        <f t="shared" si="53"/>
        <v>0.5</v>
      </c>
      <c r="R176" s="173">
        <f t="shared" si="54"/>
        <v>0.72370845780816917</v>
      </c>
      <c r="S176" s="802">
        <f t="shared" si="55"/>
        <v>0</v>
      </c>
      <c r="T176" s="172">
        <f t="shared" si="56"/>
        <v>6</v>
      </c>
      <c r="U176" s="247">
        <f t="shared" si="57"/>
        <v>0.72370845780816917</v>
      </c>
      <c r="V176" s="378">
        <f t="shared" si="58"/>
        <v>60.892238793844577</v>
      </c>
      <c r="W176" s="397">
        <f t="shared" si="59"/>
        <v>59.779830298452623</v>
      </c>
      <c r="X176" s="153">
        <f t="shared" si="60"/>
        <v>47645</v>
      </c>
      <c r="Y176" s="380">
        <f t="shared" si="61"/>
        <v>58.066844919133217</v>
      </c>
      <c r="Z176" s="380">
        <f t="shared" si="62"/>
        <v>60.603120525918392</v>
      </c>
      <c r="AA176" s="381">
        <f t="shared" si="63"/>
        <v>64.042312033866764</v>
      </c>
      <c r="AB176" s="193">
        <f t="shared" si="64"/>
        <v>47645</v>
      </c>
      <c r="AC176" s="119">
        <f>IF(OR(t&lt;Tnet,NoTnet),'2029'!Resal_s+('2029'!Salim-'2029'!Resal_s)*(1-EXP(('2029'!Tnet_s-t)/'2029'!Tau_j)),Resal_s+(Salim-Resal_s)*(1-EXP((Tnet_s-t)/Tau_j)))*Salcycl</f>
        <v>5.3701863638677912E-2</v>
      </c>
      <c r="AD176" s="227">
        <f>(INDEX(Models!$BJ176:$BT176,,AH176)*(1-AF176)+INDEX(Models!$BJ176:$BT176,,AH176+1)*AF176-ERP_i)*AE176*Ramure*Pc/MaxiM</f>
        <v>1.0381375814941466E-5</v>
      </c>
      <c r="AE176" s="301">
        <f t="shared" si="65"/>
        <v>0.5</v>
      </c>
      <c r="AF176" s="173">
        <f t="shared" si="66"/>
        <v>0.24869602418214676</v>
      </c>
      <c r="AG176" s="802">
        <f t="shared" si="74"/>
        <v>4</v>
      </c>
      <c r="AH176" s="172">
        <f t="shared" si="67"/>
        <v>10</v>
      </c>
      <c r="AI176" s="221">
        <f t="shared" si="68"/>
        <v>4.2486960241821468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47646</v>
      </c>
      <c r="B177" s="406">
        <f>'2029'!Wh/'2029'!Env_an*'2030'!Env_an</f>
        <v>48.205051152180737</v>
      </c>
      <c r="C177" s="832"/>
      <c r="D177" s="388">
        <f t="shared" si="50"/>
        <v>50.311266622820654</v>
      </c>
      <c r="E177" s="380">
        <f t="shared" si="75"/>
        <v>51.646934960723513</v>
      </c>
      <c r="F177" s="380">
        <f t="shared" si="51"/>
        <v>51.646972876563247</v>
      </c>
      <c r="G177" s="110">
        <f t="shared" si="76"/>
        <v>0.79162773558187616</v>
      </c>
      <c r="H177" s="409" t="b">
        <f>Wh_hp&gt;='2029'!Maxi_hp</f>
        <v>0</v>
      </c>
      <c r="I177" s="385">
        <f>IF(H177,Wh_hp,'2029'!Maxi_hp)</f>
        <v>51.64698382864848</v>
      </c>
      <c r="J177" s="85">
        <f>IF(H177,An,'2029'!An_max)</f>
        <v>2029</v>
      </c>
      <c r="K177" s="193">
        <f t="shared" si="52"/>
        <v>47646</v>
      </c>
      <c r="L177" s="143">
        <f>IF(t&lt;Tvie,1-EXP((T0-t)*PertePVj)+'2029'!Pspv,1-EXP((T0-t)*PertePVj)+Pspv)</f>
        <v>4.1863693999796059E-2</v>
      </c>
      <c r="M177" s="836"/>
      <c r="N177" s="836"/>
      <c r="O177" s="48">
        <f>IF(t&lt;Tnet,'2029'!Resal+('2029'!Salim-'2029'!Resal)*(1-EXP(('2029'!Tnet-t)/('2029'!Tau_j))),Resal+(Salim-Resal)*(1-EXP((Tnet-t)/(Tau_j))))*Salcycl</f>
        <v>2.58615218680181E-2</v>
      </c>
      <c r="P177" s="165">
        <f>(INDEX(Models!$BJ177:$BT177,,T177)*(1-R177)+INDEX(Models!$BJ177:$BT177,,T177+1)*R177-ERP_i)*Q177*Ramure*Pc/MaxiM</f>
        <v>1.0452911020225919E-6</v>
      </c>
      <c r="Q177" s="301">
        <f t="shared" si="53"/>
        <v>0.5</v>
      </c>
      <c r="R177" s="173">
        <f t="shared" si="54"/>
        <v>0.72884923245247513</v>
      </c>
      <c r="S177" s="802">
        <f t="shared" si="55"/>
        <v>0</v>
      </c>
      <c r="T177" s="172">
        <f t="shared" si="56"/>
        <v>6</v>
      </c>
      <c r="U177" s="247">
        <f t="shared" si="57"/>
        <v>0.72884923245247513</v>
      </c>
      <c r="V177" s="378">
        <f t="shared" si="58"/>
        <v>60.893566491112658</v>
      </c>
      <c r="W177" s="397">
        <f t="shared" si="59"/>
        <v>48.205051152180737</v>
      </c>
      <c r="X177" s="153">
        <f t="shared" si="60"/>
        <v>47646</v>
      </c>
      <c r="Y177" s="380">
        <f t="shared" si="61"/>
        <v>46.82426062179362</v>
      </c>
      <c r="Z177" s="380">
        <f t="shared" si="62"/>
        <v>48.870145436054116</v>
      </c>
      <c r="AA177" s="381">
        <f t="shared" si="63"/>
        <v>51.646612317218178</v>
      </c>
      <c r="AB177" s="193">
        <f t="shared" si="64"/>
        <v>47646</v>
      </c>
      <c r="AC177" s="119">
        <f>IF(OR(t&lt;Tnet,NoTnet),'2029'!Resal_s+('2029'!Salim-'2029'!Resal_s)*(1-EXP(('2029'!Tnet_s-t)/'2029'!Tau_j)),Resal_s+(Salim-Resal_s)*(1-EXP((Tnet_s-t)/Tau_j)))*Salcycl</f>
        <v>5.3758935128421281E-2</v>
      </c>
      <c r="AD177" s="227">
        <f>(INDEX(Models!$BJ177:$BT177,,AH177)*(1-AF177)+INDEX(Models!$BJ177:$BT177,,AH177+1)*AF177-ERP_i)*AE177*Ramure*Pc/MaxiM</f>
        <v>9.9401589889392012E-6</v>
      </c>
      <c r="AE177" s="301">
        <f t="shared" si="65"/>
        <v>0.5</v>
      </c>
      <c r="AF177" s="173">
        <f t="shared" si="66"/>
        <v>0.25383679882645183</v>
      </c>
      <c r="AG177" s="802">
        <f t="shared" si="74"/>
        <v>4</v>
      </c>
      <c r="AH177" s="172">
        <f t="shared" si="67"/>
        <v>10</v>
      </c>
      <c r="AI177" s="221">
        <f t="shared" si="68"/>
        <v>4.2538367988264518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47647</v>
      </c>
      <c r="B178" s="406">
        <f>'2029'!Wh/'2029'!Env_an*'2030'!Env_an</f>
        <v>53.892117348536729</v>
      </c>
      <c r="C178" s="832"/>
      <c r="D178" s="388">
        <f t="shared" si="50"/>
        <v>56.247586861043516</v>
      </c>
      <c r="E178" s="380">
        <f t="shared" si="75"/>
        <v>57.74479536503862</v>
      </c>
      <c r="F178" s="380">
        <f t="shared" si="51"/>
        <v>57.744844323100239</v>
      </c>
      <c r="G178" s="110">
        <f t="shared" si="76"/>
        <v>0.88501611050488715</v>
      </c>
      <c r="H178" s="409" t="b">
        <f>Wh_hp&gt;='2029'!Maxi_hp</f>
        <v>0</v>
      </c>
      <c r="I178" s="385">
        <f>IF(H178,Wh_hp,'2029'!Maxi_hp)</f>
        <v>57.744850835053271</v>
      </c>
      <c r="J178" s="85">
        <f>IF(H178,An,'2029'!An_max)</f>
        <v>2029</v>
      </c>
      <c r="K178" s="193">
        <f t="shared" si="52"/>
        <v>47647</v>
      </c>
      <c r="L178" s="143">
        <f>IF(t&lt;Tvie,1-EXP((T0-t)*PertePVj)+'2029'!Pspv,1-EXP((T0-t)*PertePVj)+Pspv)</f>
        <v>4.1876810081218907E-2</v>
      </c>
      <c r="M178" s="836"/>
      <c r="N178" s="836"/>
      <c r="O178" s="48">
        <f>IF(t&lt;Tnet,'2029'!Resal+('2029'!Salim-'2029'!Resal)*(1-EXP(('2029'!Tnet-t)/('2029'!Tau_j))),Resal+(Salim-Resal)*(1-EXP((Tnet-t)/(Tau_j))))*Salcycl</f>
        <v>2.5928025106511664E-2</v>
      </c>
      <c r="P178" s="165">
        <f>(INDEX(Models!$BJ178:$BT178,,T178)*(1-R178)+INDEX(Models!$BJ178:$BT178,,T178+1)*R178-ERP_i)*Q178*Ramure*Pc/MaxiM</f>
        <v>1.0144744280398082E-6</v>
      </c>
      <c r="Q178" s="301">
        <f t="shared" si="53"/>
        <v>0.5</v>
      </c>
      <c r="R178" s="173">
        <f t="shared" si="54"/>
        <v>0.73398133840574165</v>
      </c>
      <c r="S178" s="802">
        <f t="shared" si="55"/>
        <v>0</v>
      </c>
      <c r="T178" s="172">
        <f t="shared" si="56"/>
        <v>6</v>
      </c>
      <c r="U178" s="247">
        <f t="shared" si="57"/>
        <v>0.73398133840574165</v>
      </c>
      <c r="V178" s="378">
        <f t="shared" si="58"/>
        <v>60.893929193217787</v>
      </c>
      <c r="W178" s="397">
        <f t="shared" si="59"/>
        <v>53.892117348536729</v>
      </c>
      <c r="X178" s="153">
        <f t="shared" si="60"/>
        <v>47647</v>
      </c>
      <c r="Y178" s="380">
        <f t="shared" si="61"/>
        <v>52.348834650944895</v>
      </c>
      <c r="Z178" s="380">
        <f t="shared" si="62"/>
        <v>54.636851713590652</v>
      </c>
      <c r="AA178" s="381">
        <f t="shared" si="63"/>
        <v>57.744380908702759</v>
      </c>
      <c r="AB178" s="193">
        <f t="shared" si="64"/>
        <v>47647</v>
      </c>
      <c r="AC178" s="119">
        <f>IF(OR(t&lt;Tnet,NoTnet),'2029'!Resal_s+('2029'!Salim-'2029'!Resal_s)*(1-EXP(('2029'!Tnet_s-t)/'2029'!Tau_j)),Resal_s+(Salim-Resal_s)*(1-EXP((Tnet_s-t)/Tau_j)))*Salcycl</f>
        <v>5.3815265593119672E-2</v>
      </c>
      <c r="AD178" s="227">
        <f>(INDEX(Models!$BJ178:$BT178,,AH178)*(1-AF178)+INDEX(Models!$BJ178:$BT178,,AH178+1)*AF178-ERP_i)*AE178*Ramure*Pc/MaxiM</f>
        <v>9.6025463480519561E-6</v>
      </c>
      <c r="AE178" s="301">
        <f t="shared" si="65"/>
        <v>0.5</v>
      </c>
      <c r="AF178" s="173">
        <f t="shared" si="66"/>
        <v>0.25896890477971901</v>
      </c>
      <c r="AG178" s="802">
        <f t="shared" si="74"/>
        <v>4</v>
      </c>
      <c r="AH178" s="172">
        <f t="shared" si="67"/>
        <v>10</v>
      </c>
      <c r="AI178" s="221">
        <f t="shared" si="68"/>
        <v>4.258968904779719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47648</v>
      </c>
      <c r="B179" s="406">
        <f>'2029'!Wh/'2029'!Env_an*'2030'!Env_an</f>
        <v>54.785557902914448</v>
      </c>
      <c r="C179" s="832"/>
      <c r="D179" s="388">
        <f t="shared" si="50"/>
        <v>57.180859891415494</v>
      </c>
      <c r="E179" s="380">
        <f t="shared" si="75"/>
        <v>58.70689661709163</v>
      </c>
      <c r="F179" s="380">
        <f t="shared" si="51"/>
        <v>58.706946292540522</v>
      </c>
      <c r="G179" s="110">
        <f t="shared" si="76"/>
        <v>0.89970461658175804</v>
      </c>
      <c r="H179" s="409" t="b">
        <f>Wh_hp&gt;='2029'!Maxi_hp</f>
        <v>0</v>
      </c>
      <c r="I179" s="385">
        <f>IF(H179,Wh_hp,'2029'!Maxi_hp)</f>
        <v>58.706951875656188</v>
      </c>
      <c r="J179" s="85">
        <f>IF(H179,An,'2029'!An_max)</f>
        <v>2029</v>
      </c>
      <c r="K179" s="193">
        <f t="shared" si="52"/>
        <v>47648</v>
      </c>
      <c r="L179" s="143">
        <f>IF(t&lt;Tvie,1-EXP((T0-t)*PertePVj)+'2029'!Pspv,1-EXP((T0-t)*PertePVj)+Pspv)</f>
        <v>4.1889925983093712E-2</v>
      </c>
      <c r="M179" s="836"/>
      <c r="N179" s="836"/>
      <c r="O179" s="48">
        <f>IF(t&lt;Tnet,'2029'!Resal+('2029'!Salim-'2029'!Resal)*(1-EXP(('2029'!Tnet-t)/('2029'!Tau_j))),Resal+(Salim-Resal)*(1-EXP((Tnet-t)/(Tau_j))))*Salcycl</f>
        <v>2.5994164461281506E-2</v>
      </c>
      <c r="P179" s="165">
        <f>(INDEX(Models!$BJ179:$BT179,,T179)*(1-R179)+INDEX(Models!$BJ179:$BT179,,T179+1)*R179-ERP_i)*Q179*Ramure*Pc/MaxiM</f>
        <v>9.8767228073825625E-7</v>
      </c>
      <c r="Q179" s="301">
        <f t="shared" si="53"/>
        <v>0.5</v>
      </c>
      <c r="R179" s="173">
        <f t="shared" si="54"/>
        <v>0.73910047782356747</v>
      </c>
      <c r="S179" s="802">
        <f t="shared" si="55"/>
        <v>0</v>
      </c>
      <c r="T179" s="172">
        <f t="shared" si="56"/>
        <v>6</v>
      </c>
      <c r="U179" s="247">
        <f t="shared" si="57"/>
        <v>0.73910047782356747</v>
      </c>
      <c r="V179" s="378">
        <f t="shared" si="58"/>
        <v>60.892818754454801</v>
      </c>
      <c r="W179" s="397">
        <f t="shared" si="59"/>
        <v>54.785557902914448</v>
      </c>
      <c r="X179" s="153">
        <f t="shared" si="60"/>
        <v>47648</v>
      </c>
      <c r="Y179" s="380">
        <f t="shared" si="61"/>
        <v>53.217181411170031</v>
      </c>
      <c r="Z179" s="380">
        <f t="shared" si="62"/>
        <v>55.543911763765664</v>
      </c>
      <c r="AA179" s="381">
        <f t="shared" si="63"/>
        <v>58.706478298416805</v>
      </c>
      <c r="AB179" s="193">
        <f t="shared" si="64"/>
        <v>47648</v>
      </c>
      <c r="AC179" s="119">
        <f>IF(OR(t&lt;Tnet,NoTnet),'2029'!Resal_s+('2029'!Salim-'2029'!Resal_s)*(1-EXP(('2029'!Tnet_s-t)/'2029'!Tau_j)),Resal_s+(Salim-Resal_s)*(1-EXP((Tnet_s-t)/Tau_j)))*Salcycl</f>
        <v>5.3870826973731537E-2</v>
      </c>
      <c r="AD179" s="227">
        <f>(INDEX(Models!$BJ179:$BT179,,AH179)*(1-AF179)+INDEX(Models!$BJ179:$BT179,,AH179+1)*AF179-ERP_i)*AE179*Ramure*Pc/MaxiM</f>
        <v>9.3048947490407761E-6</v>
      </c>
      <c r="AE179" s="301">
        <f t="shared" si="65"/>
        <v>0.5</v>
      </c>
      <c r="AF179" s="173">
        <f t="shared" si="66"/>
        <v>0.26408804419754439</v>
      </c>
      <c r="AG179" s="802">
        <f t="shared" si="74"/>
        <v>4</v>
      </c>
      <c r="AH179" s="172">
        <f t="shared" si="67"/>
        <v>10</v>
      </c>
      <c r="AI179" s="221">
        <f t="shared" si="68"/>
        <v>4.2640880441975444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47649</v>
      </c>
      <c r="B180" s="406">
        <f>'2029'!Wh/'2029'!Env_an*'2030'!Env_an</f>
        <v>58.115731630265856</v>
      </c>
      <c r="C180" s="832"/>
      <c r="D180" s="388">
        <f t="shared" si="50"/>
        <v>60.657463868492471</v>
      </c>
      <c r="E180" s="380">
        <f t="shared" si="75"/>
        <v>62.280488782405961</v>
      </c>
      <c r="F180" s="380">
        <f t="shared" si="51"/>
        <v>62.280544974987315</v>
      </c>
      <c r="G180" s="110">
        <f t="shared" si="76"/>
        <v>0.95444225158200069</v>
      </c>
      <c r="H180" s="409" t="b">
        <f>Wh_hp&gt;='2029'!Maxi_hp</f>
        <v>0</v>
      </c>
      <c r="I180" s="385">
        <f>IF(H180,Wh_hp,'2029'!Maxi_hp)</f>
        <v>62.280547585736535</v>
      </c>
      <c r="J180" s="85">
        <f>IF(H180,An,'2029'!An_max)</f>
        <v>2029</v>
      </c>
      <c r="K180" s="193">
        <f t="shared" si="52"/>
        <v>47649</v>
      </c>
      <c r="L180" s="143">
        <f>IF(t&lt;Tvie,1-EXP((T0-t)*PertePVj)+'2029'!Pspv,1-EXP((T0-t)*PertePVj)+Pspv)</f>
        <v>4.1903041705422805E-2</v>
      </c>
      <c r="M180" s="836"/>
      <c r="N180" s="836"/>
      <c r="O180" s="48">
        <f>IF(t&lt;Tnet,'2029'!Resal+('2029'!Salim-'2029'!Resal)*(1-EXP(('2029'!Tnet-t)/('2029'!Tau_j))),Resal+(Salim-Resal)*(1-EXP((Tnet-t)/(Tau_j))))*Salcycl</f>
        <v>2.6059925759156673E-2</v>
      </c>
      <c r="P180" s="165">
        <f>(INDEX(Models!$BJ180:$BT180,,T180)*(1-R180)+INDEX(Models!$BJ180:$BT180,,T180+1)*R180-ERP_i)*Q180*Ramure*Pc/MaxiM</f>
        <v>9.6505763053164395E-7</v>
      </c>
      <c r="Q180" s="301">
        <f t="shared" si="53"/>
        <v>0.5</v>
      </c>
      <c r="R180" s="173">
        <f t="shared" si="54"/>
        <v>0.74420239637070762</v>
      </c>
      <c r="S180" s="802">
        <f t="shared" si="55"/>
        <v>0</v>
      </c>
      <c r="T180" s="172">
        <f t="shared" si="56"/>
        <v>6</v>
      </c>
      <c r="U180" s="247">
        <f t="shared" si="57"/>
        <v>0.74420239637070762</v>
      </c>
      <c r="V180" s="378">
        <f t="shared" si="58"/>
        <v>60.889726836574887</v>
      </c>
      <c r="W180" s="397">
        <f t="shared" si="59"/>
        <v>58.115731630265856</v>
      </c>
      <c r="X180" s="153">
        <f t="shared" si="60"/>
        <v>47649</v>
      </c>
      <c r="Y180" s="380">
        <f t="shared" si="61"/>
        <v>56.452539805966957</v>
      </c>
      <c r="Z180" s="380">
        <f t="shared" si="62"/>
        <v>58.921531184540115</v>
      </c>
      <c r="AA180" s="381">
        <f t="shared" si="63"/>
        <v>62.280018125196982</v>
      </c>
      <c r="AB180" s="193">
        <f t="shared" si="64"/>
        <v>47649</v>
      </c>
      <c r="AC180" s="119">
        <f>IF(OR(t&lt;Tnet,NoTnet),'2029'!Resal_s+('2029'!Salim-'2029'!Resal_s)*(1-EXP(('2029'!Tnet_s-t)/'2029'!Tau_j)),Resal_s+(Salim-Resal_s)*(1-EXP((Tnet_s-t)/Tau_j)))*Salcycl</f>
        <v>5.3925593501041424E-2</v>
      </c>
      <c r="AD180" s="227">
        <f>(INDEX(Models!$BJ180:$BT180,,AH180)*(1-AF180)+INDEX(Models!$BJ180:$BT180,,AH180+1)*AF180-ERP_i)*AE180*Ramure*Pc/MaxiM</f>
        <v>9.0481767888061409E-6</v>
      </c>
      <c r="AE180" s="301">
        <f t="shared" si="65"/>
        <v>0.5</v>
      </c>
      <c r="AF180" s="173">
        <f t="shared" si="66"/>
        <v>0.26918996274468476</v>
      </c>
      <c r="AG180" s="802">
        <f t="shared" si="74"/>
        <v>4</v>
      </c>
      <c r="AH180" s="172">
        <f t="shared" si="67"/>
        <v>10</v>
      </c>
      <c r="AI180" s="221">
        <f t="shared" si="68"/>
        <v>4.2691899627446848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47650</v>
      </c>
      <c r="B181" s="406">
        <f>'2029'!Wh/'2029'!Env_an*'2030'!Env_an</f>
        <v>55.070775815021022</v>
      </c>
      <c r="C181" s="832"/>
      <c r="D181" s="388">
        <f t="shared" si="50"/>
        <v>57.480121631993839</v>
      </c>
      <c r="E181" s="380">
        <f t="shared" si="75"/>
        <v>59.022091230662312</v>
      </c>
      <c r="F181" s="380">
        <f t="shared" si="51"/>
        <v>59.022139490423875</v>
      </c>
      <c r="G181" s="110">
        <f t="shared" si="76"/>
        <v>0.90451739979099155</v>
      </c>
      <c r="H181" s="409" t="b">
        <f>Wh_hp&gt;='2029'!Maxi_hp</f>
        <v>0</v>
      </c>
      <c r="I181" s="385">
        <f>IF(H181,Wh_hp,'2029'!Maxi_hp)</f>
        <v>59.022144543230645</v>
      </c>
      <c r="J181" s="85">
        <f>IF(H181,An,'2029'!An_max)</f>
        <v>2029</v>
      </c>
      <c r="K181" s="193">
        <f t="shared" si="52"/>
        <v>47650</v>
      </c>
      <c r="L181" s="143">
        <f>IF(t&lt;Tvie,1-EXP((T0-t)*PertePVj)+'2029'!Pspv,1-EXP((T0-t)*PertePVj)+Pspv)</f>
        <v>4.1916157248208741E-2</v>
      </c>
      <c r="M181" s="836"/>
      <c r="N181" s="836"/>
      <c r="O181" s="48">
        <f>IF(t&lt;Tnet,'2029'!Resal+('2029'!Salim-'2029'!Resal)*(1-EXP(('2029'!Tnet-t)/('2029'!Tau_j))),Resal+(Salim-Resal)*(1-EXP((Tnet-t)/(Tau_j))))*Salcycl</f>
        <v>2.6125295910684587E-2</v>
      </c>
      <c r="P181" s="165">
        <f>(INDEX(Models!$BJ181:$BT181,,T181)*(1-R181)+INDEX(Models!$BJ181:$BT181,,T181+1)*R181-ERP_i)*Q181*Ramure*Pc/MaxiM</f>
        <v>9.4680245231444307E-7</v>
      </c>
      <c r="Q181" s="301">
        <f t="shared" si="53"/>
        <v>0.5</v>
      </c>
      <c r="R181" s="173">
        <f t="shared" si="54"/>
        <v>0.74928289724097952</v>
      </c>
      <c r="S181" s="802">
        <f t="shared" si="55"/>
        <v>0</v>
      </c>
      <c r="T181" s="172">
        <f t="shared" si="56"/>
        <v>6</v>
      </c>
      <c r="U181" s="247">
        <f t="shared" si="57"/>
        <v>0.74928289724097952</v>
      </c>
      <c r="V181" s="378">
        <f t="shared" si="58"/>
        <v>60.884145197763203</v>
      </c>
      <c r="W181" s="397">
        <f t="shared" si="59"/>
        <v>55.070775815021022</v>
      </c>
      <c r="X181" s="153">
        <f t="shared" si="60"/>
        <v>47650</v>
      </c>
      <c r="Y181" s="380">
        <f t="shared" si="61"/>
        <v>53.495306452417729</v>
      </c>
      <c r="Z181" s="380">
        <f t="shared" si="62"/>
        <v>55.835725502654832</v>
      </c>
      <c r="AA181" s="381">
        <f t="shared" si="63"/>
        <v>59.021689243484118</v>
      </c>
      <c r="AB181" s="193">
        <f t="shared" si="64"/>
        <v>47650</v>
      </c>
      <c r="AC181" s="119">
        <f>IF(OR(t&lt;Tnet,NoTnet),'2029'!Resal_s+('2029'!Salim-'2029'!Resal_s)*(1-EXP(('2029'!Tnet_s-t)/'2029'!Tau_j)),Resal_s+(Salim-Resal_s)*(1-EXP((Tnet_s-t)/Tau_j)))*Salcycl</f>
        <v>5.3979541786513867E-2</v>
      </c>
      <c r="AD181" s="227">
        <f>(INDEX(Models!$BJ181:$BT181,,AH181)*(1-AF181)+INDEX(Models!$BJ181:$BT181,,AH181+1)*AF181-ERP_i)*AE181*Ramure*Pc/MaxiM</f>
        <v>8.8333405079322498E-6</v>
      </c>
      <c r="AE181" s="301">
        <f t="shared" si="65"/>
        <v>0.5</v>
      </c>
      <c r="AF181" s="173">
        <f t="shared" si="66"/>
        <v>0.27427046361495666</v>
      </c>
      <c r="AG181" s="802">
        <f t="shared" si="74"/>
        <v>4</v>
      </c>
      <c r="AH181" s="172">
        <f t="shared" si="67"/>
        <v>10</v>
      </c>
      <c r="AI181" s="221">
        <f t="shared" si="68"/>
        <v>4.2742704636149567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47651</v>
      </c>
      <c r="B182" s="406">
        <f>'2029'!Wh/'2029'!Env_an*'2030'!Env_an</f>
        <v>55.232387259404661</v>
      </c>
      <c r="C182" s="832"/>
      <c r="D182" s="388">
        <f t="shared" si="50"/>
        <v>57.649592749748138</v>
      </c>
      <c r="E182" s="380">
        <f t="shared" si="75"/>
        <v>59.200057831424587</v>
      </c>
      <c r="F182" s="380">
        <f t="shared" si="51"/>
        <v>59.200105754570565</v>
      </c>
      <c r="G182" s="110">
        <f t="shared" si="76"/>
        <v>0.90729966638695325</v>
      </c>
      <c r="H182" s="409" t="b">
        <f>Wh_hp&gt;='2029'!Maxi_hp</f>
        <v>0</v>
      </c>
      <c r="I182" s="385">
        <f>IF(H182,Wh_hp,'2029'!Maxi_hp)</f>
        <v>59.20011057102802</v>
      </c>
      <c r="J182" s="85">
        <f>IF(H182,An,'2029'!An_max)</f>
        <v>2029</v>
      </c>
      <c r="K182" s="193">
        <f t="shared" si="52"/>
        <v>47651</v>
      </c>
      <c r="L182" s="143">
        <f>IF(t&lt;Tvie,1-EXP((T0-t)*PertePVj)+'2029'!Pspv,1-EXP((T0-t)*PertePVj)+Pspv)</f>
        <v>4.1929272611453738E-2</v>
      </c>
      <c r="M182" s="836"/>
      <c r="N182" s="836"/>
      <c r="O182" s="48">
        <f>IF(t&lt;Tnet,'2029'!Resal+('2029'!Salim-'2029'!Resal)*(1-EXP(('2029'!Tnet-t)/('2029'!Tau_j))),Resal+(Salim-Resal)*(1-EXP((Tnet-t)/(Tau_j))))*Salcycl</f>
        <v>2.6190262957031012E-2</v>
      </c>
      <c r="P182" s="165">
        <f>(INDEX(Models!$BJ182:$BT182,,T182)*(1-R182)+INDEX(Models!$BJ182:$BT182,,T182+1)*R182-ERP_i)*Q182*Ramure*Pc/MaxiM</f>
        <v>9.330775812959261E-7</v>
      </c>
      <c r="Q182" s="301">
        <f t="shared" si="53"/>
        <v>0.5</v>
      </c>
      <c r="R182" s="173">
        <f t="shared" si="54"/>
        <v>0.75433785477063919</v>
      </c>
      <c r="S182" s="802">
        <f t="shared" si="55"/>
        <v>0</v>
      </c>
      <c r="T182" s="172">
        <f t="shared" si="56"/>
        <v>6</v>
      </c>
      <c r="U182" s="247">
        <f t="shared" si="57"/>
        <v>0.75433785477063919</v>
      </c>
      <c r="V182" s="378">
        <f t="shared" si="58"/>
        <v>60.875565682148526</v>
      </c>
      <c r="W182" s="397">
        <f t="shared" si="59"/>
        <v>55.232387259404661</v>
      </c>
      <c r="X182" s="153">
        <f t="shared" si="60"/>
        <v>47651</v>
      </c>
      <c r="Y182" s="380">
        <f t="shared" si="61"/>
        <v>53.652867352087206</v>
      </c>
      <c r="Z182" s="380">
        <f t="shared" si="62"/>
        <v>56.0009462958242</v>
      </c>
      <c r="AA182" s="381">
        <f t="shared" si="63"/>
        <v>59.199660907044233</v>
      </c>
      <c r="AB182" s="193">
        <f t="shared" si="64"/>
        <v>47651</v>
      </c>
      <c r="AC182" s="119">
        <f>IF(OR(t&lt;Tnet,NoTnet),'2029'!Resal_s+('2029'!Salim-'2029'!Resal_s)*(1-EXP(('2029'!Tnet_s-t)/'2029'!Tau_j)),Resal_s+(Salim-Resal_s)*(1-EXP((Tnet_s-t)/Tau_j)))*Salcycl</f>
        <v>5.4032650900529285E-2</v>
      </c>
      <c r="AD182" s="227">
        <f>(INDEX(Models!$BJ182:$BT182,,AH182)*(1-AF182)+INDEX(Models!$BJ182:$BT182,,AH182+1)*AF182-ERP_i)*AE182*Ramure*Pc/MaxiM</f>
        <v>8.6613106343458052E-6</v>
      </c>
      <c r="AE182" s="301">
        <f t="shared" si="65"/>
        <v>0.5</v>
      </c>
      <c r="AF182" s="173">
        <f t="shared" si="66"/>
        <v>0.27932542114461612</v>
      </c>
      <c r="AG182" s="802">
        <f t="shared" si="74"/>
        <v>4</v>
      </c>
      <c r="AH182" s="172">
        <f t="shared" si="67"/>
        <v>10</v>
      </c>
      <c r="AI182" s="221">
        <f t="shared" si="68"/>
        <v>4.2793254211446161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47652</v>
      </c>
      <c r="B183" s="406">
        <f>'2029'!Wh/'2029'!Env_an*'2030'!Env_an</f>
        <v>58.811343358376398</v>
      </c>
      <c r="C183" s="832"/>
      <c r="D183" s="388">
        <f t="shared" si="50"/>
        <v>61.386019597537647</v>
      </c>
      <c r="E183" s="380">
        <f t="shared" si="75"/>
        <v>63.041153489822705</v>
      </c>
      <c r="F183" s="380">
        <f t="shared" si="51"/>
        <v>63.041208937313243</v>
      </c>
      <c r="G183" s="110">
        <f t="shared" si="76"/>
        <v>0.96628290939183292</v>
      </c>
      <c r="H183" s="409" t="b">
        <f>Wh_hp&gt;='2029'!Maxi_hp</f>
        <v>0</v>
      </c>
      <c r="I183" s="385">
        <f>IF(H183,Wh_hp,'2029'!Maxi_hp)</f>
        <v>63.04121077252843</v>
      </c>
      <c r="J183" s="85">
        <f>IF(H183,An,'2029'!An_max)</f>
        <v>2029</v>
      </c>
      <c r="K183" s="193">
        <f t="shared" si="52"/>
        <v>47652</v>
      </c>
      <c r="L183" s="143">
        <f>IF(t&lt;Tvie,1-EXP((T0-t)*PertePVj)+'2029'!Pspv,1-EXP((T0-t)*PertePVj)+Pspv)</f>
        <v>4.1942387795160574E-2</v>
      </c>
      <c r="M183" s="836"/>
      <c r="N183" s="836"/>
      <c r="O183" s="48">
        <f>IF(t&lt;Tnet,'2029'!Resal+('2029'!Salim-'2029'!Resal)*(1-EXP(('2029'!Tnet-t)/('2029'!Tau_j))),Resal+(Salim-Resal)*(1-EXP((Tnet-t)/(Tau_j))))*Salcycl</f>
        <v>2.6254816110753074E-2</v>
      </c>
      <c r="P183" s="165">
        <f>(INDEX(Models!$BJ183:$BT183,,T183)*(1-R183)+INDEX(Models!$BJ183:$BT183,,T183+1)*R183-ERP_i)*Q183*Ramure*Pc/MaxiM</f>
        <v>9.2405261628271962E-7</v>
      </c>
      <c r="Q183" s="301">
        <f t="shared" si="53"/>
        <v>0.5</v>
      </c>
      <c r="R183" s="173">
        <f t="shared" si="54"/>
        <v>0.75936322755291119</v>
      </c>
      <c r="S183" s="802">
        <f t="shared" si="55"/>
        <v>0</v>
      </c>
      <c r="T183" s="172">
        <f t="shared" si="56"/>
        <v>6</v>
      </c>
      <c r="U183" s="247">
        <f t="shared" si="57"/>
        <v>0.75936322755291119</v>
      </c>
      <c r="V183" s="378">
        <f t="shared" si="58"/>
        <v>60.863480217975692</v>
      </c>
      <c r="W183" s="397">
        <f t="shared" si="59"/>
        <v>58.811343358376398</v>
      </c>
      <c r="X183" s="153">
        <f t="shared" si="60"/>
        <v>47652</v>
      </c>
      <c r="Y183" s="380">
        <f t="shared" si="61"/>
        <v>57.130074284377272</v>
      </c>
      <c r="Z183" s="380">
        <f t="shared" si="62"/>
        <v>59.631146975493643</v>
      </c>
      <c r="AA183" s="381">
        <f t="shared" si="63"/>
        <v>63.04069691788321</v>
      </c>
      <c r="AB183" s="193">
        <f t="shared" si="64"/>
        <v>47652</v>
      </c>
      <c r="AC183" s="119">
        <f>IF(OR(t&lt;Tnet,NoTnet),'2029'!Resal_s+('2029'!Salim-'2029'!Resal_s)*(1-EXP(('2029'!Tnet_s-t)/'2029'!Tau_j)),Resal_s+(Salim-Resal_s)*(1-EXP((Tnet_s-t)/Tau_j)))*Salcycl</f>
        <v>5.4084902437402375E-2</v>
      </c>
      <c r="AD183" s="227">
        <f>(INDEX(Models!$BJ183:$BT183,,AH183)*(1-AF183)+INDEX(Models!$BJ183:$BT183,,AH183+1)*AF183-ERP_i)*AE183*Ramure*Pc/MaxiM</f>
        <v>8.5329902096154235E-6</v>
      </c>
      <c r="AE183" s="301">
        <f t="shared" si="65"/>
        <v>0.5</v>
      </c>
      <c r="AF183" s="173">
        <f t="shared" si="66"/>
        <v>0.28435079392688856</v>
      </c>
      <c r="AG183" s="802">
        <f t="shared" si="74"/>
        <v>4</v>
      </c>
      <c r="AH183" s="172">
        <f t="shared" si="67"/>
        <v>10</v>
      </c>
      <c r="AI183" s="221">
        <f t="shared" si="68"/>
        <v>4.2843507939268886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47653</v>
      </c>
      <c r="B184" s="406">
        <f>'2029'!Wh/'2029'!Env_an*'2030'!Env_an</f>
        <v>59.2824552806957</v>
      </c>
      <c r="C184" s="832"/>
      <c r="D184" s="388">
        <f t="shared" si="50"/>
        <v>61.878603190054768</v>
      </c>
      <c r="E184" s="380">
        <f t="shared" si="75"/>
        <v>63.551203879866634</v>
      </c>
      <c r="F184" s="380">
        <f t="shared" si="51"/>
        <v>63.551260297185159</v>
      </c>
      <c r="G184" s="110">
        <f t="shared" si="76"/>
        <v>0.97428110431526049</v>
      </c>
      <c r="H184" s="409" t="b">
        <f>Wh_hp&gt;='2029'!Maxi_hp</f>
        <v>0</v>
      </c>
      <c r="I184" s="385">
        <f>IF(H184,Wh_hp,'2029'!Maxi_hp)</f>
        <v>63.551261695450442</v>
      </c>
      <c r="J184" s="85">
        <f>IF(H184,An,'2029'!An_max)</f>
        <v>2029</v>
      </c>
      <c r="K184" s="193">
        <f t="shared" si="52"/>
        <v>47653</v>
      </c>
      <c r="L184" s="143">
        <f>IF(t&lt;Tvie,1-EXP((T0-t)*PertePVj)+'2029'!Pspv,1-EXP((T0-t)*PertePVj)+Pspv)</f>
        <v>4.1955502799331579E-2</v>
      </c>
      <c r="M184" s="836"/>
      <c r="N184" s="836"/>
      <c r="O184" s="48">
        <f>IF(t&lt;Tnet,'2029'!Resal+('2029'!Salim-'2029'!Resal)*(1-EXP(('2029'!Tnet-t)/('2029'!Tau_j))),Resal+(Salim-Resal)*(1-EXP((Tnet-t)/(Tau_j))))*Salcycl</f>
        <v>2.6318945790132553E-2</v>
      </c>
      <c r="P184" s="165">
        <f>(INDEX(Models!$BJ184:$BT184,,T184)*(1-R184)+INDEX(Models!$BJ184:$BT184,,T184+1)*R184-ERP_i)*Q184*Ramure*Pc/MaxiM</f>
        <v>9.2160601885742658E-7</v>
      </c>
      <c r="Q184" s="301">
        <f t="shared" si="53"/>
        <v>0.5</v>
      </c>
      <c r="R184" s="173">
        <f t="shared" si="54"/>
        <v>0.76435507096732369</v>
      </c>
      <c r="S184" s="802">
        <f t="shared" si="55"/>
        <v>0</v>
      </c>
      <c r="T184" s="172">
        <f t="shared" si="56"/>
        <v>6</v>
      </c>
      <c r="U184" s="247">
        <f t="shared" si="57"/>
        <v>0.76435507096732369</v>
      </c>
      <c r="V184" s="378">
        <f t="shared" si="58"/>
        <v>60.847380710517641</v>
      </c>
      <c r="W184" s="397">
        <f t="shared" si="59"/>
        <v>59.2824552806957</v>
      </c>
      <c r="X184" s="153">
        <f t="shared" si="60"/>
        <v>47653</v>
      </c>
      <c r="Y184" s="380">
        <f t="shared" si="61"/>
        <v>57.588381664270322</v>
      </c>
      <c r="Z184" s="380">
        <f t="shared" si="62"/>
        <v>60.110341255066018</v>
      </c>
      <c r="AA184" s="381">
        <f t="shared" si="63"/>
        <v>63.550742057300852</v>
      </c>
      <c r="AB184" s="193">
        <f t="shared" si="64"/>
        <v>47653</v>
      </c>
      <c r="AC184" s="119">
        <f>IF(OR(t&lt;Tnet,NoTnet),'2029'!Resal_s+('2029'!Salim-'2029'!Resal_s)*(1-EXP(('2029'!Tnet_s-t)/'2029'!Tau_j)),Resal_s+(Salim-Resal_s)*(1-EXP((Tnet_s-t)/Tau_j)))*Salcycl</f>
        <v>5.4136280566681301E-2</v>
      </c>
      <c r="AD184" s="227">
        <f>(INDEX(Models!$BJ184:$BT184,,AH184)*(1-AF184)+INDEX(Models!$BJ184:$BT184,,AH184+1)*AF184-ERP_i)*AE184*Ramure*Pc/MaxiM</f>
        <v>8.4657160084575254E-6</v>
      </c>
      <c r="AE184" s="301">
        <f t="shared" si="65"/>
        <v>0.5</v>
      </c>
      <c r="AF184" s="173">
        <f t="shared" si="66"/>
        <v>0.28934263734130106</v>
      </c>
      <c r="AG184" s="802">
        <f t="shared" si="74"/>
        <v>4</v>
      </c>
      <c r="AH184" s="172">
        <f t="shared" si="67"/>
        <v>10</v>
      </c>
      <c r="AI184" s="221">
        <f t="shared" si="68"/>
        <v>4.2893426373413011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47654</v>
      </c>
      <c r="B185" s="406">
        <f>'2029'!Wh/'2029'!Env_an*'2030'!Env_an</f>
        <v>32.055836886681305</v>
      </c>
      <c r="C185" s="832"/>
      <c r="D185" s="388">
        <f t="shared" si="50"/>
        <v>33.460111512400616</v>
      </c>
      <c r="E185" s="380">
        <f t="shared" si="75"/>
        <v>34.366798510792371</v>
      </c>
      <c r="F185" s="380">
        <f t="shared" si="51"/>
        <v>34.366808789786134</v>
      </c>
      <c r="G185" s="110">
        <f t="shared" si="76"/>
        <v>0.5270018852631716</v>
      </c>
      <c r="H185" s="409" t="b">
        <f>Wh_hp&gt;='2029'!Maxi_hp</f>
        <v>0</v>
      </c>
      <c r="I185" s="385">
        <f>IF(H185,Wh_hp,'2029'!Maxi_hp)</f>
        <v>34.366822617272106</v>
      </c>
      <c r="J185" s="85">
        <f>IF(H185,An,'2029'!An_max)</f>
        <v>2029</v>
      </c>
      <c r="K185" s="193">
        <f t="shared" si="52"/>
        <v>47654</v>
      </c>
      <c r="L185" s="143">
        <f>IF(t&lt;Tvie,1-EXP((T0-t)*PertePVj)+'2029'!Pspv,1-EXP((T0-t)*PertePVj)+Pspv)</f>
        <v>4.1968617623969084E-2</v>
      </c>
      <c r="M185" s="836"/>
      <c r="N185" s="836"/>
      <c r="O185" s="48">
        <f>IF(t&lt;Tnet,'2029'!Resal+('2029'!Salim-'2029'!Resal)*(1-EXP(('2029'!Tnet-t)/('2029'!Tau_j))),Resal+(Salim-Resal)*(1-EXP((Tnet-t)/(Tau_j))))*Salcycl</f>
        <v>2.6382643646804066E-2</v>
      </c>
      <c r="P185" s="165">
        <f>(INDEX(Models!$BJ185:$BT185,,T185)*(1-R185)+INDEX(Models!$BJ185:$BT185,,T185+1)*R185-ERP_i)*Q185*Ramure*Pc/MaxiM</f>
        <v>9.2231515233150821E-7</v>
      </c>
      <c r="Q185" s="301">
        <f t="shared" si="53"/>
        <v>0.5</v>
      </c>
      <c r="R185" s="173">
        <f t="shared" si="54"/>
        <v>0.76930954904440596</v>
      </c>
      <c r="S185" s="802">
        <f t="shared" si="55"/>
        <v>0</v>
      </c>
      <c r="T185" s="172">
        <f t="shared" si="56"/>
        <v>6</v>
      </c>
      <c r="U185" s="247">
        <f t="shared" si="57"/>
        <v>0.76930954904440596</v>
      </c>
      <c r="V185" s="378">
        <f t="shared" si="58"/>
        <v>60.826759458124954</v>
      </c>
      <c r="W185" s="397">
        <f t="shared" si="59"/>
        <v>32.055836886681305</v>
      </c>
      <c r="X185" s="153">
        <f t="shared" si="60"/>
        <v>47654</v>
      </c>
      <c r="Y185" s="380">
        <f t="shared" si="61"/>
        <v>31.140324839580959</v>
      </c>
      <c r="Z185" s="380">
        <f t="shared" si="62"/>
        <v>32.504493498270669</v>
      </c>
      <c r="AA185" s="381">
        <f t="shared" si="63"/>
        <v>34.366714842232703</v>
      </c>
      <c r="AB185" s="193">
        <f t="shared" si="64"/>
        <v>47654</v>
      </c>
      <c r="AC185" s="119">
        <f>IF(OR(t&lt;Tnet,NoTnet),'2029'!Resal_s+('2029'!Salim-'2029'!Resal_s)*(1-EXP(('2029'!Tnet_s-t)/'2029'!Tau_j)),Resal_s+(Salim-Resal_s)*(1-EXP((Tnet_s-t)/Tau_j)))*Salcycl</f>
        <v>5.4186772070328439E-2</v>
      </c>
      <c r="AD185" s="227">
        <f>(INDEX(Models!$BJ185:$BT185,,AH185)*(1-AF185)+INDEX(Models!$BJ185:$BT185,,AH185+1)*AF185-ERP_i)*AE185*Ramure*Pc/MaxiM</f>
        <v>8.4297406976704415E-6</v>
      </c>
      <c r="AE185" s="301">
        <f t="shared" si="65"/>
        <v>0.5</v>
      </c>
      <c r="AF185" s="173">
        <f t="shared" si="66"/>
        <v>0.29429711541838355</v>
      </c>
      <c r="AG185" s="802">
        <f t="shared" si="74"/>
        <v>4</v>
      </c>
      <c r="AH185" s="172">
        <f t="shared" si="67"/>
        <v>10</v>
      </c>
      <c r="AI185" s="221">
        <f t="shared" si="68"/>
        <v>4.2942971154183835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47655</v>
      </c>
      <c r="B186" s="406">
        <f>'2029'!Wh/'2029'!Env_an*'2030'!Env_an</f>
        <v>21.571280278468361</v>
      </c>
      <c r="C186" s="832"/>
      <c r="D186" s="388">
        <f t="shared" si="50"/>
        <v>22.516564667978777</v>
      </c>
      <c r="E186" s="380">
        <f t="shared" si="75"/>
        <v>23.128211085340865</v>
      </c>
      <c r="F186" s="380">
        <f t="shared" si="51"/>
        <v>23.128212762006914</v>
      </c>
      <c r="G186" s="110">
        <f t="shared" si="76"/>
        <v>0.35478402205944465</v>
      </c>
      <c r="H186" s="409" t="b">
        <f>Wh_hp&gt;='2029'!Maxi_hp</f>
        <v>0</v>
      </c>
      <c r="I186" s="385">
        <f>IF(H186,Wh_hp,'2029'!Maxi_hp)</f>
        <v>23.128225429856283</v>
      </c>
      <c r="J186" s="85">
        <f>IF(H186,An,'2029'!An_max)</f>
        <v>2029</v>
      </c>
      <c r="K186" s="193">
        <f t="shared" si="52"/>
        <v>47655</v>
      </c>
      <c r="L186" s="143">
        <f>IF(t&lt;Tvie,1-EXP((T0-t)*PertePVj)+'2029'!Pspv,1-EXP((T0-t)*PertePVj)+Pspv)</f>
        <v>4.1981732269075756E-2</v>
      </c>
      <c r="M186" s="836"/>
      <c r="N186" s="836"/>
      <c r="O186" s="48">
        <f>IF(t&lt;Tnet,'2029'!Resal+('2029'!Salim-'2029'!Resal)*(1-EXP(('2029'!Tnet-t)/('2029'!Tau_j))),Resal+(Salim-Resal)*(1-EXP((Tnet-t)/(Tau_j))))*Salcycl</f>
        <v>2.6445902586463482E-2</v>
      </c>
      <c r="P186" s="165">
        <f>(INDEX(Models!$BJ186:$BT186,,T186)*(1-R186)+INDEX(Models!$BJ186:$BT186,,T186+1)*R186-ERP_i)*Q186*Ramure*Pc/MaxiM</f>
        <v>9.2628839226510179E-7</v>
      </c>
      <c r="Q186" s="301">
        <f t="shared" si="53"/>
        <v>0.5</v>
      </c>
      <c r="R186" s="173">
        <f t="shared" si="54"/>
        <v>0.77422294559403271</v>
      </c>
      <c r="S186" s="802">
        <f t="shared" si="55"/>
        <v>0</v>
      </c>
      <c r="T186" s="172">
        <f t="shared" si="56"/>
        <v>6</v>
      </c>
      <c r="U186" s="247">
        <f t="shared" si="57"/>
        <v>0.77422294559403271</v>
      </c>
      <c r="V186" s="378">
        <f t="shared" si="58"/>
        <v>60.801108617634846</v>
      </c>
      <c r="W186" s="397">
        <f t="shared" si="59"/>
        <v>21.571280278468361</v>
      </c>
      <c r="X186" s="153">
        <f t="shared" si="60"/>
        <v>47655</v>
      </c>
      <c r="Y186" s="380">
        <f t="shared" si="61"/>
        <v>20.955507761098072</v>
      </c>
      <c r="Z186" s="380">
        <f t="shared" si="62"/>
        <v>21.873808117178601</v>
      </c>
      <c r="AA186" s="381">
        <f t="shared" si="63"/>
        <v>23.128197510744791</v>
      </c>
      <c r="AB186" s="193">
        <f t="shared" si="64"/>
        <v>47655</v>
      </c>
      <c r="AC186" s="119">
        <f>IF(OR(t&lt;Tnet,NoTnet),'2029'!Resal_s+('2029'!Salim-'2029'!Resal_s)*(1-EXP(('2029'!Tnet_s-t)/'2029'!Tau_j)),Resal_s+(Salim-Resal_s)*(1-EXP((Tnet_s-t)/Tau_j)))*Salcycl</f>
        <v>5.4236366365490861E-2</v>
      </c>
      <c r="AD186" s="227">
        <f>(INDEX(Models!$BJ186:$BT186,,AH186)*(1-AF186)+INDEX(Models!$BJ186:$BT186,,AH186+1)*AF186-ERP_i)*AE186*Ramure*Pc/MaxiM</f>
        <v>8.4256892281499536E-6</v>
      </c>
      <c r="AE186" s="301">
        <f t="shared" si="65"/>
        <v>0.5</v>
      </c>
      <c r="AF186" s="173">
        <f t="shared" si="66"/>
        <v>0.29921051196800974</v>
      </c>
      <c r="AG186" s="802">
        <f t="shared" si="74"/>
        <v>4</v>
      </c>
      <c r="AH186" s="172">
        <f t="shared" si="67"/>
        <v>10</v>
      </c>
      <c r="AI186" s="221">
        <f t="shared" si="68"/>
        <v>4.2992105119680097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47656</v>
      </c>
      <c r="B187" s="406">
        <f>'2029'!Wh/'2029'!Env_an*'2030'!Env_an</f>
        <v>44.749917777704432</v>
      </c>
      <c r="C187" s="832"/>
      <c r="D187" s="388">
        <f t="shared" si="50"/>
        <v>46.711562693765281</v>
      </c>
      <c r="E187" s="380">
        <f t="shared" si="75"/>
        <v>47.983544895623474</v>
      </c>
      <c r="F187" s="380">
        <f t="shared" si="51"/>
        <v>47.983572823542637</v>
      </c>
      <c r="G187" s="110">
        <f t="shared" si="76"/>
        <v>0.7363824362189022</v>
      </c>
      <c r="H187" s="409" t="b">
        <f>Wh_hp&gt;='2029'!Maxi_hp</f>
        <v>0</v>
      </c>
      <c r="I187" s="385">
        <f>IF(H187,Wh_hp,'2029'!Maxi_hp)</f>
        <v>47.983583579403863</v>
      </c>
      <c r="J187" s="85">
        <f>IF(H187,An,'2029'!An_max)</f>
        <v>2029</v>
      </c>
      <c r="K187" s="193">
        <f t="shared" si="52"/>
        <v>47656</v>
      </c>
      <c r="L187" s="143">
        <f>IF(t&lt;Tvie,1-EXP((T0-t)*PertePVj)+'2029'!Pspv,1-EXP((T0-t)*PertePVj)+Pspv)</f>
        <v>4.1994846734653812E-2</v>
      </c>
      <c r="M187" s="836"/>
      <c r="N187" s="836"/>
      <c r="O187" s="48">
        <f>IF(t&lt;Tnet,'2029'!Resal+('2029'!Salim-'2029'!Resal)*(1-EXP(('2029'!Tnet-t)/('2029'!Tau_j))),Resal+(Salim-Resal)*(1-EXP((Tnet-t)/(Tau_j))))*Salcycl</f>
        <v>2.6508716782494546E-2</v>
      </c>
      <c r="P187" s="165">
        <f>(INDEX(Models!$BJ187:$BT187,,T187)*(1-R187)+INDEX(Models!$BJ187:$BT187,,T187+1)*R187-ERP_i)*Q187*Ramure*Pc/MaxiM</f>
        <v>9.3363369369883265E-7</v>
      </c>
      <c r="Q187" s="301">
        <f t="shared" si="53"/>
        <v>0.5</v>
      </c>
      <c r="R187" s="173">
        <f t="shared" si="54"/>
        <v>0.77909167453412032</v>
      </c>
      <c r="S187" s="802">
        <f t="shared" si="55"/>
        <v>0</v>
      </c>
      <c r="T187" s="172">
        <f t="shared" si="56"/>
        <v>6</v>
      </c>
      <c r="U187" s="247">
        <f t="shared" si="57"/>
        <v>0.77909167453412032</v>
      </c>
      <c r="V187" s="378">
        <f t="shared" si="58"/>
        <v>60.7699204142802</v>
      </c>
      <c r="W187" s="397">
        <f t="shared" si="59"/>
        <v>44.749917777704432</v>
      </c>
      <c r="X187" s="153">
        <f t="shared" si="60"/>
        <v>47656</v>
      </c>
      <c r="Y187" s="380">
        <f t="shared" si="61"/>
        <v>43.472877798560233</v>
      </c>
      <c r="Z187" s="380">
        <f t="shared" si="62"/>
        <v>45.378542746230103</v>
      </c>
      <c r="AA187" s="381">
        <f t="shared" si="63"/>
        <v>47.983319932445546</v>
      </c>
      <c r="AB187" s="193">
        <f t="shared" si="64"/>
        <v>47656</v>
      </c>
      <c r="AC187" s="119">
        <f>IF(OR(t&lt;Tnet,NoTnet),'2029'!Resal_s+('2029'!Salim-'2029'!Resal_s)*(1-EXP(('2029'!Tnet_s-t)/'2029'!Tau_j)),Resal_s+(Salim-Resal_s)*(1-EXP((Tnet_s-t)/Tau_j)))*Salcycl</f>
        <v>5.4285055512678981E-2</v>
      </c>
      <c r="AD187" s="227">
        <f>(INDEX(Models!$BJ187:$BT187,,AH187)*(1-AF187)+INDEX(Models!$BJ187:$BT187,,AH187+1)*AF187-ERP_i)*AE187*Ramure*Pc/MaxiM</f>
        <v>8.4541797652366259E-6</v>
      </c>
      <c r="AE187" s="301">
        <f t="shared" si="65"/>
        <v>0.5</v>
      </c>
      <c r="AF187" s="173">
        <f t="shared" si="66"/>
        <v>0.30407924090809768</v>
      </c>
      <c r="AG187" s="802">
        <f t="shared" si="74"/>
        <v>4</v>
      </c>
      <c r="AH187" s="172">
        <f t="shared" si="67"/>
        <v>10</v>
      </c>
      <c r="AI187" s="221">
        <f t="shared" si="68"/>
        <v>4.3040792409080977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47657</v>
      </c>
      <c r="B188" s="406">
        <f>'2029'!Wh/'2029'!Env_an*'2030'!Env_an</f>
        <v>44.247993975490992</v>
      </c>
      <c r="C188" s="832"/>
      <c r="D188" s="388">
        <f t="shared" si="50"/>
        <v>46.188268978347288</v>
      </c>
      <c r="E188" s="380">
        <f t="shared" si="75"/>
        <v>47.449041331313495</v>
      </c>
      <c r="F188" s="380">
        <f t="shared" si="51"/>
        <v>47.449068767917538</v>
      </c>
      <c r="G188" s="110">
        <f t="shared" si="76"/>
        <v>0.72856940567446904</v>
      </c>
      <c r="H188" s="409" t="b">
        <f>Wh_hp&gt;='2029'!Maxi_hp</f>
        <v>0</v>
      </c>
      <c r="I188" s="385">
        <f>IF(H188,Wh_hp,'2029'!Maxi_hp)</f>
        <v>47.449079778476218</v>
      </c>
      <c r="J188" s="85">
        <f>IF(H188,An,'2029'!An_max)</f>
        <v>2029</v>
      </c>
      <c r="K188" s="193">
        <f t="shared" si="52"/>
        <v>47657</v>
      </c>
      <c r="L188" s="143">
        <f>IF(t&lt;Tvie,1-EXP((T0-t)*PertePVj)+'2029'!Pspv,1-EXP((T0-t)*PertePVj)+Pspv)</f>
        <v>4.2007961020706031E-2</v>
      </c>
      <c r="M188" s="836"/>
      <c r="N188" s="836"/>
      <c r="O188" s="48">
        <f>IF(t&lt;Tnet,'2029'!Resal+('2029'!Salim-'2029'!Resal)*(1-EXP(('2029'!Tnet-t)/('2029'!Tau_j))),Resal+(Salim-Resal)*(1-EXP((Tnet-t)/(Tau_j))))*Salcycl</f>
        <v>2.6571081682406416E-2</v>
      </c>
      <c r="P188" s="165">
        <f>(INDEX(Models!$BJ188:$BT188,,T188)*(1-R188)+INDEX(Models!$BJ188:$BT188,,T188+1)*R188-ERP_i)*Q188*Ramure*Pc/MaxiM</f>
        <v>9.4445064421873569E-7</v>
      </c>
      <c r="Q188" s="301">
        <f t="shared" si="53"/>
        <v>0.5</v>
      </c>
      <c r="R188" s="173">
        <f t="shared" si="54"/>
        <v>0.7839122893653423</v>
      </c>
      <c r="S188" s="802">
        <f t="shared" si="55"/>
        <v>0</v>
      </c>
      <c r="T188" s="172">
        <f t="shared" si="56"/>
        <v>6</v>
      </c>
      <c r="U188" s="247">
        <f t="shared" si="57"/>
        <v>0.7839122893653423</v>
      </c>
      <c r="V188" s="378">
        <f t="shared" si="58"/>
        <v>60.732687135154606</v>
      </c>
      <c r="W188" s="397">
        <f t="shared" si="59"/>
        <v>44.247993975490992</v>
      </c>
      <c r="X188" s="153">
        <f t="shared" si="60"/>
        <v>47657</v>
      </c>
      <c r="Y188" s="380">
        <f t="shared" si="61"/>
        <v>42.985861937205279</v>
      </c>
      <c r="Z188" s="380">
        <f t="shared" si="62"/>
        <v>44.87079243686113</v>
      </c>
      <c r="AA188" s="381">
        <f t="shared" si="63"/>
        <v>47.448821382460316</v>
      </c>
      <c r="AB188" s="193">
        <f t="shared" si="64"/>
        <v>47657</v>
      </c>
      <c r="AC188" s="119">
        <f>IF(OR(t&lt;Tnet,NoTnet),'2029'!Resal_s+('2029'!Salim-'2029'!Resal_s)*(1-EXP(('2029'!Tnet_s-t)/'2029'!Tau_j)),Resal_s+(Salim-Resal_s)*(1-EXP((Tnet_s-t)/Tau_j)))*Salcycl</f>
        <v>5.433283420928476E-2</v>
      </c>
      <c r="AD188" s="227">
        <f>(INDEX(Models!$BJ188:$BT188,,AH188)*(1-AF188)+INDEX(Models!$BJ188:$BT188,,AH188+1)*AF188-ERP_i)*AE188*Ramure*Pc/MaxiM</f>
        <v>8.5157534093913052E-6</v>
      </c>
      <c r="AE188" s="301">
        <f t="shared" si="65"/>
        <v>0.5</v>
      </c>
      <c r="AF188" s="173">
        <f t="shared" si="66"/>
        <v>0.30889985573931966</v>
      </c>
      <c r="AG188" s="802">
        <f t="shared" si="74"/>
        <v>4</v>
      </c>
      <c r="AH188" s="172">
        <f t="shared" si="67"/>
        <v>10</v>
      </c>
      <c r="AI188" s="221">
        <f t="shared" si="68"/>
        <v>4.3088998557393197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47658</v>
      </c>
      <c r="B189" s="406">
        <f>'2029'!Wh/'2029'!Env_an*'2030'!Env_an</f>
        <v>47.597337964850503</v>
      </c>
      <c r="C189" s="832"/>
      <c r="D189" s="388">
        <f t="shared" si="50"/>
        <v>49.685161885134548</v>
      </c>
      <c r="E189" s="380">
        <f t="shared" si="75"/>
        <v>51.044633297847206</v>
      </c>
      <c r="F189" s="380">
        <f t="shared" si="51"/>
        <v>51.044667158681683</v>
      </c>
      <c r="G189" s="110">
        <f t="shared" si="76"/>
        <v>0.784283831355435</v>
      </c>
      <c r="H189" s="409" t="b">
        <f>Wh_hp&gt;='2029'!Maxi_hp</f>
        <v>0</v>
      </c>
      <c r="I189" s="385">
        <f>IF(H189,Wh_hp,'2029'!Maxi_hp)</f>
        <v>51.044676658471744</v>
      </c>
      <c r="J189" s="85">
        <f>IF(H189,An,'2029'!An_max)</f>
        <v>2029</v>
      </c>
      <c r="K189" s="193">
        <f t="shared" si="52"/>
        <v>47658</v>
      </c>
      <c r="L189" s="143">
        <f>IF(t&lt;Tvie,1-EXP((T0-t)*PertePVj)+'2029'!Pspv,1-EXP((T0-t)*PertePVj)+Pspv)</f>
        <v>4.202107512723452E-2</v>
      </c>
      <c r="M189" s="836"/>
      <c r="N189" s="836"/>
      <c r="O189" s="48">
        <f>IF(t&lt;Tnet,'2029'!Resal+('2029'!Salim-'2029'!Resal)*(1-EXP(('2029'!Tnet-t)/('2029'!Tau_j))),Resal+(Salim-Resal)*(1-EXP((Tnet-t)/(Tau_j))))*Salcycl</f>
        <v>2.6632994007030977E-2</v>
      </c>
      <c r="P189" s="165">
        <f>(INDEX(Models!$BJ189:$BT189,,T189)*(1-R189)+INDEX(Models!$BJ189:$BT189,,T189+1)*R189-ERP_i)*Q189*Ramure*Pc/MaxiM</f>
        <v>9.5883779188501667E-7</v>
      </c>
      <c r="Q189" s="301">
        <f t="shared" si="53"/>
        <v>0.5</v>
      </c>
      <c r="R189" s="173">
        <f t="shared" si="54"/>
        <v>0.78868149174688462</v>
      </c>
      <c r="S189" s="802">
        <f t="shared" si="55"/>
        <v>0</v>
      </c>
      <c r="T189" s="172">
        <f t="shared" si="56"/>
        <v>6</v>
      </c>
      <c r="U189" s="247">
        <f t="shared" si="57"/>
        <v>0.78868149174688462</v>
      </c>
      <c r="V189" s="378">
        <f t="shared" si="58"/>
        <v>60.68890113223371</v>
      </c>
      <c r="W189" s="397">
        <f t="shared" si="59"/>
        <v>47.597337964850503</v>
      </c>
      <c r="X189" s="153">
        <f t="shared" si="60"/>
        <v>47658</v>
      </c>
      <c r="Y189" s="380">
        <f t="shared" si="61"/>
        <v>46.240288053794615</v>
      </c>
      <c r="Z189" s="380">
        <f t="shared" si="62"/>
        <v>48.268585929420155</v>
      </c>
      <c r="AA189" s="381">
        <f t="shared" si="63"/>
        <v>51.044363067927598</v>
      </c>
      <c r="AB189" s="193">
        <f t="shared" si="64"/>
        <v>47658</v>
      </c>
      <c r="AC189" s="119">
        <f>IF(OR(t&lt;Tnet,NoTnet),'2029'!Resal_s+('2029'!Salim-'2029'!Resal_s)*(1-EXP(('2029'!Tnet_s-t)/'2029'!Tau_j)),Resal_s+(Salim-Resal_s)*(1-EXP((Tnet_s-t)/Tau_j)))*Salcycl</f>
        <v>5.4379699768484883E-2</v>
      </c>
      <c r="AD189" s="227">
        <f>(INDEX(Models!$BJ189:$BT189,,AH189)*(1-AF189)+INDEX(Models!$BJ189:$BT189,,AH189+1)*AF189-ERP_i)*AE189*Ramure*Pc/MaxiM</f>
        <v>8.6109427503307218E-6</v>
      </c>
      <c r="AE189" s="301">
        <f t="shared" si="65"/>
        <v>0.5</v>
      </c>
      <c r="AF189" s="173">
        <f t="shared" si="66"/>
        <v>0.31366905812086188</v>
      </c>
      <c r="AG189" s="802">
        <f t="shared" si="74"/>
        <v>4</v>
      </c>
      <c r="AH189" s="172">
        <f t="shared" si="67"/>
        <v>10</v>
      </c>
      <c r="AI189" s="221">
        <f t="shared" si="68"/>
        <v>4.3136690581208619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47659</v>
      </c>
      <c r="B190" s="406">
        <f>'2029'!Wh/'2029'!Env_an*'2030'!Env_an</f>
        <v>39.650127511305925</v>
      </c>
      <c r="C190" s="832"/>
      <c r="D190" s="388">
        <f t="shared" si="50"/>
        <v>41.389919199894074</v>
      </c>
      <c r="E190" s="380">
        <f t="shared" si="75"/>
        <v>42.525103523753096</v>
      </c>
      <c r="F190" s="380">
        <f t="shared" si="51"/>
        <v>42.525124525553075</v>
      </c>
      <c r="G190" s="110">
        <f t="shared" si="76"/>
        <v>0.65388160088795633</v>
      </c>
      <c r="H190" s="409" t="b">
        <f>Wh_hp&gt;='2029'!Maxi_hp</f>
        <v>0</v>
      </c>
      <c r="I190" s="385">
        <f>IF(H190,Wh_hp,'2029'!Maxi_hp)</f>
        <v>42.525137387301065</v>
      </c>
      <c r="J190" s="85">
        <f>IF(H190,An,'2029'!An_max)</f>
        <v>2029</v>
      </c>
      <c r="K190" s="193">
        <f t="shared" si="52"/>
        <v>47659</v>
      </c>
      <c r="L190" s="143">
        <f>IF(t&lt;Tvie,1-EXP((T0-t)*PertePVj)+'2029'!Pspv,1-EXP((T0-t)*PertePVj)+Pspv)</f>
        <v>4.2034189054241944E-2</v>
      </c>
      <c r="M190" s="836"/>
      <c r="N190" s="836"/>
      <c r="O190" s="48">
        <f>IF(t&lt;Tnet,'2029'!Resal+('2029'!Salim-'2029'!Resal)*(1-EXP(('2029'!Tnet-t)/('2029'!Tau_j))),Resal+(Salim-Resal)*(1-EXP((Tnet-t)/(Tau_j))))*Salcycl</f>
        <v>2.6694451742485331E-2</v>
      </c>
      <c r="P190" s="165">
        <f>(INDEX(Models!$BJ190:$BT190,,T190)*(1-R190)+INDEX(Models!$BJ190:$BT190,,T190+1)*R190-ERP_i)*Q190*Ramure*Pc/MaxiM</f>
        <v>9.7690108744975029E-7</v>
      </c>
      <c r="Q190" s="301">
        <f t="shared" si="53"/>
        <v>0.5</v>
      </c>
      <c r="R190" s="173">
        <f t="shared" si="54"/>
        <v>0.79339613913786056</v>
      </c>
      <c r="S190" s="802">
        <f t="shared" si="55"/>
        <v>0</v>
      </c>
      <c r="T190" s="172">
        <f t="shared" si="56"/>
        <v>6</v>
      </c>
      <c r="U190" s="247">
        <f t="shared" si="57"/>
        <v>0.79339613913786056</v>
      </c>
      <c r="V190" s="378">
        <f t="shared" si="58"/>
        <v>60.638054817769273</v>
      </c>
      <c r="W190" s="397">
        <f t="shared" si="59"/>
        <v>39.650127511305925</v>
      </c>
      <c r="X190" s="153">
        <f t="shared" si="60"/>
        <v>47659</v>
      </c>
      <c r="Y190" s="380">
        <f t="shared" si="61"/>
        <v>38.52027391096248</v>
      </c>
      <c r="Z190" s="380">
        <f t="shared" si="62"/>
        <v>40.210489216659084</v>
      </c>
      <c r="AA190" s="381">
        <f t="shared" si="63"/>
        <v>42.52493662213638</v>
      </c>
      <c r="AB190" s="193">
        <f t="shared" si="64"/>
        <v>47659</v>
      </c>
      <c r="AC190" s="119">
        <f>IF(OR(t&lt;Tnet,NoTnet),'2029'!Resal_s+('2029'!Salim-'2029'!Resal_s)*(1-EXP(('2029'!Tnet_s-t)/'2029'!Tau_j)),Resal_s+(Salim-Resal_s)*(1-EXP((Tnet_s-t)/Tau_j)))*Salcycl</f>
        <v>5.4425652083688415E-2</v>
      </c>
      <c r="AD190" s="227">
        <f>(INDEX(Models!$BJ190:$BT190,,AH190)*(1-AF190)+INDEX(Models!$BJ190:$BT190,,AH190+1)*AF190-ERP_i)*AE190*Ramure*Pc/MaxiM</f>
        <v>8.7403485555821438E-6</v>
      </c>
      <c r="AE190" s="301">
        <f t="shared" si="65"/>
        <v>0.5</v>
      </c>
      <c r="AF190" s="173">
        <f t="shared" si="66"/>
        <v>0.31838370551183726</v>
      </c>
      <c r="AG190" s="802">
        <f t="shared" si="74"/>
        <v>4</v>
      </c>
      <c r="AH190" s="172">
        <f t="shared" si="67"/>
        <v>10</v>
      </c>
      <c r="AI190" s="221">
        <f t="shared" si="68"/>
        <v>4.3183837055118373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47660</v>
      </c>
      <c r="B191" s="406">
        <f>'2029'!Wh/'2029'!Env_an*'2030'!Env_an</f>
        <v>12.400708414008314</v>
      </c>
      <c r="C191" s="832"/>
      <c r="D191" s="388">
        <f t="shared" si="50"/>
        <v>12.945011220571486</v>
      </c>
      <c r="E191" s="380">
        <f t="shared" si="75"/>
        <v>13.300882368606251</v>
      </c>
      <c r="F191" s="380">
        <f t="shared" si="51"/>
        <v>13.300882368606251</v>
      </c>
      <c r="G191" s="110">
        <f t="shared" si="76"/>
        <v>0.20469865501483581</v>
      </c>
      <c r="H191" s="409" t="b">
        <f>Wh_hp&gt;='2029'!Maxi_hp</f>
        <v>0</v>
      </c>
      <c r="I191" s="385">
        <f>IF(H191,Wh_hp,'2029'!Maxi_hp)</f>
        <v>13.300890638570275</v>
      </c>
      <c r="J191" s="85">
        <f>IF(H191,An,'2029'!An_max)</f>
        <v>2029</v>
      </c>
      <c r="K191" s="193">
        <f t="shared" si="52"/>
        <v>47660</v>
      </c>
      <c r="L191" s="143">
        <f>IF(t&lt;Tvie,1-EXP((T0-t)*PertePVj)+'2029'!Pspv,1-EXP((T0-t)*PertePVj)+Pspv)</f>
        <v>4.2047302801730746E-2</v>
      </c>
      <c r="M191" s="836"/>
      <c r="N191" s="836"/>
      <c r="O191" s="48">
        <f>IF(t&lt;Tnet,'2029'!Resal+('2029'!Salim-'2029'!Resal)*(1-EXP(('2029'!Tnet-t)/('2029'!Tau_j))),Resal+(Salim-Resal)*(1-EXP((Tnet-t)/(Tau_j))))*Salcycl</f>
        <v>2.675545412496241E-2</v>
      </c>
      <c r="P191" s="165">
        <f>(INDEX(Models!$BJ191:$BT191,,T191)*(1-R191)+INDEX(Models!$BJ191:$BT191,,T191+1)*R191-ERP_i)*Q191*Ramure*Pc/MaxiM</f>
        <v>9.9873632913696208E-7</v>
      </c>
      <c r="Q191" s="301">
        <f t="shared" si="53"/>
        <v>0.5</v>
      </c>
      <c r="R191" s="173">
        <f t="shared" si="54"/>
        <v>0.79805325147869277</v>
      </c>
      <c r="S191" s="802">
        <f t="shared" si="55"/>
        <v>0</v>
      </c>
      <c r="T191" s="172">
        <f t="shared" si="56"/>
        <v>6</v>
      </c>
      <c r="U191" s="247">
        <f t="shared" si="57"/>
        <v>0.79805325147869277</v>
      </c>
      <c r="V191" s="378">
        <f t="shared" si="58"/>
        <v>60.580251629262335</v>
      </c>
      <c r="W191" s="397">
        <f t="shared" si="59"/>
        <v>12.400708414008314</v>
      </c>
      <c r="X191" s="153">
        <f t="shared" si="60"/>
        <v>47660</v>
      </c>
      <c r="Y191" s="380">
        <f t="shared" si="61"/>
        <v>12.047571471655887</v>
      </c>
      <c r="Z191" s="380">
        <f t="shared" si="62"/>
        <v>12.576374080778207</v>
      </c>
      <c r="AA191" s="381">
        <f t="shared" si="63"/>
        <v>13.300882368606251</v>
      </c>
      <c r="AB191" s="193">
        <f t="shared" si="64"/>
        <v>47660</v>
      </c>
      <c r="AC191" s="119">
        <f>IF(OR(t&lt;Tnet,NoTnet),'2029'!Resal_s+('2029'!Salim-'2029'!Resal_s)*(1-EXP(('2029'!Tnet_s-t)/'2029'!Tau_j)),Resal_s+(Salim-Resal_s)*(1-EXP((Tnet_s-t)/Tau_j)))*Salcycl</f>
        <v>5.4470693578802194E-2</v>
      </c>
      <c r="AD191" s="227">
        <f>(INDEX(Models!$BJ191:$BT191,,AH191)*(1-AF191)+INDEX(Models!$BJ191:$BT191,,AH191+1)*AF191-ERP_i)*AE191*Ramure*Pc/MaxiM</f>
        <v>8.904483006573817E-6</v>
      </c>
      <c r="AE191" s="301">
        <f t="shared" si="65"/>
        <v>0.5</v>
      </c>
      <c r="AF191" s="173">
        <f t="shared" si="66"/>
        <v>0.3230408178526698</v>
      </c>
      <c r="AG191" s="802">
        <f t="shared" si="74"/>
        <v>4</v>
      </c>
      <c r="AH191" s="172">
        <f t="shared" si="67"/>
        <v>10</v>
      </c>
      <c r="AI191" s="221">
        <f t="shared" si="68"/>
        <v>4.3230408178526698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47661</v>
      </c>
      <c r="B192" s="406">
        <f>'2029'!Wh/'2029'!Env_an*'2030'!Env_an</f>
        <v>18.243766458143455</v>
      </c>
      <c r="C192" s="832"/>
      <c r="D192" s="388">
        <f t="shared" si="50"/>
        <v>19.044798617680236</v>
      </c>
      <c r="E192" s="380">
        <f t="shared" si="75"/>
        <v>19.569576410373571</v>
      </c>
      <c r="F192" s="380">
        <f t="shared" si="51"/>
        <v>19.569576452617621</v>
      </c>
      <c r="G192" s="110">
        <f t="shared" si="76"/>
        <v>0.30146913589864582</v>
      </c>
      <c r="H192" s="409" t="b">
        <f>Wh_hp&gt;='2029'!Maxi_hp</f>
        <v>0</v>
      </c>
      <c r="I192" s="385">
        <f>IF(H192,Wh_hp,'2029'!Maxi_hp)</f>
        <v>19.569588883899613</v>
      </c>
      <c r="J192" s="85">
        <f>IF(H192,An,'2029'!An_max)</f>
        <v>2029</v>
      </c>
      <c r="K192" s="193">
        <f t="shared" si="52"/>
        <v>47661</v>
      </c>
      <c r="L192" s="143">
        <f>IF(t&lt;Tvie,1-EXP((T0-t)*PertePVj)+'2029'!Pspv,1-EXP((T0-t)*PertePVj)+Pspv)</f>
        <v>4.2060416369703368E-2</v>
      </c>
      <c r="M192" s="836"/>
      <c r="N192" s="836"/>
      <c r="O192" s="48">
        <f>IF(t&lt;Tnet,'2029'!Resal+('2029'!Salim-'2029'!Resal)*(1-EXP(('2029'!Tnet-t)/('2029'!Tau_j))),Resal+(Salim-Resal)*(1-EXP((Tnet-t)/(Tau_j))))*Salcycl</f>
        <v>2.6816001618469358E-2</v>
      </c>
      <c r="P192" s="165">
        <f>(INDEX(Models!$BJ192:$BT192,,T192)*(1-R192)+INDEX(Models!$BJ192:$BT192,,T192+1)*R192-ERP_i)*Q192*Ramure*Pc/MaxiM</f>
        <v>1.0283211452155842E-6</v>
      </c>
      <c r="Q192" s="301">
        <f t="shared" si="53"/>
        <v>0.5</v>
      </c>
      <c r="R192" s="173">
        <f t="shared" si="54"/>
        <v>0.80265001689640991</v>
      </c>
      <c r="S192" s="802">
        <f t="shared" si="55"/>
        <v>0</v>
      </c>
      <c r="T192" s="172">
        <f t="shared" si="56"/>
        <v>6</v>
      </c>
      <c r="U192" s="247">
        <f t="shared" si="57"/>
        <v>0.80265001689640991</v>
      </c>
      <c r="V192" s="378">
        <f t="shared" si="58"/>
        <v>60.516137689160452</v>
      </c>
      <c r="W192" s="397">
        <f t="shared" si="59"/>
        <v>18.243766458143455</v>
      </c>
      <c r="X192" s="153">
        <f t="shared" si="60"/>
        <v>47661</v>
      </c>
      <c r="Y192" s="380">
        <f t="shared" si="61"/>
        <v>17.724510865200941</v>
      </c>
      <c r="Z192" s="380">
        <f t="shared" si="62"/>
        <v>18.502743981024871</v>
      </c>
      <c r="AA192" s="381">
        <f t="shared" si="63"/>
        <v>19.569576077313808</v>
      </c>
      <c r="AB192" s="193">
        <f t="shared" si="64"/>
        <v>47661</v>
      </c>
      <c r="AC192" s="119">
        <f>IF(OR(t&lt;Tnet,NoTnet),'2029'!Resal_s+('2029'!Salim-'2029'!Resal_s)*(1-EXP(('2029'!Tnet_s-t)/'2029'!Tau_j)),Resal_s+(Salim-Resal_s)*(1-EXP((Tnet_s-t)/Tau_j)))*Salcycl</f>
        <v>5.4514829144698317E-2</v>
      </c>
      <c r="AD192" s="227">
        <f>(INDEX(Models!$BJ192:$BT192,,AH192)*(1-AF192)+INDEX(Models!$BJ192:$BT192,,AH192+1)*AF192-ERP_i)*AE192*Ramure*Pc/MaxiM</f>
        <v>9.1357915032370041E-6</v>
      </c>
      <c r="AE192" s="301">
        <f t="shared" si="65"/>
        <v>0.5</v>
      </c>
      <c r="AF192" s="173">
        <f t="shared" si="66"/>
        <v>0.32763758327038683</v>
      </c>
      <c r="AG192" s="802">
        <f t="shared" si="74"/>
        <v>4</v>
      </c>
      <c r="AH192" s="172">
        <f t="shared" si="67"/>
        <v>10</v>
      </c>
      <c r="AI192" s="221">
        <f t="shared" si="68"/>
        <v>4.3276375832703868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47662</v>
      </c>
      <c r="B193" s="406">
        <f>'2029'!Wh/'2029'!Env_an*'2030'!Env_an</f>
        <v>63.134020038913654</v>
      </c>
      <c r="C193" s="832"/>
      <c r="D193" s="388">
        <f t="shared" si="50"/>
        <v>65.906958415059634</v>
      </c>
      <c r="E193" s="380">
        <f t="shared" si="75"/>
        <v>67.727201167712437</v>
      </c>
      <c r="F193" s="380">
        <f t="shared" si="51"/>
        <v>67.727273228607245</v>
      </c>
      <c r="G193" s="110">
        <f t="shared" si="76"/>
        <v>1.0444694332725444</v>
      </c>
      <c r="H193" s="409" t="b">
        <f>Wh_hp&gt;='2029'!Maxi_hp</f>
        <v>1</v>
      </c>
      <c r="I193" s="385">
        <f>IF(H193,Wh_hp,'2029'!Maxi_hp)</f>
        <v>67.727273228607245</v>
      </c>
      <c r="J193" s="85">
        <f>IF(H193,An,'2029'!An_max)</f>
        <v>2030</v>
      </c>
      <c r="K193" s="193">
        <f t="shared" si="52"/>
        <v>47662</v>
      </c>
      <c r="L193" s="143">
        <f>IF(t&lt;Tvie,1-EXP((T0-t)*PertePVj)+'2029'!Pspv,1-EXP((T0-t)*PertePVj)+Pspv)</f>
        <v>4.2073529758162254E-2</v>
      </c>
      <c r="M193" s="836"/>
      <c r="N193" s="836"/>
      <c r="O193" s="48">
        <f>IF(t&lt;Tnet,'2029'!Resal+('2029'!Salim-'2029'!Resal)*(1-EXP(('2029'!Tnet-t)/('2029'!Tau_j))),Resal+(Salim-Resal)*(1-EXP((Tnet-t)/(Tau_j))))*Salcycl</f>
        <v>2.6876095885689334E-2</v>
      </c>
      <c r="P193" s="165">
        <f>(INDEX(Models!$BJ193:$BT193,,T193)*(1-R193)+INDEX(Models!$BJ193:$BT193,,T193+1)*R193-ERP_i)*Q193*Ramure*Pc/MaxiM</f>
        <v>1.0639863583686314E-6</v>
      </c>
      <c r="Q193" s="301">
        <f t="shared" si="53"/>
        <v>0.5</v>
      </c>
      <c r="R193" s="173">
        <f t="shared" si="54"/>
        <v>0.80718379642723947</v>
      </c>
      <c r="S193" s="802">
        <f t="shared" si="55"/>
        <v>0</v>
      </c>
      <c r="T193" s="172">
        <f t="shared" si="56"/>
        <v>6</v>
      </c>
      <c r="U193" s="247">
        <f t="shared" si="57"/>
        <v>0.80718379642723947</v>
      </c>
      <c r="V193" s="378">
        <f t="shared" si="58"/>
        <v>60.446019795046929</v>
      </c>
      <c r="W193" s="397">
        <f t="shared" si="59"/>
        <v>63.134020038913654</v>
      </c>
      <c r="X193" s="153">
        <f t="shared" si="60"/>
        <v>47662</v>
      </c>
      <c r="Y193" s="380">
        <f t="shared" si="61"/>
        <v>61.337565653305731</v>
      </c>
      <c r="Z193" s="380">
        <f t="shared" si="62"/>
        <v>64.031601128863755</v>
      </c>
      <c r="AA193" s="381">
        <f t="shared" si="63"/>
        <v>67.726635375883703</v>
      </c>
      <c r="AB193" s="193">
        <f t="shared" si="64"/>
        <v>47662</v>
      </c>
      <c r="AC193" s="119">
        <f>IF(OR(t&lt;Tnet,NoTnet),'2029'!Resal_s+('2029'!Salim-'2029'!Resal_s)*(1-EXP(('2029'!Tnet_s-t)/'2029'!Tau_j)),Resal_s+(Salim-Resal_s)*(1-EXP((Tnet_s-t)/Tau_j)))*Salcycl</f>
        <v>5.4558066062376467E-2</v>
      </c>
      <c r="AD193" s="227">
        <f>(INDEX(Models!$BJ193:$BT193,,AH193)*(1-AF193)+INDEX(Models!$BJ193:$BT193,,AH193+1)*AF193-ERP_i)*AE193*Ramure*Pc/MaxiM</f>
        <v>9.4179596067815485E-6</v>
      </c>
      <c r="AE193" s="301">
        <f t="shared" si="65"/>
        <v>0.5</v>
      </c>
      <c r="AF193" s="173">
        <f t="shared" si="66"/>
        <v>0.3321713628012164</v>
      </c>
      <c r="AG193" s="802">
        <f t="shared" si="74"/>
        <v>4</v>
      </c>
      <c r="AH193" s="172">
        <f t="shared" si="67"/>
        <v>10</v>
      </c>
      <c r="AI193" s="221">
        <f t="shared" si="68"/>
        <v>4.3321713628012164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47663</v>
      </c>
      <c r="B194" s="406">
        <f>'2029'!Wh/'2029'!Env_an*'2030'!Env_an</f>
        <v>61.26238712501538</v>
      </c>
      <c r="C194" s="832"/>
      <c r="D194" s="388">
        <f t="shared" si="50"/>
        <v>63.953996126303018</v>
      </c>
      <c r="E194" s="380">
        <f t="shared" si="75"/>
        <v>65.724329562794097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Wh_hp&gt;='2029'!Maxi_hp</f>
        <v>1</v>
      </c>
      <c r="I194" s="385">
        <f>IF(H194,Wh_hp,'2029'!Maxi_hp)</f>
        <v>65.724402245637052</v>
      </c>
      <c r="J194" s="85">
        <f>IF(H194,An,'2029'!An_max)</f>
        <v>2030</v>
      </c>
      <c r="K194" s="193">
        <f t="shared" si="52"/>
        <v>47663</v>
      </c>
      <c r="L194" s="143">
        <f>IF(t&lt;Tvie,1-EXP((T0-t)*PertePVj)+'2029'!Pspv,1-EXP((T0-t)*PertePVj)+Pspv)</f>
        <v>4.2086642967109844E-2</v>
      </c>
      <c r="M194" s="836"/>
      <c r="N194" s="836"/>
      <c r="O194" s="48">
        <f>IF(t&lt;Tnet,'2029'!Resal+('2029'!Salim-'2029'!Resal)*(1-EXP(('2029'!Tnet-t)/('2029'!Tau_j))),Resal+(Salim-Resal)*(1-EXP((Tnet-t)/(Tau_j))))*Salcycl</f>
        <v>2.6935739752197378E-2</v>
      </c>
      <c r="P194" s="165">
        <f>(INDEX(Models!$BJ194:$BT194,,T194)*(1-R194)+INDEX(Models!$BJ194:$BT194,,T194+1)*R194-ERP_i)*Q194*Ramure*Pc/MaxiM</f>
        <v>1.1058730162546467E-6</v>
      </c>
      <c r="Q194" s="301">
        <f t="shared" si="53"/>
        <v>0.5</v>
      </c>
      <c r="R194" s="173">
        <f t="shared" si="54"/>
        <v>0.81165212775901174</v>
      </c>
      <c r="S194" s="802">
        <f t="shared" si="55"/>
        <v>0</v>
      </c>
      <c r="T194" s="172">
        <f t="shared" si="56"/>
        <v>6</v>
      </c>
      <c r="U194" s="247">
        <f t="shared" si="57"/>
        <v>0.81165212775901174</v>
      </c>
      <c r="V194" s="378">
        <f t="shared" si="58"/>
        <v>60.370204454726363</v>
      </c>
      <c r="W194" s="397">
        <f t="shared" si="59"/>
        <v>61.26238712501538</v>
      </c>
      <c r="X194" s="153">
        <f t="shared" si="60"/>
        <v>47663</v>
      </c>
      <c r="Y194" s="380">
        <f t="shared" si="61"/>
        <v>59.52015406889231</v>
      </c>
      <c r="Z194" s="380">
        <f t="shared" si="62"/>
        <v>62.135216752018493</v>
      </c>
      <c r="AA194" s="381">
        <f t="shared" si="63"/>
        <v>65.723761324270384</v>
      </c>
      <c r="AB194" s="193">
        <f t="shared" si="64"/>
        <v>47663</v>
      </c>
      <c r="AC194" s="119">
        <f>IF(OR(t&lt;Tnet,NoTnet),'2029'!Resal_s+('2029'!Salim-'2029'!Resal_s)*(1-EXP(('2029'!Tnet_s-t)/'2029'!Tau_j)),Resal_s+(Salim-Resal_s)*(1-EXP((Tnet_s-t)/Tau_j)))*Salcycl</f>
        <v>5.460041391341848E-2</v>
      </c>
      <c r="AD194" s="227">
        <f>(INDEX(Models!$BJ194:$BT194,,AH194)*(1-AF194)+INDEX(Models!$BJ194:$BT194,,AH194+1)*AF194-ERP_i)*AE194*Ramure*Pc/MaxiM</f>
        <v>9.7516499926418181E-6</v>
      </c>
      <c r="AE194" s="301">
        <f t="shared" si="65"/>
        <v>0.5</v>
      </c>
      <c r="AF194" s="173">
        <f t="shared" si="66"/>
        <v>0.33663969413298922</v>
      </c>
      <c r="AG194" s="802">
        <f t="shared" si="74"/>
        <v>4</v>
      </c>
      <c r="AH194" s="172">
        <f t="shared" si="67"/>
        <v>10</v>
      </c>
      <c r="AI194" s="221">
        <f t="shared" si="68"/>
        <v>4.3366396941329892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47664</v>
      </c>
      <c r="B195" s="406">
        <f>'2029'!Wh/'2029'!Env_an*'2030'!Env_an</f>
        <v>15.04870470788801</v>
      </c>
      <c r="C195" s="832"/>
      <c r="D195" s="388">
        <f t="shared" si="50"/>
        <v>15.71009591248605</v>
      </c>
      <c r="E195" s="380">
        <f t="shared" si="75"/>
        <v>16.145954951869612</v>
      </c>
      <c r="F195" s="380">
        <f t="shared" si="51"/>
        <v>16.145954951869612</v>
      </c>
      <c r="G195" s="110">
        <f t="shared" si="76"/>
        <v>0.24960917976155508</v>
      </c>
      <c r="H195" s="409" t="b">
        <f>Wh_hp&gt;='2029'!Maxi_hp</f>
        <v>0</v>
      </c>
      <c r="I195" s="385">
        <f>IF(H195,Wh_hp,'2029'!Maxi_hp)</f>
        <v>16.145966300979342</v>
      </c>
      <c r="J195" s="85">
        <f>IF(H195,An,'2029'!An_max)</f>
        <v>2029</v>
      </c>
      <c r="K195" s="193">
        <f t="shared" si="52"/>
        <v>47664</v>
      </c>
      <c r="L195" s="143">
        <f>IF(t&lt;Tvie,1-EXP((T0-t)*PertePVj)+'2029'!Pspv,1-EXP((T0-t)*PertePVj)+Pspv)</f>
        <v>4.2099755996548693E-2</v>
      </c>
      <c r="M195" s="836"/>
      <c r="N195" s="836"/>
      <c r="O195" s="48">
        <f>IF(t&lt;Tnet,'2029'!Resal+('2029'!Salim-'2029'!Resal)*(1-EXP(('2029'!Tnet-t)/('2029'!Tau_j))),Resal+(Salim-Resal)*(1-EXP((Tnet-t)/(Tau_j))))*Salcycl</f>
        <v>2.6994937164313743E-2</v>
      </c>
      <c r="P195" s="165">
        <f>(INDEX(Models!$BJ195:$BT195,,T195)*(1-R195)+INDEX(Models!$BJ195:$BT195,,T195+1)*R195-ERP_i)*Q195*Ramure*Pc/MaxiM</f>
        <v>1.1541190862245407E-6</v>
      </c>
      <c r="Q195" s="301">
        <f t="shared" si="53"/>
        <v>0.5</v>
      </c>
      <c r="R195" s="173">
        <f t="shared" si="54"/>
        <v>0.8160527280045673</v>
      </c>
      <c r="S195" s="802">
        <f t="shared" si="55"/>
        <v>0</v>
      </c>
      <c r="T195" s="172">
        <f t="shared" si="56"/>
        <v>6</v>
      </c>
      <c r="U195" s="247">
        <f t="shared" si="57"/>
        <v>0.8160527280045673</v>
      </c>
      <c r="V195" s="378">
        <f t="shared" si="58"/>
        <v>60.288998001861515</v>
      </c>
      <c r="W195" s="397">
        <f t="shared" si="59"/>
        <v>15.04870470788801</v>
      </c>
      <c r="X195" s="153">
        <f t="shared" si="60"/>
        <v>47664</v>
      </c>
      <c r="Y195" s="380">
        <f t="shared" si="61"/>
        <v>14.621111099081734</v>
      </c>
      <c r="Z195" s="380">
        <f t="shared" si="62"/>
        <v>15.263709546595599</v>
      </c>
      <c r="AA195" s="381">
        <f t="shared" si="63"/>
        <v>16.145954951869612</v>
      </c>
      <c r="AB195" s="193">
        <f t="shared" si="64"/>
        <v>47664</v>
      </c>
      <c r="AC195" s="119">
        <f>IF(OR(t&lt;Tnet,NoTnet),'2029'!Resal_s+('2029'!Salim-'2029'!Resal_s)*(1-EXP(('2029'!Tnet_s-t)/'2029'!Tau_j)),Resal_s+(Salim-Resal_s)*(1-EXP((Tnet_s-t)/Tau_j)))*Salcycl</f>
        <v>5.4641884478431102E-2</v>
      </c>
      <c r="AD195" s="227">
        <f>(INDEX(Models!$BJ195:$BT195,,AH195)*(1-AF195)+INDEX(Models!$BJ195:$BT195,,AH195+1)*AF195-ERP_i)*AE195*Ramure*Pc/MaxiM</f>
        <v>1.0137510375000296E-5</v>
      </c>
      <c r="AE195" s="301">
        <f t="shared" si="65"/>
        <v>0.5</v>
      </c>
      <c r="AF195" s="173">
        <f t="shared" si="66"/>
        <v>0.34104029437854422</v>
      </c>
      <c r="AG195" s="802">
        <f t="shared" si="74"/>
        <v>4</v>
      </c>
      <c r="AH195" s="172">
        <f t="shared" si="67"/>
        <v>10</v>
      </c>
      <c r="AI195" s="221">
        <f t="shared" si="68"/>
        <v>4.3410402943785442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47665</v>
      </c>
      <c r="B196" s="406">
        <f>'2029'!Wh/'2029'!Env_an*'2030'!Env_an</f>
        <v>51.053177832852519</v>
      </c>
      <c r="C196" s="832"/>
      <c r="D196" s="388">
        <f t="shared" si="50"/>
        <v>53.29769674572475</v>
      </c>
      <c r="E196" s="380">
        <f t="shared" si="75"/>
        <v>54.779689660145621</v>
      </c>
      <c r="F196" s="380">
        <f t="shared" si="51"/>
        <v>54.779741503738947</v>
      </c>
      <c r="G196" s="110">
        <f t="shared" si="76"/>
        <v>0.84802108280890598</v>
      </c>
      <c r="H196" s="409" t="b">
        <f>Wh_hp&gt;='2029'!Maxi_hp</f>
        <v>0</v>
      </c>
      <c r="I196" s="385">
        <f>IF(H196,Wh_hp,'2029'!Maxi_hp)</f>
        <v>54.77975021474245</v>
      </c>
      <c r="J196" s="85">
        <f>IF(H196,An,'2029'!An_max)</f>
        <v>2029</v>
      </c>
      <c r="K196" s="193">
        <f t="shared" si="52"/>
        <v>47665</v>
      </c>
      <c r="L196" s="143">
        <f>IF(t&lt;Tvie,1-EXP((T0-t)*PertePVj)+'2029'!Pspv,1-EXP((T0-t)*PertePVj)+Pspv)</f>
        <v>4.2112868846481133E-2</v>
      </c>
      <c r="M196" s="836"/>
      <c r="N196" s="836"/>
      <c r="O196" s="48">
        <f>IF(t&lt;Tnet,'2029'!Resal+('2029'!Salim-'2029'!Resal)*(1-EXP(('2029'!Tnet-t)/('2029'!Tau_j))),Resal+(Salim-Resal)*(1-EXP((Tnet-t)/(Tau_j))))*Salcycl</f>
        <v>2.7053693140928446E-2</v>
      </c>
      <c r="P196" s="165">
        <f>(INDEX(Models!$BJ196:$BT196,,T196)*(1-R196)+INDEX(Models!$BJ196:$BT196,,T196+1)*R196-ERP_i)*Q196*Ramure*Pc/MaxiM</f>
        <v>1.2088591828084287E-6</v>
      </c>
      <c r="Q196" s="301">
        <f t="shared" si="53"/>
        <v>0.5</v>
      </c>
      <c r="R196" s="173">
        <f t="shared" si="54"/>
        <v>0.82038349552551026</v>
      </c>
      <c r="S196" s="802">
        <f t="shared" si="55"/>
        <v>0</v>
      </c>
      <c r="T196" s="172">
        <f t="shared" si="56"/>
        <v>6</v>
      </c>
      <c r="U196" s="247">
        <f t="shared" si="57"/>
        <v>0.82038349552551026</v>
      </c>
      <c r="V196" s="378">
        <f t="shared" si="58"/>
        <v>60.202706593571484</v>
      </c>
      <c r="W196" s="397">
        <f t="shared" si="59"/>
        <v>51.053177832852519</v>
      </c>
      <c r="X196" s="153">
        <f t="shared" si="60"/>
        <v>47665</v>
      </c>
      <c r="Y196" s="380">
        <f t="shared" si="61"/>
        <v>49.603054757538992</v>
      </c>
      <c r="Z196" s="380">
        <f t="shared" si="62"/>
        <v>51.783819976582606</v>
      </c>
      <c r="AA196" s="381">
        <f t="shared" si="63"/>
        <v>54.77928792999802</v>
      </c>
      <c r="AB196" s="193">
        <f t="shared" si="64"/>
        <v>47665</v>
      </c>
      <c r="AC196" s="119">
        <f>IF(OR(t&lt;Tnet,NoTnet),'2029'!Resal_s+('2029'!Salim-'2029'!Resal_s)*(1-EXP(('2029'!Tnet_s-t)/'2029'!Tau_j)),Resal_s+(Salim-Resal_s)*(1-EXP((Tnet_s-t)/Tau_j)))*Salcycl</f>
        <v>5.4682491624266728E-2</v>
      </c>
      <c r="AD196" s="227">
        <f>(INDEX(Models!$BJ196:$BT196,,AH196)*(1-AF196)+INDEX(Models!$BJ196:$BT196,,AH196+1)*AF196-ERP_i)*AE196*Ramure*Pc/MaxiM</f>
        <v>1.0576172418363238E-5</v>
      </c>
      <c r="AE196" s="301">
        <f t="shared" si="65"/>
        <v>0.5</v>
      </c>
      <c r="AF196" s="173">
        <f t="shared" si="66"/>
        <v>0.34537106189948741</v>
      </c>
      <c r="AG196" s="802">
        <f t="shared" si="74"/>
        <v>4</v>
      </c>
      <c r="AH196" s="172">
        <f t="shared" si="67"/>
        <v>10</v>
      </c>
      <c r="AI196" s="221">
        <f t="shared" si="68"/>
        <v>4.3453710618994874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47666</v>
      </c>
      <c r="B197" s="406">
        <f>'2029'!Wh/'2029'!Env_an*'2030'!Env_an</f>
        <v>56.684077893272089</v>
      </c>
      <c r="C197" s="832"/>
      <c r="D197" s="388">
        <f t="shared" si="50"/>
        <v>59.176965654667406</v>
      </c>
      <c r="E197" s="380">
        <f t="shared" si="75"/>
        <v>60.826083258485795</v>
      </c>
      <c r="F197" s="380">
        <f t="shared" si="51"/>
        <v>60.8261542277478</v>
      </c>
      <c r="G197" s="110">
        <f t="shared" si="76"/>
        <v>0.94298002159239636</v>
      </c>
      <c r="H197" s="409" t="b">
        <f>Wh_hp&gt;='2029'!Maxi_hp</f>
        <v>0</v>
      </c>
      <c r="I197" s="385">
        <f>IF(H197,Wh_hp,'2029'!Maxi_hp)</f>
        <v>60.826158021559394</v>
      </c>
      <c r="J197" s="85">
        <f>IF(H197,An,'2029'!An_max)</f>
        <v>2029</v>
      </c>
      <c r="K197" s="193">
        <f t="shared" si="52"/>
        <v>47666</v>
      </c>
      <c r="L197" s="143">
        <f>IF(t&lt;Tvie,1-EXP((T0-t)*PertePVj)+'2029'!Pspv,1-EXP((T0-t)*PertePVj)+Pspv)</f>
        <v>4.2125981516909605E-2</v>
      </c>
      <c r="M197" s="836"/>
      <c r="N197" s="836"/>
      <c r="O197" s="48">
        <f>IF(t&lt;Tnet,'2029'!Resal+('2029'!Salim-'2029'!Resal)*(1-EXP(('2029'!Tnet-t)/('2029'!Tau_j))),Resal+(Salim-Resal)*(1-EXP((Tnet-t)/(Tau_j))))*Salcycl</f>
        <v>2.7112013719678727E-2</v>
      </c>
      <c r="P197" s="165">
        <f>(INDEX(Models!$BJ197:$BT197,,T197)*(1-R197)+INDEX(Models!$BJ197:$BT197,,T197+1)*R197-ERP_i)*Q197*Ramure*Pc/MaxiM</f>
        <v>1.2702243256825694E-6</v>
      </c>
      <c r="Q197" s="301">
        <f t="shared" si="53"/>
        <v>0.5</v>
      </c>
      <c r="R197" s="173">
        <f t="shared" si="54"/>
        <v>0.82464251083317086</v>
      </c>
      <c r="S197" s="802">
        <f t="shared" si="55"/>
        <v>0</v>
      </c>
      <c r="T197" s="172">
        <f t="shared" si="56"/>
        <v>6</v>
      </c>
      <c r="U197" s="247">
        <f t="shared" si="57"/>
        <v>0.82464251083317086</v>
      </c>
      <c r="V197" s="378">
        <f t="shared" si="58"/>
        <v>60.11163622800823</v>
      </c>
      <c r="W197" s="397">
        <f t="shared" si="59"/>
        <v>56.684077893272089</v>
      </c>
      <c r="X197" s="153">
        <f t="shared" si="60"/>
        <v>47666</v>
      </c>
      <c r="Y197" s="380">
        <f t="shared" si="61"/>
        <v>55.07490694200073</v>
      </c>
      <c r="Z197" s="380">
        <f t="shared" si="62"/>
        <v>57.497025578810998</v>
      </c>
      <c r="AA197" s="381">
        <f t="shared" si="63"/>
        <v>60.825535828638436</v>
      </c>
      <c r="AB197" s="193">
        <f t="shared" si="64"/>
        <v>47666</v>
      </c>
      <c r="AC197" s="119">
        <f>IF(OR(t&lt;Tnet,NoTnet),'2029'!Resal_s+('2029'!Salim-'2029'!Resal_s)*(1-EXP(('2029'!Tnet_s-t)/'2029'!Tau_j)),Resal_s+(Salim-Resal_s)*(1-EXP((Tnet_s-t)/Tau_j)))*Salcycl</f>
        <v>5.4722251180897588E-2</v>
      </c>
      <c r="AD197" s="227">
        <f>(INDEX(Models!$BJ197:$BT197,,AH197)*(1-AF197)+INDEX(Models!$BJ197:$BT197,,AH197+1)*AF197-ERP_i)*AE197*Ramure*Pc/MaxiM</f>
        <v>1.1068250810236464E-5</v>
      </c>
      <c r="AE197" s="301">
        <f t="shared" si="65"/>
        <v>0.5</v>
      </c>
      <c r="AF197" s="173">
        <f t="shared" si="66"/>
        <v>0.34963007720714767</v>
      </c>
      <c r="AG197" s="802">
        <f t="shared" si="74"/>
        <v>4</v>
      </c>
      <c r="AH197" s="172">
        <f t="shared" si="67"/>
        <v>10</v>
      </c>
      <c r="AI197" s="221">
        <f t="shared" si="68"/>
        <v>4.3496300772071477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47667</v>
      </c>
      <c r="B198" s="406">
        <f>'2029'!Wh/'2029'!Env_an*'2030'!Env_an</f>
        <v>52.716233254334767</v>
      </c>
      <c r="C198" s="832"/>
      <c r="D198" s="388">
        <f t="shared" si="50"/>
        <v>55.035374055412241</v>
      </c>
      <c r="E198" s="380">
        <f t="shared" si="75"/>
        <v>56.57244198043535</v>
      </c>
      <c r="F198" s="380">
        <f t="shared" si="51"/>
        <v>56.57250481323522</v>
      </c>
      <c r="G198" s="110">
        <f t="shared" si="76"/>
        <v>0.87836809840370944</v>
      </c>
      <c r="H198" s="409" t="b">
        <f>Wh_hp&gt;='2029'!Maxi_hp</f>
        <v>0</v>
      </c>
      <c r="I198" s="385">
        <f>IF(H198,Wh_hp,'2029'!Maxi_hp)</f>
        <v>56.572512739018393</v>
      </c>
      <c r="J198" s="85">
        <f>IF(H198,An,'2029'!An_max)</f>
        <v>2029</v>
      </c>
      <c r="K198" s="193">
        <f t="shared" si="52"/>
        <v>47667</v>
      </c>
      <c r="L198" s="143">
        <f>IF(t&lt;Tvie,1-EXP((T0-t)*PertePVj)+'2029'!Pspv,1-EXP((T0-t)*PertePVj)+Pspv)</f>
        <v>4.2139094007836664E-2</v>
      </c>
      <c r="M198" s="836"/>
      <c r="N198" s="836"/>
      <c r="O198" s="48">
        <f>IF(t&lt;Tnet,'2029'!Resal+('2029'!Salim-'2029'!Resal)*(1-EXP(('2029'!Tnet-t)/('2029'!Tau_j))),Resal+(Salim-Resal)*(1-EXP((Tnet-t)/(Tau_j))))*Salcycl</f>
        <v>2.7169905897904783E-2</v>
      </c>
      <c r="P198" s="165">
        <f>(INDEX(Models!$BJ198:$BT198,,T198)*(1-R198)+INDEX(Models!$BJ198:$BT198,,T198+1)*R198-ERP_i)*Q198*Ramure*Pc/MaxiM</f>
        <v>1.344233023225354E-6</v>
      </c>
      <c r="Q198" s="301">
        <f t="shared" si="53"/>
        <v>0.5</v>
      </c>
      <c r="R198" s="173">
        <f t="shared" si="54"/>
        <v>0.82882803660046733</v>
      </c>
      <c r="S198" s="802">
        <f t="shared" si="55"/>
        <v>0</v>
      </c>
      <c r="T198" s="172">
        <f t="shared" si="56"/>
        <v>6</v>
      </c>
      <c r="U198" s="247">
        <f t="shared" si="57"/>
        <v>0.82882803660046733</v>
      </c>
      <c r="V198" s="378">
        <f t="shared" si="58"/>
        <v>60.016092384294431</v>
      </c>
      <c r="W198" s="397">
        <f t="shared" si="59"/>
        <v>52.716233254334767</v>
      </c>
      <c r="X198" s="153">
        <f t="shared" si="60"/>
        <v>47667</v>
      </c>
      <c r="Y198" s="380">
        <f t="shared" si="61"/>
        <v>51.220664922311542</v>
      </c>
      <c r="Z198" s="380">
        <f t="shared" si="62"/>
        <v>53.47401131196245</v>
      </c>
      <c r="AA198" s="381">
        <f t="shared" si="63"/>
        <v>56.571958563575876</v>
      </c>
      <c r="AB198" s="193">
        <f t="shared" si="64"/>
        <v>47667</v>
      </c>
      <c r="AC198" s="119">
        <f>IF(OR(t&lt;Tnet,NoTnet),'2029'!Resal_s+('2029'!Salim-'2029'!Resal_s)*(1-EXP(('2029'!Tnet_s-t)/'2029'!Tau_j)),Resal_s+(Salim-Resal_s)*(1-EXP((Tnet_s-t)/Tau_j)))*Salcycl</f>
        <v>5.4761180808897331E-2</v>
      </c>
      <c r="AD198" s="227">
        <f>(INDEX(Models!$BJ198:$BT198,,AH198)*(1-AF198)+INDEX(Models!$BJ198:$BT198,,AH198+1)*AF198-ERP_i)*AE198*Ramure*Pc/MaxiM</f>
        <v>1.1686361781368514E-5</v>
      </c>
      <c r="AE198" s="301">
        <f t="shared" si="65"/>
        <v>0.5</v>
      </c>
      <c r="AF198" s="173">
        <f t="shared" si="66"/>
        <v>0.35381560297444459</v>
      </c>
      <c r="AG198" s="802">
        <f t="shared" si="74"/>
        <v>4</v>
      </c>
      <c r="AH198" s="172">
        <f t="shared" si="67"/>
        <v>10</v>
      </c>
      <c r="AI198" s="221">
        <f t="shared" si="68"/>
        <v>4.3538156029744446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47668</v>
      </c>
      <c r="B199" s="406">
        <f>'2029'!Wh/'2029'!Env_an*'2030'!Env_an</f>
        <v>49.073016606153899</v>
      </c>
      <c r="C199" s="832"/>
      <c r="D199" s="388">
        <f t="shared" si="50"/>
        <v>51.23258301570057</v>
      </c>
      <c r="E199" s="380">
        <f t="shared" si="75"/>
        <v>52.66655519936436</v>
      </c>
      <c r="F199" s="380">
        <f t="shared" si="51"/>
        <v>52.666611009838185</v>
      </c>
      <c r="G199" s="110">
        <f t="shared" si="76"/>
        <v>0.81902474369812861</v>
      </c>
      <c r="H199" s="409" t="b">
        <f>Wh_hp&gt;='2029'!Maxi_hp</f>
        <v>0</v>
      </c>
      <c r="I199" s="385">
        <f>IF(H199,Wh_hp,'2029'!Maxi_hp)</f>
        <v>52.666622625450024</v>
      </c>
      <c r="J199" s="85">
        <f>IF(H199,An,'2029'!An_max)</f>
        <v>2029</v>
      </c>
      <c r="K199" s="193">
        <f t="shared" si="52"/>
        <v>47668</v>
      </c>
      <c r="L199" s="143">
        <f>IF(t&lt;Tvie,1-EXP((T0-t)*PertePVj)+'2029'!Pspv,1-EXP((T0-t)*PertePVj)+Pspv)</f>
        <v>4.2152206319264751E-2</v>
      </c>
      <c r="M199" s="836"/>
      <c r="N199" s="836"/>
      <c r="O199" s="48">
        <f>IF(t&lt;Tnet,'2029'!Resal+('2029'!Salim-'2029'!Resal)*(1-EXP(('2029'!Tnet-t)/('2029'!Tau_j))),Resal+(Salim-Resal)*(1-EXP((Tnet-t)/(Tau_j))))*Salcycl</f>
        <v>2.7227377568850249E-2</v>
      </c>
      <c r="P199" s="165">
        <f>(INDEX(Models!$BJ199:$BT199,,T199)*(1-R199)+INDEX(Models!$BJ199:$BT199,,T199+1)*R199-ERP_i)*Q199*Ramure*Pc/MaxiM</f>
        <v>1.4291903016983434E-6</v>
      </c>
      <c r="Q199" s="301">
        <f t="shared" si="53"/>
        <v>0.5</v>
      </c>
      <c r="R199" s="173">
        <f t="shared" si="54"/>
        <v>0.83293851682442444</v>
      </c>
      <c r="S199" s="802">
        <f t="shared" si="55"/>
        <v>0</v>
      </c>
      <c r="T199" s="172">
        <f t="shared" si="56"/>
        <v>6</v>
      </c>
      <c r="U199" s="247">
        <f t="shared" si="57"/>
        <v>0.83293851682442444</v>
      </c>
      <c r="V199" s="378">
        <f t="shared" si="58"/>
        <v>59.916380855896257</v>
      </c>
      <c r="W199" s="397">
        <f t="shared" si="59"/>
        <v>49.073016606153899</v>
      </c>
      <c r="X199" s="153">
        <f t="shared" si="60"/>
        <v>47668</v>
      </c>
      <c r="Y199" s="380">
        <f t="shared" si="61"/>
        <v>47.681720051805279</v>
      </c>
      <c r="Z199" s="380">
        <f t="shared" si="62"/>
        <v>49.780059385612887</v>
      </c>
      <c r="AA199" s="381">
        <f t="shared" si="63"/>
        <v>52.666126229237321</v>
      </c>
      <c r="AB199" s="193">
        <f t="shared" si="64"/>
        <v>47668</v>
      </c>
      <c r="AC199" s="119">
        <f>IF(OR(t&lt;Tnet,NoTnet),'2029'!Resal_s+('2029'!Salim-'2029'!Resal_s)*(1-EXP(('2029'!Tnet_s-t)/'2029'!Tau_j)),Resal_s+(Salim-Resal_s)*(1-EXP((Tnet_s-t)/Tau_j)))*Salcycl</f>
        <v>5.4799299858554008E-2</v>
      </c>
      <c r="AD199" s="227">
        <f>(INDEX(Models!$BJ199:$BT199,,AH199)*(1-AF199)+INDEX(Models!$BJ199:$BT199,,AH199+1)*AF199-ERP_i)*AE199*Ramure*Pc/MaxiM</f>
        <v>1.2414224172563731E-5</v>
      </c>
      <c r="AE199" s="301">
        <f t="shared" si="65"/>
        <v>0.5</v>
      </c>
      <c r="AF199" s="173">
        <f t="shared" si="66"/>
        <v>0.35792608319840191</v>
      </c>
      <c r="AG199" s="802">
        <f t="shared" si="74"/>
        <v>4</v>
      </c>
      <c r="AH199" s="172">
        <f t="shared" si="67"/>
        <v>10</v>
      </c>
      <c r="AI199" s="221">
        <f t="shared" si="68"/>
        <v>4.3579260831984019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47669</v>
      </c>
      <c r="B200" s="406">
        <f>'2029'!Wh/'2029'!Env_an*'2030'!Env_an</f>
        <v>58.843267617050508</v>
      </c>
      <c r="C200" s="832"/>
      <c r="D200" s="388">
        <f t="shared" si="50"/>
        <v>61.433636462089538</v>
      </c>
      <c r="E200" s="380">
        <f t="shared" si="75"/>
        <v>63.156835181363363</v>
      </c>
      <c r="F200" s="380">
        <f t="shared" si="51"/>
        <v>63.156929284261544</v>
      </c>
      <c r="G200" s="110">
        <f t="shared" si="76"/>
        <v>0.98379040077974234</v>
      </c>
      <c r="H200" s="409" t="b">
        <f>Wh_hp&gt;='2029'!Maxi_hp</f>
        <v>0</v>
      </c>
      <c r="I200" s="385">
        <f>IF(H200,Wh_hp,'2029'!Maxi_hp)</f>
        <v>63.156930609446704</v>
      </c>
      <c r="J200" s="85">
        <f>IF(H200,An,'2029'!An_max)</f>
        <v>2029</v>
      </c>
      <c r="K200" s="193">
        <f t="shared" si="52"/>
        <v>47669</v>
      </c>
      <c r="L200" s="143">
        <f>IF(t&lt;Tvie,1-EXP((T0-t)*PertePVj)+'2029'!Pspv,1-EXP((T0-t)*PertePVj)+Pspv)</f>
        <v>4.216531845119631E-2</v>
      </c>
      <c r="M200" s="836"/>
      <c r="N200" s="836"/>
      <c r="O200" s="48">
        <f>IF(t&lt;Tnet,'2029'!Resal+('2029'!Salim-'2029'!Resal)*(1-EXP(('2029'!Tnet-t)/('2029'!Tau_j))),Resal+(Salim-Resal)*(1-EXP((Tnet-t)/(Tau_j))))*Salcycl</f>
        <v>2.7284437453609405E-2</v>
      </c>
      <c r="P200" s="165">
        <f>(INDEX(Models!$BJ200:$BT200,,T200)*(1-R200)+INDEX(Models!$BJ200:$BT200,,T200+1)*R200-ERP_i)*Q200*Ramure*Pc/MaxiM</f>
        <v>1.5253061135305108E-6</v>
      </c>
      <c r="Q200" s="301">
        <f t="shared" si="53"/>
        <v>0.5</v>
      </c>
      <c r="R200" s="173">
        <f t="shared" si="54"/>
        <v>0.83697257518439827</v>
      </c>
      <c r="S200" s="802">
        <f t="shared" si="55"/>
        <v>0</v>
      </c>
      <c r="T200" s="172">
        <f t="shared" si="56"/>
        <v>6</v>
      </c>
      <c r="U200" s="247">
        <f t="shared" si="57"/>
        <v>0.83697257518439827</v>
      </c>
      <c r="V200" s="378">
        <f t="shared" si="58"/>
        <v>59.81280717113988</v>
      </c>
      <c r="W200" s="397">
        <f t="shared" si="59"/>
        <v>58.843267617050508</v>
      </c>
      <c r="X200" s="153">
        <f t="shared" si="60"/>
        <v>47669</v>
      </c>
      <c r="Y200" s="380">
        <f t="shared" si="61"/>
        <v>57.175875619204</v>
      </c>
      <c r="Z200" s="380">
        <f t="shared" si="62"/>
        <v>59.69284336912034</v>
      </c>
      <c r="AA200" s="381">
        <f t="shared" si="63"/>
        <v>63.156111646567354</v>
      </c>
      <c r="AB200" s="193">
        <f t="shared" si="64"/>
        <v>47669</v>
      </c>
      <c r="AC200" s="119">
        <f>IF(OR(t&lt;Tnet,NoTnet),'2029'!Resal_s+('2029'!Salim-'2029'!Resal_s)*(1-EXP(('2029'!Tnet_s-t)/'2029'!Tau_j)),Resal_s+(Salim-Resal_s)*(1-EXP((Tnet_s-t)/Tau_j)))*Salcycl</f>
        <v>5.4836629221698609E-2</v>
      </c>
      <c r="AD200" s="227">
        <f>(INDEX(Models!$BJ200:$BT200,,AH200)*(1-AF200)+INDEX(Models!$BJ200:$BT200,,AH200+1)*AF200-ERP_i)*AE200*Ramure*Pc/MaxiM</f>
        <v>1.3253021933198317E-5</v>
      </c>
      <c r="AE200" s="301">
        <f t="shared" si="65"/>
        <v>0.5</v>
      </c>
      <c r="AF200" s="173">
        <f t="shared" si="66"/>
        <v>0.36196014155837553</v>
      </c>
      <c r="AG200" s="802">
        <f t="shared" si="74"/>
        <v>4</v>
      </c>
      <c r="AH200" s="172">
        <f t="shared" si="67"/>
        <v>10</v>
      </c>
      <c r="AI200" s="221">
        <f t="shared" si="68"/>
        <v>4.3619601415583755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47670</v>
      </c>
      <c r="B201" s="406">
        <f>'2029'!Wh/'2029'!Env_an*'2030'!Env_an</f>
        <v>43.320616122695746</v>
      </c>
      <c r="C201" s="832"/>
      <c r="D201" s="388">
        <f t="shared" si="50"/>
        <v>45.228273717986333</v>
      </c>
      <c r="E201" s="380">
        <f t="shared" si="75"/>
        <v>46.4996243666235</v>
      </c>
      <c r="F201" s="380">
        <f t="shared" si="51"/>
        <v>46.4996705250391</v>
      </c>
      <c r="G201" s="110">
        <f t="shared" si="76"/>
        <v>0.72556900402501201</v>
      </c>
      <c r="H201" s="409" t="b">
        <f>Wh_hp&gt;='2029'!Maxi_hp</f>
        <v>0</v>
      </c>
      <c r="I201" s="385">
        <f>IF(H201,Wh_hp,'2029'!Maxi_hp)</f>
        <v>46.499688125069234</v>
      </c>
      <c r="J201" s="85">
        <f>IF(H201,An,'2029'!An_max)</f>
        <v>2029</v>
      </c>
      <c r="K201" s="193">
        <f t="shared" si="52"/>
        <v>47670</v>
      </c>
      <c r="L201" s="143">
        <f>IF(t&lt;Tvie,1-EXP((T0-t)*PertePVj)+'2029'!Pspv,1-EXP((T0-t)*PertePVj)+Pspv)</f>
        <v>4.2178430403633782E-2</v>
      </c>
      <c r="M201" s="836"/>
      <c r="N201" s="836"/>
      <c r="O201" s="48">
        <f>IF(t&lt;Tnet,'2029'!Resal+('2029'!Salim-'2029'!Resal)*(1-EXP(('2029'!Tnet-t)/('2029'!Tau_j))),Resal+(Salim-Resal)*(1-EXP((Tnet-t)/(Tau_j))))*Salcycl</f>
        <v>2.7341095029355108E-2</v>
      </c>
      <c r="P201" s="165">
        <f>(INDEX(Models!$BJ201:$BT201,,T201)*(1-R201)+INDEX(Models!$BJ201:$BT201,,T201+1)*R201-ERP_i)*Q201*Ramure*Pc/MaxiM</f>
        <v>1.6327834681300086E-6</v>
      </c>
      <c r="Q201" s="301">
        <f t="shared" si="53"/>
        <v>0.5</v>
      </c>
      <c r="R201" s="173">
        <f t="shared" si="54"/>
        <v>0.84092901264552444</v>
      </c>
      <c r="S201" s="802">
        <f t="shared" si="55"/>
        <v>0</v>
      </c>
      <c r="T201" s="172">
        <f t="shared" si="56"/>
        <v>6</v>
      </c>
      <c r="U201" s="247">
        <f t="shared" si="57"/>
        <v>0.84092901264552444</v>
      </c>
      <c r="V201" s="378">
        <f t="shared" si="58"/>
        <v>59.705676719730548</v>
      </c>
      <c r="W201" s="397">
        <f t="shared" si="59"/>
        <v>43.320616122695746</v>
      </c>
      <c r="X201" s="153">
        <f t="shared" si="60"/>
        <v>47670</v>
      </c>
      <c r="Y201" s="380">
        <f t="shared" si="61"/>
        <v>42.09406046085158</v>
      </c>
      <c r="Z201" s="380">
        <f t="shared" si="62"/>
        <v>43.947705707431872</v>
      </c>
      <c r="AA201" s="381">
        <f t="shared" si="63"/>
        <v>46.499268983999485</v>
      </c>
      <c r="AB201" s="193">
        <f t="shared" si="64"/>
        <v>47670</v>
      </c>
      <c r="AC201" s="119">
        <f>IF(OR(t&lt;Tnet,NoTnet),'2029'!Resal_s+('2029'!Salim-'2029'!Resal_s)*(1-EXP(('2029'!Tnet_s-t)/'2029'!Tau_j)),Resal_s+(Salim-Resal_s)*(1-EXP((Tnet_s-t)/Tau_j)))*Salcycl</f>
        <v>5.4873191177384158E-2</v>
      </c>
      <c r="AD201" s="227">
        <f>(INDEX(Models!$BJ201:$BT201,,AH201)*(1-AF201)+INDEX(Models!$BJ201:$BT201,,AH201+1)*AF201-ERP_i)*AE201*Ramure*Pc/MaxiM</f>
        <v>1.4203901125090475E-5</v>
      </c>
      <c r="AE201" s="301">
        <f t="shared" si="65"/>
        <v>0.5</v>
      </c>
      <c r="AF201" s="173">
        <f t="shared" si="66"/>
        <v>0.36591657901950114</v>
      </c>
      <c r="AG201" s="802">
        <f t="shared" si="74"/>
        <v>4</v>
      </c>
      <c r="AH201" s="172">
        <f t="shared" si="67"/>
        <v>10</v>
      </c>
      <c r="AI201" s="221">
        <f t="shared" si="68"/>
        <v>4.3659165790195011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47671</v>
      </c>
      <c r="B202" s="406">
        <f>'2029'!Wh/'2029'!Env_an*'2030'!Env_an</f>
        <v>58.397053421840113</v>
      </c>
      <c r="C202" s="832"/>
      <c r="D202" s="388">
        <f t="shared" si="50"/>
        <v>60.969448478816915</v>
      </c>
      <c r="E202" s="380">
        <f t="shared" si="75"/>
        <v>62.686904188644142</v>
      </c>
      <c r="F202" s="380">
        <f t="shared" si="51"/>
        <v>62.687010850606107</v>
      </c>
      <c r="G202" s="110">
        <f t="shared" si="76"/>
        <v>0.97989364300627568</v>
      </c>
      <c r="H202" s="409" t="b">
        <f>Wh_hp&gt;='2029'!Maxi_hp</f>
        <v>0</v>
      </c>
      <c r="I202" s="385">
        <f>IF(H202,Wh_hp,'2029'!Maxi_hp)</f>
        <v>62.687012707228902</v>
      </c>
      <c r="J202" s="85">
        <f>IF(H202,An,'2029'!An_max)</f>
        <v>2029</v>
      </c>
      <c r="K202" s="193">
        <f t="shared" si="52"/>
        <v>47671</v>
      </c>
      <c r="L202" s="143">
        <f>IF(t&lt;Tvie,1-EXP((T0-t)*PertePVj)+'2029'!Pspv,1-EXP((T0-t)*PertePVj)+Pspv)</f>
        <v>4.2191542176579611E-2</v>
      </c>
      <c r="M202" s="836"/>
      <c r="N202" s="836"/>
      <c r="O202" s="48">
        <f>IF(t&lt;Tnet,'2029'!Resal+('2029'!Salim-'2029'!Resal)*(1-EXP(('2029'!Tnet-t)/('2029'!Tau_j))),Resal+(Salim-Resal)*(1-EXP((Tnet-t)/(Tau_j))))*Salcycl</f>
        <v>2.7397360454408139E-2</v>
      </c>
      <c r="P202" s="165">
        <f>(INDEX(Models!$BJ202:$BT202,,T202)*(1-R202)+INDEX(Models!$BJ202:$BT202,,T202+1)*R202-ERP_i)*Q202*Ramure*Pc/MaxiM</f>
        <v>1.7518182013611231E-6</v>
      </c>
      <c r="Q202" s="301">
        <f t="shared" si="53"/>
        <v>0.5</v>
      </c>
      <c r="R202" s="173">
        <f t="shared" si="54"/>
        <v>0.84480680436056399</v>
      </c>
      <c r="S202" s="802">
        <f t="shared" si="55"/>
        <v>0</v>
      </c>
      <c r="T202" s="172">
        <f t="shared" si="56"/>
        <v>6</v>
      </c>
      <c r="U202" s="247">
        <f t="shared" si="57"/>
        <v>0.84480680436056399</v>
      </c>
      <c r="V202" s="378">
        <f t="shared" si="58"/>
        <v>59.595294754900799</v>
      </c>
      <c r="W202" s="397">
        <f t="shared" si="59"/>
        <v>58.397053421840113</v>
      </c>
      <c r="X202" s="153">
        <f t="shared" si="60"/>
        <v>47671</v>
      </c>
      <c r="Y202" s="380">
        <f t="shared" si="61"/>
        <v>56.74445276429725</v>
      </c>
      <c r="Z202" s="380">
        <f t="shared" si="62"/>
        <v>59.244050624951299</v>
      </c>
      <c r="AA202" s="381">
        <f t="shared" si="63"/>
        <v>62.686081238427036</v>
      </c>
      <c r="AB202" s="193">
        <f t="shared" si="64"/>
        <v>47671</v>
      </c>
      <c r="AC202" s="119">
        <f>IF(OR(t&lt;Tnet,NoTnet),'2029'!Resal_s+('2029'!Salim-'2029'!Resal_s)*(1-EXP(('2029'!Tnet_s-t)/'2029'!Tau_j)),Resal_s+(Salim-Resal_s)*(1-EXP((Tnet_s-t)/Tau_j)))*Salcycl</f>
        <v>5.4909009232590858E-2</v>
      </c>
      <c r="AD202" s="227">
        <f>(INDEX(Models!$BJ202:$BT202,,AH202)*(1-AF202)+INDEX(Models!$BJ202:$BT202,,AH202+1)*AF202-ERP_i)*AE202*Ramure*Pc/MaxiM</f>
        <v>1.526796906327791E-5</v>
      </c>
      <c r="AE202" s="301">
        <f t="shared" si="65"/>
        <v>0.5</v>
      </c>
      <c r="AF202" s="173">
        <f t="shared" si="66"/>
        <v>0.36979437073454147</v>
      </c>
      <c r="AG202" s="802">
        <f t="shared" si="74"/>
        <v>4</v>
      </c>
      <c r="AH202" s="172">
        <f t="shared" si="67"/>
        <v>10</v>
      </c>
      <c r="AI202" s="221">
        <f t="shared" si="68"/>
        <v>4.3697943707345415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47672</v>
      </c>
      <c r="B203" s="406">
        <f>'2029'!Wh/'2029'!Env_an*'2030'!Env_an</f>
        <v>61.235241206644289</v>
      </c>
      <c r="C203" s="832"/>
      <c r="D203" s="388">
        <f t="shared" si="50"/>
        <v>63.933533867830988</v>
      </c>
      <c r="E203" s="380">
        <f t="shared" si="75"/>
        <v>65.738262459528201</v>
      </c>
      <c r="F203" s="380">
        <f t="shared" si="51"/>
        <v>65.738386218533648</v>
      </c>
      <c r="G203" s="110">
        <f t="shared" si="76"/>
        <v>1.0294757370422234</v>
      </c>
      <c r="H203" s="409" t="b">
        <f>Wh_hp&gt;='2029'!Maxi_hp</f>
        <v>1</v>
      </c>
      <c r="I203" s="385">
        <f>IF(H203,Wh_hp,'2029'!Maxi_hp)</f>
        <v>65.738386218533648</v>
      </c>
      <c r="J203" s="85">
        <f>IF(H203,An,'2029'!An_max)</f>
        <v>2030</v>
      </c>
      <c r="K203" s="193">
        <f t="shared" si="52"/>
        <v>47672</v>
      </c>
      <c r="L203" s="143">
        <f>IF(t&lt;Tvie,1-EXP((T0-t)*PertePVj)+'2029'!Pspv,1-EXP((T0-t)*PertePVj)+Pspv)</f>
        <v>4.2204653770036349E-2</v>
      </c>
      <c r="M203" s="836"/>
      <c r="N203" s="836"/>
      <c r="O203" s="48">
        <f>IF(t&lt;Tnet,'2029'!Resal+('2029'!Salim-'2029'!Resal)*(1-EXP(('2029'!Tnet-t)/('2029'!Tau_j))),Resal+(Salim-Resal)*(1-EXP((Tnet-t)/(Tau_j))))*Salcycl</f>
        <v>2.7453244490730042E-2</v>
      </c>
      <c r="P203" s="165">
        <f>(INDEX(Models!$BJ203:$BT203,,T203)*(1-R203)+INDEX(Models!$BJ203:$BT203,,T203+1)*R203-ERP_i)*Q203*Ramure*Pc/MaxiM</f>
        <v>1.8825987762800873E-6</v>
      </c>
      <c r="Q203" s="301">
        <f t="shared" si="53"/>
        <v>0.5</v>
      </c>
      <c r="R203" s="173">
        <f t="shared" si="54"/>
        <v>0.8486050959261664</v>
      </c>
      <c r="S203" s="802">
        <f t="shared" si="55"/>
        <v>0</v>
      </c>
      <c r="T203" s="172">
        <f t="shared" si="56"/>
        <v>6</v>
      </c>
      <c r="U203" s="247">
        <f t="shared" si="57"/>
        <v>0.8486050959261664</v>
      </c>
      <c r="V203" s="378">
        <f t="shared" si="58"/>
        <v>59.481966406103616</v>
      </c>
      <c r="W203" s="397">
        <f t="shared" si="59"/>
        <v>61.235241206644289</v>
      </c>
      <c r="X203" s="153">
        <f t="shared" si="60"/>
        <v>47672</v>
      </c>
      <c r="Y203" s="380">
        <f t="shared" si="61"/>
        <v>59.50344532218174</v>
      </c>
      <c r="Z203" s="380">
        <f t="shared" si="62"/>
        <v>62.125427479259386</v>
      </c>
      <c r="AA203" s="381">
        <f t="shared" si="63"/>
        <v>65.737305065735541</v>
      </c>
      <c r="AB203" s="193">
        <f t="shared" si="64"/>
        <v>47672</v>
      </c>
      <c r="AC203" s="119">
        <f>IF(OR(t&lt;Tnet,NoTnet),'2029'!Resal_s+('2029'!Salim-'2029'!Resal_s)*(1-EXP(('2029'!Tnet_s-t)/'2029'!Tau_j)),Resal_s+(Salim-Resal_s)*(1-EXP((Tnet_s-t)/Tau_j)))*Salcycl</f>
        <v>5.494410795916211E-2</v>
      </c>
      <c r="AD203" s="227">
        <f>(INDEX(Models!$BJ203:$BT203,,AH203)*(1-AF203)+INDEX(Models!$BJ203:$BT203,,AH203+1)*AF203-ERP_i)*AE203*Ramure*Pc/MaxiM</f>
        <v>1.6446293562875128E-5</v>
      </c>
      <c r="AE203" s="301">
        <f t="shared" si="65"/>
        <v>0.5</v>
      </c>
      <c r="AF203" s="173">
        <f t="shared" si="66"/>
        <v>0.37359266230014399</v>
      </c>
      <c r="AG203" s="802">
        <f t="shared" si="74"/>
        <v>4</v>
      </c>
      <c r="AH203" s="172">
        <f t="shared" si="67"/>
        <v>10</v>
      </c>
      <c r="AI203" s="221">
        <f t="shared" si="68"/>
        <v>4.373592662300144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47673</v>
      </c>
      <c r="B204" s="406">
        <f>'2029'!Wh/'2029'!Env_an*'2030'!Env_an</f>
        <v>60.290159365834398</v>
      </c>
      <c r="C204" s="832"/>
      <c r="D204" s="388">
        <f t="shared" si="50"/>
        <v>62.947669286659057</v>
      </c>
      <c r="E204" s="380">
        <f t="shared" si="75"/>
        <v>64.72826344911411</v>
      </c>
      <c r="F204" s="380">
        <f t="shared" si="51"/>
        <v>64.728394543927067</v>
      </c>
      <c r="G204" s="110">
        <f t="shared" si="76"/>
        <v>1.0155672058317351</v>
      </c>
      <c r="H204" s="409" t="b">
        <f>Wh_hp&gt;='2029'!Maxi_hp</f>
        <v>1</v>
      </c>
      <c r="I204" s="385">
        <f>IF(H204,Wh_hp,'2029'!Maxi_hp)</f>
        <v>64.728394543927067</v>
      </c>
      <c r="J204" s="85">
        <f>IF(H204,An,'2029'!An_max)</f>
        <v>2030</v>
      </c>
      <c r="K204" s="193">
        <f t="shared" si="52"/>
        <v>47673</v>
      </c>
      <c r="L204" s="143">
        <f>IF(t&lt;Tvie,1-EXP((T0-t)*PertePVj)+'2029'!Pspv,1-EXP((T0-t)*PertePVj)+Pspv)</f>
        <v>4.2217765184006328E-2</v>
      </c>
      <c r="M204" s="836"/>
      <c r="N204" s="836"/>
      <c r="O204" s="48">
        <f>IF(t&lt;Tnet,'2029'!Resal+('2029'!Salim-'2029'!Resal)*(1-EXP(('2029'!Tnet-t)/('2029'!Tau_j))),Resal+(Salim-Resal)*(1-EXP((Tnet-t)/(Tau_j))))*Salcycl</f>
        <v>2.7508758424437871E-2</v>
      </c>
      <c r="P204" s="165">
        <f>(INDEX(Models!$BJ204:$BT204,,T204)*(1-R204)+INDEX(Models!$BJ204:$BT204,,T204+1)*R204-ERP_i)*Q204*Ramure*Pc/MaxiM</f>
        <v>2.0253061099856689E-6</v>
      </c>
      <c r="Q204" s="301">
        <f t="shared" si="53"/>
        <v>0.5</v>
      </c>
      <c r="R204" s="173">
        <f t="shared" si="54"/>
        <v>0.85232319905161846</v>
      </c>
      <c r="S204" s="802">
        <f t="shared" si="55"/>
        <v>0</v>
      </c>
      <c r="T204" s="172">
        <f t="shared" si="56"/>
        <v>6</v>
      </c>
      <c r="U204" s="247">
        <f t="shared" si="57"/>
        <v>0.85232319905161846</v>
      </c>
      <c r="V204" s="378">
        <f t="shared" si="58"/>
        <v>59.365996676170354</v>
      </c>
      <c r="W204" s="397">
        <f t="shared" si="59"/>
        <v>60.290159365834398</v>
      </c>
      <c r="X204" s="153">
        <f t="shared" si="60"/>
        <v>47673</v>
      </c>
      <c r="Y204" s="380">
        <f t="shared" si="61"/>
        <v>58.586235311174839</v>
      </c>
      <c r="Z204" s="380">
        <f t="shared" si="62"/>
        <v>61.16863852922711</v>
      </c>
      <c r="AA204" s="381">
        <f t="shared" si="63"/>
        <v>64.727246268535524</v>
      </c>
      <c r="AB204" s="193">
        <f t="shared" si="64"/>
        <v>47673</v>
      </c>
      <c r="AC204" s="119">
        <f>IF(OR(t&lt;Tnet,NoTnet),'2029'!Resal_s+('2029'!Salim-'2029'!Resal_s)*(1-EXP(('2029'!Tnet_s-t)/'2029'!Tau_j)),Resal_s+(Salim-Resal_s)*(1-EXP((Tnet_s-t)/Tau_j)))*Salcycl</f>
        <v>5.4978512828194978E-2</v>
      </c>
      <c r="AD204" s="227">
        <f>(INDEX(Models!$BJ204:$BT204,,AH204)*(1-AF204)+INDEX(Models!$BJ204:$BT204,,AH204+1)*AF204-ERP_i)*AE204*Ramure*Pc/MaxiM</f>
        <v>1.7739902242770327E-5</v>
      </c>
      <c r="AE204" s="301">
        <f t="shared" si="65"/>
        <v>0.5</v>
      </c>
      <c r="AF204" s="173">
        <f t="shared" si="66"/>
        <v>0.37731076542559538</v>
      </c>
      <c r="AG204" s="802">
        <f t="shared" si="74"/>
        <v>4</v>
      </c>
      <c r="AH204" s="172">
        <f t="shared" si="67"/>
        <v>10</v>
      </c>
      <c r="AI204" s="221">
        <f t="shared" si="68"/>
        <v>4.3773107654255954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47674</v>
      </c>
      <c r="B205" s="406">
        <f>'2029'!Wh/'2029'!Env_an*'2030'!Env_an</f>
        <v>59.656472660668541</v>
      </c>
      <c r="C205" s="832"/>
      <c r="D205" s="388">
        <f t="shared" si="50"/>
        <v>62.286903170972465</v>
      </c>
      <c r="E205" s="380">
        <f t="shared" si="75"/>
        <v>64.052439092648456</v>
      </c>
      <c r="F205" s="380">
        <f t="shared" si="51"/>
        <v>64.052578735294134</v>
      </c>
      <c r="G205" s="110">
        <f t="shared" si="76"/>
        <v>1.0069050210726644</v>
      </c>
      <c r="H205" s="409" t="b">
        <f>Wh_hp&gt;='2029'!Maxi_hp</f>
        <v>1</v>
      </c>
      <c r="I205" s="385">
        <f>IF(H205,Wh_hp,'2029'!Maxi_hp)</f>
        <v>64.052578735294134</v>
      </c>
      <c r="J205" s="85">
        <f>IF(H205,An,'2029'!An_max)</f>
        <v>2030</v>
      </c>
      <c r="K205" s="193">
        <f t="shared" si="52"/>
        <v>47674</v>
      </c>
      <c r="L205" s="143">
        <f>IF(t&lt;Tvie,1-EXP((T0-t)*PertePVj)+'2029'!Pspv,1-EXP((T0-t)*PertePVj)+Pspv)</f>
        <v>4.2230876418492103E-2</v>
      </c>
      <c r="M205" s="836"/>
      <c r="N205" s="836"/>
      <c r="O205" s="48">
        <f>IF(t&lt;Tnet,'2029'!Resal+('2029'!Salim-'2029'!Resal)*(1-EXP(('2029'!Tnet-t)/('2029'!Tau_j))),Resal+(Salim-Resal)*(1-EXP((Tnet-t)/(Tau_j))))*Salcycl</f>
        <v>2.7563913984949669E-2</v>
      </c>
      <c r="P205" s="165">
        <f>(INDEX(Models!$BJ205:$BT205,,T205)*(1-R205)+INDEX(Models!$BJ205:$BT205,,T205+1)*R205-ERP_i)*Q205*Ramure*Pc/MaxiM</f>
        <v>2.180125272608469E-6</v>
      </c>
      <c r="Q205" s="301">
        <f t="shared" si="53"/>
        <v>0.5</v>
      </c>
      <c r="R205" s="173">
        <f t="shared" si="54"/>
        <v>0.85596058669944719</v>
      </c>
      <c r="S205" s="802">
        <f t="shared" si="55"/>
        <v>0</v>
      </c>
      <c r="T205" s="172">
        <f t="shared" si="56"/>
        <v>6</v>
      </c>
      <c r="U205" s="247">
        <f t="shared" si="57"/>
        <v>0.85596058669944719</v>
      </c>
      <c r="V205" s="378">
        <f t="shared" si="58"/>
        <v>59.247368333823587</v>
      </c>
      <c r="W205" s="397">
        <f t="shared" si="59"/>
        <v>59.656472660668541</v>
      </c>
      <c r="X205" s="153">
        <f t="shared" si="60"/>
        <v>47674</v>
      </c>
      <c r="Y205" s="380">
        <f t="shared" si="61"/>
        <v>57.971603496142855</v>
      </c>
      <c r="Z205" s="380">
        <f t="shared" si="62"/>
        <v>60.52774313642756</v>
      </c>
      <c r="AA205" s="381">
        <f t="shared" si="63"/>
        <v>64.051352135717309</v>
      </c>
      <c r="AB205" s="193">
        <f t="shared" si="64"/>
        <v>47674</v>
      </c>
      <c r="AC205" s="119">
        <f>IF(OR(t&lt;Tnet,NoTnet),'2029'!Resal_s+('2029'!Salim-'2029'!Resal_s)*(1-EXP(('2029'!Tnet_s-t)/'2029'!Tau_j)),Resal_s+(Salim-Resal_s)*(1-EXP((Tnet_s-t)/Tau_j)))*Salcycl</f>
        <v>5.5012250043115905E-2</v>
      </c>
      <c r="AD205" s="227">
        <f>(INDEX(Models!$BJ205:$BT205,,AH205)*(1-AF205)+INDEX(Models!$BJ205:$BT205,,AH205+1)*AF205-ERP_i)*AE205*Ramure*Pc/MaxiM</f>
        <v>1.9149885938161583E-5</v>
      </c>
      <c r="AE205" s="301">
        <f t="shared" si="65"/>
        <v>0.5</v>
      </c>
      <c r="AF205" s="173">
        <f t="shared" si="66"/>
        <v>0.38094815307342422</v>
      </c>
      <c r="AG205" s="802">
        <f t="shared" si="74"/>
        <v>4</v>
      </c>
      <c r="AH205" s="172">
        <f t="shared" si="67"/>
        <v>10</v>
      </c>
      <c r="AI205" s="221">
        <f t="shared" si="68"/>
        <v>4.3809481530734242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47675</v>
      </c>
      <c r="B206" s="406">
        <f>'2029'!Wh/'2029'!Env_an*'2030'!Env_an</f>
        <v>58.630677365548493</v>
      </c>
      <c r="C206" s="832"/>
      <c r="D206" s="388">
        <f t="shared" si="50"/>
        <v>61.216715529547258</v>
      </c>
      <c r="E206" s="380">
        <f t="shared" si="75"/>
        <v>62.95546509800613</v>
      </c>
      <c r="F206" s="380">
        <f t="shared" si="51"/>
        <v>62.955610835674371</v>
      </c>
      <c r="G206" s="110">
        <f t="shared" si="76"/>
        <v>0.99162717081308593</v>
      </c>
      <c r="H206" s="409" t="b">
        <f>Wh_hp&gt;='2029'!Maxi_hp</f>
        <v>0</v>
      </c>
      <c r="I206" s="385">
        <f>IF(H206,Wh_hp,'2029'!Maxi_hp)</f>
        <v>62.955611856490201</v>
      </c>
      <c r="J206" s="85">
        <f>IF(H206,An,'2029'!An_max)</f>
        <v>2029</v>
      </c>
      <c r="K206" s="193">
        <f t="shared" si="52"/>
        <v>47675</v>
      </c>
      <c r="L206" s="143">
        <f>IF(t&lt;Tvie,1-EXP((T0-t)*PertePVj)+'2029'!Pspv,1-EXP((T0-t)*PertePVj)+Pspv)</f>
        <v>4.2243987473496003E-2</v>
      </c>
      <c r="M206" s="836"/>
      <c r="N206" s="836"/>
      <c r="O206" s="48">
        <f>IF(t&lt;Tnet,'2029'!Resal+('2029'!Salim-'2029'!Resal)*(1-EXP(('2029'!Tnet-t)/('2029'!Tau_j))),Resal+(Salim-Resal)*(1-EXP((Tnet-t)/(Tau_j))))*Salcycl</f>
        <v>2.7618723263374678E-2</v>
      </c>
      <c r="P206" s="165">
        <f>(INDEX(Models!$BJ206:$BT206,,T206)*(1-R206)+INDEX(Models!$BJ206:$BT206,,T206+1)*R206-ERP_i)*Q206*Ramure*Pc/MaxiM</f>
        <v>2.3429517814292629E-6</v>
      </c>
      <c r="Q206" s="301">
        <f t="shared" si="53"/>
        <v>0.5</v>
      </c>
      <c r="R206" s="173">
        <f t="shared" si="54"/>
        <v>0.85951688775781143</v>
      </c>
      <c r="S206" s="802">
        <f t="shared" si="55"/>
        <v>0</v>
      </c>
      <c r="T206" s="172">
        <f t="shared" si="56"/>
        <v>6</v>
      </c>
      <c r="U206" s="247">
        <f t="shared" si="57"/>
        <v>0.85951688775781143</v>
      </c>
      <c r="V206" s="378">
        <f t="shared" si="58"/>
        <v>59.125725321122133</v>
      </c>
      <c r="W206" s="397">
        <f t="shared" si="59"/>
        <v>58.630677365548493</v>
      </c>
      <c r="X206" s="153">
        <f t="shared" si="60"/>
        <v>47675</v>
      </c>
      <c r="Y206" s="380">
        <f t="shared" si="61"/>
        <v>56.975931980268214</v>
      </c>
      <c r="Z206" s="380">
        <f t="shared" si="62"/>
        <v>59.488983869669539</v>
      </c>
      <c r="AA206" s="381">
        <f t="shared" si="63"/>
        <v>62.954326582035812</v>
      </c>
      <c r="AB206" s="193">
        <f t="shared" si="64"/>
        <v>47675</v>
      </c>
      <c r="AC206" s="119">
        <f>IF(OR(t&lt;Tnet,NoTnet),'2029'!Resal_s+('2029'!Salim-'2029'!Resal_s)*(1-EXP(('2029'!Tnet_s-t)/'2029'!Tau_j)),Resal_s+(Salim-Resal_s)*(1-EXP((Tnet_s-t)/Tau_j)))*Salcycl</f>
        <v>5.504534637266878E-2</v>
      </c>
      <c r="AD206" s="227">
        <f>(INDEX(Models!$BJ206:$BT206,,AH206)*(1-AF206)+INDEX(Models!$BJ206:$BT206,,AH206+1)*AF206-ERP_i)*AE206*Ramure*Pc/MaxiM</f>
        <v>2.0646305011986031E-5</v>
      </c>
      <c r="AE206" s="301">
        <f t="shared" si="65"/>
        <v>0.5</v>
      </c>
      <c r="AF206" s="173">
        <f t="shared" si="66"/>
        <v>0.3845044541317888</v>
      </c>
      <c r="AG206" s="802">
        <f t="shared" si="74"/>
        <v>4</v>
      </c>
      <c r="AH206" s="172">
        <f t="shared" si="67"/>
        <v>10</v>
      </c>
      <c r="AI206" s="221">
        <f t="shared" si="68"/>
        <v>4.3845044541317888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47676</v>
      </c>
      <c r="B207" s="406">
        <f>'2029'!Wh/'2029'!Env_an*'2030'!Env_an</f>
        <v>57.712155561459618</v>
      </c>
      <c r="C207" s="832"/>
      <c r="D207" s="388">
        <f t="shared" ref="D207:D270" si="77">Wh/(1-Ppv)</f>
        <v>60.258505139504635</v>
      </c>
      <c r="E207" s="380">
        <f t="shared" si="75"/>
        <v>61.973510402724791</v>
      </c>
      <c r="F207" s="380">
        <f t="shared" ref="F207:F270" si="78">Wh_sa/(1-Pvg*MEDIAN((-Sdif+Wh/Env_an)/Csdif,0,1))</f>
        <v>61.973661073799619</v>
      </c>
      <c r="G207" s="110">
        <f t="shared" si="76"/>
        <v>0.97815772335306006</v>
      </c>
      <c r="H207" s="409" t="b">
        <f>Wh_hp&gt;='2029'!Maxi_hp</f>
        <v>0</v>
      </c>
      <c r="I207" s="385">
        <f>IF(H207,Wh_hp,'2029'!Maxi_hp)</f>
        <v>61.973663870347522</v>
      </c>
      <c r="J207" s="85">
        <f>IF(H207,An,'2029'!An_max)</f>
        <v>2029</v>
      </c>
      <c r="K207" s="193">
        <f t="shared" ref="K207:K270" si="79">t</f>
        <v>47676</v>
      </c>
      <c r="L207" s="143">
        <f>IF(t&lt;Tvie,1-EXP((T0-t)*PertePVj)+'2029'!Pspv,1-EXP((T0-t)*PertePVj)+Pspv)</f>
        <v>4.2257098349020694E-2</v>
      </c>
      <c r="M207" s="836"/>
      <c r="N207" s="836"/>
      <c r="O207" s="48">
        <f>IF(t&lt;Tnet,'2029'!Resal+('2029'!Salim-'2029'!Resal)*(1-EXP(('2029'!Tnet-t)/('2029'!Tau_j))),Resal+(Salim-Resal)*(1-EXP((Tnet-t)/(Tau_j))))*Salcycl</f>
        <v>2.7673198630761332E-2</v>
      </c>
      <c r="P207" s="165">
        <f>(INDEX(Models!$BJ207:$BT207,,T207)*(1-R207)+INDEX(Models!$BJ207:$BT207,,T207+1)*R207-ERP_i)*Q207*Ramure*Pc/MaxiM</f>
        <v>2.5095162512601167E-6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0.86299188130452964</v>
      </c>
      <c r="S207" s="802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0.86299188130452964</v>
      </c>
      <c r="V207" s="378">
        <f t="shared" ref="V207:V270" si="85">MaxiM*(1-Ppv)*(1-Pvg)*(1-Psa)</f>
        <v>59.000864241481132</v>
      </c>
      <c r="W207" s="397">
        <f t="shared" ref="W207:W270" si="86">Wh*(A207&gt;Tmaj)</f>
        <v>57.712155561459618</v>
      </c>
      <c r="X207" s="153">
        <f t="shared" ref="X207:X270" si="87">t</f>
        <v>47676</v>
      </c>
      <c r="Y207" s="380">
        <f t="shared" ref="Y207:Y270" si="88">Wh_pvt_s*(1-Ppv)</f>
        <v>56.084492562464874</v>
      </c>
      <c r="Z207" s="380">
        <f t="shared" ref="Z207:Z270" si="89">Wh_sa_s*(1-Psa_s)</f>
        <v>58.559027131169685</v>
      </c>
      <c r="AA207" s="381">
        <f t="shared" ref="AA207:AA270" si="90">Wh_hp*(1-Pvg_s*MEDIAN((-Sdif+Wh/Env_an)/Csdif,0,1))</f>
        <v>61.972328438721519</v>
      </c>
      <c r="AB207" s="193">
        <f t="shared" ref="AB207:AB270" si="91">t</f>
        <v>47676</v>
      </c>
      <c r="AC207" s="119">
        <f>IF(OR(t&lt;Tnet,NoTnet),'2029'!Resal_s+('2029'!Salim-'2029'!Resal_s)*(1-EXP(('2029'!Tnet_s-t)/'2029'!Tau_j)),Resal_s+(Salim-Resal_s)*(1-EXP((Tnet_s-t)/Tau_j)))*Salcycl</f>
        <v>5.507782898502709E-2</v>
      </c>
      <c r="AD207" s="227">
        <f>(INDEX(Models!$BJ207:$BT207,,AH207)*(1-AF207)+INDEX(Models!$BJ207:$BT207,,AH207+1)*AF207-ERP_i)*AE207*Ramure*Pc/MaxiM</f>
        <v>2.2195828822372215E-5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0.38797944767850723</v>
      </c>
      <c r="AG207" s="802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4.3879794476785072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47677</v>
      </c>
      <c r="B208" s="406">
        <f>'2029'!Wh/'2029'!Env_an*'2030'!Env_an</f>
        <v>56.568610771396635</v>
      </c>
      <c r="C208" s="832"/>
      <c r="D208" s="388">
        <f t="shared" si="77"/>
        <v>59.065313938906819</v>
      </c>
      <c r="E208" s="380">
        <f t="shared" si="75"/>
        <v>60.749743500763216</v>
      </c>
      <c r="F208" s="380">
        <f t="shared" si="78"/>
        <v>60.749897198963836</v>
      </c>
      <c r="G208" s="110">
        <f t="shared" si="76"/>
        <v>0.96086498793629549</v>
      </c>
      <c r="H208" s="409" t="b">
        <f>Wh_hp&gt;='2029'!Maxi_hp</f>
        <v>0</v>
      </c>
      <c r="I208" s="385">
        <f>IF(H208,Wh_hp,'2029'!Maxi_hp)</f>
        <v>60.74990242341601</v>
      </c>
      <c r="J208" s="85">
        <f>IF(H208,An,'2029'!An_max)</f>
        <v>2029</v>
      </c>
      <c r="K208" s="193">
        <f t="shared" si="79"/>
        <v>47677</v>
      </c>
      <c r="L208" s="143">
        <f>IF(t&lt;Tvie,1-EXP((T0-t)*PertePVj)+'2029'!Pspv,1-EXP((T0-t)*PertePVj)+Pspv)</f>
        <v>4.2270209045068396E-2</v>
      </c>
      <c r="M208" s="836"/>
      <c r="N208" s="836"/>
      <c r="O208" s="48">
        <f>IF(t&lt;Tnet,'2029'!Resal+('2029'!Salim-'2029'!Resal)*(1-EXP(('2029'!Tnet-t)/('2029'!Tau_j))),Resal+(Salim-Resal)*(1-EXP((Tnet-t)/(Tau_j))))*Salcycl</f>
        <v>2.772735265680969E-2</v>
      </c>
      <c r="P208" s="165">
        <f>(INDEX(Models!$BJ208:$BT208,,T208)*(1-R208)+INDEX(Models!$BJ208:$BT208,,T208+1)*R208-ERP_i)*Q208*Ramure*Pc/MaxiM</f>
        <v>2.6798373592647065E-6</v>
      </c>
      <c r="Q208" s="301">
        <f t="shared" si="80"/>
        <v>0.5</v>
      </c>
      <c r="R208" s="173">
        <f t="shared" si="81"/>
        <v>0.86638549052187508</v>
      </c>
      <c r="S208" s="802">
        <f t="shared" si="82"/>
        <v>0</v>
      </c>
      <c r="T208" s="172">
        <f t="shared" si="83"/>
        <v>6</v>
      </c>
      <c r="U208" s="247">
        <f t="shared" si="84"/>
        <v>0.86638549052187508</v>
      </c>
      <c r="V208" s="378">
        <f t="shared" si="85"/>
        <v>58.872581482726453</v>
      </c>
      <c r="W208" s="397">
        <f t="shared" si="86"/>
        <v>56.568610771396635</v>
      </c>
      <c r="X208" s="153">
        <f t="shared" si="87"/>
        <v>47677</v>
      </c>
      <c r="Y208" s="380">
        <f t="shared" si="88"/>
        <v>54.974357846285528</v>
      </c>
      <c r="Z208" s="380">
        <f t="shared" si="89"/>
        <v>57.40069732139353</v>
      </c>
      <c r="AA208" s="381">
        <f t="shared" si="90"/>
        <v>60.748532244825185</v>
      </c>
      <c r="AB208" s="193">
        <f t="shared" si="91"/>
        <v>47677</v>
      </c>
      <c r="AC208" s="119">
        <f>IF(OR(t&lt;Tnet,NoTnet),'2029'!Resal_s+('2029'!Salim-'2029'!Resal_s)*(1-EXP(('2029'!Tnet_s-t)/'2029'!Tau_j)),Resal_s+(Salim-Resal_s)*(1-EXP((Tnet_s-t)/Tau_j)))*Salcycl</f>
        <v>5.5109725284215982E-2</v>
      </c>
      <c r="AD208" s="227">
        <f>(INDEX(Models!$BJ208:$BT208,,AH208)*(1-AF208)+INDEX(Models!$BJ208:$BT208,,AH208+1)*AF208-ERP_i)*AE208*Ramure*Pc/MaxiM</f>
        <v>2.3798945463811301E-5</v>
      </c>
      <c r="AE208" s="301">
        <f t="shared" si="92"/>
        <v>0.5</v>
      </c>
      <c r="AF208" s="173">
        <f t="shared" si="93"/>
        <v>0.39137305689585222</v>
      </c>
      <c r="AG208" s="802">
        <f t="shared" ref="AG208:AG271" si="99">INDEX(Echel_vg,AH208)</f>
        <v>4</v>
      </c>
      <c r="AH208" s="172">
        <f t="shared" si="94"/>
        <v>10</v>
      </c>
      <c r="AI208" s="221">
        <f t="shared" si="95"/>
        <v>4.3913730568958522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47678</v>
      </c>
      <c r="B209" s="406">
        <f>'2029'!Wh/'2029'!Env_an*'2030'!Env_an</f>
        <v>56.417209385190482</v>
      </c>
      <c r="C209" s="832"/>
      <c r="D209" s="388">
        <f t="shared" si="77"/>
        <v>58.90803672686129</v>
      </c>
      <c r="E209" s="380">
        <f t="shared" si="75"/>
        <v>60.591336649193281</v>
      </c>
      <c r="F209" s="380">
        <f t="shared" si="78"/>
        <v>60.591499802249928</v>
      </c>
      <c r="G209" s="110">
        <f t="shared" si="76"/>
        <v>0.9604452407317865</v>
      </c>
      <c r="H209" s="409" t="b">
        <f>Wh_hp&gt;='2029'!Maxi_hp</f>
        <v>0</v>
      </c>
      <c r="I209" s="385">
        <f>IF(H209,Wh_hp,'2029'!Maxi_hp)</f>
        <v>60.591505389714662</v>
      </c>
      <c r="J209" s="85">
        <f>IF(H209,An,'2029'!An_max)</f>
        <v>2029</v>
      </c>
      <c r="K209" s="193">
        <f t="shared" si="79"/>
        <v>47678</v>
      </c>
      <c r="L209" s="143">
        <f>IF(t&lt;Tvie,1-EXP((T0-t)*PertePVj)+'2029'!Pspv,1-EXP((T0-t)*PertePVj)+Pspv)</f>
        <v>4.2283319561641775E-2</v>
      </c>
      <c r="M209" s="836"/>
      <c r="N209" s="836"/>
      <c r="O209" s="48">
        <f>IF(t&lt;Tnet,'2029'!Resal+('2029'!Salim-'2029'!Resal)*(1-EXP(('2029'!Tnet-t)/('2029'!Tau_j))),Resal+(Salim-Resal)*(1-EXP((Tnet-t)/(Tau_j))))*Salcycl</f>
        <v>2.7781198029642729E-2</v>
      </c>
      <c r="P209" s="165">
        <f>(INDEX(Models!$BJ209:$BT209,,T209)*(1-R209)+INDEX(Models!$BJ209:$BT209,,T209+1)*R209-ERP_i)*Q209*Ramure*Pc/MaxiM</f>
        <v>2.853938664815068E-6</v>
      </c>
      <c r="Q209" s="301">
        <f t="shared" si="80"/>
        <v>0.5</v>
      </c>
      <c r="R209" s="173">
        <f t="shared" si="81"/>
        <v>0.869697776320008</v>
      </c>
      <c r="S209" s="802">
        <f t="shared" si="82"/>
        <v>0</v>
      </c>
      <c r="T209" s="172">
        <f t="shared" si="83"/>
        <v>6</v>
      </c>
      <c r="U209" s="247">
        <f t="shared" si="84"/>
        <v>0.869697776320008</v>
      </c>
      <c r="V209" s="378">
        <f t="shared" si="85"/>
        <v>58.740673485960897</v>
      </c>
      <c r="W209" s="397">
        <f t="shared" si="86"/>
        <v>56.417209385190482</v>
      </c>
      <c r="X209" s="153">
        <f t="shared" si="87"/>
        <v>47678</v>
      </c>
      <c r="Y209" s="380">
        <f t="shared" si="88"/>
        <v>54.828365415419839</v>
      </c>
      <c r="Z209" s="380">
        <f t="shared" si="89"/>
        <v>57.249045083274787</v>
      </c>
      <c r="AA209" s="381">
        <f t="shared" si="90"/>
        <v>60.590044530770889</v>
      </c>
      <c r="AB209" s="193">
        <f t="shared" si="91"/>
        <v>47678</v>
      </c>
      <c r="AC209" s="119">
        <f>IF(OR(t&lt;Tnet,NoTnet),'2029'!Resal_s+('2029'!Salim-'2029'!Resal_s)*(1-EXP(('2029'!Tnet_s-t)/'2029'!Tau_j)),Resal_s+(Salim-Resal_s)*(1-EXP((Tnet_s-t)/Tau_j)))*Salcycl</f>
        <v>5.5141062749992864E-2</v>
      </c>
      <c r="AD209" s="227">
        <f>(INDEX(Models!$BJ209:$BT209,,AH209)*(1-AF209)+INDEX(Models!$BJ209:$BT209,,AH209+1)*AF209-ERP_i)*AE209*Ramure*Pc/MaxiM</f>
        <v>2.5456192039997292E-5</v>
      </c>
      <c r="AE209" s="301">
        <f t="shared" si="92"/>
        <v>0.5</v>
      </c>
      <c r="AF209" s="173">
        <f t="shared" si="93"/>
        <v>0.39468534269398514</v>
      </c>
      <c r="AG209" s="802">
        <f t="shared" si="99"/>
        <v>4</v>
      </c>
      <c r="AH209" s="172">
        <f t="shared" si="94"/>
        <v>10</v>
      </c>
      <c r="AI209" s="221">
        <f t="shared" si="95"/>
        <v>4.3946853426939851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47679</v>
      </c>
      <c r="B210" s="406">
        <f>'2029'!Wh/'2029'!Env_an*'2030'!Env_an</f>
        <v>53.928285830393939</v>
      </c>
      <c r="C210" s="832"/>
      <c r="D210" s="388">
        <f t="shared" si="77"/>
        <v>56.309997700741754</v>
      </c>
      <c r="E210" s="380">
        <f t="shared" si="75"/>
        <v>57.922248871389179</v>
      </c>
      <c r="F210" s="380">
        <f t="shared" si="78"/>
        <v>57.922404463705128</v>
      </c>
      <c r="G210" s="110">
        <f t="shared" si="76"/>
        <v>0.92020007509910118</v>
      </c>
      <c r="H210" s="409" t="b">
        <f>Wh_hp&gt;='2029'!Maxi_hp</f>
        <v>0</v>
      </c>
      <c r="I210" s="385">
        <f>IF(H210,Wh_hp,'2029'!Maxi_hp)</f>
        <v>57.922415868802247</v>
      </c>
      <c r="J210" s="85">
        <f>IF(H210,An,'2029'!An_max)</f>
        <v>2029</v>
      </c>
      <c r="K210" s="193">
        <f t="shared" si="79"/>
        <v>47679</v>
      </c>
      <c r="L210" s="143">
        <f>IF(t&lt;Tvie,1-EXP((T0-t)*PertePVj)+'2029'!Pspv,1-EXP((T0-t)*PertePVj)+Pspv)</f>
        <v>4.229642989874316E-2</v>
      </c>
      <c r="M210" s="836"/>
      <c r="N210" s="836"/>
      <c r="O210" s="48">
        <f>IF(t&lt;Tnet,'2029'!Resal+('2029'!Salim-'2029'!Resal)*(1-EXP(('2029'!Tnet-t)/('2029'!Tau_j))),Resal+(Salim-Resal)*(1-EXP((Tnet-t)/(Tau_j))))*Salcycl</f>
        <v>2.7834747477213418E-2</v>
      </c>
      <c r="P210" s="165">
        <f>(INDEX(Models!$BJ210:$BT210,,T210)*(1-R210)+INDEX(Models!$BJ210:$BT210,,T210+1)*R210-ERP_i)*Q210*Ramure*Pc/MaxiM</f>
        <v>3.0318489892301787E-6</v>
      </c>
      <c r="Q210" s="301">
        <f t="shared" si="80"/>
        <v>0.5</v>
      </c>
      <c r="R210" s="173">
        <f t="shared" si="81"/>
        <v>0.87292893072516042</v>
      </c>
      <c r="S210" s="802">
        <f t="shared" si="82"/>
        <v>0</v>
      </c>
      <c r="T210" s="172">
        <f t="shared" si="83"/>
        <v>6</v>
      </c>
      <c r="U210" s="247">
        <f t="shared" si="84"/>
        <v>0.87292893072516042</v>
      </c>
      <c r="V210" s="378">
        <f t="shared" si="85"/>
        <v>58.604936741992915</v>
      </c>
      <c r="W210" s="397">
        <f t="shared" si="86"/>
        <v>53.928285830393939</v>
      </c>
      <c r="X210" s="153">
        <f t="shared" si="87"/>
        <v>47679</v>
      </c>
      <c r="Y210" s="380">
        <f t="shared" si="88"/>
        <v>52.410710800102734</v>
      </c>
      <c r="Z210" s="380">
        <f t="shared" si="89"/>
        <v>54.725399838032779</v>
      </c>
      <c r="AA210" s="381">
        <f t="shared" si="90"/>
        <v>57.92101021325611</v>
      </c>
      <c r="AB210" s="193">
        <f t="shared" si="91"/>
        <v>47679</v>
      </c>
      <c r="AC210" s="119">
        <f>IF(OR(t&lt;Tnet,NoTnet),'2029'!Resal_s+('2029'!Salim-'2029'!Resal_s)*(1-EXP(('2029'!Tnet_s-t)/'2029'!Tau_j)),Resal_s+(Salim-Resal_s)*(1-EXP((Tnet_s-t)/Tau_j)))*Salcycl</f>
        <v>5.5171868782288101E-2</v>
      </c>
      <c r="AD210" s="227">
        <f>(INDEX(Models!$BJ210:$BT210,,AH210)*(1-AF210)+INDEX(Models!$BJ210:$BT210,,AH210+1)*AF210-ERP_i)*AE210*Ramure*Pc/MaxiM</f>
        <v>2.7168159229848888E-5</v>
      </c>
      <c r="AE210" s="301">
        <f t="shared" si="92"/>
        <v>0.5</v>
      </c>
      <c r="AF210" s="173">
        <f t="shared" si="93"/>
        <v>0.39791649709913735</v>
      </c>
      <c r="AG210" s="802">
        <f t="shared" si="99"/>
        <v>4</v>
      </c>
      <c r="AH210" s="172">
        <f t="shared" si="94"/>
        <v>10</v>
      </c>
      <c r="AI210" s="221">
        <f t="shared" si="95"/>
        <v>4.3979164970991373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47680</v>
      </c>
      <c r="B211" s="406">
        <f>'2029'!Wh/'2029'!Env_an*'2030'!Env_an</f>
        <v>55.037739021108699</v>
      </c>
      <c r="C211" s="832"/>
      <c r="D211" s="388">
        <f t="shared" si="77"/>
        <v>57.469235962054512</v>
      </c>
      <c r="E211" s="380">
        <f t="shared" si="75"/>
        <v>59.117917247634104</v>
      </c>
      <c r="F211" s="380">
        <f t="shared" si="78"/>
        <v>59.118091319124574</v>
      </c>
      <c r="G211" s="110">
        <f t="shared" si="76"/>
        <v>0.94137631476356898</v>
      </c>
      <c r="H211" s="409" t="b">
        <f>Wh_hp&gt;='2029'!Maxi_hp</f>
        <v>0</v>
      </c>
      <c r="I211" s="385">
        <f>IF(H211,Wh_hp,'2029'!Maxi_hp)</f>
        <v>59.118100350514474</v>
      </c>
      <c r="J211" s="85">
        <f>IF(H211,An,'2029'!An_max)</f>
        <v>2029</v>
      </c>
      <c r="K211" s="193">
        <f t="shared" si="79"/>
        <v>47680</v>
      </c>
      <c r="L211" s="143">
        <f>IF(t&lt;Tvie,1-EXP((T0-t)*PertePVj)+'2029'!Pspv,1-EXP((T0-t)*PertePVj)+Pspv)</f>
        <v>4.2309540056374995E-2</v>
      </c>
      <c r="M211" s="836"/>
      <c r="N211" s="836"/>
      <c r="O211" s="48">
        <f>IF(t&lt;Tnet,'2029'!Resal+('2029'!Salim-'2029'!Resal)*(1-EXP(('2029'!Tnet-t)/('2029'!Tau_j))),Resal+(Salim-Resal)*(1-EXP((Tnet-t)/(Tau_j))))*Salcycl</f>
        <v>2.7888013690901315E-2</v>
      </c>
      <c r="P211" s="165">
        <f>(INDEX(Models!$BJ211:$BT211,,T211)*(1-R211)+INDEX(Models!$BJ211:$BT211,,T211+1)*R211-ERP_i)*Q211*Ramure*Pc/MaxiM</f>
        <v>3.2136027802142065E-6</v>
      </c>
      <c r="Q211" s="301">
        <f t="shared" si="80"/>
        <v>0.5</v>
      </c>
      <c r="R211" s="173">
        <f t="shared" si="81"/>
        <v>0.87607927008650188</v>
      </c>
      <c r="S211" s="802">
        <f t="shared" si="82"/>
        <v>0</v>
      </c>
      <c r="T211" s="172">
        <f t="shared" si="83"/>
        <v>6</v>
      </c>
      <c r="U211" s="247">
        <f t="shared" si="84"/>
        <v>0.87607927008650188</v>
      </c>
      <c r="V211" s="378">
        <f t="shared" si="85"/>
        <v>58.465167803238636</v>
      </c>
      <c r="W211" s="397">
        <f t="shared" si="86"/>
        <v>55.037739021108699</v>
      </c>
      <c r="X211" s="153">
        <f t="shared" si="87"/>
        <v>47680</v>
      </c>
      <c r="Y211" s="380">
        <f t="shared" si="88"/>
        <v>53.49004186962722</v>
      </c>
      <c r="Z211" s="380">
        <f t="shared" si="89"/>
        <v>55.853163529242991</v>
      </c>
      <c r="AA211" s="381">
        <f t="shared" si="90"/>
        <v>59.116523967705312</v>
      </c>
      <c r="AB211" s="193">
        <f t="shared" si="91"/>
        <v>47680</v>
      </c>
      <c r="AC211" s="119">
        <f>IF(OR(t&lt;Tnet,NoTnet),'2029'!Resal_s+('2029'!Salim-'2029'!Resal_s)*(1-EXP(('2029'!Tnet_s-t)/'2029'!Tau_j)),Resal_s+(Salim-Resal_s)*(1-EXP((Tnet_s-t)/Tau_j)))*Salcycl</f>
        <v>5.5202170551249902E-2</v>
      </c>
      <c r="AD211" s="227">
        <f>(INDEX(Models!$BJ211:$BT211,,AH211)*(1-AF211)+INDEX(Models!$BJ211:$BT211,,AH211+1)*AF211-ERP_i)*AE211*Ramure*Pc/MaxiM</f>
        <v>2.8935495783184865E-5</v>
      </c>
      <c r="AE211" s="301">
        <f t="shared" si="92"/>
        <v>0.5</v>
      </c>
      <c r="AF211" s="173">
        <f t="shared" si="93"/>
        <v>0.4010668364604788</v>
      </c>
      <c r="AG211" s="802">
        <f t="shared" si="99"/>
        <v>4</v>
      </c>
      <c r="AH211" s="172">
        <f t="shared" si="94"/>
        <v>10</v>
      </c>
      <c r="AI211" s="221">
        <f t="shared" si="95"/>
        <v>4.4010668364604788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47681</v>
      </c>
      <c r="B212" s="406">
        <f>'2029'!Wh/'2029'!Env_an*'2030'!Env_an</f>
        <v>55.435123434137203</v>
      </c>
      <c r="C212" s="832"/>
      <c r="D212" s="388">
        <f t="shared" si="77"/>
        <v>57.884968706983138</v>
      </c>
      <c r="E212" s="380">
        <f t="shared" si="75"/>
        <v>59.548822919100999</v>
      </c>
      <c r="F212" s="380">
        <f t="shared" si="78"/>
        <v>59.549010919560644</v>
      </c>
      <c r="G212" s="110">
        <f t="shared" si="76"/>
        <v>0.95051447693802671</v>
      </c>
      <c r="H212" s="409" t="b">
        <f>Wh_hp&gt;='2029'!Maxi_hp</f>
        <v>0</v>
      </c>
      <c r="I212" s="385">
        <f>IF(H212,Wh_hp,'2029'!Maxi_hp)</f>
        <v>59.549019008951987</v>
      </c>
      <c r="J212" s="85">
        <f>IF(H212,An,'2029'!An_max)</f>
        <v>2029</v>
      </c>
      <c r="K212" s="193">
        <f t="shared" si="79"/>
        <v>47681</v>
      </c>
      <c r="L212" s="143">
        <f>IF(t&lt;Tvie,1-EXP((T0-t)*PertePVj)+'2029'!Pspv,1-EXP((T0-t)*PertePVj)+Pspv)</f>
        <v>4.2322650034539833E-2</v>
      </c>
      <c r="M212" s="836"/>
      <c r="N212" s="836"/>
      <c r="O212" s="48">
        <f>IF(t&lt;Tnet,'2029'!Resal+('2029'!Salim-'2029'!Resal)*(1-EXP(('2029'!Tnet-t)/('2029'!Tau_j))),Resal+(Salim-Resal)*(1-EXP((Tnet-t)/(Tau_j))))*Salcycl</f>
        <v>2.7941009251824571E-2</v>
      </c>
      <c r="P212" s="165">
        <f>(INDEX(Models!$BJ212:$BT212,,T212)*(1-R212)+INDEX(Models!$BJ212:$BT212,,T212+1)*R212-ERP_i)*Q212*Ramure*Pc/MaxiM</f>
        <v>3.3972325783186094E-6</v>
      </c>
      <c r="Q212" s="301">
        <f t="shared" si="80"/>
        <v>0.5</v>
      </c>
      <c r="R212" s="173">
        <f t="shared" si="81"/>
        <v>0.87914922815307817</v>
      </c>
      <c r="S212" s="802">
        <f t="shared" si="82"/>
        <v>0</v>
      </c>
      <c r="T212" s="172">
        <f t="shared" si="83"/>
        <v>6</v>
      </c>
      <c r="U212" s="247">
        <f t="shared" si="84"/>
        <v>0.87914922815307817</v>
      </c>
      <c r="V212" s="378">
        <f t="shared" si="85"/>
        <v>58.321163396995459</v>
      </c>
      <c r="W212" s="397">
        <f t="shared" si="86"/>
        <v>55.435123434137203</v>
      </c>
      <c r="X212" s="153">
        <f t="shared" si="87"/>
        <v>47681</v>
      </c>
      <c r="Y212" s="380">
        <f t="shared" si="88"/>
        <v>53.877390749272706</v>
      </c>
      <c r="Z212" s="380">
        <f t="shared" si="89"/>
        <v>56.258395117328256</v>
      </c>
      <c r="AA212" s="381">
        <f t="shared" si="90"/>
        <v>59.547311944191726</v>
      </c>
      <c r="AB212" s="193">
        <f t="shared" si="91"/>
        <v>47681</v>
      </c>
      <c r="AC212" s="119">
        <f>IF(OR(t&lt;Tnet,NoTnet),'2029'!Resal_s+('2029'!Salim-'2029'!Resal_s)*(1-EXP(('2029'!Tnet_s-t)/'2029'!Tau_j)),Resal_s+(Salim-Resal_s)*(1-EXP((Tnet_s-t)/Tau_j)))*Salcycl</f>
        <v>5.52319948538713E-2</v>
      </c>
      <c r="AD212" s="227">
        <f>(INDEX(Models!$BJ212:$BT212,,AH212)*(1-AF212)+INDEX(Models!$BJ212:$BT212,,AH212+1)*AF212-ERP_i)*AE212*Ramure*Pc/MaxiM</f>
        <v>3.0701065753026223E-5</v>
      </c>
      <c r="AE212" s="301">
        <f t="shared" si="92"/>
        <v>0.5</v>
      </c>
      <c r="AF212" s="173">
        <f t="shared" si="93"/>
        <v>0.40413679452705509</v>
      </c>
      <c r="AG212" s="802">
        <f t="shared" si="99"/>
        <v>4</v>
      </c>
      <c r="AH212" s="172">
        <f t="shared" si="94"/>
        <v>10</v>
      </c>
      <c r="AI212" s="221">
        <f t="shared" si="95"/>
        <v>4.4041367945270551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47682</v>
      </c>
      <c r="B213" s="406">
        <f>'2029'!Wh/'2029'!Env_an*'2030'!Env_an</f>
        <v>57.127594715473336</v>
      </c>
      <c r="C213" s="832"/>
      <c r="D213" s="388">
        <f t="shared" si="77"/>
        <v>59.653051998188417</v>
      </c>
      <c r="E213" s="380">
        <f t="shared" si="75"/>
        <v>61.371057837430641</v>
      </c>
      <c r="F213" s="380">
        <f t="shared" si="78"/>
        <v>61.371271681481552</v>
      </c>
      <c r="G213" s="110">
        <f t="shared" si="76"/>
        <v>0.98203399973232486</v>
      </c>
      <c r="H213" s="409" t="b">
        <f>Wh_hp&gt;='2029'!Maxi_hp</f>
        <v>0</v>
      </c>
      <c r="I213" s="385">
        <f>IF(H213,Wh_hp,'2029'!Maxi_hp)</f>
        <v>61.371274856817003</v>
      </c>
      <c r="J213" s="85">
        <f>IF(H213,An,'2029'!An_max)</f>
        <v>2029</v>
      </c>
      <c r="K213" s="193">
        <f t="shared" si="79"/>
        <v>47682</v>
      </c>
      <c r="L213" s="143">
        <f>IF(t&lt;Tvie,1-EXP((T0-t)*PertePVj)+'2029'!Pspv,1-EXP((T0-t)*PertePVj)+Pspv)</f>
        <v>4.2335759833240005E-2</v>
      </c>
      <c r="M213" s="836"/>
      <c r="N213" s="836"/>
      <c r="O213" s="48">
        <f>IF(t&lt;Tnet,'2029'!Resal+('2029'!Salim-'2029'!Resal)*(1-EXP(('2029'!Tnet-t)/('2029'!Tau_j))),Resal+(Salim-Resal)*(1-EXP((Tnet-t)/(Tau_j))))*Salcycl</f>
        <v>2.7993746560359967E-2</v>
      </c>
      <c r="P213" s="165">
        <f>(INDEX(Models!$BJ213:$BT213,,T213)*(1-R213)+INDEX(Models!$BJ213:$BT213,,T213+1)*R213-ERP_i)*Q213*Ramure*Pc/MaxiM</f>
        <v>3.5762181911657751E-6</v>
      </c>
      <c r="Q213" s="301">
        <f t="shared" si="80"/>
        <v>0.5</v>
      </c>
      <c r="R213" s="173">
        <f t="shared" si="81"/>
        <v>0.88213934906936853</v>
      </c>
      <c r="S213" s="802">
        <f t="shared" si="82"/>
        <v>0</v>
      </c>
      <c r="T213" s="172">
        <f t="shared" si="83"/>
        <v>6</v>
      </c>
      <c r="U213" s="247">
        <f t="shared" si="84"/>
        <v>0.88213934906936853</v>
      </c>
      <c r="V213" s="378">
        <f t="shared" si="85"/>
        <v>58.172720585568499</v>
      </c>
      <c r="W213" s="397">
        <f t="shared" si="86"/>
        <v>57.127594715473336</v>
      </c>
      <c r="X213" s="153">
        <f t="shared" si="87"/>
        <v>47682</v>
      </c>
      <c r="Y213" s="380">
        <f t="shared" si="88"/>
        <v>55.52343963920994</v>
      </c>
      <c r="Z213" s="380">
        <f t="shared" si="89"/>
        <v>57.977981541361025</v>
      </c>
      <c r="AA213" s="381">
        <f t="shared" si="90"/>
        <v>61.369334942171747</v>
      </c>
      <c r="AB213" s="193">
        <f t="shared" si="91"/>
        <v>47682</v>
      </c>
      <c r="AC213" s="119">
        <f>IF(OR(t&lt;Tnet,NoTnet),'2029'!Resal_s+('2029'!Salim-'2029'!Resal_s)*(1-EXP(('2029'!Tnet_s-t)/'2029'!Tau_j)),Resal_s+(Salim-Resal_s)*(1-EXP((Tnet_s-t)/Tau_j)))*Salcycl</f>
        <v>5.5261367978101626E-2</v>
      </c>
      <c r="AD213" s="227">
        <f>(INDEX(Models!$BJ213:$BT213,,AH213)*(1-AF213)+INDEX(Models!$BJ213:$BT213,,AH213+1)*AF213-ERP_i)*AE213*Ramure*Pc/MaxiM</f>
        <v>3.2389034540479524E-5</v>
      </c>
      <c r="AE213" s="301">
        <f t="shared" si="92"/>
        <v>0.5</v>
      </c>
      <c r="AF213" s="173">
        <f t="shared" si="93"/>
        <v>0.40712691544334589</v>
      </c>
      <c r="AG213" s="802">
        <f t="shared" si="99"/>
        <v>4</v>
      </c>
      <c r="AH213" s="172">
        <f t="shared" si="94"/>
        <v>10</v>
      </c>
      <c r="AI213" s="221">
        <f t="shared" si="95"/>
        <v>4.4071269154433459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47683</v>
      </c>
      <c r="B214" s="406">
        <f>'2029'!Wh/'2029'!Env_an*'2030'!Env_an</f>
        <v>41.962137812947205</v>
      </c>
      <c r="C214" s="832"/>
      <c r="D214" s="388">
        <f t="shared" si="77"/>
        <v>43.817770871273353</v>
      </c>
      <c r="E214" s="380">
        <f t="shared" si="75"/>
        <v>45.08215573003163</v>
      </c>
      <c r="F214" s="380">
        <f t="shared" si="78"/>
        <v>45.082257960190709</v>
      </c>
      <c r="G214" s="110">
        <f t="shared" si="76"/>
        <v>0.72323920648039342</v>
      </c>
      <c r="H214" s="409" t="b">
        <f>Wh_hp&gt;='2029'!Maxi_hp</f>
        <v>0</v>
      </c>
      <c r="I214" s="385">
        <f>IF(H214,Wh_hp,'2029'!Maxi_hp)</f>
        <v>45.082295517723566</v>
      </c>
      <c r="J214" s="85">
        <f>IF(H214,An,'2029'!An_max)</f>
        <v>2029</v>
      </c>
      <c r="K214" s="193">
        <f t="shared" si="79"/>
        <v>47683</v>
      </c>
      <c r="L214" s="143">
        <f>IF(t&lt;Tvie,1-EXP((T0-t)*PertePVj)+'2029'!Pspv,1-EXP((T0-t)*PertePVj)+Pspv)</f>
        <v>4.2348869452478066E-2</v>
      </c>
      <c r="M214" s="836"/>
      <c r="N214" s="836"/>
      <c r="O214" s="48">
        <f>IF(t&lt;Tnet,'2029'!Resal+('2029'!Salim-'2029'!Resal)*(1-EXP(('2029'!Tnet-t)/('2029'!Tau_j))),Resal+(Salim-Resal)*(1-EXP((Tnet-t)/(Tau_j))))*Salcycl</f>
        <v>2.8046237769326566E-2</v>
      </c>
      <c r="P214" s="165">
        <f>(INDEX(Models!$BJ214:$BT214,,T214)*(1-R214)+INDEX(Models!$BJ214:$BT214,,T214+1)*R214-ERP_i)*Q214*Ramure*Pc/MaxiM</f>
        <v>3.7504590248190168E-6</v>
      </c>
      <c r="Q214" s="301">
        <f t="shared" si="80"/>
        <v>0.5</v>
      </c>
      <c r="R214" s="173">
        <f t="shared" si="81"/>
        <v>0.88505028033493227</v>
      </c>
      <c r="S214" s="802">
        <f t="shared" si="82"/>
        <v>0</v>
      </c>
      <c r="T214" s="172">
        <f t="shared" si="83"/>
        <v>6</v>
      </c>
      <c r="U214" s="247">
        <f t="shared" si="84"/>
        <v>0.88505028033493227</v>
      </c>
      <c r="V214" s="378">
        <f t="shared" si="85"/>
        <v>58.019636123704757</v>
      </c>
      <c r="W214" s="397">
        <f t="shared" si="86"/>
        <v>41.962137812947205</v>
      </c>
      <c r="X214" s="153">
        <f t="shared" si="87"/>
        <v>47683</v>
      </c>
      <c r="Y214" s="380">
        <f t="shared" si="88"/>
        <v>40.785183917806151</v>
      </c>
      <c r="Z214" s="380">
        <f t="shared" si="89"/>
        <v>42.588770186579183</v>
      </c>
      <c r="AA214" s="381">
        <f t="shared" si="90"/>
        <v>45.081331216068534</v>
      </c>
      <c r="AB214" s="193">
        <f t="shared" si="91"/>
        <v>47683</v>
      </c>
      <c r="AC214" s="119">
        <f>IF(OR(t&lt;Tnet,NoTnet),'2029'!Resal_s+('2029'!Salim-'2029'!Resal_s)*(1-EXP(('2029'!Tnet_s-t)/'2029'!Tau_j)),Resal_s+(Salim-Resal_s)*(1-EXP((Tnet_s-t)/Tau_j)))*Salcycl</f>
        <v>5.5290315575262199E-2</v>
      </c>
      <c r="AD214" s="227">
        <f>(INDEX(Models!$BJ214:$BT214,,AH214)*(1-AF214)+INDEX(Models!$BJ214:$BT214,,AH214+1)*AF214-ERP_i)*AE214*Ramure*Pc/MaxiM</f>
        <v>3.3998928378272236E-5</v>
      </c>
      <c r="AE214" s="301">
        <f t="shared" si="92"/>
        <v>0.5</v>
      </c>
      <c r="AF214" s="173">
        <f t="shared" si="93"/>
        <v>0.41003784670890919</v>
      </c>
      <c r="AG214" s="802">
        <f t="shared" si="99"/>
        <v>4</v>
      </c>
      <c r="AH214" s="172">
        <f t="shared" si="94"/>
        <v>10</v>
      </c>
      <c r="AI214" s="221">
        <f t="shared" si="95"/>
        <v>4.4100378467089092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47684</v>
      </c>
      <c r="B215" s="406">
        <f>'2029'!Wh/'2029'!Env_an*'2030'!Env_an</f>
        <v>39.40462215015522</v>
      </c>
      <c r="C215" s="832"/>
      <c r="D215" s="388">
        <f t="shared" si="77"/>
        <v>41.14772104033014</v>
      </c>
      <c r="E215" s="380">
        <f t="shared" si="75"/>
        <v>42.337336465518149</v>
      </c>
      <c r="F215" s="380">
        <f t="shared" si="78"/>
        <v>42.337426796755139</v>
      </c>
      <c r="G215" s="110">
        <f t="shared" si="76"/>
        <v>0.68101260604970659</v>
      </c>
      <c r="H215" s="409" t="b">
        <f>Wh_hp&gt;='2029'!Maxi_hp</f>
        <v>0</v>
      </c>
      <c r="I215" s="385">
        <f>IF(H215,Wh_hp,'2029'!Maxi_hp)</f>
        <v>42.337469147916153</v>
      </c>
      <c r="J215" s="85">
        <f>IF(H215,An,'2029'!An_max)</f>
        <v>2029</v>
      </c>
      <c r="K215" s="193">
        <f t="shared" si="79"/>
        <v>47684</v>
      </c>
      <c r="L215" s="143">
        <f>IF(t&lt;Tvie,1-EXP((T0-t)*PertePVj)+'2029'!Pspv,1-EXP((T0-t)*PertePVj)+Pspv)</f>
        <v>4.2361978892256458E-2</v>
      </c>
      <c r="M215" s="836"/>
      <c r="N215" s="836"/>
      <c r="O215" s="48">
        <f>IF(t&lt;Tnet,'2029'!Resal+('2029'!Salim-'2029'!Resal)*(1-EXP(('2029'!Tnet-t)/('2029'!Tau_j))),Resal+(Salim-Resal)*(1-EXP((Tnet-t)/(Tau_j))))*Salcycl</f>
        <v>2.8098494721246786E-2</v>
      </c>
      <c r="P215" s="165">
        <f>(INDEX(Models!$BJ215:$BT215,,T215)*(1-R215)+INDEX(Models!$BJ215:$BT215,,T215+1)*R215-ERP_i)*Q215*Ramure*Pc/MaxiM</f>
        <v>3.9198622663647837E-6</v>
      </c>
      <c r="Q215" s="301">
        <f t="shared" si="80"/>
        <v>0.5</v>
      </c>
      <c r="R215" s="173">
        <f t="shared" si="81"/>
        <v>0.8878827657703674</v>
      </c>
      <c r="S215" s="802">
        <f t="shared" si="82"/>
        <v>0</v>
      </c>
      <c r="T215" s="172">
        <f t="shared" si="83"/>
        <v>6</v>
      </c>
      <c r="U215" s="247">
        <f t="shared" si="84"/>
        <v>0.8878827657703674</v>
      </c>
      <c r="V215" s="378">
        <f t="shared" si="85"/>
        <v>57.861706836356703</v>
      </c>
      <c r="W215" s="397">
        <f t="shared" si="86"/>
        <v>39.40462215015522</v>
      </c>
      <c r="X215" s="153">
        <f t="shared" si="87"/>
        <v>47684</v>
      </c>
      <c r="Y215" s="380">
        <f t="shared" si="88"/>
        <v>38.300344829234554</v>
      </c>
      <c r="Z215" s="380">
        <f t="shared" si="89"/>
        <v>39.994595019244116</v>
      </c>
      <c r="AA215" s="381">
        <f t="shared" si="90"/>
        <v>42.336608018703998</v>
      </c>
      <c r="AB215" s="193">
        <f t="shared" si="91"/>
        <v>47684</v>
      </c>
      <c r="AC215" s="119">
        <f>IF(OR(t&lt;Tnet,NoTnet),'2029'!Resal_s+('2029'!Salim-'2029'!Resal_s)*(1-EXP(('2029'!Tnet_s-t)/'2029'!Tau_j)),Resal_s+(Salim-Resal_s)*(1-EXP((Tnet_s-t)/Tau_j)))*Salcycl</f>
        <v>5.5318862541496011E-2</v>
      </c>
      <c r="AD215" s="227">
        <f>(INDEX(Models!$BJ215:$BT215,,AH215)*(1-AF215)+INDEX(Models!$BJ215:$BT215,,AH215+1)*AF215-ERP_i)*AE215*Ramure*Pc/MaxiM</f>
        <v>3.5530313701511355E-5</v>
      </c>
      <c r="AE215" s="301">
        <f t="shared" si="92"/>
        <v>0.5</v>
      </c>
      <c r="AF215" s="173">
        <f t="shared" si="93"/>
        <v>0.41287033214434476</v>
      </c>
      <c r="AG215" s="802">
        <f t="shared" si="99"/>
        <v>4</v>
      </c>
      <c r="AH215" s="172">
        <f t="shared" si="94"/>
        <v>10</v>
      </c>
      <c r="AI215" s="221">
        <f t="shared" si="95"/>
        <v>4.4128703321443448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47685</v>
      </c>
      <c r="B216" s="406">
        <f>'2029'!Wh/'2029'!Env_an*'2030'!Env_an</f>
        <v>54.373792440954269</v>
      </c>
      <c r="C216" s="832"/>
      <c r="D216" s="388">
        <f t="shared" si="77"/>
        <v>56.779843306350415</v>
      </c>
      <c r="E216" s="380">
        <f t="shared" si="75"/>
        <v>58.42452457323698</v>
      </c>
      <c r="F216" s="380">
        <f t="shared" si="78"/>
        <v>58.424743555521438</v>
      </c>
      <c r="G216" s="110">
        <f t="shared" si="76"/>
        <v>0.9423738530842668</v>
      </c>
      <c r="H216" s="409" t="b">
        <f>Wh_hp&gt;='2029'!Maxi_hp</f>
        <v>0</v>
      </c>
      <c r="I216" s="385">
        <f>IF(H216,Wh_hp,'2029'!Maxi_hp)</f>
        <v>58.424754522049035</v>
      </c>
      <c r="J216" s="85">
        <f>IF(H216,An,'2029'!An_max)</f>
        <v>2029</v>
      </c>
      <c r="K216" s="193">
        <f t="shared" si="79"/>
        <v>47685</v>
      </c>
      <c r="L216" s="143">
        <f>IF(t&lt;Tvie,1-EXP((T0-t)*PertePVj)+'2029'!Pspv,1-EXP((T0-t)*PertePVj)+Pspv)</f>
        <v>4.2375088152577733E-2</v>
      </c>
      <c r="M216" s="836"/>
      <c r="N216" s="836"/>
      <c r="O216" s="48">
        <f>IF(t&lt;Tnet,'2029'!Resal+('2029'!Salim-'2029'!Resal)*(1-EXP(('2029'!Tnet-t)/('2029'!Tau_j))),Resal+(Salim-Resal)*(1-EXP((Tnet-t)/(Tau_j))))*Salcycl</f>
        <v>2.8150528890053737E-2</v>
      </c>
      <c r="P216" s="165">
        <f>(INDEX(Models!$BJ216:$BT216,,T216)*(1-R216)+INDEX(Models!$BJ216:$BT216,,T216+1)*R216-ERP_i)*Q216*Ramure*Pc/MaxiM</f>
        <v>4.0843423520356545E-6</v>
      </c>
      <c r="Q216" s="301">
        <f t="shared" si="80"/>
        <v>0.5</v>
      </c>
      <c r="R216" s="173">
        <f t="shared" si="81"/>
        <v>0.89063763852842737</v>
      </c>
      <c r="S216" s="802">
        <f t="shared" si="82"/>
        <v>0</v>
      </c>
      <c r="T216" s="172">
        <f t="shared" si="83"/>
        <v>6</v>
      </c>
      <c r="U216" s="247">
        <f t="shared" si="84"/>
        <v>0.89063763852842737</v>
      </c>
      <c r="V216" s="378">
        <f t="shared" si="85"/>
        <v>57.698729629036144</v>
      </c>
      <c r="W216" s="397">
        <f t="shared" si="86"/>
        <v>54.373792440954269</v>
      </c>
      <c r="X216" s="153">
        <f t="shared" si="87"/>
        <v>47685</v>
      </c>
      <c r="Y216" s="380">
        <f t="shared" si="88"/>
        <v>52.850585593730976</v>
      </c>
      <c r="Z216" s="380">
        <f t="shared" si="89"/>
        <v>55.18923426059704</v>
      </c>
      <c r="AA216" s="381">
        <f t="shared" si="90"/>
        <v>58.422760720841367</v>
      </c>
      <c r="AB216" s="193">
        <f t="shared" si="91"/>
        <v>47685</v>
      </c>
      <c r="AC216" s="119">
        <f>IF(OR(t&lt;Tnet,NoTnet),'2029'!Resal_s+('2029'!Salim-'2029'!Resal_s)*(1-EXP(('2029'!Tnet_s-t)/'2029'!Tau_j)),Resal_s+(Salim-Resal_s)*(1-EXP((Tnet_s-t)/Tau_j)))*Salcycl</f>
        <v>5.5347032908885131E-2</v>
      </c>
      <c r="AD216" s="227">
        <f>(INDEX(Models!$BJ216:$BT216,,AH216)*(1-AF216)+INDEX(Models!$BJ216:$BT216,,AH216+1)*AF216-ERP_i)*AE216*Ramure*Pc/MaxiM</f>
        <v>3.6982789183577624E-5</v>
      </c>
      <c r="AE216" s="301">
        <f t="shared" si="92"/>
        <v>0.5</v>
      </c>
      <c r="AF216" s="173">
        <f t="shared" si="93"/>
        <v>0.41562520490240473</v>
      </c>
      <c r="AG216" s="802">
        <f t="shared" si="99"/>
        <v>4</v>
      </c>
      <c r="AH216" s="172">
        <f t="shared" si="94"/>
        <v>10</v>
      </c>
      <c r="AI216" s="221">
        <f t="shared" si="95"/>
        <v>4.4156252049024047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47686</v>
      </c>
      <c r="B217" s="406">
        <f>'2029'!Wh/'2029'!Env_an*'2030'!Env_an</f>
        <v>46.700423789992314</v>
      </c>
      <c r="C217" s="832"/>
      <c r="D217" s="388">
        <f t="shared" si="77"/>
        <v>48.767594191168108</v>
      </c>
      <c r="E217" s="380">
        <f t="shared" si="75"/>
        <v>50.182869096039852</v>
      </c>
      <c r="F217" s="380">
        <f t="shared" si="78"/>
        <v>50.183024790880523</v>
      </c>
      <c r="G217" s="110">
        <f t="shared" si="76"/>
        <v>0.81174975505767932</v>
      </c>
      <c r="H217" s="409" t="b">
        <f>Wh_hp&gt;='2029'!Maxi_hp</f>
        <v>0</v>
      </c>
      <c r="I217" s="385">
        <f>IF(H217,Wh_hp,'2029'!Maxi_hp)</f>
        <v>50.18305666617475</v>
      </c>
      <c r="J217" s="85">
        <f>IF(H217,An,'2029'!An_max)</f>
        <v>2029</v>
      </c>
      <c r="K217" s="193">
        <f t="shared" si="79"/>
        <v>47686</v>
      </c>
      <c r="L217" s="143">
        <f>IF(t&lt;Tvie,1-EXP((T0-t)*PertePVj)+'2029'!Pspv,1-EXP((T0-t)*PertePVj)+Pspv)</f>
        <v>4.2388197233444114E-2</v>
      </c>
      <c r="M217" s="836"/>
      <c r="N217" s="836"/>
      <c r="O217" s="48">
        <f>IF(t&lt;Tnet,'2029'!Resal+('2029'!Salim-'2029'!Resal)*(1-EXP(('2029'!Tnet-t)/('2029'!Tau_j))),Resal+(Salim-Resal)*(1-EXP((Tnet-t)/(Tau_j))))*Salcycl</f>
        <v>2.8202351327565399E-2</v>
      </c>
      <c r="P217" s="165">
        <f>(INDEX(Models!$BJ217:$BT217,,T217)*(1-R217)+INDEX(Models!$BJ217:$BT217,,T217+1)*R217-ERP_i)*Q217*Ramure*Pc/MaxiM</f>
        <v>4.243820406431773E-6</v>
      </c>
      <c r="Q217" s="301">
        <f t="shared" si="80"/>
        <v>0.5</v>
      </c>
      <c r="R217" s="173">
        <f t="shared" si="81"/>
        <v>0.89331581418570649</v>
      </c>
      <c r="S217" s="802">
        <f t="shared" si="82"/>
        <v>0</v>
      </c>
      <c r="T217" s="172">
        <f t="shared" si="83"/>
        <v>6</v>
      </c>
      <c r="U217" s="247">
        <f t="shared" si="84"/>
        <v>0.89331581418570649</v>
      </c>
      <c r="V217" s="378">
        <f t="shared" si="85"/>
        <v>57.530501488391579</v>
      </c>
      <c r="W217" s="397">
        <f t="shared" si="86"/>
        <v>46.700423789992314</v>
      </c>
      <c r="X217" s="153">
        <f t="shared" si="87"/>
        <v>47686</v>
      </c>
      <c r="Y217" s="380">
        <f t="shared" si="88"/>
        <v>45.39349807177593</v>
      </c>
      <c r="Z217" s="380">
        <f t="shared" si="89"/>
        <v>47.40281807370522</v>
      </c>
      <c r="AA217" s="381">
        <f t="shared" si="90"/>
        <v>50.181617608844803</v>
      </c>
      <c r="AB217" s="193">
        <f t="shared" si="91"/>
        <v>47686</v>
      </c>
      <c r="AC217" s="119">
        <f>IF(OR(t&lt;Tnet,NoTnet),'2029'!Resal_s+('2029'!Salim-'2029'!Resal_s)*(1-EXP(('2029'!Tnet_s-t)/'2029'!Tau_j)),Resal_s+(Salim-Resal_s)*(1-EXP((Tnet_s-t)/Tau_j)))*Salcycl</f>
        <v>5.5374849746768734E-2</v>
      </c>
      <c r="AD217" s="227">
        <f>(INDEX(Models!$BJ217:$BT217,,AH217)*(1-AF217)+INDEX(Models!$BJ217:$BT217,,AH217+1)*AF217-ERP_i)*AE217*Ramure*Pc/MaxiM</f>
        <v>3.8355977713162108E-5</v>
      </c>
      <c r="AE217" s="301">
        <f t="shared" si="92"/>
        <v>0.5</v>
      </c>
      <c r="AF217" s="173">
        <f t="shared" si="93"/>
        <v>0.41830338055968408</v>
      </c>
      <c r="AG217" s="802">
        <f t="shared" si="99"/>
        <v>4</v>
      </c>
      <c r="AH217" s="172">
        <f t="shared" si="94"/>
        <v>10</v>
      </c>
      <c r="AI217" s="221">
        <f t="shared" si="95"/>
        <v>4.4183033805596841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47687</v>
      </c>
      <c r="B218" s="406">
        <f>'2029'!Wh/'2029'!Env_an*'2030'!Env_an</f>
        <v>44.189414781837165</v>
      </c>
      <c r="C218" s="832"/>
      <c r="D218" s="388">
        <f t="shared" si="77"/>
        <v>46.146068352992494</v>
      </c>
      <c r="E218" s="380">
        <f t="shared" si="75"/>
        <v>47.487786986042856</v>
      </c>
      <c r="F218" s="380">
        <f t="shared" si="78"/>
        <v>47.48792735061312</v>
      </c>
      <c r="G218" s="110">
        <f t="shared" si="76"/>
        <v>0.77042889484888555</v>
      </c>
      <c r="H218" s="409" t="b">
        <f>Wh_hp&gt;='2029'!Maxi_hp</f>
        <v>0</v>
      </c>
      <c r="I218" s="385">
        <f>IF(H218,Wh_hp,'2029'!Maxi_hp)</f>
        <v>47.487965360403408</v>
      </c>
      <c r="J218" s="85">
        <f>IF(H218,An,'2029'!An_max)</f>
        <v>2029</v>
      </c>
      <c r="K218" s="193">
        <f t="shared" si="79"/>
        <v>47687</v>
      </c>
      <c r="L218" s="143">
        <f>IF(t&lt;Tvie,1-EXP((T0-t)*PertePVj)+'2029'!Pspv,1-EXP((T0-t)*PertePVj)+Pspv)</f>
        <v>4.2401306134858263E-2</v>
      </c>
      <c r="M218" s="836"/>
      <c r="N218" s="836"/>
      <c r="O218" s="48">
        <f>IF(t&lt;Tnet,'2029'!Resal+('2029'!Salim-'2029'!Resal)*(1-EXP(('2029'!Tnet-t)/('2029'!Tau_j))),Resal+(Salim-Resal)*(1-EXP((Tnet-t)/(Tau_j))))*Salcycl</f>
        <v>2.8253972614994825E-2</v>
      </c>
      <c r="P218" s="165">
        <f>(INDEX(Models!$BJ218:$BT218,,T218)*(1-R218)+INDEX(Models!$BJ218:$BT218,,T218+1)*R218-ERP_i)*Q218*Ramure*Pc/MaxiM</f>
        <v>4.3982236584946255E-6</v>
      </c>
      <c r="Q218" s="301">
        <f t="shared" si="80"/>
        <v>0.5</v>
      </c>
      <c r="R218" s="173">
        <f t="shared" si="81"/>
        <v>0.8959182839468387</v>
      </c>
      <c r="S218" s="802">
        <f t="shared" si="82"/>
        <v>0</v>
      </c>
      <c r="T218" s="172">
        <f t="shared" si="83"/>
        <v>6</v>
      </c>
      <c r="U218" s="247">
        <f t="shared" si="84"/>
        <v>0.8959182839468387</v>
      </c>
      <c r="V218" s="378">
        <f t="shared" si="85"/>
        <v>57.356819476806507</v>
      </c>
      <c r="W218" s="397">
        <f t="shared" si="86"/>
        <v>44.189414781837165</v>
      </c>
      <c r="X218" s="153">
        <f t="shared" si="87"/>
        <v>47687</v>
      </c>
      <c r="Y218" s="380">
        <f t="shared" si="88"/>
        <v>42.953845935878782</v>
      </c>
      <c r="Z218" s="380">
        <f t="shared" si="89"/>
        <v>44.855790020457107</v>
      </c>
      <c r="AA218" s="381">
        <f t="shared" si="90"/>
        <v>47.486661978945683</v>
      </c>
      <c r="AB218" s="193">
        <f t="shared" si="91"/>
        <v>47687</v>
      </c>
      <c r="AC218" s="119">
        <f>IF(OR(t&lt;Tnet,NoTnet),'2029'!Resal_s+('2029'!Salim-'2029'!Resal_s)*(1-EXP(('2029'!Tnet_s-t)/'2029'!Tau_j)),Resal_s+(Salim-Resal_s)*(1-EXP((Tnet_s-t)/Tau_j)))*Salcycl</f>
        <v>5.5402335073689385E-2</v>
      </c>
      <c r="AD218" s="227">
        <f>(INDEX(Models!$BJ218:$BT218,,AH218)*(1-AF218)+INDEX(Models!$BJ218:$BT218,,AH218+1)*AF218-ERP_i)*AE218*Ramure*Pc/MaxiM</f>
        <v>3.9649518350714605E-5</v>
      </c>
      <c r="AE218" s="301">
        <f t="shared" si="92"/>
        <v>0.5</v>
      </c>
      <c r="AF218" s="173">
        <f t="shared" si="93"/>
        <v>0.42090585032081584</v>
      </c>
      <c r="AG218" s="802">
        <f t="shared" si="99"/>
        <v>4</v>
      </c>
      <c r="AH218" s="172">
        <f t="shared" si="94"/>
        <v>10</v>
      </c>
      <c r="AI218" s="221">
        <f t="shared" si="95"/>
        <v>4.4209058503208158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47688</v>
      </c>
      <c r="B219" s="406">
        <f>'2029'!Wh/'2029'!Env_an*'2030'!Env_an</f>
        <v>53.800918503374575</v>
      </c>
      <c r="C219" s="832"/>
      <c r="D219" s="388">
        <f t="shared" si="77"/>
        <v>56.183926886629465</v>
      </c>
      <c r="E219" s="380">
        <f t="shared" si="75"/>
        <v>57.820561161569543</v>
      </c>
      <c r="F219" s="380">
        <f t="shared" si="78"/>
        <v>57.820801924300504</v>
      </c>
      <c r="G219" s="110">
        <f t="shared" si="76"/>
        <v>0.94095533741475079</v>
      </c>
      <c r="H219" s="409" t="b">
        <f>Wh_hp&gt;='2029'!Maxi_hp</f>
        <v>0</v>
      </c>
      <c r="I219" s="385">
        <f>IF(H219,Wh_hp,'2029'!Maxi_hp)</f>
        <v>57.820814196098695</v>
      </c>
      <c r="J219" s="85">
        <f>IF(H219,An,'2029'!An_max)</f>
        <v>2029</v>
      </c>
      <c r="K219" s="193">
        <f t="shared" si="79"/>
        <v>47688</v>
      </c>
      <c r="L219" s="143">
        <f>IF(t&lt;Tvie,1-EXP((T0-t)*PertePVj)+'2029'!Pspv,1-EXP((T0-t)*PertePVj)+Pspv)</f>
        <v>4.2414414856822513E-2</v>
      </c>
      <c r="M219" s="836"/>
      <c r="N219" s="836"/>
      <c r="O219" s="48">
        <f>IF(t&lt;Tnet,'2029'!Resal+('2029'!Salim-'2029'!Resal)*(1-EXP(('2029'!Tnet-t)/('2029'!Tau_j))),Resal+(Salim-Resal)*(1-EXP((Tnet-t)/(Tau_j))))*Salcycl</f>
        <v>2.8305402819713051E-2</v>
      </c>
      <c r="P219" s="165">
        <f>(INDEX(Models!$BJ219:$BT219,,T219)*(1-R219)+INDEX(Models!$BJ219:$BT219,,T219+1)*R219-ERP_i)*Q219*Ramure*Pc/MaxiM</f>
        <v>4.5475258587503836E-6</v>
      </c>
      <c r="Q219" s="301">
        <f t="shared" si="80"/>
        <v>0.5</v>
      </c>
      <c r="R219" s="173">
        <f t="shared" si="81"/>
        <v>0.89844610798971591</v>
      </c>
      <c r="S219" s="802">
        <f t="shared" si="82"/>
        <v>0</v>
      </c>
      <c r="T219" s="172">
        <f t="shared" si="83"/>
        <v>6</v>
      </c>
      <c r="U219" s="247">
        <f t="shared" si="84"/>
        <v>0.89844610798971591</v>
      </c>
      <c r="V219" s="378">
        <f t="shared" si="85"/>
        <v>57.176887921363125</v>
      </c>
      <c r="W219" s="397">
        <f t="shared" si="86"/>
        <v>53.800918503374575</v>
      </c>
      <c r="X219" s="153">
        <f t="shared" si="87"/>
        <v>47688</v>
      </c>
      <c r="Y219" s="380">
        <f t="shared" si="88"/>
        <v>52.297368169904161</v>
      </c>
      <c r="Z219" s="380">
        <f t="shared" si="89"/>
        <v>54.61377967806888</v>
      </c>
      <c r="AA219" s="381">
        <f t="shared" si="90"/>
        <v>57.818638464309238</v>
      </c>
      <c r="AB219" s="193">
        <f t="shared" si="91"/>
        <v>47688</v>
      </c>
      <c r="AC219" s="119">
        <f>IF(OR(t&lt;Tnet,NoTnet),'2029'!Resal_s+('2029'!Salim-'2029'!Resal_s)*(1-EXP(('2029'!Tnet_s-t)/'2029'!Tau_j)),Resal_s+(Salim-Resal_s)*(1-EXP((Tnet_s-t)/Tau_j)))*Salcycl</f>
        <v>5.5429509780287795E-2</v>
      </c>
      <c r="AD219" s="227">
        <f>(INDEX(Models!$BJ219:$BT219,,AH219)*(1-AF219)+INDEX(Models!$BJ219:$BT219,,AH219+1)*AF219-ERP_i)*AE219*Ramure*Pc/MaxiM</f>
        <v>4.0863426889957931E-5</v>
      </c>
      <c r="AE219" s="301">
        <f t="shared" si="92"/>
        <v>0.5</v>
      </c>
      <c r="AF219" s="173">
        <f t="shared" si="93"/>
        <v>0.42343367436369306</v>
      </c>
      <c r="AG219" s="802">
        <f t="shared" si="99"/>
        <v>4</v>
      </c>
      <c r="AH219" s="172">
        <f t="shared" si="94"/>
        <v>10</v>
      </c>
      <c r="AI219" s="221">
        <f t="shared" si="95"/>
        <v>4.4234336743636931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47689</v>
      </c>
      <c r="B220" s="406">
        <f>'2029'!Wh/'2029'!Env_an*'2030'!Env_an</f>
        <v>28.382468760310488</v>
      </c>
      <c r="C220" s="832"/>
      <c r="D220" s="388">
        <f t="shared" si="77"/>
        <v>29.640021464554806</v>
      </c>
      <c r="E220" s="380">
        <f t="shared" si="75"/>
        <v>30.505042317238772</v>
      </c>
      <c r="F220" s="380">
        <f t="shared" si="78"/>
        <v>30.505083053593033</v>
      </c>
      <c r="G220" s="110">
        <f t="shared" si="76"/>
        <v>0.49802037993982812</v>
      </c>
      <c r="H220" s="409" t="b">
        <f>Wh_hp&gt;='2029'!Maxi_hp</f>
        <v>0</v>
      </c>
      <c r="I220" s="385">
        <f>IF(H220,Wh_hp,'2029'!Maxi_hp)</f>
        <v>30.50514003279957</v>
      </c>
      <c r="J220" s="85">
        <f>IF(H220,An,'2029'!An_max)</f>
        <v>2029</v>
      </c>
      <c r="K220" s="193">
        <f t="shared" si="79"/>
        <v>47689</v>
      </c>
      <c r="L220" s="143">
        <f>IF(t&lt;Tvie,1-EXP((T0-t)*PertePVj)+'2029'!Pspv,1-EXP((T0-t)*PertePVj)+Pspv)</f>
        <v>4.2427523399339306E-2</v>
      </c>
      <c r="M220" s="836"/>
      <c r="N220" s="836"/>
      <c r="O220" s="48">
        <f>IF(t&lt;Tnet,'2029'!Resal+('2029'!Salim-'2029'!Resal)*(1-EXP(('2029'!Tnet-t)/('2029'!Tau_j))),Resal+(Salim-Resal)*(1-EXP((Tnet-t)/(Tau_j))))*Salcycl</f>
        <v>2.8356651457425861E-2</v>
      </c>
      <c r="P220" s="165">
        <f>(INDEX(Models!$BJ220:$BT220,,T220)*(1-R220)+INDEX(Models!$BJ220:$BT220,,T220+1)*R220-ERP_i)*Q220*Ramure*Pc/MaxiM</f>
        <v>4.7205695450108896E-6</v>
      </c>
      <c r="Q220" s="301">
        <f t="shared" si="80"/>
        <v>0.5</v>
      </c>
      <c r="R220" s="173">
        <f t="shared" si="81"/>
        <v>0.90090040897685086</v>
      </c>
      <c r="S220" s="802">
        <f t="shared" si="82"/>
        <v>0</v>
      </c>
      <c r="T220" s="172">
        <f t="shared" si="83"/>
        <v>6</v>
      </c>
      <c r="U220" s="247">
        <f t="shared" si="84"/>
        <v>0.90090040897685086</v>
      </c>
      <c r="V220" s="378">
        <f t="shared" si="85"/>
        <v>56.990383975889081</v>
      </c>
      <c r="W220" s="397">
        <f t="shared" si="86"/>
        <v>28.382468760310488</v>
      </c>
      <c r="X220" s="153">
        <f t="shared" si="87"/>
        <v>47689</v>
      </c>
      <c r="Y220" s="380">
        <f t="shared" si="88"/>
        <v>27.590571111780747</v>
      </c>
      <c r="Z220" s="380">
        <f t="shared" si="89"/>
        <v>28.813036909463015</v>
      </c>
      <c r="AA220" s="381">
        <f t="shared" si="90"/>
        <v>30.504718589078365</v>
      </c>
      <c r="AB220" s="193">
        <f t="shared" si="91"/>
        <v>47689</v>
      </c>
      <c r="AC220" s="119">
        <f>IF(OR(t&lt;Tnet,NoTnet),'2029'!Resal_s+('2029'!Salim-'2029'!Resal_s)*(1-EXP(('2029'!Tnet_s-t)/'2029'!Tau_j)),Resal_s+(Salim-Resal_s)*(1-EXP((Tnet_s-t)/Tau_j)))*Salcycl</f>
        <v>5.5456393563356E-2</v>
      </c>
      <c r="AD220" s="227">
        <f>(INDEX(Models!$BJ220:$BT220,,AH220)*(1-AF220)+INDEX(Models!$BJ220:$BT220,,AH220+1)*AF220-ERP_i)*AE220*Ramure*Pc/MaxiM</f>
        <v>4.2234513109983453E-5</v>
      </c>
      <c r="AE220" s="301">
        <f t="shared" si="92"/>
        <v>0.5</v>
      </c>
      <c r="AF220" s="173">
        <f t="shared" si="93"/>
        <v>0.42588797535082801</v>
      </c>
      <c r="AG220" s="802">
        <f t="shared" si="99"/>
        <v>4</v>
      </c>
      <c r="AH220" s="172">
        <f t="shared" si="94"/>
        <v>10</v>
      </c>
      <c r="AI220" s="221">
        <f t="shared" si="95"/>
        <v>4.425887975350828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47690</v>
      </c>
      <c r="B221" s="406">
        <f>'2029'!Wh/'2029'!Env_an*'2030'!Env_an</f>
        <v>50.301017914487218</v>
      </c>
      <c r="C221" s="832"/>
      <c r="D221" s="388">
        <f t="shared" si="77"/>
        <v>52.530443106694747</v>
      </c>
      <c r="E221" s="380">
        <f t="shared" si="75"/>
        <v>54.066345103135944</v>
      </c>
      <c r="F221" s="380">
        <f t="shared" si="78"/>
        <v>54.066567754388771</v>
      </c>
      <c r="G221" s="110">
        <f t="shared" si="76"/>
        <v>0.88561463957554776</v>
      </c>
      <c r="H221" s="409" t="b">
        <f>Wh_hp&gt;='2029'!Maxi_hp</f>
        <v>0</v>
      </c>
      <c r="I221" s="385">
        <f>IF(H221,Wh_hp,'2029'!Maxi_hp)</f>
        <v>54.066591686678493</v>
      </c>
      <c r="J221" s="85">
        <f>IF(H221,An,'2029'!An_max)</f>
        <v>2029</v>
      </c>
      <c r="K221" s="193">
        <f t="shared" si="79"/>
        <v>47690</v>
      </c>
      <c r="L221" s="143">
        <f>IF(t&lt;Tvie,1-EXP((T0-t)*PertePVj)+'2029'!Pspv,1-EXP((T0-t)*PertePVj)+Pspv)</f>
        <v>4.2440631762411307E-2</v>
      </c>
      <c r="M221" s="836"/>
      <c r="N221" s="836"/>
      <c r="O221" s="48">
        <f>IF(t&lt;Tnet,'2029'!Resal+('2029'!Salim-'2029'!Resal)*(1-EXP(('2029'!Tnet-t)/('2029'!Tau_j))),Resal+(Salim-Resal)*(1-EXP((Tnet-t)/(Tau_j))))*Salcycl</f>
        <v>2.8407727459870621E-2</v>
      </c>
      <c r="P221" s="165">
        <f>(INDEX(Models!$BJ221:$BT221,,T221)*(1-R221)+INDEX(Models!$BJ221:$BT221,,T221+1)*R221-ERP_i)*Q221*Ramure*Pc/MaxiM</f>
        <v>4.9224569802860796E-6</v>
      </c>
      <c r="Q221" s="301">
        <f t="shared" si="80"/>
        <v>0.5</v>
      </c>
      <c r="R221" s="173">
        <f t="shared" si="81"/>
        <v>0.90328236575470977</v>
      </c>
      <c r="S221" s="802">
        <f t="shared" si="82"/>
        <v>0</v>
      </c>
      <c r="T221" s="172">
        <f t="shared" si="83"/>
        <v>6</v>
      </c>
      <c r="U221" s="247">
        <f t="shared" si="84"/>
        <v>0.90328236575470977</v>
      </c>
      <c r="V221" s="378">
        <f t="shared" si="85"/>
        <v>56.797816122589538</v>
      </c>
      <c r="W221" s="397">
        <f t="shared" si="86"/>
        <v>50.301017914487218</v>
      </c>
      <c r="X221" s="153">
        <f t="shared" si="87"/>
        <v>47690</v>
      </c>
      <c r="Y221" s="380">
        <f t="shared" si="88"/>
        <v>48.897693475798832</v>
      </c>
      <c r="Z221" s="380">
        <f t="shared" si="89"/>
        <v>51.064920983224489</v>
      </c>
      <c r="AA221" s="381">
        <f t="shared" si="90"/>
        <v>54.064586711071541</v>
      </c>
      <c r="AB221" s="193">
        <f t="shared" si="91"/>
        <v>47690</v>
      </c>
      <c r="AC221" s="119">
        <f>IF(OR(t&lt;Tnet,NoTnet),'2029'!Resal_s+('2029'!Salim-'2029'!Resal_s)*(1-EXP(('2029'!Tnet_s-t)/'2029'!Tau_j)),Resal_s+(Salim-Resal_s)*(1-EXP((Tnet_s-t)/Tau_j)))*Salcycl</f>
        <v>5.5483004871149155E-2</v>
      </c>
      <c r="AD221" s="227">
        <f>(INDEX(Models!$BJ221:$BT221,,AH221)*(1-AF221)+INDEX(Models!$BJ221:$BT221,,AH221+1)*AF221-ERP_i)*AE221*Ramure*Pc/MaxiM</f>
        <v>4.3797644887726784E-5</v>
      </c>
      <c r="AE221" s="301">
        <f t="shared" si="92"/>
        <v>0.5</v>
      </c>
      <c r="AF221" s="173">
        <f t="shared" si="93"/>
        <v>0.42826993212868736</v>
      </c>
      <c r="AG221" s="802">
        <f t="shared" si="99"/>
        <v>4</v>
      </c>
      <c r="AH221" s="172">
        <f t="shared" si="94"/>
        <v>10</v>
      </c>
      <c r="AI221" s="221">
        <f t="shared" si="95"/>
        <v>4.4282699321286874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47691</v>
      </c>
      <c r="B222" s="406">
        <f>'2029'!Wh/'2029'!Env_an*'2030'!Env_an</f>
        <v>56.932230032434738</v>
      </c>
      <c r="C222" s="832"/>
      <c r="D222" s="388">
        <f t="shared" si="77"/>
        <v>59.456375537644014</v>
      </c>
      <c r="E222" s="380">
        <f t="shared" si="75"/>
        <v>61.19798696527792</v>
      </c>
      <c r="F222" s="380">
        <f t="shared" si="78"/>
        <v>61.198302360762874</v>
      </c>
      <c r="G222" s="110">
        <f t="shared" si="76"/>
        <v>1.0058752442346583</v>
      </c>
      <c r="H222" s="409" t="b">
        <f>Wh_hp&gt;='2029'!Maxi_hp</f>
        <v>1</v>
      </c>
      <c r="I222" s="385">
        <f>IF(H222,Wh_hp,'2029'!Maxi_hp)</f>
        <v>61.198302360762874</v>
      </c>
      <c r="J222" s="85">
        <f>IF(H222,An,'2029'!An_max)</f>
        <v>2030</v>
      </c>
      <c r="K222" s="193">
        <f t="shared" si="79"/>
        <v>47691</v>
      </c>
      <c r="L222" s="143">
        <f>IF(t&lt;Tvie,1-EXP((T0-t)*PertePVj)+'2029'!Pspv,1-EXP((T0-t)*PertePVj)+Pspv)</f>
        <v>4.2453739946040736E-2</v>
      </c>
      <c r="M222" s="836"/>
      <c r="N222" s="836"/>
      <c r="O222" s="48">
        <f>IF(t&lt;Tnet,'2029'!Resal+('2029'!Salim-'2029'!Resal)*(1-EXP(('2029'!Tnet-t)/('2029'!Tau_j))),Resal+(Salim-Resal)*(1-EXP((Tnet-t)/(Tau_j))))*Salcycl</f>
        <v>2.8458639148082596E-2</v>
      </c>
      <c r="P222" s="165">
        <f>(INDEX(Models!$BJ222:$BT222,,T222)*(1-R222)+INDEX(Models!$BJ222:$BT222,,T222+1)*R222-ERP_i)*Q222*Ramure*Pc/MaxiM</f>
        <v>5.1536639544493067E-6</v>
      </c>
      <c r="Q222" s="301">
        <f t="shared" si="80"/>
        <v>0.5</v>
      </c>
      <c r="R222" s="173">
        <f t="shared" si="81"/>
        <v>0.90559320725967574</v>
      </c>
      <c r="S222" s="802">
        <f t="shared" si="82"/>
        <v>0</v>
      </c>
      <c r="T222" s="172">
        <f t="shared" si="83"/>
        <v>6</v>
      </c>
      <c r="U222" s="247">
        <f t="shared" si="84"/>
        <v>0.90559320725967574</v>
      </c>
      <c r="V222" s="378">
        <f t="shared" si="85"/>
        <v>56.599693012380328</v>
      </c>
      <c r="W222" s="397">
        <f t="shared" si="86"/>
        <v>56.932230032434738</v>
      </c>
      <c r="X222" s="153">
        <f t="shared" si="87"/>
        <v>47691</v>
      </c>
      <c r="Y222" s="380">
        <f t="shared" si="88"/>
        <v>55.344824230284175</v>
      </c>
      <c r="Z222" s="380">
        <f t="shared" si="89"/>
        <v>57.798590563306469</v>
      </c>
      <c r="AA222" s="381">
        <f t="shared" si="90"/>
        <v>61.195514458387123</v>
      </c>
      <c r="AB222" s="193">
        <f t="shared" si="91"/>
        <v>47691</v>
      </c>
      <c r="AC222" s="119">
        <f>IF(OR(t&lt;Tnet,NoTnet),'2029'!Resal_s+('2029'!Salim-'2029'!Resal_s)*(1-EXP(('2029'!Tnet_s-t)/'2029'!Tau_j)),Resal_s+(Salim-Resal_s)*(1-EXP((Tnet_s-t)/Tau_j)))*Salcycl</f>
        <v>5.5509360859945935E-2</v>
      </c>
      <c r="AD222" s="227">
        <f>(INDEX(Models!$BJ222:$BT222,,AH222)*(1-AF222)+INDEX(Models!$BJ222:$BT222,,AH222+1)*AF222-ERP_i)*AE222*Ramure*Pc/MaxiM</f>
        <v>4.5555224053669552E-5</v>
      </c>
      <c r="AE222" s="301">
        <f t="shared" si="92"/>
        <v>0.5</v>
      </c>
      <c r="AF222" s="173">
        <f t="shared" si="93"/>
        <v>0.4305807736336531</v>
      </c>
      <c r="AG222" s="802">
        <f t="shared" si="99"/>
        <v>4</v>
      </c>
      <c r="AH222" s="172">
        <f t="shared" si="94"/>
        <v>10</v>
      </c>
      <c r="AI222" s="221">
        <f t="shared" si="95"/>
        <v>4.4305807736336531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47692</v>
      </c>
      <c r="B223" s="406">
        <f>'2029'!Wh/'2029'!Env_an*'2030'!Env_an</f>
        <v>44.73189246338994</v>
      </c>
      <c r="C223" s="832"/>
      <c r="D223" s="388">
        <f t="shared" si="77"/>
        <v>46.715763697197715</v>
      </c>
      <c r="E223" s="380">
        <f t="shared" si="75"/>
        <v>48.08668598423359</v>
      </c>
      <c r="F223" s="380">
        <f t="shared" si="78"/>
        <v>48.086869424539543</v>
      </c>
      <c r="G223" s="110">
        <f t="shared" si="76"/>
        <v>0.7931662868051087</v>
      </c>
      <c r="H223" s="409" t="b">
        <f>Wh_hp&gt;='2029'!Maxi_hp</f>
        <v>0</v>
      </c>
      <c r="I223" s="385">
        <f>IF(H223,Wh_hp,'2029'!Maxi_hp)</f>
        <v>48.086911548880181</v>
      </c>
      <c r="J223" s="85">
        <f>IF(H223,An,'2029'!An_max)</f>
        <v>2029</v>
      </c>
      <c r="K223" s="193">
        <f t="shared" si="79"/>
        <v>47692</v>
      </c>
      <c r="L223" s="143">
        <f>IF(t&lt;Tvie,1-EXP((T0-t)*PertePVj)+'2029'!Pspv,1-EXP((T0-t)*PertePVj)+Pspv)</f>
        <v>4.2466847950230147E-2</v>
      </c>
      <c r="M223" s="836"/>
      <c r="N223" s="836"/>
      <c r="O223" s="48">
        <f>IF(t&lt;Tnet,'2029'!Resal+('2029'!Salim-'2029'!Resal)*(1-EXP(('2029'!Tnet-t)/('2029'!Tau_j))),Resal+(Salim-Resal)*(1-EXP((Tnet-t)/(Tau_j))))*Salcycl</f>
        <v>2.8509394211224344E-2</v>
      </c>
      <c r="P223" s="165">
        <f>(INDEX(Models!$BJ223:$BT223,,T223)*(1-R223)+INDEX(Models!$BJ223:$BT223,,T223+1)*R223-ERP_i)*Q223*Ramure*Pc/MaxiM</f>
        <v>5.4146676376728748E-6</v>
      </c>
      <c r="Q223" s="301">
        <f t="shared" si="80"/>
        <v>0.5</v>
      </c>
      <c r="R223" s="173">
        <f t="shared" si="81"/>
        <v>0.90783420664625725</v>
      </c>
      <c r="S223" s="802">
        <f t="shared" si="82"/>
        <v>0</v>
      </c>
      <c r="T223" s="172">
        <f t="shared" si="83"/>
        <v>6</v>
      </c>
      <c r="U223" s="247">
        <f t="shared" si="84"/>
        <v>0.90783420664625725</v>
      </c>
      <c r="V223" s="378">
        <f t="shared" si="85"/>
        <v>56.396523201724243</v>
      </c>
      <c r="W223" s="397">
        <f t="shared" si="86"/>
        <v>44.73189246338994</v>
      </c>
      <c r="X223" s="153">
        <f t="shared" si="87"/>
        <v>47692</v>
      </c>
      <c r="Y223" s="380">
        <f t="shared" si="88"/>
        <v>43.486197669892668</v>
      </c>
      <c r="Z223" s="380">
        <f t="shared" si="89"/>
        <v>45.41482201091705</v>
      </c>
      <c r="AA223" s="381">
        <f t="shared" si="90"/>
        <v>48.085259871970202</v>
      </c>
      <c r="AB223" s="193">
        <f t="shared" si="91"/>
        <v>47692</v>
      </c>
      <c r="AC223" s="119">
        <f>IF(OR(t&lt;Tnet,NoTnet),'2029'!Resal_s+('2029'!Salim-'2029'!Resal_s)*(1-EXP(('2029'!Tnet_s-t)/'2029'!Tau_j)),Resal_s+(Salim-Resal_s)*(1-EXP((Tnet_s-t)/Tau_j)))*Salcycl</f>
        <v>5.5535477361739326E-2</v>
      </c>
      <c r="AD223" s="227">
        <f>(INDEX(Models!$BJ223:$BT223,,AH223)*(1-AF223)+INDEX(Models!$BJ223:$BT223,,AH223+1)*AF223-ERP_i)*AE223*Ramure*Pc/MaxiM</f>
        <v>4.7509690757580233E-5</v>
      </c>
      <c r="AE223" s="301">
        <f t="shared" si="92"/>
        <v>0.5</v>
      </c>
      <c r="AF223" s="173">
        <f t="shared" si="93"/>
        <v>0.43282177302023417</v>
      </c>
      <c r="AG223" s="802">
        <f t="shared" si="99"/>
        <v>4</v>
      </c>
      <c r="AH223" s="172">
        <f t="shared" si="94"/>
        <v>10</v>
      </c>
      <c r="AI223" s="221">
        <f t="shared" si="95"/>
        <v>4.4328217730202342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47693</v>
      </c>
      <c r="B224" s="406">
        <f>'2029'!Wh/'2029'!Env_an*'2030'!Env_an</f>
        <v>27.788212254413949</v>
      </c>
      <c r="C224" s="832"/>
      <c r="D224" s="388">
        <f t="shared" si="77"/>
        <v>29.021024073605393</v>
      </c>
      <c r="E224" s="380">
        <f t="shared" si="75"/>
        <v>29.874232134122302</v>
      </c>
      <c r="F224" s="380">
        <f t="shared" si="78"/>
        <v>29.874279510250538</v>
      </c>
      <c r="G224" s="110">
        <f t="shared" si="76"/>
        <v>0.49454856256166435</v>
      </c>
      <c r="H224" s="409" t="b">
        <f>Wh_hp&gt;='2029'!Maxi_hp</f>
        <v>0</v>
      </c>
      <c r="I224" s="385">
        <f>IF(H224,Wh_hp,'2029'!Maxi_hp)</f>
        <v>29.874346743738087</v>
      </c>
      <c r="J224" s="85">
        <f>IF(H224,An,'2029'!An_max)</f>
        <v>2029</v>
      </c>
      <c r="K224" s="193">
        <f t="shared" si="79"/>
        <v>47693</v>
      </c>
      <c r="L224" s="143">
        <f>IF(t&lt;Tvie,1-EXP((T0-t)*PertePVj)+'2029'!Pspv,1-EXP((T0-t)*PertePVj)+Pspv)</f>
        <v>4.2479955774981981E-2</v>
      </c>
      <c r="M224" s="836"/>
      <c r="N224" s="836"/>
      <c r="O224" s="48">
        <f>IF(t&lt;Tnet,'2029'!Resal+('2029'!Salim-'2029'!Resal)*(1-EXP(('2029'!Tnet-t)/('2029'!Tau_j))),Resal+(Salim-Resal)*(1-EXP((Tnet-t)/(Tau_j))))*Salcycl</f>
        <v>2.855999969091683E-2</v>
      </c>
      <c r="P224" s="165">
        <f>(INDEX(Models!$BJ224:$BT224,,T224)*(1-R224)+INDEX(Models!$BJ224:$BT224,,T224+1)*R224-ERP_i)*Q224*Ramure*Pc/MaxiM</f>
        <v>5.7059451255377287E-6</v>
      </c>
      <c r="Q224" s="301">
        <f t="shared" si="80"/>
        <v>0.5</v>
      </c>
      <c r="R224" s="173">
        <f t="shared" si="81"/>
        <v>0.91000667565029059</v>
      </c>
      <c r="S224" s="802">
        <f t="shared" si="82"/>
        <v>0</v>
      </c>
      <c r="T224" s="172">
        <f t="shared" si="83"/>
        <v>6</v>
      </c>
      <c r="U224" s="247">
        <f t="shared" si="84"/>
        <v>0.91000667565029059</v>
      </c>
      <c r="V224" s="378">
        <f t="shared" si="85"/>
        <v>56.188815149354738</v>
      </c>
      <c r="W224" s="397">
        <f t="shared" si="86"/>
        <v>27.788212254413949</v>
      </c>
      <c r="X224" s="153">
        <f t="shared" si="87"/>
        <v>47693</v>
      </c>
      <c r="Y224" s="380">
        <f t="shared" si="88"/>
        <v>27.01550327930595</v>
      </c>
      <c r="Z224" s="380">
        <f t="shared" si="89"/>
        <v>28.214034204549023</v>
      </c>
      <c r="AA224" s="381">
        <f t="shared" si="90"/>
        <v>29.8738671570195</v>
      </c>
      <c r="AB224" s="193">
        <f t="shared" si="91"/>
        <v>47693</v>
      </c>
      <c r="AC224" s="119">
        <f>IF(OR(t&lt;Tnet,NoTnet),'2029'!Resal_s+('2029'!Salim-'2029'!Resal_s)*(1-EXP(('2029'!Tnet_s-t)/'2029'!Tau_j)),Resal_s+(Salim-Resal_s)*(1-EXP((Tnet_s-t)/Tau_j)))*Salcycl</f>
        <v>5.5561368862834505E-2</v>
      </c>
      <c r="AD224" s="227">
        <f>(INDEX(Models!$BJ224:$BT224,,AH224)*(1-AF224)+INDEX(Models!$BJ224:$BT224,,AH224+1)*AF224-ERP_i)*AE224*Ramure*Pc/MaxiM</f>
        <v>4.9663511902527801E-5</v>
      </c>
      <c r="AE224" s="301">
        <f t="shared" si="92"/>
        <v>0.5</v>
      </c>
      <c r="AF224" s="173">
        <f t="shared" si="93"/>
        <v>0.43499424202426784</v>
      </c>
      <c r="AG224" s="802">
        <f t="shared" si="99"/>
        <v>4</v>
      </c>
      <c r="AH224" s="172">
        <f t="shared" si="94"/>
        <v>10</v>
      </c>
      <c r="AI224" s="221">
        <f t="shared" si="95"/>
        <v>4.4349942420242678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47694</v>
      </c>
      <c r="B225" s="406">
        <f>'2029'!Wh/'2029'!Env_an*'2030'!Env_an</f>
        <v>45.704201447356077</v>
      </c>
      <c r="C225" s="832"/>
      <c r="D225" s="388">
        <f t="shared" si="77"/>
        <v>47.732501667941428</v>
      </c>
      <c r="E225" s="380">
        <f t="shared" si="75"/>
        <v>49.138373226451478</v>
      </c>
      <c r="F225" s="380">
        <f t="shared" si="78"/>
        <v>49.138591776018046</v>
      </c>
      <c r="G225" s="110">
        <f t="shared" si="76"/>
        <v>0.81647937845367435</v>
      </c>
      <c r="H225" s="409" t="b">
        <f>Wh_hp&gt;='2029'!Maxi_hp</f>
        <v>0</v>
      </c>
      <c r="I225" s="385">
        <f>IF(H225,Wh_hp,'2029'!Maxi_hp)</f>
        <v>49.138634097962324</v>
      </c>
      <c r="J225" s="85">
        <f>IF(H225,An,'2029'!An_max)</f>
        <v>2029</v>
      </c>
      <c r="K225" s="193">
        <f t="shared" si="79"/>
        <v>47694</v>
      </c>
      <c r="L225" s="143">
        <f>IF(t&lt;Tvie,1-EXP((T0-t)*PertePVj)+'2029'!Pspv,1-EXP((T0-t)*PertePVj)+Pspv)</f>
        <v>4.2493063420298682E-2</v>
      </c>
      <c r="M225" s="836"/>
      <c r="N225" s="836"/>
      <c r="O225" s="48">
        <f>IF(t&lt;Tnet,'2029'!Resal+('2029'!Salim-'2029'!Resal)*(1-EXP(('2029'!Tnet-t)/('2029'!Tau_j))),Resal+(Salim-Resal)*(1-EXP((Tnet-t)/(Tau_j))))*Salcycl</f>
        <v>2.861046197095644E-2</v>
      </c>
      <c r="P225" s="165">
        <f>(INDEX(Models!$BJ225:$BT225,,T225)*(1-R225)+INDEX(Models!$BJ225:$BT225,,T225+1)*R225-ERP_i)*Q225*Ramure*Pc/MaxiM</f>
        <v>6.0279718043016279E-6</v>
      </c>
      <c r="Q225" s="301">
        <f t="shared" si="80"/>
        <v>0.5</v>
      </c>
      <c r="R225" s="173">
        <f t="shared" si="81"/>
        <v>0.91211195919717303</v>
      </c>
      <c r="S225" s="802">
        <f t="shared" si="82"/>
        <v>0</v>
      </c>
      <c r="T225" s="172">
        <f t="shared" si="83"/>
        <v>6</v>
      </c>
      <c r="U225" s="247">
        <f t="shared" si="84"/>
        <v>0.91211195919717303</v>
      </c>
      <c r="V225" s="378">
        <f t="shared" si="85"/>
        <v>55.977077222298718</v>
      </c>
      <c r="W225" s="397">
        <f t="shared" si="86"/>
        <v>45.704201447356077</v>
      </c>
      <c r="X225" s="153">
        <f t="shared" si="87"/>
        <v>47694</v>
      </c>
      <c r="Y225" s="380">
        <f t="shared" si="88"/>
        <v>44.433436215329735</v>
      </c>
      <c r="Z225" s="380">
        <f t="shared" si="89"/>
        <v>46.405341327395355</v>
      </c>
      <c r="AA225" s="381">
        <f t="shared" si="90"/>
        <v>49.136705774044849</v>
      </c>
      <c r="AB225" s="193">
        <f t="shared" si="91"/>
        <v>47694</v>
      </c>
      <c r="AC225" s="119">
        <f>IF(OR(t&lt;Tnet,NoTnet),'2029'!Resal_s+('2029'!Salim-'2029'!Resal_s)*(1-EXP(('2029'!Tnet_s-t)/'2029'!Tau_j)),Resal_s+(Salim-Resal_s)*(1-EXP((Tnet_s-t)/Tau_j)))*Salcycl</f>
        <v>5.5587048493028278E-2</v>
      </c>
      <c r="AD225" s="227">
        <f>(INDEX(Models!$BJ225:$BT225,,AH225)*(1-AF225)+INDEX(Models!$BJ225:$BT225,,AH225+1)*AF225-ERP_i)*AE225*Ramure*Pc/MaxiM</f>
        <v>5.2019168446952653E-5</v>
      </c>
      <c r="AE225" s="301">
        <f t="shared" si="92"/>
        <v>0.5</v>
      </c>
      <c r="AF225" s="173">
        <f t="shared" si="93"/>
        <v>0.43709952557115006</v>
      </c>
      <c r="AG225" s="802">
        <f t="shared" si="99"/>
        <v>4</v>
      </c>
      <c r="AH225" s="172">
        <f t="shared" si="94"/>
        <v>10</v>
      </c>
      <c r="AI225" s="221">
        <f t="shared" si="95"/>
        <v>4.4370995255711501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47695</v>
      </c>
      <c r="B226" s="406">
        <f>'2029'!Wh/'2029'!Env_an*'2030'!Env_an</f>
        <v>55.969710174085179</v>
      </c>
      <c r="C226" s="832"/>
      <c r="D226" s="388">
        <f t="shared" si="77"/>
        <v>58.454382129946936</v>
      </c>
      <c r="E226" s="380">
        <f t="shared" si="75"/>
        <v>60.179164326851051</v>
      </c>
      <c r="F226" s="380">
        <f t="shared" si="78"/>
        <v>60.179550846641455</v>
      </c>
      <c r="G226" s="110">
        <f t="shared" si="76"/>
        <v>1.003728264484145</v>
      </c>
      <c r="H226" s="409" t="b">
        <f>Wh_hp&gt;='2029'!Maxi_hp</f>
        <v>1</v>
      </c>
      <c r="I226" s="385">
        <f>IF(H226,Wh_hp,'2029'!Maxi_hp)</f>
        <v>60.179550846641455</v>
      </c>
      <c r="J226" s="85">
        <f>IF(H226,An,'2029'!An_max)</f>
        <v>2030</v>
      </c>
      <c r="K226" s="193">
        <f t="shared" si="79"/>
        <v>47695</v>
      </c>
      <c r="L226" s="143">
        <f>IF(t&lt;Tvie,1-EXP((T0-t)*PertePVj)+'2029'!Pspv,1-EXP((T0-t)*PertePVj)+Pspv)</f>
        <v>4.2506170886182804E-2</v>
      </c>
      <c r="M226" s="836"/>
      <c r="N226" s="836"/>
      <c r="O226" s="48">
        <f>IF(t&lt;Tnet,'2029'!Resal+('2029'!Salim-'2029'!Resal)*(1-EXP(('2029'!Tnet-t)/('2029'!Tau_j))),Resal+(Salim-Resal)*(1-EXP((Tnet-t)/(Tau_j))))*Salcycl</f>
        <v>2.8660786772250653E-2</v>
      </c>
      <c r="P226" s="165">
        <f>(INDEX(Models!$BJ226:$BT226,,T226)*(1-R226)+INDEX(Models!$BJ226:$BT226,,T226+1)*R226-ERP_i)*Q226*Ramure*Pc/MaxiM</f>
        <v>6.4227762581316414E-6</v>
      </c>
      <c r="Q226" s="301">
        <f t="shared" si="80"/>
        <v>0.5</v>
      </c>
      <c r="R226" s="173">
        <f t="shared" si="81"/>
        <v>0.91415143026264611</v>
      </c>
      <c r="S226" s="802">
        <f t="shared" si="82"/>
        <v>0</v>
      </c>
      <c r="T226" s="172">
        <f t="shared" si="83"/>
        <v>6</v>
      </c>
      <c r="U226" s="247">
        <f t="shared" si="84"/>
        <v>0.91415143026264611</v>
      </c>
      <c r="V226" s="378">
        <f t="shared" si="85"/>
        <v>55.761815378239042</v>
      </c>
      <c r="W226" s="397">
        <f t="shared" si="86"/>
        <v>55.969710174085179</v>
      </c>
      <c r="X226" s="153">
        <f t="shared" si="87"/>
        <v>47695</v>
      </c>
      <c r="Y226" s="380">
        <f t="shared" si="88"/>
        <v>54.414088966297925</v>
      </c>
      <c r="Z226" s="380">
        <f t="shared" si="89"/>
        <v>56.829701990517712</v>
      </c>
      <c r="AA226" s="381">
        <f t="shared" si="90"/>
        <v>60.176255696897911</v>
      </c>
      <c r="AB226" s="193">
        <f t="shared" si="91"/>
        <v>47695</v>
      </c>
      <c r="AC226" s="119">
        <f>IF(OR(t&lt;Tnet,NoTnet),'2029'!Resal_s+('2029'!Salim-'2029'!Resal_s)*(1-EXP(('2029'!Tnet_s-t)/'2029'!Tau_j)),Resal_s+(Salim-Resal_s)*(1-EXP((Tnet_s-t)/Tau_j)))*Salcycl</f>
        <v>5.5612528024948385E-2</v>
      </c>
      <c r="AD226" s="227">
        <f>(INDEX(Models!$BJ226:$BT226,,AH226)*(1-AF226)+INDEX(Models!$BJ226:$BT226,,AH226+1)*AF226-ERP_i)*AE226*Ramure*Pc/MaxiM</f>
        <v>5.4755306365486576E-5</v>
      </c>
      <c r="AE226" s="301">
        <f t="shared" si="92"/>
        <v>0.5</v>
      </c>
      <c r="AF226" s="173">
        <f t="shared" si="93"/>
        <v>0.4391389966366237</v>
      </c>
      <c r="AG226" s="802">
        <f t="shared" si="99"/>
        <v>4</v>
      </c>
      <c r="AH226" s="172">
        <f t="shared" si="94"/>
        <v>10</v>
      </c>
      <c r="AI226" s="221">
        <f t="shared" si="95"/>
        <v>4.4391389966366237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47696</v>
      </c>
      <c r="B227" s="406">
        <f>'2029'!Wh/'2029'!Env_an*'2030'!Env_an</f>
        <v>55.479323757471882</v>
      </c>
      <c r="C227" s="832"/>
      <c r="D227" s="388">
        <f t="shared" si="77"/>
        <v>57.94301910495799</v>
      </c>
      <c r="E227" s="380">
        <f t="shared" si="75"/>
        <v>59.655795403117942</v>
      </c>
      <c r="F227" s="380">
        <f t="shared" si="78"/>
        <v>59.656205978375183</v>
      </c>
      <c r="G227" s="110">
        <f t="shared" si="76"/>
        <v>0.99884388824739745</v>
      </c>
      <c r="H227" s="409" t="b">
        <f>Wh_hp&gt;='2029'!Maxi_hp</f>
        <v>0</v>
      </c>
      <c r="I227" s="385">
        <f>IF(H227,Wh_hp,'2029'!Maxi_hp)</f>
        <v>59.656206346936855</v>
      </c>
      <c r="J227" s="85">
        <f>IF(H227,An,'2029'!An_max)</f>
        <v>2029</v>
      </c>
      <c r="K227" s="193">
        <f t="shared" si="79"/>
        <v>47696</v>
      </c>
      <c r="L227" s="143">
        <f>IF(t&lt;Tvie,1-EXP((T0-t)*PertePVj)+'2029'!Pspv,1-EXP((T0-t)*PertePVj)+Pspv)</f>
        <v>4.2519278172636676E-2</v>
      </c>
      <c r="M227" s="836"/>
      <c r="N227" s="836"/>
      <c r="O227" s="48">
        <f>IF(t&lt;Tnet,'2029'!Resal+('2029'!Salim-'2029'!Resal)*(1-EXP(('2029'!Tnet-t)/('2029'!Tau_j))),Resal+(Salim-Resal)*(1-EXP((Tnet-t)/(Tau_j))))*Salcycl</f>
        <v>2.871097915275524E-2</v>
      </c>
      <c r="P227" s="165">
        <f>(INDEX(Models!$BJ227:$BT227,,T227)*(1-R227)+INDEX(Models!$BJ227:$BT227,,T227+1)*R227-ERP_i)*Q227*Ramure*Pc/MaxiM</f>
        <v>6.8937416795710102E-6</v>
      </c>
      <c r="Q227" s="301">
        <f t="shared" si="80"/>
        <v>0.5</v>
      </c>
      <c r="R227" s="173">
        <f t="shared" si="81"/>
        <v>0.91612648499131533</v>
      </c>
      <c r="S227" s="802">
        <f t="shared" si="82"/>
        <v>0</v>
      </c>
      <c r="T227" s="172">
        <f t="shared" si="83"/>
        <v>6</v>
      </c>
      <c r="U227" s="247">
        <f t="shared" si="84"/>
        <v>0.91612648499131533</v>
      </c>
      <c r="V227" s="378">
        <f t="shared" si="85"/>
        <v>55.543537662479828</v>
      </c>
      <c r="W227" s="397">
        <f t="shared" si="86"/>
        <v>55.479323757471882</v>
      </c>
      <c r="X227" s="153">
        <f t="shared" si="87"/>
        <v>47696</v>
      </c>
      <c r="Y227" s="380">
        <f t="shared" si="88"/>
        <v>53.938533447356924</v>
      </c>
      <c r="Z227" s="380">
        <f t="shared" si="89"/>
        <v>56.333806224750504</v>
      </c>
      <c r="AA227" s="381">
        <f t="shared" si="90"/>
        <v>59.652755363909208</v>
      </c>
      <c r="AB227" s="193">
        <f t="shared" si="91"/>
        <v>47696</v>
      </c>
      <c r="AC227" s="119">
        <f>IF(OR(t&lt;Tnet,NoTnet),'2029'!Resal_s+('2029'!Salim-'2029'!Resal_s)*(1-EXP(('2029'!Tnet_s-t)/'2029'!Tau_j)),Resal_s+(Salim-Resal_s)*(1-EXP((Tnet_s-t)/Tau_j)))*Salcycl</f>
        <v>5.5637817883039814E-2</v>
      </c>
      <c r="AD227" s="227">
        <f>(INDEX(Models!$BJ227:$BT227,,AH227)*(1-AF227)+INDEX(Models!$BJ227:$BT227,,AH227+1)*AF227-ERP_i)*AE227*Ramure*Pc/MaxiM</f>
        <v>5.7937355807348792E-5</v>
      </c>
      <c r="AE227" s="301">
        <f t="shared" si="92"/>
        <v>0.5</v>
      </c>
      <c r="AF227" s="173">
        <f t="shared" si="93"/>
        <v>0.44111405136529225</v>
      </c>
      <c r="AG227" s="802">
        <f t="shared" si="99"/>
        <v>4</v>
      </c>
      <c r="AH227" s="172">
        <f t="shared" si="94"/>
        <v>10</v>
      </c>
      <c r="AI227" s="221">
        <f t="shared" si="95"/>
        <v>4.4411140513652922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47697</v>
      </c>
      <c r="B228" s="406">
        <f>'2029'!Wh/'2029'!Env_an*'2030'!Env_an</f>
        <v>55.490319653174019</v>
      </c>
      <c r="C228" s="832"/>
      <c r="D228" s="388">
        <f t="shared" si="77"/>
        <v>57.955296659701602</v>
      </c>
      <c r="E228" s="380">
        <f t="shared" si="75"/>
        <v>59.671511601302392</v>
      </c>
      <c r="F228" s="380">
        <f t="shared" si="78"/>
        <v>59.671955685390998</v>
      </c>
      <c r="G228" s="110">
        <f t="shared" si="76"/>
        <v>1.0030289075718304</v>
      </c>
      <c r="H228" s="409" t="b">
        <f>Wh_hp&gt;='2029'!Maxi_hp</f>
        <v>1</v>
      </c>
      <c r="I228" s="385">
        <f>IF(H228,Wh_hp,'2029'!Maxi_hp)</f>
        <v>59.671955685390998</v>
      </c>
      <c r="J228" s="85">
        <f>IF(H228,An,'2029'!An_max)</f>
        <v>2030</v>
      </c>
      <c r="K228" s="193">
        <f t="shared" si="79"/>
        <v>47697</v>
      </c>
      <c r="L228" s="143">
        <f>IF(t&lt;Tvie,1-EXP((T0-t)*PertePVj)+'2029'!Pspv,1-EXP((T0-t)*PertePVj)+Pspv)</f>
        <v>4.2532385279662743E-2</v>
      </c>
      <c r="M228" s="836"/>
      <c r="N228" s="836"/>
      <c r="O228" s="48">
        <f>IF(t&lt;Tnet,'2029'!Resal+('2029'!Salim-'2029'!Resal)*(1-EXP(('2029'!Tnet-t)/('2029'!Tau_j))),Resal+(Salim-Resal)*(1-EXP((Tnet-t)/(Tau_j))))*Salcycl</f>
        <v>2.8761043512149521E-2</v>
      </c>
      <c r="P228" s="165">
        <f>(INDEX(Models!$BJ228:$BT228,,T228)*(1-R228)+INDEX(Models!$BJ228:$BT228,,T228+1)*R228-ERP_i)*Q228*Ramure*Pc/MaxiM</f>
        <v>7.4420904008098238E-6</v>
      </c>
      <c r="Q228" s="301">
        <f t="shared" si="80"/>
        <v>0.5</v>
      </c>
      <c r="R228" s="173">
        <f t="shared" si="81"/>
        <v>0.91803853807595215</v>
      </c>
      <c r="S228" s="802">
        <f t="shared" si="82"/>
        <v>0</v>
      </c>
      <c r="T228" s="172">
        <f t="shared" si="83"/>
        <v>6</v>
      </c>
      <c r="U228" s="247">
        <f t="shared" si="84"/>
        <v>0.91803853807595215</v>
      </c>
      <c r="V228" s="378">
        <f t="shared" si="85"/>
        <v>55.322752150291507</v>
      </c>
      <c r="W228" s="397">
        <f t="shared" si="86"/>
        <v>55.490319653174019</v>
      </c>
      <c r="X228" s="153">
        <f t="shared" si="87"/>
        <v>47697</v>
      </c>
      <c r="Y228" s="380">
        <f t="shared" si="88"/>
        <v>53.950399374868852</v>
      </c>
      <c r="Z228" s="380">
        <f t="shared" si="89"/>
        <v>56.346970430563339</v>
      </c>
      <c r="AA228" s="381">
        <f t="shared" si="90"/>
        <v>59.668281645663825</v>
      </c>
      <c r="AB228" s="193">
        <f t="shared" si="91"/>
        <v>47697</v>
      </c>
      <c r="AC228" s="119">
        <f>IF(OR(t&lt;Tnet,NoTnet),'2029'!Resal_s+('2029'!Salim-'2029'!Resal_s)*(1-EXP(('2029'!Tnet_s-t)/'2029'!Tau_j)),Resal_s+(Salim-Resal_s)*(1-EXP((Tnet_s-t)/Tau_j)))*Salcycl</f>
        <v>5.5662927161601178E-2</v>
      </c>
      <c r="AD228" s="227">
        <f>(INDEX(Models!$BJ228:$BT228,,AH228)*(1-AF228)+INDEX(Models!$BJ228:$BT228,,AH228+1)*AF228-ERP_i)*AE228*Ramure*Pc/MaxiM</f>
        <v>6.1570627021966136E-5</v>
      </c>
      <c r="AE228" s="301">
        <f t="shared" si="92"/>
        <v>0.5</v>
      </c>
      <c r="AF228" s="173">
        <f t="shared" si="93"/>
        <v>0.44302610444992929</v>
      </c>
      <c r="AG228" s="802">
        <f t="shared" si="99"/>
        <v>4</v>
      </c>
      <c r="AH228" s="172">
        <f t="shared" si="94"/>
        <v>10</v>
      </c>
      <c r="AI228" s="221">
        <f t="shared" si="95"/>
        <v>4.4430261044499293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47698</v>
      </c>
      <c r="B229" s="406">
        <f>'2029'!Wh/'2029'!Env_an*'2030'!Env_an</f>
        <v>55.096778040697806</v>
      </c>
      <c r="C229" s="832"/>
      <c r="D229" s="388">
        <f t="shared" si="77"/>
        <v>57.545060984375048</v>
      </c>
      <c r="E229" s="380">
        <f t="shared" si="75"/>
        <v>59.252174409610561</v>
      </c>
      <c r="F229" s="380">
        <f t="shared" si="78"/>
        <v>59.252652481749877</v>
      </c>
      <c r="G229" s="110">
        <f t="shared" si="76"/>
        <v>0.99994212659276427</v>
      </c>
      <c r="H229" s="409" t="b">
        <f>Wh_hp&gt;='2029'!Maxi_hp</f>
        <v>0</v>
      </c>
      <c r="I229" s="385">
        <f>IF(H229,Wh_hp,'2029'!Maxi_hp)</f>
        <v>59.252652503112273</v>
      </c>
      <c r="J229" s="85">
        <f>IF(H229,An,'2029'!An_max)</f>
        <v>2029</v>
      </c>
      <c r="K229" s="193">
        <f t="shared" si="79"/>
        <v>47698</v>
      </c>
      <c r="L229" s="143">
        <f>IF(t&lt;Tvie,1-EXP((T0-t)*PertePVj)+'2029'!Pspv,1-EXP((T0-t)*PertePVj)+Pspv)</f>
        <v>4.2545492207263669E-2</v>
      </c>
      <c r="M229" s="836"/>
      <c r="N229" s="836"/>
      <c r="O229" s="48">
        <f>IF(t&lt;Tnet,'2029'!Resal+('2029'!Salim-'2029'!Resal)*(1-EXP(('2029'!Tnet-t)/('2029'!Tau_j))),Resal+(Salim-Resal)*(1-EXP((Tnet-t)/(Tau_j))))*Salcycl</f>
        <v>2.8810983600943176E-2</v>
      </c>
      <c r="P229" s="165">
        <f>(INDEX(Models!$BJ229:$BT229,,T229)*(1-R229)+INDEX(Models!$BJ229:$BT229,,T229+1)*R229-ERP_i)*Q229*Ramure*Pc/MaxiM</f>
        <v>8.0690339981700563E-6</v>
      </c>
      <c r="Q229" s="301">
        <f t="shared" si="80"/>
        <v>0.5</v>
      </c>
      <c r="R229" s="173">
        <f t="shared" si="81"/>
        <v>0.9198890183986751</v>
      </c>
      <c r="S229" s="802">
        <f t="shared" si="82"/>
        <v>0</v>
      </c>
      <c r="T229" s="172">
        <f t="shared" si="83"/>
        <v>6</v>
      </c>
      <c r="U229" s="247">
        <f t="shared" si="84"/>
        <v>0.9198890183986751</v>
      </c>
      <c r="V229" s="378">
        <f t="shared" si="85"/>
        <v>55.099966826760735</v>
      </c>
      <c r="W229" s="397">
        <f t="shared" si="86"/>
        <v>55.096778040697806</v>
      </c>
      <c r="X229" s="153">
        <f t="shared" si="87"/>
        <v>47698</v>
      </c>
      <c r="Y229" s="380">
        <f t="shared" si="88"/>
        <v>53.568933672851472</v>
      </c>
      <c r="Z229" s="380">
        <f t="shared" si="89"/>
        <v>55.949325254467063</v>
      </c>
      <c r="AA229" s="381">
        <f t="shared" si="90"/>
        <v>59.248762248038062</v>
      </c>
      <c r="AB229" s="193">
        <f t="shared" si="91"/>
        <v>47698</v>
      </c>
      <c r="AC229" s="119">
        <f>IF(OR(t&lt;Tnet,NoTnet),'2029'!Resal_s+('2029'!Salim-'2029'!Resal_s)*(1-EXP(('2029'!Tnet_s-t)/'2029'!Tau_j)),Resal_s+(Salim-Resal_s)*(1-EXP((Tnet_s-t)/Tau_j)))*Salcycl</f>
        <v>5.56878636511981E-2</v>
      </c>
      <c r="AD229" s="227">
        <f>(INDEX(Models!$BJ229:$BT229,,AH229)*(1-AF229)+INDEX(Models!$BJ229:$BT229,,AH229+1)*AF229-ERP_i)*AE229*Ramure*Pc/MaxiM</f>
        <v>6.5660442222565307E-5</v>
      </c>
      <c r="AE229" s="301">
        <f t="shared" si="92"/>
        <v>0.5</v>
      </c>
      <c r="AF229" s="173">
        <f t="shared" si="93"/>
        <v>0.44487658477265235</v>
      </c>
      <c r="AG229" s="802">
        <f t="shared" si="99"/>
        <v>4</v>
      </c>
      <c r="AH229" s="172">
        <f t="shared" si="94"/>
        <v>10</v>
      </c>
      <c r="AI229" s="221">
        <f t="shared" si="95"/>
        <v>4.4448765847726524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47699</v>
      </c>
      <c r="B230" s="406">
        <f>'2029'!Wh/'2029'!Env_an*'2030'!Env_an</f>
        <v>52.562769792962733</v>
      </c>
      <c r="C230" s="832"/>
      <c r="D230" s="388">
        <f t="shared" si="77"/>
        <v>54.899202954475662</v>
      </c>
      <c r="E230" s="380">
        <f t="shared" si="75"/>
        <v>56.53072504714649</v>
      </c>
      <c r="F230" s="380">
        <f t="shared" si="78"/>
        <v>56.531191280334248</v>
      </c>
      <c r="G230" s="110">
        <f t="shared" si="76"/>
        <v>0.95785114354003487</v>
      </c>
      <c r="H230" s="409" t="b">
        <f>Wh_hp&gt;='2029'!Maxi_hp</f>
        <v>0</v>
      </c>
      <c r="I230" s="385">
        <f>IF(H230,Wh_hp,'2029'!Maxi_hp)</f>
        <v>56.531207392998965</v>
      </c>
      <c r="J230" s="85">
        <f>IF(H230,An,'2029'!An_max)</f>
        <v>2029</v>
      </c>
      <c r="K230" s="193">
        <f t="shared" si="79"/>
        <v>47699</v>
      </c>
      <c r="L230" s="143">
        <f>IF(t&lt;Tvie,1-EXP((T0-t)*PertePVj)+'2029'!Pspv,1-EXP((T0-t)*PertePVj)+Pspv)</f>
        <v>4.2558598955441673E-2</v>
      </c>
      <c r="M230" s="836"/>
      <c r="N230" s="836"/>
      <c r="O230" s="48">
        <f>IF(t&lt;Tnet,'2029'!Resal+('2029'!Salim-'2029'!Resal)*(1-EXP(('2029'!Tnet-t)/('2029'!Tau_j))),Resal+(Salim-Resal)*(1-EXP((Tnet-t)/(Tau_j))))*Salcycl</f>
        <v>2.8860802533668951E-2</v>
      </c>
      <c r="P230" s="165">
        <f>(INDEX(Models!$BJ230:$BT230,,T230)*(1-R230)+INDEX(Models!$BJ230:$BT230,,T230+1)*R230-ERP_i)*Q230*Ramure*Pc/MaxiM</f>
        <v>8.7757677073906497E-6</v>
      </c>
      <c r="Q230" s="301">
        <f t="shared" si="80"/>
        <v>0.5</v>
      </c>
      <c r="R230" s="173">
        <f t="shared" si="81"/>
        <v>0.9216793649333519</v>
      </c>
      <c r="S230" s="802">
        <f t="shared" si="82"/>
        <v>0</v>
      </c>
      <c r="T230" s="172">
        <f t="shared" si="83"/>
        <v>6</v>
      </c>
      <c r="U230" s="247">
        <f t="shared" si="84"/>
        <v>0.9216793649333519</v>
      </c>
      <c r="V230" s="378">
        <f t="shared" si="85"/>
        <v>54.875689581571102</v>
      </c>
      <c r="W230" s="397">
        <f t="shared" si="86"/>
        <v>52.562769792962733</v>
      </c>
      <c r="X230" s="153">
        <f t="shared" si="87"/>
        <v>47699</v>
      </c>
      <c r="Y230" s="380">
        <f t="shared" si="88"/>
        <v>51.106467337011871</v>
      </c>
      <c r="Z230" s="380">
        <f t="shared" si="89"/>
        <v>53.378167354425308</v>
      </c>
      <c r="AA230" s="381">
        <f t="shared" si="90"/>
        <v>56.527461098351772</v>
      </c>
      <c r="AB230" s="193">
        <f t="shared" si="91"/>
        <v>47699</v>
      </c>
      <c r="AC230" s="119">
        <f>IF(OR(t&lt;Tnet,NoTnet),'2029'!Resal_s+('2029'!Salim-'2029'!Resal_s)*(1-EXP(('2029'!Tnet_s-t)/'2029'!Tau_j)),Resal_s+(Salim-Resal_s)*(1-EXP((Tnet_s-t)/Tau_j)))*Salcycl</f>
        <v>5.5712633872712386E-2</v>
      </c>
      <c r="AD230" s="227">
        <f>(INDEX(Models!$BJ230:$BT230,,AH230)*(1-AF230)+INDEX(Models!$BJ230:$BT230,,AH230+1)*AF230-ERP_i)*AE230*Ramure*Pc/MaxiM</f>
        <v>7.0212098675337457E-5</v>
      </c>
      <c r="AE230" s="301">
        <f t="shared" si="92"/>
        <v>0.5</v>
      </c>
      <c r="AF230" s="173">
        <f t="shared" si="93"/>
        <v>0.4466669313073286</v>
      </c>
      <c r="AG230" s="802">
        <f t="shared" si="99"/>
        <v>4</v>
      </c>
      <c r="AH230" s="172">
        <f t="shared" si="94"/>
        <v>10</v>
      </c>
      <c r="AI230" s="221">
        <f t="shared" si="95"/>
        <v>4.4466669313073286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47700</v>
      </c>
      <c r="B231" s="406">
        <f>'2029'!Wh/'2029'!Env_an*'2030'!Env_an</f>
        <v>41.957756252148279</v>
      </c>
      <c r="C231" s="832"/>
      <c r="D231" s="388">
        <f t="shared" si="77"/>
        <v>43.8233928266351</v>
      </c>
      <c r="E231" s="380">
        <f t="shared" si="75"/>
        <v>45.128067962072066</v>
      </c>
      <c r="F231" s="380">
        <f t="shared" si="78"/>
        <v>45.128356351040715</v>
      </c>
      <c r="G231" s="110">
        <f t="shared" si="76"/>
        <v>0.76774555096229957</v>
      </c>
      <c r="H231" s="409" t="b">
        <f>Wh_hp&gt;='2029'!Maxi_hp</f>
        <v>0</v>
      </c>
      <c r="I231" s="385">
        <f>IF(H231,Wh_hp,'2029'!Maxi_hp)</f>
        <v>45.128433447277068</v>
      </c>
      <c r="J231" s="85">
        <f>IF(H231,An,'2029'!An_max)</f>
        <v>2029</v>
      </c>
      <c r="K231" s="193">
        <f t="shared" si="79"/>
        <v>47700</v>
      </c>
      <c r="L231" s="143">
        <f>IF(t&lt;Tvie,1-EXP((T0-t)*PertePVj)+'2029'!Pspv,1-EXP((T0-t)*PertePVj)+Pspv)</f>
        <v>4.257170552419931E-2</v>
      </c>
      <c r="M231" s="836"/>
      <c r="N231" s="836"/>
      <c r="O231" s="48">
        <f>IF(t&lt;Tnet,'2029'!Resal+('2029'!Salim-'2029'!Resal)*(1-EXP(('2029'!Tnet-t)/('2029'!Tau_j))),Resal+(Salim-Resal)*(1-EXP((Tnet-t)/(Tau_j))))*Salcycl</f>
        <v>2.8910502805781123E-2</v>
      </c>
      <c r="P231" s="165">
        <f>(INDEX(Models!$BJ231:$BT231,,T231)*(1-R231)+INDEX(Models!$BJ231:$BT231,,T231+1)*R231-ERP_i)*Q231*Ramure*Pc/MaxiM</f>
        <v>9.5634642909856303E-6</v>
      </c>
      <c r="Q231" s="301">
        <f t="shared" si="80"/>
        <v>0.5</v>
      </c>
      <c r="R231" s="173">
        <f t="shared" si="81"/>
        <v>0.92341102290699428</v>
      </c>
      <c r="S231" s="802">
        <f t="shared" si="82"/>
        <v>0</v>
      </c>
      <c r="T231" s="172">
        <f t="shared" si="83"/>
        <v>6</v>
      </c>
      <c r="U231" s="247">
        <f t="shared" si="84"/>
        <v>0.92341102290699428</v>
      </c>
      <c r="V231" s="378">
        <f t="shared" si="85"/>
        <v>54.650428211168318</v>
      </c>
      <c r="W231" s="397">
        <f t="shared" si="86"/>
        <v>41.957756252148279</v>
      </c>
      <c r="X231" s="153">
        <f t="shared" si="87"/>
        <v>47700</v>
      </c>
      <c r="Y231" s="380">
        <f t="shared" si="88"/>
        <v>40.796866013915682</v>
      </c>
      <c r="Z231" s="380">
        <f t="shared" si="89"/>
        <v>42.610884020564981</v>
      </c>
      <c r="AA231" s="381">
        <f t="shared" si="90"/>
        <v>45.126087744134239</v>
      </c>
      <c r="AB231" s="193">
        <f t="shared" si="91"/>
        <v>47700</v>
      </c>
      <c r="AC231" s="119">
        <f>IF(OR(t&lt;Tnet,NoTnet),'2029'!Resal_s+('2029'!Salim-'2029'!Resal_s)*(1-EXP(('2029'!Tnet_s-t)/'2029'!Tau_j)),Resal_s+(Salim-Resal_s)*(1-EXP((Tnet_s-t)/Tau_j)))*Salcycl</f>
        <v>5.5737243118227149E-2</v>
      </c>
      <c r="AD231" s="227">
        <f>(INDEX(Models!$BJ231:$BT231,,AH231)*(1-AF231)+INDEX(Models!$BJ231:$BT231,,AH231+1)*AF231-ERP_i)*AE231*Ramure*Pc/MaxiM</f>
        <v>7.5230828841871963E-5</v>
      </c>
      <c r="AE231" s="301">
        <f t="shared" si="92"/>
        <v>0.5</v>
      </c>
      <c r="AF231" s="173">
        <f t="shared" si="93"/>
        <v>0.44839858928097165</v>
      </c>
      <c r="AG231" s="802">
        <f t="shared" si="99"/>
        <v>4</v>
      </c>
      <c r="AH231" s="172">
        <f t="shared" si="94"/>
        <v>10</v>
      </c>
      <c r="AI231" s="221">
        <f t="shared" si="95"/>
        <v>4.4483985892809716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47701</v>
      </c>
      <c r="B232" s="406">
        <f>'2029'!Wh/'2029'!Env_an*'2030'!Env_an</f>
        <v>50.064339793265439</v>
      </c>
      <c r="C232" s="832"/>
      <c r="D232" s="388">
        <f t="shared" si="77"/>
        <v>52.291148517631719</v>
      </c>
      <c r="E232" s="380">
        <f t="shared" si="75"/>
        <v>53.850668526209226</v>
      </c>
      <c r="F232" s="380">
        <f t="shared" si="78"/>
        <v>53.851166065101594</v>
      </c>
      <c r="G232" s="110">
        <f t="shared" si="76"/>
        <v>0.91988176000864785</v>
      </c>
      <c r="H232" s="409" t="b">
        <f>Wh_hp&gt;='2029'!Maxi_hp</f>
        <v>0</v>
      </c>
      <c r="I232" s="385">
        <f>IF(H232,Wh_hp,'2029'!Maxi_hp)</f>
        <v>53.851200625141161</v>
      </c>
      <c r="J232" s="85">
        <f>IF(H232,An,'2029'!An_max)</f>
        <v>2029</v>
      </c>
      <c r="K232" s="193">
        <f t="shared" si="79"/>
        <v>47701</v>
      </c>
      <c r="L232" s="143">
        <f>IF(t&lt;Tvie,1-EXP((T0-t)*PertePVj)+'2029'!Pspv,1-EXP((T0-t)*PertePVj)+Pspv)</f>
        <v>4.2584811913539022E-2</v>
      </c>
      <c r="M232" s="836"/>
      <c r="N232" s="836"/>
      <c r="O232" s="48">
        <f>IF(t&lt;Tnet,'2029'!Resal+('2029'!Salim-'2029'!Resal)*(1-EXP(('2029'!Tnet-t)/('2029'!Tau_j))),Resal+(Salim-Resal)*(1-EXP((Tnet-t)/(Tau_j))))*Salcycl</f>
        <v>2.8960086313849318E-2</v>
      </c>
      <c r="P232" s="165">
        <f>(INDEX(Models!$BJ232:$BT232,,T232)*(1-R232)+INDEX(Models!$BJ232:$BT232,,T232+1)*R232-ERP_i)*Q232*Ramure*Pc/MaxiM</f>
        <v>1.0433267350836454E-5</v>
      </c>
      <c r="Q232" s="301">
        <f t="shared" si="80"/>
        <v>0.5</v>
      </c>
      <c r="R232" s="173">
        <f t="shared" si="81"/>
        <v>0.92508544021652583</v>
      </c>
      <c r="S232" s="802">
        <f t="shared" si="82"/>
        <v>0</v>
      </c>
      <c r="T232" s="172">
        <f t="shared" si="83"/>
        <v>6</v>
      </c>
      <c r="U232" s="247">
        <f t="shared" si="84"/>
        <v>0.92508544021652583</v>
      </c>
      <c r="V232" s="378">
        <f t="shared" si="85"/>
        <v>54.424690418304067</v>
      </c>
      <c r="W232" s="397">
        <f t="shared" si="86"/>
        <v>50.064339793265439</v>
      </c>
      <c r="X232" s="153">
        <f t="shared" si="87"/>
        <v>47701</v>
      </c>
      <c r="Y232" s="380">
        <f t="shared" si="88"/>
        <v>48.679487012376939</v>
      </c>
      <c r="Z232" s="380">
        <f t="shared" si="89"/>
        <v>50.844698954139481</v>
      </c>
      <c r="AA232" s="381">
        <f t="shared" si="90"/>
        <v>53.847316627289345</v>
      </c>
      <c r="AB232" s="193">
        <f t="shared" si="91"/>
        <v>47701</v>
      </c>
      <c r="AC232" s="119">
        <f>IF(OR(t&lt;Tnet,NoTnet),'2029'!Resal_s+('2029'!Salim-'2029'!Resal_s)*(1-EXP(('2029'!Tnet_s-t)/'2029'!Tau_j)),Resal_s+(Salim-Resal_s)*(1-EXP((Tnet_s-t)/Tau_j)))*Salcycl</f>
        <v>5.5761695497899055E-2</v>
      </c>
      <c r="AD232" s="227">
        <f>(INDEX(Models!$BJ232:$BT232,,AH232)*(1-AF232)+INDEX(Models!$BJ232:$BT232,,AH232+1)*AF232-ERP_i)*AE232*Ramure*Pc/MaxiM</f>
        <v>8.0721757557855966E-5</v>
      </c>
      <c r="AE232" s="301">
        <f t="shared" si="92"/>
        <v>0.5</v>
      </c>
      <c r="AF232" s="173">
        <f t="shared" si="93"/>
        <v>0.45007300659050298</v>
      </c>
      <c r="AG232" s="802">
        <f t="shared" si="99"/>
        <v>4</v>
      </c>
      <c r="AH232" s="172">
        <f t="shared" si="94"/>
        <v>10</v>
      </c>
      <c r="AI232" s="221">
        <f t="shared" si="95"/>
        <v>4.450073006590503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47702</v>
      </c>
      <c r="B233" s="406">
        <f>'2029'!Wh/'2029'!Env_an*'2030'!Env_an</f>
        <v>52.786541054703655</v>
      </c>
      <c r="C233" s="832"/>
      <c r="D233" s="388">
        <f t="shared" si="77"/>
        <v>55.135185157776611</v>
      </c>
      <c r="E233" s="380">
        <f t="shared" ref="E233:E296" si="100">Wh_pvt/(1-Psa)</f>
        <v>56.782417794536315</v>
      </c>
      <c r="F233" s="380">
        <f t="shared" si="78"/>
        <v>56.783040326197117</v>
      </c>
      <c r="G233" s="110">
        <f t="shared" ref="G233:G296" si="101">+Wh_hp/MaxiM</f>
        <v>0.97397393712223201</v>
      </c>
      <c r="H233" s="409" t="b">
        <f>Wh_hp&gt;='2029'!Maxi_hp</f>
        <v>0</v>
      </c>
      <c r="I233" s="385">
        <f>IF(H233,Wh_hp,'2029'!Maxi_hp)</f>
        <v>56.783053223603659</v>
      </c>
      <c r="J233" s="85">
        <f>IF(H233,An,'2029'!An_max)</f>
        <v>2029</v>
      </c>
      <c r="K233" s="193">
        <f t="shared" si="79"/>
        <v>47702</v>
      </c>
      <c r="L233" s="143">
        <f>IF(t&lt;Tvie,1-EXP((T0-t)*PertePVj)+'2029'!Pspv,1-EXP((T0-t)*PertePVj)+Pspv)</f>
        <v>4.2597918123463252E-2</v>
      </c>
      <c r="M233" s="836"/>
      <c r="N233" s="836"/>
      <c r="O233" s="48">
        <f>IF(t&lt;Tnet,'2029'!Resal+('2029'!Salim-'2029'!Resal)*(1-EXP(('2029'!Tnet-t)/('2029'!Tau_j))),Resal+(Salim-Resal)*(1-EXP((Tnet-t)/(Tau_j))))*Salcycl</f>
        <v>2.9009554378612638E-2</v>
      </c>
      <c r="P233" s="165">
        <f>(INDEX(Models!$BJ233:$BT233,,T233)*(1-R233)+INDEX(Models!$BJ233:$BT233,,T233+1)*R233-ERP_i)*Q233*Ramure*Pc/MaxiM</f>
        <v>1.1386689374146647E-5</v>
      </c>
      <c r="Q233" s="301">
        <f t="shared" si="80"/>
        <v>0.5</v>
      </c>
      <c r="R233" s="173">
        <f t="shared" si="81"/>
        <v>0.9267040640960893</v>
      </c>
      <c r="S233" s="802">
        <f t="shared" si="82"/>
        <v>0</v>
      </c>
      <c r="T233" s="172">
        <f t="shared" si="83"/>
        <v>6</v>
      </c>
      <c r="U233" s="247">
        <f t="shared" si="84"/>
        <v>0.9267040640960893</v>
      </c>
      <c r="V233" s="378">
        <f t="shared" si="85"/>
        <v>54.197054659560763</v>
      </c>
      <c r="W233" s="397">
        <f t="shared" si="86"/>
        <v>52.786541054703655</v>
      </c>
      <c r="X233" s="153">
        <f t="shared" si="87"/>
        <v>47702</v>
      </c>
      <c r="Y233" s="380">
        <f t="shared" si="88"/>
        <v>51.327155409865284</v>
      </c>
      <c r="Z233" s="380">
        <f t="shared" si="89"/>
        <v>53.610866720973199</v>
      </c>
      <c r="AA233" s="381">
        <f t="shared" si="90"/>
        <v>56.778300660491347</v>
      </c>
      <c r="AB233" s="193">
        <f t="shared" si="91"/>
        <v>47702</v>
      </c>
      <c r="AC233" s="119">
        <f>IF(OR(t&lt;Tnet,NoTnet),'2029'!Resal_s+('2029'!Salim-'2029'!Resal_s)*(1-EXP(('2029'!Tnet_s-t)/'2029'!Tau_j)),Resal_s+(Salim-Resal_s)*(1-EXP((Tnet_s-t)/Tau_j)))*Salcycl</f>
        <v>5.5785993991929649E-2</v>
      </c>
      <c r="AD233" s="227">
        <f>(INDEX(Models!$BJ233:$BT233,,AH233)*(1-AF233)+INDEX(Models!$BJ233:$BT233,,AH233+1)*AF233-ERP_i)*AE233*Ramure*Pc/MaxiM</f>
        <v>8.6692941945598007E-5</v>
      </c>
      <c r="AE233" s="301">
        <f t="shared" si="92"/>
        <v>0.5</v>
      </c>
      <c r="AF233" s="173">
        <f t="shared" si="93"/>
        <v>0.45169163047006666</v>
      </c>
      <c r="AG233" s="802">
        <f t="shared" si="99"/>
        <v>4</v>
      </c>
      <c r="AH233" s="172">
        <f t="shared" si="94"/>
        <v>10</v>
      </c>
      <c r="AI233" s="221">
        <f t="shared" si="95"/>
        <v>4.4516916304700667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47703</v>
      </c>
      <c r="B234" s="406">
        <f>'2029'!Wh/'2029'!Env_an*'2030'!Env_an</f>
        <v>54.155524101840989</v>
      </c>
      <c r="C234" s="832"/>
      <c r="D234" s="388">
        <f t="shared" si="77"/>
        <v>56.565853031663366</v>
      </c>
      <c r="E234" s="380">
        <f t="shared" si="100"/>
        <v>58.258789832215115</v>
      </c>
      <c r="F234" s="380">
        <f t="shared" si="78"/>
        <v>58.259512816427659</v>
      </c>
      <c r="G234" s="110">
        <f t="shared" si="101"/>
        <v>1.0035125626922679</v>
      </c>
      <c r="H234" s="409" t="b">
        <f>Wh_hp&gt;='2029'!Maxi_hp</f>
        <v>1</v>
      </c>
      <c r="I234" s="385">
        <f>IF(H234,Wh_hp,'2029'!Maxi_hp)</f>
        <v>58.259512816427659</v>
      </c>
      <c r="J234" s="85">
        <f>IF(H234,An,'2029'!An_max)</f>
        <v>2030</v>
      </c>
      <c r="K234" s="193">
        <f t="shared" si="79"/>
        <v>47703</v>
      </c>
      <c r="L234" s="143">
        <f>IF(t&lt;Tvie,1-EXP((T0-t)*PertePVj)+'2029'!Pspv,1-EXP((T0-t)*PertePVj)+Pspv)</f>
        <v>4.2611024153974442E-2</v>
      </c>
      <c r="M234" s="836"/>
      <c r="N234" s="836"/>
      <c r="O234" s="48">
        <f>IF(t&lt;Tnet,'2029'!Resal+('2029'!Salim-'2029'!Resal)*(1-EXP(('2029'!Tnet-t)/('2029'!Tau_j))),Resal+(Salim-Resal)*(1-EXP((Tnet-t)/(Tau_j))))*Salcycl</f>
        <v>2.9058907770439426E-2</v>
      </c>
      <c r="P234" s="165">
        <f>(INDEX(Models!$BJ234:$BT234,,T234)*(1-R234)+INDEX(Models!$BJ234:$BT234,,T234+1)*R234-ERP_i)*Q234*Ramure*Pc/MaxiM</f>
        <v>1.2409719504914413E-5</v>
      </c>
      <c r="Q234" s="301">
        <f t="shared" si="80"/>
        <v>0.5</v>
      </c>
      <c r="R234" s="173">
        <f t="shared" si="81"/>
        <v>0.92826833802901088</v>
      </c>
      <c r="S234" s="802">
        <f t="shared" si="82"/>
        <v>0</v>
      </c>
      <c r="T234" s="172">
        <f t="shared" si="83"/>
        <v>6</v>
      </c>
      <c r="U234" s="247">
        <f t="shared" si="84"/>
        <v>0.92826833802901088</v>
      </c>
      <c r="V234" s="378">
        <f t="shared" si="85"/>
        <v>53.965965265596829</v>
      </c>
      <c r="W234" s="397">
        <f t="shared" si="86"/>
        <v>54.155524101840989</v>
      </c>
      <c r="X234" s="153">
        <f t="shared" si="87"/>
        <v>47703</v>
      </c>
      <c r="Y234" s="380">
        <f t="shared" si="88"/>
        <v>52.659191150206034</v>
      </c>
      <c r="Z234" s="380">
        <f t="shared" si="89"/>
        <v>55.002921987556995</v>
      </c>
      <c r="AA234" s="381">
        <f t="shared" si="90"/>
        <v>58.254090990847466</v>
      </c>
      <c r="AB234" s="193">
        <f t="shared" si="91"/>
        <v>47703</v>
      </c>
      <c r="AC234" s="119">
        <f>IF(OR(t&lt;Tnet,NoTnet),'2029'!Resal_s+('2029'!Salim-'2029'!Resal_s)*(1-EXP(('2029'!Tnet_s-t)/'2029'!Tau_j)),Resal_s+(Salim-Resal_s)*(1-EXP((Tnet_s-t)/Tau_j)))*Salcycl</f>
        <v>5.5810140506720347E-2</v>
      </c>
      <c r="AD234" s="227">
        <f>(INDEX(Models!$BJ234:$BT234,,AH234)*(1-AF234)+INDEX(Models!$BJ234:$BT234,,AH234+1)*AF234-ERP_i)*AE234*Ramure*Pc/MaxiM</f>
        <v>9.3063352542602898E-5</v>
      </c>
      <c r="AE234" s="301">
        <f t="shared" si="92"/>
        <v>0.5</v>
      </c>
      <c r="AF234" s="173">
        <f t="shared" si="93"/>
        <v>0.45325590440298846</v>
      </c>
      <c r="AG234" s="802">
        <f t="shared" si="99"/>
        <v>4</v>
      </c>
      <c r="AH234" s="172">
        <f t="shared" si="94"/>
        <v>10</v>
      </c>
      <c r="AI234" s="221">
        <f t="shared" si="95"/>
        <v>4.4532559044029885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47704</v>
      </c>
      <c r="B235" s="406">
        <f>'2029'!Wh/'2029'!Env_an*'2030'!Env_an</f>
        <v>51.632773840050326</v>
      </c>
      <c r="C235" s="832"/>
      <c r="D235" s="388">
        <f t="shared" si="77"/>
        <v>53.931559649946095</v>
      </c>
      <c r="E235" s="380">
        <f t="shared" si="100"/>
        <v>55.548472745626697</v>
      </c>
      <c r="F235" s="380">
        <f t="shared" si="78"/>
        <v>55.549179338203054</v>
      </c>
      <c r="G235" s="110">
        <f t="shared" si="101"/>
        <v>0.96093566901857563</v>
      </c>
      <c r="H235" s="409" t="b">
        <f>Wh_hp&gt;='2029'!Maxi_hp</f>
        <v>0</v>
      </c>
      <c r="I235" s="385">
        <f>IF(H235,Wh_hp,'2029'!Maxi_hp)</f>
        <v>55.549201670831643</v>
      </c>
      <c r="J235" s="85">
        <f>IF(H235,An,'2029'!An_max)</f>
        <v>2029</v>
      </c>
      <c r="K235" s="193">
        <f t="shared" si="79"/>
        <v>47704</v>
      </c>
      <c r="L235" s="143">
        <f>IF(t&lt;Tvie,1-EXP((T0-t)*PertePVj)+'2029'!Pspv,1-EXP((T0-t)*PertePVj)+Pspv)</f>
        <v>4.2624130005075145E-2</v>
      </c>
      <c r="M235" s="836"/>
      <c r="N235" s="836"/>
      <c r="O235" s="48">
        <f>IF(t&lt;Tnet,'2029'!Resal+('2029'!Salim-'2029'!Resal)*(1-EXP(('2029'!Tnet-t)/('2029'!Tau_j))),Resal+(Salim-Resal)*(1-EXP((Tnet-t)/(Tau_j))))*Salcycl</f>
        <v>2.9108146736723767E-2</v>
      </c>
      <c r="P235" s="165">
        <f>(INDEX(Models!$BJ235:$BT235,,T235)*(1-R235)+INDEX(Models!$BJ235:$BT235,,T235+1)*R235-ERP_i)*Q235*Ramure*Pc/MaxiM</f>
        <v>1.3471929396469202E-5</v>
      </c>
      <c r="Q235" s="301">
        <f t="shared" si="80"/>
        <v>0.5</v>
      </c>
      <c r="R235" s="173">
        <f t="shared" si="81"/>
        <v>0.92977969889763923</v>
      </c>
      <c r="S235" s="802">
        <f t="shared" si="82"/>
        <v>0</v>
      </c>
      <c r="T235" s="172">
        <f t="shared" si="83"/>
        <v>6</v>
      </c>
      <c r="U235" s="247">
        <f t="shared" si="84"/>
        <v>0.92977969889763923</v>
      </c>
      <c r="V235" s="378">
        <f t="shared" si="85"/>
        <v>53.731729070490516</v>
      </c>
      <c r="W235" s="397">
        <f t="shared" si="86"/>
        <v>51.632773840050326</v>
      </c>
      <c r="X235" s="153">
        <f t="shared" si="87"/>
        <v>47704</v>
      </c>
      <c r="Y235" s="380">
        <f t="shared" si="88"/>
        <v>50.207382579477716</v>
      </c>
      <c r="Z235" s="380">
        <f t="shared" si="89"/>
        <v>52.442707355621856</v>
      </c>
      <c r="AA235" s="381">
        <f t="shared" si="90"/>
        <v>55.543956153843055</v>
      </c>
      <c r="AB235" s="193">
        <f t="shared" si="91"/>
        <v>47704</v>
      </c>
      <c r="AC235" s="119">
        <f>IF(OR(t&lt;Tnet,NoTnet),'2029'!Resal_s+('2029'!Salim-'2029'!Resal_s)*(1-EXP(('2029'!Tnet_s-t)/'2029'!Tau_j)),Resal_s+(Salim-Resal_s)*(1-EXP((Tnet_s-t)/Tau_j)))*Salcycl</f>
        <v>5.5834135934277079E-2</v>
      </c>
      <c r="AD235" s="227">
        <f>(INDEX(Models!$BJ235:$BT235,,AH235)*(1-AF235)+INDEX(Models!$BJ235:$BT235,,AH235+1)*AF235-ERP_i)*AE235*Ramure*Pc/MaxiM</f>
        <v>9.9585494211621093E-5</v>
      </c>
      <c r="AE235" s="301">
        <f t="shared" si="92"/>
        <v>0.5</v>
      </c>
      <c r="AF235" s="173">
        <f t="shared" si="93"/>
        <v>0.45476726527161659</v>
      </c>
      <c r="AG235" s="802">
        <f t="shared" si="99"/>
        <v>4</v>
      </c>
      <c r="AH235" s="172">
        <f t="shared" si="94"/>
        <v>10</v>
      </c>
      <c r="AI235" s="221">
        <f t="shared" si="95"/>
        <v>4.4547672652716166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47705</v>
      </c>
      <c r="B236" s="406">
        <f>'2029'!Wh/'2029'!Env_an*'2030'!Env_an</f>
        <v>50.14417816249594</v>
      </c>
      <c r="C236" s="832"/>
      <c r="D236" s="388">
        <f t="shared" si="77"/>
        <v>52.377405964752853</v>
      </c>
      <c r="E236" s="380">
        <f t="shared" si="100"/>
        <v>53.950453973489445</v>
      </c>
      <c r="F236" s="380">
        <f t="shared" si="78"/>
        <v>53.951169898635811</v>
      </c>
      <c r="G236" s="110">
        <f t="shared" si="101"/>
        <v>0.93736685223149785</v>
      </c>
      <c r="H236" s="409" t="b">
        <f>Wh_hp&gt;='2029'!Maxi_hp</f>
        <v>0</v>
      </c>
      <c r="I236" s="385">
        <f>IF(H236,Wh_hp,'2029'!Maxi_hp)</f>
        <v>53.951207460934612</v>
      </c>
      <c r="J236" s="85">
        <f>IF(H236,An,'2029'!An_max)</f>
        <v>2029</v>
      </c>
      <c r="K236" s="193">
        <f t="shared" si="79"/>
        <v>47705</v>
      </c>
      <c r="L236" s="143">
        <f>IF(t&lt;Tvie,1-EXP((T0-t)*PertePVj)+'2029'!Pspv,1-EXP((T0-t)*PertePVj)+Pspv)</f>
        <v>4.2637235676767804E-2</v>
      </c>
      <c r="M236" s="836"/>
      <c r="N236" s="836"/>
      <c r="O236" s="48">
        <f>IF(t&lt;Tnet,'2029'!Resal+('2029'!Salim-'2029'!Resal)*(1-EXP(('2029'!Tnet-t)/('2029'!Tau_j))),Resal+(Salim-Resal)*(1-EXP((Tnet-t)/(Tau_j))))*Salcycl</f>
        <v>2.9157271030741838E-2</v>
      </c>
      <c r="P236" s="165">
        <f>(INDEX(Models!$BJ236:$BT236,,T236)*(1-R236)+INDEX(Models!$BJ236:$BT236,,T236+1)*R236-ERP_i)*Q236*Ramure*Pc/MaxiM</f>
        <v>1.4573856345034989E-5</v>
      </c>
      <c r="Q236" s="301">
        <f t="shared" si="80"/>
        <v>0.5</v>
      </c>
      <c r="R236" s="173">
        <f t="shared" si="81"/>
        <v>0.93123957436353633</v>
      </c>
      <c r="S236" s="802">
        <f t="shared" si="82"/>
        <v>0</v>
      </c>
      <c r="T236" s="172">
        <f t="shared" si="83"/>
        <v>6</v>
      </c>
      <c r="U236" s="247">
        <f t="shared" si="84"/>
        <v>0.93123957436353633</v>
      </c>
      <c r="V236" s="378">
        <f t="shared" si="85"/>
        <v>53.4946511657174</v>
      </c>
      <c r="W236" s="397">
        <f t="shared" si="86"/>
        <v>50.14417816249594</v>
      </c>
      <c r="X236" s="153">
        <f t="shared" si="87"/>
        <v>47705</v>
      </c>
      <c r="Y236" s="380">
        <f t="shared" si="88"/>
        <v>48.761011224176848</v>
      </c>
      <c r="Z236" s="380">
        <f t="shared" si="89"/>
        <v>50.932638119309367</v>
      </c>
      <c r="AA236" s="381">
        <f t="shared" si="90"/>
        <v>53.94594992271373</v>
      </c>
      <c r="AB236" s="193">
        <f t="shared" si="91"/>
        <v>47705</v>
      </c>
      <c r="AC236" s="119">
        <f>IF(OR(t&lt;Tnet,NoTnet),'2029'!Resal_s+('2029'!Salim-'2029'!Resal_s)*(1-EXP(('2029'!Tnet_s-t)/'2029'!Tau_j)),Resal_s+(Salim-Resal_s)*(1-EXP((Tnet_s-t)/Tau_j)))*Salcycl</f>
        <v>5.5857980213925594E-2</v>
      </c>
      <c r="AD236" s="227">
        <f>(INDEX(Models!$BJ236:$BT236,,AH236)*(1-AF236)+INDEX(Models!$BJ236:$BT236,,AH236+1)*AF236-ERP_i)*AE236*Ramure*Pc/MaxiM</f>
        <v>1.0626135930459594E-4</v>
      </c>
      <c r="AE236" s="301">
        <f t="shared" si="92"/>
        <v>0.5</v>
      </c>
      <c r="AF236" s="173">
        <f t="shared" si="93"/>
        <v>0.45622714073751336</v>
      </c>
      <c r="AG236" s="802">
        <f t="shared" si="99"/>
        <v>4</v>
      </c>
      <c r="AH236" s="172">
        <f t="shared" si="94"/>
        <v>10</v>
      </c>
      <c r="AI236" s="221">
        <f t="shared" si="95"/>
        <v>4.4562271407375134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47706</v>
      </c>
      <c r="B237" s="406">
        <f>'2029'!Wh/'2029'!Env_an*'2030'!Env_an</f>
        <v>47.324085538075742</v>
      </c>
      <c r="C237" s="832"/>
      <c r="D237" s="388">
        <f t="shared" si="77"/>
        <v>49.432394007289787</v>
      </c>
      <c r="E237" s="380">
        <f t="shared" si="100"/>
        <v>50.919565079500501</v>
      </c>
      <c r="F237" s="380">
        <f t="shared" si="78"/>
        <v>50.920238022683698</v>
      </c>
      <c r="G237" s="110">
        <f t="shared" si="101"/>
        <v>0.88862894925231783</v>
      </c>
      <c r="H237" s="409" t="b">
        <f>Wh_hp&gt;='2029'!Maxi_hp</f>
        <v>0</v>
      </c>
      <c r="I237" s="385">
        <f>IF(H237,Wh_hp,'2029'!Maxi_hp)</f>
        <v>50.92030589939894</v>
      </c>
      <c r="J237" s="85">
        <f>IF(H237,An,'2029'!An_max)</f>
        <v>2029</v>
      </c>
      <c r="K237" s="193">
        <f t="shared" si="79"/>
        <v>47706</v>
      </c>
      <c r="L237" s="143">
        <f>IF(t&lt;Tvie,1-EXP((T0-t)*PertePVj)+'2029'!Pspv,1-EXP((T0-t)*PertePVj)+Pspv)</f>
        <v>4.2650341169054751E-2</v>
      </c>
      <c r="M237" s="836"/>
      <c r="N237" s="836"/>
      <c r="O237" s="48">
        <f>IF(t&lt;Tnet,'2029'!Resal+('2029'!Salim-'2029'!Resal)*(1-EXP(('2029'!Tnet-t)/('2029'!Tau_j))),Resal+(Salim-Resal)*(1-EXP((Tnet-t)/(Tau_j))))*Salcycl</f>
        <v>2.9206279941488132E-2</v>
      </c>
      <c r="P237" s="165">
        <f>(INDEX(Models!$BJ237:$BT237,,T237)*(1-R237)+INDEX(Models!$BJ237:$BT237,,T237+1)*R237-ERP_i)*Q237*Ramure*Pc/MaxiM</f>
        <v>1.5716026646537221E-5</v>
      </c>
      <c r="Q237" s="301">
        <f t="shared" si="80"/>
        <v>0.5</v>
      </c>
      <c r="R237" s="173">
        <f t="shared" si="81"/>
        <v>0.93264938046987877</v>
      </c>
      <c r="S237" s="802">
        <f t="shared" si="82"/>
        <v>0</v>
      </c>
      <c r="T237" s="172">
        <f t="shared" si="83"/>
        <v>6</v>
      </c>
      <c r="U237" s="247">
        <f t="shared" si="84"/>
        <v>0.93264938046987877</v>
      </c>
      <c r="V237" s="378">
        <f t="shared" si="85"/>
        <v>53.255036590347196</v>
      </c>
      <c r="W237" s="397">
        <f t="shared" si="86"/>
        <v>47.324085538075742</v>
      </c>
      <c r="X237" s="153">
        <f t="shared" si="87"/>
        <v>47706</v>
      </c>
      <c r="Y237" s="380">
        <f t="shared" si="88"/>
        <v>46.019949416617443</v>
      </c>
      <c r="Z237" s="380">
        <f t="shared" si="89"/>
        <v>48.070158057834469</v>
      </c>
      <c r="AA237" s="381">
        <f t="shared" si="90"/>
        <v>50.915395509583306</v>
      </c>
      <c r="AB237" s="193">
        <f t="shared" si="91"/>
        <v>47706</v>
      </c>
      <c r="AC237" s="119">
        <f>IF(OR(t&lt;Tnet,NoTnet),'2029'!Resal_s+('2029'!Salim-'2029'!Resal_s)*(1-EXP(('2029'!Tnet_s-t)/'2029'!Tau_j)),Resal_s+(Salim-Resal_s)*(1-EXP((Tnet_s-t)/Tau_j)))*Salcycl</f>
        <v>5.5881672395401663E-2</v>
      </c>
      <c r="AD237" s="227">
        <f>(INDEX(Models!$BJ237:$BT237,,AH237)*(1-AF237)+INDEX(Models!$BJ237:$BT237,,AH237+1)*AF237-ERP_i)*AE237*Ramure*Pc/MaxiM</f>
        <v>1.1309285363500474E-4</v>
      </c>
      <c r="AE237" s="301">
        <f t="shared" si="92"/>
        <v>0.5</v>
      </c>
      <c r="AF237" s="173">
        <f t="shared" si="93"/>
        <v>0.4576369468438557</v>
      </c>
      <c r="AG237" s="802">
        <f t="shared" si="99"/>
        <v>4</v>
      </c>
      <c r="AH237" s="172">
        <f t="shared" si="94"/>
        <v>10</v>
      </c>
      <c r="AI237" s="221">
        <f t="shared" si="95"/>
        <v>4.4576369468438557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47707</v>
      </c>
      <c r="B238" s="406">
        <f>'2029'!Wh/'2029'!Env_an*'2030'!Env_an</f>
        <v>0</v>
      </c>
      <c r="C238" s="832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Wh_hp&gt;='2029'!Maxi_hp</f>
        <v>1</v>
      </c>
      <c r="I238" s="385">
        <f>IF(H238,Wh_hp,'2029'!Maxi_hp)</f>
        <v>0</v>
      </c>
      <c r="J238" s="85">
        <f>IF(H238,An,'2029'!An_max)</f>
        <v>2030</v>
      </c>
      <c r="K238" s="193">
        <f t="shared" si="79"/>
        <v>47707</v>
      </c>
      <c r="L238" s="143">
        <f>IF(t&lt;Tvie,1-EXP((T0-t)*PertePVj)+'2029'!Pspv,1-EXP((T0-t)*PertePVj)+Pspv)</f>
        <v>4.2663446481938538E-2</v>
      </c>
      <c r="M238" s="836"/>
      <c r="N238" s="836"/>
      <c r="O238" s="48">
        <f>IF(t&lt;Tnet,'2029'!Resal+('2029'!Salim-'2029'!Resal)*(1-EXP(('2029'!Tnet-t)/('2029'!Tau_j))),Resal+(Salim-Resal)*(1-EXP((Tnet-t)/(Tau_j))))*Salcycl</f>
        <v>2.9255172324015196E-2</v>
      </c>
      <c r="P238" s="165">
        <f>(INDEX(Models!$BJ238:$BT238,,T238)*(1-R238)+INDEX(Models!$BJ238:$BT238,,T238+1)*R238-ERP_i)*Q238*Ramure*Pc/MaxiM</f>
        <v>1.6898952998782827E-5</v>
      </c>
      <c r="Q238" s="301">
        <f t="shared" si="80"/>
        <v>0.5</v>
      </c>
      <c r="R238" s="173">
        <f t="shared" si="81"/>
        <v>0.93401051945744484</v>
      </c>
      <c r="S238" s="802">
        <f t="shared" si="82"/>
        <v>0</v>
      </c>
      <c r="T238" s="172">
        <f t="shared" si="83"/>
        <v>6</v>
      </c>
      <c r="U238" s="247">
        <f t="shared" si="84"/>
        <v>0.93401051945744484</v>
      </c>
      <c r="V238" s="378">
        <f t="shared" si="85"/>
        <v>53.013190325987473</v>
      </c>
      <c r="W238" s="397">
        <f t="shared" si="86"/>
        <v>0</v>
      </c>
      <c r="X238" s="153">
        <f t="shared" si="87"/>
        <v>47707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47707</v>
      </c>
      <c r="AC238" s="119">
        <f>IF(OR(t&lt;Tnet,NoTnet),'2029'!Resal_s+('2029'!Salim-'2029'!Resal_s)*(1-EXP(('2029'!Tnet_s-t)/'2029'!Tau_j)),Resal_s+(Salim-Resal_s)*(1-EXP((Tnet_s-t)/Tau_j)))*Salcycl</f>
        <v>5.5905210702397297E-2</v>
      </c>
      <c r="AD238" s="227">
        <f>(INDEX(Models!$BJ238:$BT238,,AH238)*(1-AF238)+INDEX(Models!$BJ238:$BT238,,AH238+1)*AF238-ERP_i)*AE238*Ramure*Pc/MaxiM</f>
        <v>1.2008178318912861E-4</v>
      </c>
      <c r="AE238" s="301">
        <f t="shared" si="92"/>
        <v>0.5</v>
      </c>
      <c r="AF238" s="173">
        <f t="shared" si="93"/>
        <v>0.45899808583142221</v>
      </c>
      <c r="AG238" s="802">
        <f t="shared" si="99"/>
        <v>4</v>
      </c>
      <c r="AH238" s="172">
        <f t="shared" si="94"/>
        <v>10</v>
      </c>
      <c r="AI238" s="221">
        <f t="shared" si="95"/>
        <v>4.4589980858314222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47708</v>
      </c>
      <c r="B239" s="406">
        <f>'2029'!Wh/'2029'!Env_an*'2030'!Env_an</f>
        <v>35.172520567540495</v>
      </c>
      <c r="C239" s="832"/>
      <c r="D239" s="388">
        <f t="shared" si="77"/>
        <v>36.740477449802214</v>
      </c>
      <c r="E239" s="380">
        <f t="shared" si="100"/>
        <v>37.849620715198924</v>
      </c>
      <c r="F239" s="380">
        <f t="shared" si="78"/>
        <v>37.84997989598898</v>
      </c>
      <c r="G239" s="110">
        <f t="shared" si="101"/>
        <v>0.66652653570198839</v>
      </c>
      <c r="H239" s="409" t="b">
        <f>Wh_hp&gt;='2029'!Maxi_hp</f>
        <v>0</v>
      </c>
      <c r="I239" s="385">
        <f>IF(H239,Wh_hp,'2029'!Maxi_hp)</f>
        <v>37.850153606716795</v>
      </c>
      <c r="J239" s="85">
        <f>IF(H239,An,'2029'!An_max)</f>
        <v>2029</v>
      </c>
      <c r="K239" s="193">
        <f t="shared" si="79"/>
        <v>47708</v>
      </c>
      <c r="L239" s="143">
        <f>IF(t&lt;Tvie,1-EXP((T0-t)*PertePVj)+'2029'!Pspv,1-EXP((T0-t)*PertePVj)+Pspv)</f>
        <v>4.267655161542161E-2</v>
      </c>
      <c r="M239" s="836"/>
      <c r="N239" s="836"/>
      <c r="O239" s="48">
        <f>IF(t&lt;Tnet,'2029'!Resal+('2029'!Salim-'2029'!Resal)*(1-EXP(('2029'!Tnet-t)/('2029'!Tau_j))),Resal+(Salim-Resal)*(1-EXP((Tnet-t)/(Tau_j))))*Salcycl</f>
        <v>2.9303946629809181E-2</v>
      </c>
      <c r="P239" s="165">
        <f>(INDEX(Models!$BJ239:$BT239,,T239)*(1-R239)+INDEX(Models!$BJ239:$BT239,,T239+1)*R239-ERP_i)*Q239*Ramure*Pc/MaxiM</f>
        <v>1.8123131750550542E-5</v>
      </c>
      <c r="Q239" s="301">
        <f t="shared" si="80"/>
        <v>0.5</v>
      </c>
      <c r="R239" s="173">
        <f t="shared" si="81"/>
        <v>0.93532437778518851</v>
      </c>
      <c r="S239" s="802">
        <f t="shared" si="82"/>
        <v>0</v>
      </c>
      <c r="T239" s="172">
        <f t="shared" si="83"/>
        <v>6</v>
      </c>
      <c r="U239" s="247">
        <f t="shared" si="84"/>
        <v>0.93532437778518851</v>
      </c>
      <c r="V239" s="378">
        <f t="shared" si="85"/>
        <v>52.769417295876906</v>
      </c>
      <c r="W239" s="397">
        <f t="shared" si="86"/>
        <v>35.172520567540495</v>
      </c>
      <c r="X239" s="153">
        <f t="shared" si="87"/>
        <v>47708</v>
      </c>
      <c r="Y239" s="380">
        <f t="shared" si="88"/>
        <v>34.20584005856086</v>
      </c>
      <c r="Z239" s="380">
        <f t="shared" si="89"/>
        <v>35.730703260513479</v>
      </c>
      <c r="AA239" s="381">
        <f t="shared" si="90"/>
        <v>37.847458338721388</v>
      </c>
      <c r="AB239" s="193">
        <f t="shared" si="91"/>
        <v>47708</v>
      </c>
      <c r="AC239" s="119">
        <f>IF(OR(t&lt;Tnet,NoTnet),'2029'!Resal_s+('2029'!Salim-'2029'!Resal_s)*(1-EXP(('2029'!Tnet_s-t)/'2029'!Tau_j)),Resal_s+(Salim-Resal_s)*(1-EXP((Tnet_s-t)/Tau_j)))*Salcycl</f>
        <v>5.5928592595669166E-2</v>
      </c>
      <c r="AD239" s="227">
        <f>(INDEX(Models!$BJ239:$BT239,,AH239)*(1-AF239)+INDEX(Models!$BJ239:$BT239,,AH239+1)*AF239-ERP_i)*AE239*Ramure*Pc/MaxiM</f>
        <v>1.2722984035282587E-4</v>
      </c>
      <c r="AE239" s="301">
        <f t="shared" si="92"/>
        <v>0.5</v>
      </c>
      <c r="AF239" s="173">
        <f t="shared" si="93"/>
        <v>0.46031194415916588</v>
      </c>
      <c r="AG239" s="802">
        <f t="shared" si="99"/>
        <v>4</v>
      </c>
      <c r="AH239" s="172">
        <f t="shared" si="94"/>
        <v>10</v>
      </c>
      <c r="AI239" s="221">
        <f t="shared" si="95"/>
        <v>4.4603119441591659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47709</v>
      </c>
      <c r="B240" s="406">
        <f>'2029'!Wh/'2029'!Env_an*'2030'!Env_an</f>
        <v>35.237446010095802</v>
      </c>
      <c r="C240" s="832"/>
      <c r="D240" s="388">
        <f t="shared" si="77"/>
        <v>36.808801087245584</v>
      </c>
      <c r="E240" s="380">
        <f t="shared" si="100"/>
        <v>37.921907711048178</v>
      </c>
      <c r="F240" s="380">
        <f t="shared" si="78"/>
        <v>37.92229761518049</v>
      </c>
      <c r="G240" s="110">
        <f t="shared" si="101"/>
        <v>0.67087636286473418</v>
      </c>
      <c r="H240" s="409" t="b">
        <f>Wh_hp&gt;='2029'!Maxi_hp</f>
        <v>0</v>
      </c>
      <c r="I240" s="385">
        <f>IF(H240,Wh_hp,'2029'!Maxi_hp)</f>
        <v>37.922481293251799</v>
      </c>
      <c r="J240" s="85">
        <f>IF(H240,An,'2029'!An_max)</f>
        <v>2029</v>
      </c>
      <c r="K240" s="193">
        <f t="shared" si="79"/>
        <v>47709</v>
      </c>
      <c r="L240" s="143">
        <f>IF(t&lt;Tvie,1-EXP((T0-t)*PertePVj)+'2029'!Pspv,1-EXP((T0-t)*PertePVj)+Pspv)</f>
        <v>4.2689656569506296E-2</v>
      </c>
      <c r="M240" s="836"/>
      <c r="N240" s="836"/>
      <c r="O240" s="48">
        <f>IF(t&lt;Tnet,'2029'!Resal+('2029'!Salim-'2029'!Resal)*(1-EXP(('2029'!Tnet-t)/('2029'!Tau_j))),Resal+(Salim-Resal)*(1-EXP((Tnet-t)/(Tau_j))))*Salcycl</f>
        <v>2.9352600936748217E-2</v>
      </c>
      <c r="P240" s="165">
        <f>(INDEX(Models!$BJ240:$BT240,,T240)*(1-R240)+INDEX(Models!$BJ240:$BT240,,T240+1)*R240-ERP_i)*Q240*Ramure*Pc/MaxiM</f>
        <v>1.9405503377886955E-5</v>
      </c>
      <c r="Q240" s="301">
        <f t="shared" si="80"/>
        <v>0.5</v>
      </c>
      <c r="R240" s="173">
        <f t="shared" si="81"/>
        <v>0.93659232434613737</v>
      </c>
      <c r="S240" s="802">
        <f t="shared" si="82"/>
        <v>0</v>
      </c>
      <c r="T240" s="172">
        <f t="shared" si="83"/>
        <v>6</v>
      </c>
      <c r="U240" s="247">
        <f t="shared" si="84"/>
        <v>0.93659232434613737</v>
      </c>
      <c r="V240" s="378">
        <f t="shared" si="85"/>
        <v>52.524021498311456</v>
      </c>
      <c r="W240" s="397">
        <f t="shared" si="86"/>
        <v>35.237446010095802</v>
      </c>
      <c r="X240" s="153">
        <f t="shared" si="87"/>
        <v>47709</v>
      </c>
      <c r="Y240" s="380">
        <f t="shared" si="88"/>
        <v>34.26969929940158</v>
      </c>
      <c r="Z240" s="380">
        <f t="shared" si="89"/>
        <v>35.797899327606878</v>
      </c>
      <c r="AA240" s="381">
        <f t="shared" si="90"/>
        <v>37.919567973476461</v>
      </c>
      <c r="AB240" s="193">
        <f t="shared" si="91"/>
        <v>47709</v>
      </c>
      <c r="AC240" s="119">
        <f>IF(OR(t&lt;Tnet,NoTnet),'2029'!Resal_s+('2029'!Salim-'2029'!Resal_s)*(1-EXP(('2029'!Tnet_s-t)/'2029'!Tau_j)),Resal_s+(Salim-Resal_s)*(1-EXP((Tnet_s-t)/Tau_j)))*Salcycl</f>
        <v>5.5951814834853175E-2</v>
      </c>
      <c r="AD240" s="227">
        <f>(INDEX(Models!$BJ240:$BT240,,AH240)*(1-AF240)+INDEX(Models!$BJ240:$BT240,,AH240+1)*AF240-ERP_i)*AE240*Ramure*Pc/MaxiM</f>
        <v>1.3585409057703053E-4</v>
      </c>
      <c r="AE240" s="301">
        <f t="shared" si="92"/>
        <v>0.5</v>
      </c>
      <c r="AF240" s="173">
        <f t="shared" si="93"/>
        <v>0.46157989072011496</v>
      </c>
      <c r="AG240" s="802">
        <f t="shared" si="99"/>
        <v>4</v>
      </c>
      <c r="AH240" s="172">
        <f t="shared" si="94"/>
        <v>10</v>
      </c>
      <c r="AI240" s="221">
        <f t="shared" si="95"/>
        <v>4.461579890720115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47710</v>
      </c>
      <c r="B241" s="406">
        <f>'2029'!Wh/'2029'!Env_an*'2030'!Env_an</f>
        <v>35.638577272207272</v>
      </c>
      <c r="C241" s="832"/>
      <c r="D241" s="388">
        <f t="shared" si="77"/>
        <v>37.228329752887845</v>
      </c>
      <c r="E241" s="380">
        <f t="shared" si="100"/>
        <v>38.356040809237911</v>
      </c>
      <c r="F241" s="380">
        <f t="shared" si="78"/>
        <v>38.356473812277422</v>
      </c>
      <c r="G241" s="110">
        <f t="shared" si="101"/>
        <v>0.68171529385773055</v>
      </c>
      <c r="H241" s="409" t="b">
        <f>Wh_hp&gt;='2029'!Maxi_hp</f>
        <v>0</v>
      </c>
      <c r="I241" s="385">
        <f>IF(H241,Wh_hp,'2029'!Maxi_hp)</f>
        <v>38.356665226910529</v>
      </c>
      <c r="J241" s="85">
        <f>IF(H241,An,'2029'!An_max)</f>
        <v>2029</v>
      </c>
      <c r="K241" s="193">
        <f t="shared" si="79"/>
        <v>47710</v>
      </c>
      <c r="L241" s="143">
        <f>IF(t&lt;Tvie,1-EXP((T0-t)*PertePVj)+'2029'!Pspv,1-EXP((T0-t)*PertePVj)+Pspv)</f>
        <v>4.2702761344195261E-2</v>
      </c>
      <c r="M241" s="836"/>
      <c r="N241" s="836"/>
      <c r="O241" s="48">
        <f>IF(t&lt;Tnet,'2029'!Resal+('2029'!Salim-'2029'!Resal)*(1-EXP(('2029'!Tnet-t)/('2029'!Tau_j))),Resal+(Salim-Resal)*(1-EXP((Tnet-t)/(Tau_j))))*Salcycl</f>
        <v>2.940113297821037E-2</v>
      </c>
      <c r="P241" s="165">
        <f>(INDEX(Models!$BJ241:$BT241,,T241)*(1-R241)+INDEX(Models!$BJ241:$BT241,,T241+1)*R241-ERP_i)*Q241*Ramure*Pc/MaxiM</f>
        <v>2.0701577875435258E-5</v>
      </c>
      <c r="Q241" s="301">
        <f t="shared" si="80"/>
        <v>0.5</v>
      </c>
      <c r="R241" s="173">
        <f t="shared" si="81"/>
        <v>0.93781570886917764</v>
      </c>
      <c r="S241" s="802">
        <f t="shared" si="82"/>
        <v>0</v>
      </c>
      <c r="T241" s="172">
        <f t="shared" si="83"/>
        <v>6</v>
      </c>
      <c r="U241" s="247">
        <f t="shared" si="84"/>
        <v>0.93781570886917764</v>
      </c>
      <c r="V241" s="378">
        <f t="shared" si="85"/>
        <v>52.277310096561742</v>
      </c>
      <c r="W241" s="397">
        <f t="shared" si="86"/>
        <v>35.638577272207272</v>
      </c>
      <c r="X241" s="153">
        <f t="shared" si="87"/>
        <v>47710</v>
      </c>
      <c r="Y241" s="380">
        <f t="shared" si="88"/>
        <v>34.660474768476995</v>
      </c>
      <c r="Z241" s="380">
        <f t="shared" si="89"/>
        <v>36.206596414239876</v>
      </c>
      <c r="AA241" s="381">
        <f t="shared" si="90"/>
        <v>38.353424500406028</v>
      </c>
      <c r="AB241" s="193">
        <f t="shared" si="91"/>
        <v>47710</v>
      </c>
      <c r="AC241" s="119">
        <f>IF(OR(t&lt;Tnet,NoTnet),'2029'!Resal_s+('2029'!Salim-'2029'!Resal_s)*(1-EXP(('2029'!Tnet_s-t)/'2029'!Tau_j)),Resal_s+(Salim-Resal_s)*(1-EXP((Tnet_s-t)/Tau_j)))*Salcycl</f>
        <v>5.597487353817459E-2</v>
      </c>
      <c r="AD241" s="227">
        <f>(INDEX(Models!$BJ241:$BT241,,AH241)*(1-AF241)+INDEX(Models!$BJ241:$BT241,,AH241+1)*AF241-ERP_i)*AE241*Ramure*Pc/MaxiM</f>
        <v>1.4578550590148816E-4</v>
      </c>
      <c r="AE241" s="301">
        <f t="shared" si="92"/>
        <v>0.5</v>
      </c>
      <c r="AF241" s="173">
        <f t="shared" si="93"/>
        <v>0.46280327524315457</v>
      </c>
      <c r="AG241" s="802">
        <f t="shared" si="99"/>
        <v>4</v>
      </c>
      <c r="AH241" s="172">
        <f t="shared" si="94"/>
        <v>10</v>
      </c>
      <c r="AI241" s="221">
        <f t="shared" si="95"/>
        <v>4.4628032752431546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47711</v>
      </c>
      <c r="B242" s="406">
        <f>'2029'!Wh/'2029'!Env_an*'2030'!Env_an</f>
        <v>36.913476138521311</v>
      </c>
      <c r="C242" s="832"/>
      <c r="D242" s="388">
        <f t="shared" si="77"/>
        <v>38.560626699144727</v>
      </c>
      <c r="E242" s="380">
        <f t="shared" si="100"/>
        <v>39.730676863452977</v>
      </c>
      <c r="F242" s="380">
        <f t="shared" si="78"/>
        <v>39.731188430274457</v>
      </c>
      <c r="G242" s="110">
        <f t="shared" si="101"/>
        <v>0.70946437297784193</v>
      </c>
      <c r="H242" s="409" t="b">
        <f>Wh_hp&gt;='2029'!Maxi_hp</f>
        <v>0</v>
      </c>
      <c r="I242" s="385">
        <f>IF(H242,Wh_hp,'2029'!Maxi_hp)</f>
        <v>39.731380632019373</v>
      </c>
      <c r="J242" s="85">
        <f>IF(H242,An,'2029'!An_max)</f>
        <v>2029</v>
      </c>
      <c r="K242" s="193">
        <f t="shared" si="79"/>
        <v>47711</v>
      </c>
      <c r="L242" s="143">
        <f>IF(t&lt;Tvie,1-EXP((T0-t)*PertePVj)+'2029'!Pspv,1-EXP((T0-t)*PertePVj)+Pspv)</f>
        <v>4.2715865939490838E-2</v>
      </c>
      <c r="M242" s="836"/>
      <c r="N242" s="836"/>
      <c r="O242" s="48">
        <f>IF(t&lt;Tnet,'2029'!Resal+('2029'!Salim-'2029'!Resal)*(1-EXP(('2029'!Tnet-t)/('2029'!Tau_j))),Resal+(Salim-Resal)*(1-EXP((Tnet-t)/(Tau_j))))*Salcycl</f>
        <v>2.9449540170923775E-2</v>
      </c>
      <c r="P242" s="165">
        <f>(INDEX(Models!$BJ242:$BT242,,T242)*(1-R242)+INDEX(Models!$BJ242:$BT242,,T242+1)*R242-ERP_i)*Q242*Ramure*Pc/MaxiM</f>
        <v>2.2011308427732176E-5</v>
      </c>
      <c r="Q242" s="301">
        <f t="shared" si="80"/>
        <v>0.5</v>
      </c>
      <c r="R242" s="173">
        <f t="shared" si="81"/>
        <v>0.93899586049719641</v>
      </c>
      <c r="S242" s="802">
        <f t="shared" si="82"/>
        <v>0</v>
      </c>
      <c r="T242" s="172">
        <f t="shared" si="83"/>
        <v>6</v>
      </c>
      <c r="U242" s="247">
        <f t="shared" si="84"/>
        <v>0.93899586049719641</v>
      </c>
      <c r="V242" s="378">
        <f t="shared" si="85"/>
        <v>52.029587831368005</v>
      </c>
      <c r="W242" s="397">
        <f t="shared" si="86"/>
        <v>36.913476138521311</v>
      </c>
      <c r="X242" s="153">
        <f t="shared" si="87"/>
        <v>47711</v>
      </c>
      <c r="Y242" s="380">
        <f t="shared" si="88"/>
        <v>35.900917077618423</v>
      </c>
      <c r="Z242" s="380">
        <f t="shared" si="89"/>
        <v>37.502885298367595</v>
      </c>
      <c r="AA242" s="381">
        <f t="shared" si="90"/>
        <v>39.727538640993643</v>
      </c>
      <c r="AB242" s="193">
        <f t="shared" si="91"/>
        <v>47711</v>
      </c>
      <c r="AC242" s="119">
        <f>IF(OR(t&lt;Tnet,NoTnet),'2029'!Resal_s+('2029'!Salim-'2029'!Resal_s)*(1-EXP(('2029'!Tnet_s-t)/'2029'!Tau_j)),Resal_s+(Salim-Resal_s)*(1-EXP((Tnet_s-t)/Tau_j)))*Salcycl</f>
        <v>5.5997764239300106E-2</v>
      </c>
      <c r="AD242" s="227">
        <f>(INDEX(Models!$BJ242:$BT242,,AH242)*(1-AF242)+INDEX(Models!$BJ242:$BT242,,AH242+1)*AF242-ERP_i)*AE242*Ramure*Pc/MaxiM</f>
        <v>1.5704035950457512E-4</v>
      </c>
      <c r="AE242" s="301">
        <f t="shared" si="92"/>
        <v>0.5</v>
      </c>
      <c r="AF242" s="173">
        <f t="shared" si="93"/>
        <v>0.46398342687117378</v>
      </c>
      <c r="AG242" s="802">
        <f t="shared" si="99"/>
        <v>4</v>
      </c>
      <c r="AH242" s="172">
        <f t="shared" si="94"/>
        <v>10</v>
      </c>
      <c r="AI242" s="221">
        <f t="shared" si="95"/>
        <v>4.4639834268711738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47712</v>
      </c>
      <c r="B243" s="406">
        <f>'2029'!Wh/'2029'!Env_an*'2030'!Env_an</f>
        <v>25.676425983927583</v>
      </c>
      <c r="C243" s="832"/>
      <c r="D243" s="388">
        <f t="shared" si="77"/>
        <v>26.82252485323847</v>
      </c>
      <c r="E243" s="380">
        <f t="shared" si="100"/>
        <v>27.637779075696159</v>
      </c>
      <c r="F243" s="380">
        <f t="shared" si="78"/>
        <v>27.637959528576133</v>
      </c>
      <c r="G243" s="110">
        <f t="shared" si="101"/>
        <v>0.4958559210466964</v>
      </c>
      <c r="H243" s="409" t="b">
        <f>Wh_hp&gt;='2029'!Maxi_hp</f>
        <v>0</v>
      </c>
      <c r="I243" s="385">
        <f>IF(H243,Wh_hp,'2029'!Maxi_hp)</f>
        <v>27.638205186320917</v>
      </c>
      <c r="J243" s="85">
        <f>IF(H243,An,'2029'!An_max)</f>
        <v>2029</v>
      </c>
      <c r="K243" s="193">
        <f t="shared" si="79"/>
        <v>47712</v>
      </c>
      <c r="L243" s="143">
        <f>IF(t&lt;Tvie,1-EXP((T0-t)*PertePVj)+'2029'!Pspv,1-EXP((T0-t)*PertePVj)+Pspv)</f>
        <v>4.2728970355395579E-2</v>
      </c>
      <c r="M243" s="836"/>
      <c r="N243" s="836"/>
      <c r="O243" s="48">
        <f>IF(t&lt;Tnet,'2029'!Resal+('2029'!Salim-'2029'!Resal)*(1-EXP(('2029'!Tnet-t)/('2029'!Tau_j))),Resal+(Salim-Resal)*(1-EXP((Tnet-t)/(Tau_j))))*Salcycl</f>
        <v>2.9497819641180912E-2</v>
      </c>
      <c r="P243" s="165">
        <f>(INDEX(Models!$BJ243:$BT243,,T243)*(1-R243)+INDEX(Models!$BJ243:$BT243,,T243+1)*R243-ERP_i)*Q243*Ramure*Pc/MaxiM</f>
        <v>2.3334618107532812E-5</v>
      </c>
      <c r="Q243" s="301">
        <f t="shared" si="80"/>
        <v>0.5</v>
      </c>
      <c r="R243" s="173">
        <f t="shared" si="81"/>
        <v>0.94013408653204911</v>
      </c>
      <c r="S243" s="802">
        <f t="shared" si="82"/>
        <v>0</v>
      </c>
      <c r="T243" s="172">
        <f t="shared" si="83"/>
        <v>6</v>
      </c>
      <c r="U243" s="247">
        <f t="shared" si="84"/>
        <v>0.94013408653204911</v>
      </c>
      <c r="V243" s="378">
        <f t="shared" si="85"/>
        <v>51.781159379955241</v>
      </c>
      <c r="W243" s="397">
        <f t="shared" si="86"/>
        <v>25.676425983927583</v>
      </c>
      <c r="X243" s="153">
        <f t="shared" si="87"/>
        <v>47712</v>
      </c>
      <c r="Y243" s="380">
        <f t="shared" si="88"/>
        <v>24.973697647290525</v>
      </c>
      <c r="Z243" s="380">
        <f t="shared" si="89"/>
        <v>26.088429372569895</v>
      </c>
      <c r="AA243" s="381">
        <f t="shared" si="90"/>
        <v>27.636647695707143</v>
      </c>
      <c r="AB243" s="193">
        <f t="shared" si="91"/>
        <v>47712</v>
      </c>
      <c r="AC243" s="119">
        <f>IF(OR(t&lt;Tnet,NoTnet),'2029'!Resal_s+('2029'!Salim-'2029'!Resal_s)*(1-EXP(('2029'!Tnet_s-t)/'2029'!Tau_j)),Resal_s+(Salim-Resal_s)*(1-EXP((Tnet_s-t)/Tau_j)))*Salcycl</f>
        <v>5.6020481940642054E-2</v>
      </c>
      <c r="AD243" s="227">
        <f>(INDEX(Models!$BJ243:$BT243,,AH243)*(1-AF243)+INDEX(Models!$BJ243:$BT243,,AH243+1)*AF243-ERP_i)*AE243*Ramure*Pc/MaxiM</f>
        <v>1.6963497076465803E-4</v>
      </c>
      <c r="AE243" s="301">
        <f t="shared" si="92"/>
        <v>0.5</v>
      </c>
      <c r="AF243" s="173">
        <f t="shared" si="93"/>
        <v>0.46512165290602603</v>
      </c>
      <c r="AG243" s="802">
        <f t="shared" si="99"/>
        <v>4</v>
      </c>
      <c r="AH243" s="172">
        <f t="shared" si="94"/>
        <v>10</v>
      </c>
      <c r="AI243" s="221">
        <f t="shared" si="95"/>
        <v>4.465121652906026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47713</v>
      </c>
      <c r="B244" s="406">
        <f>'2029'!Wh/'2029'!Env_an*'2030'!Env_an</f>
        <v>39.178423917050907</v>
      </c>
      <c r="C244" s="832"/>
      <c r="D244" s="388">
        <f t="shared" si="77"/>
        <v>40.927761345353993</v>
      </c>
      <c r="E244" s="380">
        <f t="shared" si="100"/>
        <v>42.173827926203536</v>
      </c>
      <c r="F244" s="380">
        <f t="shared" si="78"/>
        <v>42.174512085688342</v>
      </c>
      <c r="G244" s="110">
        <f t="shared" si="101"/>
        <v>0.76026240954313951</v>
      </c>
      <c r="H244" s="409" t="b">
        <f>Wh_hp&gt;='2029'!Maxi_hp</f>
        <v>0</v>
      </c>
      <c r="I244" s="385">
        <f>IF(H244,Wh_hp,'2029'!Maxi_hp)</f>
        <v>42.174700344926478</v>
      </c>
      <c r="J244" s="85">
        <f>IF(H244,An,'2029'!An_max)</f>
        <v>2029</v>
      </c>
      <c r="K244" s="193">
        <f t="shared" si="79"/>
        <v>47713</v>
      </c>
      <c r="L244" s="143">
        <f>IF(t&lt;Tvie,1-EXP((T0-t)*PertePVj)+'2029'!Pspv,1-EXP((T0-t)*PertePVj)+Pspv)</f>
        <v>4.2742074591911816E-2</v>
      </c>
      <c r="M244" s="836"/>
      <c r="N244" s="836"/>
      <c r="O244" s="48">
        <f>IF(t&lt;Tnet,'2029'!Resal+('2029'!Salim-'2029'!Resal)*(1-EXP(('2029'!Tnet-t)/('2029'!Tau_j))),Resal+(Salim-Resal)*(1-EXP((Tnet-t)/(Tau_j))))*Salcycl</f>
        <v>2.9545968249074645E-2</v>
      </c>
      <c r="P244" s="165">
        <f>(INDEX(Models!$BJ244:$BT244,,T244)*(1-R244)+INDEX(Models!$BJ244:$BT244,,T244+1)*R244-ERP_i)*Q244*Ramure*Pc/MaxiM</f>
        <v>2.467139786998853E-5</v>
      </c>
      <c r="Q244" s="301">
        <f t="shared" si="80"/>
        <v>0.5</v>
      </c>
      <c r="R244" s="173">
        <f t="shared" si="81"/>
        <v>0.9412316713368627</v>
      </c>
      <c r="S244" s="802">
        <f t="shared" si="82"/>
        <v>0</v>
      </c>
      <c r="T244" s="172">
        <f t="shared" si="83"/>
        <v>6</v>
      </c>
      <c r="U244" s="247">
        <f t="shared" si="84"/>
        <v>0.9412316713368627</v>
      </c>
      <c r="V244" s="378">
        <f t="shared" si="85"/>
        <v>51.532329351070828</v>
      </c>
      <c r="W244" s="397">
        <f t="shared" si="86"/>
        <v>39.178423917050907</v>
      </c>
      <c r="X244" s="153">
        <f t="shared" si="87"/>
        <v>47713</v>
      </c>
      <c r="Y244" s="380">
        <f t="shared" si="88"/>
        <v>38.104723214882327</v>
      </c>
      <c r="Z244" s="380">
        <f t="shared" si="89"/>
        <v>39.806119336789948</v>
      </c>
      <c r="AA244" s="381">
        <f t="shared" si="90"/>
        <v>42.169421095664568</v>
      </c>
      <c r="AB244" s="193">
        <f t="shared" si="91"/>
        <v>47713</v>
      </c>
      <c r="AC244" s="119">
        <f>IF(OR(t&lt;Tnet,NoTnet),'2029'!Resal_s+('2029'!Salim-'2029'!Resal_s)*(1-EXP(('2029'!Tnet_s-t)/'2029'!Tau_j)),Resal_s+(Salim-Resal_s)*(1-EXP((Tnet_s-t)/Tau_j)))*Salcycl</f>
        <v>5.6043021162498069E-2</v>
      </c>
      <c r="AD244" s="227">
        <f>(INDEX(Models!$BJ244:$BT244,,AH244)*(1-AF244)+INDEX(Models!$BJ244:$BT244,,AH244+1)*AF244-ERP_i)*AE244*Ramure*Pc/MaxiM</f>
        <v>1.8358561595325281E-4</v>
      </c>
      <c r="AE244" s="301">
        <f t="shared" si="92"/>
        <v>0.5</v>
      </c>
      <c r="AF244" s="173">
        <f t="shared" si="93"/>
        <v>0.46621923771084006</v>
      </c>
      <c r="AG244" s="802">
        <f t="shared" si="99"/>
        <v>4</v>
      </c>
      <c r="AH244" s="172">
        <f t="shared" si="94"/>
        <v>10</v>
      </c>
      <c r="AI244" s="221">
        <f t="shared" si="95"/>
        <v>4.4662192377108401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47714</v>
      </c>
      <c r="B245" s="406">
        <f>'2029'!Wh/'2029'!Env_an*'2030'!Env_an</f>
        <v>38.785607642390254</v>
      </c>
      <c r="C245" s="832"/>
      <c r="D245" s="388">
        <f t="shared" si="77"/>
        <v>40.517960272328445</v>
      </c>
      <c r="E245" s="380">
        <f t="shared" si="100"/>
        <v>41.753616059929492</v>
      </c>
      <c r="F245" s="380">
        <f t="shared" si="78"/>
        <v>41.754324308561614</v>
      </c>
      <c r="G245" s="110">
        <f t="shared" si="101"/>
        <v>0.7562925730361949</v>
      </c>
      <c r="H245" s="409" t="b">
        <f>Wh_hp&gt;='2029'!Maxi_hp</f>
        <v>0</v>
      </c>
      <c r="I245" s="385">
        <f>IF(H245,Wh_hp,'2029'!Maxi_hp)</f>
        <v>41.75452393105094</v>
      </c>
      <c r="J245" s="85">
        <f>IF(H245,An,'2029'!An_max)</f>
        <v>2029</v>
      </c>
      <c r="K245" s="193">
        <f t="shared" si="79"/>
        <v>47714</v>
      </c>
      <c r="L245" s="143">
        <f>IF(t&lt;Tvie,1-EXP((T0-t)*PertePVj)+'2029'!Pspv,1-EXP((T0-t)*PertePVj)+Pspv)</f>
        <v>4.2755178649042103E-2</v>
      </c>
      <c r="M245" s="836"/>
      <c r="N245" s="836"/>
      <c r="O245" s="48">
        <f>IF(t&lt;Tnet,'2029'!Resal+('2029'!Salim-'2029'!Resal)*(1-EXP(('2029'!Tnet-t)/('2029'!Tau_j))),Resal+(Salim-Resal)*(1-EXP((Tnet-t)/(Tau_j))))*Salcycl</f>
        <v>2.9593982610452128E-2</v>
      </c>
      <c r="P245" s="165">
        <f>(INDEX(Models!$BJ245:$BT245,,T245)*(1-R245)+INDEX(Models!$BJ245:$BT245,,T245+1)*R245-ERP_i)*Q245*Ramure*Pc/MaxiM</f>
        <v>2.6021504523356202E-5</v>
      </c>
      <c r="Q245" s="301">
        <f t="shared" si="80"/>
        <v>0.5</v>
      </c>
      <c r="R245" s="173">
        <f t="shared" si="81"/>
        <v>0.94228987538630204</v>
      </c>
      <c r="S245" s="802">
        <f t="shared" si="82"/>
        <v>0</v>
      </c>
      <c r="T245" s="172">
        <f t="shared" si="83"/>
        <v>6</v>
      </c>
      <c r="U245" s="247">
        <f t="shared" si="84"/>
        <v>0.94228987538630204</v>
      </c>
      <c r="V245" s="378">
        <f t="shared" si="85"/>
        <v>51.283402286077312</v>
      </c>
      <c r="W245" s="397">
        <f t="shared" si="86"/>
        <v>38.785607642390254</v>
      </c>
      <c r="X245" s="153">
        <f t="shared" si="87"/>
        <v>47714</v>
      </c>
      <c r="Y245" s="380">
        <f t="shared" si="88"/>
        <v>37.723335661950046</v>
      </c>
      <c r="Z245" s="380">
        <f t="shared" si="89"/>
        <v>39.408242092875646</v>
      </c>
      <c r="AA245" s="381">
        <f t="shared" si="90"/>
        <v>41.748910454579672</v>
      </c>
      <c r="AB245" s="193">
        <f t="shared" si="91"/>
        <v>47714</v>
      </c>
      <c r="AC245" s="119">
        <f>IF(OR(t&lt;Tnet,NoTnet),'2029'!Resal_s+('2029'!Salim-'2029'!Resal_s)*(1-EXP(('2029'!Tnet_s-t)/'2029'!Tau_j)),Resal_s+(Salim-Resal_s)*(1-EXP((Tnet_s-t)/Tau_j)))*Salcycl</f>
        <v>5.6065375987489036E-2</v>
      </c>
      <c r="AD245" s="227">
        <f>(INDEX(Models!$BJ245:$BT245,,AH245)*(1-AF245)+INDEX(Models!$BJ245:$BT245,,AH245+1)*AF245-ERP_i)*AE245*Ramure*Pc/MaxiM</f>
        <v>1.9890843340925746E-4</v>
      </c>
      <c r="AE245" s="301">
        <f t="shared" si="92"/>
        <v>0.5</v>
      </c>
      <c r="AF245" s="173">
        <f t="shared" si="93"/>
        <v>0.46727744176027919</v>
      </c>
      <c r="AG245" s="802">
        <f t="shared" si="99"/>
        <v>4</v>
      </c>
      <c r="AH245" s="172">
        <f t="shared" si="94"/>
        <v>10</v>
      </c>
      <c r="AI245" s="221">
        <f t="shared" si="95"/>
        <v>4.4672774417602792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47715</v>
      </c>
      <c r="B246" s="406">
        <f>'2029'!Wh/'2029'!Env_an*'2030'!Env_an</f>
        <v>50.618297574653937</v>
      </c>
      <c r="C246" s="832"/>
      <c r="D246" s="388">
        <f t="shared" si="77"/>
        <v>52.879879187737551</v>
      </c>
      <c r="E246" s="380">
        <f t="shared" si="100"/>
        <v>54.495218785490387</v>
      </c>
      <c r="F246" s="380">
        <f t="shared" si="78"/>
        <v>54.496693769844931</v>
      </c>
      <c r="G246" s="110">
        <f t="shared" si="101"/>
        <v>0.99184081844997873</v>
      </c>
      <c r="H246" s="409" t="b">
        <f>Wh_hp&gt;='2029'!Maxi_hp</f>
        <v>0</v>
      </c>
      <c r="I246" s="385">
        <f>IF(H246,Wh_hp,'2029'!Maxi_hp)</f>
        <v>54.496702940093506</v>
      </c>
      <c r="J246" s="85">
        <f>IF(H246,An,'2029'!An_max)</f>
        <v>2029</v>
      </c>
      <c r="K246" s="193">
        <f t="shared" si="79"/>
        <v>47715</v>
      </c>
      <c r="L246" s="143">
        <f>IF(t&lt;Tvie,1-EXP((T0-t)*PertePVj)+'2029'!Pspv,1-EXP((T0-t)*PertePVj)+Pspv)</f>
        <v>4.276828252678877E-2</v>
      </c>
      <c r="M246" s="836"/>
      <c r="N246" s="836"/>
      <c r="O246" s="48">
        <f>IF(t&lt;Tnet,'2029'!Resal+('2029'!Salim-'2029'!Resal)*(1-EXP(('2029'!Tnet-t)/('2029'!Tau_j))),Resal+(Salim-Resal)*(1-EXP((Tnet-t)/(Tau_j))))*Salcycl</f>
        <v>2.964185911632548E-2</v>
      </c>
      <c r="P246" s="165">
        <f>(INDEX(Models!$BJ246:$BT246,,T246)*(1-R246)+INDEX(Models!$BJ246:$BT246,,T246+1)*R246-ERP_i)*Q246*Ramure*Pc/MaxiM</f>
        <v>2.7384758677923288E-5</v>
      </c>
      <c r="Q246" s="301">
        <f t="shared" si="80"/>
        <v>0.5</v>
      </c>
      <c r="R246" s="173">
        <f t="shared" si="81"/>
        <v>0.94330993445558731</v>
      </c>
      <c r="S246" s="802">
        <f t="shared" si="82"/>
        <v>0</v>
      </c>
      <c r="T246" s="172">
        <f t="shared" si="83"/>
        <v>6</v>
      </c>
      <c r="U246" s="247">
        <f t="shared" si="84"/>
        <v>0.94330993445558731</v>
      </c>
      <c r="V246" s="378">
        <f t="shared" si="85"/>
        <v>51.034682658845405</v>
      </c>
      <c r="W246" s="397">
        <f t="shared" si="86"/>
        <v>50.618297574653937</v>
      </c>
      <c r="X246" s="153">
        <f t="shared" si="87"/>
        <v>47715</v>
      </c>
      <c r="Y246" s="380">
        <f t="shared" si="88"/>
        <v>49.229609819225651</v>
      </c>
      <c r="Z246" s="380">
        <f t="shared" si="89"/>
        <v>51.429146068390047</v>
      </c>
      <c r="AA246" s="381">
        <f t="shared" si="90"/>
        <v>54.485080188294212</v>
      </c>
      <c r="AB246" s="193">
        <f t="shared" si="91"/>
        <v>47715</v>
      </c>
      <c r="AC246" s="119">
        <f>IF(OR(t&lt;Tnet,NoTnet),'2029'!Resal_s+('2029'!Salim-'2029'!Resal_s)*(1-EXP(('2029'!Tnet_s-t)/'2029'!Tau_j)),Resal_s+(Salim-Resal_s)*(1-EXP((Tnet_s-t)/Tau_j)))*Salcycl</f>
        <v>5.608754009984393E-2</v>
      </c>
      <c r="AD246" s="227">
        <f>(INDEX(Models!$BJ246:$BT246,,AH246)*(1-AF246)+INDEX(Models!$BJ246:$BT246,,AH246+1)*AF246-ERP_i)*AE246*Ramure*Pc/MaxiM</f>
        <v>2.1561932312955231E-4</v>
      </c>
      <c r="AE246" s="301">
        <f t="shared" si="92"/>
        <v>0.5</v>
      </c>
      <c r="AF246" s="173">
        <f t="shared" si="93"/>
        <v>0.46829750082956423</v>
      </c>
      <c r="AG246" s="802">
        <f t="shared" si="99"/>
        <v>4</v>
      </c>
      <c r="AH246" s="172">
        <f t="shared" si="94"/>
        <v>10</v>
      </c>
      <c r="AI246" s="221">
        <f t="shared" si="95"/>
        <v>4.4682975008295642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47716</v>
      </c>
      <c r="B247" s="406">
        <f>'2029'!Wh/'2029'!Env_an*'2030'!Env_an</f>
        <v>36.527787138677738</v>
      </c>
      <c r="C247" s="832"/>
      <c r="D247" s="388">
        <f t="shared" si="77"/>
        <v>38.160339355111731</v>
      </c>
      <c r="E247" s="380">
        <f t="shared" si="100"/>
        <v>39.327970840216501</v>
      </c>
      <c r="F247" s="380">
        <f t="shared" si="78"/>
        <v>39.328648281196166</v>
      </c>
      <c r="G247" s="110">
        <f t="shared" si="101"/>
        <v>0.71922933514613385</v>
      </c>
      <c r="H247" s="409" t="b">
        <f>Wh_hp&gt;='2029'!Maxi_hp</f>
        <v>0</v>
      </c>
      <c r="I247" s="385">
        <f>IF(H247,Wh_hp,'2029'!Maxi_hp)</f>
        <v>39.328887221224242</v>
      </c>
      <c r="J247" s="85">
        <f>IF(H247,An,'2029'!An_max)</f>
        <v>2029</v>
      </c>
      <c r="K247" s="193">
        <f t="shared" si="79"/>
        <v>47716</v>
      </c>
      <c r="L247" s="143">
        <f>IF(t&lt;Tvie,1-EXP((T0-t)*PertePVj)+'2029'!Pspv,1-EXP((T0-t)*PertePVj)+Pspv)</f>
        <v>4.2781386225154372E-2</v>
      </c>
      <c r="M247" s="836"/>
      <c r="N247" s="836"/>
      <c r="O247" s="48">
        <f>IF(t&lt;Tnet,'2029'!Resal+('2029'!Salim-'2029'!Resal)*(1-EXP(('2029'!Tnet-t)/('2029'!Tau_j))),Resal+(Salim-Resal)*(1-EXP((Tnet-t)/(Tau_j))))*Salcycl</f>
        <v>2.9689593949524511E-2</v>
      </c>
      <c r="P247" s="165">
        <f>(INDEX(Models!$BJ247:$BT247,,T247)*(1-R247)+INDEX(Models!$BJ247:$BT247,,T247+1)*R247-ERP_i)*Q247*Ramure*Pc/MaxiM</f>
        <v>2.8760751184909092E-5</v>
      </c>
      <c r="Q247" s="301">
        <f t="shared" si="80"/>
        <v>0.5</v>
      </c>
      <c r="R247" s="173">
        <f t="shared" si="81"/>
        <v>0.94429305893925153</v>
      </c>
      <c r="S247" s="802">
        <f t="shared" si="82"/>
        <v>0</v>
      </c>
      <c r="T247" s="172">
        <f t="shared" si="83"/>
        <v>6</v>
      </c>
      <c r="U247" s="247">
        <f t="shared" si="84"/>
        <v>0.94429305893925153</v>
      </c>
      <c r="V247" s="378">
        <f t="shared" si="85"/>
        <v>50.786813017283308</v>
      </c>
      <c r="W247" s="397">
        <f t="shared" si="86"/>
        <v>36.527787138677738</v>
      </c>
      <c r="X247" s="153">
        <f t="shared" si="87"/>
        <v>47716</v>
      </c>
      <c r="Y247" s="380">
        <f t="shared" si="88"/>
        <v>35.528835094872065</v>
      </c>
      <c r="Z247" s="380">
        <f t="shared" si="89"/>
        <v>37.116740714811321</v>
      </c>
      <c r="AA247" s="381">
        <f t="shared" si="90"/>
        <v>39.323142867697662</v>
      </c>
      <c r="AB247" s="193">
        <f t="shared" si="91"/>
        <v>47716</v>
      </c>
      <c r="AC247" s="119">
        <f>IF(OR(t&lt;Tnet,NoTnet),'2029'!Resal_s+('2029'!Salim-'2029'!Resal_s)*(1-EXP(('2029'!Tnet_s-t)/'2029'!Tau_j)),Resal_s+(Salim-Resal_s)*(1-EXP((Tnet_s-t)/Tau_j)))*Salcycl</f>
        <v>5.6109506819171623E-2</v>
      </c>
      <c r="AD247" s="227">
        <f>(INDEX(Models!$BJ247:$BT247,,AH247)*(1-AF247)+INDEX(Models!$BJ247:$BT247,,AH247+1)*AF247-ERP_i)*AE247*Ramure*Pc/MaxiM</f>
        <v>2.3373228451363556E-4</v>
      </c>
      <c r="AE247" s="301">
        <f t="shared" si="92"/>
        <v>0.5</v>
      </c>
      <c r="AF247" s="173">
        <f t="shared" si="93"/>
        <v>0.46928062531322823</v>
      </c>
      <c r="AG247" s="802">
        <f t="shared" si="99"/>
        <v>4</v>
      </c>
      <c r="AH247" s="172">
        <f t="shared" si="94"/>
        <v>10</v>
      </c>
      <c r="AI247" s="221">
        <f t="shared" si="95"/>
        <v>4.4692806253132282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47717</v>
      </c>
      <c r="B248" s="406">
        <f>'2029'!Wh/'2029'!Env_an*'2030'!Env_an</f>
        <v>26.719619311462893</v>
      </c>
      <c r="C248" s="832"/>
      <c r="D248" s="388">
        <f t="shared" si="77"/>
        <v>27.914192955618073</v>
      </c>
      <c r="E248" s="380">
        <f t="shared" si="100"/>
        <v>28.769723490753677</v>
      </c>
      <c r="F248" s="380">
        <f t="shared" si="78"/>
        <v>28.770008411126028</v>
      </c>
      <c r="G248" s="110">
        <f t="shared" si="101"/>
        <v>0.52867301109812292</v>
      </c>
      <c r="H248" s="409" t="b">
        <f>Wh_hp&gt;='2029'!Maxi_hp</f>
        <v>0</v>
      </c>
      <c r="I248" s="385">
        <f>IF(H248,Wh_hp,'2029'!Maxi_hp)</f>
        <v>28.770317385561622</v>
      </c>
      <c r="J248" s="85">
        <f>IF(H248,An,'2029'!An_max)</f>
        <v>2029</v>
      </c>
      <c r="K248" s="193">
        <f t="shared" si="79"/>
        <v>47717</v>
      </c>
      <c r="L248" s="143">
        <f>IF(t&lt;Tvie,1-EXP((T0-t)*PertePVj)+'2029'!Pspv,1-EXP((T0-t)*PertePVj)+Pspv)</f>
        <v>4.2794489744141351E-2</v>
      </c>
      <c r="M248" s="836"/>
      <c r="N248" s="836"/>
      <c r="O248" s="48">
        <f>IF(t&lt;Tnet,'2029'!Resal+('2029'!Salim-'2029'!Resal)*(1-EXP(('2029'!Tnet-t)/('2029'!Tau_j))),Resal+(Salim-Resal)*(1-EXP((Tnet-t)/(Tau_j))))*Salcycl</f>
        <v>2.9737183098425123E-2</v>
      </c>
      <c r="P248" s="165">
        <f>(INDEX(Models!$BJ248:$BT248,,T248)*(1-R248)+INDEX(Models!$BJ248:$BT248,,T248+1)*R248-ERP_i)*Q248*Ramure*Pc/MaxiM</f>
        <v>3.0314202699881119E-5</v>
      </c>
      <c r="Q248" s="301">
        <f t="shared" si="80"/>
        <v>0.5</v>
      </c>
      <c r="R248" s="173">
        <f t="shared" si="81"/>
        <v>0.94524043329086993</v>
      </c>
      <c r="S248" s="802">
        <f t="shared" si="82"/>
        <v>0</v>
      </c>
      <c r="T248" s="172">
        <f t="shared" si="83"/>
        <v>6</v>
      </c>
      <c r="U248" s="247">
        <f t="shared" si="84"/>
        <v>0.94524043329086993</v>
      </c>
      <c r="V248" s="378">
        <f t="shared" si="85"/>
        <v>50.539886424679779</v>
      </c>
      <c r="W248" s="397">
        <f t="shared" si="86"/>
        <v>26.719619311462893</v>
      </c>
      <c r="X248" s="153">
        <f t="shared" si="87"/>
        <v>47717</v>
      </c>
      <c r="Y248" s="380">
        <f t="shared" si="88"/>
        <v>25.990869672887374</v>
      </c>
      <c r="Z248" s="380">
        <f t="shared" si="89"/>
        <v>27.152862571737682</v>
      </c>
      <c r="AA248" s="381">
        <f t="shared" si="90"/>
        <v>28.767625924703943</v>
      </c>
      <c r="AB248" s="193">
        <f t="shared" si="91"/>
        <v>47717</v>
      </c>
      <c r="AC248" s="119">
        <f>IF(OR(t&lt;Tnet,NoTnet),'2029'!Resal_s+('2029'!Salim-'2029'!Resal_s)*(1-EXP(('2029'!Tnet_s-t)/'2029'!Tau_j)),Resal_s+(Salim-Resal_s)*(1-EXP((Tnet_s-t)/Tau_j)))*Salcycl</f>
        <v>5.6131269128454404E-2</v>
      </c>
      <c r="AD248" s="227">
        <f>(INDEX(Models!$BJ248:$BT248,,AH248)*(1-AF248)+INDEX(Models!$BJ248:$BT248,,AH248+1)*AF248-ERP_i)*AE248*Ramure*Pc/MaxiM</f>
        <v>2.5348547642353036E-4</v>
      </c>
      <c r="AE248" s="301">
        <f t="shared" si="92"/>
        <v>0.5</v>
      </c>
      <c r="AF248" s="173">
        <f t="shared" si="93"/>
        <v>0.4702279996648473</v>
      </c>
      <c r="AG248" s="802">
        <f t="shared" si="99"/>
        <v>4</v>
      </c>
      <c r="AH248" s="172">
        <f t="shared" si="94"/>
        <v>10</v>
      </c>
      <c r="AI248" s="221">
        <f t="shared" si="95"/>
        <v>4.4702279996648473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47718</v>
      </c>
      <c r="B249" s="406">
        <f>'2029'!Wh/'2029'!Env_an*'2030'!Env_an</f>
        <v>45.201163570992101</v>
      </c>
      <c r="C249" s="832"/>
      <c r="D249" s="388">
        <f t="shared" si="77"/>
        <v>47.22265162613968</v>
      </c>
      <c r="E249" s="380">
        <f t="shared" si="100"/>
        <v>48.672338858798724</v>
      </c>
      <c r="F249" s="380">
        <f t="shared" si="78"/>
        <v>48.673673828647885</v>
      </c>
      <c r="G249" s="110">
        <f t="shared" si="101"/>
        <v>0.89874533418118774</v>
      </c>
      <c r="H249" s="409" t="b">
        <f>Wh_hp&gt;='2029'!Maxi_hp</f>
        <v>0</v>
      </c>
      <c r="I249" s="385">
        <f>IF(H249,Wh_hp,'2029'!Maxi_hp)</f>
        <v>48.67379250059259</v>
      </c>
      <c r="J249" s="85">
        <f>IF(H249,An,'2029'!An_max)</f>
        <v>2029</v>
      </c>
      <c r="K249" s="193">
        <f t="shared" si="79"/>
        <v>47718</v>
      </c>
      <c r="L249" s="143">
        <f>IF(t&lt;Tvie,1-EXP((T0-t)*PertePVj)+'2029'!Pspv,1-EXP((T0-t)*PertePVj)+Pspv)</f>
        <v>4.280759308375226E-2</v>
      </c>
      <c r="M249" s="836"/>
      <c r="N249" s="836"/>
      <c r="O249" s="48">
        <f>IF(t&lt;Tnet,'2029'!Resal+('2029'!Salim-'2029'!Resal)*(1-EXP(('2029'!Tnet-t)/('2029'!Tau_j))),Resal+(Salim-Resal)*(1-EXP((Tnet-t)/(Tau_j))))*Salcycl</f>
        <v>2.9784622367638191E-2</v>
      </c>
      <c r="P249" s="165">
        <f>(INDEX(Models!$BJ249:$BT249,,T249)*(1-R249)+INDEX(Models!$BJ249:$BT249,,T249+1)*R249-ERP_i)*Q249*Ramure*Pc/MaxiM</f>
        <v>3.2064923189605284E-5</v>
      </c>
      <c r="Q249" s="301">
        <f t="shared" si="80"/>
        <v>0.5</v>
      </c>
      <c r="R249" s="173">
        <f t="shared" si="81"/>
        <v>0.94615321557525611</v>
      </c>
      <c r="S249" s="802">
        <f t="shared" si="82"/>
        <v>0</v>
      </c>
      <c r="T249" s="172">
        <f t="shared" si="83"/>
        <v>6</v>
      </c>
      <c r="U249" s="247">
        <f t="shared" si="84"/>
        <v>0.94615321557525611</v>
      </c>
      <c r="V249" s="378">
        <f t="shared" si="85"/>
        <v>50.293394807005612</v>
      </c>
      <c r="W249" s="397">
        <f t="shared" si="86"/>
        <v>45.201163570992101</v>
      </c>
      <c r="X249" s="153">
        <f t="shared" si="87"/>
        <v>47718</v>
      </c>
      <c r="Y249" s="380">
        <f t="shared" si="88"/>
        <v>43.963563597722619</v>
      </c>
      <c r="Z249" s="380">
        <f t="shared" si="89"/>
        <v>45.929703662567121</v>
      </c>
      <c r="AA249" s="381">
        <f t="shared" si="90"/>
        <v>48.662224797639922</v>
      </c>
      <c r="AB249" s="193">
        <f t="shared" si="91"/>
        <v>47718</v>
      </c>
      <c r="AC249" s="119">
        <f>IF(OR(t&lt;Tnet,NoTnet),'2029'!Resal_s+('2029'!Salim-'2029'!Resal_s)*(1-EXP(('2029'!Tnet_s-t)/'2029'!Tau_j)),Resal_s+(Salim-Resal_s)*(1-EXP((Tnet_s-t)/Tau_j)))*Salcycl</f>
        <v>5.6152819696096617E-2</v>
      </c>
      <c r="AD249" s="227">
        <f>(INDEX(Models!$BJ249:$BT249,,AH249)*(1-AF249)+INDEX(Models!$BJ249:$BT249,,AH249+1)*AF249-ERP_i)*AE249*Ramure*Pc/MaxiM</f>
        <v>2.7499669756270677E-4</v>
      </c>
      <c r="AE249" s="301">
        <f t="shared" si="92"/>
        <v>0.5</v>
      </c>
      <c r="AF249" s="173">
        <f t="shared" si="93"/>
        <v>0.47114078194923348</v>
      </c>
      <c r="AG249" s="802">
        <f t="shared" si="99"/>
        <v>4</v>
      </c>
      <c r="AH249" s="172">
        <f t="shared" si="94"/>
        <v>10</v>
      </c>
      <c r="AI249" s="221">
        <f t="shared" si="95"/>
        <v>4.4711407819492335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47719</v>
      </c>
      <c r="B250" s="406">
        <f>'2029'!Wh/'2029'!Env_an*'2030'!Env_an</f>
        <v>49.094886784170825</v>
      </c>
      <c r="C250" s="832"/>
      <c r="D250" s="388">
        <f t="shared" si="77"/>
        <v>51.291212201852346</v>
      </c>
      <c r="E250" s="380">
        <f t="shared" si="100"/>
        <v>52.86837671978374</v>
      </c>
      <c r="F250" s="380">
        <f t="shared" si="78"/>
        <v>52.870126283841103</v>
      </c>
      <c r="G250" s="110">
        <f t="shared" si="101"/>
        <v>0.98097802283302094</v>
      </c>
      <c r="H250" s="409" t="b">
        <f>Wh_hp&gt;='2029'!Maxi_hp</f>
        <v>0</v>
      </c>
      <c r="I250" s="385">
        <f>IF(H250,Wh_hp,'2029'!Maxi_hp)</f>
        <v>52.870151950506376</v>
      </c>
      <c r="J250" s="85">
        <f>IF(H250,An,'2029'!An_max)</f>
        <v>2029</v>
      </c>
      <c r="K250" s="193">
        <f t="shared" si="79"/>
        <v>47719</v>
      </c>
      <c r="L250" s="143">
        <f>IF(t&lt;Tvie,1-EXP((T0-t)*PertePVj)+'2029'!Pspv,1-EXP((T0-t)*PertePVj)+Pspv)</f>
        <v>4.282069624398932E-2</v>
      </c>
      <c r="M250" s="836"/>
      <c r="N250" s="836"/>
      <c r="O250" s="48">
        <f>IF(t&lt;Tnet,'2029'!Resal+('2029'!Salim-'2029'!Resal)*(1-EXP(('2029'!Tnet-t)/('2029'!Tau_j))),Resal+(Salim-Resal)*(1-EXP((Tnet-t)/(Tau_j))))*Salcycl</f>
        <v>2.9831907385596136E-2</v>
      </c>
      <c r="P250" s="165">
        <f>(INDEX(Models!$BJ250:$BT250,,T250)*(1-R250)+INDEX(Models!$BJ250:$BT250,,T250+1)*R250-ERP_i)*Q250*Ramure*Pc/MaxiM</f>
        <v>3.4016048798896457E-5</v>
      </c>
      <c r="Q250" s="301">
        <f t="shared" si="80"/>
        <v>0.5</v>
      </c>
      <c r="R250" s="173">
        <f t="shared" si="81"/>
        <v>0.94703253712492041</v>
      </c>
      <c r="S250" s="802">
        <f t="shared" si="82"/>
        <v>0</v>
      </c>
      <c r="T250" s="172">
        <f t="shared" si="83"/>
        <v>6</v>
      </c>
      <c r="U250" s="247">
        <f t="shared" si="84"/>
        <v>0.94703253712492041</v>
      </c>
      <c r="V250" s="378">
        <f t="shared" si="85"/>
        <v>50.04683108156064</v>
      </c>
      <c r="W250" s="397">
        <f t="shared" si="86"/>
        <v>49.094886784170825</v>
      </c>
      <c r="X250" s="153">
        <f t="shared" si="87"/>
        <v>47719</v>
      </c>
      <c r="Y250" s="380">
        <f t="shared" si="88"/>
        <v>47.749570678015701</v>
      </c>
      <c r="Z250" s="380">
        <f t="shared" si="89"/>
        <v>49.885711580520429</v>
      </c>
      <c r="AA250" s="381">
        <f t="shared" si="90"/>
        <v>52.854784203743591</v>
      </c>
      <c r="AB250" s="193">
        <f t="shared" si="91"/>
        <v>47719</v>
      </c>
      <c r="AC250" s="119">
        <f>IF(OR(t&lt;Tnet,NoTnet),'2029'!Resal_s+('2029'!Salim-'2029'!Resal_s)*(1-EXP(('2029'!Tnet_s-t)/'2029'!Tau_j)),Resal_s+(Salim-Resal_s)*(1-EXP((Tnet_s-t)/Tau_j)))*Salcycl</f>
        <v>5.6174150891961629E-2</v>
      </c>
      <c r="AD250" s="227">
        <f>(INDEX(Models!$BJ250:$BT250,,AH250)*(1-AF250)+INDEX(Models!$BJ250:$BT250,,AH250+1)*AF250-ERP_i)*AE250*Ramure*Pc/MaxiM</f>
        <v>2.9828970427093311E-4</v>
      </c>
      <c r="AE250" s="301">
        <f t="shared" si="92"/>
        <v>0.5</v>
      </c>
      <c r="AF250" s="173">
        <f t="shared" si="93"/>
        <v>0.47202010349889711</v>
      </c>
      <c r="AG250" s="802">
        <f t="shared" si="99"/>
        <v>4</v>
      </c>
      <c r="AH250" s="172">
        <f t="shared" si="94"/>
        <v>10</v>
      </c>
      <c r="AI250" s="221">
        <f t="shared" si="95"/>
        <v>4.4720201034988971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47720</v>
      </c>
      <c r="B251" s="406">
        <f>'2029'!Wh/'2029'!Env_an*'2030'!Env_an</f>
        <v>31.489456131679528</v>
      </c>
      <c r="C251" s="832"/>
      <c r="D251" s="388">
        <f t="shared" si="77"/>
        <v>32.898629418985259</v>
      </c>
      <c r="E251" s="380">
        <f t="shared" si="100"/>
        <v>33.911883732782513</v>
      </c>
      <c r="F251" s="380">
        <f t="shared" si="78"/>
        <v>33.912466075944948</v>
      </c>
      <c r="G251" s="110">
        <f t="shared" si="101"/>
        <v>0.63231034036434175</v>
      </c>
      <c r="H251" s="409" t="b">
        <f>Wh_hp&gt;='2029'!Maxi_hp</f>
        <v>0</v>
      </c>
      <c r="I251" s="385">
        <f>IF(H251,Wh_hp,'2029'!Maxi_hp)</f>
        <v>33.912804177715458</v>
      </c>
      <c r="J251" s="85">
        <f>IF(H251,An,'2029'!An_max)</f>
        <v>2029</v>
      </c>
      <c r="K251" s="193">
        <f t="shared" si="79"/>
        <v>47720</v>
      </c>
      <c r="L251" s="143">
        <f>IF(t&lt;Tvie,1-EXP((T0-t)*PertePVj)+'2029'!Pspv,1-EXP((T0-t)*PertePVj)+Pspv)</f>
        <v>4.2833799224855196E-2</v>
      </c>
      <c r="M251" s="836"/>
      <c r="N251" s="836"/>
      <c r="O251" s="48">
        <f>IF(t&lt;Tnet,'2029'!Resal+('2029'!Salim-'2029'!Resal)*(1-EXP(('2029'!Tnet-t)/('2029'!Tau_j))),Resal+(Salim-Resal)*(1-EXP((Tnet-t)/(Tau_j))))*Salcycl</f>
        <v>2.9879033609027879E-2</v>
      </c>
      <c r="P251" s="165">
        <f>(INDEX(Models!$BJ251:$BT251,,T251)*(1-R251)+INDEX(Models!$BJ251:$BT251,,T251+1)*R251-ERP_i)*Q251*Ramure*Pc/MaxiM</f>
        <v>3.6170798210097921E-5</v>
      </c>
      <c r="Q251" s="301">
        <f t="shared" si="80"/>
        <v>0.5</v>
      </c>
      <c r="R251" s="173">
        <f t="shared" si="81"/>
        <v>0.94787950229288498</v>
      </c>
      <c r="S251" s="802">
        <f t="shared" si="82"/>
        <v>0</v>
      </c>
      <c r="T251" s="172">
        <f t="shared" si="83"/>
        <v>6</v>
      </c>
      <c r="U251" s="247">
        <f t="shared" si="84"/>
        <v>0.94787950229288498</v>
      </c>
      <c r="V251" s="378">
        <f t="shared" si="85"/>
        <v>49.799688298400916</v>
      </c>
      <c r="W251" s="397">
        <f t="shared" si="86"/>
        <v>31.489456131679528</v>
      </c>
      <c r="X251" s="153">
        <f t="shared" si="87"/>
        <v>47720</v>
      </c>
      <c r="Y251" s="380">
        <f t="shared" si="88"/>
        <v>30.631072407972805</v>
      </c>
      <c r="Z251" s="380">
        <f t="shared" si="89"/>
        <v>32.001832475035947</v>
      </c>
      <c r="AA251" s="381">
        <f t="shared" si="90"/>
        <v>33.907259565819835</v>
      </c>
      <c r="AB251" s="193">
        <f t="shared" si="91"/>
        <v>47720</v>
      </c>
      <c r="AC251" s="119">
        <f>IF(OR(t&lt;Tnet,NoTnet),'2029'!Resal_s+('2029'!Salim-'2029'!Resal_s)*(1-EXP(('2029'!Tnet_s-t)/'2029'!Tau_j)),Resal_s+(Salim-Resal_s)*(1-EXP((Tnet_s-t)/Tau_j)))*Salcycl</f>
        <v>5.6195254797431503E-2</v>
      </c>
      <c r="AD251" s="227">
        <f>(INDEX(Models!$BJ251:$BT251,,AH251)*(1-AF251)+INDEX(Models!$BJ251:$BT251,,AH251+1)*AF251-ERP_i)*AE251*Ramure*Pc/MaxiM</f>
        <v>3.2338943643886274E-4</v>
      </c>
      <c r="AE251" s="301">
        <f t="shared" si="92"/>
        <v>0.5</v>
      </c>
      <c r="AF251" s="173">
        <f t="shared" si="93"/>
        <v>0.47286706866686234</v>
      </c>
      <c r="AG251" s="802">
        <f t="shared" si="99"/>
        <v>4</v>
      </c>
      <c r="AH251" s="172">
        <f t="shared" si="94"/>
        <v>10</v>
      </c>
      <c r="AI251" s="221">
        <f t="shared" si="95"/>
        <v>4.4728670686668623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47721</v>
      </c>
      <c r="B252" s="406">
        <f>'2029'!Wh/'2029'!Env_an*'2030'!Env_an</f>
        <v>36.293055098448725</v>
      </c>
      <c r="C252" s="832"/>
      <c r="D252" s="388">
        <f t="shared" si="77"/>
        <v>37.917711571203569</v>
      </c>
      <c r="E252" s="380">
        <f t="shared" si="100"/>
        <v>39.087442223513328</v>
      </c>
      <c r="F252" s="380">
        <f t="shared" si="78"/>
        <v>39.088372675136597</v>
      </c>
      <c r="G252" s="110">
        <f t="shared" si="101"/>
        <v>0.7324208166515962</v>
      </c>
      <c r="H252" s="409" t="b">
        <f>Wh_hp&gt;='2029'!Maxi_hp</f>
        <v>0</v>
      </c>
      <c r="I252" s="385">
        <f>IF(H252,Wh_hp,'2029'!Maxi_hp)</f>
        <v>39.088674539563129</v>
      </c>
      <c r="J252" s="85">
        <f>IF(H252,An,'2029'!An_max)</f>
        <v>2029</v>
      </c>
      <c r="K252" s="193">
        <f t="shared" si="79"/>
        <v>47721</v>
      </c>
      <c r="L252" s="143">
        <f>IF(t&lt;Tvie,1-EXP((T0-t)*PertePVj)+'2029'!Pspv,1-EXP((T0-t)*PertePVj)+Pspv)</f>
        <v>4.2846902026352218E-2</v>
      </c>
      <c r="M252" s="836"/>
      <c r="N252" s="836"/>
      <c r="O252" s="48">
        <f>IF(t&lt;Tnet,'2029'!Resal+('2029'!Salim-'2029'!Resal)*(1-EXP(('2029'!Tnet-t)/('2029'!Tau_j))),Resal+(Salim-Resal)*(1-EXP((Tnet-t)/(Tau_j))))*Salcycl</f>
        <v>2.9925996324366783E-2</v>
      </c>
      <c r="P252" s="165">
        <f>(INDEX(Models!$BJ252:$BT252,,T252)*(1-R252)+INDEX(Models!$BJ252:$BT252,,T252+1)*R252-ERP_i)*Q252*Ramure*Pc/MaxiM</f>
        <v>3.8532467464406874E-5</v>
      </c>
      <c r="Q252" s="301">
        <f t="shared" si="80"/>
        <v>0.5</v>
      </c>
      <c r="R252" s="173">
        <f t="shared" si="81"/>
        <v>0.94869518829428867</v>
      </c>
      <c r="S252" s="802">
        <f t="shared" si="82"/>
        <v>0</v>
      </c>
      <c r="T252" s="172">
        <f t="shared" si="83"/>
        <v>6</v>
      </c>
      <c r="U252" s="247">
        <f t="shared" si="84"/>
        <v>0.94869518829428867</v>
      </c>
      <c r="V252" s="378">
        <f t="shared" si="85"/>
        <v>49.551459641922037</v>
      </c>
      <c r="W252" s="397">
        <f t="shared" si="86"/>
        <v>36.293055098448725</v>
      </c>
      <c r="X252" s="153">
        <f t="shared" si="87"/>
        <v>47721</v>
      </c>
      <c r="Y252" s="380">
        <f t="shared" si="88"/>
        <v>35.302670200144682</v>
      </c>
      <c r="Z252" s="380">
        <f t="shared" si="89"/>
        <v>36.882992151289713</v>
      </c>
      <c r="AA252" s="381">
        <f t="shared" si="90"/>
        <v>39.079913376695444</v>
      </c>
      <c r="AB252" s="193">
        <f t="shared" si="91"/>
        <v>47721</v>
      </c>
      <c r="AC252" s="119">
        <f>IF(OR(t&lt;Tnet,NoTnet),'2029'!Resal_s+('2029'!Salim-'2029'!Resal_s)*(1-EXP(('2029'!Tnet_s-t)/'2029'!Tau_j)),Resal_s+(Salim-Resal_s)*(1-EXP((Tnet_s-t)/Tau_j)))*Salcycl</f>
        <v>5.6216123209623658E-2</v>
      </c>
      <c r="AD252" s="227">
        <f>(INDEX(Models!$BJ252:$BT252,,AH252)*(1-AF252)+INDEX(Models!$BJ252:$BT252,,AH252+1)*AF252-ERP_i)*AE252*Ramure*Pc/MaxiM</f>
        <v>3.5032196602521849E-4</v>
      </c>
      <c r="AE252" s="301">
        <f t="shared" si="92"/>
        <v>0.5</v>
      </c>
      <c r="AF252" s="173">
        <f t="shared" si="93"/>
        <v>0.47368275466826582</v>
      </c>
      <c r="AG252" s="802">
        <f t="shared" si="99"/>
        <v>4</v>
      </c>
      <c r="AH252" s="172">
        <f t="shared" si="94"/>
        <v>10</v>
      </c>
      <c r="AI252" s="221">
        <f t="shared" si="95"/>
        <v>4.4736827546682658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47722</v>
      </c>
      <c r="B253" s="406">
        <f>'2029'!Wh/'2029'!Env_an*'2030'!Env_an</f>
        <v>45.75381075558095</v>
      </c>
      <c r="C253" s="832"/>
      <c r="D253" s="388">
        <f t="shared" si="77"/>
        <v>47.802631775697044</v>
      </c>
      <c r="E253" s="380">
        <f t="shared" si="100"/>
        <v>49.279681347846982</v>
      </c>
      <c r="F253" s="380">
        <f t="shared" si="78"/>
        <v>49.28149879199929</v>
      </c>
      <c r="G253" s="110">
        <f t="shared" si="101"/>
        <v>0.92803441969225176</v>
      </c>
      <c r="H253" s="409" t="b">
        <f>Wh_hp&gt;='2029'!Maxi_hp</f>
        <v>0</v>
      </c>
      <c r="I253" s="385">
        <f>IF(H253,Wh_hp,'2029'!Maxi_hp)</f>
        <v>49.281607893472703</v>
      </c>
      <c r="J253" s="85">
        <f>IF(H253,An,'2029'!An_max)</f>
        <v>2029</v>
      </c>
      <c r="K253" s="193">
        <f t="shared" si="79"/>
        <v>47722</v>
      </c>
      <c r="L253" s="143">
        <f>IF(t&lt;Tvie,1-EXP((T0-t)*PertePVj)+'2029'!Pspv,1-EXP((T0-t)*PertePVj)+Pspv)</f>
        <v>4.2860004648482941E-2</v>
      </c>
      <c r="M253" s="836"/>
      <c r="N253" s="836"/>
      <c r="O253" s="48">
        <f>IF(t&lt;Tnet,'2029'!Resal+('2029'!Salim-'2029'!Resal)*(1-EXP(('2029'!Tnet-t)/('2029'!Tau_j))),Resal+(Salim-Resal)*(1-EXP((Tnet-t)/(Tau_j))))*Salcycl</f>
        <v>2.9972790646189278E-2</v>
      </c>
      <c r="P253" s="165">
        <f>(INDEX(Models!$BJ253:$BT253,,T253)*(1-R253)+INDEX(Models!$BJ253:$BT253,,T253+1)*R253-ERP_i)*Q253*Ramure*Pc/MaxiM</f>
        <v>4.1104469637497346E-5</v>
      </c>
      <c r="Q253" s="301">
        <f t="shared" si="80"/>
        <v>0.5</v>
      </c>
      <c r="R253" s="173">
        <f t="shared" si="81"/>
        <v>0.94948064512953589</v>
      </c>
      <c r="S253" s="802">
        <f t="shared" si="82"/>
        <v>0</v>
      </c>
      <c r="T253" s="172">
        <f t="shared" si="83"/>
        <v>6</v>
      </c>
      <c r="U253" s="247">
        <f t="shared" si="84"/>
        <v>0.94948064512953589</v>
      </c>
      <c r="V253" s="378">
        <f t="shared" si="85"/>
        <v>49.301638429136318</v>
      </c>
      <c r="W253" s="397">
        <f t="shared" si="86"/>
        <v>45.75381075558095</v>
      </c>
      <c r="X253" s="153">
        <f t="shared" si="87"/>
        <v>47722</v>
      </c>
      <c r="Y253" s="380">
        <f t="shared" si="88"/>
        <v>44.501503935029866</v>
      </c>
      <c r="Z253" s="380">
        <f t="shared" si="89"/>
        <v>46.494247603441067</v>
      </c>
      <c r="AA253" s="381">
        <f t="shared" si="90"/>
        <v>49.264736137136282</v>
      </c>
      <c r="AB253" s="193">
        <f t="shared" si="91"/>
        <v>47722</v>
      </c>
      <c r="AC253" s="119">
        <f>IF(OR(t&lt;Tnet,NoTnet),'2029'!Resal_s+('2029'!Salim-'2029'!Resal_s)*(1-EXP(('2029'!Tnet_s-t)/'2029'!Tau_j)),Resal_s+(Salim-Resal_s)*(1-EXP((Tnet_s-t)/Tau_j)))*Salcycl</f>
        <v>5.6236747639997843E-2</v>
      </c>
      <c r="AD253" s="227">
        <f>(INDEX(Models!$BJ253:$BT253,,AH253)*(1-AF253)+INDEX(Models!$BJ253:$BT253,,AH253+1)*AF253-ERP_i)*AE253*Ramure*Pc/MaxiM</f>
        <v>3.791148338635701E-4</v>
      </c>
      <c r="AE253" s="301">
        <f t="shared" si="92"/>
        <v>0.5</v>
      </c>
      <c r="AF253" s="173">
        <f t="shared" si="93"/>
        <v>0.47446821150351326</v>
      </c>
      <c r="AG253" s="802">
        <f t="shared" si="99"/>
        <v>4</v>
      </c>
      <c r="AH253" s="172">
        <f t="shared" si="94"/>
        <v>10</v>
      </c>
      <c r="AI253" s="221">
        <f t="shared" si="95"/>
        <v>4.4744682115035133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47723</v>
      </c>
      <c r="B254" s="406">
        <f>'2029'!Wh/'2029'!Env_an*'2030'!Env_an</f>
        <v>48.100374658242359</v>
      </c>
      <c r="C254" s="832"/>
      <c r="D254" s="388">
        <f t="shared" si="77"/>
        <v>50.254960982303217</v>
      </c>
      <c r="E254" s="380">
        <f t="shared" si="100"/>
        <v>51.810274946515804</v>
      </c>
      <c r="F254" s="380">
        <f t="shared" si="78"/>
        <v>51.812478849921909</v>
      </c>
      <c r="G254" s="110">
        <f t="shared" si="101"/>
        <v>0.98064395418529748</v>
      </c>
      <c r="H254" s="409" t="b">
        <f>Wh_hp&gt;='2029'!Maxi_hp</f>
        <v>0</v>
      </c>
      <c r="I254" s="385">
        <f>IF(H254,Wh_hp,'2029'!Maxi_hp)</f>
        <v>51.812511657802986</v>
      </c>
      <c r="J254" s="85">
        <f>IF(H254,An,'2029'!An_max)</f>
        <v>2029</v>
      </c>
      <c r="K254" s="193">
        <f t="shared" si="79"/>
        <v>47723</v>
      </c>
      <c r="L254" s="143">
        <f>IF(t&lt;Tvie,1-EXP((T0-t)*PertePVj)+'2029'!Pspv,1-EXP((T0-t)*PertePVj)+Pspv)</f>
        <v>4.2873107091249696E-2</v>
      </c>
      <c r="M254" s="836"/>
      <c r="N254" s="836"/>
      <c r="O254" s="48">
        <f>IF(t&lt;Tnet,'2029'!Resal+('2029'!Salim-'2029'!Resal)*(1-EXP(('2029'!Tnet-t)/('2029'!Tau_j))),Resal+(Salim-Resal)*(1-EXP((Tnet-t)/(Tau_j))))*Salcycl</f>
        <v>3.0019411512835027E-2</v>
      </c>
      <c r="P254" s="165">
        <f>(INDEX(Models!$BJ254:$BT254,,T254)*(1-R254)+INDEX(Models!$BJ254:$BT254,,T254+1)*R254-ERP_i)*Q254*Ramure*Pc/MaxiM</f>
        <v>4.3745710783736097E-5</v>
      </c>
      <c r="Q254" s="301">
        <f t="shared" si="80"/>
        <v>0.5</v>
      </c>
      <c r="R254" s="173">
        <f t="shared" si="81"/>
        <v>0.95023689558209568</v>
      </c>
      <c r="S254" s="802">
        <f t="shared" si="82"/>
        <v>0</v>
      </c>
      <c r="T254" s="172">
        <f t="shared" si="83"/>
        <v>6</v>
      </c>
      <c r="U254" s="247">
        <f t="shared" si="84"/>
        <v>0.95023689558209568</v>
      </c>
      <c r="V254" s="378">
        <f t="shared" si="85"/>
        <v>49.04972520371372</v>
      </c>
      <c r="W254" s="397">
        <f t="shared" si="86"/>
        <v>48.100374658242359</v>
      </c>
      <c r="X254" s="153">
        <f t="shared" si="87"/>
        <v>47723</v>
      </c>
      <c r="Y254" s="380">
        <f t="shared" si="88"/>
        <v>46.782757990159737</v>
      </c>
      <c r="Z254" s="380">
        <f t="shared" si="89"/>
        <v>48.878323591958534</v>
      </c>
      <c r="AA254" s="381">
        <f t="shared" si="90"/>
        <v>51.791991857042703</v>
      </c>
      <c r="AB254" s="193">
        <f t="shared" si="91"/>
        <v>47723</v>
      </c>
      <c r="AC254" s="119">
        <f>IF(OR(t&lt;Tnet,NoTnet),'2029'!Resal_s+('2029'!Salim-'2029'!Resal_s)*(1-EXP(('2029'!Tnet_s-t)/'2029'!Tau_j)),Resal_s+(Salim-Resal_s)*(1-EXP((Tnet_s-t)/Tau_j)))*Salcycl</f>
        <v>5.6257119307682443E-2</v>
      </c>
      <c r="AD254" s="227">
        <f>(INDEX(Models!$BJ254:$BT254,,AH254)*(1-AF254)+INDEX(Models!$BJ254:$BT254,,AH254+1)*AF254-ERP_i)*AE254*Ramure*Pc/MaxiM</f>
        <v>4.0665033814068721E-4</v>
      </c>
      <c r="AE254" s="301">
        <f t="shared" si="92"/>
        <v>0.5</v>
      </c>
      <c r="AF254" s="173">
        <f t="shared" si="93"/>
        <v>0.47522446195607326</v>
      </c>
      <c r="AG254" s="802">
        <f t="shared" si="99"/>
        <v>4</v>
      </c>
      <c r="AH254" s="172">
        <f t="shared" si="94"/>
        <v>10</v>
      </c>
      <c r="AI254" s="221">
        <f t="shared" si="95"/>
        <v>4.4752244619560733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47724</v>
      </c>
      <c r="B255" s="406">
        <f>'2029'!Wh/'2029'!Env_an*'2030'!Env_an</f>
        <v>33.617391409699188</v>
      </c>
      <c r="C255" s="832"/>
      <c r="D255" s="388">
        <f t="shared" si="77"/>
        <v>35.123714377819468</v>
      </c>
      <c r="E255" s="380">
        <f t="shared" si="100"/>
        <v>36.212473301471036</v>
      </c>
      <c r="F255" s="380">
        <f t="shared" si="78"/>
        <v>36.213407746864611</v>
      </c>
      <c r="G255" s="110">
        <f t="shared" si="101"/>
        <v>0.68893431594839405</v>
      </c>
      <c r="H255" s="409" t="b">
        <f>Wh_hp&gt;='2029'!Maxi_hp</f>
        <v>0</v>
      </c>
      <c r="I255" s="385">
        <f>IF(H255,Wh_hp,'2029'!Maxi_hp)</f>
        <v>36.213798655088205</v>
      </c>
      <c r="J255" s="85">
        <f>IF(H255,An,'2029'!An_max)</f>
        <v>2029</v>
      </c>
      <c r="K255" s="193">
        <f t="shared" si="79"/>
        <v>47724</v>
      </c>
      <c r="L255" s="143">
        <f>IF(t&lt;Tvie,1-EXP((T0-t)*PertePVj)+'2029'!Pspv,1-EXP((T0-t)*PertePVj)+Pspv)</f>
        <v>4.2886209354655147E-2</v>
      </c>
      <c r="M255" s="836"/>
      <c r="N255" s="836"/>
      <c r="O255" s="48">
        <f>IF(t&lt;Tnet,'2029'!Resal+('2029'!Salim-'2029'!Resal)*(1-EXP(('2029'!Tnet-t)/('2029'!Tau_j))),Resal+(Salim-Resal)*(1-EXP((Tnet-t)/(Tau_j))))*Salcycl</f>
        <v>3.0065853679409903E-2</v>
      </c>
      <c r="P255" s="165">
        <f>(INDEX(Models!$BJ255:$BT255,,T255)*(1-R255)+INDEX(Models!$BJ255:$BT255,,T255+1)*R255-ERP_i)*Q255*Ramure*Pc/MaxiM</f>
        <v>4.6439810037456328E-5</v>
      </c>
      <c r="Q255" s="301">
        <f t="shared" si="80"/>
        <v>0.5</v>
      </c>
      <c r="R255" s="173">
        <f t="shared" si="81"/>
        <v>0.9509649352843903</v>
      </c>
      <c r="S255" s="802">
        <f t="shared" si="82"/>
        <v>0</v>
      </c>
      <c r="T255" s="172">
        <f t="shared" si="83"/>
        <v>6</v>
      </c>
      <c r="U255" s="247">
        <f t="shared" si="84"/>
        <v>0.9509649352843903</v>
      </c>
      <c r="V255" s="378">
        <f t="shared" si="85"/>
        <v>48.79521441521382</v>
      </c>
      <c r="W255" s="397">
        <f t="shared" si="86"/>
        <v>33.617391409699188</v>
      </c>
      <c r="X255" s="153">
        <f t="shared" si="87"/>
        <v>47724</v>
      </c>
      <c r="Y255" s="380">
        <f t="shared" si="88"/>
        <v>32.701920715584038</v>
      </c>
      <c r="Z255" s="380">
        <f t="shared" si="89"/>
        <v>34.167223411893787</v>
      </c>
      <c r="AA255" s="381">
        <f t="shared" si="90"/>
        <v>36.204725017200914</v>
      </c>
      <c r="AB255" s="193">
        <f t="shared" si="91"/>
        <v>47724</v>
      </c>
      <c r="AC255" s="119">
        <f>IF(OR(t&lt;Tnet,NoTnet),'2029'!Resal_s+('2029'!Salim-'2029'!Resal_s)*(1-EXP(('2029'!Tnet_s-t)/'2029'!Tau_j)),Resal_s+(Salim-Resal_s)*(1-EXP((Tnet_s-t)/Tau_j)))*Salcycl</f>
        <v>5.627722912794135E-2</v>
      </c>
      <c r="AD255" s="227">
        <f>(INDEX(Models!$BJ255:$BT255,,AH255)*(1-AF255)+INDEX(Models!$BJ255:$BT255,,AH255+1)*AF255-ERP_i)*AE255*Ramure*Pc/MaxiM</f>
        <v>4.3151190959056203E-4</v>
      </c>
      <c r="AE255" s="301">
        <f t="shared" si="92"/>
        <v>0.5</v>
      </c>
      <c r="AF255" s="173">
        <f t="shared" si="93"/>
        <v>0.47595250165836767</v>
      </c>
      <c r="AG255" s="802">
        <f t="shared" si="99"/>
        <v>4</v>
      </c>
      <c r="AH255" s="172">
        <f t="shared" si="94"/>
        <v>10</v>
      </c>
      <c r="AI255" s="221">
        <f t="shared" si="95"/>
        <v>4.4759525016583677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47725</v>
      </c>
      <c r="B256" s="406">
        <f>'2029'!Wh/'2029'!Env_an*'2030'!Env_an</f>
        <v>47.178971802945611</v>
      </c>
      <c r="C256" s="832"/>
      <c r="D256" s="388">
        <f t="shared" si="77"/>
        <v>49.293634793915402</v>
      </c>
      <c r="E256" s="380">
        <f t="shared" si="100"/>
        <v>50.824054397404979</v>
      </c>
      <c r="F256" s="380">
        <f t="shared" si="78"/>
        <v>50.82645448250652</v>
      </c>
      <c r="G256" s="110">
        <f t="shared" si="101"/>
        <v>0.97200684058155407</v>
      </c>
      <c r="H256" s="409" t="b">
        <f>Wh_hp&gt;='2029'!Maxi_hp</f>
        <v>0</v>
      </c>
      <c r="I256" s="385">
        <f>IF(H256,Wh_hp,'2029'!Maxi_hp)</f>
        <v>50.826506738332967</v>
      </c>
      <c r="J256" s="85">
        <f>IF(H256,An,'2029'!An_max)</f>
        <v>2029</v>
      </c>
      <c r="K256" s="193">
        <f t="shared" si="79"/>
        <v>47725</v>
      </c>
      <c r="L256" s="143">
        <f>IF(t&lt;Tvie,1-EXP((T0-t)*PertePVj)+'2029'!Pspv,1-EXP((T0-t)*PertePVj)+Pspv)</f>
        <v>4.2899311438701515E-2</v>
      </c>
      <c r="M256" s="836"/>
      <c r="N256" s="836"/>
      <c r="O256" s="48">
        <f>IF(t&lt;Tnet,'2029'!Resal+('2029'!Salim-'2029'!Resal)*(1-EXP(('2029'!Tnet-t)/('2029'!Tau_j))),Resal+(Salim-Resal)*(1-EXP((Tnet-t)/(Tau_j))))*Salcycl</f>
        <v>3.0112111708422026E-2</v>
      </c>
      <c r="P256" s="165">
        <f>(INDEX(Models!$BJ256:$BT256,,T256)*(1-R256)+INDEX(Models!$BJ256:$BT256,,T256+1)*R256-ERP_i)*Q256*Ramure*Pc/MaxiM</f>
        <v>4.918808739832411E-5</v>
      </c>
      <c r="Q256" s="301">
        <f t="shared" si="80"/>
        <v>0.5</v>
      </c>
      <c r="R256" s="173">
        <f t="shared" si="81"/>
        <v>0.9516657328455651</v>
      </c>
      <c r="S256" s="802">
        <f t="shared" si="82"/>
        <v>0</v>
      </c>
      <c r="T256" s="172">
        <f t="shared" si="83"/>
        <v>6</v>
      </c>
      <c r="U256" s="247">
        <f t="shared" si="84"/>
        <v>0.9516657328455651</v>
      </c>
      <c r="V256" s="378">
        <f t="shared" si="85"/>
        <v>48.5375997699945</v>
      </c>
      <c r="W256" s="397">
        <f t="shared" si="86"/>
        <v>47.178971802945611</v>
      </c>
      <c r="X256" s="153">
        <f t="shared" si="87"/>
        <v>47725</v>
      </c>
      <c r="Y256" s="380">
        <f t="shared" si="88"/>
        <v>45.887411502733571</v>
      </c>
      <c r="Z256" s="380">
        <f t="shared" si="89"/>
        <v>47.944183983098938</v>
      </c>
      <c r="AA256" s="381">
        <f t="shared" si="90"/>
        <v>50.804318119538394</v>
      </c>
      <c r="AB256" s="193">
        <f t="shared" si="91"/>
        <v>47725</v>
      </c>
      <c r="AC256" s="119">
        <f>IF(OR(t&lt;Tnet,NoTnet),'2029'!Resal_s+('2029'!Salim-'2029'!Resal_s)*(1-EXP(('2029'!Tnet_s-t)/'2029'!Tau_j)),Resal_s+(Salim-Resal_s)*(1-EXP((Tnet_s-t)/Tau_j)))*Salcycl</f>
        <v>5.6297067696288956E-2</v>
      </c>
      <c r="AD256" s="227">
        <f>(INDEX(Models!$BJ256:$BT256,,AH256)*(1-AF256)+INDEX(Models!$BJ256:$BT256,,AH256+1)*AF256-ERP_i)*AE256*Ramure*Pc/MaxiM</f>
        <v>4.5366947849428832E-4</v>
      </c>
      <c r="AE256" s="301">
        <f t="shared" si="92"/>
        <v>0.5</v>
      </c>
      <c r="AF256" s="173">
        <f t="shared" si="93"/>
        <v>0.47665329921954225</v>
      </c>
      <c r="AG256" s="802">
        <f t="shared" si="99"/>
        <v>4</v>
      </c>
      <c r="AH256" s="172">
        <f t="shared" si="94"/>
        <v>10</v>
      </c>
      <c r="AI256" s="221">
        <f t="shared" si="95"/>
        <v>4.4766532992195422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47726</v>
      </c>
      <c r="B257" s="406">
        <f>'2029'!Wh/'2029'!Env_an*'2030'!Env_an</f>
        <v>23.886548174554036</v>
      </c>
      <c r="C257" s="832"/>
      <c r="D257" s="388">
        <f t="shared" si="77"/>
        <v>24.9575362877674</v>
      </c>
      <c r="E257" s="380">
        <f t="shared" si="100"/>
        <v>25.733615288620491</v>
      </c>
      <c r="F257" s="380">
        <f t="shared" si="78"/>
        <v>25.733987600416693</v>
      </c>
      <c r="G257" s="110">
        <f t="shared" si="101"/>
        <v>0.49476895864261633</v>
      </c>
      <c r="H257" s="409" t="b">
        <f>Wh_hp&gt;='2029'!Maxi_hp</f>
        <v>0</v>
      </c>
      <c r="I257" s="385">
        <f>IF(H257,Wh_hp,'2029'!Maxi_hp)</f>
        <v>25.734491979650002</v>
      </c>
      <c r="J257" s="85">
        <f>IF(H257,An,'2029'!An_max)</f>
        <v>2029</v>
      </c>
      <c r="K257" s="193">
        <f t="shared" si="79"/>
        <v>47726</v>
      </c>
      <c r="L257" s="143">
        <f>IF(t&lt;Tvie,1-EXP((T0-t)*PertePVj)+'2029'!Pspv,1-EXP((T0-t)*PertePVj)+Pspv)</f>
        <v>4.2912413343391353E-2</v>
      </c>
      <c r="M257" s="836"/>
      <c r="N257" s="836"/>
      <c r="O257" s="48">
        <f>IF(t&lt;Tnet,'2029'!Resal+('2029'!Salim-'2029'!Resal)*(1-EXP(('2029'!Tnet-t)/('2029'!Tau_j))),Resal+(Salim-Resal)*(1-EXP((Tnet-t)/(Tau_j))))*Salcycl</f>
        <v>3.0158179958347214E-2</v>
      </c>
      <c r="P257" s="165">
        <f>(INDEX(Models!$BJ257:$BT257,,T257)*(1-R257)+INDEX(Models!$BJ257:$BT257,,T257+1)*R257-ERP_i)*Q257*Ramure*Pc/MaxiM</f>
        <v>5.1992010140795673E-5</v>
      </c>
      <c r="Q257" s="301">
        <f t="shared" si="80"/>
        <v>0.5</v>
      </c>
      <c r="R257" s="173">
        <f t="shared" si="81"/>
        <v>0.95234023003526524</v>
      </c>
      <c r="S257" s="802">
        <f t="shared" si="82"/>
        <v>0</v>
      </c>
      <c r="T257" s="172">
        <f t="shared" si="83"/>
        <v>6</v>
      </c>
      <c r="U257" s="247">
        <f t="shared" si="84"/>
        <v>0.95234023003526524</v>
      </c>
      <c r="V257" s="378">
        <f t="shared" si="85"/>
        <v>48.276375100500104</v>
      </c>
      <c r="W257" s="397">
        <f t="shared" si="86"/>
        <v>23.886548174554036</v>
      </c>
      <c r="X257" s="153">
        <f t="shared" si="87"/>
        <v>47726</v>
      </c>
      <c r="Y257" s="380">
        <f t="shared" si="88"/>
        <v>23.239559813483126</v>
      </c>
      <c r="Z257" s="380">
        <f t="shared" si="89"/>
        <v>24.281539262948559</v>
      </c>
      <c r="AA257" s="381">
        <f t="shared" si="90"/>
        <v>25.730599810414198</v>
      </c>
      <c r="AB257" s="193">
        <f t="shared" si="91"/>
        <v>47726</v>
      </c>
      <c r="AC257" s="119">
        <f>IF(OR(t&lt;Tnet,NoTnet),'2029'!Resal_s+('2029'!Salim-'2029'!Resal_s)*(1-EXP(('2029'!Tnet_s-t)/'2029'!Tau_j)),Resal_s+(Salim-Resal_s)*(1-EXP((Tnet_s-t)/Tau_j)))*Salcycl</f>
        <v>5.6316625268842228E-2</v>
      </c>
      <c r="AD257" s="227">
        <f>(INDEX(Models!$BJ257:$BT257,,AH257)*(1-AF257)+INDEX(Models!$BJ257:$BT257,,AH257+1)*AF257-ERP_i)*AE257*Ramure*Pc/MaxiM</f>
        <v>4.7309275172607656E-4</v>
      </c>
      <c r="AE257" s="301">
        <f t="shared" si="92"/>
        <v>0.5</v>
      </c>
      <c r="AF257" s="173">
        <f t="shared" si="93"/>
        <v>0.47732779640924239</v>
      </c>
      <c r="AG257" s="802">
        <f t="shared" si="99"/>
        <v>4</v>
      </c>
      <c r="AH257" s="172">
        <f t="shared" si="94"/>
        <v>10</v>
      </c>
      <c r="AI257" s="221">
        <f t="shared" si="95"/>
        <v>4.4773277964092424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47727</v>
      </c>
      <c r="B258" s="406">
        <f>'2029'!Wh/'2029'!Env_an*'2030'!Env_an</f>
        <v>41.074010249151186</v>
      </c>
      <c r="C258" s="832"/>
      <c r="D258" s="388">
        <f t="shared" si="77"/>
        <v>42.916210698168065</v>
      </c>
      <c r="E258" s="380">
        <f t="shared" si="100"/>
        <v>44.252825361786975</v>
      </c>
      <c r="F258" s="380">
        <f t="shared" si="78"/>
        <v>44.254751809413072</v>
      </c>
      <c r="G258" s="110">
        <f t="shared" si="101"/>
        <v>0.85550219273237105</v>
      </c>
      <c r="H258" s="409" t="b">
        <f>Wh_hp&gt;='2029'!Maxi_hp</f>
        <v>0</v>
      </c>
      <c r="I258" s="385">
        <f>IF(H258,Wh_hp,'2029'!Maxi_hp)</f>
        <v>44.255013345219645</v>
      </c>
      <c r="J258" s="85">
        <f>IF(H258,An,'2029'!An_max)</f>
        <v>2029</v>
      </c>
      <c r="K258" s="193">
        <f t="shared" si="79"/>
        <v>47727</v>
      </c>
      <c r="L258" s="143">
        <f>IF(t&lt;Tvie,1-EXP((T0-t)*PertePVj)+'2029'!Pspv,1-EXP((T0-t)*PertePVj)+Pspv)</f>
        <v>4.2925515068727105E-2</v>
      </c>
      <c r="M258" s="836"/>
      <c r="N258" s="836"/>
      <c r="O258" s="48">
        <f>IF(t&lt;Tnet,'2029'!Resal+('2029'!Salim-'2029'!Resal)*(1-EXP(('2029'!Tnet-t)/('2029'!Tau_j))),Resal+(Salim-Resal)*(1-EXP((Tnet-t)/(Tau_j))))*Salcycl</f>
        <v>3.0204052570462579E-2</v>
      </c>
      <c r="P258" s="165">
        <f>(INDEX(Models!$BJ258:$BT258,,T258)*(1-R258)+INDEX(Models!$BJ258:$BT258,,T258+1)*R258-ERP_i)*Q258*Ramure*Pc/MaxiM</f>
        <v>5.4853202268963424E-5</v>
      </c>
      <c r="Q258" s="301">
        <f t="shared" si="80"/>
        <v>0.5</v>
      </c>
      <c r="R258" s="173">
        <f t="shared" si="81"/>
        <v>0.95298934201788676</v>
      </c>
      <c r="S258" s="802">
        <f t="shared" si="82"/>
        <v>0</v>
      </c>
      <c r="T258" s="172">
        <f t="shared" si="83"/>
        <v>6</v>
      </c>
      <c r="U258" s="247">
        <f t="shared" si="84"/>
        <v>0.95298934201788676</v>
      </c>
      <c r="V258" s="378">
        <f t="shared" si="85"/>
        <v>48.011034365586632</v>
      </c>
      <c r="W258" s="397">
        <f t="shared" si="86"/>
        <v>41.074010249151186</v>
      </c>
      <c r="X258" s="153">
        <f t="shared" si="87"/>
        <v>47727</v>
      </c>
      <c r="Y258" s="380">
        <f t="shared" si="88"/>
        <v>39.953447444561377</v>
      </c>
      <c r="Z258" s="380">
        <f t="shared" si="89"/>
        <v>41.74538980362685</v>
      </c>
      <c r="AA258" s="381">
        <f t="shared" si="90"/>
        <v>44.237551728634948</v>
      </c>
      <c r="AB258" s="193">
        <f t="shared" si="91"/>
        <v>47727</v>
      </c>
      <c r="AC258" s="119">
        <f>IF(OR(t&lt;Tnet,NoTnet),'2029'!Resal_s+('2029'!Salim-'2029'!Resal_s)*(1-EXP(('2029'!Tnet_s-t)/'2029'!Tau_j)),Resal_s+(Salim-Resal_s)*(1-EXP((Tnet_s-t)/Tau_j)))*Salcycl</f>
        <v>5.6335891739572139E-2</v>
      </c>
      <c r="AD258" s="227">
        <f>(INDEX(Models!$BJ258:$BT258,,AH258)*(1-AF258)+INDEX(Models!$BJ258:$BT258,,AH258+1)*AF258-ERP_i)*AE258*Ramure*Pc/MaxiM</f>
        <v>4.8975092661963991E-4</v>
      </c>
      <c r="AE258" s="301">
        <f t="shared" si="92"/>
        <v>0.5</v>
      </c>
      <c r="AF258" s="173">
        <f t="shared" si="93"/>
        <v>0.47797690839186391</v>
      </c>
      <c r="AG258" s="802">
        <f t="shared" si="99"/>
        <v>4</v>
      </c>
      <c r="AH258" s="172">
        <f t="shared" si="94"/>
        <v>10</v>
      </c>
      <c r="AI258" s="221">
        <f t="shared" si="95"/>
        <v>4.4779769083918639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47728</v>
      </c>
      <c r="B259" s="406">
        <f>'2029'!Wh/'2029'!Env_an*'2030'!Env_an</f>
        <v>38.826003755155611</v>
      </c>
      <c r="C259" s="832"/>
      <c r="D259" s="388">
        <f t="shared" si="77"/>
        <v>40.567934752336825</v>
      </c>
      <c r="E259" s="380">
        <f t="shared" si="100"/>
        <v>41.83338301984606</v>
      </c>
      <c r="F259" s="380">
        <f t="shared" si="78"/>
        <v>41.835155212252701</v>
      </c>
      <c r="G259" s="110">
        <f t="shared" si="101"/>
        <v>0.81324955638292729</v>
      </c>
      <c r="H259" s="409" t="b">
        <f>Wh_hp&gt;='2029'!Maxi_hp</f>
        <v>0</v>
      </c>
      <c r="I259" s="385">
        <f>IF(H259,Wh_hp,'2029'!Maxi_hp)</f>
        <v>41.835491521624917</v>
      </c>
      <c r="J259" s="85">
        <f>IF(H259,An,'2029'!An_max)</f>
        <v>2029</v>
      </c>
      <c r="K259" s="193">
        <f t="shared" si="79"/>
        <v>47728</v>
      </c>
      <c r="L259" s="143">
        <f>IF(t&lt;Tvie,1-EXP((T0-t)*PertePVj)+'2029'!Pspv,1-EXP((T0-t)*PertePVj)+Pspv)</f>
        <v>4.2938616614711322E-2</v>
      </c>
      <c r="M259" s="836"/>
      <c r="N259" s="836"/>
      <c r="O259" s="48">
        <f>IF(t&lt;Tnet,'2029'!Resal+('2029'!Salim-'2029'!Resal)*(1-EXP(('2029'!Tnet-t)/('2029'!Tau_j))),Resal+(Salim-Resal)*(1-EXP((Tnet-t)/(Tau_j))))*Salcycl</f>
        <v>3.0249723454325861E-2</v>
      </c>
      <c r="P259" s="165">
        <f>(INDEX(Models!$BJ259:$BT259,,T259)*(1-R259)+INDEX(Models!$BJ259:$BT259,,T259+1)*R259-ERP_i)*Q259*Ramure*Pc/MaxiM</f>
        <v>5.7773454687111161E-5</v>
      </c>
      <c r="Q259" s="301">
        <f t="shared" si="80"/>
        <v>0.5</v>
      </c>
      <c r="R259" s="173">
        <f t="shared" si="81"/>
        <v>0.95361395763209333</v>
      </c>
      <c r="S259" s="802">
        <f t="shared" si="82"/>
        <v>0</v>
      </c>
      <c r="T259" s="172">
        <f t="shared" si="83"/>
        <v>6</v>
      </c>
      <c r="U259" s="247">
        <f t="shared" si="84"/>
        <v>0.95361395763209333</v>
      </c>
      <c r="V259" s="378">
        <f t="shared" si="85"/>
        <v>47.741071647057929</v>
      </c>
      <c r="W259" s="397">
        <f t="shared" si="86"/>
        <v>38.826003755155611</v>
      </c>
      <c r="X259" s="153">
        <f t="shared" si="87"/>
        <v>47728</v>
      </c>
      <c r="Y259" s="380">
        <f t="shared" si="88"/>
        <v>37.768478329171408</v>
      </c>
      <c r="Z259" s="380">
        <f t="shared" si="89"/>
        <v>39.462963384415204</v>
      </c>
      <c r="AA259" s="381">
        <f t="shared" si="90"/>
        <v>41.819706974661173</v>
      </c>
      <c r="AB259" s="193">
        <f t="shared" si="91"/>
        <v>47728</v>
      </c>
      <c r="AC259" s="119">
        <f>IF(OR(t&lt;Tnet,NoTnet),'2029'!Resal_s+('2029'!Salim-'2029'!Resal_s)*(1-EXP(('2029'!Tnet_s-t)/'2029'!Tau_j)),Resal_s+(Salim-Resal_s)*(1-EXP((Tnet_s-t)/Tau_j)))*Salcycl</f>
        <v>5.6354856615182282E-2</v>
      </c>
      <c r="AD259" s="227">
        <f>(INDEX(Models!$BJ259:$BT259,,AH259)*(1-AF259)+INDEX(Models!$BJ259:$BT259,,AH259+1)*AF259-ERP_i)*AE259*Ramure*Pc/MaxiM</f>
        <v>5.0361239058719785E-4</v>
      </c>
      <c r="AE259" s="301">
        <f t="shared" si="92"/>
        <v>0.5</v>
      </c>
      <c r="AF259" s="173">
        <f t="shared" si="93"/>
        <v>0.47860152400607081</v>
      </c>
      <c r="AG259" s="802">
        <f t="shared" si="99"/>
        <v>4</v>
      </c>
      <c r="AH259" s="172">
        <f t="shared" si="94"/>
        <v>10</v>
      </c>
      <c r="AI259" s="221">
        <f t="shared" si="95"/>
        <v>4.4786015240060708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47729</v>
      </c>
      <c r="B260" s="406">
        <f>'2029'!Wh/'2029'!Env_an*'2030'!Env_an</f>
        <v>35.719241534415019</v>
      </c>
      <c r="C260" s="832"/>
      <c r="D260" s="388">
        <f t="shared" si="77"/>
        <v>37.322298368347965</v>
      </c>
      <c r="E260" s="380">
        <f t="shared" si="100"/>
        <v>38.488308854398241</v>
      </c>
      <c r="F260" s="380">
        <f t="shared" si="78"/>
        <v>38.489820564875828</v>
      </c>
      <c r="G260" s="110">
        <f t="shared" si="101"/>
        <v>0.75250681473082792</v>
      </c>
      <c r="H260" s="409" t="b">
        <f>Wh_hp&gt;='2029'!Maxi_hp</f>
        <v>0</v>
      </c>
      <c r="I260" s="385">
        <f>IF(H260,Wh_hp,'2029'!Maxi_hp)</f>
        <v>38.490251493308925</v>
      </c>
      <c r="J260" s="85">
        <f>IF(H260,An,'2029'!An_max)</f>
        <v>2029</v>
      </c>
      <c r="K260" s="193">
        <f t="shared" si="79"/>
        <v>47729</v>
      </c>
      <c r="L260" s="143">
        <f>IF(t&lt;Tvie,1-EXP((T0-t)*PertePVj)+'2029'!Pspv,1-EXP((T0-t)*PertePVj)+Pspv)</f>
        <v>4.2951717981346338E-2</v>
      </c>
      <c r="M260" s="836"/>
      <c r="N260" s="836"/>
      <c r="O260" s="48">
        <f>IF(t&lt;Tnet,'2029'!Resal+('2029'!Salim-'2029'!Resal)*(1-EXP(('2029'!Tnet-t)/('2029'!Tau_j))),Resal+(Salim-Resal)*(1-EXP((Tnet-t)/(Tau_j))))*Salcycl</f>
        <v>3.0295186272312216E-2</v>
      </c>
      <c r="P260" s="165">
        <f>(INDEX(Models!$BJ260:$BT260,,T260)*(1-R260)+INDEX(Models!$BJ260:$BT260,,T260+1)*R260-ERP_i)*Q260*Ramure*Pc/MaxiM</f>
        <v>6.075473617813143E-5</v>
      </c>
      <c r="Q260" s="301">
        <f t="shared" si="80"/>
        <v>0.5</v>
      </c>
      <c r="R260" s="173">
        <f t="shared" si="81"/>
        <v>0.9542149397107188</v>
      </c>
      <c r="S260" s="802">
        <f t="shared" si="82"/>
        <v>0</v>
      </c>
      <c r="T260" s="172">
        <f t="shared" si="83"/>
        <v>6</v>
      </c>
      <c r="U260" s="247">
        <f t="shared" si="84"/>
        <v>0.9542149397107188</v>
      </c>
      <c r="V260" s="378">
        <f t="shared" si="85"/>
        <v>47.465981153018866</v>
      </c>
      <c r="W260" s="397">
        <f t="shared" si="86"/>
        <v>35.719241534415019</v>
      </c>
      <c r="X260" s="153">
        <f t="shared" si="87"/>
        <v>47729</v>
      </c>
      <c r="Y260" s="380">
        <f t="shared" si="88"/>
        <v>34.748442731236779</v>
      </c>
      <c r="Z260" s="380">
        <f t="shared" si="89"/>
        <v>36.307930732547412</v>
      </c>
      <c r="AA260" s="381">
        <f t="shared" si="90"/>
        <v>38.477015088484904</v>
      </c>
      <c r="AB260" s="193">
        <f t="shared" si="91"/>
        <v>47729</v>
      </c>
      <c r="AC260" s="119">
        <f>IF(OR(t&lt;Tnet,NoTnet),'2029'!Resal_s+('2029'!Salim-'2029'!Resal_s)*(1-EXP(('2029'!Tnet_s-t)/'2029'!Tau_j)),Resal_s+(Salim-Resal_s)*(1-EXP((Tnet_s-t)/Tau_j)))*Salcycl</f>
        <v>5.637350898839967E-2</v>
      </c>
      <c r="AD260" s="227">
        <f>(INDEX(Models!$BJ260:$BT260,,AH260)*(1-AF260)+INDEX(Models!$BJ260:$BT260,,AH260+1)*AF260-ERP_i)*AE260*Ramure*Pc/MaxiM</f>
        <v>5.1464440532950442E-4</v>
      </c>
      <c r="AE260" s="301">
        <f t="shared" si="92"/>
        <v>0.5</v>
      </c>
      <c r="AF260" s="173">
        <f t="shared" si="93"/>
        <v>0.47920250608469583</v>
      </c>
      <c r="AG260" s="802">
        <f t="shared" si="99"/>
        <v>4</v>
      </c>
      <c r="AH260" s="172">
        <f t="shared" si="94"/>
        <v>10</v>
      </c>
      <c r="AI260" s="221">
        <f t="shared" si="95"/>
        <v>4.4792025060846958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47730</v>
      </c>
      <c r="B261" s="406">
        <f>'2029'!Wh/'2029'!Env_an*'2030'!Env_an</f>
        <v>46.836420558302464</v>
      </c>
      <c r="C261" s="832"/>
      <c r="D261" s="388">
        <f t="shared" si="77"/>
        <v>48.939079248493464</v>
      </c>
      <c r="E261" s="380">
        <f t="shared" si="100"/>
        <v>50.470372268647559</v>
      </c>
      <c r="F261" s="380">
        <f t="shared" si="78"/>
        <v>50.473558115935667</v>
      </c>
      <c r="G261" s="110">
        <f t="shared" si="101"/>
        <v>0.99256590178562321</v>
      </c>
      <c r="H261" s="409" t="b">
        <f>Wh_hp&gt;='2029'!Maxi_hp</f>
        <v>0</v>
      </c>
      <c r="I261" s="385">
        <f>IF(H261,Wh_hp,'2029'!Maxi_hp)</f>
        <v>50.473575928072705</v>
      </c>
      <c r="J261" s="85">
        <f>IF(H261,An,'2029'!An_max)</f>
        <v>2029</v>
      </c>
      <c r="K261" s="193">
        <f t="shared" si="79"/>
        <v>47730</v>
      </c>
      <c r="L261" s="143">
        <f>IF(t&lt;Tvie,1-EXP((T0-t)*PertePVj)+'2029'!Pspv,1-EXP((T0-t)*PertePVj)+Pspv)</f>
        <v>4.2964819168634594E-2</v>
      </c>
      <c r="M261" s="836"/>
      <c r="N261" s="836"/>
      <c r="O261" s="48">
        <f>IF(t&lt;Tnet,'2029'!Resal+('2029'!Salim-'2029'!Resal)*(1-EXP(('2029'!Tnet-t)/('2029'!Tau_j))),Resal+(Salim-Resal)*(1-EXP((Tnet-t)/(Tau_j))))*Salcycl</f>
        <v>3.0340434423649813E-2</v>
      </c>
      <c r="P261" s="165">
        <f>(INDEX(Models!$BJ261:$BT261,,T261)*(1-R261)+INDEX(Models!$BJ261:$BT261,,T261+1)*R261-ERP_i)*Q261*Ramure*Pc/MaxiM</f>
        <v>6.3796601770629431E-5</v>
      </c>
      <c r="Q261" s="301">
        <f t="shared" si="80"/>
        <v>0.5</v>
      </c>
      <c r="R261" s="173">
        <f t="shared" si="81"/>
        <v>0.95479312543648298</v>
      </c>
      <c r="S261" s="802">
        <f t="shared" si="82"/>
        <v>0</v>
      </c>
      <c r="T261" s="172">
        <f t="shared" si="83"/>
        <v>6</v>
      </c>
      <c r="U261" s="247">
        <f t="shared" si="84"/>
        <v>0.95479312543648298</v>
      </c>
      <c r="V261" s="378">
        <f t="shared" si="85"/>
        <v>47.187182978868023</v>
      </c>
      <c r="W261" s="397">
        <f t="shared" si="86"/>
        <v>46.836420558302464</v>
      </c>
      <c r="X261" s="153">
        <f t="shared" si="87"/>
        <v>47730</v>
      </c>
      <c r="Y261" s="380">
        <f t="shared" si="88"/>
        <v>45.557388463186257</v>
      </c>
      <c r="Z261" s="380">
        <f t="shared" si="89"/>
        <v>47.60262671181124</v>
      </c>
      <c r="AA261" s="381">
        <f t="shared" si="90"/>
        <v>50.447451181667176</v>
      </c>
      <c r="AB261" s="193">
        <f t="shared" si="91"/>
        <v>47730</v>
      </c>
      <c r="AC261" s="119">
        <f>IF(OR(t&lt;Tnet,NoTnet),'2029'!Resal_s+('2029'!Salim-'2029'!Resal_s)*(1-EXP(('2029'!Tnet_s-t)/'2029'!Tau_j)),Resal_s+(Salim-Resal_s)*(1-EXP((Tnet_s-t)/Tau_j)))*Salcycl</f>
        <v>5.6391837510509572E-2</v>
      </c>
      <c r="AD261" s="227">
        <f>(INDEX(Models!$BJ261:$BT261,,AH261)*(1-AF261)+INDEX(Models!$BJ261:$BT261,,AH261+1)*AF261-ERP_i)*AE261*Ramure*Pc/MaxiM</f>
        <v>5.227914392499514E-4</v>
      </c>
      <c r="AE261" s="301">
        <f t="shared" si="92"/>
        <v>0.5</v>
      </c>
      <c r="AF261" s="173">
        <f t="shared" si="93"/>
        <v>0.47978069181046035</v>
      </c>
      <c r="AG261" s="802">
        <f t="shared" si="99"/>
        <v>4</v>
      </c>
      <c r="AH261" s="172">
        <f t="shared" si="94"/>
        <v>10</v>
      </c>
      <c r="AI261" s="221">
        <f t="shared" si="95"/>
        <v>4.4797806918104603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47731</v>
      </c>
      <c r="B262" s="406">
        <f>'2029'!Wh/'2029'!Env_an*'2030'!Env_an</f>
        <v>39.192856285334393</v>
      </c>
      <c r="C262" s="832"/>
      <c r="D262" s="388">
        <f t="shared" si="77"/>
        <v>40.95292795393582</v>
      </c>
      <c r="E262" s="380">
        <f t="shared" si="100"/>
        <v>42.23629732014173</v>
      </c>
      <c r="F262" s="380">
        <f t="shared" si="78"/>
        <v>42.238445794780844</v>
      </c>
      <c r="G262" s="110">
        <f t="shared" si="101"/>
        <v>0.83554415280485994</v>
      </c>
      <c r="H262" s="409" t="b">
        <f>Wh_hp&gt;='2029'!Maxi_hp</f>
        <v>0</v>
      </c>
      <c r="I262" s="385">
        <f>IF(H262,Wh_hp,'2029'!Maxi_hp)</f>
        <v>42.238789216452098</v>
      </c>
      <c r="J262" s="85">
        <f>IF(H262,An,'2029'!An_max)</f>
        <v>2029</v>
      </c>
      <c r="K262" s="193">
        <f t="shared" si="79"/>
        <v>47731</v>
      </c>
      <c r="L262" s="143">
        <f>IF(t&lt;Tvie,1-EXP((T0-t)*PertePVj)+'2029'!Pspv,1-EXP((T0-t)*PertePVj)+Pspv)</f>
        <v>4.2977920176578643E-2</v>
      </c>
      <c r="M262" s="836"/>
      <c r="N262" s="836"/>
      <c r="O262" s="48">
        <f>IF(t&lt;Tnet,'2029'!Resal+('2029'!Salim-'2029'!Resal)*(1-EXP(('2029'!Tnet-t)/('2029'!Tau_j))),Resal+(Salim-Resal)*(1-EXP((Tnet-t)/(Tau_j))))*Salcycl</f>
        <v>3.0385461028419554E-2</v>
      </c>
      <c r="P262" s="165">
        <f>(INDEX(Models!$BJ262:$BT262,,T262)*(1-R262)+INDEX(Models!$BJ262:$BT262,,T262+1)*R262-ERP_i)*Q262*Ramure*Pc/MaxiM</f>
        <v>6.6483592211350509E-5</v>
      </c>
      <c r="Q262" s="301">
        <f t="shared" si="80"/>
        <v>0.5</v>
      </c>
      <c r="R262" s="173">
        <f t="shared" si="81"/>
        <v>0.95534932672925499</v>
      </c>
      <c r="S262" s="802">
        <f t="shared" si="82"/>
        <v>0</v>
      </c>
      <c r="T262" s="172">
        <f t="shared" si="83"/>
        <v>6</v>
      </c>
      <c r="U262" s="247">
        <f t="shared" si="84"/>
        <v>0.95534932672925499</v>
      </c>
      <c r="V262" s="378">
        <f t="shared" si="85"/>
        <v>46.906251453409034</v>
      </c>
      <c r="W262" s="397">
        <f t="shared" si="86"/>
        <v>39.192856285334393</v>
      </c>
      <c r="X262" s="153">
        <f t="shared" si="87"/>
        <v>47731</v>
      </c>
      <c r="Y262" s="380">
        <f t="shared" si="88"/>
        <v>38.12748816647909</v>
      </c>
      <c r="Z262" s="380">
        <f t="shared" si="89"/>
        <v>39.839716314083297</v>
      </c>
      <c r="AA262" s="381">
        <f t="shared" si="90"/>
        <v>42.221419421370236</v>
      </c>
      <c r="AB262" s="193">
        <f t="shared" si="91"/>
        <v>47731</v>
      </c>
      <c r="AC262" s="119">
        <f>IF(OR(t&lt;Tnet,NoTnet),'2029'!Resal_s+('2029'!Salim-'2029'!Resal_s)*(1-EXP(('2029'!Tnet_s-t)/'2029'!Tau_j)),Resal_s+(Salim-Resal_s)*(1-EXP((Tnet_s-t)/Tau_j)))*Salcycl</f>
        <v>5.640983036400344E-2</v>
      </c>
      <c r="AD262" s="227">
        <f>(INDEX(Models!$BJ262:$BT262,,AH262)*(1-AF262)+INDEX(Models!$BJ262:$BT262,,AH262+1)*AF262-ERP_i)*AE262*Ramure*Pc/MaxiM</f>
        <v>5.2687355301268206E-4</v>
      </c>
      <c r="AE262" s="301">
        <f t="shared" si="92"/>
        <v>0.5</v>
      </c>
      <c r="AF262" s="173">
        <f t="shared" si="93"/>
        <v>0.48033689310323169</v>
      </c>
      <c r="AG262" s="802">
        <f t="shared" si="99"/>
        <v>4</v>
      </c>
      <c r="AH262" s="172">
        <f t="shared" si="94"/>
        <v>10</v>
      </c>
      <c r="AI262" s="221">
        <f t="shared" si="95"/>
        <v>4.4803368931032317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47732</v>
      </c>
      <c r="B263" s="406">
        <f>'2029'!Wh/'2029'!Env_an*'2030'!Env_an</f>
        <v>42.720354816109236</v>
      </c>
      <c r="C263" s="832"/>
      <c r="D263" s="388">
        <f t="shared" si="77"/>
        <v>44.63945036438421</v>
      </c>
      <c r="E263" s="380">
        <f t="shared" si="100"/>
        <v>46.040473905768032</v>
      </c>
      <c r="F263" s="380">
        <f t="shared" si="78"/>
        <v>46.043256057761695</v>
      </c>
      <c r="G263" s="110">
        <f t="shared" si="101"/>
        <v>0.91628817723659506</v>
      </c>
      <c r="H263" s="409" t="b">
        <f>Wh_hp&gt;='2029'!Maxi_hp</f>
        <v>0</v>
      </c>
      <c r="I263" s="385">
        <f>IF(H263,Wh_hp,'2029'!Maxi_hp)</f>
        <v>46.043452651344005</v>
      </c>
      <c r="J263" s="85">
        <f>IF(H263,An,'2029'!An_max)</f>
        <v>2029</v>
      </c>
      <c r="K263" s="193">
        <f t="shared" si="79"/>
        <v>47732</v>
      </c>
      <c r="L263" s="143">
        <f>IF(t&lt;Tvie,1-EXP((T0-t)*PertePVj)+'2029'!Pspv,1-EXP((T0-t)*PertePVj)+Pspv)</f>
        <v>4.2991021005180929E-2</v>
      </c>
      <c r="M263" s="836"/>
      <c r="N263" s="836"/>
      <c r="O263" s="48">
        <f>IF(t&lt;Tnet,'2029'!Resal+('2029'!Salim-'2029'!Resal)*(1-EXP(('2029'!Tnet-t)/('2029'!Tau_j))),Resal+(Salim-Resal)*(1-EXP((Tnet-t)/(Tau_j))))*Salcycl</f>
        <v>3.0430258912002694E-2</v>
      </c>
      <c r="P263" s="165">
        <f>(INDEX(Models!$BJ263:$BT263,,T263)*(1-R263)+INDEX(Models!$BJ263:$BT263,,T263+1)*R263-ERP_i)*Q263*Ramure*Pc/MaxiM</f>
        <v>6.8631537551498906E-5</v>
      </c>
      <c r="Q263" s="301">
        <f t="shared" si="80"/>
        <v>0.5</v>
      </c>
      <c r="R263" s="173">
        <f t="shared" si="81"/>
        <v>0.95588433066088663</v>
      </c>
      <c r="S263" s="802">
        <f t="shared" si="82"/>
        <v>0</v>
      </c>
      <c r="T263" s="172">
        <f t="shared" si="83"/>
        <v>6</v>
      </c>
      <c r="U263" s="247">
        <f t="shared" si="84"/>
        <v>0.95588433066088663</v>
      </c>
      <c r="V263" s="378">
        <f t="shared" si="85"/>
        <v>46.622891421189948</v>
      </c>
      <c r="W263" s="397">
        <f t="shared" si="86"/>
        <v>42.720354816109236</v>
      </c>
      <c r="X263" s="153">
        <f t="shared" si="87"/>
        <v>47732</v>
      </c>
      <c r="Y263" s="380">
        <f t="shared" si="88"/>
        <v>41.558123595198332</v>
      </c>
      <c r="Z263" s="380">
        <f t="shared" si="89"/>
        <v>43.425009072379154</v>
      </c>
      <c r="AA263" s="381">
        <f t="shared" si="90"/>
        <v>46.021909214928812</v>
      </c>
      <c r="AB263" s="193">
        <f t="shared" si="91"/>
        <v>47732</v>
      </c>
      <c r="AC263" s="119">
        <f>IF(OR(t&lt;Tnet,NoTnet),'2029'!Resal_s+('2029'!Salim-'2029'!Resal_s)*(1-EXP(('2029'!Tnet_s-t)/'2029'!Tau_j)),Resal_s+(Salim-Resal_s)*(1-EXP((Tnet_s-t)/Tau_j)))*Salcycl</f>
        <v>5.6427475236235099E-2</v>
      </c>
      <c r="AD263" s="227">
        <f>(INDEX(Models!$BJ263:$BT263,,AH263)*(1-AF263)+INDEX(Models!$BJ263:$BT263,,AH263+1)*AF263-ERP_i)*AE263*Ramure*Pc/MaxiM</f>
        <v>5.2659475428601117E-4</v>
      </c>
      <c r="AE263" s="301">
        <f t="shared" si="92"/>
        <v>0.5</v>
      </c>
      <c r="AF263" s="173">
        <f t="shared" si="93"/>
        <v>0.48087189703486377</v>
      </c>
      <c r="AG263" s="802">
        <f t="shared" si="99"/>
        <v>4</v>
      </c>
      <c r="AH263" s="172">
        <f t="shared" si="94"/>
        <v>10</v>
      </c>
      <c r="AI263" s="221">
        <f t="shared" si="95"/>
        <v>4.4808718970348638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47733</v>
      </c>
      <c r="B264" s="406">
        <f>'2029'!Wh/'2029'!Env_an*'2030'!Env_an</f>
        <v>35.030072004114402</v>
      </c>
      <c r="C264" s="832"/>
      <c r="D264" s="388">
        <f t="shared" si="77"/>
        <v>36.60420363008668</v>
      </c>
      <c r="E264" s="380">
        <f t="shared" si="100"/>
        <v>37.754773581414206</v>
      </c>
      <c r="F264" s="380">
        <f t="shared" si="78"/>
        <v>37.756500933903077</v>
      </c>
      <c r="G264" s="110">
        <f t="shared" si="101"/>
        <v>0.75596965633393787</v>
      </c>
      <c r="H264" s="409" t="b">
        <f>Wh_hp&gt;='2029'!Maxi_hp</f>
        <v>0</v>
      </c>
      <c r="I264" s="385">
        <f>IF(H264,Wh_hp,'2029'!Maxi_hp)</f>
        <v>37.756981568842036</v>
      </c>
      <c r="J264" s="85">
        <f>IF(H264,An,'2029'!An_max)</f>
        <v>2029</v>
      </c>
      <c r="K264" s="193">
        <f t="shared" si="79"/>
        <v>47733</v>
      </c>
      <c r="L264" s="143">
        <f>IF(t&lt;Tvie,1-EXP((T0-t)*PertePVj)+'2029'!Pspv,1-EXP((T0-t)*PertePVj)+Pspv)</f>
        <v>4.3004121654443783E-2</v>
      </c>
      <c r="M264" s="836"/>
      <c r="N264" s="836"/>
      <c r="O264" s="48">
        <f>IF(t&lt;Tnet,'2029'!Resal+('2029'!Salim-'2029'!Resal)*(1-EXP(('2029'!Tnet-t)/('2029'!Tau_j))),Resal+(Salim-Resal)*(1-EXP((Tnet-t)/(Tau_j))))*Salcycl</f>
        <v>3.047482059047301E-2</v>
      </c>
      <c r="P264" s="165">
        <f>(INDEX(Models!$BJ264:$BT264,,T264)*(1-R264)+INDEX(Models!$BJ264:$BT264,,T264+1)*R264-ERP_i)*Q264*Ramure*Pc/MaxiM</f>
        <v>7.0231783869427849E-5</v>
      </c>
      <c r="Q264" s="301">
        <f t="shared" si="80"/>
        <v>0.5</v>
      </c>
      <c r="R264" s="173">
        <f t="shared" si="81"/>
        <v>0.95639889989392413</v>
      </c>
      <c r="S264" s="802">
        <f t="shared" si="82"/>
        <v>0</v>
      </c>
      <c r="T264" s="172">
        <f t="shared" si="83"/>
        <v>6</v>
      </c>
      <c r="U264" s="247">
        <f t="shared" si="84"/>
        <v>0.95639889989392413</v>
      </c>
      <c r="V264" s="378">
        <f t="shared" si="85"/>
        <v>46.336799454632555</v>
      </c>
      <c r="W264" s="397">
        <f t="shared" si="86"/>
        <v>35.030072004114402</v>
      </c>
      <c r="X264" s="153">
        <f t="shared" si="87"/>
        <v>47733</v>
      </c>
      <c r="Y264" s="380">
        <f t="shared" si="88"/>
        <v>34.08171711656135</v>
      </c>
      <c r="Z264" s="380">
        <f t="shared" si="89"/>
        <v>35.613232917451477</v>
      </c>
      <c r="AA264" s="381">
        <f t="shared" si="90"/>
        <v>37.743665003484082</v>
      </c>
      <c r="AB264" s="193">
        <f t="shared" si="91"/>
        <v>47733</v>
      </c>
      <c r="AC264" s="119">
        <f>IF(OR(t&lt;Tnet,NoTnet),'2029'!Resal_s+('2029'!Salim-'2029'!Resal_s)*(1-EXP(('2029'!Tnet_s-t)/'2029'!Tau_j)),Resal_s+(Salim-Resal_s)*(1-EXP((Tnet_s-t)/Tau_j)))*Salcycl</f>
        <v>5.6444759294995449E-2</v>
      </c>
      <c r="AD264" s="227">
        <f>(INDEX(Models!$BJ264:$BT264,,AH264)*(1-AF264)+INDEX(Models!$BJ264:$BT264,,AH264+1)*AF264-ERP_i)*AE264*Ramure*Pc/MaxiM</f>
        <v>5.2189133182551912E-4</v>
      </c>
      <c r="AE264" s="301">
        <f t="shared" si="92"/>
        <v>0.5</v>
      </c>
      <c r="AF264" s="173">
        <f t="shared" si="93"/>
        <v>0.48138646626790127</v>
      </c>
      <c r="AG264" s="802">
        <f t="shared" si="99"/>
        <v>4</v>
      </c>
      <c r="AH264" s="172">
        <f t="shared" si="94"/>
        <v>10</v>
      </c>
      <c r="AI264" s="221">
        <f t="shared" si="95"/>
        <v>4.4813864662679013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47734</v>
      </c>
      <c r="B265" s="406">
        <f>'2029'!Wh/'2029'!Env_an*'2030'!Env_an</f>
        <v>38.961356668578219</v>
      </c>
      <c r="C265" s="832"/>
      <c r="D265" s="388">
        <f t="shared" si="77"/>
        <v>40.712704104317382</v>
      </c>
      <c r="E265" s="380">
        <f t="shared" si="100"/>
        <v>41.994335020847728</v>
      </c>
      <c r="F265" s="380">
        <f t="shared" si="78"/>
        <v>41.996670288726435</v>
      </c>
      <c r="G265" s="110">
        <f t="shared" si="101"/>
        <v>0.84609588876152431</v>
      </c>
      <c r="H265" s="409" t="b">
        <f>Wh_hp&gt;='2029'!Maxi_hp</f>
        <v>0</v>
      </c>
      <c r="I265" s="385">
        <f>IF(H265,Wh_hp,'2029'!Maxi_hp)</f>
        <v>41.997012275611205</v>
      </c>
      <c r="J265" s="85">
        <f>IF(H265,An,'2029'!An_max)</f>
        <v>2029</v>
      </c>
      <c r="K265" s="193">
        <f t="shared" si="79"/>
        <v>47734</v>
      </c>
      <c r="L265" s="143">
        <f>IF(t&lt;Tvie,1-EXP((T0-t)*PertePVj)+'2029'!Pspv,1-EXP((T0-t)*PertePVj)+Pspv)</f>
        <v>4.3017222124369869E-2</v>
      </c>
      <c r="M265" s="836"/>
      <c r="N265" s="836"/>
      <c r="O265" s="48">
        <f>IF(t&lt;Tnet,'2029'!Resal+('2029'!Salim-'2029'!Resal)*(1-EXP(('2029'!Tnet-t)/('2029'!Tau_j))),Resal+(Salim-Resal)*(1-EXP((Tnet-t)/(Tau_j))))*Salcycl</f>
        <v>3.0519138257436275E-2</v>
      </c>
      <c r="P265" s="165">
        <f>(INDEX(Models!$BJ265:$BT265,,T265)*(1-R265)+INDEX(Models!$BJ265:$BT265,,T265+1)*R265-ERP_i)*Q265*Ramure*Pc/MaxiM</f>
        <v>7.1275526786256785E-5</v>
      </c>
      <c r="Q265" s="301">
        <f t="shared" si="80"/>
        <v>0.5</v>
      </c>
      <c r="R265" s="173">
        <f t="shared" si="81"/>
        <v>0.95689377314077007</v>
      </c>
      <c r="S265" s="802">
        <f t="shared" si="82"/>
        <v>0</v>
      </c>
      <c r="T265" s="172">
        <f t="shared" si="83"/>
        <v>6</v>
      </c>
      <c r="U265" s="247">
        <f t="shared" si="84"/>
        <v>0.95689377314077007</v>
      </c>
      <c r="V265" s="378">
        <f t="shared" si="85"/>
        <v>46.047672193032028</v>
      </c>
      <c r="W265" s="397">
        <f t="shared" si="86"/>
        <v>38.961356668578219</v>
      </c>
      <c r="X265" s="153">
        <f t="shared" si="87"/>
        <v>47734</v>
      </c>
      <c r="Y265" s="380">
        <f t="shared" si="88"/>
        <v>37.905722868112854</v>
      </c>
      <c r="Z265" s="380">
        <f t="shared" si="89"/>
        <v>39.609618631025249</v>
      </c>
      <c r="AA265" s="381">
        <f t="shared" si="90"/>
        <v>41.97987229204842</v>
      </c>
      <c r="AB265" s="193">
        <f t="shared" si="91"/>
        <v>47734</v>
      </c>
      <c r="AC265" s="119">
        <f>IF(OR(t&lt;Tnet,NoTnet),'2029'!Resal_s+('2029'!Salim-'2029'!Resal_s)*(1-EXP(('2029'!Tnet_s-t)/'2029'!Tau_j)),Resal_s+(Salim-Resal_s)*(1-EXP((Tnet_s-t)/Tau_j)))*Salcycl</f>
        <v>5.6461669166919574E-2</v>
      </c>
      <c r="AD265" s="227">
        <f>(INDEX(Models!$BJ265:$BT265,,AH265)*(1-AF265)+INDEX(Models!$BJ265:$BT265,,AH265+1)*AF265-ERP_i)*AE265*Ramure*Pc/MaxiM</f>
        <v>5.1269752523752394E-4</v>
      </c>
      <c r="AE265" s="301">
        <f t="shared" si="92"/>
        <v>0.5</v>
      </c>
      <c r="AF265" s="173">
        <f t="shared" si="93"/>
        <v>0.48188133951474743</v>
      </c>
      <c r="AG265" s="802">
        <f t="shared" si="99"/>
        <v>4</v>
      </c>
      <c r="AH265" s="172">
        <f t="shared" si="94"/>
        <v>10</v>
      </c>
      <c r="AI265" s="221">
        <f t="shared" si="95"/>
        <v>4.4818813395147474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47735</v>
      </c>
      <c r="B266" s="406">
        <f>'2029'!Wh/'2029'!Env_an*'2030'!Env_an</f>
        <v>18.56228224426674</v>
      </c>
      <c r="C266" s="832"/>
      <c r="D266" s="388">
        <f t="shared" si="77"/>
        <v>19.396938773556126</v>
      </c>
      <c r="E266" s="380">
        <f t="shared" si="100"/>
        <v>20.008461458286348</v>
      </c>
      <c r="F266" s="380">
        <f t="shared" si="78"/>
        <v>20.008678221580741</v>
      </c>
      <c r="G266" s="110">
        <f t="shared" si="101"/>
        <v>0.40566206335170168</v>
      </c>
      <c r="H266" s="409" t="b">
        <f>Wh_hp&gt;='2029'!Maxi_hp</f>
        <v>0</v>
      </c>
      <c r="I266" s="385">
        <f>IF(H266,Wh_hp,'2029'!Maxi_hp)</f>
        <v>20.00931133285399</v>
      </c>
      <c r="J266" s="85">
        <f>IF(H266,An,'2029'!An_max)</f>
        <v>2029</v>
      </c>
      <c r="K266" s="193">
        <f t="shared" si="79"/>
        <v>47735</v>
      </c>
      <c r="L266" s="143">
        <f>IF(t&lt;Tvie,1-EXP((T0-t)*PertePVj)+'2029'!Pspv,1-EXP((T0-t)*PertePVj)+Pspv)</f>
        <v>4.3030322414961408E-2</v>
      </c>
      <c r="M266" s="836"/>
      <c r="N266" s="836"/>
      <c r="O266" s="48">
        <f>IF(t&lt;Tnet,'2029'!Resal+('2029'!Salim-'2029'!Resal)*(1-EXP(('2029'!Tnet-t)/('2029'!Tau_j))),Resal+(Salim-Resal)*(1-EXP((Tnet-t)/(Tau_j))))*Salcycl</f>
        <v>3.0563203772820052E-2</v>
      </c>
      <c r="P266" s="165">
        <f>(INDEX(Models!$BJ266:$BT266,,T266)*(1-R266)+INDEX(Models!$BJ266:$BT266,,T266+1)*R266-ERP_i)*Q266*Ramure*Pc/MaxiM</f>
        <v>7.1753769981627884E-5</v>
      </c>
      <c r="Q266" s="301">
        <f t="shared" si="80"/>
        <v>0.5</v>
      </c>
      <c r="R266" s="173">
        <f t="shared" si="81"/>
        <v>0.95736966564012516</v>
      </c>
      <c r="S266" s="802">
        <f t="shared" si="82"/>
        <v>0</v>
      </c>
      <c r="T266" s="172">
        <f t="shared" si="83"/>
        <v>6</v>
      </c>
      <c r="U266" s="247">
        <f t="shared" si="84"/>
        <v>0.95736966564012516</v>
      </c>
      <c r="V266" s="378">
        <f t="shared" si="85"/>
        <v>45.755206337864877</v>
      </c>
      <c r="W266" s="397">
        <f t="shared" si="86"/>
        <v>18.56228224426674</v>
      </c>
      <c r="X266" s="153">
        <f t="shared" si="87"/>
        <v>47735</v>
      </c>
      <c r="Y266" s="380">
        <f t="shared" si="88"/>
        <v>18.064910028005404</v>
      </c>
      <c r="Z266" s="380">
        <f t="shared" si="89"/>
        <v>18.877202121589807</v>
      </c>
      <c r="AA266" s="381">
        <f t="shared" si="90"/>
        <v>20.007170941802645</v>
      </c>
      <c r="AB266" s="193">
        <f t="shared" si="91"/>
        <v>47735</v>
      </c>
      <c r="AC266" s="119">
        <f>IF(OR(t&lt;Tnet,NoTnet),'2029'!Resal_s+('2029'!Salim-'2029'!Resal_s)*(1-EXP(('2029'!Tnet_s-t)/'2029'!Tau_j)),Resal_s+(Salim-Resal_s)*(1-EXP((Tnet_s-t)/Tau_j)))*Salcycl</f>
        <v>5.6478190919631847E-2</v>
      </c>
      <c r="AD266" s="227">
        <f>(INDEX(Models!$BJ266:$BT266,,AH266)*(1-AF266)+INDEX(Models!$BJ266:$BT266,,AH266+1)*AF266-ERP_i)*AE266*Ramure*Pc/MaxiM</f>
        <v>4.9894520563341285E-4</v>
      </c>
      <c r="AE266" s="301">
        <f t="shared" si="92"/>
        <v>0.5</v>
      </c>
      <c r="AF266" s="173">
        <f t="shared" si="93"/>
        <v>0.48235723201410252</v>
      </c>
      <c r="AG266" s="802">
        <f t="shared" si="99"/>
        <v>4</v>
      </c>
      <c r="AH266" s="172">
        <f t="shared" si="94"/>
        <v>10</v>
      </c>
      <c r="AI266" s="221">
        <f t="shared" si="95"/>
        <v>4.4823572320141025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47736</v>
      </c>
      <c r="B267" s="406">
        <f>'2029'!Wh/'2029'!Env_an*'2030'!Env_an</f>
        <v>43.273226956975222</v>
      </c>
      <c r="C267" s="832"/>
      <c r="D267" s="388">
        <f t="shared" si="77"/>
        <v>45.219634804339833</v>
      </c>
      <c r="E267" s="380">
        <f t="shared" si="100"/>
        <v>46.647371301454989</v>
      </c>
      <c r="F267" s="380">
        <f t="shared" si="78"/>
        <v>46.650484521715534</v>
      </c>
      <c r="G267" s="110">
        <f t="shared" si="101"/>
        <v>0.95191095331298525</v>
      </c>
      <c r="H267" s="409" t="b">
        <f>Wh_hp&gt;='2029'!Maxi_hp</f>
        <v>0</v>
      </c>
      <c r="I267" s="385">
        <f>IF(H267,Wh_hp,'2029'!Maxi_hp)</f>
        <v>46.650603731410484</v>
      </c>
      <c r="J267" s="85">
        <f>IF(H267,An,'2029'!An_max)</f>
        <v>2029</v>
      </c>
      <c r="K267" s="193">
        <f t="shared" si="79"/>
        <v>47736</v>
      </c>
      <c r="L267" s="143">
        <f>IF(t&lt;Tvie,1-EXP((T0-t)*PertePVj)+'2029'!Pspv,1-EXP((T0-t)*PertePVj)+Pspv)</f>
        <v>4.3043422526221065E-2</v>
      </c>
      <c r="M267" s="836"/>
      <c r="N267" s="836"/>
      <c r="O267" s="48">
        <f>IF(t&lt;Tnet,'2029'!Resal+('2029'!Salim-'2029'!Resal)*(1-EXP(('2029'!Tnet-t)/('2029'!Tau_j))),Resal+(Salim-Resal)*(1-EXP((Tnet-t)/(Tau_j))))*Salcycl</f>
        <v>3.0607008654110757E-2</v>
      </c>
      <c r="P267" s="165">
        <f>(INDEX(Models!$BJ267:$BT267,,T267)*(1-R267)+INDEX(Models!$BJ267:$BT267,,T267+1)*R267-ERP_i)*Q267*Ramure*Pc/MaxiM</f>
        <v>7.1657281756092655E-5</v>
      </c>
      <c r="Q267" s="301">
        <f t="shared" si="80"/>
        <v>0.5</v>
      </c>
      <c r="R267" s="173">
        <f t="shared" si="81"/>
        <v>0.95782726964779008</v>
      </c>
      <c r="S267" s="802">
        <f t="shared" si="82"/>
        <v>0</v>
      </c>
      <c r="T267" s="172">
        <f t="shared" si="83"/>
        <v>6</v>
      </c>
      <c r="U267" s="247">
        <f t="shared" si="84"/>
        <v>0.95782726964779008</v>
      </c>
      <c r="V267" s="378">
        <f t="shared" si="85"/>
        <v>45.459098657602247</v>
      </c>
      <c r="W267" s="397">
        <f t="shared" si="86"/>
        <v>43.273226956975222</v>
      </c>
      <c r="X267" s="153">
        <f t="shared" si="87"/>
        <v>47736</v>
      </c>
      <c r="Y267" s="380">
        <f t="shared" si="88"/>
        <v>42.101590329575998</v>
      </c>
      <c r="Z267" s="380">
        <f t="shared" si="89"/>
        <v>43.99529855442119</v>
      </c>
      <c r="AA267" s="381">
        <f t="shared" si="90"/>
        <v>46.629605971622119</v>
      </c>
      <c r="AB267" s="193">
        <f t="shared" si="91"/>
        <v>47736</v>
      </c>
      <c r="AC267" s="119">
        <f>IF(OR(t&lt;Tnet,NoTnet),'2029'!Resal_s+('2029'!Salim-'2029'!Resal_s)*(1-EXP(('2029'!Tnet_s-t)/'2029'!Tau_j)),Resal_s+(Salim-Resal_s)*(1-EXP((Tnet_s-t)/Tau_j)))*Salcycl</f>
        <v>5.6494310048515455E-2</v>
      </c>
      <c r="AD267" s="227">
        <f>(INDEX(Models!$BJ267:$BT267,,AH267)*(1-AF267)+INDEX(Models!$BJ267:$BT267,,AH267+1)*AF267-ERP_i)*AE267*Ramure*Pc/MaxiM</f>
        <v>4.8056353919572338E-4</v>
      </c>
      <c r="AE267" s="301">
        <f t="shared" si="92"/>
        <v>0.5</v>
      </c>
      <c r="AF267" s="173">
        <f t="shared" si="93"/>
        <v>0.48281483602176678</v>
      </c>
      <c r="AG267" s="802">
        <f t="shared" si="99"/>
        <v>4</v>
      </c>
      <c r="AH267" s="172">
        <f t="shared" si="94"/>
        <v>10</v>
      </c>
      <c r="AI267" s="221">
        <f t="shared" si="95"/>
        <v>4.4828148360217668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47737</v>
      </c>
      <c r="B268" s="406">
        <f>'2029'!Wh/'2029'!Env_an*'2030'!Env_an</f>
        <v>44.768068683659486</v>
      </c>
      <c r="C268" s="832"/>
      <c r="D268" s="388">
        <f t="shared" si="77"/>
        <v>46.782354166473425</v>
      </c>
      <c r="E268" s="380">
        <f t="shared" si="100"/>
        <v>48.261598415625365</v>
      </c>
      <c r="F268" s="380">
        <f t="shared" si="78"/>
        <v>48.264984269520298</v>
      </c>
      <c r="G268" s="110">
        <f t="shared" si="101"/>
        <v>0.99134139730476944</v>
      </c>
      <c r="H268" s="409" t="b">
        <f>Wh_hp&gt;='2029'!Maxi_hp</f>
        <v>0</v>
      </c>
      <c r="I268" s="385">
        <f>IF(H268,Wh_hp,'2029'!Maxi_hp)</f>
        <v>48.26500627117499</v>
      </c>
      <c r="J268" s="85">
        <f>IF(H268,An,'2029'!An_max)</f>
        <v>2029</v>
      </c>
      <c r="K268" s="193">
        <f t="shared" si="79"/>
        <v>47737</v>
      </c>
      <c r="L268" s="143">
        <f>IF(t&lt;Tvie,1-EXP((T0-t)*PertePVj)+'2029'!Pspv,1-EXP((T0-t)*PertePVj)+Pspv)</f>
        <v>4.3056522458151059E-2</v>
      </c>
      <c r="M268" s="836"/>
      <c r="N268" s="836"/>
      <c r="O268" s="48">
        <f>IF(t&lt;Tnet,'2029'!Resal+('2029'!Salim-'2029'!Resal)*(1-EXP(('2029'!Tnet-t)/('2029'!Tau_j))),Resal+(Salim-Resal)*(1-EXP((Tnet-t)/(Tau_j))))*Salcycl</f>
        <v>3.0650544070521622E-2</v>
      </c>
      <c r="P268" s="165">
        <f>(INDEX(Models!$BJ268:$BT268,,T268)*(1-R268)+INDEX(Models!$BJ268:$BT268,,T268+1)*R268-ERP_i)*Q268*Ramure*Pc/MaxiM</f>
        <v>7.1029862586366552E-5</v>
      </c>
      <c r="Q268" s="301">
        <f t="shared" si="80"/>
        <v>0.5</v>
      </c>
      <c r="R268" s="173">
        <f t="shared" si="81"/>
        <v>0.95826725493912679</v>
      </c>
      <c r="S268" s="802">
        <f t="shared" si="82"/>
        <v>0</v>
      </c>
      <c r="T268" s="172">
        <f t="shared" si="83"/>
        <v>6</v>
      </c>
      <c r="U268" s="247">
        <f t="shared" si="84"/>
        <v>0.95826725493912679</v>
      </c>
      <c r="V268" s="378">
        <f t="shared" si="85"/>
        <v>45.159043568024742</v>
      </c>
      <c r="W268" s="397">
        <f t="shared" si="86"/>
        <v>44.768068683659486</v>
      </c>
      <c r="X268" s="153">
        <f t="shared" si="87"/>
        <v>47737</v>
      </c>
      <c r="Y268" s="380">
        <f t="shared" si="88"/>
        <v>43.557094313804903</v>
      </c>
      <c r="Z268" s="380">
        <f t="shared" si="89"/>
        <v>45.516893459258746</v>
      </c>
      <c r="AA268" s="381">
        <f t="shared" si="90"/>
        <v>48.243112287949096</v>
      </c>
      <c r="AB268" s="193">
        <f t="shared" si="91"/>
        <v>47737</v>
      </c>
      <c r="AC268" s="119">
        <f>IF(OR(t&lt;Tnet,NoTnet),'2029'!Resal_s+('2029'!Salim-'2029'!Resal_s)*(1-EXP(('2029'!Tnet_s-t)/'2029'!Tau_j)),Resal_s+(Salim-Resal_s)*(1-EXP((Tnet_s-t)/Tau_j)))*Salcycl</f>
        <v>5.651001146896046E-2</v>
      </c>
      <c r="AD268" s="227">
        <f>(INDEX(Models!$BJ268:$BT268,,AH268)*(1-AF268)+INDEX(Models!$BJ268:$BT268,,AH268+1)*AF268-ERP_i)*AE268*Ramure*Pc/MaxiM</f>
        <v>4.5883959961147349E-4</v>
      </c>
      <c r="AE268" s="301">
        <f t="shared" si="92"/>
        <v>0.5</v>
      </c>
      <c r="AF268" s="173">
        <f t="shared" si="93"/>
        <v>0.48325482131310427</v>
      </c>
      <c r="AG268" s="802">
        <f t="shared" si="99"/>
        <v>4</v>
      </c>
      <c r="AH268" s="172">
        <f t="shared" si="94"/>
        <v>10</v>
      </c>
      <c r="AI268" s="221">
        <f t="shared" si="95"/>
        <v>4.4832548213131043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47738</v>
      </c>
      <c r="B269" s="406">
        <f>'2029'!Wh/'2029'!Env_an*'2030'!Env_an</f>
        <v>34.774643207301651</v>
      </c>
      <c r="C269" s="832"/>
      <c r="D269" s="388">
        <f t="shared" si="77"/>
        <v>36.339783974294953</v>
      </c>
      <c r="E269" s="380">
        <f t="shared" si="100"/>
        <v>37.490510228664441</v>
      </c>
      <c r="F269" s="380">
        <f t="shared" si="78"/>
        <v>37.492292637489719</v>
      </c>
      <c r="G269" s="110">
        <f t="shared" si="101"/>
        <v>0.77525515725266902</v>
      </c>
      <c r="H269" s="409" t="b">
        <f>Wh_hp&gt;='2029'!Maxi_hp</f>
        <v>0</v>
      </c>
      <c r="I269" s="385">
        <f>IF(H269,Wh_hp,'2029'!Maxi_hp)</f>
        <v>37.492729744607125</v>
      </c>
      <c r="J269" s="85">
        <f>IF(H269,An,'2029'!An_max)</f>
        <v>2029</v>
      </c>
      <c r="K269" s="193">
        <f t="shared" si="79"/>
        <v>47738</v>
      </c>
      <c r="L269" s="143">
        <f>IF(t&lt;Tvie,1-EXP((T0-t)*PertePVj)+'2029'!Pspv,1-EXP((T0-t)*PertePVj)+Pspv)</f>
        <v>4.3069622210754166E-2</v>
      </c>
      <c r="M269" s="836"/>
      <c r="N269" s="836"/>
      <c r="O269" s="48">
        <f>IF(t&lt;Tnet,'2029'!Resal+('2029'!Salim-'2029'!Resal)*(1-EXP(('2029'!Tnet-t)/('2029'!Tau_j))),Resal+(Salim-Resal)*(1-EXP((Tnet-t)/(Tau_j))))*Salcycl</f>
        <v>3.0693800840556902E-2</v>
      </c>
      <c r="P269" s="165">
        <f>(INDEX(Models!$BJ269:$BT269,,T269)*(1-R269)+INDEX(Models!$BJ269:$BT269,,T269+1)*R269-ERP_i)*Q269*Ramure*Pc/MaxiM</f>
        <v>7.0019757363779284E-5</v>
      </c>
      <c r="Q269" s="301">
        <f t="shared" si="80"/>
        <v>0.5</v>
      </c>
      <c r="R269" s="173">
        <f t="shared" si="81"/>
        <v>0.95869026932071377</v>
      </c>
      <c r="S269" s="802">
        <f t="shared" si="82"/>
        <v>0</v>
      </c>
      <c r="T269" s="172">
        <f t="shared" si="83"/>
        <v>6</v>
      </c>
      <c r="U269" s="247">
        <f t="shared" si="84"/>
        <v>0.95869026932071377</v>
      </c>
      <c r="V269" s="378">
        <f t="shared" si="85"/>
        <v>44.854730913665335</v>
      </c>
      <c r="W269" s="397">
        <f t="shared" si="86"/>
        <v>34.774643207301651</v>
      </c>
      <c r="X269" s="153">
        <f t="shared" si="87"/>
        <v>47738</v>
      </c>
      <c r="Y269" s="380">
        <f t="shared" si="88"/>
        <v>33.839481394023558</v>
      </c>
      <c r="Z269" s="380">
        <f t="shared" si="89"/>
        <v>35.362532300627159</v>
      </c>
      <c r="AA269" s="381">
        <f t="shared" si="90"/>
        <v>37.481165666468684</v>
      </c>
      <c r="AB269" s="193">
        <f t="shared" si="91"/>
        <v>47738</v>
      </c>
      <c r="AC269" s="119">
        <f>IF(OR(t&lt;Tnet,NoTnet),'2029'!Resal_s+('2029'!Salim-'2029'!Resal_s)*(1-EXP(('2029'!Tnet_s-t)/'2029'!Tau_j)),Resal_s+(Salim-Resal_s)*(1-EXP((Tnet_s-t)/Tau_j)))*Salcycl</f>
        <v>5.6525279514902958E-2</v>
      </c>
      <c r="AD269" s="227">
        <f>(INDEX(Models!$BJ269:$BT269,,AH269)*(1-AF269)+INDEX(Models!$BJ269:$BT269,,AH269+1)*AF269-ERP_i)*AE269*Ramure*Pc/MaxiM</f>
        <v>4.3710948915678672E-4</v>
      </c>
      <c r="AE269" s="301">
        <f t="shared" si="92"/>
        <v>0.5</v>
      </c>
      <c r="AF269" s="173">
        <f t="shared" si="93"/>
        <v>0.48367783569469047</v>
      </c>
      <c r="AG269" s="802">
        <f t="shared" si="99"/>
        <v>4</v>
      </c>
      <c r="AH269" s="172">
        <f t="shared" si="94"/>
        <v>10</v>
      </c>
      <c r="AI269" s="221">
        <f t="shared" si="95"/>
        <v>4.4836778356946905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47739</v>
      </c>
      <c r="B270" s="406">
        <f>'2029'!Wh/'2029'!Env_an*'2030'!Env_an</f>
        <v>13.329574519312306</v>
      </c>
      <c r="C270" s="832"/>
      <c r="D270" s="388">
        <f t="shared" si="77"/>
        <v>13.929704084937573</v>
      </c>
      <c r="E270" s="380">
        <f t="shared" si="100"/>
        <v>14.371435587002388</v>
      </c>
      <c r="F270" s="380">
        <f t="shared" si="78"/>
        <v>14.371435587002388</v>
      </c>
      <c r="G270" s="110">
        <f t="shared" si="101"/>
        <v>0.29921210490450201</v>
      </c>
      <c r="H270" s="409" t="b">
        <f>Wh_hp&gt;='2029'!Maxi_hp</f>
        <v>0</v>
      </c>
      <c r="I270" s="385">
        <f>IF(H270,Wh_hp,'2029'!Maxi_hp)</f>
        <v>14.371946817511974</v>
      </c>
      <c r="J270" s="85">
        <f>IF(H270,An,'2029'!An_max)</f>
        <v>2029</v>
      </c>
      <c r="K270" s="193">
        <f t="shared" si="79"/>
        <v>47739</v>
      </c>
      <c r="L270" s="143">
        <f>IF(t&lt;Tvie,1-EXP((T0-t)*PertePVj)+'2029'!Pspv,1-EXP((T0-t)*PertePVj)+Pspv)</f>
        <v>4.3082721784032496E-2</v>
      </c>
      <c r="M270" s="836"/>
      <c r="N270" s="836"/>
      <c r="O270" s="48">
        <f>IF(t&lt;Tnet,'2029'!Resal+('2029'!Salim-'2029'!Resal)*(1-EXP(('2029'!Tnet-t)/('2029'!Tau_j))),Resal+(Salim-Resal)*(1-EXP((Tnet-t)/(Tau_j))))*Salcycl</f>
        <v>3.0736769433411387E-2</v>
      </c>
      <c r="P270" s="165">
        <f>(INDEX(Models!$BJ270:$BT270,,T270)*(1-R270)+INDEX(Models!$BJ270:$BT270,,T270+1)*R270-ERP_i)*Q270*Ramure*Pc/MaxiM</f>
        <v>6.8620526593564642E-5</v>
      </c>
      <c r="Q270" s="301">
        <f t="shared" si="80"/>
        <v>0.5</v>
      </c>
      <c r="R270" s="173">
        <f t="shared" si="81"/>
        <v>0.95909693914892391</v>
      </c>
      <c r="S270" s="802">
        <f t="shared" si="82"/>
        <v>0</v>
      </c>
      <c r="T270" s="172">
        <f t="shared" si="83"/>
        <v>6</v>
      </c>
      <c r="U270" s="247">
        <f t="shared" si="84"/>
        <v>0.95909693914892391</v>
      </c>
      <c r="V270" s="378">
        <f t="shared" si="85"/>
        <v>44.54585766556324</v>
      </c>
      <c r="W270" s="397">
        <f t="shared" si="86"/>
        <v>13.329574519312306</v>
      </c>
      <c r="X270" s="153">
        <f t="shared" si="87"/>
        <v>47739</v>
      </c>
      <c r="Y270" s="380">
        <f t="shared" si="88"/>
        <v>12.974720049043547</v>
      </c>
      <c r="Z270" s="380">
        <f t="shared" si="89"/>
        <v>13.55887321131145</v>
      </c>
      <c r="AA270" s="381">
        <f t="shared" si="90"/>
        <v>14.371435587002388</v>
      </c>
      <c r="AB270" s="193">
        <f t="shared" si="91"/>
        <v>47739</v>
      </c>
      <c r="AC270" s="119">
        <f>IF(OR(t&lt;Tnet,NoTnet),'2029'!Resal_s+('2029'!Salim-'2029'!Resal_s)*(1-EXP(('2029'!Tnet_s-t)/'2029'!Tau_j)),Resal_s+(Salim-Resal_s)*(1-EXP((Tnet_s-t)/Tau_j)))*Salcycl</f>
        <v>5.6540097944413011E-2</v>
      </c>
      <c r="AD270" s="227">
        <f>(INDEX(Models!$BJ270:$BT270,,AH270)*(1-AF270)+INDEX(Models!$BJ270:$BT270,,AH270+1)*AF270-ERP_i)*AE270*Ramure*Pc/MaxiM</f>
        <v>4.153718418546287E-4</v>
      </c>
      <c r="AE270" s="301">
        <f t="shared" si="92"/>
        <v>0.5</v>
      </c>
      <c r="AF270" s="173">
        <f t="shared" si="93"/>
        <v>0.48408450552290105</v>
      </c>
      <c r="AG270" s="802">
        <f t="shared" si="99"/>
        <v>4</v>
      </c>
      <c r="AH270" s="172">
        <f t="shared" si="94"/>
        <v>10</v>
      </c>
      <c r="AI270" s="221">
        <f t="shared" si="95"/>
        <v>4.4840845055229011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47740</v>
      </c>
      <c r="B271" s="406">
        <f>'2029'!Wh/'2029'!Env_an*'2030'!Env_an</f>
        <v>35.817688890151501</v>
      </c>
      <c r="C271" s="832"/>
      <c r="D271" s="388">
        <f t="shared" ref="D271:D334" si="102">Wh/(1-Ppv)</f>
        <v>37.430799951406385</v>
      </c>
      <c r="E271" s="380">
        <f t="shared" si="100"/>
        <v>38.619486105851877</v>
      </c>
      <c r="F271" s="380">
        <f t="shared" ref="F271:F334" si="103">Wh_sa/(1-Pvg*MEDIAN((-Sdif+Wh/Env_an)/Csdif,0,1))</f>
        <v>38.621365607684709</v>
      </c>
      <c r="G271" s="110">
        <f t="shared" si="101"/>
        <v>0.80975177530219744</v>
      </c>
      <c r="H271" s="409" t="b">
        <f>Wh_hp&gt;='2029'!Maxi_hp</f>
        <v>0</v>
      </c>
      <c r="I271" s="385">
        <f>IF(H271,Wh_hp,'2029'!Maxi_hp)</f>
        <v>38.621729058439904</v>
      </c>
      <c r="J271" s="85">
        <f>IF(H271,An,'2029'!An_max)</f>
        <v>2029</v>
      </c>
      <c r="K271" s="193">
        <f t="shared" ref="K271:K334" si="104">t</f>
        <v>47740</v>
      </c>
      <c r="L271" s="143">
        <f>IF(t&lt;Tvie,1-EXP((T0-t)*PertePVj)+'2029'!Pspv,1-EXP((T0-t)*PertePVj)+Pspv)</f>
        <v>4.3095821177988825E-2</v>
      </c>
      <c r="M271" s="836"/>
      <c r="N271" s="836"/>
      <c r="O271" s="48">
        <f>IF(t&lt;Tnet,'2029'!Resal+('2029'!Salim-'2029'!Resal)*(1-EXP(('2029'!Tnet-t)/('2029'!Tau_j))),Resal+(Salim-Resal)*(1-EXP((Tnet-t)/(Tau_j))))*Salcycl</f>
        <v>3.0779439974613583E-2</v>
      </c>
      <c r="P271" s="165">
        <f>(INDEX(Models!$BJ271:$BT271,,T271)*(1-R271)+INDEX(Models!$BJ271:$BT271,,T271+1)*R271-ERP_i)*Q271*Ramure*Pc/MaxiM</f>
        <v>6.6825449900392722E-5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0.95948786985335943</v>
      </c>
      <c r="S271" s="802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0.95948786985335943</v>
      </c>
      <c r="V271" s="378">
        <f t="shared" ref="V271:V334" si="110">MaxiM*(1-Ppv)*(1-Pvg)*(1-Psa)</f>
        <v>44.23212085377844</v>
      </c>
      <c r="W271" s="397">
        <f t="shared" ref="W271:W334" si="111">Wh*(A271&gt;Tmaj)</f>
        <v>35.817688890151501</v>
      </c>
      <c r="X271" s="153">
        <f t="shared" ref="X271:X334" si="112">t</f>
        <v>47740</v>
      </c>
      <c r="Y271" s="380">
        <f t="shared" ref="Y271:Y334" si="113">Wh_pvt_s*(1-Ppv)</f>
        <v>34.856871708060417</v>
      </c>
      <c r="Z271" s="380">
        <f t="shared" ref="Z271:Z334" si="114">Wh_sa_s*(1-Psa_s)</f>
        <v>36.426710719322678</v>
      </c>
      <c r="AA271" s="381">
        <f t="shared" ref="AA271:AA334" si="115">Wh_hp*(1-Pvg_s*MEDIAN((-Sdif+Wh/Env_an)/Csdif,0,1))</f>
        <v>38.610294698521798</v>
      </c>
      <c r="AB271" s="193">
        <f t="shared" ref="AB271:AB334" si="116">t</f>
        <v>47740</v>
      </c>
      <c r="AC271" s="119">
        <f>IF(OR(t&lt;Tnet,NoTnet),'2029'!Resal_s+('2029'!Salim-'2029'!Resal_s)*(1-EXP(('2029'!Tnet_s-t)/'2029'!Tau_j)),Resal_s+(Salim-Resal_s)*(1-EXP((Tnet_s-t)/Tau_j)))*Salcycl</f>
        <v>5.6554449953025582E-2</v>
      </c>
      <c r="AD271" s="227">
        <f>(INDEX(Models!$BJ271:$BT271,,AH271)*(1-AF271)+INDEX(Models!$BJ271:$BT271,,AH271+1)*AF271-ERP_i)*AE271*Ramure*Pc/MaxiM</f>
        <v>3.9362477476487169E-4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0.48447543622733669</v>
      </c>
      <c r="AG271" s="802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4.4844754362273367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47741</v>
      </c>
      <c r="B272" s="406">
        <f>'2029'!Wh/'2029'!Env_an*'2030'!Env_an</f>
        <v>40.688973553236409</v>
      </c>
      <c r="C272" s="832"/>
      <c r="D272" s="388">
        <f t="shared" si="102"/>
        <v>42.522053366754811</v>
      </c>
      <c r="E272" s="380">
        <f t="shared" si="100"/>
        <v>43.874339585586782</v>
      </c>
      <c r="F272" s="380">
        <f t="shared" si="103"/>
        <v>43.876877806121577</v>
      </c>
      <c r="G272" s="110">
        <f t="shared" si="101"/>
        <v>0.92657063121304428</v>
      </c>
      <c r="H272" s="409" t="b">
        <f>Wh_hp&gt;='2029'!Maxi_hp</f>
        <v>0</v>
      </c>
      <c r="I272" s="385">
        <f>IF(H272,Wh_hp,'2029'!Maxi_hp)</f>
        <v>43.877031869617284</v>
      </c>
      <c r="J272" s="85">
        <f>IF(H272,An,'2029'!An_max)</f>
        <v>2029</v>
      </c>
      <c r="K272" s="193">
        <f t="shared" si="104"/>
        <v>47741</v>
      </c>
      <c r="L272" s="143">
        <f>IF(t&lt;Tvie,1-EXP((T0-t)*PertePVj)+'2029'!Pspv,1-EXP((T0-t)*PertePVj)+Pspv)</f>
        <v>4.3108920392625372E-2</v>
      </c>
      <c r="M272" s="836"/>
      <c r="N272" s="836"/>
      <c r="O272" s="48">
        <f>IF(t&lt;Tnet,'2029'!Resal+('2029'!Salim-'2029'!Resal)*(1-EXP(('2029'!Tnet-t)/('2029'!Tau_j))),Resal+(Salim-Resal)*(1-EXP((Tnet-t)/(Tau_j))))*Salcycl</f>
        <v>3.0821802256283105E-2</v>
      </c>
      <c r="P272" s="165">
        <f>(INDEX(Models!$BJ272:$BT272,,T272)*(1-R272)+INDEX(Models!$BJ272:$BT272,,T272+1)*R272-ERP_i)*Q272*Ramure*Pc/MaxiM</f>
        <v>6.4627489893903536E-5</v>
      </c>
      <c r="Q272" s="301">
        <f t="shared" si="105"/>
        <v>0.5</v>
      </c>
      <c r="R272" s="173">
        <f t="shared" si="106"/>
        <v>0.9598636464632575</v>
      </c>
      <c r="S272" s="802">
        <f t="shared" si="107"/>
        <v>0</v>
      </c>
      <c r="T272" s="172">
        <f t="shared" si="108"/>
        <v>6</v>
      </c>
      <c r="U272" s="247">
        <f t="shared" si="109"/>
        <v>0.9598636464632575</v>
      </c>
      <c r="V272" s="378">
        <f t="shared" si="110"/>
        <v>43.913217562473072</v>
      </c>
      <c r="W272" s="397">
        <f t="shared" si="111"/>
        <v>40.688973553236409</v>
      </c>
      <c r="X272" s="153">
        <f t="shared" si="112"/>
        <v>47741</v>
      </c>
      <c r="Y272" s="380">
        <f t="shared" si="113"/>
        <v>39.597165171011454</v>
      </c>
      <c r="Z272" s="380">
        <f t="shared" si="114"/>
        <v>41.381057901865603</v>
      </c>
      <c r="AA272" s="381">
        <f t="shared" si="115"/>
        <v>43.862272912770138</v>
      </c>
      <c r="AB272" s="193">
        <f t="shared" si="116"/>
        <v>47741</v>
      </c>
      <c r="AC272" s="119">
        <f>IF(OR(t&lt;Tnet,NoTnet),'2029'!Resal_s+('2029'!Salim-'2029'!Resal_s)*(1-EXP(('2029'!Tnet_s-t)/'2029'!Tau_j)),Resal_s+(Salim-Resal_s)*(1-EXP((Tnet_s-t)/Tau_j)))*Salcycl</f>
        <v>5.6568318195433689E-2</v>
      </c>
      <c r="AD272" s="227">
        <f>(INDEX(Models!$BJ272:$BT272,,AH272)*(1-AF272)+INDEX(Models!$BJ272:$BT272,,AH272+1)*AF272-ERP_i)*AE272*Ramure*Pc/MaxiM</f>
        <v>3.7186587395797628E-4</v>
      </c>
      <c r="AE272" s="301">
        <f t="shared" si="117"/>
        <v>0.5</v>
      </c>
      <c r="AF272" s="173">
        <f t="shared" si="118"/>
        <v>0.48485121283723487</v>
      </c>
      <c r="AG272" s="802">
        <f t="shared" ref="AG272:AG335" si="124">INDEX(Echel_vg,AH272)</f>
        <v>4</v>
      </c>
      <c r="AH272" s="172">
        <f t="shared" si="119"/>
        <v>10</v>
      </c>
      <c r="AI272" s="221">
        <f t="shared" si="120"/>
        <v>4.4848512128372349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47742</v>
      </c>
      <c r="B273" s="406">
        <f>'2029'!Wh/'2029'!Env_an*'2030'!Env_an</f>
        <v>27.342318761802133</v>
      </c>
      <c r="C273" s="832"/>
      <c r="D273" s="388">
        <f t="shared" si="102"/>
        <v>28.574509307295305</v>
      </c>
      <c r="E273" s="380">
        <f t="shared" si="100"/>
        <v>29.484514824934372</v>
      </c>
      <c r="F273" s="380">
        <f t="shared" si="103"/>
        <v>29.48536979664248</v>
      </c>
      <c r="G273" s="110">
        <f t="shared" si="101"/>
        <v>0.62725717692901828</v>
      </c>
      <c r="H273" s="409" t="b">
        <f>Wh_hp&gt;='2029'!Maxi_hp</f>
        <v>0</v>
      </c>
      <c r="I273" s="385">
        <f>IF(H273,Wh_hp,'2029'!Maxi_hp)</f>
        <v>29.485873944823876</v>
      </c>
      <c r="J273" s="85">
        <f>IF(H273,An,'2029'!An_max)</f>
        <v>2029</v>
      </c>
      <c r="K273" s="193">
        <f t="shared" si="104"/>
        <v>47742</v>
      </c>
      <c r="L273" s="143">
        <f>IF(t&lt;Tvie,1-EXP((T0-t)*PertePVj)+'2029'!Pspv,1-EXP((T0-t)*PertePVj)+Pspv)</f>
        <v>4.312201942794458E-2</v>
      </c>
      <c r="M273" s="836"/>
      <c r="N273" s="836"/>
      <c r="O273" s="48">
        <f>IF(t&lt;Tnet,'2029'!Resal+('2029'!Salim-'2029'!Resal)*(1-EXP(('2029'!Tnet-t)/('2029'!Tau_j))),Resal+(Salim-Resal)*(1-EXP((Tnet-t)/(Tau_j))))*Salcycl</f>
        <v>3.0863845752330192E-2</v>
      </c>
      <c r="P273" s="165">
        <f>(INDEX(Models!$BJ273:$BT273,,T273)*(1-R273)+INDEX(Models!$BJ273:$BT273,,T273+1)*R273-ERP_i)*Q273*Ramure*Pc/MaxiM</f>
        <v>6.2019253655666706E-5</v>
      </c>
      <c r="Q273" s="301">
        <f t="shared" si="105"/>
        <v>0.5</v>
      </c>
      <c r="R273" s="173">
        <f t="shared" si="106"/>
        <v>0.96022483413515314</v>
      </c>
      <c r="S273" s="802">
        <f t="shared" si="107"/>
        <v>0</v>
      </c>
      <c r="T273" s="172">
        <f t="shared" si="108"/>
        <v>6</v>
      </c>
      <c r="U273" s="247">
        <f t="shared" si="109"/>
        <v>0.96022483413515314</v>
      </c>
      <c r="V273" s="378">
        <f t="shared" si="110"/>
        <v>43.588844929707776</v>
      </c>
      <c r="W273" s="397">
        <f t="shared" si="111"/>
        <v>27.342318761802133</v>
      </c>
      <c r="X273" s="153">
        <f t="shared" si="112"/>
        <v>47742</v>
      </c>
      <c r="Y273" s="380">
        <f t="shared" si="113"/>
        <v>26.613154238948944</v>
      </c>
      <c r="Z273" s="380">
        <f t="shared" si="114"/>
        <v>27.812484746528142</v>
      </c>
      <c r="AA273" s="381">
        <f t="shared" si="115"/>
        <v>29.480543571073323</v>
      </c>
      <c r="AB273" s="193">
        <f t="shared" si="116"/>
        <v>47742</v>
      </c>
      <c r="AC273" s="119">
        <f>IF(OR(t&lt;Tnet,NoTnet),'2029'!Resal_s+('2029'!Salim-'2029'!Resal_s)*(1-EXP(('2029'!Tnet_s-t)/'2029'!Tau_j)),Resal_s+(Salim-Resal_s)*(1-EXP((Tnet_s-t)/Tau_j)))*Salcycl</f>
        <v>5.6581684816079857E-2</v>
      </c>
      <c r="AD273" s="227">
        <f>(INDEX(Models!$BJ273:$BT273,,AH273)*(1-AF273)+INDEX(Models!$BJ273:$BT273,,AH273+1)*AF273-ERP_i)*AE273*Ramure*Pc/MaxiM</f>
        <v>3.500921784120213E-4</v>
      </c>
      <c r="AE273" s="301">
        <f t="shared" si="117"/>
        <v>0.5</v>
      </c>
      <c r="AF273" s="173">
        <f t="shared" si="118"/>
        <v>0.4852124005091305</v>
      </c>
      <c r="AG273" s="802">
        <f t="shared" si="124"/>
        <v>4</v>
      </c>
      <c r="AH273" s="172">
        <f t="shared" si="119"/>
        <v>10</v>
      </c>
      <c r="AI273" s="221">
        <f t="shared" si="120"/>
        <v>4.4852124005091305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47743</v>
      </c>
      <c r="B274" s="406">
        <f>'2029'!Wh/'2029'!Env_an*'2030'!Env_an</f>
        <v>43.90411187496079</v>
      </c>
      <c r="C274" s="832"/>
      <c r="D274" s="388">
        <f t="shared" si="102"/>
        <v>45.883293152344272</v>
      </c>
      <c r="E274" s="380">
        <f t="shared" si="100"/>
        <v>47.346565248322293</v>
      </c>
      <c r="F274" s="380">
        <f t="shared" si="103"/>
        <v>47.349358526733646</v>
      </c>
      <c r="G274" s="110">
        <f t="shared" si="101"/>
        <v>1.0149198133359905</v>
      </c>
      <c r="H274" s="409" t="b">
        <f>Wh_hp&gt;='2029'!Maxi_hp</f>
        <v>0</v>
      </c>
      <c r="I274" s="385">
        <f>IF(H274,Wh_hp,'2029'!Maxi_hp)</f>
        <v>47.349358526733653</v>
      </c>
      <c r="J274" s="85">
        <f>IF(H274,An,'2029'!An_max)</f>
        <v>2029</v>
      </c>
      <c r="K274" s="193">
        <f t="shared" si="104"/>
        <v>47743</v>
      </c>
      <c r="L274" s="143">
        <f>IF(t&lt;Tvie,1-EXP((T0-t)*PertePVj)+'2029'!Pspv,1-EXP((T0-t)*PertePVj)+Pspv)</f>
        <v>4.3135118283949114E-2</v>
      </c>
      <c r="M274" s="836"/>
      <c r="N274" s="836"/>
      <c r="O274" s="48">
        <f>IF(t&lt;Tnet,'2029'!Resal+('2029'!Salim-'2029'!Resal)*(1-EXP(('2029'!Tnet-t)/('2029'!Tau_j))),Resal+(Salim-Resal)*(1-EXP((Tnet-t)/(Tau_j))))*Salcycl</f>
        <v>3.0905559638877311E-2</v>
      </c>
      <c r="P274" s="165">
        <f>(INDEX(Models!$BJ274:$BT274,,T274)*(1-R274)+INDEX(Models!$BJ274:$BT274,,T274+1)*R274-ERP_i)*Q274*Ramure*Pc/MaxiM</f>
        <v>5.8992951504900146E-5</v>
      </c>
      <c r="Q274" s="301">
        <f t="shared" si="105"/>
        <v>0.5</v>
      </c>
      <c r="R274" s="173">
        <f t="shared" si="106"/>
        <v>0.96057197868025146</v>
      </c>
      <c r="S274" s="802">
        <f t="shared" si="107"/>
        <v>0</v>
      </c>
      <c r="T274" s="172">
        <f t="shared" si="108"/>
        <v>6</v>
      </c>
      <c r="U274" s="247">
        <f t="shared" si="109"/>
        <v>0.96057197868025146</v>
      </c>
      <c r="V274" s="378">
        <f t="shared" si="110"/>
        <v>43.258700143659794</v>
      </c>
      <c r="W274" s="397">
        <f t="shared" si="111"/>
        <v>43.90411187496079</v>
      </c>
      <c r="X274" s="153">
        <f t="shared" si="112"/>
        <v>47743</v>
      </c>
      <c r="Y274" s="380">
        <f t="shared" si="113"/>
        <v>42.728780924577215</v>
      </c>
      <c r="Z274" s="380">
        <f t="shared" si="114"/>
        <v>44.654978713344562</v>
      </c>
      <c r="AA274" s="381">
        <f t="shared" si="115"/>
        <v>47.33381372468493</v>
      </c>
      <c r="AB274" s="193">
        <f t="shared" si="116"/>
        <v>47743</v>
      </c>
      <c r="AC274" s="119">
        <f>IF(OR(t&lt;Tnet,NoTnet),'2029'!Resal_s+('2029'!Salim-'2029'!Resal_s)*(1-EXP(('2029'!Tnet_s-t)/'2029'!Tau_j)),Resal_s+(Salim-Resal_s)*(1-EXP((Tnet_s-t)/Tau_j)))*Salcycl</f>
        <v>5.6594531489089231E-2</v>
      </c>
      <c r="AD274" s="227">
        <f>(INDEX(Models!$BJ274:$BT274,,AH274)*(1-AF274)+INDEX(Models!$BJ274:$BT274,,AH274+1)*AF274-ERP_i)*AE274*Ramure*Pc/MaxiM</f>
        <v>3.283001614465469E-4</v>
      </c>
      <c r="AE274" s="301">
        <f t="shared" si="117"/>
        <v>0.5</v>
      </c>
      <c r="AF274" s="173">
        <f t="shared" si="118"/>
        <v>0.48555954505422871</v>
      </c>
      <c r="AG274" s="802">
        <f t="shared" si="124"/>
        <v>4</v>
      </c>
      <c r="AH274" s="172">
        <f t="shared" si="119"/>
        <v>10</v>
      </c>
      <c r="AI274" s="221">
        <f t="shared" si="120"/>
        <v>4.4855595450542287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47744</v>
      </c>
      <c r="B275" s="406">
        <f>'2029'!Wh/'2029'!Env_an*'2030'!Env_an</f>
        <v>43.005951367340451</v>
      </c>
      <c r="C275" s="832"/>
      <c r="D275" s="388">
        <f t="shared" si="102"/>
        <v>44.945259160970245</v>
      </c>
      <c r="E275" s="380">
        <f t="shared" si="100"/>
        <v>46.380596360702476</v>
      </c>
      <c r="F275" s="380">
        <f t="shared" si="103"/>
        <v>46.383172558229624</v>
      </c>
      <c r="G275" s="110">
        <f t="shared" si="101"/>
        <v>1.0019679371990164</v>
      </c>
      <c r="H275" s="409" t="b">
        <f>Wh_hp&gt;='2029'!Maxi_hp</f>
        <v>1</v>
      </c>
      <c r="I275" s="385">
        <f>IF(H275,Wh_hp,'2029'!Maxi_hp)</f>
        <v>46.383172558229624</v>
      </c>
      <c r="J275" s="85">
        <f>IF(H275,An,'2029'!An_max)</f>
        <v>2030</v>
      </c>
      <c r="K275" s="193">
        <f t="shared" si="104"/>
        <v>47744</v>
      </c>
      <c r="L275" s="143">
        <f>IF(t&lt;Tvie,1-EXP((T0-t)*PertePVj)+'2029'!Pspv,1-EXP((T0-t)*PertePVj)+Pspv)</f>
        <v>4.3148216960641306E-2</v>
      </c>
      <c r="M275" s="836"/>
      <c r="N275" s="836"/>
      <c r="O275" s="48">
        <f>IF(t&lt;Tnet,'2029'!Resal+('2029'!Salim-'2029'!Resal)*(1-EXP(('2029'!Tnet-t)/('2029'!Tau_j))),Resal+(Salim-Resal)*(1-EXP((Tnet-t)/(Tau_j))))*Salcycl</f>
        <v>3.0946932820130182E-2</v>
      </c>
      <c r="P275" s="165">
        <f>(INDEX(Models!$BJ275:$BT275,,T275)*(1-R275)+INDEX(Models!$BJ275:$BT275,,T275+1)*R275-ERP_i)*Q275*Ramure*Pc/MaxiM</f>
        <v>5.5541641182707855E-5</v>
      </c>
      <c r="Q275" s="301">
        <f t="shared" si="105"/>
        <v>0.5</v>
      </c>
      <c r="R275" s="173">
        <f t="shared" si="106"/>
        <v>0.9609056070901093</v>
      </c>
      <c r="S275" s="802">
        <f t="shared" si="107"/>
        <v>0</v>
      </c>
      <c r="T275" s="172">
        <f t="shared" si="108"/>
        <v>6</v>
      </c>
      <c r="U275" s="247">
        <f t="shared" si="109"/>
        <v>0.9609056070901093</v>
      </c>
      <c r="V275" s="378">
        <f t="shared" si="110"/>
        <v>42.921484581196104</v>
      </c>
      <c r="W275" s="397">
        <f t="shared" si="111"/>
        <v>43.005951367340451</v>
      </c>
      <c r="X275" s="153">
        <f t="shared" si="112"/>
        <v>47744</v>
      </c>
      <c r="Y275" s="380">
        <f t="shared" si="113"/>
        <v>41.856674024863239</v>
      </c>
      <c r="Z275" s="380">
        <f t="shared" si="114"/>
        <v>43.744156374887083</v>
      </c>
      <c r="AA275" s="381">
        <f t="shared" si="115"/>
        <v>46.3689564488825</v>
      </c>
      <c r="AB275" s="193">
        <f t="shared" si="116"/>
        <v>47744</v>
      </c>
      <c r="AC275" s="119">
        <f>IF(OR(t&lt;Tnet,NoTnet),'2029'!Resal_s+('2029'!Salim-'2029'!Resal_s)*(1-EXP(('2029'!Tnet_s-t)/'2029'!Tau_j)),Resal_s+(Salim-Resal_s)*(1-EXP((Tnet_s-t)/Tau_j)))*Salcycl</f>
        <v>5.6606839467888713E-2</v>
      </c>
      <c r="AD275" s="227">
        <f>(INDEX(Models!$BJ275:$BT275,,AH275)*(1-AF275)+INDEX(Models!$BJ275:$BT275,,AH275+1)*AF275-ERP_i)*AE275*Ramure*Pc/MaxiM</f>
        <v>3.0649281976719825E-4</v>
      </c>
      <c r="AE275" s="301">
        <f t="shared" si="117"/>
        <v>0.5</v>
      </c>
      <c r="AF275" s="173">
        <f t="shared" si="118"/>
        <v>0.48589317346408656</v>
      </c>
      <c r="AG275" s="802">
        <f t="shared" si="124"/>
        <v>4</v>
      </c>
      <c r="AH275" s="172">
        <f t="shared" si="119"/>
        <v>10</v>
      </c>
      <c r="AI275" s="221">
        <f t="shared" si="120"/>
        <v>4.4858931734640866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47745</v>
      </c>
      <c r="B276" s="406">
        <f>'2029'!Wh/'2029'!Env_an*'2030'!Env_an</f>
        <v>43.346677140197677</v>
      </c>
      <c r="C276" s="832"/>
      <c r="D276" s="388">
        <f t="shared" si="102"/>
        <v>45.301969747332123</v>
      </c>
      <c r="E276" s="380">
        <f t="shared" si="100"/>
        <v>46.750677592150346</v>
      </c>
      <c r="F276" s="380">
        <f t="shared" si="103"/>
        <v>46.753120968509748</v>
      </c>
      <c r="G276" s="110">
        <f t="shared" si="101"/>
        <v>1.0180864621196526</v>
      </c>
      <c r="H276" s="409" t="b">
        <f>Wh_hp&gt;='2029'!Maxi_hp</f>
        <v>1</v>
      </c>
      <c r="I276" s="385">
        <f>IF(H276,Wh_hp,'2029'!Maxi_hp)</f>
        <v>46.753120968509748</v>
      </c>
      <c r="J276" s="85">
        <f>IF(H276,An,'2029'!An_max)</f>
        <v>2030</v>
      </c>
      <c r="K276" s="193">
        <f t="shared" si="104"/>
        <v>47745</v>
      </c>
      <c r="L276" s="143">
        <f>IF(t&lt;Tvie,1-EXP((T0-t)*PertePVj)+'2029'!Pspv,1-EXP((T0-t)*PertePVj)+Pspv)</f>
        <v>4.3161315458023597E-2</v>
      </c>
      <c r="M276" s="836"/>
      <c r="N276" s="836"/>
      <c r="O276" s="48">
        <f>IF(t&lt;Tnet,'2029'!Resal+('2029'!Salim-'2029'!Resal)*(1-EXP(('2029'!Tnet-t)/('2029'!Tau_j))),Resal+(Salim-Resal)*(1-EXP((Tnet-t)/(Tau_j))))*Salcycl</f>
        <v>3.0987953959868739E-2</v>
      </c>
      <c r="P276" s="165">
        <f>(INDEX(Models!$BJ276:$BT276,,T276)*(1-R276)+INDEX(Models!$BJ276:$BT276,,T276+1)*R276-ERP_i)*Q276*Ramure*Pc/MaxiM</f>
        <v>5.2261246068359428E-5</v>
      </c>
      <c r="Q276" s="301">
        <f t="shared" si="105"/>
        <v>0.5</v>
      </c>
      <c r="R276" s="173">
        <f t="shared" si="106"/>
        <v>0.96122622805937086</v>
      </c>
      <c r="S276" s="802">
        <f t="shared" si="107"/>
        <v>0</v>
      </c>
      <c r="T276" s="172">
        <f t="shared" si="108"/>
        <v>6</v>
      </c>
      <c r="U276" s="247">
        <f t="shared" si="109"/>
        <v>0.96122622805937086</v>
      </c>
      <c r="V276" s="378">
        <f t="shared" si="110"/>
        <v>42.576616773736525</v>
      </c>
      <c r="W276" s="397">
        <f t="shared" si="111"/>
        <v>43.346677140197677</v>
      </c>
      <c r="X276" s="153">
        <f t="shared" si="112"/>
        <v>47745</v>
      </c>
      <c r="Y276" s="380">
        <f t="shared" si="113"/>
        <v>42.190202726315647</v>
      </c>
      <c r="Z276" s="380">
        <f t="shared" si="114"/>
        <v>44.093328800257936</v>
      </c>
      <c r="AA276" s="381">
        <f t="shared" si="115"/>
        <v>46.739662575769479</v>
      </c>
      <c r="AB276" s="193">
        <f t="shared" si="116"/>
        <v>47745</v>
      </c>
      <c r="AC276" s="119">
        <f>IF(OR(t&lt;Tnet,NoTnet),'2029'!Resal_s+('2029'!Salim-'2029'!Resal_s)*(1-EXP(('2029'!Tnet_s-t)/'2029'!Tau_j)),Resal_s+(Salim-Resal_s)*(1-EXP((Tnet_s-t)/Tau_j)))*Salcycl</f>
        <v>5.6618589644749445E-2</v>
      </c>
      <c r="AD276" s="227">
        <f>(INDEX(Models!$BJ276:$BT276,,AH276)*(1-AF276)+INDEX(Models!$BJ276:$BT276,,AH276+1)*AF276-ERP_i)*AE276*Ramure*Pc/MaxiM</f>
        <v>2.878608414041952E-4</v>
      </c>
      <c r="AE276" s="301">
        <f t="shared" si="117"/>
        <v>0.5</v>
      </c>
      <c r="AF276" s="173">
        <f t="shared" si="118"/>
        <v>0.48621379443334778</v>
      </c>
      <c r="AG276" s="802">
        <f t="shared" si="124"/>
        <v>4</v>
      </c>
      <c r="AH276" s="172">
        <f t="shared" si="119"/>
        <v>10</v>
      </c>
      <c r="AI276" s="221">
        <f t="shared" si="120"/>
        <v>4.4862137944333478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47746</v>
      </c>
      <c r="B277" s="406">
        <f>'2029'!Wh/'2029'!Env_an*'2030'!Env_an</f>
        <v>43.690253378025247</v>
      </c>
      <c r="C277" s="832"/>
      <c r="D277" s="388">
        <f t="shared" si="102"/>
        <v>45.661669176770452</v>
      </c>
      <c r="E277" s="380">
        <f t="shared" si="100"/>
        <v>47.123857029809677</v>
      </c>
      <c r="F277" s="380">
        <f t="shared" si="103"/>
        <v>47.126194805421534</v>
      </c>
      <c r="G277" s="110">
        <f t="shared" si="101"/>
        <v>1.0347038043559278</v>
      </c>
      <c r="H277" s="409" t="b">
        <f>Wh_hp&gt;='2029'!Maxi_hp</f>
        <v>1</v>
      </c>
      <c r="I277" s="385">
        <f>IF(H277,Wh_hp,'2029'!Maxi_hp)</f>
        <v>47.126194805421534</v>
      </c>
      <c r="J277" s="85">
        <f>IF(H277,An,'2029'!An_max)</f>
        <v>2030</v>
      </c>
      <c r="K277" s="193">
        <f t="shared" si="104"/>
        <v>47746</v>
      </c>
      <c r="L277" s="143">
        <f>IF(t&lt;Tvie,1-EXP((T0-t)*PertePVj)+'2029'!Pspv,1-EXP((T0-t)*PertePVj)+Pspv)</f>
        <v>4.317441377609843E-2</v>
      </c>
      <c r="M277" s="836"/>
      <c r="N277" s="836"/>
      <c r="O277" s="48">
        <f>IF(t&lt;Tnet,'2029'!Resal+('2029'!Salim-'2029'!Resal)*(1-EXP(('2029'!Tnet-t)/('2029'!Tau_j))),Resal+(Salim-Resal)*(1-EXP((Tnet-t)/(Tau_j))))*Salcycl</f>
        <v>3.1028611518668231E-2</v>
      </c>
      <c r="P277" s="165">
        <f>(INDEX(Models!$BJ277:$BT277,,T277)*(1-R277)+INDEX(Models!$BJ277:$BT277,,T277+1)*R277-ERP_i)*Q277*Ramure*Pc/MaxiM</f>
        <v>4.9606712816687938E-5</v>
      </c>
      <c r="Q277" s="301">
        <f t="shared" si="105"/>
        <v>0.5</v>
      </c>
      <c r="R277" s="173">
        <f t="shared" si="106"/>
        <v>0.96153433250442966</v>
      </c>
      <c r="S277" s="802">
        <f t="shared" si="107"/>
        <v>0</v>
      </c>
      <c r="T277" s="172">
        <f t="shared" si="108"/>
        <v>6</v>
      </c>
      <c r="U277" s="247">
        <f t="shared" si="109"/>
        <v>0.96153433250442966</v>
      </c>
      <c r="V277" s="378">
        <f t="shared" si="110"/>
        <v>42.224889088159017</v>
      </c>
      <c r="W277" s="397">
        <f t="shared" si="111"/>
        <v>43.690253378025247</v>
      </c>
      <c r="X277" s="153">
        <f t="shared" si="112"/>
        <v>47746</v>
      </c>
      <c r="Y277" s="380">
        <f t="shared" si="113"/>
        <v>42.526383839211839</v>
      </c>
      <c r="Z277" s="380">
        <f t="shared" si="114"/>
        <v>44.445282872337899</v>
      </c>
      <c r="AA277" s="381">
        <f t="shared" si="115"/>
        <v>47.113297739594358</v>
      </c>
      <c r="AB277" s="193">
        <f t="shared" si="116"/>
        <v>47746</v>
      </c>
      <c r="AC277" s="119">
        <f>IF(OR(t&lt;Tnet,NoTnet),'2029'!Resal_s+('2029'!Salim-'2029'!Resal_s)*(1-EXP(('2029'!Tnet_s-t)/'2029'!Tau_j)),Resal_s+(Salim-Resal_s)*(1-EXP((Tnet_s-t)/Tau_j)))*Salcycl</f>
        <v>5.6629762620378797E-2</v>
      </c>
      <c r="AD277" s="227">
        <f>(INDEX(Models!$BJ277:$BT277,,AH277)*(1-AF277)+INDEX(Models!$BJ277:$BT277,,AH277+1)*AF277-ERP_i)*AE277*Ramure*Pc/MaxiM</f>
        <v>2.7367085079604055E-4</v>
      </c>
      <c r="AE277" s="301">
        <f t="shared" si="117"/>
        <v>0.5</v>
      </c>
      <c r="AF277" s="173">
        <f t="shared" si="118"/>
        <v>0.48652189887840702</v>
      </c>
      <c r="AG277" s="802">
        <f t="shared" si="124"/>
        <v>4</v>
      </c>
      <c r="AH277" s="172">
        <f t="shared" si="119"/>
        <v>10</v>
      </c>
      <c r="AI277" s="221">
        <f t="shared" si="120"/>
        <v>4.486521898878407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47747</v>
      </c>
      <c r="B278" s="406">
        <f>'2029'!Wh/'2029'!Env_an*'2030'!Env_an</f>
        <v>42.400589320064135</v>
      </c>
      <c r="C278" s="832"/>
      <c r="D278" s="388">
        <f t="shared" si="102"/>
        <v>44.3144188104405</v>
      </c>
      <c r="E278" s="380">
        <f t="shared" si="100"/>
        <v>45.7353660407219</v>
      </c>
      <c r="F278" s="380">
        <f t="shared" si="103"/>
        <v>45.737542651525203</v>
      </c>
      <c r="G278" s="110">
        <f t="shared" si="101"/>
        <v>1.0127421343989176</v>
      </c>
      <c r="H278" s="409" t="b">
        <f>Wh_hp&gt;='2029'!Maxi_hp</f>
        <v>1</v>
      </c>
      <c r="I278" s="385">
        <f>IF(H278,Wh_hp,'2029'!Maxi_hp)</f>
        <v>45.737542651525203</v>
      </c>
      <c r="J278" s="85">
        <f>IF(H278,An,'2029'!An_max)</f>
        <v>2030</v>
      </c>
      <c r="K278" s="193">
        <f t="shared" si="104"/>
        <v>47747</v>
      </c>
      <c r="L278" s="143">
        <f>IF(t&lt;Tvie,1-EXP((T0-t)*PertePVj)+'2029'!Pspv,1-EXP((T0-t)*PertePVj)+Pspv)</f>
        <v>4.3187511914868359E-2</v>
      </c>
      <c r="M278" s="836"/>
      <c r="N278" s="836"/>
      <c r="O278" s="48">
        <f>IF(t&lt;Tnet,'2029'!Resal+('2029'!Salim-'2029'!Resal)*(1-EXP(('2029'!Tnet-t)/('2029'!Tau_j))),Resal+(Salim-Resal)*(1-EXP((Tnet-t)/(Tau_j))))*Salcycl</f>
        <v>3.1068893796897087E-2</v>
      </c>
      <c r="P278" s="165">
        <f>(INDEX(Models!$BJ278:$BT278,,T278)*(1-R278)+INDEX(Models!$BJ278:$BT278,,T278+1)*R278-ERP_i)*Q278*Ramure*Pc/MaxiM</f>
        <v>4.7589150555969941E-5</v>
      </c>
      <c r="Q278" s="301">
        <f t="shared" si="105"/>
        <v>0.5</v>
      </c>
      <c r="R278" s="173">
        <f t="shared" si="106"/>
        <v>0.96183039407701731</v>
      </c>
      <c r="S278" s="802">
        <f t="shared" si="107"/>
        <v>0</v>
      </c>
      <c r="T278" s="172">
        <f t="shared" si="108"/>
        <v>6</v>
      </c>
      <c r="U278" s="247">
        <f t="shared" si="109"/>
        <v>0.96183039407701731</v>
      </c>
      <c r="V278" s="378">
        <f t="shared" si="110"/>
        <v>41.867112940086884</v>
      </c>
      <c r="W278" s="397">
        <f t="shared" si="111"/>
        <v>42.400589320064135</v>
      </c>
      <c r="X278" s="153">
        <f t="shared" si="112"/>
        <v>47747</v>
      </c>
      <c r="Y278" s="380">
        <f t="shared" si="113"/>
        <v>41.272644349853834</v>
      </c>
      <c r="Z278" s="380">
        <f t="shared" si="114"/>
        <v>43.135561945321967</v>
      </c>
      <c r="AA278" s="381">
        <f t="shared" si="115"/>
        <v>45.725467940509752</v>
      </c>
      <c r="AB278" s="193">
        <f t="shared" si="116"/>
        <v>47747</v>
      </c>
      <c r="AC278" s="119">
        <f>IF(OR(t&lt;Tnet,NoTnet),'2029'!Resal_s+('2029'!Salim-'2029'!Resal_s)*(1-EXP(('2029'!Tnet_s-t)/'2029'!Tau_j)),Resal_s+(Salim-Resal_s)*(1-EXP((Tnet_s-t)/Tau_j)))*Salcycl</f>
        <v>5.664033878357104E-2</v>
      </c>
      <c r="AD278" s="227">
        <f>(INDEX(Models!$BJ278:$BT278,,AH278)*(1-AF278)+INDEX(Models!$BJ278:$BT278,,AH278+1)*AF278-ERP_i)*AE278*Ramure*Pc/MaxiM</f>
        <v>2.6399999465317347E-4</v>
      </c>
      <c r="AE278" s="301">
        <f t="shared" si="117"/>
        <v>0.5</v>
      </c>
      <c r="AF278" s="173">
        <f t="shared" si="118"/>
        <v>0.48681796045099457</v>
      </c>
      <c r="AG278" s="802">
        <f t="shared" si="124"/>
        <v>4</v>
      </c>
      <c r="AH278" s="172">
        <f t="shared" si="119"/>
        <v>10</v>
      </c>
      <c r="AI278" s="221">
        <f t="shared" si="120"/>
        <v>4.4868179604509946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47748</v>
      </c>
      <c r="B279" s="406">
        <f>'2029'!Wh/'2029'!Env_an*'2030'!Env_an</f>
        <v>41.214445223935613</v>
      </c>
      <c r="C279" s="832"/>
      <c r="D279" s="388">
        <f t="shared" si="102"/>
        <v>43.075325558602813</v>
      </c>
      <c r="E279" s="380">
        <f t="shared" si="100"/>
        <v>44.458371661158594</v>
      </c>
      <c r="F279" s="380">
        <f t="shared" si="103"/>
        <v>44.460406152769529</v>
      </c>
      <c r="G279" s="110">
        <f t="shared" si="101"/>
        <v>0.9930206095634625</v>
      </c>
      <c r="H279" s="409" t="b">
        <f>Wh_hp&gt;='2029'!Maxi_hp</f>
        <v>0</v>
      </c>
      <c r="I279" s="385">
        <f>IF(H279,Wh_hp,'2029'!Maxi_hp)</f>
        <v>44.460416745113406</v>
      </c>
      <c r="J279" s="85">
        <f>IF(H279,An,'2029'!An_max)</f>
        <v>2029</v>
      </c>
      <c r="K279" s="193">
        <f t="shared" si="104"/>
        <v>47748</v>
      </c>
      <c r="L279" s="143">
        <f>IF(t&lt;Tvie,1-EXP((T0-t)*PertePVj)+'2029'!Pspv,1-EXP((T0-t)*PertePVj)+Pspv)</f>
        <v>4.3200609874335716E-2</v>
      </c>
      <c r="M279" s="836"/>
      <c r="N279" s="836"/>
      <c r="O279" s="48">
        <f>IF(t&lt;Tnet,'2029'!Resal+('2029'!Salim-'2029'!Resal)*(1-EXP(('2029'!Tnet-t)/('2029'!Tau_j))),Resal+(Salim-Resal)*(1-EXP((Tnet-t)/(Tau_j))))*Salcycl</f>
        <v>3.1108788983472597E-2</v>
      </c>
      <c r="P279" s="165">
        <f>(INDEX(Models!$BJ279:$BT279,,T279)*(1-R279)+INDEX(Models!$BJ279:$BT279,,T279+1)*R279-ERP_i)*Q279*Ramure*Pc/MaxiM</f>
        <v>4.6220440561524824E-5</v>
      </c>
      <c r="Q279" s="301">
        <f t="shared" si="105"/>
        <v>0.5</v>
      </c>
      <c r="R279" s="173">
        <f t="shared" si="106"/>
        <v>0.96211486967182747</v>
      </c>
      <c r="S279" s="802">
        <f t="shared" si="107"/>
        <v>0</v>
      </c>
      <c r="T279" s="172">
        <f t="shared" si="108"/>
        <v>6</v>
      </c>
      <c r="U279" s="247">
        <f t="shared" si="109"/>
        <v>0.96211486967182747</v>
      </c>
      <c r="V279" s="378">
        <f t="shared" si="110"/>
        <v>41.50409954635056</v>
      </c>
      <c r="W279" s="397">
        <f t="shared" si="111"/>
        <v>41.214445223935613</v>
      </c>
      <c r="X279" s="153">
        <f t="shared" si="112"/>
        <v>47748</v>
      </c>
      <c r="Y279" s="380">
        <f t="shared" si="113"/>
        <v>40.119516140969893</v>
      </c>
      <c r="Z279" s="380">
        <f t="shared" si="114"/>
        <v>41.930959148814537</v>
      </c>
      <c r="AA279" s="381">
        <f t="shared" si="115"/>
        <v>44.449008758609892</v>
      </c>
      <c r="AB279" s="193">
        <f t="shared" si="116"/>
        <v>47748</v>
      </c>
      <c r="AC279" s="119">
        <f>IF(OR(t&lt;Tnet,NoTnet),'2029'!Resal_s+('2029'!Salim-'2029'!Resal_s)*(1-EXP(('2029'!Tnet_s-t)/'2029'!Tau_j)),Resal_s+(Salim-Resal_s)*(1-EXP((Tnet_s-t)/Tau_j)))*Salcycl</f>
        <v>5.6650298400807528E-2</v>
      </c>
      <c r="AD279" s="227">
        <f>(INDEX(Models!$BJ279:$BT279,,AH279)*(1-AF279)+INDEX(Models!$BJ279:$BT279,,AH279+1)*AF279-ERP_i)*AE279*Ramure*Pc/MaxiM</f>
        <v>2.5893081911943628E-4</v>
      </c>
      <c r="AE279" s="301">
        <f t="shared" si="117"/>
        <v>0.5</v>
      </c>
      <c r="AF279" s="173">
        <f t="shared" si="118"/>
        <v>0.48710243604580494</v>
      </c>
      <c r="AG279" s="802">
        <f t="shared" si="124"/>
        <v>4</v>
      </c>
      <c r="AH279" s="172">
        <f t="shared" si="119"/>
        <v>10</v>
      </c>
      <c r="AI279" s="221">
        <f t="shared" si="120"/>
        <v>4.4871024360458049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47749</v>
      </c>
      <c r="B280" s="406">
        <f>'2029'!Wh/'2029'!Env_an*'2030'!Env_an</f>
        <v>30.201959103877918</v>
      </c>
      <c r="C280" s="832"/>
      <c r="D280" s="388">
        <f t="shared" si="102"/>
        <v>31.566044941801845</v>
      </c>
      <c r="E280" s="380">
        <f t="shared" si="100"/>
        <v>32.580883596467814</v>
      </c>
      <c r="F280" s="380">
        <f t="shared" si="103"/>
        <v>32.581803392722655</v>
      </c>
      <c r="G280" s="110">
        <f t="shared" si="101"/>
        <v>0.73417329359356376</v>
      </c>
      <c r="H280" s="409" t="b">
        <f>Wh_hp&gt;='2029'!Maxi_hp</f>
        <v>0</v>
      </c>
      <c r="I280" s="385">
        <f>IF(H280,Wh_hp,'2029'!Maxi_hp)</f>
        <v>32.582094509576486</v>
      </c>
      <c r="J280" s="85">
        <f>IF(H280,An,'2029'!An_max)</f>
        <v>2029</v>
      </c>
      <c r="K280" s="193">
        <f t="shared" si="104"/>
        <v>47749</v>
      </c>
      <c r="L280" s="143">
        <f>IF(t&lt;Tvie,1-EXP((T0-t)*PertePVj)+'2029'!Pspv,1-EXP((T0-t)*PertePVj)+Pspv)</f>
        <v>4.3213707654502942E-2</v>
      </c>
      <c r="M280" s="836"/>
      <c r="N280" s="836"/>
      <c r="O280" s="48">
        <f>IF(t&lt;Tnet,'2029'!Resal+('2029'!Salim-'2029'!Resal)*(1-EXP(('2029'!Tnet-t)/('2029'!Tau_j))),Resal+(Salim-Resal)*(1-EXP((Tnet-t)/(Tau_j))))*Salcycl</f>
        <v>3.1148285210287917E-2</v>
      </c>
      <c r="P280" s="165">
        <f>(INDEX(Models!$BJ280:$BT280,,T280)*(1-R280)+INDEX(Models!$BJ280:$BT280,,T280+1)*R280-ERP_i)*Q280*Ramure*Pc/MaxiM</f>
        <v>4.5513345459875105E-5</v>
      </c>
      <c r="Q280" s="301">
        <f t="shared" si="105"/>
        <v>0.5</v>
      </c>
      <c r="R280" s="173">
        <f t="shared" si="106"/>
        <v>0.96238819992739266</v>
      </c>
      <c r="S280" s="802">
        <f t="shared" si="107"/>
        <v>0</v>
      </c>
      <c r="T280" s="172">
        <f t="shared" si="108"/>
        <v>6</v>
      </c>
      <c r="U280" s="247">
        <f t="shared" si="109"/>
        <v>0.96238819992739266</v>
      </c>
      <c r="V280" s="378">
        <f t="shared" si="110"/>
        <v>41.136659931464443</v>
      </c>
      <c r="W280" s="397">
        <f t="shared" si="111"/>
        <v>30.201959103877918</v>
      </c>
      <c r="X280" s="153">
        <f t="shared" si="112"/>
        <v>47749</v>
      </c>
      <c r="Y280" s="380">
        <f t="shared" si="113"/>
        <v>29.402809747474208</v>
      </c>
      <c r="Z280" s="380">
        <f t="shared" si="114"/>
        <v>30.730801624880311</v>
      </c>
      <c r="AA280" s="381">
        <f t="shared" si="115"/>
        <v>32.576578223830388</v>
      </c>
      <c r="AB280" s="193">
        <f t="shared" si="116"/>
        <v>47749</v>
      </c>
      <c r="AC280" s="119">
        <f>IF(OR(t&lt;Tnet,NoTnet),'2029'!Resal_s+('2029'!Salim-'2029'!Resal_s)*(1-EXP(('2029'!Tnet_s-t)/'2029'!Tau_j)),Resal_s+(Salim-Resal_s)*(1-EXP((Tnet_s-t)/Tau_j)))*Salcycl</f>
        <v>5.6659621715575217E-2</v>
      </c>
      <c r="AD280" s="227">
        <f>(INDEX(Models!$BJ280:$BT280,,AH280)*(1-AF280)+INDEX(Models!$BJ280:$BT280,,AH280+1)*AF280-ERP_i)*AE280*Ramure*Pc/MaxiM</f>
        <v>2.5855173428755457E-4</v>
      </c>
      <c r="AE280" s="301">
        <f t="shared" si="117"/>
        <v>0.5</v>
      </c>
      <c r="AF280" s="173">
        <f t="shared" si="118"/>
        <v>0.48737576630137003</v>
      </c>
      <c r="AG280" s="802">
        <f t="shared" si="124"/>
        <v>4</v>
      </c>
      <c r="AH280" s="172">
        <f t="shared" si="119"/>
        <v>10</v>
      </c>
      <c r="AI280" s="221">
        <f t="shared" si="120"/>
        <v>4.48737576630137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47750</v>
      </c>
      <c r="B281" s="406">
        <f>'2029'!Wh/'2029'!Env_an*'2030'!Env_an</f>
        <v>18.656149894830119</v>
      </c>
      <c r="C281" s="832"/>
      <c r="D281" s="388">
        <f t="shared" si="102"/>
        <v>19.499030697457652</v>
      </c>
      <c r="E281" s="380">
        <f t="shared" si="100"/>
        <v>20.126730500796977</v>
      </c>
      <c r="F281" s="380">
        <f t="shared" si="103"/>
        <v>20.126936653543808</v>
      </c>
      <c r="G281" s="110">
        <f t="shared" si="101"/>
        <v>0.45762825071065039</v>
      </c>
      <c r="H281" s="409" t="b">
        <f>Wh_hp&gt;='2029'!Maxi_hp</f>
        <v>0</v>
      </c>
      <c r="I281" s="385">
        <f>IF(H281,Wh_hp,'2029'!Maxi_hp)</f>
        <v>20.127303320288217</v>
      </c>
      <c r="J281" s="85">
        <f>IF(H281,An,'2029'!An_max)</f>
        <v>2029</v>
      </c>
      <c r="K281" s="193">
        <f t="shared" si="104"/>
        <v>47750</v>
      </c>
      <c r="L281" s="143">
        <f>IF(t&lt;Tvie,1-EXP((T0-t)*PertePVj)+'2029'!Pspv,1-EXP((T0-t)*PertePVj)+Pspv)</f>
        <v>4.3226805255372591E-2</v>
      </c>
      <c r="M281" s="836"/>
      <c r="N281" s="836"/>
      <c r="O281" s="48">
        <f>IF(t&lt;Tnet,'2029'!Resal+('2029'!Salim-'2029'!Resal)*(1-EXP(('2029'!Tnet-t)/('2029'!Tau_j))),Resal+(Salim-Resal)*(1-EXP((Tnet-t)/(Tau_j))))*Salcycl</f>
        <v>3.1187370612155232E-2</v>
      </c>
      <c r="P281" s="165">
        <f>(INDEX(Models!$BJ281:$BT281,,T281)*(1-R281)+INDEX(Models!$BJ281:$BT281,,T281+1)*R281-ERP_i)*Q281*Ramure*Pc/MaxiM</f>
        <v>4.5481104196125693E-5</v>
      </c>
      <c r="Q281" s="301">
        <f t="shared" si="105"/>
        <v>0.5</v>
      </c>
      <c r="R281" s="173">
        <f t="shared" si="106"/>
        <v>0.96265080971952877</v>
      </c>
      <c r="S281" s="802">
        <f t="shared" si="107"/>
        <v>0</v>
      </c>
      <c r="T281" s="172">
        <f t="shared" si="108"/>
        <v>6</v>
      </c>
      <c r="U281" s="247">
        <f t="shared" si="109"/>
        <v>0.96265080971952877</v>
      </c>
      <c r="V281" s="378">
        <f t="shared" si="110"/>
        <v>40.76560493119171</v>
      </c>
      <c r="W281" s="397">
        <f t="shared" si="111"/>
        <v>18.656149894830119</v>
      </c>
      <c r="X281" s="153">
        <f t="shared" si="112"/>
        <v>47750</v>
      </c>
      <c r="Y281" s="380">
        <f t="shared" si="113"/>
        <v>18.164581390373545</v>
      </c>
      <c r="Z281" s="380">
        <f t="shared" si="114"/>
        <v>18.985253234672673</v>
      </c>
      <c r="AA281" s="381">
        <f t="shared" si="115"/>
        <v>20.125744755993747</v>
      </c>
      <c r="AB281" s="193">
        <f t="shared" si="116"/>
        <v>47750</v>
      </c>
      <c r="AC281" s="119">
        <f>IF(OR(t&lt;Tnet,NoTnet),'2029'!Resal_s+('2029'!Salim-'2029'!Resal_s)*(1-EXP(('2029'!Tnet_s-t)/'2029'!Tau_j)),Resal_s+(Salim-Resal_s)*(1-EXP((Tnet_s-t)/Tau_j)))*Salcycl</f>
        <v>5.6668289057050715E-2</v>
      </c>
      <c r="AD281" s="227">
        <f>(INDEX(Models!$BJ281:$BT281,,AH281)*(1-AF281)+INDEX(Models!$BJ281:$BT281,,AH281+1)*AF281-ERP_i)*AE281*Ramure*Pc/MaxiM</f>
        <v>2.6295461738269448E-4</v>
      </c>
      <c r="AE281" s="301">
        <f t="shared" si="117"/>
        <v>0.5</v>
      </c>
      <c r="AF281" s="173">
        <f t="shared" si="118"/>
        <v>0.48763837609350613</v>
      </c>
      <c r="AG281" s="802">
        <f t="shared" si="124"/>
        <v>4</v>
      </c>
      <c r="AH281" s="172">
        <f t="shared" si="119"/>
        <v>10</v>
      </c>
      <c r="AI281" s="221">
        <f t="shared" si="120"/>
        <v>4.4876383760935061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47751</v>
      </c>
      <c r="B282" s="406">
        <f>'2029'!Wh/'2029'!Env_an*'2030'!Env_an</f>
        <v>29.862560785070883</v>
      </c>
      <c r="C282" s="832"/>
      <c r="D282" s="388">
        <f t="shared" si="102"/>
        <v>31.212172067610492</v>
      </c>
      <c r="E282" s="380">
        <f t="shared" si="100"/>
        <v>32.218219257992693</v>
      </c>
      <c r="F282" s="380">
        <f t="shared" si="103"/>
        <v>32.219159749435491</v>
      </c>
      <c r="G282" s="110">
        <f t="shared" si="101"/>
        <v>0.73931083066882985</v>
      </c>
      <c r="H282" s="409" t="b">
        <f>Wh_hp&gt;='2029'!Maxi_hp</f>
        <v>0</v>
      </c>
      <c r="I282" s="385">
        <f>IF(H282,Wh_hp,'2029'!Maxi_hp)</f>
        <v>32.219448271079415</v>
      </c>
      <c r="J282" s="85">
        <f>IF(H282,An,'2029'!An_max)</f>
        <v>2029</v>
      </c>
      <c r="K282" s="193">
        <f t="shared" si="104"/>
        <v>47751</v>
      </c>
      <c r="L282" s="143">
        <f>IF(t&lt;Tvie,1-EXP((T0-t)*PertePVj)+'2029'!Pspv,1-EXP((T0-t)*PertePVj)+Pspv)</f>
        <v>4.3239902676947217E-2</v>
      </c>
      <c r="M282" s="836"/>
      <c r="N282" s="836"/>
      <c r="O282" s="48">
        <f>IF(t&lt;Tnet,'2029'!Resal+('2029'!Salim-'2029'!Resal)*(1-EXP(('2029'!Tnet-t)/('2029'!Tau_j))),Resal+(Salim-Resal)*(1-EXP((Tnet-t)/(Tau_j))))*Salcycl</f>
        <v>3.1226033392041681E-2</v>
      </c>
      <c r="P282" s="165">
        <f>(INDEX(Models!$BJ282:$BT282,,T282)*(1-R282)+INDEX(Models!$BJ282:$BT282,,T282+1)*R282-ERP_i)*Q282*Ramure*Pc/MaxiM</f>
        <v>4.6510832015927719E-5</v>
      </c>
      <c r="Q282" s="301">
        <f t="shared" si="105"/>
        <v>0.5</v>
      </c>
      <c r="R282" s="173">
        <f t="shared" si="106"/>
        <v>0.962903108646747</v>
      </c>
      <c r="S282" s="802">
        <f t="shared" si="107"/>
        <v>0</v>
      </c>
      <c r="T282" s="172">
        <f t="shared" si="108"/>
        <v>6</v>
      </c>
      <c r="U282" s="247">
        <f t="shared" si="109"/>
        <v>0.962903108646747</v>
      </c>
      <c r="V282" s="378">
        <f t="shared" si="110"/>
        <v>40.391730108554505</v>
      </c>
      <c r="W282" s="397">
        <f t="shared" si="111"/>
        <v>29.862560785070883</v>
      </c>
      <c r="X282" s="153">
        <f t="shared" si="112"/>
        <v>47751</v>
      </c>
      <c r="Y282" s="380">
        <f t="shared" si="113"/>
        <v>29.073880157557372</v>
      </c>
      <c r="Z282" s="380">
        <f t="shared" si="114"/>
        <v>30.387847736234022</v>
      </c>
      <c r="AA282" s="381">
        <f t="shared" si="115"/>
        <v>32.213594466896495</v>
      </c>
      <c r="AB282" s="193">
        <f t="shared" si="116"/>
        <v>47751</v>
      </c>
      <c r="AC282" s="119">
        <f>IF(OR(t&lt;Tnet,NoTnet),'2029'!Resal_s+('2029'!Salim-'2029'!Resal_s)*(1-EXP(('2029'!Tnet_s-t)/'2029'!Tau_j)),Resal_s+(Salim-Resal_s)*(1-EXP((Tnet_s-t)/Tau_j)))*Salcycl</f>
        <v>5.6676280957676246E-2</v>
      </c>
      <c r="AD282" s="227">
        <f>(INDEX(Models!$BJ282:$BT282,,AH282)*(1-AF282)+INDEX(Models!$BJ282:$BT282,,AH282+1)*AF282-ERP_i)*AE282*Ramure*Pc/MaxiM</f>
        <v>2.7522411104791882E-4</v>
      </c>
      <c r="AE282" s="301">
        <f t="shared" si="117"/>
        <v>0.5</v>
      </c>
      <c r="AF282" s="173">
        <f t="shared" si="118"/>
        <v>0.48789067502072392</v>
      </c>
      <c r="AG282" s="802">
        <f t="shared" si="124"/>
        <v>4</v>
      </c>
      <c r="AH282" s="172">
        <f t="shared" si="119"/>
        <v>10</v>
      </c>
      <c r="AI282" s="221">
        <f t="shared" si="120"/>
        <v>4.4878906750207239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47752</v>
      </c>
      <c r="B283" s="406">
        <f>'2029'!Wh/'2029'!Env_an*'2030'!Env_an</f>
        <v>32.20793987808792</v>
      </c>
      <c r="C283" s="832"/>
      <c r="D283" s="388">
        <f t="shared" si="102"/>
        <v>33.664009268248392</v>
      </c>
      <c r="E283" s="380">
        <f t="shared" si="100"/>
        <v>34.750456645660798</v>
      </c>
      <c r="F283" s="380">
        <f t="shared" si="103"/>
        <v>34.75167393957134</v>
      </c>
      <c r="G283" s="110">
        <f t="shared" si="101"/>
        <v>0.80486869972327124</v>
      </c>
      <c r="H283" s="409" t="b">
        <f>Wh_hp&gt;='2029'!Maxi_hp</f>
        <v>0</v>
      </c>
      <c r="I283" s="385">
        <f>IF(H283,Wh_hp,'2029'!Maxi_hp)</f>
        <v>34.751917189720331</v>
      </c>
      <c r="J283" s="85">
        <f>IF(H283,An,'2029'!An_max)</f>
        <v>2029</v>
      </c>
      <c r="K283" s="193">
        <f t="shared" si="104"/>
        <v>47752</v>
      </c>
      <c r="L283" s="143">
        <f>IF(t&lt;Tvie,1-EXP((T0-t)*PertePVj)+'2029'!Pspv,1-EXP((T0-t)*PertePVj)+Pspv)</f>
        <v>4.325299991922904E-2</v>
      </c>
      <c r="M283" s="836"/>
      <c r="N283" s="836"/>
      <c r="O283" s="48">
        <f>IF(t&lt;Tnet,'2029'!Resal+('2029'!Salim-'2029'!Resal)*(1-EXP(('2029'!Tnet-t)/('2029'!Tau_j))),Resal+(Salim-Resal)*(1-EXP((Tnet-t)/(Tau_j))))*Salcycl</f>
        <v>3.1264261891305781E-2</v>
      </c>
      <c r="P283" s="165">
        <f>(INDEX(Models!$BJ283:$BT283,,T283)*(1-R283)+INDEX(Models!$BJ283:$BT283,,T283+1)*R283-ERP_i)*Q283*Ramure*Pc/MaxiM</f>
        <v>4.8565732228554144E-5</v>
      </c>
      <c r="Q283" s="301">
        <f t="shared" si="105"/>
        <v>0.5</v>
      </c>
      <c r="R283" s="173">
        <f t="shared" si="106"/>
        <v>0.96314549150712492</v>
      </c>
      <c r="S283" s="802">
        <f t="shared" si="107"/>
        <v>0</v>
      </c>
      <c r="T283" s="172">
        <f t="shared" si="108"/>
        <v>6</v>
      </c>
      <c r="U283" s="247">
        <f t="shared" si="109"/>
        <v>0.96314549150712492</v>
      </c>
      <c r="V283" s="378">
        <f t="shared" si="110"/>
        <v>40.015848377256681</v>
      </c>
      <c r="W283" s="397">
        <f t="shared" si="111"/>
        <v>32.20793987808792</v>
      </c>
      <c r="X283" s="153">
        <f t="shared" si="112"/>
        <v>47752</v>
      </c>
      <c r="Y283" s="380">
        <f t="shared" si="113"/>
        <v>31.357261166197151</v>
      </c>
      <c r="Z283" s="380">
        <f t="shared" si="114"/>
        <v>32.774872733909689</v>
      </c>
      <c r="AA283" s="381">
        <f t="shared" si="115"/>
        <v>34.74430422202969</v>
      </c>
      <c r="AB283" s="193">
        <f t="shared" si="116"/>
        <v>47752</v>
      </c>
      <c r="AC283" s="119">
        <f>IF(OR(t&lt;Tnet,NoTnet),'2029'!Resal_s+('2029'!Salim-'2029'!Resal_s)*(1-EXP(('2029'!Tnet_s-t)/'2029'!Tau_j)),Resal_s+(Salim-Resal_s)*(1-EXP((Tnet_s-t)/Tau_j)))*Salcycl</f>
        <v>5.6683578279034204E-2</v>
      </c>
      <c r="AD283" s="227">
        <f>(INDEX(Models!$BJ283:$BT283,,AH283)*(1-AF283)+INDEX(Models!$BJ283:$BT283,,AH283+1)*AF283-ERP_i)*AE283*Ramure*Pc/MaxiM</f>
        <v>2.9402572840290007E-4</v>
      </c>
      <c r="AE283" s="301">
        <f t="shared" si="117"/>
        <v>0.5</v>
      </c>
      <c r="AF283" s="173">
        <f t="shared" si="118"/>
        <v>0.48813305788110206</v>
      </c>
      <c r="AG283" s="802">
        <f t="shared" si="124"/>
        <v>4</v>
      </c>
      <c r="AH283" s="172">
        <f t="shared" si="119"/>
        <v>10</v>
      </c>
      <c r="AI283" s="221">
        <f t="shared" si="120"/>
        <v>4.4881330578811021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47753</v>
      </c>
      <c r="B284" s="406">
        <f>'2029'!Wh/'2029'!Env_an*'2030'!Env_an</f>
        <v>15.761615895704827</v>
      </c>
      <c r="C284" s="832"/>
      <c r="D284" s="388">
        <f t="shared" si="102"/>
        <v>16.474398833352435</v>
      </c>
      <c r="E284" s="380">
        <f t="shared" si="100"/>
        <v>17.006744716053376</v>
      </c>
      <c r="F284" s="380">
        <f t="shared" si="103"/>
        <v>17.006867270209057</v>
      </c>
      <c r="G284" s="110">
        <f t="shared" si="101"/>
        <v>0.39761362616515128</v>
      </c>
      <c r="H284" s="409" t="b">
        <f>Wh_hp&gt;='2029'!Maxi_hp</f>
        <v>0</v>
      </c>
      <c r="I284" s="385">
        <f>IF(H284,Wh_hp,'2029'!Maxi_hp)</f>
        <v>17.007258267445948</v>
      </c>
      <c r="J284" s="85">
        <f>IF(H284,An,'2029'!An_max)</f>
        <v>2029</v>
      </c>
      <c r="K284" s="193">
        <f t="shared" si="104"/>
        <v>47753</v>
      </c>
      <c r="L284" s="143">
        <f>IF(t&lt;Tvie,1-EXP((T0-t)*PertePVj)+'2029'!Pspv,1-EXP((T0-t)*PertePVj)+Pspv)</f>
        <v>4.3266096982220614E-2</v>
      </c>
      <c r="M284" s="836"/>
      <c r="N284" s="836"/>
      <c r="O284" s="48">
        <f>IF(t&lt;Tnet,'2029'!Resal+('2029'!Salim-'2029'!Resal)*(1-EXP(('2029'!Tnet-t)/('2029'!Tau_j))),Resal+(Salim-Resal)*(1-EXP((Tnet-t)/(Tau_j))))*Salcycl</f>
        <v>3.1302044664575722E-2</v>
      </c>
      <c r="P284" s="165">
        <f>(INDEX(Models!$BJ284:$BT284,,T284)*(1-R284)+INDEX(Models!$BJ284:$BT284,,T284+1)*R284-ERP_i)*Q284*Ramure*Pc/MaxiM</f>
        <v>5.1666930882152282E-5</v>
      </c>
      <c r="Q284" s="301">
        <f t="shared" si="105"/>
        <v>0.5</v>
      </c>
      <c r="R284" s="173">
        <f t="shared" si="106"/>
        <v>0.96337833876619428</v>
      </c>
      <c r="S284" s="802">
        <f t="shared" si="107"/>
        <v>0</v>
      </c>
      <c r="T284" s="172">
        <f t="shared" si="108"/>
        <v>6</v>
      </c>
      <c r="U284" s="247">
        <f t="shared" si="109"/>
        <v>0.96337833876619428</v>
      </c>
      <c r="V284" s="378">
        <f t="shared" si="110"/>
        <v>39.638770102079455</v>
      </c>
      <c r="W284" s="397">
        <f t="shared" si="111"/>
        <v>15.761615895704827</v>
      </c>
      <c r="X284" s="153">
        <f t="shared" si="112"/>
        <v>47753</v>
      </c>
      <c r="Y284" s="380">
        <f t="shared" si="113"/>
        <v>15.347954292123514</v>
      </c>
      <c r="Z284" s="380">
        <f t="shared" si="114"/>
        <v>16.042030332271288</v>
      </c>
      <c r="AA284" s="381">
        <f t="shared" si="115"/>
        <v>17.006109437123992</v>
      </c>
      <c r="AB284" s="193">
        <f t="shared" si="116"/>
        <v>47753</v>
      </c>
      <c r="AC284" s="119">
        <f>IF(OR(t&lt;Tnet,NoTnet),'2029'!Resal_s+('2029'!Salim-'2029'!Resal_s)*(1-EXP(('2029'!Tnet_s-t)/'2029'!Tau_j)),Resal_s+(Salim-Resal_s)*(1-EXP((Tnet_s-t)/Tau_j)))*Salcycl</f>
        <v>5.6690162345312115E-2</v>
      </c>
      <c r="AD284" s="227">
        <f>(INDEX(Models!$BJ284:$BT284,,AH284)*(1-AF284)+INDEX(Models!$BJ284:$BT284,,AH284+1)*AF284-ERP_i)*AE284*Ramure*Pc/MaxiM</f>
        <v>3.1949067257960726E-4</v>
      </c>
      <c r="AE284" s="301">
        <f t="shared" si="117"/>
        <v>0.5</v>
      </c>
      <c r="AF284" s="173">
        <f t="shared" si="118"/>
        <v>0.48836590514017164</v>
      </c>
      <c r="AG284" s="802">
        <f t="shared" si="124"/>
        <v>4</v>
      </c>
      <c r="AH284" s="172">
        <f t="shared" si="119"/>
        <v>10</v>
      </c>
      <c r="AI284" s="221">
        <f t="shared" si="120"/>
        <v>4.4883659051401716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47754</v>
      </c>
      <c r="B285" s="406">
        <f>'2029'!Wh/'2029'!Env_an*'2030'!Env_an</f>
        <v>18.00614668104642</v>
      </c>
      <c r="C285" s="832"/>
      <c r="D285" s="388">
        <f t="shared" si="102"/>
        <v>18.820691016228434</v>
      </c>
      <c r="E285" s="380">
        <f t="shared" si="100"/>
        <v>19.429602529718352</v>
      </c>
      <c r="F285" s="380">
        <f t="shared" si="103"/>
        <v>19.429848368209147</v>
      </c>
      <c r="G285" s="110">
        <f t="shared" si="101"/>
        <v>0.45860342379317171</v>
      </c>
      <c r="H285" s="409" t="b">
        <f>Wh_hp&gt;='2029'!Maxi_hp</f>
        <v>0</v>
      </c>
      <c r="I285" s="385">
        <f>IF(H285,Wh_hp,'2029'!Maxi_hp)</f>
        <v>19.430282263297158</v>
      </c>
      <c r="J285" s="85">
        <f>IF(H285,An,'2029'!An_max)</f>
        <v>2029</v>
      </c>
      <c r="K285" s="193">
        <f t="shared" si="104"/>
        <v>47754</v>
      </c>
      <c r="L285" s="143">
        <f>IF(t&lt;Tvie,1-EXP((T0-t)*PertePVj)+'2029'!Pspv,1-EXP((T0-t)*PertePVj)+Pspv)</f>
        <v>4.3279193865924381E-2</v>
      </c>
      <c r="M285" s="836"/>
      <c r="N285" s="836"/>
      <c r="O285" s="48">
        <f>IF(t&lt;Tnet,'2029'!Resal+('2029'!Salim-'2029'!Resal)*(1-EXP(('2029'!Tnet-t)/('2029'!Tau_j))),Resal+(Salim-Resal)*(1-EXP((Tnet-t)/(Tau_j))))*Salcycl</f>
        <v>3.1339370558845087E-2</v>
      </c>
      <c r="P285" s="165">
        <f>(INDEX(Models!$BJ285:$BT285,,T285)*(1-R285)+INDEX(Models!$BJ285:$BT285,,T285+1)*R285-ERP_i)*Q285*Ramure*Pc/MaxiM</f>
        <v>5.5835668999370851E-5</v>
      </c>
      <c r="Q285" s="301">
        <f t="shared" si="105"/>
        <v>0.5</v>
      </c>
      <c r="R285" s="173">
        <f t="shared" si="106"/>
        <v>0.96360201701548087</v>
      </c>
      <c r="S285" s="802">
        <f t="shared" si="107"/>
        <v>0</v>
      </c>
      <c r="T285" s="172">
        <f t="shared" si="108"/>
        <v>6</v>
      </c>
      <c r="U285" s="247">
        <f t="shared" si="109"/>
        <v>0.96360201701548087</v>
      </c>
      <c r="V285" s="378">
        <f t="shared" si="110"/>
        <v>39.261305469486828</v>
      </c>
      <c r="W285" s="397">
        <f t="shared" si="111"/>
        <v>18.00614668104642</v>
      </c>
      <c r="X285" s="153">
        <f t="shared" si="112"/>
        <v>47754</v>
      </c>
      <c r="Y285" s="380">
        <f t="shared" si="113"/>
        <v>17.533623673616201</v>
      </c>
      <c r="Z285" s="380">
        <f t="shared" si="114"/>
        <v>18.326792478221723</v>
      </c>
      <c r="AA285" s="381">
        <f t="shared" si="115"/>
        <v>19.428299648118958</v>
      </c>
      <c r="AB285" s="193">
        <f t="shared" si="116"/>
        <v>47754</v>
      </c>
      <c r="AC285" s="119">
        <f>IF(OR(t&lt;Tnet,NoTnet),'2029'!Resal_s+('2029'!Salim-'2029'!Resal_s)*(1-EXP(('2029'!Tnet_s-t)/'2029'!Tau_j)),Resal_s+(Salim-Resal_s)*(1-EXP((Tnet_s-t)/Tau_j)))*Salcycl</f>
        <v>5.6696015083537298E-2</v>
      </c>
      <c r="AD285" s="227">
        <f>(INDEX(Models!$BJ285:$BT285,,AH285)*(1-AF285)+INDEX(Models!$BJ285:$BT285,,AH285+1)*AF285-ERP_i)*AE285*Ramure*Pc/MaxiM</f>
        <v>3.51750541784009E-4</v>
      </c>
      <c r="AE285" s="301">
        <f t="shared" si="117"/>
        <v>0.5</v>
      </c>
      <c r="AF285" s="173">
        <f t="shared" si="118"/>
        <v>0.48858958338945779</v>
      </c>
      <c r="AG285" s="802">
        <f t="shared" si="124"/>
        <v>4</v>
      </c>
      <c r="AH285" s="172">
        <f t="shared" si="119"/>
        <v>10</v>
      </c>
      <c r="AI285" s="221">
        <f t="shared" si="120"/>
        <v>4.4885895833894578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47755</v>
      </c>
      <c r="B286" s="406">
        <f>'2029'!Wh/'2029'!Env_an*'2030'!Env_an</f>
        <v>23.30467084424447</v>
      </c>
      <c r="C286" s="832"/>
      <c r="D286" s="388">
        <f t="shared" si="102"/>
        <v>24.359238056247698</v>
      </c>
      <c r="E286" s="380">
        <f t="shared" si="100"/>
        <v>25.148296769525579</v>
      </c>
      <c r="F286" s="380">
        <f t="shared" si="103"/>
        <v>25.148953776747245</v>
      </c>
      <c r="G286" s="110">
        <f t="shared" si="101"/>
        <v>0.59931327494064957</v>
      </c>
      <c r="H286" s="409" t="b">
        <f>Wh_hp&gt;='2029'!Maxi_hp</f>
        <v>0</v>
      </c>
      <c r="I286" s="385">
        <f>IF(H286,Wh_hp,'2029'!Maxi_hp)</f>
        <v>25.149408574242972</v>
      </c>
      <c r="J286" s="85">
        <f>IF(H286,An,'2029'!An_max)</f>
        <v>2029</v>
      </c>
      <c r="K286" s="193">
        <f t="shared" si="104"/>
        <v>47755</v>
      </c>
      <c r="L286" s="143">
        <f>IF(t&lt;Tvie,1-EXP((T0-t)*PertePVj)+'2029'!Pspv,1-EXP((T0-t)*PertePVj)+Pspv)</f>
        <v>4.3292290570342784E-2</v>
      </c>
      <c r="M286" s="836"/>
      <c r="N286" s="836"/>
      <c r="O286" s="48">
        <f>IF(t&lt;Tnet,'2029'!Resal+('2029'!Salim-'2029'!Resal)*(1-EXP(('2029'!Tnet-t)/('2029'!Tau_j))),Resal+(Salim-Resal)*(1-EXP((Tnet-t)/(Tau_j))))*Salcycl</f>
        <v>3.1376228796299893E-2</v>
      </c>
      <c r="P286" s="165">
        <f>(INDEX(Models!$BJ286:$BT286,,T286)*(1-R286)+INDEX(Models!$BJ286:$BT286,,T286+1)*R286-ERP_i)*Q286*Ramure*Pc/MaxiM</f>
        <v>6.1093059235896996E-5</v>
      </c>
      <c r="Q286" s="301">
        <f t="shared" si="105"/>
        <v>0.5</v>
      </c>
      <c r="R286" s="173">
        <f t="shared" si="106"/>
        <v>0.96381687942139105</v>
      </c>
      <c r="S286" s="802">
        <f t="shared" si="107"/>
        <v>0</v>
      </c>
      <c r="T286" s="172">
        <f t="shared" si="108"/>
        <v>6</v>
      </c>
      <c r="U286" s="247">
        <f t="shared" si="109"/>
        <v>0.96381687942139105</v>
      </c>
      <c r="V286" s="378">
        <f t="shared" si="110"/>
        <v>38.884264490270276</v>
      </c>
      <c r="W286" s="397">
        <f t="shared" si="111"/>
        <v>23.30467084424447</v>
      </c>
      <c r="X286" s="153">
        <f t="shared" si="112"/>
        <v>47755</v>
      </c>
      <c r="Y286" s="380">
        <f t="shared" si="113"/>
        <v>22.692163680010779</v>
      </c>
      <c r="Z286" s="380">
        <f t="shared" si="114"/>
        <v>23.719014131848848</v>
      </c>
      <c r="AA286" s="381">
        <f t="shared" si="115"/>
        <v>25.14474957393152</v>
      </c>
      <c r="AB286" s="193">
        <f t="shared" si="116"/>
        <v>47755</v>
      </c>
      <c r="AC286" s="119">
        <f>IF(OR(t&lt;Tnet,NoTnet),'2029'!Resal_s+('2029'!Salim-'2029'!Resal_s)*(1-EXP(('2029'!Tnet_s-t)/'2029'!Tau_j)),Resal_s+(Salim-Resal_s)*(1-EXP((Tnet_s-t)/Tau_j)))*Salcycl</f>
        <v>5.6701119169656929E-2</v>
      </c>
      <c r="AD286" s="227">
        <f>(INDEX(Models!$BJ286:$BT286,,AH286)*(1-AF286)+INDEX(Models!$BJ286:$BT286,,AH286+1)*AF286-ERP_i)*AE286*Ramure*Pc/MaxiM</f>
        <v>3.9093575106947584E-4</v>
      </c>
      <c r="AE286" s="301">
        <f t="shared" si="117"/>
        <v>0.5</v>
      </c>
      <c r="AF286" s="173">
        <f t="shared" si="118"/>
        <v>0.48880444579536864</v>
      </c>
      <c r="AG286" s="802">
        <f t="shared" si="124"/>
        <v>4</v>
      </c>
      <c r="AH286" s="172">
        <f t="shared" si="119"/>
        <v>10</v>
      </c>
      <c r="AI286" s="221">
        <f t="shared" si="120"/>
        <v>4.4888044457953686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47756</v>
      </c>
      <c r="B287" s="406">
        <f>'2029'!Wh/'2029'!Env_an*'2030'!Env_an</f>
        <v>24.991539585197696</v>
      </c>
      <c r="C287" s="832"/>
      <c r="D287" s="388">
        <f t="shared" si="102"/>
        <v>26.122797440369677</v>
      </c>
      <c r="E287" s="380">
        <f t="shared" si="100"/>
        <v>26.969995361003839</v>
      </c>
      <c r="F287" s="380">
        <f t="shared" si="103"/>
        <v>26.9709024576137</v>
      </c>
      <c r="G287" s="110">
        <f t="shared" si="101"/>
        <v>0.64896638566588749</v>
      </c>
      <c r="H287" s="409" t="b">
        <f>Wh_hp&gt;='2029'!Maxi_hp</f>
        <v>0</v>
      </c>
      <c r="I287" s="385">
        <f>IF(H287,Wh_hp,'2029'!Maxi_hp)</f>
        <v>26.971374294476501</v>
      </c>
      <c r="J287" s="85">
        <f>IF(H287,An,'2029'!An_max)</f>
        <v>2029</v>
      </c>
      <c r="K287" s="193">
        <f t="shared" si="104"/>
        <v>47756</v>
      </c>
      <c r="L287" s="143">
        <f>IF(t&lt;Tvie,1-EXP((T0-t)*PertePVj)+'2029'!Pspv,1-EXP((T0-t)*PertePVj)+Pspv)</f>
        <v>4.3305387095478376E-2</v>
      </c>
      <c r="M287" s="836"/>
      <c r="N287" s="836"/>
      <c r="O287" s="48">
        <f>IF(t&lt;Tnet,'2029'!Resal+('2029'!Salim-'2029'!Resal)*(1-EXP(('2029'!Tnet-t)/('2029'!Tau_j))),Resal+(Salim-Resal)*(1-EXP((Tnet-t)/(Tau_j))))*Salcycl</f>
        <v>3.141260906033129E-2</v>
      </c>
      <c r="P287" s="165">
        <f>(INDEX(Models!$BJ287:$BT287,,T287)*(1-R287)+INDEX(Models!$BJ287:$BT287,,T287+1)*R287-ERP_i)*Q287*Ramure*Pc/MaxiM</f>
        <v>6.7459821613516526E-5</v>
      </c>
      <c r="Q287" s="301">
        <f t="shared" si="105"/>
        <v>0.5</v>
      </c>
      <c r="R287" s="173">
        <f t="shared" si="106"/>
        <v>0.96402326616420009</v>
      </c>
      <c r="S287" s="802">
        <f t="shared" si="107"/>
        <v>0</v>
      </c>
      <c r="T287" s="172">
        <f t="shared" si="108"/>
        <v>6</v>
      </c>
      <c r="U287" s="247">
        <f t="shared" si="109"/>
        <v>0.96402326616420009</v>
      </c>
      <c r="V287" s="378">
        <f t="shared" si="110"/>
        <v>38.508457001472891</v>
      </c>
      <c r="W287" s="397">
        <f t="shared" si="111"/>
        <v>24.991539585197696</v>
      </c>
      <c r="X287" s="153">
        <f t="shared" si="112"/>
        <v>47756</v>
      </c>
      <c r="Y287" s="380">
        <f t="shared" si="113"/>
        <v>24.334445877910422</v>
      </c>
      <c r="Z287" s="380">
        <f t="shared" si="114"/>
        <v>25.43595997058155</v>
      </c>
      <c r="AA287" s="381">
        <f t="shared" si="115"/>
        <v>26.965024012001695</v>
      </c>
      <c r="AB287" s="193">
        <f t="shared" si="116"/>
        <v>47756</v>
      </c>
      <c r="AC287" s="119">
        <f>IF(OR(t&lt;Tnet,NoTnet),'2029'!Resal_s+('2029'!Salim-'2029'!Resal_s)*(1-EXP(('2029'!Tnet_s-t)/'2029'!Tau_j)),Resal_s+(Salim-Resal_s)*(1-EXP((Tnet_s-t)/Tau_j)))*Salcycl</f>
        <v>5.670545817943947E-2</v>
      </c>
      <c r="AD287" s="227">
        <f>(INDEX(Models!$BJ287:$BT287,,AH287)*(1-AF287)+INDEX(Models!$BJ287:$BT287,,AH287+1)*AF287-ERP_i)*AE287*Ramure*Pc/MaxiM</f>
        <v>4.3717382254549169E-4</v>
      </c>
      <c r="AE287" s="301">
        <f t="shared" si="117"/>
        <v>0.5</v>
      </c>
      <c r="AF287" s="173">
        <f t="shared" si="118"/>
        <v>0.48901083253817745</v>
      </c>
      <c r="AG287" s="802">
        <f t="shared" si="124"/>
        <v>4</v>
      </c>
      <c r="AH287" s="172">
        <f t="shared" si="119"/>
        <v>10</v>
      </c>
      <c r="AI287" s="221">
        <f t="shared" si="120"/>
        <v>4.4890108325381775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47757</v>
      </c>
      <c r="B288" s="406">
        <f>'2029'!Wh/'2029'!Env_an*'2030'!Env_an</f>
        <v>34.111068342685741</v>
      </c>
      <c r="C288" s="832"/>
      <c r="D288" s="388">
        <f t="shared" si="102"/>
        <v>35.655615533776178</v>
      </c>
      <c r="E288" s="380">
        <f t="shared" si="100"/>
        <v>36.813339912326214</v>
      </c>
      <c r="F288" s="380">
        <f t="shared" si="103"/>
        <v>36.815683521235236</v>
      </c>
      <c r="G288" s="110">
        <f t="shared" si="101"/>
        <v>0.89447903052189315</v>
      </c>
      <c r="H288" s="409" t="b">
        <f>Wh_hp&gt;='2029'!Maxi_hp</f>
        <v>0</v>
      </c>
      <c r="I288" s="385">
        <f>IF(H288,Wh_hp,'2029'!Maxi_hp)</f>
        <v>36.815898632606007</v>
      </c>
      <c r="J288" s="85">
        <f>IF(H288,An,'2029'!An_max)</f>
        <v>2029</v>
      </c>
      <c r="K288" s="193">
        <f t="shared" si="104"/>
        <v>47757</v>
      </c>
      <c r="L288" s="143">
        <f>IF(t&lt;Tvie,1-EXP((T0-t)*PertePVj)+'2029'!Pspv,1-EXP((T0-t)*PertePVj)+Pspv)</f>
        <v>4.3318483441333488E-2</v>
      </c>
      <c r="M288" s="836"/>
      <c r="N288" s="836"/>
      <c r="O288" s="48">
        <f>IF(t&lt;Tnet,'2029'!Resal+('2029'!Salim-'2029'!Resal)*(1-EXP(('2029'!Tnet-t)/('2029'!Tau_j))),Resal+(Salim-Resal)*(1-EXP((Tnet-t)/(Tau_j))))*Salcycl</f>
        <v>3.1448501584133474E-2</v>
      </c>
      <c r="P288" s="165">
        <f>(INDEX(Models!$BJ288:$BT288,,T288)*(1-R288)+INDEX(Models!$BJ288:$BT288,,T288+1)*R288-ERP_i)*Q288*Ramure*Pc/MaxiM</f>
        <v>7.4955997646259661E-5</v>
      </c>
      <c r="Q288" s="301">
        <f t="shared" si="105"/>
        <v>0.5</v>
      </c>
      <c r="R288" s="173">
        <f t="shared" si="106"/>
        <v>0.96422150486694835</v>
      </c>
      <c r="S288" s="802">
        <f t="shared" si="107"/>
        <v>0</v>
      </c>
      <c r="T288" s="172">
        <f t="shared" si="108"/>
        <v>6</v>
      </c>
      <c r="U288" s="247">
        <f t="shared" si="109"/>
        <v>0.96422150486694835</v>
      </c>
      <c r="V288" s="378">
        <f t="shared" si="110"/>
        <v>38.134692668972775</v>
      </c>
      <c r="W288" s="397">
        <f t="shared" si="111"/>
        <v>34.111068342685741</v>
      </c>
      <c r="X288" s="153">
        <f t="shared" si="112"/>
        <v>47757</v>
      </c>
      <c r="Y288" s="380">
        <f t="shared" si="113"/>
        <v>33.209699944573764</v>
      </c>
      <c r="Z288" s="380">
        <f t="shared" si="114"/>
        <v>34.713433227009823</v>
      </c>
      <c r="AA288" s="381">
        <f t="shared" si="115"/>
        <v>36.800344584185687</v>
      </c>
      <c r="AB288" s="193">
        <f t="shared" si="116"/>
        <v>47757</v>
      </c>
      <c r="AC288" s="119">
        <f>IF(OR(t&lt;Tnet,NoTnet),'2029'!Resal_s+('2029'!Salim-'2029'!Resal_s)*(1-EXP(('2029'!Tnet_s-t)/'2029'!Tau_j)),Resal_s+(Salim-Resal_s)*(1-EXP((Tnet_s-t)/Tau_j)))*Salcycl</f>
        <v>5.6709016743084498E-2</v>
      </c>
      <c r="AD288" s="227">
        <f>(INDEX(Models!$BJ288:$BT288,,AH288)*(1-AF288)+INDEX(Models!$BJ288:$BT288,,AH288+1)*AF288-ERP_i)*AE288*Ramure*Pc/MaxiM</f>
        <v>4.9058753999221534E-4</v>
      </c>
      <c r="AE288" s="301">
        <f t="shared" si="117"/>
        <v>0.5</v>
      </c>
      <c r="AF288" s="173">
        <f t="shared" si="118"/>
        <v>0.48920907124092583</v>
      </c>
      <c r="AG288" s="802">
        <f t="shared" si="124"/>
        <v>4</v>
      </c>
      <c r="AH288" s="172">
        <f t="shared" si="119"/>
        <v>10</v>
      </c>
      <c r="AI288" s="221">
        <f t="shared" si="120"/>
        <v>4.4892090712409258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47758</v>
      </c>
      <c r="B289" s="406">
        <f>'2029'!Wh/'2029'!Env_an*'2030'!Env_an</f>
        <v>35.474974345175887</v>
      </c>
      <c r="C289" s="832"/>
      <c r="D289" s="388">
        <f t="shared" si="102"/>
        <v>37.081786739272225</v>
      </c>
      <c r="E289" s="380">
        <f t="shared" si="100"/>
        <v>38.287217562668133</v>
      </c>
      <c r="F289" s="380">
        <f t="shared" si="103"/>
        <v>38.290142036766106</v>
      </c>
      <c r="G289" s="110">
        <f t="shared" si="101"/>
        <v>0.93945686220721591</v>
      </c>
      <c r="H289" s="409" t="b">
        <f>Wh_hp&gt;='2029'!Maxi_hp</f>
        <v>0</v>
      </c>
      <c r="I289" s="385">
        <f>IF(H289,Wh_hp,'2029'!Maxi_hp)</f>
        <v>38.290285207747907</v>
      </c>
      <c r="J289" s="85">
        <f>IF(H289,An,'2029'!An_max)</f>
        <v>2029</v>
      </c>
      <c r="K289" s="193">
        <f t="shared" si="104"/>
        <v>47758</v>
      </c>
      <c r="L289" s="143">
        <f>IF(t&lt;Tvie,1-EXP((T0-t)*PertePVj)+'2029'!Pspv,1-EXP((T0-t)*PertePVj)+Pspv)</f>
        <v>4.3331579607910564E-2</v>
      </c>
      <c r="M289" s="836"/>
      <c r="N289" s="836"/>
      <c r="O289" s="48">
        <f>IF(t&lt;Tnet,'2029'!Resal+('2029'!Salim-'2029'!Resal)*(1-EXP(('2029'!Tnet-t)/('2029'!Tau_j))),Resal+(Salim-Resal)*(1-EXP((Tnet-t)/(Tau_j))))*Salcycl</f>
        <v>3.1483897241236423E-2</v>
      </c>
      <c r="P289" s="165">
        <f>(INDEX(Models!$BJ289:$BT289,,T289)*(1-R289)+INDEX(Models!$BJ289:$BT289,,T289+1)*R289-ERP_i)*Q289*Ramure*Pc/MaxiM</f>
        <v>8.3607064609796436E-5</v>
      </c>
      <c r="Q289" s="301">
        <f t="shared" si="105"/>
        <v>0.5</v>
      </c>
      <c r="R289" s="173">
        <f t="shared" si="106"/>
        <v>0.96441191101410473</v>
      </c>
      <c r="S289" s="802">
        <f t="shared" si="107"/>
        <v>0</v>
      </c>
      <c r="T289" s="172">
        <f t="shared" si="108"/>
        <v>6</v>
      </c>
      <c r="U289" s="247">
        <f t="shared" si="109"/>
        <v>0.96441191101410473</v>
      </c>
      <c r="V289" s="378">
        <f t="shared" si="110"/>
        <v>37.76087998834646</v>
      </c>
      <c r="W289" s="397">
        <f t="shared" si="111"/>
        <v>35.474974345175887</v>
      </c>
      <c r="X289" s="153">
        <f t="shared" si="112"/>
        <v>47758</v>
      </c>
      <c r="Y289" s="380">
        <f t="shared" si="113"/>
        <v>34.536159084501421</v>
      </c>
      <c r="Z289" s="380">
        <f t="shared" si="114"/>
        <v>36.100448544488188</v>
      </c>
      <c r="AA289" s="381">
        <f t="shared" si="115"/>
        <v>38.270856993600113</v>
      </c>
      <c r="AB289" s="193">
        <f t="shared" si="116"/>
        <v>47758</v>
      </c>
      <c r="AC289" s="119">
        <f>IF(OR(t&lt;Tnet,NoTnet),'2029'!Resal_s+('2029'!Salim-'2029'!Resal_s)*(1-EXP(('2029'!Tnet_s-t)/'2029'!Tau_j)),Resal_s+(Salim-Resal_s)*(1-EXP((Tnet_s-t)/Tau_j)))*Salcycl</f>
        <v>5.6711780702346788E-2</v>
      </c>
      <c r="AD289" s="227">
        <f>(INDEX(Models!$BJ289:$BT289,,AH289)*(1-AF289)+INDEX(Models!$BJ289:$BT289,,AH289+1)*AF289-ERP_i)*AE289*Ramure*Pc/MaxiM</f>
        <v>5.5133531567275727E-4</v>
      </c>
      <c r="AE289" s="301">
        <f t="shared" si="117"/>
        <v>0.5</v>
      </c>
      <c r="AF289" s="173">
        <f t="shared" si="118"/>
        <v>0.48939947738808165</v>
      </c>
      <c r="AG289" s="802">
        <f t="shared" si="124"/>
        <v>4</v>
      </c>
      <c r="AH289" s="172">
        <f t="shared" si="119"/>
        <v>10</v>
      </c>
      <c r="AI289" s="221">
        <f t="shared" si="120"/>
        <v>4.4893994773880816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47759</v>
      </c>
      <c r="B290" s="406">
        <f>'2029'!Wh/'2029'!Env_an*'2030'!Env_an</f>
        <v>32.126657663697628</v>
      </c>
      <c r="C290" s="832"/>
      <c r="D290" s="388">
        <f t="shared" si="102"/>
        <v>33.582270274496416</v>
      </c>
      <c r="E290" s="380">
        <f t="shared" si="100"/>
        <v>34.675190231691296</v>
      </c>
      <c r="F290" s="380">
        <f t="shared" si="103"/>
        <v>34.677769114184088</v>
      </c>
      <c r="G290" s="110">
        <f t="shared" si="101"/>
        <v>0.85933766771234288</v>
      </c>
      <c r="H290" s="409" t="b">
        <f>Wh_hp&gt;='2029'!Maxi_hp</f>
        <v>0</v>
      </c>
      <c r="I290" s="385">
        <f>IF(H290,Wh_hp,'2029'!Maxi_hp)</f>
        <v>34.678104414130672</v>
      </c>
      <c r="J290" s="85">
        <f>IF(H290,An,'2029'!An_max)</f>
        <v>2029</v>
      </c>
      <c r="K290" s="193">
        <f t="shared" si="104"/>
        <v>47759</v>
      </c>
      <c r="L290" s="143">
        <f>IF(t&lt;Tvie,1-EXP((T0-t)*PertePVj)+'2029'!Pspv,1-EXP((T0-t)*PertePVj)+Pspv)</f>
        <v>4.3344675595212268E-2</v>
      </c>
      <c r="M290" s="836"/>
      <c r="N290" s="836"/>
      <c r="O290" s="48">
        <f>IF(t&lt;Tnet,'2029'!Resal+('2029'!Salim-'2029'!Resal)*(1-EXP(('2029'!Tnet-t)/('2029'!Tau_j))),Resal+(Salim-Resal)*(1-EXP((Tnet-t)/(Tau_j))))*Salcycl</f>
        <v>3.1518787637277619E-2</v>
      </c>
      <c r="P290" s="165">
        <f>(INDEX(Models!$BJ290:$BT290,,T290)*(1-R290)+INDEX(Models!$BJ290:$BT290,,T290+1)*R290-ERP_i)*Q290*Ramure*Pc/MaxiM</f>
        <v>9.306618218736687E-5</v>
      </c>
      <c r="Q290" s="301">
        <f t="shared" si="105"/>
        <v>0.5</v>
      </c>
      <c r="R290" s="173">
        <f t="shared" si="106"/>
        <v>0.96459478835989287</v>
      </c>
      <c r="S290" s="802">
        <f t="shared" si="107"/>
        <v>0</v>
      </c>
      <c r="T290" s="172">
        <f t="shared" si="108"/>
        <v>6</v>
      </c>
      <c r="U290" s="247">
        <f t="shared" si="109"/>
        <v>0.96459478835989287</v>
      </c>
      <c r="V290" s="378">
        <f t="shared" si="110"/>
        <v>37.384672038283895</v>
      </c>
      <c r="W290" s="397">
        <f t="shared" si="111"/>
        <v>32.126657663697628</v>
      </c>
      <c r="X290" s="153">
        <f t="shared" si="112"/>
        <v>47759</v>
      </c>
      <c r="Y290" s="380">
        <f t="shared" si="113"/>
        <v>31.277780364669646</v>
      </c>
      <c r="Z290" s="380">
        <f t="shared" si="114"/>
        <v>32.694931567051142</v>
      </c>
      <c r="AA290" s="381">
        <f t="shared" si="115"/>
        <v>34.66066756065095</v>
      </c>
      <c r="AB290" s="193">
        <f t="shared" si="116"/>
        <v>47759</v>
      </c>
      <c r="AC290" s="119">
        <f>IF(OR(t&lt;Tnet,NoTnet),'2029'!Resal_s+('2029'!Salim-'2029'!Resal_s)*(1-EXP(('2029'!Tnet_s-t)/'2029'!Tau_j)),Resal_s+(Salim-Resal_s)*(1-EXP((Tnet_s-t)/Tau_j)))*Salcycl</f>
        <v>5.671373726891047E-2</v>
      </c>
      <c r="AD290" s="227">
        <f>(INDEX(Models!$BJ290:$BT290,,AH290)*(1-AF290)+INDEX(Models!$BJ290:$BT290,,AH290+1)*AF290-ERP_i)*AE290*Ramure*Pc/MaxiM</f>
        <v>6.1715735449398518E-4</v>
      </c>
      <c r="AE290" s="301">
        <f t="shared" si="117"/>
        <v>0.5</v>
      </c>
      <c r="AF290" s="173">
        <f t="shared" si="118"/>
        <v>0.48958235473387024</v>
      </c>
      <c r="AG290" s="802">
        <f t="shared" si="124"/>
        <v>4</v>
      </c>
      <c r="AH290" s="172">
        <f t="shared" si="119"/>
        <v>10</v>
      </c>
      <c r="AI290" s="221">
        <f t="shared" si="120"/>
        <v>4.4895823547338702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47760</v>
      </c>
      <c r="B291" s="406">
        <f>'2029'!Wh/'2029'!Env_an*'2030'!Env_an</f>
        <v>37.419842360467889</v>
      </c>
      <c r="C291" s="832"/>
      <c r="D291" s="388">
        <f t="shared" si="102"/>
        <v>39.11581701275805</v>
      </c>
      <c r="E291" s="380">
        <f t="shared" si="100"/>
        <v>40.390257479573599</v>
      </c>
      <c r="F291" s="380">
        <f t="shared" si="103"/>
        <v>40.394405046621038</v>
      </c>
      <c r="G291" s="110">
        <f t="shared" si="101"/>
        <v>1.0111694837797944</v>
      </c>
      <c r="H291" s="409" t="b">
        <f>Wh_hp&gt;='2029'!Maxi_hp</f>
        <v>0</v>
      </c>
      <c r="I291" s="385">
        <f>IF(H291,Wh_hp,'2029'!Maxi_hp)</f>
        <v>40.394405046621053</v>
      </c>
      <c r="J291" s="85">
        <f>IF(H291,An,'2029'!An_max)</f>
        <v>2027</v>
      </c>
      <c r="K291" s="193">
        <f t="shared" si="104"/>
        <v>47760</v>
      </c>
      <c r="L291" s="143">
        <f>IF(t&lt;Tvie,1-EXP((T0-t)*PertePVj)+'2029'!Pspv,1-EXP((T0-t)*PertePVj)+Pspv)</f>
        <v>4.3357771403240819E-2</v>
      </c>
      <c r="M291" s="836"/>
      <c r="N291" s="836"/>
      <c r="O291" s="48">
        <f>IF(t&lt;Tnet,'2029'!Resal+('2029'!Salim-'2029'!Resal)*(1-EXP(('2029'!Tnet-t)/('2029'!Tau_j))),Resal+(Salim-Resal)*(1-EXP((Tnet-t)/(Tau_j))))*Salcycl</f>
        <v>3.1553165202278445E-2</v>
      </c>
      <c r="P291" s="165">
        <f>(INDEX(Models!$BJ291:$BT291,,T291)*(1-R291)+INDEX(Models!$BJ291:$BT291,,T291+1)*R291-ERP_i)*Q291*Ramure*Pc/MaxiM</f>
        <v>1.026767702768239E-4</v>
      </c>
      <c r="Q291" s="301">
        <f t="shared" si="105"/>
        <v>0.5</v>
      </c>
      <c r="R291" s="173">
        <f t="shared" si="106"/>
        <v>0.96477042932622326</v>
      </c>
      <c r="S291" s="802">
        <f t="shared" si="107"/>
        <v>0</v>
      </c>
      <c r="T291" s="172">
        <f t="shared" si="108"/>
        <v>6</v>
      </c>
      <c r="U291" s="247">
        <f t="shared" si="109"/>
        <v>0.96477042932622326</v>
      </c>
      <c r="V291" s="378">
        <f t="shared" si="110"/>
        <v>37.006498871574848</v>
      </c>
      <c r="W291" s="397">
        <f t="shared" si="111"/>
        <v>37.419842360467889</v>
      </c>
      <c r="X291" s="153">
        <f t="shared" si="112"/>
        <v>47760</v>
      </c>
      <c r="Y291" s="380">
        <f t="shared" si="113"/>
        <v>36.42640622151994</v>
      </c>
      <c r="Z291" s="380">
        <f t="shared" si="114"/>
        <v>38.077355496789686</v>
      </c>
      <c r="AA291" s="381">
        <f t="shared" si="115"/>
        <v>40.366750725730213</v>
      </c>
      <c r="AB291" s="193">
        <f t="shared" si="116"/>
        <v>47760</v>
      </c>
      <c r="AC291" s="119">
        <f>IF(OR(t&lt;Tnet,NoTnet),'2029'!Resal_s+('2029'!Salim-'2029'!Resal_s)*(1-EXP(('2029'!Tnet_s-t)/'2029'!Tau_j)),Resal_s+(Salim-Resal_s)*(1-EXP((Tnet_s-t)/Tau_j)))*Salcycl</f>
        <v>5.6714875182689417E-2</v>
      </c>
      <c r="AD291" s="227">
        <f>(INDEX(Models!$BJ291:$BT291,,AH291)*(1-AF291)+INDEX(Models!$BJ291:$BT291,,AH291+1)*AF291-ERP_i)*AE291*Ramure*Pc/MaxiM</f>
        <v>6.8460770393596979E-4</v>
      </c>
      <c r="AE291" s="301">
        <f t="shared" si="117"/>
        <v>0.5</v>
      </c>
      <c r="AF291" s="173">
        <f t="shared" si="118"/>
        <v>0.48975799570020051</v>
      </c>
      <c r="AG291" s="802">
        <f t="shared" si="124"/>
        <v>4</v>
      </c>
      <c r="AH291" s="172">
        <f t="shared" si="119"/>
        <v>10</v>
      </c>
      <c r="AI291" s="221">
        <f t="shared" si="120"/>
        <v>4.4897579957002005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47761</v>
      </c>
      <c r="B292" s="406">
        <f>'2029'!Wh/'2029'!Env_an*'2030'!Env_an</f>
        <v>37.665360384998543</v>
      </c>
      <c r="C292" s="832"/>
      <c r="D292" s="388">
        <f t="shared" si="102"/>
        <v>39.373001602135432</v>
      </c>
      <c r="E292" s="380">
        <f t="shared" si="100"/>
        <v>40.65724287958146</v>
      </c>
      <c r="F292" s="380">
        <f t="shared" si="103"/>
        <v>40.661814891212074</v>
      </c>
      <c r="G292" s="110">
        <f t="shared" si="101"/>
        <v>1.0283561778969417</v>
      </c>
      <c r="H292" s="409" t="b">
        <f>Wh_hp&gt;='2029'!Maxi_hp</f>
        <v>1</v>
      </c>
      <c r="I292" s="385">
        <f>IF(H292,Wh_hp,'2029'!Maxi_hp)</f>
        <v>40.661814891212074</v>
      </c>
      <c r="J292" s="85">
        <f>IF(H292,An,'2029'!An_max)</f>
        <v>2030</v>
      </c>
      <c r="K292" s="193">
        <f t="shared" si="104"/>
        <v>47761</v>
      </c>
      <c r="L292" s="143">
        <f>IF(t&lt;Tvie,1-EXP((T0-t)*PertePVj)+'2029'!Pspv,1-EXP((T0-t)*PertePVj)+Pspv)</f>
        <v>4.3370867031998661E-2</v>
      </c>
      <c r="M292" s="836"/>
      <c r="N292" s="836"/>
      <c r="O292" s="48">
        <f>IF(t&lt;Tnet,'2029'!Resal+('2029'!Salim-'2029'!Resal)*(1-EXP(('2029'!Tnet-t)/('2029'!Tau_j))),Resal+(Salim-Resal)*(1-EXP((Tnet-t)/(Tau_j))))*Salcycl</f>
        <v>3.1587023282658173E-2</v>
      </c>
      <c r="P292" s="165">
        <f>(INDEX(Models!$BJ292:$BT292,,T292)*(1-R292)+INDEX(Models!$BJ292:$BT292,,T292+1)*R292-ERP_i)*Q292*Ramure*Pc/MaxiM</f>
        <v>1.124399302599651E-4</v>
      </c>
      <c r="Q292" s="301">
        <f t="shared" si="105"/>
        <v>0.5</v>
      </c>
      <c r="R292" s="173">
        <f t="shared" si="106"/>
        <v>0.96493911539020494</v>
      </c>
      <c r="S292" s="802">
        <f t="shared" si="107"/>
        <v>0</v>
      </c>
      <c r="T292" s="172">
        <f t="shared" si="108"/>
        <v>6</v>
      </c>
      <c r="U292" s="247">
        <f t="shared" si="109"/>
        <v>0.96493911539020494</v>
      </c>
      <c r="V292" s="378">
        <f t="shared" si="110"/>
        <v>36.626765312021327</v>
      </c>
      <c r="W292" s="397">
        <f t="shared" si="111"/>
        <v>37.665360384998543</v>
      </c>
      <c r="X292" s="153">
        <f t="shared" si="112"/>
        <v>47761</v>
      </c>
      <c r="Y292" s="380">
        <f t="shared" si="113"/>
        <v>36.664498623354582</v>
      </c>
      <c r="Z292" s="380">
        <f t="shared" si="114"/>
        <v>38.326763590818835</v>
      </c>
      <c r="AA292" s="381">
        <f t="shared" si="115"/>
        <v>40.631167783065919</v>
      </c>
      <c r="AB292" s="193">
        <f t="shared" si="116"/>
        <v>47761</v>
      </c>
      <c r="AC292" s="119">
        <f>IF(OR(t&lt;Tnet,NoTnet),'2029'!Resal_s+('2029'!Salim-'2029'!Resal_s)*(1-EXP(('2029'!Tnet_s-t)/'2029'!Tau_j)),Resal_s+(Salim-Resal_s)*(1-EXP((Tnet_s-t)/Tau_j)))*Salcycl</f>
        <v>5.6715184868683544E-2</v>
      </c>
      <c r="AD292" s="227">
        <f>(INDEX(Models!$BJ292:$BT292,,AH292)*(1-AF292)+INDEX(Models!$BJ292:$BT292,,AH292+1)*AF292-ERP_i)*AE292*Ramure*Pc/MaxiM</f>
        <v>7.53707335202582E-4</v>
      </c>
      <c r="AE292" s="301">
        <f t="shared" si="117"/>
        <v>0.5</v>
      </c>
      <c r="AF292" s="173">
        <f t="shared" si="118"/>
        <v>0.48992668176418164</v>
      </c>
      <c r="AG292" s="802">
        <f t="shared" si="124"/>
        <v>4</v>
      </c>
      <c r="AH292" s="172">
        <f t="shared" si="119"/>
        <v>10</v>
      </c>
      <c r="AI292" s="221">
        <f t="shared" si="120"/>
        <v>4.4899266817641816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47762</v>
      </c>
      <c r="B293" s="406">
        <f>'2029'!Wh/'2029'!Env_an*'2030'!Env_an</f>
        <v>15.096885340435309</v>
      </c>
      <c r="C293" s="832"/>
      <c r="D293" s="388">
        <f t="shared" si="102"/>
        <v>15.781551582176112</v>
      </c>
      <c r="E293" s="380">
        <f t="shared" si="100"/>
        <v>16.296864234746476</v>
      </c>
      <c r="F293" s="380">
        <f t="shared" si="103"/>
        <v>16.297196141788124</v>
      </c>
      <c r="G293" s="110">
        <f t="shared" si="101"/>
        <v>0.41647070547271953</v>
      </c>
      <c r="H293" s="409" t="b">
        <f>Wh_hp&gt;='2029'!Maxi_hp</f>
        <v>0</v>
      </c>
      <c r="I293" s="385">
        <f>IF(H293,Wh_hp,'2029'!Maxi_hp)</f>
        <v>16.29805513186291</v>
      </c>
      <c r="J293" s="85">
        <f>IF(H293,An,'2029'!An_max)</f>
        <v>2029</v>
      </c>
      <c r="K293" s="193">
        <f t="shared" si="104"/>
        <v>47762</v>
      </c>
      <c r="L293" s="143">
        <f>IF(t&lt;Tvie,1-EXP((T0-t)*PertePVj)+'2029'!Pspv,1-EXP((T0-t)*PertePVj)+Pspv)</f>
        <v>4.3383962481488458E-2</v>
      </c>
      <c r="M293" s="836"/>
      <c r="N293" s="836"/>
      <c r="O293" s="48">
        <f>IF(t&lt;Tnet,'2029'!Resal+('2029'!Salim-'2029'!Resal)*(1-EXP(('2029'!Tnet-t)/('2029'!Tau_j))),Resal+(Salim-Resal)*(1-EXP((Tnet-t)/(Tau_j))))*Salcycl</f>
        <v>3.162035623219258E-2</v>
      </c>
      <c r="P293" s="165">
        <f>(INDEX(Models!$BJ293:$BT293,,T293)*(1-R293)+INDEX(Models!$BJ293:$BT293,,T293+1)*R293-ERP_i)*Q293*Ramure*Pc/MaxiM</f>
        <v>1.223563556882121E-4</v>
      </c>
      <c r="Q293" s="301">
        <f t="shared" si="105"/>
        <v>0.5</v>
      </c>
      <c r="R293" s="173">
        <f t="shared" si="106"/>
        <v>0.96510111746124405</v>
      </c>
      <c r="S293" s="802">
        <f t="shared" si="107"/>
        <v>0</v>
      </c>
      <c r="T293" s="172">
        <f t="shared" si="108"/>
        <v>6</v>
      </c>
      <c r="U293" s="247">
        <f t="shared" si="109"/>
        <v>0.96510111746124405</v>
      </c>
      <c r="V293" s="378">
        <f t="shared" si="110"/>
        <v>36.245876054364118</v>
      </c>
      <c r="W293" s="397">
        <f t="shared" si="111"/>
        <v>15.096885340435309</v>
      </c>
      <c r="X293" s="153">
        <f t="shared" si="112"/>
        <v>47762</v>
      </c>
      <c r="Y293" s="380">
        <f t="shared" si="113"/>
        <v>14.703950515322591</v>
      </c>
      <c r="Z293" s="380">
        <f t="shared" si="114"/>
        <v>15.370796577344704</v>
      </c>
      <c r="AA293" s="381">
        <f t="shared" si="115"/>
        <v>16.294959650687318</v>
      </c>
      <c r="AB293" s="193">
        <f t="shared" si="116"/>
        <v>47762</v>
      </c>
      <c r="AC293" s="119">
        <f>IF(OR(t&lt;Tnet,NoTnet),'2029'!Resal_s+('2029'!Salim-'2029'!Resal_s)*(1-EXP(('2029'!Tnet_s-t)/'2029'!Tau_j)),Resal_s+(Salim-Resal_s)*(1-EXP((Tnet_s-t)/Tau_j)))*Salcycl</f>
        <v>5.6714658590985387E-2</v>
      </c>
      <c r="AD293" s="227">
        <f>(INDEX(Models!$BJ293:$BT293,,AH293)*(1-AF293)+INDEX(Models!$BJ293:$BT293,,AH293+1)*AF293-ERP_i)*AE293*Ramure*Pc/MaxiM</f>
        <v>8.2447452534992194E-4</v>
      </c>
      <c r="AE293" s="301">
        <f t="shared" si="117"/>
        <v>0.5</v>
      </c>
      <c r="AF293" s="173">
        <f t="shared" si="118"/>
        <v>0.49008868383522142</v>
      </c>
      <c r="AG293" s="802">
        <f t="shared" si="124"/>
        <v>4</v>
      </c>
      <c r="AH293" s="172">
        <f t="shared" si="119"/>
        <v>10</v>
      </c>
      <c r="AI293" s="221">
        <f t="shared" si="120"/>
        <v>4.4900886838352214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47763</v>
      </c>
      <c r="B294" s="406">
        <f>'2029'!Wh/'2029'!Env_an*'2030'!Env_an</f>
        <v>28.998611820726623</v>
      </c>
      <c r="C294" s="832"/>
      <c r="D294" s="388">
        <f t="shared" si="102"/>
        <v>30.314157044689498</v>
      </c>
      <c r="E294" s="380">
        <f t="shared" si="100"/>
        <v>31.305061138085179</v>
      </c>
      <c r="F294" s="380">
        <f t="shared" si="103"/>
        <v>31.308073312720104</v>
      </c>
      <c r="G294" s="110">
        <f t="shared" si="101"/>
        <v>0.80853700026693354</v>
      </c>
      <c r="H294" s="409" t="b">
        <f>Wh_hp&gt;='2029'!Maxi_hp</f>
        <v>0</v>
      </c>
      <c r="I294" s="385">
        <f>IF(H294,Wh_hp,'2029'!Maxi_hp)</f>
        <v>31.308659162314775</v>
      </c>
      <c r="J294" s="85">
        <f>IF(H294,An,'2029'!An_max)</f>
        <v>2029</v>
      </c>
      <c r="K294" s="193">
        <f t="shared" si="104"/>
        <v>47763</v>
      </c>
      <c r="L294" s="143">
        <f>IF(t&lt;Tvie,1-EXP((T0-t)*PertePVj)+'2029'!Pspv,1-EXP((T0-t)*PertePVj)+Pspv)</f>
        <v>4.3397057751712542E-2</v>
      </c>
      <c r="M294" s="836"/>
      <c r="N294" s="836"/>
      <c r="O294" s="48">
        <f>IF(t&lt;Tnet,'2029'!Resal+('2029'!Salim-'2029'!Resal)*(1-EXP(('2029'!Tnet-t)/('2029'!Tau_j))),Resal+(Salim-Resal)*(1-EXP((Tnet-t)/(Tau_j))))*Salcycl</f>
        <v>3.1653159501105955E-2</v>
      </c>
      <c r="P294" s="165">
        <f>(INDEX(Models!$BJ294:$BT294,,T294)*(1-R294)+INDEX(Models!$BJ294:$BT294,,T294+1)*R294-ERP_i)*Q294*Ramure*Pc/MaxiM</f>
        <v>1.324263102942538E-4</v>
      </c>
      <c r="Q294" s="301">
        <f t="shared" si="105"/>
        <v>0.5</v>
      </c>
      <c r="R294" s="173">
        <f t="shared" si="106"/>
        <v>0.96525669624776689</v>
      </c>
      <c r="S294" s="802">
        <f t="shared" si="107"/>
        <v>0</v>
      </c>
      <c r="T294" s="172">
        <f t="shared" si="108"/>
        <v>6</v>
      </c>
      <c r="U294" s="247">
        <f t="shared" si="109"/>
        <v>0.96525669624776689</v>
      </c>
      <c r="V294" s="378">
        <f t="shared" si="110"/>
        <v>35.864235663233494</v>
      </c>
      <c r="W294" s="397">
        <f t="shared" si="111"/>
        <v>28.998611820726623</v>
      </c>
      <c r="X294" s="153">
        <f t="shared" si="112"/>
        <v>47763</v>
      </c>
      <c r="Y294" s="380">
        <f t="shared" si="113"/>
        <v>28.232457003384283</v>
      </c>
      <c r="Z294" s="380">
        <f t="shared" si="114"/>
        <v>29.513245001139161</v>
      </c>
      <c r="AA294" s="381">
        <f t="shared" si="115"/>
        <v>31.287671825664031</v>
      </c>
      <c r="AB294" s="193">
        <f t="shared" si="116"/>
        <v>47763</v>
      </c>
      <c r="AC294" s="119">
        <f>IF(OR(t&lt;Tnet,NoTnet),'2029'!Resal_s+('2029'!Salim-'2029'!Resal_s)*(1-EXP(('2029'!Tnet_s-t)/'2029'!Tau_j)),Resal_s+(Salim-Resal_s)*(1-EXP((Tnet_s-t)/Tau_j)))*Salcycl</f>
        <v>5.6713290602510645E-2</v>
      </c>
      <c r="AD294" s="227">
        <f>(INDEX(Models!$BJ294:$BT294,,AH294)*(1-AF294)+INDEX(Models!$BJ294:$BT294,,AH294+1)*AF294-ERP_i)*AE294*Ramure*Pc/MaxiM</f>
        <v>8.9692464176108883E-4</v>
      </c>
      <c r="AE294" s="301">
        <f t="shared" si="117"/>
        <v>0.5</v>
      </c>
      <c r="AF294" s="173">
        <f t="shared" si="118"/>
        <v>0.49024426262174448</v>
      </c>
      <c r="AG294" s="802">
        <f t="shared" si="124"/>
        <v>4</v>
      </c>
      <c r="AH294" s="172">
        <f t="shared" si="119"/>
        <v>10</v>
      </c>
      <c r="AI294" s="221">
        <f t="shared" si="120"/>
        <v>4.4902442626217445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47764</v>
      </c>
      <c r="B295" s="406">
        <f>'2029'!Wh/'2029'!Env_an*'2030'!Env_an</f>
        <v>14.665745028044798</v>
      </c>
      <c r="C295" s="832"/>
      <c r="D295" s="388">
        <f t="shared" si="102"/>
        <v>15.331278156073488</v>
      </c>
      <c r="E295" s="380">
        <f t="shared" si="100"/>
        <v>15.832952045407552</v>
      </c>
      <c r="F295" s="380">
        <f t="shared" si="103"/>
        <v>15.833317703349332</v>
      </c>
      <c r="G295" s="110">
        <f t="shared" si="101"/>
        <v>0.41327684146746252</v>
      </c>
      <c r="H295" s="409" t="b">
        <f>Wh_hp&gt;='2029'!Maxi_hp</f>
        <v>0</v>
      </c>
      <c r="I295" s="385">
        <f>IF(H295,Wh_hp,'2029'!Maxi_hp)</f>
        <v>15.834295523225657</v>
      </c>
      <c r="J295" s="85">
        <f>IF(H295,An,'2029'!An_max)</f>
        <v>2029</v>
      </c>
      <c r="K295" s="193">
        <f t="shared" si="104"/>
        <v>47764</v>
      </c>
      <c r="L295" s="143">
        <f>IF(t&lt;Tvie,1-EXP((T0-t)*PertePVj)+'2029'!Pspv,1-EXP((T0-t)*PertePVj)+Pspv)</f>
        <v>4.3410152842673355E-2</v>
      </c>
      <c r="M295" s="836"/>
      <c r="N295" s="836"/>
      <c r="O295" s="48">
        <f>IF(t&lt;Tnet,'2029'!Resal+('2029'!Salim-'2029'!Resal)*(1-EXP(('2029'!Tnet-t)/('2029'!Tau_j))),Resal+(Salim-Resal)*(1-EXP((Tnet-t)/(Tau_j))))*Salcycl</f>
        <v>3.1685429722474172E-2</v>
      </c>
      <c r="P295" s="165">
        <f>(INDEX(Models!$BJ295:$BT295,,T295)*(1-R295)+INDEX(Models!$BJ295:$BT295,,T295+1)*R295-ERP_i)*Q295*Ramure*Pc/MaxiM</f>
        <v>1.4264960568029759E-4</v>
      </c>
      <c r="Q295" s="301">
        <f t="shared" si="105"/>
        <v>0.5</v>
      </c>
      <c r="R295" s="173">
        <f t="shared" si="106"/>
        <v>0.96540610261362814</v>
      </c>
      <c r="S295" s="802">
        <f t="shared" si="107"/>
        <v>0</v>
      </c>
      <c r="T295" s="172">
        <f t="shared" si="108"/>
        <v>6</v>
      </c>
      <c r="U295" s="247">
        <f t="shared" si="109"/>
        <v>0.96540610261362814</v>
      </c>
      <c r="V295" s="378">
        <f t="shared" si="110"/>
        <v>35.482248573406473</v>
      </c>
      <c r="W295" s="397">
        <f t="shared" si="111"/>
        <v>14.665745028044798</v>
      </c>
      <c r="X295" s="153">
        <f t="shared" si="112"/>
        <v>47764</v>
      </c>
      <c r="Y295" s="380">
        <f t="shared" si="113"/>
        <v>14.284799416659986</v>
      </c>
      <c r="Z295" s="380">
        <f t="shared" si="114"/>
        <v>14.933045190799124</v>
      </c>
      <c r="AA295" s="381">
        <f t="shared" si="115"/>
        <v>15.830828531180071</v>
      </c>
      <c r="AB295" s="193">
        <f t="shared" si="116"/>
        <v>47764</v>
      </c>
      <c r="AC295" s="119">
        <f>IF(OR(t&lt;Tnet,NoTnet),'2029'!Resal_s+('2029'!Salim-'2029'!Resal_s)*(1-EXP(('2029'!Tnet_s-t)/'2029'!Tau_j)),Resal_s+(Salim-Resal_s)*(1-EXP((Tnet_s-t)/Tau_j)))*Salcycl</f>
        <v>5.6711077289018114E-2</v>
      </c>
      <c r="AD295" s="227">
        <f>(INDEX(Models!$BJ295:$BT295,,AH295)*(1-AF295)+INDEX(Models!$BJ295:$BT295,,AH295+1)*AF295-ERP_i)*AE295*Ramure*Pc/MaxiM</f>
        <v>9.7106992039036003E-4</v>
      </c>
      <c r="AE295" s="301">
        <f t="shared" si="117"/>
        <v>0.5</v>
      </c>
      <c r="AF295" s="173">
        <f t="shared" si="118"/>
        <v>0.49039366898760495</v>
      </c>
      <c r="AG295" s="802">
        <f t="shared" si="124"/>
        <v>4</v>
      </c>
      <c r="AH295" s="172">
        <f t="shared" si="119"/>
        <v>10</v>
      </c>
      <c r="AI295" s="221">
        <f t="shared" si="120"/>
        <v>4.4903936689876049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47765</v>
      </c>
      <c r="B296" s="406">
        <f>'2029'!Wh/'2029'!Env_an*'2030'!Env_an</f>
        <v>34.249549541431293</v>
      </c>
      <c r="C296" s="832"/>
      <c r="D296" s="388">
        <f t="shared" si="102"/>
        <v>35.804288010374741</v>
      </c>
      <c r="E296" s="380">
        <f t="shared" si="100"/>
        <v>36.97709667940012</v>
      </c>
      <c r="F296" s="380">
        <f t="shared" si="103"/>
        <v>36.982550795999494</v>
      </c>
      <c r="G296" s="110">
        <f t="shared" si="101"/>
        <v>0.97575635782933623</v>
      </c>
      <c r="H296" s="409" t="b">
        <f>Wh_hp&gt;='2029'!Maxi_hp</f>
        <v>0</v>
      </c>
      <c r="I296" s="385">
        <f>IF(H296,Wh_hp,'2029'!Maxi_hp)</f>
        <v>36.982651831701581</v>
      </c>
      <c r="J296" s="85">
        <f>IF(H296,An,'2029'!An_max)</f>
        <v>2029</v>
      </c>
      <c r="K296" s="193">
        <f t="shared" si="104"/>
        <v>47765</v>
      </c>
      <c r="L296" s="143">
        <f>IF(t&lt;Tvie,1-EXP((T0-t)*PertePVj)+'2029'!Pspv,1-EXP((T0-t)*PertePVj)+Pspv)</f>
        <v>4.3423247754373451E-2</v>
      </c>
      <c r="M296" s="836"/>
      <c r="N296" s="836"/>
      <c r="O296" s="48">
        <f>IF(t&lt;Tnet,'2029'!Resal+('2029'!Salim-'2029'!Resal)*(1-EXP(('2029'!Tnet-t)/('2029'!Tau_j))),Resal+(Salim-Resal)*(1-EXP((Tnet-t)/(Tau_j))))*Salcycl</f>
        <v>3.1717164795113398E-2</v>
      </c>
      <c r="P296" s="165">
        <f>(INDEX(Models!$BJ296:$BT296,,T296)*(1-R296)+INDEX(Models!$BJ296:$BT296,,T296+1)*R296-ERP_i)*Q296*Ramure*Pc/MaxiM</f>
        <v>1.5276791015699775E-4</v>
      </c>
      <c r="Q296" s="301">
        <f t="shared" si="105"/>
        <v>0.5</v>
      </c>
      <c r="R296" s="173">
        <f t="shared" si="106"/>
        <v>0.96554957792429064</v>
      </c>
      <c r="S296" s="802">
        <f t="shared" si="107"/>
        <v>0</v>
      </c>
      <c r="T296" s="172">
        <f t="shared" si="108"/>
        <v>6</v>
      </c>
      <c r="U296" s="247">
        <f t="shared" si="109"/>
        <v>0.96554957792429064</v>
      </c>
      <c r="V296" s="378">
        <f t="shared" si="110"/>
        <v>35.100328136768425</v>
      </c>
      <c r="W296" s="397">
        <f t="shared" si="111"/>
        <v>34.249549541431293</v>
      </c>
      <c r="X296" s="153">
        <f t="shared" si="112"/>
        <v>47765</v>
      </c>
      <c r="Y296" s="380">
        <f t="shared" si="113"/>
        <v>33.336180430783166</v>
      </c>
      <c r="Z296" s="380">
        <f t="shared" si="114"/>
        <v>34.849457037842811</v>
      </c>
      <c r="AA296" s="381">
        <f t="shared" si="115"/>
        <v>36.944506766943974</v>
      </c>
      <c r="AB296" s="193">
        <f t="shared" si="116"/>
        <v>47765</v>
      </c>
      <c r="AC296" s="119">
        <f>IF(OR(t&lt;Tnet,NoTnet),'2029'!Resal_s+('2029'!Salim-'2029'!Resal_s)*(1-EXP(('2029'!Tnet_s-t)/'2029'!Tau_j)),Resal_s+(Salim-Resal_s)*(1-EXP((Tnet_s-t)/Tau_j)))*Salcycl</f>
        <v>5.67080173059911E-2</v>
      </c>
      <c r="AD296" s="227">
        <f>(INDEX(Models!$BJ296:$BT296,,AH296)*(1-AF296)+INDEX(Models!$BJ296:$BT296,,AH296+1)*AF296-ERP_i)*AE296*Ramure*Pc/MaxiM</f>
        <v>1.0656000301552122E-3</v>
      </c>
      <c r="AE296" s="301">
        <f t="shared" si="117"/>
        <v>0.5</v>
      </c>
      <c r="AF296" s="173">
        <f t="shared" si="118"/>
        <v>0.49053714429826822</v>
      </c>
      <c r="AG296" s="802">
        <f t="shared" si="124"/>
        <v>4</v>
      </c>
      <c r="AH296" s="172">
        <f t="shared" si="119"/>
        <v>10</v>
      </c>
      <c r="AI296" s="221">
        <f t="shared" si="120"/>
        <v>4.4905371442982682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47766</v>
      </c>
      <c r="B297" s="406">
        <f>'2029'!Wh/'2029'!Env_an*'2030'!Env_an</f>
        <v>29.987786559421252</v>
      </c>
      <c r="C297" s="832"/>
      <c r="D297" s="388">
        <f t="shared" si="102"/>
        <v>31.349493913851635</v>
      </c>
      <c r="E297" s="380">
        <f t="shared" ref="E297:E360" si="125">Wh_pvt/(1-Psa)</f>
        <v>32.377424160247557</v>
      </c>
      <c r="F297" s="380">
        <f t="shared" si="103"/>
        <v>32.381658157399862</v>
      </c>
      <c r="G297" s="110">
        <f t="shared" ref="G297:G360" si="126">+Wh_hp/MaxiM</f>
        <v>0.86370376964683682</v>
      </c>
      <c r="H297" s="409" t="b">
        <f>Wh_hp&gt;='2029'!Maxi_hp</f>
        <v>0</v>
      </c>
      <c r="I297" s="385">
        <f>IF(H297,Wh_hp,'2029'!Maxi_hp)</f>
        <v>32.382186606939499</v>
      </c>
      <c r="J297" s="85">
        <f>IF(H297,An,'2029'!An_max)</f>
        <v>2029</v>
      </c>
      <c r="K297" s="193">
        <f t="shared" si="104"/>
        <v>47766</v>
      </c>
      <c r="L297" s="143">
        <f>IF(t&lt;Tvie,1-EXP((T0-t)*PertePVj)+'2029'!Pspv,1-EXP((T0-t)*PertePVj)+Pspv)</f>
        <v>4.3436342486815049E-2</v>
      </c>
      <c r="M297" s="836"/>
      <c r="N297" s="836"/>
      <c r="O297" s="48">
        <f>IF(t&lt;Tnet,'2029'!Resal+('2029'!Salim-'2029'!Resal)*(1-EXP(('2029'!Tnet-t)/('2029'!Tau_j))),Resal+(Salim-Resal)*(1-EXP((Tnet-t)/(Tau_j))))*Salcycl</f>
        <v>3.1748363962133798E-2</v>
      </c>
      <c r="P297" s="165">
        <f>(INDEX(Models!$BJ297:$BT297,,T297)*(1-R297)+INDEX(Models!$BJ297:$BT297,,T297+1)*R297-ERP_i)*Q297*Ramure*Pc/MaxiM</f>
        <v>1.6235943978787324E-4</v>
      </c>
      <c r="Q297" s="301">
        <f t="shared" si="105"/>
        <v>0.5</v>
      </c>
      <c r="R297" s="173">
        <f t="shared" si="106"/>
        <v>0.96568735438288178</v>
      </c>
      <c r="S297" s="802">
        <f t="shared" si="107"/>
        <v>0</v>
      </c>
      <c r="T297" s="172">
        <f t="shared" si="108"/>
        <v>6</v>
      </c>
      <c r="U297" s="247">
        <f t="shared" si="109"/>
        <v>0.96568735438288178</v>
      </c>
      <c r="V297" s="378">
        <f t="shared" si="110"/>
        <v>34.718892843206532</v>
      </c>
      <c r="W297" s="397">
        <f t="shared" si="111"/>
        <v>29.987786559421252</v>
      </c>
      <c r="X297" s="153">
        <f t="shared" si="112"/>
        <v>47766</v>
      </c>
      <c r="Y297" s="380">
        <f t="shared" si="113"/>
        <v>29.190991362908083</v>
      </c>
      <c r="Z297" s="380">
        <f t="shared" si="114"/>
        <v>30.516517258032799</v>
      </c>
      <c r="AA297" s="381">
        <f t="shared" si="115"/>
        <v>32.35094908900215</v>
      </c>
      <c r="AB297" s="193">
        <f t="shared" si="116"/>
        <v>47766</v>
      </c>
      <c r="AC297" s="119">
        <f>IF(OR(t&lt;Tnet,NoTnet),'2029'!Resal_s+('2029'!Salim-'2029'!Resal_s)*(1-EXP(('2029'!Tnet_s-t)/'2029'!Tau_j)),Resal_s+(Salim-Resal_s)*(1-EXP((Tnet_s-t)/Tau_j)))*Salcycl</f>
        <v>5.6704111706972329E-2</v>
      </c>
      <c r="AD297" s="227">
        <f>(INDEX(Models!$BJ297:$BT297,,AH297)*(1-AF297)+INDEX(Models!$BJ297:$BT297,,AH297+1)*AF297-ERP_i)*AE297*Ramure*Pc/MaxiM</f>
        <v>1.1775886856112087E-3</v>
      </c>
      <c r="AE297" s="301">
        <f t="shared" si="117"/>
        <v>0.5</v>
      </c>
      <c r="AF297" s="173">
        <f t="shared" si="118"/>
        <v>0.49067492075685859</v>
      </c>
      <c r="AG297" s="802">
        <f t="shared" si="124"/>
        <v>4</v>
      </c>
      <c r="AH297" s="172">
        <f t="shared" si="119"/>
        <v>10</v>
      </c>
      <c r="AI297" s="221">
        <f t="shared" si="120"/>
        <v>4.4906749207568586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47767</v>
      </c>
      <c r="B298" s="406">
        <f>'2029'!Wh/'2029'!Env_an*'2030'!Env_an</f>
        <v>24.118016017808188</v>
      </c>
      <c r="C298" s="832"/>
      <c r="D298" s="388">
        <f t="shared" si="102"/>
        <v>25.213529688567807</v>
      </c>
      <c r="E298" s="380">
        <f t="shared" si="125"/>
        <v>26.041090220834601</v>
      </c>
      <c r="F298" s="380">
        <f t="shared" si="103"/>
        <v>26.043656214528877</v>
      </c>
      <c r="G298" s="110">
        <f t="shared" si="126"/>
        <v>0.70231273690831175</v>
      </c>
      <c r="H298" s="409" t="b">
        <f>Wh_hp&gt;='2029'!Maxi_hp</f>
        <v>0</v>
      </c>
      <c r="I298" s="385">
        <f>IF(H298,Wh_hp,'2029'!Maxi_hp)</f>
        <v>26.044636008714082</v>
      </c>
      <c r="J298" s="85">
        <f>IF(H298,An,'2029'!An_max)</f>
        <v>2029</v>
      </c>
      <c r="K298" s="193">
        <f t="shared" si="104"/>
        <v>47767</v>
      </c>
      <c r="L298" s="143">
        <f>IF(t&lt;Tvie,1-EXP((T0-t)*PertePVj)+'2029'!Pspv,1-EXP((T0-t)*PertePVj)+Pspv)</f>
        <v>4.3449437040000816E-2</v>
      </c>
      <c r="M298" s="836"/>
      <c r="N298" s="836"/>
      <c r="O298" s="48">
        <f>IF(t&lt;Tnet,'2029'!Resal+('2029'!Salim-'2029'!Resal)*(1-EXP(('2029'!Tnet-t)/('2029'!Tau_j))),Resal+(Salim-Resal)*(1-EXP((Tnet-t)/(Tau_j))))*Salcycl</f>
        <v>3.1779027884350552E-2</v>
      </c>
      <c r="P298" s="165">
        <f>(INDEX(Models!$BJ298:$BT298,,T298)*(1-R298)+INDEX(Models!$BJ298:$BT298,,T298+1)*R298-ERP_i)*Q298*Ramure*Pc/MaxiM</f>
        <v>1.7140860790732158E-4</v>
      </c>
      <c r="Q298" s="301">
        <f t="shared" si="105"/>
        <v>0.5</v>
      </c>
      <c r="R298" s="173">
        <f t="shared" si="106"/>
        <v>0.96581965535624814</v>
      </c>
      <c r="S298" s="802">
        <f t="shared" si="107"/>
        <v>0</v>
      </c>
      <c r="T298" s="172">
        <f t="shared" si="108"/>
        <v>6</v>
      </c>
      <c r="U298" s="247">
        <f t="shared" si="109"/>
        <v>0.96581965535624814</v>
      </c>
      <c r="V298" s="378">
        <f t="shared" si="110"/>
        <v>34.338346449575276</v>
      </c>
      <c r="W298" s="397">
        <f t="shared" si="111"/>
        <v>24.118016017808188</v>
      </c>
      <c r="X298" s="153">
        <f t="shared" si="112"/>
        <v>47767</v>
      </c>
      <c r="Y298" s="380">
        <f t="shared" si="113"/>
        <v>23.481915919910602</v>
      </c>
      <c r="Z298" s="380">
        <f t="shared" si="114"/>
        <v>24.54853598877926</v>
      </c>
      <c r="AA298" s="381">
        <f t="shared" si="115"/>
        <v>26.024085062094887</v>
      </c>
      <c r="AB298" s="193">
        <f t="shared" si="116"/>
        <v>47767</v>
      </c>
      <c r="AC298" s="119">
        <f>IF(OR(t&lt;Tnet,NoTnet),'2029'!Resal_s+('2029'!Salim-'2029'!Resal_s)*(1-EXP(('2029'!Tnet_s-t)/'2029'!Tau_j)),Resal_s+(Salim-Resal_s)*(1-EXP((Tnet_s-t)/Tau_j)))*Salcycl</f>
        <v>5.6699364061978987E-2</v>
      </c>
      <c r="AD298" s="227">
        <f>(INDEX(Models!$BJ298:$BT298,,AH298)*(1-AF298)+INDEX(Models!$BJ298:$BT298,,AH298+1)*AF298-ERP_i)*AE298*Ramure*Pc/MaxiM</f>
        <v>1.3073547301910983E-3</v>
      </c>
      <c r="AE298" s="301">
        <f t="shared" si="117"/>
        <v>0.5</v>
      </c>
      <c r="AF298" s="173">
        <f t="shared" si="118"/>
        <v>0.49080722173022551</v>
      </c>
      <c r="AG298" s="802">
        <f t="shared" si="124"/>
        <v>4</v>
      </c>
      <c r="AH298" s="172">
        <f t="shared" si="119"/>
        <v>10</v>
      </c>
      <c r="AI298" s="221">
        <f t="shared" si="120"/>
        <v>4.4908072217302255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47768</v>
      </c>
      <c r="B299" s="406">
        <f>'2029'!Wh/'2029'!Env_an*'2030'!Env_an</f>
        <v>24.026100565073744</v>
      </c>
      <c r="C299" s="832"/>
      <c r="D299" s="388">
        <f t="shared" si="102"/>
        <v>25.117782997657802</v>
      </c>
      <c r="E299" s="380">
        <f t="shared" si="125"/>
        <v>25.943008264913292</v>
      </c>
      <c r="F299" s="380">
        <f t="shared" si="103"/>
        <v>25.945725495162481</v>
      </c>
      <c r="G299" s="110">
        <f t="shared" si="126"/>
        <v>0.70744806383391856</v>
      </c>
      <c r="H299" s="409" t="b">
        <f>Wh_hp&gt;='2029'!Maxi_hp</f>
        <v>0</v>
      </c>
      <c r="I299" s="385">
        <f>IF(H299,Wh_hp,'2029'!Maxi_hp)</f>
        <v>25.946732021539848</v>
      </c>
      <c r="J299" s="85">
        <f>IF(H299,An,'2029'!An_max)</f>
        <v>2029</v>
      </c>
      <c r="K299" s="193">
        <f t="shared" si="104"/>
        <v>47768</v>
      </c>
      <c r="L299" s="143">
        <f>IF(t&lt;Tvie,1-EXP((T0-t)*PertePVj)+'2029'!Pspv,1-EXP((T0-t)*PertePVj)+Pspv)</f>
        <v>4.3462531413933192E-2</v>
      </c>
      <c r="M299" s="836"/>
      <c r="N299" s="836"/>
      <c r="O299" s="48">
        <f>IF(t&lt;Tnet,'2029'!Resal+('2029'!Salim-'2029'!Resal)*(1-EXP(('2029'!Tnet-t)/('2029'!Tau_j))),Resal+(Salim-Resal)*(1-EXP((Tnet-t)/(Tau_j))))*Salcycl</f>
        <v>3.180915870776517E-2</v>
      </c>
      <c r="P299" s="165">
        <f>(INDEX(Models!$BJ299:$BT299,,T299)*(1-R299)+INDEX(Models!$BJ299:$BT299,,T299+1)*R299-ERP_i)*Q299*Ramure*Pc/MaxiM</f>
        <v>1.7989939904518935E-4</v>
      </c>
      <c r="Q299" s="301">
        <f t="shared" si="105"/>
        <v>0.5</v>
      </c>
      <c r="R299" s="173">
        <f t="shared" si="106"/>
        <v>0.96594669569114955</v>
      </c>
      <c r="S299" s="802">
        <f t="shared" si="107"/>
        <v>0</v>
      </c>
      <c r="T299" s="172">
        <f t="shared" si="108"/>
        <v>6</v>
      </c>
      <c r="U299" s="247">
        <f t="shared" si="109"/>
        <v>0.96594669569114955</v>
      </c>
      <c r="V299" s="378">
        <f t="shared" si="110"/>
        <v>33.959092569198425</v>
      </c>
      <c r="W299" s="397">
        <f t="shared" si="111"/>
        <v>24.026100565073744</v>
      </c>
      <c r="X299" s="153">
        <f t="shared" si="112"/>
        <v>47768</v>
      </c>
      <c r="Y299" s="380">
        <f t="shared" si="113"/>
        <v>23.391196539357985</v>
      </c>
      <c r="Z299" s="380">
        <f t="shared" si="114"/>
        <v>24.454030613076089</v>
      </c>
      <c r="AA299" s="381">
        <f t="shared" si="115"/>
        <v>25.92374576700503</v>
      </c>
      <c r="AB299" s="193">
        <f t="shared" si="116"/>
        <v>47768</v>
      </c>
      <c r="AC299" s="119">
        <f>IF(OR(t&lt;Tnet,NoTnet),'2029'!Resal_s+('2029'!Salim-'2029'!Resal_s)*(1-EXP(('2029'!Tnet_s-t)/'2029'!Tau_j)),Resal_s+(Salim-Resal_s)*(1-EXP((Tnet_s-t)/Tau_j)))*Salcycl</f>
        <v>5.6693780564672572E-2</v>
      </c>
      <c r="AD299" s="227">
        <f>(INDEX(Models!$BJ299:$BT299,,AH299)*(1-AF299)+INDEX(Models!$BJ299:$BT299,,AH299+1)*AF299-ERP_i)*AE299*Ramure*Pc/MaxiM</f>
        <v>1.4552097261111951E-3</v>
      </c>
      <c r="AE299" s="301">
        <f t="shared" si="117"/>
        <v>0.5</v>
      </c>
      <c r="AF299" s="173">
        <f t="shared" si="118"/>
        <v>0.49093426206512625</v>
      </c>
      <c r="AG299" s="802">
        <f t="shared" si="124"/>
        <v>4</v>
      </c>
      <c r="AH299" s="172">
        <f t="shared" si="119"/>
        <v>10</v>
      </c>
      <c r="AI299" s="221">
        <f t="shared" si="120"/>
        <v>4.4909342620651262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47769</v>
      </c>
      <c r="B300" s="406">
        <f>'2029'!Wh/'2029'!Env_an*'2030'!Env_an</f>
        <v>21.763627446772595</v>
      </c>
      <c r="C300" s="832"/>
      <c r="D300" s="388">
        <f t="shared" si="102"/>
        <v>22.75282055475094</v>
      </c>
      <c r="E300" s="380">
        <f t="shared" si="125"/>
        <v>23.501065336672141</v>
      </c>
      <c r="F300" s="380">
        <f t="shared" si="103"/>
        <v>23.503260386470792</v>
      </c>
      <c r="G300" s="110">
        <f t="shared" si="126"/>
        <v>0.64802197100896153</v>
      </c>
      <c r="H300" s="409" t="b">
        <f>Wh_hp&gt;='2029'!Maxi_hp</f>
        <v>0</v>
      </c>
      <c r="I300" s="385">
        <f>IF(H300,Wh_hp,'2029'!Maxi_hp)</f>
        <v>23.504405346147131</v>
      </c>
      <c r="J300" s="85">
        <f>IF(H300,An,'2029'!An_max)</f>
        <v>2029</v>
      </c>
      <c r="K300" s="193">
        <f t="shared" si="104"/>
        <v>47769</v>
      </c>
      <c r="L300" s="143">
        <f>IF(t&lt;Tvie,1-EXP((T0-t)*PertePVj)+'2029'!Pspv,1-EXP((T0-t)*PertePVj)+Pspv)</f>
        <v>4.3475625608614621E-2</v>
      </c>
      <c r="M300" s="836"/>
      <c r="N300" s="836"/>
      <c r="O300" s="48">
        <f>IF(t&lt;Tnet,'2029'!Resal+('2029'!Salim-'2029'!Resal)*(1-EXP(('2029'!Tnet-t)/('2029'!Tau_j))),Resal+(Salim-Resal)*(1-EXP((Tnet-t)/(Tau_j))))*Salcycl</f>
        <v>3.1838760124359378E-2</v>
      </c>
      <c r="P300" s="165">
        <f>(INDEX(Models!$BJ300:$BT300,,T300)*(1-R300)+INDEX(Models!$BJ300:$BT300,,T300+1)*R300-ERP_i)*Q300*Ramure*Pc/MaxiM</f>
        <v>1.8781543476214274E-4</v>
      </c>
      <c r="Q300" s="301">
        <f t="shared" si="105"/>
        <v>0.5</v>
      </c>
      <c r="R300" s="173">
        <f t="shared" si="106"/>
        <v>0.9660686820207437</v>
      </c>
      <c r="S300" s="802">
        <f t="shared" si="107"/>
        <v>0</v>
      </c>
      <c r="T300" s="172">
        <f t="shared" si="108"/>
        <v>6</v>
      </c>
      <c r="U300" s="247">
        <f t="shared" si="109"/>
        <v>0.9660686820207437</v>
      </c>
      <c r="V300" s="378">
        <f t="shared" si="110"/>
        <v>33.581534674410911</v>
      </c>
      <c r="W300" s="397">
        <f t="shared" si="111"/>
        <v>21.763627446772595</v>
      </c>
      <c r="X300" s="153">
        <f t="shared" si="112"/>
        <v>47769</v>
      </c>
      <c r="Y300" s="380">
        <f t="shared" si="113"/>
        <v>21.189928679197987</v>
      </c>
      <c r="Z300" s="380">
        <f t="shared" si="114"/>
        <v>22.153046222873989</v>
      </c>
      <c r="AA300" s="381">
        <f t="shared" si="115"/>
        <v>23.484309995782606</v>
      </c>
      <c r="AB300" s="193">
        <f t="shared" si="116"/>
        <v>47769</v>
      </c>
      <c r="AC300" s="119">
        <f>IF(OR(t&lt;Tnet,NoTnet),'2029'!Resal_s+('2029'!Salim-'2029'!Resal_s)*(1-EXP(('2029'!Tnet_s-t)/'2029'!Tau_j)),Resal_s+(Salim-Resal_s)*(1-EXP((Tnet_s-t)/Tau_j)))*Salcycl</f>
        <v>5.6687370127020464E-2</v>
      </c>
      <c r="AD300" s="227">
        <f>(INDEX(Models!$BJ300:$BT300,,AH300)*(1-AF300)+INDEX(Models!$BJ300:$BT300,,AH300+1)*AF300-ERP_i)*AE300*Ramure*Pc/MaxiM</f>
        <v>1.6214556354038172E-3</v>
      </c>
      <c r="AE300" s="301">
        <f t="shared" si="117"/>
        <v>0.5</v>
      </c>
      <c r="AF300" s="173">
        <f t="shared" si="118"/>
        <v>0.49105624839472117</v>
      </c>
      <c r="AG300" s="802">
        <f t="shared" si="124"/>
        <v>4</v>
      </c>
      <c r="AH300" s="172">
        <f t="shared" si="119"/>
        <v>10</v>
      </c>
      <c r="AI300" s="221">
        <f t="shared" si="120"/>
        <v>4.4910562483947212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47770</v>
      </c>
      <c r="B301" s="406">
        <f>'2029'!Wh/'2029'!Env_an*'2030'!Env_an</f>
        <v>14.62868415202818</v>
      </c>
      <c r="C301" s="832"/>
      <c r="D301" s="388">
        <f t="shared" si="102"/>
        <v>15.293791565404685</v>
      </c>
      <c r="E301" s="380">
        <f t="shared" si="125"/>
        <v>15.797214633107989</v>
      </c>
      <c r="F301" s="380">
        <f t="shared" si="103"/>
        <v>15.797833579776588</v>
      </c>
      <c r="G301" s="110">
        <f t="shared" si="126"/>
        <v>0.44047368070265164</v>
      </c>
      <c r="H301" s="409" t="b">
        <f>Wh_hp&gt;='2029'!Maxi_hp</f>
        <v>0</v>
      </c>
      <c r="I301" s="385">
        <f>IF(H301,Wh_hp,'2029'!Maxi_hp)</f>
        <v>15.799104375148877</v>
      </c>
      <c r="J301" s="85">
        <f>IF(H301,An,'2029'!An_max)</f>
        <v>2029</v>
      </c>
      <c r="K301" s="193">
        <f t="shared" si="104"/>
        <v>47770</v>
      </c>
      <c r="L301" s="143">
        <f>IF(t&lt;Tvie,1-EXP((T0-t)*PertePVj)+'2029'!Pspv,1-EXP((T0-t)*PertePVj)+Pspv)</f>
        <v>4.3488719624047434E-2</v>
      </c>
      <c r="M301" s="836"/>
      <c r="N301" s="836"/>
      <c r="O301" s="48">
        <f>IF(t&lt;Tnet,'2029'!Resal+('2029'!Salim-'2029'!Resal)*(1-EXP(('2029'!Tnet-t)/('2029'!Tau_j))),Resal+(Salim-Resal)*(1-EXP((Tnet-t)/(Tau_j))))*Salcycl</f>
        <v>3.1867837425480237E-2</v>
      </c>
      <c r="P301" s="165">
        <f>(INDEX(Models!$BJ301:$BT301,,T301)*(1-R301)+INDEX(Models!$BJ301:$BT301,,T301+1)*R301-ERP_i)*Q301*Ramure*Pc/MaxiM</f>
        <v>1.9514004385713993E-4</v>
      </c>
      <c r="Q301" s="301">
        <f t="shared" si="105"/>
        <v>0.5</v>
      </c>
      <c r="R301" s="173">
        <f t="shared" si="106"/>
        <v>0.96618581306152451</v>
      </c>
      <c r="S301" s="802">
        <f t="shared" si="107"/>
        <v>0</v>
      </c>
      <c r="T301" s="172">
        <f t="shared" si="108"/>
        <v>6</v>
      </c>
      <c r="U301" s="247">
        <f t="shared" si="109"/>
        <v>0.96618581306152451</v>
      </c>
      <c r="V301" s="378">
        <f t="shared" si="110"/>
        <v>33.2060760986977</v>
      </c>
      <c r="W301" s="397">
        <f t="shared" si="111"/>
        <v>14.62868415202818</v>
      </c>
      <c r="X301" s="153">
        <f t="shared" si="112"/>
        <v>47770</v>
      </c>
      <c r="Y301" s="380">
        <f t="shared" si="113"/>
        <v>14.249153653143098</v>
      </c>
      <c r="Z301" s="380">
        <f t="shared" si="114"/>
        <v>14.897005341685601</v>
      </c>
      <c r="AA301" s="381">
        <f t="shared" si="115"/>
        <v>15.792104082407969</v>
      </c>
      <c r="AB301" s="193">
        <f t="shared" si="116"/>
        <v>47770</v>
      </c>
      <c r="AC301" s="119">
        <f>IF(OR(t&lt;Tnet,NoTnet),'2029'!Resal_s+('2029'!Salim-'2029'!Resal_s)*(1-EXP(('2029'!Tnet_s-t)/'2029'!Tau_j)),Resal_s+(Salim-Resal_s)*(1-EXP((Tnet_s-t)/Tau_j)))*Salcycl</f>
        <v>5.6680144460261317E-2</v>
      </c>
      <c r="AD301" s="227">
        <f>(INDEX(Models!$BJ301:$BT301,,AH301)*(1-AF301)+INDEX(Models!$BJ301:$BT301,,AH301+1)*AF301-ERP_i)*AE301*Ramure*Pc/MaxiM</f>
        <v>1.8063823985424588E-3</v>
      </c>
      <c r="AE301" s="301">
        <f t="shared" si="117"/>
        <v>0.5</v>
      </c>
      <c r="AF301" s="173">
        <f t="shared" si="118"/>
        <v>0.49117337943550154</v>
      </c>
      <c r="AG301" s="802">
        <f t="shared" si="124"/>
        <v>4</v>
      </c>
      <c r="AH301" s="172">
        <f t="shared" si="119"/>
        <v>10</v>
      </c>
      <c r="AI301" s="221">
        <f t="shared" si="120"/>
        <v>4.4911733794355015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47771</v>
      </c>
      <c r="B302" s="406">
        <f>'2029'!Wh/'2029'!Env_an*'2030'!Env_an</f>
        <v>32.605840384994565</v>
      </c>
      <c r="C302" s="832"/>
      <c r="D302" s="388">
        <f t="shared" si="102"/>
        <v>34.088763412034965</v>
      </c>
      <c r="E302" s="380">
        <f t="shared" si="125"/>
        <v>35.211896046730018</v>
      </c>
      <c r="F302" s="380">
        <f t="shared" si="103"/>
        <v>35.21893490971344</v>
      </c>
      <c r="G302" s="110">
        <f t="shared" si="126"/>
        <v>0.99307574926356879</v>
      </c>
      <c r="H302" s="409" t="b">
        <f>Wh_hp&gt;='2029'!Maxi_hp</f>
        <v>0</v>
      </c>
      <c r="I302" s="385">
        <f>IF(H302,Wh_hp,'2029'!Maxi_hp)</f>
        <v>35.218971163029543</v>
      </c>
      <c r="J302" s="85">
        <f>IF(H302,An,'2029'!An_max)</f>
        <v>2029</v>
      </c>
      <c r="K302" s="193">
        <f t="shared" si="104"/>
        <v>47771</v>
      </c>
      <c r="L302" s="143">
        <f>IF(t&lt;Tvie,1-EXP((T0-t)*PertePVj)+'2029'!Pspv,1-EXP((T0-t)*PertePVj)+Pspv)</f>
        <v>4.3501813460234184E-2</v>
      </c>
      <c r="M302" s="836"/>
      <c r="N302" s="836"/>
      <c r="O302" s="48">
        <f>IF(t&lt;Tnet,'2029'!Resal+('2029'!Salim-'2029'!Resal)*(1-EXP(('2029'!Tnet-t)/('2029'!Tau_j))),Resal+(Salim-Resal)*(1-EXP((Tnet-t)/(Tau_j))))*Salcycl</f>
        <v>3.1896397547139708E-2</v>
      </c>
      <c r="P302" s="165">
        <f>(INDEX(Models!$BJ302:$BT302,,T302)*(1-R302)+INDEX(Models!$BJ302:$BT302,,T302+1)*R302-ERP_i)*Q302*Ramure*Pc/MaxiM</f>
        <v>2.0185633697753679E-4</v>
      </c>
      <c r="Q302" s="301">
        <f t="shared" si="105"/>
        <v>0.5</v>
      </c>
      <c r="R302" s="173">
        <f t="shared" si="106"/>
        <v>0.96629827990089057</v>
      </c>
      <c r="S302" s="802">
        <f t="shared" si="107"/>
        <v>0</v>
      </c>
      <c r="T302" s="172">
        <f t="shared" si="108"/>
        <v>6</v>
      </c>
      <c r="U302" s="247">
        <f t="shared" si="109"/>
        <v>0.96629827990089057</v>
      </c>
      <c r="V302" s="378">
        <f t="shared" si="110"/>
        <v>32.833120041524644</v>
      </c>
      <c r="W302" s="397">
        <f t="shared" si="111"/>
        <v>32.605840384994565</v>
      </c>
      <c r="X302" s="153">
        <f t="shared" si="112"/>
        <v>47771</v>
      </c>
      <c r="Y302" s="380">
        <f t="shared" si="113"/>
        <v>31.714492405688226</v>
      </c>
      <c r="Z302" s="380">
        <f t="shared" si="114"/>
        <v>33.156876669488298</v>
      </c>
      <c r="AA302" s="381">
        <f t="shared" si="115"/>
        <v>35.148835635123199</v>
      </c>
      <c r="AB302" s="193">
        <f t="shared" si="116"/>
        <v>47771</v>
      </c>
      <c r="AC302" s="119">
        <f>IF(OR(t&lt;Tnet,NoTnet),'2029'!Resal_s+('2029'!Salim-'2029'!Resal_s)*(1-EXP(('2029'!Tnet_s-t)/'2029'!Tau_j)),Resal_s+(Salim-Resal_s)*(1-EXP((Tnet_s-t)/Tau_j)))*Salcycl</f>
        <v>5.6672118141074118E-2</v>
      </c>
      <c r="AD302" s="227">
        <f>(INDEX(Models!$BJ302:$BT302,,AH302)*(1-AF302)+INDEX(Models!$BJ302:$BT302,,AH302+1)*AF302-ERP_i)*AE302*Ramure*Pc/MaxiM</f>
        <v>2.010265411743188E-3</v>
      </c>
      <c r="AE302" s="301">
        <f t="shared" si="117"/>
        <v>0.5</v>
      </c>
      <c r="AF302" s="173">
        <f t="shared" si="118"/>
        <v>0.49128584627486749</v>
      </c>
      <c r="AG302" s="802">
        <f t="shared" si="124"/>
        <v>4</v>
      </c>
      <c r="AH302" s="172">
        <f t="shared" si="119"/>
        <v>10</v>
      </c>
      <c r="AI302" s="221">
        <f t="shared" si="120"/>
        <v>4.4912858462748675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47772</v>
      </c>
      <c r="B303" s="406">
        <f>'2029'!Wh/'2029'!Env_an*'2030'!Env_an</f>
        <v>28.584288412433231</v>
      </c>
      <c r="C303" s="832"/>
      <c r="D303" s="388">
        <f t="shared" si="102"/>
        <v>29.884719192309507</v>
      </c>
      <c r="E303" s="380">
        <f t="shared" si="125"/>
        <v>30.870234419958386</v>
      </c>
      <c r="F303" s="380">
        <f t="shared" si="103"/>
        <v>30.875559685454544</v>
      </c>
      <c r="G303" s="110">
        <f t="shared" si="126"/>
        <v>0.88053112942829947</v>
      </c>
      <c r="H303" s="409" t="b">
        <f>Wh_hp&gt;='2029'!Maxi_hp</f>
        <v>0</v>
      </c>
      <c r="I303" s="385">
        <f>IF(H303,Wh_hp,'2029'!Maxi_hp)</f>
        <v>30.876124473865527</v>
      </c>
      <c r="J303" s="85">
        <f>IF(H303,An,'2029'!An_max)</f>
        <v>2029</v>
      </c>
      <c r="K303" s="193">
        <f t="shared" si="104"/>
        <v>47772</v>
      </c>
      <c r="L303" s="143">
        <f>IF(t&lt;Tvie,1-EXP((T0-t)*PertePVj)+'2029'!Pspv,1-EXP((T0-t)*PertePVj)+Pspv)</f>
        <v>4.3514907117177315E-2</v>
      </c>
      <c r="M303" s="836"/>
      <c r="N303" s="836"/>
      <c r="O303" s="48">
        <f>IF(t&lt;Tnet,'2029'!Resal+('2029'!Salim-'2029'!Resal)*(1-EXP(('2029'!Tnet-t)/('2029'!Tau_j))),Resal+(Salim-Resal)*(1-EXP((Tnet-t)/(Tau_j))))*Salcycl</f>
        <v>3.1924449106603386E-2</v>
      </c>
      <c r="P303" s="165">
        <f>(INDEX(Models!$BJ303:$BT303,,T303)*(1-R303)+INDEX(Models!$BJ303:$BT303,,T303+1)*R303-ERP_i)*Q303*Ramure*Pc/MaxiM</f>
        <v>2.0795797304931152E-4</v>
      </c>
      <c r="Q303" s="301">
        <f t="shared" si="105"/>
        <v>0.5</v>
      </c>
      <c r="R303" s="173">
        <f t="shared" si="106"/>
        <v>0.96640626627552351</v>
      </c>
      <c r="S303" s="802">
        <f t="shared" si="107"/>
        <v>0</v>
      </c>
      <c r="T303" s="172">
        <f t="shared" si="108"/>
        <v>6</v>
      </c>
      <c r="U303" s="247">
        <f t="shared" si="109"/>
        <v>0.96640626627552351</v>
      </c>
      <c r="V303" s="378">
        <f t="shared" si="110"/>
        <v>32.461400886058591</v>
      </c>
      <c r="W303" s="397">
        <f t="shared" si="111"/>
        <v>28.584288412433231</v>
      </c>
      <c r="X303" s="153">
        <f t="shared" si="112"/>
        <v>47772</v>
      </c>
      <c r="Y303" s="380">
        <f t="shared" si="113"/>
        <v>27.807025975326074</v>
      </c>
      <c r="Z303" s="380">
        <f t="shared" si="114"/>
        <v>29.072095511197542</v>
      </c>
      <c r="AA303" s="381">
        <f t="shared" si="115"/>
        <v>30.818366102097716</v>
      </c>
      <c r="AB303" s="193">
        <f t="shared" si="116"/>
        <v>47772</v>
      </c>
      <c r="AC303" s="119">
        <f>IF(OR(t&lt;Tnet,NoTnet),'2029'!Resal_s+('2029'!Salim-'2029'!Resal_s)*(1-EXP(('2029'!Tnet_s-t)/'2029'!Tau_j)),Resal_s+(Salim-Resal_s)*(1-EXP((Tnet_s-t)/Tau_j)))*Salcycl</f>
        <v>5.666330866195108E-2</v>
      </c>
      <c r="AD303" s="227">
        <f>(INDEX(Models!$BJ303:$BT303,,AH303)*(1-AF303)+INDEX(Models!$BJ303:$BT303,,AH303+1)*AF303-ERP_i)*AE303*Ramure*Pc/MaxiM</f>
        <v>2.2334776876193905E-3</v>
      </c>
      <c r="AE303" s="301">
        <f t="shared" si="117"/>
        <v>0.5</v>
      </c>
      <c r="AF303" s="173">
        <f t="shared" si="118"/>
        <v>0.49139383264950087</v>
      </c>
      <c r="AG303" s="802">
        <f t="shared" si="124"/>
        <v>4</v>
      </c>
      <c r="AH303" s="172">
        <f t="shared" si="119"/>
        <v>10</v>
      </c>
      <c r="AI303" s="221">
        <f t="shared" si="120"/>
        <v>4.4913938326495009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47773</v>
      </c>
      <c r="B304" s="406">
        <f>'2029'!Wh/'2029'!Env_an*'2030'!Env_an</f>
        <v>16.109887642818485</v>
      </c>
      <c r="C304" s="832"/>
      <c r="D304" s="388">
        <f t="shared" si="102"/>
        <v>16.843031111039377</v>
      </c>
      <c r="E304" s="380">
        <f t="shared" si="125"/>
        <v>17.398962813118427</v>
      </c>
      <c r="F304" s="380">
        <f t="shared" si="103"/>
        <v>17.400067580372525</v>
      </c>
      <c r="G304" s="110">
        <f t="shared" si="126"/>
        <v>0.50195324926937401</v>
      </c>
      <c r="H304" s="409" t="b">
        <f>Wh_hp&gt;='2029'!Maxi_hp</f>
        <v>0</v>
      </c>
      <c r="I304" s="385">
        <f>IF(H304,Wh_hp,'2029'!Maxi_hp)</f>
        <v>17.401471097209534</v>
      </c>
      <c r="J304" s="85">
        <f>IF(H304,An,'2029'!An_max)</f>
        <v>2029</v>
      </c>
      <c r="K304" s="193">
        <f t="shared" si="104"/>
        <v>47773</v>
      </c>
      <c r="L304" s="143">
        <f>IF(t&lt;Tvie,1-EXP((T0-t)*PertePVj)+'2029'!Pspv,1-EXP((T0-t)*PertePVj)+Pspv)</f>
        <v>4.3528000594879268E-2</v>
      </c>
      <c r="M304" s="836"/>
      <c r="N304" s="836"/>
      <c r="O304" s="48">
        <f>IF(t&lt;Tnet,'2029'!Resal+('2029'!Salim-'2029'!Resal)*(1-EXP(('2029'!Tnet-t)/('2029'!Tau_j))),Resal+(Salim-Resal)*(1-EXP((Tnet-t)/(Tau_j))))*Salcycl</f>
        <v>3.1952002429701719E-2</v>
      </c>
      <c r="P304" s="165">
        <f>(INDEX(Models!$BJ304:$BT304,,T304)*(1-R304)+INDEX(Models!$BJ304:$BT304,,T304+1)*R304-ERP_i)*Q304*Ramure*Pc/MaxiM</f>
        <v>2.1998755958495597E-4</v>
      </c>
      <c r="Q304" s="301">
        <f t="shared" si="105"/>
        <v>0.5</v>
      </c>
      <c r="R304" s="173">
        <f t="shared" si="106"/>
        <v>0.96650994884076835</v>
      </c>
      <c r="S304" s="802">
        <f t="shared" si="107"/>
        <v>0</v>
      </c>
      <c r="T304" s="172">
        <f t="shared" si="108"/>
        <v>6</v>
      </c>
      <c r="U304" s="247">
        <f t="shared" si="109"/>
        <v>0.96650994884076835</v>
      </c>
      <c r="V304" s="378">
        <f t="shared" si="110"/>
        <v>32.089375618752356</v>
      </c>
      <c r="W304" s="397">
        <f t="shared" si="111"/>
        <v>16.109887642818485</v>
      </c>
      <c r="X304" s="153">
        <f t="shared" si="112"/>
        <v>47773</v>
      </c>
      <c r="Y304" s="380">
        <f t="shared" si="113"/>
        <v>15.688342167770831</v>
      </c>
      <c r="Z304" s="380">
        <f t="shared" si="114"/>
        <v>16.402301559824249</v>
      </c>
      <c r="AA304" s="381">
        <f t="shared" si="115"/>
        <v>17.387360499375848</v>
      </c>
      <c r="AB304" s="193">
        <f t="shared" si="116"/>
        <v>47773</v>
      </c>
      <c r="AC304" s="119">
        <f>IF(OR(t&lt;Tnet,NoTnet),'2029'!Resal_s+('2029'!Salim-'2029'!Resal_s)*(1-EXP(('2029'!Tnet_s-t)/'2029'!Tau_j)),Resal_s+(Salim-Resal_s)*(1-EXP((Tnet_s-t)/Tau_j)))*Salcycl</f>
        <v>5.6653736464885626E-2</v>
      </c>
      <c r="AD304" s="227">
        <f>(INDEX(Models!$BJ304:$BT304,,AH304)*(1-AF304)+INDEX(Models!$BJ304:$BT304,,AH304+1)*AF304-ERP_i)*AE304*Ramure*Pc/MaxiM</f>
        <v>2.5303064763480296E-3</v>
      </c>
      <c r="AE304" s="301">
        <f t="shared" si="117"/>
        <v>0.5</v>
      </c>
      <c r="AF304" s="173">
        <f t="shared" si="118"/>
        <v>0.49149751521474538</v>
      </c>
      <c r="AG304" s="802">
        <f t="shared" si="124"/>
        <v>4</v>
      </c>
      <c r="AH304" s="172">
        <f t="shared" si="119"/>
        <v>10</v>
      </c>
      <c r="AI304" s="221">
        <f t="shared" si="120"/>
        <v>4.4914975152147454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47774</v>
      </c>
      <c r="B305" s="406">
        <f>'2029'!Wh/'2029'!Env_an*'2030'!Env_an</f>
        <v>28.739682427917121</v>
      </c>
      <c r="C305" s="832"/>
      <c r="D305" s="388">
        <f t="shared" si="102"/>
        <v>30.048005454729154</v>
      </c>
      <c r="E305" s="380">
        <f t="shared" si="125"/>
        <v>31.040656777256686</v>
      </c>
      <c r="F305" s="380">
        <f t="shared" si="103"/>
        <v>31.047067652797637</v>
      </c>
      <c r="G305" s="110">
        <f t="shared" si="126"/>
        <v>0.90609005148743871</v>
      </c>
      <c r="H305" s="409" t="b">
        <f>Wh_hp&gt;='2029'!Maxi_hp</f>
        <v>0</v>
      </c>
      <c r="I305" s="385">
        <f>IF(H305,Wh_hp,'2029'!Maxi_hp)</f>
        <v>31.047579483972747</v>
      </c>
      <c r="J305" s="85">
        <f>IF(H305,An,'2029'!An_max)</f>
        <v>2029</v>
      </c>
      <c r="K305" s="193">
        <f t="shared" si="104"/>
        <v>47774</v>
      </c>
      <c r="L305" s="143">
        <f>IF(t&lt;Tvie,1-EXP((T0-t)*PertePVj)+'2029'!Pspv,1-EXP((T0-t)*PertePVj)+Pspv)</f>
        <v>4.3541093893342597E-2</v>
      </c>
      <c r="M305" s="836"/>
      <c r="N305" s="836"/>
      <c r="O305" s="48">
        <f>IF(t&lt;Tnet,'2029'!Resal+('2029'!Salim-'2029'!Resal)*(1-EXP(('2029'!Tnet-t)/('2029'!Tau_j))),Resal+(Salim-Resal)*(1-EXP((Tnet-t)/(Tau_j))))*Salcycl</f>
        <v>3.1979069568361843E-2</v>
      </c>
      <c r="P305" s="165">
        <f>(INDEX(Models!$BJ305:$BT305,,T305)*(1-R305)+INDEX(Models!$BJ305:$BT305,,T305+1)*R305-ERP_i)*Q305*Ramure*Pc/MaxiM</f>
        <v>2.3847171370491394E-4</v>
      </c>
      <c r="Q305" s="301">
        <f t="shared" si="105"/>
        <v>0.5</v>
      </c>
      <c r="R305" s="173">
        <f t="shared" si="106"/>
        <v>0.96660949743120883</v>
      </c>
      <c r="S305" s="802">
        <f t="shared" si="107"/>
        <v>0</v>
      </c>
      <c r="T305" s="172">
        <f t="shared" si="108"/>
        <v>6</v>
      </c>
      <c r="U305" s="247">
        <f t="shared" si="109"/>
        <v>0.96660949743120883</v>
      </c>
      <c r="V305" s="378">
        <f t="shared" si="110"/>
        <v>31.717336500531459</v>
      </c>
      <c r="W305" s="397">
        <f t="shared" si="111"/>
        <v>28.739682427917121</v>
      </c>
      <c r="X305" s="153">
        <f t="shared" si="112"/>
        <v>47774</v>
      </c>
      <c r="Y305" s="380">
        <f t="shared" si="113"/>
        <v>27.942744930432028</v>
      </c>
      <c r="Z305" s="380">
        <f t="shared" si="114"/>
        <v>29.21478879231227</v>
      </c>
      <c r="AA305" s="381">
        <f t="shared" si="115"/>
        <v>30.968977760079145</v>
      </c>
      <c r="AB305" s="193">
        <f t="shared" si="116"/>
        <v>47774</v>
      </c>
      <c r="AC305" s="119">
        <f>IF(OR(t&lt;Tnet,NoTnet),'2029'!Resal_s+('2029'!Salim-'2029'!Resal_s)*(1-EXP(('2029'!Tnet_s-t)/'2029'!Tau_j)),Resal_s+(Salim-Resal_s)*(1-EXP((Tnet_s-t)/Tau_j)))*Salcycl</f>
        <v>5.6643424957608123E-2</v>
      </c>
      <c r="AD305" s="227">
        <f>(INDEX(Models!$BJ305:$BT305,,AH305)*(1-AF305)+INDEX(Models!$BJ305:$BT305,,AH305+1)*AF305-ERP_i)*AE305*Ramure*Pc/MaxiM</f>
        <v>2.9047874070653548E-3</v>
      </c>
      <c r="AE305" s="301">
        <f t="shared" si="117"/>
        <v>0.5</v>
      </c>
      <c r="AF305" s="173">
        <f t="shared" si="118"/>
        <v>0.49159706380518564</v>
      </c>
      <c r="AG305" s="802">
        <f t="shared" si="124"/>
        <v>4</v>
      </c>
      <c r="AH305" s="172">
        <f t="shared" si="119"/>
        <v>10</v>
      </c>
      <c r="AI305" s="221">
        <f t="shared" si="120"/>
        <v>4.4915970638051856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47775</v>
      </c>
      <c r="B306" s="406">
        <f>'2029'!Wh/'2029'!Env_an*'2030'!Env_an</f>
        <v>16.054936608210706</v>
      </c>
      <c r="C306" s="832"/>
      <c r="D306" s="388">
        <f t="shared" si="102"/>
        <v>16.786038885008637</v>
      </c>
      <c r="E306" s="380">
        <f t="shared" si="125"/>
        <v>17.34105073353286</v>
      </c>
      <c r="F306" s="380">
        <f t="shared" si="103"/>
        <v>17.342436115690031</v>
      </c>
      <c r="G306" s="110">
        <f t="shared" si="126"/>
        <v>0.51209718320605124</v>
      </c>
      <c r="H306" s="409" t="b">
        <f>Wh_hp&gt;='2029'!Maxi_hp</f>
        <v>0</v>
      </c>
      <c r="I306" s="385">
        <f>IF(H306,Wh_hp,'2029'!Maxi_hp)</f>
        <v>17.344077822210085</v>
      </c>
      <c r="J306" s="85">
        <f>IF(H306,An,'2029'!An_max)</f>
        <v>2029</v>
      </c>
      <c r="K306" s="193">
        <f t="shared" si="104"/>
        <v>47775</v>
      </c>
      <c r="L306" s="143">
        <f>IF(t&lt;Tvie,1-EXP((T0-t)*PertePVj)+'2029'!Pspv,1-EXP((T0-t)*PertePVj)+Pspv)</f>
        <v>4.3554187012569523E-2</v>
      </c>
      <c r="M306" s="836"/>
      <c r="N306" s="836"/>
      <c r="O306" s="48">
        <f>IF(t&lt;Tnet,'2029'!Resal+('2029'!Salim-'2029'!Resal)*(1-EXP(('2029'!Tnet-t)/('2029'!Tau_j))),Resal+(Salim-Resal)*(1-EXP((Tnet-t)/(Tau_j))))*Salcycl</f>
        <v>3.200566430792931E-2</v>
      </c>
      <c r="P306" s="165">
        <f>(INDEX(Models!$BJ306:$BT306,,T306)*(1-R306)+INDEX(Models!$BJ306:$BT306,,T306+1)*R306-ERP_i)*Q306*Ramure*Pc/MaxiM</f>
        <v>2.6352999269526635E-4</v>
      </c>
      <c r="Q306" s="301">
        <f t="shared" si="105"/>
        <v>0.5</v>
      </c>
      <c r="R306" s="173">
        <f t="shared" si="106"/>
        <v>0.96670507531263894</v>
      </c>
      <c r="S306" s="802">
        <f t="shared" si="107"/>
        <v>0</v>
      </c>
      <c r="T306" s="172">
        <f t="shared" si="108"/>
        <v>6</v>
      </c>
      <c r="U306" s="247">
        <f t="shared" si="109"/>
        <v>0.96670507531263894</v>
      </c>
      <c r="V306" s="378">
        <f t="shared" si="110"/>
        <v>31.345589222847963</v>
      </c>
      <c r="W306" s="397">
        <f t="shared" si="111"/>
        <v>16.054936608210706</v>
      </c>
      <c r="X306" s="153">
        <f t="shared" si="112"/>
        <v>47775</v>
      </c>
      <c r="Y306" s="380">
        <f t="shared" si="113"/>
        <v>15.631803600572978</v>
      </c>
      <c r="Z306" s="380">
        <f t="shared" si="114"/>
        <v>16.343637442196016</v>
      </c>
      <c r="AA306" s="381">
        <f t="shared" si="115"/>
        <v>17.324781401292224</v>
      </c>
      <c r="AB306" s="193">
        <f t="shared" si="116"/>
        <v>47775</v>
      </c>
      <c r="AC306" s="119">
        <f>IF(OR(t&lt;Tnet,NoTnet),'2029'!Resal_s+('2029'!Salim-'2029'!Resal_s)*(1-EXP(('2029'!Tnet_s-t)/'2029'!Tau_j)),Resal_s+(Salim-Resal_s)*(1-EXP((Tnet_s-t)/Tau_j)))*Salcycl</f>
        <v>5.6632400511733225E-2</v>
      </c>
      <c r="AD306" s="227">
        <f>(INDEX(Models!$BJ306:$BT306,,AH306)*(1-AF306)+INDEX(Models!$BJ306:$BT306,,AH306+1)*AF306-ERP_i)*AE306*Ramure*Pc/MaxiM</f>
        <v>3.3583128902072109E-3</v>
      </c>
      <c r="AE306" s="301">
        <f t="shared" si="117"/>
        <v>0.5</v>
      </c>
      <c r="AF306" s="173">
        <f t="shared" si="118"/>
        <v>0.49169264168661631</v>
      </c>
      <c r="AG306" s="802">
        <f t="shared" si="124"/>
        <v>4</v>
      </c>
      <c r="AH306" s="172">
        <f t="shared" si="119"/>
        <v>10</v>
      </c>
      <c r="AI306" s="221">
        <f t="shared" si="120"/>
        <v>4.4916926416866163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47776</v>
      </c>
      <c r="B307" s="406">
        <f>'2029'!Wh/'2029'!Env_an*'2030'!Env_an</f>
        <v>8.446119948211356</v>
      </c>
      <c r="C307" s="832"/>
      <c r="D307" s="388">
        <f t="shared" si="102"/>
        <v>8.8308563385330903</v>
      </c>
      <c r="E307" s="380">
        <f t="shared" si="125"/>
        <v>9.1230851987438832</v>
      </c>
      <c r="F307" s="380">
        <f t="shared" si="103"/>
        <v>9.1230851987438832</v>
      </c>
      <c r="G307" s="110">
        <f t="shared" si="126"/>
        <v>0.27259979809716178</v>
      </c>
      <c r="H307" s="409" t="b">
        <f>Wh_hp&gt;='2029'!Maxi_hp</f>
        <v>0</v>
      </c>
      <c r="I307" s="385">
        <f>IF(H307,Wh_hp,'2029'!Maxi_hp)</f>
        <v>9.1244739912078945</v>
      </c>
      <c r="J307" s="85">
        <f>IF(H307,An,'2029'!An_max)</f>
        <v>2029</v>
      </c>
      <c r="K307" s="193">
        <f t="shared" si="104"/>
        <v>47776</v>
      </c>
      <c r="L307" s="143">
        <f>IF(t&lt;Tvie,1-EXP((T0-t)*PertePVj)+'2029'!Pspv,1-EXP((T0-t)*PertePVj)+Pspv)</f>
        <v>4.356727995256271E-2</v>
      </c>
      <c r="M307" s="836"/>
      <c r="N307" s="836"/>
      <c r="O307" s="48">
        <f>IF(t&lt;Tnet,'2029'!Resal+('2029'!Salim-'2029'!Resal)*(1-EXP(('2029'!Tnet-t)/('2029'!Tau_j))),Resal+(Salim-Resal)*(1-EXP((Tnet-t)/(Tau_j))))*Salcycl</f>
        <v>3.2031802163924601E-2</v>
      </c>
      <c r="P307" s="165">
        <f>(INDEX(Models!$BJ307:$BT307,,T307)*(1-R307)+INDEX(Models!$BJ307:$BT307,,T307+1)*R307-ERP_i)*Q307*Ramure*Pc/MaxiM</f>
        <v>2.9528174578436655E-4</v>
      </c>
      <c r="Q307" s="301">
        <f t="shared" si="105"/>
        <v>0.5</v>
      </c>
      <c r="R307" s="173">
        <f t="shared" si="106"/>
        <v>0.96679683942563233</v>
      </c>
      <c r="S307" s="802">
        <f t="shared" si="107"/>
        <v>0</v>
      </c>
      <c r="T307" s="172">
        <f t="shared" si="108"/>
        <v>6</v>
      </c>
      <c r="U307" s="247">
        <f t="shared" si="109"/>
        <v>0.96679683942563233</v>
      </c>
      <c r="V307" s="378">
        <f t="shared" si="110"/>
        <v>30.974439534098302</v>
      </c>
      <c r="W307" s="397">
        <f t="shared" si="111"/>
        <v>8.446119948211356</v>
      </c>
      <c r="X307" s="153">
        <f t="shared" si="112"/>
        <v>47776</v>
      </c>
      <c r="Y307" s="380">
        <f t="shared" si="113"/>
        <v>8.2315667044694418</v>
      </c>
      <c r="Z307" s="380">
        <f t="shared" si="114"/>
        <v>8.6065297975807145</v>
      </c>
      <c r="AA307" s="381">
        <f t="shared" si="115"/>
        <v>9.1230851987438832</v>
      </c>
      <c r="AB307" s="193">
        <f t="shared" si="116"/>
        <v>47776</v>
      </c>
      <c r="AC307" s="119">
        <f>IF(OR(t&lt;Tnet,NoTnet),'2029'!Resal_s+('2029'!Salim-'2029'!Resal_s)*(1-EXP(('2029'!Tnet_s-t)/'2029'!Tau_j)),Resal_s+(Salim-Resal_s)*(1-EXP((Tnet_s-t)/Tau_j)))*Salcycl</f>
        <v>5.6620692442320993E-2</v>
      </c>
      <c r="AD307" s="227">
        <f>(INDEX(Models!$BJ307:$BT307,,AH307)*(1-AF307)+INDEX(Models!$BJ307:$BT307,,AH307+1)*AF307-ERP_i)*AE307*Ramure*Pc/MaxiM</f>
        <v>3.8922701551726015E-3</v>
      </c>
      <c r="AE307" s="301">
        <f t="shared" si="117"/>
        <v>0.5</v>
      </c>
      <c r="AF307" s="173">
        <f t="shared" si="118"/>
        <v>0.49178440579960991</v>
      </c>
      <c r="AG307" s="802">
        <f t="shared" si="124"/>
        <v>4</v>
      </c>
      <c r="AH307" s="172">
        <f t="shared" si="119"/>
        <v>10</v>
      </c>
      <c r="AI307" s="221">
        <f t="shared" si="120"/>
        <v>4.4917844057996099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47777</v>
      </c>
      <c r="B308" s="406">
        <f>'2029'!Wh/'2029'!Env_an*'2030'!Env_an</f>
        <v>16.33051551947857</v>
      </c>
      <c r="C308" s="832"/>
      <c r="D308" s="388">
        <f t="shared" si="102"/>
        <v>17.074634452878801</v>
      </c>
      <c r="E308" s="380">
        <f t="shared" si="125"/>
        <v>17.640133023779491</v>
      </c>
      <c r="F308" s="380">
        <f t="shared" si="103"/>
        <v>17.64209854657469</v>
      </c>
      <c r="G308" s="110">
        <f t="shared" si="126"/>
        <v>0.53348515074408032</v>
      </c>
      <c r="H308" s="409" t="b">
        <f>Wh_hp&gt;='2029'!Maxi_hp</f>
        <v>0</v>
      </c>
      <c r="I308" s="385">
        <f>IF(H308,Wh_hp,'2029'!Maxi_hp)</f>
        <v>17.644122151694521</v>
      </c>
      <c r="J308" s="85">
        <f>IF(H308,An,'2029'!An_max)</f>
        <v>2029</v>
      </c>
      <c r="K308" s="193">
        <f t="shared" si="104"/>
        <v>47777</v>
      </c>
      <c r="L308" s="143">
        <f>IF(t&lt;Tvie,1-EXP((T0-t)*PertePVj)+'2029'!Pspv,1-EXP((T0-t)*PertePVj)+Pspv)</f>
        <v>4.35803727133246E-2</v>
      </c>
      <c r="M308" s="836"/>
      <c r="N308" s="836"/>
      <c r="O308" s="48">
        <f>IF(t&lt;Tnet,'2029'!Resal+('2029'!Salim-'2029'!Resal)*(1-EXP(('2029'!Tnet-t)/('2029'!Tau_j))),Resal+(Salim-Resal)*(1-EXP((Tnet-t)/(Tau_j))))*Salcycl</f>
        <v>3.2057500367960817E-2</v>
      </c>
      <c r="P308" s="165">
        <f>(INDEX(Models!$BJ308:$BT308,,T308)*(1-R308)+INDEX(Models!$BJ308:$BT308,,T308+1)*R308-ERP_i)*Q308*Ramure*Pc/MaxiM</f>
        <v>3.3384576700325045E-4</v>
      </c>
      <c r="Q308" s="301">
        <f t="shared" si="105"/>
        <v>0.5</v>
      </c>
      <c r="R308" s="173">
        <f t="shared" si="106"/>
        <v>0.96688494062091768</v>
      </c>
      <c r="S308" s="802">
        <f t="shared" si="107"/>
        <v>0</v>
      </c>
      <c r="T308" s="172">
        <f t="shared" si="108"/>
        <v>6</v>
      </c>
      <c r="U308" s="247">
        <f t="shared" si="109"/>
        <v>0.96688494062091768</v>
      </c>
      <c r="V308" s="378">
        <f t="shared" si="110"/>
        <v>30.604193231210225</v>
      </c>
      <c r="W308" s="397">
        <f t="shared" si="111"/>
        <v>16.33051551947857</v>
      </c>
      <c r="X308" s="153">
        <f t="shared" si="112"/>
        <v>47777</v>
      </c>
      <c r="Y308" s="380">
        <f t="shared" si="113"/>
        <v>15.89413529916315</v>
      </c>
      <c r="Z308" s="380">
        <f t="shared" si="114"/>
        <v>16.618370060278021</v>
      </c>
      <c r="AA308" s="381">
        <f t="shared" si="115"/>
        <v>17.615557398943128</v>
      </c>
      <c r="AB308" s="193">
        <f t="shared" si="116"/>
        <v>47777</v>
      </c>
      <c r="AC308" s="119">
        <f>IF(OR(t&lt;Tnet,NoTnet),'2029'!Resal_s+('2029'!Salim-'2029'!Resal_s)*(1-EXP(('2029'!Tnet_s-t)/'2029'!Tau_j)),Resal_s+(Salim-Resal_s)*(1-EXP((Tnet_s-t)/Tau_j)))*Salcycl</f>
        <v>5.660833296850052E-2</v>
      </c>
      <c r="AD308" s="227">
        <f>(INDEX(Models!$BJ308:$BT308,,AH308)*(1-AF308)+INDEX(Models!$BJ308:$BT308,,AH308+1)*AF308-ERP_i)*AE308*Ramure*Pc/MaxiM</f>
        <v>4.5080371542148634E-3</v>
      </c>
      <c r="AE308" s="301">
        <f t="shared" si="117"/>
        <v>0.5</v>
      </c>
      <c r="AF308" s="173">
        <f t="shared" si="118"/>
        <v>0.49187250699489482</v>
      </c>
      <c r="AG308" s="802">
        <f t="shared" si="124"/>
        <v>4</v>
      </c>
      <c r="AH308" s="172">
        <f t="shared" si="119"/>
        <v>10</v>
      </c>
      <c r="AI308" s="221">
        <f t="shared" si="120"/>
        <v>4.4918725069948948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47778</v>
      </c>
      <c r="B309" s="406">
        <f>'2029'!Wh/'2029'!Env_an*'2030'!Env_an</f>
        <v>27.994458795913044</v>
      </c>
      <c r="C309" s="832"/>
      <c r="D309" s="388">
        <f t="shared" si="102"/>
        <v>29.27045955885659</v>
      </c>
      <c r="E309" s="380">
        <f t="shared" si="125"/>
        <v>30.240664065896443</v>
      </c>
      <c r="F309" s="380">
        <f t="shared" si="103"/>
        <v>30.250924551016777</v>
      </c>
      <c r="G309" s="110">
        <f t="shared" si="126"/>
        <v>0.92585379726341677</v>
      </c>
      <c r="H309" s="409" t="b">
        <f>Wh_hp&gt;='2029'!Maxi_hp</f>
        <v>0</v>
      </c>
      <c r="I309" s="385">
        <f>IF(H309,Wh_hp,'2029'!Maxi_hp)</f>
        <v>30.25155125083587</v>
      </c>
      <c r="J309" s="85">
        <f>IF(H309,An,'2029'!An_max)</f>
        <v>2029</v>
      </c>
      <c r="K309" s="193">
        <f t="shared" si="104"/>
        <v>47778</v>
      </c>
      <c r="L309" s="143">
        <f>IF(t&lt;Tvie,1-EXP((T0-t)*PertePVj)+'2029'!Pspv,1-EXP((T0-t)*PertePVj)+Pspv)</f>
        <v>4.3593465294857525E-2</v>
      </c>
      <c r="M309" s="836"/>
      <c r="N309" s="836"/>
      <c r="O309" s="48">
        <f>IF(t&lt;Tnet,'2029'!Resal+('2029'!Salim-'2029'!Resal)*(1-EXP(('2029'!Tnet-t)/('2029'!Tau_j))),Resal+(Salim-Resal)*(1-EXP((Tnet-t)/(Tau_j))))*Salcycl</f>
        <v>3.2082777842633074E-2</v>
      </c>
      <c r="P309" s="165">
        <f>(INDEX(Models!$BJ309:$BT309,,T309)*(1-R309)+INDEX(Models!$BJ309:$BT309,,T309+1)*R309-ERP_i)*Q309*Ramure*Pc/MaxiM</f>
        <v>3.7933994750705954E-4</v>
      </c>
      <c r="Q309" s="301">
        <f t="shared" si="105"/>
        <v>0.5</v>
      </c>
      <c r="R309" s="173">
        <f t="shared" si="106"/>
        <v>0.96696952388676349</v>
      </c>
      <c r="S309" s="802">
        <f t="shared" si="107"/>
        <v>0</v>
      </c>
      <c r="T309" s="172">
        <f t="shared" si="108"/>
        <v>6</v>
      </c>
      <c r="U309" s="247">
        <f t="shared" si="109"/>
        <v>0.96696952388676349</v>
      </c>
      <c r="V309" s="378">
        <f t="shared" si="110"/>
        <v>30.235156154761167</v>
      </c>
      <c r="W309" s="397">
        <f t="shared" si="111"/>
        <v>27.994458795913044</v>
      </c>
      <c r="X309" s="153">
        <f t="shared" si="112"/>
        <v>47778</v>
      </c>
      <c r="Y309" s="380">
        <f t="shared" si="113"/>
        <v>27.167678136698598</v>
      </c>
      <c r="Z309" s="380">
        <f t="shared" si="114"/>
        <v>28.405993843480292</v>
      </c>
      <c r="AA309" s="381">
        <f t="shared" si="115"/>
        <v>30.110084849503991</v>
      </c>
      <c r="AB309" s="193">
        <f t="shared" si="116"/>
        <v>47778</v>
      </c>
      <c r="AC309" s="119">
        <f>IF(OR(t&lt;Tnet,NoTnet),'2029'!Resal_s+('2029'!Salim-'2029'!Resal_s)*(1-EXP(('2029'!Tnet_s-t)/'2029'!Tau_j)),Resal_s+(Salim-Resal_s)*(1-EXP((Tnet_s-t)/Tau_j)))*Salcycl</f>
        <v>5.6595357154955721E-2</v>
      </c>
      <c r="AD309" s="227">
        <f>(INDEX(Models!$BJ309:$BT309,,AH309)*(1-AF309)+INDEX(Models!$BJ309:$BT309,,AH309+1)*AF309-ERP_i)*AE309*Ramure*Pc/MaxiM</f>
        <v>5.2069784568865192E-3</v>
      </c>
      <c r="AE309" s="301">
        <f t="shared" si="117"/>
        <v>0.5</v>
      </c>
      <c r="AF309" s="173">
        <f t="shared" si="118"/>
        <v>0.49195709026074042</v>
      </c>
      <c r="AG309" s="802">
        <f t="shared" si="124"/>
        <v>4</v>
      </c>
      <c r="AH309" s="172">
        <f t="shared" si="119"/>
        <v>10</v>
      </c>
      <c r="AI309" s="221">
        <f t="shared" si="120"/>
        <v>4.4919570902607404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47779</v>
      </c>
      <c r="B310" s="406">
        <f>'2029'!Wh/'2029'!Env_an*'2030'!Env_an</f>
        <v>18.253676587447977</v>
      </c>
      <c r="C310" s="832"/>
      <c r="D310" s="388">
        <f t="shared" si="102"/>
        <v>19.085949129362668</v>
      </c>
      <c r="E310" s="380">
        <f t="shared" si="125"/>
        <v>19.719082634775674</v>
      </c>
      <c r="F310" s="380">
        <f t="shared" si="103"/>
        <v>19.723010223775688</v>
      </c>
      <c r="G310" s="110">
        <f t="shared" si="126"/>
        <v>0.61101013913761715</v>
      </c>
      <c r="H310" s="409" t="b">
        <f>Wh_hp&gt;='2029'!Maxi_hp</f>
        <v>0</v>
      </c>
      <c r="I310" s="385">
        <f>IF(H310,Wh_hp,'2029'!Maxi_hp)</f>
        <v>19.725542277555711</v>
      </c>
      <c r="J310" s="85">
        <f>IF(H310,An,'2029'!An_max)</f>
        <v>2029</v>
      </c>
      <c r="K310" s="193">
        <f t="shared" si="104"/>
        <v>47779</v>
      </c>
      <c r="L310" s="143">
        <f>IF(t&lt;Tvie,1-EXP((T0-t)*PertePVj)+'2029'!Pspv,1-EXP((T0-t)*PertePVj)+Pspv)</f>
        <v>4.3606557697164039E-2</v>
      </c>
      <c r="M310" s="836"/>
      <c r="N310" s="836"/>
      <c r="O310" s="48">
        <f>IF(t&lt;Tnet,'2029'!Resal+('2029'!Salim-'2029'!Resal)*(1-EXP(('2029'!Tnet-t)/('2029'!Tau_j))),Resal+(Salim-Resal)*(1-EXP((Tnet-t)/(Tau_j))))*Salcycl</f>
        <v>3.2107655165278415E-2</v>
      </c>
      <c r="P310" s="165">
        <f>(INDEX(Models!$BJ310:$BT310,,T310)*(1-R310)+INDEX(Models!$BJ310:$BT310,,T310+1)*R310-ERP_i)*Q310*Ramure*Pc/MaxiM</f>
        <v>4.4798550646784984E-4</v>
      </c>
      <c r="Q310" s="301">
        <f t="shared" si="105"/>
        <v>0.5</v>
      </c>
      <c r="R310" s="173">
        <f t="shared" si="106"/>
        <v>0.96705072856858532</v>
      </c>
      <c r="S310" s="802">
        <f t="shared" si="107"/>
        <v>0</v>
      </c>
      <c r="T310" s="172">
        <f t="shared" si="108"/>
        <v>6</v>
      </c>
      <c r="U310" s="247">
        <f t="shared" si="109"/>
        <v>0.96705072856858532</v>
      </c>
      <c r="V310" s="378">
        <f t="shared" si="110"/>
        <v>29.867152966776725</v>
      </c>
      <c r="W310" s="397">
        <f t="shared" si="111"/>
        <v>18.253676587447977</v>
      </c>
      <c r="X310" s="153">
        <f t="shared" si="112"/>
        <v>47779</v>
      </c>
      <c r="Y310" s="380">
        <f t="shared" si="113"/>
        <v>17.748148655437511</v>
      </c>
      <c r="Z310" s="380">
        <f t="shared" si="114"/>
        <v>18.557371757697258</v>
      </c>
      <c r="AA310" s="381">
        <f t="shared" si="115"/>
        <v>19.67035596032337</v>
      </c>
      <c r="AB310" s="193">
        <f t="shared" si="116"/>
        <v>47779</v>
      </c>
      <c r="AC310" s="119">
        <f>IF(OR(t&lt;Tnet,NoTnet),'2029'!Resal_s+('2029'!Salim-'2029'!Resal_s)*(1-EXP(('2029'!Tnet_s-t)/'2029'!Tau_j)),Resal_s+(Salim-Resal_s)*(1-EXP((Tnet_s-t)/Tau_j)))*Salcycl</f>
        <v>5.6581802834228777E-2</v>
      </c>
      <c r="AD310" s="227">
        <f>(INDEX(Models!$BJ310:$BT310,,AH310)*(1-AF310)+INDEX(Models!$BJ310:$BT310,,AH310+1)*AF310-ERP_i)*AE310*Ramure*Pc/MaxiM</f>
        <v>6.0058083674978634E-3</v>
      </c>
      <c r="AE310" s="301">
        <f t="shared" si="117"/>
        <v>0.5</v>
      </c>
      <c r="AF310" s="173">
        <f t="shared" si="118"/>
        <v>0.49203829494256279</v>
      </c>
      <c r="AG310" s="802">
        <f t="shared" si="124"/>
        <v>4</v>
      </c>
      <c r="AH310" s="172">
        <f t="shared" si="119"/>
        <v>10</v>
      </c>
      <c r="AI310" s="221">
        <f t="shared" si="120"/>
        <v>4.4920382949425628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47780</v>
      </c>
      <c r="B311" s="406">
        <f>'2029'!Wh/'2029'!Env_an*'2030'!Env_an</f>
        <v>23.679582191843615</v>
      </c>
      <c r="C311" s="832"/>
      <c r="D311" s="388">
        <f t="shared" si="102"/>
        <v>24.759586695679129</v>
      </c>
      <c r="E311" s="380">
        <f t="shared" si="125"/>
        <v>25.581577909962697</v>
      </c>
      <c r="F311" s="380">
        <f t="shared" si="103"/>
        <v>25.591510779884597</v>
      </c>
      <c r="G311" s="110">
        <f t="shared" si="126"/>
        <v>0.80256203433597129</v>
      </c>
      <c r="H311" s="409" t="b">
        <f>Wh_hp&gt;='2029'!Maxi_hp</f>
        <v>0</v>
      </c>
      <c r="I311" s="385">
        <f>IF(H311,Wh_hp,'2029'!Maxi_hp)</f>
        <v>25.593522653413345</v>
      </c>
      <c r="J311" s="85">
        <f>IF(H311,An,'2029'!An_max)</f>
        <v>2029</v>
      </c>
      <c r="K311" s="193">
        <f t="shared" si="104"/>
        <v>47780</v>
      </c>
      <c r="L311" s="143">
        <f>IF(t&lt;Tvie,1-EXP((T0-t)*PertePVj)+'2029'!Pspv,1-EXP((T0-t)*PertePVj)+Pspv)</f>
        <v>4.3619649920246473E-2</v>
      </c>
      <c r="M311" s="836"/>
      <c r="N311" s="836"/>
      <c r="O311" s="48">
        <f>IF(t&lt;Tnet,'2029'!Resal+('2029'!Salim-'2029'!Resal)*(1-EXP(('2029'!Tnet-t)/('2029'!Tau_j))),Resal+(Salim-Resal)*(1-EXP((Tnet-t)/(Tau_j))))*Salcycl</f>
        <v>3.2132154520595271E-2</v>
      </c>
      <c r="P311" s="165">
        <f>(INDEX(Models!$BJ311:$BT311,,T311)*(1-R311)+INDEX(Models!$BJ311:$BT311,,T311+1)*R311-ERP_i)*Q311*Ramure*Pc/MaxiM</f>
        <v>5.4048230494774458E-4</v>
      </c>
      <c r="Q311" s="301">
        <f t="shared" si="105"/>
        <v>0.5</v>
      </c>
      <c r="R311" s="173">
        <f t="shared" si="106"/>
        <v>0.967128688580978</v>
      </c>
      <c r="S311" s="802">
        <f t="shared" si="107"/>
        <v>0</v>
      </c>
      <c r="T311" s="172">
        <f t="shared" si="108"/>
        <v>6</v>
      </c>
      <c r="U311" s="247">
        <f t="shared" si="109"/>
        <v>0.967128688580978</v>
      </c>
      <c r="V311" s="378">
        <f t="shared" si="110"/>
        <v>29.500489897740433</v>
      </c>
      <c r="W311" s="397">
        <f t="shared" si="111"/>
        <v>23.679582191843615</v>
      </c>
      <c r="X311" s="153">
        <f t="shared" si="112"/>
        <v>47780</v>
      </c>
      <c r="Y311" s="380">
        <f t="shared" si="113"/>
        <v>22.976534151101355</v>
      </c>
      <c r="Z311" s="380">
        <f t="shared" si="114"/>
        <v>24.024473264413388</v>
      </c>
      <c r="AA311" s="381">
        <f t="shared" si="115"/>
        <v>25.46496821451742</v>
      </c>
      <c r="AB311" s="193">
        <f t="shared" si="116"/>
        <v>47780</v>
      </c>
      <c r="AC311" s="119">
        <f>IF(OR(t&lt;Tnet,NoTnet),'2029'!Resal_s+('2029'!Salim-'2029'!Resal_s)*(1-EXP(('2029'!Tnet_s-t)/'2029'!Tau_j)),Resal_s+(Salim-Resal_s)*(1-EXP((Tnet_s-t)/Tau_j)))*Salcycl</f>
        <v>5.656771050995521E-2</v>
      </c>
      <c r="AD311" s="227">
        <f>(INDEX(Models!$BJ311:$BT311,,AH311)*(1-AF311)+INDEX(Models!$BJ311:$BT311,,AH311+1)*AF311-ERP_i)*AE311*Ramure*Pc/MaxiM</f>
        <v>6.885624994731606E-3</v>
      </c>
      <c r="AE311" s="301">
        <f t="shared" si="117"/>
        <v>0.5</v>
      </c>
      <c r="AF311" s="173">
        <f t="shared" si="118"/>
        <v>0.49211625495495515</v>
      </c>
      <c r="AG311" s="802">
        <f t="shared" si="124"/>
        <v>4</v>
      </c>
      <c r="AH311" s="172">
        <f t="shared" si="119"/>
        <v>10</v>
      </c>
      <c r="AI311" s="221">
        <f t="shared" si="120"/>
        <v>4.4921162549549551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47781</v>
      </c>
      <c r="B312" s="406">
        <f>'2029'!Wh/'2029'!Env_an*'2030'!Env_an</f>
        <v>19.901177337220343</v>
      </c>
      <c r="C312" s="832"/>
      <c r="D312" s="388">
        <f t="shared" si="102"/>
        <v>20.80913704437323</v>
      </c>
      <c r="E312" s="380">
        <f t="shared" si="125"/>
        <v>21.500514015517613</v>
      </c>
      <c r="F312" s="380">
        <f t="shared" si="103"/>
        <v>21.508249724956368</v>
      </c>
      <c r="G312" s="110">
        <f t="shared" si="126"/>
        <v>0.68285305562056908</v>
      </c>
      <c r="H312" s="409" t="b">
        <f>Wh_hp&gt;='2029'!Maxi_hp</f>
        <v>0</v>
      </c>
      <c r="I312" s="385">
        <f>IF(H312,Wh_hp,'2029'!Maxi_hp)</f>
        <v>21.511552777585699</v>
      </c>
      <c r="J312" s="85">
        <f>IF(H312,An,'2029'!An_max)</f>
        <v>2029</v>
      </c>
      <c r="K312" s="193">
        <f t="shared" si="104"/>
        <v>47781</v>
      </c>
      <c r="L312" s="143">
        <f>IF(t&lt;Tvie,1-EXP((T0-t)*PertePVj)+'2029'!Pspv,1-EXP((T0-t)*PertePVj)+Pspv)</f>
        <v>4.3632741964107491E-2</v>
      </c>
      <c r="M312" s="836"/>
      <c r="N312" s="836"/>
      <c r="O312" s="48">
        <f>IF(t&lt;Tnet,'2029'!Resal+('2029'!Salim-'2029'!Resal)*(1-EXP(('2029'!Tnet-t)/('2029'!Tau_j))),Resal+(Salim-Resal)*(1-EXP((Tnet-t)/(Tau_j))))*Salcycl</f>
        <v>3.2156299642203588E-2</v>
      </c>
      <c r="P312" s="165">
        <f>(INDEX(Models!$BJ312:$BT312,,T312)*(1-R312)+INDEX(Models!$BJ312:$BT312,,T312+1)*R312-ERP_i)*Q312*Ramure*Pc/MaxiM</f>
        <v>6.5724970285208041E-4</v>
      </c>
      <c r="Q312" s="301">
        <f t="shared" si="105"/>
        <v>0.5</v>
      </c>
      <c r="R312" s="173">
        <f t="shared" si="106"/>
        <v>0.96720353261238623</v>
      </c>
      <c r="S312" s="802">
        <f t="shared" si="107"/>
        <v>0</v>
      </c>
      <c r="T312" s="172">
        <f t="shared" si="108"/>
        <v>6</v>
      </c>
      <c r="U312" s="247">
        <f t="shared" si="109"/>
        <v>0.96720353261238623</v>
      </c>
      <c r="V312" s="378">
        <f t="shared" si="110"/>
        <v>29.135481939540782</v>
      </c>
      <c r="W312" s="397">
        <f t="shared" si="111"/>
        <v>19.901177337220343</v>
      </c>
      <c r="X312" s="153">
        <f t="shared" si="112"/>
        <v>47781</v>
      </c>
      <c r="Y312" s="380">
        <f t="shared" si="113"/>
        <v>19.32315989794397</v>
      </c>
      <c r="Z312" s="380">
        <f t="shared" si="114"/>
        <v>20.204748474585241</v>
      </c>
      <c r="AA312" s="381">
        <f t="shared" si="115"/>
        <v>21.415883577886909</v>
      </c>
      <c r="AB312" s="193">
        <f t="shared" si="116"/>
        <v>47781</v>
      </c>
      <c r="AC312" s="119">
        <f>IF(OR(t&lt;Tnet,NoTnet),'2029'!Resal_s+('2029'!Salim-'2029'!Resal_s)*(1-EXP(('2029'!Tnet_s-t)/'2029'!Tau_j)),Resal_s+(Salim-Resal_s)*(1-EXP((Tnet_s-t)/Tau_j)))*Salcycl</f>
        <v>5.6553123241304473E-2</v>
      </c>
      <c r="AD312" s="227">
        <f>(INDEX(Models!$BJ312:$BT312,,AH312)*(1-AF312)+INDEX(Models!$BJ312:$BT312,,AH312+1)*AF312-ERP_i)*AE312*Ramure*Pc/MaxiM</f>
        <v>7.8477123779814445E-3</v>
      </c>
      <c r="AE312" s="301">
        <f t="shared" si="117"/>
        <v>0.5</v>
      </c>
      <c r="AF312" s="173">
        <f t="shared" si="118"/>
        <v>0.49219109898636315</v>
      </c>
      <c r="AG312" s="802">
        <f t="shared" si="124"/>
        <v>4</v>
      </c>
      <c r="AH312" s="172">
        <f t="shared" si="119"/>
        <v>10</v>
      </c>
      <c r="AI312" s="221">
        <f t="shared" si="120"/>
        <v>4.4921910989863632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47782</v>
      </c>
      <c r="B313" s="406">
        <f>'2029'!Wh/'2029'!Env_an*'2030'!Env_an</f>
        <v>14.873307420175026</v>
      </c>
      <c r="C313" s="832"/>
      <c r="D313" s="388">
        <f t="shared" si="102"/>
        <v>15.552091417889761</v>
      </c>
      <c r="E313" s="380">
        <f t="shared" si="125"/>
        <v>16.069200138240912</v>
      </c>
      <c r="F313" s="380">
        <f t="shared" si="103"/>
        <v>16.073178510910736</v>
      </c>
      <c r="G313" s="110">
        <f t="shared" si="126"/>
        <v>0.51664388564065522</v>
      </c>
      <c r="H313" s="409" t="b">
        <f>Wh_hp&gt;='2029'!Maxi_hp</f>
        <v>0</v>
      </c>
      <c r="I313" s="385">
        <f>IF(H313,Wh_hp,'2029'!Maxi_hp)</f>
        <v>16.077750549030981</v>
      </c>
      <c r="J313" s="85">
        <f>IF(H313,An,'2029'!An_max)</f>
        <v>2029</v>
      </c>
      <c r="K313" s="193">
        <f t="shared" si="104"/>
        <v>47782</v>
      </c>
      <c r="L313" s="143">
        <f>IF(t&lt;Tvie,1-EXP((T0-t)*PertePVj)+'2029'!Pspv,1-EXP((T0-t)*PertePVj)+Pspv)</f>
        <v>4.3645833828749314E-2</v>
      </c>
      <c r="M313" s="836"/>
      <c r="N313" s="836"/>
      <c r="O313" s="48">
        <f>IF(t&lt;Tnet,'2029'!Resal+('2029'!Salim-'2029'!Resal)*(1-EXP(('2029'!Tnet-t)/('2029'!Tau_j))),Resal+(Salim-Resal)*(1-EXP((Tnet-t)/(Tau_j))))*Salcycl</f>
        <v>3.2180115743319054E-2</v>
      </c>
      <c r="P313" s="165">
        <f>(INDEX(Models!$BJ313:$BT313,,T313)*(1-R313)+INDEX(Models!$BJ313:$BT313,,T313+1)*R313-ERP_i)*Q313*Ramure*Pc/MaxiM</f>
        <v>7.9870124508889001E-4</v>
      </c>
      <c r="Q313" s="301">
        <f t="shared" si="105"/>
        <v>0.5</v>
      </c>
      <c r="R313" s="173">
        <f t="shared" si="106"/>
        <v>0.96727538432261573</v>
      </c>
      <c r="S313" s="802">
        <f t="shared" si="107"/>
        <v>0</v>
      </c>
      <c r="T313" s="172">
        <f t="shared" si="108"/>
        <v>6</v>
      </c>
      <c r="U313" s="247">
        <f t="shared" si="109"/>
        <v>0.96727538432261573</v>
      </c>
      <c r="V313" s="378">
        <f t="shared" si="110"/>
        <v>28.772444346364498</v>
      </c>
      <c r="W313" s="397">
        <f t="shared" si="111"/>
        <v>14.873307420175026</v>
      </c>
      <c r="X313" s="153">
        <f t="shared" si="112"/>
        <v>47782</v>
      </c>
      <c r="Y313" s="380">
        <f t="shared" si="113"/>
        <v>14.462598136246722</v>
      </c>
      <c r="Z313" s="380">
        <f t="shared" si="114"/>
        <v>15.122638294291656</v>
      </c>
      <c r="AA313" s="381">
        <f t="shared" si="115"/>
        <v>16.028880528240705</v>
      </c>
      <c r="AB313" s="193">
        <f t="shared" si="116"/>
        <v>47782</v>
      </c>
      <c r="AC313" s="119">
        <f>IF(OR(t&lt;Tnet,NoTnet),'2029'!Resal_s+('2029'!Salim-'2029'!Resal_s)*(1-EXP(('2029'!Tnet_s-t)/'2029'!Tau_j)),Resal_s+(Salim-Resal_s)*(1-EXP((Tnet_s-t)/Tau_j)))*Salcycl</f>
        <v>5.6538086509059324E-2</v>
      </c>
      <c r="AD313" s="227">
        <f>(INDEX(Models!$BJ313:$BT313,,AH313)*(1-AF313)+INDEX(Models!$BJ313:$BT313,,AH313+1)*AF313-ERP_i)*AE313*Ramure*Pc/MaxiM</f>
        <v>8.8932980516982264E-3</v>
      </c>
      <c r="AE313" s="301">
        <f t="shared" si="117"/>
        <v>0.5</v>
      </c>
      <c r="AF313" s="173">
        <f t="shared" si="118"/>
        <v>0.49226295069659276</v>
      </c>
      <c r="AG313" s="802">
        <f t="shared" si="124"/>
        <v>4</v>
      </c>
      <c r="AH313" s="172">
        <f t="shared" si="119"/>
        <v>10</v>
      </c>
      <c r="AI313" s="221">
        <f t="shared" si="120"/>
        <v>4.4922629506965928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47783</v>
      </c>
      <c r="B314" s="406">
        <f>'2029'!Wh/'2029'!Env_an*'2030'!Env_an</f>
        <v>14.064681184433573</v>
      </c>
      <c r="C314" s="832"/>
      <c r="D314" s="388">
        <f t="shared" si="102"/>
        <v>14.706762639046342</v>
      </c>
      <c r="E314" s="380">
        <f t="shared" si="125"/>
        <v>15.196133284203164</v>
      </c>
      <c r="F314" s="380">
        <f t="shared" si="103"/>
        <v>15.200221130477594</v>
      </c>
      <c r="G314" s="110">
        <f t="shared" si="126"/>
        <v>0.49468665508720561</v>
      </c>
      <c r="H314" s="409" t="b">
        <f>Wh_hp&gt;='2029'!Maxi_hp</f>
        <v>0</v>
      </c>
      <c r="I314" s="385">
        <f>IF(H314,Wh_hp,'2029'!Maxi_hp)</f>
        <v>15.205683863893487</v>
      </c>
      <c r="J314" s="85">
        <f>IF(H314,An,'2029'!An_max)</f>
        <v>2029</v>
      </c>
      <c r="K314" s="193">
        <f t="shared" si="104"/>
        <v>47783</v>
      </c>
      <c r="L314" s="143">
        <f>IF(t&lt;Tvie,1-EXP((T0-t)*PertePVj)+'2029'!Pspv,1-EXP((T0-t)*PertePVj)+Pspv)</f>
        <v>4.3658925514174607E-2</v>
      </c>
      <c r="M314" s="836"/>
      <c r="N314" s="836"/>
      <c r="O314" s="48">
        <f>IF(t&lt;Tnet,'2029'!Resal+('2029'!Salim-'2029'!Resal)*(1-EXP(('2029'!Tnet-t)/('2029'!Tau_j))),Resal+(Salim-Resal)*(1-EXP((Tnet-t)/(Tau_j))))*Salcycl</f>
        <v>3.2203629436807837E-2</v>
      </c>
      <c r="P314" s="165">
        <f>(INDEX(Models!$BJ314:$BT314,,T314)*(1-R314)+INDEX(Models!$BJ314:$BT314,,T314+1)*R314-ERP_i)*Q314*Ramure*Pc/MaxiM</f>
        <v>9.6524609234959478E-4</v>
      </c>
      <c r="Q314" s="301">
        <f t="shared" si="105"/>
        <v>0.5</v>
      </c>
      <c r="R314" s="173">
        <f t="shared" si="106"/>
        <v>0.96734436253339307</v>
      </c>
      <c r="S314" s="802">
        <f t="shared" si="107"/>
        <v>0</v>
      </c>
      <c r="T314" s="172">
        <f t="shared" si="108"/>
        <v>6</v>
      </c>
      <c r="U314" s="247">
        <f t="shared" si="109"/>
        <v>0.96734436253339307</v>
      </c>
      <c r="V314" s="378">
        <f t="shared" si="110"/>
        <v>28.411692509956509</v>
      </c>
      <c r="W314" s="397">
        <f t="shared" si="111"/>
        <v>14.064681184433573</v>
      </c>
      <c r="X314" s="153">
        <f t="shared" si="112"/>
        <v>47783</v>
      </c>
      <c r="Y314" s="380">
        <f t="shared" si="113"/>
        <v>13.676646706124044</v>
      </c>
      <c r="Z314" s="380">
        <f t="shared" si="114"/>
        <v>14.301013593374375</v>
      </c>
      <c r="AA314" s="381">
        <f t="shared" si="115"/>
        <v>15.157770945988055</v>
      </c>
      <c r="AB314" s="193">
        <f t="shared" si="116"/>
        <v>47783</v>
      </c>
      <c r="AC314" s="119">
        <f>IF(OR(t&lt;Tnet,NoTnet),'2029'!Resal_s+('2029'!Salim-'2029'!Resal_s)*(1-EXP(('2029'!Tnet_s-t)/'2029'!Tau_j)),Resal_s+(Salim-Resal_s)*(1-EXP((Tnet_s-t)/Tau_j)))*Salcycl</f>
        <v>5.6522648063925672E-2</v>
      </c>
      <c r="AD314" s="227">
        <f>(INDEX(Models!$BJ314:$BT314,,AH314)*(1-AF314)+INDEX(Models!$BJ314:$BT314,,AH314+1)*AF314-ERP_i)*AE314*Ramure*Pc/MaxiM</f>
        <v>1.0023585024305995E-2</v>
      </c>
      <c r="AE314" s="301">
        <f t="shared" si="117"/>
        <v>0.5</v>
      </c>
      <c r="AF314" s="173">
        <f t="shared" si="118"/>
        <v>0.49233192890736976</v>
      </c>
      <c r="AG314" s="802">
        <f t="shared" si="124"/>
        <v>4</v>
      </c>
      <c r="AH314" s="172">
        <f t="shared" si="119"/>
        <v>10</v>
      </c>
      <c r="AI314" s="221">
        <f t="shared" si="120"/>
        <v>4.4923319289073698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47784</v>
      </c>
      <c r="B315" s="406">
        <f>'2029'!Wh/'2029'!Env_an*'2030'!Env_an</f>
        <v>16.179496305374364</v>
      </c>
      <c r="C315" s="832"/>
      <c r="D315" s="388">
        <f t="shared" si="102"/>
        <v>16.918354992566663</v>
      </c>
      <c r="E315" s="380">
        <f t="shared" si="125"/>
        <v>17.481736622382304</v>
      </c>
      <c r="F315" s="380">
        <f t="shared" si="103"/>
        <v>17.489738516342126</v>
      </c>
      <c r="G315" s="110">
        <f t="shared" si="126"/>
        <v>0.5763325457806231</v>
      </c>
      <c r="H315" s="409" t="b">
        <f>Wh_hp&gt;='2029'!Maxi_hp</f>
        <v>0</v>
      </c>
      <c r="I315" s="385">
        <f>IF(H315,Wh_hp,'2029'!Maxi_hp)</f>
        <v>17.496056527248719</v>
      </c>
      <c r="J315" s="85">
        <f>IF(H315,An,'2029'!An_max)</f>
        <v>2029</v>
      </c>
      <c r="K315" s="193">
        <f t="shared" si="104"/>
        <v>47784</v>
      </c>
      <c r="L315" s="143">
        <f>IF(t&lt;Tvie,1-EXP((T0-t)*PertePVj)+'2029'!Pspv,1-EXP((T0-t)*PertePVj)+Pspv)</f>
        <v>4.367201702038559E-2</v>
      </c>
      <c r="M315" s="836"/>
      <c r="N315" s="836"/>
      <c r="O315" s="48">
        <f>IF(t&lt;Tnet,'2029'!Resal+('2029'!Salim-'2029'!Resal)*(1-EXP(('2029'!Tnet-t)/('2029'!Tau_j))),Resal+(Salim-Resal)*(1-EXP((Tnet-t)/(Tau_j))))*Salcycl</f>
        <v>3.2226868644979367E-2</v>
      </c>
      <c r="P315" s="165">
        <f>(INDEX(Models!$BJ315:$BT315,,T315)*(1-R315)+INDEX(Models!$BJ315:$BT315,,T315+1)*R315-ERP_i)*Q315*Ramure*Pc/MaxiM</f>
        <v>1.1572877760412312E-3</v>
      </c>
      <c r="Q315" s="301">
        <f t="shared" si="105"/>
        <v>0.5</v>
      </c>
      <c r="R315" s="173">
        <f t="shared" si="106"/>
        <v>0.96741058141217517</v>
      </c>
      <c r="S315" s="802">
        <f t="shared" si="107"/>
        <v>0</v>
      </c>
      <c r="T315" s="172">
        <f t="shared" si="108"/>
        <v>6</v>
      </c>
      <c r="U315" s="247">
        <f t="shared" si="109"/>
        <v>0.96741058141217517</v>
      </c>
      <c r="V315" s="378">
        <f t="shared" si="110"/>
        <v>28.053541901926916</v>
      </c>
      <c r="W315" s="397">
        <f t="shared" si="111"/>
        <v>16.179496305374364</v>
      </c>
      <c r="X315" s="153">
        <f t="shared" si="112"/>
        <v>47784</v>
      </c>
      <c r="Y315" s="380">
        <f t="shared" si="113"/>
        <v>15.710674930287823</v>
      </c>
      <c r="Z315" s="380">
        <f t="shared" si="114"/>
        <v>16.428124252244871</v>
      </c>
      <c r="AA315" s="381">
        <f t="shared" si="115"/>
        <v>17.412022956737097</v>
      </c>
      <c r="AB315" s="193">
        <f t="shared" si="116"/>
        <v>47784</v>
      </c>
      <c r="AC315" s="119">
        <f>IF(OR(t&lt;Tnet,NoTnet),'2029'!Resal_s+('2029'!Salim-'2029'!Resal_s)*(1-EXP(('2029'!Tnet_s-t)/'2029'!Tau_j)),Resal_s+(Salim-Resal_s)*(1-EXP((Tnet_s-t)/Tau_j)))*Salcycl</f>
        <v>5.6506857757819266E-2</v>
      </c>
      <c r="AD315" s="227">
        <f>(INDEX(Models!$BJ315:$BT315,,AH315)*(1-AF315)+INDEX(Models!$BJ315:$BT315,,AH315+1)*AF315-ERP_i)*AE315*Ramure*Pc/MaxiM</f>
        <v>1.1239747438629566E-2</v>
      </c>
      <c r="AE315" s="301">
        <f t="shared" si="117"/>
        <v>0.5</v>
      </c>
      <c r="AF315" s="173">
        <f t="shared" si="118"/>
        <v>0.49239814778615187</v>
      </c>
      <c r="AG315" s="802">
        <f t="shared" si="124"/>
        <v>4</v>
      </c>
      <c r="AH315" s="172">
        <f t="shared" si="119"/>
        <v>10</v>
      </c>
      <c r="AI315" s="221">
        <f t="shared" si="120"/>
        <v>4.4923981477861519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47785</v>
      </c>
      <c r="B316" s="406">
        <f>'2029'!Wh/'2029'!Env_an*'2030'!Env_an</f>
        <v>22.765536456766881</v>
      </c>
      <c r="C316" s="832"/>
      <c r="D316" s="388">
        <f t="shared" si="102"/>
        <v>23.805481495143908</v>
      </c>
      <c r="E316" s="380">
        <f t="shared" si="125"/>
        <v>24.598789059984195</v>
      </c>
      <c r="F316" s="380">
        <f t="shared" si="103"/>
        <v>24.624037266482926</v>
      </c>
      <c r="G316" s="110">
        <f t="shared" si="126"/>
        <v>0.82162286508322124</v>
      </c>
      <c r="H316" s="409" t="b">
        <f>Wh_hp&gt;='2029'!Maxi_hp</f>
        <v>0</v>
      </c>
      <c r="I316" s="385">
        <f>IF(H316,Wh_hp,'2029'!Maxi_hp)</f>
        <v>24.628486560246188</v>
      </c>
      <c r="J316" s="85">
        <f>IF(H316,An,'2029'!An_max)</f>
        <v>2029</v>
      </c>
      <c r="K316" s="193">
        <f t="shared" si="104"/>
        <v>47785</v>
      </c>
      <c r="L316" s="143">
        <f>IF(t&lt;Tvie,1-EXP((T0-t)*PertePVj)+'2029'!Pspv,1-EXP((T0-t)*PertePVj)+Pspv)</f>
        <v>4.3685108347384927E-2</v>
      </c>
      <c r="M316" s="836"/>
      <c r="N316" s="836"/>
      <c r="O316" s="48">
        <f>IF(t&lt;Tnet,'2029'!Resal+('2029'!Salim-'2029'!Resal)*(1-EXP(('2029'!Tnet-t)/('2029'!Tau_j))),Resal+(Salim-Resal)*(1-EXP((Tnet-t)/(Tau_j))))*Salcycl</f>
        <v>3.2249862499564727E-2</v>
      </c>
      <c r="P316" s="165">
        <f>(INDEX(Models!$BJ316:$BT316,,T316)*(1-R316)+INDEX(Models!$BJ316:$BT316,,T316+1)*R316-ERP_i)*Q316*Ramure*Pc/MaxiM</f>
        <v>1.3752228866123698E-3</v>
      </c>
      <c r="Q316" s="301">
        <f t="shared" si="105"/>
        <v>0.5</v>
      </c>
      <c r="R316" s="173">
        <f t="shared" si="106"/>
        <v>0.96747415064941134</v>
      </c>
      <c r="S316" s="802">
        <f t="shared" si="107"/>
        <v>0</v>
      </c>
      <c r="T316" s="172">
        <f t="shared" si="108"/>
        <v>6</v>
      </c>
      <c r="U316" s="247">
        <f t="shared" si="109"/>
        <v>0.96747415064941134</v>
      </c>
      <c r="V316" s="378">
        <f t="shared" si="110"/>
        <v>27.698308017273167</v>
      </c>
      <c r="W316" s="397">
        <f t="shared" si="111"/>
        <v>22.765536456766881</v>
      </c>
      <c r="X316" s="153">
        <f t="shared" si="112"/>
        <v>47785</v>
      </c>
      <c r="Y316" s="380">
        <f t="shared" si="113"/>
        <v>22.010290276516667</v>
      </c>
      <c r="Z316" s="380">
        <f t="shared" si="114"/>
        <v>23.015735160706864</v>
      </c>
      <c r="AA316" s="381">
        <f t="shared" si="115"/>
        <v>24.393757225123888</v>
      </c>
      <c r="AB316" s="193">
        <f t="shared" si="116"/>
        <v>47785</v>
      </c>
      <c r="AC316" s="119">
        <f>IF(OR(t&lt;Tnet,NoTnet),'2029'!Resal_s+('2029'!Salim-'2029'!Resal_s)*(1-EXP(('2029'!Tnet_s-t)/'2029'!Tau_j)),Resal_s+(Salim-Resal_s)*(1-EXP((Tnet_s-t)/Tau_j)))*Salcycl</f>
        <v>5.6490767359025681E-2</v>
      </c>
      <c r="AD316" s="227">
        <f>(INDEX(Models!$BJ316:$BT316,,AH316)*(1-AF316)+INDEX(Models!$BJ316:$BT316,,AH316+1)*AF316-ERP_i)*AE316*Ramure*Pc/MaxiM</f>
        <v>1.2542925899426441E-2</v>
      </c>
      <c r="AE316" s="301">
        <f t="shared" si="117"/>
        <v>0.5</v>
      </c>
      <c r="AF316" s="173">
        <f t="shared" si="118"/>
        <v>0.4924617170233887</v>
      </c>
      <c r="AG316" s="802">
        <f t="shared" si="124"/>
        <v>4</v>
      </c>
      <c r="AH316" s="172">
        <f t="shared" si="119"/>
        <v>10</v>
      </c>
      <c r="AI316" s="221">
        <f t="shared" si="120"/>
        <v>4.4924617170233887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47786</v>
      </c>
      <c r="B317" s="406">
        <f>'2029'!Wh/'2029'!Env_an*'2030'!Env_an</f>
        <v>19.93809551113878</v>
      </c>
      <c r="C317" s="832"/>
      <c r="D317" s="388">
        <f t="shared" si="102"/>
        <v>20.849166550364746</v>
      </c>
      <c r="E317" s="380">
        <f t="shared" si="125"/>
        <v>21.544463284490025</v>
      </c>
      <c r="F317" s="380">
        <f t="shared" si="103"/>
        <v>21.565875823551984</v>
      </c>
      <c r="G317" s="110">
        <f t="shared" si="126"/>
        <v>0.72868850288038967</v>
      </c>
      <c r="H317" s="409" t="b">
        <f>Wh_hp&gt;='2029'!Maxi_hp</f>
        <v>0</v>
      </c>
      <c r="I317" s="385">
        <f>IF(H317,Wh_hp,'2029'!Maxi_hp)</f>
        <v>21.572856200177455</v>
      </c>
      <c r="J317" s="85">
        <f>IF(H317,An,'2029'!An_max)</f>
        <v>2029</v>
      </c>
      <c r="K317" s="193">
        <f t="shared" si="104"/>
        <v>47786</v>
      </c>
      <c r="L317" s="143">
        <f>IF(t&lt;Tvie,1-EXP((T0-t)*PertePVj)+'2029'!Pspv,1-EXP((T0-t)*PertePVj)+Pspv)</f>
        <v>4.369819949517495E-2</v>
      </c>
      <c r="M317" s="836"/>
      <c r="N317" s="836"/>
      <c r="O317" s="48">
        <f>IF(t&lt;Tnet,'2029'!Resal+('2029'!Salim-'2029'!Resal)*(1-EXP(('2029'!Tnet-t)/('2029'!Tau_j))),Resal+(Salim-Resal)*(1-EXP((Tnet-t)/(Tau_j))))*Salcycl</f>
        <v>3.2272641232414842E-2</v>
      </c>
      <c r="P317" s="165">
        <f>(INDEX(Models!$BJ317:$BT317,,T317)*(1-R317)+INDEX(Models!$BJ317:$BT317,,T317+1)*R317-ERP_i)*Q317*Ramure*Pc/MaxiM</f>
        <v>1.6195492429626772E-3</v>
      </c>
      <c r="Q317" s="301">
        <f t="shared" si="105"/>
        <v>0.5</v>
      </c>
      <c r="R317" s="173">
        <f t="shared" si="106"/>
        <v>0.9675351756294539</v>
      </c>
      <c r="S317" s="802">
        <f t="shared" si="107"/>
        <v>0</v>
      </c>
      <c r="T317" s="172">
        <f t="shared" si="108"/>
        <v>6</v>
      </c>
      <c r="U317" s="247">
        <f t="shared" si="109"/>
        <v>0.9675351756294539</v>
      </c>
      <c r="V317" s="378">
        <f t="shared" si="110"/>
        <v>27.344453246511353</v>
      </c>
      <c r="W317" s="397">
        <f t="shared" si="111"/>
        <v>19.93809551113878</v>
      </c>
      <c r="X317" s="153">
        <f t="shared" si="112"/>
        <v>47786</v>
      </c>
      <c r="Y317" s="380">
        <f t="shared" si="113"/>
        <v>19.29254655038957</v>
      </c>
      <c r="Z317" s="380">
        <f t="shared" si="114"/>
        <v>20.174119237467888</v>
      </c>
      <c r="AA317" s="381">
        <f t="shared" si="115"/>
        <v>21.381634887754132</v>
      </c>
      <c r="AB317" s="193">
        <f t="shared" si="116"/>
        <v>47786</v>
      </c>
      <c r="AC317" s="119">
        <f>IF(OR(t&lt;Tnet,NoTnet),'2029'!Resal_s+('2029'!Salim-'2029'!Resal_s)*(1-EXP(('2029'!Tnet_s-t)/'2029'!Tau_j)),Resal_s+(Salim-Resal_s)*(1-EXP((Tnet_s-t)/Tau_j)))*Salcycl</f>
        <v>5.6474430352274965E-2</v>
      </c>
      <c r="AD317" s="227">
        <f>(INDEX(Models!$BJ317:$BT317,,AH317)*(1-AF317)+INDEX(Models!$BJ317:$BT317,,AH317+1)*AF317-ERP_i)*AE317*Ramure*Pc/MaxiM</f>
        <v>1.393516514929539E-2</v>
      </c>
      <c r="AE317" s="301">
        <f t="shared" si="117"/>
        <v>0.5</v>
      </c>
      <c r="AF317" s="173">
        <f t="shared" si="118"/>
        <v>0.49252274200343127</v>
      </c>
      <c r="AG317" s="802">
        <f t="shared" si="124"/>
        <v>4</v>
      </c>
      <c r="AH317" s="172">
        <f t="shared" si="119"/>
        <v>10</v>
      </c>
      <c r="AI317" s="221">
        <f t="shared" si="120"/>
        <v>4.4925227420034313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47787</v>
      </c>
      <c r="B318" s="406">
        <f>'2029'!Wh/'2029'!Env_an*'2030'!Env_an</f>
        <v>19.128446324487175</v>
      </c>
      <c r="C318" s="832"/>
      <c r="D318" s="388">
        <f t="shared" si="102"/>
        <v>20.002794275134374</v>
      </c>
      <c r="E318" s="380">
        <f t="shared" si="125"/>
        <v>20.67034804462704</v>
      </c>
      <c r="F318" s="380">
        <f t="shared" si="103"/>
        <v>20.693171380217446</v>
      </c>
      <c r="G318" s="110">
        <f t="shared" si="126"/>
        <v>0.70814937167782488</v>
      </c>
      <c r="H318" s="409" t="b">
        <f>Wh_hp&gt;='2029'!Maxi_hp</f>
        <v>0</v>
      </c>
      <c r="I318" s="385">
        <f>IF(H318,Wh_hp,'2029'!Maxi_hp)</f>
        <v>20.701574892760259</v>
      </c>
      <c r="J318" s="85">
        <f>IF(H318,An,'2029'!An_max)</f>
        <v>2029</v>
      </c>
      <c r="K318" s="193">
        <f t="shared" si="104"/>
        <v>47787</v>
      </c>
      <c r="L318" s="143">
        <f>IF(t&lt;Tvie,1-EXP((T0-t)*PertePVj)+'2029'!Pspv,1-EXP((T0-t)*PertePVj)+Pspv)</f>
        <v>4.3711290463758212E-2</v>
      </c>
      <c r="M318" s="836"/>
      <c r="N318" s="836"/>
      <c r="O318" s="48">
        <f>IF(t&lt;Tnet,'2029'!Resal+('2029'!Salim-'2029'!Resal)*(1-EXP(('2029'!Tnet-t)/('2029'!Tau_j))),Resal+(Salim-Resal)*(1-EXP((Tnet-t)/(Tau_j))))*Salcycl</f>
        <v>3.2295236057536328E-2</v>
      </c>
      <c r="P318" s="165">
        <f>(INDEX(Models!$BJ318:$BT318,,T318)*(1-R318)+INDEX(Models!$BJ318:$BT318,,T318+1)*R318-ERP_i)*Q318*Ramure*Pc/MaxiM</f>
        <v>1.8890259701723E-3</v>
      </c>
      <c r="Q318" s="301">
        <f t="shared" si="105"/>
        <v>0.5</v>
      </c>
      <c r="R318" s="173">
        <f t="shared" si="106"/>
        <v>0.96759375759531485</v>
      </c>
      <c r="S318" s="802">
        <f t="shared" si="107"/>
        <v>0</v>
      </c>
      <c r="T318" s="172">
        <f t="shared" si="108"/>
        <v>6</v>
      </c>
      <c r="U318" s="247">
        <f t="shared" si="109"/>
        <v>0.96759375759531485</v>
      </c>
      <c r="V318" s="378">
        <f t="shared" si="110"/>
        <v>26.990623576479198</v>
      </c>
      <c r="W318" s="397">
        <f t="shared" si="111"/>
        <v>19.128446324487175</v>
      </c>
      <c r="X318" s="153">
        <f t="shared" si="112"/>
        <v>47787</v>
      </c>
      <c r="Y318" s="380">
        <f t="shared" si="113"/>
        <v>18.504001735838745</v>
      </c>
      <c r="Z318" s="380">
        <f t="shared" si="114"/>
        <v>19.349806759521794</v>
      </c>
      <c r="AA318" s="381">
        <f t="shared" si="115"/>
        <v>20.507624190691189</v>
      </c>
      <c r="AB318" s="193">
        <f t="shared" si="116"/>
        <v>47787</v>
      </c>
      <c r="AC318" s="119">
        <f>IF(OR(t&lt;Tnet,NoTnet),'2029'!Resal_s+('2029'!Salim-'2029'!Resal_s)*(1-EXP(('2029'!Tnet_s-t)/'2029'!Tau_j)),Resal_s+(Salim-Resal_s)*(1-EXP((Tnet_s-t)/Tau_j)))*Salcycl</f>
        <v>5.6457901724908263E-2</v>
      </c>
      <c r="AD318" s="227">
        <f>(INDEX(Models!$BJ318:$BT318,,AH318)*(1-AF318)+INDEX(Models!$BJ318:$BT318,,AH318+1)*AF318-ERP_i)*AE318*Ramure*Pc/MaxiM</f>
        <v>1.5357240764356265E-2</v>
      </c>
      <c r="AE318" s="301">
        <f t="shared" si="117"/>
        <v>0.5</v>
      </c>
      <c r="AF318" s="173">
        <f t="shared" si="118"/>
        <v>0.49258132396929177</v>
      </c>
      <c r="AG318" s="802">
        <f t="shared" si="124"/>
        <v>4</v>
      </c>
      <c r="AH318" s="172">
        <f t="shared" si="119"/>
        <v>10</v>
      </c>
      <c r="AI318" s="221">
        <f t="shared" si="120"/>
        <v>4.4925813239692918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47788</v>
      </c>
      <c r="B319" s="406">
        <f>'2029'!Wh/'2029'!Env_an*'2030'!Env_an</f>
        <v>17.444141846431144</v>
      </c>
      <c r="C319" s="832"/>
      <c r="D319" s="388">
        <f t="shared" si="102"/>
        <v>18.241751127452734</v>
      </c>
      <c r="E319" s="380">
        <f t="shared" si="125"/>
        <v>18.850970749835657</v>
      </c>
      <c r="F319" s="380">
        <f t="shared" si="103"/>
        <v>18.871797964249264</v>
      </c>
      <c r="G319" s="110">
        <f t="shared" si="126"/>
        <v>0.65416725397478426</v>
      </c>
      <c r="H319" s="409" t="b">
        <f>Wh_hp&gt;='2029'!Maxi_hp</f>
        <v>0</v>
      </c>
      <c r="I319" s="385">
        <f>IF(H319,Wh_hp,'2029'!Maxi_hp)</f>
        <v>18.88226346904651</v>
      </c>
      <c r="J319" s="85">
        <f>IF(H319,An,'2029'!An_max)</f>
        <v>2029</v>
      </c>
      <c r="K319" s="193">
        <f t="shared" si="104"/>
        <v>47788</v>
      </c>
      <c r="L319" s="143">
        <f>IF(t&lt;Tvie,1-EXP((T0-t)*PertePVj)+'2029'!Pspv,1-EXP((T0-t)*PertePVj)+Pspv)</f>
        <v>4.3724381253137157E-2</v>
      </c>
      <c r="M319" s="836"/>
      <c r="N319" s="836"/>
      <c r="O319" s="48">
        <f>IF(t&lt;Tnet,'2029'!Resal+('2029'!Salim-'2029'!Resal)*(1-EXP(('2029'!Tnet-t)/('2029'!Tau_j))),Resal+(Salim-Resal)*(1-EXP((Tnet-t)/(Tau_j))))*Salcycl</f>
        <v>3.2317679045161848E-2</v>
      </c>
      <c r="P319" s="165">
        <f>(INDEX(Models!$BJ319:$BT319,,T319)*(1-R319)+INDEX(Models!$BJ319:$BT319,,T319+1)*R319-ERP_i)*Q319*Ramure*Pc/MaxiM</f>
        <v>2.1769354000329652E-3</v>
      </c>
      <c r="Q319" s="301">
        <f t="shared" si="105"/>
        <v>0.5</v>
      </c>
      <c r="R319" s="173">
        <f t="shared" si="106"/>
        <v>0.96764999380745653</v>
      </c>
      <c r="S319" s="802">
        <f t="shared" si="107"/>
        <v>0</v>
      </c>
      <c r="T319" s="172">
        <f t="shared" si="108"/>
        <v>6</v>
      </c>
      <c r="U319" s="247">
        <f t="shared" si="109"/>
        <v>0.96764999380745653</v>
      </c>
      <c r="V319" s="378">
        <f t="shared" si="110"/>
        <v>26.637527200003998</v>
      </c>
      <c r="W319" s="397">
        <f t="shared" si="111"/>
        <v>17.444141846431144</v>
      </c>
      <c r="X319" s="153">
        <f t="shared" si="112"/>
        <v>47788</v>
      </c>
      <c r="Y319" s="380">
        <f t="shared" si="113"/>
        <v>16.883464716186175</v>
      </c>
      <c r="Z319" s="380">
        <f t="shared" si="114"/>
        <v>17.655437810189973</v>
      </c>
      <c r="AA319" s="381">
        <f t="shared" si="115"/>
        <v>18.711540305036404</v>
      </c>
      <c r="AB319" s="193">
        <f t="shared" si="116"/>
        <v>47788</v>
      </c>
      <c r="AC319" s="119">
        <f>IF(OR(t&lt;Tnet,NoTnet),'2029'!Resal_s+('2029'!Salim-'2029'!Resal_s)*(1-EXP(('2029'!Tnet_s-t)/'2029'!Tau_j)),Resal_s+(Salim-Resal_s)*(1-EXP((Tnet_s-t)/Tau_j)))*Salcycl</f>
        <v>5.6441237740442511E-2</v>
      </c>
      <c r="AD319" s="227">
        <f>(INDEX(Models!$BJ319:$BT319,,AH319)*(1-AF319)+INDEX(Models!$BJ319:$BT319,,AH319+1)*AF319-ERP_i)*AE319*Ramure*Pc/MaxiM</f>
        <v>1.6750707249594272E-2</v>
      </c>
      <c r="AE319" s="301">
        <f t="shared" si="117"/>
        <v>0.5</v>
      </c>
      <c r="AF319" s="173">
        <f t="shared" si="118"/>
        <v>0.4926375601814339</v>
      </c>
      <c r="AG319" s="802">
        <f t="shared" si="124"/>
        <v>4</v>
      </c>
      <c r="AH319" s="172">
        <f t="shared" si="119"/>
        <v>10</v>
      </c>
      <c r="AI319" s="221">
        <f t="shared" si="120"/>
        <v>4.4926375601814339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47789</v>
      </c>
      <c r="B320" s="406">
        <f>'2029'!Wh/'2029'!Env_an*'2030'!Env_an</f>
        <v>24.149613920721965</v>
      </c>
      <c r="C320" s="832"/>
      <c r="D320" s="388">
        <f t="shared" si="102"/>
        <v>25.254167354835509</v>
      </c>
      <c r="E320" s="380">
        <f t="shared" si="125"/>
        <v>26.098182660059532</v>
      </c>
      <c r="F320" s="380">
        <f t="shared" si="103"/>
        <v>26.155601622176828</v>
      </c>
      <c r="G320" s="110">
        <f t="shared" si="126"/>
        <v>0.91847115398260981</v>
      </c>
      <c r="H320" s="409" t="b">
        <f>Wh_hp&gt;='2029'!Maxi_hp</f>
        <v>0</v>
      </c>
      <c r="I320" s="385">
        <f>IF(H320,Wh_hp,'2029'!Maxi_hp)</f>
        <v>26.159500551407298</v>
      </c>
      <c r="J320" s="85">
        <f>IF(H320,An,'2029'!An_max)</f>
        <v>2029</v>
      </c>
      <c r="K320" s="193">
        <f t="shared" si="104"/>
        <v>47789</v>
      </c>
      <c r="L320" s="143">
        <f>IF(t&lt;Tvie,1-EXP((T0-t)*PertePVj)+'2029'!Pspv,1-EXP((T0-t)*PertePVj)+Pspv)</f>
        <v>4.3737471863314115E-2</v>
      </c>
      <c r="M320" s="836"/>
      <c r="N320" s="836"/>
      <c r="O320" s="48">
        <f>IF(t&lt;Tnet,'2029'!Resal+('2029'!Salim-'2029'!Resal)*(1-EXP(('2029'!Tnet-t)/('2029'!Tau_j))),Resal+(Salim-Resal)*(1-EXP((Tnet-t)/(Tau_j))))*Salcycl</f>
        <v>3.234000298862557E-2</v>
      </c>
      <c r="P320" s="165">
        <f>(INDEX(Models!$BJ320:$BT320,,T320)*(1-R320)+INDEX(Models!$BJ320:$BT320,,T320+1)*R320-ERP_i)*Q320*Ramure*Pc/MaxiM</f>
        <v>2.4836067793819264E-3</v>
      </c>
      <c r="Q320" s="301">
        <f t="shared" si="105"/>
        <v>0.5</v>
      </c>
      <c r="R320" s="173">
        <f t="shared" si="106"/>
        <v>0.9677039776968106</v>
      </c>
      <c r="S320" s="802">
        <f t="shared" si="107"/>
        <v>0</v>
      </c>
      <c r="T320" s="172">
        <f t="shared" si="108"/>
        <v>6</v>
      </c>
      <c r="U320" s="247">
        <f t="shared" si="109"/>
        <v>0.9677039776968106</v>
      </c>
      <c r="V320" s="378">
        <f t="shared" si="110"/>
        <v>26.285676585845941</v>
      </c>
      <c r="W320" s="397">
        <f t="shared" si="111"/>
        <v>24.149613920721965</v>
      </c>
      <c r="X320" s="153">
        <f t="shared" si="112"/>
        <v>47789</v>
      </c>
      <c r="Y320" s="380">
        <f t="shared" si="113"/>
        <v>23.222464420281096</v>
      </c>
      <c r="Z320" s="380">
        <f t="shared" si="114"/>
        <v>24.28461195225432</v>
      </c>
      <c r="AA320" s="381">
        <f t="shared" si="115"/>
        <v>25.73679778842363</v>
      </c>
      <c r="AB320" s="193">
        <f t="shared" si="116"/>
        <v>47789</v>
      </c>
      <c r="AC320" s="119">
        <f>IF(OR(t&lt;Tnet,NoTnet),'2029'!Resal_s+('2029'!Salim-'2029'!Resal_s)*(1-EXP(('2029'!Tnet_s-t)/'2029'!Tau_j)),Resal_s+(Salim-Resal_s)*(1-EXP((Tnet_s-t)/Tau_j)))*Salcycl</f>
        <v>5.642449570095693E-2</v>
      </c>
      <c r="AD320" s="227">
        <f>(INDEX(Models!$BJ320:$BT320,,AH320)*(1-AF320)+INDEX(Models!$BJ320:$BT320,,AH320+1)*AF320-ERP_i)*AE320*Ramure*Pc/MaxiM</f>
        <v>1.8114992023292944E-2</v>
      </c>
      <c r="AE320" s="301">
        <f t="shared" si="117"/>
        <v>0.5</v>
      </c>
      <c r="AF320" s="173">
        <f t="shared" si="118"/>
        <v>0.49269154407078819</v>
      </c>
      <c r="AG320" s="802">
        <f t="shared" si="124"/>
        <v>4</v>
      </c>
      <c r="AH320" s="172">
        <f t="shared" si="119"/>
        <v>10</v>
      </c>
      <c r="AI320" s="221">
        <f t="shared" si="120"/>
        <v>4.4926915440707882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47790</v>
      </c>
      <c r="B321" s="406">
        <f>'2029'!Wh/'2029'!Env_an*'2030'!Env_an</f>
        <v>8.7604829956403805</v>
      </c>
      <c r="C321" s="832"/>
      <c r="D321" s="388">
        <f t="shared" si="102"/>
        <v>9.1612947942317877</v>
      </c>
      <c r="E321" s="380">
        <f t="shared" si="125"/>
        <v>9.4676904776920896</v>
      </c>
      <c r="F321" s="380">
        <f t="shared" si="103"/>
        <v>9.4691261831602667</v>
      </c>
      <c r="G321" s="110">
        <f t="shared" si="126"/>
        <v>0.33688064811489798</v>
      </c>
      <c r="H321" s="409" t="b">
        <f>Wh_hp&gt;='2029'!Maxi_hp</f>
        <v>0</v>
      </c>
      <c r="I321" s="385">
        <f>IF(H321,Wh_hp,'2029'!Maxi_hp)</f>
        <v>9.4821264073197273</v>
      </c>
      <c r="J321" s="85">
        <f>IF(H321,An,'2029'!An_max)</f>
        <v>2029</v>
      </c>
      <c r="K321" s="193">
        <f t="shared" si="104"/>
        <v>47790</v>
      </c>
      <c r="L321" s="143">
        <f>IF(t&lt;Tvie,1-EXP((T0-t)*PertePVj)+'2029'!Pspv,1-EXP((T0-t)*PertePVj)+Pspv)</f>
        <v>4.3750562294291528E-2</v>
      </c>
      <c r="M321" s="836"/>
      <c r="N321" s="836"/>
      <c r="O321" s="48">
        <f>IF(t&lt;Tnet,'2029'!Resal+('2029'!Salim-'2029'!Resal)*(1-EXP(('2029'!Tnet-t)/('2029'!Tau_j))),Resal+(Salim-Resal)*(1-EXP((Tnet-t)/(Tau_j))))*Salcycl</f>
        <v>3.236224126488256E-2</v>
      </c>
      <c r="P321" s="165">
        <f>(INDEX(Models!$BJ321:$BT321,,T321)*(1-R321)+INDEX(Models!$BJ321:$BT321,,T321+1)*R321-ERP_i)*Q321*Ramure*Pc/MaxiM</f>
        <v>2.8093678858660698E-3</v>
      </c>
      <c r="Q321" s="301">
        <f t="shared" si="105"/>
        <v>0.5</v>
      </c>
      <c r="R321" s="173">
        <f t="shared" si="106"/>
        <v>0.96775579901220388</v>
      </c>
      <c r="S321" s="802">
        <f t="shared" si="107"/>
        <v>0</v>
      </c>
      <c r="T321" s="172">
        <f t="shared" si="108"/>
        <v>6</v>
      </c>
      <c r="U321" s="247">
        <f t="shared" si="109"/>
        <v>0.96775579901220388</v>
      </c>
      <c r="V321" s="378">
        <f t="shared" si="110"/>
        <v>25.935583879529595</v>
      </c>
      <c r="W321" s="397">
        <f t="shared" si="111"/>
        <v>8.7604829956403805</v>
      </c>
      <c r="X321" s="153">
        <f t="shared" si="112"/>
        <v>47790</v>
      </c>
      <c r="Y321" s="380">
        <f t="shared" si="113"/>
        <v>8.5351147151052285</v>
      </c>
      <c r="Z321" s="380">
        <f t="shared" si="114"/>
        <v>8.9256154080290937</v>
      </c>
      <c r="AA321" s="381">
        <f t="shared" si="115"/>
        <v>9.4591866919665364</v>
      </c>
      <c r="AB321" s="193">
        <f t="shared" si="116"/>
        <v>47790</v>
      </c>
      <c r="AC321" s="119">
        <f>IF(OR(t&lt;Tnet,NoTnet),'2029'!Resal_s+('2029'!Salim-'2029'!Resal_s)*(1-EXP(('2029'!Tnet_s-t)/'2029'!Tau_j)),Resal_s+(Salim-Resal_s)*(1-EXP((Tnet_s-t)/Tau_j)))*Salcycl</f>
        <v>5.6407733699831861E-2</v>
      </c>
      <c r="AD321" s="227">
        <f>(INDEX(Models!$BJ321:$BT321,,AH321)*(1-AF321)+INDEX(Models!$BJ321:$BT321,,AH321+1)*AF321-ERP_i)*AE321*Ramure*Pc/MaxiM</f>
        <v>1.9449453930809518E-2</v>
      </c>
      <c r="AE321" s="301">
        <f t="shared" si="117"/>
        <v>0.5</v>
      </c>
      <c r="AF321" s="173">
        <f t="shared" si="118"/>
        <v>0.4927433653861808</v>
      </c>
      <c r="AG321" s="802">
        <f t="shared" si="124"/>
        <v>4</v>
      </c>
      <c r="AH321" s="172">
        <f t="shared" si="119"/>
        <v>10</v>
      </c>
      <c r="AI321" s="221">
        <f t="shared" si="120"/>
        <v>4.4927433653861808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47791</v>
      </c>
      <c r="B322" s="406">
        <f>'2029'!Wh/'2029'!Env_an*'2030'!Env_an</f>
        <v>12.157621779796161</v>
      </c>
      <c r="C322" s="832"/>
      <c r="D322" s="388">
        <f t="shared" si="102"/>
        <v>12.714034362076916</v>
      </c>
      <c r="E322" s="380">
        <f t="shared" si="125"/>
        <v>13.13955120804736</v>
      </c>
      <c r="F322" s="380">
        <f t="shared" si="103"/>
        <v>13.149929667762086</v>
      </c>
      <c r="G322" s="110">
        <f t="shared" si="126"/>
        <v>0.47400953457249823</v>
      </c>
      <c r="H322" s="409" t="b">
        <f>Wh_hp&gt;='2029'!Maxi_hp</f>
        <v>0</v>
      </c>
      <c r="I322" s="385">
        <f>IF(H322,Wh_hp,'2029'!Maxi_hp)</f>
        <v>13.16600405306964</v>
      </c>
      <c r="J322" s="85">
        <f>IF(H322,An,'2029'!An_max)</f>
        <v>2029</v>
      </c>
      <c r="K322" s="193">
        <f t="shared" si="104"/>
        <v>47791</v>
      </c>
      <c r="L322" s="143">
        <f>IF(t&lt;Tvie,1-EXP((T0-t)*PertePVj)+'2029'!Pspv,1-EXP((T0-t)*PertePVj)+Pspv)</f>
        <v>4.3763652546072063E-2</v>
      </c>
      <c r="M322" s="836"/>
      <c r="N322" s="836"/>
      <c r="O322" s="48">
        <f>IF(t&lt;Tnet,'2029'!Resal+('2029'!Salim-'2029'!Resal)*(1-EXP(('2029'!Tnet-t)/('2029'!Tau_j))),Resal+(Salim-Resal)*(1-EXP((Tnet-t)/(Tau_j))))*Salcycl</f>
        <v>3.2384427689572538E-2</v>
      </c>
      <c r="P322" s="165">
        <f>(INDEX(Models!$BJ322:$BT322,,T322)*(1-R322)+INDEX(Models!$BJ322:$BT322,,T322+1)*R322-ERP_i)*Q322*Ramure*Pc/MaxiM</f>
        <v>3.1545426721665774E-3</v>
      </c>
      <c r="Q322" s="301">
        <f t="shared" si="105"/>
        <v>0.5</v>
      </c>
      <c r="R322" s="173">
        <f t="shared" si="106"/>
        <v>0.96780554396237628</v>
      </c>
      <c r="S322" s="802">
        <f t="shared" si="107"/>
        <v>0</v>
      </c>
      <c r="T322" s="172">
        <f t="shared" si="108"/>
        <v>6</v>
      </c>
      <c r="U322" s="247">
        <f t="shared" si="109"/>
        <v>0.96780554396237628</v>
      </c>
      <c r="V322" s="378">
        <f t="shared" si="110"/>
        <v>25.58776086707827</v>
      </c>
      <c r="W322" s="397">
        <f t="shared" si="111"/>
        <v>12.157621779796161</v>
      </c>
      <c r="X322" s="153">
        <f t="shared" si="112"/>
        <v>47791</v>
      </c>
      <c r="Y322" s="380">
        <f t="shared" si="113"/>
        <v>11.803746511221961</v>
      </c>
      <c r="Z322" s="380">
        <f t="shared" si="114"/>
        <v>12.343963438171517</v>
      </c>
      <c r="AA322" s="381">
        <f t="shared" si="115"/>
        <v>13.081650952653062</v>
      </c>
      <c r="AB322" s="193">
        <f t="shared" si="116"/>
        <v>47791</v>
      </c>
      <c r="AC322" s="119">
        <f>IF(OR(t&lt;Tnet,NoTnet),'2029'!Resal_s+('2029'!Salim-'2029'!Resal_s)*(1-EXP(('2029'!Tnet_s-t)/'2029'!Tau_j)),Resal_s+(Salim-Resal_s)*(1-EXP((Tnet_s-t)/Tau_j)))*Salcycl</f>
        <v>5.6391010366465655E-2</v>
      </c>
      <c r="AD322" s="227">
        <f>(INDEX(Models!$BJ322:$BT322,,AH322)*(1-AF322)+INDEX(Models!$BJ322:$BT322,,AH322+1)*AF322-ERP_i)*AE322*Ramure*Pc/MaxiM</f>
        <v>2.0753380205976214E-2</v>
      </c>
      <c r="AE322" s="301">
        <f t="shared" si="117"/>
        <v>0.5</v>
      </c>
      <c r="AF322" s="173">
        <f t="shared" si="118"/>
        <v>0.4927931103363532</v>
      </c>
      <c r="AG322" s="802">
        <f t="shared" si="124"/>
        <v>4</v>
      </c>
      <c r="AH322" s="172">
        <f t="shared" si="119"/>
        <v>10</v>
      </c>
      <c r="AI322" s="221">
        <f t="shared" si="120"/>
        <v>4.4927931103363532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47792</v>
      </c>
      <c r="B323" s="406">
        <f>'2029'!Wh/'2029'!Env_an*'2030'!Env_an</f>
        <v>24.498274428395533</v>
      </c>
      <c r="C323" s="832"/>
      <c r="D323" s="388">
        <f t="shared" si="102"/>
        <v>25.619827000950696</v>
      </c>
      <c r="E323" s="380">
        <f t="shared" si="125"/>
        <v>26.477885137261122</v>
      </c>
      <c r="F323" s="380">
        <f t="shared" si="103"/>
        <v>26.56744857270963</v>
      </c>
      <c r="G323" s="110">
        <f t="shared" si="126"/>
        <v>0.97036415472558213</v>
      </c>
      <c r="H323" s="409" t="b">
        <f>Wh_hp&gt;='2029'!Maxi_hp</f>
        <v>0</v>
      </c>
      <c r="I323" s="385">
        <f>IF(H323,Wh_hp,'2029'!Maxi_hp)</f>
        <v>26.56948731621242</v>
      </c>
      <c r="J323" s="85">
        <f>IF(H323,An,'2029'!An_max)</f>
        <v>2029</v>
      </c>
      <c r="K323" s="193">
        <f t="shared" si="104"/>
        <v>47792</v>
      </c>
      <c r="L323" s="143">
        <f>IF(t&lt;Tvie,1-EXP((T0-t)*PertePVj)+'2029'!Pspv,1-EXP((T0-t)*PertePVj)+Pspv)</f>
        <v>4.3776742618658049E-2</v>
      </c>
      <c r="M323" s="836"/>
      <c r="N323" s="836"/>
      <c r="O323" s="48">
        <f>IF(t&lt;Tnet,'2029'!Resal+('2029'!Salim-'2029'!Resal)*(1-EXP(('2029'!Tnet-t)/('2029'!Tau_j))),Resal+(Salim-Resal)*(1-EXP((Tnet-t)/(Tau_j))))*Salcycl</f>
        <v>3.2406596367582266E-2</v>
      </c>
      <c r="P323" s="165">
        <f>(INDEX(Models!$BJ323:$BT323,,T323)*(1-R323)+INDEX(Models!$BJ323:$BT323,,T323+1)*R323-ERP_i)*Q323*Ramure*Pc/MaxiM</f>
        <v>3.5194485290319807E-3</v>
      </c>
      <c r="Q323" s="301">
        <f t="shared" si="105"/>
        <v>0.5</v>
      </c>
      <c r="R323" s="173">
        <f t="shared" si="106"/>
        <v>0.96785329535276565</v>
      </c>
      <c r="S323" s="802">
        <f t="shared" si="107"/>
        <v>0</v>
      </c>
      <c r="T323" s="172">
        <f t="shared" si="108"/>
        <v>6</v>
      </c>
      <c r="U323" s="247">
        <f t="shared" si="109"/>
        <v>0.96785329535276565</v>
      </c>
      <c r="V323" s="378">
        <f t="shared" si="110"/>
        <v>25.242718931542939</v>
      </c>
      <c r="W323" s="397">
        <f t="shared" si="111"/>
        <v>24.498274428395533</v>
      </c>
      <c r="X323" s="153">
        <f t="shared" si="112"/>
        <v>47792</v>
      </c>
      <c r="Y323" s="380">
        <f t="shared" si="113"/>
        <v>23.466487154719207</v>
      </c>
      <c r="Z323" s="380">
        <f t="shared" si="114"/>
        <v>24.540803597460261</v>
      </c>
      <c r="AA323" s="381">
        <f t="shared" si="115"/>
        <v>26.006928168412522</v>
      </c>
      <c r="AB323" s="193">
        <f t="shared" si="116"/>
        <v>47792</v>
      </c>
      <c r="AC323" s="119">
        <f>IF(OR(t&lt;Tnet,NoTnet),'2029'!Resal_s+('2029'!Salim-'2029'!Resal_s)*(1-EXP(('2029'!Tnet_s-t)/'2029'!Tau_j)),Resal_s+(Salim-Resal_s)*(1-EXP((Tnet_s-t)/Tau_j)))*Salcycl</f>
        <v>5.6374384604675601E-2</v>
      </c>
      <c r="AD323" s="227">
        <f>(INDEX(Models!$BJ323:$BT323,,AH323)*(1-AF323)+INDEX(Models!$BJ323:$BT323,,AH323+1)*AF323-ERP_i)*AE323*Ramure*Pc/MaxiM</f>
        <v>2.2025983064596376E-2</v>
      </c>
      <c r="AE323" s="301">
        <f t="shared" si="117"/>
        <v>0.5</v>
      </c>
      <c r="AF323" s="173">
        <f t="shared" si="118"/>
        <v>0.49284086172674257</v>
      </c>
      <c r="AG323" s="802">
        <f t="shared" si="124"/>
        <v>4</v>
      </c>
      <c r="AH323" s="172">
        <f t="shared" si="119"/>
        <v>10</v>
      </c>
      <c r="AI323" s="221">
        <f t="shared" si="120"/>
        <v>4.4928408617267426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47793</v>
      </c>
      <c r="B324" s="406">
        <f>'2029'!Wh/'2029'!Env_an*'2030'!Env_an</f>
        <v>24.555078282883894</v>
      </c>
      <c r="C324" s="832"/>
      <c r="D324" s="388">
        <f t="shared" si="102"/>
        <v>25.679582917835248</v>
      </c>
      <c r="E324" s="380">
        <f t="shared" si="125"/>
        <v>26.540250916837014</v>
      </c>
      <c r="F324" s="380">
        <f t="shared" si="103"/>
        <v>26.641569572763043</v>
      </c>
      <c r="G324" s="110">
        <f t="shared" si="126"/>
        <v>0.98600900819359683</v>
      </c>
      <c r="H324" s="409" t="b">
        <f>Wh_hp&gt;='2029'!Maxi_hp</f>
        <v>0</v>
      </c>
      <c r="I324" s="385">
        <f>IF(H324,Wh_hp,'2029'!Maxi_hp)</f>
        <v>26.642633436722377</v>
      </c>
      <c r="J324" s="85">
        <f>IF(H324,An,'2029'!An_max)</f>
        <v>2029</v>
      </c>
      <c r="K324" s="193">
        <f t="shared" si="104"/>
        <v>47793</v>
      </c>
      <c r="L324" s="143">
        <f>IF(t&lt;Tvie,1-EXP((T0-t)*PertePVj)+'2029'!Pspv,1-EXP((T0-t)*PertePVj)+Pspv)</f>
        <v>4.3789832512051818E-2</v>
      </c>
      <c r="M324" s="836"/>
      <c r="N324" s="836"/>
      <c r="O324" s="48">
        <f>IF(t&lt;Tnet,'2029'!Resal+('2029'!Salim-'2029'!Resal)*(1-EXP(('2029'!Tnet-t)/('2029'!Tau_j))),Resal+(Salim-Resal)*(1-EXP((Tnet-t)/(Tau_j))))*Salcycl</f>
        <v>3.2428781540108267E-2</v>
      </c>
      <c r="P324" s="165">
        <f>(INDEX(Models!$BJ324:$BT324,,T324)*(1-R324)+INDEX(Models!$BJ324:$BT324,,T324+1)*R324-ERP_i)*Q324*Ramure*Pc/MaxiM</f>
        <v>3.8801588282987927E-3</v>
      </c>
      <c r="Q324" s="301">
        <f t="shared" si="105"/>
        <v>0.5</v>
      </c>
      <c r="R324" s="173">
        <f t="shared" si="106"/>
        <v>0.96789913271723482</v>
      </c>
      <c r="S324" s="802">
        <f t="shared" si="107"/>
        <v>0</v>
      </c>
      <c r="T324" s="172">
        <f t="shared" si="108"/>
        <v>6</v>
      </c>
      <c r="U324" s="247">
        <f t="shared" si="109"/>
        <v>0.96789913271723482</v>
      </c>
      <c r="V324" s="378">
        <f t="shared" si="110"/>
        <v>24.901574848081694</v>
      </c>
      <c r="W324" s="397">
        <f t="shared" si="111"/>
        <v>24.555078282883894</v>
      </c>
      <c r="X324" s="153">
        <f t="shared" si="112"/>
        <v>47793</v>
      </c>
      <c r="Y324" s="380">
        <f t="shared" si="113"/>
        <v>23.492448497023425</v>
      </c>
      <c r="Z324" s="380">
        <f t="shared" si="114"/>
        <v>24.568289792128272</v>
      </c>
      <c r="AA324" s="381">
        <f t="shared" si="115"/>
        <v>26.035602047814983</v>
      </c>
      <c r="AB324" s="193">
        <f t="shared" si="116"/>
        <v>47793</v>
      </c>
      <c r="AC324" s="119">
        <f>IF(OR(t&lt;Tnet,NoTnet),'2029'!Resal_s+('2029'!Salim-'2029'!Resal_s)*(1-EXP(('2029'!Tnet_s-t)/'2029'!Tau_j)),Resal_s+(Salim-Resal_s)*(1-EXP((Tnet_s-t)/Tau_j)))*Salcycl</f>
        <v>5.6357915326557713E-2</v>
      </c>
      <c r="AD324" s="227">
        <f>(INDEX(Models!$BJ324:$BT324,,AH324)*(1-AF324)+INDEX(Models!$BJ324:$BT324,,AH324+1)*AF324-ERP_i)*AE324*Ramure*Pc/MaxiM</f>
        <v>2.3206488677724343E-2</v>
      </c>
      <c r="AE324" s="301">
        <f t="shared" si="117"/>
        <v>0.5</v>
      </c>
      <c r="AF324" s="173">
        <f t="shared" si="118"/>
        <v>0.49288669909121197</v>
      </c>
      <c r="AG324" s="802">
        <f t="shared" si="124"/>
        <v>4</v>
      </c>
      <c r="AH324" s="172">
        <f t="shared" si="119"/>
        <v>10</v>
      </c>
      <c r="AI324" s="221">
        <f t="shared" si="120"/>
        <v>4.492886699091212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47794</v>
      </c>
      <c r="B325" s="406">
        <f>'2029'!Wh/'2029'!Env_an*'2030'!Env_an</f>
        <v>24.357835696044642</v>
      </c>
      <c r="C325" s="832"/>
      <c r="D325" s="388">
        <f t="shared" si="102"/>
        <v>25.4736562809369</v>
      </c>
      <c r="E325" s="380">
        <f t="shared" si="125"/>
        <v>26.328027562237068</v>
      </c>
      <c r="F325" s="380">
        <f t="shared" si="103"/>
        <v>26.4382223422317</v>
      </c>
      <c r="G325" s="110">
        <f t="shared" si="126"/>
        <v>0.99150548643914749</v>
      </c>
      <c r="H325" s="409" t="b">
        <f>Wh_hp&gt;='2029'!Maxi_hp</f>
        <v>0</v>
      </c>
      <c r="I325" s="385">
        <f>IF(H325,Wh_hp,'2029'!Maxi_hp)</f>
        <v>26.438919159325689</v>
      </c>
      <c r="J325" s="85">
        <f>IF(H325,An,'2029'!An_max)</f>
        <v>2029</v>
      </c>
      <c r="K325" s="193">
        <f t="shared" si="104"/>
        <v>47794</v>
      </c>
      <c r="L325" s="143">
        <f>IF(t&lt;Tvie,1-EXP((T0-t)*PertePVj)+'2029'!Pspv,1-EXP((T0-t)*PertePVj)+Pspv)</f>
        <v>4.3802922226256036E-2</v>
      </c>
      <c r="M325" s="836"/>
      <c r="N325" s="836"/>
      <c r="O325" s="48">
        <f>IF(t&lt;Tnet,'2029'!Resal+('2029'!Salim-'2029'!Resal)*(1-EXP(('2029'!Tnet-t)/('2029'!Tau_j))),Resal+(Salim-Resal)*(1-EXP((Tnet-t)/(Tau_j))))*Salcycl</f>
        <v>3.2451017429259051E-2</v>
      </c>
      <c r="P325" s="165">
        <f>(INDEX(Models!$BJ325:$BT325,,T325)*(1-R325)+INDEX(Models!$BJ325:$BT325,,T325+1)*R325-ERP_i)*Q325*Ramure*Pc/MaxiM</f>
        <v>4.2189012296701533E-3</v>
      </c>
      <c r="Q325" s="301">
        <f t="shared" si="105"/>
        <v>0.5</v>
      </c>
      <c r="R325" s="173">
        <f t="shared" si="106"/>
        <v>0.96794313244490593</v>
      </c>
      <c r="S325" s="802">
        <f t="shared" si="107"/>
        <v>0</v>
      </c>
      <c r="T325" s="172">
        <f t="shared" si="108"/>
        <v>6</v>
      </c>
      <c r="U325" s="247">
        <f t="shared" si="109"/>
        <v>0.96794313244490593</v>
      </c>
      <c r="V325" s="378">
        <f t="shared" si="110"/>
        <v>24.565260853512918</v>
      </c>
      <c r="W325" s="397">
        <f t="shared" si="111"/>
        <v>24.357835696044642</v>
      </c>
      <c r="X325" s="153">
        <f t="shared" si="112"/>
        <v>47794</v>
      </c>
      <c r="Y325" s="380">
        <f t="shared" si="113"/>
        <v>23.283685241591563</v>
      </c>
      <c r="Z325" s="380">
        <f t="shared" si="114"/>
        <v>24.35029951754461</v>
      </c>
      <c r="AA325" s="381">
        <f t="shared" si="115"/>
        <v>25.80414808614653</v>
      </c>
      <c r="AB325" s="193">
        <f t="shared" si="116"/>
        <v>47794</v>
      </c>
      <c r="AC325" s="119">
        <f>IF(OR(t&lt;Tnet,NoTnet),'2029'!Resal_s+('2029'!Salim-'2029'!Resal_s)*(1-EXP(('2029'!Tnet_s-t)/'2029'!Tau_j)),Resal_s+(Salim-Resal_s)*(1-EXP((Tnet_s-t)/Tau_j)))*Salcycl</f>
        <v>5.6341661183631472E-2</v>
      </c>
      <c r="AD325" s="227">
        <f>(INDEX(Models!$BJ325:$BT325,,AH325)*(1-AF325)+INDEX(Models!$BJ325:$BT325,,AH325+1)*AF325-ERP_i)*AE325*Ramure*Pc/MaxiM</f>
        <v>2.4276074228110199E-2</v>
      </c>
      <c r="AE325" s="301">
        <f t="shared" si="117"/>
        <v>0.5</v>
      </c>
      <c r="AF325" s="173">
        <f t="shared" si="118"/>
        <v>0.49293069881888307</v>
      </c>
      <c r="AG325" s="802">
        <f t="shared" si="124"/>
        <v>4</v>
      </c>
      <c r="AH325" s="172">
        <f t="shared" si="119"/>
        <v>10</v>
      </c>
      <c r="AI325" s="221">
        <f t="shared" si="120"/>
        <v>4.4929306988188831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47795</v>
      </c>
      <c r="B326" s="406">
        <f>'2029'!Wh/'2029'!Env_an*'2030'!Env_an</f>
        <v>17.622374684106038</v>
      </c>
      <c r="C326" s="832"/>
      <c r="D326" s="388">
        <f t="shared" si="102"/>
        <v>18.42989937173715</v>
      </c>
      <c r="E326" s="380">
        <f t="shared" si="125"/>
        <v>19.04846666983649</v>
      </c>
      <c r="F326" s="380">
        <f t="shared" si="103"/>
        <v>19.10133048400716</v>
      </c>
      <c r="G326" s="110">
        <f t="shared" si="126"/>
        <v>0.72587876819555197</v>
      </c>
      <c r="H326" s="409" t="b">
        <f>Wh_hp&gt;='2029'!Maxi_hp</f>
        <v>0</v>
      </c>
      <c r="I326" s="385">
        <f>IF(H326,Wh_hp,'2029'!Maxi_hp)</f>
        <v>19.118807313115258</v>
      </c>
      <c r="J326" s="85">
        <f>IF(H326,An,'2029'!An_max)</f>
        <v>2029</v>
      </c>
      <c r="K326" s="193">
        <f t="shared" si="104"/>
        <v>47795</v>
      </c>
      <c r="L326" s="143">
        <f>IF(t&lt;Tvie,1-EXP((T0-t)*PertePVj)+'2029'!Pspv,1-EXP((T0-t)*PertePVj)+Pspv)</f>
        <v>4.3816011761273033E-2</v>
      </c>
      <c r="M326" s="836"/>
      <c r="N326" s="836"/>
      <c r="O326" s="48">
        <f>IF(t&lt;Tnet,'2029'!Resal+('2029'!Salim-'2029'!Resal)*(1-EXP(('2029'!Tnet-t)/('2029'!Tau_j))),Resal+(Salim-Resal)*(1-EXP((Tnet-t)/(Tau_j))))*Salcycl</f>
        <v>3.2473338081266671E-2</v>
      </c>
      <c r="P326" s="165">
        <f>(INDEX(Models!$BJ326:$BT326,,T326)*(1-R326)+INDEX(Models!$BJ326:$BT326,,T326+1)*R326-ERP_i)*Q326*Ramure*Pc/MaxiM</f>
        <v>4.5351797850375448E-3</v>
      </c>
      <c r="Q326" s="301">
        <f t="shared" si="105"/>
        <v>0.5</v>
      </c>
      <c r="R326" s="173">
        <f t="shared" si="106"/>
        <v>0.96798536790227196</v>
      </c>
      <c r="S326" s="802">
        <f t="shared" si="107"/>
        <v>0</v>
      </c>
      <c r="T326" s="172">
        <f t="shared" si="108"/>
        <v>6</v>
      </c>
      <c r="U326" s="247">
        <f t="shared" si="109"/>
        <v>0.96798536790227196</v>
      </c>
      <c r="V326" s="378">
        <f t="shared" si="110"/>
        <v>24.234264873269389</v>
      </c>
      <c r="W326" s="397">
        <f t="shared" si="111"/>
        <v>17.622374684106038</v>
      </c>
      <c r="X326" s="153">
        <f t="shared" si="112"/>
        <v>47795</v>
      </c>
      <c r="Y326" s="380">
        <f t="shared" si="113"/>
        <v>16.970242477952546</v>
      </c>
      <c r="Z326" s="380">
        <f t="shared" si="114"/>
        <v>17.747883970752756</v>
      </c>
      <c r="AA326" s="381">
        <f t="shared" si="115"/>
        <v>18.807213039707403</v>
      </c>
      <c r="AB326" s="193">
        <f t="shared" si="116"/>
        <v>47795</v>
      </c>
      <c r="AC326" s="119">
        <f>IF(OR(t&lt;Tnet,NoTnet),'2029'!Resal_s+('2029'!Salim-'2029'!Resal_s)*(1-EXP(('2029'!Tnet_s-t)/'2029'!Tau_j)),Resal_s+(Salim-Resal_s)*(1-EXP((Tnet_s-t)/Tau_j)))*Salcycl</f>
        <v>5.6325680297133807E-2</v>
      </c>
      <c r="AD326" s="227">
        <f>(INDEX(Models!$BJ326:$BT326,,AH326)*(1-AF326)+INDEX(Models!$BJ326:$BT326,,AH326+1)*AF326-ERP_i)*AE326*Ramure*Pc/MaxiM</f>
        <v>2.5232297531706471E-2</v>
      </c>
      <c r="AE326" s="301">
        <f t="shared" si="117"/>
        <v>0.5</v>
      </c>
      <c r="AF326" s="173">
        <f t="shared" si="118"/>
        <v>0.49297293427624922</v>
      </c>
      <c r="AG326" s="802">
        <f t="shared" si="124"/>
        <v>4</v>
      </c>
      <c r="AH326" s="172">
        <f t="shared" si="119"/>
        <v>10</v>
      </c>
      <c r="AI326" s="221">
        <f t="shared" si="120"/>
        <v>4.4929729342762492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47796</v>
      </c>
      <c r="B327" s="406">
        <f>'2029'!Wh/'2029'!Env_an*'2030'!Env_an</f>
        <v>9.828377903096758</v>
      </c>
      <c r="C327" s="832"/>
      <c r="D327" s="388">
        <f t="shared" si="102"/>
        <v>10.278892522852727</v>
      </c>
      <c r="E327" s="380">
        <f t="shared" si="125"/>
        <v>10.624131947667371</v>
      </c>
      <c r="F327" s="380">
        <f t="shared" si="103"/>
        <v>10.632277999276548</v>
      </c>
      <c r="G327" s="110">
        <f t="shared" si="126"/>
        <v>0.40940193113637863</v>
      </c>
      <c r="H327" s="409" t="b">
        <f>Wh_hp&gt;='2029'!Maxi_hp</f>
        <v>0</v>
      </c>
      <c r="I327" s="385">
        <f>IF(H327,Wh_hp,'2029'!Maxi_hp)</f>
        <v>10.654615352614371</v>
      </c>
      <c r="J327" s="85">
        <f>IF(H327,An,'2029'!An_max)</f>
        <v>2029</v>
      </c>
      <c r="K327" s="193">
        <f t="shared" si="104"/>
        <v>47796</v>
      </c>
      <c r="L327" s="143">
        <f>IF(t&lt;Tvie,1-EXP((T0-t)*PertePVj)+'2029'!Pspv,1-EXP((T0-t)*PertePVj)+Pspv)</f>
        <v>4.3829101117105251E-2</v>
      </c>
      <c r="M327" s="836"/>
      <c r="N327" s="836"/>
      <c r="O327" s="48">
        <f>IF(t&lt;Tnet,'2029'!Resal+('2029'!Salim-'2029'!Resal)*(1-EXP(('2029'!Tnet-t)/('2029'!Tau_j))),Resal+(Salim-Resal)*(1-EXP((Tnet-t)/(Tau_j))))*Salcycl</f>
        <v>3.2495777209397662E-2</v>
      </c>
      <c r="P327" s="165">
        <f>(INDEX(Models!$BJ327:$BT327,,T327)*(1-R327)+INDEX(Models!$BJ327:$BT327,,T327+1)*R327-ERP_i)*Q327*Ramure*Pc/MaxiM</f>
        <v>4.82847411704454E-3</v>
      </c>
      <c r="Q327" s="301">
        <f t="shared" si="105"/>
        <v>0.5</v>
      </c>
      <c r="R327" s="173">
        <f t="shared" si="106"/>
        <v>0.96802590955074153</v>
      </c>
      <c r="S327" s="802">
        <f t="shared" si="107"/>
        <v>0</v>
      </c>
      <c r="T327" s="172">
        <f t="shared" si="108"/>
        <v>6</v>
      </c>
      <c r="U327" s="247">
        <f t="shared" si="109"/>
        <v>0.96802590955074153</v>
      </c>
      <c r="V327" s="378">
        <f t="shared" si="110"/>
        <v>23.909074703161345</v>
      </c>
      <c r="W327" s="397">
        <f t="shared" si="111"/>
        <v>9.828377903096758</v>
      </c>
      <c r="X327" s="153">
        <f t="shared" si="112"/>
        <v>47796</v>
      </c>
      <c r="Y327" s="380">
        <f t="shared" si="113"/>
        <v>9.554121049897379</v>
      </c>
      <c r="Z327" s="380">
        <f t="shared" si="114"/>
        <v>9.992064244017012</v>
      </c>
      <c r="AA327" s="381">
        <f t="shared" si="115"/>
        <v>10.588291241353581</v>
      </c>
      <c r="AB327" s="193">
        <f t="shared" si="116"/>
        <v>47796</v>
      </c>
      <c r="AC327" s="119">
        <f>IF(OR(t&lt;Tnet,NoTnet),'2029'!Resal_s+('2029'!Salim-'2029'!Resal_s)*(1-EXP(('2029'!Tnet_s-t)/'2029'!Tau_j)),Resal_s+(Salim-Resal_s)*(1-EXP((Tnet_s-t)/Tau_j)))*Salcycl</f>
        <v>5.6310029989347914E-2</v>
      </c>
      <c r="AD327" s="227">
        <f>(INDEX(Models!$BJ327:$BT327,,AH327)*(1-AF327)+INDEX(Models!$BJ327:$BT327,,AH327+1)*AF327-ERP_i)*AE327*Ramure*Pc/MaxiM</f>
        <v>2.6072621720746651E-2</v>
      </c>
      <c r="AE327" s="301">
        <f t="shared" si="117"/>
        <v>0.5</v>
      </c>
      <c r="AF327" s="173">
        <f t="shared" si="118"/>
        <v>0.49301347592471867</v>
      </c>
      <c r="AG327" s="802">
        <f t="shared" si="124"/>
        <v>4</v>
      </c>
      <c r="AH327" s="172">
        <f t="shared" si="119"/>
        <v>10</v>
      </c>
      <c r="AI327" s="221">
        <f t="shared" si="120"/>
        <v>4.4930134759247187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47797</v>
      </c>
      <c r="B328" s="406">
        <f>'2029'!Wh/'2029'!Env_an*'2030'!Env_an</f>
        <v>17.871323702506398</v>
      </c>
      <c r="C328" s="832"/>
      <c r="D328" s="388">
        <f t="shared" si="102"/>
        <v>18.690767905767469</v>
      </c>
      <c r="E328" s="380">
        <f t="shared" si="125"/>
        <v>19.318989930441514</v>
      </c>
      <c r="F328" s="380">
        <f t="shared" si="103"/>
        <v>19.383587844841173</v>
      </c>
      <c r="G328" s="110">
        <f t="shared" si="126"/>
        <v>0.75623269776059965</v>
      </c>
      <c r="H328" s="409" t="b">
        <f>Wh_hp&gt;='2029'!Maxi_hp</f>
        <v>0</v>
      </c>
      <c r="I328" s="385">
        <f>IF(H328,Wh_hp,'2029'!Maxi_hp)</f>
        <v>19.401311166578108</v>
      </c>
      <c r="J328" s="85">
        <f>IF(H328,An,'2029'!An_max)</f>
        <v>2029</v>
      </c>
      <c r="K328" s="193">
        <f t="shared" si="104"/>
        <v>47797</v>
      </c>
      <c r="L328" s="143">
        <f>IF(t&lt;Tvie,1-EXP((T0-t)*PertePVj)+'2029'!Pspv,1-EXP((T0-t)*PertePVj)+Pspv)</f>
        <v>4.3842190293755245E-2</v>
      </c>
      <c r="M328" s="836"/>
      <c r="N328" s="836"/>
      <c r="O328" s="48">
        <f>IF(t&lt;Tnet,'2029'!Resal+('2029'!Salim-'2029'!Resal)*(1-EXP(('2029'!Tnet-t)/('2029'!Tau_j))),Resal+(Salim-Resal)*(1-EXP((Tnet-t)/(Tau_j))))*Salcycl</f>
        <v>3.2518368037665307E-2</v>
      </c>
      <c r="P328" s="165">
        <f>(INDEX(Models!$BJ328:$BT328,,T328)*(1-R328)+INDEX(Models!$BJ328:$BT328,,T328+1)*R328-ERP_i)*Q328*Ramure*Pc/MaxiM</f>
        <v>5.0982402978893508E-3</v>
      </c>
      <c r="Q328" s="301">
        <f t="shared" si="105"/>
        <v>0.5</v>
      </c>
      <c r="R328" s="173">
        <f t="shared" si="106"/>
        <v>0.96806482505977665</v>
      </c>
      <c r="S328" s="802">
        <f t="shared" si="107"/>
        <v>0</v>
      </c>
      <c r="T328" s="172">
        <f t="shared" si="108"/>
        <v>6</v>
      </c>
      <c r="U328" s="247">
        <f t="shared" si="109"/>
        <v>0.96806482505977665</v>
      </c>
      <c r="V328" s="378">
        <f t="shared" si="110"/>
        <v>23.590178093349369</v>
      </c>
      <c r="W328" s="397">
        <f t="shared" si="111"/>
        <v>17.871323702506398</v>
      </c>
      <c r="X328" s="153">
        <f t="shared" si="112"/>
        <v>47797</v>
      </c>
      <c r="Y328" s="380">
        <f t="shared" si="113"/>
        <v>17.184071295063035</v>
      </c>
      <c r="Z328" s="380">
        <f t="shared" si="114"/>
        <v>17.972003282954311</v>
      </c>
      <c r="AA328" s="381">
        <f t="shared" si="115"/>
        <v>19.044085637461286</v>
      </c>
      <c r="AB328" s="193">
        <f t="shared" si="116"/>
        <v>47797</v>
      </c>
      <c r="AC328" s="119">
        <f>IF(OR(t&lt;Tnet,NoTnet),'2029'!Resal_s+('2029'!Salim-'2029'!Resal_s)*(1-EXP(('2029'!Tnet_s-t)/'2029'!Tau_j)),Resal_s+(Salim-Resal_s)*(1-EXP((Tnet_s-t)/Tau_j)))*Salcycl</f>
        <v>5.6294766517857864E-2</v>
      </c>
      <c r="AD328" s="227">
        <f>(INDEX(Models!$BJ328:$BT328,,AH328)*(1-AF328)+INDEX(Models!$BJ328:$BT328,,AH328+1)*AF328-ERP_i)*AE328*Ramure*Pc/MaxiM</f>
        <v>2.6794422869101327E-2</v>
      </c>
      <c r="AE328" s="301">
        <f t="shared" si="117"/>
        <v>0.5</v>
      </c>
      <c r="AF328" s="173">
        <f t="shared" si="118"/>
        <v>0.49305239143375346</v>
      </c>
      <c r="AG328" s="802">
        <f t="shared" si="124"/>
        <v>4</v>
      </c>
      <c r="AH328" s="172">
        <f t="shared" si="119"/>
        <v>10</v>
      </c>
      <c r="AI328" s="221">
        <f t="shared" si="120"/>
        <v>4.4930523914337535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47798</v>
      </c>
      <c r="B329" s="406">
        <f>'2029'!Wh/'2029'!Env_an*'2030'!Env_an</f>
        <v>21.260880267708977</v>
      </c>
      <c r="C329" s="832"/>
      <c r="D329" s="388">
        <f t="shared" si="102"/>
        <v>22.236048379735475</v>
      </c>
      <c r="E329" s="380">
        <f t="shared" si="125"/>
        <v>22.983973139750187</v>
      </c>
      <c r="F329" s="380">
        <f t="shared" si="103"/>
        <v>23.092098814971589</v>
      </c>
      <c r="G329" s="110">
        <f t="shared" si="126"/>
        <v>0.91273699291676469</v>
      </c>
      <c r="H329" s="409" t="b">
        <f>Wh_hp&gt;='2029'!Maxi_hp</f>
        <v>0</v>
      </c>
      <c r="I329" s="385">
        <f>IF(H329,Wh_hp,'2029'!Maxi_hp)</f>
        <v>23.100015519056523</v>
      </c>
      <c r="J329" s="85">
        <f>IF(H329,An,'2029'!An_max)</f>
        <v>2029</v>
      </c>
      <c r="K329" s="193">
        <f t="shared" si="104"/>
        <v>47798</v>
      </c>
      <c r="L329" s="143">
        <f>IF(t&lt;Tvie,1-EXP((T0-t)*PertePVj)+'2029'!Pspv,1-EXP((T0-t)*PertePVj)+Pspv)</f>
        <v>4.3855279291225346E-2</v>
      </c>
      <c r="M329" s="836"/>
      <c r="N329" s="836"/>
      <c r="O329" s="48">
        <f>IF(t&lt;Tnet,'2029'!Resal+('2029'!Salim-'2029'!Resal)*(1-EXP(('2029'!Tnet-t)/('2029'!Tau_j))),Resal+(Salim-Resal)*(1-EXP((Tnet-t)/(Tau_j))))*Salcycl</f>
        <v>3.2541143146447356E-2</v>
      </c>
      <c r="P329" s="165">
        <f>(INDEX(Models!$BJ329:$BT329,,T329)*(1-R329)+INDEX(Models!$BJ329:$BT329,,T329+1)*R329-ERP_i)*Q329*Ramure*Pc/MaxiM</f>
        <v>5.3439120998001605E-3</v>
      </c>
      <c r="Q329" s="301">
        <f t="shared" si="105"/>
        <v>0.5</v>
      </c>
      <c r="R329" s="173">
        <f t="shared" si="106"/>
        <v>0.96810217941577381</v>
      </c>
      <c r="S329" s="802">
        <f t="shared" si="107"/>
        <v>0</v>
      </c>
      <c r="T329" s="172">
        <f t="shared" si="108"/>
        <v>6</v>
      </c>
      <c r="U329" s="247">
        <f t="shared" si="109"/>
        <v>0.96810217941577381</v>
      </c>
      <c r="V329" s="378">
        <f t="shared" si="110"/>
        <v>23.278062824468311</v>
      </c>
      <c r="W329" s="397">
        <f t="shared" si="111"/>
        <v>21.260880267708977</v>
      </c>
      <c r="X329" s="153">
        <f t="shared" si="112"/>
        <v>47798</v>
      </c>
      <c r="Y329" s="380">
        <f t="shared" si="113"/>
        <v>20.336603124333529</v>
      </c>
      <c r="Z329" s="380">
        <f t="shared" si="114"/>
        <v>21.269377620218759</v>
      </c>
      <c r="AA329" s="381">
        <f t="shared" si="115"/>
        <v>22.537803984721375</v>
      </c>
      <c r="AB329" s="193">
        <f t="shared" si="116"/>
        <v>47798</v>
      </c>
      <c r="AC329" s="119">
        <f>IF(OR(t&lt;Tnet,NoTnet),'2029'!Resal_s+('2029'!Salim-'2029'!Resal_s)*(1-EXP(('2029'!Tnet_s-t)/'2029'!Tau_j)),Resal_s+(Salim-Resal_s)*(1-EXP((Tnet_s-t)/Tau_j)))*Salcycl</f>
        <v>5.6279944814609982E-2</v>
      </c>
      <c r="AD329" s="227">
        <f>(INDEX(Models!$BJ329:$BT329,,AH329)*(1-AF329)+INDEX(Models!$BJ329:$BT329,,AH329+1)*AF329-ERP_i)*AE329*Ramure*Pc/MaxiM</f>
        <v>2.7394999792283142E-2</v>
      </c>
      <c r="AE329" s="301">
        <f t="shared" si="117"/>
        <v>0.5</v>
      </c>
      <c r="AF329" s="173">
        <f t="shared" si="118"/>
        <v>0.49308974578975118</v>
      </c>
      <c r="AG329" s="802">
        <f t="shared" si="124"/>
        <v>4</v>
      </c>
      <c r="AH329" s="172">
        <f t="shared" si="119"/>
        <v>10</v>
      </c>
      <c r="AI329" s="221">
        <f t="shared" si="120"/>
        <v>4.4930897457897512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47799</v>
      </c>
      <c r="B330" s="406">
        <f>'2029'!Wh/'2029'!Env_an*'2030'!Env_an</f>
        <v>21.387885047067911</v>
      </c>
      <c r="C330" s="832"/>
      <c r="D330" s="388">
        <f t="shared" si="102"/>
        <v>22.369184674686867</v>
      </c>
      <c r="E330" s="380">
        <f t="shared" si="125"/>
        <v>23.122137051420346</v>
      </c>
      <c r="F330" s="380">
        <f t="shared" si="103"/>
        <v>23.23870939103179</v>
      </c>
      <c r="G330" s="110">
        <f t="shared" si="126"/>
        <v>0.93047885446800915</v>
      </c>
      <c r="H330" s="409" t="b">
        <f>Wh_hp&gt;='2029'!Maxi_hp</f>
        <v>0</v>
      </c>
      <c r="I330" s="385">
        <f>IF(H330,Wh_hp,'2029'!Maxi_hp)</f>
        <v>23.245317456420246</v>
      </c>
      <c r="J330" s="85">
        <f>IF(H330,An,'2029'!An_max)</f>
        <v>2029</v>
      </c>
      <c r="K330" s="193">
        <f t="shared" si="104"/>
        <v>47799</v>
      </c>
      <c r="L330" s="143">
        <f>IF(t&lt;Tvie,1-EXP((T0-t)*PertePVj)+'2029'!Pspv,1-EXP((T0-t)*PertePVj)+Pspv)</f>
        <v>4.3868368109518108E-2</v>
      </c>
      <c r="M330" s="836"/>
      <c r="N330" s="836"/>
      <c r="O330" s="48">
        <f>IF(t&lt;Tnet,'2029'!Resal+('2029'!Salim-'2029'!Resal)*(1-EXP(('2029'!Tnet-t)/('2029'!Tau_j))),Resal+(Salim-Resal)*(1-EXP((Tnet-t)/(Tau_j))))*Salcycl</f>
        <v>3.256413432110622E-2</v>
      </c>
      <c r="P330" s="165">
        <f>(INDEX(Models!$BJ330:$BT330,,T330)*(1-R330)+INDEX(Models!$BJ330:$BT330,,T330+1)*R330-ERP_i)*Q330*Ramure*Pc/MaxiM</f>
        <v>5.5649026955904559E-3</v>
      </c>
      <c r="Q330" s="301">
        <f t="shared" si="105"/>
        <v>0.5</v>
      </c>
      <c r="R330" s="173">
        <f t="shared" si="106"/>
        <v>0.96813803502683693</v>
      </c>
      <c r="S330" s="802">
        <f t="shared" si="107"/>
        <v>0</v>
      </c>
      <c r="T330" s="172">
        <f t="shared" si="108"/>
        <v>6</v>
      </c>
      <c r="U330" s="247">
        <f t="shared" si="109"/>
        <v>0.96813803502683693</v>
      </c>
      <c r="V330" s="378">
        <f t="shared" si="110"/>
        <v>22.973216789770362</v>
      </c>
      <c r="W330" s="397">
        <f t="shared" si="111"/>
        <v>21.387885047067911</v>
      </c>
      <c r="X330" s="153">
        <f t="shared" si="112"/>
        <v>47799</v>
      </c>
      <c r="Y330" s="380">
        <f t="shared" si="113"/>
        <v>20.442258577245944</v>
      </c>
      <c r="Z330" s="380">
        <f t="shared" si="114"/>
        <v>21.380171825114829</v>
      </c>
      <c r="AA330" s="381">
        <f t="shared" si="115"/>
        <v>22.654861620123189</v>
      </c>
      <c r="AB330" s="193">
        <f t="shared" si="116"/>
        <v>47799</v>
      </c>
      <c r="AC330" s="119">
        <f>IF(OR(t&lt;Tnet,NoTnet),'2029'!Resal_s+('2029'!Salim-'2029'!Resal_s)*(1-EXP(('2029'!Tnet_s-t)/'2029'!Tau_j)),Resal_s+(Salim-Resal_s)*(1-EXP((Tnet_s-t)/Tau_j)))*Salcycl</f>
        <v>5.6265618231634493E-2</v>
      </c>
      <c r="AD330" s="227">
        <f>(INDEX(Models!$BJ330:$BT330,,AH330)*(1-AF330)+INDEX(Models!$BJ330:$BT330,,AH330+1)*AF330-ERP_i)*AE330*Ramure*Pc/MaxiM</f>
        <v>2.7871586389819767E-2</v>
      </c>
      <c r="AE330" s="301">
        <f t="shared" si="117"/>
        <v>0.5</v>
      </c>
      <c r="AF330" s="173">
        <f t="shared" si="118"/>
        <v>0.49312560140081452</v>
      </c>
      <c r="AG330" s="802">
        <f t="shared" si="124"/>
        <v>4</v>
      </c>
      <c r="AH330" s="172">
        <f t="shared" si="119"/>
        <v>10</v>
      </c>
      <c r="AI330" s="221">
        <f t="shared" si="120"/>
        <v>4.4931256014008145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47800</v>
      </c>
      <c r="B331" s="406">
        <f>'2029'!Wh/'2029'!Env_an*'2030'!Env_an</f>
        <v>20.365884982107978</v>
      </c>
      <c r="C331" s="832"/>
      <c r="D331" s="388">
        <f t="shared" si="102"/>
        <v>21.300585712784127</v>
      </c>
      <c r="E331" s="380">
        <f t="shared" si="125"/>
        <v>22.018097660902839</v>
      </c>
      <c r="F331" s="380">
        <f t="shared" si="103"/>
        <v>22.127026272042372</v>
      </c>
      <c r="G331" s="110">
        <f t="shared" si="126"/>
        <v>0.89741362017230475</v>
      </c>
      <c r="H331" s="409" t="b">
        <f>Wh_hp&gt;='2029'!Maxi_hp</f>
        <v>0</v>
      </c>
      <c r="I331" s="385">
        <f>IF(H331,Wh_hp,'2029'!Maxi_hp)</f>
        <v>22.136637442604965</v>
      </c>
      <c r="J331" s="85">
        <f>IF(H331,An,'2029'!An_max)</f>
        <v>2029</v>
      </c>
      <c r="K331" s="193">
        <f t="shared" si="104"/>
        <v>47800</v>
      </c>
      <c r="L331" s="143">
        <f>IF(t&lt;Tvie,1-EXP((T0-t)*PertePVj)+'2029'!Pspv,1-EXP((T0-t)*PertePVj)+Pspv)</f>
        <v>4.3881456748635861E-2</v>
      </c>
      <c r="M331" s="836"/>
      <c r="N331" s="836"/>
      <c r="O331" s="48">
        <f>IF(t&lt;Tnet,'2029'!Resal+('2029'!Salim-'2029'!Resal)*(1-EXP(('2029'!Tnet-t)/('2029'!Tau_j))),Resal+(Salim-Resal)*(1-EXP((Tnet-t)/(Tau_j))))*Salcycl</f>
        <v>3.2587372404691832E-2</v>
      </c>
      <c r="P331" s="165">
        <f>(INDEX(Models!$BJ331:$BT331,,T331)*(1-R331)+INDEX(Models!$BJ331:$BT331,,T331+1)*R331-ERP_i)*Q331*Ramure*Pc/MaxiM</f>
        <v>5.7609258680894615E-3</v>
      </c>
      <c r="Q331" s="301">
        <f t="shared" si="105"/>
        <v>0.5</v>
      </c>
      <c r="R331" s="173">
        <f t="shared" si="106"/>
        <v>0.96817245182358769</v>
      </c>
      <c r="S331" s="802">
        <f t="shared" si="107"/>
        <v>0</v>
      </c>
      <c r="T331" s="172">
        <f t="shared" si="108"/>
        <v>6</v>
      </c>
      <c r="U331" s="247">
        <f t="shared" si="109"/>
        <v>0.96817245182358769</v>
      </c>
      <c r="V331" s="378">
        <f t="shared" si="110"/>
        <v>22.674865261905406</v>
      </c>
      <c r="W331" s="397">
        <f t="shared" si="111"/>
        <v>20.365884982107978</v>
      </c>
      <c r="X331" s="153">
        <f t="shared" si="112"/>
        <v>47800</v>
      </c>
      <c r="Y331" s="380">
        <f t="shared" si="113"/>
        <v>19.484466974780258</v>
      </c>
      <c r="Z331" s="380">
        <f t="shared" si="114"/>
        <v>20.378714660759151</v>
      </c>
      <c r="AA331" s="381">
        <f t="shared" si="115"/>
        <v>21.593382098829835</v>
      </c>
      <c r="AB331" s="193">
        <f t="shared" si="116"/>
        <v>47800</v>
      </c>
      <c r="AC331" s="119">
        <f>IF(OR(t&lt;Tnet,NoTnet),'2029'!Resal_s+('2029'!Salim-'2029'!Resal_s)*(1-EXP(('2029'!Tnet_s-t)/'2029'!Tau_j)),Resal_s+(Salim-Resal_s)*(1-EXP((Tnet_s-t)/Tau_j)))*Salcycl</f>
        <v>5.6251838295239012E-2</v>
      </c>
      <c r="AD331" s="227">
        <f>(INDEX(Models!$BJ331:$BT331,,AH331)*(1-AF331)+INDEX(Models!$BJ331:$BT331,,AH331+1)*AF331-ERP_i)*AE331*Ramure*Pc/MaxiM</f>
        <v>2.8222929583461294E-2</v>
      </c>
      <c r="AE331" s="301">
        <f t="shared" si="117"/>
        <v>0.5</v>
      </c>
      <c r="AF331" s="173">
        <f t="shared" si="118"/>
        <v>0.49316001819756483</v>
      </c>
      <c r="AG331" s="802">
        <f t="shared" si="124"/>
        <v>4</v>
      </c>
      <c r="AH331" s="172">
        <f t="shared" si="119"/>
        <v>10</v>
      </c>
      <c r="AI331" s="221">
        <f t="shared" si="120"/>
        <v>4.4931600181975648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47801</v>
      </c>
      <c r="B332" s="406">
        <f>'2029'!Wh/'2029'!Env_an*'2030'!Env_an</f>
        <v>11.005294209873425</v>
      </c>
      <c r="C332" s="832"/>
      <c r="D332" s="388">
        <f t="shared" si="102"/>
        <v>11.510544317806772</v>
      </c>
      <c r="E332" s="380">
        <f t="shared" si="125"/>
        <v>11.898567148398692</v>
      </c>
      <c r="F332" s="380">
        <f t="shared" si="103"/>
        <v>11.917901267406858</v>
      </c>
      <c r="G332" s="110">
        <f t="shared" si="126"/>
        <v>0.48958268327984872</v>
      </c>
      <c r="H332" s="409" t="b">
        <f>Wh_hp&gt;='2029'!Maxi_hp</f>
        <v>0</v>
      </c>
      <c r="I332" s="385">
        <f>IF(H332,Wh_hp,'2029'!Maxi_hp)</f>
        <v>11.944428368692432</v>
      </c>
      <c r="J332" s="85">
        <f>IF(H332,An,'2029'!An_max)</f>
        <v>2029</v>
      </c>
      <c r="K332" s="193">
        <f t="shared" si="104"/>
        <v>47801</v>
      </c>
      <c r="L332" s="143">
        <f>IF(t&lt;Tvie,1-EXP((T0-t)*PertePVj)+'2029'!Pspv,1-EXP((T0-t)*PertePVj)+Pspv)</f>
        <v>4.389454520858127E-2</v>
      </c>
      <c r="M332" s="836"/>
      <c r="N332" s="836"/>
      <c r="O332" s="48">
        <f>IF(t&lt;Tnet,'2029'!Resal+('2029'!Salim-'2029'!Resal)*(1-EXP(('2029'!Tnet-t)/('2029'!Tau_j))),Resal+(Salim-Resal)*(1-EXP((Tnet-t)/(Tau_j))))*Salcycl</f>
        <v>3.2610887155781657E-2</v>
      </c>
      <c r="P332" s="165">
        <f>(INDEX(Models!$BJ332:$BT332,,T332)*(1-R332)+INDEX(Models!$BJ332:$BT332,,T332+1)*R332-ERP_i)*Q332*Ramure*Pc/MaxiM</f>
        <v>5.9237658747323795E-3</v>
      </c>
      <c r="Q332" s="301">
        <f t="shared" si="105"/>
        <v>0.5</v>
      </c>
      <c r="R332" s="173">
        <f t="shared" si="106"/>
        <v>0.96820548735614942</v>
      </c>
      <c r="S332" s="802">
        <f t="shared" si="107"/>
        <v>0</v>
      </c>
      <c r="T332" s="172">
        <f t="shared" si="108"/>
        <v>6</v>
      </c>
      <c r="U332" s="247">
        <f t="shared" si="109"/>
        <v>0.96820548735614942</v>
      </c>
      <c r="V332" s="378">
        <f t="shared" si="110"/>
        <v>22.38207864538402</v>
      </c>
      <c r="W332" s="397">
        <f t="shared" si="111"/>
        <v>11.005294209873425</v>
      </c>
      <c r="X332" s="153">
        <f t="shared" si="112"/>
        <v>47801</v>
      </c>
      <c r="Y332" s="380">
        <f t="shared" si="113"/>
        <v>10.67017167860422</v>
      </c>
      <c r="Z332" s="380">
        <f t="shared" si="114"/>
        <v>11.16003640093445</v>
      </c>
      <c r="AA332" s="381">
        <f t="shared" si="115"/>
        <v>11.825061975463951</v>
      </c>
      <c r="AB332" s="193">
        <f t="shared" si="116"/>
        <v>47801</v>
      </c>
      <c r="AC332" s="119">
        <f>IF(OR(t&lt;Tnet,NoTnet),'2029'!Resal_s+('2029'!Salim-'2029'!Resal_s)*(1-EXP(('2029'!Tnet_s-t)/'2029'!Tau_j)),Resal_s+(Salim-Resal_s)*(1-EXP((Tnet_s-t)/Tau_j)))*Salcycl</f>
        <v>5.6238654470426891E-2</v>
      </c>
      <c r="AD332" s="227">
        <f>(INDEX(Models!$BJ332:$BT332,,AH332)*(1-AF332)+INDEX(Models!$BJ332:$BT332,,AH332+1)*AF332-ERP_i)*AE332*Ramure*Pc/MaxiM</f>
        <v>2.8444959359844958E-2</v>
      </c>
      <c r="AE332" s="301">
        <f t="shared" si="117"/>
        <v>0.5</v>
      </c>
      <c r="AF332" s="173">
        <f t="shared" si="118"/>
        <v>0.49319305373012678</v>
      </c>
      <c r="AG332" s="802">
        <f t="shared" si="124"/>
        <v>4</v>
      </c>
      <c r="AH332" s="172">
        <f t="shared" si="119"/>
        <v>10</v>
      </c>
      <c r="AI332" s="221">
        <f t="shared" si="120"/>
        <v>4.4931930537301268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47802</v>
      </c>
      <c r="B333" s="406">
        <f>'2029'!Wh/'2029'!Env_an*'2030'!Env_an</f>
        <v>12.496144155698792</v>
      </c>
      <c r="C333" s="832"/>
      <c r="D333" s="388">
        <f t="shared" si="102"/>
        <v>13.07001770268781</v>
      </c>
      <c r="E333" s="380">
        <f t="shared" si="125"/>
        <v>13.510943382798706</v>
      </c>
      <c r="F333" s="380">
        <f t="shared" si="103"/>
        <v>13.542051022671265</v>
      </c>
      <c r="G333" s="110">
        <f t="shared" si="126"/>
        <v>0.5634394866393827</v>
      </c>
      <c r="H333" s="409" t="b">
        <f>Wh_hp&gt;='2029'!Maxi_hp</f>
        <v>0</v>
      </c>
      <c r="I333" s="385">
        <f>IF(H333,Wh_hp,'2029'!Maxi_hp)</f>
        <v>13.568390090033908</v>
      </c>
      <c r="J333" s="85">
        <f>IF(H333,An,'2029'!An_max)</f>
        <v>2029</v>
      </c>
      <c r="K333" s="193">
        <f t="shared" si="104"/>
        <v>47802</v>
      </c>
      <c r="L333" s="143">
        <f>IF(t&lt;Tvie,1-EXP((T0-t)*PertePVj)+'2029'!Pspv,1-EXP((T0-t)*PertePVj)+Pspv)</f>
        <v>4.3907633489356557E-2</v>
      </c>
      <c r="M333" s="836"/>
      <c r="N333" s="836"/>
      <c r="O333" s="48">
        <f>IF(t&lt;Tnet,'2029'!Resal+('2029'!Salim-'2029'!Resal)*(1-EXP(('2029'!Tnet-t)/('2029'!Tau_j))),Resal+(Salim-Resal)*(1-EXP((Tnet-t)/(Tau_j))))*Salcycl</f>
        <v>3.2634707112477061E-2</v>
      </c>
      <c r="P333" s="165">
        <f>(INDEX(Models!$BJ333:$BT333,,T333)*(1-R333)+INDEX(Models!$BJ333:$BT333,,T333+1)*R333-ERP_i)*Q333*Ramure*Pc/MaxiM</f>
        <v>6.0548340572253488E-3</v>
      </c>
      <c r="Q333" s="301">
        <f t="shared" si="105"/>
        <v>0.5</v>
      </c>
      <c r="R333" s="173">
        <f t="shared" si="106"/>
        <v>0.96823719688744447</v>
      </c>
      <c r="S333" s="802">
        <f t="shared" si="107"/>
        <v>0</v>
      </c>
      <c r="T333" s="172">
        <f t="shared" si="108"/>
        <v>6</v>
      </c>
      <c r="U333" s="247">
        <f t="shared" si="109"/>
        <v>0.96823719688744447</v>
      </c>
      <c r="V333" s="378">
        <f t="shared" si="110"/>
        <v>22.094793371612219</v>
      </c>
      <c r="W333" s="397">
        <f t="shared" si="111"/>
        <v>12.496144155698792</v>
      </c>
      <c r="X333" s="153">
        <f t="shared" si="112"/>
        <v>47802</v>
      </c>
      <c r="Y333" s="380">
        <f t="shared" si="113"/>
        <v>12.086866752098985</v>
      </c>
      <c r="Z333" s="380">
        <f t="shared" si="114"/>
        <v>12.641944623207522</v>
      </c>
      <c r="AA333" s="381">
        <f t="shared" si="115"/>
        <v>13.395098984934807</v>
      </c>
      <c r="AB333" s="193">
        <f t="shared" si="116"/>
        <v>47802</v>
      </c>
      <c r="AC333" s="119">
        <f>IF(OR(t&lt;Tnet,NoTnet),'2029'!Resal_s+('2029'!Salim-'2029'!Resal_s)*(1-EXP(('2029'!Tnet_s-t)/'2029'!Tau_j)),Resal_s+(Salim-Resal_s)*(1-EXP((Tnet_s-t)/Tau_j)))*Salcycl</f>
        <v>5.6226113937219942E-2</v>
      </c>
      <c r="AD333" s="227">
        <f>(INDEX(Models!$BJ333:$BT333,,AH333)*(1-AF333)+INDEX(Models!$BJ333:$BT333,,AH333+1)*AF333-ERP_i)*AE333*Ramure*Pc/MaxiM</f>
        <v>2.8602947909600211E-2</v>
      </c>
      <c r="AE333" s="301">
        <f t="shared" si="117"/>
        <v>0.5</v>
      </c>
      <c r="AF333" s="173">
        <f t="shared" si="118"/>
        <v>0.49322476326142173</v>
      </c>
      <c r="AG333" s="802">
        <f t="shared" si="124"/>
        <v>4</v>
      </c>
      <c r="AH333" s="172">
        <f t="shared" si="119"/>
        <v>10</v>
      </c>
      <c r="AI333" s="221">
        <f t="shared" si="120"/>
        <v>4.4932247632614217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47803</v>
      </c>
      <c r="B334" s="406">
        <f>'2029'!Wh/'2029'!Env_an*'2030'!Env_an</f>
        <v>20.872048879404989</v>
      </c>
      <c r="C334" s="832"/>
      <c r="D334" s="388">
        <f t="shared" si="102"/>
        <v>21.830876738733565</v>
      </c>
      <c r="E334" s="380">
        <f t="shared" si="125"/>
        <v>22.567919241630293</v>
      </c>
      <c r="F334" s="380">
        <f t="shared" si="103"/>
        <v>22.698992011225691</v>
      </c>
      <c r="G334" s="110">
        <f t="shared" si="126"/>
        <v>0.95649825816441381</v>
      </c>
      <c r="H334" s="409" t="b">
        <f>Wh_hp&gt;='2029'!Maxi_hp</f>
        <v>0</v>
      </c>
      <c r="I334" s="385">
        <f>IF(H334,Wh_hp,'2029'!Maxi_hp)</f>
        <v>22.703454545271786</v>
      </c>
      <c r="J334" s="85">
        <f>IF(H334,An,'2029'!An_max)</f>
        <v>2029</v>
      </c>
      <c r="K334" s="193">
        <f t="shared" si="104"/>
        <v>47803</v>
      </c>
      <c r="L334" s="143">
        <f>IF(t&lt;Tvie,1-EXP((T0-t)*PertePVj)+'2029'!Pspv,1-EXP((T0-t)*PertePVj)+Pspv)</f>
        <v>4.3920721590964273E-2</v>
      </c>
      <c r="M334" s="836"/>
      <c r="N334" s="836"/>
      <c r="O334" s="48">
        <f>IF(t&lt;Tnet,'2029'!Resal+('2029'!Salim-'2029'!Resal)*(1-EXP(('2029'!Tnet-t)/('2029'!Tau_j))),Resal+(Salim-Resal)*(1-EXP((Tnet-t)/(Tau_j))))*Salcycl</f>
        <v>3.2658859463531295E-2</v>
      </c>
      <c r="P334" s="165">
        <f>(INDEX(Models!$BJ334:$BT334,,T334)*(1-R334)+INDEX(Models!$BJ334:$BT334,,T334+1)*R334-ERP_i)*Q334*Ramure*Pc/MaxiM</f>
        <v>6.1535963004817028E-3</v>
      </c>
      <c r="Q334" s="301">
        <f t="shared" si="105"/>
        <v>0.5</v>
      </c>
      <c r="R334" s="173">
        <f t="shared" si="106"/>
        <v>0.9682676334829341</v>
      </c>
      <c r="S334" s="802">
        <f t="shared" si="107"/>
        <v>0</v>
      </c>
      <c r="T334" s="172">
        <f t="shared" si="108"/>
        <v>6</v>
      </c>
      <c r="U334" s="247">
        <f t="shared" si="109"/>
        <v>0.9682676334829341</v>
      </c>
      <c r="V334" s="378">
        <f t="shared" si="110"/>
        <v>21.81299114983667</v>
      </c>
      <c r="W334" s="397">
        <f t="shared" si="111"/>
        <v>20.872048879404989</v>
      </c>
      <c r="X334" s="153">
        <f t="shared" si="112"/>
        <v>47803</v>
      </c>
      <c r="Y334" s="380">
        <f t="shared" si="113"/>
        <v>19.930539516693308</v>
      </c>
      <c r="Z334" s="380">
        <f t="shared" si="114"/>
        <v>20.846115972577852</v>
      </c>
      <c r="AA334" s="381">
        <f t="shared" si="115"/>
        <v>22.087763270368452</v>
      </c>
      <c r="AB334" s="193">
        <f t="shared" si="116"/>
        <v>47803</v>
      </c>
      <c r="AC334" s="119">
        <f>IF(OR(t&lt;Tnet,NoTnet),'2029'!Resal_s+('2029'!Salim-'2029'!Resal_s)*(1-EXP(('2029'!Tnet_s-t)/'2029'!Tau_j)),Resal_s+(Salim-Resal_s)*(1-EXP((Tnet_s-t)/Tau_j)))*Salcycl</f>
        <v>5.6214261380477325E-2</v>
      </c>
      <c r="AD334" s="227">
        <f>(INDEX(Models!$BJ334:$BT334,,AH334)*(1-AF334)+INDEX(Models!$BJ334:$BT334,,AH334+1)*AF334-ERP_i)*AE334*Ramure*Pc/MaxiM</f>
        <v>2.8695929216248788E-2</v>
      </c>
      <c r="AE334" s="301">
        <f t="shared" si="117"/>
        <v>0.5</v>
      </c>
      <c r="AF334" s="173">
        <f t="shared" si="118"/>
        <v>0.49325519985691102</v>
      </c>
      <c r="AG334" s="802">
        <f t="shared" si="124"/>
        <v>4</v>
      </c>
      <c r="AH334" s="172">
        <f t="shared" si="119"/>
        <v>10</v>
      </c>
      <c r="AI334" s="221">
        <f t="shared" si="120"/>
        <v>4.493255199856911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47804</v>
      </c>
      <c r="B335" s="406">
        <f>'2029'!Wh/'2029'!Env_an*'2030'!Env_an</f>
        <v>13.720428474648052</v>
      </c>
      <c r="C335" s="832"/>
      <c r="D335" s="388">
        <f t="shared" ref="D335:D379" si="127">Wh/(1-Ppv)</f>
        <v>14.350919017087085</v>
      </c>
      <c r="E335" s="380">
        <f t="shared" si="125"/>
        <v>14.83580305655653</v>
      </c>
      <c r="F335" s="380">
        <f t="shared" ref="F335:F379" si="128">Wh_sa/(1-Pvg*MEDIAN((-Sdif+Wh/Env_an)/Csdif,0,1))</f>
        <v>14.880368255202391</v>
      </c>
      <c r="G335" s="110">
        <f t="shared" si="126"/>
        <v>0.63501286560536219</v>
      </c>
      <c r="H335" s="409" t="b">
        <f>Wh_hp&gt;='2029'!Maxi_hp</f>
        <v>0</v>
      </c>
      <c r="I335" s="385">
        <f>IF(H335,Wh_hp,'2029'!Maxi_hp)</f>
        <v>14.90520857000852</v>
      </c>
      <c r="J335" s="85">
        <f>IF(H335,An,'2029'!An_max)</f>
        <v>2029</v>
      </c>
      <c r="K335" s="193">
        <f t="shared" ref="K335:K379" si="129">t</f>
        <v>47804</v>
      </c>
      <c r="L335" s="143">
        <f>IF(t&lt;Tvie,1-EXP((T0-t)*PertePVj)+'2029'!Pspv,1-EXP((T0-t)*PertePVj)+Pspv)</f>
        <v>4.3933809513406863E-2</v>
      </c>
      <c r="M335" s="836"/>
      <c r="N335" s="836"/>
      <c r="O335" s="48">
        <f>IF(t&lt;Tnet,'2029'!Resal+('2029'!Salim-'2029'!Resal)*(1-EXP(('2029'!Tnet-t)/('2029'!Tau_j))),Resal+(Salim-Resal)*(1-EXP((Tnet-t)/(Tau_j))))*Salcycl</f>
        <v>3.2683369927531902E-2</v>
      </c>
      <c r="P335" s="165">
        <f>(INDEX(Models!$BJ335:$BT335,,T335)*(1-R335)+INDEX(Models!$BJ335:$BT335,,T335+1)*R335-ERP_i)*Q335*Ramure*Pc/MaxiM</f>
        <v>6.2195046132337136E-3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0.96829684809692829</v>
      </c>
      <c r="S335" s="802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0.96829684809692829</v>
      </c>
      <c r="V335" s="378">
        <f t="shared" ref="V335:V379" si="135">MaxiM*(1-Ppv)*(1-Pvg)*(1-Psa)</f>
        <v>21.536654361208768</v>
      </c>
      <c r="W335" s="397">
        <f t="shared" ref="W335:W379" si="136">Wh*(A335&gt;Tmaj)</f>
        <v>13.720428474648052</v>
      </c>
      <c r="X335" s="153">
        <f t="shared" ref="X335:X379" si="137">t</f>
        <v>47804</v>
      </c>
      <c r="Y335" s="380">
        <f t="shared" ref="Y335:Y379" si="138">Wh_pvt_s*(1-Ppv)</f>
        <v>13.241326664103859</v>
      </c>
      <c r="Z335" s="380">
        <f t="shared" ref="Z335:Z379" si="139">Wh_sa_s*(1-Psa_s)</f>
        <v>13.849801191447467</v>
      </c>
      <c r="AA335" s="381">
        <f t="shared" ref="AA335:AA379" si="140">Wh_hp*(1-Pvg_s*MEDIAN((-Sdif+Wh/Env_an)/Csdif,0,1))</f>
        <v>14.674557376425506</v>
      </c>
      <c r="AB335" s="193">
        <f t="shared" ref="AB335:AB379" si="141">t</f>
        <v>47804</v>
      </c>
      <c r="AC335" s="119">
        <f>IF(OR(t&lt;Tnet,NoTnet),'2029'!Resal_s+('2029'!Salim-'2029'!Resal_s)*(1-EXP(('2029'!Tnet_s-t)/'2029'!Tau_j)),Resal_s+(Salim-Resal_s)*(1-EXP((Tnet_s-t)/Tau_j)))*Salcycl</f>
        <v>5.6203138794700513E-2</v>
      </c>
      <c r="AD335" s="227">
        <f>(INDEX(Models!$BJ335:$BT335,,AH335)*(1-AF335)+INDEX(Models!$BJ335:$BT335,,AH335+1)*AF335-ERP_i)*AE335*Ramure*Pc/MaxiM</f>
        <v>2.8722899233063256E-2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0.49328441447090565</v>
      </c>
      <c r="AG335" s="802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4.4932844144709057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47805</v>
      </c>
      <c r="B336" s="406">
        <f>'2029'!Wh/'2029'!Env_an*'2030'!Env_an</f>
        <v>11.373008757150991</v>
      </c>
      <c r="C336" s="832"/>
      <c r="D336" s="388">
        <f t="shared" si="127"/>
        <v>11.89579190163926</v>
      </c>
      <c r="E336" s="380">
        <f t="shared" si="125"/>
        <v>12.298039404449355</v>
      </c>
      <c r="F336" s="380">
        <f t="shared" si="128"/>
        <v>12.323884189628391</v>
      </c>
      <c r="G336" s="110">
        <f t="shared" si="126"/>
        <v>0.53257691637428439</v>
      </c>
      <c r="H336" s="409" t="b">
        <f>Wh_hp&gt;='2029'!Maxi_hp</f>
        <v>0</v>
      </c>
      <c r="I336" s="385">
        <f>IF(H336,Wh_hp,'2029'!Maxi_hp)</f>
        <v>12.350377028474375</v>
      </c>
      <c r="J336" s="85">
        <f>IF(H336,An,'2029'!An_max)</f>
        <v>2029</v>
      </c>
      <c r="K336" s="193">
        <f t="shared" si="129"/>
        <v>47805</v>
      </c>
      <c r="L336" s="143">
        <f>IF(t&lt;Tvie,1-EXP((T0-t)*PertePVj)+'2029'!Pspv,1-EXP((T0-t)*PertePVj)+Pspv)</f>
        <v>4.3946897256686879E-2</v>
      </c>
      <c r="M336" s="836"/>
      <c r="N336" s="836"/>
      <c r="O336" s="48">
        <f>IF(t&lt;Tnet,'2029'!Resal+('2029'!Salim-'2029'!Resal)*(1-EXP(('2029'!Tnet-t)/('2029'!Tau_j))),Resal+(Salim-Resal)*(1-EXP((Tnet-t)/(Tau_j))))*Salcycl</f>
        <v>3.2708262640999901E-2</v>
      </c>
      <c r="P336" s="165">
        <f>(INDEX(Models!$BJ336:$BT336,,T336)*(1-R336)+INDEX(Models!$BJ336:$BT336,,T336+1)*R336-ERP_i)*Q336*Ramure*Pc/MaxiM</f>
        <v>6.2519941824287434E-3</v>
      </c>
      <c r="Q336" s="301">
        <f t="shared" si="130"/>
        <v>0.5</v>
      </c>
      <c r="R336" s="173">
        <f t="shared" si="131"/>
        <v>0.9683248896555916</v>
      </c>
      <c r="S336" s="802">
        <f t="shared" si="132"/>
        <v>0</v>
      </c>
      <c r="T336" s="172">
        <f t="shared" si="133"/>
        <v>6</v>
      </c>
      <c r="U336" s="247">
        <f t="shared" si="134"/>
        <v>0.9683248896555916</v>
      </c>
      <c r="V336" s="378">
        <f t="shared" si="135"/>
        <v>21.265766118880155</v>
      </c>
      <c r="W336" s="397">
        <f t="shared" si="136"/>
        <v>11.373008757150991</v>
      </c>
      <c r="X336" s="153">
        <f t="shared" si="137"/>
        <v>47805</v>
      </c>
      <c r="Y336" s="380">
        <f t="shared" si="138"/>
        <v>11.013218605074599</v>
      </c>
      <c r="Z336" s="380">
        <f t="shared" si="139"/>
        <v>11.519463274030599</v>
      </c>
      <c r="AA336" s="381">
        <f t="shared" si="140"/>
        <v>12.205313855071196</v>
      </c>
      <c r="AB336" s="193">
        <f t="shared" si="141"/>
        <v>47805</v>
      </c>
      <c r="AC336" s="119">
        <f>IF(OR(t&lt;Tnet,NoTnet),'2029'!Resal_s+('2029'!Salim-'2029'!Resal_s)*(1-EXP(('2029'!Tnet_s-t)/'2029'!Tau_j)),Resal_s+(Salim-Resal_s)*(1-EXP((Tnet_s-t)/Tau_j)))*Salcycl</f>
        <v>5.6192785305199895E-2</v>
      </c>
      <c r="AD336" s="227">
        <f>(INDEX(Models!$BJ336:$BT336,,AH336)*(1-AF336)+INDEX(Models!$BJ336:$BT336,,AH336+1)*AF336-ERP_i)*AE336*Ramure*Pc/MaxiM</f>
        <v>2.8682809190518643E-2</v>
      </c>
      <c r="AE336" s="301">
        <f t="shared" si="142"/>
        <v>0.5</v>
      </c>
      <c r="AF336" s="173">
        <f t="shared" si="143"/>
        <v>0.49331245602956919</v>
      </c>
      <c r="AG336" s="802">
        <f t="shared" ref="AG336:AG379" si="149">INDEX(Echel_vg,AH336)</f>
        <v>4</v>
      </c>
      <c r="AH336" s="172">
        <f t="shared" si="144"/>
        <v>10</v>
      </c>
      <c r="AI336" s="221">
        <f t="shared" si="145"/>
        <v>4.4933124560295692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47806</v>
      </c>
      <c r="B337" s="406">
        <f>'2029'!Wh/'2029'!Env_an*'2030'!Env_an</f>
        <v>8.1620380009925277</v>
      </c>
      <c r="C337" s="832"/>
      <c r="D337" s="388">
        <f t="shared" si="127"/>
        <v>8.5373393073538786</v>
      </c>
      <c r="E337" s="380">
        <f t="shared" si="125"/>
        <v>8.8262540235035054</v>
      </c>
      <c r="F337" s="380">
        <f t="shared" si="128"/>
        <v>8.8332472383080649</v>
      </c>
      <c r="G337" s="110">
        <f t="shared" si="126"/>
        <v>0.38653942414910775</v>
      </c>
      <c r="H337" s="409" t="b">
        <f>Wh_hp&gt;='2029'!Maxi_hp</f>
        <v>0</v>
      </c>
      <c r="I337" s="385">
        <f>IF(H337,Wh_hp,'2029'!Maxi_hp)</f>
        <v>8.8581759020799709</v>
      </c>
      <c r="J337" s="85">
        <f>IF(H337,An,'2029'!An_max)</f>
        <v>2029</v>
      </c>
      <c r="K337" s="193">
        <f t="shared" si="129"/>
        <v>47806</v>
      </c>
      <c r="L337" s="143">
        <f>IF(t&lt;Tvie,1-EXP((T0-t)*PertePVj)+'2029'!Pspv,1-EXP((T0-t)*PertePVj)+Pspv)</f>
        <v>4.3959984820806541E-2</v>
      </c>
      <c r="M337" s="836"/>
      <c r="N337" s="836"/>
      <c r="O337" s="48">
        <f>IF(t&lt;Tnet,'2029'!Resal+('2029'!Salim-'2029'!Resal)*(1-EXP(('2029'!Tnet-t)/('2029'!Tau_j))),Resal+(Salim-Resal)*(1-EXP((Tnet-t)/(Tau_j))))*Salcycl</f>
        <v>3.273356005619979E-2</v>
      </c>
      <c r="P337" s="165">
        <f>(INDEX(Models!$BJ337:$BT337,,T337)*(1-R337)+INDEX(Models!$BJ337:$BT337,,T337+1)*R337-ERP_i)*Q337*Ramure*Pc/MaxiM</f>
        <v>6.2504805691689976E-3</v>
      </c>
      <c r="Q337" s="301">
        <f t="shared" si="130"/>
        <v>0.5</v>
      </c>
      <c r="R337" s="173">
        <f t="shared" si="131"/>
        <v>0.96835180513676211</v>
      </c>
      <c r="S337" s="802">
        <f t="shared" si="132"/>
        <v>0</v>
      </c>
      <c r="T337" s="172">
        <f t="shared" si="133"/>
        <v>6</v>
      </c>
      <c r="U337" s="247">
        <f t="shared" si="134"/>
        <v>0.96835180513676211</v>
      </c>
      <c r="V337" s="378">
        <f t="shared" si="135"/>
        <v>21.000310332646304</v>
      </c>
      <c r="W337" s="397">
        <f t="shared" si="136"/>
        <v>8.1620380009925277</v>
      </c>
      <c r="X337" s="153">
        <f t="shared" si="137"/>
        <v>47806</v>
      </c>
      <c r="Y337" s="380">
        <f t="shared" si="138"/>
        <v>7.941626475267241</v>
      </c>
      <c r="Z337" s="380">
        <f t="shared" si="139"/>
        <v>8.3067929680524077</v>
      </c>
      <c r="AA337" s="381">
        <f t="shared" si="140"/>
        <v>8.8012772115946056</v>
      </c>
      <c r="AB337" s="193">
        <f t="shared" si="141"/>
        <v>47806</v>
      </c>
      <c r="AC337" s="119">
        <f>IF(OR(t&lt;Tnet,NoTnet),'2029'!Resal_s+('2029'!Salim-'2029'!Resal_s)*(1-EXP(('2029'!Tnet_s-t)/'2029'!Tau_j)),Resal_s+(Salim-Resal_s)*(1-EXP((Tnet_s-t)/Tau_j)))*Salcycl</f>
        <v>5.6183237006871688E-2</v>
      </c>
      <c r="AD337" s="227">
        <f>(INDEX(Models!$BJ337:$BT337,,AH337)*(1-AF337)+INDEX(Models!$BJ337:$BT337,,AH337+1)*AF337-ERP_i)*AE337*Ramure*Pc/MaxiM</f>
        <v>2.8574559248198968E-2</v>
      </c>
      <c r="AE337" s="301">
        <f t="shared" si="142"/>
        <v>0.5</v>
      </c>
      <c r="AF337" s="173">
        <f t="shared" si="143"/>
        <v>0.49333937151073926</v>
      </c>
      <c r="AG337" s="802">
        <f t="shared" si="149"/>
        <v>4</v>
      </c>
      <c r="AH337" s="172">
        <f t="shared" si="144"/>
        <v>10</v>
      </c>
      <c r="AI337" s="221">
        <f t="shared" si="145"/>
        <v>4.4933393715107393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47807</v>
      </c>
      <c r="B338" s="406">
        <f>'2029'!Wh/'2029'!Env_an*'2030'!Env_an</f>
        <v>14.692876567800326</v>
      </c>
      <c r="C338" s="832"/>
      <c r="D338" s="388">
        <f t="shared" si="127"/>
        <v>15.368684856712234</v>
      </c>
      <c r="E338" s="380">
        <f t="shared" si="125"/>
        <v>15.889203777511153</v>
      </c>
      <c r="F338" s="380">
        <f t="shared" si="128"/>
        <v>15.947069705868373</v>
      </c>
      <c r="G338" s="110">
        <f t="shared" si="126"/>
        <v>0.70658410494285284</v>
      </c>
      <c r="H338" s="409" t="b">
        <f>Wh_hp&gt;='2029'!Maxi_hp</f>
        <v>0</v>
      </c>
      <c r="I338" s="385">
        <f>IF(H338,Wh_hp,'2029'!Maxi_hp)</f>
        <v>15.968452484480915</v>
      </c>
      <c r="J338" s="85">
        <f>IF(H338,An,'2029'!An_max)</f>
        <v>2029</v>
      </c>
      <c r="K338" s="193">
        <f t="shared" si="129"/>
        <v>47807</v>
      </c>
      <c r="L338" s="143">
        <f>IF(t&lt;Tvie,1-EXP((T0-t)*PertePVj)+'2029'!Pspv,1-EXP((T0-t)*PertePVj)+Pspv)</f>
        <v>4.3973072205768515E-2</v>
      </c>
      <c r="M338" s="836"/>
      <c r="N338" s="836"/>
      <c r="O338" s="48">
        <f>IF(t&lt;Tnet,'2029'!Resal+('2029'!Salim-'2029'!Resal)*(1-EXP(('2029'!Tnet-t)/('2029'!Tau_j))),Resal+(Salim-Resal)*(1-EXP((Tnet-t)/(Tau_j))))*Salcycl</f>
        <v>3.2759282849379609E-2</v>
      </c>
      <c r="P338" s="165">
        <f>(INDEX(Models!$BJ338:$BT338,,T338)*(1-R338)+INDEX(Models!$BJ338:$BT338,,T338+1)*R338-ERP_i)*Q338*Ramure*Pc/MaxiM</f>
        <v>6.2190887551742628E-3</v>
      </c>
      <c r="Q338" s="301">
        <f t="shared" si="130"/>
        <v>0.5</v>
      </c>
      <c r="R338" s="173">
        <f t="shared" si="131"/>
        <v>0.9683776396467012</v>
      </c>
      <c r="S338" s="802">
        <f t="shared" si="132"/>
        <v>0</v>
      </c>
      <c r="T338" s="172">
        <f t="shared" si="133"/>
        <v>6</v>
      </c>
      <c r="U338" s="247">
        <f t="shared" si="134"/>
        <v>0.9683776396467012</v>
      </c>
      <c r="V338" s="378">
        <f t="shared" si="135"/>
        <v>20.74017301098025</v>
      </c>
      <c r="W338" s="397">
        <f t="shared" si="136"/>
        <v>14.692876567800326</v>
      </c>
      <c r="X338" s="153">
        <f t="shared" si="137"/>
        <v>47807</v>
      </c>
      <c r="Y338" s="380">
        <f t="shared" si="138"/>
        <v>14.150802560314414</v>
      </c>
      <c r="Z338" s="380">
        <f t="shared" si="139"/>
        <v>14.801677807301401</v>
      </c>
      <c r="AA338" s="381">
        <f t="shared" si="140"/>
        <v>15.682642848637265</v>
      </c>
      <c r="AB338" s="193">
        <f t="shared" si="141"/>
        <v>47807</v>
      </c>
      <c r="AC338" s="119">
        <f>IF(OR(t&lt;Tnet,NoTnet),'2029'!Resal_s+('2029'!Salim-'2029'!Resal_s)*(1-EXP(('2029'!Tnet_s-t)/'2029'!Tau_j)),Resal_s+(Salim-Resal_s)*(1-EXP((Tnet_s-t)/Tau_j)))*Salcycl</f>
        <v>5.617452682169672E-2</v>
      </c>
      <c r="AD338" s="227">
        <f>(INDEX(Models!$BJ338:$BT338,,AH338)*(1-AF338)+INDEX(Models!$BJ338:$BT338,,AH338+1)*AF338-ERP_i)*AE338*Ramure*Pc/MaxiM</f>
        <v>2.8419039339007825E-2</v>
      </c>
      <c r="AE338" s="301">
        <f t="shared" si="142"/>
        <v>0.5</v>
      </c>
      <c r="AF338" s="173">
        <f t="shared" si="143"/>
        <v>0.49336520602067857</v>
      </c>
      <c r="AG338" s="802">
        <f t="shared" si="149"/>
        <v>4</v>
      </c>
      <c r="AH338" s="172">
        <f t="shared" si="144"/>
        <v>10</v>
      </c>
      <c r="AI338" s="221">
        <f t="shared" si="145"/>
        <v>4.4933652060206786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47808</v>
      </c>
      <c r="B339" s="406">
        <f>'2029'!Wh/'2029'!Env_an*'2030'!Env_an</f>
        <v>3.3459918833307927</v>
      </c>
      <c r="C339" s="832"/>
      <c r="D339" s="388">
        <f t="shared" si="127"/>
        <v>3.4999408390064106</v>
      </c>
      <c r="E339" s="380">
        <f t="shared" si="125"/>
        <v>3.6185775311462423</v>
      </c>
      <c r="F339" s="380">
        <f t="shared" si="128"/>
        <v>3.6185775311462423</v>
      </c>
      <c r="G339" s="110">
        <f t="shared" si="126"/>
        <v>0.16233020401135778</v>
      </c>
      <c r="H339" s="409" t="b">
        <f>Wh_hp&gt;='2029'!Maxi_hp</f>
        <v>0</v>
      </c>
      <c r="I339" s="385">
        <f>IF(H339,Wh_hp,'2029'!Maxi_hp)</f>
        <v>3.630137530262179</v>
      </c>
      <c r="J339" s="85">
        <f>IF(H339,An,'2029'!An_max)</f>
        <v>2029</v>
      </c>
      <c r="K339" s="193">
        <f t="shared" si="129"/>
        <v>47808</v>
      </c>
      <c r="L339" s="143">
        <f>IF(t&lt;Tvie,1-EXP((T0-t)*PertePVj)+'2029'!Pspv,1-EXP((T0-t)*PertePVj)+Pspv)</f>
        <v>4.3986159411575132E-2</v>
      </c>
      <c r="M339" s="836"/>
      <c r="N339" s="836"/>
      <c r="O339" s="48">
        <f>IF(t&lt;Tnet,'2029'!Resal+('2029'!Salim-'2029'!Resal)*(1-EXP(('2029'!Tnet-t)/('2029'!Tau_j))),Resal+(Salim-Resal)*(1-EXP((Tnet-t)/(Tau_j))))*Salcycl</f>
        <v>3.278544984007891E-2</v>
      </c>
      <c r="P339" s="165">
        <f>(INDEX(Models!$BJ339:$BT339,,T339)*(1-R339)+INDEX(Models!$BJ339:$BT339,,T339+1)*R339-ERP_i)*Q339*Ramure*Pc/MaxiM</f>
        <v>6.1838076523673463E-3</v>
      </c>
      <c r="Q339" s="301">
        <f t="shared" si="130"/>
        <v>0.5</v>
      </c>
      <c r="R339" s="173">
        <f t="shared" si="131"/>
        <v>0.96840243649388635</v>
      </c>
      <c r="S339" s="802">
        <f t="shared" si="132"/>
        <v>0</v>
      </c>
      <c r="T339" s="172">
        <f t="shared" si="133"/>
        <v>6</v>
      </c>
      <c r="U339" s="247">
        <f t="shared" si="134"/>
        <v>0.96840243649388635</v>
      </c>
      <c r="V339" s="378">
        <f t="shared" si="135"/>
        <v>20.484794763673374</v>
      </c>
      <c r="W339" s="397">
        <f t="shared" si="136"/>
        <v>3.3459918833307927</v>
      </c>
      <c r="X339" s="153">
        <f t="shared" si="137"/>
        <v>47808</v>
      </c>
      <c r="Y339" s="380">
        <f t="shared" si="138"/>
        <v>3.2651066020183235</v>
      </c>
      <c r="Z339" s="380">
        <f t="shared" si="139"/>
        <v>3.4153340290645331</v>
      </c>
      <c r="AA339" s="381">
        <f t="shared" si="140"/>
        <v>3.6185775311462423</v>
      </c>
      <c r="AB339" s="193">
        <f t="shared" si="141"/>
        <v>47808</v>
      </c>
      <c r="AC339" s="119">
        <f>IF(OR(t&lt;Tnet,NoTnet),'2029'!Resal_s+('2029'!Salim-'2029'!Resal_s)*(1-EXP(('2029'!Tnet_s-t)/'2029'!Tau_j)),Resal_s+(Salim-Resal_s)*(1-EXP((Tnet_s-t)/Tau_j)))*Salcycl</f>
        <v>5.6166684375926174E-2</v>
      </c>
      <c r="AD339" s="227">
        <f>(INDEX(Models!$BJ339:$BT339,,AH339)*(1-AF339)+INDEX(Models!$BJ339:$BT339,,AH339+1)*AF339-ERP_i)*AE339*Ramure*Pc/MaxiM</f>
        <v>2.8280994566219297E-2</v>
      </c>
      <c r="AE339" s="301">
        <f t="shared" si="142"/>
        <v>0.5</v>
      </c>
      <c r="AF339" s="173">
        <f t="shared" si="143"/>
        <v>0.49339000286786305</v>
      </c>
      <c r="AG339" s="802">
        <f t="shared" si="149"/>
        <v>4</v>
      </c>
      <c r="AH339" s="172">
        <f t="shared" si="144"/>
        <v>10</v>
      </c>
      <c r="AI339" s="221">
        <f t="shared" si="145"/>
        <v>4.4933900028678631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47809</v>
      </c>
      <c r="B340" s="406">
        <f>'2029'!Wh/'2029'!Env_an*'2030'!Env_an</f>
        <v>9.3888180049030705</v>
      </c>
      <c r="C340" s="832"/>
      <c r="D340" s="388">
        <f t="shared" si="127"/>
        <v>9.8209315943770559</v>
      </c>
      <c r="E340" s="380">
        <f t="shared" si="125"/>
        <v>10.154109010457224</v>
      </c>
      <c r="F340" s="380">
        <f t="shared" si="128"/>
        <v>10.168748510850866</v>
      </c>
      <c r="G340" s="110">
        <f t="shared" si="126"/>
        <v>0.46182170784052279</v>
      </c>
      <c r="H340" s="409" t="b">
        <f>Wh_hp&gt;='2029'!Maxi_hp</f>
        <v>0</v>
      </c>
      <c r="I340" s="385">
        <f>IF(H340,Wh_hp,'2029'!Maxi_hp)</f>
        <v>10.193478053920225</v>
      </c>
      <c r="J340" s="85">
        <f>IF(H340,An,'2029'!An_max)</f>
        <v>2029</v>
      </c>
      <c r="K340" s="193">
        <f t="shared" si="129"/>
        <v>47809</v>
      </c>
      <c r="L340" s="143">
        <f>IF(t&lt;Tvie,1-EXP((T0-t)*PertePVj)+'2029'!Pspv,1-EXP((T0-t)*PertePVj)+Pspv)</f>
        <v>4.3999246438228945E-2</v>
      </c>
      <c r="M340" s="836"/>
      <c r="N340" s="836"/>
      <c r="O340" s="48">
        <f>IF(t&lt;Tnet,'2029'!Resal+('2029'!Salim-'2029'!Resal)*(1-EXP(('2029'!Tnet-t)/('2029'!Tau_j))),Resal+(Salim-Resal)*(1-EXP((Tnet-t)/(Tau_j))))*Salcycl</f>
        <v>3.2812077922055524E-2</v>
      </c>
      <c r="P340" s="165">
        <f>(INDEX(Models!$BJ340:$BT340,,T340)*(1-R340)+INDEX(Models!$BJ340:$BT340,,T340+1)*R340-ERP_i)*Q340*Ramure*Pc/MaxiM</f>
        <v>6.1445746169091512E-3</v>
      </c>
      <c r="Q340" s="301">
        <f t="shared" si="130"/>
        <v>0.5</v>
      </c>
      <c r="R340" s="173">
        <f t="shared" si="131"/>
        <v>0.96842623725995491</v>
      </c>
      <c r="S340" s="802">
        <f t="shared" si="132"/>
        <v>0</v>
      </c>
      <c r="T340" s="172">
        <f t="shared" si="133"/>
        <v>6</v>
      </c>
      <c r="U340" s="247">
        <f t="shared" si="134"/>
        <v>0.96842623725995491</v>
      </c>
      <c r="V340" s="378">
        <f t="shared" si="135"/>
        <v>20.234173785391203</v>
      </c>
      <c r="W340" s="397">
        <f t="shared" si="136"/>
        <v>9.3888180049030705</v>
      </c>
      <c r="X340" s="153">
        <f t="shared" si="137"/>
        <v>47809</v>
      </c>
      <c r="Y340" s="380">
        <f t="shared" si="138"/>
        <v>9.1148447080734645</v>
      </c>
      <c r="Z340" s="380">
        <f t="shared" si="139"/>
        <v>9.5343488737998339</v>
      </c>
      <c r="AA340" s="381">
        <f t="shared" si="140"/>
        <v>10.101655159698799</v>
      </c>
      <c r="AB340" s="193">
        <f t="shared" si="141"/>
        <v>47809</v>
      </c>
      <c r="AC340" s="119">
        <f>IF(OR(t&lt;Tnet,NoTnet),'2029'!Resal_s+('2029'!Salim-'2029'!Resal_s)*(1-EXP(('2029'!Tnet_s-t)/'2029'!Tau_j)),Resal_s+(Salim-Resal_s)*(1-EXP((Tnet_s-t)/Tau_j)))*Salcycl</f>
        <v>5.6159735897763609E-2</v>
      </c>
      <c r="AD340" s="227">
        <f>(INDEX(Models!$BJ340:$BT340,,AH340)*(1-AF340)+INDEX(Models!$BJ340:$BT340,,AH340+1)*AF340-ERP_i)*AE340*Ramure*Pc/MaxiM</f>
        <v>2.8160804082591907E-2</v>
      </c>
      <c r="AE340" s="301">
        <f t="shared" si="142"/>
        <v>0.5</v>
      </c>
      <c r="AF340" s="173">
        <f t="shared" si="143"/>
        <v>0.49341380363393217</v>
      </c>
      <c r="AG340" s="802">
        <f t="shared" si="149"/>
        <v>4</v>
      </c>
      <c r="AH340" s="172">
        <f t="shared" si="144"/>
        <v>10</v>
      </c>
      <c r="AI340" s="221">
        <f t="shared" si="145"/>
        <v>4.4934138036339322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47810</v>
      </c>
      <c r="B341" s="406">
        <f>'2029'!Wh/'2029'!Env_an*'2030'!Env_an</f>
        <v>12.522032648059865</v>
      </c>
      <c r="C341" s="832"/>
      <c r="D341" s="388">
        <f t="shared" si="127"/>
        <v>13.098529493689105</v>
      </c>
      <c r="E341" s="380">
        <f t="shared" si="125"/>
        <v>13.543279721423016</v>
      </c>
      <c r="F341" s="380">
        <f t="shared" si="128"/>
        <v>13.581927563119239</v>
      </c>
      <c r="G341" s="110">
        <f t="shared" si="126"/>
        <v>0.62442238423259433</v>
      </c>
      <c r="H341" s="409" t="b">
        <f>Wh_hp&gt;='2029'!Maxi_hp</f>
        <v>0</v>
      </c>
      <c r="I341" s="385">
        <f>IF(H341,Wh_hp,'2029'!Maxi_hp)</f>
        <v>13.60479605353742</v>
      </c>
      <c r="J341" s="85">
        <f>IF(H341,An,'2029'!An_max)</f>
        <v>2029</v>
      </c>
      <c r="K341" s="193">
        <f t="shared" si="129"/>
        <v>47810</v>
      </c>
      <c r="L341" s="143">
        <f>IF(t&lt;Tvie,1-EXP((T0-t)*PertePVj)+'2029'!Pspv,1-EXP((T0-t)*PertePVj)+Pspv)</f>
        <v>4.4012333285732397E-2</v>
      </c>
      <c r="M341" s="836"/>
      <c r="N341" s="836"/>
      <c r="O341" s="48">
        <f>IF(t&lt;Tnet,'2029'!Resal+('2029'!Salim-'2029'!Resal)*(1-EXP(('2029'!Tnet-t)/('2029'!Tau_j))),Resal+(Salim-Resal)*(1-EXP((Tnet-t)/(Tau_j))))*Salcycl</f>
        <v>3.2839182006290296E-2</v>
      </c>
      <c r="P341" s="165">
        <f>(INDEX(Models!$BJ341:$BT341,,T341)*(1-R341)+INDEX(Models!$BJ341:$BT341,,T341+1)*R341-ERP_i)*Q341*Ramure*Pc/MaxiM</f>
        <v>6.101287420403897E-3</v>
      </c>
      <c r="Q341" s="301">
        <f t="shared" si="130"/>
        <v>0.5</v>
      </c>
      <c r="R341" s="173">
        <f t="shared" si="131"/>
        <v>0.96844908186790457</v>
      </c>
      <c r="S341" s="802">
        <f t="shared" si="132"/>
        <v>0</v>
      </c>
      <c r="T341" s="172">
        <f t="shared" si="133"/>
        <v>6</v>
      </c>
      <c r="U341" s="247">
        <f t="shared" si="134"/>
        <v>0.96844908186790457</v>
      </c>
      <c r="V341" s="378">
        <f t="shared" si="135"/>
        <v>19.988309159960977</v>
      </c>
      <c r="W341" s="397">
        <f t="shared" si="136"/>
        <v>12.522032648059865</v>
      </c>
      <c r="X341" s="153">
        <f t="shared" si="137"/>
        <v>47810</v>
      </c>
      <c r="Y341" s="380">
        <f t="shared" si="138"/>
        <v>12.094676252407741</v>
      </c>
      <c r="Z341" s="380">
        <f t="shared" si="139"/>
        <v>12.651498208106782</v>
      </c>
      <c r="AA341" s="381">
        <f t="shared" si="140"/>
        <v>13.404193313624356</v>
      </c>
      <c r="AB341" s="193">
        <f t="shared" si="141"/>
        <v>47810</v>
      </c>
      <c r="AC341" s="119">
        <f>IF(OR(t&lt;Tnet,NoTnet),'2029'!Resal_s+('2029'!Salim-'2029'!Resal_s)*(1-EXP(('2029'!Tnet_s-t)/'2029'!Tau_j)),Resal_s+(Salim-Resal_s)*(1-EXP((Tnet_s-t)/Tau_j)))*Salcycl</f>
        <v>5.6153704136191133E-2</v>
      </c>
      <c r="AD341" s="227">
        <f>(INDEX(Models!$BJ341:$BT341,,AH341)*(1-AF341)+INDEX(Models!$BJ341:$BT341,,AH341+1)*AF341-ERP_i)*AE341*Ramure*Pc/MaxiM</f>
        <v>2.8058688222272973E-2</v>
      </c>
      <c r="AE341" s="301">
        <f t="shared" si="142"/>
        <v>0.5</v>
      </c>
      <c r="AF341" s="173">
        <f t="shared" si="143"/>
        <v>0.49343664824188149</v>
      </c>
      <c r="AG341" s="802">
        <f t="shared" si="149"/>
        <v>4</v>
      </c>
      <c r="AH341" s="172">
        <f t="shared" si="144"/>
        <v>10</v>
      </c>
      <c r="AI341" s="221">
        <f t="shared" si="145"/>
        <v>4.4934366482418815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47811</v>
      </c>
      <c r="B342" s="406">
        <f>'2029'!Wh/'2029'!Env_an*'2030'!Env_an</f>
        <v>11.642533371853441</v>
      </c>
      <c r="C342" s="832"/>
      <c r="D342" s="388">
        <f t="shared" si="127"/>
        <v>12.1787060188298</v>
      </c>
      <c r="E342" s="380">
        <f t="shared" si="125"/>
        <v>12.592583631415451</v>
      </c>
      <c r="F342" s="380">
        <f t="shared" si="128"/>
        <v>12.624199493112576</v>
      </c>
      <c r="G342" s="110">
        <f t="shared" si="126"/>
        <v>0.58748100580254203</v>
      </c>
      <c r="H342" s="409" t="b">
        <f>Wh_hp&gt;='2029'!Maxi_hp</f>
        <v>0</v>
      </c>
      <c r="I342" s="385">
        <f>IF(H342,Wh_hp,'2029'!Maxi_hp)</f>
        <v>12.647365612879526</v>
      </c>
      <c r="J342" s="85">
        <f>IF(H342,An,'2029'!An_max)</f>
        <v>2029</v>
      </c>
      <c r="K342" s="193">
        <f t="shared" si="129"/>
        <v>47811</v>
      </c>
      <c r="L342" s="143">
        <f>IF(t&lt;Tvie,1-EXP((T0-t)*PertePVj)+'2029'!Pspv,1-EXP((T0-t)*PertePVj)+Pspv)</f>
        <v>4.4025419954087819E-2</v>
      </c>
      <c r="M342" s="836"/>
      <c r="N342" s="836"/>
      <c r="O342" s="48">
        <f>IF(t&lt;Tnet,'2029'!Resal+('2029'!Salim-'2029'!Resal)*(1-EXP(('2029'!Tnet-t)/('2029'!Tau_j))),Resal+(Salim-Resal)*(1-EXP((Tnet-t)/(Tau_j))))*Salcycl</f>
        <v>3.2866774976433456E-2</v>
      </c>
      <c r="P342" s="165">
        <f>(INDEX(Models!$BJ342:$BT342,,T342)*(1-R342)+INDEX(Models!$BJ342:$BT342,,T342+1)*R342-ERP_i)*Q342*Ramure*Pc/MaxiM</f>
        <v>6.0538578497754281E-3</v>
      </c>
      <c r="Q342" s="301">
        <f t="shared" si="130"/>
        <v>0.5</v>
      </c>
      <c r="R342" s="173">
        <f t="shared" si="131"/>
        <v>0.96847100864765268</v>
      </c>
      <c r="S342" s="802">
        <f t="shared" si="132"/>
        <v>0</v>
      </c>
      <c r="T342" s="172">
        <f t="shared" si="133"/>
        <v>6</v>
      </c>
      <c r="U342" s="247">
        <f t="shared" si="134"/>
        <v>0.96847100864765268</v>
      </c>
      <c r="V342" s="378">
        <f t="shared" si="135"/>
        <v>19.747199744953114</v>
      </c>
      <c r="W342" s="397">
        <f t="shared" si="136"/>
        <v>11.642533371853441</v>
      </c>
      <c r="X342" s="153">
        <f t="shared" si="137"/>
        <v>47811</v>
      </c>
      <c r="Y342" s="380">
        <f t="shared" si="138"/>
        <v>11.258965878905997</v>
      </c>
      <c r="Z342" s="380">
        <f t="shared" si="139"/>
        <v>11.777474123177278</v>
      </c>
      <c r="AA342" s="381">
        <f t="shared" si="140"/>
        <v>12.47810219570925</v>
      </c>
      <c r="AB342" s="193">
        <f t="shared" si="141"/>
        <v>47811</v>
      </c>
      <c r="AC342" s="119">
        <f>IF(OR(t&lt;Tnet,NoTnet),'2029'!Resal_s+('2029'!Salim-'2029'!Resal_s)*(1-EXP(('2029'!Tnet_s-t)/'2029'!Tau_j)),Resal_s+(Salim-Resal_s)*(1-EXP((Tnet_s-t)/Tau_j)))*Salcycl</f>
        <v>5.614860830142037E-2</v>
      </c>
      <c r="AD342" s="227">
        <f>(INDEX(Models!$BJ342:$BT342,,AH342)*(1-AF342)+INDEX(Models!$BJ342:$BT342,,AH342+1)*AF342-ERP_i)*AE342*Ramure*Pc/MaxiM</f>
        <v>2.7974953812394142E-2</v>
      </c>
      <c r="AE342" s="301">
        <f t="shared" si="142"/>
        <v>0.5</v>
      </c>
      <c r="AF342" s="173">
        <f t="shared" si="143"/>
        <v>0.49345857502162982</v>
      </c>
      <c r="AG342" s="802">
        <f t="shared" si="149"/>
        <v>4</v>
      </c>
      <c r="AH342" s="172">
        <f t="shared" si="144"/>
        <v>10</v>
      </c>
      <c r="AI342" s="221">
        <f t="shared" si="145"/>
        <v>4.4934585750216298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47812</v>
      </c>
      <c r="B343" s="406">
        <f>'2029'!Wh/'2029'!Env_an*'2030'!Env_an</f>
        <v>4.725283505173425</v>
      </c>
      <c r="C343" s="832"/>
      <c r="D343" s="388">
        <f t="shared" si="127"/>
        <v>4.9429642689819788</v>
      </c>
      <c r="E343" s="380">
        <f t="shared" si="125"/>
        <v>5.1110929966905152</v>
      </c>
      <c r="F343" s="380">
        <f t="shared" si="128"/>
        <v>5.1110929966905152</v>
      </c>
      <c r="G343" s="110">
        <f t="shared" si="126"/>
        <v>0.24073388652162123</v>
      </c>
      <c r="H343" s="409" t="b">
        <f>Wh_hp&gt;='2029'!Maxi_hp</f>
        <v>0</v>
      </c>
      <c r="I343" s="385">
        <f>IF(H343,Wh_hp,'2029'!Maxi_hp)</f>
        <v>5.1269316051657343</v>
      </c>
      <c r="J343" s="85">
        <f>IF(H343,An,'2029'!An_max)</f>
        <v>2029</v>
      </c>
      <c r="K343" s="193">
        <f t="shared" si="129"/>
        <v>47812</v>
      </c>
      <c r="L343" s="143">
        <f>IF(t&lt;Tvie,1-EXP((T0-t)*PertePVj)+'2029'!Pspv,1-EXP((T0-t)*PertePVj)+Pspv)</f>
        <v>4.4038506443297765E-2</v>
      </c>
      <c r="M343" s="836"/>
      <c r="N343" s="836"/>
      <c r="O343" s="48">
        <f>IF(t&lt;Tnet,'2029'!Resal+('2029'!Salim-'2029'!Resal)*(1-EXP(('2029'!Tnet-t)/('2029'!Tau_j))),Resal+(Salim-Resal)*(1-EXP((Tnet-t)/(Tau_j))))*Salcycl</f>
        <v>3.2894867656957427E-2</v>
      </c>
      <c r="P343" s="165">
        <f>(INDEX(Models!$BJ343:$BT343,,T343)*(1-R343)+INDEX(Models!$BJ343:$BT343,,T343+1)*R343-ERP_i)*Q343*Ramure*Pc/MaxiM</f>
        <v>6.0022157687816494E-3</v>
      </c>
      <c r="Q343" s="301">
        <f t="shared" si="130"/>
        <v>0.5</v>
      </c>
      <c r="R343" s="173">
        <f t="shared" si="131"/>
        <v>0.96849205439904995</v>
      </c>
      <c r="S343" s="802">
        <f t="shared" si="132"/>
        <v>0</v>
      </c>
      <c r="T343" s="172">
        <f t="shared" si="133"/>
        <v>6</v>
      </c>
      <c r="U343" s="247">
        <f t="shared" si="134"/>
        <v>0.96849205439904995</v>
      </c>
      <c r="V343" s="378">
        <f t="shared" si="135"/>
        <v>19.51084411867733</v>
      </c>
      <c r="W343" s="397">
        <f t="shared" si="136"/>
        <v>4.725283505173425</v>
      </c>
      <c r="X343" s="153">
        <f t="shared" si="137"/>
        <v>47812</v>
      </c>
      <c r="Y343" s="380">
        <f t="shared" si="138"/>
        <v>4.6116857891066658</v>
      </c>
      <c r="Z343" s="380">
        <f t="shared" si="139"/>
        <v>4.8241334197977572</v>
      </c>
      <c r="AA343" s="381">
        <f t="shared" si="140"/>
        <v>5.1110929966905152</v>
      </c>
      <c r="AB343" s="193">
        <f t="shared" si="141"/>
        <v>47812</v>
      </c>
      <c r="AC343" s="119">
        <f>IF(OR(t&lt;Tnet,NoTnet),'2029'!Resal_s+('2029'!Salim-'2029'!Resal_s)*(1-EXP(('2029'!Tnet_s-t)/'2029'!Tau_j)),Resal_s+(Salim-Resal_s)*(1-EXP((Tnet_s-t)/Tau_j)))*Salcycl</f>
        <v>5.6144464027277075E-2</v>
      </c>
      <c r="AD343" s="227">
        <f>(INDEX(Models!$BJ343:$BT343,,AH343)*(1-AF343)+INDEX(Models!$BJ343:$BT343,,AH343+1)*AF343-ERP_i)*AE343*Ramure*Pc/MaxiM</f>
        <v>2.7910014838845462E-2</v>
      </c>
      <c r="AE343" s="301">
        <f t="shared" si="142"/>
        <v>0.5</v>
      </c>
      <c r="AF343" s="173">
        <f t="shared" si="143"/>
        <v>0.49347962077302743</v>
      </c>
      <c r="AG343" s="802">
        <f t="shared" si="149"/>
        <v>4</v>
      </c>
      <c r="AH343" s="172">
        <f t="shared" si="144"/>
        <v>10</v>
      </c>
      <c r="AI343" s="221">
        <f t="shared" si="145"/>
        <v>4.4934796207730274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47813</v>
      </c>
      <c r="B344" s="406">
        <f>'2029'!Wh/'2029'!Env_an*'2030'!Env_an</f>
        <v>9.4500089422657343</v>
      </c>
      <c r="C344" s="832"/>
      <c r="D344" s="388">
        <f t="shared" si="127"/>
        <v>9.8854800851481794</v>
      </c>
      <c r="E344" s="380">
        <f t="shared" si="125"/>
        <v>10.222024592844017</v>
      </c>
      <c r="F344" s="380">
        <f t="shared" si="128"/>
        <v>10.238563891318025</v>
      </c>
      <c r="G344" s="110">
        <f t="shared" si="126"/>
        <v>0.48803870017627349</v>
      </c>
      <c r="H344" s="409" t="b">
        <f>Wh_hp&gt;='2029'!Maxi_hp</f>
        <v>0</v>
      </c>
      <c r="I344" s="385">
        <f>IF(H344,Wh_hp,'2029'!Maxi_hp)</f>
        <v>10.261471929700905</v>
      </c>
      <c r="J344" s="85">
        <f>IF(H344,An,'2029'!An_max)</f>
        <v>2029</v>
      </c>
      <c r="K344" s="193">
        <f t="shared" si="129"/>
        <v>47813</v>
      </c>
      <c r="L344" s="143">
        <f>IF(t&lt;Tvie,1-EXP((T0-t)*PertePVj)+'2029'!Pspv,1-EXP((T0-t)*PertePVj)+Pspv)</f>
        <v>4.4051592753364677E-2</v>
      </c>
      <c r="M344" s="836"/>
      <c r="N344" s="836"/>
      <c r="O344" s="48">
        <f>IF(t&lt;Tnet,'2029'!Resal+('2029'!Salim-'2029'!Resal)*(1-EXP(('2029'!Tnet-t)/('2029'!Tau_j))),Resal+(Salim-Resal)*(1-EXP((Tnet-t)/(Tau_j))))*Salcycl</f>
        <v>3.2923468794179608E-2</v>
      </c>
      <c r="P344" s="165">
        <f>(INDEX(Models!$BJ344:$BT344,,T344)*(1-R344)+INDEX(Models!$BJ344:$BT344,,T344+1)*R344-ERP_i)*Q344*Ramure*Pc/MaxiM</f>
        <v>5.9462823234055157E-3</v>
      </c>
      <c r="Q344" s="301">
        <f t="shared" si="130"/>
        <v>0.5</v>
      </c>
      <c r="R344" s="173">
        <f t="shared" si="131"/>
        <v>0.96851225445244826</v>
      </c>
      <c r="S344" s="802">
        <f t="shared" si="132"/>
        <v>0</v>
      </c>
      <c r="T344" s="172">
        <f t="shared" si="133"/>
        <v>6</v>
      </c>
      <c r="U344" s="247">
        <f t="shared" si="134"/>
        <v>0.96851225445244826</v>
      </c>
      <c r="V344" s="378">
        <f t="shared" si="135"/>
        <v>19.27924111443048</v>
      </c>
      <c r="W344" s="397">
        <f t="shared" si="136"/>
        <v>9.4500089422657343</v>
      </c>
      <c r="X344" s="153">
        <f t="shared" si="137"/>
        <v>47813</v>
      </c>
      <c r="Y344" s="380">
        <f t="shared" si="138"/>
        <v>9.1681243096580474</v>
      </c>
      <c r="Z344" s="380">
        <f t="shared" si="139"/>
        <v>9.590605769263723</v>
      </c>
      <c r="AA344" s="381">
        <f t="shared" si="140"/>
        <v>10.161060760619703</v>
      </c>
      <c r="AB344" s="193">
        <f t="shared" si="141"/>
        <v>47813</v>
      </c>
      <c r="AC344" s="119">
        <f>IF(OR(t&lt;Tnet,NoTnet),'2029'!Resal_s+('2029'!Salim-'2029'!Resal_s)*(1-EXP(('2029'!Tnet_s-t)/'2029'!Tau_j)),Resal_s+(Salim-Resal_s)*(1-EXP((Tnet_s-t)/Tau_j)))*Salcycl</f>
        <v>5.6141283355655297E-2</v>
      </c>
      <c r="AD344" s="227">
        <f>(INDEX(Models!$BJ344:$BT344,,AH344)*(1-AF344)+INDEX(Models!$BJ344:$BT344,,AH344+1)*AF344-ERP_i)*AE344*Ramure*Pc/MaxiM</f>
        <v>2.7864271075598041E-2</v>
      </c>
      <c r="AE344" s="301">
        <f t="shared" si="142"/>
        <v>0.5</v>
      </c>
      <c r="AF344" s="173">
        <f t="shared" si="143"/>
        <v>0.49349982082642541</v>
      </c>
      <c r="AG344" s="802">
        <f t="shared" si="149"/>
        <v>4</v>
      </c>
      <c r="AH344" s="172">
        <f t="shared" si="144"/>
        <v>10</v>
      </c>
      <c r="AI344" s="221">
        <f t="shared" si="145"/>
        <v>4.4934998208264254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47814</v>
      </c>
      <c r="B345" s="406">
        <f>'2029'!Wh/'2029'!Env_an*'2030'!Env_an</f>
        <v>13.510346171509442</v>
      </c>
      <c r="C345" s="832"/>
      <c r="D345" s="388">
        <f t="shared" si="127"/>
        <v>14.133117453742576</v>
      </c>
      <c r="E345" s="380">
        <f t="shared" si="125"/>
        <v>14.614709925548459</v>
      </c>
      <c r="F345" s="380">
        <f t="shared" si="128"/>
        <v>14.665174806030103</v>
      </c>
      <c r="G345" s="110">
        <f t="shared" si="126"/>
        <v>0.7074566626506994</v>
      </c>
      <c r="H345" s="409" t="b">
        <f>Wh_hp&gt;='2029'!Maxi_hp</f>
        <v>0</v>
      </c>
      <c r="I345" s="385">
        <f>IF(H345,Wh_hp,'2029'!Maxi_hp)</f>
        <v>14.683716756103069</v>
      </c>
      <c r="J345" s="85">
        <f>IF(H345,An,'2029'!An_max)</f>
        <v>2029</v>
      </c>
      <c r="K345" s="193">
        <f t="shared" si="129"/>
        <v>47814</v>
      </c>
      <c r="L345" s="143">
        <f>IF(t&lt;Tvie,1-EXP((T0-t)*PertePVj)+'2029'!Pspv,1-EXP((T0-t)*PertePVj)+Pspv)</f>
        <v>4.4064678884290998E-2</v>
      </c>
      <c r="M345" s="836"/>
      <c r="N345" s="836"/>
      <c r="O345" s="48">
        <f>IF(t&lt;Tnet,'2029'!Resal+('2029'!Salim-'2029'!Resal)*(1-EXP(('2029'!Tnet-t)/('2029'!Tau_j))),Resal+(Salim-Resal)*(1-EXP((Tnet-t)/(Tau_j))))*Salcycl</f>
        <v>3.2952585050216691E-2</v>
      </c>
      <c r="P345" s="165">
        <f>(INDEX(Models!$BJ345:$BT345,,T345)*(1-R345)+INDEX(Models!$BJ345:$BT345,,T345+1)*R345-ERP_i)*Q345*Ramure*Pc/MaxiM</f>
        <v>5.8866417791086506E-3</v>
      </c>
      <c r="Q345" s="301">
        <f t="shared" si="130"/>
        <v>0.5</v>
      </c>
      <c r="R345" s="173">
        <f t="shared" si="131"/>
        <v>0.96853164272690884</v>
      </c>
      <c r="S345" s="802">
        <f t="shared" si="132"/>
        <v>0</v>
      </c>
      <c r="T345" s="172">
        <f t="shared" si="133"/>
        <v>6</v>
      </c>
      <c r="U345" s="247">
        <f t="shared" si="134"/>
        <v>0.96853164272690884</v>
      </c>
      <c r="V345" s="378">
        <f t="shared" si="135"/>
        <v>19.050202203084357</v>
      </c>
      <c r="W345" s="397">
        <f t="shared" si="136"/>
        <v>13.510346171509442</v>
      </c>
      <c r="X345" s="153">
        <f t="shared" si="137"/>
        <v>47814</v>
      </c>
      <c r="Y345" s="380">
        <f t="shared" si="138"/>
        <v>13.016595945763461</v>
      </c>
      <c r="Z345" s="380">
        <f t="shared" si="139"/>
        <v>13.616607377339388</v>
      </c>
      <c r="AA345" s="381">
        <f t="shared" si="140"/>
        <v>14.426497604646373</v>
      </c>
      <c r="AB345" s="193">
        <f t="shared" si="141"/>
        <v>47814</v>
      </c>
      <c r="AC345" s="119">
        <f>IF(OR(t&lt;Tnet,NoTnet),'2029'!Resal_s+('2029'!Salim-'2029'!Resal_s)*(1-EXP(('2029'!Tnet_s-t)/'2029'!Tau_j)),Resal_s+(Salim-Resal_s)*(1-EXP((Tnet_s-t)/Tau_j)))*Salcycl</f>
        <v>5.6139074743002199E-2</v>
      </c>
      <c r="AD345" s="227">
        <f>(INDEX(Models!$BJ345:$BT345,,AH345)*(1-AF345)+INDEX(Models!$BJ345:$BT345,,AH345+1)*AF345-ERP_i)*AE345*Ramure*Pc/MaxiM</f>
        <v>2.7841286296065231E-2</v>
      </c>
      <c r="AE345" s="301">
        <f t="shared" si="142"/>
        <v>0.5</v>
      </c>
      <c r="AF345" s="173">
        <f t="shared" si="143"/>
        <v>0.49351920910088598</v>
      </c>
      <c r="AG345" s="802">
        <f t="shared" si="149"/>
        <v>4</v>
      </c>
      <c r="AH345" s="172">
        <f t="shared" si="144"/>
        <v>10</v>
      </c>
      <c r="AI345" s="221">
        <f t="shared" si="145"/>
        <v>4.493519209100886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47815</v>
      </c>
      <c r="B346" s="406">
        <f>'2029'!Wh/'2029'!Env_an*'2030'!Env_an</f>
        <v>9.2260507052160534</v>
      </c>
      <c r="C346" s="832"/>
      <c r="D346" s="388">
        <f t="shared" si="127"/>
        <v>9.6514657425391697</v>
      </c>
      <c r="E346" s="380">
        <f t="shared" si="125"/>
        <v>9.9806497380202472</v>
      </c>
      <c r="F346" s="380">
        <f t="shared" si="128"/>
        <v>9.9964715681048375</v>
      </c>
      <c r="G346" s="110">
        <f t="shared" si="126"/>
        <v>0.48808617318693859</v>
      </c>
      <c r="H346" s="409" t="b">
        <f>Wh_hp&gt;='2029'!Maxi_hp</f>
        <v>0</v>
      </c>
      <c r="I346" s="385">
        <f>IF(H346,Wh_hp,'2029'!Maxi_hp)</f>
        <v>10.018379129472789</v>
      </c>
      <c r="J346" s="85">
        <f>IF(H346,An,'2029'!An_max)</f>
        <v>2029</v>
      </c>
      <c r="K346" s="193">
        <f t="shared" si="129"/>
        <v>47815</v>
      </c>
      <c r="L346" s="143">
        <f>IF(t&lt;Tvie,1-EXP((T0-t)*PertePVj)+'2029'!Pspv,1-EXP((T0-t)*PertePVj)+Pspv)</f>
        <v>4.407776483607917E-2</v>
      </c>
      <c r="M346" s="836"/>
      <c r="N346" s="836"/>
      <c r="O346" s="48">
        <f>IF(t&lt;Tnet,'2029'!Resal+('2029'!Salim-'2029'!Resal)*(1-EXP(('2029'!Tnet-t)/('2029'!Tau_j))),Resal+(Salim-Resal)*(1-EXP((Tnet-t)/(Tau_j))))*Salcycl</f>
        <v>3.2982221009829157E-2</v>
      </c>
      <c r="P346" s="165">
        <f>(INDEX(Models!$BJ346:$BT346,,T346)*(1-R346)+INDEX(Models!$BJ346:$BT346,,T346+1)*R346-ERP_i)*Q346*Ramure*Pc/MaxiM</f>
        <v>5.8259595213123547E-3</v>
      </c>
      <c r="Q346" s="301">
        <f t="shared" si="130"/>
        <v>0.5</v>
      </c>
      <c r="R346" s="173">
        <f t="shared" si="131"/>
        <v>0.96855025178614362</v>
      </c>
      <c r="S346" s="802">
        <f t="shared" si="132"/>
        <v>0</v>
      </c>
      <c r="T346" s="172">
        <f t="shared" si="133"/>
        <v>6</v>
      </c>
      <c r="U346" s="247">
        <f t="shared" si="134"/>
        <v>0.96855025178614362</v>
      </c>
      <c r="V346" s="378">
        <f t="shared" si="135"/>
        <v>18.822169127843129</v>
      </c>
      <c r="W346" s="397">
        <f t="shared" si="136"/>
        <v>9.2260507052160534</v>
      </c>
      <c r="X346" s="153">
        <f t="shared" si="137"/>
        <v>47815</v>
      </c>
      <c r="Y346" s="380">
        <f t="shared" si="138"/>
        <v>8.9511613954465279</v>
      </c>
      <c r="Z346" s="380">
        <f t="shared" si="139"/>
        <v>9.3639012318942338</v>
      </c>
      <c r="AA346" s="381">
        <f t="shared" si="140"/>
        <v>9.9208355407911846</v>
      </c>
      <c r="AB346" s="193">
        <f t="shared" si="141"/>
        <v>47815</v>
      </c>
      <c r="AC346" s="119">
        <f>IF(OR(t&lt;Tnet,NoTnet),'2029'!Resal_s+('2029'!Salim-'2029'!Resal_s)*(1-EXP(('2029'!Tnet_s-t)/'2029'!Tau_j)),Resal_s+(Salim-Resal_s)*(1-EXP((Tnet_s-t)/Tau_j)))*Salcycl</f>
        <v>5.6137843088621069E-2</v>
      </c>
      <c r="AD346" s="227">
        <f>(INDEX(Models!$BJ346:$BT346,,AH346)*(1-AF346)+INDEX(Models!$BJ346:$BT346,,AH346+1)*AF346-ERP_i)*AE346*Ramure*Pc/MaxiM</f>
        <v>2.7850914282754428E-2</v>
      </c>
      <c r="AE346" s="301">
        <f t="shared" si="142"/>
        <v>0.5</v>
      </c>
      <c r="AF346" s="173">
        <f t="shared" si="143"/>
        <v>0.49353781816012088</v>
      </c>
      <c r="AG346" s="802">
        <f t="shared" si="149"/>
        <v>4</v>
      </c>
      <c r="AH346" s="172">
        <f t="shared" si="144"/>
        <v>10</v>
      </c>
      <c r="AI346" s="221">
        <f t="shared" si="145"/>
        <v>4.4935378181601209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47816</v>
      </c>
      <c r="B347" s="406">
        <f>'2029'!Wh/'2029'!Env_an*'2030'!Env_an</f>
        <v>10.226067509811493</v>
      </c>
      <c r="C347" s="832"/>
      <c r="D347" s="388">
        <f t="shared" si="127"/>
        <v>10.69773996443443</v>
      </c>
      <c r="E347" s="380">
        <f t="shared" si="125"/>
        <v>11.062954410506519</v>
      </c>
      <c r="F347" s="380">
        <f t="shared" si="128"/>
        <v>11.085801428523714</v>
      </c>
      <c r="G347" s="110">
        <f t="shared" si="126"/>
        <v>0.54786187366388117</v>
      </c>
      <c r="H347" s="409" t="b">
        <f>Wh_hp&gt;='2029'!Maxi_hp</f>
        <v>0</v>
      </c>
      <c r="I347" s="385">
        <f>IF(H347,Wh_hp,'2029'!Maxi_hp)</f>
        <v>11.107056154609616</v>
      </c>
      <c r="J347" s="85">
        <f>IF(H347,An,'2029'!An_max)</f>
        <v>2029</v>
      </c>
      <c r="K347" s="193">
        <f t="shared" si="129"/>
        <v>47816</v>
      </c>
      <c r="L347" s="143">
        <f>IF(t&lt;Tvie,1-EXP((T0-t)*PertePVj)+'2029'!Pspv,1-EXP((T0-t)*PertePVj)+Pspv)</f>
        <v>4.4090850608731635E-2</v>
      </c>
      <c r="M347" s="836"/>
      <c r="N347" s="836"/>
      <c r="O347" s="48">
        <f>IF(t&lt;Tnet,'2029'!Resal+('2029'!Salim-'2029'!Resal)*(1-EXP(('2029'!Tnet-t)/('2029'!Tau_j))),Resal+(Salim-Resal)*(1-EXP((Tnet-t)/(Tau_j))))*Salcycl</f>
        <v>3.3012379200012251E-2</v>
      </c>
      <c r="P347" s="165">
        <f>(INDEX(Models!$BJ347:$BT347,,T347)*(1-R347)+INDEX(Models!$BJ347:$BT347,,T347+1)*R347-ERP_i)*Q347*Ramure*Pc/MaxiM</f>
        <v>5.7727351335660447E-3</v>
      </c>
      <c r="Q347" s="301">
        <f t="shared" si="130"/>
        <v>0.5</v>
      </c>
      <c r="R347" s="173">
        <f t="shared" si="131"/>
        <v>0.96856811289227274</v>
      </c>
      <c r="S347" s="802">
        <f t="shared" si="132"/>
        <v>0</v>
      </c>
      <c r="T347" s="172">
        <f t="shared" si="133"/>
        <v>6</v>
      </c>
      <c r="U347" s="247">
        <f t="shared" si="134"/>
        <v>0.96856811289227274</v>
      </c>
      <c r="V347" s="378">
        <f t="shared" si="135"/>
        <v>18.595986327416867</v>
      </c>
      <c r="W347" s="397">
        <f t="shared" si="136"/>
        <v>10.226067509811493</v>
      </c>
      <c r="X347" s="153">
        <f t="shared" si="137"/>
        <v>47816</v>
      </c>
      <c r="Y347" s="380">
        <f t="shared" si="138"/>
        <v>9.9025149097840544</v>
      </c>
      <c r="Z347" s="380">
        <f t="shared" si="139"/>
        <v>10.359263656059852</v>
      </c>
      <c r="AA347" s="381">
        <f t="shared" si="140"/>
        <v>10.975395930529382</v>
      </c>
      <c r="AB347" s="193">
        <f t="shared" si="141"/>
        <v>47816</v>
      </c>
      <c r="AC347" s="119">
        <f>IF(OR(t&lt;Tnet,NoTnet),'2029'!Resal_s+('2029'!Salim-'2029'!Resal_s)*(1-EXP(('2029'!Tnet_s-t)/'2029'!Tau_j)),Resal_s+(Salim-Resal_s)*(1-EXP((Tnet_s-t)/Tau_j)))*Salcycl</f>
        <v>5.6137589784408956E-2</v>
      </c>
      <c r="AD347" s="227">
        <f>(INDEX(Models!$BJ347:$BT347,,AH347)*(1-AF347)+INDEX(Models!$BJ347:$BT347,,AH347+1)*AF347-ERP_i)*AE347*Ramure*Pc/MaxiM</f>
        <v>2.7896056138750607E-2</v>
      </c>
      <c r="AE347" s="301">
        <f t="shared" si="142"/>
        <v>0.5</v>
      </c>
      <c r="AF347" s="173">
        <f t="shared" si="143"/>
        <v>0.4935556792662501</v>
      </c>
      <c r="AG347" s="802">
        <f t="shared" si="149"/>
        <v>4</v>
      </c>
      <c r="AH347" s="172">
        <f t="shared" si="144"/>
        <v>10</v>
      </c>
      <c r="AI347" s="221">
        <f t="shared" si="145"/>
        <v>4.4935556792662501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47817</v>
      </c>
      <c r="B348" s="406">
        <f>'2029'!Wh/'2029'!Env_an*'2030'!Env_an</f>
        <v>4.3809943917235818</v>
      </c>
      <c r="C348" s="832"/>
      <c r="D348" s="388">
        <f t="shared" si="127"/>
        <v>4.5831283940201715</v>
      </c>
      <c r="E348" s="380">
        <f t="shared" si="125"/>
        <v>4.7397440413415337</v>
      </c>
      <c r="F348" s="380">
        <f t="shared" si="128"/>
        <v>4.7397440413415337</v>
      </c>
      <c r="G348" s="110">
        <f t="shared" si="126"/>
        <v>0.23708618380002758</v>
      </c>
      <c r="H348" s="409" t="b">
        <f>Wh_hp&gt;='2029'!Maxi_hp</f>
        <v>0</v>
      </c>
      <c r="I348" s="385">
        <f>IF(H348,Wh_hp,'2029'!Maxi_hp)</f>
        <v>4.7537491431428256</v>
      </c>
      <c r="J348" s="85">
        <f>IF(H348,An,'2029'!An_max)</f>
        <v>2029</v>
      </c>
      <c r="K348" s="193">
        <f t="shared" si="129"/>
        <v>47817</v>
      </c>
      <c r="L348" s="143">
        <f>IF(t&lt;Tvie,1-EXP((T0-t)*PertePVj)+'2029'!Pspv,1-EXP((T0-t)*PertePVj)+Pspv)</f>
        <v>4.4103936202250837E-2</v>
      </c>
      <c r="M348" s="836"/>
      <c r="N348" s="836"/>
      <c r="O348" s="48">
        <f>IF(t&lt;Tnet,'2029'!Resal+('2029'!Salim-'2029'!Resal)*(1-EXP(('2029'!Tnet-t)/('2029'!Tau_j))),Resal+(Salim-Resal)*(1-EXP((Tnet-t)/(Tau_j))))*Salcycl</f>
        <v>3.3043060122089123E-2</v>
      </c>
      <c r="P348" s="165">
        <f>(INDEX(Models!$BJ348:$BT348,,T348)*(1-R348)+INDEX(Models!$BJ348:$BT348,,T348+1)*R348-ERP_i)*Q348*Ramure*Pc/MaxiM</f>
        <v>5.7267880827451285E-3</v>
      </c>
      <c r="Q348" s="301">
        <f t="shared" si="130"/>
        <v>0.5</v>
      </c>
      <c r="R348" s="173">
        <f t="shared" si="131"/>
        <v>0.96858525605748191</v>
      </c>
      <c r="S348" s="802">
        <f t="shared" si="132"/>
        <v>0</v>
      </c>
      <c r="T348" s="172">
        <f t="shared" si="133"/>
        <v>6</v>
      </c>
      <c r="U348" s="247">
        <f t="shared" si="134"/>
        <v>0.96858525605748191</v>
      </c>
      <c r="V348" s="378">
        <f t="shared" si="135"/>
        <v>18.372666409462781</v>
      </c>
      <c r="W348" s="397">
        <f t="shared" si="136"/>
        <v>4.3809943917235818</v>
      </c>
      <c r="X348" s="153">
        <f t="shared" si="137"/>
        <v>47817</v>
      </c>
      <c r="Y348" s="380">
        <f t="shared" si="138"/>
        <v>4.2763566687588757</v>
      </c>
      <c r="Z348" s="380">
        <f t="shared" si="139"/>
        <v>4.4736628078255984</v>
      </c>
      <c r="AA348" s="381">
        <f t="shared" si="140"/>
        <v>4.7397440413415337</v>
      </c>
      <c r="AB348" s="193">
        <f t="shared" si="141"/>
        <v>47817</v>
      </c>
      <c r="AC348" s="119">
        <f>IF(OR(t&lt;Tnet,NoTnet),'2029'!Resal_s+('2029'!Salim-'2029'!Resal_s)*(1-EXP(('2029'!Tnet_s-t)/'2029'!Tau_j)),Resal_s+(Salim-Resal_s)*(1-EXP((Tnet_s-t)/Tau_j)))*Salcycl</f>
        <v>5.6138312785477748E-2</v>
      </c>
      <c r="AD348" s="227">
        <f>(INDEX(Models!$BJ348:$BT348,,AH348)*(1-AF348)+INDEX(Models!$BJ348:$BT348,,AH348+1)*AF348-ERP_i)*AE348*Ramure*Pc/MaxiM</f>
        <v>2.7975965031660967E-2</v>
      </c>
      <c r="AE348" s="301">
        <f t="shared" si="142"/>
        <v>0.5</v>
      </c>
      <c r="AF348" s="173">
        <f t="shared" si="143"/>
        <v>0.49357282243145928</v>
      </c>
      <c r="AG348" s="802">
        <f t="shared" si="149"/>
        <v>4</v>
      </c>
      <c r="AH348" s="172">
        <f t="shared" si="144"/>
        <v>10</v>
      </c>
      <c r="AI348" s="221">
        <f t="shared" si="145"/>
        <v>4.4935728224314593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47818</v>
      </c>
      <c r="B349" s="406">
        <f>'2029'!Wh/'2029'!Env_an*'2030'!Env_an</f>
        <v>4.1345229313828842</v>
      </c>
      <c r="C349" s="832"/>
      <c r="D349" s="388">
        <f t="shared" si="127"/>
        <v>4.3253442365669121</v>
      </c>
      <c r="E349" s="380">
        <f t="shared" si="125"/>
        <v>4.4732951744954423</v>
      </c>
      <c r="F349" s="380">
        <f t="shared" si="128"/>
        <v>4.4732951744954423</v>
      </c>
      <c r="G349" s="110">
        <f t="shared" si="126"/>
        <v>0.22646151092344205</v>
      </c>
      <c r="H349" s="409" t="b">
        <f>Wh_hp&gt;='2029'!Maxi_hp</f>
        <v>0</v>
      </c>
      <c r="I349" s="385">
        <f>IF(H349,Wh_hp,'2029'!Maxi_hp)</f>
        <v>4.4864220109746071</v>
      </c>
      <c r="J349" s="85">
        <f>IF(H349,An,'2029'!An_max)</f>
        <v>2029</v>
      </c>
      <c r="K349" s="193">
        <f t="shared" si="129"/>
        <v>47818</v>
      </c>
      <c r="L349" s="143">
        <f>IF(t&lt;Tvie,1-EXP((T0-t)*PertePVj)+'2029'!Pspv,1-EXP((T0-t)*PertePVj)+Pspv)</f>
        <v>4.4117021616639218E-2</v>
      </c>
      <c r="M349" s="836"/>
      <c r="N349" s="836"/>
      <c r="O349" s="48">
        <f>IF(t&lt;Tnet,'2029'!Resal+('2029'!Salim-'2029'!Resal)*(1-EXP(('2029'!Tnet-t)/('2029'!Tau_j))),Resal+(Salim-Resal)*(1-EXP((Tnet-t)/(Tau_j))))*Salcycl</f>
        <v>3.3074262295963448E-2</v>
      </c>
      <c r="P349" s="165">
        <f>(INDEX(Models!$BJ349:$BT349,,T349)*(1-R349)+INDEX(Models!$BJ349:$BT349,,T349+1)*R349-ERP_i)*Q349*Ramure*Pc/MaxiM</f>
        <v>5.6879369670426406E-3</v>
      </c>
      <c r="Q349" s="301">
        <f t="shared" si="130"/>
        <v>0.5</v>
      </c>
      <c r="R349" s="173">
        <f t="shared" si="131"/>
        <v>0.96860171009365736</v>
      </c>
      <c r="S349" s="802">
        <f t="shared" si="132"/>
        <v>0</v>
      </c>
      <c r="T349" s="172">
        <f t="shared" si="133"/>
        <v>6</v>
      </c>
      <c r="U349" s="247">
        <f t="shared" si="134"/>
        <v>0.96860171009365736</v>
      </c>
      <c r="V349" s="378">
        <f t="shared" si="135"/>
        <v>18.153221749678075</v>
      </c>
      <c r="W349" s="397">
        <f t="shared" si="136"/>
        <v>4.1345229313828842</v>
      </c>
      <c r="X349" s="153">
        <f t="shared" si="137"/>
        <v>47818</v>
      </c>
      <c r="Y349" s="380">
        <f t="shared" si="138"/>
        <v>4.0358950373749529</v>
      </c>
      <c r="Z349" s="380">
        <f t="shared" si="139"/>
        <v>4.2221643534239615</v>
      </c>
      <c r="AA349" s="381">
        <f t="shared" si="140"/>
        <v>4.4732951744954423</v>
      </c>
      <c r="AB349" s="193">
        <f t="shared" si="141"/>
        <v>47818</v>
      </c>
      <c r="AC349" s="119">
        <f>IF(OR(t&lt;Tnet,NoTnet),'2029'!Resal_s+('2029'!Salim-'2029'!Resal_s)*(1-EXP(('2029'!Tnet_s-t)/'2029'!Tau_j)),Resal_s+(Salim-Resal_s)*(1-EXP((Tnet_s-t)/Tau_j)))*Salcycl</f>
        <v>5.6140006700945287E-2</v>
      </c>
      <c r="AD349" s="227">
        <f>(INDEX(Models!$BJ349:$BT349,,AH349)*(1-AF349)+INDEX(Models!$BJ349:$BT349,,AH349+1)*AF349-ERP_i)*AE349*Ramure*Pc/MaxiM</f>
        <v>2.8089824942634706E-2</v>
      </c>
      <c r="AE349" s="301">
        <f t="shared" si="142"/>
        <v>0.5</v>
      </c>
      <c r="AF349" s="173">
        <f t="shared" si="143"/>
        <v>0.49358927646763462</v>
      </c>
      <c r="AG349" s="802">
        <f t="shared" si="149"/>
        <v>4</v>
      </c>
      <c r="AH349" s="172">
        <f t="shared" si="144"/>
        <v>10</v>
      </c>
      <c r="AI349" s="221">
        <f t="shared" si="145"/>
        <v>4.4935892764676346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47819</v>
      </c>
      <c r="B350" s="406">
        <f>'2029'!Wh/'2029'!Env_an*'2030'!Env_an</f>
        <v>5.2757202244495742</v>
      </c>
      <c r="C350" s="832"/>
      <c r="D350" s="388">
        <f t="shared" si="127"/>
        <v>5.5192869471746864</v>
      </c>
      <c r="E350" s="380">
        <f t="shared" si="125"/>
        <v>5.7082646559294687</v>
      </c>
      <c r="F350" s="380">
        <f t="shared" si="128"/>
        <v>5.7082646559294687</v>
      </c>
      <c r="G350" s="110">
        <f t="shared" si="126"/>
        <v>0.29243429894797757</v>
      </c>
      <c r="H350" s="409" t="b">
        <f>Wh_hp&gt;='2029'!Maxi_hp</f>
        <v>0</v>
      </c>
      <c r="I350" s="385">
        <f>IF(H350,Wh_hp,'2029'!Maxi_hp)</f>
        <v>5.7249199528421579</v>
      </c>
      <c r="J350" s="85">
        <f>IF(H350,An,'2029'!An_max)</f>
        <v>2029</v>
      </c>
      <c r="K350" s="193">
        <f t="shared" si="129"/>
        <v>47819</v>
      </c>
      <c r="L350" s="143">
        <f>IF(t&lt;Tvie,1-EXP((T0-t)*PertePVj)+'2029'!Pspv,1-EXP((T0-t)*PertePVj)+Pspv)</f>
        <v>4.4130106851899331E-2</v>
      </c>
      <c r="M350" s="836"/>
      <c r="N350" s="836"/>
      <c r="O350" s="48">
        <f>IF(t&lt;Tnet,'2029'!Resal+('2029'!Salim-'2029'!Resal)*(1-EXP(('2029'!Tnet-t)/('2029'!Tau_j))),Resal+(Salim-Resal)*(1-EXP((Tnet-t)/(Tau_j))))*Salcycl</f>
        <v>3.3105982316093394E-2</v>
      </c>
      <c r="P350" s="165">
        <f>(INDEX(Models!$BJ350:$BT350,,T350)*(1-R350)+INDEX(Models!$BJ350:$BT350,,T350+1)*R350-ERP_i)*Q350*Ramure*Pc/MaxiM</f>
        <v>5.6559963700647687E-3</v>
      </c>
      <c r="Q350" s="301">
        <f t="shared" si="130"/>
        <v>0.5</v>
      </c>
      <c r="R350" s="173">
        <f t="shared" si="131"/>
        <v>0.96861750266007929</v>
      </c>
      <c r="S350" s="802">
        <f t="shared" si="132"/>
        <v>0</v>
      </c>
      <c r="T350" s="172">
        <f t="shared" si="133"/>
        <v>6</v>
      </c>
      <c r="U350" s="247">
        <f t="shared" si="134"/>
        <v>0.96861750266007929</v>
      </c>
      <c r="V350" s="378">
        <f t="shared" si="135"/>
        <v>17.938664475687318</v>
      </c>
      <c r="W350" s="397">
        <f t="shared" si="136"/>
        <v>5.2757202244495742</v>
      </c>
      <c r="X350" s="153">
        <f t="shared" si="137"/>
        <v>47819</v>
      </c>
      <c r="Y350" s="380">
        <f t="shared" si="138"/>
        <v>5.1500238405035068</v>
      </c>
      <c r="Z350" s="380">
        <f t="shared" si="139"/>
        <v>5.3877874775846424</v>
      </c>
      <c r="AA350" s="381">
        <f t="shared" si="140"/>
        <v>5.7082646559294687</v>
      </c>
      <c r="AB350" s="193">
        <f t="shared" si="141"/>
        <v>47819</v>
      </c>
      <c r="AC350" s="119">
        <f>IF(OR(t&lt;Tnet,NoTnet),'2029'!Resal_s+('2029'!Salim-'2029'!Resal_s)*(1-EXP(('2029'!Tnet_s-t)/'2029'!Tau_j)),Resal_s+(Salim-Resal_s)*(1-EXP((Tnet_s-t)/Tau_j)))*Salcycl</f>
        <v>5.6142662904028182E-2</v>
      </c>
      <c r="AD350" s="227">
        <f>(INDEX(Models!$BJ350:$BT350,,AH350)*(1-AF350)+INDEX(Models!$BJ350:$BT350,,AH350+1)*AF350-ERP_i)*AE350*Ramure*Pc/MaxiM</f>
        <v>2.8236730273454889E-2</v>
      </c>
      <c r="AE350" s="301">
        <f t="shared" si="142"/>
        <v>0.5</v>
      </c>
      <c r="AF350" s="173">
        <f t="shared" si="143"/>
        <v>0.49360506903405632</v>
      </c>
      <c r="AG350" s="802">
        <f t="shared" si="149"/>
        <v>4</v>
      </c>
      <c r="AH350" s="172">
        <f t="shared" si="144"/>
        <v>10</v>
      </c>
      <c r="AI350" s="221">
        <f t="shared" si="145"/>
        <v>4.4936050690340563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47820</v>
      </c>
      <c r="B351" s="406">
        <f>'2029'!Wh/'2029'!Env_an*'2030'!Env_an</f>
        <v>9.4883731174595063</v>
      </c>
      <c r="C351" s="832"/>
      <c r="D351" s="388">
        <f t="shared" si="127"/>
        <v>9.9265633064849155</v>
      </c>
      <c r="E351" s="380">
        <f t="shared" si="125"/>
        <v>10.266786276644284</v>
      </c>
      <c r="F351" s="380">
        <f t="shared" si="128"/>
        <v>10.286243842562266</v>
      </c>
      <c r="G351" s="110">
        <f t="shared" si="126"/>
        <v>0.53315419457133562</v>
      </c>
      <c r="H351" s="409" t="b">
        <f>Wh_hp&gt;='2029'!Maxi_hp</f>
        <v>0</v>
      </c>
      <c r="I351" s="385">
        <f>IF(H351,Wh_hp,'2029'!Maxi_hp)</f>
        <v>10.306101868372124</v>
      </c>
      <c r="J351" s="85">
        <f>IF(H351,An,'2029'!An_max)</f>
        <v>2029</v>
      </c>
      <c r="K351" s="193">
        <f t="shared" si="129"/>
        <v>47820</v>
      </c>
      <c r="L351" s="143">
        <f>IF(t&lt;Tvie,1-EXP((T0-t)*PertePVj)+'2029'!Pspv,1-EXP((T0-t)*PertePVj)+Pspv)</f>
        <v>4.4143191908033619E-2</v>
      </c>
      <c r="M351" s="836"/>
      <c r="N351" s="836"/>
      <c r="O351" s="48">
        <f>IF(t&lt;Tnet,'2029'!Resal+('2029'!Salim-'2029'!Resal)*(1-EXP(('2029'!Tnet-t)/('2029'!Tau_j))),Resal+(Salim-Resal)*(1-EXP((Tnet-t)/(Tau_j))))*Salcycl</f>
        <v>3.3138214918658093E-2</v>
      </c>
      <c r="P351" s="165">
        <f>(INDEX(Models!$BJ351:$BT351,,T351)*(1-R351)+INDEX(Models!$BJ351:$BT351,,T351+1)*R351-ERP_i)*Q351*Ramure*Pc/MaxiM</f>
        <v>5.6307736255769734E-3</v>
      </c>
      <c r="Q351" s="301">
        <f t="shared" si="130"/>
        <v>0.5</v>
      </c>
      <c r="R351" s="173">
        <f t="shared" si="131"/>
        <v>0.96863266030924189</v>
      </c>
      <c r="S351" s="802">
        <f t="shared" si="132"/>
        <v>0</v>
      </c>
      <c r="T351" s="172">
        <f t="shared" si="133"/>
        <v>6</v>
      </c>
      <c r="U351" s="247">
        <f t="shared" si="134"/>
        <v>0.96863266030924189</v>
      </c>
      <c r="V351" s="378">
        <f t="shared" si="135"/>
        <v>17.730006439276199</v>
      </c>
      <c r="W351" s="397">
        <f t="shared" si="136"/>
        <v>9.4883731174595063</v>
      </c>
      <c r="X351" s="153">
        <f t="shared" si="137"/>
        <v>47820</v>
      </c>
      <c r="Y351" s="380">
        <f t="shared" si="138"/>
        <v>9.1915480056311498</v>
      </c>
      <c r="Z351" s="380">
        <f t="shared" si="139"/>
        <v>9.6160302754749001</v>
      </c>
      <c r="AA351" s="381">
        <f t="shared" si="140"/>
        <v>10.188051354117386</v>
      </c>
      <c r="AB351" s="193">
        <f t="shared" si="141"/>
        <v>47820</v>
      </c>
      <c r="AC351" s="119">
        <f>IF(OR(t&lt;Tnet,NoTnet),'2029'!Resal_s+('2029'!Salim-'2029'!Resal_s)*(1-EXP(('2029'!Tnet_s-t)/'2029'!Tau_j)),Resal_s+(Salim-Resal_s)*(1-EXP((Tnet_s-t)/Tau_j)))*Salcycl</f>
        <v>5.6146269660420432E-2</v>
      </c>
      <c r="AD351" s="227">
        <f>(INDEX(Models!$BJ351:$BT351,,AH351)*(1-AF351)+INDEX(Models!$BJ351:$BT351,,AH351+1)*AF351-ERP_i)*AE351*Ramure*Pc/MaxiM</f>
        <v>2.8415664965278104E-2</v>
      </c>
      <c r="AE351" s="301">
        <f t="shared" si="142"/>
        <v>0.5</v>
      </c>
      <c r="AF351" s="173">
        <f t="shared" si="143"/>
        <v>0.49362022668321881</v>
      </c>
      <c r="AG351" s="802">
        <f t="shared" si="149"/>
        <v>4</v>
      </c>
      <c r="AH351" s="172">
        <f t="shared" si="144"/>
        <v>10</v>
      </c>
      <c r="AI351" s="221">
        <f t="shared" si="145"/>
        <v>4.4936202266832188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47821</v>
      </c>
      <c r="B352" s="406">
        <f>'2029'!Wh/'2029'!Env_an*'2030'!Env_an</f>
        <v>12.68808110941862</v>
      </c>
      <c r="C352" s="832"/>
      <c r="D352" s="388">
        <f t="shared" si="127"/>
        <v>13.274221299212583</v>
      </c>
      <c r="E352" s="380">
        <f t="shared" si="125"/>
        <v>13.729646767663535</v>
      </c>
      <c r="F352" s="380">
        <f t="shared" si="128"/>
        <v>13.776502982517433</v>
      </c>
      <c r="G352" s="110">
        <f t="shared" si="126"/>
        <v>0.72225845065716165</v>
      </c>
      <c r="H352" s="409" t="b">
        <f>Wh_hp&gt;='2029'!Maxi_hp</f>
        <v>0</v>
      </c>
      <c r="I352" s="385">
        <f>IF(H352,Wh_hp,'2029'!Maxi_hp)</f>
        <v>13.792273723795391</v>
      </c>
      <c r="J352" s="85">
        <f>IF(H352,An,'2029'!An_max)</f>
        <v>2029</v>
      </c>
      <c r="K352" s="193">
        <f t="shared" si="129"/>
        <v>47821</v>
      </c>
      <c r="L352" s="143">
        <f>IF(t&lt;Tvie,1-EXP((T0-t)*PertePVj)+'2029'!Pspv,1-EXP((T0-t)*PertePVj)+Pspv)</f>
        <v>4.4156276785044413E-2</v>
      </c>
      <c r="M352" s="836"/>
      <c r="N352" s="836"/>
      <c r="O352" s="48">
        <f>IF(t&lt;Tnet,'2029'!Resal+('2029'!Salim-'2029'!Resal)*(1-EXP(('2029'!Tnet-t)/('2029'!Tau_j))),Resal+(Salim-Resal)*(1-EXP((Tnet-t)/(Tau_j))))*Salcycl</f>
        <v>3.3170953059301206E-2</v>
      </c>
      <c r="P352" s="165">
        <f>(INDEX(Models!$BJ352:$BT352,,T352)*(1-R352)+INDEX(Models!$BJ352:$BT352,,T352+1)*R352-ERP_i)*Q352*Ramure*Pc/MaxiM</f>
        <v>5.6168886357170628E-3</v>
      </c>
      <c r="Q352" s="301">
        <f t="shared" si="130"/>
        <v>0.5</v>
      </c>
      <c r="R352" s="173">
        <f t="shared" si="131"/>
        <v>0.96864720853087682</v>
      </c>
      <c r="S352" s="802">
        <f t="shared" si="132"/>
        <v>0</v>
      </c>
      <c r="T352" s="172">
        <f t="shared" si="133"/>
        <v>6</v>
      </c>
      <c r="U352" s="247">
        <f t="shared" si="134"/>
        <v>0.96864720853087682</v>
      </c>
      <c r="V352" s="378">
        <f t="shared" si="135"/>
        <v>17.528174192020359</v>
      </c>
      <c r="W352" s="397">
        <f t="shared" si="136"/>
        <v>12.68808110941862</v>
      </c>
      <c r="X352" s="153">
        <f t="shared" si="137"/>
        <v>47821</v>
      </c>
      <c r="Y352" s="380">
        <f t="shared" si="138"/>
        <v>12.213378501266805</v>
      </c>
      <c r="Z352" s="380">
        <f t="shared" si="139"/>
        <v>12.777589269705535</v>
      </c>
      <c r="AA352" s="381">
        <f t="shared" si="140"/>
        <v>13.537744626859002</v>
      </c>
      <c r="AB352" s="193">
        <f t="shared" si="141"/>
        <v>47821</v>
      </c>
      <c r="AC352" s="119">
        <f>IF(OR(t&lt;Tnet,NoTnet),'2029'!Resal_s+('2029'!Salim-'2029'!Resal_s)*(1-EXP(('2029'!Tnet_s-t)/'2029'!Tau_j)),Resal_s+(Salim-Resal_s)*(1-EXP((Tnet_s-t)/Tau_j)))*Salcycl</f>
        <v>5.6150812273804557E-2</v>
      </c>
      <c r="AD352" s="227">
        <f>(INDEX(Models!$BJ352:$BT352,,AH352)*(1-AF352)+INDEX(Models!$BJ352:$BT352,,AH352+1)*AF352-ERP_i)*AE352*Ramure*Pc/MaxiM</f>
        <v>2.8621157273628458E-2</v>
      </c>
      <c r="AE352" s="301">
        <f t="shared" si="142"/>
        <v>0.5</v>
      </c>
      <c r="AF352" s="173">
        <f t="shared" si="143"/>
        <v>0.49363477490485419</v>
      </c>
      <c r="AG352" s="802">
        <f t="shared" si="149"/>
        <v>4</v>
      </c>
      <c r="AH352" s="172">
        <f t="shared" si="144"/>
        <v>10</v>
      </c>
      <c r="AI352" s="221">
        <f t="shared" si="145"/>
        <v>4.4936347749048542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47822</v>
      </c>
      <c r="B353" s="406">
        <f>'2029'!Wh/'2029'!Env_an*'2030'!Env_an</f>
        <v>17.583931101978106</v>
      </c>
      <c r="C353" s="832"/>
      <c r="D353" s="388">
        <f t="shared" si="127"/>
        <v>18.396492425958318</v>
      </c>
      <c r="E353" s="380">
        <f t="shared" si="125"/>
        <v>19.02831207751726</v>
      </c>
      <c r="F353" s="380">
        <f t="shared" si="128"/>
        <v>19.135643499951623</v>
      </c>
      <c r="G353" s="110">
        <f t="shared" si="126"/>
        <v>1.0144026581276953</v>
      </c>
      <c r="H353" s="409" t="b">
        <f>Wh_hp&gt;='2029'!Maxi_hp</f>
        <v>1</v>
      </c>
      <c r="I353" s="385">
        <f>IF(H353,Wh_hp,'2029'!Maxi_hp)</f>
        <v>19.135643499951623</v>
      </c>
      <c r="J353" s="85">
        <f>IF(H353,An,'2029'!An_max)</f>
        <v>2030</v>
      </c>
      <c r="K353" s="193">
        <f t="shared" si="129"/>
        <v>47822</v>
      </c>
      <c r="L353" s="143">
        <f>IF(t&lt;Tvie,1-EXP((T0-t)*PertePVj)+'2029'!Pspv,1-EXP((T0-t)*PertePVj)+Pspv)</f>
        <v>4.4169361482934155E-2</v>
      </c>
      <c r="M353" s="836"/>
      <c r="N353" s="836"/>
      <c r="O353" s="48">
        <f>IF(t&lt;Tnet,'2029'!Resal+('2029'!Salim-'2029'!Resal)*(1-EXP(('2029'!Tnet-t)/('2029'!Tau_j))),Resal+(Salim-Resal)*(1-EXP((Tnet-t)/(Tau_j))))*Salcycl</f>
        <v>3.3204188000756182E-2</v>
      </c>
      <c r="P353" s="165">
        <f>(INDEX(Models!$BJ353:$BT353,,T353)*(1-R353)+INDEX(Models!$BJ353:$BT353,,T353+1)*R353-ERP_i)*Q353*Ramure*Pc/MaxiM</f>
        <v>5.6089789943376822E-3</v>
      </c>
      <c r="Q353" s="301">
        <f t="shared" si="130"/>
        <v>0.5</v>
      </c>
      <c r="R353" s="173">
        <f t="shared" si="131"/>
        <v>0.96866117179424582</v>
      </c>
      <c r="S353" s="802">
        <f t="shared" si="132"/>
        <v>0</v>
      </c>
      <c r="T353" s="172">
        <f t="shared" si="133"/>
        <v>6</v>
      </c>
      <c r="U353" s="247">
        <f t="shared" si="134"/>
        <v>0.96866117179424582</v>
      </c>
      <c r="V353" s="378">
        <f t="shared" si="135"/>
        <v>17.334271515448453</v>
      </c>
      <c r="W353" s="397">
        <f t="shared" si="136"/>
        <v>17.583931101978106</v>
      </c>
      <c r="X353" s="153">
        <f t="shared" si="137"/>
        <v>47822</v>
      </c>
      <c r="Y353" s="380">
        <f t="shared" si="138"/>
        <v>16.765656288181802</v>
      </c>
      <c r="Z353" s="380">
        <f t="shared" si="139"/>
        <v>17.540404766887434</v>
      </c>
      <c r="AA353" s="381">
        <f t="shared" si="140"/>
        <v>18.584013719340721</v>
      </c>
      <c r="AB353" s="193">
        <f t="shared" si="141"/>
        <v>47822</v>
      </c>
      <c r="AC353" s="119">
        <f>IF(OR(t&lt;Tnet,NoTnet),'2029'!Resal_s+('2029'!Salim-'2029'!Resal_s)*(1-EXP(('2029'!Tnet_s-t)/'2029'!Tau_j)),Resal_s+(Salim-Resal_s)*(1-EXP((Tnet_s-t)/Tau_j)))*Salcycl</f>
        <v>5.6156273247214797E-2</v>
      </c>
      <c r="AD353" s="227">
        <f>(INDEX(Models!$BJ353:$BT353,,AH353)*(1-AF353)+INDEX(Models!$BJ353:$BT353,,AH353+1)*AF353-ERP_i)*AE353*Ramure*Pc/MaxiM</f>
        <v>2.8827344145092082E-2</v>
      </c>
      <c r="AE353" s="301">
        <f t="shared" si="142"/>
        <v>0.5</v>
      </c>
      <c r="AF353" s="173">
        <f t="shared" si="143"/>
        <v>0.49364873816822286</v>
      </c>
      <c r="AG353" s="802">
        <f t="shared" si="149"/>
        <v>4</v>
      </c>
      <c r="AH353" s="172">
        <f t="shared" si="144"/>
        <v>10</v>
      </c>
      <c r="AI353" s="221">
        <f t="shared" si="145"/>
        <v>4.4936487381682229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47823</v>
      </c>
      <c r="B354" s="406">
        <f>'2029'!Wh/'2029'!Env_an*'2030'!Env_an</f>
        <v>11.486569138881668</v>
      </c>
      <c r="C354" s="832"/>
      <c r="D354" s="388">
        <f t="shared" si="127"/>
        <v>12.01753314827922</v>
      </c>
      <c r="E354" s="380">
        <f t="shared" si="125"/>
        <v>12.430703753536635</v>
      </c>
      <c r="F354" s="380">
        <f t="shared" si="128"/>
        <v>12.467632560442462</v>
      </c>
      <c r="G354" s="110">
        <f t="shared" si="126"/>
        <v>0.66802101223987531</v>
      </c>
      <c r="H354" s="409" t="b">
        <f>Wh_hp&gt;='2029'!Maxi_hp</f>
        <v>0</v>
      </c>
      <c r="I354" s="385">
        <f>IF(H354,Wh_hp,'2029'!Maxi_hp)</f>
        <v>12.484663878420859</v>
      </c>
      <c r="J354" s="85">
        <f>IF(H354,An,'2029'!An_max)</f>
        <v>2029</v>
      </c>
      <c r="K354" s="193">
        <f t="shared" si="129"/>
        <v>47823</v>
      </c>
      <c r="L354" s="143">
        <f>IF(t&lt;Tvie,1-EXP((T0-t)*PertePVj)+'2029'!Pspv,1-EXP((T0-t)*PertePVj)+Pspv)</f>
        <v>4.4182446001705511E-2</v>
      </c>
      <c r="M354" s="836"/>
      <c r="N354" s="836"/>
      <c r="O354" s="48">
        <f>IF(t&lt;Tnet,'2029'!Resal+('2029'!Salim-'2029'!Resal)*(1-EXP(('2029'!Tnet-t)/('2029'!Tau_j))),Resal+(Salim-Resal)*(1-EXP((Tnet-t)/(Tau_j))))*Salcycl</f>
        <v>3.3237909409583009E-2</v>
      </c>
      <c r="P354" s="165">
        <f>(INDEX(Models!$BJ354:$BT354,,T354)*(1-R354)+INDEX(Models!$BJ354:$BT354,,T354+1)*R354-ERP_i)*Q354*Ramure*Pc/MaxiM</f>
        <v>5.6067995622135882E-3</v>
      </c>
      <c r="Q354" s="301">
        <f t="shared" si="130"/>
        <v>0.5</v>
      </c>
      <c r="R354" s="173">
        <f t="shared" si="131"/>
        <v>0.96867457358876874</v>
      </c>
      <c r="S354" s="802">
        <f t="shared" si="132"/>
        <v>0</v>
      </c>
      <c r="T354" s="172">
        <f t="shared" si="133"/>
        <v>6</v>
      </c>
      <c r="U354" s="247">
        <f t="shared" si="134"/>
        <v>0.96867457358876874</v>
      </c>
      <c r="V354" s="378">
        <f t="shared" si="135"/>
        <v>17.149309240933071</v>
      </c>
      <c r="W354" s="397">
        <f t="shared" si="136"/>
        <v>11.486569138881668</v>
      </c>
      <c r="X354" s="153">
        <f t="shared" si="137"/>
        <v>47823</v>
      </c>
      <c r="Y354" s="380">
        <f t="shared" si="138"/>
        <v>11.074999331672052</v>
      </c>
      <c r="Z354" s="380">
        <f t="shared" si="139"/>
        <v>11.586938621648095</v>
      </c>
      <c r="AA354" s="381">
        <f t="shared" si="140"/>
        <v>12.276414369812501</v>
      </c>
      <c r="AB354" s="193">
        <f t="shared" si="141"/>
        <v>47823</v>
      </c>
      <c r="AC354" s="119">
        <f>IF(OR(t&lt;Tnet,NoTnet),'2029'!Resal_s+('2029'!Salim-'2029'!Resal_s)*(1-EXP(('2029'!Tnet_s-t)/'2029'!Tau_j)),Resal_s+(Salim-Resal_s)*(1-EXP((Tnet_s-t)/Tau_j)))*Salcycl</f>
        <v>5.6162632458856637E-2</v>
      </c>
      <c r="AD354" s="227">
        <f>(INDEX(Models!$BJ354:$BT354,,AH354)*(1-AF354)+INDEX(Models!$BJ354:$BT354,,AH354+1)*AF354-ERP_i)*AE354*Ramure*Pc/MaxiM</f>
        <v>2.9032133917712918E-2</v>
      </c>
      <c r="AE354" s="301">
        <f t="shared" si="142"/>
        <v>0.5</v>
      </c>
      <c r="AF354" s="173">
        <f t="shared" si="143"/>
        <v>0.49366213996274588</v>
      </c>
      <c r="AG354" s="802">
        <f t="shared" si="149"/>
        <v>4</v>
      </c>
      <c r="AH354" s="172">
        <f t="shared" si="144"/>
        <v>10</v>
      </c>
      <c r="AI354" s="221">
        <f t="shared" si="145"/>
        <v>4.4936621399627459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47824</v>
      </c>
      <c r="B355" s="406">
        <f>'2029'!Wh/'2029'!Env_an*'2030'!Env_an</f>
        <v>14.091557144606808</v>
      </c>
      <c r="C355" s="832"/>
      <c r="D355" s="388">
        <f t="shared" si="127"/>
        <v>14.743137944981086</v>
      </c>
      <c r="E355" s="380">
        <f t="shared" si="125"/>
        <v>15.250556054363505</v>
      </c>
      <c r="F355" s="380">
        <f t="shared" si="128"/>
        <v>15.315632164537606</v>
      </c>
      <c r="G355" s="110">
        <f t="shared" si="126"/>
        <v>0.82903549849238212</v>
      </c>
      <c r="H355" s="409" t="b">
        <f>Wh_hp&gt;='2029'!Maxi_hp</f>
        <v>0</v>
      </c>
      <c r="I355" s="385">
        <f>IF(H355,Wh_hp,'2029'!Maxi_hp)</f>
        <v>15.326405452456894</v>
      </c>
      <c r="J355" s="85">
        <f>IF(H355,An,'2029'!An_max)</f>
        <v>2029</v>
      </c>
      <c r="K355" s="193">
        <f t="shared" si="129"/>
        <v>47824</v>
      </c>
      <c r="L355" s="143">
        <f>IF(t&lt;Tvie,1-EXP((T0-t)*PertePVj)+'2029'!Pspv,1-EXP((T0-t)*PertePVj)+Pspv)</f>
        <v>4.41955303413607E-2</v>
      </c>
      <c r="M355" s="836"/>
      <c r="N355" s="836"/>
      <c r="O355" s="48">
        <f>IF(t&lt;Tnet,'2029'!Resal+('2029'!Salim-'2029'!Resal)*(1-EXP(('2029'!Tnet-t)/('2029'!Tau_j))),Resal+(Salim-Resal)*(1-EXP((Tnet-t)/(Tau_j))))*Salcycl</f>
        <v>3.3272105461179993E-2</v>
      </c>
      <c r="P355" s="165">
        <f>(INDEX(Models!$BJ355:$BT355,,T355)*(1-R355)+INDEX(Models!$BJ355:$BT355,,T355+1)*R355-ERP_i)*Q355*Ramure*Pc/MaxiM</f>
        <v>5.6100837262188352E-3</v>
      </c>
      <c r="Q355" s="301">
        <f t="shared" si="130"/>
        <v>0.5</v>
      </c>
      <c r="R355" s="173">
        <f t="shared" si="131"/>
        <v>0.96868743646305377</v>
      </c>
      <c r="S355" s="802">
        <f t="shared" si="132"/>
        <v>0</v>
      </c>
      <c r="T355" s="172">
        <f t="shared" si="133"/>
        <v>6</v>
      </c>
      <c r="U355" s="247">
        <f t="shared" si="134"/>
        <v>0.96868743646305377</v>
      </c>
      <c r="V355" s="378">
        <f t="shared" si="135"/>
        <v>16.974297877914879</v>
      </c>
      <c r="W355" s="397">
        <f t="shared" si="136"/>
        <v>14.091557144606808</v>
      </c>
      <c r="X355" s="153">
        <f t="shared" si="137"/>
        <v>47824</v>
      </c>
      <c r="Y355" s="380">
        <f t="shared" si="138"/>
        <v>13.510583692481864</v>
      </c>
      <c r="Z355" s="380">
        <f t="shared" si="139"/>
        <v>14.135300808236543</v>
      </c>
      <c r="AA355" s="381">
        <f t="shared" si="140"/>
        <v>14.976530542166506</v>
      </c>
      <c r="AB355" s="193">
        <f t="shared" si="141"/>
        <v>47824</v>
      </c>
      <c r="AC355" s="119">
        <f>IF(OR(t&lt;Tnet,NoTnet),'2029'!Resal_s+('2029'!Salim-'2029'!Resal_s)*(1-EXP(('2029'!Tnet_s-t)/'2029'!Tau_j)),Resal_s+(Salim-Resal_s)*(1-EXP((Tnet_s-t)/Tau_j)))*Salcycl</f>
        <v>5.6169867350884445E-2</v>
      </c>
      <c r="AD355" s="227">
        <f>(INDEX(Models!$BJ355:$BT355,,AH355)*(1-AF355)+INDEX(Models!$BJ355:$BT355,,AH355+1)*AF355-ERP_i)*AE355*Ramure*Pc/MaxiM</f>
        <v>2.923328527333597E-2</v>
      </c>
      <c r="AE355" s="301">
        <f t="shared" si="142"/>
        <v>0.5</v>
      </c>
      <c r="AF355" s="173">
        <f t="shared" si="143"/>
        <v>0.4936750028370307</v>
      </c>
      <c r="AG355" s="802">
        <f t="shared" si="149"/>
        <v>4</v>
      </c>
      <c r="AH355" s="172">
        <f t="shared" si="144"/>
        <v>10</v>
      </c>
      <c r="AI355" s="221">
        <f t="shared" si="145"/>
        <v>4.4936750028370307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47825</v>
      </c>
      <c r="B356" s="406">
        <f>'2029'!Wh/'2029'!Env_an*'2030'!Env_an</f>
        <v>4.5400654804565077</v>
      </c>
      <c r="C356" s="832"/>
      <c r="D356" s="388">
        <f t="shared" si="127"/>
        <v>4.750059008002582</v>
      </c>
      <c r="E356" s="380">
        <f t="shared" si="125"/>
        <v>4.9137190847726799</v>
      </c>
      <c r="F356" s="380">
        <f t="shared" si="128"/>
        <v>4.9137190847726799</v>
      </c>
      <c r="G356" s="110">
        <f t="shared" si="126"/>
        <v>0.26855981195611206</v>
      </c>
      <c r="H356" s="409" t="b">
        <f>Wh_hp&gt;='2029'!Maxi_hp</f>
        <v>0</v>
      </c>
      <c r="I356" s="385">
        <f>IF(H356,Wh_hp,'2029'!Maxi_hp)</f>
        <v>4.9279572871357686</v>
      </c>
      <c r="J356" s="85">
        <f>IF(H356,An,'2029'!An_max)</f>
        <v>2029</v>
      </c>
      <c r="K356" s="193">
        <f t="shared" si="129"/>
        <v>47825</v>
      </c>
      <c r="L356" s="143">
        <f>IF(t&lt;Tvie,1-EXP((T0-t)*PertePVj)+'2029'!Pspv,1-EXP((T0-t)*PertePVj)+Pspv)</f>
        <v>4.4208614501902277E-2</v>
      </c>
      <c r="M356" s="836"/>
      <c r="N356" s="836"/>
      <c r="O356" s="48">
        <f>IF(t&lt;Tnet,'2029'!Resal+('2029'!Salim-'2029'!Resal)*(1-EXP(('2029'!Tnet-t)/('2029'!Tau_j))),Resal+(Salim-Resal)*(1-EXP((Tnet-t)/(Tau_j))))*Salcycl</f>
        <v>3.3306762952174128E-2</v>
      </c>
      <c r="P356" s="165">
        <f>(INDEX(Models!$BJ356:$BT356,,T356)*(1-R356)+INDEX(Models!$BJ356:$BT356,,T356+1)*R356-ERP_i)*Q356*Ramure*Pc/MaxiM</f>
        <v>5.6185405409190023E-3</v>
      </c>
      <c r="Q356" s="301">
        <f t="shared" si="130"/>
        <v>0.5</v>
      </c>
      <c r="R356" s="173">
        <f t="shared" si="131"/>
        <v>0.96869978206238794</v>
      </c>
      <c r="S356" s="802">
        <f t="shared" si="132"/>
        <v>0</v>
      </c>
      <c r="T356" s="172">
        <f t="shared" si="133"/>
        <v>6</v>
      </c>
      <c r="U356" s="247">
        <f t="shared" si="134"/>
        <v>0.96869978206238794</v>
      </c>
      <c r="V356" s="378">
        <f t="shared" si="135"/>
        <v>16.810247615283192</v>
      </c>
      <c r="W356" s="397">
        <f t="shared" si="136"/>
        <v>4.5400654804565077</v>
      </c>
      <c r="X356" s="153">
        <f t="shared" si="137"/>
        <v>47825</v>
      </c>
      <c r="Y356" s="380">
        <f t="shared" si="138"/>
        <v>4.4326511559926614</v>
      </c>
      <c r="Z356" s="380">
        <f t="shared" si="139"/>
        <v>4.6376764043365437</v>
      </c>
      <c r="AA356" s="381">
        <f t="shared" si="140"/>
        <v>4.9137190847726799</v>
      </c>
      <c r="AB356" s="193">
        <f t="shared" si="141"/>
        <v>47825</v>
      </c>
      <c r="AC356" s="119">
        <f>IF(OR(t&lt;Tnet,NoTnet),'2029'!Resal_s+('2029'!Salim-'2029'!Resal_s)*(1-EXP(('2029'!Tnet_s-t)/'2029'!Tau_j)),Resal_s+(Salim-Resal_s)*(1-EXP((Tnet_s-t)/Tau_j)))*Salcycl</f>
        <v>5.6177953129550248E-2</v>
      </c>
      <c r="AD356" s="227">
        <f>(INDEX(Models!$BJ356:$BT356,,AH356)*(1-AF356)+INDEX(Models!$BJ356:$BT356,,AH356+1)*AF356-ERP_i)*AE356*Ramure*Pc/MaxiM</f>
        <v>2.9428414652758795E-2</v>
      </c>
      <c r="AE356" s="301">
        <f t="shared" si="142"/>
        <v>0.5</v>
      </c>
      <c r="AF356" s="173">
        <f t="shared" si="143"/>
        <v>0.49368734843636464</v>
      </c>
      <c r="AG356" s="802">
        <f t="shared" si="149"/>
        <v>4</v>
      </c>
      <c r="AH356" s="172">
        <f t="shared" si="144"/>
        <v>10</v>
      </c>
      <c r="AI356" s="221">
        <f t="shared" si="145"/>
        <v>4.4936873484363646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47826</v>
      </c>
      <c r="B357" s="406">
        <f>'2029'!Wh/'2029'!Env_an*'2030'!Env_an</f>
        <v>7.5595375008242183</v>
      </c>
      <c r="C357" s="832"/>
      <c r="D357" s="388">
        <f t="shared" si="127"/>
        <v>7.9093001889961734</v>
      </c>
      <c r="E357" s="380">
        <f t="shared" si="125"/>
        <v>8.1821069128960175</v>
      </c>
      <c r="F357" s="380">
        <f t="shared" si="128"/>
        <v>8.1922442228818859</v>
      </c>
      <c r="G357" s="110">
        <f t="shared" si="126"/>
        <v>0.45180696853476104</v>
      </c>
      <c r="H357" s="409" t="b">
        <f>Wh_hp&gt;='2029'!Maxi_hp</f>
        <v>0</v>
      </c>
      <c r="I357" s="385">
        <f>IF(H357,Wh_hp,'2029'!Maxi_hp)</f>
        <v>8.2108216550010145</v>
      </c>
      <c r="J357" s="85">
        <f>IF(H357,An,'2029'!An_max)</f>
        <v>2029</v>
      </c>
      <c r="K357" s="193">
        <f t="shared" si="129"/>
        <v>47826</v>
      </c>
      <c r="L357" s="143">
        <f>IF(t&lt;Tvie,1-EXP((T0-t)*PertePVj)+'2029'!Pspv,1-EXP((T0-t)*PertePVj)+Pspv)</f>
        <v>4.4221698483332683E-2</v>
      </c>
      <c r="M357" s="836"/>
      <c r="N357" s="836"/>
      <c r="O357" s="48">
        <f>IF(t&lt;Tnet,'2029'!Resal+('2029'!Salim-'2029'!Resal)*(1-EXP(('2029'!Tnet-t)/('2029'!Tau_j))),Resal+(Salim-Resal)*(1-EXP((Tnet-t)/(Tau_j))))*Salcycl</f>
        <v>3.3341867419242291E-2</v>
      </c>
      <c r="P357" s="165">
        <f>(INDEX(Models!$BJ357:$BT357,,T357)*(1-R357)+INDEX(Models!$BJ357:$BT357,,T357+1)*R357-ERP_i)*Q357*Ramure*Pc/MaxiM</f>
        <v>5.6318521863787619E-3</v>
      </c>
      <c r="Q357" s="301">
        <f t="shared" si="130"/>
        <v>0.5</v>
      </c>
      <c r="R357" s="173">
        <f t="shared" si="131"/>
        <v>0.9687116311647479</v>
      </c>
      <c r="S357" s="802">
        <f t="shared" si="132"/>
        <v>0</v>
      </c>
      <c r="T357" s="172">
        <f t="shared" si="133"/>
        <v>6</v>
      </c>
      <c r="U357" s="247">
        <f t="shared" si="134"/>
        <v>0.9687116311647479</v>
      </c>
      <c r="V357" s="378">
        <f t="shared" si="135"/>
        <v>16.658168311427701</v>
      </c>
      <c r="W357" s="397">
        <f t="shared" si="136"/>
        <v>7.5595375008242183</v>
      </c>
      <c r="X357" s="153">
        <f t="shared" si="137"/>
        <v>47826</v>
      </c>
      <c r="Y357" s="380">
        <f t="shared" si="138"/>
        <v>7.3419409871482912</v>
      </c>
      <c r="Z357" s="380">
        <f t="shared" si="139"/>
        <v>7.6816359771903224</v>
      </c>
      <c r="AA357" s="381">
        <f t="shared" si="140"/>
        <v>8.1389373339347273</v>
      </c>
      <c r="AB357" s="193">
        <f t="shared" si="141"/>
        <v>47826</v>
      </c>
      <c r="AC357" s="119">
        <f>IF(OR(t&lt;Tnet,NoTnet),'2029'!Resal_s+('2029'!Salim-'2029'!Resal_s)*(1-EXP(('2029'!Tnet_s-t)/'2029'!Tau_j)),Resal_s+(Salim-Resal_s)*(1-EXP((Tnet_s-t)/Tau_j)))*Salcycl</f>
        <v>5.618686297506166E-2</v>
      </c>
      <c r="AD357" s="227">
        <f>(INDEX(Models!$BJ357:$BT357,,AH357)*(1-AF357)+INDEX(Models!$BJ357:$BT357,,AH357+1)*AF357-ERP_i)*AE357*Ramure*Pc/MaxiM</f>
        <v>2.9615008269908673E-2</v>
      </c>
      <c r="AE357" s="301">
        <f t="shared" si="142"/>
        <v>0.5</v>
      </c>
      <c r="AF357" s="173">
        <f t="shared" si="143"/>
        <v>0.49369919753872527</v>
      </c>
      <c r="AG357" s="802">
        <f t="shared" si="149"/>
        <v>4</v>
      </c>
      <c r="AH357" s="172">
        <f t="shared" si="144"/>
        <v>10</v>
      </c>
      <c r="AI357" s="221">
        <f t="shared" si="145"/>
        <v>4.4936991975387253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47827</v>
      </c>
      <c r="B358" s="406">
        <f>'2029'!Wh/'2029'!Env_an*'2030'!Env_an</f>
        <v>11.008736607402406</v>
      </c>
      <c r="C358" s="832"/>
      <c r="D358" s="388">
        <f t="shared" si="127"/>
        <v>11.518243605609683</v>
      </c>
      <c r="E358" s="380">
        <f t="shared" si="125"/>
        <v>11.915967663590665</v>
      </c>
      <c r="F358" s="380">
        <f t="shared" si="128"/>
        <v>11.951312584539838</v>
      </c>
      <c r="G358" s="110">
        <f t="shared" si="126"/>
        <v>0.66462643666026278</v>
      </c>
      <c r="H358" s="409" t="b">
        <f>Wh_hp&gt;='2029'!Maxi_hp</f>
        <v>0</v>
      </c>
      <c r="I358" s="385">
        <f>IF(H358,Wh_hp,'2029'!Maxi_hp)</f>
        <v>11.967930640546628</v>
      </c>
      <c r="J358" s="85">
        <f>IF(H358,An,'2029'!An_max)</f>
        <v>2029</v>
      </c>
      <c r="K358" s="193">
        <f t="shared" si="129"/>
        <v>47827</v>
      </c>
      <c r="L358" s="143">
        <f>IF(t&lt;Tvie,1-EXP((T0-t)*PertePVj)+'2029'!Pspv,1-EXP((T0-t)*PertePVj)+Pspv)</f>
        <v>4.4234782285654473E-2</v>
      </c>
      <c r="M358" s="836"/>
      <c r="N358" s="836"/>
      <c r="O358" s="48">
        <f>IF(t&lt;Tnet,'2029'!Resal+('2029'!Salim-'2029'!Resal)*(1-EXP(('2029'!Tnet-t)/('2029'!Tau_j))),Resal+(Salim-Resal)*(1-EXP((Tnet-t)/(Tau_j))))*Salcycl</f>
        <v>3.3377403263373365E-2</v>
      </c>
      <c r="P358" s="165">
        <f>(INDEX(Models!$BJ358:$BT358,,T358)*(1-R358)+INDEX(Models!$BJ358:$BT358,,T358+1)*R358-ERP_i)*Q358*Ramure*Pc/MaxiM</f>
        <v>5.6496718578111851E-3</v>
      </c>
      <c r="Q358" s="301">
        <f t="shared" si="130"/>
        <v>0.5</v>
      </c>
      <c r="R358" s="173">
        <f t="shared" si="131"/>
        <v>0.96872300371539244</v>
      </c>
      <c r="S358" s="802">
        <f t="shared" si="132"/>
        <v>0</v>
      </c>
      <c r="T358" s="172">
        <f t="shared" si="133"/>
        <v>6</v>
      </c>
      <c r="U358" s="247">
        <f t="shared" si="134"/>
        <v>0.96872300371539244</v>
      </c>
      <c r="V358" s="378">
        <f t="shared" si="135"/>
        <v>16.519069476708427</v>
      </c>
      <c r="W358" s="397">
        <f t="shared" si="136"/>
        <v>11.008736607402406</v>
      </c>
      <c r="X358" s="153">
        <f t="shared" si="137"/>
        <v>47827</v>
      </c>
      <c r="Y358" s="380">
        <f t="shared" si="138"/>
        <v>10.612617495463514</v>
      </c>
      <c r="Z358" s="380">
        <f t="shared" si="139"/>
        <v>11.103791285524016</v>
      </c>
      <c r="AA358" s="381">
        <f t="shared" si="140"/>
        <v>11.764940571413572</v>
      </c>
      <c r="AB358" s="193">
        <f t="shared" si="141"/>
        <v>47827</v>
      </c>
      <c r="AC358" s="119">
        <f>IF(OR(t&lt;Tnet,NoTnet),'2029'!Resal_s+('2029'!Salim-'2029'!Resal_s)*(1-EXP(('2029'!Tnet_s-t)/'2029'!Tau_j)),Resal_s+(Salim-Resal_s)*(1-EXP((Tnet_s-t)/Tau_j)))*Salcycl</f>
        <v>5.6196568259427863E-2</v>
      </c>
      <c r="AD358" s="227">
        <f>(INDEX(Models!$BJ358:$BT358,,AH358)*(1-AF358)+INDEX(Models!$BJ358:$BT358,,AH358+1)*AF358-ERP_i)*AE358*Ramure*Pc/MaxiM</f>
        <v>2.9790439173912157E-2</v>
      </c>
      <c r="AE358" s="301">
        <f t="shared" si="142"/>
        <v>0.5</v>
      </c>
      <c r="AF358" s="173">
        <f t="shared" si="143"/>
        <v>0.49371057008936958</v>
      </c>
      <c r="AG358" s="802">
        <f t="shared" si="149"/>
        <v>4</v>
      </c>
      <c r="AH358" s="172">
        <f t="shared" si="144"/>
        <v>10</v>
      </c>
      <c r="AI358" s="221">
        <f t="shared" si="145"/>
        <v>4.4937105700893696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47828</v>
      </c>
      <c r="B359" s="406">
        <f>'2029'!Wh/'2029'!Env_an*'2030'!Env_an</f>
        <v>12.518929161076079</v>
      </c>
      <c r="C359" s="832"/>
      <c r="D359" s="388">
        <f t="shared" si="127"/>
        <v>13.098510287901078</v>
      </c>
      <c r="E359" s="380">
        <f t="shared" si="125"/>
        <v>13.55130483176076</v>
      </c>
      <c r="F359" s="380">
        <f t="shared" si="128"/>
        <v>13.602441629815958</v>
      </c>
      <c r="G359" s="110">
        <f t="shared" si="126"/>
        <v>0.76238639792919916</v>
      </c>
      <c r="H359" s="409" t="b">
        <f>Wh_hp&gt;='2029'!Maxi_hp</f>
        <v>0</v>
      </c>
      <c r="I359" s="385">
        <f>IF(H359,Wh_hp,'2029'!Maxi_hp)</f>
        <v>13.615892722604087</v>
      </c>
      <c r="J359" s="85">
        <f>IF(H359,An,'2029'!An_max)</f>
        <v>2029</v>
      </c>
      <c r="K359" s="193">
        <f t="shared" si="129"/>
        <v>47828</v>
      </c>
      <c r="L359" s="143">
        <f>IF(t&lt;Tvie,1-EXP((T0-t)*PertePVj)+'2029'!Pspv,1-EXP((T0-t)*PertePVj)+Pspv)</f>
        <v>4.4247865908869866E-2</v>
      </c>
      <c r="M359" s="836"/>
      <c r="N359" s="836"/>
      <c r="O359" s="48">
        <f>IF(t&lt;Tnet,'2029'!Resal+('2029'!Salim-'2029'!Resal)*(1-EXP(('2029'!Tnet-t)/('2029'!Tau_j))),Resal+(Salim-Resal)*(1-EXP((Tnet-t)/(Tau_j))))*Salcycl</f>
        <v>3.3413353878546666E-2</v>
      </c>
      <c r="P359" s="165">
        <f>(INDEX(Models!$BJ359:$BT359,,T359)*(1-R359)+INDEX(Models!$BJ359:$BT359,,T359+1)*R359-ERP_i)*Q359*Ramure*Pc/MaxiM</f>
        <v>5.6732711301381005E-3</v>
      </c>
      <c r="Q359" s="301">
        <f t="shared" si="130"/>
        <v>0.5</v>
      </c>
      <c r="R359" s="173">
        <f t="shared" si="131"/>
        <v>0.96873391886008386</v>
      </c>
      <c r="S359" s="802">
        <f t="shared" si="132"/>
        <v>0</v>
      </c>
      <c r="T359" s="172">
        <f t="shared" si="133"/>
        <v>6</v>
      </c>
      <c r="U359" s="247">
        <f t="shared" si="134"/>
        <v>0.96873391886008386</v>
      </c>
      <c r="V359" s="378">
        <f t="shared" si="135"/>
        <v>16.389168222896821</v>
      </c>
      <c r="W359" s="397">
        <f t="shared" si="136"/>
        <v>12.518929161076079</v>
      </c>
      <c r="X359" s="153">
        <f t="shared" si="137"/>
        <v>47828</v>
      </c>
      <c r="Y359" s="380">
        <f t="shared" si="138"/>
        <v>12.026241373842435</v>
      </c>
      <c r="Z359" s="380">
        <f t="shared" si="139"/>
        <v>12.583012838656915</v>
      </c>
      <c r="AA359" s="381">
        <f t="shared" si="140"/>
        <v>13.33238682164478</v>
      </c>
      <c r="AB359" s="193">
        <f t="shared" si="141"/>
        <v>47828</v>
      </c>
      <c r="AC359" s="119">
        <f>IF(OR(t&lt;Tnet,NoTnet),'2029'!Resal_s+('2029'!Salim-'2029'!Resal_s)*(1-EXP(('2029'!Tnet_s-t)/'2029'!Tau_j)),Resal_s+(Salim-Resal_s)*(1-EXP((Tnet_s-t)/Tau_j)))*Salcycl</f>
        <v>5.6207038770527962E-2</v>
      </c>
      <c r="AD359" s="227">
        <f>(INDEX(Models!$BJ359:$BT359,,AH359)*(1-AF359)+INDEX(Models!$BJ359:$BT359,,AH359+1)*AF359-ERP_i)*AE359*Ramure*Pc/MaxiM</f>
        <v>2.9960697677996015E-2</v>
      </c>
      <c r="AE359" s="301">
        <f t="shared" si="142"/>
        <v>0.5</v>
      </c>
      <c r="AF359" s="173">
        <f t="shared" si="143"/>
        <v>0.49372148523406079</v>
      </c>
      <c r="AG359" s="802">
        <f t="shared" si="149"/>
        <v>4</v>
      </c>
      <c r="AH359" s="172">
        <f t="shared" si="144"/>
        <v>10</v>
      </c>
      <c r="AI359" s="221">
        <f t="shared" si="145"/>
        <v>4.4937214852340608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47829</v>
      </c>
      <c r="B360" s="406">
        <f>'2029'!Wh/'2029'!Env_an*'2030'!Env_an</f>
        <v>5.732480724371098</v>
      </c>
      <c r="C360" s="832"/>
      <c r="D360" s="388">
        <f t="shared" si="127"/>
        <v>5.9979559488443099</v>
      </c>
      <c r="E360" s="380">
        <f t="shared" si="125"/>
        <v>6.2055290448035638</v>
      </c>
      <c r="F360" s="380">
        <f t="shared" si="128"/>
        <v>6.2081823092705646</v>
      </c>
      <c r="G360" s="110">
        <f t="shared" si="126"/>
        <v>0.35058852077898206</v>
      </c>
      <c r="H360" s="409" t="b">
        <f>Wh_hp&gt;='2029'!Maxi_hp</f>
        <v>0</v>
      </c>
      <c r="I360" s="385">
        <f>IF(H360,Wh_hp,'2029'!Maxi_hp)</f>
        <v>6.225080817486667</v>
      </c>
      <c r="J360" s="85">
        <f>IF(H360,An,'2029'!An_max)</f>
        <v>2029</v>
      </c>
      <c r="K360" s="193">
        <f t="shared" si="129"/>
        <v>47829</v>
      </c>
      <c r="L360" s="143">
        <f>IF(t&lt;Tvie,1-EXP((T0-t)*PertePVj)+'2029'!Pspv,1-EXP((T0-t)*PertePVj)+Pspv)</f>
        <v>4.4260949352981527E-2</v>
      </c>
      <c r="M360" s="836"/>
      <c r="N360" s="836"/>
      <c r="O360" s="48">
        <f>IF(t&lt;Tnet,'2029'!Resal+('2029'!Salim-'2029'!Resal)*(1-EXP(('2029'!Tnet-t)/('2029'!Tau_j))),Resal+(Salim-Resal)*(1-EXP((Tnet-t)/(Tau_j))))*Salcycl</f>
        <v>3.3449701783778416E-2</v>
      </c>
      <c r="P360" s="165">
        <f>(INDEX(Models!$BJ360:$BT360,,T360)*(1-R360)+INDEX(Models!$BJ360:$BT360,,T360+1)*R360-ERP_i)*Q360*Ramure*Pc/MaxiM</f>
        <v>5.7039612302642543E-3</v>
      </c>
      <c r="Q360" s="301">
        <f t="shared" si="130"/>
        <v>0.5</v>
      </c>
      <c r="R360" s="173">
        <f t="shared" si="131"/>
        <v>0.96874439497699849</v>
      </c>
      <c r="S360" s="802">
        <f t="shared" si="132"/>
        <v>0</v>
      </c>
      <c r="T360" s="172">
        <f t="shared" si="133"/>
        <v>6</v>
      </c>
      <c r="U360" s="247">
        <f t="shared" si="134"/>
        <v>0.96874439497699849</v>
      </c>
      <c r="V360" s="378">
        <f t="shared" si="135"/>
        <v>16.264707952249179</v>
      </c>
      <c r="W360" s="397">
        <f t="shared" si="136"/>
        <v>5.732480724371098</v>
      </c>
      <c r="X360" s="153">
        <f t="shared" si="137"/>
        <v>47829</v>
      </c>
      <c r="Y360" s="380">
        <f t="shared" si="138"/>
        <v>5.5871939878197638</v>
      </c>
      <c r="Z360" s="380">
        <f t="shared" si="139"/>
        <v>5.8459408810776665</v>
      </c>
      <c r="AA360" s="381">
        <f t="shared" si="140"/>
        <v>6.1941660106805596</v>
      </c>
      <c r="AB360" s="193">
        <f t="shared" si="141"/>
        <v>47829</v>
      </c>
      <c r="AC360" s="119">
        <f>IF(OR(t&lt;Tnet,NoTnet),'2029'!Resal_s+('2029'!Salim-'2029'!Resal_s)*(1-EXP(('2029'!Tnet_s-t)/'2029'!Tau_j)),Resal_s+(Salim-Resal_s)*(1-EXP((Tnet_s-t)/Tau_j)))*Salcycl</f>
        <v>5.6218242940607448E-2</v>
      </c>
      <c r="AD360" s="227">
        <f>(INDEX(Models!$BJ360:$BT360,,AH360)*(1-AF360)+INDEX(Models!$BJ360:$BT360,,AH360+1)*AF360-ERP_i)*AE360*Ramure*Pc/MaxiM</f>
        <v>3.0132097551341375E-2</v>
      </c>
      <c r="AE360" s="301">
        <f t="shared" si="142"/>
        <v>0.5</v>
      </c>
      <c r="AF360" s="173">
        <f t="shared" si="143"/>
        <v>0.49373196135097608</v>
      </c>
      <c r="AG360" s="802">
        <f t="shared" si="149"/>
        <v>4</v>
      </c>
      <c r="AH360" s="172">
        <f t="shared" si="144"/>
        <v>10</v>
      </c>
      <c r="AI360" s="221">
        <f t="shared" si="145"/>
        <v>4.4937319613509761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47830</v>
      </c>
      <c r="B361" s="406">
        <f>'2029'!Wh/'2029'!Env_an*'2030'!Env_an</f>
        <v>5.4004347682332767</v>
      </c>
      <c r="C361" s="832"/>
      <c r="D361" s="388">
        <f t="shared" si="127"/>
        <v>5.6506100624497284</v>
      </c>
      <c r="E361" s="380">
        <f t="shared" ref="E361:E379" si="150">Wh_pvt/(1-Psa)</f>
        <v>5.846384603979673</v>
      </c>
      <c r="F361" s="380">
        <f t="shared" si="128"/>
        <v>5.8480360720109061</v>
      </c>
      <c r="G361" s="110">
        <f t="shared" ref="G361:G379" si="151">+Wh_hp/MaxiM</f>
        <v>0.33263348111428775</v>
      </c>
      <c r="H361" s="409" t="b">
        <f>Wh_hp&gt;='2029'!Maxi_hp</f>
        <v>0</v>
      </c>
      <c r="I361" s="385">
        <f>IF(H361,Wh_hp,'2029'!Maxi_hp)</f>
        <v>5.864489945974193</v>
      </c>
      <c r="J361" s="85">
        <f>IF(H361,An,'2029'!An_max)</f>
        <v>2029</v>
      </c>
      <c r="K361" s="193">
        <f t="shared" si="129"/>
        <v>47830</v>
      </c>
      <c r="L361" s="143">
        <f>IF(t&lt;Tvie,1-EXP((T0-t)*PertePVj)+'2029'!Pspv,1-EXP((T0-t)*PertePVj)+Pspv)</f>
        <v>4.4274032617991788E-2</v>
      </c>
      <c r="M361" s="836"/>
      <c r="N361" s="836"/>
      <c r="O361" s="48">
        <f>IF(t&lt;Tnet,'2029'!Resal+('2029'!Salim-'2029'!Resal)*(1-EXP(('2029'!Tnet-t)/('2029'!Tau_j))),Resal+(Salim-Resal)*(1-EXP((Tnet-t)/(Tau_j))))*Salcycl</f>
        <v>3.3486428757471695E-2</v>
      </c>
      <c r="P361" s="165">
        <f>(INDEX(Models!$BJ361:$BT361,,T361)*(1-R361)+INDEX(Models!$BJ361:$BT361,,T361+1)*R361-ERP_i)*Q361*Ramure*Pc/MaxiM</f>
        <v>5.7367378587327884E-3</v>
      </c>
      <c r="Q361" s="301">
        <f t="shared" si="130"/>
        <v>0.5</v>
      </c>
      <c r="R361" s="173">
        <f t="shared" si="131"/>
        <v>0.96875444970737445</v>
      </c>
      <c r="S361" s="802">
        <f t="shared" si="132"/>
        <v>0</v>
      </c>
      <c r="T361" s="172">
        <f t="shared" si="133"/>
        <v>6</v>
      </c>
      <c r="U361" s="247">
        <f t="shared" si="134"/>
        <v>0.96875444970737445</v>
      </c>
      <c r="V361" s="378">
        <f t="shared" si="135"/>
        <v>16.146813056281648</v>
      </c>
      <c r="W361" s="397">
        <f t="shared" si="136"/>
        <v>5.4004347682332767</v>
      </c>
      <c r="X361" s="153">
        <f t="shared" si="137"/>
        <v>47830</v>
      </c>
      <c r="Y361" s="380">
        <f t="shared" si="138"/>
        <v>5.2669764746839256</v>
      </c>
      <c r="Z361" s="380">
        <f t="shared" si="139"/>
        <v>5.5109693096564047</v>
      </c>
      <c r="AA361" s="381">
        <f t="shared" si="140"/>
        <v>5.8393148482436841</v>
      </c>
      <c r="AB361" s="193">
        <f t="shared" si="141"/>
        <v>47830</v>
      </c>
      <c r="AC361" s="119">
        <f>IF(OR(t&lt;Tnet,NoTnet),'2029'!Resal_s+('2029'!Salim-'2029'!Resal_s)*(1-EXP(('2029'!Tnet_s-t)/'2029'!Tau_j)),Resal_s+(Salim-Resal_s)*(1-EXP((Tnet_s-t)/Tau_j)))*Salcycl</f>
        <v>5.6230148077396014E-2</v>
      </c>
      <c r="AD361" s="227">
        <f>(INDEX(Models!$BJ361:$BT361,,AH361)*(1-AF361)+INDEX(Models!$BJ361:$BT361,,AH361+1)*AF361-ERP_i)*AE361*Ramure*Pc/MaxiM</f>
        <v>3.0295091163550666E-2</v>
      </c>
      <c r="AE361" s="301">
        <f t="shared" si="142"/>
        <v>0.5</v>
      </c>
      <c r="AF361" s="173">
        <f t="shared" si="143"/>
        <v>0.49374201608135149</v>
      </c>
      <c r="AG361" s="802">
        <f t="shared" si="149"/>
        <v>4</v>
      </c>
      <c r="AH361" s="172">
        <f t="shared" si="144"/>
        <v>10</v>
      </c>
      <c r="AI361" s="221">
        <f t="shared" si="145"/>
        <v>4.4937420160813515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47831</v>
      </c>
      <c r="B362" s="406">
        <f>'2029'!Wh/'2029'!Env_an*'2030'!Env_an</f>
        <v>12.298642440470545</v>
      </c>
      <c r="C362" s="832"/>
      <c r="D362" s="388">
        <f t="shared" si="127"/>
        <v>12.868553560966962</v>
      </c>
      <c r="E362" s="380">
        <f t="shared" si="150"/>
        <v>13.314916372665168</v>
      </c>
      <c r="F362" s="380">
        <f t="shared" si="128"/>
        <v>13.366370108779753</v>
      </c>
      <c r="G362" s="110">
        <f t="shared" si="151"/>
        <v>0.76543467280191158</v>
      </c>
      <c r="H362" s="409" t="b">
        <f>Wh_hp&gt;='2029'!Maxi_hp</f>
        <v>0</v>
      </c>
      <c r="I362" s="385">
        <f>IF(H362,Wh_hp,'2029'!Maxi_hp)</f>
        <v>13.379643575055832</v>
      </c>
      <c r="J362" s="85">
        <f>IF(H362,An,'2029'!An_max)</f>
        <v>2029</v>
      </c>
      <c r="K362" s="193">
        <f t="shared" si="129"/>
        <v>47831</v>
      </c>
      <c r="L362" s="143">
        <f>IF(t&lt;Tvie,1-EXP((T0-t)*PertePVj)+'2029'!Pspv,1-EXP((T0-t)*PertePVj)+Pspv)</f>
        <v>4.428711570390309E-2</v>
      </c>
      <c r="M362" s="836"/>
      <c r="N362" s="836"/>
      <c r="O362" s="48">
        <f>IF(t&lt;Tnet,'2029'!Resal+('2029'!Salim-'2029'!Resal)*(1-EXP(('2029'!Tnet-t)/('2029'!Tau_j))),Resal+(Salim-Resal)*(1-EXP((Tnet-t)/(Tau_j))))*Salcycl</f>
        <v>3.3523515973000531E-2</v>
      </c>
      <c r="P362" s="165">
        <f>(INDEX(Models!$BJ362:$BT362,,T362)*(1-R362)+INDEX(Models!$BJ362:$BT362,,T362+1)*R362-ERP_i)*Q362*Ramure*Pc/MaxiM</f>
        <v>5.7711777427448532E-3</v>
      </c>
      <c r="Q362" s="301">
        <f t="shared" si="130"/>
        <v>0.5</v>
      </c>
      <c r="R362" s="173">
        <f t="shared" si="131"/>
        <v>0.96876409998494384</v>
      </c>
      <c r="S362" s="802">
        <f t="shared" si="132"/>
        <v>0</v>
      </c>
      <c r="T362" s="172">
        <f t="shared" si="133"/>
        <v>6</v>
      </c>
      <c r="U362" s="247">
        <f t="shared" si="134"/>
        <v>0.96876409998494384</v>
      </c>
      <c r="V362" s="378">
        <f t="shared" si="135"/>
        <v>16.036531164649052</v>
      </c>
      <c r="W362" s="397">
        <f t="shared" si="136"/>
        <v>12.298642440470545</v>
      </c>
      <c r="X362" s="153">
        <f t="shared" si="137"/>
        <v>47831</v>
      </c>
      <c r="Y362" s="380">
        <f t="shared" si="138"/>
        <v>11.811101811536879</v>
      </c>
      <c r="Z362" s="380">
        <f t="shared" si="139"/>
        <v>12.358420615241585</v>
      </c>
      <c r="AA362" s="381">
        <f t="shared" si="140"/>
        <v>13.094914216764202</v>
      </c>
      <c r="AB362" s="193">
        <f t="shared" si="141"/>
        <v>47831</v>
      </c>
      <c r="AC362" s="119">
        <f>IF(OR(t&lt;Tnet,NoTnet),'2029'!Resal_s+('2029'!Salim-'2029'!Resal_s)*(1-EXP(('2029'!Tnet_s-t)/'2029'!Tau_j)),Resal_s+(Salim-Resal_s)*(1-EXP((Tnet_s-t)/Tau_j)))*Salcycl</f>
        <v>5.6242720596042857E-2</v>
      </c>
      <c r="AD362" s="227">
        <f>(INDEX(Models!$BJ362:$BT362,,AH362)*(1-AF362)+INDEX(Models!$BJ362:$BT362,,AH362+1)*AF362-ERP_i)*AE362*Ramure*Pc/MaxiM</f>
        <v>3.0447161283843446E-2</v>
      </c>
      <c r="AE362" s="301">
        <f t="shared" si="142"/>
        <v>0.5</v>
      </c>
      <c r="AF362" s="173">
        <f t="shared" si="143"/>
        <v>0.49375166635892054</v>
      </c>
      <c r="AG362" s="802">
        <f t="shared" si="149"/>
        <v>4</v>
      </c>
      <c r="AH362" s="172">
        <f t="shared" si="144"/>
        <v>10</v>
      </c>
      <c r="AI362" s="221">
        <f t="shared" si="145"/>
        <v>4.4937516663589205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47832</v>
      </c>
      <c r="B363" s="406">
        <f>'2029'!Wh/'2029'!Env_an*'2030'!Env_an</f>
        <v>6.5690296980825202</v>
      </c>
      <c r="C363" s="832"/>
      <c r="D363" s="388">
        <f t="shared" si="127"/>
        <v>6.8735283700313117</v>
      </c>
      <c r="E363" s="380">
        <f t="shared" si="150"/>
        <v>7.1122212293825511</v>
      </c>
      <c r="F363" s="380">
        <f t="shared" si="128"/>
        <v>7.1188495625763677</v>
      </c>
      <c r="G363" s="110">
        <f t="shared" si="151"/>
        <v>0.41022956046537429</v>
      </c>
      <c r="H363" s="409" t="b">
        <f>Wh_hp&gt;='2029'!Maxi_hp</f>
        <v>0</v>
      </c>
      <c r="I363" s="385">
        <f>IF(H363,Wh_hp,'2029'!Maxi_hp)</f>
        <v>7.136761375036941</v>
      </c>
      <c r="J363" s="85">
        <f>IF(H363,An,'2029'!An_max)</f>
        <v>2029</v>
      </c>
      <c r="K363" s="193">
        <f t="shared" si="129"/>
        <v>47832</v>
      </c>
      <c r="L363" s="143">
        <f>IF(t&lt;Tvie,1-EXP((T0-t)*PertePVj)+'2029'!Pspv,1-EXP((T0-t)*PertePVj)+Pspv)</f>
        <v>4.4300198610717989E-2</v>
      </c>
      <c r="M363" s="836"/>
      <c r="N363" s="836"/>
      <c r="O363" s="48">
        <f>IF(t&lt;Tnet,'2029'!Resal+('2029'!Salim-'2029'!Resal)*(1-EXP(('2029'!Tnet-t)/('2029'!Tau_j))),Resal+(Salim-Resal)*(1-EXP((Tnet-t)/(Tau_j))))*Salcycl</f>
        <v>3.3560944134461548E-2</v>
      </c>
      <c r="P363" s="165">
        <f>(INDEX(Models!$BJ363:$BT363,,T363)*(1-R363)+INDEX(Models!$BJ363:$BT363,,T363+1)*R363-ERP_i)*Q363*Ramure*Pc/MaxiM</f>
        <v>5.8068341675242188E-3</v>
      </c>
      <c r="Q363" s="301">
        <f t="shared" si="130"/>
        <v>0.5</v>
      </c>
      <c r="R363" s="173">
        <f t="shared" si="131"/>
        <v>0.96877336206420028</v>
      </c>
      <c r="S363" s="802">
        <f t="shared" si="132"/>
        <v>0</v>
      </c>
      <c r="T363" s="172">
        <f t="shared" si="133"/>
        <v>6</v>
      </c>
      <c r="U363" s="247">
        <f t="shared" si="134"/>
        <v>0.96877336206420028</v>
      </c>
      <c r="V363" s="378">
        <f t="shared" si="135"/>
        <v>15.934909646377251</v>
      </c>
      <c r="W363" s="397">
        <f t="shared" si="136"/>
        <v>6.5690296980825202</v>
      </c>
      <c r="X363" s="153">
        <f t="shared" si="137"/>
        <v>47832</v>
      </c>
      <c r="Y363" s="380">
        <f t="shared" si="138"/>
        <v>6.3892578534423281</v>
      </c>
      <c r="Z363" s="380">
        <f t="shared" si="139"/>
        <v>6.6854234396139764</v>
      </c>
      <c r="AA363" s="381">
        <f t="shared" si="140"/>
        <v>7.083936869717034</v>
      </c>
      <c r="AB363" s="193">
        <f t="shared" si="141"/>
        <v>47832</v>
      </c>
      <c r="AC363" s="119">
        <f>IF(OR(t&lt;Tnet,NoTnet),'2029'!Resal_s+('2029'!Salim-'2029'!Resal_s)*(1-EXP(('2029'!Tnet_s-t)/'2029'!Tau_j)),Resal_s+(Salim-Resal_s)*(1-EXP((Tnet_s-t)/Tau_j)))*Salcycl</f>
        <v>5.6255926250084666E-2</v>
      </c>
      <c r="AD363" s="227">
        <f>(INDEX(Models!$BJ363:$BT363,,AH363)*(1-AF363)+INDEX(Models!$BJ363:$BT363,,AH363+1)*AF363-ERP_i)*AE363*Ramure*Pc/MaxiM</f>
        <v>3.0585701087714648E-2</v>
      </c>
      <c r="AE363" s="301">
        <f t="shared" si="142"/>
        <v>0.5</v>
      </c>
      <c r="AF363" s="173">
        <f t="shared" si="143"/>
        <v>0.49376092843817787</v>
      </c>
      <c r="AG363" s="802">
        <f t="shared" si="149"/>
        <v>4</v>
      </c>
      <c r="AH363" s="172">
        <f t="shared" si="144"/>
        <v>10</v>
      </c>
      <c r="AI363" s="221">
        <f t="shared" si="145"/>
        <v>4.4937609284381779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47833</v>
      </c>
      <c r="B364" s="406">
        <f>'2029'!Wh/'2029'!Env_an*'2030'!Env_an</f>
        <v>5.5131984991321321</v>
      </c>
      <c r="C364" s="832"/>
      <c r="D364" s="388">
        <f t="shared" si="127"/>
        <v>5.7688344846450983</v>
      </c>
      <c r="E364" s="380">
        <f t="shared" si="150"/>
        <v>5.9693984750536186</v>
      </c>
      <c r="F364" s="380">
        <f t="shared" si="128"/>
        <v>5.9717907311982739</v>
      </c>
      <c r="G364" s="110">
        <f t="shared" si="151"/>
        <v>0.34609490747957422</v>
      </c>
      <c r="H364" s="409" t="b">
        <f>Wh_hp&gt;='2029'!Maxi_hp</f>
        <v>0</v>
      </c>
      <c r="I364" s="385">
        <f>IF(H364,Wh_hp,'2029'!Maxi_hp)</f>
        <v>5.9885599299290551</v>
      </c>
      <c r="J364" s="85">
        <f>IF(H364,An,'2029'!An_max)</f>
        <v>2029</v>
      </c>
      <c r="K364" s="193">
        <f t="shared" si="129"/>
        <v>47833</v>
      </c>
      <c r="L364" s="143">
        <f>IF(t&lt;Tvie,1-EXP((T0-t)*PertePVj)+'2029'!Pspv,1-EXP((T0-t)*PertePVj)+Pspv)</f>
        <v>4.4313281338438926E-2</v>
      </c>
      <c r="M364" s="836"/>
      <c r="N364" s="836"/>
      <c r="O364" s="48">
        <f>IF(t&lt;Tnet,'2029'!Resal+('2029'!Salim-'2029'!Resal)*(1-EXP(('2029'!Tnet-t)/('2029'!Tau_j))),Resal+(Salim-Resal)*(1-EXP((Tnet-t)/(Tau_j))))*Salcycl</f>
        <v>3.359869361153995E-2</v>
      </c>
      <c r="P364" s="165">
        <f>(INDEX(Models!$BJ364:$BT364,,T364)*(1-R364)+INDEX(Models!$BJ364:$BT364,,T364+1)*R364-ERP_i)*Q364*Ramure*Pc/MaxiM</f>
        <v>5.8432376585717833E-3</v>
      </c>
      <c r="Q364" s="301">
        <f t="shared" si="130"/>
        <v>0.5</v>
      </c>
      <c r="R364" s="173">
        <f t="shared" si="131"/>
        <v>0.96878225154754549</v>
      </c>
      <c r="S364" s="802">
        <f t="shared" si="132"/>
        <v>0</v>
      </c>
      <c r="T364" s="172">
        <f t="shared" si="133"/>
        <v>6</v>
      </c>
      <c r="U364" s="247">
        <f t="shared" si="134"/>
        <v>0.96878225154754549</v>
      </c>
      <c r="V364" s="378">
        <f t="shared" si="135"/>
        <v>15.84299558821326</v>
      </c>
      <c r="W364" s="397">
        <f t="shared" si="136"/>
        <v>5.5131984991321321</v>
      </c>
      <c r="X364" s="153">
        <f t="shared" si="137"/>
        <v>47833</v>
      </c>
      <c r="Y364" s="380">
        <f t="shared" si="138"/>
        <v>5.3746818078860539</v>
      </c>
      <c r="Z364" s="380">
        <f t="shared" si="139"/>
        <v>5.6238950515220028</v>
      </c>
      <c r="AA364" s="381">
        <f t="shared" si="140"/>
        <v>5.9592186797881412</v>
      </c>
      <c r="AB364" s="193">
        <f t="shared" si="141"/>
        <v>47833</v>
      </c>
      <c r="AC364" s="119">
        <f>IF(OR(t&lt;Tnet,NoTnet),'2029'!Resal_s+('2029'!Salim-'2029'!Resal_s)*(1-EXP(('2029'!Tnet_s-t)/'2029'!Tau_j)),Resal_s+(Salim-Resal_s)*(1-EXP((Tnet_s-t)/Tau_j)))*Salcycl</f>
        <v>5.626973035969534E-2</v>
      </c>
      <c r="AD364" s="227">
        <f>(INDEX(Models!$BJ364:$BT364,,AH364)*(1-AF364)+INDEX(Models!$BJ364:$BT364,,AH364+1)*AF364-ERP_i)*AE364*Ramure*Pc/MaxiM</f>
        <v>3.0708034509310918E-2</v>
      </c>
      <c r="AE364" s="301">
        <f t="shared" si="142"/>
        <v>0.5</v>
      </c>
      <c r="AF364" s="173">
        <f t="shared" si="143"/>
        <v>0.49376981792152286</v>
      </c>
      <c r="AG364" s="802">
        <f t="shared" si="149"/>
        <v>4</v>
      </c>
      <c r="AH364" s="172">
        <f t="shared" si="144"/>
        <v>10</v>
      </c>
      <c r="AI364" s="221">
        <f t="shared" si="145"/>
        <v>4.4937698179215229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47834</v>
      </c>
      <c r="B365" s="406">
        <f>'2029'!Wh/'2029'!Env_an*'2030'!Env_an</f>
        <v>3.5600250561296662</v>
      </c>
      <c r="C365" s="832"/>
      <c r="D365" s="388">
        <f t="shared" si="127"/>
        <v>3.7251472904595002</v>
      </c>
      <c r="E365" s="380">
        <f t="shared" si="150"/>
        <v>3.8548105689422245</v>
      </c>
      <c r="F365" s="380">
        <f t="shared" si="128"/>
        <v>3.8548105689422245</v>
      </c>
      <c r="G365" s="110">
        <f t="shared" si="151"/>
        <v>0.22453555015222279</v>
      </c>
      <c r="H365" s="409" t="b">
        <f>Wh_hp&gt;='2029'!Maxi_hp</f>
        <v>0</v>
      </c>
      <c r="I365" s="385">
        <f>IF(H365,Wh_hp,'2029'!Maxi_hp)</f>
        <v>3.8665030803996028</v>
      </c>
      <c r="J365" s="85">
        <f>IF(H365,An,'2029'!An_max)</f>
        <v>2029</v>
      </c>
      <c r="K365" s="193">
        <f t="shared" si="129"/>
        <v>47834</v>
      </c>
      <c r="L365" s="143">
        <f>IF(t&lt;Tvie,1-EXP((T0-t)*PertePVj)+'2029'!Pspv,1-EXP((T0-t)*PertePVj)+Pspv)</f>
        <v>4.4326363887068232E-2</v>
      </c>
      <c r="M365" s="836"/>
      <c r="N365" s="836"/>
      <c r="O365" s="48">
        <f>IF(t&lt;Tnet,'2029'!Resal+('2029'!Salim-'2029'!Resal)*(1-EXP(('2029'!Tnet-t)/('2029'!Tau_j))),Resal+(Salim-Resal)*(1-EXP((Tnet-t)/(Tau_j))))*Salcycl</f>
        <v>3.363674457245884E-2</v>
      </c>
      <c r="P365" s="165">
        <f>(INDEX(Models!$BJ365:$BT365,,T365)*(1-R365)+INDEX(Models!$BJ365:$BT365,,T365+1)*R365-ERP_i)*Q365*Ramure*Pc/MaxiM</f>
        <v>5.8798974626188627E-3</v>
      </c>
      <c r="Q365" s="301">
        <f t="shared" si="130"/>
        <v>0.5</v>
      </c>
      <c r="R365" s="173">
        <f t="shared" si="131"/>
        <v>0.96879078341135794</v>
      </c>
      <c r="S365" s="802">
        <f t="shared" si="132"/>
        <v>0</v>
      </c>
      <c r="T365" s="172">
        <f t="shared" si="133"/>
        <v>6</v>
      </c>
      <c r="U365" s="247">
        <f t="shared" si="134"/>
        <v>0.96879078341135794</v>
      </c>
      <c r="V365" s="378">
        <f t="shared" si="135"/>
        <v>15.761835804779954</v>
      </c>
      <c r="W365" s="397">
        <f t="shared" si="136"/>
        <v>3.5600250561296662</v>
      </c>
      <c r="X365" s="153">
        <f t="shared" si="137"/>
        <v>47834</v>
      </c>
      <c r="Y365" s="380">
        <f t="shared" si="138"/>
        <v>3.4765935459489121</v>
      </c>
      <c r="Z365" s="380">
        <f t="shared" si="139"/>
        <v>3.6378460329715359</v>
      </c>
      <c r="AA365" s="381">
        <f t="shared" si="140"/>
        <v>3.8548105689422245</v>
      </c>
      <c r="AB365" s="193">
        <f t="shared" si="141"/>
        <v>47834</v>
      </c>
      <c r="AC365" s="119">
        <f>IF(OR(t&lt;Tnet,NoTnet),'2029'!Resal_s+('2029'!Salim-'2029'!Resal_s)*(1-EXP(('2029'!Tnet_s-t)/'2029'!Tau_j)),Resal_s+(Salim-Resal_s)*(1-EXP((Tnet_s-t)/Tau_j)))*Salcycl</f>
        <v>5.6284098035516407E-2</v>
      </c>
      <c r="AD365" s="227">
        <f>(INDEX(Models!$BJ365:$BT365,,AH365)*(1-AF365)+INDEX(Models!$BJ365:$BT365,,AH365+1)*AF365-ERP_i)*AE365*Ramure*Pc/MaxiM</f>
        <v>3.0811441357989945E-2</v>
      </c>
      <c r="AE365" s="301">
        <f t="shared" si="142"/>
        <v>0.5</v>
      </c>
      <c r="AF365" s="173">
        <f t="shared" si="143"/>
        <v>0.49377834978533475</v>
      </c>
      <c r="AG365" s="802">
        <f t="shared" si="149"/>
        <v>4</v>
      </c>
      <c r="AH365" s="172">
        <f t="shared" si="144"/>
        <v>10</v>
      </c>
      <c r="AI365" s="221">
        <f t="shared" si="145"/>
        <v>4.4937783497853347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47835</v>
      </c>
      <c r="B366" s="406">
        <f>'2029'!Wh/'2029'!Env_an*'2030'!Env_an</f>
        <v>14.327268684025206</v>
      </c>
      <c r="C366" s="832"/>
      <c r="D366" s="388">
        <f t="shared" si="127"/>
        <v>14.992005925016219</v>
      </c>
      <c r="E366" s="380">
        <f t="shared" si="150"/>
        <v>15.514456442085422</v>
      </c>
      <c r="F366" s="380">
        <f t="shared" si="128"/>
        <v>15.595225423671289</v>
      </c>
      <c r="G366" s="110">
        <f t="shared" si="151"/>
        <v>0.91232579224842947</v>
      </c>
      <c r="H366" s="409" t="b">
        <f>Wh_hp&gt;='2029'!Maxi_hp</f>
        <v>0</v>
      </c>
      <c r="I366" s="385">
        <f>IF(H366,Wh_hp,'2029'!Maxi_hp)</f>
        <v>15.601154054383358</v>
      </c>
      <c r="J366" s="85">
        <f>IF(H366,An,'2029'!An_max)</f>
        <v>2029</v>
      </c>
      <c r="K366" s="193">
        <f t="shared" si="129"/>
        <v>47835</v>
      </c>
      <c r="L366" s="143">
        <f>IF(t&lt;Tvie,1-EXP((T0-t)*PertePVj)+'2029'!Pspv,1-EXP((T0-t)*PertePVj)+Pspv)</f>
        <v>4.4339446256608461E-2</v>
      </c>
      <c r="M366" s="836"/>
      <c r="N366" s="836"/>
      <c r="O366" s="48">
        <f>IF(t&lt;Tnet,'2029'!Resal+('2029'!Salim-'2029'!Resal)*(1-EXP(('2029'!Tnet-t)/('2029'!Tau_j))),Resal+(Salim-Resal)*(1-EXP((Tnet-t)/(Tau_j))))*Salcycl</f>
        <v>3.3675077114011694E-2</v>
      </c>
      <c r="P366" s="165">
        <f>(INDEX(Models!$BJ366:$BT366,,T366)*(1-R366)+INDEX(Models!$BJ366:$BT366,,T366+1)*R366-ERP_i)*Q366*Ramure*Pc/MaxiM</f>
        <v>5.9141215969019442E-3</v>
      </c>
      <c r="Q366" s="301">
        <f t="shared" si="130"/>
        <v>0.5</v>
      </c>
      <c r="R366" s="173">
        <f t="shared" si="131"/>
        <v>0.96879897203102727</v>
      </c>
      <c r="S366" s="802">
        <f t="shared" si="132"/>
        <v>0</v>
      </c>
      <c r="T366" s="172">
        <f t="shared" si="133"/>
        <v>6</v>
      </c>
      <c r="U366" s="247">
        <f t="shared" si="134"/>
        <v>0.96879897203102727</v>
      </c>
      <c r="V366" s="378">
        <f t="shared" si="135"/>
        <v>15.692511269998406</v>
      </c>
      <c r="W366" s="397">
        <f t="shared" si="136"/>
        <v>14.327268684025206</v>
      </c>
      <c r="X366" s="153">
        <f t="shared" si="137"/>
        <v>47835</v>
      </c>
      <c r="Y366" s="380">
        <f t="shared" si="138"/>
        <v>13.684167580496979</v>
      </c>
      <c r="Z366" s="380">
        <f t="shared" si="139"/>
        <v>14.319067086001514</v>
      </c>
      <c r="AA366" s="381">
        <f t="shared" si="140"/>
        <v>15.173309131787308</v>
      </c>
      <c r="AB366" s="193">
        <f t="shared" si="141"/>
        <v>47835</v>
      </c>
      <c r="AC366" s="119">
        <f>IF(OR(t&lt;Tnet,NoTnet),'2029'!Resal_s+('2029'!Salim-'2029'!Resal_s)*(1-EXP(('2029'!Tnet_s-t)/'2029'!Tau_j)),Resal_s+(Salim-Resal_s)*(1-EXP((Tnet_s-t)/Tau_j)))*Salcycl</f>
        <v>5.629899439643006E-2</v>
      </c>
      <c r="AD366" s="227">
        <f>(INDEX(Models!$BJ366:$BT366,,AH366)*(1-AF366)+INDEX(Models!$BJ366:$BT366,,AH366+1)*AF366-ERP_i)*AE366*Ramure*Pc/MaxiM</f>
        <v>3.0893843217065068E-2</v>
      </c>
      <c r="AE366" s="301">
        <f t="shared" si="142"/>
        <v>0.5</v>
      </c>
      <c r="AF366" s="173">
        <f t="shared" si="143"/>
        <v>0.49378653840500419</v>
      </c>
      <c r="AG366" s="802">
        <f t="shared" si="149"/>
        <v>4</v>
      </c>
      <c r="AH366" s="172">
        <f t="shared" si="144"/>
        <v>10</v>
      </c>
      <c r="AI366" s="221">
        <f t="shared" si="145"/>
        <v>4.4937865384050042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47836</v>
      </c>
      <c r="B367" s="406">
        <f>'2029'!Wh/'2029'!Env_an*'2030'!Env_an</f>
        <v>13.718241120836511</v>
      </c>
      <c r="C367" s="832"/>
      <c r="D367" s="388">
        <f t="shared" si="127"/>
        <v>14.354918031169186</v>
      </c>
      <c r="E367" s="380">
        <f t="shared" si="150"/>
        <v>14.855760250468187</v>
      </c>
      <c r="F367" s="380">
        <f t="shared" si="128"/>
        <v>14.928901267308035</v>
      </c>
      <c r="G367" s="110">
        <f t="shared" si="151"/>
        <v>0.87642366507401248</v>
      </c>
      <c r="H367" s="409" t="b">
        <f>Wh_hp&gt;='2029'!Maxi_hp</f>
        <v>0</v>
      </c>
      <c r="I367" s="385">
        <f>IF(H367,Wh_hp,'2029'!Maxi_hp)</f>
        <v>14.936937183070963</v>
      </c>
      <c r="J367" s="85">
        <f>IF(H367,An,'2029'!An_max)</f>
        <v>2029</v>
      </c>
      <c r="K367" s="193">
        <f t="shared" si="129"/>
        <v>47836</v>
      </c>
      <c r="L367" s="143">
        <f>IF(t&lt;Tvie,1-EXP((T0-t)*PertePVj)+'2029'!Pspv,1-EXP((T0-t)*PertePVj)+Pspv)</f>
        <v>4.4352528447061945E-2</v>
      </c>
      <c r="M367" s="836"/>
      <c r="N367" s="836"/>
      <c r="O367" s="48">
        <f>IF(t&lt;Tnet,'2029'!Resal+('2029'!Salim-'2029'!Resal)*(1-EXP(('2029'!Tnet-t)/('2029'!Tau_j))),Resal+(Salim-Resal)*(1-EXP((Tnet-t)/(Tau_j))))*Salcycl</f>
        <v>3.3713671387717553E-2</v>
      </c>
      <c r="P367" s="165">
        <f>(INDEX(Models!$BJ367:$BT367,,T367)*(1-R367)+INDEX(Models!$BJ367:$BT367,,T367+1)*R367-ERP_i)*Q367*Ramure*Pc/MaxiM</f>
        <v>5.9401650764824869E-3</v>
      </c>
      <c r="Q367" s="301">
        <f t="shared" si="130"/>
        <v>0.5</v>
      </c>
      <c r="R367" s="173">
        <f t="shared" si="131"/>
        <v>0.96880683120499345</v>
      </c>
      <c r="S367" s="802">
        <f t="shared" si="132"/>
        <v>0</v>
      </c>
      <c r="T367" s="172">
        <f t="shared" si="133"/>
        <v>6</v>
      </c>
      <c r="U367" s="247">
        <f t="shared" si="134"/>
        <v>0.96880683120499345</v>
      </c>
      <c r="V367" s="378">
        <f t="shared" si="135"/>
        <v>15.636149947268509</v>
      </c>
      <c r="W367" s="397">
        <f t="shared" si="136"/>
        <v>13.718241120836511</v>
      </c>
      <c r="X367" s="153">
        <f t="shared" si="137"/>
        <v>47836</v>
      </c>
      <c r="Y367" s="380">
        <f t="shared" si="138"/>
        <v>13.119587443551662</v>
      </c>
      <c r="Z367" s="380">
        <f t="shared" si="139"/>
        <v>13.72848025457775</v>
      </c>
      <c r="AA367" s="381">
        <f t="shared" si="140"/>
        <v>14.547726523703657</v>
      </c>
      <c r="AB367" s="193">
        <f t="shared" si="141"/>
        <v>47836</v>
      </c>
      <c r="AC367" s="119">
        <f>IF(OR(t&lt;Tnet,NoTnet),'2029'!Resal_s+('2029'!Salim-'2029'!Resal_s)*(1-EXP(('2029'!Tnet_s-t)/'2029'!Tau_j)),Resal_s+(Salim-Resal_s)*(1-EXP((Tnet_s-t)/Tau_j)))*Salcycl</f>
        <v>5.6314384779714489E-2</v>
      </c>
      <c r="AD367" s="227">
        <f>(INDEX(Models!$BJ367:$BT367,,AH367)*(1-AF367)+INDEX(Models!$BJ367:$BT367,,AH367+1)*AF367-ERP_i)*AE367*Ramure*Pc/MaxiM</f>
        <v>3.0957197449876E-2</v>
      </c>
      <c r="AE367" s="301">
        <f t="shared" si="142"/>
        <v>0.5</v>
      </c>
      <c r="AF367" s="173">
        <f t="shared" si="143"/>
        <v>0.49379439757897092</v>
      </c>
      <c r="AG367" s="802">
        <f t="shared" si="149"/>
        <v>4</v>
      </c>
      <c r="AH367" s="172">
        <f t="shared" si="144"/>
        <v>10</v>
      </c>
      <c r="AI367" s="221">
        <f t="shared" si="145"/>
        <v>4.4937943975789709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47837</v>
      </c>
      <c r="B368" s="406">
        <f>'2029'!Wh/'2029'!Env_an*'2030'!Env_an</f>
        <v>4.1414677528215096</v>
      </c>
      <c r="C368" s="832"/>
      <c r="D368" s="388">
        <f t="shared" si="127"/>
        <v>4.3337366236979298</v>
      </c>
      <c r="E368" s="380">
        <f t="shared" si="150"/>
        <v>4.4851206945719202</v>
      </c>
      <c r="F368" s="380">
        <f t="shared" si="128"/>
        <v>4.4851206945719202</v>
      </c>
      <c r="G368" s="110">
        <f t="shared" si="151"/>
        <v>0.26400209091808463</v>
      </c>
      <c r="H368" s="409" t="b">
        <f>Wh_hp&gt;='2029'!Maxi_hp</f>
        <v>0</v>
      </c>
      <c r="I368" s="385">
        <f>IF(H368,Wh_hp,'2029'!Maxi_hp)</f>
        <v>4.4989059789896171</v>
      </c>
      <c r="J368" s="85">
        <f>IF(H368,An,'2029'!An_max)</f>
        <v>2029</v>
      </c>
      <c r="K368" s="193">
        <f t="shared" si="129"/>
        <v>47837</v>
      </c>
      <c r="L368" s="143">
        <f>IF(t&lt;Tvie,1-EXP((T0-t)*PertePVj)+'2029'!Pspv,1-EXP((T0-t)*PertePVj)+Pspv)</f>
        <v>4.4365610458431348E-2</v>
      </c>
      <c r="M368" s="836"/>
      <c r="N368" s="836"/>
      <c r="O368" s="48">
        <f>IF(t&lt;Tnet,'2029'!Resal+('2029'!Salim-'2029'!Resal)*(1-EXP(('2029'!Tnet-t)/('2029'!Tau_j))),Resal+(Salim-Resal)*(1-EXP((Tnet-t)/(Tau_j))))*Salcycl</f>
        <v>3.3752507721186105E-2</v>
      </c>
      <c r="P368" s="165">
        <f>(INDEX(Models!$BJ368:$BT368,,T368)*(1-R368)+INDEX(Models!$BJ368:$BT368,,T368+1)*R368-ERP_i)*Q368*Ramure*Pc/MaxiM</f>
        <v>5.9574642513044807E-3</v>
      </c>
      <c r="Q368" s="301">
        <f t="shared" si="130"/>
        <v>0.5</v>
      </c>
      <c r="R368" s="173">
        <f t="shared" si="131"/>
        <v>0.96881437417783178</v>
      </c>
      <c r="S368" s="802">
        <f t="shared" si="132"/>
        <v>0</v>
      </c>
      <c r="T368" s="172">
        <f t="shared" si="133"/>
        <v>6</v>
      </c>
      <c r="U368" s="247">
        <f t="shared" si="134"/>
        <v>0.96881437417783178</v>
      </c>
      <c r="V368" s="378">
        <f t="shared" si="135"/>
        <v>15.593797353724437</v>
      </c>
      <c r="W368" s="397">
        <f t="shared" si="136"/>
        <v>4.1414677528215096</v>
      </c>
      <c r="X368" s="153">
        <f t="shared" si="137"/>
        <v>47837</v>
      </c>
      <c r="Y368" s="380">
        <f t="shared" si="138"/>
        <v>4.04469655293261</v>
      </c>
      <c r="Z368" s="380">
        <f t="shared" si="139"/>
        <v>4.2324727921029588</v>
      </c>
      <c r="AA368" s="381">
        <f t="shared" si="140"/>
        <v>4.4851206945719202</v>
      </c>
      <c r="AB368" s="193">
        <f t="shared" si="141"/>
        <v>47837</v>
      </c>
      <c r="AC368" s="119">
        <f>IF(OR(t&lt;Tnet,NoTnet),'2029'!Resal_s+('2029'!Salim-'2029'!Resal_s)*(1-EXP(('2029'!Tnet_s-t)/'2029'!Tau_j)),Resal_s+(Salim-Resal_s)*(1-EXP((Tnet_s-t)/Tau_j)))*Salcycl</f>
        <v>5.6330234942111181E-2</v>
      </c>
      <c r="AD368" s="227">
        <f>(INDEX(Models!$BJ368:$BT368,,AH368)*(1-AF368)+INDEX(Models!$BJ368:$BT368,,AH368+1)*AF368-ERP_i)*AE368*Ramure*Pc/MaxiM</f>
        <v>3.0998871348901225E-2</v>
      </c>
      <c r="AE368" s="301">
        <f t="shared" si="142"/>
        <v>0.5</v>
      </c>
      <c r="AF368" s="173">
        <f t="shared" si="143"/>
        <v>0.49380194055180926</v>
      </c>
      <c r="AG368" s="802">
        <f t="shared" si="149"/>
        <v>4</v>
      </c>
      <c r="AH368" s="172">
        <f t="shared" si="144"/>
        <v>10</v>
      </c>
      <c r="AI368" s="221">
        <f t="shared" si="145"/>
        <v>4.4938019405518093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47838</v>
      </c>
      <c r="B369" s="406">
        <f>'2029'!Wh/'2029'!Env_an*'2030'!Env_an</f>
        <v>14.686830834646678</v>
      </c>
      <c r="C369" s="832"/>
      <c r="D369" s="388">
        <f t="shared" si="127"/>
        <v>15.368881706763599</v>
      </c>
      <c r="E369" s="380">
        <f t="shared" si="150"/>
        <v>15.906383320222879</v>
      </c>
      <c r="F369" s="380">
        <f t="shared" si="128"/>
        <v>15.994093306563405</v>
      </c>
      <c r="G369" s="110">
        <f t="shared" si="151"/>
        <v>0.94303279262863693</v>
      </c>
      <c r="H369" s="409" t="b">
        <f>Wh_hp&gt;='2029'!Maxi_hp</f>
        <v>0</v>
      </c>
      <c r="I369" s="385">
        <f>IF(H369,Wh_hp,'2029'!Maxi_hp)</f>
        <v>15.998077862301324</v>
      </c>
      <c r="J369" s="85">
        <f>IF(H369,An,'2029'!An_max)</f>
        <v>2029</v>
      </c>
      <c r="K369" s="193">
        <f t="shared" si="129"/>
        <v>47838</v>
      </c>
      <c r="L369" s="143">
        <f>IF(t&lt;Tvie,1-EXP((T0-t)*PertePVj)+'2029'!Pspv,1-EXP((T0-t)*PertePVj)+Pspv)</f>
        <v>4.4378692290719002E-2</v>
      </c>
      <c r="M369" s="836"/>
      <c r="N369" s="836"/>
      <c r="O369" s="48">
        <f>IF(t&lt;Tnet,'2029'!Resal+('2029'!Salim-'2029'!Resal)*(1-EXP(('2029'!Tnet-t)/('2029'!Tau_j))),Resal+(Salim-Resal)*(1-EXP((Tnet-t)/(Tau_j))))*Salcycl</f>
        <v>3.3791566733835571E-2</v>
      </c>
      <c r="P369" s="165">
        <f>(INDEX(Models!$BJ369:$BT369,,T369)*(1-R369)+INDEX(Models!$BJ369:$BT369,,T369+1)*R369-ERP_i)*Q369*Ramure*Pc/MaxiM</f>
        <v>5.9654866427509435E-3</v>
      </c>
      <c r="Q369" s="301">
        <f t="shared" si="130"/>
        <v>0.5</v>
      </c>
      <c r="R369" s="173">
        <f t="shared" si="131"/>
        <v>0.9688216136624187</v>
      </c>
      <c r="S369" s="802">
        <f t="shared" si="132"/>
        <v>0</v>
      </c>
      <c r="T369" s="172">
        <f t="shared" si="133"/>
        <v>6</v>
      </c>
      <c r="U369" s="247">
        <f t="shared" si="134"/>
        <v>0.9688216136624187</v>
      </c>
      <c r="V369" s="378">
        <f t="shared" si="135"/>
        <v>15.566498796419621</v>
      </c>
      <c r="W369" s="397">
        <f t="shared" si="136"/>
        <v>14.686830834646678</v>
      </c>
      <c r="X369" s="153">
        <f t="shared" si="137"/>
        <v>47838</v>
      </c>
      <c r="Y369" s="380">
        <f t="shared" si="138"/>
        <v>14.011843100854216</v>
      </c>
      <c r="Z369" s="380">
        <f t="shared" si="139"/>
        <v>14.662547797769383</v>
      </c>
      <c r="AA369" s="381">
        <f t="shared" si="140"/>
        <v>15.538063465646427</v>
      </c>
      <c r="AB369" s="193">
        <f t="shared" si="141"/>
        <v>47838</v>
      </c>
      <c r="AC369" s="119">
        <f>IF(OR(t&lt;Tnet,NoTnet),'2029'!Resal_s+('2029'!Salim-'2029'!Resal_s)*(1-EXP(('2029'!Tnet_s-t)/'2029'!Tau_j)),Resal_s+(Salim-Resal_s)*(1-EXP((Tnet_s-t)/Tau_j)))*Salcycl</f>
        <v>5.6346511250436604E-2</v>
      </c>
      <c r="AD369" s="227">
        <f>(INDEX(Models!$BJ369:$BT369,,AH369)*(1-AF369)+INDEX(Models!$BJ369:$BT369,,AH369+1)*AF369-ERP_i)*AE369*Ramure*Pc/MaxiM</f>
        <v>3.1016307699834832E-2</v>
      </c>
      <c r="AE369" s="301">
        <f t="shared" si="142"/>
        <v>0.5</v>
      </c>
      <c r="AF369" s="173">
        <f t="shared" si="143"/>
        <v>0.49380918003639618</v>
      </c>
      <c r="AG369" s="802">
        <f t="shared" si="149"/>
        <v>4</v>
      </c>
      <c r="AH369" s="172">
        <f t="shared" si="144"/>
        <v>10</v>
      </c>
      <c r="AI369" s="221">
        <f t="shared" si="145"/>
        <v>4.4938091800363962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47839</v>
      </c>
      <c r="B370" s="406">
        <f>'2029'!Wh/'2029'!Env_an*'2030'!Env_an</f>
        <v>14.62058125691191</v>
      </c>
      <c r="C370" s="832"/>
      <c r="D370" s="388">
        <f t="shared" si="127"/>
        <v>15.299764964616379</v>
      </c>
      <c r="E370" s="380">
        <f t="shared" si="150"/>
        <v>15.835492821455045</v>
      </c>
      <c r="F370" s="380">
        <f t="shared" si="128"/>
        <v>15.922297973979418</v>
      </c>
      <c r="G370" s="110">
        <f t="shared" si="151"/>
        <v>0.9394261698219466</v>
      </c>
      <c r="H370" s="409" t="b">
        <f>Wh_hp&gt;='2029'!Maxi_hp</f>
        <v>0</v>
      </c>
      <c r="I370" s="385">
        <f>IF(H370,Wh_hp,'2029'!Maxi_hp)</f>
        <v>15.92651457827774</v>
      </c>
      <c r="J370" s="85">
        <f>IF(H370,An,'2029'!An_max)</f>
        <v>2029</v>
      </c>
      <c r="K370" s="193">
        <f t="shared" si="129"/>
        <v>47839</v>
      </c>
      <c r="L370" s="143">
        <f>IF(t&lt;Tvie,1-EXP((T0-t)*PertePVj)+'2029'!Pspv,1-EXP((T0-t)*PertePVj)+Pspv)</f>
        <v>4.4391773943927348E-2</v>
      </c>
      <c r="M370" s="836"/>
      <c r="N370" s="836"/>
      <c r="O370" s="48">
        <f>IF(t&lt;Tnet,'2029'!Resal+('2029'!Salim-'2029'!Resal)*(1-EXP(('2029'!Tnet-t)/('2029'!Tau_j))),Resal+(Salim-Resal)*(1-EXP((Tnet-t)/(Tau_j))))*Salcycl</f>
        <v>3.3830829446168123E-2</v>
      </c>
      <c r="P370" s="165">
        <f>(INDEX(Models!$BJ370:$BT370,,T370)*(1-R370)+INDEX(Models!$BJ370:$BT370,,T370+1)*R370-ERP_i)*Q370*Ramure*Pc/MaxiM</f>
        <v>5.9637428300351467E-3</v>
      </c>
      <c r="Q370" s="301">
        <f t="shared" si="130"/>
        <v>0.5</v>
      </c>
      <c r="R370" s="173">
        <f t="shared" si="131"/>
        <v>0.96882856186121602</v>
      </c>
      <c r="S370" s="802">
        <f t="shared" si="132"/>
        <v>0</v>
      </c>
      <c r="T370" s="172">
        <f t="shared" si="133"/>
        <v>6</v>
      </c>
      <c r="U370" s="247">
        <f t="shared" si="134"/>
        <v>0.96882856186121602</v>
      </c>
      <c r="V370" s="378">
        <f t="shared" si="135"/>
        <v>15.555299357829346</v>
      </c>
      <c r="W370" s="397">
        <f t="shared" si="136"/>
        <v>14.62058125691191</v>
      </c>
      <c r="X370" s="153">
        <f t="shared" si="137"/>
        <v>47839</v>
      </c>
      <c r="Y370" s="380">
        <f t="shared" si="138"/>
        <v>13.950907105283351</v>
      </c>
      <c r="Z370" s="380">
        <f t="shared" si="139"/>
        <v>14.598981805400184</v>
      </c>
      <c r="AA370" s="381">
        <f t="shared" si="140"/>
        <v>15.470975177412738</v>
      </c>
      <c r="AB370" s="193">
        <f t="shared" si="141"/>
        <v>47839</v>
      </c>
      <c r="AC370" s="119">
        <f>IF(OR(t&lt;Tnet,NoTnet),'2029'!Resal_s+('2029'!Salim-'2029'!Resal_s)*(1-EXP(('2029'!Tnet_s-t)/'2029'!Tau_j)),Resal_s+(Salim-Resal_s)*(1-EXP((Tnet_s-t)/Tau_j)))*Salcycl</f>
        <v>5.6363180860482719E-2</v>
      </c>
      <c r="AD370" s="227">
        <f>(INDEX(Models!$BJ370:$BT370,,AH370)*(1-AF370)+INDEX(Models!$BJ370:$BT370,,AH370+1)*AF370-ERP_i)*AE370*Ramure*Pc/MaxiM</f>
        <v>3.1007065983786938E-2</v>
      </c>
      <c r="AE370" s="301">
        <f t="shared" si="142"/>
        <v>0.5</v>
      </c>
      <c r="AF370" s="173">
        <f t="shared" si="143"/>
        <v>0.49381612823519294</v>
      </c>
      <c r="AG370" s="802">
        <f t="shared" si="149"/>
        <v>4</v>
      </c>
      <c r="AH370" s="172">
        <f t="shared" si="144"/>
        <v>10</v>
      </c>
      <c r="AI370" s="221">
        <f t="shared" si="145"/>
        <v>4.4938161282351929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47840</v>
      </c>
      <c r="B371" s="406">
        <f>'2029'!Wh/'2029'!Env_an*'2030'!Env_an</f>
        <v>14.345709898103593</v>
      </c>
      <c r="C371" s="832"/>
      <c r="D371" s="388">
        <f t="shared" si="127"/>
        <v>15.012330252451868</v>
      </c>
      <c r="E371" s="380">
        <f t="shared" si="150"/>
        <v>15.538627889192588</v>
      </c>
      <c r="F371" s="380">
        <f t="shared" si="128"/>
        <v>15.621226761426136</v>
      </c>
      <c r="G371" s="110">
        <f t="shared" si="151"/>
        <v>0.92127152623937836</v>
      </c>
      <c r="H371" s="409" t="b">
        <f>Wh_hp&gt;='2029'!Maxi_hp</f>
        <v>0</v>
      </c>
      <c r="I371" s="385">
        <f>IF(H371,Wh_hp,'2029'!Maxi_hp)</f>
        <v>15.626593087861776</v>
      </c>
      <c r="J371" s="85">
        <f>IF(H371,An,'2029'!An_max)</f>
        <v>2029</v>
      </c>
      <c r="K371" s="193">
        <f t="shared" si="129"/>
        <v>47840</v>
      </c>
      <c r="L371" s="143">
        <f>IF(t&lt;Tvie,1-EXP((T0-t)*PertePVj)+'2029'!Pspv,1-EXP((T0-t)*PertePVj)+Pspv)</f>
        <v>4.4404855418058831E-2</v>
      </c>
      <c r="M371" s="836"/>
      <c r="N371" s="836"/>
      <c r="O371" s="48">
        <f>IF(t&lt;Tnet,'2029'!Resal+('2029'!Salim-'2029'!Resal)*(1-EXP(('2029'!Tnet-t)/('2029'!Tau_j))),Resal+(Salim-Resal)*(1-EXP((Tnet-t)/(Tau_j))))*Salcycl</f>
        <v>3.3870277381876882E-2</v>
      </c>
      <c r="P371" s="165">
        <f>(INDEX(Models!$BJ371:$BT371,,T371)*(1-R371)+INDEX(Models!$BJ371:$BT371,,T371+1)*R371-ERP_i)*Q371*Ramure*Pc/MaxiM</f>
        <v>5.9517612553726205E-3</v>
      </c>
      <c r="Q371" s="301">
        <f t="shared" si="130"/>
        <v>0.5</v>
      </c>
      <c r="R371" s="173">
        <f t="shared" si="131"/>
        <v>0.96882856186121602</v>
      </c>
      <c r="S371" s="802">
        <f t="shared" si="132"/>
        <v>0</v>
      </c>
      <c r="T371" s="172">
        <f t="shared" si="133"/>
        <v>6</v>
      </c>
      <c r="U371" s="247">
        <f t="shared" si="134"/>
        <v>0.96882856186121602</v>
      </c>
      <c r="V371" s="378">
        <f t="shared" si="135"/>
        <v>15.561244481853809</v>
      </c>
      <c r="W371" s="397">
        <f t="shared" si="136"/>
        <v>14.345709898103593</v>
      </c>
      <c r="X371" s="153">
        <f t="shared" si="137"/>
        <v>47840</v>
      </c>
      <c r="Y371" s="380">
        <f t="shared" si="138"/>
        <v>13.698401846425403</v>
      </c>
      <c r="Z371" s="380">
        <f t="shared" si="139"/>
        <v>14.33494291394527</v>
      </c>
      <c r="AA371" s="381">
        <f t="shared" si="140"/>
        <v>15.191439491272096</v>
      </c>
      <c r="AB371" s="193">
        <f t="shared" si="141"/>
        <v>47840</v>
      </c>
      <c r="AC371" s="119">
        <f>IF(OR(t&lt;Tnet,NoTnet),'2029'!Resal_s+('2029'!Salim-'2029'!Resal_s)*(1-EXP(('2029'!Tnet_s-t)/'2029'!Tau_j)),Resal_s+(Salim-Resal_s)*(1-EXP((Tnet_s-t)/Tau_j)))*Salcycl</f>
        <v>5.6380211883074502E-2</v>
      </c>
      <c r="AD371" s="227">
        <f>(INDEX(Models!$BJ371:$BT371,,AH371)*(1-AF371)+INDEX(Models!$BJ371:$BT371,,AH371+1)*AF371-ERP_i)*AE371*Ramure*Pc/MaxiM</f>
        <v>3.0968839566264898E-2</v>
      </c>
      <c r="AE371" s="301">
        <f t="shared" si="142"/>
        <v>0.5</v>
      </c>
      <c r="AF371" s="173">
        <f t="shared" si="143"/>
        <v>0.49381612823519294</v>
      </c>
      <c r="AG371" s="802">
        <f t="shared" si="149"/>
        <v>4</v>
      </c>
      <c r="AH371" s="172">
        <f t="shared" si="144"/>
        <v>10</v>
      </c>
      <c r="AI371" s="221">
        <f t="shared" si="145"/>
        <v>4.4938161282351929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47841</v>
      </c>
      <c r="B372" s="406">
        <f>'2029'!Wh/'2029'!Env_an*'2030'!Env_an</f>
        <v>15.521344744656609</v>
      </c>
      <c r="C372" s="832"/>
      <c r="D372" s="388">
        <f t="shared" si="127"/>
        <v>16.242817169745056</v>
      </c>
      <c r="E372" s="380">
        <f t="shared" si="150"/>
        <v>16.812942236313074</v>
      </c>
      <c r="F372" s="380">
        <f t="shared" si="128"/>
        <v>16.912632146331514</v>
      </c>
      <c r="G372" s="110">
        <f t="shared" si="151"/>
        <v>0.99585657080950141</v>
      </c>
      <c r="H372" s="409" t="b">
        <f>Wh_hp&gt;='2029'!Maxi_hp</f>
        <v>0</v>
      </c>
      <c r="I372" s="385">
        <f>IF(H372,Wh_hp,'2029'!Maxi_hp)</f>
        <v>16.912936659129191</v>
      </c>
      <c r="J372" s="85">
        <f>IF(H372,An,'2029'!An_max)</f>
        <v>2029</v>
      </c>
      <c r="K372" s="193">
        <f t="shared" si="129"/>
        <v>47841</v>
      </c>
      <c r="L372" s="143">
        <f>IF(t&lt;Tvie,1-EXP((T0-t)*PertePVj)+'2029'!Pspv,1-EXP((T0-t)*PertePVj)+Pspv)</f>
        <v>4.4417936713115891E-2</v>
      </c>
      <c r="M372" s="836"/>
      <c r="N372" s="836"/>
      <c r="O372" s="48">
        <f>IF(t&lt;Tnet,'2029'!Resal+('2029'!Salim-'2029'!Resal)*(1-EXP(('2029'!Tnet-t)/('2029'!Tau_j))),Resal+(Salim-Resal)*(1-EXP((Tnet-t)/(Tau_j))))*Salcycl</f>
        <v>3.3909892662132998E-2</v>
      </c>
      <c r="P372" s="165">
        <f>(INDEX(Models!$BJ372:$BT372,,T372)*(1-R372)+INDEX(Models!$BJ372:$BT372,,T372+1)*R372-ERP_i)*Q372*Ramure*Pc/MaxiM</f>
        <v>5.9292061494454753E-3</v>
      </c>
      <c r="Q372" s="301">
        <f t="shared" si="130"/>
        <v>0.5</v>
      </c>
      <c r="R372" s="173">
        <f t="shared" si="131"/>
        <v>0.96882856186121602</v>
      </c>
      <c r="S372" s="802">
        <f t="shared" si="132"/>
        <v>0</v>
      </c>
      <c r="T372" s="172">
        <f t="shared" si="133"/>
        <v>6</v>
      </c>
      <c r="U372" s="247">
        <f t="shared" si="134"/>
        <v>0.96882856186121602</v>
      </c>
      <c r="V372" s="378">
        <f t="shared" si="135"/>
        <v>15.585378298631817</v>
      </c>
      <c r="W372" s="397">
        <f t="shared" si="136"/>
        <v>15.521344744656609</v>
      </c>
      <c r="X372" s="153">
        <f t="shared" si="137"/>
        <v>47841</v>
      </c>
      <c r="Y372" s="380">
        <f t="shared" si="138"/>
        <v>14.781493233869679</v>
      </c>
      <c r="Z372" s="380">
        <f t="shared" si="139"/>
        <v>15.468575438750142</v>
      </c>
      <c r="AA372" s="381">
        <f t="shared" si="140"/>
        <v>16.393106890071081</v>
      </c>
      <c r="AB372" s="193">
        <f t="shared" si="141"/>
        <v>47841</v>
      </c>
      <c r="AC372" s="119">
        <f>IF(OR(t&lt;Tnet,NoTnet),'2029'!Resal_s+('2029'!Salim-'2029'!Resal_s)*(1-EXP(('2029'!Tnet_s-t)/'2029'!Tau_j)),Resal_s+(Salim-Resal_s)*(1-EXP((Tnet_s-t)/Tau_j)))*Salcycl</f>
        <v>5.639757353628351E-2</v>
      </c>
      <c r="AD372" s="227">
        <f>(INDEX(Models!$BJ372:$BT372,,AH372)*(1-AF372)+INDEX(Models!$BJ372:$BT372,,AH372+1)*AF372-ERP_i)*AE372*Ramure*Pc/MaxiM</f>
        <v>3.0899539819444606E-2</v>
      </c>
      <c r="AE372" s="301">
        <f t="shared" si="142"/>
        <v>0.5</v>
      </c>
      <c r="AF372" s="173">
        <f t="shared" si="143"/>
        <v>0.49381612823519294</v>
      </c>
      <c r="AG372" s="802">
        <f t="shared" si="149"/>
        <v>4</v>
      </c>
      <c r="AH372" s="172">
        <f t="shared" si="144"/>
        <v>10</v>
      </c>
      <c r="AI372" s="221">
        <f t="shared" si="145"/>
        <v>4.4938161282351929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47842</v>
      </c>
      <c r="B373" s="406">
        <f>'2029'!Wh/'2029'!Env_an*'2030'!Env_an</f>
        <v>8.6070655822184694</v>
      </c>
      <c r="C373" s="832"/>
      <c r="D373" s="388">
        <f t="shared" si="127"/>
        <v>9.0072676518492685</v>
      </c>
      <c r="E373" s="380">
        <f t="shared" si="150"/>
        <v>9.3238077366181571</v>
      </c>
      <c r="F373" s="380">
        <f t="shared" si="128"/>
        <v>9.3435345255271738</v>
      </c>
      <c r="G373" s="110">
        <f t="shared" si="151"/>
        <v>0.54859762158251535</v>
      </c>
      <c r="H373" s="409" t="b">
        <f>Wh_hp&gt;='2029'!Maxi_hp</f>
        <v>0</v>
      </c>
      <c r="I373" s="385">
        <f>IF(H373,Wh_hp,'2029'!Maxi_hp)</f>
        <v>9.3617927334027389</v>
      </c>
      <c r="J373" s="85">
        <f>IF(H373,An,'2029'!An_max)</f>
        <v>2029</v>
      </c>
      <c r="K373" s="193">
        <f t="shared" si="129"/>
        <v>47842</v>
      </c>
      <c r="L373" s="143">
        <f>IF(t&lt;Tvie,1-EXP((T0-t)*PertePVj)+'2029'!Pspv,1-EXP((T0-t)*PertePVj)+Pspv)</f>
        <v>4.4431017829100972E-2</v>
      </c>
      <c r="M373" s="836"/>
      <c r="N373" s="836"/>
      <c r="O373" s="48">
        <f>IF(t&lt;Tnet,'2029'!Resal+('2029'!Salim-'2029'!Resal)*(1-EXP(('2029'!Tnet-t)/('2029'!Tau_j))),Resal+(Salim-Resal)*(1-EXP((Tnet-t)/(Tau_j))))*Salcycl</f>
        <v>3.3949658091480601E-2</v>
      </c>
      <c r="P373" s="165">
        <f>(INDEX(Models!$BJ373:$BT373,,T373)*(1-R373)+INDEX(Models!$BJ373:$BT373,,T373+1)*R373-ERP_i)*Q373*Ramure*Pc/MaxiM</f>
        <v>5.8954009247616634E-3</v>
      </c>
      <c r="Q373" s="301">
        <f t="shared" si="130"/>
        <v>0.5</v>
      </c>
      <c r="R373" s="173">
        <f t="shared" si="131"/>
        <v>0.96882856186121602</v>
      </c>
      <c r="S373" s="802">
        <f t="shared" si="132"/>
        <v>0</v>
      </c>
      <c r="T373" s="172">
        <f t="shared" si="133"/>
        <v>6</v>
      </c>
      <c r="U373" s="247">
        <f t="shared" si="134"/>
        <v>0.96882856186121602</v>
      </c>
      <c r="V373" s="378">
        <f t="shared" si="135"/>
        <v>15.629718634035328</v>
      </c>
      <c r="W373" s="397">
        <f t="shared" si="136"/>
        <v>8.6070655822184694</v>
      </c>
      <c r="X373" s="153">
        <f t="shared" si="137"/>
        <v>47842</v>
      </c>
      <c r="Y373" s="380">
        <f t="shared" si="138"/>
        <v>8.3317826969258899</v>
      </c>
      <c r="Z373" s="380">
        <f t="shared" si="139"/>
        <v>8.719184959308139</v>
      </c>
      <c r="AA373" s="381">
        <f t="shared" si="140"/>
        <v>9.2404893493199687</v>
      </c>
      <c r="AB373" s="193">
        <f t="shared" si="141"/>
        <v>47842</v>
      </c>
      <c r="AC373" s="119">
        <f>IF(OR(t&lt;Tnet,NoTnet),'2029'!Resal_s+('2029'!Salim-'2029'!Resal_s)*(1-EXP(('2029'!Tnet_s-t)/'2029'!Tau_j)),Resal_s+(Salim-Resal_s)*(1-EXP((Tnet_s-t)/Tau_j)))*Salcycl</f>
        <v>5.6415236282934933E-2</v>
      </c>
      <c r="AD373" s="227">
        <f>(INDEX(Models!$BJ373:$BT373,,AH373)*(1-AF373)+INDEX(Models!$BJ373:$BT373,,AH373+1)*AF373-ERP_i)*AE373*Ramure*Pc/MaxiM</f>
        <v>3.07953124001084E-2</v>
      </c>
      <c r="AE373" s="301">
        <f t="shared" si="142"/>
        <v>0.5</v>
      </c>
      <c r="AF373" s="173">
        <f t="shared" si="143"/>
        <v>0.49381612823519294</v>
      </c>
      <c r="AG373" s="802">
        <f t="shared" si="149"/>
        <v>4</v>
      </c>
      <c r="AH373" s="172">
        <f t="shared" si="144"/>
        <v>10</v>
      </c>
      <c r="AI373" s="221">
        <f t="shared" si="145"/>
        <v>4.4938161282351929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47843</v>
      </c>
      <c r="B374" s="406">
        <f>'2029'!Wh/'2029'!Env_an*'2030'!Env_an</f>
        <v>14.38382215745732</v>
      </c>
      <c r="C374" s="832"/>
      <c r="D374" s="388">
        <f t="shared" si="127"/>
        <v>15.05283169606548</v>
      </c>
      <c r="E374" s="380">
        <f t="shared" si="150"/>
        <v>15.582473055858099</v>
      </c>
      <c r="F374" s="380">
        <f t="shared" si="128"/>
        <v>15.663176234387995</v>
      </c>
      <c r="G374" s="110">
        <f t="shared" si="151"/>
        <v>0.91584158807959748</v>
      </c>
      <c r="H374" s="409" t="b">
        <f>Wh_hp&gt;='2029'!Maxi_hp</f>
        <v>0</v>
      </c>
      <c r="I374" s="385">
        <f>IF(H374,Wh_hp,'2029'!Maxi_hp)</f>
        <v>15.668829921528692</v>
      </c>
      <c r="J374" s="85">
        <f>IF(H374,An,'2029'!An_max)</f>
        <v>2029</v>
      </c>
      <c r="K374" s="193">
        <f t="shared" si="129"/>
        <v>47843</v>
      </c>
      <c r="L374" s="143">
        <f>IF(t&lt;Tvie,1-EXP((T0-t)*PertePVj)+'2029'!Pspv,1-EXP((T0-t)*PertePVj)+Pspv)</f>
        <v>4.4444098766016626E-2</v>
      </c>
      <c r="M374" s="836"/>
      <c r="N374" s="836"/>
      <c r="O374" s="48">
        <f>IF(t&lt;Tnet,'2029'!Resal+('2029'!Salim-'2029'!Resal)*(1-EXP(('2029'!Tnet-t)/('2029'!Tau_j))),Resal+(Salim-Resal)*(1-EXP((Tnet-t)/(Tau_j))))*Salcycl</f>
        <v>3.3989557234851385E-2</v>
      </c>
      <c r="P374" s="165">
        <f>(INDEX(Models!$BJ374:$BT374,,T374)*(1-R374)+INDEX(Models!$BJ374:$BT374,,T374+1)*R374-ERP_i)*Q374*Ramure*Pc/MaxiM</f>
        <v>5.8504141172320912E-3</v>
      </c>
      <c r="Q374" s="301">
        <f t="shared" si="130"/>
        <v>0.5</v>
      </c>
      <c r="R374" s="173">
        <f t="shared" si="131"/>
        <v>0.96882856186121602</v>
      </c>
      <c r="S374" s="802">
        <f t="shared" si="132"/>
        <v>0</v>
      </c>
      <c r="T374" s="172">
        <f t="shared" si="133"/>
        <v>6</v>
      </c>
      <c r="U374" s="247">
        <f t="shared" si="134"/>
        <v>0.96882856186121602</v>
      </c>
      <c r="V374" s="378">
        <f t="shared" si="135"/>
        <v>15.694559459348618</v>
      </c>
      <c r="W374" s="397">
        <f t="shared" si="136"/>
        <v>14.38382215745732</v>
      </c>
      <c r="X374" s="153">
        <f t="shared" si="137"/>
        <v>47843</v>
      </c>
      <c r="Y374" s="380">
        <f t="shared" si="138"/>
        <v>13.741119086218669</v>
      </c>
      <c r="Z374" s="380">
        <f t="shared" si="139"/>
        <v>14.380235702038675</v>
      </c>
      <c r="AA374" s="381">
        <f t="shared" si="140"/>
        <v>15.240293824019062</v>
      </c>
      <c r="AB374" s="193">
        <f t="shared" si="141"/>
        <v>47843</v>
      </c>
      <c r="AC374" s="119">
        <f>IF(OR(t&lt;Tnet,NoTnet),'2029'!Resal_s+('2029'!Salim-'2029'!Resal_s)*(1-EXP(('2029'!Tnet_s-t)/'2029'!Tau_j)),Resal_s+(Salim-Resal_s)*(1-EXP((Tnet_s-t)/Tau_j)))*Salcycl</f>
        <v>5.6433171952690042E-2</v>
      </c>
      <c r="AD374" s="227">
        <f>(INDEX(Models!$BJ374:$BT374,,AH374)*(1-AF374)+INDEX(Models!$BJ374:$BT374,,AH374+1)*AF374-ERP_i)*AE374*Ramure*Pc/MaxiM</f>
        <v>3.0656007218291335E-2</v>
      </c>
      <c r="AE374" s="301">
        <f t="shared" si="142"/>
        <v>0.5</v>
      </c>
      <c r="AF374" s="173">
        <f t="shared" si="143"/>
        <v>0.49381612823519294</v>
      </c>
      <c r="AG374" s="802">
        <f t="shared" si="149"/>
        <v>4</v>
      </c>
      <c r="AH374" s="172">
        <f t="shared" si="144"/>
        <v>10</v>
      </c>
      <c r="AI374" s="221">
        <f t="shared" si="145"/>
        <v>4.4938161282351929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47844</v>
      </c>
      <c r="B375" s="406">
        <f>'2029'!Wh/'2029'!Env_an*'2030'!Env_an</f>
        <v>6.1903190201148899</v>
      </c>
      <c r="C375" s="832"/>
      <c r="D375" s="388">
        <f t="shared" si="127"/>
        <v>6.4783271743178741</v>
      </c>
      <c r="E375" s="380">
        <f t="shared" si="150"/>
        <v>6.7065481542729408</v>
      </c>
      <c r="F375" s="380">
        <f t="shared" si="128"/>
        <v>6.7116829947826284</v>
      </c>
      <c r="G375" s="110">
        <f t="shared" si="151"/>
        <v>0.39035475141009801</v>
      </c>
      <c r="H375" s="409" t="b">
        <f>Wh_hp&gt;='2029'!Maxi_hp</f>
        <v>0</v>
      </c>
      <c r="I375" s="385">
        <f>IF(H375,Wh_hp,'2029'!Maxi_hp)</f>
        <v>6.7291202495307125</v>
      </c>
      <c r="J375" s="85">
        <f>IF(H375,An,'2029'!An_max)</f>
        <v>2029</v>
      </c>
      <c r="K375" s="193">
        <f t="shared" si="129"/>
        <v>47844</v>
      </c>
      <c r="L375" s="143">
        <f>IF(t&lt;Tvie,1-EXP((T0-t)*PertePVj)+'2029'!Pspv,1-EXP((T0-t)*PertePVj)+Pspv)</f>
        <v>4.4457179523865187E-2</v>
      </c>
      <c r="M375" s="836"/>
      <c r="N375" s="836"/>
      <c r="O375" s="48">
        <f>IF(t&lt;Tnet,'2029'!Resal+('2029'!Salim-'2029'!Resal)*(1-EXP(('2029'!Tnet-t)/('2029'!Tau_j))),Resal+(Salim-Resal)*(1-EXP((Tnet-t)/(Tau_j))))*Salcycl</f>
        <v>3.4029574485297698E-2</v>
      </c>
      <c r="P375" s="165">
        <f>(INDEX(Models!$BJ375:$BT375,,T375)*(1-R375)+INDEX(Models!$BJ375:$BT375,,T375+1)*R375-ERP_i)*Q375*Ramure*Pc/MaxiM</f>
        <v>5.8001963517731936E-3</v>
      </c>
      <c r="Q375" s="301">
        <f t="shared" si="130"/>
        <v>0.5</v>
      </c>
      <c r="R375" s="173">
        <f t="shared" si="131"/>
        <v>0.96882856186121602</v>
      </c>
      <c r="S375" s="802">
        <f t="shared" si="132"/>
        <v>0</v>
      </c>
      <c r="T375" s="172">
        <f t="shared" si="133"/>
        <v>6</v>
      </c>
      <c r="U375" s="247">
        <f t="shared" si="134"/>
        <v>0.96882856186121602</v>
      </c>
      <c r="V375" s="378">
        <f t="shared" si="135"/>
        <v>15.778278689681173</v>
      </c>
      <c r="W375" s="397">
        <f t="shared" si="136"/>
        <v>6.1903190201148899</v>
      </c>
      <c r="X375" s="153">
        <f t="shared" si="137"/>
        <v>47844</v>
      </c>
      <c r="Y375" s="380">
        <f t="shared" si="138"/>
        <v>6.0269320384299521</v>
      </c>
      <c r="Z375" s="380">
        <f t="shared" si="139"/>
        <v>6.3073385193002744</v>
      </c>
      <c r="AA375" s="381">
        <f t="shared" si="140"/>
        <v>6.6846988176220652</v>
      </c>
      <c r="AB375" s="193">
        <f t="shared" si="141"/>
        <v>47844</v>
      </c>
      <c r="AC375" s="119">
        <f>IF(OR(t&lt;Tnet,NoTnet),'2029'!Resal_s+('2029'!Salim-'2029'!Resal_s)*(1-EXP(('2029'!Tnet_s-t)/'2029'!Tau_j)),Resal_s+(Salim-Resal_s)*(1-EXP((Tnet_s-t)/Tau_j)))*Salcycl</f>
        <v>5.6451353848134704E-2</v>
      </c>
      <c r="AD375" s="227">
        <f>(INDEX(Models!$BJ375:$BT375,,AH375)*(1-AF375)+INDEX(Models!$BJ375:$BT375,,AH375+1)*AF375-ERP_i)*AE375*Ramure*Pc/MaxiM</f>
        <v>3.0480698597552782E-2</v>
      </c>
      <c r="AE375" s="301">
        <f t="shared" si="142"/>
        <v>0.5</v>
      </c>
      <c r="AF375" s="173">
        <f t="shared" si="143"/>
        <v>0.49381612823519294</v>
      </c>
      <c r="AG375" s="802">
        <f t="shared" si="149"/>
        <v>4</v>
      </c>
      <c r="AH375" s="172">
        <f t="shared" si="144"/>
        <v>10</v>
      </c>
      <c r="AI375" s="221">
        <f t="shared" si="145"/>
        <v>4.4938161282351929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47845</v>
      </c>
      <c r="B376" s="406">
        <f>'2029'!Wh/'2029'!Env_an*'2030'!Env_an</f>
        <v>12.678975282062012</v>
      </c>
      <c r="C376" s="832"/>
      <c r="D376" s="388">
        <f t="shared" si="127"/>
        <v>13.269053544501995</v>
      </c>
      <c r="E376" s="380">
        <f t="shared" si="150"/>
        <v>13.737071378229235</v>
      </c>
      <c r="F376" s="380">
        <f t="shared" si="128"/>
        <v>13.793525688490728</v>
      </c>
      <c r="G376" s="110">
        <f t="shared" si="151"/>
        <v>0.79713249144743437</v>
      </c>
      <c r="H376" s="409" t="b">
        <f>Wh_hp&gt;='2029'!Maxi_hp</f>
        <v>0</v>
      </c>
      <c r="I376" s="385">
        <f>IF(H376,Wh_hp,'2029'!Maxi_hp)</f>
        <v>13.805321805879533</v>
      </c>
      <c r="J376" s="85">
        <f>IF(H376,An,'2029'!An_max)</f>
        <v>2029</v>
      </c>
      <c r="K376" s="193">
        <f t="shared" si="129"/>
        <v>47845</v>
      </c>
      <c r="L376" s="143">
        <f>IF(t&lt;Tvie,1-EXP((T0-t)*PertePVj)+'2029'!Pspv,1-EXP((T0-t)*PertePVj)+Pspv)</f>
        <v>4.4470260102649206E-2</v>
      </c>
      <c r="M376" s="836"/>
      <c r="N376" s="836"/>
      <c r="O376" s="48">
        <f>IF(t&lt;Tnet,'2029'!Resal+('2029'!Salim-'2029'!Resal)*(1-EXP(('2029'!Tnet-t)/('2029'!Tau_j))),Resal+(Salim-Resal)*(1-EXP((Tnet-t)/(Tau_j))))*Salcycl</f>
        <v>3.4069695122132287E-2</v>
      </c>
      <c r="P376" s="165">
        <f>(INDEX(Models!$BJ376:$BT376,,T376)*(1-R376)+INDEX(Models!$BJ376:$BT376,,T376+1)*R376-ERP_i)*Q376*Ramure*Pc/MaxiM</f>
        <v>5.747648567173907E-3</v>
      </c>
      <c r="Q376" s="301">
        <f t="shared" si="130"/>
        <v>0.5</v>
      </c>
      <c r="R376" s="173">
        <f t="shared" si="131"/>
        <v>0.96882856186121602</v>
      </c>
      <c r="S376" s="802">
        <f t="shared" si="132"/>
        <v>0</v>
      </c>
      <c r="T376" s="172">
        <f t="shared" si="133"/>
        <v>6</v>
      </c>
      <c r="U376" s="247">
        <f t="shared" si="134"/>
        <v>0.96882856186121602</v>
      </c>
      <c r="V376" s="378">
        <f t="shared" si="135"/>
        <v>15.879301824647758</v>
      </c>
      <c r="W376" s="397">
        <f t="shared" si="136"/>
        <v>12.678975282062012</v>
      </c>
      <c r="X376" s="153">
        <f t="shared" si="137"/>
        <v>47845</v>
      </c>
      <c r="Y376" s="380">
        <f t="shared" si="138"/>
        <v>12.167770298854082</v>
      </c>
      <c r="Z376" s="380">
        <f t="shared" si="139"/>
        <v>12.734057131661043</v>
      </c>
      <c r="AA376" s="381">
        <f t="shared" si="140"/>
        <v>13.496183322050479</v>
      </c>
      <c r="AB376" s="193">
        <f t="shared" si="141"/>
        <v>47845</v>
      </c>
      <c r="AC376" s="119">
        <f>IF(OR(t&lt;Tnet,NoTnet),'2029'!Resal_s+('2029'!Salim-'2029'!Resal_s)*(1-EXP(('2029'!Tnet_s-t)/'2029'!Tau_j)),Resal_s+(Salim-Resal_s)*(1-EXP((Tnet_s-t)/Tau_j)))*Salcycl</f>
        <v>5.6469756834456306E-2</v>
      </c>
      <c r="AD376" s="227">
        <f>(INDEX(Models!$BJ376:$BT376,,AH376)*(1-AF376)+INDEX(Models!$BJ376:$BT376,,AH376+1)*AF376-ERP_i)*AE376*Ramure*Pc/MaxiM</f>
        <v>3.027261193192023E-2</v>
      </c>
      <c r="AE376" s="301">
        <f t="shared" si="142"/>
        <v>0.5</v>
      </c>
      <c r="AF376" s="173">
        <f t="shared" si="143"/>
        <v>0.49381612823519294</v>
      </c>
      <c r="AG376" s="802">
        <f t="shared" si="149"/>
        <v>4</v>
      </c>
      <c r="AH376" s="172">
        <f t="shared" si="144"/>
        <v>10</v>
      </c>
      <c r="AI376" s="221">
        <f t="shared" si="145"/>
        <v>4.4938161282351929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47846</v>
      </c>
      <c r="B377" s="406">
        <f>'2029'!Wh/'2029'!Env_an*'2030'!Env_an</f>
        <v>9.6604259335778906</v>
      </c>
      <c r="C377" s="832"/>
      <c r="D377" s="388">
        <f t="shared" si="127"/>
        <v>10.110159605858618</v>
      </c>
      <c r="E377" s="380">
        <f t="shared" si="150"/>
        <v>10.467194623855214</v>
      </c>
      <c r="F377" s="380">
        <f t="shared" si="128"/>
        <v>10.49313344548279</v>
      </c>
      <c r="G377" s="110">
        <f t="shared" si="151"/>
        <v>0.60197388695809673</v>
      </c>
      <c r="H377" s="409" t="b">
        <f>Wh_hp&gt;='2029'!Maxi_hp</f>
        <v>0</v>
      </c>
      <c r="I377" s="385">
        <f>IF(H377,Wh_hp,'2029'!Maxi_hp)</f>
        <v>10.510587532857029</v>
      </c>
      <c r="J377" s="85">
        <f>IF(H377,An,'2029'!An_max)</f>
        <v>2029</v>
      </c>
      <c r="K377" s="193">
        <f t="shared" si="129"/>
        <v>47846</v>
      </c>
      <c r="L377" s="143">
        <f>IF(t&lt;Tvie,1-EXP((T0-t)*PertePVj)+'2029'!Pspv,1-EXP((T0-t)*PertePVj)+Pspv)</f>
        <v>4.4483340502371127E-2</v>
      </c>
      <c r="M377" s="836"/>
      <c r="N377" s="836"/>
      <c r="O377" s="48">
        <f>IF(t&lt;Tnet,'2029'!Resal+('2029'!Salim-'2029'!Resal)*(1-EXP(('2029'!Tnet-t)/('2029'!Tau_j))),Resal+(Salim-Resal)*(1-EXP((Tnet-t)/(Tau_j))))*Salcycl</f>
        <v>3.4109905359254303E-2</v>
      </c>
      <c r="P377" s="165">
        <f>(INDEX(Models!$BJ377:$BT377,,T377)*(1-R377)+INDEX(Models!$BJ377:$BT377,,T377+1)*R377-ERP_i)*Q377*Ramure*Pc/MaxiM</f>
        <v>5.6934791421878045E-3</v>
      </c>
      <c r="Q377" s="301">
        <f t="shared" si="130"/>
        <v>0.5</v>
      </c>
      <c r="R377" s="173">
        <f t="shared" si="131"/>
        <v>0.96882856186121602</v>
      </c>
      <c r="S377" s="802">
        <f t="shared" si="132"/>
        <v>0</v>
      </c>
      <c r="T377" s="172">
        <f t="shared" si="133"/>
        <v>6</v>
      </c>
      <c r="U377" s="247">
        <f t="shared" si="134"/>
        <v>0.96882856186121602</v>
      </c>
      <c r="V377" s="378">
        <f t="shared" si="135"/>
        <v>15.996088820857276</v>
      </c>
      <c r="W377" s="397">
        <f t="shared" si="136"/>
        <v>9.6604259335778906</v>
      </c>
      <c r="X377" s="153">
        <f t="shared" si="137"/>
        <v>47846</v>
      </c>
      <c r="Y377" s="380">
        <f t="shared" si="138"/>
        <v>9.3366249605992238</v>
      </c>
      <c r="Z377" s="380">
        <f t="shared" si="139"/>
        <v>9.77128432853074</v>
      </c>
      <c r="AA377" s="381">
        <f t="shared" si="140"/>
        <v>10.356294387351969</v>
      </c>
      <c r="AB377" s="193">
        <f t="shared" si="141"/>
        <v>47846</v>
      </c>
      <c r="AC377" s="119">
        <f>IF(OR(t&lt;Tnet,NoTnet),'2029'!Resal_s+('2029'!Salim-'2029'!Resal_s)*(1-EXP(('2029'!Tnet_s-t)/'2029'!Tau_j)),Resal_s+(Salim-Resal_s)*(1-EXP((Tnet_s-t)/Tau_j)))*Salcycl</f>
        <v>5.6488357412444457E-2</v>
      </c>
      <c r="AD377" s="227">
        <f>(INDEX(Models!$BJ377:$BT377,,AH377)*(1-AF377)+INDEX(Models!$BJ377:$BT377,,AH377+1)*AF377-ERP_i)*AE377*Ramure*Pc/MaxiM</f>
        <v>3.0035686836141103E-2</v>
      </c>
      <c r="AE377" s="301">
        <f t="shared" si="142"/>
        <v>0.5</v>
      </c>
      <c r="AF377" s="173">
        <f t="shared" si="143"/>
        <v>0.49381612823519294</v>
      </c>
      <c r="AG377" s="802">
        <f t="shared" si="149"/>
        <v>4</v>
      </c>
      <c r="AH377" s="172">
        <f t="shared" si="144"/>
        <v>10</v>
      </c>
      <c r="AI377" s="221">
        <f t="shared" si="145"/>
        <v>4.4938161282351929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47847</v>
      </c>
      <c r="B378" s="406">
        <f>'2029'!Wh/'2029'!Env_an*'2030'!Env_an</f>
        <v>11.574522542951259</v>
      </c>
      <c r="C378" s="832"/>
      <c r="D378" s="388">
        <f t="shared" si="127"/>
        <v>12.113531329427092</v>
      </c>
      <c r="E378" s="380">
        <f t="shared" si="150"/>
        <v>12.541837492643893</v>
      </c>
      <c r="F378" s="380">
        <f t="shared" si="128"/>
        <v>12.584177557821972</v>
      </c>
      <c r="G378" s="110">
        <f t="shared" si="151"/>
        <v>0.71606893725012566</v>
      </c>
      <c r="H378" s="409" t="b">
        <f>Wh_hp&gt;='2029'!Maxi_hp</f>
        <v>0</v>
      </c>
      <c r="I378" s="385">
        <f>IF(H378,Wh_hp,'2029'!Maxi_hp)</f>
        <v>12.598957546876406</v>
      </c>
      <c r="J378" s="85">
        <f>IF(H378,An,'2029'!An_max)</f>
        <v>2029</v>
      </c>
      <c r="K378" s="193">
        <f t="shared" si="129"/>
        <v>47847</v>
      </c>
      <c r="L378" s="143">
        <f>IF(t&lt;Tvie,1-EXP((T0-t)*PertePVj)+'2029'!Pspv,1-EXP((T0-t)*PertePVj)+Pspv)</f>
        <v>4.4496420723033281E-2</v>
      </c>
      <c r="M378" s="836"/>
      <c r="N378" s="836"/>
      <c r="O378" s="48">
        <f>IF(t&lt;Tnet,'2029'!Resal+('2029'!Salim-'2029'!Resal)*(1-EXP(('2029'!Tnet-t)/('2029'!Tau_j))),Resal+(Salim-Resal)*(1-EXP((Tnet-t)/(Tau_j))))*Salcycl</f>
        <v>3.4150192383533423E-2</v>
      </c>
      <c r="P378" s="165">
        <f>(INDEX(Models!$BJ378:$BT378,,T378)*(1-R378)+INDEX(Models!$BJ378:$BT378,,T378+1)*R378-ERP_i)*Q378*Ramure*Pc/MaxiM</f>
        <v>5.6383705281024318E-3</v>
      </c>
      <c r="Q378" s="301">
        <f t="shared" si="130"/>
        <v>0.5</v>
      </c>
      <c r="R378" s="173">
        <f t="shared" si="131"/>
        <v>0.96882856186121602</v>
      </c>
      <c r="S378" s="802">
        <f t="shared" si="132"/>
        <v>0</v>
      </c>
      <c r="T378" s="172">
        <f t="shared" si="133"/>
        <v>6</v>
      </c>
      <c r="U378" s="247">
        <f t="shared" si="134"/>
        <v>0.96882856186121602</v>
      </c>
      <c r="V378" s="378">
        <f t="shared" si="135"/>
        <v>16.127099891779856</v>
      </c>
      <c r="W378" s="397">
        <f t="shared" si="136"/>
        <v>11.574522542951259</v>
      </c>
      <c r="X378" s="153">
        <f t="shared" si="137"/>
        <v>47847</v>
      </c>
      <c r="Y378" s="380">
        <f t="shared" si="138"/>
        <v>11.143212329940997</v>
      </c>
      <c r="Z378" s="380">
        <f t="shared" si="139"/>
        <v>11.662135623158115</v>
      </c>
      <c r="AA378" s="381">
        <f t="shared" si="140"/>
        <v>12.360597563196979</v>
      </c>
      <c r="AB378" s="193">
        <f t="shared" si="141"/>
        <v>47847</v>
      </c>
      <c r="AC378" s="119">
        <f>IF(OR(t&lt;Tnet,NoTnet),'2029'!Resal_s+('2029'!Salim-'2029'!Resal_s)*(1-EXP(('2029'!Tnet_s-t)/'2029'!Tau_j)),Resal_s+(Salim-Resal_s)*(1-EXP((Tnet_s-t)/Tau_j)))*Salcycl</f>
        <v>5.650713377470501E-2</v>
      </c>
      <c r="AD378" s="227">
        <f>(INDEX(Models!$BJ378:$BT378,,AH378)*(1-AF378)+INDEX(Models!$BJ378:$BT378,,AH378+1)*AF378-ERP_i)*AE378*Ramure*Pc/MaxiM</f>
        <v>2.9773852427122282E-2</v>
      </c>
      <c r="AE378" s="301">
        <f t="shared" si="142"/>
        <v>0.5</v>
      </c>
      <c r="AF378" s="173">
        <f t="shared" si="143"/>
        <v>0.49381612823519294</v>
      </c>
      <c r="AG378" s="802">
        <f t="shared" si="149"/>
        <v>4</v>
      </c>
      <c r="AH378" s="172">
        <f t="shared" si="144"/>
        <v>10</v>
      </c>
      <c r="AI378" s="221">
        <f t="shared" si="145"/>
        <v>4.4938161282351929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47848</v>
      </c>
      <c r="B379" s="406">
        <f>'2029'!Wh/'2029'!Env_an*'2030'!Env_an</f>
        <v>10.524571580939817</v>
      </c>
      <c r="C379" s="832"/>
      <c r="D379" s="388">
        <f t="shared" si="127"/>
        <v>11.014836452442156</v>
      </c>
      <c r="E379" s="380">
        <f t="shared" si="150"/>
        <v>11.404771809163814</v>
      </c>
      <c r="F379" s="380">
        <f t="shared" si="128"/>
        <v>11.436407984488678</v>
      </c>
      <c r="G379" s="110">
        <f t="shared" si="151"/>
        <v>0.64501116377654955</v>
      </c>
      <c r="H379" s="409" t="b">
        <f>Wh_hp&gt;='2029'!Maxi_hp</f>
        <v>0</v>
      </c>
      <c r="I379" s="385">
        <f>IF(H379,Wh_hp,'2029'!Maxi_hp)</f>
        <v>11.453040856870238</v>
      </c>
      <c r="J379" s="85">
        <f>IF(H379,An,'2029'!An_max)</f>
        <v>2029</v>
      </c>
      <c r="K379" s="193">
        <f t="shared" si="129"/>
        <v>47848</v>
      </c>
      <c r="L379" s="143">
        <f>IF(t&lt;Tvie,1-EXP((T0-t)*PertePVj)+'2029'!Pspv,1-EXP((T0-t)*PertePVj)+Pspv)</f>
        <v>4.4509500764638221E-2</v>
      </c>
      <c r="M379" s="836"/>
      <c r="N379" s="836"/>
      <c r="O379" s="48">
        <f>IF(t&lt;Tnet,'2029'!Resal+('2029'!Salim-'2029'!Resal)*(1-EXP(('2029'!Tnet-t)/('2029'!Tau_j))),Resal+(Salim-Resal)*(1-EXP((Tnet-t)/(Tau_j))))*Salcycl</f>
        <v>3.4190544383215206E-2</v>
      </c>
      <c r="P379" s="165">
        <f>(INDEX(Models!$BJ379:$BT379,,T379)*(1-R379)+INDEX(Models!$BJ379:$BT379,,T379+1)*R379-ERP_i)*Q379*Ramure*Pc/MaxiM</f>
        <v>5.5829724950349525E-3</v>
      </c>
      <c r="Q379" s="302">
        <f t="shared" si="130"/>
        <v>0.5</v>
      </c>
      <c r="R379" s="173">
        <f t="shared" si="131"/>
        <v>0.96882856186121602</v>
      </c>
      <c r="S379" s="802">
        <f t="shared" si="132"/>
        <v>0</v>
      </c>
      <c r="T379" s="172">
        <f t="shared" si="133"/>
        <v>6</v>
      </c>
      <c r="U379" s="303">
        <f t="shared" si="134"/>
        <v>0.96882856186121602</v>
      </c>
      <c r="V379" s="378">
        <f t="shared" si="135"/>
        <v>16.270795507503344</v>
      </c>
      <c r="W379" s="397">
        <f t="shared" si="136"/>
        <v>10.524571580939817</v>
      </c>
      <c r="X379" s="153">
        <f t="shared" si="137"/>
        <v>47848</v>
      </c>
      <c r="Y379" s="380">
        <f t="shared" si="138"/>
        <v>10.159049279661062</v>
      </c>
      <c r="Z379" s="380">
        <f t="shared" si="139"/>
        <v>10.632287069092696</v>
      </c>
      <c r="AA379" s="381">
        <f t="shared" si="140"/>
        <v>11.269296039022732</v>
      </c>
      <c r="AB379" s="193">
        <f t="shared" si="141"/>
        <v>47848</v>
      </c>
      <c r="AC379" s="119">
        <f>IF(OR(t&lt;Tnet,NoTnet),'2029'!Resal_s+('2029'!Salim-'2029'!Resal_s)*(1-EXP(('2029'!Tnet_s-t)/'2029'!Tau_j)),Resal_s+(Salim-Resal_s)*(1-EXP((Tnet_s-t)/Tau_j)))*Salcycl</f>
        <v>5.6526065845127732E-2</v>
      </c>
      <c r="AD379" s="227">
        <f>(INDEX(Models!$BJ379:$BT379,,AH379)*(1-AF379)+INDEX(Models!$BJ379:$BT379,,AH379+1)*AF379-ERP_i)*AE379*Ramure*Pc/MaxiM</f>
        <v>2.9490966766608707E-2</v>
      </c>
      <c r="AE379" s="302">
        <f t="shared" si="142"/>
        <v>0.5</v>
      </c>
      <c r="AF379" s="173">
        <f t="shared" si="143"/>
        <v>0.49381612823519294</v>
      </c>
      <c r="AG379" s="802">
        <f t="shared" si="149"/>
        <v>4</v>
      </c>
      <c r="AH379" s="172">
        <f t="shared" si="144"/>
        <v>10</v>
      </c>
      <c r="AI379" s="218">
        <f t="shared" si="145"/>
        <v>4.4938161282351929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40"/>
      <c r="D380" s="396"/>
      <c r="E380" s="382"/>
      <c r="F380" s="382"/>
      <c r="G380" s="122"/>
      <c r="H380" s="409" t="b">
        <f>Wh_hp&gt;='2029'!Maxi_hp</f>
        <v>0</v>
      </c>
      <c r="I380" s="385">
        <f>IF(H380,Wh_hp,'2029'!Maxi_hp)</f>
        <v>12.79301018817635</v>
      </c>
      <c r="J380" s="85">
        <f>IF(H380,An,'2029'!An_max)</f>
        <v>2024</v>
      </c>
      <c r="K380" s="230"/>
      <c r="L380" s="210"/>
      <c r="M380" s="841"/>
      <c r="N380" s="841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3.9736516460186722E-2</v>
      </c>
      <c r="M381" s="838"/>
      <c r="N381" s="838"/>
      <c r="O381" s="47">
        <f t="shared" si="152"/>
        <v>1.6106033604694817E-2</v>
      </c>
      <c r="P381" s="164">
        <f t="shared" si="152"/>
        <v>9.2160601885742658E-7</v>
      </c>
      <c r="Q381" s="306">
        <f t="shared" si="152"/>
        <v>0.5</v>
      </c>
      <c r="R381" s="307">
        <f t="shared" si="152"/>
        <v>0.468829834897387</v>
      </c>
      <c r="S381" s="802">
        <f t="shared" si="152"/>
        <v>0</v>
      </c>
      <c r="T381" s="172">
        <f t="shared" si="152"/>
        <v>6</v>
      </c>
      <c r="U381" s="248">
        <f>MIN(U15:U380)</f>
        <v>0.468829834897387</v>
      </c>
      <c r="V381" s="57">
        <f>MIN(V15:V380)</f>
        <v>15.555299357829346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4.7247987077079896E-2</v>
      </c>
      <c r="AD381" s="164">
        <f t="shared" si="153"/>
        <v>8.4256892281499536E-6</v>
      </c>
      <c r="AE381" s="306">
        <f t="shared" si="153"/>
        <v>0.5</v>
      </c>
      <c r="AF381" s="307">
        <f t="shared" si="153"/>
        <v>2.8385529127472608E-4</v>
      </c>
      <c r="AG381" s="802">
        <f t="shared" si="153"/>
        <v>3</v>
      </c>
      <c r="AH381" s="172">
        <f t="shared" si="153"/>
        <v>9</v>
      </c>
      <c r="AI381" s="222">
        <f>MIN(AI15:AI380)</f>
        <v>3.9938174012713641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29.745052978011323</v>
      </c>
      <c r="C382" s="370"/>
      <c r="D382" s="370">
        <f>AVERAGE(D15:D380)</f>
        <v>31.051514629279374</v>
      </c>
      <c r="E382" s="370">
        <f>AVERAGE(E15:E380)</f>
        <v>31.891548862320224</v>
      </c>
      <c r="F382" s="371">
        <f>AVERAGE(F15:F380)</f>
        <v>31.901672194400359</v>
      </c>
      <c r="G382" s="126">
        <f>AVERAGE(G15:G380)</f>
        <v>0.69558704089699697</v>
      </c>
      <c r="H382" s="94"/>
      <c r="I382" s="371">
        <f>AVERAGE(I15:I380)</f>
        <v>31.853099857046224</v>
      </c>
      <c r="J382" s="59">
        <f>AVERAGE(J15:J380)</f>
        <v>2027.5928961748634</v>
      </c>
      <c r="K382" s="196" t="s">
        <v>8</v>
      </c>
      <c r="L382" s="143">
        <f t="shared" ref="L382:V382" si="154">AVERAGE(L15:L380)</f>
        <v>4.2124985104068341E-2</v>
      </c>
      <c r="M382" s="836"/>
      <c r="N382" s="836"/>
      <c r="O382" s="48">
        <f t="shared" si="154"/>
        <v>2.6238696121928515E-2</v>
      </c>
      <c r="P382" s="165">
        <f t="shared" si="154"/>
        <v>1.2341021379547277E-3</v>
      </c>
      <c r="Q382" s="308">
        <f t="shared" si="154"/>
        <v>0.5</v>
      </c>
      <c r="R382" s="173">
        <f t="shared" si="154"/>
        <v>0.74871343189653194</v>
      </c>
      <c r="S382" s="802">
        <f t="shared" si="154"/>
        <v>0</v>
      </c>
      <c r="T382" s="172">
        <f t="shared" si="154"/>
        <v>6</v>
      </c>
      <c r="U382" s="247">
        <f>AVERAGE(U15:U380)</f>
        <v>0.74871343189653194</v>
      </c>
      <c r="V382" s="59">
        <f t="shared" si="154"/>
        <v>40.977479979086809</v>
      </c>
      <c r="X382" s="112" t="s">
        <v>8</v>
      </c>
      <c r="Y382" s="370">
        <f>AVERAGE(Y15:Y380)</f>
        <v>28.861472187922363</v>
      </c>
      <c r="Z382" s="370">
        <f>AVERAGE(Z15:Z380)</f>
        <v>30.129154491359909</v>
      </c>
      <c r="AA382" s="370">
        <f>AVERAGE(AA15:AA380)</f>
        <v>31.835560259055288</v>
      </c>
      <c r="AB382" s="196" t="s">
        <v>8</v>
      </c>
      <c r="AC382" s="48">
        <f t="shared" ref="AC382:AH382" si="155">AVERAGE(AC15:AC380)</f>
        <v>5.3278763735091716E-2</v>
      </c>
      <c r="AD382" s="165">
        <f t="shared" si="155"/>
        <v>7.7087073055538023E-3</v>
      </c>
      <c r="AE382" s="308">
        <f t="shared" si="155"/>
        <v>0.5</v>
      </c>
      <c r="AF382" s="173">
        <f t="shared" si="155"/>
        <v>0.42986538183215156</v>
      </c>
      <c r="AG382" s="802">
        <f t="shared" si="155"/>
        <v>3.8438356164383563</v>
      </c>
      <c r="AH382" s="172">
        <f t="shared" si="155"/>
        <v>9.8438356164383567</v>
      </c>
      <c r="AI382" s="221">
        <f>AVERAGE(AI15:AI380)</f>
        <v>4.2737009982705088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63.134020038913654</v>
      </c>
      <c r="C383" s="372"/>
      <c r="D383" s="372">
        <f>MAX(D15:D380)</f>
        <v>65.906958415059634</v>
      </c>
      <c r="E383" s="372">
        <f>MAX(E15:E380)</f>
        <v>67.727201167712437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60">
        <f>MAX(J15:J380)</f>
        <v>2030</v>
      </c>
      <c r="K383" s="196" t="s">
        <v>9</v>
      </c>
      <c r="L383" s="144">
        <f t="shared" ref="L383:T383" si="156">MAX(L15:L380)</f>
        <v>4.4509500764638221E-2</v>
      </c>
      <c r="M383" s="839"/>
      <c r="N383" s="839"/>
      <c r="O383" s="49">
        <f t="shared" si="156"/>
        <v>3.4190544383215206E-2</v>
      </c>
      <c r="P383" s="166">
        <f t="shared" si="156"/>
        <v>6.2519941824287434E-3</v>
      </c>
      <c r="Q383" s="309">
        <f t="shared" si="156"/>
        <v>0.5</v>
      </c>
      <c r="R383" s="310">
        <f t="shared" si="156"/>
        <v>0.96882856186121602</v>
      </c>
      <c r="S383" s="803">
        <f t="shared" si="156"/>
        <v>0</v>
      </c>
      <c r="T383" s="229">
        <f t="shared" si="156"/>
        <v>6</v>
      </c>
      <c r="U383" s="249">
        <f>MAX(U15:U380)</f>
        <v>0.96882856186121602</v>
      </c>
      <c r="V383" s="60">
        <f>MAX(V15:V380)</f>
        <v>60.893929193217787</v>
      </c>
      <c r="X383" s="112" t="s">
        <v>9</v>
      </c>
      <c r="Y383" s="372">
        <f>MAX(Y15:Y380)</f>
        <v>61.337565653305731</v>
      </c>
      <c r="Z383" s="372">
        <f>MAX(Z15:Z380)</f>
        <v>64.031601128863755</v>
      </c>
      <c r="AA383" s="372">
        <f>MAX(AA15:AA380)</f>
        <v>67.726635375883703</v>
      </c>
      <c r="AB383" s="196" t="s">
        <v>9</v>
      </c>
      <c r="AC383" s="49">
        <f t="shared" ref="AC383:AH383" si="157">MAX(AC15:AC380)</f>
        <v>5.6715184868683544E-2</v>
      </c>
      <c r="AD383" s="166">
        <f t="shared" si="157"/>
        <v>3.1016307699834832E-2</v>
      </c>
      <c r="AE383" s="309">
        <f t="shared" si="157"/>
        <v>0.5</v>
      </c>
      <c r="AF383" s="310">
        <f t="shared" si="157"/>
        <v>0.9999993796964648</v>
      </c>
      <c r="AG383" s="803">
        <f t="shared" si="157"/>
        <v>4</v>
      </c>
      <c r="AH383" s="229">
        <f t="shared" si="157"/>
        <v>10</v>
      </c>
      <c r="AI383" s="223">
        <f>MAX(AI15:AI380)</f>
        <v>4.4938161282351929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'2030'!An+1</f>
        <v>2031</v>
      </c>
      <c r="K1" s="1250"/>
      <c r="L1" s="113" t="str">
        <f>"Calcul pertes et enveloppes en "&amp;TEXT(An,0)</f>
        <v>Calcul pertes et enveloppes en 2031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2031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56.021744355154766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311.14323216315358</v>
      </c>
      <c r="AK4" s="825">
        <f>AM12-AK12</f>
        <v>19.064128964109859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367.22724318080225</v>
      </c>
      <c r="AA5" s="233">
        <f>Wh_Pvg_s-Wh_Pvg</f>
        <v>19.064128964109859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2597.4082477466227</v>
      </c>
      <c r="AK5" s="510">
        <f>SUMIF(AK15:AK380,"VRAI",Wh)</f>
        <v>0</v>
      </c>
      <c r="AL5" s="510">
        <f>SUMIF(AJ15:AJ380,"VRAI",Wh_s)</f>
        <v>2533.9436987748581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8337.5669734902258</v>
      </c>
      <c r="AK6" s="510">
        <f>SUMIF(AK15:AK380,"FAUX",Wh)</f>
        <v>10934.975221236853</v>
      </c>
      <c r="AL6" s="510">
        <f>SUMIF(AJ15:AJ380,"FAUX",Wh_s)</f>
        <v>8013.646452711223</v>
      </c>
      <c r="AM6" s="510">
        <f>SUMIF(AK15:AK380,"FAUX",Wh_s)</f>
        <v>10547.590151486089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AND(YEAR(Tnet)=An,Resal_2031="I")</f>
        <v>0</v>
      </c>
      <c r="F7" s="316" t="b">
        <f>YEAR(Tnet)=An</f>
        <v>1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2721.1462948646017</v>
      </c>
      <c r="AK7" s="510">
        <f>SUMIF(AK15:AK380,"VRAI",Wh_sa)</f>
        <v>0</v>
      </c>
      <c r="AL7" s="510">
        <f>SUMIF(AJ15:AJ380,"VRAI",Wh_pvt_s)</f>
        <v>2654.6634174584246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AND(YEAR(Tnet)=An,Resal_2031&lt;&gt;"I")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8751.4428924852236</v>
      </c>
      <c r="AK8" s="510">
        <f>SUMIF(AK15:AK380,"FAUX",Wh_sa)</f>
        <v>11636.502939911968</v>
      </c>
      <c r="AL8" s="510">
        <f>SUMIF(AJ15:AJ380,"FAUX",Wh_pvt_s)</f>
        <v>8411.4373436612605</v>
      </c>
      <c r="AM8" s="510">
        <f>SUMIF(AK15:AK380,"FAUX",Wh_sa_s)</f>
        <v>11615.293482623878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11472.589187349822</v>
      </c>
      <c r="E9" s="180">
        <f>SUM(E$15:E$380)</f>
        <v>11636.502939911968</v>
      </c>
      <c r="F9" s="180">
        <f>SUM(F$15:F$380)</f>
        <v>11642.689315005764</v>
      </c>
      <c r="H9" s="1251">
        <f>+SUM(Wh)</f>
        <v>10934.975221236853</v>
      </c>
      <c r="I9" s="1252"/>
      <c r="J9" s="1253"/>
      <c r="K9" s="187"/>
      <c r="L9" s="228"/>
      <c r="M9" s="228"/>
      <c r="N9" s="228"/>
      <c r="O9" s="219">
        <f>Tnet_2031</f>
        <v>47968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10547.590151486089</v>
      </c>
      <c r="Y9" s="1246"/>
      <c r="Z9" s="510">
        <f>SUM(Z$15:Z$380)</f>
        <v>11066.100761119686</v>
      </c>
      <c r="AA9" s="510">
        <f>SUM(AA$15:AA$380)</f>
        <v>11615.293482623878</v>
      </c>
      <c r="AB9" s="510">
        <f>F9</f>
        <v>11642.689315005764</v>
      </c>
      <c r="AC9" s="321">
        <f>IF(An_Tnet,Tnet,'2030'!Tnet_s)</f>
        <v>47968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2826.3577194360405</v>
      </c>
      <c r="AK9" s="510">
        <f>SUMIF(AK15:AK380,"VRAI",Wh_hp)</f>
        <v>0</v>
      </c>
      <c r="AL9" s="510">
        <f>SUMIF(AJ15:AJ380,"VRAI",Wh_sa_s)</f>
        <v>2818.5657212944511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IF(Inflex,'2030'!Resal+('2030'!Salim-'2030'!Resal)*(1-EXP(-(Tnet-'2030'!Tnet)/('2030'!Tau_j))),IF(An_Tnet,Resal_2031,'2030'!Resal))</f>
        <v>0</v>
      </c>
      <c r="P10" s="416" t="b">
        <f>NOT(Acti_tai)</f>
        <v>1</v>
      </c>
      <c r="Q10" s="253">
        <f>IF(Acti_tai,'2030'!PousD,Dens-Dd)</f>
        <v>0</v>
      </c>
      <c r="R10" s="270"/>
      <c r="S10" s="271"/>
      <c r="T10" s="272"/>
      <c r="U10" s="262">
        <f>IF(Acti_tai,'2030'!PousH,Hdtf-Hdd)</f>
        <v>0.5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IF(OR(Inflex,GainD),'2030'!Resal_s+('2030'!Salim-'2030'!Resal_s)*(1-EXP(('2030'!Tnet_s-Tnet)/('2030'!Tau_j))),IF(Acti_net,'2030'!Resal+('2030'!Salim-'2030'!Resal)*(1-EXP(('2030'!Tnet-Tnet)/'2030'!Tau_j)),'2030'!Resal_s))</f>
        <v>3.8926630477392636E-2</v>
      </c>
      <c r="AD10" s="422"/>
      <c r="AE10" s="422"/>
      <c r="AF10" s="256"/>
      <c r="AG10" s="257"/>
      <c r="AH10" s="258"/>
      <c r="AI10" s="467"/>
      <c r="AJ10" s="510">
        <f>SUMIF(AJ15:AJ380,"FAUX",Wh_sa)</f>
        <v>8810.1452204759298</v>
      </c>
      <c r="AK10" s="510">
        <f>SUMIF(AK15:AK380,"FAUX",Wh_hp)</f>
        <v>11642.689315005764</v>
      </c>
      <c r="AL10" s="510">
        <f>SUMIF(AJ15:AJ380,"FAUX",Wh_sa_s)</f>
        <v>8796.7277613294227</v>
      </c>
      <c r="AM10" s="510">
        <f>SUMIF(AK15:AK380,"FAUX",Wh_hp)</f>
        <v>11642.689315005764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537.61396611296914</v>
      </c>
      <c r="E11" s="51">
        <f>(E$9-D$9)*Prod_an/D$9</f>
        <v>156.23263357702982</v>
      </c>
      <c r="F11" s="182">
        <f>(F$9-E$9)*Prod_an/E$9</f>
        <v>5.813418233059152</v>
      </c>
      <c r="G11" s="181" t="s">
        <v>6</v>
      </c>
      <c r="K11" s="190"/>
      <c r="L11" s="207">
        <f>Tvie_2031</f>
        <v>44522</v>
      </c>
      <c r="M11" s="835"/>
      <c r="N11" s="835"/>
      <c r="O11" s="198">
        <f>IF(An_Tnet,Salim_2031,'2030'!Salim)</f>
        <v>0.08</v>
      </c>
      <c r="P11" s="252">
        <f>Ttai_2031</f>
        <v>47208</v>
      </c>
      <c r="Q11" s="268">
        <f>Dens_2031</f>
        <v>0.5</v>
      </c>
      <c r="R11" s="273"/>
      <c r="S11" s="226"/>
      <c r="T11" s="226"/>
      <c r="U11" s="262">
        <f>Htf_2031</f>
        <v>1.468828561861216</v>
      </c>
      <c r="V11" s="422"/>
      <c r="W11" s="513"/>
      <c r="X11" s="520" t="s">
        <v>43</v>
      </c>
      <c r="Y11" s="50">
        <f>Z$9-Prod_an_s</f>
        <v>518.51060963359669</v>
      </c>
      <c r="Z11" s="51">
        <f>(AA$9-Z$9)*Prod_an_s/Z$9</f>
        <v>523.45987675783203</v>
      </c>
      <c r="AA11" s="182">
        <f>(AB$9-AA$9)*Prod_an_s/AA$9</f>
        <v>24.877547197169012</v>
      </c>
      <c r="AB11" s="521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100.42717014324452</v>
      </c>
      <c r="AK11" s="825">
        <f>IF($AK7=0,0,($AK9-$AK7)*$AK5/$AK7)</f>
        <v>0</v>
      </c>
      <c r="AL11" s="824">
        <f>IF($AL7=0,0,($AL9-$AL7)*$AL5/$AL7)</f>
        <v>156.44891449839929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Pspv_2031</f>
        <v>0</v>
      </c>
      <c r="M12" s="208"/>
      <c r="N12" s="208"/>
      <c r="O12" s="201">
        <f>IF(An_Tnet,Tau_2031*365,'2030'!Tau_j)</f>
        <v>1095</v>
      </c>
      <c r="P12" s="277">
        <f>INDEX(Croivg,MIN(MAX(Ttai-$A$15,0)+1,366))</f>
        <v>2.3909964587625958E-6</v>
      </c>
      <c r="Q12" s="276">
        <f>'2030'!Df</f>
        <v>0.5</v>
      </c>
      <c r="R12" s="274"/>
      <c r="S12" s="275"/>
      <c r="T12" s="275"/>
      <c r="U12" s="263">
        <f>'2030'!Hdf</f>
        <v>0.96882856186121602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'2030'!Df_s</f>
        <v>0.5</v>
      </c>
      <c r="AF12" s="199"/>
      <c r="AG12" s="199"/>
      <c r="AH12" s="199"/>
      <c r="AI12" s="293">
        <f>'2030'!Hdf_s</f>
        <v>4.4938161282351929</v>
      </c>
      <c r="AJ12" s="824">
        <f>IF($AJ8=0,0,($AJ10-$AJ8)*$AJ6/$AJ8)</f>
        <v>55.926159507088286</v>
      </c>
      <c r="AK12" s="825">
        <f>IF($AK8=0,0,($AK10-$AK8)*$AK6/$AK8)</f>
        <v>5.813418233059152</v>
      </c>
      <c r="AL12" s="824">
        <f>IF($AL8=0,0,($AL10-$AL8)*$AL6/$AL8)</f>
        <v>367.06939167024188</v>
      </c>
      <c r="AM12" s="825">
        <f>IF($AM8=0,0,($AM10-$AM8)*$AM6/$AM8)</f>
        <v>24.877547197169012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156.3533296503328</v>
      </c>
      <c r="AK13" s="73">
        <f>+AK11+AK12</f>
        <v>5.813418233059152</v>
      </c>
      <c r="AL13" s="73">
        <f>+AL11+AL12</f>
        <v>523.51830616864117</v>
      </c>
      <c r="AM13" s="73">
        <f>+AM11+AM12</f>
        <v>24.877547197169012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411"/>
      <c r="D14" s="53" t="s">
        <v>30</v>
      </c>
      <c r="E14" s="158" t="s">
        <v>29</v>
      </c>
      <c r="F14" s="158" t="str">
        <f>"Hors pertes "&amp; TEXT(An,0)</f>
        <v>Hors pertes 2031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2031</v>
      </c>
      <c r="W14" s="829" t="s">
        <v>116</v>
      </c>
      <c r="X14" s="254" t="s">
        <v>2</v>
      </c>
      <c r="Y14" s="107" t="str">
        <f>"Wh / Jour "&amp; TEXT(An,0)</f>
        <v>Wh / Jour 2031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129">
        <f>DATE(An,1,1)</f>
        <v>47849</v>
      </c>
      <c r="B15" s="405">
        <f>'2030'!Wh/'2030'!Env_an*'2031'!Env_an</f>
        <v>0</v>
      </c>
      <c r="C15" s="832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Wh_hp&gt;='2030'!Maxi_hp</f>
        <v>1</v>
      </c>
      <c r="I15" s="391">
        <f>IF(H15,Wh_hp,'2030'!Maxi_hp)</f>
        <v>0</v>
      </c>
      <c r="J15" s="84">
        <f>IF(H15,An,'2030'!An_max)</f>
        <v>2031</v>
      </c>
      <c r="K15" s="193">
        <f t="shared" ref="K15:K78" si="3">t</f>
        <v>47849</v>
      </c>
      <c r="L15" s="142">
        <f>IF(t&lt;Tvie,1-EXP((T0-t)*PertePVj)+'2030'!Pspv,1-EXP((T0-t)*PertePVj)+Pspv)</f>
        <v>4.4522580627188391E-2</v>
      </c>
      <c r="M15" s="836"/>
      <c r="N15" s="836"/>
      <c r="O15" s="48">
        <f>IF(t&lt;Tnet,'2030'!Resal+('2030'!Salim-'2030'!Resal)*(1-EXP(('2030'!Tnet-t)/('2030'!Tau_j))),Resal+(Salim-Resal)*(1-EXP((Tnet-t)/(Tau_j))))*Salcycl</f>
        <v>3.4230950566402636E-2</v>
      </c>
      <c r="P15" s="298">
        <f>(INDEX(Models!$BJ15:$BT15,,T15)*(1-R15)+INDEX(Models!$BJ15:$BT15,,T15+1)*R15-ERP_i)*Q15*Ramure*Pc/MaxiM</f>
        <v>5.5279041101452906E-3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0.96882975735944543</v>
      </c>
      <c r="S15" s="801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0.96882975735944543</v>
      </c>
      <c r="V15" s="377">
        <f t="shared" ref="V15:V78" si="9">MaxiM*(1-Ppv)*(1-Pvg)*(1-Psa)</f>
        <v>16.425636305959351</v>
      </c>
      <c r="W15" s="397">
        <f t="shared" ref="W15:W78" si="10">Wh*(A15&gt;Tmaj)</f>
        <v>0</v>
      </c>
      <c r="X15" s="152">
        <f t="shared" ref="X15:X78" si="11">t</f>
        <v>47849</v>
      </c>
      <c r="Y15" s="380">
        <f t="shared" ref="Y15:Y78" si="12">Wh_pvt_s*(1-Ppv)</f>
        <v>0</v>
      </c>
      <c r="Z15" s="380">
        <f>Wh_sa_s*(1-Psa_s)</f>
        <v>0</v>
      </c>
      <c r="AA15" s="381">
        <f t="shared" ref="AA15:AA78" si="13">Wh_hp*(1-Pvg_s*MEDIAN((-Sdif+Wh/Env_an)/Csdif,0,1))</f>
        <v>0</v>
      </c>
      <c r="AB15" s="193">
        <f t="shared" ref="AB15:AB78" si="14">t</f>
        <v>47849</v>
      </c>
      <c r="AC15" s="119">
        <f>IF(OR(t&lt;Tnet,NoTnet),'2030'!Resal_s+('2030'!Salim-'2030'!Resal_s)*(1-EXP(('2030'!Tnet_s-t)/'2030'!Tau_j)),Resal_s+(Salim-Resal_s)*(1-EXP((Tnet_s-t)/Tau_j)))*Salcycl</f>
        <v>5.654513530179868E-2</v>
      </c>
      <c r="AD15" s="227">
        <f>(INDEX(Models!$BJ15:$BT15,,AH15)*(1-AF15)+INDEX(Models!$BJ15:$BT15,,AH15+1)*AF15-ERP_i)*AE15*Ramure*Pc/MaxiM</f>
        <v>2.9190774904547349E-2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0.49381732373342224</v>
      </c>
      <c r="AG15" s="801">
        <f>INDEX(Echel_vg,AH15)</f>
        <v>4</v>
      </c>
      <c r="AH15" s="245">
        <f t="shared" ref="AH15:AH78" si="16">MIN(MATCH(Hp_vg_s,Echel_vg),10)</f>
        <v>10</v>
      </c>
      <c r="AI15" s="220">
        <f t="shared" ref="AI15:AI78" si="17">IF(OR(t&lt;Ttai,Notai),Hdd_s+PousH*Croivg,Hdtai_s+PousH*(Croivg-Croi_tai))</f>
        <v>4.4938173237334222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47850</v>
      </c>
      <c r="B16" s="406">
        <f>'2030'!Wh/'2030'!Env_an*'2031'!Env_an</f>
        <v>0</v>
      </c>
      <c r="C16" s="832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21">+Wh_hp/MaxiM</f>
        <v>0</v>
      </c>
      <c r="H16" s="409" t="b">
        <f>Wh_hp&gt;='2030'!Maxi_hp</f>
        <v>1</v>
      </c>
      <c r="I16" s="385">
        <f>IF(H16,Wh_hp,'2030'!Maxi_hp)</f>
        <v>0</v>
      </c>
      <c r="J16" s="85">
        <f>IF(H16,An,'2030'!An_max)</f>
        <v>2031</v>
      </c>
      <c r="K16" s="193">
        <f t="shared" si="3"/>
        <v>47850</v>
      </c>
      <c r="L16" s="143">
        <f>IF(t&lt;Tvie,1-EXP((T0-t)*PertePVj)+'2030'!Pspv,1-EXP((T0-t)*PertePVj)+Pspv)</f>
        <v>4.4535660310686231E-2</v>
      </c>
      <c r="M16" s="836"/>
      <c r="N16" s="836"/>
      <c r="O16" s="48">
        <f>IF(t&lt;Tnet,'2030'!Resal+('2030'!Salim-'2030'!Resal)*(1-EXP(('2030'!Tnet-t)/('2030'!Tau_j))),Resal+(Salim-Resal)*(1-EXP((Tnet-t)/(Tau_j))))*Salcycl</f>
        <v>3.4271401169756723E-2</v>
      </c>
      <c r="P16" s="165">
        <f>(INDEX(Models!$BJ16:$BT16,,T16)*(1-R16)+INDEX(Models!$BJ16:$BT16,,T16+1)*R16-ERP_i)*Q16*Ramure*Pc/MaxiM</f>
        <v>5.4783523817034776E-3</v>
      </c>
      <c r="Q16" s="301">
        <f t="shared" si="4"/>
        <v>0.5</v>
      </c>
      <c r="R16" s="173">
        <f t="shared" si="5"/>
        <v>0.96885897197343962</v>
      </c>
      <c r="S16" s="802">
        <f t="shared" si="6"/>
        <v>0</v>
      </c>
      <c r="T16" s="172">
        <f t="shared" si="7"/>
        <v>6</v>
      </c>
      <c r="U16" s="247">
        <f t="shared" si="8"/>
        <v>0.96885897197343962</v>
      </c>
      <c r="V16" s="378">
        <f t="shared" si="9"/>
        <v>16.590006323733874</v>
      </c>
      <c r="W16" s="397">
        <f t="shared" si="10"/>
        <v>0</v>
      </c>
      <c r="X16" s="153">
        <f t="shared" si="11"/>
        <v>47850</v>
      </c>
      <c r="Y16" s="380">
        <f t="shared" si="12"/>
        <v>0</v>
      </c>
      <c r="Z16" s="380">
        <f t="shared" ref="Z16:Z78" si="22">Wh_sa_s*(1-Psa_s)</f>
        <v>0</v>
      </c>
      <c r="AA16" s="381">
        <f t="shared" si="13"/>
        <v>0</v>
      </c>
      <c r="AB16" s="193">
        <f t="shared" si="14"/>
        <v>47850</v>
      </c>
      <c r="AC16" s="119">
        <f>IF(OR(t&lt;Tnet,NoTnet),'2030'!Resal_s+('2030'!Salim-'2030'!Resal_s)*(1-EXP(('2030'!Tnet_s-t)/'2030'!Tau_j)),Resal_s+(Salim-Resal_s)*(1-EXP((Tnet_s-t)/Tau_j)))*Salcycl</f>
        <v>5.6564325583691982E-2</v>
      </c>
      <c r="AD16" s="227">
        <f>(INDEX(Models!$BJ16:$BT16,,AH16)*(1-AF16)+INDEX(Models!$BJ16:$BT16,,AH16+1)*AF16-ERP_i)*AE16*Ramure*Pc/MaxiM</f>
        <v>2.8883948185624203E-2</v>
      </c>
      <c r="AE16" s="301">
        <f t="shared" si="15"/>
        <v>0.5</v>
      </c>
      <c r="AF16" s="173">
        <f t="shared" ref="AF16:AF78" si="23">(Hp_vg_s-AG16)/(INDEX(Echel_vg,AH16+1)-AG16)</f>
        <v>0.49384653834741687</v>
      </c>
      <c r="AG16" s="802">
        <f t="shared" ref="AG16:AG79" si="24">INDEX(Echel_vg,AH16)</f>
        <v>4</v>
      </c>
      <c r="AH16" s="172">
        <f t="shared" si="16"/>
        <v>10</v>
      </c>
      <c r="AI16" s="221">
        <f t="shared" si="17"/>
        <v>4.4938465383474169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47851</v>
      </c>
      <c r="B17" s="406">
        <f>'2030'!Wh/'2030'!Env_an*'2031'!Env_an</f>
        <v>0</v>
      </c>
      <c r="C17" s="832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21"/>
        <v>0</v>
      </c>
      <c r="H17" s="409" t="b">
        <f>Wh_hp&gt;='2030'!Maxi_hp</f>
        <v>1</v>
      </c>
      <c r="I17" s="385">
        <f>IF(H17,Wh_hp,'2030'!Maxi_hp)</f>
        <v>0</v>
      </c>
      <c r="J17" s="85">
        <f>IF(H17,An,'2030'!An_max)</f>
        <v>2031</v>
      </c>
      <c r="K17" s="193">
        <f t="shared" si="3"/>
        <v>47851</v>
      </c>
      <c r="L17" s="143">
        <f>IF(t&lt;Tvie,1-EXP((T0-t)*PertePVj)+'2030'!Pspv,1-EXP((T0-t)*PertePVj)+Pspv)</f>
        <v>4.4548739815134186E-2</v>
      </c>
      <c r="M17" s="836"/>
      <c r="N17" s="836"/>
      <c r="O17" s="48">
        <f>IF(t&lt;Tnet,'2030'!Resal+('2030'!Salim-'2030'!Resal)*(1-EXP(('2030'!Tnet-t)/('2030'!Tau_j))),Resal+(Salim-Resal)*(1-EXP((Tnet-t)/(Tau_j))))*Salcycl</f>
        <v>3.4311887457647086E-2</v>
      </c>
      <c r="P17" s="165">
        <f>(INDEX(Models!$BJ17:$BT17,,T17)*(1-R17)+INDEX(Models!$BJ17:$BT17,,T17+1)*R17-ERP_i)*Q17*Ramure*Pc/MaxiM</f>
        <v>5.4345550915442077E-3</v>
      </c>
      <c r="Q17" s="301">
        <f t="shared" si="4"/>
        <v>0.5</v>
      </c>
      <c r="R17" s="173">
        <f t="shared" si="5"/>
        <v>0.96888940856892924</v>
      </c>
      <c r="S17" s="802">
        <f t="shared" si="6"/>
        <v>0</v>
      </c>
      <c r="T17" s="172">
        <f t="shared" si="7"/>
        <v>6</v>
      </c>
      <c r="U17" s="247">
        <f t="shared" si="8"/>
        <v>0.96888940856892924</v>
      </c>
      <c r="V17" s="378">
        <f t="shared" si="9"/>
        <v>16.76236938681275</v>
      </c>
      <c r="W17" s="397">
        <f t="shared" si="10"/>
        <v>0</v>
      </c>
      <c r="X17" s="153">
        <f t="shared" si="11"/>
        <v>47851</v>
      </c>
      <c r="Y17" s="380">
        <f t="shared" si="12"/>
        <v>0</v>
      </c>
      <c r="Z17" s="380">
        <f t="shared" si="22"/>
        <v>0</v>
      </c>
      <c r="AA17" s="381">
        <f t="shared" si="13"/>
        <v>0</v>
      </c>
      <c r="AB17" s="193">
        <f t="shared" si="14"/>
        <v>47851</v>
      </c>
      <c r="AC17" s="119">
        <f>IF(OR(t&lt;Tnet,NoTnet),'2030'!Resal_s+('2030'!Salim-'2030'!Resal_s)*(1-EXP(('2030'!Tnet_s-t)/'2030'!Tau_j)),Resal_s+(Salim-Resal_s)*(1-EXP((Tnet_s-t)/Tau_j)))*Salcycl</f>
        <v>5.6583621881616745E-2</v>
      </c>
      <c r="AD17" s="227">
        <f>(INDEX(Models!$BJ17:$BT17,,AH17)*(1-AF17)+INDEX(Models!$BJ17:$BT17,,AH17+1)*AF17-ERP_i)*AE17*Ramure*Pc/MaxiM</f>
        <v>2.857348081710322E-2</v>
      </c>
      <c r="AE17" s="301">
        <f t="shared" si="15"/>
        <v>0.5</v>
      </c>
      <c r="AF17" s="173">
        <f>(Hp_vg_s-AG17)/(INDEX(Echel_vg,AH17+1)-AG17)</f>
        <v>0.49387697494290617</v>
      </c>
      <c r="AG17" s="802">
        <f>INDEX(Echel_vg,AH17)</f>
        <v>4</v>
      </c>
      <c r="AH17" s="172">
        <f t="shared" si="16"/>
        <v>10</v>
      </c>
      <c r="AI17" s="221">
        <f t="shared" si="17"/>
        <v>4.4938769749429062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47852</v>
      </c>
      <c r="B18" s="406">
        <f>'2030'!Wh/'2030'!Env_an*'2031'!Env_an</f>
        <v>0</v>
      </c>
      <c r="C18" s="832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21"/>
        <v>0</v>
      </c>
      <c r="H18" s="409" t="b">
        <f>Wh_hp&gt;='2030'!Maxi_hp</f>
        <v>1</v>
      </c>
      <c r="I18" s="385">
        <f>IF(H18,Wh_hp,'2030'!Maxi_hp)</f>
        <v>0</v>
      </c>
      <c r="J18" s="85">
        <f>IF(H18,An,'2030'!An_max)</f>
        <v>2031</v>
      </c>
      <c r="K18" s="193">
        <f t="shared" si="3"/>
        <v>47852</v>
      </c>
      <c r="L18" s="143">
        <f>IF(t&lt;Tvie,1-EXP((T0-t)*PertePVj)+'2030'!Pspv,1-EXP((T0-t)*PertePVj)+Pspv)</f>
        <v>4.4561819140534698E-2</v>
      </c>
      <c r="M18" s="836"/>
      <c r="N18" s="836"/>
      <c r="O18" s="48">
        <f>IF(t&lt;Tnet,'2030'!Resal+('2030'!Salim-'2030'!Resal)*(1-EXP(('2030'!Tnet-t)/('2030'!Tau_j))),Resal+(Salim-Resal)*(1-EXP((Tnet-t)/(Tau_j))))*Salcycl</f>
        <v>3.4352401712064815E-2</v>
      </c>
      <c r="P18" s="165">
        <f>(INDEX(Models!$BJ18:$BT18,,T18)*(1-R18)+INDEX(Models!$BJ18:$BT18,,T18+1)*R18-ERP_i)*Q18*Ramure*Pc/MaxiM</f>
        <v>5.3968584162070949E-3</v>
      </c>
      <c r="Q18" s="301">
        <f t="shared" si="4"/>
        <v>0.5</v>
      </c>
      <c r="R18" s="173">
        <f t="shared" si="5"/>
        <v>0.9689211181002243</v>
      </c>
      <c r="S18" s="802">
        <f t="shared" si="6"/>
        <v>0</v>
      </c>
      <c r="T18" s="172">
        <f t="shared" si="7"/>
        <v>6</v>
      </c>
      <c r="U18" s="247">
        <f t="shared" si="8"/>
        <v>0.9689211181002243</v>
      </c>
      <c r="V18" s="378">
        <f t="shared" si="9"/>
        <v>16.941187082366053</v>
      </c>
      <c r="W18" s="397">
        <f t="shared" si="10"/>
        <v>0</v>
      </c>
      <c r="X18" s="153">
        <f t="shared" si="11"/>
        <v>47852</v>
      </c>
      <c r="Y18" s="380">
        <f t="shared" si="12"/>
        <v>0</v>
      </c>
      <c r="Z18" s="380">
        <f>Wh_sa_s*(1-Psa_s)</f>
        <v>0</v>
      </c>
      <c r="AA18" s="381">
        <f t="shared" si="13"/>
        <v>0</v>
      </c>
      <c r="AB18" s="193">
        <f>t</f>
        <v>47852</v>
      </c>
      <c r="AC18" s="119">
        <f>IF(OR(t&lt;Tnet,NoTnet),'2030'!Resal_s+('2030'!Salim-'2030'!Resal_s)*(1-EXP(('2030'!Tnet_s-t)/'2030'!Tau_j)),Resal_s+(Salim-Resal_s)*(1-EXP((Tnet_s-t)/Tau_j)))*Salcycl</f>
        <v>5.6603011114026838E-2</v>
      </c>
      <c r="AD18" s="227">
        <f>(INDEX(Models!$BJ18:$BT18,,AH18)*(1-AF18)+INDEX(Models!$BJ18:$BT18,,AH18+1)*AF18-ERP_i)*AE18*Ramure*Pc/MaxiM</f>
        <v>2.826233062836276E-2</v>
      </c>
      <c r="AE18" s="301">
        <f t="shared" si="15"/>
        <v>0.5</v>
      </c>
      <c r="AF18" s="173">
        <f t="shared" si="23"/>
        <v>0.49390868447420111</v>
      </c>
      <c r="AG18" s="802">
        <f t="shared" si="24"/>
        <v>4</v>
      </c>
      <c r="AH18" s="172">
        <f t="shared" si="16"/>
        <v>10</v>
      </c>
      <c r="AI18" s="221">
        <f t="shared" si="17"/>
        <v>4.4939086844742011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47853</v>
      </c>
      <c r="B19" s="406">
        <f>'2030'!Wh/'2030'!Env_an*'2031'!Env_an</f>
        <v>0</v>
      </c>
      <c r="C19" s="832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21"/>
        <v>0</v>
      </c>
      <c r="H19" s="409" t="b">
        <f>Wh_hp&gt;='2030'!Maxi_hp</f>
        <v>1</v>
      </c>
      <c r="I19" s="385">
        <f>IF(H19,Wh_hp,'2030'!Maxi_hp)</f>
        <v>0</v>
      </c>
      <c r="J19" s="85">
        <f>IF(H19,An,'2030'!An_max)</f>
        <v>2031</v>
      </c>
      <c r="K19" s="193">
        <f t="shared" si="3"/>
        <v>47853</v>
      </c>
      <c r="L19" s="143">
        <f>IF(t&lt;Tvie,1-EXP((T0-t)*PertePVj)+'2030'!Pspv,1-EXP((T0-t)*PertePVj)+Pspv)</f>
        <v>4.4574898286890208E-2</v>
      </c>
      <c r="M19" s="836"/>
      <c r="N19" s="836"/>
      <c r="O19" s="48">
        <f>IF(t&lt;Tnet,'2030'!Resal+('2030'!Salim-'2030'!Resal)*(1-EXP(('2030'!Tnet-t)/('2030'!Tau_j))),Resal+(Salim-Resal)*(1-EXP((Tnet-t)/(Tau_j))))*Salcycl</f>
        <v>3.4392937213689787E-2</v>
      </c>
      <c r="P19" s="165">
        <f>(INDEX(Models!$BJ19:$BT19,,T19)*(1-R19)+INDEX(Models!$BJ19:$BT19,,T19+1)*R19-ERP_i)*Q19*Ramure*Pc/MaxiM</f>
        <v>5.3655689073894234E-3</v>
      </c>
      <c r="Q19" s="301">
        <f t="shared" si="4"/>
        <v>0.5</v>
      </c>
      <c r="R19" s="173">
        <f t="shared" si="5"/>
        <v>0.96895415363278603</v>
      </c>
      <c r="S19" s="802">
        <f t="shared" si="6"/>
        <v>0</v>
      </c>
      <c r="T19" s="172">
        <f t="shared" si="7"/>
        <v>6</v>
      </c>
      <c r="U19" s="247">
        <f t="shared" si="8"/>
        <v>0.96895415363278603</v>
      </c>
      <c r="V19" s="378">
        <f t="shared" si="9"/>
        <v>17.124921271746253</v>
      </c>
      <c r="W19" s="397">
        <f t="shared" si="10"/>
        <v>0</v>
      </c>
      <c r="X19" s="153">
        <f t="shared" si="11"/>
        <v>47853</v>
      </c>
      <c r="Y19" s="380">
        <f t="shared" si="12"/>
        <v>0</v>
      </c>
      <c r="Z19" s="380">
        <f t="shared" si="22"/>
        <v>0</v>
      </c>
      <c r="AA19" s="381">
        <f t="shared" si="13"/>
        <v>0</v>
      </c>
      <c r="AB19" s="193">
        <f t="shared" si="14"/>
        <v>47853</v>
      </c>
      <c r="AC19" s="119">
        <f>IF(OR(t&lt;Tnet,NoTnet),'2030'!Resal_s+('2030'!Salim-'2030'!Resal_s)*(1-EXP(('2030'!Tnet_s-t)/'2030'!Tau_j)),Resal_s+(Salim-Resal_s)*(1-EXP((Tnet_s-t)/Tau_j)))*Salcycl</f>
        <v>5.6622481888426744E-2</v>
      </c>
      <c r="AD19" s="227">
        <f>(INDEX(Models!$BJ19:$BT19,,AH19)*(1-AF19)+INDEX(Models!$BJ19:$BT19,,AH19+1)*AF19-ERP_i)*AE19*Ramure*Pc/MaxiM</f>
        <v>2.7953236923503887E-2</v>
      </c>
      <c r="AE19" s="301">
        <f t="shared" si="15"/>
        <v>0.5</v>
      </c>
      <c r="AF19" s="173">
        <f t="shared" si="23"/>
        <v>0.49394172000676306</v>
      </c>
      <c r="AG19" s="802">
        <f t="shared" si="24"/>
        <v>4</v>
      </c>
      <c r="AH19" s="172">
        <f t="shared" si="16"/>
        <v>10</v>
      </c>
      <c r="AI19" s="221">
        <f t="shared" si="17"/>
        <v>4.4939417200067631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47854</v>
      </c>
      <c r="B20" s="406">
        <f>'2030'!Wh/'2030'!Env_an*'2031'!Env_an</f>
        <v>0</v>
      </c>
      <c r="C20" s="832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1"/>
        <v>0</v>
      </c>
      <c r="H20" s="409" t="b">
        <f>Wh_hp&gt;='2030'!Maxi_hp</f>
        <v>1</v>
      </c>
      <c r="I20" s="385">
        <f>IF(H20,Wh_hp,'2030'!Maxi_hp)</f>
        <v>0</v>
      </c>
      <c r="J20" s="85">
        <f>IF(H20,An,'2030'!An_max)</f>
        <v>2031</v>
      </c>
      <c r="K20" s="193">
        <f t="shared" si="3"/>
        <v>47854</v>
      </c>
      <c r="L20" s="143">
        <f>IF(t&lt;Tvie,1-EXP((T0-t)*PertePVj)+'2030'!Pspv,1-EXP((T0-t)*PertePVj)+Pspv)</f>
        <v>4.4587977254203159E-2</v>
      </c>
      <c r="M20" s="836"/>
      <c r="N20" s="836"/>
      <c r="O20" s="48">
        <f>IF(t&lt;Tnet,'2030'!Resal+('2030'!Salim-'2030'!Resal)*(1-EXP(('2030'!Tnet-t)/('2030'!Tau_j))),Resal+(Salim-Resal)*(1-EXP((Tnet-t)/(Tau_j))))*Salcycl</f>
        <v>3.4433488214578464E-2</v>
      </c>
      <c r="P20" s="165">
        <f>(INDEX(Models!$BJ20:$BT20,,T20)*(1-R20)+INDEX(Models!$BJ20:$BT20,,T20+1)*R20-ERP_i)*Q20*Ramure*Pc/MaxiM</f>
        <v>5.340959660743794E-3</v>
      </c>
      <c r="Q20" s="301">
        <f t="shared" si="4"/>
        <v>0.5</v>
      </c>
      <c r="R20" s="173">
        <f t="shared" si="5"/>
        <v>0.96898857042953668</v>
      </c>
      <c r="S20" s="802">
        <f t="shared" si="6"/>
        <v>0</v>
      </c>
      <c r="T20" s="172">
        <f t="shared" si="7"/>
        <v>6</v>
      </c>
      <c r="U20" s="247">
        <f t="shared" si="8"/>
        <v>0.96898857042953668</v>
      </c>
      <c r="V20" s="378">
        <f t="shared" si="9"/>
        <v>17.312034099041878</v>
      </c>
      <c r="W20" s="397">
        <f t="shared" si="10"/>
        <v>0</v>
      </c>
      <c r="X20" s="153">
        <f t="shared" si="11"/>
        <v>47854</v>
      </c>
      <c r="Y20" s="380">
        <f t="shared" si="12"/>
        <v>0</v>
      </c>
      <c r="Z20" s="380">
        <f t="shared" si="22"/>
        <v>0</v>
      </c>
      <c r="AA20" s="381">
        <f t="shared" si="13"/>
        <v>0</v>
      </c>
      <c r="AB20" s="193">
        <f t="shared" si="14"/>
        <v>47854</v>
      </c>
      <c r="AC20" s="119">
        <f>IF(OR(t&lt;Tnet,NoTnet),'2030'!Resal_s+('2030'!Salim-'2030'!Resal_s)*(1-EXP(('2030'!Tnet_s-t)/'2030'!Tau_j)),Resal_s+(Salim-Resal_s)*(1-EXP((Tnet_s-t)/Tau_j)))*Salcycl</f>
        <v>5.6642024449223033E-2</v>
      </c>
      <c r="AD20" s="227">
        <f>(INDEX(Models!$BJ20:$BT20,,AH20)*(1-AF20)+INDEX(Models!$BJ20:$BT20,,AH20+1)*AF20-ERP_i)*AE20*Ramure*Pc/MaxiM</f>
        <v>2.7648722602149036E-2</v>
      </c>
      <c r="AE20" s="301">
        <f t="shared" si="15"/>
        <v>0.5</v>
      </c>
      <c r="AF20" s="173">
        <f t="shared" si="23"/>
        <v>0.49397613680351338</v>
      </c>
      <c r="AG20" s="802">
        <f t="shared" si="24"/>
        <v>4</v>
      </c>
      <c r="AH20" s="172">
        <f t="shared" si="16"/>
        <v>10</v>
      </c>
      <c r="AI20" s="221">
        <f t="shared" si="17"/>
        <v>4.4939761368035134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47855</v>
      </c>
      <c r="B21" s="406">
        <f>'2030'!Wh/'2030'!Env_an*'2031'!Env_an</f>
        <v>5.6559448957370364</v>
      </c>
      <c r="C21" s="832"/>
      <c r="D21" s="388">
        <f t="shared" si="0"/>
        <v>5.9199823607806854</v>
      </c>
      <c r="E21" s="380">
        <f t="shared" si="1"/>
        <v>6.131354998988872</v>
      </c>
      <c r="F21" s="380">
        <f t="shared" si="2"/>
        <v>6.132435938353721</v>
      </c>
      <c r="G21" s="110">
        <f t="shared" si="21"/>
        <v>0.32151490851948161</v>
      </c>
      <c r="H21" s="409" t="b">
        <f>Wh_hp&gt;='2030'!Maxi_hp</f>
        <v>0</v>
      </c>
      <c r="I21" s="385">
        <f>IF(H21,Wh_hp,'2030'!Maxi_hp)</f>
        <v>6.1641621547056991</v>
      </c>
      <c r="J21" s="85">
        <f>IF(H21,An,'2030'!An_max)</f>
        <v>2022</v>
      </c>
      <c r="K21" s="193">
        <f t="shared" si="3"/>
        <v>47855</v>
      </c>
      <c r="L21" s="143">
        <f>IF(t&lt;Tvie,1-EXP((T0-t)*PertePVj)+'2030'!Pspv,1-EXP((T0-t)*PertePVj)+Pspv)</f>
        <v>4.4601056042476106E-2</v>
      </c>
      <c r="M21" s="836"/>
      <c r="N21" s="836"/>
      <c r="O21" s="48">
        <f>IF(t&lt;Tnet,'2030'!Resal+('2030'!Salim-'2030'!Resal)*(1-EXP(('2030'!Tnet-t)/('2030'!Tau_j))),Resal+(Salim-Resal)*(1-EXP((Tnet-t)/(Tau_j))))*Salcycl</f>
        <v>3.4474049903005836E-2</v>
      </c>
      <c r="P21" s="165">
        <f>(INDEX(Models!$BJ21:$BT21,,T21)*(1-R21)+INDEX(Models!$BJ21:$BT21,,T21+1)*R21-ERP_i)*Q21*Ramure*Pc/MaxiM</f>
        <v>5.3232767810695242E-3</v>
      </c>
      <c r="Q21" s="301">
        <f t="shared" si="4"/>
        <v>0.5</v>
      </c>
      <c r="R21" s="173">
        <f t="shared" si="5"/>
        <v>0.96902442604059991</v>
      </c>
      <c r="S21" s="802">
        <f t="shared" si="6"/>
        <v>0</v>
      </c>
      <c r="T21" s="172">
        <f t="shared" si="7"/>
        <v>6</v>
      </c>
      <c r="U21" s="247">
        <f t="shared" si="8"/>
        <v>0.96902442604059991</v>
      </c>
      <c r="V21" s="378">
        <f t="shared" si="9"/>
        <v>17.500987993157633</v>
      </c>
      <c r="W21" s="397">
        <f t="shared" si="10"/>
        <v>5.6559448957370364</v>
      </c>
      <c r="X21" s="153">
        <f t="shared" si="11"/>
        <v>47855</v>
      </c>
      <c r="Y21" s="380">
        <f t="shared" si="12"/>
        <v>5.5219411769204561</v>
      </c>
      <c r="Z21" s="380">
        <f t="shared" si="22"/>
        <v>5.779722922915389</v>
      </c>
      <c r="AA21" s="381">
        <f t="shared" si="13"/>
        <v>6.1268820504682999</v>
      </c>
      <c r="AB21" s="193">
        <f t="shared" si="14"/>
        <v>47855</v>
      </c>
      <c r="AC21" s="119">
        <f>IF(OR(t&lt;Tnet,NoTnet),'2030'!Resal_s+('2030'!Salim-'2030'!Resal_s)*(1-EXP(('2030'!Tnet_s-t)/'2030'!Tau_j)),Resal_s+(Salim-Resal_s)*(1-EXP((Tnet_s-t)/Tau_j)))*Salcycl</f>
        <v>5.6661630612976605E-2</v>
      </c>
      <c r="AD21" s="227">
        <f>(INDEX(Models!$BJ21:$BT21,,AH21)*(1-AF21)+INDEX(Models!$BJ21:$BT21,,AH21+1)*AF21-ERP_i)*AE21*Ramure*Pc/MaxiM</f>
        <v>2.7351101631176752E-2</v>
      </c>
      <c r="AE21" s="301">
        <f t="shared" si="15"/>
        <v>0.5</v>
      </c>
      <c r="AF21" s="173">
        <f t="shared" si="23"/>
        <v>0.49401199241457672</v>
      </c>
      <c r="AG21" s="802">
        <f t="shared" si="24"/>
        <v>4</v>
      </c>
      <c r="AH21" s="172">
        <f t="shared" si="16"/>
        <v>10</v>
      </c>
      <c r="AI21" s="221">
        <f t="shared" si="17"/>
        <v>4.4940119924145767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47856</v>
      </c>
      <c r="B22" s="406">
        <f>'2030'!Wh/'2030'!Env_an*'2031'!Env_an</f>
        <v>7.388020330034176</v>
      </c>
      <c r="C22" s="832"/>
      <c r="D22" s="388">
        <f t="shared" si="0"/>
        <v>7.7330224341772658</v>
      </c>
      <c r="E22" s="380">
        <f t="shared" si="1"/>
        <v>8.0094660998908331</v>
      </c>
      <c r="F22" s="380">
        <f t="shared" si="2"/>
        <v>8.0166232407144467</v>
      </c>
      <c r="G22" s="110">
        <f t="shared" si="21"/>
        <v>0.41578486470242781</v>
      </c>
      <c r="H22" s="409" t="b">
        <f>Wh_hp&gt;='2030'!Maxi_hp</f>
        <v>0</v>
      </c>
      <c r="I22" s="385">
        <f>IF(H22,Wh_hp,'2030'!Maxi_hp)</f>
        <v>8.052237097122509</v>
      </c>
      <c r="J22" s="85">
        <f>IF(H22,An,'2030'!An_max)</f>
        <v>2022</v>
      </c>
      <c r="K22" s="193">
        <f t="shared" si="3"/>
        <v>47856</v>
      </c>
      <c r="L22" s="143">
        <f>IF(t&lt;Tvie,1-EXP((T0-t)*PertePVj)+'2030'!Pspv,1-EXP((T0-t)*PertePVj)+Pspv)</f>
        <v>4.4614134651711379E-2</v>
      </c>
      <c r="M22" s="836"/>
      <c r="N22" s="836"/>
      <c r="O22" s="48">
        <f>IF(t&lt;Tnet,'2030'!Resal+('2030'!Salim-'2030'!Resal)*(1-EXP(('2030'!Tnet-t)/('2030'!Tau_j))),Resal+(Salim-Resal)*(1-EXP((Tnet-t)/(Tau_j))))*Salcycl</f>
        <v>3.451461836105843E-2</v>
      </c>
      <c r="P22" s="165">
        <f>(INDEX(Models!$BJ22:$BT22,,T22)*(1-R22)+INDEX(Models!$BJ22:$BT22,,T22+1)*R22-ERP_i)*Q22*Ramure*Pc/MaxiM</f>
        <v>5.3127459915773383E-3</v>
      </c>
      <c r="Q22" s="301">
        <f t="shared" si="4"/>
        <v>0.5</v>
      </c>
      <c r="R22" s="173">
        <f t="shared" si="5"/>
        <v>0.96906178039659707</v>
      </c>
      <c r="S22" s="802">
        <f t="shared" si="6"/>
        <v>0</v>
      </c>
      <c r="T22" s="172">
        <f t="shared" si="7"/>
        <v>6</v>
      </c>
      <c r="U22" s="247">
        <f t="shared" si="8"/>
        <v>0.96906178039659707</v>
      </c>
      <c r="V22" s="378">
        <f t="shared" si="9"/>
        <v>17.690245680599698</v>
      </c>
      <c r="W22" s="397">
        <f t="shared" si="10"/>
        <v>7.388020330034176</v>
      </c>
      <c r="X22" s="153">
        <f t="shared" si="11"/>
        <v>47856</v>
      </c>
      <c r="Y22" s="380">
        <f t="shared" si="12"/>
        <v>7.1919914668217801</v>
      </c>
      <c r="Z22" s="380">
        <f t="shared" si="22"/>
        <v>7.5278395124674775</v>
      </c>
      <c r="AA22" s="381">
        <f t="shared" si="13"/>
        <v>7.9801656239078538</v>
      </c>
      <c r="AB22" s="193">
        <f t="shared" si="14"/>
        <v>47856</v>
      </c>
      <c r="AC22" s="119">
        <f>IF(OR(t&lt;Tnet,NoTnet),'2030'!Resal_s+('2030'!Salim-'2030'!Resal_s)*(1-EXP(('2030'!Tnet_s-t)/'2030'!Tau_j)),Resal_s+(Salim-Resal_s)*(1-EXP((Tnet_s-t)/Tau_j)))*Salcycl</f>
        <v>5.6681293692106817E-2</v>
      </c>
      <c r="AD22" s="227">
        <f>(INDEX(Models!$BJ22:$BT22,,AH22)*(1-AF22)+INDEX(Models!$BJ22:$BT22,,AH22+1)*AF22-ERP_i)*AE22*Ramure*Pc/MaxiM</f>
        <v>2.7062490780211883E-2</v>
      </c>
      <c r="AE22" s="301">
        <f t="shared" si="15"/>
        <v>0.5</v>
      </c>
      <c r="AF22" s="173">
        <f t="shared" si="23"/>
        <v>0.49404934677057355</v>
      </c>
      <c r="AG22" s="802">
        <f t="shared" si="24"/>
        <v>4</v>
      </c>
      <c r="AH22" s="172">
        <f t="shared" si="16"/>
        <v>10</v>
      </c>
      <c r="AI22" s="221">
        <f t="shared" si="17"/>
        <v>4.4940493467705735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47857</v>
      </c>
      <c r="B23" s="406">
        <f>'2030'!Wh/'2030'!Env_an*'2031'!Env_an</f>
        <v>2.2192421357789032</v>
      </c>
      <c r="C23" s="832"/>
      <c r="D23" s="388">
        <f t="shared" si="0"/>
        <v>2.3229070015045092</v>
      </c>
      <c r="E23" s="380">
        <f t="shared" si="1"/>
        <v>2.406048464588193</v>
      </c>
      <c r="F23" s="380">
        <f t="shared" si="2"/>
        <v>2.406048464588193</v>
      </c>
      <c r="G23" s="110">
        <f t="shared" si="21"/>
        <v>0.12344491147533206</v>
      </c>
      <c r="H23" s="409" t="b">
        <f>Wh_hp&gt;='2030'!Maxi_hp</f>
        <v>0</v>
      </c>
      <c r="I23" s="385">
        <f>IF(H23,Wh_hp,'2030'!Maxi_hp)</f>
        <v>2.4188853930491918</v>
      </c>
      <c r="J23" s="85">
        <f>IF(H23,An,'2030'!An_max)</f>
        <v>2022</v>
      </c>
      <c r="K23" s="193">
        <f t="shared" si="3"/>
        <v>47857</v>
      </c>
      <c r="L23" s="143">
        <f>IF(t&lt;Tvie,1-EXP((T0-t)*PertePVj)+'2030'!Pspv,1-EXP((T0-t)*PertePVj)+Pspv)</f>
        <v>4.4627213081911532E-2</v>
      </c>
      <c r="M23" s="836"/>
      <c r="N23" s="836"/>
      <c r="O23" s="48">
        <f>IF(t&lt;Tnet,'2030'!Resal+('2030'!Salim-'2030'!Resal)*(1-EXP(('2030'!Tnet-t)/('2030'!Tau_j))),Resal+(Salim-Resal)*(1-EXP((Tnet-t)/(Tau_j))))*Salcycl</f>
        <v>3.4555190515629948E-2</v>
      </c>
      <c r="P23" s="165">
        <f>(INDEX(Models!$BJ23:$BT23,,T23)*(1-R23)+INDEX(Models!$BJ23:$BT23,,T23+1)*R23-ERP_i)*Q23*Ramure*Pc/MaxiM</f>
        <v>5.3084309723316165E-3</v>
      </c>
      <c r="Q23" s="301">
        <f t="shared" si="4"/>
        <v>0.5</v>
      </c>
      <c r="R23" s="173">
        <f t="shared" si="5"/>
        <v>0.96910069590563219</v>
      </c>
      <c r="S23" s="802">
        <f t="shared" si="6"/>
        <v>0</v>
      </c>
      <c r="T23" s="172">
        <f t="shared" si="7"/>
        <v>6</v>
      </c>
      <c r="U23" s="247">
        <f t="shared" si="8"/>
        <v>0.96910069590563219</v>
      </c>
      <c r="V23" s="378">
        <f t="shared" si="9"/>
        <v>17.882158249441876</v>
      </c>
      <c r="W23" s="397">
        <f t="shared" si="10"/>
        <v>2.2192421357789032</v>
      </c>
      <c r="X23" s="153">
        <f t="shared" si="11"/>
        <v>47857</v>
      </c>
      <c r="Y23" s="380">
        <f t="shared" si="12"/>
        <v>2.1683361370976466</v>
      </c>
      <c r="Z23" s="380">
        <f t="shared" si="22"/>
        <v>2.2696230903670851</v>
      </c>
      <c r="AA23" s="381">
        <f t="shared" si="13"/>
        <v>2.406048464588193</v>
      </c>
      <c r="AB23" s="193">
        <f t="shared" si="14"/>
        <v>47857</v>
      </c>
      <c r="AC23" s="119">
        <f>IF(OR(t&lt;Tnet,NoTnet),'2030'!Resal_s+('2030'!Salim-'2030'!Resal_s)*(1-EXP(('2030'!Tnet_s-t)/'2030'!Tau_j)),Resal_s+(Salim-Resal_s)*(1-EXP((Tnet_s-t)/Tau_j)))*Salcycl</f>
        <v>5.670100840818184E-2</v>
      </c>
      <c r="AD23" s="227">
        <f>(INDEX(Models!$BJ23:$BT23,,AH23)*(1-AF23)+INDEX(Models!$BJ23:$BT23,,AH23+1)*AF23-ERP_i)*AE23*Ramure*Pc/MaxiM</f>
        <v>2.6779031880563259E-2</v>
      </c>
      <c r="AE23" s="301">
        <f t="shared" si="15"/>
        <v>0.5</v>
      </c>
      <c r="AF23" s="173">
        <f t="shared" si="23"/>
        <v>0.49408826227960922</v>
      </c>
      <c r="AG23" s="802">
        <f t="shared" si="24"/>
        <v>4</v>
      </c>
      <c r="AH23" s="172">
        <f t="shared" si="16"/>
        <v>10</v>
      </c>
      <c r="AI23" s="221">
        <f t="shared" si="17"/>
        <v>4.4940882622796092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47858</v>
      </c>
      <c r="B24" s="406">
        <f>'2030'!Wh/'2030'!Env_an*'2031'!Env_an</f>
        <v>1.8351310605641113</v>
      </c>
      <c r="C24" s="832"/>
      <c r="D24" s="388">
        <f t="shared" si="0"/>
        <v>1.9208796895200819</v>
      </c>
      <c r="E24" s="380">
        <f t="shared" si="1"/>
        <v>1.989715414596817</v>
      </c>
      <c r="F24" s="380">
        <f t="shared" si="2"/>
        <v>1.989715414596817</v>
      </c>
      <c r="G24" s="110">
        <f t="shared" si="21"/>
        <v>0.10096080623892079</v>
      </c>
      <c r="H24" s="409" t="b">
        <f>Wh_hp&gt;='2030'!Maxi_hp</f>
        <v>0</v>
      </c>
      <c r="I24" s="385">
        <f>IF(H24,Wh_hp,'2030'!Maxi_hp)</f>
        <v>2.0003417507562942</v>
      </c>
      <c r="J24" s="85">
        <f>IF(H24,An,'2030'!An_max)</f>
        <v>2022</v>
      </c>
      <c r="K24" s="193">
        <f t="shared" si="3"/>
        <v>47858</v>
      </c>
      <c r="L24" s="143">
        <f>IF(t&lt;Tvie,1-EXP((T0-t)*PertePVj)+'2030'!Pspv,1-EXP((T0-t)*PertePVj)+Pspv)</f>
        <v>4.4640291333078896E-2</v>
      </c>
      <c r="M24" s="836"/>
      <c r="N24" s="836"/>
      <c r="O24" s="48">
        <f>IF(t&lt;Tnet,'2030'!Resal+('2030'!Salim-'2030'!Resal)*(1-EXP(('2030'!Tnet-t)/('2030'!Tau_j))),Resal+(Salim-Resal)*(1-EXP((Tnet-t)/(Tau_j))))*Salcycl</f>
        <v>3.4595764083520129E-2</v>
      </c>
      <c r="P24" s="165">
        <f>(INDEX(Models!$BJ24:$BT24,,T24)*(1-R24)+INDEX(Models!$BJ24:$BT24,,T24+1)*R24-ERP_i)*Q24*Ramure*Pc/MaxiM</f>
        <v>5.3139416079594085E-3</v>
      </c>
      <c r="Q24" s="301">
        <f t="shared" si="4"/>
        <v>0.5</v>
      </c>
      <c r="R24" s="173">
        <f t="shared" si="5"/>
        <v>0.96914123755410175</v>
      </c>
      <c r="S24" s="802">
        <f t="shared" si="6"/>
        <v>0</v>
      </c>
      <c r="T24" s="172">
        <f t="shared" si="7"/>
        <v>6</v>
      </c>
      <c r="U24" s="247">
        <f t="shared" si="8"/>
        <v>0.96914123755410175</v>
      </c>
      <c r="V24" s="378">
        <f t="shared" si="9"/>
        <v>18.080078292417895</v>
      </c>
      <c r="W24" s="397">
        <f t="shared" si="10"/>
        <v>1.8351310605641113</v>
      </c>
      <c r="X24" s="153">
        <f t="shared" si="11"/>
        <v>47858</v>
      </c>
      <c r="Y24" s="380">
        <f t="shared" si="12"/>
        <v>1.7930737694080197</v>
      </c>
      <c r="Z24" s="380">
        <f t="shared" si="22"/>
        <v>1.8768572226162001</v>
      </c>
      <c r="AA24" s="381">
        <f t="shared" si="13"/>
        <v>1.989715414596817</v>
      </c>
      <c r="AB24" s="193">
        <f t="shared" si="14"/>
        <v>47858</v>
      </c>
      <c r="AC24" s="119">
        <f>IF(OR(t&lt;Tnet,NoTnet),'2030'!Resal_s+('2030'!Salim-'2030'!Resal_s)*(1-EXP(('2030'!Tnet_s-t)/'2030'!Tau_j)),Resal_s+(Salim-Resal_s)*(1-EXP((Tnet_s-t)/Tau_j)))*Salcycl</f>
        <v>5.6720770796001407E-2</v>
      </c>
      <c r="AD24" s="227">
        <f>(INDEX(Models!$BJ24:$BT24,,AH24)*(1-AF24)+INDEX(Models!$BJ24:$BT24,,AH24+1)*AF24-ERP_i)*AE24*Ramure*Pc/MaxiM</f>
        <v>2.6518061744191763E-2</v>
      </c>
      <c r="AE24" s="301">
        <f t="shared" si="15"/>
        <v>0.5</v>
      </c>
      <c r="AF24" s="173">
        <f t="shared" si="23"/>
        <v>0.49412880392807867</v>
      </c>
      <c r="AG24" s="802">
        <f t="shared" si="24"/>
        <v>4</v>
      </c>
      <c r="AH24" s="172">
        <f t="shared" si="16"/>
        <v>10</v>
      </c>
      <c r="AI24" s="221">
        <f t="shared" si="17"/>
        <v>4.4941288039280787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47859</v>
      </c>
      <c r="B25" s="406">
        <f>'2030'!Wh/'2030'!Env_an*'2031'!Env_an</f>
        <v>18.415200688863127</v>
      </c>
      <c r="C25" s="832"/>
      <c r="D25" s="388">
        <f t="shared" si="0"/>
        <v>19.275936188101809</v>
      </c>
      <c r="E25" s="380">
        <f t="shared" si="1"/>
        <v>19.967538594119191</v>
      </c>
      <c r="F25" s="380">
        <f t="shared" si="2"/>
        <v>20.074424837955931</v>
      </c>
      <c r="G25" s="110">
        <f t="shared" si="21"/>
        <v>1.0071655941106643</v>
      </c>
      <c r="H25" s="409" t="b">
        <f>Wh_hp&gt;='2030'!Maxi_hp</f>
        <v>1</v>
      </c>
      <c r="I25" s="385">
        <f>IF(H25,Wh_hp,'2030'!Maxi_hp)</f>
        <v>20.074424837955931</v>
      </c>
      <c r="J25" s="85">
        <f>IF(H25,An,'2030'!An_max)</f>
        <v>2031</v>
      </c>
      <c r="K25" s="193">
        <f t="shared" si="3"/>
        <v>47859</v>
      </c>
      <c r="L25" s="143">
        <f>IF(t&lt;Tvie,1-EXP((T0-t)*PertePVj)+'2030'!Pspv,1-EXP((T0-t)*PertePVj)+Pspv)</f>
        <v>4.4653369405216026E-2</v>
      </c>
      <c r="M25" s="836"/>
      <c r="N25" s="836"/>
      <c r="O25" s="48">
        <f>IF(t&lt;Tnet,'2030'!Resal+('2030'!Salim-'2030'!Resal)*(1-EXP(('2030'!Tnet-t)/('2030'!Tau_j))),Resal+(Salim-Resal)*(1-EXP((Tnet-t)/(Tau_j))))*Salcycl</f>
        <v>3.4636337511378221E-2</v>
      </c>
      <c r="P25" s="165">
        <f>(INDEX(Models!$BJ25:$BT25,,T25)*(1-R25)+INDEX(Models!$BJ25:$BT25,,T25+1)*R25-ERP_i)*Q25*Ramure*Pc/MaxiM</f>
        <v>5.3244984451383086E-3</v>
      </c>
      <c r="Q25" s="301">
        <f t="shared" si="4"/>
        <v>0.5</v>
      </c>
      <c r="R25" s="173">
        <f t="shared" si="5"/>
        <v>0.96918347301146779</v>
      </c>
      <c r="S25" s="802">
        <f t="shared" si="6"/>
        <v>0</v>
      </c>
      <c r="T25" s="172">
        <f t="shared" si="7"/>
        <v>6</v>
      </c>
      <c r="U25" s="247">
        <f t="shared" si="8"/>
        <v>0.96918347301146779</v>
      </c>
      <c r="V25" s="378">
        <f t="shared" si="9"/>
        <v>18.284183650181085</v>
      </c>
      <c r="W25" s="397">
        <f t="shared" si="10"/>
        <v>18.415200688863127</v>
      </c>
      <c r="X25" s="153">
        <f t="shared" si="11"/>
        <v>47859</v>
      </c>
      <c r="Y25" s="380">
        <f t="shared" si="12"/>
        <v>17.614408119967006</v>
      </c>
      <c r="Z25" s="380">
        <f t="shared" si="22"/>
        <v>18.43771418233877</v>
      </c>
      <c r="AA25" s="381">
        <f t="shared" si="13"/>
        <v>19.546811570876951</v>
      </c>
      <c r="AB25" s="193">
        <f t="shared" si="14"/>
        <v>47859</v>
      </c>
      <c r="AC25" s="119">
        <f>IF(OR(t&lt;Tnet,NoTnet),'2030'!Resal_s+('2030'!Salim-'2030'!Resal_s)*(1-EXP(('2030'!Tnet_s-t)/'2030'!Tau_j)),Resal_s+(Salim-Resal_s)*(1-EXP((Tnet_s-t)/Tau_j)))*Salcycl</f>
        <v>5.6740578099736802E-2</v>
      </c>
      <c r="AD25" s="227">
        <f>(INDEX(Models!$BJ25:$BT25,,AH25)*(1-AF25)+INDEX(Models!$BJ25:$BT25,,AH25+1)*AF25-ERP_i)*AE25*Ramure*Pc/MaxiM</f>
        <v>2.628285847978017E-2</v>
      </c>
      <c r="AE25" s="301">
        <f t="shared" si="15"/>
        <v>0.5</v>
      </c>
      <c r="AF25" s="173">
        <f t="shared" si="23"/>
        <v>0.49417103938544482</v>
      </c>
      <c r="AG25" s="802">
        <f t="shared" si="24"/>
        <v>4</v>
      </c>
      <c r="AH25" s="172">
        <f t="shared" si="16"/>
        <v>10</v>
      </c>
      <c r="AI25" s="221">
        <f t="shared" si="17"/>
        <v>4.4941710393854448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47860</v>
      </c>
      <c r="B26" s="406">
        <f>'2030'!Wh/'2030'!Env_an*'2031'!Env_an</f>
        <v>16.530498530949579</v>
      </c>
      <c r="C26" s="832"/>
      <c r="D26" s="388">
        <f t="shared" si="0"/>
        <v>17.303378997002124</v>
      </c>
      <c r="E26" s="380">
        <f t="shared" si="1"/>
        <v>17.924961263913783</v>
      </c>
      <c r="F26" s="380">
        <f t="shared" si="2"/>
        <v>18.006526657078563</v>
      </c>
      <c r="G26" s="110">
        <f t="shared" si="21"/>
        <v>0.89307537824594274</v>
      </c>
      <c r="H26" s="409" t="b">
        <f>Wh_hp&gt;='2030'!Maxi_hp</f>
        <v>0</v>
      </c>
      <c r="I26" s="385">
        <f>IF(H26,Wh_hp,'2030'!Maxi_hp)</f>
        <v>18.021186492350228</v>
      </c>
      <c r="J26" s="85">
        <f>IF(H26,An,'2030'!An_max)</f>
        <v>2022</v>
      </c>
      <c r="K26" s="193">
        <f t="shared" si="3"/>
        <v>47860</v>
      </c>
      <c r="L26" s="143">
        <f>IF(t&lt;Tvie,1-EXP((T0-t)*PertePVj)+'2030'!Pspv,1-EXP((T0-t)*PertePVj)+Pspv)</f>
        <v>4.4666447298325251E-2</v>
      </c>
      <c r="M26" s="836"/>
      <c r="N26" s="836"/>
      <c r="O26" s="48">
        <f>IF(t&lt;Tnet,'2030'!Resal+('2030'!Salim-'2030'!Resal)*(1-EXP(('2030'!Tnet-t)/('2030'!Tau_j))),Resal+(Salim-Resal)*(1-EXP((Tnet-t)/(Tau_j))))*Salcycl</f>
        <v>3.4676909911265222E-2</v>
      </c>
      <c r="P26" s="165">
        <f>(INDEX(Models!$BJ26:$BT26,,T26)*(1-R26)+INDEX(Models!$BJ26:$BT26,,T26+1)*R26-ERP_i)*Q26*Ramure*Pc/MaxiM</f>
        <v>5.3398839186689613E-3</v>
      </c>
      <c r="Q26" s="301">
        <f t="shared" si="4"/>
        <v>0.5</v>
      </c>
      <c r="R26" s="173">
        <f t="shared" si="5"/>
        <v>0.9692274727391389</v>
      </c>
      <c r="S26" s="802">
        <f t="shared" si="6"/>
        <v>0</v>
      </c>
      <c r="T26" s="172">
        <f t="shared" si="7"/>
        <v>6</v>
      </c>
      <c r="U26" s="247">
        <f t="shared" si="8"/>
        <v>0.9692274727391389</v>
      </c>
      <c r="V26" s="378">
        <f t="shared" si="9"/>
        <v>18.4945709856657</v>
      </c>
      <c r="W26" s="397">
        <f t="shared" si="10"/>
        <v>16.530498530949579</v>
      </c>
      <c r="X26" s="153">
        <f t="shared" si="11"/>
        <v>47860</v>
      </c>
      <c r="Y26" s="380">
        <f t="shared" si="12"/>
        <v>15.866963911246989</v>
      </c>
      <c r="Z26" s="380">
        <f t="shared" si="22"/>
        <v>16.608820936284879</v>
      </c>
      <c r="AA26" s="381">
        <f t="shared" si="13"/>
        <v>17.608274123542895</v>
      </c>
      <c r="AB26" s="193">
        <f t="shared" si="14"/>
        <v>47860</v>
      </c>
      <c r="AC26" s="119">
        <f>IF(OR(t&lt;Tnet,NoTnet),'2030'!Resal_s+('2030'!Salim-'2030'!Resal_s)*(1-EXP(('2030'!Tnet_s-t)/'2030'!Tau_j)),Resal_s+(Salim-Resal_s)*(1-EXP((Tnet_s-t)/Tau_j)))*Salcycl</f>
        <v>5.67604286624383E-2</v>
      </c>
      <c r="AD26" s="227">
        <f>(INDEX(Models!$BJ26:$BT26,,AH26)*(1-AF26)+INDEX(Models!$BJ26:$BT26,,AH26+1)*AF26-ERP_i)*AE26*Ramure*Pc/MaxiM</f>
        <v>2.6072605266550527E-2</v>
      </c>
      <c r="AE26" s="301">
        <f t="shared" si="15"/>
        <v>0.5</v>
      </c>
      <c r="AF26" s="173">
        <f t="shared" si="23"/>
        <v>0.49421503911311593</v>
      </c>
      <c r="AG26" s="802">
        <f t="shared" si="24"/>
        <v>4</v>
      </c>
      <c r="AH26" s="172">
        <f t="shared" si="16"/>
        <v>10</v>
      </c>
      <c r="AI26" s="221">
        <f t="shared" si="17"/>
        <v>4.4942150391131159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47861</v>
      </c>
      <c r="B27" s="406">
        <f>'2030'!Wh/'2030'!Env_an*'2031'!Env_an</f>
        <v>5.6161580811969785</v>
      </c>
      <c r="C27" s="832"/>
      <c r="D27" s="388">
        <f t="shared" si="0"/>
        <v>5.8788210116295581</v>
      </c>
      <c r="E27" s="380">
        <f t="shared" si="1"/>
        <v>6.0902594793438949</v>
      </c>
      <c r="F27" s="380">
        <f t="shared" si="2"/>
        <v>6.0902663504450336</v>
      </c>
      <c r="G27" s="110">
        <f t="shared" si="21"/>
        <v>0.29853892705309665</v>
      </c>
      <c r="H27" s="409" t="b">
        <f>Wh_hp&gt;='2030'!Maxi_hp</f>
        <v>0</v>
      </c>
      <c r="I27" s="385">
        <f>IF(H27,Wh_hp,'2030'!Maxi_hp)</f>
        <v>6.1230639003066996</v>
      </c>
      <c r="J27" s="85">
        <f>IF(H27,An,'2030'!An_max)</f>
        <v>2022</v>
      </c>
      <c r="K27" s="193">
        <f t="shared" si="3"/>
        <v>47861</v>
      </c>
      <c r="L27" s="143">
        <f>IF(t&lt;Tvie,1-EXP((T0-t)*PertePVj)+'2030'!Pspv,1-EXP((T0-t)*PertePVj)+Pspv)</f>
        <v>4.4679525012409238E-2</v>
      </c>
      <c r="M27" s="836"/>
      <c r="N27" s="836"/>
      <c r="O27" s="48">
        <f>IF(t&lt;Tnet,'2030'!Resal+('2030'!Salim-'2030'!Resal)*(1-EXP(('2030'!Tnet-t)/('2030'!Tau_j))),Resal+(Salim-Resal)*(1-EXP((Tnet-t)/(Tau_j))))*Salcycl</f>
        <v>3.4717480992634948E-2</v>
      </c>
      <c r="P27" s="165">
        <f>(INDEX(Models!$BJ27:$BT27,,T27)*(1-R27)+INDEX(Models!$BJ27:$BT27,,T27+1)*R27-ERP_i)*Q27*Ramure*Pc/MaxiM</f>
        <v>5.3598806371429374E-3</v>
      </c>
      <c r="Q27" s="301">
        <f t="shared" si="4"/>
        <v>0.5</v>
      </c>
      <c r="R27" s="173">
        <f t="shared" si="5"/>
        <v>0.96927331010360795</v>
      </c>
      <c r="S27" s="802">
        <f t="shared" si="6"/>
        <v>0</v>
      </c>
      <c r="T27" s="172">
        <f t="shared" si="7"/>
        <v>6</v>
      </c>
      <c r="U27" s="247">
        <f t="shared" si="8"/>
        <v>0.96927331010360795</v>
      </c>
      <c r="V27" s="378">
        <f t="shared" si="9"/>
        <v>18.71133691554413</v>
      </c>
      <c r="W27" s="397">
        <f t="shared" si="10"/>
        <v>5.6161580811969785</v>
      </c>
      <c r="X27" s="153">
        <f t="shared" si="11"/>
        <v>47861</v>
      </c>
      <c r="Y27" s="380">
        <f t="shared" si="12"/>
        <v>5.4877694621743407</v>
      </c>
      <c r="Z27" s="380">
        <f t="shared" si="22"/>
        <v>5.7444277662379468</v>
      </c>
      <c r="AA27" s="381">
        <f t="shared" si="13"/>
        <v>6.0902331652609387</v>
      </c>
      <c r="AB27" s="193">
        <f t="shared" si="14"/>
        <v>47861</v>
      </c>
      <c r="AC27" s="119">
        <f>IF(OR(t&lt;Tnet,NoTnet),'2030'!Resal_s+('2030'!Salim-'2030'!Resal_s)*(1-EXP(('2030'!Tnet_s-t)/'2030'!Tau_j)),Resal_s+(Salim-Resal_s)*(1-EXP((Tnet_s-t)/Tau_j)))*Salcycl</f>
        <v>5.6780321810252943E-2</v>
      </c>
      <c r="AD27" s="227">
        <f>(INDEX(Models!$BJ27:$BT27,,AH27)*(1-AF27)+INDEX(Models!$BJ27:$BT27,,AH27+1)*AF27-ERP_i)*AE27*Ramure*Pc/MaxiM</f>
        <v>2.5886480503306723E-2</v>
      </c>
      <c r="AE27" s="301">
        <f t="shared" si="15"/>
        <v>0.5</v>
      </c>
      <c r="AF27" s="173">
        <f t="shared" si="23"/>
        <v>0.49426087647758532</v>
      </c>
      <c r="AG27" s="802">
        <f t="shared" si="24"/>
        <v>4</v>
      </c>
      <c r="AH27" s="172">
        <f t="shared" si="16"/>
        <v>10</v>
      </c>
      <c r="AI27" s="221">
        <f t="shared" si="17"/>
        <v>4.4942608764775853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47862</v>
      </c>
      <c r="B28" s="406">
        <f>'2030'!Wh/'2030'!Env_an*'2031'!Env_an</f>
        <v>18.999743509989344</v>
      </c>
      <c r="C28" s="832"/>
      <c r="D28" s="388">
        <f t="shared" si="0"/>
        <v>19.888617591212007</v>
      </c>
      <c r="E28" s="380">
        <f t="shared" si="1"/>
        <v>20.604800290375589</v>
      </c>
      <c r="F28" s="380">
        <f t="shared" si="2"/>
        <v>20.716342707250174</v>
      </c>
      <c r="G28" s="110">
        <f t="shared" si="21"/>
        <v>1.0034416130426371</v>
      </c>
      <c r="H28" s="409" t="b">
        <f>Wh_hp&gt;='2030'!Maxi_hp</f>
        <v>1</v>
      </c>
      <c r="I28" s="385">
        <f>IF(H28,Wh_hp,'2030'!Maxi_hp)</f>
        <v>20.716342707250174</v>
      </c>
      <c r="J28" s="85">
        <f>IF(H28,An,'2030'!An_max)</f>
        <v>2031</v>
      </c>
      <c r="K28" s="193">
        <f t="shared" si="3"/>
        <v>47862</v>
      </c>
      <c r="L28" s="143">
        <f>IF(t&lt;Tvie,1-EXP((T0-t)*PertePVj)+'2030'!Pspv,1-EXP((T0-t)*PertePVj)+Pspv)</f>
        <v>4.4692602547470206E-2</v>
      </c>
      <c r="M28" s="836"/>
      <c r="N28" s="836"/>
      <c r="O28" s="48">
        <f>IF(t&lt;Tnet,'2030'!Resal+('2030'!Salim-'2030'!Resal)*(1-EXP(('2030'!Tnet-t)/('2030'!Tau_j))),Resal+(Salim-Resal)*(1-EXP((Tnet-t)/(Tau_j))))*Salcycl</f>
        <v>3.4758050991550146E-2</v>
      </c>
      <c r="P28" s="165">
        <f>(INDEX(Models!$BJ28:$BT28,,T28)*(1-R28)+INDEX(Models!$BJ28:$BT28,,T28+1)*R28-ERP_i)*Q28*Ramure*Pc/MaxiM</f>
        <v>5.3842716569631969E-3</v>
      </c>
      <c r="Q28" s="301">
        <f t="shared" si="4"/>
        <v>0.5</v>
      </c>
      <c r="R28" s="173">
        <f t="shared" si="5"/>
        <v>0.96932106149399744</v>
      </c>
      <c r="S28" s="802">
        <f t="shared" si="6"/>
        <v>0</v>
      </c>
      <c r="T28" s="172">
        <f t="shared" si="7"/>
        <v>6</v>
      </c>
      <c r="U28" s="247">
        <f t="shared" si="8"/>
        <v>0.96932106149399744</v>
      </c>
      <c r="V28" s="378">
        <f t="shared" si="9"/>
        <v>18.934578019321222</v>
      </c>
      <c r="W28" s="397">
        <f t="shared" si="10"/>
        <v>18.999743509989344</v>
      </c>
      <c r="X28" s="153">
        <f t="shared" si="11"/>
        <v>47862</v>
      </c>
      <c r="Y28" s="380">
        <f t="shared" si="12"/>
        <v>18.186203972299406</v>
      </c>
      <c r="Z28" s="380">
        <f t="shared" si="22"/>
        <v>19.03701784451334</v>
      </c>
      <c r="AA28" s="381">
        <f t="shared" si="13"/>
        <v>20.183442585291321</v>
      </c>
      <c r="AB28" s="193">
        <f t="shared" si="14"/>
        <v>47862</v>
      </c>
      <c r="AC28" s="119">
        <f>IF(OR(t&lt;Tnet,NoTnet),'2030'!Resal_s+('2030'!Salim-'2030'!Resal_s)*(1-EXP(('2030'!Tnet_s-t)/'2030'!Tau_j)),Resal_s+(Salim-Resal_s)*(1-EXP((Tnet_s-t)/Tau_j)))*Salcycl</f>
        <v>5.6800257732713924E-2</v>
      </c>
      <c r="AD28" s="227">
        <f>(INDEX(Models!$BJ28:$BT28,,AH28)*(1-AF28)+INDEX(Models!$BJ28:$BT28,,AH28+1)*AF28-ERP_i)*AE28*Ramure*Pc/MaxiM</f>
        <v>2.5723658344981613E-2</v>
      </c>
      <c r="AE28" s="301">
        <f t="shared" si="15"/>
        <v>0.5</v>
      </c>
      <c r="AF28" s="173">
        <f t="shared" si="23"/>
        <v>0.49430862786797469</v>
      </c>
      <c r="AG28" s="802">
        <f t="shared" si="24"/>
        <v>4</v>
      </c>
      <c r="AH28" s="172">
        <f t="shared" si="16"/>
        <v>10</v>
      </c>
      <c r="AI28" s="221">
        <f t="shared" si="17"/>
        <v>4.4943086278679747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47863</v>
      </c>
      <c r="B29" s="406">
        <f>'2030'!Wh/'2030'!Env_an*'2031'!Env_an</f>
        <v>19.548817611524242</v>
      </c>
      <c r="C29" s="832"/>
      <c r="D29" s="388">
        <f t="shared" si="0"/>
        <v>20.463659419172217</v>
      </c>
      <c r="E29" s="380">
        <f t="shared" si="1"/>
        <v>21.201440296168879</v>
      </c>
      <c r="F29" s="380">
        <f t="shared" si="2"/>
        <v>21.316824874836076</v>
      </c>
      <c r="G29" s="110">
        <f t="shared" si="21"/>
        <v>1.020059431011934</v>
      </c>
      <c r="H29" s="409" t="b">
        <f>Wh_hp&gt;='2030'!Maxi_hp</f>
        <v>1</v>
      </c>
      <c r="I29" s="385">
        <f>IF(H29,Wh_hp,'2030'!Maxi_hp)</f>
        <v>21.316824874836076</v>
      </c>
      <c r="J29" s="85">
        <f>IF(H29,An,'2030'!An_max)</f>
        <v>2031</v>
      </c>
      <c r="K29" s="193">
        <f t="shared" si="3"/>
        <v>47863</v>
      </c>
      <c r="L29" s="143">
        <f>IF(t&lt;Tvie,1-EXP((T0-t)*PertePVj)+'2030'!Pspv,1-EXP((T0-t)*PertePVj)+Pspv)</f>
        <v>4.4705679903510709E-2</v>
      </c>
      <c r="M29" s="836"/>
      <c r="N29" s="836"/>
      <c r="O29" s="48">
        <f>IF(t&lt;Tnet,'2030'!Resal+('2030'!Salim-'2030'!Resal)*(1-EXP(('2030'!Tnet-t)/('2030'!Tau_j))),Resal+(Salim-Resal)*(1-EXP((Tnet-t)/(Tau_j))))*Salcycl</f>
        <v>3.4798620597959143E-2</v>
      </c>
      <c r="P29" s="165">
        <f>(INDEX(Models!$BJ29:$BT29,,T29)*(1-R29)+INDEX(Models!$BJ29:$BT29,,T29+1)*R29-ERP_i)*Q29*Ramure*Pc/MaxiM</f>
        <v>5.4128407652025423E-3</v>
      </c>
      <c r="Q29" s="301">
        <f t="shared" si="4"/>
        <v>0.5</v>
      </c>
      <c r="R29" s="173">
        <f t="shared" si="5"/>
        <v>0.96937080644416973</v>
      </c>
      <c r="S29" s="802">
        <f t="shared" si="6"/>
        <v>0</v>
      </c>
      <c r="T29" s="172">
        <f t="shared" si="7"/>
        <v>6</v>
      </c>
      <c r="U29" s="247">
        <f t="shared" si="8"/>
        <v>0.96937080644416973</v>
      </c>
      <c r="V29" s="378">
        <f t="shared" si="9"/>
        <v>19.164390835670368</v>
      </c>
      <c r="W29" s="397">
        <f t="shared" si="10"/>
        <v>19.548817611524242</v>
      </c>
      <c r="X29" s="153">
        <f t="shared" si="11"/>
        <v>47863</v>
      </c>
      <c r="Y29" s="380">
        <f t="shared" si="12"/>
        <v>18.715390834710792</v>
      </c>
      <c r="Z29" s="380">
        <f t="shared" si="22"/>
        <v>19.591230096312568</v>
      </c>
      <c r="AA29" s="381">
        <f t="shared" si="13"/>
        <v>20.771469949149047</v>
      </c>
      <c r="AB29" s="193">
        <f t="shared" si="14"/>
        <v>47863</v>
      </c>
      <c r="AC29" s="119">
        <f>IF(OR(t&lt;Tnet,NoTnet),'2030'!Resal_s+('2030'!Salim-'2030'!Resal_s)*(1-EXP(('2030'!Tnet_s-t)/'2030'!Tau_j)),Resal_s+(Salim-Resal_s)*(1-EXP((Tnet_s-t)/Tau_j)))*Salcycl</f>
        <v>5.6820237360468061E-2</v>
      </c>
      <c r="AD29" s="227">
        <f>(INDEX(Models!$BJ29:$BT29,,AH29)*(1-AF29)+INDEX(Models!$BJ29:$BT29,,AH29+1)*AF29-ERP_i)*AE29*Ramure*Pc/MaxiM</f>
        <v>2.5583309376004035E-2</v>
      </c>
      <c r="AE29" s="301">
        <f t="shared" si="15"/>
        <v>0.5</v>
      </c>
      <c r="AF29" s="173">
        <f t="shared" si="23"/>
        <v>0.4943583728181471</v>
      </c>
      <c r="AG29" s="802">
        <f t="shared" si="24"/>
        <v>4</v>
      </c>
      <c r="AH29" s="172">
        <f t="shared" si="16"/>
        <v>10</v>
      </c>
      <c r="AI29" s="221">
        <f t="shared" si="17"/>
        <v>4.4943583728181471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47864</v>
      </c>
      <c r="B30" s="406">
        <f>'2030'!Wh/'2030'!Env_an*'2031'!Env_an</f>
        <v>19.280784697914658</v>
      </c>
      <c r="C30" s="832"/>
      <c r="D30" s="388">
        <f t="shared" si="0"/>
        <v>20.183359446051732</v>
      </c>
      <c r="E30" s="380">
        <f t="shared" si="1"/>
        <v>20.911913595510669</v>
      </c>
      <c r="F30" s="380">
        <f t="shared" si="2"/>
        <v>21.025224651810206</v>
      </c>
      <c r="G30" s="110">
        <f t="shared" si="21"/>
        <v>0.99375418081426292</v>
      </c>
      <c r="H30" s="409" t="b">
        <f>Wh_hp&gt;='2030'!Maxi_hp</f>
        <v>0</v>
      </c>
      <c r="I30" s="385">
        <f>IF(H30,Wh_hp,'2030'!Maxi_hp)</f>
        <v>21.026241804609086</v>
      </c>
      <c r="J30" s="85">
        <f>IF(H30,An,'2030'!An_max)</f>
        <v>2022</v>
      </c>
      <c r="K30" s="193">
        <f t="shared" si="3"/>
        <v>47864</v>
      </c>
      <c r="L30" s="143">
        <f>IF(t&lt;Tvie,1-EXP((T0-t)*PertePVj)+'2030'!Pspv,1-EXP((T0-t)*PertePVj)+Pspv)</f>
        <v>4.4718757080533189E-2</v>
      </c>
      <c r="M30" s="836"/>
      <c r="N30" s="836"/>
      <c r="O30" s="48">
        <f>IF(t&lt;Tnet,'2030'!Resal+('2030'!Salim-'2030'!Resal)*(1-EXP(('2030'!Tnet-t)/('2030'!Tau_j))),Resal+(Salim-Resal)*(1-EXP((Tnet-t)/(Tau_j))))*Salcycl</f>
        <v>3.4839190881858925E-2</v>
      </c>
      <c r="P30" s="165">
        <f>(INDEX(Models!$BJ30:$BT30,,T30)*(1-R30)+INDEX(Models!$BJ30:$BT30,,T30+1)*R30-ERP_i)*Q30*Ramure*Pc/MaxiM</f>
        <v>5.4374334930291923E-3</v>
      </c>
      <c r="Q30" s="301">
        <f t="shared" si="4"/>
        <v>0.5</v>
      </c>
      <c r="R30" s="173">
        <f t="shared" si="5"/>
        <v>0.969422627759563</v>
      </c>
      <c r="S30" s="802">
        <f t="shared" si="6"/>
        <v>0</v>
      </c>
      <c r="T30" s="172">
        <f t="shared" si="7"/>
        <v>6</v>
      </c>
      <c r="U30" s="247">
        <f t="shared" si="8"/>
        <v>0.969422627759563</v>
      </c>
      <c r="V30" s="378">
        <f t="shared" si="9"/>
        <v>19.401026750522643</v>
      </c>
      <c r="W30" s="397">
        <f t="shared" si="10"/>
        <v>19.280784697914658</v>
      </c>
      <c r="X30" s="153">
        <f t="shared" si="11"/>
        <v>47864</v>
      </c>
      <c r="Y30" s="380">
        <f t="shared" si="12"/>
        <v>18.4653133195443</v>
      </c>
      <c r="Z30" s="380">
        <f t="shared" si="22"/>
        <v>19.329714109231166</v>
      </c>
      <c r="AA30" s="381">
        <f t="shared" si="13"/>
        <v>20.494634509289003</v>
      </c>
      <c r="AB30" s="193">
        <f t="shared" si="14"/>
        <v>47864</v>
      </c>
      <c r="AC30" s="119">
        <f>IF(OR(t&lt;Tnet,NoTnet),'2030'!Resal_s+('2030'!Salim-'2030'!Resal_s)*(1-EXP(('2030'!Tnet_s-t)/'2030'!Tau_j)),Resal_s+(Salim-Resal_s)*(1-EXP((Tnet_s-t)/Tau_j)))*Salcycl</f>
        <v>5.6840262241800291E-2</v>
      </c>
      <c r="AD30" s="227">
        <f>(INDEX(Models!$BJ30:$BT30,,AH30)*(1-AF30)+INDEX(Models!$BJ30:$BT30,,AH30+1)*AF30-ERP_i)*AE30*Ramure*Pc/MaxiM</f>
        <v>2.5461316011293367E-2</v>
      </c>
      <c r="AE30" s="301">
        <f t="shared" si="15"/>
        <v>0.5</v>
      </c>
      <c r="AF30" s="173">
        <f t="shared" si="23"/>
        <v>0.4944101941335397</v>
      </c>
      <c r="AG30" s="802">
        <f t="shared" si="24"/>
        <v>4</v>
      </c>
      <c r="AH30" s="172">
        <f t="shared" si="16"/>
        <v>10</v>
      </c>
      <c r="AI30" s="221">
        <f t="shared" si="17"/>
        <v>4.4944101941335397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47865</v>
      </c>
      <c r="B31" s="406">
        <f>'2030'!Wh/'2030'!Env_an*'2031'!Env_an</f>
        <v>12.937812016540507</v>
      </c>
      <c r="C31" s="832"/>
      <c r="D31" s="388">
        <f t="shared" si="0"/>
        <v>13.543644055238229</v>
      </c>
      <c r="E31" s="380">
        <f t="shared" si="1"/>
        <v>14.033115811987445</v>
      </c>
      <c r="F31" s="380">
        <f t="shared" si="2"/>
        <v>14.072448615654849</v>
      </c>
      <c r="G31" s="110">
        <f t="shared" si="21"/>
        <v>0.65683558286790666</v>
      </c>
      <c r="H31" s="409" t="b">
        <f>Wh_hp&gt;='2030'!Maxi_hp</f>
        <v>0</v>
      </c>
      <c r="I31" s="385">
        <f>IF(H31,Wh_hp,'2030'!Maxi_hp)</f>
        <v>14.110078337543527</v>
      </c>
      <c r="J31" s="85">
        <f>IF(H31,An,'2030'!An_max)</f>
        <v>2022</v>
      </c>
      <c r="K31" s="193">
        <f t="shared" si="3"/>
        <v>47865</v>
      </c>
      <c r="L31" s="143">
        <f>IF(t&lt;Tvie,1-EXP((T0-t)*PertePVj)+'2030'!Pspv,1-EXP((T0-t)*PertePVj)+Pspv)</f>
        <v>4.4731834078540089E-2</v>
      </c>
      <c r="M31" s="836"/>
      <c r="N31" s="836"/>
      <c r="O31" s="48">
        <f>IF(t&lt;Tnet,'2030'!Resal+('2030'!Salim-'2030'!Resal)*(1-EXP(('2030'!Tnet-t)/('2030'!Tau_j))),Resal+(Salim-Resal)*(1-EXP((Tnet-t)/(Tau_j))))*Salcycl</f>
        <v>3.4879763219163071E-2</v>
      </c>
      <c r="P31" s="165">
        <f>(INDEX(Models!$BJ31:$BT31,,T31)*(1-R31)+INDEX(Models!$BJ31:$BT31,,T31+1)*R31-ERP_i)*Q31*Ramure*Pc/MaxiM</f>
        <v>5.4560884069850338E-3</v>
      </c>
      <c r="Q31" s="301">
        <f t="shared" si="4"/>
        <v>0.5</v>
      </c>
      <c r="R31" s="173">
        <f t="shared" si="5"/>
        <v>0.96947661164891719</v>
      </c>
      <c r="S31" s="802">
        <f t="shared" si="6"/>
        <v>0</v>
      </c>
      <c r="T31" s="172">
        <f t="shared" si="7"/>
        <v>6</v>
      </c>
      <c r="U31" s="247">
        <f t="shared" si="8"/>
        <v>0.96947661164891719</v>
      </c>
      <c r="V31" s="378">
        <f t="shared" si="9"/>
        <v>19.644622609599384</v>
      </c>
      <c r="W31" s="397">
        <f t="shared" si="10"/>
        <v>12.937812016540507</v>
      </c>
      <c r="X31" s="153">
        <f t="shared" si="11"/>
        <v>47865</v>
      </c>
      <c r="Y31" s="380">
        <f t="shared" si="12"/>
        <v>12.513940261496835</v>
      </c>
      <c r="Z31" s="380">
        <f t="shared" si="22"/>
        <v>13.0999238830761</v>
      </c>
      <c r="AA31" s="381">
        <f t="shared" si="13"/>
        <v>13.889696681360808</v>
      </c>
      <c r="AB31" s="193">
        <f t="shared" si="14"/>
        <v>47865</v>
      </c>
      <c r="AC31" s="119">
        <f>IF(OR(t&lt;Tnet,NoTnet),'2030'!Resal_s+('2030'!Salim-'2030'!Resal_s)*(1-EXP(('2030'!Tnet_s-t)/'2030'!Tau_j)),Resal_s+(Salim-Resal_s)*(1-EXP((Tnet_s-t)/Tau_j)))*Salcycl</f>
        <v>5.6860334419292155E-2</v>
      </c>
      <c r="AD31" s="227">
        <f>(INDEX(Models!$BJ31:$BT31,,AH31)*(1-AF31)+INDEX(Models!$BJ31:$BT31,,AH31+1)*AF31-ERP_i)*AE31*Ramure*Pc/MaxiM</f>
        <v>2.5350613663020289E-2</v>
      </c>
      <c r="AE31" s="301">
        <f t="shared" si="15"/>
        <v>0.5</v>
      </c>
      <c r="AF31" s="173">
        <f t="shared" si="23"/>
        <v>0.494464178022894</v>
      </c>
      <c r="AG31" s="802">
        <f t="shared" si="24"/>
        <v>4</v>
      </c>
      <c r="AH31" s="172">
        <f t="shared" si="16"/>
        <v>10</v>
      </c>
      <c r="AI31" s="221">
        <f t="shared" si="17"/>
        <v>4.494464178022894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47866</v>
      </c>
      <c r="B32" s="406">
        <f>'2030'!Wh/'2030'!Env_an*'2031'!Env_an</f>
        <v>4.1044512817563463</v>
      </c>
      <c r="C32" s="832"/>
      <c r="D32" s="388">
        <f t="shared" si="0"/>
        <v>4.296707056135955</v>
      </c>
      <c r="E32" s="380">
        <f t="shared" si="1"/>
        <v>4.4521786446672147</v>
      </c>
      <c r="F32" s="380">
        <f t="shared" si="2"/>
        <v>4.4521786446672147</v>
      </c>
      <c r="G32" s="110">
        <f t="shared" si="21"/>
        <v>0.20517455496054743</v>
      </c>
      <c r="H32" s="409" t="b">
        <f>Wh_hp&gt;='2030'!Maxi_hp</f>
        <v>0</v>
      </c>
      <c r="I32" s="385">
        <f>IF(H32,Wh_hp,'2030'!Maxi_hp)</f>
        <v>4.4766449642017561</v>
      </c>
      <c r="J32" s="85">
        <f>IF(H32,An,'2030'!An_max)</f>
        <v>2022</v>
      </c>
      <c r="K32" s="193">
        <f t="shared" si="3"/>
        <v>47866</v>
      </c>
      <c r="L32" s="143">
        <f>IF(t&lt;Tvie,1-EXP((T0-t)*PertePVj)+'2030'!Pspv,1-EXP((T0-t)*PertePVj)+Pspv)</f>
        <v>4.4744910897533963E-2</v>
      </c>
      <c r="M32" s="836"/>
      <c r="N32" s="836"/>
      <c r="O32" s="48">
        <f>IF(t&lt;Tnet,'2030'!Resal+('2030'!Salim-'2030'!Resal)*(1-EXP(('2030'!Tnet-t)/('2030'!Tau_j))),Resal+(Salim-Resal)*(1-EXP((Tnet-t)/(Tau_j))))*Salcycl</f>
        <v>3.4920339218077474E-2</v>
      </c>
      <c r="P32" s="165">
        <f>(INDEX(Models!$BJ32:$BT32,,T32)*(1-R32)+INDEX(Models!$BJ32:$BT32,,T32+1)*R32-ERP_i)*Q32*Ramure*Pc/MaxiM</f>
        <v>5.4689686256378404E-3</v>
      </c>
      <c r="Q32" s="301">
        <f t="shared" si="4"/>
        <v>0.5</v>
      </c>
      <c r="R32" s="173">
        <f t="shared" si="5"/>
        <v>0.96953284786105887</v>
      </c>
      <c r="S32" s="802">
        <f t="shared" si="6"/>
        <v>0</v>
      </c>
      <c r="T32" s="172">
        <f t="shared" si="7"/>
        <v>6</v>
      </c>
      <c r="U32" s="247">
        <f t="shared" si="8"/>
        <v>0.96953284786105887</v>
      </c>
      <c r="V32" s="378">
        <f t="shared" si="9"/>
        <v>19.895274866105503</v>
      </c>
      <c r="W32" s="397">
        <f t="shared" si="10"/>
        <v>4.1044512817563463</v>
      </c>
      <c r="X32" s="153">
        <f t="shared" si="11"/>
        <v>47866</v>
      </c>
      <c r="Y32" s="380">
        <f t="shared" si="12"/>
        <v>4.0110556436554576</v>
      </c>
      <c r="Z32" s="380">
        <f t="shared" si="22"/>
        <v>4.1989366917941737</v>
      </c>
      <c r="AA32" s="381">
        <f t="shared" si="13"/>
        <v>4.4521786446672147</v>
      </c>
      <c r="AB32" s="193">
        <f t="shared" si="14"/>
        <v>47866</v>
      </c>
      <c r="AC32" s="119">
        <f>IF(OR(t&lt;Tnet,NoTnet),'2030'!Resal_s+('2030'!Salim-'2030'!Resal_s)*(1-EXP(('2030'!Tnet_s-t)/'2030'!Tau_j)),Resal_s+(Salim-Resal_s)*(1-EXP((Tnet_s-t)/Tau_j)))*Salcycl</f>
        <v>5.6880456307918402E-2</v>
      </c>
      <c r="AD32" s="227">
        <f>(INDEX(Models!$BJ32:$BT32,,AH32)*(1-AF32)+INDEX(Models!$BJ32:$BT32,,AH32+1)*AF32-ERP_i)*AE32*Ramure*Pc/MaxiM</f>
        <v>2.5250733346223214E-2</v>
      </c>
      <c r="AE32" s="301">
        <f t="shared" si="15"/>
        <v>0.5</v>
      </c>
      <c r="AF32" s="173">
        <f t="shared" si="23"/>
        <v>0.49452041423503612</v>
      </c>
      <c r="AG32" s="802">
        <f t="shared" si="24"/>
        <v>4</v>
      </c>
      <c r="AH32" s="172">
        <f t="shared" si="16"/>
        <v>10</v>
      </c>
      <c r="AI32" s="221">
        <f t="shared" si="17"/>
        <v>4.4945204142350361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47867</v>
      </c>
      <c r="B33" s="406">
        <f>'2030'!Wh/'2030'!Env_an*'2031'!Env_an</f>
        <v>10.377886435036521</v>
      </c>
      <c r="C33" s="832"/>
      <c r="D33" s="388">
        <f t="shared" si="0"/>
        <v>10.864143640713364</v>
      </c>
      <c r="E33" s="380">
        <f t="shared" si="1"/>
        <v>11.257724037449815</v>
      </c>
      <c r="F33" s="380">
        <f t="shared" si="2"/>
        <v>11.276687135678587</v>
      </c>
      <c r="G33" s="110">
        <f t="shared" si="21"/>
        <v>0.51299553123415642</v>
      </c>
      <c r="H33" s="409" t="b">
        <f>Wh_hp&gt;='2030'!Maxi_hp</f>
        <v>0</v>
      </c>
      <c r="I33" s="385">
        <f>IF(H33,Wh_hp,'2030'!Maxi_hp)</f>
        <v>11.319682789711347</v>
      </c>
      <c r="J33" s="85">
        <f>IF(H33,An,'2030'!An_max)</f>
        <v>2022</v>
      </c>
      <c r="K33" s="193">
        <f t="shared" si="3"/>
        <v>47867</v>
      </c>
      <c r="L33" s="143">
        <f>IF(t&lt;Tvie,1-EXP((T0-t)*PertePVj)+'2030'!Pspv,1-EXP((T0-t)*PertePVj)+Pspv)</f>
        <v>4.475798753751703E-2</v>
      </c>
      <c r="M33" s="836"/>
      <c r="N33" s="836"/>
      <c r="O33" s="48">
        <f>IF(t&lt;Tnet,'2030'!Resal+('2030'!Salim-'2030'!Resal)*(1-EXP(('2030'!Tnet-t)/('2030'!Tau_j))),Resal+(Salim-Resal)*(1-EXP((Tnet-t)/(Tau_j))))*Salcycl</f>
        <v>3.4960920646764128E-2</v>
      </c>
      <c r="P33" s="165">
        <f>(INDEX(Models!$BJ33:$BT33,,T33)*(1-R33)+INDEX(Models!$BJ33:$BT33,,T33+1)*R33-ERP_i)*Q33*Ramure*Pc/MaxiM</f>
        <v>5.4762409360064497E-3</v>
      </c>
      <c r="Q33" s="301">
        <f t="shared" si="4"/>
        <v>0.5</v>
      </c>
      <c r="R33" s="173">
        <f t="shared" si="5"/>
        <v>0.9695914298269197</v>
      </c>
      <c r="S33" s="802">
        <f t="shared" si="6"/>
        <v>0</v>
      </c>
      <c r="T33" s="172">
        <f t="shared" si="7"/>
        <v>6</v>
      </c>
      <c r="U33" s="247">
        <f t="shared" si="8"/>
        <v>0.9695914298269197</v>
      </c>
      <c r="V33" s="378">
        <f t="shared" si="9"/>
        <v>20.153079944000087</v>
      </c>
      <c r="W33" s="397">
        <f t="shared" si="10"/>
        <v>10.377886435036521</v>
      </c>
      <c r="X33" s="153">
        <f t="shared" si="11"/>
        <v>47867</v>
      </c>
      <c r="Y33" s="380">
        <f t="shared" si="12"/>
        <v>10.080541024288891</v>
      </c>
      <c r="Z33" s="380">
        <f t="shared" si="22"/>
        <v>10.552866072444445</v>
      </c>
      <c r="AA33" s="381">
        <f t="shared" si="13"/>
        <v>11.189559037546417</v>
      </c>
      <c r="AB33" s="193">
        <f t="shared" si="14"/>
        <v>47867</v>
      </c>
      <c r="AC33" s="119">
        <f>IF(OR(t&lt;Tnet,NoTnet),'2030'!Resal_s+('2030'!Salim-'2030'!Resal_s)*(1-EXP(('2030'!Tnet_s-t)/'2030'!Tau_j)),Resal_s+(Salim-Resal_s)*(1-EXP((Tnet_s-t)/Tau_j)))*Salcycl</f>
        <v>5.6900630575839307E-2</v>
      </c>
      <c r="AD33" s="227">
        <f>(INDEX(Models!$BJ33:$BT33,,AH33)*(1-AF33)+INDEX(Models!$BJ33:$BT33,,AH33+1)*AF33-ERP_i)*AE33*Ramure*Pc/MaxiM</f>
        <v>2.5161207937205946E-2</v>
      </c>
      <c r="AE33" s="301">
        <f t="shared" si="15"/>
        <v>0.5</v>
      </c>
      <c r="AF33" s="173">
        <f t="shared" si="23"/>
        <v>0.49457899620089663</v>
      </c>
      <c r="AG33" s="802">
        <f t="shared" si="24"/>
        <v>4</v>
      </c>
      <c r="AH33" s="172">
        <f t="shared" si="16"/>
        <v>10</v>
      </c>
      <c r="AI33" s="221">
        <f t="shared" si="17"/>
        <v>4.4945789962008966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47868</v>
      </c>
      <c r="B34" s="406">
        <f>'2030'!Wh/'2030'!Env_an*'2031'!Env_an</f>
        <v>6.0072412823207699</v>
      </c>
      <c r="C34" s="832"/>
      <c r="D34" s="388">
        <f t="shared" si="0"/>
        <v>6.2887974347453044</v>
      </c>
      <c r="E34" s="380">
        <f t="shared" si="1"/>
        <v>6.5168987265403047</v>
      </c>
      <c r="F34" s="380">
        <f t="shared" si="2"/>
        <v>6.5168987265403047</v>
      </c>
      <c r="G34" s="110">
        <f t="shared" si="21"/>
        <v>0.29259936733868813</v>
      </c>
      <c r="H34" s="409" t="b">
        <f>Wh_hp&gt;='2030'!Maxi_hp</f>
        <v>0</v>
      </c>
      <c r="I34" s="385">
        <f>IF(H34,Wh_hp,'2030'!Maxi_hp)</f>
        <v>6.552768311666</v>
      </c>
      <c r="J34" s="85">
        <f>IF(H34,An,'2030'!An_max)</f>
        <v>2022</v>
      </c>
      <c r="K34" s="193">
        <f t="shared" si="3"/>
        <v>47868</v>
      </c>
      <c r="L34" s="143">
        <f>IF(t&lt;Tvie,1-EXP((T0-t)*PertePVj)+'2030'!Pspv,1-EXP((T0-t)*PertePVj)+Pspv)</f>
        <v>4.4771063998491956E-2</v>
      </c>
      <c r="M34" s="836"/>
      <c r="N34" s="836"/>
      <c r="O34" s="48">
        <f>IF(t&lt;Tnet,'2030'!Resal+('2030'!Salim-'2030'!Resal)*(1-EXP(('2030'!Tnet-t)/('2030'!Tau_j))),Resal+(Salim-Resal)*(1-EXP((Tnet-t)/(Tau_j))))*Salcycl</f>
        <v>3.5001509363042416E-2</v>
      </c>
      <c r="P34" s="165">
        <f>(INDEX(Models!$BJ34:$BT34,,T34)*(1-R34)+INDEX(Models!$BJ34:$BT34,,T34+1)*R34-ERP_i)*Q34*Ramure*Pc/MaxiM</f>
        <v>5.4781008667361452E-3</v>
      </c>
      <c r="Q34" s="301">
        <f t="shared" si="4"/>
        <v>0.5</v>
      </c>
      <c r="R34" s="173">
        <f t="shared" si="5"/>
        <v>0.96965245480696238</v>
      </c>
      <c r="S34" s="802">
        <f t="shared" si="6"/>
        <v>0</v>
      </c>
      <c r="T34" s="172">
        <f t="shared" si="7"/>
        <v>6</v>
      </c>
      <c r="U34" s="247">
        <f t="shared" si="8"/>
        <v>0.96965245480696238</v>
      </c>
      <c r="V34" s="378">
        <f t="shared" si="9"/>
        <v>20.41813371978353</v>
      </c>
      <c r="W34" s="397">
        <f t="shared" si="10"/>
        <v>6.0072412823207699</v>
      </c>
      <c r="X34" s="153">
        <f t="shared" si="11"/>
        <v>47868</v>
      </c>
      <c r="Y34" s="380">
        <f t="shared" si="12"/>
        <v>5.8707904697233015</v>
      </c>
      <c r="Z34" s="380">
        <f t="shared" si="22"/>
        <v>6.1459512463031514</v>
      </c>
      <c r="AA34" s="381">
        <f t="shared" si="13"/>
        <v>6.5168987265403047</v>
      </c>
      <c r="AB34" s="193">
        <f t="shared" si="14"/>
        <v>47868</v>
      </c>
      <c r="AC34" s="119">
        <f>IF(OR(t&lt;Tnet,NoTnet),'2030'!Resal_s+('2030'!Salim-'2030'!Resal_s)*(1-EXP(('2030'!Tnet_s-t)/'2030'!Tau_j)),Resal_s+(Salim-Resal_s)*(1-EXP((Tnet_s-t)/Tau_j)))*Salcycl</f>
        <v>5.6920860029089644E-2</v>
      </c>
      <c r="AD34" s="227">
        <f>(INDEX(Models!$BJ34:$BT34,,AH34)*(1-AF34)+INDEX(Models!$BJ34:$BT34,,AH34+1)*AF34-ERP_i)*AE34*Ramure*Pc/MaxiM</f>
        <v>2.5081689881166762E-2</v>
      </c>
      <c r="AE34" s="301">
        <f t="shared" si="15"/>
        <v>0.5</v>
      </c>
      <c r="AF34" s="173">
        <f t="shared" si="23"/>
        <v>0.49464002118093919</v>
      </c>
      <c r="AG34" s="802">
        <f t="shared" si="24"/>
        <v>4</v>
      </c>
      <c r="AH34" s="172">
        <f t="shared" si="16"/>
        <v>10</v>
      </c>
      <c r="AI34" s="221">
        <f t="shared" si="17"/>
        <v>4.4946400211809392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47869</v>
      </c>
      <c r="B35" s="406">
        <f>'2030'!Wh/'2030'!Env_an*'2031'!Env_an</f>
        <v>16.91017073078233</v>
      </c>
      <c r="C35" s="832"/>
      <c r="D35" s="388">
        <f t="shared" si="0"/>
        <v>17.702983633193995</v>
      </c>
      <c r="E35" s="380">
        <f t="shared" si="1"/>
        <v>18.345861271402132</v>
      </c>
      <c r="F35" s="380">
        <f t="shared" si="2"/>
        <v>18.420385919447536</v>
      </c>
      <c r="G35" s="110">
        <f t="shared" si="21"/>
        <v>0.81611764876290438</v>
      </c>
      <c r="H35" s="409" t="b">
        <f>Wh_hp&gt;='2030'!Maxi_hp</f>
        <v>0</v>
      </c>
      <c r="I35" s="385">
        <f>IF(H35,Wh_hp,'2030'!Maxi_hp)</f>
        <v>18.44683212449177</v>
      </c>
      <c r="J35" s="85">
        <f>IF(H35,An,'2030'!An_max)</f>
        <v>2022</v>
      </c>
      <c r="K35" s="193">
        <f t="shared" si="3"/>
        <v>47869</v>
      </c>
      <c r="L35" s="143">
        <f>IF(t&lt;Tvie,1-EXP((T0-t)*PertePVj)+'2030'!Pspv,1-EXP((T0-t)*PertePVj)+Pspv)</f>
        <v>4.4784140280461071E-2</v>
      </c>
      <c r="M35" s="836"/>
      <c r="N35" s="836"/>
      <c r="O35" s="48">
        <f>IF(t&lt;Tnet,'2030'!Resal+('2030'!Salim-'2030'!Resal)*(1-EXP(('2030'!Tnet-t)/('2030'!Tau_j))),Resal+(Salim-Resal)*(1-EXP((Tnet-t)/(Tau_j))))*Salcycl</f>
        <v>3.5042107246840766E-2</v>
      </c>
      <c r="P35" s="165">
        <f>(INDEX(Models!$BJ35:$BT35,,T35)*(1-R35)+INDEX(Models!$BJ35:$BT35,,T35+1)*R35-ERP_i)*Q35*Ramure*Pc/MaxiM</f>
        <v>5.4747579372726148E-3</v>
      </c>
      <c r="Q35" s="301">
        <f t="shared" si="4"/>
        <v>0.5</v>
      </c>
      <c r="R35" s="173">
        <f t="shared" si="5"/>
        <v>0.96971602404419854</v>
      </c>
      <c r="S35" s="802">
        <f t="shared" si="6"/>
        <v>0</v>
      </c>
      <c r="T35" s="172">
        <f t="shared" si="7"/>
        <v>6</v>
      </c>
      <c r="U35" s="247">
        <f t="shared" si="8"/>
        <v>0.96971602404419854</v>
      </c>
      <c r="V35" s="378">
        <f t="shared" si="9"/>
        <v>20.69053177390041</v>
      </c>
      <c r="W35" s="397">
        <f t="shared" si="10"/>
        <v>16.91017073078233</v>
      </c>
      <c r="X35" s="153">
        <f t="shared" si="11"/>
        <v>47869</v>
      </c>
      <c r="Y35" s="380">
        <f t="shared" si="12"/>
        <v>16.286834315701828</v>
      </c>
      <c r="Z35" s="380">
        <f t="shared" si="22"/>
        <v>17.050422844197548</v>
      </c>
      <c r="AA35" s="381">
        <f t="shared" si="13"/>
        <v>18.079913887687081</v>
      </c>
      <c r="AB35" s="193">
        <f t="shared" si="14"/>
        <v>47869</v>
      </c>
      <c r="AC35" s="119">
        <f>IF(OR(t&lt;Tnet,NoTnet),'2030'!Resal_s+('2030'!Salim-'2030'!Resal_s)*(1-EXP(('2030'!Tnet_s-t)/'2030'!Tau_j)),Resal_s+(Salim-Resal_s)*(1-EXP((Tnet_s-t)/Tau_j)))*Salcycl</f>
        <v>5.6941147501296634E-2</v>
      </c>
      <c r="AD35" s="227">
        <f>(INDEX(Models!$BJ35:$BT35,,AH35)*(1-AF35)+INDEX(Models!$BJ35:$BT35,,AH35+1)*AF35-ERP_i)*AE35*Ramure*Pc/MaxiM</f>
        <v>2.5011885425668276E-2</v>
      </c>
      <c r="AE35" s="301">
        <f t="shared" si="15"/>
        <v>0.5</v>
      </c>
      <c r="AF35" s="173">
        <f t="shared" si="23"/>
        <v>0.49470359041817513</v>
      </c>
      <c r="AG35" s="802">
        <f t="shared" si="24"/>
        <v>4</v>
      </c>
      <c r="AH35" s="172">
        <f t="shared" si="16"/>
        <v>10</v>
      </c>
      <c r="AI35" s="221">
        <f t="shared" si="17"/>
        <v>4.4947035904181751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47870</v>
      </c>
      <c r="B36" s="406">
        <f>'2030'!Wh/'2030'!Env_an*'2031'!Env_an</f>
        <v>20.854445824321591</v>
      </c>
      <c r="C36" s="832"/>
      <c r="D36" s="388">
        <f t="shared" si="0"/>
        <v>21.83248016234085</v>
      </c>
      <c r="E36" s="380">
        <f t="shared" si="1"/>
        <v>22.626271212506907</v>
      </c>
      <c r="F36" s="380">
        <f t="shared" si="2"/>
        <v>22.749647884147258</v>
      </c>
      <c r="G36" s="110">
        <f t="shared" si="21"/>
        <v>0.99442883426486051</v>
      </c>
      <c r="H36" s="409" t="b">
        <f>Wh_hp&gt;='2030'!Maxi_hp</f>
        <v>0</v>
      </c>
      <c r="I36" s="385">
        <f>IF(H36,Wh_hp,'2030'!Maxi_hp)</f>
        <v>22.750634528837967</v>
      </c>
      <c r="J36" s="85">
        <f>IF(H36,An,'2030'!An_max)</f>
        <v>2022</v>
      </c>
      <c r="K36" s="193">
        <f t="shared" si="3"/>
        <v>47870</v>
      </c>
      <c r="L36" s="143">
        <f>IF(t&lt;Tvie,1-EXP((T0-t)*PertePVj)+'2030'!Pspv,1-EXP((T0-t)*PertePVj)+Pspv)</f>
        <v>4.479721638342693E-2</v>
      </c>
      <c r="M36" s="836"/>
      <c r="N36" s="836"/>
      <c r="O36" s="48">
        <f>IF(t&lt;Tnet,'2030'!Resal+('2030'!Salim-'2030'!Resal)*(1-EXP(('2030'!Tnet-t)/('2030'!Tau_j))),Resal+(Salim-Resal)*(1-EXP((Tnet-t)/(Tau_j))))*Salcycl</f>
        <v>3.5082716136067511E-2</v>
      </c>
      <c r="P36" s="165">
        <f>(INDEX(Models!$BJ36:$BT36,,T36)*(1-R36)+INDEX(Models!$BJ36:$BT36,,T36+1)*R36-ERP_i)*Q36*Ramure*Pc/MaxiM</f>
        <v>5.4664033186414837E-3</v>
      </c>
      <c r="Q36" s="301">
        <f t="shared" si="4"/>
        <v>0.5</v>
      </c>
      <c r="R36" s="173">
        <f t="shared" si="5"/>
        <v>0.96978224292298065</v>
      </c>
      <c r="S36" s="802">
        <f t="shared" si="6"/>
        <v>0</v>
      </c>
      <c r="T36" s="172">
        <f t="shared" si="7"/>
        <v>6</v>
      </c>
      <c r="U36" s="247">
        <f t="shared" si="8"/>
        <v>0.96978224292298065</v>
      </c>
      <c r="V36" s="378">
        <f t="shared" si="9"/>
        <v>20.970370057351872</v>
      </c>
      <c r="W36" s="397">
        <f t="shared" si="10"/>
        <v>20.854445824321591</v>
      </c>
      <c r="X36" s="153">
        <f t="shared" si="11"/>
        <v>47870</v>
      </c>
      <c r="Y36" s="380">
        <f t="shared" si="12"/>
        <v>19.985439277907386</v>
      </c>
      <c r="Z36" s="380">
        <f t="shared" si="22"/>
        <v>20.922718841164642</v>
      </c>
      <c r="AA36" s="381">
        <f t="shared" si="13"/>
        <v>22.186494768623493</v>
      </c>
      <c r="AB36" s="193">
        <f t="shared" si="14"/>
        <v>47870</v>
      </c>
      <c r="AC36" s="119">
        <f>IF(OR(t&lt;Tnet,NoTnet),'2030'!Resal_s+('2030'!Salim-'2030'!Resal_s)*(1-EXP(('2030'!Tnet_s-t)/'2030'!Tau_j)),Resal_s+(Salim-Resal_s)*(1-EXP((Tnet_s-t)/Tau_j)))*Salcycl</f>
        <v>5.6961495749482047E-2</v>
      </c>
      <c r="AD36" s="227">
        <f>(INDEX(Models!$BJ36:$BT36,,AH36)*(1-AF36)+INDEX(Models!$BJ36:$BT36,,AH36+1)*AF36-ERP_i)*AE36*Ramure*Pc/MaxiM</f>
        <v>2.4951411143398161E-2</v>
      </c>
      <c r="AE36" s="301">
        <f t="shared" si="15"/>
        <v>0.5</v>
      </c>
      <c r="AF36" s="173">
        <f t="shared" si="23"/>
        <v>0.49476980929695724</v>
      </c>
      <c r="AG36" s="802">
        <f t="shared" si="24"/>
        <v>4</v>
      </c>
      <c r="AH36" s="172">
        <f t="shared" si="16"/>
        <v>10</v>
      </c>
      <c r="AI36" s="221">
        <f t="shared" si="17"/>
        <v>4.4947698092969572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47871</v>
      </c>
      <c r="B37" s="406">
        <f>'2030'!Wh/'2030'!Env_an*'2031'!Env_an</f>
        <v>20.923491324411888</v>
      </c>
      <c r="C37" s="832"/>
      <c r="D37" s="388">
        <f t="shared" si="0"/>
        <v>21.905063628622479</v>
      </c>
      <c r="E37" s="380">
        <f t="shared" si="1"/>
        <v>22.702449428009821</v>
      </c>
      <c r="F37" s="380">
        <f t="shared" si="2"/>
        <v>22.82409469381647</v>
      </c>
      <c r="G37" s="110">
        <f t="shared" si="21"/>
        <v>0.98407475909597819</v>
      </c>
      <c r="H37" s="409" t="b">
        <f>Wh_hp&gt;='2030'!Maxi_hp</f>
        <v>0</v>
      </c>
      <c r="I37" s="385">
        <f>IF(H37,Wh_hp,'2030'!Maxi_hp)</f>
        <v>22.826917337644495</v>
      </c>
      <c r="J37" s="85">
        <f>IF(H37,An,'2030'!An_max)</f>
        <v>2022</v>
      </c>
      <c r="K37" s="193">
        <f t="shared" si="3"/>
        <v>47871</v>
      </c>
      <c r="L37" s="143">
        <f>IF(t&lt;Tvie,1-EXP((T0-t)*PertePVj)+'2030'!Pspv,1-EXP((T0-t)*PertePVj)+Pspv)</f>
        <v>4.4810292307391864E-2</v>
      </c>
      <c r="M37" s="836"/>
      <c r="N37" s="836"/>
      <c r="O37" s="48">
        <f>IF(t&lt;Tnet,'2030'!Resal+('2030'!Salim-'2030'!Resal)*(1-EXP(('2030'!Tnet-t)/('2030'!Tau_j))),Resal+(Salim-Resal)*(1-EXP((Tnet-t)/(Tau_j))))*Salcycl</f>
        <v>3.5123337766520657E-2</v>
      </c>
      <c r="P37" s="165">
        <f>(INDEX(Models!$BJ37:$BT37,,T37)*(1-R37)+INDEX(Models!$BJ37:$BT37,,T37+1)*R37-ERP_i)*Q37*Ramure*Pc/MaxiM</f>
        <v>5.4527903554489028E-3</v>
      </c>
      <c r="Q37" s="301">
        <f t="shared" si="4"/>
        <v>0.5</v>
      </c>
      <c r="R37" s="173">
        <f t="shared" si="5"/>
        <v>0.96985122113375799</v>
      </c>
      <c r="S37" s="802">
        <f t="shared" si="6"/>
        <v>0</v>
      </c>
      <c r="T37" s="172">
        <f t="shared" si="7"/>
        <v>6</v>
      </c>
      <c r="U37" s="247">
        <f t="shared" si="8"/>
        <v>0.96985122113375799</v>
      </c>
      <c r="V37" s="378">
        <f t="shared" si="9"/>
        <v>21.259463840264051</v>
      </c>
      <c r="W37" s="397">
        <f t="shared" si="10"/>
        <v>20.923491324411888</v>
      </c>
      <c r="X37" s="153">
        <f t="shared" si="11"/>
        <v>47871</v>
      </c>
      <c r="Y37" s="380">
        <f t="shared" si="12"/>
        <v>20.058737654660209</v>
      </c>
      <c r="Z37" s="380">
        <f t="shared" si="22"/>
        <v>20.999742242946528</v>
      </c>
      <c r="AA37" s="381">
        <f t="shared" si="13"/>
        <v>22.268652538880367</v>
      </c>
      <c r="AB37" s="193">
        <f t="shared" si="14"/>
        <v>47871</v>
      </c>
      <c r="AC37" s="119">
        <f>IF(OR(t&lt;Tnet,NoTnet),'2030'!Resal_s+('2030'!Salim-'2030'!Resal_s)*(1-EXP(('2030'!Tnet_s-t)/'2030'!Tau_j)),Resal_s+(Salim-Resal_s)*(1-EXP((Tnet_s-t)/Tau_j)))*Salcycl</f>
        <v>5.6981907356916162E-2</v>
      </c>
      <c r="AD37" s="227">
        <f>(INDEX(Models!$BJ37:$BT37,,AH37)*(1-AF37)+INDEX(Models!$BJ37:$BT37,,AH37+1)*AF37-ERP_i)*AE37*Ramure*Pc/MaxiM</f>
        <v>2.4897883245694346E-2</v>
      </c>
      <c r="AE37" s="301">
        <f t="shared" si="15"/>
        <v>0.5</v>
      </c>
      <c r="AF37" s="173">
        <f t="shared" si="23"/>
        <v>0.49483878750773513</v>
      </c>
      <c r="AG37" s="802">
        <f t="shared" si="24"/>
        <v>4</v>
      </c>
      <c r="AH37" s="172">
        <f t="shared" si="16"/>
        <v>10</v>
      </c>
      <c r="AI37" s="221">
        <f t="shared" si="17"/>
        <v>4.4948387875077351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47872</v>
      </c>
      <c r="B38" s="406">
        <f>'2030'!Wh/'2030'!Env_an*'2031'!Env_an</f>
        <v>21.442829509193405</v>
      </c>
      <c r="C38" s="832"/>
      <c r="D38" s="388">
        <f t="shared" si="0"/>
        <v>22.449072550561311</v>
      </c>
      <c r="E38" s="380">
        <f t="shared" si="1"/>
        <v>23.267241208883672</v>
      </c>
      <c r="F38" s="380">
        <f t="shared" si="2"/>
        <v>23.392849421237976</v>
      </c>
      <c r="G38" s="110">
        <f t="shared" si="21"/>
        <v>0.99454903915037485</v>
      </c>
      <c r="H38" s="409" t="b">
        <f>Wh_hp&gt;='2030'!Maxi_hp</f>
        <v>0</v>
      </c>
      <c r="I38" s="385">
        <f>IF(H38,Wh_hp,'2030'!Maxi_hp)</f>
        <v>23.393832011186525</v>
      </c>
      <c r="J38" s="85">
        <f>IF(H38,An,'2030'!An_max)</f>
        <v>2022</v>
      </c>
      <c r="K38" s="193">
        <f t="shared" si="3"/>
        <v>47872</v>
      </c>
      <c r="L38" s="143">
        <f>IF(t&lt;Tvie,1-EXP((T0-t)*PertePVj)+'2030'!Pspv,1-EXP((T0-t)*PertePVj)+Pspv)</f>
        <v>4.4823368052358425E-2</v>
      </c>
      <c r="M38" s="836"/>
      <c r="N38" s="836"/>
      <c r="O38" s="48">
        <f>IF(t&lt;Tnet,'2030'!Resal+('2030'!Salim-'2030'!Resal)*(1-EXP(('2030'!Tnet-t)/('2030'!Tau_j))),Resal+(Salim-Resal)*(1-EXP((Tnet-t)/(Tau_j))))*Salcycl</f>
        <v>3.5163973716401516E-2</v>
      </c>
      <c r="P38" s="165">
        <f>(INDEX(Models!$BJ38:$BT38,,T38)*(1-R38)+INDEX(Models!$BJ38:$BT38,,T38+1)*R38-ERP_i)*Q38*Ramure*Pc/MaxiM</f>
        <v>5.4113283861629852E-3</v>
      </c>
      <c r="Q38" s="301">
        <f t="shared" si="4"/>
        <v>0.5</v>
      </c>
      <c r="R38" s="173">
        <f t="shared" si="5"/>
        <v>0.96992307284398749</v>
      </c>
      <c r="S38" s="802">
        <f t="shared" si="6"/>
        <v>0</v>
      </c>
      <c r="T38" s="172">
        <f t="shared" si="7"/>
        <v>6</v>
      </c>
      <c r="U38" s="247">
        <f t="shared" si="8"/>
        <v>0.96992307284398749</v>
      </c>
      <c r="V38" s="378">
        <f t="shared" si="9"/>
        <v>21.559447737061543</v>
      </c>
      <c r="W38" s="397">
        <f t="shared" si="10"/>
        <v>21.442829509193405</v>
      </c>
      <c r="X38" s="153">
        <f t="shared" si="11"/>
        <v>47872</v>
      </c>
      <c r="Y38" s="380">
        <f t="shared" si="12"/>
        <v>20.552232158515238</v>
      </c>
      <c r="Z38" s="380">
        <f t="shared" si="22"/>
        <v>21.516682329851864</v>
      </c>
      <c r="AA38" s="381">
        <f t="shared" si="13"/>
        <v>22.817324221680632</v>
      </c>
      <c r="AB38" s="193">
        <f t="shared" si="14"/>
        <v>47872</v>
      </c>
      <c r="AC38" s="119">
        <f>IF(OR(t&lt;Tnet,NoTnet),'2030'!Resal_s+('2030'!Salim-'2030'!Resal_s)*(1-EXP(('2030'!Tnet_s-t)/'2030'!Tau_j)),Resal_s+(Salim-Resal_s)*(1-EXP((Tnet_s-t)/Tau_j)))*Salcycl</f>
        <v>5.7002384643897785E-2</v>
      </c>
      <c r="AD38" s="227">
        <f>(INDEX(Models!$BJ38:$BT38,,AH38)*(1-AF38)+INDEX(Models!$BJ38:$BT38,,AH38+1)*AF38-ERP_i)*AE38*Ramure*Pc/MaxiM</f>
        <v>2.4794205656968434E-2</v>
      </c>
      <c r="AE38" s="301">
        <f t="shared" si="15"/>
        <v>0.5</v>
      </c>
      <c r="AF38" s="173">
        <f t="shared" si="23"/>
        <v>0.49491063921796474</v>
      </c>
      <c r="AG38" s="802">
        <f t="shared" si="24"/>
        <v>4</v>
      </c>
      <c r="AH38" s="172">
        <f t="shared" si="16"/>
        <v>10</v>
      </c>
      <c r="AI38" s="221">
        <f t="shared" si="17"/>
        <v>4.4949106392179647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47873</v>
      </c>
      <c r="B39" s="406">
        <f>'2030'!Wh/'2030'!Env_an*'2031'!Env_an</f>
        <v>20.081900465060905</v>
      </c>
      <c r="C39" s="832"/>
      <c r="D39" s="388">
        <f t="shared" si="0"/>
        <v>21.024567291003759</v>
      </c>
      <c r="E39" s="380">
        <f t="shared" si="1"/>
        <v>21.791737236261373</v>
      </c>
      <c r="F39" s="380">
        <f t="shared" si="2"/>
        <v>21.894993357555553</v>
      </c>
      <c r="G39" s="110">
        <f t="shared" si="21"/>
        <v>0.91768530561527817</v>
      </c>
      <c r="H39" s="409" t="b">
        <f>Wh_hp&gt;='2030'!Maxi_hp</f>
        <v>0</v>
      </c>
      <c r="I39" s="385">
        <f>IF(H39,Wh_hp,'2030'!Maxi_hp)</f>
        <v>21.908704752489474</v>
      </c>
      <c r="J39" s="85">
        <f>IF(H39,An,'2030'!An_max)</f>
        <v>2022</v>
      </c>
      <c r="K39" s="193">
        <f t="shared" si="3"/>
        <v>47873</v>
      </c>
      <c r="L39" s="143">
        <f>IF(t&lt;Tvie,1-EXP((T0-t)*PertePVj)+'2030'!Pspv,1-EXP((T0-t)*PertePVj)+Pspv)</f>
        <v>4.4836443618328947E-2</v>
      </c>
      <c r="M39" s="836"/>
      <c r="N39" s="836"/>
      <c r="O39" s="48">
        <f>IF(t&lt;Tnet,'2030'!Resal+('2030'!Salim-'2030'!Resal)*(1-EXP(('2030'!Tnet-t)/('2030'!Tau_j))),Resal+(Salim-Resal)*(1-EXP((Tnet-t)/(Tau_j))))*Salcycl</f>
        <v>3.5204625355937498E-2</v>
      </c>
      <c r="P39" s="165">
        <f>(INDEX(Models!$BJ39:$BT39,,T39)*(1-R39)+INDEX(Models!$BJ39:$BT39,,T39+1)*R39-ERP_i)*Q39*Ramure*Pc/MaxiM</f>
        <v>5.3394619464476765E-3</v>
      </c>
      <c r="Q39" s="301">
        <f t="shared" si="4"/>
        <v>0.5</v>
      </c>
      <c r="R39" s="173">
        <f t="shared" si="5"/>
        <v>0.96999791687539572</v>
      </c>
      <c r="S39" s="802">
        <f t="shared" si="6"/>
        <v>0</v>
      </c>
      <c r="T39" s="172">
        <f t="shared" si="7"/>
        <v>6</v>
      </c>
      <c r="U39" s="247">
        <f t="shared" si="8"/>
        <v>0.96999791687539572</v>
      </c>
      <c r="V39" s="378">
        <f t="shared" si="9"/>
        <v>21.869501561545508</v>
      </c>
      <c r="W39" s="397">
        <f t="shared" si="10"/>
        <v>20.081900465060905</v>
      </c>
      <c r="X39" s="153">
        <f t="shared" si="11"/>
        <v>47873</v>
      </c>
      <c r="Y39" s="380">
        <f t="shared" si="12"/>
        <v>19.291843303421103</v>
      </c>
      <c r="Z39" s="380">
        <f t="shared" si="22"/>
        <v>20.197423964228729</v>
      </c>
      <c r="AA39" s="381">
        <f t="shared" si="13"/>
        <v>21.418785883507994</v>
      </c>
      <c r="AB39" s="193">
        <f t="shared" si="14"/>
        <v>47873</v>
      </c>
      <c r="AC39" s="119">
        <f>IF(OR(t&lt;Tnet,NoTnet),'2030'!Resal_s+('2030'!Salim-'2030'!Resal_s)*(1-EXP(('2030'!Tnet_s-t)/'2030'!Tau_j)),Resal_s+(Salim-Resal_s)*(1-EXP((Tnet_s-t)/Tau_j)))*Salcycl</f>
        <v>5.7022929587231506E-2</v>
      </c>
      <c r="AD39" s="227">
        <f>(INDEX(Models!$BJ39:$BT39,,AH39)*(1-AF39)+INDEX(Models!$BJ39:$BT39,,AH39+1)*AF39-ERP_i)*AE39*Ramure*Pc/MaxiM</f>
        <v>2.4625093935561396E-2</v>
      </c>
      <c r="AE39" s="301">
        <f t="shared" si="15"/>
        <v>0.5</v>
      </c>
      <c r="AF39" s="173">
        <f t="shared" si="23"/>
        <v>0.49498548324937275</v>
      </c>
      <c r="AG39" s="802">
        <f t="shared" si="24"/>
        <v>4</v>
      </c>
      <c r="AH39" s="172">
        <f t="shared" si="16"/>
        <v>10</v>
      </c>
      <c r="AI39" s="221">
        <f t="shared" si="17"/>
        <v>4.4949854832493727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47874</v>
      </c>
      <c r="B40" s="406">
        <f>'2030'!Wh/'2030'!Env_an*'2031'!Env_an</f>
        <v>21.610861436578194</v>
      </c>
      <c r="C40" s="832"/>
      <c r="D40" s="388">
        <f t="shared" si="0"/>
        <v>22.625609122944308</v>
      </c>
      <c r="E40" s="380">
        <f t="shared" si="1"/>
        <v>23.452188393174659</v>
      </c>
      <c r="F40" s="380">
        <f t="shared" si="2"/>
        <v>23.571077846431432</v>
      </c>
      <c r="G40" s="110">
        <f t="shared" si="21"/>
        <v>0.9737664148389914</v>
      </c>
      <c r="H40" s="409" t="b">
        <f>Wh_hp&gt;='2030'!Maxi_hp</f>
        <v>0</v>
      </c>
      <c r="I40" s="385">
        <f>IF(H40,Wh_hp,'2030'!Maxi_hp)</f>
        <v>23.575691488486939</v>
      </c>
      <c r="J40" s="85">
        <f>IF(H40,An,'2030'!An_max)</f>
        <v>2022</v>
      </c>
      <c r="K40" s="193">
        <f t="shared" si="3"/>
        <v>47874</v>
      </c>
      <c r="L40" s="143">
        <f>IF(t&lt;Tvie,1-EXP((T0-t)*PertePVj)+'2030'!Pspv,1-EXP((T0-t)*PertePVj)+Pspv)</f>
        <v>4.4849519005305982E-2</v>
      </c>
      <c r="M40" s="836"/>
      <c r="N40" s="836"/>
      <c r="O40" s="48">
        <f>IF(t&lt;Tnet,'2030'!Resal+('2030'!Salim-'2030'!Resal)*(1-EXP(('2030'!Tnet-t)/('2030'!Tau_j))),Resal+(Salim-Resal)*(1-EXP((Tnet-t)/(Tau_j))))*Salcycl</f>
        <v>3.5245293802556643E-2</v>
      </c>
      <c r="P40" s="165">
        <f>(INDEX(Models!$BJ40:$BT40,,T40)*(1-R40)+INDEX(Models!$BJ40:$BT40,,T40+1)*R40-ERP_i)*Q40*Ramure*Pc/MaxiM</f>
        <v>5.2387733237806338E-3</v>
      </c>
      <c r="Q40" s="301">
        <f t="shared" si="4"/>
        <v>0.5</v>
      </c>
      <c r="R40" s="173">
        <f t="shared" si="5"/>
        <v>0.9700758768877884</v>
      </c>
      <c r="S40" s="802">
        <f t="shared" si="6"/>
        <v>0</v>
      </c>
      <c r="T40" s="172">
        <f t="shared" si="7"/>
        <v>6</v>
      </c>
      <c r="U40" s="247">
        <f t="shared" si="8"/>
        <v>0.9700758768877884</v>
      </c>
      <c r="V40" s="378">
        <f t="shared" si="9"/>
        <v>22.188717670628701</v>
      </c>
      <c r="W40" s="397">
        <f t="shared" si="10"/>
        <v>21.610861436578194</v>
      </c>
      <c r="X40" s="153">
        <f t="shared" si="11"/>
        <v>47874</v>
      </c>
      <c r="Y40" s="380">
        <f t="shared" si="12"/>
        <v>20.731032125547657</v>
      </c>
      <c r="Z40" s="380">
        <f t="shared" si="22"/>
        <v>21.70446703220874</v>
      </c>
      <c r="AA40" s="381">
        <f t="shared" si="13"/>
        <v>23.017464792067688</v>
      </c>
      <c r="AB40" s="193">
        <f t="shared" si="14"/>
        <v>47874</v>
      </c>
      <c r="AC40" s="119">
        <f>IF(OR(t&lt;Tnet,NoTnet),'2030'!Resal_s+('2030'!Salim-'2030'!Resal_s)*(1-EXP(('2030'!Tnet_s-t)/'2030'!Tau_j)),Resal_s+(Salim-Resal_s)*(1-EXP((Tnet_s-t)/Tau_j)))*Salcycl</f>
        <v>5.7043543749068032E-2</v>
      </c>
      <c r="AD40" s="227">
        <f>(INDEX(Models!$BJ40:$BT40,,AH40)*(1-AF40)+INDEX(Models!$BJ40:$BT40,,AH40+1)*AF40-ERP_i)*AE40*Ramure*Pc/MaxiM</f>
        <v>2.4394538131432667E-2</v>
      </c>
      <c r="AE40" s="301">
        <f t="shared" si="15"/>
        <v>0.5</v>
      </c>
      <c r="AF40" s="173">
        <f t="shared" si="23"/>
        <v>0.4950634432617651</v>
      </c>
      <c r="AG40" s="802">
        <f t="shared" si="24"/>
        <v>4</v>
      </c>
      <c r="AH40" s="172">
        <f t="shared" si="16"/>
        <v>10</v>
      </c>
      <c r="AI40" s="221">
        <f t="shared" si="17"/>
        <v>4.4950634432617651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47875</v>
      </c>
      <c r="B41" s="406">
        <f>'2030'!Wh/'2030'!Env_an*'2031'!Env_an</f>
        <v>18.091749784175651</v>
      </c>
      <c r="C41" s="832"/>
      <c r="D41" s="388">
        <f t="shared" si="0"/>
        <v>18.941515298811073</v>
      </c>
      <c r="E41" s="380">
        <f t="shared" si="1"/>
        <v>19.634331940665696</v>
      </c>
      <c r="F41" s="380">
        <f t="shared" si="2"/>
        <v>19.706776563392779</v>
      </c>
      <c r="G41" s="110">
        <f t="shared" si="21"/>
        <v>0.80234263596837929</v>
      </c>
      <c r="H41" s="409" t="b">
        <f>Wh_hp&gt;='2030'!Maxi_hp</f>
        <v>0</v>
      </c>
      <c r="I41" s="385">
        <f>IF(H41,Wh_hp,'2030'!Maxi_hp)</f>
        <v>19.735165141649773</v>
      </c>
      <c r="J41" s="85">
        <f>IF(H41,An,'2030'!An_max)</f>
        <v>2022</v>
      </c>
      <c r="K41" s="193">
        <f t="shared" si="3"/>
        <v>47875</v>
      </c>
      <c r="L41" s="143">
        <f>IF(t&lt;Tvie,1-EXP((T0-t)*PertePVj)+'2030'!Pspv,1-EXP((T0-t)*PertePVj)+Pspv)</f>
        <v>4.4862594213291973E-2</v>
      </c>
      <c r="M41" s="836"/>
      <c r="N41" s="836"/>
      <c r="O41" s="48">
        <f>IF(t&lt;Tnet,'2030'!Resal+('2030'!Salim-'2030'!Resal)*(1-EXP(('2030'!Tnet-t)/('2030'!Tau_j))),Resal+(Salim-Resal)*(1-EXP((Tnet-t)/(Tau_j))))*Salcycl</f>
        <v>3.5285979881989019E-2</v>
      </c>
      <c r="P41" s="165">
        <f>(INDEX(Models!$BJ41:$BT41,,T41)*(1-R41)+INDEX(Models!$BJ41:$BT41,,T41+1)*R41-ERP_i)*Q41*Ramure*Pc/MaxiM</f>
        <v>5.1108063613595107E-3</v>
      </c>
      <c r="Q41" s="301">
        <f t="shared" si="4"/>
        <v>0.5</v>
      </c>
      <c r="R41" s="173">
        <f t="shared" si="5"/>
        <v>0.97015708156961011</v>
      </c>
      <c r="S41" s="802">
        <f t="shared" si="6"/>
        <v>0</v>
      </c>
      <c r="T41" s="172">
        <f t="shared" si="7"/>
        <v>6</v>
      </c>
      <c r="U41" s="247">
        <f t="shared" si="8"/>
        <v>0.97015708156961011</v>
      </c>
      <c r="V41" s="378">
        <f t="shared" si="9"/>
        <v>22.516188662743644</v>
      </c>
      <c r="W41" s="397">
        <f t="shared" si="10"/>
        <v>18.091749784175651</v>
      </c>
      <c r="X41" s="153">
        <f t="shared" si="11"/>
        <v>47875</v>
      </c>
      <c r="Y41" s="380">
        <f t="shared" si="12"/>
        <v>17.440828352781732</v>
      </c>
      <c r="Z41" s="380">
        <f t="shared" si="22"/>
        <v>18.260020230718979</v>
      </c>
      <c r="AA41" s="381">
        <f t="shared" si="13"/>
        <v>19.365073186443137</v>
      </c>
      <c r="AB41" s="193">
        <f t="shared" si="14"/>
        <v>47875</v>
      </c>
      <c r="AC41" s="119">
        <f>IF(OR(t&lt;Tnet,NoTnet),'2030'!Resal_s+('2030'!Salim-'2030'!Resal_s)*(1-EXP(('2030'!Tnet_s-t)/'2030'!Tau_j)),Resal_s+(Salim-Resal_s)*(1-EXP((Tnet_s-t)/Tau_j)))*Salcycl</f>
        <v>5.7064228215660415E-2</v>
      </c>
      <c r="AD41" s="227">
        <f>(INDEX(Models!$BJ41:$BT41,,AH41)*(1-AF41)+INDEX(Models!$BJ41:$BT41,,AH41+1)*AF41-ERP_i)*AE41*Ramure*Pc/MaxiM</f>
        <v>2.4106410205092535E-2</v>
      </c>
      <c r="AE41" s="301">
        <f t="shared" si="15"/>
        <v>0.5</v>
      </c>
      <c r="AF41" s="173">
        <f t="shared" si="23"/>
        <v>0.49514464794358659</v>
      </c>
      <c r="AG41" s="802">
        <f t="shared" si="24"/>
        <v>4</v>
      </c>
      <c r="AH41" s="172">
        <f t="shared" si="16"/>
        <v>10</v>
      </c>
      <c r="AI41" s="221">
        <f t="shared" si="17"/>
        <v>4.4951446479435866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47876</v>
      </c>
      <c r="B42" s="406">
        <f>'2030'!Wh/'2030'!Env_an*'2031'!Env_an</f>
        <v>4.3151464791516529</v>
      </c>
      <c r="C42" s="832"/>
      <c r="D42" s="388">
        <f t="shared" si="0"/>
        <v>4.5178898078414562</v>
      </c>
      <c r="E42" s="380">
        <f t="shared" si="1"/>
        <v>4.6833365589737026</v>
      </c>
      <c r="F42" s="380">
        <f t="shared" si="2"/>
        <v>4.6833365589737026</v>
      </c>
      <c r="G42" s="110">
        <f t="shared" si="21"/>
        <v>0.18790226607311297</v>
      </c>
      <c r="H42" s="409" t="b">
        <f>Wh_hp&gt;='2030'!Maxi_hp</f>
        <v>0</v>
      </c>
      <c r="I42" s="385">
        <f>IF(H42,Wh_hp,'2030'!Maxi_hp)</f>
        <v>4.7066426478923402</v>
      </c>
      <c r="J42" s="85">
        <f>IF(H42,An,'2030'!An_max)</f>
        <v>2022</v>
      </c>
      <c r="K42" s="193">
        <f t="shared" si="3"/>
        <v>47876</v>
      </c>
      <c r="L42" s="143">
        <f>IF(t&lt;Tvie,1-EXP((T0-t)*PertePVj)+'2030'!Pspv,1-EXP((T0-t)*PertePVj)+Pspv)</f>
        <v>4.4875669242289362E-2</v>
      </c>
      <c r="M42" s="836"/>
      <c r="N42" s="836"/>
      <c r="O42" s="48">
        <f>IF(t&lt;Tnet,'2030'!Resal+('2030'!Salim-'2030'!Resal)*(1-EXP(('2030'!Tnet-t)/('2030'!Tau_j))),Resal+(Salim-Resal)*(1-EXP((Tnet-t)/(Tau_j))))*Salcycl</f>
        <v>3.5326684095601711E-2</v>
      </c>
      <c r="P42" s="165">
        <f>(INDEX(Models!$BJ42:$BT42,,T42)*(1-R42)+INDEX(Models!$BJ42:$BT42,,T42+1)*R42-ERP_i)*Q42*Ramure*Pc/MaxiM</f>
        <v>4.957052175799513E-3</v>
      </c>
      <c r="Q42" s="301">
        <f t="shared" si="4"/>
        <v>0.5</v>
      </c>
      <c r="R42" s="173">
        <f t="shared" si="5"/>
        <v>0.97024166483545604</v>
      </c>
      <c r="S42" s="802">
        <f t="shared" si="6"/>
        <v>0</v>
      </c>
      <c r="T42" s="172">
        <f t="shared" si="7"/>
        <v>6</v>
      </c>
      <c r="U42" s="247">
        <f t="shared" si="8"/>
        <v>0.97024166483545604</v>
      </c>
      <c r="V42" s="378">
        <f t="shared" si="9"/>
        <v>22.851007402101128</v>
      </c>
      <c r="W42" s="397">
        <f t="shared" si="10"/>
        <v>4.3151464791516529</v>
      </c>
      <c r="X42" s="153">
        <f t="shared" si="11"/>
        <v>47876</v>
      </c>
      <c r="Y42" s="380">
        <f t="shared" si="12"/>
        <v>4.2178179351566962</v>
      </c>
      <c r="Z42" s="380">
        <f t="shared" si="22"/>
        <v>4.4159883685620853</v>
      </c>
      <c r="AA42" s="381">
        <f t="shared" si="13"/>
        <v>4.6833365589737026</v>
      </c>
      <c r="AB42" s="193">
        <f t="shared" si="14"/>
        <v>47876</v>
      </c>
      <c r="AC42" s="119">
        <f>IF(OR(t&lt;Tnet,NoTnet),'2030'!Resal_s+('2030'!Salim-'2030'!Resal_s)*(1-EXP(('2030'!Tnet_s-t)/'2030'!Tau_j)),Resal_s+(Salim-Resal_s)*(1-EXP((Tnet_s-t)/Tau_j)))*Salcycl</f>
        <v>5.708498354647467E-2</v>
      </c>
      <c r="AD42" s="227">
        <f>(INDEX(Models!$BJ42:$BT42,,AH42)*(1-AF42)+INDEX(Models!$BJ42:$BT42,,AH42+1)*AF42-ERP_i)*AE42*Ramure*Pc/MaxiM</f>
        <v>2.3764434040310738E-2</v>
      </c>
      <c r="AE42" s="301">
        <f t="shared" si="15"/>
        <v>0.5</v>
      </c>
      <c r="AF42" s="173">
        <f t="shared" si="23"/>
        <v>0.49522923120943307</v>
      </c>
      <c r="AG42" s="802">
        <f t="shared" si="24"/>
        <v>4</v>
      </c>
      <c r="AH42" s="172">
        <f t="shared" si="16"/>
        <v>10</v>
      </c>
      <c r="AI42" s="221">
        <f t="shared" si="17"/>
        <v>4.4952292312094331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47877</v>
      </c>
      <c r="B43" s="406">
        <f>'2030'!Wh/'2030'!Env_an*'2031'!Env_an</f>
        <v>6.4851182099788165</v>
      </c>
      <c r="C43" s="832"/>
      <c r="D43" s="388">
        <f t="shared" si="0"/>
        <v>6.7899086832723174</v>
      </c>
      <c r="E43" s="380">
        <f t="shared" si="1"/>
        <v>7.0388547201161895</v>
      </c>
      <c r="F43" s="380">
        <f t="shared" si="2"/>
        <v>7.0388547201161895</v>
      </c>
      <c r="G43" s="110">
        <f t="shared" si="21"/>
        <v>0.27828785467196571</v>
      </c>
      <c r="H43" s="409" t="b">
        <f>Wh_hp&gt;='2030'!Maxi_hp</f>
        <v>0</v>
      </c>
      <c r="I43" s="385">
        <f>IF(H43,Wh_hp,'2030'!Maxi_hp)</f>
        <v>7.0726171921905499</v>
      </c>
      <c r="J43" s="85">
        <f>IF(H43,An,'2030'!An_max)</f>
        <v>2022</v>
      </c>
      <c r="K43" s="193">
        <f t="shared" si="3"/>
        <v>47877</v>
      </c>
      <c r="L43" s="143">
        <f>IF(t&lt;Tvie,1-EXP((T0-t)*PertePVj)+'2030'!Pspv,1-EXP((T0-t)*PertePVj)+Pspv)</f>
        <v>4.4888744092300592E-2</v>
      </c>
      <c r="M43" s="836"/>
      <c r="N43" s="836"/>
      <c r="O43" s="48">
        <f>IF(t&lt;Tnet,'2030'!Resal+('2030'!Salim-'2030'!Resal)*(1-EXP(('2030'!Tnet-t)/('2030'!Tau_j))),Resal+(Salim-Resal)*(1-EXP((Tnet-t)/(Tau_j))))*Salcycl</f>
        <v>3.5367406594202642E-2</v>
      </c>
      <c r="P43" s="165">
        <f>(INDEX(Models!$BJ43:$BT43,,T43)*(1-R43)+INDEX(Models!$BJ43:$BT43,,T43+1)*R43-ERP_i)*Q43*Ramure*Pc/MaxiM</f>
        <v>4.778937568146558E-3</v>
      </c>
      <c r="Q43" s="301">
        <f t="shared" si="4"/>
        <v>0.5</v>
      </c>
      <c r="R43" s="173">
        <f t="shared" si="5"/>
        <v>0.97032976603074128</v>
      </c>
      <c r="S43" s="802">
        <f t="shared" si="6"/>
        <v>0</v>
      </c>
      <c r="T43" s="172">
        <f t="shared" si="7"/>
        <v>6</v>
      </c>
      <c r="U43" s="247">
        <f t="shared" si="8"/>
        <v>0.97032976603074128</v>
      </c>
      <c r="V43" s="378">
        <f t="shared" si="9"/>
        <v>23.192267023435633</v>
      </c>
      <c r="W43" s="397">
        <f t="shared" si="10"/>
        <v>6.4851182099788165</v>
      </c>
      <c r="X43" s="153">
        <f t="shared" si="11"/>
        <v>47877</v>
      </c>
      <c r="Y43" s="380">
        <f t="shared" si="12"/>
        <v>6.338973330548745</v>
      </c>
      <c r="Z43" s="380">
        <f t="shared" si="22"/>
        <v>6.6368952217241324</v>
      </c>
      <c r="AA43" s="381">
        <f t="shared" si="13"/>
        <v>7.0388547201161895</v>
      </c>
      <c r="AB43" s="193">
        <f t="shared" si="14"/>
        <v>47877</v>
      </c>
      <c r="AC43" s="119">
        <f>IF(OR(t&lt;Tnet,NoTnet),'2030'!Resal_s+('2030'!Salim-'2030'!Resal_s)*(1-EXP(('2030'!Tnet_s-t)/'2030'!Tau_j)),Resal_s+(Salim-Resal_s)*(1-EXP((Tnet_s-t)/Tau_j)))*Salcycl</f>
        <v>5.7105809733976477E-2</v>
      </c>
      <c r="AD43" s="227">
        <f>(INDEX(Models!$BJ43:$BT43,,AH43)*(1-AF43)+INDEX(Models!$BJ43:$BT43,,AH43+1)*AF43-ERP_i)*AE43*Ramure*Pc/MaxiM</f>
        <v>2.3372161802975969E-2</v>
      </c>
      <c r="AE43" s="301">
        <f t="shared" si="15"/>
        <v>0.5</v>
      </c>
      <c r="AF43" s="173">
        <f t="shared" si="23"/>
        <v>0.49531733240471798</v>
      </c>
      <c r="AG43" s="802">
        <f t="shared" si="24"/>
        <v>4</v>
      </c>
      <c r="AH43" s="172">
        <f t="shared" si="16"/>
        <v>10</v>
      </c>
      <c r="AI43" s="221">
        <f t="shared" si="17"/>
        <v>4.495317332404718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47878</v>
      </c>
      <c r="B44" s="406">
        <f>'2030'!Wh/'2030'!Env_an*'2031'!Env_an</f>
        <v>4.6740133712342269</v>
      </c>
      <c r="C44" s="832"/>
      <c r="D44" s="388">
        <f t="shared" si="0"/>
        <v>4.8937517242282471</v>
      </c>
      <c r="E44" s="380">
        <f t="shared" si="1"/>
        <v>5.0733911029956218</v>
      </c>
      <c r="F44" s="380">
        <f t="shared" si="2"/>
        <v>5.0733911029956218</v>
      </c>
      <c r="G44" s="110">
        <f t="shared" si="21"/>
        <v>0.19765514908363974</v>
      </c>
      <c r="H44" s="409" t="b">
        <f>Wh_hp&gt;='2030'!Maxi_hp</f>
        <v>0</v>
      </c>
      <c r="I44" s="385">
        <f>IF(H44,Wh_hp,'2030'!Maxi_hp)</f>
        <v>5.0966884891748485</v>
      </c>
      <c r="J44" s="85">
        <f>IF(H44,An,'2030'!An_max)</f>
        <v>2022</v>
      </c>
      <c r="K44" s="193">
        <f t="shared" si="3"/>
        <v>47878</v>
      </c>
      <c r="L44" s="143">
        <f>IF(t&lt;Tvie,1-EXP((T0-t)*PertePVj)+'2030'!Pspv,1-EXP((T0-t)*PertePVj)+Pspv)</f>
        <v>4.4901818763327994E-2</v>
      </c>
      <c r="M44" s="836"/>
      <c r="N44" s="836"/>
      <c r="O44" s="48">
        <f>IF(t&lt;Tnet,'2030'!Resal+('2030'!Salim-'2030'!Resal)*(1-EXP(('2030'!Tnet-t)/('2030'!Tau_j))),Resal+(Salim-Resal)*(1-EXP((Tnet-t)/(Tau_j))))*Salcycl</f>
        <v>3.5408147158476622E-2</v>
      </c>
      <c r="P44" s="165">
        <f>(INDEX(Models!$BJ44:$BT44,,T44)*(1-R44)+INDEX(Models!$BJ44:$BT44,,T44+1)*R44-ERP_i)*Q44*Ramure*Pc/MaxiM</f>
        <v>4.5762247741796642E-3</v>
      </c>
      <c r="Q44" s="301">
        <f t="shared" si="4"/>
        <v>0.5</v>
      </c>
      <c r="R44" s="173">
        <f t="shared" si="5"/>
        <v>0.97042153014373478</v>
      </c>
      <c r="S44" s="802">
        <f t="shared" si="6"/>
        <v>0</v>
      </c>
      <c r="T44" s="172">
        <f t="shared" si="7"/>
        <v>6</v>
      </c>
      <c r="U44" s="247">
        <f t="shared" si="8"/>
        <v>0.97042153014373478</v>
      </c>
      <c r="V44" s="378">
        <f t="shared" si="9"/>
        <v>23.539098561409766</v>
      </c>
      <c r="W44" s="397">
        <f t="shared" si="10"/>
        <v>4.6740133712342269</v>
      </c>
      <c r="X44" s="153">
        <f t="shared" si="11"/>
        <v>47878</v>
      </c>
      <c r="Y44" s="380">
        <f t="shared" si="12"/>
        <v>4.5687742123663115</v>
      </c>
      <c r="Z44" s="380">
        <f t="shared" si="22"/>
        <v>4.7835649801474975</v>
      </c>
      <c r="AA44" s="381">
        <f t="shared" si="13"/>
        <v>5.0733911029956218</v>
      </c>
      <c r="AB44" s="193">
        <f t="shared" si="14"/>
        <v>47878</v>
      </c>
      <c r="AC44" s="119">
        <f>IF(OR(t&lt;Tnet,NoTnet),'2030'!Resal_s+('2030'!Salim-'2030'!Resal_s)*(1-EXP(('2030'!Tnet_s-t)/'2030'!Tau_j)),Resal_s+(Salim-Resal_s)*(1-EXP((Tnet_s-t)/Tau_j)))*Salcycl</f>
        <v>5.7126706174297125E-2</v>
      </c>
      <c r="AD44" s="227">
        <f>(INDEX(Models!$BJ44:$BT44,,AH44)*(1-AF44)+INDEX(Models!$BJ44:$BT44,,AH44+1)*AF44-ERP_i)*AE44*Ramure*Pc/MaxiM</f>
        <v>2.2878604202451119E-2</v>
      </c>
      <c r="AE44" s="301">
        <f t="shared" si="15"/>
        <v>0.5</v>
      </c>
      <c r="AF44" s="173">
        <f t="shared" si="23"/>
        <v>0.49540909651771159</v>
      </c>
      <c r="AG44" s="802">
        <f t="shared" si="24"/>
        <v>4</v>
      </c>
      <c r="AH44" s="172">
        <f t="shared" si="16"/>
        <v>10</v>
      </c>
      <c r="AI44" s="221">
        <f t="shared" si="17"/>
        <v>4.4954090965177116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47879</v>
      </c>
      <c r="B45" s="406">
        <f>'2030'!Wh/'2030'!Env_an*'2031'!Env_an</f>
        <v>10.837679958517732</v>
      </c>
      <c r="C45" s="832"/>
      <c r="D45" s="388">
        <f t="shared" si="0"/>
        <v>11.34734473607026</v>
      </c>
      <c r="E45" s="380">
        <f t="shared" si="1"/>
        <v>11.764379095189495</v>
      </c>
      <c r="F45" s="380">
        <f t="shared" si="2"/>
        <v>11.775639440616334</v>
      </c>
      <c r="G45" s="110">
        <f t="shared" si="21"/>
        <v>0.45209678448334079</v>
      </c>
      <c r="H45" s="409" t="b">
        <f>Wh_hp&gt;='2030'!Maxi_hp</f>
        <v>0</v>
      </c>
      <c r="I45" s="385">
        <f>IF(H45,Wh_hp,'2030'!Maxi_hp)</f>
        <v>11.815810990102225</v>
      </c>
      <c r="J45" s="85">
        <f>IF(H45,An,'2030'!An_max)</f>
        <v>2022</v>
      </c>
      <c r="K45" s="193">
        <f t="shared" si="3"/>
        <v>47879</v>
      </c>
      <c r="L45" s="143">
        <f>IF(t&lt;Tvie,1-EXP((T0-t)*PertePVj)+'2030'!Pspv,1-EXP((T0-t)*PertePVj)+Pspv)</f>
        <v>4.4914893255374233E-2</v>
      </c>
      <c r="M45" s="836"/>
      <c r="N45" s="836"/>
      <c r="O45" s="48">
        <f>IF(t&lt;Tnet,'2030'!Resal+('2030'!Salim-'2030'!Resal)*(1-EXP(('2030'!Tnet-t)/('2030'!Tau_j))),Resal+(Salim-Resal)*(1-EXP((Tnet-t)/(Tau_j))))*Salcycl</f>
        <v>3.5448905186144665E-2</v>
      </c>
      <c r="P45" s="165">
        <f>(INDEX(Models!$BJ45:$BT45,,T45)*(1-R45)+INDEX(Models!$BJ45:$BT45,,T45+1)*R45-ERP_i)*Q45*Ramure*Pc/MaxiM</f>
        <v>4.3567089327893709E-3</v>
      </c>
      <c r="Q45" s="301">
        <f t="shared" si="4"/>
        <v>0.5</v>
      </c>
      <c r="R45" s="173">
        <f t="shared" si="5"/>
        <v>0.97051710802516489</v>
      </c>
      <c r="S45" s="802">
        <f t="shared" si="6"/>
        <v>0</v>
      </c>
      <c r="T45" s="172">
        <f t="shared" si="7"/>
        <v>6</v>
      </c>
      <c r="U45" s="247">
        <f t="shared" si="8"/>
        <v>0.97051710802516489</v>
      </c>
      <c r="V45" s="378">
        <f t="shared" si="9"/>
        <v>23.89044087085275</v>
      </c>
      <c r="W45" s="397">
        <f t="shared" si="10"/>
        <v>10.837679958517732</v>
      </c>
      <c r="X45" s="153">
        <f t="shared" si="11"/>
        <v>47879</v>
      </c>
      <c r="Y45" s="380">
        <f t="shared" si="12"/>
        <v>10.552129735139189</v>
      </c>
      <c r="Z45" s="380">
        <f t="shared" si="22"/>
        <v>11.04836591066293</v>
      </c>
      <c r="AA45" s="381">
        <f t="shared" si="13"/>
        <v>11.718023680319453</v>
      </c>
      <c r="AB45" s="193">
        <f t="shared" si="14"/>
        <v>47879</v>
      </c>
      <c r="AC45" s="119">
        <f>IF(OR(t&lt;Tnet,NoTnet),'2030'!Resal_s+('2030'!Salim-'2030'!Resal_s)*(1-EXP(('2030'!Tnet_s-t)/'2030'!Tau_j)),Resal_s+(Salim-Resal_s)*(1-EXP((Tnet_s-t)/Tau_j)))*Salcycl</f>
        <v>5.714767164886516E-2</v>
      </c>
      <c r="AD45" s="227">
        <f>(INDEX(Models!$BJ45:$BT45,,AH45)*(1-AF45)+INDEX(Models!$BJ45:$BT45,,AH45+1)*AF45-ERP_i)*AE45*Ramure*Pc/MaxiM</f>
        <v>2.2291953580447239E-2</v>
      </c>
      <c r="AE45" s="301">
        <f t="shared" si="15"/>
        <v>0.5</v>
      </c>
      <c r="AF45" s="173">
        <f t="shared" si="23"/>
        <v>0.49550467439914136</v>
      </c>
      <c r="AG45" s="802">
        <f t="shared" si="24"/>
        <v>4</v>
      </c>
      <c r="AH45" s="172">
        <f t="shared" si="16"/>
        <v>10</v>
      </c>
      <c r="AI45" s="221">
        <f t="shared" si="17"/>
        <v>4.4955046743991414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47880</v>
      </c>
      <c r="B46" s="406">
        <f>'2030'!Wh/'2030'!Env_an*'2031'!Env_an</f>
        <v>13.971969576018738</v>
      </c>
      <c r="C46" s="832"/>
      <c r="D46" s="388">
        <f t="shared" si="0"/>
        <v>14.629231200967018</v>
      </c>
      <c r="E46" s="380">
        <f t="shared" si="1"/>
        <v>15.167521687276894</v>
      </c>
      <c r="F46" s="380">
        <f t="shared" si="2"/>
        <v>15.192233443970238</v>
      </c>
      <c r="G46" s="110">
        <f t="shared" si="21"/>
        <v>0.57483328817440282</v>
      </c>
      <c r="H46" s="409" t="b">
        <f>Wh_hp&gt;='2030'!Maxi_hp</f>
        <v>0</v>
      </c>
      <c r="I46" s="385">
        <f>IF(H46,Wh_hp,'2030'!Maxi_hp)</f>
        <v>15.230246512611631</v>
      </c>
      <c r="J46" s="85">
        <f>IF(H46,An,'2030'!An_max)</f>
        <v>2022</v>
      </c>
      <c r="K46" s="193">
        <f t="shared" si="3"/>
        <v>47880</v>
      </c>
      <c r="L46" s="143">
        <f>IF(t&lt;Tvie,1-EXP((T0-t)*PertePVj)+'2030'!Pspv,1-EXP((T0-t)*PertePVj)+Pspv)</f>
        <v>4.492796756844164E-2</v>
      </c>
      <c r="M46" s="836"/>
      <c r="N46" s="836"/>
      <c r="O46" s="48">
        <f>IF(t&lt;Tnet,'2030'!Resal+('2030'!Salim-'2030'!Resal)*(1-EXP(('2030'!Tnet-t)/('2030'!Tau_j))),Resal+(Salim-Resal)*(1-EXP((Tnet-t)/(Tau_j))))*Salcycl</f>
        <v>3.5489679685865624E-2</v>
      </c>
      <c r="P46" s="165">
        <f>(INDEX(Models!$BJ46:$BT46,,T46)*(1-R46)+INDEX(Models!$BJ46:$BT46,,T46+1)*R46-ERP_i)*Q46*Ramure*Pc/MaxiM</f>
        <v>4.1213654642075943E-3</v>
      </c>
      <c r="Q46" s="301">
        <f t="shared" si="4"/>
        <v>0.5</v>
      </c>
      <c r="R46" s="173">
        <f t="shared" si="5"/>
        <v>0.97061665661560537</v>
      </c>
      <c r="S46" s="802">
        <f t="shared" si="6"/>
        <v>0</v>
      </c>
      <c r="T46" s="172">
        <f t="shared" si="7"/>
        <v>6</v>
      </c>
      <c r="U46" s="247">
        <f t="shared" si="8"/>
        <v>0.97061665661560537</v>
      </c>
      <c r="V46" s="378">
        <f t="shared" si="9"/>
        <v>24.245387922476695</v>
      </c>
      <c r="W46" s="397">
        <f t="shared" si="10"/>
        <v>13.971969576018738</v>
      </c>
      <c r="X46" s="153">
        <f t="shared" si="11"/>
        <v>47880</v>
      </c>
      <c r="Y46" s="380">
        <f t="shared" si="12"/>
        <v>13.563460780348432</v>
      </c>
      <c r="Z46" s="380">
        <f t="shared" si="22"/>
        <v>14.201505561645066</v>
      </c>
      <c r="AA46" s="381">
        <f t="shared" si="13"/>
        <v>15.062615789982765</v>
      </c>
      <c r="AB46" s="193">
        <f t="shared" si="14"/>
        <v>47880</v>
      </c>
      <c r="AC46" s="119">
        <f>IF(OR(t&lt;Tnet,NoTnet),'2030'!Resal_s+('2030'!Salim-'2030'!Resal_s)*(1-EXP(('2030'!Tnet_s-t)/'2030'!Tau_j)),Resal_s+(Salim-Resal_s)*(1-EXP((Tnet_s-t)/Tau_j)))*Salcycl</f>
        <v>5.7168704316973434E-2</v>
      </c>
      <c r="AD46" s="227">
        <f>(INDEX(Models!$BJ46:$BT46,,AH46)*(1-AF46)+INDEX(Models!$BJ46:$BT46,,AH46+1)*AF46-ERP_i)*AE46*Ramure*Pc/MaxiM</f>
        <v>2.1617310712655467E-2</v>
      </c>
      <c r="AE46" s="301">
        <f t="shared" si="15"/>
        <v>0.5</v>
      </c>
      <c r="AF46" s="173">
        <f t="shared" si="23"/>
        <v>0.49560422298958251</v>
      </c>
      <c r="AG46" s="802">
        <f t="shared" si="24"/>
        <v>4</v>
      </c>
      <c r="AH46" s="172">
        <f t="shared" si="16"/>
        <v>10</v>
      </c>
      <c r="AI46" s="221">
        <f t="shared" si="17"/>
        <v>4.4956042229895825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47881</v>
      </c>
      <c r="B47" s="406">
        <f>'2030'!Wh/'2030'!Env_an*'2031'!Env_an</f>
        <v>5.6350208370416572</v>
      </c>
      <c r="C47" s="832"/>
      <c r="D47" s="388">
        <f t="shared" si="0"/>
        <v>5.900181122940209</v>
      </c>
      <c r="E47" s="380">
        <f t="shared" si="1"/>
        <v>6.117540196964331</v>
      </c>
      <c r="F47" s="380">
        <f t="shared" si="2"/>
        <v>6.117540196964331</v>
      </c>
      <c r="G47" s="110">
        <f t="shared" si="21"/>
        <v>0.22815101461990733</v>
      </c>
      <c r="H47" s="409" t="b">
        <f>Wh_hp&gt;='2030'!Maxi_hp</f>
        <v>0</v>
      </c>
      <c r="I47" s="385">
        <f>IF(H47,Wh_hp,'2030'!Maxi_hp)</f>
        <v>6.1412851991901132</v>
      </c>
      <c r="J47" s="85">
        <f>IF(H47,An,'2030'!An_max)</f>
        <v>2022</v>
      </c>
      <c r="K47" s="193">
        <f t="shared" si="3"/>
        <v>47881</v>
      </c>
      <c r="L47" s="143">
        <f>IF(t&lt;Tvie,1-EXP((T0-t)*PertePVj)+'2030'!Pspv,1-EXP((T0-t)*PertePVj)+Pspv)</f>
        <v>4.4941041702532658E-2</v>
      </c>
      <c r="M47" s="836"/>
      <c r="N47" s="836"/>
      <c r="O47" s="48">
        <f>IF(t&lt;Tnet,'2030'!Resal+('2030'!Salim-'2030'!Resal)*(1-EXP(('2030'!Tnet-t)/('2030'!Tau_j))),Resal+(Salim-Resal)*(1-EXP((Tnet-t)/(Tau_j))))*Salcycl</f>
        <v>3.5530469277828561E-2</v>
      </c>
      <c r="P47" s="165">
        <f>(INDEX(Models!$BJ47:$BT47,,T47)*(1-R47)+INDEX(Models!$BJ47:$BT47,,T47+1)*R47-ERP_i)*Q47*Ramure*Pc/MaxiM</f>
        <v>3.8710903352825385E-3</v>
      </c>
      <c r="Q47" s="301">
        <f t="shared" si="4"/>
        <v>0.5</v>
      </c>
      <c r="R47" s="173">
        <f t="shared" si="5"/>
        <v>0.97072033918085021</v>
      </c>
      <c r="S47" s="802">
        <f t="shared" si="6"/>
        <v>0</v>
      </c>
      <c r="T47" s="172">
        <f t="shared" si="7"/>
        <v>6</v>
      </c>
      <c r="U47" s="247">
        <f t="shared" si="8"/>
        <v>0.97072033918085021</v>
      </c>
      <c r="V47" s="378">
        <f t="shared" si="9"/>
        <v>24.603033967180473</v>
      </c>
      <c r="W47" s="397">
        <f t="shared" si="10"/>
        <v>5.6350208370416572</v>
      </c>
      <c r="X47" s="153">
        <f t="shared" si="11"/>
        <v>47881</v>
      </c>
      <c r="Y47" s="380">
        <f t="shared" si="12"/>
        <v>5.5084737707680267</v>
      </c>
      <c r="Z47" s="380">
        <f t="shared" si="22"/>
        <v>5.7676792860910799</v>
      </c>
      <c r="AA47" s="381">
        <f t="shared" si="13"/>
        <v>6.117540196964331</v>
      </c>
      <c r="AB47" s="193">
        <f t="shared" si="14"/>
        <v>47881</v>
      </c>
      <c r="AC47" s="119">
        <f>IF(OR(t&lt;Tnet,NoTnet),'2030'!Resal_s+('2030'!Salim-'2030'!Resal_s)*(1-EXP(('2030'!Tnet_s-t)/'2030'!Tau_j)),Resal_s+(Salim-Resal_s)*(1-EXP((Tnet_s-t)/Tau_j)))*Salcycl</f>
        <v>5.7189801719138629E-2</v>
      </c>
      <c r="AD47" s="227">
        <f>(INDEX(Models!$BJ47:$BT47,,AH47)*(1-AF47)+INDEX(Models!$BJ47:$BT47,,AH47+1)*AF47-ERP_i)*AE47*Ramure*Pc/MaxiM</f>
        <v>2.0859451432350955E-2</v>
      </c>
      <c r="AE47" s="301">
        <f t="shared" si="15"/>
        <v>0.5</v>
      </c>
      <c r="AF47" s="173">
        <f t="shared" si="23"/>
        <v>0.49570790555482702</v>
      </c>
      <c r="AG47" s="802">
        <f t="shared" si="24"/>
        <v>4</v>
      </c>
      <c r="AH47" s="172">
        <f t="shared" si="16"/>
        <v>10</v>
      </c>
      <c r="AI47" s="221">
        <f t="shared" si="17"/>
        <v>4.495707905554827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47882</v>
      </c>
      <c r="B48" s="406">
        <f>'2030'!Wh/'2030'!Env_an*'2031'!Env_an</f>
        <v>13.022319689108185</v>
      </c>
      <c r="C48" s="832"/>
      <c r="D48" s="388">
        <f t="shared" si="0"/>
        <v>13.635281720600707</v>
      </c>
      <c r="E48" s="380">
        <f t="shared" si="1"/>
        <v>14.138195314564799</v>
      </c>
      <c r="F48" s="380">
        <f t="shared" si="2"/>
        <v>14.154361984085782</v>
      </c>
      <c r="G48" s="110">
        <f t="shared" si="21"/>
        <v>0.52038869732234716</v>
      </c>
      <c r="H48" s="409" t="b">
        <f>Wh_hp&gt;='2030'!Maxi_hp</f>
        <v>0</v>
      </c>
      <c r="I48" s="385">
        <f>IF(H48,Wh_hp,'2030'!Maxi_hp)</f>
        <v>14.189329287709032</v>
      </c>
      <c r="J48" s="85">
        <f>IF(H48,An,'2030'!An_max)</f>
        <v>2022</v>
      </c>
      <c r="K48" s="193">
        <f t="shared" si="3"/>
        <v>47882</v>
      </c>
      <c r="L48" s="143">
        <f>IF(t&lt;Tvie,1-EXP((T0-t)*PertePVj)+'2030'!Pspv,1-EXP((T0-t)*PertePVj)+Pspv)</f>
        <v>4.4954115657649729E-2</v>
      </c>
      <c r="M48" s="836"/>
      <c r="N48" s="836"/>
      <c r="O48" s="48">
        <f>IF(t&lt;Tnet,'2030'!Resal+('2030'!Salim-'2030'!Resal)*(1-EXP(('2030'!Tnet-t)/('2030'!Tau_j))),Resal+(Salim-Resal)*(1-EXP((Tnet-t)/(Tau_j))))*Salcycl</f>
        <v>3.5571272200915438E-2</v>
      </c>
      <c r="P48" s="165">
        <f>(INDEX(Models!$BJ48:$BT48,,T48)*(1-R48)+INDEX(Models!$BJ48:$BT48,,T48+1)*R48-ERP_i)*Q48*Ramure*Pc/MaxiM</f>
        <v>3.6066991151427344E-3</v>
      </c>
      <c r="Q48" s="301">
        <f t="shared" si="4"/>
        <v>0.5</v>
      </c>
      <c r="R48" s="173">
        <f t="shared" si="5"/>
        <v>0.97082832555548315</v>
      </c>
      <c r="S48" s="802">
        <f t="shared" si="6"/>
        <v>0</v>
      </c>
      <c r="T48" s="172">
        <f t="shared" si="7"/>
        <v>6</v>
      </c>
      <c r="U48" s="247">
        <f t="shared" si="8"/>
        <v>0.97082832555548315</v>
      </c>
      <c r="V48" s="378">
        <f t="shared" si="9"/>
        <v>24.962473540840787</v>
      </c>
      <c r="W48" s="397">
        <f t="shared" si="10"/>
        <v>13.022319689108185</v>
      </c>
      <c r="X48" s="153">
        <f t="shared" si="11"/>
        <v>47882</v>
      </c>
      <c r="Y48" s="380">
        <f t="shared" si="12"/>
        <v>12.663871913706478</v>
      </c>
      <c r="Z48" s="380">
        <f t="shared" si="22"/>
        <v>13.259961768671344</v>
      </c>
      <c r="AA48" s="381">
        <f t="shared" si="13"/>
        <v>14.064611718223262</v>
      </c>
      <c r="AB48" s="193">
        <f t="shared" si="14"/>
        <v>47882</v>
      </c>
      <c r="AC48" s="119">
        <f>IF(OR(t&lt;Tnet,NoTnet),'2030'!Resal_s+('2030'!Salim-'2030'!Resal_s)*(1-EXP(('2030'!Tnet_s-t)/'2030'!Tau_j)),Resal_s+(Salim-Resal_s)*(1-EXP((Tnet_s-t)/Tau_j)))*Salcycl</f>
        <v>5.7210960791000534E-2</v>
      </c>
      <c r="AD48" s="227">
        <f>(INDEX(Models!$BJ48:$BT48,,AH48)*(1-AF48)+INDEX(Models!$BJ48:$BT48,,AH48+1)*AF48-ERP_i)*AE48*Ramure*Pc/MaxiM</f>
        <v>2.0022813236208602E-2</v>
      </c>
      <c r="AE48" s="301">
        <f t="shared" si="15"/>
        <v>0.5</v>
      </c>
      <c r="AF48" s="173">
        <f t="shared" si="23"/>
        <v>0.49581589192946041</v>
      </c>
      <c r="AG48" s="802">
        <f t="shared" si="24"/>
        <v>4</v>
      </c>
      <c r="AH48" s="172">
        <f t="shared" si="16"/>
        <v>10</v>
      </c>
      <c r="AI48" s="221">
        <f t="shared" si="17"/>
        <v>4.4958158919294604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47883</v>
      </c>
      <c r="B49" s="406">
        <f>'2030'!Wh/'2030'!Env_an*'2031'!Env_an</f>
        <v>11.884573139062489</v>
      </c>
      <c r="C49" s="832"/>
      <c r="D49" s="388">
        <f t="shared" si="0"/>
        <v>12.444151664293663</v>
      </c>
      <c r="E49" s="380">
        <f t="shared" si="1"/>
        <v>12.903678579803783</v>
      </c>
      <c r="F49" s="380">
        <f t="shared" si="2"/>
        <v>12.914077435565751</v>
      </c>
      <c r="G49" s="110">
        <f t="shared" si="21"/>
        <v>0.46813761800075926</v>
      </c>
      <c r="H49" s="409" t="b">
        <f>Wh_hp&gt;='2030'!Maxi_hp</f>
        <v>0</v>
      </c>
      <c r="I49" s="385">
        <f>IF(H49,Wh_hp,'2030'!Maxi_hp)</f>
        <v>12.946736780036268</v>
      </c>
      <c r="J49" s="85">
        <f>IF(H49,An,'2030'!An_max)</f>
        <v>2022</v>
      </c>
      <c r="K49" s="193">
        <f t="shared" si="3"/>
        <v>47883</v>
      </c>
      <c r="L49" s="143">
        <f>IF(t&lt;Tvie,1-EXP((T0-t)*PertePVj)+'2030'!Pspv,1-EXP((T0-t)*PertePVj)+Pspv)</f>
        <v>4.4967189433795407E-2</v>
      </c>
      <c r="M49" s="836"/>
      <c r="N49" s="836"/>
      <c r="O49" s="48">
        <f>IF(t&lt;Tnet,'2030'!Resal+('2030'!Salim-'2030'!Resal)*(1-EXP(('2030'!Tnet-t)/('2030'!Tau_j))),Resal+(Salim-Resal)*(1-EXP((Tnet-t)/(Tau_j))))*Salcycl</f>
        <v>3.561208632624728E-2</v>
      </c>
      <c r="P49" s="165">
        <f>(INDEX(Models!$BJ49:$BT49,,T49)*(1-R49)+INDEX(Models!$BJ49:$BT49,,T49+1)*R49-ERP_i)*Q49*Ramure*Pc/MaxiM</f>
        <v>3.3289268705878491E-3</v>
      </c>
      <c r="Q49" s="301">
        <f t="shared" si="4"/>
        <v>0.5</v>
      </c>
      <c r="R49" s="173">
        <f t="shared" si="5"/>
        <v>0.97094079239484921</v>
      </c>
      <c r="S49" s="802">
        <f t="shared" si="6"/>
        <v>0</v>
      </c>
      <c r="T49" s="172">
        <f t="shared" si="7"/>
        <v>6</v>
      </c>
      <c r="U49" s="247">
        <f t="shared" si="8"/>
        <v>0.97094079239484921</v>
      </c>
      <c r="V49" s="378">
        <f t="shared" si="9"/>
        <v>25.322801461114903</v>
      </c>
      <c r="W49" s="397">
        <f t="shared" si="10"/>
        <v>11.884573139062489</v>
      </c>
      <c r="X49" s="153">
        <f t="shared" si="11"/>
        <v>47883</v>
      </c>
      <c r="Y49" s="380">
        <f t="shared" si="12"/>
        <v>11.573749657726051</v>
      </c>
      <c r="Z49" s="380">
        <f t="shared" si="22"/>
        <v>12.118693231978481</v>
      </c>
      <c r="AA49" s="381">
        <f t="shared" si="13"/>
        <v>12.854377236616299</v>
      </c>
      <c r="AB49" s="193">
        <f t="shared" si="14"/>
        <v>47883</v>
      </c>
      <c r="AC49" s="119">
        <f>IF(OR(t&lt;Tnet,NoTnet),'2030'!Resal_s+('2030'!Salim-'2030'!Resal_s)*(1-EXP(('2030'!Tnet_s-t)/'2030'!Tau_j)),Resal_s+(Salim-Resal_s)*(1-EXP((Tnet_s-t)/Tau_j)))*Salcycl</f>
        <v>5.7232177887403882E-2</v>
      </c>
      <c r="AD49" s="227">
        <f>(INDEX(Models!$BJ49:$BT49,,AH49)*(1-AF49)+INDEX(Models!$BJ49:$BT49,,AH49+1)*AF49-ERP_i)*AE49*Ramure*Pc/MaxiM</f>
        <v>1.9111486976202834E-2</v>
      </c>
      <c r="AE49" s="301">
        <f t="shared" si="15"/>
        <v>0.5</v>
      </c>
      <c r="AF49" s="173">
        <f t="shared" si="23"/>
        <v>0.49592835876882635</v>
      </c>
      <c r="AG49" s="802">
        <f t="shared" si="24"/>
        <v>4</v>
      </c>
      <c r="AH49" s="172">
        <f t="shared" si="16"/>
        <v>10</v>
      </c>
      <c r="AI49" s="221">
        <f t="shared" si="17"/>
        <v>4.4959283587688263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47884</v>
      </c>
      <c r="B50" s="406">
        <f>'2030'!Wh/'2030'!Env_an*'2031'!Env_an</f>
        <v>9.333451544674503</v>
      </c>
      <c r="C50" s="832"/>
      <c r="D50" s="388">
        <f t="shared" si="0"/>
        <v>9.7730457113863753</v>
      </c>
      <c r="E50" s="380">
        <f t="shared" si="1"/>
        <v>10.134365317620667</v>
      </c>
      <c r="F50" s="380">
        <f t="shared" si="2"/>
        <v>10.137155367303066</v>
      </c>
      <c r="G50" s="110">
        <f t="shared" si="21"/>
        <v>0.36240366678629587</v>
      </c>
      <c r="H50" s="409" t="b">
        <f>Wh_hp&gt;='2030'!Maxi_hp</f>
        <v>0</v>
      </c>
      <c r="I50" s="385">
        <f>IF(H50,Wh_hp,'2030'!Maxi_hp)</f>
        <v>10.165216263192344</v>
      </c>
      <c r="J50" s="85">
        <f>IF(H50,An,'2030'!An_max)</f>
        <v>2022</v>
      </c>
      <c r="K50" s="193">
        <f t="shared" si="3"/>
        <v>47884</v>
      </c>
      <c r="L50" s="143">
        <f>IF(t&lt;Tvie,1-EXP((T0-t)*PertePVj)+'2030'!Pspv,1-EXP((T0-t)*PertePVj)+Pspv)</f>
        <v>4.4980263030972023E-2</v>
      </c>
      <c r="M50" s="836"/>
      <c r="N50" s="836"/>
      <c r="O50" s="48">
        <f>IF(t&lt;Tnet,'2030'!Resal+('2030'!Salim-'2030'!Resal)*(1-EXP(('2030'!Tnet-t)/('2030'!Tau_j))),Resal+(Salim-Resal)*(1-EXP((Tnet-t)/(Tau_j))))*Salcycl</f>
        <v>3.5652909176864006E-2</v>
      </c>
      <c r="P50" s="165">
        <f>(INDEX(Models!$BJ50:$BT50,,T50)*(1-R50)+INDEX(Models!$BJ50:$BT50,,T50+1)*R50-ERP_i)*Q50*Ramure*Pc/MaxiM</f>
        <v>3.0384287139190664E-3</v>
      </c>
      <c r="Q50" s="301">
        <f t="shared" si="4"/>
        <v>0.5</v>
      </c>
      <c r="R50" s="173">
        <f t="shared" si="5"/>
        <v>0.97105792343563002</v>
      </c>
      <c r="S50" s="802">
        <f t="shared" si="6"/>
        <v>0</v>
      </c>
      <c r="T50" s="172">
        <f t="shared" si="7"/>
        <v>6</v>
      </c>
      <c r="U50" s="247">
        <f t="shared" si="8"/>
        <v>0.97105792343563002</v>
      </c>
      <c r="V50" s="378">
        <f t="shared" si="9"/>
        <v>25.683112828573545</v>
      </c>
      <c r="W50" s="397">
        <f t="shared" si="10"/>
        <v>9.333451544674503</v>
      </c>
      <c r="X50" s="153">
        <f t="shared" si="11"/>
        <v>47884</v>
      </c>
      <c r="Y50" s="380">
        <f t="shared" si="12"/>
        <v>9.1119141233136425</v>
      </c>
      <c r="Z50" s="380">
        <f t="shared" si="22"/>
        <v>9.5410741480928678</v>
      </c>
      <c r="AA50" s="381">
        <f t="shared" si="13"/>
        <v>10.120508143055289</v>
      </c>
      <c r="AB50" s="193">
        <f t="shared" si="14"/>
        <v>47884</v>
      </c>
      <c r="AC50" s="119">
        <f>IF(OR(t&lt;Tnet,NoTnet),'2030'!Resal_s+('2030'!Salim-'2030'!Resal_s)*(1-EXP(('2030'!Tnet_s-t)/'2030'!Tau_j)),Resal_s+(Salim-Resal_s)*(1-EXP((Tnet_s-t)/Tau_j)))*Salcycl</f>
        <v>5.725344881620683E-2</v>
      </c>
      <c r="AD50" s="227">
        <f>(INDEX(Models!$BJ50:$BT50,,AH50)*(1-AF50)+INDEX(Models!$BJ50:$BT50,,AH50+1)*AF50-ERP_i)*AE50*Ramure*Pc/MaxiM</f>
        <v>1.8129212709212198E-2</v>
      </c>
      <c r="AE50" s="301">
        <f t="shared" si="15"/>
        <v>0.5</v>
      </c>
      <c r="AF50" s="173">
        <f t="shared" si="23"/>
        <v>0.49604548980960672</v>
      </c>
      <c r="AG50" s="802">
        <f t="shared" si="24"/>
        <v>4</v>
      </c>
      <c r="AH50" s="172">
        <f t="shared" si="16"/>
        <v>10</v>
      </c>
      <c r="AI50" s="221">
        <f t="shared" si="17"/>
        <v>4.4960454898096067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47885</v>
      </c>
      <c r="B51" s="406">
        <f>'2030'!Wh/'2030'!Env_an*'2031'!Env_an</f>
        <v>20.501359347708533</v>
      </c>
      <c r="C51" s="832"/>
      <c r="D51" s="388">
        <f t="shared" si="0"/>
        <v>21.467242198585573</v>
      </c>
      <c r="E51" s="380">
        <f t="shared" si="1"/>
        <v>22.261850869889262</v>
      </c>
      <c r="F51" s="380">
        <f t="shared" si="2"/>
        <v>22.30431050306467</v>
      </c>
      <c r="G51" s="110">
        <f t="shared" si="21"/>
        <v>0.78648274297468912</v>
      </c>
      <c r="H51" s="409" t="b">
        <f>Wh_hp&gt;='2030'!Maxi_hp</f>
        <v>0</v>
      </c>
      <c r="I51" s="385">
        <f>IF(H51,Wh_hp,'2030'!Maxi_hp)</f>
        <v>22.322890993589862</v>
      </c>
      <c r="J51" s="85">
        <f>IF(H51,An,'2030'!An_max)</f>
        <v>2022</v>
      </c>
      <c r="K51" s="193">
        <f t="shared" si="3"/>
        <v>47885</v>
      </c>
      <c r="L51" s="143">
        <f>IF(t&lt;Tvie,1-EXP((T0-t)*PertePVj)+'2030'!Pspv,1-EXP((T0-t)*PertePVj)+Pspv)</f>
        <v>4.4993336449182131E-2</v>
      </c>
      <c r="M51" s="836"/>
      <c r="N51" s="836"/>
      <c r="O51" s="48">
        <f>IF(t&lt;Tnet,'2030'!Resal+('2030'!Salim-'2030'!Resal)*(1-EXP(('2030'!Tnet-t)/('2030'!Tau_j))),Resal+(Salim-Resal)*(1-EXP((Tnet-t)/(Tau_j))))*Salcycl</f>
        <v>3.569373795322893E-2</v>
      </c>
      <c r="P51" s="165">
        <f>(INDEX(Models!$BJ51:$BT51,,T51)*(1-R51)+INDEX(Models!$BJ51:$BT51,,T51+1)*R51-ERP_i)*Q51*Ramure*Pc/MaxiM</f>
        <v>2.7354752881877725E-3</v>
      </c>
      <c r="Q51" s="301">
        <f t="shared" si="4"/>
        <v>0.5</v>
      </c>
      <c r="R51" s="173">
        <f t="shared" si="5"/>
        <v>0.97117990976522417</v>
      </c>
      <c r="S51" s="802">
        <f t="shared" si="6"/>
        <v>0</v>
      </c>
      <c r="T51" s="172">
        <f t="shared" si="7"/>
        <v>6</v>
      </c>
      <c r="U51" s="247">
        <f t="shared" si="8"/>
        <v>0.97117990976522417</v>
      </c>
      <c r="V51" s="378">
        <f t="shared" si="9"/>
        <v>26.045419922463076</v>
      </c>
      <c r="W51" s="397">
        <f t="shared" si="10"/>
        <v>20.501359347708533</v>
      </c>
      <c r="X51" s="153">
        <f t="shared" si="11"/>
        <v>47885</v>
      </c>
      <c r="Y51" s="380">
        <f t="shared" si="12"/>
        <v>19.842120348075689</v>
      </c>
      <c r="Z51" s="380">
        <f t="shared" si="22"/>
        <v>20.776944397749585</v>
      </c>
      <c r="AA51" s="381">
        <f t="shared" si="13"/>
        <v>22.039236579139384</v>
      </c>
      <c r="AB51" s="193">
        <f t="shared" si="14"/>
        <v>47885</v>
      </c>
      <c r="AC51" s="119">
        <f>IF(OR(t&lt;Tnet,NoTnet),'2030'!Resal_s+('2030'!Salim-'2030'!Resal_s)*(1-EXP(('2030'!Tnet_s-t)/'2030'!Tau_j)),Resal_s+(Salim-Resal_s)*(1-EXP((Tnet_s-t)/Tau_j)))*Salcycl</f>
        <v>5.7274768881268159E-2</v>
      </c>
      <c r="AD51" s="227">
        <f>(INDEX(Models!$BJ51:$BT51,,AH51)*(1-AF51)+INDEX(Models!$BJ51:$BT51,,AH51+1)*AF51-ERP_i)*AE51*Ramure*Pc/MaxiM</f>
        <v>1.7077471334833613E-2</v>
      </c>
      <c r="AE51" s="301">
        <f t="shared" si="15"/>
        <v>0.5</v>
      </c>
      <c r="AF51" s="173">
        <f t="shared" si="23"/>
        <v>0.49616747613920076</v>
      </c>
      <c r="AG51" s="802">
        <f t="shared" si="24"/>
        <v>4</v>
      </c>
      <c r="AH51" s="172">
        <f t="shared" si="16"/>
        <v>10</v>
      </c>
      <c r="AI51" s="221">
        <f t="shared" si="17"/>
        <v>4.4961674761392008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47886</v>
      </c>
      <c r="B52" s="406">
        <f>'2030'!Wh/'2030'!Env_an*'2031'!Env_an</f>
        <v>14.049615379588232</v>
      </c>
      <c r="C52" s="832"/>
      <c r="D52" s="388">
        <f t="shared" si="0"/>
        <v>14.711737881931194</v>
      </c>
      <c r="E52" s="380">
        <f t="shared" si="1"/>
        <v>15.25693799401491</v>
      </c>
      <c r="F52" s="380">
        <f t="shared" si="2"/>
        <v>15.269251347330616</v>
      </c>
      <c r="G52" s="110">
        <f t="shared" si="21"/>
        <v>0.53107863041482073</v>
      </c>
      <c r="H52" s="409" t="b">
        <f>Wh_hp&gt;='2030'!Maxi_hp</f>
        <v>0</v>
      </c>
      <c r="I52" s="385">
        <f>IF(H52,Wh_hp,'2030'!Maxi_hp)</f>
        <v>15.294127889599769</v>
      </c>
      <c r="J52" s="85">
        <f>IF(H52,An,'2030'!An_max)</f>
        <v>2022</v>
      </c>
      <c r="K52" s="193">
        <f t="shared" si="3"/>
        <v>47886</v>
      </c>
      <c r="L52" s="143">
        <f>IF(t&lt;Tvie,1-EXP((T0-t)*PertePVj)+'2030'!Pspv,1-EXP((T0-t)*PertePVj)+Pspv)</f>
        <v>4.5006409688428062E-2</v>
      </c>
      <c r="M52" s="836"/>
      <c r="N52" s="836"/>
      <c r="O52" s="48">
        <f>IF(t&lt;Tnet,'2030'!Resal+('2030'!Salim-'2030'!Resal)*(1-EXP(('2030'!Tnet-t)/('2030'!Tau_j))),Resal+(Salim-Resal)*(1-EXP((Tnet-t)/(Tau_j))))*Salcycl</f>
        <v>3.5734569564193686E-2</v>
      </c>
      <c r="P52" s="165">
        <f>(INDEX(Models!$BJ52:$BT52,,T52)*(1-R52)+INDEX(Models!$BJ52:$BT52,,T52+1)*R52-ERP_i)*Q52*Ramure*Pc/MaxiM</f>
        <v>2.4337259917538863E-3</v>
      </c>
      <c r="Q52" s="301">
        <f t="shared" si="4"/>
        <v>0.5</v>
      </c>
      <c r="R52" s="173">
        <f t="shared" si="5"/>
        <v>0.97130695010012558</v>
      </c>
      <c r="S52" s="802">
        <f t="shared" si="6"/>
        <v>0</v>
      </c>
      <c r="T52" s="172">
        <f t="shared" si="7"/>
        <v>6</v>
      </c>
      <c r="U52" s="247">
        <f t="shared" si="8"/>
        <v>0.97130695010012558</v>
      </c>
      <c r="V52" s="378">
        <f t="shared" si="9"/>
        <v>26.411783549009712</v>
      </c>
      <c r="W52" s="397">
        <f t="shared" si="10"/>
        <v>14.049615379588232</v>
      </c>
      <c r="X52" s="153">
        <f t="shared" si="11"/>
        <v>47886</v>
      </c>
      <c r="Y52" s="380">
        <f t="shared" si="12"/>
        <v>13.673799158073891</v>
      </c>
      <c r="Z52" s="380">
        <f t="shared" si="22"/>
        <v>14.318210401404619</v>
      </c>
      <c r="AA52" s="381">
        <f t="shared" si="13"/>
        <v>15.188449842650211</v>
      </c>
      <c r="AB52" s="193">
        <f t="shared" si="14"/>
        <v>47886</v>
      </c>
      <c r="AC52" s="119">
        <f>IF(OR(t&lt;Tnet,NoTnet),'2030'!Resal_s+('2030'!Salim-'2030'!Resal_s)*(1-EXP(('2030'!Tnet_s-t)/'2030'!Tau_j)),Resal_s+(Salim-Resal_s)*(1-EXP((Tnet_s-t)/Tau_j)))*Salcycl</f>
        <v>5.7296132933981211E-2</v>
      </c>
      <c r="AD52" s="227">
        <f>(INDEX(Models!$BJ52:$BT52,,AH52)*(1-AF52)+INDEX(Models!$BJ52:$BT52,,AH52+1)*AF52-ERP_i)*AE52*Ramure*Pc/MaxiM</f>
        <v>1.5970362993050689E-2</v>
      </c>
      <c r="AE52" s="301">
        <f t="shared" si="15"/>
        <v>0.5</v>
      </c>
      <c r="AF52" s="173">
        <f t="shared" si="23"/>
        <v>0.49629451647410239</v>
      </c>
      <c r="AG52" s="802">
        <f t="shared" si="24"/>
        <v>4</v>
      </c>
      <c r="AH52" s="172">
        <f t="shared" si="16"/>
        <v>10</v>
      </c>
      <c r="AI52" s="221">
        <f t="shared" si="17"/>
        <v>4.4962945164741024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47887</v>
      </c>
      <c r="B53" s="406">
        <f>'2030'!Wh/'2030'!Env_an*'2031'!Env_an</f>
        <v>27.232019774718616</v>
      </c>
      <c r="C53" s="832"/>
      <c r="D53" s="388">
        <f t="shared" si="0"/>
        <v>28.515785696969303</v>
      </c>
      <c r="E53" s="380">
        <f t="shared" si="1"/>
        <v>29.573800250042385</v>
      </c>
      <c r="F53" s="380">
        <f t="shared" si="2"/>
        <v>29.637565329868828</v>
      </c>
      <c r="G53" s="110">
        <f t="shared" si="21"/>
        <v>1.016825364425431</v>
      </c>
      <c r="H53" s="409" t="b">
        <f>Wh_hp&gt;='2030'!Maxi_hp</f>
        <v>1</v>
      </c>
      <c r="I53" s="385">
        <f>IF(H53,Wh_hp,'2030'!Maxi_hp)</f>
        <v>29.637565329868828</v>
      </c>
      <c r="J53" s="85">
        <f>IF(H53,An,'2030'!An_max)</f>
        <v>2031</v>
      </c>
      <c r="K53" s="193">
        <f t="shared" si="3"/>
        <v>47887</v>
      </c>
      <c r="L53" s="143">
        <f>IF(t&lt;Tvie,1-EXP((T0-t)*PertePVj)+'2030'!Pspv,1-EXP((T0-t)*PertePVj)+Pspv)</f>
        <v>4.5019482748712369E-2</v>
      </c>
      <c r="M53" s="836"/>
      <c r="N53" s="836"/>
      <c r="O53" s="48">
        <f>IF(t&lt;Tnet,'2030'!Resal+('2030'!Salim-'2030'!Resal)*(1-EXP(('2030'!Tnet-t)/('2030'!Tau_j))),Resal+(Salim-Resal)*(1-EXP((Tnet-t)/(Tau_j))))*Salcycl</f>
        <v>3.5775400663009618E-2</v>
      </c>
      <c r="P53" s="165">
        <f>(INDEX(Models!$BJ53:$BT53,,T53)*(1-R53)+INDEX(Models!$BJ53:$BT53,,T53+1)*R53-ERP_i)*Q53*Ramure*Pc/MaxiM</f>
        <v>2.1514952094320219E-3</v>
      </c>
      <c r="Q53" s="301">
        <f t="shared" si="4"/>
        <v>0.5</v>
      </c>
      <c r="R53" s="173">
        <f t="shared" si="5"/>
        <v>0.97143925107349183</v>
      </c>
      <c r="S53" s="802">
        <f t="shared" si="6"/>
        <v>0</v>
      </c>
      <c r="T53" s="172">
        <f t="shared" si="7"/>
        <v>6</v>
      </c>
      <c r="U53" s="247">
        <f t="shared" si="8"/>
        <v>0.97143925107349183</v>
      </c>
      <c r="V53" s="378">
        <f t="shared" si="9"/>
        <v>26.781412745448559</v>
      </c>
      <c r="W53" s="397">
        <f t="shared" si="10"/>
        <v>27.232019774718616</v>
      </c>
      <c r="X53" s="153">
        <f t="shared" si="11"/>
        <v>47887</v>
      </c>
      <c r="Y53" s="380">
        <f t="shared" si="12"/>
        <v>26.284659732626611</v>
      </c>
      <c r="Z53" s="380">
        <f t="shared" si="22"/>
        <v>27.523765414902417</v>
      </c>
      <c r="AA53" s="381">
        <f t="shared" si="13"/>
        <v>29.197281639830337</v>
      </c>
      <c r="AB53" s="193">
        <f t="shared" si="14"/>
        <v>47887</v>
      </c>
      <c r="AC53" s="119">
        <f>IF(OR(t&lt;Tnet,NoTnet),'2030'!Resal_s+('2030'!Salim-'2030'!Resal_s)*(1-EXP(('2030'!Tnet_s-t)/'2030'!Tau_j)),Resal_s+(Salim-Resal_s)*(1-EXP((Tnet_s-t)/Tau_j)))*Salcycl</f>
        <v>5.7317535432645908E-2</v>
      </c>
      <c r="AD53" s="227">
        <f>(INDEX(Models!$BJ53:$BT53,,AH53)*(1-AF53)+INDEX(Models!$BJ53:$BT53,,AH53+1)*AF53-ERP_i)*AE53*Ramure*Pc/MaxiM</f>
        <v>1.4855595766321984E-2</v>
      </c>
      <c r="AE53" s="301">
        <f t="shared" si="15"/>
        <v>0.5</v>
      </c>
      <c r="AF53" s="173">
        <f t="shared" si="23"/>
        <v>0.49642681744746842</v>
      </c>
      <c r="AG53" s="802">
        <f t="shared" si="24"/>
        <v>4</v>
      </c>
      <c r="AH53" s="172">
        <f t="shared" si="16"/>
        <v>10</v>
      </c>
      <c r="AI53" s="221">
        <f t="shared" si="17"/>
        <v>4.4964268174474684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47888</v>
      </c>
      <c r="B54" s="406">
        <f>'2030'!Wh/'2030'!Env_an*'2031'!Env_an</f>
        <v>27.448999068308947</v>
      </c>
      <c r="C54" s="832"/>
      <c r="D54" s="388">
        <f t="shared" si="0"/>
        <v>28.743387253811939</v>
      </c>
      <c r="E54" s="380">
        <f t="shared" si="1"/>
        <v>29.811108711035939</v>
      </c>
      <c r="F54" s="380">
        <f t="shared" si="2"/>
        <v>29.867502380139101</v>
      </c>
      <c r="G54" s="110">
        <f t="shared" si="21"/>
        <v>1.0108637230245658</v>
      </c>
      <c r="H54" s="409" t="b">
        <f>Wh_hp&gt;='2030'!Maxi_hp</f>
        <v>1</v>
      </c>
      <c r="I54" s="385">
        <f>IF(H54,Wh_hp,'2030'!Maxi_hp)</f>
        <v>29.867502380139101</v>
      </c>
      <c r="J54" s="85">
        <f>IF(H54,An,'2030'!An_max)</f>
        <v>2031</v>
      </c>
      <c r="K54" s="193">
        <f t="shared" si="3"/>
        <v>47888</v>
      </c>
      <c r="L54" s="143">
        <f>IF(t&lt;Tvie,1-EXP((T0-t)*PertePVj)+'2030'!Pspv,1-EXP((T0-t)*PertePVj)+Pspv)</f>
        <v>4.5032555630037385E-2</v>
      </c>
      <c r="M54" s="836"/>
      <c r="N54" s="836"/>
      <c r="O54" s="48">
        <f>IF(t&lt;Tnet,'2030'!Resal+('2030'!Salim-'2030'!Resal)*(1-EXP(('2030'!Tnet-t)/('2030'!Tau_j))),Resal+(Salim-Resal)*(1-EXP((Tnet-t)/(Tau_j))))*Salcycl</f>
        <v>3.581622768792668E-2</v>
      </c>
      <c r="P54" s="165">
        <f>(INDEX(Models!$BJ54:$BT54,,T54)*(1-R54)+INDEX(Models!$BJ54:$BT54,,T54+1)*R54-ERP_i)*Q54*Ramure*Pc/MaxiM</f>
        <v>1.8881280525372556E-3</v>
      </c>
      <c r="Q54" s="301">
        <f t="shared" si="4"/>
        <v>0.5</v>
      </c>
      <c r="R54" s="173">
        <f t="shared" si="5"/>
        <v>0.97157702753208297</v>
      </c>
      <c r="S54" s="802">
        <f t="shared" si="6"/>
        <v>0</v>
      </c>
      <c r="T54" s="172">
        <f t="shared" si="7"/>
        <v>6</v>
      </c>
      <c r="U54" s="247">
        <f t="shared" si="8"/>
        <v>0.97157702753208297</v>
      </c>
      <c r="V54" s="378">
        <f t="shared" si="9"/>
        <v>27.154005473833667</v>
      </c>
      <c r="W54" s="397">
        <f t="shared" si="10"/>
        <v>27.448999068308947</v>
      </c>
      <c r="X54" s="153">
        <f t="shared" si="11"/>
        <v>47888</v>
      </c>
      <c r="Y54" s="380">
        <f t="shared" si="12"/>
        <v>26.517774833870071</v>
      </c>
      <c r="Z54" s="380">
        <f t="shared" si="22"/>
        <v>27.76825010130592</v>
      </c>
      <c r="AA54" s="381">
        <f t="shared" si="13"/>
        <v>29.457301439836606</v>
      </c>
      <c r="AB54" s="193">
        <f t="shared" si="14"/>
        <v>47888</v>
      </c>
      <c r="AC54" s="119">
        <f>IF(OR(t&lt;Tnet,NoTnet),'2030'!Resal_s+('2030'!Salim-'2030'!Resal_s)*(1-EXP(('2030'!Tnet_s-t)/'2030'!Tau_j)),Resal_s+(Salim-Resal_s)*(1-EXP((Tnet_s-t)/Tau_j)))*Salcycl</f>
        <v>5.7338970508903866E-2</v>
      </c>
      <c r="AD54" s="227">
        <f>(INDEX(Models!$BJ54:$BT54,,AH54)*(1-AF54)+INDEX(Models!$BJ54:$BT54,,AH54+1)*AF54-ERP_i)*AE54*Ramure*Pc/MaxiM</f>
        <v>1.3734022185104632E-2</v>
      </c>
      <c r="AE54" s="301">
        <f t="shared" si="15"/>
        <v>0.5</v>
      </c>
      <c r="AF54" s="173">
        <f t="shared" si="23"/>
        <v>0.49656459390605967</v>
      </c>
      <c r="AG54" s="802">
        <f t="shared" si="24"/>
        <v>4</v>
      </c>
      <c r="AH54" s="172">
        <f t="shared" si="16"/>
        <v>10</v>
      </c>
      <c r="AI54" s="221">
        <f t="shared" si="17"/>
        <v>4.4965645939060597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47889</v>
      </c>
      <c r="B55" s="406">
        <f>'2030'!Wh/'2030'!Env_an*'2031'!Env_an</f>
        <v>26.49400580540744</v>
      </c>
      <c r="C55" s="832"/>
      <c r="D55" s="388">
        <f t="shared" si="0"/>
        <v>27.743740006281282</v>
      </c>
      <c r="E55" s="380">
        <f t="shared" si="1"/>
        <v>28.775546113027243</v>
      </c>
      <c r="F55" s="380">
        <f t="shared" si="2"/>
        <v>28.820353558356373</v>
      </c>
      <c r="G55" s="110">
        <f t="shared" si="21"/>
        <v>0.96230933656234108</v>
      </c>
      <c r="H55" s="409" t="b">
        <f>Wh_hp&gt;='2030'!Maxi_hp</f>
        <v>0</v>
      </c>
      <c r="I55" s="385">
        <f>IF(H55,Wh_hp,'2030'!Maxi_hp)</f>
        <v>28.822898257849857</v>
      </c>
      <c r="J55" s="85">
        <f>IF(H55,An,'2030'!An_max)</f>
        <v>2022</v>
      </c>
      <c r="K55" s="193">
        <f t="shared" si="3"/>
        <v>47889</v>
      </c>
      <c r="L55" s="143">
        <f>IF(t&lt;Tvie,1-EXP((T0-t)*PertePVj)+'2030'!Pspv,1-EXP((T0-t)*PertePVj)+Pspv)</f>
        <v>4.5045628332405663E-2</v>
      </c>
      <c r="M55" s="836"/>
      <c r="N55" s="836"/>
      <c r="O55" s="48">
        <f>IF(t&lt;Tnet,'2030'!Resal+('2030'!Salim-'2030'!Resal)*(1-EXP(('2030'!Tnet-t)/('2030'!Tau_j))),Resal+(Salim-Resal)*(1-EXP((Tnet-t)/(Tau_j))))*Salcycl</f>
        <v>3.5857046906881851E-2</v>
      </c>
      <c r="P55" s="165">
        <f>(INDEX(Models!$BJ55:$BT55,,T55)*(1-R55)+INDEX(Models!$BJ55:$BT55,,T55+1)*R55-ERP_i)*Q55*Ramure*Pc/MaxiM</f>
        <v>1.6429799281095377E-3</v>
      </c>
      <c r="Q55" s="301">
        <f t="shared" si="4"/>
        <v>0.5</v>
      </c>
      <c r="R55" s="173">
        <f t="shared" si="5"/>
        <v>0.97172050284274547</v>
      </c>
      <c r="S55" s="802">
        <f t="shared" si="6"/>
        <v>0</v>
      </c>
      <c r="T55" s="172">
        <f t="shared" si="7"/>
        <v>6</v>
      </c>
      <c r="U55" s="247">
        <f t="shared" si="8"/>
        <v>0.97172050284274547</v>
      </c>
      <c r="V55" s="378">
        <f t="shared" si="9"/>
        <v>27.529259744877482</v>
      </c>
      <c r="W55" s="397">
        <f t="shared" si="10"/>
        <v>26.49400580540744</v>
      </c>
      <c r="X55" s="153">
        <f t="shared" si="11"/>
        <v>47889</v>
      </c>
      <c r="Y55" s="380">
        <f t="shared" si="12"/>
        <v>25.63395835177878</v>
      </c>
      <c r="Z55" s="380">
        <f t="shared" si="22"/>
        <v>26.843123726440812</v>
      </c>
      <c r="AA55" s="381">
        <f t="shared" si="13"/>
        <v>28.47655099450628</v>
      </c>
      <c r="AB55" s="193">
        <f t="shared" si="14"/>
        <v>47889</v>
      </c>
      <c r="AC55" s="119">
        <f>IF(OR(t&lt;Tnet,NoTnet),'2030'!Resal_s+('2030'!Salim-'2030'!Resal_s)*(1-EXP(('2030'!Tnet_s-t)/'2030'!Tau_j)),Resal_s+(Salim-Resal_s)*(1-EXP((Tnet_s-t)/Tau_j)))*Salcycl</f>
        <v>5.7360432040403725E-2</v>
      </c>
      <c r="AD55" s="227">
        <f>(INDEX(Models!$BJ55:$BT55,,AH55)*(1-AF55)+INDEX(Models!$BJ55:$BT55,,AH55+1)*AF55-ERP_i)*AE55*Ramure*Pc/MaxiM</f>
        <v>1.260640296471148E-2</v>
      </c>
      <c r="AE55" s="301">
        <f t="shared" si="15"/>
        <v>0.5</v>
      </c>
      <c r="AF55" s="173">
        <f t="shared" si="23"/>
        <v>0.49670806921672206</v>
      </c>
      <c r="AG55" s="802">
        <f t="shared" si="24"/>
        <v>4</v>
      </c>
      <c r="AH55" s="172">
        <f t="shared" si="16"/>
        <v>10</v>
      </c>
      <c r="AI55" s="221">
        <f t="shared" si="17"/>
        <v>4.4967080692167221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47890</v>
      </c>
      <c r="B56" s="406">
        <f>'2030'!Wh/'2030'!Env_an*'2031'!Env_an</f>
        <v>13.851579948165419</v>
      </c>
      <c r="C56" s="832"/>
      <c r="D56" s="388">
        <f t="shared" si="0"/>
        <v>14.505163783972087</v>
      </c>
      <c r="E56" s="380">
        <f t="shared" si="1"/>
        <v>15.045256201493148</v>
      </c>
      <c r="F56" s="380">
        <f t="shared" si="2"/>
        <v>15.051231919363682</v>
      </c>
      <c r="G56" s="110">
        <f t="shared" si="21"/>
        <v>0.49584443525883692</v>
      </c>
      <c r="H56" s="409" t="b">
        <f>Wh_hp&gt;='2030'!Maxi_hp</f>
        <v>0</v>
      </c>
      <c r="I56" s="385">
        <f>IF(H56,Wh_hp,'2030'!Maxi_hp)</f>
        <v>15.066561571107581</v>
      </c>
      <c r="J56" s="85">
        <f>IF(H56,An,'2030'!An_max)</f>
        <v>2022</v>
      </c>
      <c r="K56" s="193">
        <f t="shared" si="3"/>
        <v>47890</v>
      </c>
      <c r="L56" s="143">
        <f>IF(t&lt;Tvie,1-EXP((T0-t)*PertePVj)+'2030'!Pspv,1-EXP((T0-t)*PertePVj)+Pspv)</f>
        <v>4.5058700855819644E-2</v>
      </c>
      <c r="M56" s="836"/>
      <c r="N56" s="836"/>
      <c r="O56" s="48">
        <f>IF(t&lt;Tnet,'2030'!Resal+('2030'!Salim-'2030'!Resal)*(1-EXP(('2030'!Tnet-t)/('2030'!Tau_j))),Resal+(Salim-Resal)*(1-EXP((Tnet-t)/(Tau_j))))*Salcycl</f>
        <v>3.5897854465745775E-2</v>
      </c>
      <c r="P56" s="165">
        <f>(INDEX(Models!$BJ56:$BT56,,T56)*(1-R56)+INDEX(Models!$BJ56:$BT56,,T56+1)*R56-ERP_i)*Q56*Ramure*Pc/MaxiM</f>
        <v>1.4154186567655151E-3</v>
      </c>
      <c r="Q56" s="301">
        <f t="shared" si="4"/>
        <v>0.5</v>
      </c>
      <c r="R56" s="173">
        <f t="shared" si="5"/>
        <v>0.97186990920860672</v>
      </c>
      <c r="S56" s="802">
        <f t="shared" si="6"/>
        <v>0</v>
      </c>
      <c r="T56" s="172">
        <f t="shared" si="7"/>
        <v>6</v>
      </c>
      <c r="U56" s="247">
        <f t="shared" si="8"/>
        <v>0.97186990920860672</v>
      </c>
      <c r="V56" s="378">
        <f t="shared" si="9"/>
        <v>27.906873613091655</v>
      </c>
      <c r="W56" s="397">
        <f t="shared" si="10"/>
        <v>13.851579948165419</v>
      </c>
      <c r="X56" s="153">
        <f t="shared" si="11"/>
        <v>47890</v>
      </c>
      <c r="Y56" s="380">
        <f t="shared" si="12"/>
        <v>13.504687870703529</v>
      </c>
      <c r="Z56" s="380">
        <f t="shared" si="22"/>
        <v>14.141903678065288</v>
      </c>
      <c r="AA56" s="381">
        <f t="shared" si="13"/>
        <v>15.002792630478732</v>
      </c>
      <c r="AB56" s="193">
        <f t="shared" si="14"/>
        <v>47890</v>
      </c>
      <c r="AC56" s="119">
        <f>IF(OR(t&lt;Tnet,NoTnet),'2030'!Resal_s+('2030'!Salim-'2030'!Resal_s)*(1-EXP(('2030'!Tnet_s-t)/'2030'!Tau_j)),Resal_s+(Salim-Resal_s)*(1-EXP((Tnet_s-t)/Tau_j)))*Salcycl</f>
        <v>5.7381913728815778E-2</v>
      </c>
      <c r="AD56" s="227">
        <f>(INDEX(Models!$BJ56:$BT56,,AH56)*(1-AF56)+INDEX(Models!$BJ56:$BT56,,AH56+1)*AF56-ERP_i)*AE56*Ramure*Pc/MaxiM</f>
        <v>1.1473412014025332E-2</v>
      </c>
      <c r="AE56" s="301">
        <f t="shared" si="15"/>
        <v>0.5</v>
      </c>
      <c r="AF56" s="173">
        <f t="shared" si="23"/>
        <v>0.49685747558258342</v>
      </c>
      <c r="AG56" s="802">
        <f t="shared" si="24"/>
        <v>4</v>
      </c>
      <c r="AH56" s="172">
        <f t="shared" si="16"/>
        <v>10</v>
      </c>
      <c r="AI56" s="221">
        <f t="shared" si="17"/>
        <v>4.4968574755825834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47891</v>
      </c>
      <c r="B57" s="406">
        <f>'2030'!Wh/'2030'!Env_an*'2031'!Env_an</f>
        <v>22.151662344149688</v>
      </c>
      <c r="C57" s="832"/>
      <c r="D57" s="388">
        <f t="shared" si="0"/>
        <v>23.197201341913694</v>
      </c>
      <c r="E57" s="380">
        <f t="shared" si="1"/>
        <v>24.061955451530938</v>
      </c>
      <c r="F57" s="380">
        <f t="shared" si="2"/>
        <v>24.081980358733745</v>
      </c>
      <c r="G57" s="110">
        <f t="shared" si="21"/>
        <v>0.78282399660330793</v>
      </c>
      <c r="H57" s="409" t="b">
        <f>Wh_hp&gt;='2030'!Maxi_hp</f>
        <v>0</v>
      </c>
      <c r="I57" s="385">
        <f>IF(H57,Wh_hp,'2030'!Maxi_hp)</f>
        <v>24.090968807798074</v>
      </c>
      <c r="J57" s="85">
        <f>IF(H57,An,'2030'!An_max)</f>
        <v>2022</v>
      </c>
      <c r="K57" s="193">
        <f t="shared" si="3"/>
        <v>47891</v>
      </c>
      <c r="L57" s="143">
        <f>IF(t&lt;Tvie,1-EXP((T0-t)*PertePVj)+'2030'!Pspv,1-EXP((T0-t)*PertePVj)+Pspv)</f>
        <v>4.5071773200281773E-2</v>
      </c>
      <c r="M57" s="836"/>
      <c r="N57" s="836"/>
      <c r="O57" s="48">
        <f>IF(t&lt;Tnet,'2030'!Resal+('2030'!Salim-'2030'!Resal)*(1-EXP(('2030'!Tnet-t)/('2030'!Tau_j))),Resal+(Salim-Resal)*(1-EXP((Tnet-t)/(Tau_j))))*Salcycl</f>
        <v>3.5938646439569524E-2</v>
      </c>
      <c r="P57" s="165">
        <f>(INDEX(Models!$BJ57:$BT57,,T57)*(1-R57)+INDEX(Models!$BJ57:$BT57,,T57+1)*R57-ERP_i)*Q57*Ramure*Pc/MaxiM</f>
        <v>1.2048262406879418E-3</v>
      </c>
      <c r="Q57" s="301">
        <f t="shared" si="4"/>
        <v>0.5</v>
      </c>
      <c r="R57" s="173">
        <f t="shared" si="5"/>
        <v>0.97202548799512956</v>
      </c>
      <c r="S57" s="802">
        <f t="shared" si="6"/>
        <v>0</v>
      </c>
      <c r="T57" s="172">
        <f t="shared" si="7"/>
        <v>6</v>
      </c>
      <c r="U57" s="247">
        <f t="shared" si="8"/>
        <v>0.97202548799512956</v>
      </c>
      <c r="V57" s="378">
        <f t="shared" si="9"/>
        <v>28.28654517852322</v>
      </c>
      <c r="W57" s="397">
        <f t="shared" si="10"/>
        <v>22.151662344149688</v>
      </c>
      <c r="X57" s="153">
        <f t="shared" si="11"/>
        <v>47891</v>
      </c>
      <c r="Y57" s="380">
        <f t="shared" si="12"/>
        <v>21.52185655342501</v>
      </c>
      <c r="Z57" s="380">
        <f t="shared" si="22"/>
        <v>22.537669271283249</v>
      </c>
      <c r="AA57" s="381">
        <f t="shared" si="13"/>
        <v>23.910196038085985</v>
      </c>
      <c r="AB57" s="193">
        <f t="shared" si="14"/>
        <v>47891</v>
      </c>
      <c r="AC57" s="119">
        <f>IF(OR(t&lt;Tnet,NoTnet),'2030'!Resal_s+('2030'!Salim-'2030'!Resal_s)*(1-EXP(('2030'!Tnet_s-t)/'2030'!Tau_j)),Resal_s+(Salim-Resal_s)*(1-EXP((Tnet_s-t)/Tau_j)))*Salcycl</f>
        <v>5.7403409182278202E-2</v>
      </c>
      <c r="AD57" s="227">
        <f>(INDEX(Models!$BJ57:$BT57,,AH57)*(1-AF57)+INDEX(Models!$BJ57:$BT57,,AH57+1)*AF57-ERP_i)*AE57*Ramure*Pc/MaxiM</f>
        <v>1.033564126710125E-2</v>
      </c>
      <c r="AE57" s="301">
        <f t="shared" si="15"/>
        <v>0.5</v>
      </c>
      <c r="AF57" s="173">
        <f t="shared" si="23"/>
        <v>0.49701305436910648</v>
      </c>
      <c r="AG57" s="802">
        <f t="shared" si="24"/>
        <v>4</v>
      </c>
      <c r="AH57" s="172">
        <f t="shared" si="16"/>
        <v>10</v>
      </c>
      <c r="AI57" s="221">
        <f t="shared" si="17"/>
        <v>4.4970130543691065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47892</v>
      </c>
      <c r="B58" s="406">
        <f>'2030'!Wh/'2030'!Env_an*'2031'!Env_an</f>
        <v>24.407721750707367</v>
      </c>
      <c r="C58" s="832"/>
      <c r="D58" s="388">
        <f t="shared" si="0"/>
        <v>25.560094666271276</v>
      </c>
      <c r="E58" s="380">
        <f t="shared" si="1"/>
        <v>26.514054955902836</v>
      </c>
      <c r="F58" s="380">
        <f t="shared" si="2"/>
        <v>26.535287459683008</v>
      </c>
      <c r="G58" s="110">
        <f t="shared" si="21"/>
        <v>0.85121405869198052</v>
      </c>
      <c r="H58" s="409" t="b">
        <f>Wh_hp&gt;='2030'!Maxi_hp</f>
        <v>0</v>
      </c>
      <c r="I58" s="385">
        <f>IF(H58,Wh_hp,'2030'!Maxi_hp)</f>
        <v>26.541007451756311</v>
      </c>
      <c r="J58" s="85">
        <f>IF(H58,An,'2030'!An_max)</f>
        <v>2022</v>
      </c>
      <c r="K58" s="193">
        <f t="shared" si="3"/>
        <v>47892</v>
      </c>
      <c r="L58" s="143">
        <f>IF(t&lt;Tvie,1-EXP((T0-t)*PertePVj)+'2030'!Pspv,1-EXP((T0-t)*PertePVj)+Pspv)</f>
        <v>4.508484536579449E-2</v>
      </c>
      <c r="M58" s="836"/>
      <c r="N58" s="836"/>
      <c r="O58" s="48">
        <f>IF(t&lt;Tnet,'2030'!Resal+('2030'!Salim-'2030'!Resal)*(1-EXP(('2030'!Tnet-t)/('2030'!Tau_j))),Resal+(Salim-Resal)*(1-EXP((Tnet-t)/(Tau_j))))*Salcycl</f>
        <v>3.5979418886253008E-2</v>
      </c>
      <c r="P58" s="165">
        <f>(INDEX(Models!$BJ58:$BT58,,T58)*(1-R58)+INDEX(Models!$BJ58:$BT58,,T58+1)*R58-ERP_i)*Q58*Ramure*Pc/MaxiM</f>
        <v>1.0158051742563776E-3</v>
      </c>
      <c r="Q58" s="301">
        <f t="shared" si="4"/>
        <v>0.5</v>
      </c>
      <c r="R58" s="173">
        <f t="shared" si="5"/>
        <v>0.97218749006616878</v>
      </c>
      <c r="S58" s="802">
        <f t="shared" si="6"/>
        <v>0</v>
      </c>
      <c r="T58" s="172">
        <f t="shared" si="7"/>
        <v>6</v>
      </c>
      <c r="U58" s="247">
        <f t="shared" si="8"/>
        <v>0.97218749006616878</v>
      </c>
      <c r="V58" s="378">
        <f t="shared" si="9"/>
        <v>28.667823216850813</v>
      </c>
      <c r="W58" s="397">
        <f t="shared" si="10"/>
        <v>24.407721750707367</v>
      </c>
      <c r="X58" s="153">
        <f t="shared" si="11"/>
        <v>47892</v>
      </c>
      <c r="Y58" s="380">
        <f t="shared" si="12"/>
        <v>23.710094407609542</v>
      </c>
      <c r="Z58" s="380">
        <f t="shared" si="22"/>
        <v>24.829529924773315</v>
      </c>
      <c r="AA58" s="381">
        <f t="shared" si="13"/>
        <v>26.342230174460475</v>
      </c>
      <c r="AB58" s="193">
        <f t="shared" si="14"/>
        <v>47892</v>
      </c>
      <c r="AC58" s="119">
        <f>IF(OR(t&lt;Tnet,NoTnet),'2030'!Resal_s+('2030'!Salim-'2030'!Resal_s)*(1-EXP(('2030'!Tnet_s-t)/'2030'!Tau_j)),Resal_s+(Salim-Resal_s)*(1-EXP((Tnet_s-t)/Tau_j)))*Salcycl</f>
        <v>5.7424912001329625E-2</v>
      </c>
      <c r="AD58" s="227">
        <f>(INDEX(Models!$BJ58:$BT58,,AH58)*(1-AF58)+INDEX(Models!$BJ58:$BT58,,AH58+1)*AF58-ERP_i)*AE58*Ramure*Pc/MaxiM</f>
        <v>9.2362441701334536E-3</v>
      </c>
      <c r="AE58" s="301">
        <f t="shared" si="15"/>
        <v>0.5</v>
      </c>
      <c r="AF58" s="173">
        <f t="shared" si="23"/>
        <v>0.49717505644014537</v>
      </c>
      <c r="AG58" s="802">
        <f t="shared" si="24"/>
        <v>4</v>
      </c>
      <c r="AH58" s="172">
        <f t="shared" si="16"/>
        <v>10</v>
      </c>
      <c r="AI58" s="221">
        <f t="shared" si="17"/>
        <v>4.4971750564401454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47893</v>
      </c>
      <c r="B59" s="406">
        <f>'2030'!Wh/'2030'!Env_an*'2031'!Env_an</f>
        <v>15.672268021305726</v>
      </c>
      <c r="C59" s="832"/>
      <c r="D59" s="388">
        <f t="shared" si="0"/>
        <v>16.412434642357791</v>
      </c>
      <c r="E59" s="380">
        <f t="shared" si="1"/>
        <v>17.025703335139884</v>
      </c>
      <c r="F59" s="380">
        <f t="shared" si="2"/>
        <v>17.030649327747515</v>
      </c>
      <c r="G59" s="110">
        <f t="shared" si="21"/>
        <v>0.53918467558491023</v>
      </c>
      <c r="H59" s="409" t="b">
        <f>Wh_hp&gt;='2030'!Maxi_hp</f>
        <v>0</v>
      </c>
      <c r="I59" s="385">
        <f>IF(H59,Wh_hp,'2030'!Maxi_hp)</f>
        <v>17.04015432936102</v>
      </c>
      <c r="J59" s="85">
        <f>IF(H59,An,'2030'!An_max)</f>
        <v>2022</v>
      </c>
      <c r="K59" s="193">
        <f t="shared" si="3"/>
        <v>47893</v>
      </c>
      <c r="L59" s="143">
        <f>IF(t&lt;Tvie,1-EXP((T0-t)*PertePVj)+'2030'!Pspv,1-EXP((T0-t)*PertePVj)+Pspv)</f>
        <v>4.5097917352360239E-2</v>
      </c>
      <c r="M59" s="836"/>
      <c r="N59" s="836"/>
      <c r="O59" s="48">
        <f>IF(t&lt;Tnet,'2030'!Resal+('2030'!Salim-'2030'!Resal)*(1-EXP(('2030'!Tnet-t)/('2030'!Tau_j))),Resal+(Salim-Resal)*(1-EXP((Tnet-t)/(Tau_j))))*Salcycl</f>
        <v>3.6020167902041739E-2</v>
      </c>
      <c r="P59" s="165">
        <f>(INDEX(Models!$BJ59:$BT59,,T59)*(1-R59)+INDEX(Models!$BJ59:$BT59,,T59+1)*R59-ERP_i)*Q59*Ramure*Pc/MaxiM</f>
        <v>8.4886786762117087E-4</v>
      </c>
      <c r="Q59" s="301">
        <f t="shared" si="4"/>
        <v>0.5</v>
      </c>
      <c r="R59" s="173">
        <f t="shared" si="5"/>
        <v>0.97235617613015046</v>
      </c>
      <c r="S59" s="802">
        <f t="shared" si="6"/>
        <v>0</v>
      </c>
      <c r="T59" s="172">
        <f t="shared" si="7"/>
        <v>6</v>
      </c>
      <c r="U59" s="247">
        <f t="shared" si="8"/>
        <v>0.97235617613015046</v>
      </c>
      <c r="V59" s="378">
        <f t="shared" si="9"/>
        <v>29.050368081096121</v>
      </c>
      <c r="W59" s="397">
        <f t="shared" si="10"/>
        <v>15.672268021305726</v>
      </c>
      <c r="X59" s="153">
        <f t="shared" si="11"/>
        <v>47893</v>
      </c>
      <c r="Y59" s="380">
        <f t="shared" si="12"/>
        <v>15.285276213120035</v>
      </c>
      <c r="Z59" s="380">
        <f t="shared" si="22"/>
        <v>16.007166065382144</v>
      </c>
      <c r="AA59" s="381">
        <f t="shared" si="13"/>
        <v>16.982765048962623</v>
      </c>
      <c r="AB59" s="193">
        <f t="shared" si="14"/>
        <v>47893</v>
      </c>
      <c r="AC59" s="119">
        <f>IF(OR(t&lt;Tnet,NoTnet),'2030'!Resal_s+('2030'!Salim-'2030'!Resal_s)*(1-EXP(('2030'!Tnet_s-t)/'2030'!Tau_j)),Resal_s+(Salim-Resal_s)*(1-EXP((Tnet_s-t)/Tau_j)))*Salcycl</f>
        <v>5.7446415867366249E-2</v>
      </c>
      <c r="AD59" s="227">
        <f>(INDEX(Models!$BJ59:$BT59,,AH59)*(1-AF59)+INDEX(Models!$BJ59:$BT59,,AH59+1)*AF59-ERP_i)*AE59*Ramure*Pc/MaxiM</f>
        <v>8.218254423185474E-3</v>
      </c>
      <c r="AE59" s="301">
        <f t="shared" si="15"/>
        <v>0.5</v>
      </c>
      <c r="AF59" s="173">
        <f t="shared" si="23"/>
        <v>0.49734374250412738</v>
      </c>
      <c r="AG59" s="802">
        <f t="shared" si="24"/>
        <v>4</v>
      </c>
      <c r="AH59" s="172">
        <f t="shared" si="16"/>
        <v>10</v>
      </c>
      <c r="AI59" s="221">
        <f t="shared" si="17"/>
        <v>4.4973437425041274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47894</v>
      </c>
      <c r="B60" s="406">
        <f>'2030'!Wh/'2030'!Env_an*'2031'!Env_an</f>
        <v>20.175484280892853</v>
      </c>
      <c r="C60" s="832"/>
      <c r="D60" s="388">
        <f t="shared" si="0"/>
        <v>21.128617097755079</v>
      </c>
      <c r="E60" s="380">
        <f t="shared" si="1"/>
        <v>21.919037075591504</v>
      </c>
      <c r="F60" s="380">
        <f t="shared" si="2"/>
        <v>21.927527793571048</v>
      </c>
      <c r="G60" s="110">
        <f t="shared" si="21"/>
        <v>0.68523443196176137</v>
      </c>
      <c r="H60" s="409" t="b">
        <f>Wh_hp&gt;='2030'!Maxi_hp</f>
        <v>0</v>
      </c>
      <c r="I60" s="385">
        <f>IF(H60,Wh_hp,'2030'!Maxi_hp)</f>
        <v>21.934451021953191</v>
      </c>
      <c r="J60" s="85">
        <f>IF(H60,An,'2030'!An_max)</f>
        <v>2022</v>
      </c>
      <c r="K60" s="193">
        <f t="shared" si="3"/>
        <v>47894</v>
      </c>
      <c r="L60" s="143">
        <f>IF(t&lt;Tvie,1-EXP((T0-t)*PertePVj)+'2030'!Pspv,1-EXP((T0-t)*PertePVj)+Pspv)</f>
        <v>4.5110989159981352E-2</v>
      </c>
      <c r="M60" s="836"/>
      <c r="N60" s="836"/>
      <c r="O60" s="48">
        <f>IF(t&lt;Tnet,'2030'!Resal+('2030'!Salim-'2030'!Resal)*(1-EXP(('2030'!Tnet-t)/('2030'!Tau_j))),Resal+(Salim-Resal)*(1-EXP((Tnet-t)/(Tau_j))))*Salcycl</f>
        <v>3.6060889678252175E-2</v>
      </c>
      <c r="P60" s="165">
        <f>(INDEX(Models!$BJ60:$BT60,,T60)*(1-R60)+INDEX(Models!$BJ60:$BT60,,T60+1)*R60-ERP_i)*Q60*Ramure*Pc/MaxiM</f>
        <v>7.0320748256273203E-4</v>
      </c>
      <c r="Q60" s="301">
        <f t="shared" si="4"/>
        <v>0.5</v>
      </c>
      <c r="R60" s="173">
        <f t="shared" si="5"/>
        <v>0.97253181709648084</v>
      </c>
      <c r="S60" s="802">
        <f t="shared" si="6"/>
        <v>0</v>
      </c>
      <c r="T60" s="172">
        <f t="shared" si="7"/>
        <v>6</v>
      </c>
      <c r="U60" s="247">
        <f t="shared" si="8"/>
        <v>0.97253181709648084</v>
      </c>
      <c r="V60" s="378">
        <f t="shared" si="9"/>
        <v>29.433877831424812</v>
      </c>
      <c r="W60" s="397">
        <f t="shared" si="10"/>
        <v>20.175484280892853</v>
      </c>
      <c r="X60" s="153">
        <f t="shared" si="11"/>
        <v>47894</v>
      </c>
      <c r="Y60" s="380">
        <f t="shared" si="12"/>
        <v>19.655973158483278</v>
      </c>
      <c r="Z60" s="380">
        <f t="shared" si="22"/>
        <v>20.58456316424865</v>
      </c>
      <c r="AA60" s="381">
        <f t="shared" si="13"/>
        <v>21.839641836941794</v>
      </c>
      <c r="AB60" s="193">
        <f t="shared" si="14"/>
        <v>47894</v>
      </c>
      <c r="AC60" s="119">
        <f>IF(OR(t&lt;Tnet,NoTnet),'2030'!Resal_s+('2030'!Salim-'2030'!Resal_s)*(1-EXP(('2030'!Tnet_s-t)/'2030'!Tau_j)),Resal_s+(Salim-Resal_s)*(1-EXP((Tnet_s-t)/Tau_j)))*Salcycl</f>
        <v>5.746791463265568E-2</v>
      </c>
      <c r="AD60" s="227">
        <f>(INDEX(Models!$BJ60:$BT60,,AH60)*(1-AF60)+INDEX(Models!$BJ60:$BT60,,AH60+1)*AF60-ERP_i)*AE60*Ramure*Pc/MaxiM</f>
        <v>7.2787793049736071E-3</v>
      </c>
      <c r="AE60" s="301">
        <f t="shared" si="15"/>
        <v>0.5</v>
      </c>
      <c r="AF60" s="173">
        <f t="shared" si="23"/>
        <v>0.49751938347045765</v>
      </c>
      <c r="AG60" s="802">
        <f t="shared" si="24"/>
        <v>4</v>
      </c>
      <c r="AH60" s="172">
        <f t="shared" si="16"/>
        <v>10</v>
      </c>
      <c r="AI60" s="221">
        <f t="shared" si="17"/>
        <v>4.4975193834704577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47895</v>
      </c>
      <c r="B61" s="406">
        <f>'2030'!Wh/'2030'!Env_an*'2031'!Env_an</f>
        <v>9.5824391898291079</v>
      </c>
      <c r="C61" s="832"/>
      <c r="D61" s="388">
        <f t="shared" si="0"/>
        <v>10.035271385876086</v>
      </c>
      <c r="E61" s="380">
        <f t="shared" si="1"/>
        <v>10.411129620579718</v>
      </c>
      <c r="F61" s="380">
        <f t="shared" si="2"/>
        <v>10.411313294409348</v>
      </c>
      <c r="G61" s="110">
        <f t="shared" si="21"/>
        <v>0.32118360750937069</v>
      </c>
      <c r="H61" s="409" t="b">
        <f>Wh_hp&gt;='2030'!Maxi_hp</f>
        <v>0</v>
      </c>
      <c r="I61" s="385">
        <f>IF(H61,Wh_hp,'2030'!Maxi_hp)</f>
        <v>10.417141926380237</v>
      </c>
      <c r="J61" s="85">
        <f>IF(H61,An,'2030'!An_max)</f>
        <v>2022</v>
      </c>
      <c r="K61" s="193">
        <f t="shared" si="3"/>
        <v>47895</v>
      </c>
      <c r="L61" s="143">
        <f>IF(t&lt;Tvie,1-EXP((T0-t)*PertePVj)+'2030'!Pspv,1-EXP((T0-t)*PertePVj)+Pspv)</f>
        <v>4.5124060788660492E-2</v>
      </c>
      <c r="M61" s="836"/>
      <c r="N61" s="836"/>
      <c r="O61" s="48">
        <f>IF(t&lt;Tnet,'2030'!Resal+('2030'!Salim-'2030'!Resal)*(1-EXP(('2030'!Tnet-t)/('2030'!Tau_j))),Resal+(Salim-Resal)*(1-EXP((Tnet-t)/(Tau_j))))*Salcycl</f>
        <v>3.6101580558623683E-2</v>
      </c>
      <c r="P61" s="165">
        <f>(INDEX(Models!$BJ61:$BT61,,T61)*(1-R61)+INDEX(Models!$BJ61:$BT61,,T61+1)*R61-ERP_i)*Q61*Ramure*Pc/MaxiM</f>
        <v>5.7804711897924566E-4</v>
      </c>
      <c r="Q61" s="301">
        <f t="shared" si="4"/>
        <v>0.5</v>
      </c>
      <c r="R61" s="173">
        <f t="shared" si="5"/>
        <v>0.97271469444226899</v>
      </c>
      <c r="S61" s="802">
        <f t="shared" si="6"/>
        <v>0</v>
      </c>
      <c r="T61" s="172">
        <f t="shared" si="7"/>
        <v>6</v>
      </c>
      <c r="U61" s="247">
        <f t="shared" si="8"/>
        <v>0.97271469444226899</v>
      </c>
      <c r="V61" s="378">
        <f t="shared" si="9"/>
        <v>29.818050550667923</v>
      </c>
      <c r="W61" s="397">
        <f t="shared" si="10"/>
        <v>9.5824391898291079</v>
      </c>
      <c r="X61" s="153">
        <f t="shared" si="11"/>
        <v>47895</v>
      </c>
      <c r="Y61" s="380">
        <f t="shared" si="12"/>
        <v>9.3681464564453449</v>
      </c>
      <c r="Z61" s="380">
        <f t="shared" si="22"/>
        <v>9.8108519355747674</v>
      </c>
      <c r="AA61" s="381">
        <f t="shared" si="13"/>
        <v>10.409274930882416</v>
      </c>
      <c r="AB61" s="193">
        <f t="shared" si="14"/>
        <v>47895</v>
      </c>
      <c r="AC61" s="119">
        <f>IF(OR(t&lt;Tnet,NoTnet),'2030'!Resal_s+('2030'!Salim-'2030'!Resal_s)*(1-EXP(('2030'!Tnet_s-t)/'2030'!Tau_j)),Resal_s+(Salim-Resal_s)*(1-EXP((Tnet_s-t)/Tau_j)))*Salcycl</f>
        <v>5.7489402410943795E-2</v>
      </c>
      <c r="AD61" s="227">
        <f>(INDEX(Models!$BJ61:$BT61,,AH61)*(1-AF61)+INDEX(Models!$BJ61:$BT61,,AH61+1)*AF61-ERP_i)*AE61*Ramure*Pc/MaxiM</f>
        <v>6.4150138674932914E-3</v>
      </c>
      <c r="AE61" s="301">
        <f t="shared" si="15"/>
        <v>0.5</v>
      </c>
      <c r="AF61" s="173">
        <f t="shared" si="23"/>
        <v>0.49770226081624624</v>
      </c>
      <c r="AG61" s="802">
        <f t="shared" si="24"/>
        <v>4</v>
      </c>
      <c r="AH61" s="172">
        <f t="shared" si="16"/>
        <v>10</v>
      </c>
      <c r="AI61" s="221">
        <f t="shared" si="17"/>
        <v>4.4977022608162462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47896</v>
      </c>
      <c r="B62" s="406">
        <f>'2030'!Wh/'2030'!Env_an*'2031'!Env_an</f>
        <v>11.515818509433137</v>
      </c>
      <c r="C62" s="832"/>
      <c r="D62" s="388">
        <f t="shared" si="0"/>
        <v>12.060180470132476</v>
      </c>
      <c r="E62" s="380">
        <f t="shared" si="1"/>
        <v>12.512406844973908</v>
      </c>
      <c r="F62" s="380">
        <f t="shared" si="2"/>
        <v>12.513093616775222</v>
      </c>
      <c r="G62" s="110">
        <f t="shared" si="21"/>
        <v>0.3811265722144615</v>
      </c>
      <c r="H62" s="409" t="b">
        <f>Wh_hp&gt;='2030'!Maxi_hp</f>
        <v>0</v>
      </c>
      <c r="I62" s="385">
        <f>IF(H62,Wh_hp,'2030'!Maxi_hp)</f>
        <v>12.518314703244648</v>
      </c>
      <c r="J62" s="85">
        <f>IF(H62,An,'2030'!An_max)</f>
        <v>2022</v>
      </c>
      <c r="K62" s="193">
        <f t="shared" si="3"/>
        <v>47896</v>
      </c>
      <c r="L62" s="143">
        <f>IF(t&lt;Tvie,1-EXP((T0-t)*PertePVj)+'2030'!Pspv,1-EXP((T0-t)*PertePVj)+Pspv)</f>
        <v>4.5137132238399991E-2</v>
      </c>
      <c r="M62" s="836"/>
      <c r="N62" s="836"/>
      <c r="O62" s="48">
        <f>IF(t&lt;Tnet,'2030'!Resal+('2030'!Salim-'2030'!Resal)*(1-EXP(('2030'!Tnet-t)/('2030'!Tau_j))),Resal+(Salim-Resal)*(1-EXP((Tnet-t)/(Tau_j))))*Salcycl</f>
        <v>3.6142237096701037E-2</v>
      </c>
      <c r="P62" s="165">
        <f>(INDEX(Models!$BJ62:$BT62,,T62)*(1-R62)+INDEX(Models!$BJ62:$BT62,,T62+1)*R62-ERP_i)*Q62*Ramure*Pc/MaxiM</f>
        <v>4.7264031939818967E-4</v>
      </c>
      <c r="Q62" s="301">
        <f t="shared" si="4"/>
        <v>0.5</v>
      </c>
      <c r="R62" s="173">
        <f t="shared" si="5"/>
        <v>0.97290510058942525</v>
      </c>
      <c r="S62" s="802">
        <f t="shared" si="6"/>
        <v>0</v>
      </c>
      <c r="T62" s="172">
        <f t="shared" si="7"/>
        <v>6</v>
      </c>
      <c r="U62" s="247">
        <f t="shared" si="8"/>
        <v>0.97290510058942525</v>
      </c>
      <c r="V62" s="378">
        <f t="shared" si="9"/>
        <v>30.202584342156989</v>
      </c>
      <c r="W62" s="397">
        <f t="shared" si="10"/>
        <v>11.515818509433137</v>
      </c>
      <c r="X62" s="153">
        <f t="shared" si="11"/>
        <v>47896</v>
      </c>
      <c r="Y62" s="380">
        <f t="shared" si="12"/>
        <v>11.253777277463575</v>
      </c>
      <c r="Z62" s="380">
        <f t="shared" si="22"/>
        <v>11.785752339333085</v>
      </c>
      <c r="AA62" s="381">
        <f t="shared" si="13"/>
        <v>12.504921287736703</v>
      </c>
      <c r="AB62" s="193">
        <f t="shared" si="14"/>
        <v>47896</v>
      </c>
      <c r="AC62" s="119">
        <f>IF(OR(t&lt;Tnet,NoTnet),'2030'!Resal_s+('2030'!Salim-'2030'!Resal_s)*(1-EXP(('2030'!Tnet_s-t)/'2030'!Tau_j)),Resal_s+(Salim-Resal_s)*(1-EXP((Tnet_s-t)/Tau_j)))*Salcycl</f>
        <v>5.7510873667704791E-2</v>
      </c>
      <c r="AD62" s="227">
        <f>(INDEX(Models!$BJ62:$BT62,,AH62)*(1-AF62)+INDEX(Models!$BJ62:$BT62,,AH62+1)*AF62-ERP_i)*AE62*Ramure*Pc/MaxiM</f>
        <v>5.6242440350621073E-3</v>
      </c>
      <c r="AE62" s="301">
        <f t="shared" si="15"/>
        <v>0.5</v>
      </c>
      <c r="AF62" s="173">
        <f t="shared" si="23"/>
        <v>0.49789266696340206</v>
      </c>
      <c r="AG62" s="802">
        <f t="shared" si="24"/>
        <v>4</v>
      </c>
      <c r="AH62" s="172">
        <f t="shared" si="16"/>
        <v>10</v>
      </c>
      <c r="AI62" s="221">
        <f t="shared" si="17"/>
        <v>4.4978926669634021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47897</v>
      </c>
      <c r="B63" s="406">
        <f>'2030'!Wh/'2030'!Env_an*'2031'!Env_an</f>
        <v>26.986014996596428</v>
      </c>
      <c r="C63" s="832"/>
      <c r="D63" s="388">
        <f t="shared" si="0"/>
        <v>28.262052414708251</v>
      </c>
      <c r="E63" s="380">
        <f t="shared" si="1"/>
        <v>29.323043892661723</v>
      </c>
      <c r="F63" s="380">
        <f t="shared" si="2"/>
        <v>29.332468521334167</v>
      </c>
      <c r="G63" s="110">
        <f t="shared" si="21"/>
        <v>0.88220828365264459</v>
      </c>
      <c r="H63" s="409" t="b">
        <f>Wh_hp&gt;='2030'!Maxi_hp</f>
        <v>0</v>
      </c>
      <c r="I63" s="385">
        <f>IF(H63,Wh_hp,'2030'!Maxi_hp)</f>
        <v>29.334371482242279</v>
      </c>
      <c r="J63" s="85">
        <f>IF(H63,An,'2030'!An_max)</f>
        <v>2022</v>
      </c>
      <c r="K63" s="193">
        <f t="shared" si="3"/>
        <v>47897</v>
      </c>
      <c r="L63" s="143">
        <f>IF(t&lt;Tvie,1-EXP((T0-t)*PertePVj)+'2030'!Pspv,1-EXP((T0-t)*PertePVj)+Pspv)</f>
        <v>4.5150203509202402E-2</v>
      </c>
      <c r="M63" s="836"/>
      <c r="N63" s="836"/>
      <c r="O63" s="48">
        <f>IF(t&lt;Tnet,'2030'!Resal+('2030'!Salim-'2030'!Resal)*(1-EXP(('2030'!Tnet-t)/('2030'!Tau_j))),Resal+(Salim-Resal)*(1-EXP((Tnet-t)/(Tau_j))))*Salcycl</f>
        <v>3.6182856112662677E-2</v>
      </c>
      <c r="P63" s="165">
        <f>(INDEX(Models!$BJ63:$BT63,,T63)*(1-R63)+INDEX(Models!$BJ63:$BT63,,T63+1)*R63-ERP_i)*Q63*Ramure*Pc/MaxiM</f>
        <v>3.8627137573991172E-4</v>
      </c>
      <c r="Q63" s="301">
        <f t="shared" si="4"/>
        <v>0.5</v>
      </c>
      <c r="R63" s="173">
        <f t="shared" si="5"/>
        <v>0.97310333929217363</v>
      </c>
      <c r="S63" s="802">
        <f t="shared" si="6"/>
        <v>0</v>
      </c>
      <c r="T63" s="172">
        <f t="shared" si="7"/>
        <v>6</v>
      </c>
      <c r="U63" s="247">
        <f t="shared" si="8"/>
        <v>0.97310333929217363</v>
      </c>
      <c r="V63" s="378">
        <f t="shared" si="9"/>
        <v>30.587177328316667</v>
      </c>
      <c r="W63" s="397">
        <f t="shared" si="10"/>
        <v>26.986014996596428</v>
      </c>
      <c r="X63" s="153">
        <f t="shared" si="11"/>
        <v>47897</v>
      </c>
      <c r="Y63" s="380">
        <f t="shared" si="12"/>
        <v>26.28905657227029</v>
      </c>
      <c r="Z63" s="380">
        <f t="shared" si="22"/>
        <v>27.532138215755122</v>
      </c>
      <c r="AA63" s="381">
        <f t="shared" si="13"/>
        <v>29.212819597615827</v>
      </c>
      <c r="AB63" s="193">
        <f t="shared" si="14"/>
        <v>47897</v>
      </c>
      <c r="AC63" s="119">
        <f>IF(OR(t&lt;Tnet,NoTnet),'2030'!Resal_s+('2030'!Salim-'2030'!Resal_s)*(1-EXP(('2030'!Tnet_s-t)/'2030'!Tau_j)),Resal_s+(Salim-Resal_s)*(1-EXP((Tnet_s-t)/Tau_j)))*Salcycl</f>
        <v>5.7532323309108874E-2</v>
      </c>
      <c r="AD63" s="227">
        <f>(INDEX(Models!$BJ63:$BT63,,AH63)*(1-AF63)+INDEX(Models!$BJ63:$BT63,,AH63+1)*AF63-ERP_i)*AE63*Ramure*Pc/MaxiM</f>
        <v>4.9038488386942952E-3</v>
      </c>
      <c r="AE63" s="301">
        <f t="shared" si="15"/>
        <v>0.5</v>
      </c>
      <c r="AF63" s="173">
        <f t="shared" si="23"/>
        <v>0.49809090566615044</v>
      </c>
      <c r="AG63" s="802">
        <f t="shared" si="24"/>
        <v>4</v>
      </c>
      <c r="AH63" s="172">
        <f t="shared" si="16"/>
        <v>10</v>
      </c>
      <c r="AI63" s="221">
        <f t="shared" si="17"/>
        <v>4.4980909056661504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47898</v>
      </c>
      <c r="B64" s="406">
        <f>'2030'!Wh/'2030'!Env_an*'2031'!Env_an</f>
        <v>16.290634183151425</v>
      </c>
      <c r="C64" s="832"/>
      <c r="D64" s="388">
        <f t="shared" si="0"/>
        <v>17.061172606599534</v>
      </c>
      <c r="E64" s="380">
        <f t="shared" si="1"/>
        <v>17.702414876789106</v>
      </c>
      <c r="F64" s="380">
        <f t="shared" si="2"/>
        <v>17.704233904267909</v>
      </c>
      <c r="G64" s="110">
        <f t="shared" si="21"/>
        <v>0.52587406113039492</v>
      </c>
      <c r="H64" s="409" t="b">
        <f>Wh_hp&gt;='2030'!Maxi_hp</f>
        <v>0</v>
      </c>
      <c r="I64" s="385">
        <f>IF(H64,Wh_hp,'2030'!Maxi_hp)</f>
        <v>17.708043029969524</v>
      </c>
      <c r="J64" s="85">
        <f>IF(H64,An,'2030'!An_max)</f>
        <v>2022</v>
      </c>
      <c r="K64" s="193">
        <f t="shared" si="3"/>
        <v>47898</v>
      </c>
      <c r="L64" s="143">
        <f>IF(t&lt;Tvie,1-EXP((T0-t)*PertePVj)+'2030'!Pspv,1-EXP((T0-t)*PertePVj)+Pspv)</f>
        <v>4.5163274601070058E-2</v>
      </c>
      <c r="M64" s="836"/>
      <c r="N64" s="836"/>
      <c r="O64" s="48">
        <f>IF(t&lt;Tnet,'2030'!Resal+('2030'!Salim-'2030'!Resal)*(1-EXP(('2030'!Tnet-t)/('2030'!Tau_j))),Resal+(Salim-Resal)*(1-EXP((Tnet-t)/(Tau_j))))*Salcycl</f>
        <v>3.6223434749026839E-2</v>
      </c>
      <c r="P64" s="165">
        <f>(INDEX(Models!$BJ64:$BT64,,T64)*(1-R64)+INDEX(Models!$BJ64:$BT64,,T64+1)*R64-ERP_i)*Q64*Ramure*Pc/MaxiM</f>
        <v>3.1825547291869849E-4</v>
      </c>
      <c r="Q64" s="301">
        <f t="shared" si="4"/>
        <v>0.5</v>
      </c>
      <c r="R64" s="173">
        <f t="shared" si="5"/>
        <v>0.97330972603498256</v>
      </c>
      <c r="S64" s="802">
        <f t="shared" si="6"/>
        <v>0</v>
      </c>
      <c r="T64" s="172">
        <f t="shared" si="7"/>
        <v>6</v>
      </c>
      <c r="U64" s="247">
        <f t="shared" si="8"/>
        <v>0.97330972603498256</v>
      </c>
      <c r="V64" s="378">
        <f t="shared" si="9"/>
        <v>30.9715276516953</v>
      </c>
      <c r="W64" s="397">
        <f t="shared" si="10"/>
        <v>16.290634183151425</v>
      </c>
      <c r="X64" s="153">
        <f t="shared" si="11"/>
        <v>47898</v>
      </c>
      <c r="Y64" s="380">
        <f t="shared" si="12"/>
        <v>15.909860539493328</v>
      </c>
      <c r="Z64" s="380">
        <f t="shared" si="22"/>
        <v>16.662388569989496</v>
      </c>
      <c r="AA64" s="381">
        <f t="shared" si="13"/>
        <v>17.6799350762575</v>
      </c>
      <c r="AB64" s="193">
        <f t="shared" si="14"/>
        <v>47898</v>
      </c>
      <c r="AC64" s="119">
        <f>IF(OR(t&lt;Tnet,NoTnet),'2030'!Resal_s+('2030'!Salim-'2030'!Resal_s)*(1-EXP(('2030'!Tnet_s-t)/'2030'!Tau_j)),Resal_s+(Salim-Resal_s)*(1-EXP((Tnet_s-t)/Tau_j)))*Salcycl</f>
        <v>5.7553746768814584E-2</v>
      </c>
      <c r="AD64" s="227">
        <f>(INDEX(Models!$BJ64:$BT64,,AH64)*(1-AF64)+INDEX(Models!$BJ64:$BT64,,AH64+1)*AF64-ERP_i)*AE64*Ramure*Pc/MaxiM</f>
        <v>4.2513019126633267E-3</v>
      </c>
      <c r="AE64" s="301">
        <f t="shared" si="15"/>
        <v>0.5</v>
      </c>
      <c r="AF64" s="173">
        <f t="shared" si="23"/>
        <v>0.49829729240895926</v>
      </c>
      <c r="AG64" s="802">
        <f t="shared" si="24"/>
        <v>4</v>
      </c>
      <c r="AH64" s="172">
        <f t="shared" si="16"/>
        <v>10</v>
      </c>
      <c r="AI64" s="221">
        <f t="shared" si="17"/>
        <v>4.4982972924089593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47899</v>
      </c>
      <c r="B65" s="406">
        <f>'2030'!Wh/'2030'!Env_an*'2031'!Env_an</f>
        <v>20.514079605103657</v>
      </c>
      <c r="C65" s="832"/>
      <c r="D65" s="388">
        <f t="shared" si="0"/>
        <v>21.484678881512313</v>
      </c>
      <c r="E65" s="380">
        <f t="shared" si="1"/>
        <v>22.293115774875947</v>
      </c>
      <c r="F65" s="380">
        <f t="shared" si="2"/>
        <v>22.296138917380894</v>
      </c>
      <c r="G65" s="110">
        <f t="shared" si="21"/>
        <v>0.65415206372485712</v>
      </c>
      <c r="H65" s="409" t="b">
        <f>Wh_hp&gt;='2030'!Maxi_hp</f>
        <v>0</v>
      </c>
      <c r="I65" s="385">
        <f>IF(H65,Wh_hp,'2030'!Maxi_hp)</f>
        <v>22.299083982726547</v>
      </c>
      <c r="J65" s="85">
        <f>IF(H65,An,'2030'!An_max)</f>
        <v>2022</v>
      </c>
      <c r="K65" s="193">
        <f t="shared" si="3"/>
        <v>47899</v>
      </c>
      <c r="L65" s="143">
        <f>IF(t&lt;Tvie,1-EXP((T0-t)*PertePVj)+'2030'!Pspv,1-EXP((T0-t)*PertePVj)+Pspv)</f>
        <v>4.51763455140054E-2</v>
      </c>
      <c r="M65" s="836"/>
      <c r="N65" s="836"/>
      <c r="O65" s="48">
        <f>IF(t&lt;Tnet,'2030'!Resal+('2030'!Salim-'2030'!Resal)*(1-EXP(('2030'!Tnet-t)/('2030'!Tau_j))),Resal+(Salim-Resal)*(1-EXP((Tnet-t)/(Tau_j))))*Salcycl</f>
        <v>3.6263970524691276E-2</v>
      </c>
      <c r="P65" s="165">
        <f>(INDEX(Models!$BJ65:$BT65,,T65)*(1-R65)+INDEX(Models!$BJ65:$BT65,,T65+1)*R65-ERP_i)*Q65*Ramure*Pc/MaxiM</f>
        <v>2.6793598189152969E-4</v>
      </c>
      <c r="Q65" s="301">
        <f t="shared" si="4"/>
        <v>0.5</v>
      </c>
      <c r="R65" s="173">
        <f t="shared" si="5"/>
        <v>0.97352458844089285</v>
      </c>
      <c r="S65" s="802">
        <f t="shared" si="6"/>
        <v>0</v>
      </c>
      <c r="T65" s="172">
        <f t="shared" si="7"/>
        <v>6</v>
      </c>
      <c r="U65" s="247">
        <f t="shared" si="8"/>
        <v>0.97352458844089285</v>
      </c>
      <c r="V65" s="378">
        <f t="shared" si="9"/>
        <v>31.355651730940188</v>
      </c>
      <c r="W65" s="397">
        <f t="shared" si="10"/>
        <v>20.514079605103657</v>
      </c>
      <c r="X65" s="153">
        <f t="shared" si="11"/>
        <v>47899</v>
      </c>
      <c r="Y65" s="380">
        <f t="shared" si="12"/>
        <v>20.025968315333724</v>
      </c>
      <c r="Z65" s="380">
        <f t="shared" si="22"/>
        <v>20.973473186642199</v>
      </c>
      <c r="AA65" s="381">
        <f t="shared" si="13"/>
        <v>22.254796195299576</v>
      </c>
      <c r="AB65" s="193">
        <f t="shared" si="14"/>
        <v>47899</v>
      </c>
      <c r="AC65" s="119">
        <f>IF(OR(t&lt;Tnet,NoTnet),'2030'!Resal_s+('2030'!Salim-'2030'!Resal_s)*(1-EXP(('2030'!Tnet_s-t)/'2030'!Tau_j)),Resal_s+(Salim-Resal_s)*(1-EXP((Tnet_s-t)/Tau_j)))*Salcycl</f>
        <v>5.7575140091734693E-2</v>
      </c>
      <c r="AD65" s="227">
        <f>(INDEX(Models!$BJ65:$BT65,,AH65)*(1-AF65)+INDEX(Models!$BJ65:$BT65,,AH65+1)*AF65-ERP_i)*AE65*Ramure*Pc/MaxiM</f>
        <v>3.6641351893938051E-3</v>
      </c>
      <c r="AE65" s="301">
        <f t="shared" si="15"/>
        <v>0.5</v>
      </c>
      <c r="AF65" s="173">
        <f t="shared" si="23"/>
        <v>0.4985121548148701</v>
      </c>
      <c r="AG65" s="802">
        <f t="shared" si="24"/>
        <v>4</v>
      </c>
      <c r="AH65" s="172">
        <f t="shared" si="16"/>
        <v>10</v>
      </c>
      <c r="AI65" s="221">
        <f t="shared" si="17"/>
        <v>4.4985121548148701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47900</v>
      </c>
      <c r="B66" s="406">
        <f>'2030'!Wh/'2030'!Env_an*'2031'!Env_an</f>
        <v>18.08842582059782</v>
      </c>
      <c r="C66" s="832"/>
      <c r="D66" s="388">
        <f t="shared" si="0"/>
        <v>18.944517507879098</v>
      </c>
      <c r="E66" s="380">
        <f t="shared" si="1"/>
        <v>19.658197790498111</v>
      </c>
      <c r="F66" s="380">
        <f t="shared" si="2"/>
        <v>19.659975272749822</v>
      </c>
      <c r="G66" s="110">
        <f t="shared" si="21"/>
        <v>0.56981324308129422</v>
      </c>
      <c r="H66" s="409" t="b">
        <f>Wh_hp&gt;='2030'!Maxi_hp</f>
        <v>0</v>
      </c>
      <c r="I66" s="385">
        <f>IF(H66,Wh_hp,'2030'!Maxi_hp)</f>
        <v>19.662801372105708</v>
      </c>
      <c r="J66" s="85">
        <f>IF(H66,An,'2030'!An_max)</f>
        <v>2022</v>
      </c>
      <c r="K66" s="193">
        <f t="shared" si="3"/>
        <v>47900</v>
      </c>
      <c r="L66" s="143">
        <f>IF(t&lt;Tvie,1-EXP((T0-t)*PertePVj)+'2030'!Pspv,1-EXP((T0-t)*PertePVj)+Pspv)</f>
        <v>4.5189416248010872E-2</v>
      </c>
      <c r="M66" s="836"/>
      <c r="N66" s="836"/>
      <c r="O66" s="48">
        <f>IF(t&lt;Tnet,'2030'!Resal+('2030'!Salim-'2030'!Resal)*(1-EXP(('2030'!Tnet-t)/('2030'!Tau_j))),Resal+(Salim-Resal)*(1-EXP((Tnet-t)/(Tau_j))))*Salcycl</f>
        <v>3.6304461386789694E-2</v>
      </c>
      <c r="P66" s="165">
        <f>(INDEX(Models!$BJ66:$BT66,,T66)*(1-R66)+INDEX(Models!$BJ66:$BT66,,T66+1)*R66-ERP_i)*Q66*Ramure*Pc/MaxiM</f>
        <v>2.3449032392813083E-4</v>
      </c>
      <c r="Q66" s="301">
        <f t="shared" si="4"/>
        <v>0.5</v>
      </c>
      <c r="R66" s="173">
        <f t="shared" si="5"/>
        <v>0.97374826669017944</v>
      </c>
      <c r="S66" s="802">
        <f t="shared" si="6"/>
        <v>0</v>
      </c>
      <c r="T66" s="172">
        <f t="shared" si="7"/>
        <v>6</v>
      </c>
      <c r="U66" s="247">
        <f t="shared" si="8"/>
        <v>0.97374826669017944</v>
      </c>
      <c r="V66" s="378">
        <f t="shared" si="9"/>
        <v>31.739907136724835</v>
      </c>
      <c r="W66" s="397">
        <f t="shared" si="10"/>
        <v>18.08842582059782</v>
      </c>
      <c r="X66" s="153">
        <f t="shared" si="11"/>
        <v>47900</v>
      </c>
      <c r="Y66" s="380">
        <f t="shared" si="12"/>
        <v>17.668863160109726</v>
      </c>
      <c r="Z66" s="380">
        <f t="shared" si="22"/>
        <v>18.505097723863514</v>
      </c>
      <c r="AA66" s="381">
        <f t="shared" si="13"/>
        <v>19.636066423923417</v>
      </c>
      <c r="AB66" s="193">
        <f t="shared" si="14"/>
        <v>47900</v>
      </c>
      <c r="AC66" s="119">
        <f>IF(OR(t&lt;Tnet,NoTnet),'2030'!Resal_s+('2030'!Salim-'2030'!Resal_s)*(1-EXP(('2030'!Tnet_s-t)/'2030'!Tau_j)),Resal_s+(Salim-Resal_s)*(1-EXP((Tnet_s-t)/Tau_j)))*Salcycl</f>
        <v>5.7596500013974192E-2</v>
      </c>
      <c r="AD66" s="227">
        <f>(INDEX(Models!$BJ66:$BT66,,AH66)*(1-AF66)+INDEX(Models!$BJ66:$BT66,,AH66+1)*AF66-ERP_i)*AE66*Ramure*Pc/MaxiM</f>
        <v>3.1541207799162525E-3</v>
      </c>
      <c r="AE66" s="301">
        <f t="shared" si="15"/>
        <v>0.5</v>
      </c>
      <c r="AF66" s="173">
        <f t="shared" si="23"/>
        <v>0.49873583306415625</v>
      </c>
      <c r="AG66" s="802">
        <f t="shared" si="24"/>
        <v>4</v>
      </c>
      <c r="AH66" s="172">
        <f t="shared" si="16"/>
        <v>10</v>
      </c>
      <c r="AI66" s="221">
        <f t="shared" si="17"/>
        <v>4.4987358330641563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47901</v>
      </c>
      <c r="B67" s="406">
        <f>'2030'!Wh/'2030'!Env_an*'2031'!Env_an</f>
        <v>29.559713294561369</v>
      </c>
      <c r="C67" s="832"/>
      <c r="D67" s="388">
        <f t="shared" si="0"/>
        <v>30.959143573371641</v>
      </c>
      <c r="E67" s="380">
        <f t="shared" si="1"/>
        <v>32.12678868032571</v>
      </c>
      <c r="F67" s="380">
        <f t="shared" si="2"/>
        <v>32.132661099947541</v>
      </c>
      <c r="G67" s="110">
        <f t="shared" si="21"/>
        <v>0.92012938004134448</v>
      </c>
      <c r="H67" s="409" t="b">
        <f>Wh_hp&gt;='2030'!Maxi_hp</f>
        <v>0</v>
      </c>
      <c r="I67" s="385">
        <f>IF(H67,Wh_hp,'2030'!Maxi_hp)</f>
        <v>32.133415210523701</v>
      </c>
      <c r="J67" s="85">
        <f>IF(H67,An,'2030'!An_max)</f>
        <v>2022</v>
      </c>
      <c r="K67" s="193">
        <f t="shared" si="3"/>
        <v>47901</v>
      </c>
      <c r="L67" s="143">
        <f>IF(t&lt;Tvie,1-EXP((T0-t)*PertePVj)+'2030'!Pspv,1-EXP((T0-t)*PertePVj)+Pspv)</f>
        <v>4.5202486803089026E-2</v>
      </c>
      <c r="M67" s="836"/>
      <c r="N67" s="836"/>
      <c r="O67" s="48">
        <f>IF(t&lt;Tnet,'2030'!Resal+('2030'!Salim-'2030'!Resal)*(1-EXP(('2030'!Tnet-t)/('2030'!Tau_j))),Resal+(Salim-Resal)*(1-EXP((Tnet-t)/(Tau_j))))*Salcycl</f>
        <v>3.6344905759881606E-2</v>
      </c>
      <c r="P67" s="165">
        <f>(INDEX(Models!$BJ67:$BT67,,T67)*(1-R67)+INDEX(Models!$BJ67:$BT67,,T67+1)*R67-ERP_i)*Q67*Ramure*Pc/MaxiM</f>
        <v>2.0628656958503712E-4</v>
      </c>
      <c r="Q67" s="301">
        <f t="shared" si="4"/>
        <v>0.5</v>
      </c>
      <c r="R67" s="173">
        <f t="shared" si="5"/>
        <v>0.97398111394924869</v>
      </c>
      <c r="S67" s="802">
        <f t="shared" si="6"/>
        <v>0</v>
      </c>
      <c r="T67" s="172">
        <f t="shared" si="7"/>
        <v>6</v>
      </c>
      <c r="U67" s="247">
        <f t="shared" si="8"/>
        <v>0.97398111394924869</v>
      </c>
      <c r="V67" s="378">
        <f t="shared" si="9"/>
        <v>32.124849218019719</v>
      </c>
      <c r="W67" s="397">
        <f t="shared" si="10"/>
        <v>29.559713294561369</v>
      </c>
      <c r="X67" s="153">
        <f t="shared" si="11"/>
        <v>47901</v>
      </c>
      <c r="Y67" s="380">
        <f t="shared" si="12"/>
        <v>28.843092065910056</v>
      </c>
      <c r="Z67" s="380">
        <f t="shared" si="22"/>
        <v>30.208595715059904</v>
      </c>
      <c r="AA67" s="381">
        <f t="shared" si="13"/>
        <v>32.055567778782233</v>
      </c>
      <c r="AB67" s="193">
        <f t="shared" si="14"/>
        <v>47901</v>
      </c>
      <c r="AC67" s="119">
        <f>IF(OR(t&lt;Tnet,NoTnet),'2030'!Resal_s+('2030'!Salim-'2030'!Resal_s)*(1-EXP(('2030'!Tnet_s-t)/'2030'!Tau_j)),Resal_s+(Salim-Resal_s)*(1-EXP((Tnet_s-t)/Tau_j)))*Salcycl</f>
        <v>5.7617824038195757E-2</v>
      </c>
      <c r="AD67" s="227">
        <f>(INDEX(Models!$BJ67:$BT67,,AH67)*(1-AF67)+INDEX(Models!$BJ67:$BT67,,AH67+1)*AF67-ERP_i)*AE67*Ramure*Pc/MaxiM</f>
        <v>2.7081369836029099E-3</v>
      </c>
      <c r="AE67" s="301">
        <f t="shared" si="15"/>
        <v>0.5</v>
      </c>
      <c r="AF67" s="173">
        <f t="shared" si="23"/>
        <v>0.49896868032322583</v>
      </c>
      <c r="AG67" s="802">
        <f t="shared" si="24"/>
        <v>4</v>
      </c>
      <c r="AH67" s="172">
        <f t="shared" si="16"/>
        <v>10</v>
      </c>
      <c r="AI67" s="221">
        <f t="shared" si="17"/>
        <v>4.4989686803232258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47902</v>
      </c>
      <c r="B68" s="406">
        <f>'2030'!Wh/'2030'!Env_an*'2031'!Env_an</f>
        <v>31.086220580098498</v>
      </c>
      <c r="C68" s="832"/>
      <c r="D68" s="388">
        <f t="shared" si="0"/>
        <v>32.558365203625691</v>
      </c>
      <c r="E68" s="380">
        <f t="shared" si="1"/>
        <v>33.787742436063411</v>
      </c>
      <c r="F68" s="380">
        <f t="shared" si="2"/>
        <v>33.793544100709937</v>
      </c>
      <c r="G68" s="110">
        <f t="shared" si="21"/>
        <v>0.95617395010095763</v>
      </c>
      <c r="H68" s="409" t="b">
        <f>Wh_hp&gt;='2030'!Maxi_hp</f>
        <v>0</v>
      </c>
      <c r="I68" s="385">
        <f>IF(H68,Wh_hp,'2030'!Maxi_hp)</f>
        <v>33.793930327105848</v>
      </c>
      <c r="J68" s="85">
        <f>IF(H68,An,'2030'!An_max)</f>
        <v>2022</v>
      </c>
      <c r="K68" s="193">
        <f t="shared" si="3"/>
        <v>47902</v>
      </c>
      <c r="L68" s="143">
        <f>IF(t&lt;Tvie,1-EXP((T0-t)*PertePVj)+'2030'!Pspv,1-EXP((T0-t)*PertePVj)+Pspv)</f>
        <v>4.5215557179242305E-2</v>
      </c>
      <c r="M68" s="836"/>
      <c r="N68" s="836"/>
      <c r="O68" s="48">
        <f>IF(t&lt;Tnet,'2030'!Resal+('2030'!Salim-'2030'!Resal)*(1-EXP(('2030'!Tnet-t)/('2030'!Tau_j))),Resal+(Salim-Resal)*(1-EXP((Tnet-t)/(Tau_j))))*Salcycl</f>
        <v>3.6385302592029434E-2</v>
      </c>
      <c r="P68" s="165">
        <f>(INDEX(Models!$BJ68:$BT68,,T68)*(1-R68)+INDEX(Models!$BJ68:$BT68,,T68+1)*R68-ERP_i)*Q68*Ramure*Pc/MaxiM</f>
        <v>1.8314315009976075E-4</v>
      </c>
      <c r="Q68" s="301">
        <f t="shared" si="4"/>
        <v>0.5</v>
      </c>
      <c r="R68" s="173">
        <f t="shared" si="5"/>
        <v>0.97422349680962661</v>
      </c>
      <c r="S68" s="802">
        <f t="shared" si="6"/>
        <v>0</v>
      </c>
      <c r="T68" s="172">
        <f t="shared" si="7"/>
        <v>6</v>
      </c>
      <c r="U68" s="247">
        <f t="shared" si="8"/>
        <v>0.97422349680962661</v>
      </c>
      <c r="V68" s="378">
        <f t="shared" si="9"/>
        <v>32.510678793844036</v>
      </c>
      <c r="W68" s="397">
        <f t="shared" si="10"/>
        <v>31.086220580098498</v>
      </c>
      <c r="X68" s="153">
        <f t="shared" si="11"/>
        <v>47902</v>
      </c>
      <c r="Y68" s="380">
        <f t="shared" si="12"/>
        <v>30.339553979753425</v>
      </c>
      <c r="Z68" s="380">
        <f t="shared" si="22"/>
        <v>31.776338845781854</v>
      </c>
      <c r="AA68" s="381">
        <f t="shared" si="13"/>
        <v>33.719925349159652</v>
      </c>
      <c r="AB68" s="193">
        <f t="shared" si="14"/>
        <v>47902</v>
      </c>
      <c r="AC68" s="119">
        <f>IF(OR(t&lt;Tnet,NoTnet),'2030'!Resal_s+('2030'!Salim-'2030'!Resal_s)*(1-EXP(('2030'!Tnet_s-t)/'2030'!Tau_j)),Resal_s+(Salim-Resal_s)*(1-EXP((Tnet_s-t)/Tau_j)))*Salcycl</f>
        <v>5.7639110503731682E-2</v>
      </c>
      <c r="AD68" s="227">
        <f>(INDEX(Models!$BJ68:$BT68,,AH68)*(1-AF68)+INDEX(Models!$BJ68:$BT68,,AH68+1)*AF68-ERP_i)*AE68*Ramure*Pc/MaxiM</f>
        <v>2.3239485366340468E-3</v>
      </c>
      <c r="AE68" s="301">
        <f t="shared" si="15"/>
        <v>0.5</v>
      </c>
      <c r="AF68" s="173">
        <f t="shared" si="23"/>
        <v>0.49921106318360309</v>
      </c>
      <c r="AG68" s="802">
        <f t="shared" si="24"/>
        <v>4</v>
      </c>
      <c r="AH68" s="172">
        <f t="shared" si="16"/>
        <v>10</v>
      </c>
      <c r="AI68" s="221">
        <f t="shared" si="17"/>
        <v>4.4992110631836031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47903</v>
      </c>
      <c r="B69" s="406">
        <f>'2030'!Wh/'2030'!Env_an*'2031'!Env_an</f>
        <v>22.135223573427631</v>
      </c>
      <c r="C69" s="832"/>
      <c r="D69" s="388">
        <f t="shared" si="0"/>
        <v>23.183794789117233</v>
      </c>
      <c r="E69" s="380">
        <f t="shared" si="1"/>
        <v>24.060203369608107</v>
      </c>
      <c r="F69" s="380">
        <f t="shared" si="2"/>
        <v>24.062316689763964</v>
      </c>
      <c r="G69" s="110">
        <f t="shared" si="21"/>
        <v>0.67280044633987757</v>
      </c>
      <c r="H69" s="409" t="b">
        <f>Wh_hp&gt;='2030'!Maxi_hp</f>
        <v>0</v>
      </c>
      <c r="I69" s="385">
        <f>IF(H69,Wh_hp,'2030'!Maxi_hp)</f>
        <v>24.064164791213923</v>
      </c>
      <c r="J69" s="85">
        <f>IF(H69,An,'2030'!An_max)</f>
        <v>2022</v>
      </c>
      <c r="K69" s="193">
        <f t="shared" si="3"/>
        <v>47903</v>
      </c>
      <c r="L69" s="143">
        <f>IF(t&lt;Tvie,1-EXP((T0-t)*PertePVj)+'2030'!Pspv,1-EXP((T0-t)*PertePVj)+Pspv)</f>
        <v>4.5228627376473041E-2</v>
      </c>
      <c r="M69" s="836"/>
      <c r="N69" s="836"/>
      <c r="O69" s="48">
        <f>IF(t&lt;Tnet,'2030'!Resal+('2030'!Salim-'2030'!Resal)*(1-EXP(('2030'!Tnet-t)/('2030'!Tau_j))),Resal+(Salim-Resal)*(1-EXP((Tnet-t)/(Tau_j))))*Salcycl</f>
        <v>3.6425651397357699E-2</v>
      </c>
      <c r="P69" s="165">
        <f>(INDEX(Models!$BJ69:$BT69,,T69)*(1-R69)+INDEX(Models!$BJ69:$BT69,,T69+1)*R69-ERP_i)*Q69*Ramure*Pc/MaxiM</f>
        <v>1.6488800691941599E-4</v>
      </c>
      <c r="Q69" s="301">
        <f t="shared" si="4"/>
        <v>0.5</v>
      </c>
      <c r="R69" s="173">
        <f t="shared" si="5"/>
        <v>0.97447579573684484</v>
      </c>
      <c r="S69" s="802">
        <f t="shared" si="6"/>
        <v>0</v>
      </c>
      <c r="T69" s="172">
        <f t="shared" si="7"/>
        <v>6</v>
      </c>
      <c r="U69" s="247">
        <f t="shared" si="8"/>
        <v>0.97447579573684484</v>
      </c>
      <c r="V69" s="378">
        <f t="shared" si="9"/>
        <v>32.89759657642518</v>
      </c>
      <c r="W69" s="397">
        <f t="shared" si="10"/>
        <v>22.135223573427631</v>
      </c>
      <c r="X69" s="153">
        <f t="shared" si="11"/>
        <v>47903</v>
      </c>
      <c r="Y69" s="380">
        <f t="shared" si="12"/>
        <v>21.626265020264153</v>
      </c>
      <c r="Z69" s="380">
        <f t="shared" si="22"/>
        <v>22.650726278940855</v>
      </c>
      <c r="AA69" s="381">
        <f t="shared" si="13"/>
        <v>24.036690472355886</v>
      </c>
      <c r="AB69" s="193">
        <f t="shared" si="14"/>
        <v>47903</v>
      </c>
      <c r="AC69" s="119">
        <f>IF(OR(t&lt;Tnet,NoTnet),'2030'!Resal_s+('2030'!Salim-'2030'!Resal_s)*(1-EXP(('2030'!Tnet_s-t)/'2030'!Tau_j)),Resal_s+(Salim-Resal_s)*(1-EXP((Tnet_s-t)/Tau_j)))*Salcycl</f>
        <v>5.7660358650830114E-2</v>
      </c>
      <c r="AD69" s="227">
        <f>(INDEX(Models!$BJ69:$BT69,,AH69)*(1-AF69)+INDEX(Models!$BJ69:$BT69,,AH69+1)*AF69-ERP_i)*AE69*Ramure*Pc/MaxiM</f>
        <v>1.9994395556153554E-3</v>
      </c>
      <c r="AE69" s="301">
        <f t="shared" si="15"/>
        <v>0.5</v>
      </c>
      <c r="AF69" s="173">
        <f t="shared" si="23"/>
        <v>0.49946336211082176</v>
      </c>
      <c r="AG69" s="802">
        <f t="shared" si="24"/>
        <v>4</v>
      </c>
      <c r="AH69" s="172">
        <f t="shared" si="16"/>
        <v>10</v>
      </c>
      <c r="AI69" s="221">
        <f t="shared" si="17"/>
        <v>4.4994633621108218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47904</v>
      </c>
      <c r="B70" s="406">
        <f>'2030'!Wh/'2030'!Env_an*'2031'!Env_an</f>
        <v>24.438246578696621</v>
      </c>
      <c r="C70" s="832"/>
      <c r="D70" s="388">
        <f t="shared" si="0"/>
        <v>25.596265056834611</v>
      </c>
      <c r="E70" s="380">
        <f t="shared" si="1"/>
        <v>26.564982439171899</v>
      </c>
      <c r="F70" s="380">
        <f t="shared" si="2"/>
        <v>26.567476678321857</v>
      </c>
      <c r="G70" s="110">
        <f t="shared" si="21"/>
        <v>0.73415208708784863</v>
      </c>
      <c r="H70" s="409" t="b">
        <f>Wh_hp&gt;='2030'!Maxi_hp</f>
        <v>0</v>
      </c>
      <c r="I70" s="385">
        <f>IF(H70,Wh_hp,'2030'!Maxi_hp)</f>
        <v>26.56899815763115</v>
      </c>
      <c r="J70" s="85">
        <f>IF(H70,An,'2030'!An_max)</f>
        <v>2022</v>
      </c>
      <c r="K70" s="193">
        <f t="shared" si="3"/>
        <v>47904</v>
      </c>
      <c r="L70" s="143">
        <f>IF(t&lt;Tvie,1-EXP((T0-t)*PertePVj)+'2030'!Pspv,1-EXP((T0-t)*PertePVj)+Pspv)</f>
        <v>4.5241697394783786E-2</v>
      </c>
      <c r="M70" s="836"/>
      <c r="N70" s="836"/>
      <c r="O70" s="48">
        <f>IF(t&lt;Tnet,'2030'!Resal+('2030'!Salim-'2030'!Resal)*(1-EXP(('2030'!Tnet-t)/('2030'!Tau_j))),Resal+(Salim-Resal)*(1-EXP((Tnet-t)/(Tau_j))))*Salcycl</f>
        <v>3.6465952294734039E-2</v>
      </c>
      <c r="P70" s="165">
        <f>(INDEX(Models!$BJ70:$BT70,,T70)*(1-R70)+INDEX(Models!$BJ70:$BT70,,T70+1)*R70-ERP_i)*Q70*Ramure*Pc/MaxiM</f>
        <v>1.5135672360609681E-4</v>
      </c>
      <c r="Q70" s="301">
        <f t="shared" si="4"/>
        <v>0.5</v>
      </c>
      <c r="R70" s="173">
        <f t="shared" si="5"/>
        <v>0.97473840552898094</v>
      </c>
      <c r="S70" s="802">
        <f t="shared" si="6"/>
        <v>0</v>
      </c>
      <c r="T70" s="172">
        <f t="shared" si="7"/>
        <v>6</v>
      </c>
      <c r="U70" s="247">
        <f t="shared" si="8"/>
        <v>0.97473840552898094</v>
      </c>
      <c r="V70" s="378">
        <f t="shared" si="9"/>
        <v>33.285803206092773</v>
      </c>
      <c r="W70" s="397">
        <f t="shared" si="10"/>
        <v>24.438246578696621</v>
      </c>
      <c r="X70" s="153">
        <f t="shared" si="11"/>
        <v>47904</v>
      </c>
      <c r="Y70" s="380">
        <f t="shared" si="12"/>
        <v>23.876708446492476</v>
      </c>
      <c r="Z70" s="380">
        <f t="shared" si="22"/>
        <v>25.008118160733371</v>
      </c>
      <c r="AA70" s="381">
        <f t="shared" si="13"/>
        <v>26.538924984903581</v>
      </c>
      <c r="AB70" s="193">
        <f t="shared" si="14"/>
        <v>47904</v>
      </c>
      <c r="AC70" s="119">
        <f>IF(OR(t&lt;Tnet,NoTnet),'2030'!Resal_s+('2030'!Salim-'2030'!Resal_s)*(1-EXP(('2030'!Tnet_s-t)/'2030'!Tau_j)),Resal_s+(Salim-Resal_s)*(1-EXP((Tnet_s-t)/Tau_j)))*Salcycl</f>
        <v>5.7681568678497531E-2</v>
      </c>
      <c r="AD70" s="227">
        <f>(INDEX(Models!$BJ70:$BT70,,AH70)*(1-AF70)+INDEX(Models!$BJ70:$BT70,,AH70+1)*AF70-ERP_i)*AE70*Ramure*Pc/MaxiM</f>
        <v>1.7325887813393456E-3</v>
      </c>
      <c r="AE70" s="301">
        <f t="shared" si="15"/>
        <v>0.5</v>
      </c>
      <c r="AF70" s="173">
        <f t="shared" si="23"/>
        <v>0.49972597190295787</v>
      </c>
      <c r="AG70" s="802">
        <f t="shared" si="24"/>
        <v>4</v>
      </c>
      <c r="AH70" s="172">
        <f t="shared" si="16"/>
        <v>10</v>
      </c>
      <c r="AI70" s="221">
        <f t="shared" si="17"/>
        <v>4.4997259719029579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47905</v>
      </c>
      <c r="B71" s="406">
        <f>'2030'!Wh/'2030'!Env_an*'2031'!Env_an</f>
        <v>34.414357974079451</v>
      </c>
      <c r="C71" s="832"/>
      <c r="D71" s="388">
        <f t="shared" si="0"/>
        <v>36.045592890140675</v>
      </c>
      <c r="E71" s="380">
        <f t="shared" si="1"/>
        <v>37.41133893771778</v>
      </c>
      <c r="F71" s="380">
        <f t="shared" si="2"/>
        <v>37.416666766304843</v>
      </c>
      <c r="G71" s="110">
        <f t="shared" si="21"/>
        <v>1.0219405426181238</v>
      </c>
      <c r="H71" s="409" t="b">
        <f>Wh_hp&gt;='2030'!Maxi_hp</f>
        <v>0</v>
      </c>
      <c r="I71" s="385">
        <f>IF(H71,Wh_hp,'2030'!Maxi_hp)</f>
        <v>37.41666676630485</v>
      </c>
      <c r="J71" s="85">
        <f>IF(H71,An,'2030'!An_max)</f>
        <v>2029</v>
      </c>
      <c r="K71" s="193">
        <f t="shared" si="3"/>
        <v>47905</v>
      </c>
      <c r="L71" s="143">
        <f>IF(t&lt;Tvie,1-EXP((T0-t)*PertePVj)+'2030'!Pspv,1-EXP((T0-t)*PertePVj)+Pspv)</f>
        <v>4.5254767234176985E-2</v>
      </c>
      <c r="M71" s="836"/>
      <c r="N71" s="836"/>
      <c r="O71" s="48">
        <f>IF(t&lt;Tnet,'2030'!Resal+('2030'!Salim-'2030'!Resal)*(1-EXP(('2030'!Tnet-t)/('2030'!Tau_j))),Resal+(Salim-Resal)*(1-EXP((Tnet-t)/(Tau_j))))*Salcycl</f>
        <v>3.6506206042258717E-2</v>
      </c>
      <c r="P71" s="165">
        <f>(INDEX(Models!$BJ71:$BT71,,T71)*(1-R71)+INDEX(Models!$BJ71:$BT71,,T71+1)*R71-ERP_i)*Q71*Ramure*Pc/MaxiM</f>
        <v>1.4239185495432309E-4</v>
      </c>
      <c r="Q71" s="301">
        <f t="shared" si="4"/>
        <v>0.5</v>
      </c>
      <c r="R71" s="173">
        <f t="shared" si="5"/>
        <v>0.97501173578454625</v>
      </c>
      <c r="S71" s="802">
        <f t="shared" si="6"/>
        <v>0</v>
      </c>
      <c r="T71" s="172">
        <f t="shared" si="7"/>
        <v>6</v>
      </c>
      <c r="U71" s="247">
        <f t="shared" si="8"/>
        <v>0.97501173578454625</v>
      </c>
      <c r="V71" s="378">
        <f t="shared" si="9"/>
        <v>33.675499247649796</v>
      </c>
      <c r="W71" s="397">
        <f t="shared" si="10"/>
        <v>34.414357974079451</v>
      </c>
      <c r="X71" s="153">
        <f t="shared" si="11"/>
        <v>47905</v>
      </c>
      <c r="Y71" s="380">
        <f t="shared" si="12"/>
        <v>33.610831511071517</v>
      </c>
      <c r="Z71" s="380">
        <f t="shared" si="22"/>
        <v>35.20397940475025</v>
      </c>
      <c r="AA71" s="381">
        <f t="shared" si="13"/>
        <v>37.359738764207798</v>
      </c>
      <c r="AB71" s="193">
        <f t="shared" si="14"/>
        <v>47905</v>
      </c>
      <c r="AC71" s="119">
        <f>IF(OR(t&lt;Tnet,NoTnet),'2030'!Resal_s+('2030'!Salim-'2030'!Resal_s)*(1-EXP(('2030'!Tnet_s-t)/'2030'!Tau_j)),Resal_s+(Salim-Resal_s)*(1-EXP((Tnet_s-t)/Tau_j)))*Salcycl</f>
        <v>5.7702741795476846E-2</v>
      </c>
      <c r="AD71" s="227">
        <f>(INDEX(Models!$BJ71:$BT71,,AH71)*(1-AF71)+INDEX(Models!$BJ71:$BT71,,AH71+1)*AF71-ERP_i)*AE71*Ramure*Pc/MaxiM</f>
        <v>1.5214610764930814E-3</v>
      </c>
      <c r="AE71" s="301">
        <f t="shared" si="15"/>
        <v>0.5</v>
      </c>
      <c r="AF71" s="173">
        <f t="shared" si="23"/>
        <v>0.49999930215852295</v>
      </c>
      <c r="AG71" s="802">
        <f t="shared" si="24"/>
        <v>4</v>
      </c>
      <c r="AH71" s="172">
        <f t="shared" si="16"/>
        <v>10</v>
      </c>
      <c r="AI71" s="221">
        <f t="shared" si="17"/>
        <v>4.499999302158523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47906</v>
      </c>
      <c r="B72" s="406">
        <f>'2030'!Wh/'2030'!Env_an*'2031'!Env_an</f>
        <v>22.012361704179234</v>
      </c>
      <c r="C72" s="832"/>
      <c r="D72" s="388">
        <f t="shared" si="0"/>
        <v>23.056059651936533</v>
      </c>
      <c r="E72" s="380">
        <f t="shared" si="1"/>
        <v>23.930638682107766</v>
      </c>
      <c r="F72" s="380">
        <f t="shared" si="2"/>
        <v>23.932266698745767</v>
      </c>
      <c r="G72" s="110">
        <f t="shared" si="21"/>
        <v>0.64610617187374753</v>
      </c>
      <c r="H72" s="409" t="b">
        <f>Wh_hp&gt;='2030'!Maxi_hp</f>
        <v>0</v>
      </c>
      <c r="I72" s="385">
        <f>IF(H72,Wh_hp,'2030'!Maxi_hp)</f>
        <v>23.933924564086386</v>
      </c>
      <c r="J72" s="85">
        <f>IF(H72,An,'2030'!An_max)</f>
        <v>2022</v>
      </c>
      <c r="K72" s="193">
        <f t="shared" si="3"/>
        <v>47906</v>
      </c>
      <c r="L72" s="143">
        <f>IF(t&lt;Tvie,1-EXP((T0-t)*PertePVj)+'2030'!Pspv,1-EXP((T0-t)*PertePVj)+Pspv)</f>
        <v>4.5267836894654967E-2</v>
      </c>
      <c r="M72" s="836"/>
      <c r="N72" s="836"/>
      <c r="O72" s="48">
        <f>IF(t&lt;Tnet,'2030'!Resal+('2030'!Salim-'2030'!Resal)*(1-EXP(('2030'!Tnet-t)/('2030'!Tau_j))),Resal+(Salim-Resal)*(1-EXP((Tnet-t)/(Tau_j))))*Salcycl</f>
        <v>3.6546414067298943E-2</v>
      </c>
      <c r="P72" s="165">
        <f>(INDEX(Models!$BJ72:$BT72,,T72)*(1-R72)+INDEX(Models!$BJ72:$BT72,,T72+1)*R72-ERP_i)*Q72*Ramure*Pc/MaxiM</f>
        <v>1.3756479952688563E-4</v>
      </c>
      <c r="Q72" s="301">
        <f t="shared" si="4"/>
        <v>0.5</v>
      </c>
      <c r="R72" s="173">
        <f t="shared" si="5"/>
        <v>0.9752962113793564</v>
      </c>
      <c r="S72" s="802">
        <f t="shared" si="6"/>
        <v>0</v>
      </c>
      <c r="T72" s="172">
        <f t="shared" si="7"/>
        <v>6</v>
      </c>
      <c r="U72" s="247">
        <f t="shared" si="8"/>
        <v>0.9752962113793564</v>
      </c>
      <c r="V72" s="378">
        <f t="shared" si="9"/>
        <v>34.066894645574799</v>
      </c>
      <c r="W72" s="397">
        <f t="shared" si="10"/>
        <v>22.012361704179234</v>
      </c>
      <c r="X72" s="153">
        <f t="shared" si="11"/>
        <v>47906</v>
      </c>
      <c r="Y72" s="380">
        <f t="shared" si="12"/>
        <v>21.515472234430206</v>
      </c>
      <c r="Z72" s="380">
        <f t="shared" si="22"/>
        <v>22.535610578415373</v>
      </c>
      <c r="AA72" s="381">
        <f t="shared" si="13"/>
        <v>23.916143162716235</v>
      </c>
      <c r="AB72" s="193">
        <f t="shared" si="14"/>
        <v>47906</v>
      </c>
      <c r="AC72" s="119">
        <f>IF(OR(t&lt;Tnet,NoTnet),'2030'!Resal_s+('2030'!Salim-'2030'!Resal_s)*(1-EXP(('2030'!Tnet_s-t)/'2030'!Tau_j)),Resal_s+(Salim-Resal_s)*(1-EXP((Tnet_s-t)/Tau_j)))*Salcycl</f>
        <v>5.7723880263981162E-2</v>
      </c>
      <c r="AD72" s="227">
        <f>(INDEX(Models!$BJ72:$BT72,,AH72)*(1-AF72)+INDEX(Models!$BJ72:$BT72,,AH72+1)*AF72-ERP_i)*AE72*Ramure*Pc/MaxiM</f>
        <v>1.3624129814128472E-3</v>
      </c>
      <c r="AE72" s="301">
        <f t="shared" si="15"/>
        <v>0.5</v>
      </c>
      <c r="AF72" s="173">
        <f t="shared" si="23"/>
        <v>0.50028377775333333</v>
      </c>
      <c r="AG72" s="802">
        <f t="shared" si="24"/>
        <v>4</v>
      </c>
      <c r="AH72" s="172">
        <f t="shared" si="16"/>
        <v>10</v>
      </c>
      <c r="AI72" s="221">
        <f t="shared" si="17"/>
        <v>4.5002837777533333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47907</v>
      </c>
      <c r="B73" s="406">
        <f>'2030'!Wh/'2030'!Env_an*'2031'!Env_an</f>
        <v>32.101580004608422</v>
      </c>
      <c r="C73" s="832"/>
      <c r="D73" s="388">
        <f t="shared" si="0"/>
        <v>33.624110190110535</v>
      </c>
      <c r="E73" s="380">
        <f t="shared" si="1"/>
        <v>34.90101906352389</v>
      </c>
      <c r="F73" s="380">
        <f t="shared" si="2"/>
        <v>34.905188070349169</v>
      </c>
      <c r="G73" s="110">
        <f t="shared" si="21"/>
        <v>0.93153939958256782</v>
      </c>
      <c r="H73" s="409" t="b">
        <f>Wh_hp&gt;='2030'!Maxi_hp</f>
        <v>0</v>
      </c>
      <c r="I73" s="385">
        <f>IF(H73,Wh_hp,'2030'!Maxi_hp)</f>
        <v>34.905638121982101</v>
      </c>
      <c r="J73" s="85">
        <f>IF(H73,An,'2030'!An_max)</f>
        <v>2022</v>
      </c>
      <c r="K73" s="193">
        <f t="shared" si="3"/>
        <v>47907</v>
      </c>
      <c r="L73" s="143">
        <f>IF(t&lt;Tvie,1-EXP((T0-t)*PertePVj)+'2030'!Pspv,1-EXP((T0-t)*PertePVj)+Pspv)</f>
        <v>4.5280906376220398E-2</v>
      </c>
      <c r="M73" s="836"/>
      <c r="N73" s="836"/>
      <c r="O73" s="48">
        <f>IF(t&lt;Tnet,'2030'!Resal+('2030'!Salim-'2030'!Resal)*(1-EXP(('2030'!Tnet-t)/('2030'!Tau_j))),Resal+(Salim-Resal)*(1-EXP((Tnet-t)/(Tau_j))))*Salcycl</f>
        <v>3.6586578491855176E-2</v>
      </c>
      <c r="P73" s="165">
        <f>(INDEX(Models!$BJ73:$BT73,,T73)*(1-R73)+INDEX(Models!$BJ73:$BT73,,T73+1)*R73-ERP_i)*Q73*Ramure*Pc/MaxiM</f>
        <v>1.3238290910429706E-4</v>
      </c>
      <c r="Q73" s="301">
        <f t="shared" si="4"/>
        <v>0.5</v>
      </c>
      <c r="R73" s="173">
        <f t="shared" si="5"/>
        <v>0.97559227295194406</v>
      </c>
      <c r="S73" s="802">
        <f t="shared" si="6"/>
        <v>0</v>
      </c>
      <c r="T73" s="172">
        <f t="shared" si="7"/>
        <v>6</v>
      </c>
      <c r="U73" s="247">
        <f t="shared" si="8"/>
        <v>0.97559227295194406</v>
      </c>
      <c r="V73" s="378">
        <f t="shared" si="9"/>
        <v>34.460339968673239</v>
      </c>
      <c r="W73" s="397">
        <f t="shared" si="10"/>
        <v>32.101580004608422</v>
      </c>
      <c r="X73" s="153">
        <f t="shared" si="11"/>
        <v>47907</v>
      </c>
      <c r="Y73" s="380">
        <f t="shared" si="12"/>
        <v>31.365808710028443</v>
      </c>
      <c r="Z73" s="380">
        <f t="shared" si="22"/>
        <v>32.853442357557562</v>
      </c>
      <c r="AA73" s="381">
        <f t="shared" si="13"/>
        <v>34.866826835078363</v>
      </c>
      <c r="AB73" s="193">
        <f t="shared" si="14"/>
        <v>47907</v>
      </c>
      <c r="AC73" s="119">
        <f>IF(OR(t&lt;Tnet,NoTnet),'2030'!Resal_s+('2030'!Salim-'2030'!Resal_s)*(1-EXP(('2030'!Tnet_s-t)/'2030'!Tau_j)),Resal_s+(Salim-Resal_s)*(1-EXP((Tnet_s-t)/Tau_j)))*Salcycl</f>
        <v>5.7744987435885749E-2</v>
      </c>
      <c r="AD73" s="227">
        <f>(INDEX(Models!$BJ73:$BT73,,AH73)*(1-AF73)+INDEX(Models!$BJ73:$BT73,,AH73+1)*AF73-ERP_i)*AE73*Ramure*Pc/MaxiM</f>
        <v>1.2181251158408118E-3</v>
      </c>
      <c r="AE73" s="301">
        <f t="shared" si="15"/>
        <v>0.5</v>
      </c>
      <c r="AF73" s="173">
        <f t="shared" si="23"/>
        <v>0.50057983932592087</v>
      </c>
      <c r="AG73" s="802">
        <f t="shared" si="24"/>
        <v>4</v>
      </c>
      <c r="AH73" s="172">
        <f t="shared" si="16"/>
        <v>10</v>
      </c>
      <c r="AI73" s="221">
        <f t="shared" si="17"/>
        <v>4.5005798393259209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47908</v>
      </c>
      <c r="B74" s="406">
        <f>'2030'!Wh/'2030'!Env_an*'2031'!Env_an</f>
        <v>33.870913581309935</v>
      </c>
      <c r="C74" s="832"/>
      <c r="D74" s="388">
        <f t="shared" si="0"/>
        <v>35.477846288227809</v>
      </c>
      <c r="E74" s="380">
        <f t="shared" si="1"/>
        <v>36.826686360852314</v>
      </c>
      <c r="F74" s="380">
        <f t="shared" si="2"/>
        <v>36.831170037799346</v>
      </c>
      <c r="G74" s="110">
        <f t="shared" si="21"/>
        <v>0.97173242298941287</v>
      </c>
      <c r="H74" s="409" t="b">
        <f>Wh_hp&gt;='2030'!Maxi_hp</f>
        <v>0</v>
      </c>
      <c r="I74" s="385">
        <f>IF(H74,Wh_hp,'2030'!Maxi_hp)</f>
        <v>36.831357903305943</v>
      </c>
      <c r="J74" s="85">
        <f>IF(H74,An,'2030'!An_max)</f>
        <v>2022</v>
      </c>
      <c r="K74" s="193">
        <f t="shared" si="3"/>
        <v>47908</v>
      </c>
      <c r="L74" s="143">
        <f>IF(t&lt;Tvie,1-EXP((T0-t)*PertePVj)+'2030'!Pspv,1-EXP((T0-t)*PertePVj)+Pspv)</f>
        <v>4.5293975678875498E-2</v>
      </c>
      <c r="M74" s="836"/>
      <c r="N74" s="836"/>
      <c r="O74" s="48">
        <f>IF(t&lt;Tnet,'2030'!Resal+('2030'!Salim-'2030'!Resal)*(1-EXP(('2030'!Tnet-t)/('2030'!Tau_j))),Resal+(Salim-Resal)*(1-EXP((Tnet-t)/(Tau_j))))*Salcycl</f>
        <v>3.6626702153098309E-2</v>
      </c>
      <c r="P74" s="165">
        <f>(INDEX(Models!$BJ74:$BT74,,T74)*(1-R74)+INDEX(Models!$BJ74:$BT74,,T74+1)*R74-ERP_i)*Q74*Ramure*Pc/MaxiM</f>
        <v>1.2685783892272461E-4</v>
      </c>
      <c r="Q74" s="301">
        <f t="shared" si="4"/>
        <v>0.5</v>
      </c>
      <c r="R74" s="173">
        <f t="shared" si="5"/>
        <v>0.97590037739700286</v>
      </c>
      <c r="S74" s="802">
        <f t="shared" si="6"/>
        <v>0</v>
      </c>
      <c r="T74" s="172">
        <f t="shared" si="7"/>
        <v>6</v>
      </c>
      <c r="U74" s="247">
        <f t="shared" si="8"/>
        <v>0.97590037739700286</v>
      </c>
      <c r="V74" s="378">
        <f t="shared" si="9"/>
        <v>34.85603575153668</v>
      </c>
      <c r="W74" s="397">
        <f t="shared" si="10"/>
        <v>33.870913581309935</v>
      </c>
      <c r="X74" s="153">
        <f t="shared" si="11"/>
        <v>47908</v>
      </c>
      <c r="Y74" s="380">
        <f t="shared" si="12"/>
        <v>33.097119195580419</v>
      </c>
      <c r="Z74" s="380">
        <f t="shared" si="22"/>
        <v>34.667340890736732</v>
      </c>
      <c r="AA74" s="381">
        <f t="shared" si="13"/>
        <v>36.792711136076079</v>
      </c>
      <c r="AB74" s="193">
        <f t="shared" si="14"/>
        <v>47908</v>
      </c>
      <c r="AC74" s="119">
        <f>IF(OR(t&lt;Tnet,NoTnet),'2030'!Resal_s+('2030'!Salim-'2030'!Resal_s)*(1-EXP(('2030'!Tnet_s-t)/'2030'!Tau_j)),Resal_s+(Salim-Resal_s)*(1-EXP((Tnet_s-t)/Tau_j)))*Salcycl</f>
        <v>5.7766067781163791E-2</v>
      </c>
      <c r="AD74" s="227">
        <f>(INDEX(Models!$BJ74:$BT74,,AH74)*(1-AF74)+INDEX(Models!$BJ74:$BT74,,AH74+1)*AF74-ERP_i)*AE74*Ramure*Pc/MaxiM</f>
        <v>1.0881277169595641E-3</v>
      </c>
      <c r="AE74" s="301">
        <f t="shared" si="15"/>
        <v>0.5</v>
      </c>
      <c r="AF74" s="173">
        <f t="shared" si="23"/>
        <v>0.50088794377098012</v>
      </c>
      <c r="AG74" s="802">
        <f t="shared" si="24"/>
        <v>4</v>
      </c>
      <c r="AH74" s="172">
        <f t="shared" si="16"/>
        <v>10</v>
      </c>
      <c r="AI74" s="221">
        <f t="shared" si="17"/>
        <v>4.5008879437709801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47909</v>
      </c>
      <c r="B75" s="406">
        <f>'2030'!Wh/'2030'!Env_an*'2031'!Env_an</f>
        <v>15.651198003420756</v>
      </c>
      <c r="C75" s="832"/>
      <c r="D75" s="388">
        <f t="shared" si="0"/>
        <v>16.393959878110721</v>
      </c>
      <c r="E75" s="380">
        <f t="shared" si="1"/>
        <v>17.017953584937043</v>
      </c>
      <c r="F75" s="380">
        <f t="shared" si="2"/>
        <v>17.018377061581287</v>
      </c>
      <c r="G75" s="110">
        <f t="shared" si="21"/>
        <v>0.44391026889952456</v>
      </c>
      <c r="H75" s="409" t="b">
        <f>Wh_hp&gt;='2030'!Maxi_hp</f>
        <v>0</v>
      </c>
      <c r="I75" s="385">
        <f>IF(H75,Wh_hp,'2030'!Maxi_hp)</f>
        <v>17.020005743772145</v>
      </c>
      <c r="J75" s="85">
        <f>IF(H75,An,'2030'!An_max)</f>
        <v>2022</v>
      </c>
      <c r="K75" s="193">
        <f t="shared" si="3"/>
        <v>47909</v>
      </c>
      <c r="L75" s="143">
        <f>IF(t&lt;Tvie,1-EXP((T0-t)*PertePVj)+'2030'!Pspv,1-EXP((T0-t)*PertePVj)+Pspv)</f>
        <v>4.530704480262282E-2</v>
      </c>
      <c r="M75" s="836"/>
      <c r="N75" s="836"/>
      <c r="O75" s="48">
        <f>IF(t&lt;Tnet,'2030'!Resal+('2030'!Salim-'2030'!Resal)*(1-EXP(('2030'!Tnet-t)/('2030'!Tau_j))),Resal+(Salim-Resal)*(1-EXP((Tnet-t)/(Tau_j))))*Salcycl</f>
        <v>3.666678861896952E-2</v>
      </c>
      <c r="P75" s="165">
        <f>(INDEX(Models!$BJ75:$BT75,,T75)*(1-R75)+INDEX(Models!$BJ75:$BT75,,T75+1)*R75-ERP_i)*Q75*Ramure*Pc/MaxiM</f>
        <v>1.2100096039990737E-4</v>
      </c>
      <c r="Q75" s="301">
        <f t="shared" si="4"/>
        <v>0.5</v>
      </c>
      <c r="R75" s="173">
        <f t="shared" si="5"/>
        <v>0.97622099836626441</v>
      </c>
      <c r="S75" s="802">
        <f t="shared" si="6"/>
        <v>0</v>
      </c>
      <c r="T75" s="172">
        <f t="shared" si="7"/>
        <v>6</v>
      </c>
      <c r="U75" s="247">
        <f t="shared" si="8"/>
        <v>0.97622099836626441</v>
      </c>
      <c r="V75" s="378">
        <f t="shared" si="9"/>
        <v>35.254182452792321</v>
      </c>
      <c r="W75" s="397">
        <f t="shared" si="10"/>
        <v>15.651198003420756</v>
      </c>
      <c r="X75" s="153">
        <f t="shared" si="11"/>
        <v>47909</v>
      </c>
      <c r="Y75" s="380">
        <f t="shared" si="12"/>
        <v>15.305378582467085</v>
      </c>
      <c r="Z75" s="380">
        <f t="shared" si="22"/>
        <v>16.031728839250508</v>
      </c>
      <c r="AA75" s="381">
        <f t="shared" si="13"/>
        <v>17.014975380932349</v>
      </c>
      <c r="AB75" s="193">
        <f t="shared" si="14"/>
        <v>47909</v>
      </c>
      <c r="AC75" s="119">
        <f>IF(OR(t&lt;Tnet,NoTnet),'2030'!Resal_s+('2030'!Salim-'2030'!Resal_s)*(1-EXP(('2030'!Tnet_s-t)/'2030'!Tau_j)),Resal_s+(Salim-Resal_s)*(1-EXP((Tnet_s-t)/Tau_j)))*Salcycl</f>
        <v>5.7787126908435384E-2</v>
      </c>
      <c r="AD75" s="227">
        <f>(INDEX(Models!$BJ75:$BT75,,AH75)*(1-AF75)+INDEX(Models!$BJ75:$BT75,,AH75+1)*AF75-ERP_i)*AE75*Ramure*Pc/MaxiM</f>
        <v>9.7197007459254954E-4</v>
      </c>
      <c r="AE75" s="301">
        <f t="shared" si="15"/>
        <v>0.5</v>
      </c>
      <c r="AF75" s="173">
        <f t="shared" si="23"/>
        <v>0.50120856474024134</v>
      </c>
      <c r="AG75" s="802">
        <f t="shared" si="24"/>
        <v>4</v>
      </c>
      <c r="AH75" s="172">
        <f t="shared" si="16"/>
        <v>10</v>
      </c>
      <c r="AI75" s="221">
        <f t="shared" si="17"/>
        <v>4.5012085647402413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47910</v>
      </c>
      <c r="B76" s="406">
        <f>'2030'!Wh/'2030'!Env_an*'2031'!Env_an</f>
        <v>26.998666047239013</v>
      </c>
      <c r="C76" s="832"/>
      <c r="D76" s="388">
        <f t="shared" si="0"/>
        <v>28.280334000979714</v>
      </c>
      <c r="E76" s="380">
        <f t="shared" si="1"/>
        <v>29.357972463472692</v>
      </c>
      <c r="F76" s="380">
        <f t="shared" si="2"/>
        <v>29.360174457680937</v>
      </c>
      <c r="G76" s="110">
        <f t="shared" si="21"/>
        <v>0.75718989120149671</v>
      </c>
      <c r="H76" s="409" t="b">
        <f>Wh_hp&gt;='2030'!Maxi_hp</f>
        <v>0</v>
      </c>
      <c r="I76" s="385">
        <f>IF(H76,Wh_hp,'2030'!Maxi_hp)</f>
        <v>29.361338384403382</v>
      </c>
      <c r="J76" s="85">
        <f>IF(H76,An,'2030'!An_max)</f>
        <v>2022</v>
      </c>
      <c r="K76" s="193">
        <f t="shared" si="3"/>
        <v>47910</v>
      </c>
      <c r="L76" s="143">
        <f>IF(t&lt;Tvie,1-EXP((T0-t)*PertePVj)+'2030'!Pspv,1-EXP((T0-t)*PertePVj)+Pspv)</f>
        <v>4.5320113747464918E-2</v>
      </c>
      <c r="M76" s="836"/>
      <c r="N76" s="836"/>
      <c r="O76" s="48">
        <f>IF(t&lt;Tnet,'2030'!Resal+('2030'!Salim-'2030'!Resal)*(1-EXP(('2030'!Tnet-t)/('2030'!Tau_j))),Resal+(Salim-Resal)*(1-EXP((Tnet-t)/(Tau_j))))*Salcycl</f>
        <v>3.6706842198785422E-2</v>
      </c>
      <c r="P76" s="165">
        <f>(INDEX(Models!$BJ76:$BT76,,T76)*(1-R76)+INDEX(Models!$BJ76:$BT76,,T76+1)*R76-ERP_i)*Q76*Ramure*Pc/MaxiM</f>
        <v>1.1482337678235165E-4</v>
      </c>
      <c r="Q76" s="301">
        <f t="shared" si="4"/>
        <v>0.5</v>
      </c>
      <c r="R76" s="173">
        <f t="shared" si="5"/>
        <v>0.97655462677612226</v>
      </c>
      <c r="S76" s="802">
        <f t="shared" si="6"/>
        <v>0</v>
      </c>
      <c r="T76" s="172">
        <f t="shared" si="7"/>
        <v>6</v>
      </c>
      <c r="U76" s="247">
        <f t="shared" si="8"/>
        <v>0.97655462677612226</v>
      </c>
      <c r="V76" s="378">
        <f t="shared" si="9"/>
        <v>35.654980454567621</v>
      </c>
      <c r="W76" s="397">
        <f t="shared" si="10"/>
        <v>26.998666047239013</v>
      </c>
      <c r="X76" s="153">
        <f t="shared" si="11"/>
        <v>47910</v>
      </c>
      <c r="Y76" s="380">
        <f t="shared" si="12"/>
        <v>26.394236119296256</v>
      </c>
      <c r="Z76" s="380">
        <f t="shared" si="22"/>
        <v>27.647210860284495</v>
      </c>
      <c r="AA76" s="381">
        <f t="shared" si="13"/>
        <v>29.34350524624719</v>
      </c>
      <c r="AB76" s="193">
        <f t="shared" si="14"/>
        <v>47910</v>
      </c>
      <c r="AC76" s="119">
        <f>IF(OR(t&lt;Tnet,NoTnet),'2030'!Resal_s+('2030'!Salim-'2030'!Resal_s)*(1-EXP(('2030'!Tnet_s-t)/'2030'!Tau_j)),Resal_s+(Salim-Resal_s)*(1-EXP((Tnet_s-t)/Tau_j)))*Salcycl</f>
        <v>5.780817157758069E-2</v>
      </c>
      <c r="AD76" s="227">
        <f>(INDEX(Models!$BJ76:$BT76,,AH76)*(1-AF76)+INDEX(Models!$BJ76:$BT76,,AH76+1)*AF76-ERP_i)*AE76*Ramure*Pc/MaxiM</f>
        <v>8.6921897339950341E-4</v>
      </c>
      <c r="AE76" s="301">
        <f t="shared" si="15"/>
        <v>0.5</v>
      </c>
      <c r="AF76" s="173">
        <f t="shared" si="23"/>
        <v>0.50154219315009918</v>
      </c>
      <c r="AG76" s="802">
        <f t="shared" si="24"/>
        <v>4</v>
      </c>
      <c r="AH76" s="172">
        <f t="shared" si="16"/>
        <v>10</v>
      </c>
      <c r="AI76" s="221">
        <f t="shared" si="17"/>
        <v>4.5015421931500992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47911</v>
      </c>
      <c r="B77" s="406">
        <f>'2030'!Wh/'2030'!Env_an*'2031'!Env_an</f>
        <v>5.3175559298142145</v>
      </c>
      <c r="C77" s="832"/>
      <c r="D77" s="388">
        <f t="shared" si="0"/>
        <v>5.5700646889707945</v>
      </c>
      <c r="E77" s="380">
        <f t="shared" si="1"/>
        <v>5.7825554920437865</v>
      </c>
      <c r="F77" s="380">
        <f t="shared" si="2"/>
        <v>5.7825554920437865</v>
      </c>
      <c r="G77" s="110">
        <f t="shared" si="21"/>
        <v>0.14745373958728719</v>
      </c>
      <c r="H77" s="409" t="b">
        <f>Wh_hp&gt;='2030'!Maxi_hp</f>
        <v>0</v>
      </c>
      <c r="I77" s="385">
        <f>IF(H77,Wh_hp,'2030'!Maxi_hp)</f>
        <v>5.7831789540560674</v>
      </c>
      <c r="J77" s="85">
        <f>IF(H77,An,'2030'!An_max)</f>
        <v>2022</v>
      </c>
      <c r="K77" s="193">
        <f t="shared" si="3"/>
        <v>47911</v>
      </c>
      <c r="L77" s="143">
        <f>IF(t&lt;Tvie,1-EXP((T0-t)*PertePVj)+'2030'!Pspv,1-EXP((T0-t)*PertePVj)+Pspv)</f>
        <v>4.5333182513404013E-2</v>
      </c>
      <c r="M77" s="836"/>
      <c r="N77" s="836"/>
      <c r="O77" s="48">
        <f>IF(t&lt;Tnet,'2030'!Resal+('2030'!Salim-'2030'!Resal)*(1-EXP(('2030'!Tnet-t)/('2030'!Tau_j))),Resal+(Salim-Resal)*(1-EXP((Tnet-t)/(Tau_j))))*Salcycl</f>
        <v>3.6746867948843354E-2</v>
      </c>
      <c r="P77" s="165">
        <f>(INDEX(Models!$BJ77:$BT77,,T77)*(1-R77)+INDEX(Models!$BJ77:$BT77,,T77+1)*R77-ERP_i)*Q77*Ramure*Pc/MaxiM</f>
        <v>1.0833593465403871E-4</v>
      </c>
      <c r="Q77" s="301">
        <f t="shared" si="4"/>
        <v>0.5</v>
      </c>
      <c r="R77" s="173">
        <f t="shared" si="5"/>
        <v>0.97690177132122058</v>
      </c>
      <c r="S77" s="802">
        <f t="shared" si="6"/>
        <v>0</v>
      </c>
      <c r="T77" s="172">
        <f t="shared" si="7"/>
        <v>6</v>
      </c>
      <c r="U77" s="247">
        <f t="shared" si="8"/>
        <v>0.97690177132122058</v>
      </c>
      <c r="V77" s="378">
        <f t="shared" si="9"/>
        <v>36.058630064617837</v>
      </c>
      <c r="W77" s="397">
        <f t="shared" si="10"/>
        <v>5.3175559298142145</v>
      </c>
      <c r="X77" s="153">
        <f t="shared" si="11"/>
        <v>47911</v>
      </c>
      <c r="Y77" s="380">
        <f t="shared" si="12"/>
        <v>5.2011726784271435</v>
      </c>
      <c r="Z77" s="380">
        <f t="shared" si="22"/>
        <v>5.4481548778667701</v>
      </c>
      <c r="AA77" s="381">
        <f t="shared" si="13"/>
        <v>5.7825554920437865</v>
      </c>
      <c r="AB77" s="193">
        <f t="shared" si="14"/>
        <v>47911</v>
      </c>
      <c r="AC77" s="119">
        <f>IF(OR(t&lt;Tnet,NoTnet),'2030'!Resal_s+('2030'!Salim-'2030'!Resal_s)*(1-EXP(('2030'!Tnet_s-t)/'2030'!Tau_j)),Resal_s+(Salim-Resal_s)*(1-EXP((Tnet_s-t)/Tau_j)))*Salcycl</f>
        <v>5.782920970444947E-2</v>
      </c>
      <c r="AD77" s="227">
        <f>(INDEX(Models!$BJ77:$BT77,,AH77)*(1-AF77)+INDEX(Models!$BJ77:$BT77,,AH77+1)*AF77-ERP_i)*AE77*Ramure*Pc/MaxiM</f>
        <v>7.794573111935257E-4</v>
      </c>
      <c r="AE77" s="301">
        <f t="shared" si="15"/>
        <v>0.5</v>
      </c>
      <c r="AF77" s="173">
        <f t="shared" si="23"/>
        <v>0.50188933769519739</v>
      </c>
      <c r="AG77" s="802">
        <f t="shared" si="24"/>
        <v>4</v>
      </c>
      <c r="AH77" s="172">
        <f t="shared" si="16"/>
        <v>10</v>
      </c>
      <c r="AI77" s="221">
        <f t="shared" si="17"/>
        <v>4.5018893376951974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47912</v>
      </c>
      <c r="B78" s="406">
        <f>'2030'!Wh/'2030'!Env_an*'2031'!Env_an</f>
        <v>13.790480875605208</v>
      </c>
      <c r="C78" s="832"/>
      <c r="D78" s="388">
        <f t="shared" si="0"/>
        <v>14.44553157781205</v>
      </c>
      <c r="E78" s="380">
        <f t="shared" si="1"/>
        <v>14.997232858426125</v>
      </c>
      <c r="F78" s="380">
        <f t="shared" si="2"/>
        <v>14.997402954249743</v>
      </c>
      <c r="G78" s="110">
        <f t="shared" si="21"/>
        <v>0.378146482861835</v>
      </c>
      <c r="H78" s="409" t="b">
        <f>Wh_hp&gt;='2030'!Maxi_hp</f>
        <v>0</v>
      </c>
      <c r="I78" s="385">
        <f>IF(H78,Wh_hp,'2030'!Maxi_hp)</f>
        <v>14.998749007725031</v>
      </c>
      <c r="J78" s="85">
        <f>IF(H78,An,'2030'!An_max)</f>
        <v>2022</v>
      </c>
      <c r="K78" s="193">
        <f t="shared" si="3"/>
        <v>47912</v>
      </c>
      <c r="L78" s="143">
        <f>IF(t&lt;Tvie,1-EXP((T0-t)*PertePVj)+'2030'!Pspv,1-EXP((T0-t)*PertePVj)+Pspv)</f>
        <v>4.5346251100442769E-2</v>
      </c>
      <c r="M78" s="836"/>
      <c r="N78" s="836"/>
      <c r="O78" s="48">
        <f>IF(t&lt;Tnet,'2030'!Resal+('2030'!Salim-'2030'!Resal)*(1-EXP(('2030'!Tnet-t)/('2030'!Tau_j))),Resal+(Salim-Resal)*(1-EXP((Tnet-t)/(Tau_j))))*Salcycl</f>
        <v>3.6786871673070327E-2</v>
      </c>
      <c r="P78" s="165">
        <f>(INDEX(Models!$BJ78:$BT78,,T78)*(1-R78)+INDEX(Models!$BJ78:$BT78,,T78+1)*R78-ERP_i)*Q78*Ramure*Pc/MaxiM</f>
        <v>1.0154923173895852E-4</v>
      </c>
      <c r="Q78" s="301">
        <f t="shared" si="4"/>
        <v>0.5</v>
      </c>
      <c r="R78" s="173">
        <f t="shared" si="5"/>
        <v>0.97726295899311622</v>
      </c>
      <c r="S78" s="802">
        <f t="shared" si="6"/>
        <v>0</v>
      </c>
      <c r="T78" s="172">
        <f t="shared" si="7"/>
        <v>6</v>
      </c>
      <c r="U78" s="247">
        <f t="shared" si="8"/>
        <v>0.97726295899311622</v>
      </c>
      <c r="V78" s="378">
        <f t="shared" si="9"/>
        <v>36.465331507761853</v>
      </c>
      <c r="W78" s="397">
        <f t="shared" si="10"/>
        <v>13.790480875605208</v>
      </c>
      <c r="X78" s="153">
        <f t="shared" si="11"/>
        <v>47912</v>
      </c>
      <c r="Y78" s="380">
        <f t="shared" si="12"/>
        <v>13.488007982772285</v>
      </c>
      <c r="Z78" s="380">
        <f t="shared" si="22"/>
        <v>14.128691159826378</v>
      </c>
      <c r="AA78" s="381">
        <f t="shared" si="13"/>
        <v>14.996226624474152</v>
      </c>
      <c r="AB78" s="193">
        <f t="shared" si="14"/>
        <v>47912</v>
      </c>
      <c r="AC78" s="119">
        <f>IF(OR(t&lt;Tnet,NoTnet),'2030'!Resal_s+('2030'!Salim-'2030'!Resal_s)*(1-EXP(('2030'!Tnet_s-t)/'2030'!Tau_j)),Resal_s+(Salim-Resal_s)*(1-EXP((Tnet_s-t)/Tau_j)))*Salcycl</f>
        <v>5.7850250357775926E-2</v>
      </c>
      <c r="AD78" s="227">
        <f>(INDEX(Models!$BJ78:$BT78,,AH78)*(1-AF78)+INDEX(Models!$BJ78:$BT78,,AH78+1)*AF78-ERP_i)*AE78*Ramure*Pc/MaxiM</f>
        <v>7.0228288056619042E-4</v>
      </c>
      <c r="AE78" s="301">
        <f t="shared" si="15"/>
        <v>0.5</v>
      </c>
      <c r="AF78" s="173">
        <f t="shared" si="23"/>
        <v>0.50225052536709303</v>
      </c>
      <c r="AG78" s="802">
        <f t="shared" si="24"/>
        <v>4</v>
      </c>
      <c r="AH78" s="172">
        <f t="shared" si="16"/>
        <v>10</v>
      </c>
      <c r="AI78" s="221">
        <f t="shared" si="17"/>
        <v>4.502250525367093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47913</v>
      </c>
      <c r="B79" s="406">
        <f>'2030'!Wh/'2030'!Env_an*'2031'!Env_an</f>
        <v>21.112088204097713</v>
      </c>
      <c r="C79" s="832"/>
      <c r="D79" s="388">
        <f t="shared" ref="D79:D142" si="25">Wh/(1-Ppv)</f>
        <v>22.115219511942367</v>
      </c>
      <c r="E79" s="380">
        <f t="shared" si="1"/>
        <v>22.960793435412995</v>
      </c>
      <c r="F79" s="380">
        <f t="shared" ref="F79:F142" si="26">Wh_sa/(1-Pvg*MEDIAN((-Sdif+Wh/Env_an)/Csdif,0,1))</f>
        <v>22.961637942273324</v>
      </c>
      <c r="G79" s="110">
        <f t="shared" si="21"/>
        <v>0.57248465480995736</v>
      </c>
      <c r="H79" s="409" t="b">
        <f>Wh_hp&gt;='2030'!Maxi_hp</f>
        <v>0</v>
      </c>
      <c r="I79" s="385">
        <f>IF(H79,Wh_hp,'2030'!Maxi_hp)</f>
        <v>22.962955608308192</v>
      </c>
      <c r="J79" s="85">
        <f>IF(H79,An,'2030'!An_max)</f>
        <v>2022</v>
      </c>
      <c r="K79" s="193">
        <f t="shared" ref="K79:K142" si="27">t</f>
        <v>47913</v>
      </c>
      <c r="L79" s="143">
        <f>IF(t&lt;Tvie,1-EXP((T0-t)*PertePVj)+'2030'!Pspv,1-EXP((T0-t)*PertePVj)+Pspv)</f>
        <v>4.5359319508583518E-2</v>
      </c>
      <c r="M79" s="836"/>
      <c r="N79" s="836"/>
      <c r="O79" s="48">
        <f>IF(t&lt;Tnet,'2030'!Resal+('2030'!Salim-'2030'!Resal)*(1-EXP(('2030'!Tnet-t)/('2030'!Tau_j))),Resal+(Salim-Resal)*(1-EXP((Tnet-t)/(Tau_j))))*Salcycl</f>
        <v>3.6826859918807409E-2</v>
      </c>
      <c r="P79" s="165">
        <f>(INDEX(Models!$BJ79:$BT79,,T79)*(1-R79)+INDEX(Models!$BJ79:$BT79,,T79+1)*R79-ERP_i)*Q79*Ramure*Pc/MaxiM</f>
        <v>9.4472120608318349E-5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0.97763873560301429</v>
      </c>
      <c r="S79" s="802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0.97763873560301429</v>
      </c>
      <c r="V79" s="378">
        <f t="shared" ref="V79:V142" si="33">MaxiM*(1-Ppv)*(1-Pvg)*(1-Psa)</f>
        <v>36.875870751105268</v>
      </c>
      <c r="W79" s="397">
        <f t="shared" ref="W79:W142" si="34">Wh*(A79&gt;Tmaj)</f>
        <v>21.112088204097713</v>
      </c>
      <c r="X79" s="153">
        <f t="shared" ref="X79:X142" si="35">t</f>
        <v>47913</v>
      </c>
      <c r="Y79" s="380">
        <f t="shared" ref="Y79:Y142" si="36">Wh_pvt_s*(1-Ppv)</f>
        <v>20.646444319736112</v>
      </c>
      <c r="Z79" s="380">
        <f t="shared" ref="Z79:Z142" si="37">Wh_sa_s*(1-Psa_s)</f>
        <v>21.627450769338708</v>
      </c>
      <c r="AA79" s="381">
        <f t="shared" ref="AA79:AA142" si="38">Wh_hp*(1-Pvg_s*MEDIAN((-Sdif+Wh/Env_an)/Csdif,0,1))</f>
        <v>22.95594100401426</v>
      </c>
      <c r="AB79" s="193">
        <f t="shared" ref="AB79:AB142" si="39">t</f>
        <v>47913</v>
      </c>
      <c r="AC79" s="119">
        <f>IF(OR(t&lt;Tnet,NoTnet),'2030'!Resal_s+('2030'!Salim-'2030'!Resal_s)*(1-EXP(('2030'!Tnet_s-t)/'2030'!Tau_j)),Resal_s+(Salim-Resal_s)*(1-EXP((Tnet_s-t)/Tau_j)))*Salcycl</f>
        <v>5.7871303748482338E-2</v>
      </c>
      <c r="AD79" s="227">
        <f>(INDEX(Models!$BJ79:$BT79,,AH79)*(1-AF79)+INDEX(Models!$BJ79:$BT79,,AH79+1)*AF79-ERP_i)*AE79*Ramure*Pc/MaxiM</f>
        <v>6.3729717731162761E-4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0.50262630197699121</v>
      </c>
      <c r="AG79" s="802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4.5026263019769912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47914</v>
      </c>
      <c r="B80" s="406">
        <f>'2030'!Wh/'2030'!Env_an*'2031'!Env_an</f>
        <v>34.219689075508242</v>
      </c>
      <c r="C80" s="832"/>
      <c r="D80" s="388">
        <f t="shared" si="25"/>
        <v>35.846112804571192</v>
      </c>
      <c r="E80" s="380">
        <f t="shared" ref="E80:E143" si="47">Wh_pvt/(1-Psa)</f>
        <v>37.21823138492627</v>
      </c>
      <c r="F80" s="380">
        <f t="shared" si="26"/>
        <v>37.221101251604495</v>
      </c>
      <c r="G80" s="110">
        <f t="shared" ref="G80:G143" si="48">+Wh_hp/MaxiM</f>
        <v>0.91764087047088994</v>
      </c>
      <c r="H80" s="409" t="b">
        <f>Wh_hp&gt;='2030'!Maxi_hp</f>
        <v>0</v>
      </c>
      <c r="I80" s="385">
        <f>IF(H80,Wh_hp,'2030'!Maxi_hp)</f>
        <v>37.221481723491209</v>
      </c>
      <c r="J80" s="85">
        <f>IF(H80,An,'2030'!An_max)</f>
        <v>2022</v>
      </c>
      <c r="K80" s="193">
        <f t="shared" si="27"/>
        <v>47914</v>
      </c>
      <c r="L80" s="143">
        <f>IF(t&lt;Tvie,1-EXP((T0-t)*PertePVj)+'2030'!Pspv,1-EXP((T0-t)*PertePVj)+Pspv)</f>
        <v>4.5372387737828701E-2</v>
      </c>
      <c r="M80" s="836"/>
      <c r="N80" s="836"/>
      <c r="O80" s="48">
        <f>IF(t&lt;Tnet,'2030'!Resal+('2030'!Salim-'2030'!Resal)*(1-EXP(('2030'!Tnet-t)/('2030'!Tau_j))),Resal+(Salim-Resal)*(1-EXP((Tnet-t)/(Tau_j))))*Salcycl</f>
        <v>3.6866839967865897E-2</v>
      </c>
      <c r="P80" s="165">
        <f>(INDEX(Models!$BJ80:$BT80,,T80)*(1-R80)+INDEX(Models!$BJ80:$BT80,,T80+1)*R80-ERP_i)*Q80*Ramure*Pc/MaxiM</f>
        <v>8.738318768397024E-5</v>
      </c>
      <c r="Q80" s="301">
        <f t="shared" si="28"/>
        <v>0.5</v>
      </c>
      <c r="R80" s="173">
        <f t="shared" si="29"/>
        <v>0.97802966630744992</v>
      </c>
      <c r="S80" s="802">
        <f t="shared" si="30"/>
        <v>0</v>
      </c>
      <c r="T80" s="172">
        <f t="shared" si="31"/>
        <v>6</v>
      </c>
      <c r="U80" s="247">
        <f t="shared" si="32"/>
        <v>0.97802966630744992</v>
      </c>
      <c r="V80" s="378">
        <f t="shared" si="33"/>
        <v>37.29055491333078</v>
      </c>
      <c r="W80" s="397">
        <f t="shared" si="34"/>
        <v>34.219689075508242</v>
      </c>
      <c r="X80" s="153">
        <f t="shared" si="35"/>
        <v>47914</v>
      </c>
      <c r="Y80" s="380">
        <f t="shared" si="36"/>
        <v>33.457925899481253</v>
      </c>
      <c r="Z80" s="380">
        <f t="shared" si="37"/>
        <v>35.048143872767675</v>
      </c>
      <c r="AA80" s="381">
        <f t="shared" si="38"/>
        <v>37.201847404484774</v>
      </c>
      <c r="AB80" s="193">
        <f t="shared" si="39"/>
        <v>47914</v>
      </c>
      <c r="AC80" s="119">
        <f>IF(OR(t&lt;Tnet,NoTnet),'2030'!Resal_s+('2030'!Salim-'2030'!Resal_s)*(1-EXP(('2030'!Tnet_s-t)/'2030'!Tau_j)),Resal_s+(Salim-Resal_s)*(1-EXP((Tnet_s-t)/Tau_j)))*Salcycl</f>
        <v>5.7892381211623961E-2</v>
      </c>
      <c r="AD80" s="227">
        <f>(INDEX(Models!$BJ80:$BT80,,AH80)*(1-AF80)+INDEX(Models!$BJ80:$BT80,,AH80+1)*AF80-ERP_i)*AE80*Ramure*Pc/MaxiM</f>
        <v>5.8625111377744762E-4</v>
      </c>
      <c r="AE80" s="301">
        <f t="shared" si="40"/>
        <v>0.5</v>
      </c>
      <c r="AF80" s="173">
        <f t="shared" si="41"/>
        <v>0.50301723268142684</v>
      </c>
      <c r="AG80" s="802">
        <f t="shared" ref="AG80:AG143" si="49">INDEX(Echel_vg,AH80)</f>
        <v>4</v>
      </c>
      <c r="AH80" s="172">
        <f t="shared" si="42"/>
        <v>10</v>
      </c>
      <c r="AI80" s="221">
        <f t="shared" si="43"/>
        <v>4.5030172326814268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47915</v>
      </c>
      <c r="B81" s="406">
        <f>'2030'!Wh/'2030'!Env_an*'2031'!Env_an</f>
        <v>30.701887550422665</v>
      </c>
      <c r="C81" s="832"/>
      <c r="D81" s="388">
        <f t="shared" si="25"/>
        <v>32.161554353617966</v>
      </c>
      <c r="E81" s="380">
        <f t="shared" si="47"/>
        <v>33.394021487836056</v>
      </c>
      <c r="F81" s="380">
        <f t="shared" si="26"/>
        <v>33.395995039164482</v>
      </c>
      <c r="G81" s="110">
        <f t="shared" si="48"/>
        <v>0.81416462544755175</v>
      </c>
      <c r="H81" s="409" t="b">
        <f>Wh_hp&gt;='2030'!Maxi_hp</f>
        <v>0</v>
      </c>
      <c r="I81" s="385">
        <f>IF(H81,Wh_hp,'2030'!Maxi_hp)</f>
        <v>33.396703977303218</v>
      </c>
      <c r="J81" s="85">
        <f>IF(H81,An,'2030'!An_max)</f>
        <v>2022</v>
      </c>
      <c r="K81" s="193">
        <f t="shared" si="27"/>
        <v>47915</v>
      </c>
      <c r="L81" s="143">
        <f>IF(t&lt;Tvie,1-EXP((T0-t)*PertePVj)+'2030'!Pspv,1-EXP((T0-t)*PertePVj)+Pspv)</f>
        <v>4.5385455788180762E-2</v>
      </c>
      <c r="M81" s="836"/>
      <c r="N81" s="836"/>
      <c r="O81" s="48">
        <f>IF(t&lt;Tnet,'2030'!Resal+('2030'!Salim-'2030'!Resal)*(1-EXP(('2030'!Tnet-t)/('2030'!Tau_j))),Resal+(Salim-Resal)*(1-EXP((Tnet-t)/(Tau_j))))*Salcycl</f>
        <v>3.6906819823034044E-2</v>
      </c>
      <c r="P81" s="165">
        <f>(INDEX(Models!$BJ81:$BT81,,T81)*(1-R81)+INDEX(Models!$BJ81:$BT81,,T81+1)*R81-ERP_i)*Q81*Ramure*Pc/MaxiM</f>
        <v>8.0451694707432672E-5</v>
      </c>
      <c r="Q81" s="301">
        <f t="shared" si="28"/>
        <v>0.5</v>
      </c>
      <c r="R81" s="173">
        <f t="shared" si="29"/>
        <v>0.97843633613565995</v>
      </c>
      <c r="S81" s="802">
        <f t="shared" si="30"/>
        <v>0</v>
      </c>
      <c r="T81" s="172">
        <f t="shared" si="31"/>
        <v>6</v>
      </c>
      <c r="U81" s="247">
        <f t="shared" si="32"/>
        <v>0.97843633613565995</v>
      </c>
      <c r="V81" s="378">
        <f t="shared" si="33"/>
        <v>37.708874685814557</v>
      </c>
      <c r="W81" s="397">
        <f t="shared" si="34"/>
        <v>30.701887550422665</v>
      </c>
      <c r="X81" s="153">
        <f t="shared" si="35"/>
        <v>47915</v>
      </c>
      <c r="Y81" s="380">
        <f t="shared" si="36"/>
        <v>30.022161489629326</v>
      </c>
      <c r="Z81" s="380">
        <f t="shared" si="37"/>
        <v>31.449511922550087</v>
      </c>
      <c r="AA81" s="381">
        <f t="shared" si="38"/>
        <v>33.382828181582049</v>
      </c>
      <c r="AB81" s="193">
        <f t="shared" si="39"/>
        <v>47915</v>
      </c>
      <c r="AC81" s="119">
        <f>IF(OR(t&lt;Tnet,NoTnet),'2030'!Resal_s+('2030'!Salim-'2030'!Resal_s)*(1-EXP(('2030'!Tnet_s-t)/'2030'!Tau_j)),Resal_s+(Salim-Resal_s)*(1-EXP((Tnet_s-t)/Tau_j)))*Salcycl</f>
        <v>5.7913495181292317E-2</v>
      </c>
      <c r="AD81" s="227">
        <f>(INDEX(Models!$BJ81:$BT81,,AH81)*(1-AF81)+INDEX(Models!$BJ81:$BT81,,AH81+1)*AF81-ERP_i)*AE81*Ramure*Pc/MaxiM</f>
        <v>5.3674611408389711E-4</v>
      </c>
      <c r="AE81" s="301">
        <f t="shared" si="40"/>
        <v>0.5</v>
      </c>
      <c r="AF81" s="173">
        <f t="shared" si="41"/>
        <v>0.50342390250963653</v>
      </c>
      <c r="AG81" s="802">
        <f t="shared" si="49"/>
        <v>4</v>
      </c>
      <c r="AH81" s="172">
        <f t="shared" si="42"/>
        <v>10</v>
      </c>
      <c r="AI81" s="221">
        <f t="shared" si="43"/>
        <v>4.5034239025096365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47916</v>
      </c>
      <c r="B82" s="406">
        <f>'2030'!Wh/'2030'!Env_an*'2031'!Env_an</f>
        <v>27.404602844415511</v>
      </c>
      <c r="C82" s="832"/>
      <c r="D82" s="388">
        <f t="shared" si="25"/>
        <v>28.707899080018347</v>
      </c>
      <c r="E82" s="380">
        <f t="shared" si="47"/>
        <v>29.809255941586255</v>
      </c>
      <c r="F82" s="380">
        <f t="shared" si="26"/>
        <v>29.810569670283794</v>
      </c>
      <c r="G82" s="110">
        <f t="shared" si="48"/>
        <v>0.71868755318815358</v>
      </c>
      <c r="H82" s="409" t="b">
        <f>Wh_hp&gt;='2030'!Maxi_hp</f>
        <v>0</v>
      </c>
      <c r="I82" s="385">
        <f>IF(H82,Wh_hp,'2030'!Maxi_hp)</f>
        <v>29.811446608214982</v>
      </c>
      <c r="J82" s="85">
        <f>IF(H82,An,'2030'!An_max)</f>
        <v>2022</v>
      </c>
      <c r="K82" s="193">
        <f t="shared" si="27"/>
        <v>47916</v>
      </c>
      <c r="L82" s="143">
        <f>IF(t&lt;Tvie,1-EXP((T0-t)*PertePVj)+'2030'!Pspv,1-EXP((T0-t)*PertePVj)+Pspv)</f>
        <v>4.5398523659642254E-2</v>
      </c>
      <c r="M82" s="836"/>
      <c r="N82" s="836"/>
      <c r="O82" s="48">
        <f>IF(t&lt;Tnet,'2030'!Resal+('2030'!Salim-'2030'!Resal)*(1-EXP(('2030'!Tnet-t)/('2030'!Tau_j))),Resal+(Salim-Resal)*(1-EXP((Tnet-t)/(Tau_j))))*Salcycl</f>
        <v>3.6946808190251673E-2</v>
      </c>
      <c r="P82" s="165">
        <f>(INDEX(Models!$BJ82:$BT82,,T82)*(1-R82)+INDEX(Models!$BJ82:$BT82,,T82+1)*R82-ERP_i)*Q82*Ramure*Pc/MaxiM</f>
        <v>7.3675201043295024E-5</v>
      </c>
      <c r="Q82" s="301">
        <f t="shared" si="28"/>
        <v>0.5</v>
      </c>
      <c r="R82" s="173">
        <f t="shared" si="29"/>
        <v>0.97885935051724693</v>
      </c>
      <c r="S82" s="802">
        <f t="shared" si="30"/>
        <v>0</v>
      </c>
      <c r="T82" s="172">
        <f t="shared" si="31"/>
        <v>6</v>
      </c>
      <c r="U82" s="247">
        <f t="shared" si="32"/>
        <v>0.97885935051724693</v>
      </c>
      <c r="V82" s="378">
        <f t="shared" si="33"/>
        <v>38.130327076173671</v>
      </c>
      <c r="W82" s="397">
        <f t="shared" si="34"/>
        <v>27.404602844415511</v>
      </c>
      <c r="X82" s="153">
        <f t="shared" si="35"/>
        <v>47916</v>
      </c>
      <c r="Y82" s="380">
        <f t="shared" si="36"/>
        <v>26.800717359252022</v>
      </c>
      <c r="Z82" s="380">
        <f t="shared" si="37"/>
        <v>28.075294270440011</v>
      </c>
      <c r="AA82" s="381">
        <f t="shared" si="38"/>
        <v>29.801854556470843</v>
      </c>
      <c r="AB82" s="193">
        <f t="shared" si="39"/>
        <v>47916</v>
      </c>
      <c r="AC82" s="119">
        <f>IF(OR(t&lt;Tnet,NoTnet),'2030'!Resal_s+('2030'!Salim-'2030'!Resal_s)*(1-EXP(('2030'!Tnet_s-t)/'2030'!Tau_j)),Resal_s+(Salim-Resal_s)*(1-EXP((Tnet_s-t)/Tau_j)))*Salcycl</f>
        <v>5.7934659158852424E-2</v>
      </c>
      <c r="AD82" s="227">
        <f>(INDEX(Models!$BJ82:$BT82,,AH82)*(1-AF82)+INDEX(Models!$BJ82:$BT82,,AH82+1)*AF82-ERP_i)*AE82*Ramure*Pc/MaxiM</f>
        <v>4.8875217804565999E-4</v>
      </c>
      <c r="AE82" s="301">
        <f t="shared" si="40"/>
        <v>0.5</v>
      </c>
      <c r="AF82" s="173">
        <f t="shared" si="41"/>
        <v>0.50384691689122363</v>
      </c>
      <c r="AG82" s="802">
        <f t="shared" si="49"/>
        <v>4</v>
      </c>
      <c r="AH82" s="172">
        <f t="shared" si="42"/>
        <v>10</v>
      </c>
      <c r="AI82" s="221">
        <f t="shared" si="43"/>
        <v>4.5038469168912236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47917</v>
      </c>
      <c r="B83" s="406">
        <f>'2030'!Wh/'2030'!Env_an*'2031'!Env_an</f>
        <v>23.154503781688682</v>
      </c>
      <c r="C83" s="832"/>
      <c r="D83" s="388">
        <f t="shared" si="25"/>
        <v>24.256007690778514</v>
      </c>
      <c r="E83" s="380">
        <f t="shared" si="47"/>
        <v>25.18761742300984</v>
      </c>
      <c r="F83" s="380">
        <f t="shared" si="26"/>
        <v>25.188342605392233</v>
      </c>
      <c r="G83" s="110">
        <f t="shared" si="48"/>
        <v>0.60054396778031782</v>
      </c>
      <c r="H83" s="409" t="b">
        <f>Wh_hp&gt;='2030'!Maxi_hp</f>
        <v>0</v>
      </c>
      <c r="I83" s="385">
        <f>IF(H83,Wh_hp,'2030'!Maxi_hp)</f>
        <v>25.189299753187651</v>
      </c>
      <c r="J83" s="85">
        <f>IF(H83,An,'2030'!An_max)</f>
        <v>2022</v>
      </c>
      <c r="K83" s="193">
        <f t="shared" si="27"/>
        <v>47917</v>
      </c>
      <c r="L83" s="143">
        <f>IF(t&lt;Tvie,1-EXP((T0-t)*PertePVj)+'2030'!Pspv,1-EXP((T0-t)*PertePVj)+Pspv)</f>
        <v>4.5411591352215508E-2</v>
      </c>
      <c r="M83" s="836"/>
      <c r="N83" s="836"/>
      <c r="O83" s="48">
        <f>IF(t&lt;Tnet,'2030'!Resal+('2030'!Salim-'2030'!Resal)*(1-EXP(('2030'!Tnet-t)/('2030'!Tau_j))),Resal+(Salim-Resal)*(1-EXP((Tnet-t)/(Tau_j))))*Salcycl</f>
        <v>3.6986814456704653E-2</v>
      </c>
      <c r="P83" s="165">
        <f>(INDEX(Models!$BJ83:$BT83,,T83)*(1-R83)+INDEX(Models!$BJ83:$BT83,,T83+1)*R83-ERP_i)*Q83*Ramure*Pc/MaxiM</f>
        <v>6.7050878722353755E-5</v>
      </c>
      <c r="Q83" s="301">
        <f t="shared" si="28"/>
        <v>0.5</v>
      </c>
      <c r="R83" s="173">
        <f t="shared" si="29"/>
        <v>0.97929933580858364</v>
      </c>
      <c r="S83" s="802">
        <f t="shared" si="30"/>
        <v>0</v>
      </c>
      <c r="T83" s="172">
        <f t="shared" si="31"/>
        <v>6</v>
      </c>
      <c r="U83" s="247">
        <f t="shared" si="32"/>
        <v>0.97929933580858364</v>
      </c>
      <c r="V83" s="378">
        <f t="shared" si="33"/>
        <v>38.554409162232304</v>
      </c>
      <c r="W83" s="397">
        <f t="shared" si="34"/>
        <v>23.154503781688682</v>
      </c>
      <c r="X83" s="153">
        <f t="shared" si="35"/>
        <v>47917</v>
      </c>
      <c r="Y83" s="380">
        <f t="shared" si="36"/>
        <v>22.646678393021386</v>
      </c>
      <c r="Z83" s="380">
        <f t="shared" si="37"/>
        <v>23.724024079761641</v>
      </c>
      <c r="AA83" s="381">
        <f t="shared" si="38"/>
        <v>25.183559633113568</v>
      </c>
      <c r="AB83" s="193">
        <f t="shared" si="39"/>
        <v>47917</v>
      </c>
      <c r="AC83" s="119">
        <f>IF(OR(t&lt;Tnet,NoTnet),'2030'!Resal_s+('2030'!Salim-'2030'!Resal_s)*(1-EXP(('2030'!Tnet_s-t)/'2030'!Tau_j)),Resal_s+(Salim-Resal_s)*(1-EXP((Tnet_s-t)/Tau_j)))*Salcycl</f>
        <v>5.7955887674941711E-2</v>
      </c>
      <c r="AD83" s="227">
        <f>(INDEX(Models!$BJ83:$BT83,,AH83)*(1-AF83)+INDEX(Models!$BJ83:$BT83,,AH83+1)*AF83-ERP_i)*AE83*Ramure*Pc/MaxiM</f>
        <v>4.4223701785350459E-4</v>
      </c>
      <c r="AE83" s="301">
        <f t="shared" si="40"/>
        <v>0.5</v>
      </c>
      <c r="AF83" s="173">
        <f t="shared" si="41"/>
        <v>0.50428690218256023</v>
      </c>
      <c r="AG83" s="802">
        <f t="shared" si="49"/>
        <v>4</v>
      </c>
      <c r="AH83" s="172">
        <f t="shared" si="42"/>
        <v>10</v>
      </c>
      <c r="AI83" s="221">
        <f t="shared" si="43"/>
        <v>4.5042869021825602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47918</v>
      </c>
      <c r="B84" s="406">
        <f>'2030'!Wh/'2030'!Env_an*'2031'!Env_an</f>
        <v>16.710396460685274</v>
      </c>
      <c r="C84" s="832"/>
      <c r="D84" s="388">
        <f t="shared" si="25"/>
        <v>17.505581529931675</v>
      </c>
      <c r="E84" s="380">
        <f t="shared" si="47"/>
        <v>18.178680792569722</v>
      </c>
      <c r="F84" s="380">
        <f t="shared" si="26"/>
        <v>18.178883231292151</v>
      </c>
      <c r="G84" s="110">
        <f t="shared" si="48"/>
        <v>0.42866355417159607</v>
      </c>
      <c r="H84" s="409" t="b">
        <f>Wh_hp&gt;='2030'!Maxi_hp</f>
        <v>0</v>
      </c>
      <c r="I84" s="385">
        <f>IF(H84,Wh_hp,'2030'!Maxi_hp)</f>
        <v>18.179775420005882</v>
      </c>
      <c r="J84" s="85">
        <f>IF(H84,An,'2030'!An_max)</f>
        <v>2022</v>
      </c>
      <c r="K84" s="193">
        <f t="shared" si="27"/>
        <v>47918</v>
      </c>
      <c r="L84" s="143">
        <f>IF(t&lt;Tvie,1-EXP((T0-t)*PertePVj)+'2030'!Pspv,1-EXP((T0-t)*PertePVj)+Pspv)</f>
        <v>4.5424658865903078E-2</v>
      </c>
      <c r="M84" s="836"/>
      <c r="N84" s="836"/>
      <c r="O84" s="48">
        <f>IF(t&lt;Tnet,'2030'!Resal+('2030'!Salim-'2030'!Resal)*(1-EXP(('2030'!Tnet-t)/('2030'!Tau_j))),Resal+(Salim-Resal)*(1-EXP((Tnet-t)/(Tau_j))))*Salcycl</f>
        <v>3.7026848665122354E-2</v>
      </c>
      <c r="P84" s="165">
        <f>(INDEX(Models!$BJ84:$BT84,,T84)*(1-R84)+INDEX(Models!$BJ84:$BT84,,T84+1)*R84-ERP_i)*Q84*Ramure*Pc/MaxiM</f>
        <v>6.0575547763400239E-5</v>
      </c>
      <c r="Q84" s="301">
        <f t="shared" si="28"/>
        <v>0.5</v>
      </c>
      <c r="R84" s="173">
        <f t="shared" si="29"/>
        <v>0.97975693981624845</v>
      </c>
      <c r="S84" s="802">
        <f t="shared" si="30"/>
        <v>0</v>
      </c>
      <c r="T84" s="172">
        <f t="shared" si="31"/>
        <v>6</v>
      </c>
      <c r="U84" s="247">
        <f t="shared" si="32"/>
        <v>0.97975693981624845</v>
      </c>
      <c r="V84" s="378">
        <f t="shared" si="33"/>
        <v>38.980618093643145</v>
      </c>
      <c r="W84" s="397">
        <f t="shared" si="34"/>
        <v>16.710396460685274</v>
      </c>
      <c r="X84" s="153">
        <f t="shared" si="35"/>
        <v>47918</v>
      </c>
      <c r="Y84" s="380">
        <f t="shared" si="36"/>
        <v>16.345835236500278</v>
      </c>
      <c r="Z84" s="380">
        <f t="shared" si="37"/>
        <v>17.123672204941283</v>
      </c>
      <c r="AA84" s="381">
        <f t="shared" si="38"/>
        <v>18.177555932507531</v>
      </c>
      <c r="AB84" s="193">
        <f t="shared" si="39"/>
        <v>47918</v>
      </c>
      <c r="AC84" s="119">
        <f>IF(OR(t&lt;Tnet,NoTnet),'2030'!Resal_s+('2030'!Salim-'2030'!Resal_s)*(1-EXP(('2030'!Tnet_s-t)/'2030'!Tau_j)),Resal_s+(Salim-Resal_s)*(1-EXP((Tnet_s-t)/Tau_j)))*Salcycl</f>
        <v>5.7977196245703834E-2</v>
      </c>
      <c r="AD84" s="227">
        <f>(INDEX(Models!$BJ84:$BT84,,AH84)*(1-AF84)+INDEX(Models!$BJ84:$BT84,,AH84+1)*AF84-ERP_i)*AE84*Ramure*Pc/MaxiM</f>
        <v>3.9716636204394171E-4</v>
      </c>
      <c r="AE84" s="301">
        <f t="shared" si="40"/>
        <v>0.5</v>
      </c>
      <c r="AF84" s="173">
        <f t="shared" si="41"/>
        <v>0.50474450619022537</v>
      </c>
      <c r="AG84" s="802">
        <f t="shared" si="49"/>
        <v>4</v>
      </c>
      <c r="AH84" s="172">
        <f t="shared" si="42"/>
        <v>10</v>
      </c>
      <c r="AI84" s="221">
        <f t="shared" si="43"/>
        <v>4.5047445061902254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47919</v>
      </c>
      <c r="B85" s="406">
        <f>'2030'!Wh/'2030'!Env_an*'2031'!Env_an</f>
        <v>13.077468444172609</v>
      </c>
      <c r="C85" s="832"/>
      <c r="D85" s="388">
        <f t="shared" si="25"/>
        <v>13.69996364105449</v>
      </c>
      <c r="E85" s="380">
        <f t="shared" si="47"/>
        <v>14.227326848275055</v>
      </c>
      <c r="F85" s="380">
        <f t="shared" si="26"/>
        <v>14.227361957637731</v>
      </c>
      <c r="G85" s="110">
        <f t="shared" si="48"/>
        <v>0.33182708166302971</v>
      </c>
      <c r="H85" s="409" t="b">
        <f>Wh_hp&gt;='2030'!Maxi_hp</f>
        <v>0</v>
      </c>
      <c r="I85" s="385">
        <f>IF(H85,Wh_hp,'2030'!Maxi_hp)</f>
        <v>14.228092826357823</v>
      </c>
      <c r="J85" s="85">
        <f>IF(H85,An,'2030'!An_max)</f>
        <v>2022</v>
      </c>
      <c r="K85" s="193">
        <f t="shared" si="27"/>
        <v>47919</v>
      </c>
      <c r="L85" s="143">
        <f>IF(t&lt;Tvie,1-EXP((T0-t)*PertePVj)+'2030'!Pspv,1-EXP((T0-t)*PertePVj)+Pspv)</f>
        <v>4.5437726200707407E-2</v>
      </c>
      <c r="M85" s="836"/>
      <c r="N85" s="836"/>
      <c r="O85" s="48">
        <f>IF(t&lt;Tnet,'2030'!Resal+('2030'!Salim-'2030'!Resal)*(1-EXP(('2030'!Tnet-t)/('2030'!Tau_j))),Resal+(Salim-Resal)*(1-EXP((Tnet-t)/(Tau_j))))*Salcycl</f>
        <v>3.7066921484586825E-2</v>
      </c>
      <c r="P85" s="165">
        <f>(INDEX(Models!$BJ85:$BT85,,T85)*(1-R85)+INDEX(Models!$BJ85:$BT85,,T85+1)*R85-ERP_i)*Q85*Ramure*Pc/MaxiM</f>
        <v>5.4245709109227541E-5</v>
      </c>
      <c r="Q85" s="301">
        <f t="shared" si="28"/>
        <v>0.5</v>
      </c>
      <c r="R85" s="173">
        <f t="shared" si="29"/>
        <v>0.98023283231560376</v>
      </c>
      <c r="S85" s="802">
        <f t="shared" si="30"/>
        <v>0</v>
      </c>
      <c r="T85" s="172">
        <f t="shared" si="31"/>
        <v>6</v>
      </c>
      <c r="U85" s="247">
        <f t="shared" si="32"/>
        <v>0.98023283231560376</v>
      </c>
      <c r="V85" s="378">
        <f t="shared" si="33"/>
        <v>39.408451088877442</v>
      </c>
      <c r="W85" s="397">
        <f t="shared" si="34"/>
        <v>13.077468444172609</v>
      </c>
      <c r="X85" s="153">
        <f t="shared" si="35"/>
        <v>47919</v>
      </c>
      <c r="Y85" s="380">
        <f t="shared" si="36"/>
        <v>12.793023867957555</v>
      </c>
      <c r="Z85" s="380">
        <f t="shared" si="37"/>
        <v>13.401979335553996</v>
      </c>
      <c r="AA85" s="381">
        <f t="shared" si="38"/>
        <v>14.227133159661367</v>
      </c>
      <c r="AB85" s="193">
        <f t="shared" si="39"/>
        <v>47919</v>
      </c>
      <c r="AC85" s="119">
        <f>IF(OR(t&lt;Tnet,NoTnet),'2030'!Resal_s+('2030'!Salim-'2030'!Resal_s)*(1-EXP(('2030'!Tnet_s-t)/'2030'!Tau_j)),Resal_s+(Salim-Resal_s)*(1-EXP((Tnet_s-t)/Tau_j)))*Salcycl</f>
        <v>5.7998601323768731E-2</v>
      </c>
      <c r="AD85" s="227">
        <f>(INDEX(Models!$BJ85:$BT85,,AH85)*(1-AF85)+INDEX(Models!$BJ85:$BT85,,AH85+1)*AF85-ERP_i)*AE85*Ramure*Pc/MaxiM</f>
        <v>3.5350423717710736E-4</v>
      </c>
      <c r="AE85" s="301">
        <f t="shared" si="40"/>
        <v>0.5</v>
      </c>
      <c r="AF85" s="173">
        <f t="shared" si="41"/>
        <v>0.50522039868958046</v>
      </c>
      <c r="AG85" s="802">
        <f t="shared" si="49"/>
        <v>4</v>
      </c>
      <c r="AH85" s="172">
        <f t="shared" si="42"/>
        <v>10</v>
      </c>
      <c r="AI85" s="221">
        <f t="shared" si="43"/>
        <v>4.5052203986895805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47920</v>
      </c>
      <c r="B86" s="406">
        <f>'2030'!Wh/'2030'!Env_an*'2031'!Env_an</f>
        <v>8.3292816699987906</v>
      </c>
      <c r="C86" s="832"/>
      <c r="D86" s="388">
        <f t="shared" si="25"/>
        <v>8.7258798310548578</v>
      </c>
      <c r="E86" s="380">
        <f t="shared" si="47"/>
        <v>9.0621494095441228</v>
      </c>
      <c r="F86" s="380">
        <f t="shared" si="26"/>
        <v>9.0621494095441228</v>
      </c>
      <c r="G86" s="110">
        <f t="shared" si="48"/>
        <v>0.20907188341232938</v>
      </c>
      <c r="H86" s="409" t="b">
        <f>Wh_hp&gt;='2030'!Maxi_hp</f>
        <v>0</v>
      </c>
      <c r="I86" s="385">
        <f>IF(H86,Wh_hp,'2030'!Maxi_hp)</f>
        <v>9.0625850333182196</v>
      </c>
      <c r="J86" s="85">
        <f>IF(H86,An,'2030'!An_max)</f>
        <v>2022</v>
      </c>
      <c r="K86" s="193">
        <f t="shared" si="27"/>
        <v>47920</v>
      </c>
      <c r="L86" s="143">
        <f>IF(t&lt;Tvie,1-EXP((T0-t)*PertePVj)+'2030'!Pspv,1-EXP((T0-t)*PertePVj)+Pspv)</f>
        <v>4.5450793356630825E-2</v>
      </c>
      <c r="M86" s="836"/>
      <c r="N86" s="836"/>
      <c r="O86" s="48">
        <f>IF(t&lt;Tnet,'2030'!Resal+('2030'!Salim-'2030'!Resal)*(1-EXP(('2030'!Tnet-t)/('2030'!Tau_j))),Resal+(Salim-Resal)*(1-EXP((Tnet-t)/(Tau_j))))*Salcycl</f>
        <v>3.7107044178184813E-2</v>
      </c>
      <c r="P86" s="165">
        <f>(INDEX(Models!$BJ86:$BT86,,T86)*(1-R86)+INDEX(Models!$BJ86:$BT86,,T86+1)*R86-ERP_i)*Q86*Ramure*Pc/MaxiM</f>
        <v>4.8483230145498182E-5</v>
      </c>
      <c r="Q86" s="301">
        <f t="shared" si="28"/>
        <v>0.5</v>
      </c>
      <c r="R86" s="173">
        <f t="shared" si="29"/>
        <v>0.98072770556244948</v>
      </c>
      <c r="S86" s="802">
        <f t="shared" si="30"/>
        <v>0</v>
      </c>
      <c r="T86" s="172">
        <f t="shared" si="31"/>
        <v>6</v>
      </c>
      <c r="U86" s="247">
        <f t="shared" si="32"/>
        <v>0.98072770556244948</v>
      </c>
      <c r="V86" s="378">
        <f t="shared" si="33"/>
        <v>39.837388478930535</v>
      </c>
      <c r="W86" s="397">
        <f t="shared" si="34"/>
        <v>8.3292816699987906</v>
      </c>
      <c r="X86" s="153">
        <f t="shared" si="35"/>
        <v>47920</v>
      </c>
      <c r="Y86" s="380">
        <f t="shared" si="36"/>
        <v>8.1483779671630412</v>
      </c>
      <c r="Z86" s="380">
        <f t="shared" si="37"/>
        <v>8.5363624111285556</v>
      </c>
      <c r="AA86" s="381">
        <f t="shared" si="38"/>
        <v>9.0621494095441228</v>
      </c>
      <c r="AB86" s="193">
        <f t="shared" si="39"/>
        <v>47920</v>
      </c>
      <c r="AC86" s="119">
        <f>IF(OR(t&lt;Tnet,NoTnet),'2030'!Resal_s+('2030'!Salim-'2030'!Resal_s)*(1-EXP(('2030'!Tnet_s-t)/'2030'!Tau_j)),Resal_s+(Salim-Resal_s)*(1-EXP((Tnet_s-t)/Tau_j)))*Salcycl</f>
        <v>5.8020120244521182E-2</v>
      </c>
      <c r="AD86" s="227">
        <f>(INDEX(Models!$BJ86:$BT86,,AH86)*(1-AF86)+INDEX(Models!$BJ86:$BT86,,AH86+1)*AF86-ERP_i)*AE86*Ramure*Pc/MaxiM</f>
        <v>3.1342813035890621E-4</v>
      </c>
      <c r="AE86" s="301">
        <f t="shared" si="40"/>
        <v>0.5</v>
      </c>
      <c r="AF86" s="173">
        <f t="shared" si="41"/>
        <v>0.50571527193642662</v>
      </c>
      <c r="AG86" s="802">
        <f t="shared" si="49"/>
        <v>4</v>
      </c>
      <c r="AH86" s="172">
        <f t="shared" si="42"/>
        <v>10</v>
      </c>
      <c r="AI86" s="221">
        <f t="shared" si="43"/>
        <v>4.5057152719364266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47921</v>
      </c>
      <c r="B87" s="406">
        <f>'2030'!Wh/'2030'!Env_an*'2031'!Env_an</f>
        <v>12.402921736012933</v>
      </c>
      <c r="C87" s="832"/>
      <c r="D87" s="388">
        <f t="shared" si="25"/>
        <v>12.993663854726973</v>
      </c>
      <c r="E87" s="380">
        <f t="shared" si="47"/>
        <v>13.494964381106945</v>
      </c>
      <c r="F87" s="380">
        <f t="shared" si="26"/>
        <v>13.494971106128554</v>
      </c>
      <c r="G87" s="110">
        <f t="shared" si="48"/>
        <v>0.30800440879376606</v>
      </c>
      <c r="H87" s="409" t="b">
        <f>Wh_hp&gt;='2030'!Maxi_hp</f>
        <v>0</v>
      </c>
      <c r="I87" s="385">
        <f>IF(H87,Wh_hp,'2030'!Maxi_hp)</f>
        <v>13.495546182179719</v>
      </c>
      <c r="J87" s="85">
        <f>IF(H87,An,'2030'!An_max)</f>
        <v>2022</v>
      </c>
      <c r="K87" s="193">
        <f t="shared" si="27"/>
        <v>47921</v>
      </c>
      <c r="L87" s="143">
        <f>IF(t&lt;Tvie,1-EXP((T0-t)*PertePVj)+'2030'!Pspv,1-EXP((T0-t)*PertePVj)+Pspv)</f>
        <v>4.5463860333675887E-2</v>
      </c>
      <c r="M87" s="836"/>
      <c r="N87" s="836"/>
      <c r="O87" s="48">
        <f>IF(t&lt;Tnet,'2030'!Resal+('2030'!Salim-'2030'!Resal)*(1-EXP(('2030'!Tnet-t)/('2030'!Tau_j))),Resal+(Salim-Resal)*(1-EXP((Tnet-t)/(Tau_j))))*Salcycl</f>
        <v>3.7147228567849834E-2</v>
      </c>
      <c r="P87" s="165">
        <f>(INDEX(Models!$BJ87:$BT87,,T87)*(1-R87)+INDEX(Models!$BJ87:$BT87,,T87+1)*R87-ERP_i)*Q87*Ramure*Pc/MaxiM</f>
        <v>4.3508319786248545E-5</v>
      </c>
      <c r="Q87" s="301">
        <f t="shared" si="28"/>
        <v>0.5</v>
      </c>
      <c r="R87" s="173">
        <f t="shared" si="29"/>
        <v>0.9812422747954872</v>
      </c>
      <c r="S87" s="802">
        <f t="shared" si="30"/>
        <v>0</v>
      </c>
      <c r="T87" s="172">
        <f t="shared" si="31"/>
        <v>6</v>
      </c>
      <c r="U87" s="247">
        <f t="shared" si="32"/>
        <v>0.9812422747954872</v>
      </c>
      <c r="V87" s="378">
        <f t="shared" si="33"/>
        <v>40.266918044608566</v>
      </c>
      <c r="W87" s="397">
        <f t="shared" si="34"/>
        <v>12.402921736012933</v>
      </c>
      <c r="X87" s="153">
        <f t="shared" si="35"/>
        <v>47921</v>
      </c>
      <c r="Y87" s="380">
        <f t="shared" si="36"/>
        <v>12.133737485380601</v>
      </c>
      <c r="Z87" s="380">
        <f t="shared" si="37"/>
        <v>12.711658554512326</v>
      </c>
      <c r="AA87" s="381">
        <f t="shared" si="38"/>
        <v>13.49492808219045</v>
      </c>
      <c r="AB87" s="193">
        <f t="shared" si="39"/>
        <v>47921</v>
      </c>
      <c r="AC87" s="119">
        <f>IF(OR(t&lt;Tnet,NoTnet),'2030'!Resal_s+('2030'!Salim-'2030'!Resal_s)*(1-EXP(('2030'!Tnet_s-t)/'2030'!Tau_j)),Resal_s+(Salim-Resal_s)*(1-EXP((Tnet_s-t)/Tau_j)))*Salcycl</f>
        <v>5.8041771168222914E-2</v>
      </c>
      <c r="AD87" s="227">
        <f>(INDEX(Models!$BJ87:$BT87,,AH87)*(1-AF87)+INDEX(Models!$BJ87:$BT87,,AH87+1)*AF87-ERP_i)*AE87*Ramure*Pc/MaxiM</f>
        <v>2.783484376032106E-4</v>
      </c>
      <c r="AE87" s="301">
        <f t="shared" si="40"/>
        <v>0.5</v>
      </c>
      <c r="AF87" s="173">
        <f t="shared" si="41"/>
        <v>0.50622984116946412</v>
      </c>
      <c r="AG87" s="802">
        <f t="shared" si="49"/>
        <v>4</v>
      </c>
      <c r="AH87" s="172">
        <f t="shared" si="42"/>
        <v>10</v>
      </c>
      <c r="AI87" s="221">
        <f t="shared" si="43"/>
        <v>4.5062298411694641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47922</v>
      </c>
      <c r="B88" s="406">
        <f>'2030'!Wh/'2030'!Env_an*'2031'!Env_an</f>
        <v>14.698400291797286</v>
      </c>
      <c r="C88" s="832"/>
      <c r="D88" s="388">
        <f t="shared" si="25"/>
        <v>15.398685175447325</v>
      </c>
      <c r="E88" s="380">
        <f t="shared" si="47"/>
        <v>15.99344105677967</v>
      </c>
      <c r="F88" s="380">
        <f t="shared" si="26"/>
        <v>15.993495980322164</v>
      </c>
      <c r="G88" s="110">
        <f t="shared" si="48"/>
        <v>0.36115783260421735</v>
      </c>
      <c r="H88" s="409" t="b">
        <f>Wh_hp&gt;='2030'!Maxi_hp</f>
        <v>0</v>
      </c>
      <c r="I88" s="385">
        <f>IF(H88,Wh_hp,'2030'!Maxi_hp)</f>
        <v>15.994063855850605</v>
      </c>
      <c r="J88" s="85">
        <f>IF(H88,An,'2030'!An_max)</f>
        <v>2022</v>
      </c>
      <c r="K88" s="193">
        <f t="shared" si="27"/>
        <v>47922</v>
      </c>
      <c r="L88" s="143">
        <f>IF(t&lt;Tvie,1-EXP((T0-t)*PertePVj)+'2030'!Pspv,1-EXP((T0-t)*PertePVj)+Pspv)</f>
        <v>4.5476927131844924E-2</v>
      </c>
      <c r="M88" s="836"/>
      <c r="N88" s="836"/>
      <c r="O88" s="48">
        <f>IF(t&lt;Tnet,'2030'!Resal+('2030'!Salim-'2030'!Resal)*(1-EXP(('2030'!Tnet-t)/('2030'!Tau_j))),Resal+(Salim-Resal)*(1-EXP((Tnet-t)/(Tau_j))))*Salcycl</f>
        <v>3.7187486996754053E-2</v>
      </c>
      <c r="P88" s="165">
        <f>(INDEX(Models!$BJ88:$BT88,,T88)*(1-R88)+INDEX(Models!$BJ88:$BT88,,T88+1)*R88-ERP_i)*Q88*Ramure*Pc/MaxiM</f>
        <v>3.9297879566321801E-5</v>
      </c>
      <c r="Q88" s="301">
        <f t="shared" si="28"/>
        <v>0.5</v>
      </c>
      <c r="R88" s="173">
        <f t="shared" si="29"/>
        <v>0.98177727872711873</v>
      </c>
      <c r="S88" s="802">
        <f t="shared" si="30"/>
        <v>0</v>
      </c>
      <c r="T88" s="172">
        <f t="shared" si="31"/>
        <v>6</v>
      </c>
      <c r="U88" s="247">
        <f t="shared" si="32"/>
        <v>0.98177727872711873</v>
      </c>
      <c r="V88" s="378">
        <f t="shared" si="33"/>
        <v>40.69653714574536</v>
      </c>
      <c r="W88" s="397">
        <f t="shared" si="34"/>
        <v>14.698400291797286</v>
      </c>
      <c r="X88" s="153">
        <f t="shared" si="35"/>
        <v>47922</v>
      </c>
      <c r="Y88" s="380">
        <f t="shared" si="36"/>
        <v>14.379441298193431</v>
      </c>
      <c r="Z88" s="380">
        <f t="shared" si="37"/>
        <v>15.064529823240441</v>
      </c>
      <c r="AA88" s="381">
        <f t="shared" si="38"/>
        <v>15.993149210203985</v>
      </c>
      <c r="AB88" s="193">
        <f t="shared" si="39"/>
        <v>47922</v>
      </c>
      <c r="AC88" s="119">
        <f>IF(OR(t&lt;Tnet,NoTnet),'2030'!Resal_s+('2030'!Salim-'2030'!Resal_s)*(1-EXP(('2030'!Tnet_s-t)/'2030'!Tau_j)),Resal_s+(Salim-Resal_s)*(1-EXP((Tnet_s-t)/Tau_j)))*Salcycl</f>
        <v>5.8063573018568689E-2</v>
      </c>
      <c r="AD88" s="227">
        <f>(INDEX(Models!$BJ88:$BT88,,AH88)*(1-AF88)+INDEX(Models!$BJ88:$BT88,,AH88+1)*AF88-ERP_i)*AE88*Ramure*Pc/MaxiM</f>
        <v>2.4811455566445826E-4</v>
      </c>
      <c r="AE88" s="301">
        <f t="shared" si="40"/>
        <v>0.5</v>
      </c>
      <c r="AF88" s="173">
        <f t="shared" si="41"/>
        <v>0.50676484510109532</v>
      </c>
      <c r="AG88" s="802">
        <f t="shared" si="49"/>
        <v>4</v>
      </c>
      <c r="AH88" s="172">
        <f t="shared" si="42"/>
        <v>10</v>
      </c>
      <c r="AI88" s="221">
        <f t="shared" si="43"/>
        <v>4.5067648451010953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47923</v>
      </c>
      <c r="B89" s="406">
        <f>'2030'!Wh/'2030'!Env_an*'2031'!Env_an</f>
        <v>12.342403543084139</v>
      </c>
      <c r="C89" s="832"/>
      <c r="D89" s="388">
        <f t="shared" si="25"/>
        <v>12.930617240555394</v>
      </c>
      <c r="E89" s="380">
        <f t="shared" si="47"/>
        <v>13.43060972702019</v>
      </c>
      <c r="F89" s="380">
        <f t="shared" si="26"/>
        <v>13.430609805259822</v>
      </c>
      <c r="G89" s="110">
        <f t="shared" si="48"/>
        <v>0.30010306024897021</v>
      </c>
      <c r="H89" s="409" t="b">
        <f>Wh_hp&gt;='2030'!Maxi_hp</f>
        <v>0</v>
      </c>
      <c r="I89" s="385">
        <f>IF(H89,Wh_hp,'2030'!Maxi_hp)</f>
        <v>13.431085760338645</v>
      </c>
      <c r="J89" s="85">
        <f>IF(H89,An,'2030'!An_max)</f>
        <v>2022</v>
      </c>
      <c r="K89" s="193">
        <f t="shared" si="27"/>
        <v>47923</v>
      </c>
      <c r="L89" s="143">
        <f>IF(t&lt;Tvie,1-EXP((T0-t)*PertePVj)+'2030'!Pspv,1-EXP((T0-t)*PertePVj)+Pspv)</f>
        <v>4.5489993751140601E-2</v>
      </c>
      <c r="M89" s="836"/>
      <c r="N89" s="836"/>
      <c r="O89" s="48">
        <f>IF(t&lt;Tnet,'2030'!Resal+('2030'!Salim-'2030'!Resal)*(1-EXP(('2030'!Tnet-t)/('2030'!Tau_j))),Resal+(Salim-Resal)*(1-EXP((Tnet-t)/(Tau_j))))*Salcycl</f>
        <v>3.7227832289616243E-2</v>
      </c>
      <c r="P89" s="165">
        <f>(INDEX(Models!$BJ89:$BT89,,T89)*(1-R89)+INDEX(Models!$BJ89:$BT89,,T89+1)*R89-ERP_i)*Q89*Ramure*Pc/MaxiM</f>
        <v>3.5829686819752952E-5</v>
      </c>
      <c r="Q89" s="301">
        <f t="shared" si="28"/>
        <v>0.5</v>
      </c>
      <c r="R89" s="173">
        <f t="shared" si="29"/>
        <v>0.98233348001989063</v>
      </c>
      <c r="S89" s="802">
        <f t="shared" si="30"/>
        <v>0</v>
      </c>
      <c r="T89" s="172">
        <f t="shared" si="31"/>
        <v>6</v>
      </c>
      <c r="U89" s="247">
        <f t="shared" si="32"/>
        <v>0.98233348001989063</v>
      </c>
      <c r="V89" s="378">
        <f t="shared" si="33"/>
        <v>41.12574320398214</v>
      </c>
      <c r="W89" s="397">
        <f t="shared" si="34"/>
        <v>12.342403543084139</v>
      </c>
      <c r="X89" s="153">
        <f t="shared" si="35"/>
        <v>47923</v>
      </c>
      <c r="Y89" s="380">
        <f t="shared" si="36"/>
        <v>12.075014565666615</v>
      </c>
      <c r="Z89" s="380">
        <f t="shared" si="37"/>
        <v>12.650485051613407</v>
      </c>
      <c r="AA89" s="381">
        <f t="shared" si="38"/>
        <v>13.430609319219924</v>
      </c>
      <c r="AB89" s="193">
        <f t="shared" si="39"/>
        <v>47923</v>
      </c>
      <c r="AC89" s="119">
        <f>IF(OR(t&lt;Tnet,NoTnet),'2030'!Resal_s+('2030'!Salim-'2030'!Resal_s)*(1-EXP(('2030'!Tnet_s-t)/'2030'!Tau_j)),Resal_s+(Salim-Resal_s)*(1-EXP((Tnet_s-t)/Tau_j)))*Salcycl</f>
        <v>5.8085545418264571E-2</v>
      </c>
      <c r="AD89" s="227">
        <f>(INDEX(Models!$BJ89:$BT89,,AH89)*(1-AF89)+INDEX(Models!$BJ89:$BT89,,AH89+1)*AF89-ERP_i)*AE89*Ramure*Pc/MaxiM</f>
        <v>2.2258102671715517E-4</v>
      </c>
      <c r="AE89" s="301">
        <f t="shared" si="40"/>
        <v>0.5</v>
      </c>
      <c r="AF89" s="173">
        <f t="shared" si="41"/>
        <v>0.50732104639386755</v>
      </c>
      <c r="AG89" s="802">
        <f t="shared" si="49"/>
        <v>4</v>
      </c>
      <c r="AH89" s="172">
        <f t="shared" si="42"/>
        <v>10</v>
      </c>
      <c r="AI89" s="221">
        <f t="shared" si="43"/>
        <v>4.5073210463938675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47924</v>
      </c>
      <c r="B90" s="406">
        <f>'2030'!Wh/'2030'!Env_an*'2031'!Env_an</f>
        <v>11.853819287274394</v>
      </c>
      <c r="C90" s="832"/>
      <c r="D90" s="388">
        <f t="shared" si="25"/>
        <v>12.418918063428706</v>
      </c>
      <c r="E90" s="380">
        <f t="shared" si="47"/>
        <v>12.899666413718213</v>
      </c>
      <c r="F90" s="380">
        <f t="shared" si="26"/>
        <v>12.899666413718213</v>
      </c>
      <c r="G90" s="110">
        <f t="shared" si="48"/>
        <v>0.2852533455165997</v>
      </c>
      <c r="H90" s="409" t="b">
        <f>Wh_hp&gt;='2030'!Maxi_hp</f>
        <v>0</v>
      </c>
      <c r="I90" s="385">
        <f>IF(H90,Wh_hp,'2030'!Maxi_hp)</f>
        <v>12.900088201183433</v>
      </c>
      <c r="J90" s="85">
        <f>IF(H90,An,'2030'!An_max)</f>
        <v>2022</v>
      </c>
      <c r="K90" s="193">
        <f t="shared" si="27"/>
        <v>47924</v>
      </c>
      <c r="L90" s="143">
        <f>IF(t&lt;Tvie,1-EXP((T0-t)*PertePVj)+'2030'!Pspv,1-EXP((T0-t)*PertePVj)+Pspv)</f>
        <v>4.5503060191565137E-2</v>
      </c>
      <c r="M90" s="836"/>
      <c r="N90" s="836"/>
      <c r="O90" s="48">
        <f>IF(t&lt;Tnet,'2030'!Resal+('2030'!Salim-'2030'!Resal)*(1-EXP(('2030'!Tnet-t)/('2030'!Tau_j))),Resal+(Salim-Resal)*(1-EXP((Tnet-t)/(Tau_j))))*Salcycl</f>
        <v>3.7268277711294449E-2</v>
      </c>
      <c r="P90" s="165">
        <f>(INDEX(Models!$BJ90:$BT90,,T90)*(1-R90)+INDEX(Models!$BJ90:$BT90,,T90+1)*R90-ERP_i)*Q90*Ramure*Pc/MaxiM</f>
        <v>3.3082468122805669E-5</v>
      </c>
      <c r="Q90" s="301">
        <f t="shared" si="28"/>
        <v>0.5</v>
      </c>
      <c r="R90" s="173">
        <f t="shared" si="29"/>
        <v>0.98291166574565492</v>
      </c>
      <c r="S90" s="802">
        <f t="shared" si="30"/>
        <v>0</v>
      </c>
      <c r="T90" s="172">
        <f t="shared" si="31"/>
        <v>6</v>
      </c>
      <c r="U90" s="247">
        <f t="shared" si="32"/>
        <v>0.98291166574565492</v>
      </c>
      <c r="V90" s="378">
        <f t="shared" si="33"/>
        <v>41.554033703649949</v>
      </c>
      <c r="W90" s="397">
        <f t="shared" si="34"/>
        <v>11.853819287274394</v>
      </c>
      <c r="X90" s="153">
        <f t="shared" si="35"/>
        <v>47924</v>
      </c>
      <c r="Y90" s="380">
        <f t="shared" si="36"/>
        <v>11.597229790586319</v>
      </c>
      <c r="Z90" s="380">
        <f t="shared" si="37"/>
        <v>12.150096356426092</v>
      </c>
      <c r="AA90" s="381">
        <f t="shared" si="38"/>
        <v>12.899666413718213</v>
      </c>
      <c r="AB90" s="193">
        <f t="shared" si="39"/>
        <v>47924</v>
      </c>
      <c r="AC90" s="119">
        <f>IF(OR(t&lt;Tnet,NoTnet),'2030'!Resal_s+('2030'!Salim-'2030'!Resal_s)*(1-EXP(('2030'!Tnet_s-t)/'2030'!Tau_j)),Resal_s+(Salim-Resal_s)*(1-EXP((Tnet_s-t)/Tau_j)))*Salcycl</f>
        <v>5.8107708622215766E-2</v>
      </c>
      <c r="AD90" s="227">
        <f>(INDEX(Models!$BJ90:$BT90,,AH90)*(1-AF90)+INDEX(Models!$BJ90:$BT90,,AH90+1)*AF90-ERP_i)*AE90*Ramure*Pc/MaxiM</f>
        <v>2.0160799528599519E-4</v>
      </c>
      <c r="AE90" s="301">
        <f t="shared" si="40"/>
        <v>0.5</v>
      </c>
      <c r="AF90" s="173">
        <f t="shared" si="41"/>
        <v>0.50789923211963206</v>
      </c>
      <c r="AG90" s="802">
        <f t="shared" si="49"/>
        <v>4</v>
      </c>
      <c r="AH90" s="172">
        <f t="shared" si="42"/>
        <v>10</v>
      </c>
      <c r="AI90" s="221">
        <f t="shared" si="43"/>
        <v>4.5078992321196321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47925</v>
      </c>
      <c r="B91" s="406">
        <f>'2030'!Wh/'2030'!Env_an*'2031'!Env_an</f>
        <v>13.991719383736406</v>
      </c>
      <c r="C91" s="832"/>
      <c r="D91" s="388">
        <f t="shared" si="25"/>
        <v>14.658937433634085</v>
      </c>
      <c r="E91" s="380">
        <f t="shared" si="47"/>
        <v>15.22704060853343</v>
      </c>
      <c r="F91" s="380">
        <f t="shared" si="26"/>
        <v>15.227063081844436</v>
      </c>
      <c r="G91" s="110">
        <f t="shared" si="48"/>
        <v>0.33327784118676951</v>
      </c>
      <c r="H91" s="409" t="b">
        <f>Wh_hp&gt;='2030'!Maxi_hp</f>
        <v>0</v>
      </c>
      <c r="I91" s="385">
        <f>IF(H91,Wh_hp,'2030'!Maxi_hp)</f>
        <v>15.227507547270084</v>
      </c>
      <c r="J91" s="85">
        <f>IF(H91,An,'2030'!An_max)</f>
        <v>2022</v>
      </c>
      <c r="K91" s="193">
        <f t="shared" si="27"/>
        <v>47925</v>
      </c>
      <c r="L91" s="143">
        <f>IF(t&lt;Tvie,1-EXP((T0-t)*PertePVj)+'2030'!Pspv,1-EXP((T0-t)*PertePVj)+Pspv)</f>
        <v>4.5516126453121086E-2</v>
      </c>
      <c r="M91" s="836"/>
      <c r="N91" s="836"/>
      <c r="O91" s="48">
        <f>IF(t&lt;Tnet,'2030'!Resal+('2030'!Salim-'2030'!Resal)*(1-EXP(('2030'!Tnet-t)/('2030'!Tau_j))),Resal+(Salim-Resal)*(1-EXP((Tnet-t)/(Tau_j))))*Salcycl</f>
        <v>3.7308836924029344E-2</v>
      </c>
      <c r="P91" s="165">
        <f>(INDEX(Models!$BJ91:$BT91,,T91)*(1-R91)+INDEX(Models!$BJ91:$BT91,,T91+1)*R91-ERP_i)*Q91*Ramure*Pc/MaxiM</f>
        <v>3.1035965100240647E-5</v>
      </c>
      <c r="Q91" s="301">
        <f t="shared" si="28"/>
        <v>0.5</v>
      </c>
      <c r="R91" s="173">
        <f t="shared" si="29"/>
        <v>0.98351264782428038</v>
      </c>
      <c r="S91" s="802">
        <f t="shared" si="30"/>
        <v>0</v>
      </c>
      <c r="T91" s="172">
        <f t="shared" si="31"/>
        <v>6</v>
      </c>
      <c r="U91" s="247">
        <f t="shared" si="32"/>
        <v>0.98351264782428038</v>
      </c>
      <c r="V91" s="378">
        <f t="shared" si="33"/>
        <v>41.98090619190986</v>
      </c>
      <c r="W91" s="397">
        <f t="shared" si="34"/>
        <v>13.991719383736406</v>
      </c>
      <c r="X91" s="153">
        <f t="shared" si="35"/>
        <v>47925</v>
      </c>
      <c r="Y91" s="380">
        <f t="shared" si="36"/>
        <v>13.689003855519219</v>
      </c>
      <c r="Z91" s="380">
        <f t="shared" si="37"/>
        <v>14.341786419764894</v>
      </c>
      <c r="AA91" s="381">
        <f t="shared" si="38"/>
        <v>15.226929077723517</v>
      </c>
      <c r="AB91" s="193">
        <f t="shared" si="39"/>
        <v>47925</v>
      </c>
      <c r="AC91" s="119">
        <f>IF(OR(t&lt;Tnet,NoTnet),'2030'!Resal_s+('2030'!Salim-'2030'!Resal_s)*(1-EXP(('2030'!Tnet_s-t)/'2030'!Tau_j)),Resal_s+(Salim-Resal_s)*(1-EXP((Tnet_s-t)/Tau_j)))*Salcycl</f>
        <v>5.8130083448904753E-2</v>
      </c>
      <c r="AD91" s="227">
        <f>(INDEX(Models!$BJ91:$BT91,,AH91)*(1-AF91)+INDEX(Models!$BJ91:$BT91,,AH91+1)*AF91-ERP_i)*AE91*Ramure*Pc/MaxiM</f>
        <v>1.8506161459683356E-4</v>
      </c>
      <c r="AE91" s="301">
        <f t="shared" si="40"/>
        <v>0.5</v>
      </c>
      <c r="AF91" s="173">
        <f t="shared" si="41"/>
        <v>0.50850021419825708</v>
      </c>
      <c r="AG91" s="802">
        <f t="shared" si="49"/>
        <v>4</v>
      </c>
      <c r="AH91" s="172">
        <f t="shared" si="42"/>
        <v>10</v>
      </c>
      <c r="AI91" s="221">
        <f t="shared" si="43"/>
        <v>4.5085002141982571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47926</v>
      </c>
      <c r="B92" s="406">
        <f>'2030'!Wh/'2030'!Env_an*'2031'!Env_an</f>
        <v>25.709205336813369</v>
      </c>
      <c r="C92" s="832"/>
      <c r="D92" s="388">
        <f t="shared" si="25"/>
        <v>26.9355596166601</v>
      </c>
      <c r="E92" s="380">
        <f t="shared" si="47"/>
        <v>27.980622548494637</v>
      </c>
      <c r="F92" s="380">
        <f t="shared" si="26"/>
        <v>27.980985789623649</v>
      </c>
      <c r="G92" s="110">
        <f t="shared" si="48"/>
        <v>0.60625529836381009</v>
      </c>
      <c r="H92" s="409" t="b">
        <f>Wh_hp&gt;='2030'!Maxi_hp</f>
        <v>0</v>
      </c>
      <c r="I92" s="385">
        <f>IF(H92,Wh_hp,'2030'!Maxi_hp)</f>
        <v>27.981446472007683</v>
      </c>
      <c r="J92" s="85">
        <f>IF(H92,An,'2030'!An_max)</f>
        <v>2022</v>
      </c>
      <c r="K92" s="193">
        <f t="shared" si="27"/>
        <v>47926</v>
      </c>
      <c r="L92" s="143">
        <f>IF(t&lt;Tvie,1-EXP((T0-t)*PertePVj)+'2030'!Pspv,1-EXP((T0-t)*PertePVj)+Pspv)</f>
        <v>4.5529192535810892E-2</v>
      </c>
      <c r="M92" s="836"/>
      <c r="N92" s="836"/>
      <c r="O92" s="48">
        <f>IF(t&lt;Tnet,'2030'!Resal+('2030'!Salim-'2030'!Resal)*(1-EXP(('2030'!Tnet-t)/('2030'!Tau_j))),Resal+(Salim-Resal)*(1-EXP((Tnet-t)/(Tau_j))))*Salcycl</f>
        <v>3.7349523943696492E-2</v>
      </c>
      <c r="P92" s="165">
        <f>(INDEX(Models!$BJ92:$BT92,,T92)*(1-R92)+INDEX(Models!$BJ92:$BT92,,T92+1)*R92-ERP_i)*Q92*Ramure*Pc/MaxiM</f>
        <v>2.9670993385215597E-5</v>
      </c>
      <c r="Q92" s="301">
        <f t="shared" si="28"/>
        <v>0.5</v>
      </c>
      <c r="R92" s="173">
        <f t="shared" si="29"/>
        <v>0.98413726343848695</v>
      </c>
      <c r="S92" s="802">
        <f t="shared" si="30"/>
        <v>0</v>
      </c>
      <c r="T92" s="172">
        <f t="shared" si="31"/>
        <v>6</v>
      </c>
      <c r="U92" s="247">
        <f t="shared" si="32"/>
        <v>0.98413726343848695</v>
      </c>
      <c r="V92" s="378">
        <f t="shared" si="33"/>
        <v>42.405858278670415</v>
      </c>
      <c r="W92" s="397">
        <f t="shared" si="34"/>
        <v>25.709205336813369</v>
      </c>
      <c r="X92" s="153">
        <f t="shared" si="35"/>
        <v>47926</v>
      </c>
      <c r="Y92" s="380">
        <f t="shared" si="36"/>
        <v>25.152046300314872</v>
      </c>
      <c r="Z92" s="380">
        <f t="shared" si="37"/>
        <v>26.35182354831586</v>
      </c>
      <c r="AA92" s="381">
        <f t="shared" si="38"/>
        <v>27.978870144232793</v>
      </c>
      <c r="AB92" s="193">
        <f t="shared" si="39"/>
        <v>47926</v>
      </c>
      <c r="AC92" s="119">
        <f>IF(OR(t&lt;Tnet,NoTnet),'2030'!Resal_s+('2030'!Salim-'2030'!Resal_s)*(1-EXP(('2030'!Tnet_s-t)/'2030'!Tau_j)),Resal_s+(Salim-Resal_s)*(1-EXP((Tnet_s-t)/Tau_j)))*Salcycl</f>
        <v>5.8152691210524521E-2</v>
      </c>
      <c r="AD92" s="227">
        <f>(INDEX(Models!$BJ92:$BT92,,AH92)*(1-AF92)+INDEX(Models!$BJ92:$BT92,,AH92+1)*AF92-ERP_i)*AE92*Ramure*Pc/MaxiM</f>
        <v>1.7281440724545584E-4</v>
      </c>
      <c r="AE92" s="301">
        <f t="shared" si="40"/>
        <v>0.5</v>
      </c>
      <c r="AF92" s="173">
        <f t="shared" si="41"/>
        <v>0.50912482981246399</v>
      </c>
      <c r="AG92" s="802">
        <f t="shared" si="49"/>
        <v>4</v>
      </c>
      <c r="AH92" s="172">
        <f t="shared" si="42"/>
        <v>10</v>
      </c>
      <c r="AI92" s="221">
        <f t="shared" si="43"/>
        <v>4.509124829812464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47927</v>
      </c>
      <c r="B93" s="406">
        <f>'2030'!Wh/'2030'!Env_an*'2031'!Env_an</f>
        <v>30.817486251908491</v>
      </c>
      <c r="C93" s="832"/>
      <c r="D93" s="388">
        <f t="shared" si="25"/>
        <v>32.287952530541126</v>
      </c>
      <c r="E93" s="380">
        <f t="shared" si="47"/>
        <v>33.542103628784346</v>
      </c>
      <c r="F93" s="380">
        <f t="shared" si="26"/>
        <v>33.542685892664785</v>
      </c>
      <c r="G93" s="110">
        <f t="shared" si="48"/>
        <v>0.71948056290358731</v>
      </c>
      <c r="H93" s="409" t="b">
        <f>Wh_hp&gt;='2030'!Maxi_hp</f>
        <v>0</v>
      </c>
      <c r="I93" s="385">
        <f>IF(H93,Wh_hp,'2030'!Maxi_hp)</f>
        <v>33.543069625939346</v>
      </c>
      <c r="J93" s="85">
        <f>IF(H93,An,'2030'!An_max)</f>
        <v>2022</v>
      </c>
      <c r="K93" s="193">
        <f t="shared" si="27"/>
        <v>47927</v>
      </c>
      <c r="L93" s="143">
        <f>IF(t&lt;Tvie,1-EXP((T0-t)*PertePVj)+'2030'!Pspv,1-EXP((T0-t)*PertePVj)+Pspv)</f>
        <v>4.5542258439636996E-2</v>
      </c>
      <c r="M93" s="836"/>
      <c r="N93" s="836"/>
      <c r="O93" s="48">
        <f>IF(t&lt;Tnet,'2030'!Resal+('2030'!Salim-'2030'!Resal)*(1-EXP(('2030'!Tnet-t)/('2030'!Tau_j))),Resal+(Salim-Resal)*(1-EXP((Tnet-t)/(Tau_j))))*Salcycl</f>
        <v>3.7390353095414129E-2</v>
      </c>
      <c r="P93" s="165">
        <f>(INDEX(Models!$BJ93:$BT93,,T93)*(1-R93)+INDEX(Models!$BJ93:$BT93,,T93+1)*R93-ERP_i)*Q93*Ramure*Pc/MaxiM</f>
        <v>2.8966736334051739E-5</v>
      </c>
      <c r="Q93" s="301">
        <f t="shared" si="28"/>
        <v>0.5</v>
      </c>
      <c r="R93" s="173">
        <f t="shared" si="29"/>
        <v>0.98478637542110836</v>
      </c>
      <c r="S93" s="802">
        <f t="shared" si="30"/>
        <v>0</v>
      </c>
      <c r="T93" s="172">
        <f t="shared" si="31"/>
        <v>6</v>
      </c>
      <c r="U93" s="247">
        <f t="shared" si="32"/>
        <v>0.98478637542110836</v>
      </c>
      <c r="V93" s="378">
        <f t="shared" si="33"/>
        <v>42.832468464144213</v>
      </c>
      <c r="W93" s="397">
        <f t="shared" si="34"/>
        <v>30.817486251908491</v>
      </c>
      <c r="X93" s="153">
        <f t="shared" si="35"/>
        <v>47927</v>
      </c>
      <c r="Y93" s="380">
        <f t="shared" si="36"/>
        <v>30.14960484641831</v>
      </c>
      <c r="Z93" s="380">
        <f t="shared" si="37"/>
        <v>31.588202948754176</v>
      </c>
      <c r="AA93" s="381">
        <f t="shared" si="38"/>
        <v>33.539374637086944</v>
      </c>
      <c r="AB93" s="193">
        <f t="shared" si="39"/>
        <v>47927</v>
      </c>
      <c r="AC93" s="119">
        <f>IF(OR(t&lt;Tnet,NoTnet),'2030'!Resal_s+('2030'!Salim-'2030'!Resal_s)*(1-EXP(('2030'!Tnet_s-t)/'2030'!Tau_j)),Resal_s+(Salim-Resal_s)*(1-EXP((Tnet_s-t)/Tau_j)))*Salcycl</f>
        <v>5.8175553642410865E-2</v>
      </c>
      <c r="AD93" s="227">
        <f>(INDEX(Models!$BJ93:$BT93,,AH93)*(1-AF93)+INDEX(Models!$BJ93:$BT93,,AH93+1)*AF93-ERP_i)*AE93*Ramure*Pc/MaxiM</f>
        <v>1.6472989391906278E-4</v>
      </c>
      <c r="AE93" s="301">
        <f t="shared" si="40"/>
        <v>0.5</v>
      </c>
      <c r="AF93" s="173">
        <f t="shared" si="41"/>
        <v>0.50977394179508551</v>
      </c>
      <c r="AG93" s="802">
        <f t="shared" si="49"/>
        <v>4</v>
      </c>
      <c r="AH93" s="172">
        <f t="shared" si="42"/>
        <v>10</v>
      </c>
      <c r="AI93" s="221">
        <f t="shared" si="43"/>
        <v>4.5097739417950855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47928</v>
      </c>
      <c r="B94" s="406">
        <f>'2030'!Wh/'2030'!Env_an*'2031'!Env_an</f>
        <v>41.450355100498626</v>
      </c>
      <c r="C94" s="832"/>
      <c r="D94" s="388">
        <f t="shared" si="25"/>
        <v>43.428766642988833</v>
      </c>
      <c r="E94" s="380">
        <f t="shared" si="47"/>
        <v>45.117577998503783</v>
      </c>
      <c r="F94" s="380">
        <f t="shared" si="26"/>
        <v>45.118805581970484</v>
      </c>
      <c r="G94" s="110">
        <f t="shared" si="48"/>
        <v>0.95808284718961567</v>
      </c>
      <c r="H94" s="409" t="b">
        <f>Wh_hp&gt;='2030'!Maxi_hp</f>
        <v>0</v>
      </c>
      <c r="I94" s="385">
        <f>IF(H94,Wh_hp,'2030'!Maxi_hp)</f>
        <v>45.118882566979195</v>
      </c>
      <c r="J94" s="85">
        <f>IF(H94,An,'2030'!An_max)</f>
        <v>2022</v>
      </c>
      <c r="K94" s="193">
        <f t="shared" si="27"/>
        <v>47928</v>
      </c>
      <c r="L94" s="143">
        <f>IF(t&lt;Tvie,1-EXP((T0-t)*PertePVj)+'2030'!Pspv,1-EXP((T0-t)*PertePVj)+Pspv)</f>
        <v>4.555532416460184E-2</v>
      </c>
      <c r="M94" s="836"/>
      <c r="N94" s="836"/>
      <c r="O94" s="48">
        <f>IF(t&lt;Tnet,'2030'!Resal+('2030'!Salim-'2030'!Resal)*(1-EXP(('2030'!Tnet-t)/('2030'!Tau_j))),Resal+(Salim-Resal)*(1-EXP((Tnet-t)/(Tau_j))))*Salcycl</f>
        <v>3.7431338968837199E-2</v>
      </c>
      <c r="P94" s="165">
        <f>(INDEX(Models!$BJ94:$BT94,,T94)*(1-R94)+INDEX(Models!$BJ94:$BT94,,T94+1)*R94-ERP_i)*Q94*Ramure*Pc/MaxiM</f>
        <v>2.894075186223385E-5</v>
      </c>
      <c r="Q94" s="301">
        <f t="shared" si="28"/>
        <v>0.5</v>
      </c>
      <c r="R94" s="173">
        <f t="shared" si="29"/>
        <v>0.98546087261080861</v>
      </c>
      <c r="S94" s="802">
        <f t="shared" si="30"/>
        <v>0</v>
      </c>
      <c r="T94" s="172">
        <f t="shared" si="31"/>
        <v>6</v>
      </c>
      <c r="U94" s="247">
        <f t="shared" si="32"/>
        <v>0.98546087261080861</v>
      </c>
      <c r="V94" s="378">
        <f t="shared" si="33"/>
        <v>43.263777645834992</v>
      </c>
      <c r="W94" s="397">
        <f t="shared" si="34"/>
        <v>41.450355100498626</v>
      </c>
      <c r="X94" s="153">
        <f t="shared" si="35"/>
        <v>47928</v>
      </c>
      <c r="Y94" s="380">
        <f t="shared" si="36"/>
        <v>40.551008650203919</v>
      </c>
      <c r="Z94" s="380">
        <f t="shared" si="37"/>
        <v>42.486494688349303</v>
      </c>
      <c r="AA94" s="381">
        <f t="shared" si="38"/>
        <v>45.11195128420389</v>
      </c>
      <c r="AB94" s="193">
        <f t="shared" si="39"/>
        <v>47928</v>
      </c>
      <c r="AC94" s="119">
        <f>IF(OR(t&lt;Tnet,NoTnet),'2030'!Resal_s+('2030'!Salim-'2030'!Resal_s)*(1-EXP(('2030'!Tnet_s-t)/'2030'!Tau_j)),Resal_s+(Salim-Resal_s)*(1-EXP((Tnet_s-t)/Tau_j)))*Salcycl</f>
        <v>5.8198692832289366E-2</v>
      </c>
      <c r="AD94" s="227">
        <f>(INDEX(Models!$BJ94:$BT94,,AH94)*(1-AF94)+INDEX(Models!$BJ94:$BT94,,AH94+1)*AF94-ERP_i)*AE94*Ramure*Pc/MaxiM</f>
        <v>1.6159270325269681E-4</v>
      </c>
      <c r="AE94" s="301">
        <f t="shared" si="40"/>
        <v>0.5</v>
      </c>
      <c r="AF94" s="173">
        <f t="shared" si="41"/>
        <v>0.51044843898478565</v>
      </c>
      <c r="AG94" s="802">
        <f t="shared" si="49"/>
        <v>4</v>
      </c>
      <c r="AH94" s="172">
        <f t="shared" si="42"/>
        <v>10</v>
      </c>
      <c r="AI94" s="221">
        <f t="shared" si="43"/>
        <v>4.5104484389847856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47929</v>
      </c>
      <c r="B95" s="406">
        <f>'2030'!Wh/'2030'!Env_an*'2031'!Env_an</f>
        <v>40.456659856408429</v>
      </c>
      <c r="C95" s="832"/>
      <c r="D95" s="388">
        <f t="shared" si="25"/>
        <v>42.388222917455394</v>
      </c>
      <c r="E95" s="380">
        <f t="shared" si="47"/>
        <v>44.038453714566749</v>
      </c>
      <c r="F95" s="380">
        <f t="shared" si="26"/>
        <v>44.039609076787613</v>
      </c>
      <c r="G95" s="110">
        <f t="shared" si="48"/>
        <v>0.92581080590487586</v>
      </c>
      <c r="H95" s="409" t="b">
        <f>Wh_hp&gt;='2030'!Maxi_hp</f>
        <v>0</v>
      </c>
      <c r="I95" s="385">
        <f>IF(H95,Wh_hp,'2030'!Maxi_hp)</f>
        <v>44.0397438016956</v>
      </c>
      <c r="J95" s="85">
        <f>IF(H95,An,'2030'!An_max)</f>
        <v>2022</v>
      </c>
      <c r="K95" s="193">
        <f t="shared" si="27"/>
        <v>47929</v>
      </c>
      <c r="L95" s="143">
        <f>IF(t&lt;Tvie,1-EXP((T0-t)*PertePVj)+'2030'!Pspv,1-EXP((T0-t)*PertePVj)+Pspv)</f>
        <v>4.5568389710707868E-2</v>
      </c>
      <c r="M95" s="836"/>
      <c r="N95" s="836"/>
      <c r="O95" s="48">
        <f>IF(t&lt;Tnet,'2030'!Resal+('2030'!Salim-'2030'!Resal)*(1-EXP(('2030'!Tnet-t)/('2030'!Tau_j))),Resal+(Salim-Resal)*(1-EXP((Tnet-t)/(Tau_j))))*Salcycl</f>
        <v>3.7472496373447947E-2</v>
      </c>
      <c r="P95" s="165">
        <f>(INDEX(Models!$BJ95:$BT95,,T95)*(1-R95)+INDEX(Models!$BJ95:$BT95,,T95+1)*R95-ERP_i)*Q95*Ramure*Pc/MaxiM</f>
        <v>2.9344566030199968E-5</v>
      </c>
      <c r="Q95" s="301">
        <f t="shared" si="28"/>
        <v>0.5</v>
      </c>
      <c r="R95" s="173">
        <f t="shared" si="29"/>
        <v>0.98616167017198331</v>
      </c>
      <c r="S95" s="802">
        <f t="shared" si="30"/>
        <v>0</v>
      </c>
      <c r="T95" s="172">
        <f t="shared" si="31"/>
        <v>6</v>
      </c>
      <c r="U95" s="247">
        <f t="shared" si="32"/>
        <v>0.98616167017198331</v>
      </c>
      <c r="V95" s="378">
        <f t="shared" si="33"/>
        <v>43.698489774446102</v>
      </c>
      <c r="W95" s="397">
        <f t="shared" si="34"/>
        <v>40.456659856408429</v>
      </c>
      <c r="X95" s="153">
        <f t="shared" si="35"/>
        <v>47929</v>
      </c>
      <c r="Y95" s="380">
        <f t="shared" si="36"/>
        <v>39.579842497446023</v>
      </c>
      <c r="Z95" s="380">
        <f t="shared" si="37"/>
        <v>41.469542784159472</v>
      </c>
      <c r="AA95" s="381">
        <f t="shared" si="38"/>
        <v>44.033252591494559</v>
      </c>
      <c r="AB95" s="193">
        <f t="shared" si="39"/>
        <v>47929</v>
      </c>
      <c r="AC95" s="119">
        <f>IF(OR(t&lt;Tnet,NoTnet),'2030'!Resal_s+('2030'!Salim-'2030'!Resal_s)*(1-EXP(('2030'!Tnet_s-t)/'2030'!Tau_j)),Resal_s+(Salim-Resal_s)*(1-EXP((Tnet_s-t)/Tau_j)))*Salcycl</f>
        <v>5.8222131149818709E-2</v>
      </c>
      <c r="AD95" s="227">
        <f>(INDEX(Models!$BJ95:$BT95,,AH95)*(1-AF95)+INDEX(Models!$BJ95:$BT95,,AH95+1)*AF95-ERP_i)*AE95*Ramure*Pc/MaxiM</f>
        <v>1.6144573453533135E-4</v>
      </c>
      <c r="AE95" s="301">
        <f t="shared" si="40"/>
        <v>0.5</v>
      </c>
      <c r="AF95" s="173">
        <f t="shared" si="41"/>
        <v>0.51114923654596023</v>
      </c>
      <c r="AG95" s="802">
        <f t="shared" si="49"/>
        <v>4</v>
      </c>
      <c r="AH95" s="172">
        <f t="shared" si="42"/>
        <v>10</v>
      </c>
      <c r="AI95" s="221">
        <f t="shared" si="43"/>
        <v>4.5111492365459602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47930</v>
      </c>
      <c r="B96" s="406">
        <f>'2030'!Wh/'2030'!Env_an*'2031'!Env_an</f>
        <v>43.160510514623482</v>
      </c>
      <c r="C96" s="832"/>
      <c r="D96" s="388">
        <f t="shared" si="25"/>
        <v>45.221785289334321</v>
      </c>
      <c r="E96" s="380">
        <f t="shared" si="47"/>
        <v>46.984348640560029</v>
      </c>
      <c r="F96" s="380">
        <f t="shared" si="26"/>
        <v>46.985721401266076</v>
      </c>
      <c r="G96" s="110">
        <f t="shared" si="48"/>
        <v>0.97791270173680656</v>
      </c>
      <c r="H96" s="409" t="b">
        <f>Wh_hp&gt;='2030'!Maxi_hp</f>
        <v>0</v>
      </c>
      <c r="I96" s="385">
        <f>IF(H96,Wh_hp,'2030'!Maxi_hp)</f>
        <v>46.985765354828146</v>
      </c>
      <c r="J96" s="85">
        <f>IF(H96,An,'2030'!An_max)</f>
        <v>2022</v>
      </c>
      <c r="K96" s="193">
        <f t="shared" si="27"/>
        <v>47930</v>
      </c>
      <c r="L96" s="143">
        <f>IF(t&lt;Tvie,1-EXP((T0-t)*PertePVj)+'2030'!Pspv,1-EXP((T0-t)*PertePVj)+Pspv)</f>
        <v>4.5581455077957633E-2</v>
      </c>
      <c r="M96" s="836"/>
      <c r="N96" s="836"/>
      <c r="O96" s="48">
        <f>IF(t&lt;Tnet,'2030'!Resal+('2030'!Salim-'2030'!Resal)*(1-EXP(('2030'!Tnet-t)/('2030'!Tau_j))),Resal+(Salim-Resal)*(1-EXP((Tnet-t)/(Tau_j))))*Salcycl</f>
        <v>3.7513840294130261E-2</v>
      </c>
      <c r="P96" s="165">
        <f>(INDEX(Models!$BJ96:$BT96,,T96)*(1-R96)+INDEX(Models!$BJ96:$BT96,,T96+1)*R96-ERP_i)*Q96*Ramure*Pc/MaxiM</f>
        <v>3.0168423269503011E-5</v>
      </c>
      <c r="Q96" s="301">
        <f t="shared" si="28"/>
        <v>0.5</v>
      </c>
      <c r="R96" s="173">
        <f t="shared" si="29"/>
        <v>0.98688970987427793</v>
      </c>
      <c r="S96" s="802">
        <f t="shared" si="30"/>
        <v>0</v>
      </c>
      <c r="T96" s="172">
        <f t="shared" si="31"/>
        <v>6</v>
      </c>
      <c r="U96" s="247">
        <f t="shared" si="32"/>
        <v>0.98688970987427793</v>
      </c>
      <c r="V96" s="378">
        <f t="shared" si="33"/>
        <v>44.135298941774259</v>
      </c>
      <c r="W96" s="397">
        <f t="shared" si="34"/>
        <v>43.160510514623482</v>
      </c>
      <c r="X96" s="153">
        <f t="shared" si="35"/>
        <v>47930</v>
      </c>
      <c r="Y96" s="380">
        <f t="shared" si="36"/>
        <v>42.225346289080704</v>
      </c>
      <c r="Z96" s="380">
        <f t="shared" si="37"/>
        <v>44.2419591632408</v>
      </c>
      <c r="AA96" s="381">
        <f t="shared" si="38"/>
        <v>46.978249150968111</v>
      </c>
      <c r="AB96" s="193">
        <f t="shared" si="39"/>
        <v>47930</v>
      </c>
      <c r="AC96" s="119">
        <f>IF(OR(t&lt;Tnet,NoTnet),'2030'!Resal_s+('2030'!Salim-'2030'!Resal_s)*(1-EXP(('2030'!Tnet_s-t)/'2030'!Tau_j)),Resal_s+(Salim-Resal_s)*(1-EXP((Tnet_s-t)/Tau_j)))*Salcycl</f>
        <v>5.8245891176872892E-2</v>
      </c>
      <c r="AD96" s="227">
        <f>(INDEX(Models!$BJ96:$BT96,,AH96)*(1-AF96)+INDEX(Models!$BJ96:$BT96,,AH96+1)*AF96-ERP_i)*AE96*Ramure*Pc/MaxiM</f>
        <v>1.642136235189383E-4</v>
      </c>
      <c r="AE96" s="301">
        <f t="shared" si="40"/>
        <v>0.5</v>
      </c>
      <c r="AF96" s="173">
        <f t="shared" si="41"/>
        <v>0.51187727624825463</v>
      </c>
      <c r="AG96" s="802">
        <f t="shared" si="49"/>
        <v>4</v>
      </c>
      <c r="AH96" s="172">
        <f t="shared" si="42"/>
        <v>10</v>
      </c>
      <c r="AI96" s="221">
        <f t="shared" si="43"/>
        <v>4.5118772762482546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47931</v>
      </c>
      <c r="B97" s="406">
        <f>'2030'!Wh/'2030'!Env_an*'2031'!Env_an</f>
        <v>42.877532784913413</v>
      </c>
      <c r="C97" s="832"/>
      <c r="D97" s="388">
        <f t="shared" si="25"/>
        <v>44.925908008071765</v>
      </c>
      <c r="E97" s="380">
        <f t="shared" si="47"/>
        <v>46.678954141815524</v>
      </c>
      <c r="F97" s="380">
        <f t="shared" si="26"/>
        <v>46.680340400181393</v>
      </c>
      <c r="G97" s="110">
        <f t="shared" si="48"/>
        <v>0.96196254029707584</v>
      </c>
      <c r="H97" s="409" t="b">
        <f>Wh_hp&gt;='2030'!Maxi_hp</f>
        <v>0</v>
      </c>
      <c r="I97" s="385">
        <f>IF(H97,Wh_hp,'2030'!Maxi_hp)</f>
        <v>46.68041860984021</v>
      </c>
      <c r="J97" s="85">
        <f>IF(H97,An,'2030'!An_max)</f>
        <v>2022</v>
      </c>
      <c r="K97" s="193">
        <f t="shared" si="27"/>
        <v>47931</v>
      </c>
      <c r="L97" s="143">
        <f>IF(t&lt;Tvie,1-EXP((T0-t)*PertePVj)+'2030'!Pspv,1-EXP((T0-t)*PertePVj)+Pspv)</f>
        <v>4.5594520266353356E-2</v>
      </c>
      <c r="M97" s="836"/>
      <c r="N97" s="836"/>
      <c r="O97" s="48">
        <f>IF(t&lt;Tnet,'2030'!Resal+('2030'!Salim-'2030'!Resal)*(1-EXP(('2030'!Tnet-t)/('2030'!Tau_j))),Resal+(Salim-Resal)*(1-EXP((Tnet-t)/(Tau_j))))*Salcycl</f>
        <v>3.7555385847288257E-2</v>
      </c>
      <c r="P97" s="165">
        <f>(INDEX(Models!$BJ97:$BT97,,T97)*(1-R97)+INDEX(Models!$BJ97:$BT97,,T97+1)*R97-ERP_i)*Q97*Ramure*Pc/MaxiM</f>
        <v>3.1403186245772938E-5</v>
      </c>
      <c r="Q97" s="301">
        <f t="shared" si="28"/>
        <v>0.5</v>
      </c>
      <c r="R97" s="173">
        <f t="shared" si="29"/>
        <v>0.98764596032683782</v>
      </c>
      <c r="S97" s="802">
        <f t="shared" si="30"/>
        <v>0</v>
      </c>
      <c r="T97" s="172">
        <f t="shared" si="31"/>
        <v>6</v>
      </c>
      <c r="U97" s="247">
        <f t="shared" si="32"/>
        <v>0.98764596032683782</v>
      </c>
      <c r="V97" s="378">
        <f t="shared" si="33"/>
        <v>44.572899486675347</v>
      </c>
      <c r="W97" s="397">
        <f t="shared" si="34"/>
        <v>42.877532784913413</v>
      </c>
      <c r="X97" s="153">
        <f t="shared" si="35"/>
        <v>47931</v>
      </c>
      <c r="Y97" s="380">
        <f t="shared" si="36"/>
        <v>41.94919142523198</v>
      </c>
      <c r="Z97" s="380">
        <f t="shared" si="37"/>
        <v>43.953217281337352</v>
      </c>
      <c r="AA97" s="381">
        <f t="shared" si="38"/>
        <v>46.672843678968803</v>
      </c>
      <c r="AB97" s="193">
        <f t="shared" si="39"/>
        <v>47931</v>
      </c>
      <c r="AC97" s="119">
        <f>IF(OR(t&lt;Tnet,NoTnet),'2030'!Resal_s+('2030'!Salim-'2030'!Resal_s)*(1-EXP(('2030'!Tnet_s-t)/'2030'!Tau_j)),Resal_s+(Salim-Resal_s)*(1-EXP((Tnet_s-t)/Tau_j)))*Salcycl</f>
        <v>5.8269995638961625E-2</v>
      </c>
      <c r="AD97" s="227">
        <f>(INDEX(Models!$BJ97:$BT97,,AH97)*(1-AF97)+INDEX(Models!$BJ97:$BT97,,AH97+1)*AF97-ERP_i)*AE97*Ramure*Pc/MaxiM</f>
        <v>1.6982471541228609E-4</v>
      </c>
      <c r="AE97" s="301">
        <f t="shared" si="40"/>
        <v>0.5</v>
      </c>
      <c r="AF97" s="173">
        <f t="shared" si="41"/>
        <v>0.51263352670081463</v>
      </c>
      <c r="AG97" s="802">
        <f t="shared" si="49"/>
        <v>4</v>
      </c>
      <c r="AH97" s="172">
        <f t="shared" si="42"/>
        <v>10</v>
      </c>
      <c r="AI97" s="221">
        <f t="shared" si="43"/>
        <v>4.5126335267008146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47932</v>
      </c>
      <c r="B98" s="406">
        <f>'2030'!Wh/'2030'!Env_an*'2031'!Env_an</f>
        <v>35.717668261751733</v>
      </c>
      <c r="C98" s="832"/>
      <c r="D98" s="388">
        <f t="shared" si="25"/>
        <v>37.424509783092809</v>
      </c>
      <c r="E98" s="380">
        <f t="shared" si="47"/>
        <v>38.886532510335599</v>
      </c>
      <c r="F98" s="380">
        <f t="shared" si="26"/>
        <v>38.887438427194226</v>
      </c>
      <c r="G98" s="110">
        <f t="shared" si="48"/>
        <v>0.79354213091801318</v>
      </c>
      <c r="H98" s="409" t="b">
        <f>Wh_hp&gt;='2030'!Maxi_hp</f>
        <v>0</v>
      </c>
      <c r="I98" s="385">
        <f>IF(H98,Wh_hp,'2030'!Maxi_hp)</f>
        <v>38.887810174833888</v>
      </c>
      <c r="J98" s="85">
        <f>IF(H98,An,'2030'!An_max)</f>
        <v>2022</v>
      </c>
      <c r="K98" s="193">
        <f t="shared" si="27"/>
        <v>47932</v>
      </c>
      <c r="L98" s="143">
        <f>IF(t&lt;Tvie,1-EXP((T0-t)*PertePVj)+'2030'!Pspv,1-EXP((T0-t)*PertePVj)+Pspv)</f>
        <v>4.56075852758977E-2</v>
      </c>
      <c r="M98" s="836"/>
      <c r="N98" s="836"/>
      <c r="O98" s="48">
        <f>IF(t&lt;Tnet,'2030'!Resal+('2030'!Salim-'2030'!Resal)*(1-EXP(('2030'!Tnet-t)/('2030'!Tau_j))),Resal+(Salim-Resal)*(1-EXP((Tnet-t)/(Tau_j))))*Salcycl</f>
        <v>3.7597148237740227E-2</v>
      </c>
      <c r="P98" s="165">
        <f>(INDEX(Models!$BJ98:$BT98,,T98)*(1-R98)+INDEX(Models!$BJ98:$BT98,,T98+1)*R98-ERP_i)*Q98*Ramure*Pc/MaxiM</f>
        <v>3.3040454194506897E-5</v>
      </c>
      <c r="Q98" s="301">
        <f t="shared" si="28"/>
        <v>0.5</v>
      </c>
      <c r="R98" s="173">
        <f t="shared" si="29"/>
        <v>0.98843141716208505</v>
      </c>
      <c r="S98" s="802">
        <f t="shared" si="30"/>
        <v>0</v>
      </c>
      <c r="T98" s="172">
        <f t="shared" si="31"/>
        <v>6</v>
      </c>
      <c r="U98" s="247">
        <f t="shared" si="32"/>
        <v>0.98843141716208505</v>
      </c>
      <c r="V98" s="378">
        <f t="shared" si="33"/>
        <v>45.009985996123817</v>
      </c>
      <c r="W98" s="397">
        <f t="shared" si="34"/>
        <v>35.717668261751733</v>
      </c>
      <c r="X98" s="153">
        <f t="shared" si="35"/>
        <v>47932</v>
      </c>
      <c r="Y98" s="380">
        <f t="shared" si="36"/>
        <v>34.945951032399037</v>
      </c>
      <c r="Z98" s="380">
        <f t="shared" si="37"/>
        <v>36.615914474237819</v>
      </c>
      <c r="AA98" s="381">
        <f t="shared" si="38"/>
        <v>38.882552139985719</v>
      </c>
      <c r="AB98" s="193">
        <f t="shared" si="39"/>
        <v>47932</v>
      </c>
      <c r="AC98" s="119">
        <f>IF(OR(t&lt;Tnet,NoTnet),'2030'!Resal_s+('2030'!Salim-'2030'!Resal_s)*(1-EXP(('2030'!Tnet_s-t)/'2030'!Tau_j)),Resal_s+(Salim-Resal_s)*(1-EXP((Tnet_s-t)/Tau_j)))*Salcycl</f>
        <v>5.8294467338139422E-2</v>
      </c>
      <c r="AD98" s="227">
        <f>(INDEX(Models!$BJ98:$BT98,,AH98)*(1-AF98)+INDEX(Models!$BJ98:$BT98,,AH98+1)*AF98-ERP_i)*AE98*Ramure*Pc/MaxiM</f>
        <v>1.7821188242235416E-4</v>
      </c>
      <c r="AE98" s="301">
        <f t="shared" si="40"/>
        <v>0.5</v>
      </c>
      <c r="AF98" s="173">
        <f t="shared" si="41"/>
        <v>0.51341898353606208</v>
      </c>
      <c r="AG98" s="802">
        <f t="shared" si="49"/>
        <v>4</v>
      </c>
      <c r="AH98" s="172">
        <f t="shared" si="42"/>
        <v>10</v>
      </c>
      <c r="AI98" s="221">
        <f t="shared" si="43"/>
        <v>4.5134189835360621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47933</v>
      </c>
      <c r="B99" s="406">
        <f>'2030'!Wh/'2030'!Env_an*'2031'!Env_an</f>
        <v>39.230687812238074</v>
      </c>
      <c r="C99" s="832"/>
      <c r="D99" s="388">
        <f t="shared" si="25"/>
        <v>41.105968833692479</v>
      </c>
      <c r="E99" s="380">
        <f t="shared" si="47"/>
        <v>42.713674940736794</v>
      </c>
      <c r="F99" s="380">
        <f t="shared" si="26"/>
        <v>42.714880399655755</v>
      </c>
      <c r="G99" s="110">
        <f t="shared" si="48"/>
        <v>0.863245689093603</v>
      </c>
      <c r="H99" s="409" t="b">
        <f>Wh_hp&gt;='2030'!Maxi_hp</f>
        <v>0</v>
      </c>
      <c r="I99" s="385">
        <f>IF(H99,Wh_hp,'2030'!Maxi_hp)</f>
        <v>42.715167261365842</v>
      </c>
      <c r="J99" s="85">
        <f>IF(H99,An,'2030'!An_max)</f>
        <v>2022</v>
      </c>
      <c r="K99" s="193">
        <f t="shared" si="27"/>
        <v>47933</v>
      </c>
      <c r="L99" s="143">
        <f>IF(t&lt;Tvie,1-EXP((T0-t)*PertePVj)+'2030'!Pspv,1-EXP((T0-t)*PertePVj)+Pspv)</f>
        <v>4.5620650106593108E-2</v>
      </c>
      <c r="M99" s="836"/>
      <c r="N99" s="836"/>
      <c r="O99" s="48">
        <f>IF(t&lt;Tnet,'2030'!Resal+('2030'!Salim-'2030'!Resal)*(1-EXP(('2030'!Tnet-t)/('2030'!Tau_j))),Resal+(Salim-Resal)*(1-EXP((Tnet-t)/(Tau_j))))*Salcycl</f>
        <v>3.7639142716587463E-2</v>
      </c>
      <c r="P99" s="165">
        <f>(INDEX(Models!$BJ99:$BT99,,T99)*(1-R99)+INDEX(Models!$BJ99:$BT99,,T99+1)*R99-ERP_i)*Q99*Ramure*Pc/MaxiM</f>
        <v>3.5072669501737048E-5</v>
      </c>
      <c r="Q99" s="301">
        <f t="shared" si="28"/>
        <v>0.5</v>
      </c>
      <c r="R99" s="173">
        <f t="shared" si="29"/>
        <v>0.98924710316348863</v>
      </c>
      <c r="S99" s="802">
        <f t="shared" si="30"/>
        <v>0</v>
      </c>
      <c r="T99" s="172">
        <f t="shared" si="31"/>
        <v>6</v>
      </c>
      <c r="U99" s="247">
        <f t="shared" si="32"/>
        <v>0.98924710316348863</v>
      </c>
      <c r="V99" s="378">
        <f t="shared" si="33"/>
        <v>45.445253311638005</v>
      </c>
      <c r="W99" s="397">
        <f t="shared" si="34"/>
        <v>39.230687812238074</v>
      </c>
      <c r="X99" s="153">
        <f t="shared" si="35"/>
        <v>47933</v>
      </c>
      <c r="Y99" s="380">
        <f t="shared" si="36"/>
        <v>38.382894608818901</v>
      </c>
      <c r="Z99" s="380">
        <f t="shared" si="37"/>
        <v>40.217649945072495</v>
      </c>
      <c r="AA99" s="381">
        <f t="shared" si="38"/>
        <v>42.708373642319579</v>
      </c>
      <c r="AB99" s="193">
        <f t="shared" si="39"/>
        <v>47933</v>
      </c>
      <c r="AC99" s="119">
        <f>IF(OR(t&lt;Tnet,NoTnet),'2030'!Resal_s+('2030'!Salim-'2030'!Resal_s)*(1-EXP(('2030'!Tnet_s-t)/'2030'!Tau_j)),Resal_s+(Salim-Resal_s)*(1-EXP((Tnet_s-t)/Tau_j)))*Salcycl</f>
        <v>5.8319329087704659E-2</v>
      </c>
      <c r="AD99" s="227">
        <f>(INDEX(Models!$BJ99:$BT99,,AH99)*(1-AF99)+INDEX(Models!$BJ99:$BT99,,AH99+1)*AF99-ERP_i)*AE99*Ramure*Pc/MaxiM</f>
        <v>1.8931325322697965E-4</v>
      </c>
      <c r="AE99" s="301">
        <f t="shared" si="40"/>
        <v>0.5</v>
      </c>
      <c r="AF99" s="173">
        <f t="shared" si="41"/>
        <v>0.51423466953746555</v>
      </c>
      <c r="AG99" s="802">
        <f t="shared" si="49"/>
        <v>4</v>
      </c>
      <c r="AH99" s="172">
        <f t="shared" si="42"/>
        <v>10</v>
      </c>
      <c r="AI99" s="221">
        <f t="shared" si="43"/>
        <v>4.5142346695374655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47934</v>
      </c>
      <c r="B100" s="406">
        <f>'2030'!Wh/'2030'!Env_an*'2031'!Env_an</f>
        <v>41.054019587932977</v>
      </c>
      <c r="C100" s="832"/>
      <c r="D100" s="388">
        <f t="shared" si="25"/>
        <v>43.017047251980259</v>
      </c>
      <c r="E100" s="380">
        <f t="shared" si="47"/>
        <v>44.701460161848388</v>
      </c>
      <c r="F100" s="380">
        <f t="shared" si="26"/>
        <v>44.702873825268853</v>
      </c>
      <c r="G100" s="110">
        <f t="shared" si="48"/>
        <v>0.89485850793294752</v>
      </c>
      <c r="H100" s="409" t="b">
        <f>Wh_hp&gt;='2030'!Maxi_hp</f>
        <v>0</v>
      </c>
      <c r="I100" s="385">
        <f>IF(H100,Wh_hp,'2030'!Maxi_hp)</f>
        <v>44.703118513444139</v>
      </c>
      <c r="J100" s="85">
        <f>IF(H100,An,'2030'!An_max)</f>
        <v>2022</v>
      </c>
      <c r="K100" s="193">
        <f t="shared" si="27"/>
        <v>47934</v>
      </c>
      <c r="L100" s="143">
        <f>IF(t&lt;Tvie,1-EXP((T0-t)*PertePVj)+'2030'!Pspv,1-EXP((T0-t)*PertePVj)+Pspv)</f>
        <v>4.5633714758441801E-2</v>
      </c>
      <c r="M100" s="836"/>
      <c r="N100" s="836"/>
      <c r="O100" s="48">
        <f>IF(t&lt;Tnet,'2030'!Resal+('2030'!Salim-'2030'!Resal)*(1-EXP(('2030'!Tnet-t)/('2030'!Tau_j))),Resal+(Salim-Resal)*(1-EXP((Tnet-t)/(Tau_j))))*Salcycl</f>
        <v>3.7681384540224426E-2</v>
      </c>
      <c r="P100" s="165">
        <f>(INDEX(Models!$BJ100:$BT100,,T100)*(1-R100)+INDEX(Models!$BJ100:$BT100,,T100+1)*R100-ERP_i)*Q100*Ramure*Pc/MaxiM</f>
        <v>3.7212709083060432E-5</v>
      </c>
      <c r="Q100" s="301">
        <f t="shared" si="28"/>
        <v>0.5</v>
      </c>
      <c r="R100" s="173">
        <f t="shared" si="29"/>
        <v>0.99009406833145319</v>
      </c>
      <c r="S100" s="802">
        <f t="shared" si="30"/>
        <v>0</v>
      </c>
      <c r="T100" s="172">
        <f t="shared" si="31"/>
        <v>6</v>
      </c>
      <c r="U100" s="247">
        <f t="shared" si="32"/>
        <v>0.99009406833145319</v>
      </c>
      <c r="V100" s="378">
        <f t="shared" si="33"/>
        <v>45.877409399534869</v>
      </c>
      <c r="W100" s="397">
        <f t="shared" si="34"/>
        <v>41.054019587932977</v>
      </c>
      <c r="X100" s="153">
        <f t="shared" si="35"/>
        <v>47934</v>
      </c>
      <c r="Y100" s="380">
        <f t="shared" si="36"/>
        <v>40.16685689885562</v>
      </c>
      <c r="Z100" s="380">
        <f t="shared" si="37"/>
        <v>42.087464236741191</v>
      </c>
      <c r="AA100" s="381">
        <f t="shared" si="38"/>
        <v>44.695187220113688</v>
      </c>
      <c r="AB100" s="193">
        <f t="shared" si="39"/>
        <v>47934</v>
      </c>
      <c r="AC100" s="119">
        <f>IF(OR(t&lt;Tnet,NoTnet),'2030'!Resal_s+('2030'!Salim-'2030'!Resal_s)*(1-EXP(('2030'!Tnet_s-t)/'2030'!Tau_j)),Resal_s+(Salim-Resal_s)*(1-EXP((Tnet_s-t)/Tau_j)))*Salcycl</f>
        <v>5.8344603648935414E-2</v>
      </c>
      <c r="AD100" s="227">
        <f>(INDEX(Models!$BJ100:$BT100,,AH100)*(1-AF100)+INDEX(Models!$BJ100:$BT100,,AH100+1)*AF100-ERP_i)*AE100*Ramure*Pc/MaxiM</f>
        <v>2.0233911222119721E-4</v>
      </c>
      <c r="AE100" s="301">
        <f t="shared" si="40"/>
        <v>0.5</v>
      </c>
      <c r="AF100" s="173">
        <f t="shared" si="41"/>
        <v>0.51508163470542989</v>
      </c>
      <c r="AG100" s="802">
        <f t="shared" si="49"/>
        <v>4</v>
      </c>
      <c r="AH100" s="172">
        <f t="shared" si="42"/>
        <v>10</v>
      </c>
      <c r="AI100" s="221">
        <f t="shared" si="43"/>
        <v>4.5150816347054299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47935</v>
      </c>
      <c r="B101" s="406">
        <f>'2030'!Wh/'2030'!Env_an*'2031'!Env_an</f>
        <v>35.267043646169213</v>
      </c>
      <c r="C101" s="832"/>
      <c r="D101" s="388">
        <f t="shared" si="25"/>
        <v>36.953868734018819</v>
      </c>
      <c r="E101" s="380">
        <f t="shared" si="47"/>
        <v>38.402562745688407</v>
      </c>
      <c r="F101" s="380">
        <f t="shared" si="26"/>
        <v>38.403552654419876</v>
      </c>
      <c r="G101" s="110">
        <f t="shared" si="48"/>
        <v>0.76161207230116601</v>
      </c>
      <c r="H101" s="409" t="b">
        <f>Wh_hp&gt;='2030'!Maxi_hp</f>
        <v>0</v>
      </c>
      <c r="I101" s="385">
        <f>IF(H101,Wh_hp,'2030'!Maxi_hp)</f>
        <v>38.404052832194026</v>
      </c>
      <c r="J101" s="85">
        <f>IF(H101,An,'2030'!An_max)</f>
        <v>2022</v>
      </c>
      <c r="K101" s="193">
        <f t="shared" si="27"/>
        <v>47935</v>
      </c>
      <c r="L101" s="143">
        <f>IF(t&lt;Tvie,1-EXP((T0-t)*PertePVj)+'2030'!Pspv,1-EXP((T0-t)*PertePVj)+Pspv)</f>
        <v>4.5646779231446444E-2</v>
      </c>
      <c r="M101" s="836"/>
      <c r="N101" s="836"/>
      <c r="O101" s="48">
        <f>IF(t&lt;Tnet,'2030'!Resal+('2030'!Salim-'2030'!Resal)*(1-EXP(('2030'!Tnet-t)/('2030'!Tau_j))),Resal+(Salim-Resal)*(1-EXP((Tnet-t)/(Tau_j))))*Salcycl</f>
        <v>3.7723888930621986E-2</v>
      </c>
      <c r="P101" s="165">
        <f>(INDEX(Models!$BJ101:$BT101,,T101)*(1-R101)+INDEX(Models!$BJ101:$BT101,,T101+1)*R101-ERP_i)*Q101*Ramure*Pc/MaxiM</f>
        <v>3.9087248212285883E-5</v>
      </c>
      <c r="Q101" s="301">
        <f t="shared" si="28"/>
        <v>0.5</v>
      </c>
      <c r="R101" s="173">
        <f t="shared" si="29"/>
        <v>0.99097338988111749</v>
      </c>
      <c r="S101" s="802">
        <f t="shared" si="30"/>
        <v>0</v>
      </c>
      <c r="T101" s="172">
        <f t="shared" si="31"/>
        <v>6</v>
      </c>
      <c r="U101" s="247">
        <f t="shared" si="32"/>
        <v>0.99097338988111749</v>
      </c>
      <c r="V101" s="378">
        <f t="shared" si="33"/>
        <v>46.305167007617484</v>
      </c>
      <c r="W101" s="397">
        <f t="shared" si="34"/>
        <v>35.267043646169213</v>
      </c>
      <c r="X101" s="153">
        <f t="shared" si="35"/>
        <v>47935</v>
      </c>
      <c r="Y101" s="380">
        <f t="shared" si="36"/>
        <v>34.506349212630788</v>
      </c>
      <c r="Z101" s="380">
        <f t="shared" si="37"/>
        <v>36.156790234167552</v>
      </c>
      <c r="AA101" s="381">
        <f t="shared" si="38"/>
        <v>38.398099336789905</v>
      </c>
      <c r="AB101" s="193">
        <f t="shared" si="39"/>
        <v>47935</v>
      </c>
      <c r="AC101" s="119">
        <f>IF(OR(t&lt;Tnet,NoTnet),'2030'!Resal_s+('2030'!Salim-'2030'!Resal_s)*(1-EXP(('2030'!Tnet_s-t)/'2030'!Tau_j)),Resal_s+(Salim-Resal_s)*(1-EXP((Tnet_s-t)/Tau_j)))*Salcycl</f>
        <v>5.8370313670054859E-2</v>
      </c>
      <c r="AD101" s="227">
        <f>(INDEX(Models!$BJ101:$BT101,,AH101)*(1-AF101)+INDEX(Models!$BJ101:$BT101,,AH101+1)*AF101-ERP_i)*AE101*Ramure*Pc/MaxiM</f>
        <v>2.1532811360015794E-4</v>
      </c>
      <c r="AE101" s="301">
        <f t="shared" si="40"/>
        <v>0.5</v>
      </c>
      <c r="AF101" s="173">
        <f t="shared" si="41"/>
        <v>0.51596095625509442</v>
      </c>
      <c r="AG101" s="802">
        <f t="shared" si="49"/>
        <v>4</v>
      </c>
      <c r="AH101" s="172">
        <f t="shared" si="42"/>
        <v>10</v>
      </c>
      <c r="AI101" s="221">
        <f t="shared" si="43"/>
        <v>4.5159609562550944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47936</v>
      </c>
      <c r="B102" s="406">
        <f>'2030'!Wh/'2030'!Env_an*'2031'!Env_an</f>
        <v>26.857295167680753</v>
      </c>
      <c r="C102" s="832"/>
      <c r="D102" s="388">
        <f t="shared" si="25"/>
        <v>28.142266659824308</v>
      </c>
      <c r="E102" s="380">
        <f t="shared" si="47"/>
        <v>29.246821755958802</v>
      </c>
      <c r="F102" s="380">
        <f t="shared" si="26"/>
        <v>29.247289059507583</v>
      </c>
      <c r="G102" s="110">
        <f t="shared" si="48"/>
        <v>0.57475342897036041</v>
      </c>
      <c r="H102" s="409" t="b">
        <f>Wh_hp&gt;='2030'!Maxi_hp</f>
        <v>0</v>
      </c>
      <c r="I102" s="385">
        <f>IF(H102,Wh_hp,'2030'!Maxi_hp)</f>
        <v>29.247996056103595</v>
      </c>
      <c r="J102" s="85">
        <f>IF(H102,An,'2030'!An_max)</f>
        <v>2022</v>
      </c>
      <c r="K102" s="193">
        <f t="shared" si="27"/>
        <v>47936</v>
      </c>
      <c r="L102" s="143">
        <f>IF(t&lt;Tvie,1-EXP((T0-t)*PertePVj)+'2030'!Pspv,1-EXP((T0-t)*PertePVj)+Pspv)</f>
        <v>4.5659843525609478E-2</v>
      </c>
      <c r="M102" s="836"/>
      <c r="N102" s="836"/>
      <c r="O102" s="48">
        <f>IF(t&lt;Tnet,'2030'!Resal+('2030'!Salim-'2030'!Resal)*(1-EXP(('2030'!Tnet-t)/('2030'!Tau_j))),Resal+(Salim-Resal)*(1-EXP((Tnet-t)/(Tau_j))))*Salcycl</f>
        <v>3.7766671036980268E-2</v>
      </c>
      <c r="P102" s="165">
        <f>(INDEX(Models!$BJ102:$BT102,,T102)*(1-R102)+INDEX(Models!$BJ102:$BT102,,T102+1)*R102-ERP_i)*Q102*Ramure*Pc/MaxiM</f>
        <v>4.0704827228796871E-5</v>
      </c>
      <c r="Q102" s="301">
        <f t="shared" si="28"/>
        <v>0.5</v>
      </c>
      <c r="R102" s="173">
        <f t="shared" si="29"/>
        <v>0.9918861721655039</v>
      </c>
      <c r="S102" s="802">
        <f t="shared" si="30"/>
        <v>0</v>
      </c>
      <c r="T102" s="172">
        <f t="shared" si="31"/>
        <v>6</v>
      </c>
      <c r="U102" s="247">
        <f t="shared" si="32"/>
        <v>0.9918861721655039</v>
      </c>
      <c r="V102" s="378">
        <f t="shared" si="33"/>
        <v>46.727221968272708</v>
      </c>
      <c r="W102" s="397">
        <f t="shared" si="34"/>
        <v>26.857295167680753</v>
      </c>
      <c r="X102" s="153">
        <f t="shared" si="35"/>
        <v>47936</v>
      </c>
      <c r="Y102" s="380">
        <f t="shared" si="36"/>
        <v>26.279552671271635</v>
      </c>
      <c r="Z102" s="380">
        <f t="shared" si="37"/>
        <v>27.536882413453007</v>
      </c>
      <c r="AA102" s="381">
        <f t="shared" si="38"/>
        <v>29.244668139144771</v>
      </c>
      <c r="AB102" s="193">
        <f t="shared" si="39"/>
        <v>47936</v>
      </c>
      <c r="AC102" s="119">
        <f>IF(OR(t&lt;Tnet,NoTnet),'2030'!Resal_s+('2030'!Salim-'2030'!Resal_s)*(1-EXP(('2030'!Tnet_s-t)/'2030'!Tau_j)),Resal_s+(Salim-Resal_s)*(1-EXP((Tnet_s-t)/Tau_j)))*Salcycl</f>
        <v>5.839648162756364E-2</v>
      </c>
      <c r="AD102" s="227">
        <f>(INDEX(Models!$BJ102:$BT102,,AH102)*(1-AF102)+INDEX(Models!$BJ102:$BT102,,AH102+1)*AF102-ERP_i)*AE102*Ramure*Pc/MaxiM</f>
        <v>2.2829724025528341E-4</v>
      </c>
      <c r="AE102" s="301">
        <f t="shared" si="40"/>
        <v>0.5</v>
      </c>
      <c r="AF102" s="173">
        <f t="shared" si="41"/>
        <v>0.5168737385394806</v>
      </c>
      <c r="AG102" s="802">
        <f t="shared" si="49"/>
        <v>4</v>
      </c>
      <c r="AH102" s="172">
        <f t="shared" si="42"/>
        <v>10</v>
      </c>
      <c r="AI102" s="221">
        <f t="shared" si="43"/>
        <v>4.5168737385394806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47937</v>
      </c>
      <c r="B103" s="406">
        <f>'2030'!Wh/'2030'!Env_an*'2031'!Env_an</f>
        <v>7.4798478341696217</v>
      </c>
      <c r="C103" s="832"/>
      <c r="D103" s="388">
        <f t="shared" si="25"/>
        <v>7.8378240480207593</v>
      </c>
      <c r="E103" s="380">
        <f t="shared" si="47"/>
        <v>8.145815252870463</v>
      </c>
      <c r="F103" s="380">
        <f t="shared" si="26"/>
        <v>8.145815252870463</v>
      </c>
      <c r="G103" s="110">
        <f t="shared" si="48"/>
        <v>0.15865873801152022</v>
      </c>
      <c r="H103" s="409" t="b">
        <f>Wh_hp&gt;='2030'!Maxi_hp</f>
        <v>0</v>
      </c>
      <c r="I103" s="385">
        <f>IF(H103,Wh_hp,'2030'!Maxi_hp)</f>
        <v>8.146149983745957</v>
      </c>
      <c r="J103" s="85">
        <f>IF(H103,An,'2030'!An_max)</f>
        <v>2022</v>
      </c>
      <c r="K103" s="193">
        <f t="shared" si="27"/>
        <v>47937</v>
      </c>
      <c r="L103" s="143">
        <f>IF(t&lt;Tvie,1-EXP((T0-t)*PertePVj)+'2030'!Pspv,1-EXP((T0-t)*PertePVj)+Pspv)</f>
        <v>4.5672907640933236E-2</v>
      </c>
      <c r="M103" s="836"/>
      <c r="N103" s="836"/>
      <c r="O103" s="48">
        <f>IF(t&lt;Tnet,'2030'!Resal+('2030'!Salim-'2030'!Resal)*(1-EXP(('2030'!Tnet-t)/('2030'!Tau_j))),Resal+(Salim-Resal)*(1-EXP((Tnet-t)/(Tau_j))))*Salcycl</f>
        <v>3.7809745898812447E-2</v>
      </c>
      <c r="P103" s="165">
        <f>(INDEX(Models!$BJ103:$BT103,,T103)*(1-R103)+INDEX(Models!$BJ103:$BT103,,T103+1)*R103-ERP_i)*Q103*Ramure*Pc/MaxiM</f>
        <v>4.2073533728830028E-5</v>
      </c>
      <c r="Q103" s="301">
        <f t="shared" si="28"/>
        <v>0.5</v>
      </c>
      <c r="R103" s="173">
        <f t="shared" si="29"/>
        <v>0.99283354651712219</v>
      </c>
      <c r="S103" s="802">
        <f t="shared" si="30"/>
        <v>0</v>
      </c>
      <c r="T103" s="172">
        <f t="shared" si="31"/>
        <v>6</v>
      </c>
      <c r="U103" s="247">
        <f t="shared" si="32"/>
        <v>0.99283354651712219</v>
      </c>
      <c r="V103" s="378">
        <f t="shared" si="33"/>
        <v>47.14227041183446</v>
      </c>
      <c r="W103" s="397">
        <f t="shared" si="34"/>
        <v>7.4798478341696217</v>
      </c>
      <c r="X103" s="153">
        <f t="shared" si="35"/>
        <v>47937</v>
      </c>
      <c r="Y103" s="380">
        <f t="shared" si="36"/>
        <v>7.319604083989474</v>
      </c>
      <c r="Z103" s="380">
        <f t="shared" si="37"/>
        <v>7.6699112312693973</v>
      </c>
      <c r="AA103" s="381">
        <f t="shared" si="38"/>
        <v>8.145815252870463</v>
      </c>
      <c r="AB103" s="193">
        <f t="shared" si="39"/>
        <v>47937</v>
      </c>
      <c r="AC103" s="119">
        <f>IF(OR(t&lt;Tnet,NoTnet),'2030'!Resal_s+('2030'!Salim-'2030'!Resal_s)*(1-EXP(('2030'!Tnet_s-t)/'2030'!Tau_j)),Resal_s+(Salim-Resal_s)*(1-EXP((Tnet_s-t)/Tau_j)))*Salcycl</f>
        <v>5.842312977002076E-2</v>
      </c>
      <c r="AD103" s="227">
        <f>(INDEX(Models!$BJ103:$BT103,,AH103)*(1-AF103)+INDEX(Models!$BJ103:$BT103,,AH103+1)*AF103-ERP_i)*AE103*Ramure*Pc/MaxiM</f>
        <v>2.412646153864E-4</v>
      </c>
      <c r="AE103" s="301">
        <f t="shared" si="40"/>
        <v>0.5</v>
      </c>
      <c r="AF103" s="173">
        <f t="shared" si="41"/>
        <v>0.51782111289109878</v>
      </c>
      <c r="AG103" s="802">
        <f t="shared" si="49"/>
        <v>4</v>
      </c>
      <c r="AH103" s="172">
        <f t="shared" si="42"/>
        <v>10</v>
      </c>
      <c r="AI103" s="221">
        <f t="shared" si="43"/>
        <v>4.5178211128910988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47938</v>
      </c>
      <c r="B104" s="406">
        <f>'2030'!Wh/'2030'!Env_an*'2031'!Env_an</f>
        <v>26.123397296313239</v>
      </c>
      <c r="C104" s="832"/>
      <c r="D104" s="388">
        <f t="shared" si="25"/>
        <v>27.374005325577734</v>
      </c>
      <c r="E104" s="380">
        <f t="shared" si="47"/>
        <v>28.450963292490385</v>
      </c>
      <c r="F104" s="380">
        <f t="shared" si="26"/>
        <v>28.451401212034241</v>
      </c>
      <c r="G104" s="110">
        <f t="shared" si="48"/>
        <v>0.54938412998130925</v>
      </c>
      <c r="H104" s="409" t="b">
        <f>Wh_hp&gt;='2030'!Maxi_hp</f>
        <v>0</v>
      </c>
      <c r="I104" s="385">
        <f>IF(H104,Wh_hp,'2030'!Maxi_hp)</f>
        <v>28.452192454209683</v>
      </c>
      <c r="J104" s="85">
        <f>IF(H104,An,'2030'!An_max)</f>
        <v>2029</v>
      </c>
      <c r="K104" s="193">
        <f t="shared" si="27"/>
        <v>47938</v>
      </c>
      <c r="L104" s="143">
        <f>IF(t&lt;Tvie,1-EXP((T0-t)*PertePVj)+'2030'!Pspv,1-EXP((T0-t)*PertePVj)+Pspv)</f>
        <v>4.568597157742027E-2</v>
      </c>
      <c r="M104" s="836"/>
      <c r="N104" s="836"/>
      <c r="O104" s="48">
        <f>IF(t&lt;Tnet,'2030'!Resal+('2030'!Salim-'2030'!Resal)*(1-EXP(('2030'!Tnet-t)/('2030'!Tau_j))),Resal+(Salim-Resal)*(1-EXP((Tnet-t)/(Tau_j))))*Salcycl</f>
        <v>3.7853128410485631E-2</v>
      </c>
      <c r="P104" s="165">
        <f>(INDEX(Models!$BJ104:$BT104,,T104)*(1-R104)+INDEX(Models!$BJ104:$BT104,,T104+1)*R104-ERP_i)*Q104*Ramure*Pc/MaxiM</f>
        <v>4.3200949145781725E-5</v>
      </c>
      <c r="Q104" s="301">
        <f t="shared" si="28"/>
        <v>0.5</v>
      </c>
      <c r="R104" s="173">
        <f t="shared" si="29"/>
        <v>0.99381667100078641</v>
      </c>
      <c r="S104" s="802">
        <f t="shared" si="30"/>
        <v>0</v>
      </c>
      <c r="T104" s="172">
        <f t="shared" si="31"/>
        <v>6</v>
      </c>
      <c r="U104" s="247">
        <f t="shared" si="32"/>
        <v>0.99381667100078641</v>
      </c>
      <c r="V104" s="378">
        <f t="shared" si="33"/>
        <v>47.54900877411864</v>
      </c>
      <c r="W104" s="397">
        <f t="shared" si="34"/>
        <v>26.123397296313239</v>
      </c>
      <c r="X104" s="153">
        <f t="shared" si="35"/>
        <v>47938</v>
      </c>
      <c r="Y104" s="380">
        <f t="shared" si="36"/>
        <v>25.562238586685051</v>
      </c>
      <c r="Z104" s="380">
        <f t="shared" si="37"/>
        <v>26.785982208537586</v>
      </c>
      <c r="AA104" s="381">
        <f t="shared" si="38"/>
        <v>28.448823935040696</v>
      </c>
      <c r="AB104" s="193">
        <f t="shared" si="39"/>
        <v>47938</v>
      </c>
      <c r="AC104" s="119">
        <f>IF(OR(t&lt;Tnet,NoTnet),'2030'!Resal_s+('2030'!Salim-'2030'!Resal_s)*(1-EXP(('2030'!Tnet_s-t)/'2030'!Tau_j)),Resal_s+(Salim-Resal_s)*(1-EXP((Tnet_s-t)/Tau_j)))*Salcycl</f>
        <v>5.8450280064300787E-2</v>
      </c>
      <c r="AD104" s="227">
        <f>(INDEX(Models!$BJ104:$BT104,,AH104)*(1-AF104)+INDEX(Models!$BJ104:$BT104,,AH104+1)*AF104-ERP_i)*AE104*Ramure*Pc/MaxiM</f>
        <v>2.5424947092502203E-4</v>
      </c>
      <c r="AE104" s="301">
        <f t="shared" si="40"/>
        <v>0.5</v>
      </c>
      <c r="AF104" s="173">
        <f t="shared" si="41"/>
        <v>0.51880423737476367</v>
      </c>
      <c r="AG104" s="802">
        <f t="shared" si="49"/>
        <v>4</v>
      </c>
      <c r="AH104" s="172">
        <f t="shared" si="42"/>
        <v>10</v>
      </c>
      <c r="AI104" s="221">
        <f t="shared" si="43"/>
        <v>4.5188042373747637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47939</v>
      </c>
      <c r="B105" s="406">
        <f>'2030'!Wh/'2030'!Env_an*'2031'!Env_an</f>
        <v>28.733636970009911</v>
      </c>
      <c r="C105" s="832"/>
      <c r="D105" s="388">
        <f t="shared" si="25"/>
        <v>30.109617441389499</v>
      </c>
      <c r="E105" s="380">
        <f t="shared" si="47"/>
        <v>31.295622427129938</v>
      </c>
      <c r="F105" s="380">
        <f t="shared" si="26"/>
        <v>31.296212446670406</v>
      </c>
      <c r="G105" s="110">
        <f t="shared" si="48"/>
        <v>0.59927484033705358</v>
      </c>
      <c r="H105" s="409" t="b">
        <f>Wh_hp&gt;='2030'!Maxi_hp</f>
        <v>0</v>
      </c>
      <c r="I105" s="385">
        <f>IF(H105,Wh_hp,'2030'!Maxi_hp)</f>
        <v>31.297001729447363</v>
      </c>
      <c r="J105" s="85">
        <f>IF(H105,An,'2030'!An_max)</f>
        <v>2029</v>
      </c>
      <c r="K105" s="193">
        <f t="shared" si="27"/>
        <v>47939</v>
      </c>
      <c r="L105" s="143">
        <f>IF(t&lt;Tvie,1-EXP((T0-t)*PertePVj)+'2030'!Pspv,1-EXP((T0-t)*PertePVj)+Pspv)</f>
        <v>4.5699035335072913E-2</v>
      </c>
      <c r="M105" s="836"/>
      <c r="N105" s="836"/>
      <c r="O105" s="48">
        <f>IF(t&lt;Tnet,'2030'!Resal+('2030'!Salim-'2030'!Resal)*(1-EXP(('2030'!Tnet-t)/('2030'!Tau_j))),Resal+(Salim-Resal)*(1-EXP((Tnet-t)/(Tau_j))))*Salcycl</f>
        <v>3.7896833287210829E-2</v>
      </c>
      <c r="P105" s="165">
        <f>(INDEX(Models!$BJ105:$BT105,,T105)*(1-R105)+INDEX(Models!$BJ105:$BT105,,T105+1)*R105-ERP_i)*Q105*Ramure*Pc/MaxiM</f>
        <v>4.409410121633781E-5</v>
      </c>
      <c r="Q105" s="301">
        <f t="shared" si="28"/>
        <v>0.5</v>
      </c>
      <c r="R105" s="173">
        <f t="shared" si="29"/>
        <v>0.99483673007007167</v>
      </c>
      <c r="S105" s="802">
        <f t="shared" si="30"/>
        <v>0</v>
      </c>
      <c r="T105" s="172">
        <f t="shared" si="31"/>
        <v>6</v>
      </c>
      <c r="U105" s="247">
        <f t="shared" si="32"/>
        <v>0.99483673007007167</v>
      </c>
      <c r="V105" s="378">
        <f t="shared" si="33"/>
        <v>47.946133804374497</v>
      </c>
      <c r="W105" s="397">
        <f t="shared" si="34"/>
        <v>28.733636970009911</v>
      </c>
      <c r="X105" s="153">
        <f t="shared" si="35"/>
        <v>47939</v>
      </c>
      <c r="Y105" s="380">
        <f t="shared" si="36"/>
        <v>28.116289484018427</v>
      </c>
      <c r="Z105" s="380">
        <f t="shared" si="37"/>
        <v>29.462706761373319</v>
      </c>
      <c r="AA105" s="381">
        <f t="shared" si="38"/>
        <v>31.292636100301042</v>
      </c>
      <c r="AB105" s="193">
        <f t="shared" si="39"/>
        <v>47939</v>
      </c>
      <c r="AC105" s="119">
        <f>IF(OR(t&lt;Tnet,NoTnet),'2030'!Resal_s+('2030'!Salim-'2030'!Resal_s)*(1-EXP(('2030'!Tnet_s-t)/'2030'!Tau_j)),Resal_s+(Salim-Resal_s)*(1-EXP((Tnet_s-t)/Tau_j)))*Salcycl</f>
        <v>5.8477954144301729E-2</v>
      </c>
      <c r="AD105" s="227">
        <f>(INDEX(Models!$BJ105:$BT105,,AH105)*(1-AF105)+INDEX(Models!$BJ105:$BT105,,AH105+1)*AF105-ERP_i)*AE105*Ramure*Pc/MaxiM</f>
        <v>2.6727212910670654E-4</v>
      </c>
      <c r="AE105" s="301">
        <f t="shared" si="40"/>
        <v>0.5</v>
      </c>
      <c r="AF105" s="173">
        <f t="shared" si="41"/>
        <v>0.51982429644404871</v>
      </c>
      <c r="AG105" s="802">
        <f t="shared" si="49"/>
        <v>4</v>
      </c>
      <c r="AH105" s="172">
        <f t="shared" si="42"/>
        <v>10</v>
      </c>
      <c r="AI105" s="221">
        <f t="shared" si="43"/>
        <v>4.5198242964440487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47940</v>
      </c>
      <c r="B106" s="406">
        <f>'2030'!Wh/'2030'!Env_an*'2031'!Env_an</f>
        <v>19.581519794402386</v>
      </c>
      <c r="C106" s="832"/>
      <c r="D106" s="388">
        <f t="shared" si="25"/>
        <v>20.519509649148876</v>
      </c>
      <c r="E106" s="380">
        <f t="shared" si="47"/>
        <v>21.328740736013295</v>
      </c>
      <c r="F106" s="380">
        <f t="shared" si="26"/>
        <v>21.328884131584079</v>
      </c>
      <c r="G106" s="110">
        <f t="shared" si="48"/>
        <v>0.40512778683214357</v>
      </c>
      <c r="H106" s="409" t="b">
        <f>Wh_hp&gt;='2030'!Maxi_hp</f>
        <v>0</v>
      </c>
      <c r="I106" s="385">
        <f>IF(H106,Wh_hp,'2030'!Maxi_hp)</f>
        <v>21.329693962857156</v>
      </c>
      <c r="J106" s="85">
        <f>IF(H106,An,'2030'!An_max)</f>
        <v>2029</v>
      </c>
      <c r="K106" s="193">
        <f t="shared" si="27"/>
        <v>47940</v>
      </c>
      <c r="L106" s="143">
        <f>IF(t&lt;Tvie,1-EXP((T0-t)*PertePVj)+'2030'!Pspv,1-EXP((T0-t)*PertePVj)+Pspv)</f>
        <v>4.5712098913893717E-2</v>
      </c>
      <c r="M106" s="836"/>
      <c r="N106" s="836"/>
      <c r="O106" s="48">
        <f>IF(t&lt;Tnet,'2030'!Resal+('2030'!Salim-'2030'!Resal)*(1-EXP(('2030'!Tnet-t)/('2030'!Tau_j))),Resal+(Salim-Resal)*(1-EXP((Tnet-t)/(Tau_j))))*Salcycl</f>
        <v>3.7940875032441264E-2</v>
      </c>
      <c r="P106" s="165">
        <f>(INDEX(Models!$BJ106:$BT106,,T106)*(1-R106)+INDEX(Models!$BJ106:$BT106,,T106+1)*R106-ERP_i)*Q106*Ramure*Pc/MaxiM</f>
        <v>4.4759421370593755E-5</v>
      </c>
      <c r="Q106" s="301">
        <f t="shared" si="28"/>
        <v>0.5</v>
      </c>
      <c r="R106" s="173">
        <f t="shared" si="29"/>
        <v>0.99589493411951102</v>
      </c>
      <c r="S106" s="802">
        <f t="shared" si="30"/>
        <v>0</v>
      </c>
      <c r="T106" s="172">
        <f t="shared" si="31"/>
        <v>6</v>
      </c>
      <c r="U106" s="247">
        <f t="shared" si="32"/>
        <v>0.99589493411951102</v>
      </c>
      <c r="V106" s="378">
        <f t="shared" si="33"/>
        <v>48.332342574988949</v>
      </c>
      <c r="W106" s="397">
        <f t="shared" si="34"/>
        <v>19.581519794402386</v>
      </c>
      <c r="X106" s="153">
        <f t="shared" si="35"/>
        <v>47940</v>
      </c>
      <c r="Y106" s="380">
        <f t="shared" si="36"/>
        <v>19.162260534971342</v>
      </c>
      <c r="Z106" s="380">
        <f t="shared" si="37"/>
        <v>20.080167120595519</v>
      </c>
      <c r="AA106" s="381">
        <f t="shared" si="38"/>
        <v>21.327985962656818</v>
      </c>
      <c r="AB106" s="193">
        <f t="shared" si="39"/>
        <v>47940</v>
      </c>
      <c r="AC106" s="119">
        <f>IF(OR(t&lt;Tnet,NoTnet),'2030'!Resal_s+('2030'!Salim-'2030'!Resal_s)*(1-EXP(('2030'!Tnet_s-t)/'2030'!Tau_j)),Resal_s+(Salim-Resal_s)*(1-EXP((Tnet_s-t)/Tau_j)))*Salcycl</f>
        <v>5.8506173262028061E-2</v>
      </c>
      <c r="AD106" s="227">
        <f>(INDEX(Models!$BJ106:$BT106,,AH106)*(1-AF106)+INDEX(Models!$BJ106:$BT106,,AH106+1)*AF106-ERP_i)*AE106*Ramure*Pc/MaxiM</f>
        <v>2.8035399738825386E-4</v>
      </c>
      <c r="AE106" s="301">
        <f t="shared" si="40"/>
        <v>0.5</v>
      </c>
      <c r="AF106" s="173">
        <f t="shared" si="41"/>
        <v>0.52088250049348783</v>
      </c>
      <c r="AG106" s="802">
        <f t="shared" si="49"/>
        <v>4</v>
      </c>
      <c r="AH106" s="172">
        <f t="shared" si="42"/>
        <v>10</v>
      </c>
      <c r="AI106" s="221">
        <f t="shared" si="43"/>
        <v>4.5208825004934878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47941</v>
      </c>
      <c r="B107" s="406">
        <f>'2030'!Wh/'2030'!Env_an*'2031'!Env_an</f>
        <v>26.734763318623369</v>
      </c>
      <c r="C107" s="832"/>
      <c r="D107" s="388">
        <f t="shared" si="25"/>
        <v>28.015789857195323</v>
      </c>
      <c r="E107" s="380">
        <f t="shared" si="47"/>
        <v>29.121996703971003</v>
      </c>
      <c r="F107" s="380">
        <f t="shared" si="26"/>
        <v>29.122464657311124</v>
      </c>
      <c r="G107" s="110">
        <f t="shared" si="48"/>
        <v>0.54883701900967286</v>
      </c>
      <c r="H107" s="409" t="b">
        <f>Wh_hp&gt;='2030'!Maxi_hp</f>
        <v>0</v>
      </c>
      <c r="I107" s="385">
        <f>IF(H107,Wh_hp,'2030'!Maxi_hp)</f>
        <v>29.123310706341144</v>
      </c>
      <c r="J107" s="85">
        <f>IF(H107,An,'2030'!An_max)</f>
        <v>2029</v>
      </c>
      <c r="K107" s="193">
        <f t="shared" si="27"/>
        <v>47941</v>
      </c>
      <c r="L107" s="143">
        <f>IF(t&lt;Tvie,1-EXP((T0-t)*PertePVj)+'2030'!Pspv,1-EXP((T0-t)*PertePVj)+Pspv)</f>
        <v>4.5725162313885126E-2</v>
      </c>
      <c r="M107" s="836"/>
      <c r="N107" s="836"/>
      <c r="O107" s="48">
        <f>IF(t&lt;Tnet,'2030'!Resal+('2030'!Salim-'2030'!Resal)*(1-EXP(('2030'!Tnet-t)/('2030'!Tau_j))),Resal+(Salim-Resal)*(1-EXP((Tnet-t)/(Tau_j))))*Salcycl</f>
        <v>3.7985267906607625E-2</v>
      </c>
      <c r="P107" s="165">
        <f>(INDEX(Models!$BJ107:$BT107,,T107)*(1-R107)+INDEX(Models!$BJ107:$BT107,,T107+1)*R107-ERP_i)*Q107*Ramure*Pc/MaxiM</f>
        <v>4.5199077444105272E-5</v>
      </c>
      <c r="Q107" s="301">
        <f t="shared" si="28"/>
        <v>0.5</v>
      </c>
      <c r="R107" s="173">
        <f t="shared" si="29"/>
        <v>0.99699251892432461</v>
      </c>
      <c r="S107" s="802">
        <f t="shared" si="30"/>
        <v>0</v>
      </c>
      <c r="T107" s="172">
        <f t="shared" si="31"/>
        <v>6</v>
      </c>
      <c r="U107" s="247">
        <f t="shared" si="32"/>
        <v>0.99699251892432461</v>
      </c>
      <c r="V107" s="378">
        <f t="shared" si="33"/>
        <v>48.710242895700084</v>
      </c>
      <c r="W107" s="397">
        <f t="shared" si="34"/>
        <v>26.734763318623369</v>
      </c>
      <c r="X107" s="153">
        <f t="shared" si="35"/>
        <v>47941</v>
      </c>
      <c r="Y107" s="380">
        <f t="shared" si="36"/>
        <v>26.16136993410063</v>
      </c>
      <c r="Z107" s="380">
        <f t="shared" si="37"/>
        <v>27.41492167763284</v>
      </c>
      <c r="AA107" s="381">
        <f t="shared" si="38"/>
        <v>29.119426066431124</v>
      </c>
      <c r="AB107" s="193">
        <f t="shared" si="39"/>
        <v>47941</v>
      </c>
      <c r="AC107" s="119">
        <f>IF(OR(t&lt;Tnet,NoTnet),'2030'!Resal_s+('2030'!Salim-'2030'!Resal_s)*(1-EXP(('2030'!Tnet_s-t)/'2030'!Tau_j)),Resal_s+(Salim-Resal_s)*(1-EXP((Tnet_s-t)/Tau_j)))*Salcycl</f>
        <v>5.8534958240926298E-2</v>
      </c>
      <c r="AD107" s="227">
        <f>(INDEX(Models!$BJ107:$BT107,,AH107)*(1-AF107)+INDEX(Models!$BJ107:$BT107,,AH107+1)*AF107-ERP_i)*AE107*Ramure*Pc/MaxiM</f>
        <v>2.9349401474604563E-4</v>
      </c>
      <c r="AE107" s="301">
        <f t="shared" si="40"/>
        <v>0.5</v>
      </c>
      <c r="AF107" s="173">
        <f t="shared" si="41"/>
        <v>0.52198008529830187</v>
      </c>
      <c r="AG107" s="802">
        <f t="shared" si="49"/>
        <v>4</v>
      </c>
      <c r="AH107" s="172">
        <f t="shared" si="42"/>
        <v>10</v>
      </c>
      <c r="AI107" s="221">
        <f t="shared" si="43"/>
        <v>4.5219800852983019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47942</v>
      </c>
      <c r="B108" s="406">
        <f>'2030'!Wh/'2030'!Env_an*'2031'!Env_an</f>
        <v>41.519268141170855</v>
      </c>
      <c r="C108" s="832"/>
      <c r="D108" s="388">
        <f t="shared" si="25"/>
        <v>43.50930662024107</v>
      </c>
      <c r="E108" s="380">
        <f t="shared" si="47"/>
        <v>45.229381156949195</v>
      </c>
      <c r="F108" s="380">
        <f t="shared" si="26"/>
        <v>45.230979627374239</v>
      </c>
      <c r="G108" s="110">
        <f t="shared" si="48"/>
        <v>0.84588872919579938</v>
      </c>
      <c r="H108" s="409" t="b">
        <f>Wh_hp&gt;='2030'!Maxi_hp</f>
        <v>0</v>
      </c>
      <c r="I108" s="385">
        <f>IF(H108,Wh_hp,'2030'!Maxi_hp)</f>
        <v>45.231429203227307</v>
      </c>
      <c r="J108" s="85">
        <f>IF(H108,An,'2030'!An_max)</f>
        <v>2029</v>
      </c>
      <c r="K108" s="193">
        <f t="shared" si="27"/>
        <v>47942</v>
      </c>
      <c r="L108" s="143">
        <f>IF(t&lt;Tvie,1-EXP((T0-t)*PertePVj)+'2030'!Pspv,1-EXP((T0-t)*PertePVj)+Pspv)</f>
        <v>4.5738225535049581E-2</v>
      </c>
      <c r="M108" s="836"/>
      <c r="N108" s="836"/>
      <c r="O108" s="48">
        <f>IF(t&lt;Tnet,'2030'!Resal+('2030'!Salim-'2030'!Resal)*(1-EXP(('2030'!Tnet-t)/('2030'!Tau_j))),Resal+(Salim-Resal)*(1-EXP((Tnet-t)/(Tau_j))))*Salcycl</f>
        <v>3.8030025897089773E-2</v>
      </c>
      <c r="P108" s="165">
        <f>(INDEX(Models!$BJ108:$BT108,,T108)*(1-R108)+INDEX(Models!$BJ108:$BT108,,T108+1)*R108-ERP_i)*Q108*Ramure*Pc/MaxiM</f>
        <v>4.5316442598092682E-5</v>
      </c>
      <c r="Q108" s="301">
        <f t="shared" si="28"/>
        <v>0.5</v>
      </c>
      <c r="R108" s="173">
        <f t="shared" si="29"/>
        <v>0.99813074495917731</v>
      </c>
      <c r="S108" s="802">
        <f t="shared" si="30"/>
        <v>0</v>
      </c>
      <c r="T108" s="172">
        <f t="shared" si="31"/>
        <v>6</v>
      </c>
      <c r="U108" s="247">
        <f t="shared" si="32"/>
        <v>0.99813074495917731</v>
      </c>
      <c r="V108" s="378">
        <f t="shared" si="33"/>
        <v>49.083115173304712</v>
      </c>
      <c r="W108" s="397">
        <f t="shared" si="34"/>
        <v>41.519268141170855</v>
      </c>
      <c r="X108" s="153">
        <f t="shared" si="35"/>
        <v>47942</v>
      </c>
      <c r="Y108" s="380">
        <f t="shared" si="36"/>
        <v>40.624775681226204</v>
      </c>
      <c r="Z108" s="380">
        <f t="shared" si="37"/>
        <v>42.571940706735639</v>
      </c>
      <c r="AA108" s="381">
        <f t="shared" si="38"/>
        <v>45.220233349581065</v>
      </c>
      <c r="AB108" s="193">
        <f t="shared" si="39"/>
        <v>47942</v>
      </c>
      <c r="AC108" s="119">
        <f>IF(OR(t&lt;Tnet,NoTnet),'2030'!Resal_s+('2030'!Salim-'2030'!Resal_s)*(1-EXP(('2030'!Tnet_s-t)/'2030'!Tau_j)),Resal_s+(Salim-Resal_s)*(1-EXP((Tnet_s-t)/Tau_j)))*Salcycl</f>
        <v>5.8564329431306787E-2</v>
      </c>
      <c r="AD108" s="227">
        <f>(INDEX(Models!$BJ108:$BT108,,AH108)*(1-AF108)+INDEX(Models!$BJ108:$BT108,,AH108+1)*AF108-ERP_i)*AE108*Ramure*Pc/MaxiM</f>
        <v>3.0465567152647682E-4</v>
      </c>
      <c r="AE108" s="301">
        <f t="shared" si="40"/>
        <v>0.5</v>
      </c>
      <c r="AF108" s="173">
        <f t="shared" si="41"/>
        <v>0.52311831133315412</v>
      </c>
      <c r="AG108" s="802">
        <f t="shared" si="49"/>
        <v>4</v>
      </c>
      <c r="AH108" s="172">
        <f t="shared" si="42"/>
        <v>10</v>
      </c>
      <c r="AI108" s="221">
        <f t="shared" si="43"/>
        <v>4.5231183113331541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47943</v>
      </c>
      <c r="B109" s="406">
        <f>'2030'!Wh/'2030'!Env_an*'2031'!Env_an</f>
        <v>49.689559254780427</v>
      </c>
      <c r="C109" s="832"/>
      <c r="D109" s="388">
        <f t="shared" si="25"/>
        <v>52.071916534948599</v>
      </c>
      <c r="E109" s="380">
        <f t="shared" si="47"/>
        <v>54.133040873056714</v>
      </c>
      <c r="F109" s="380">
        <f t="shared" si="26"/>
        <v>54.135481479246067</v>
      </c>
      <c r="G109" s="110">
        <f t="shared" si="48"/>
        <v>1.0048310592931586</v>
      </c>
      <c r="H109" s="409" t="b">
        <f>Wh_hp&gt;='2030'!Maxi_hp</f>
        <v>1</v>
      </c>
      <c r="I109" s="385">
        <f>IF(H109,Wh_hp,'2030'!Maxi_hp)</f>
        <v>54.135481479246067</v>
      </c>
      <c r="J109" s="85">
        <f>IF(H109,An,'2030'!An_max)</f>
        <v>2031</v>
      </c>
      <c r="K109" s="193">
        <f t="shared" si="27"/>
        <v>47943</v>
      </c>
      <c r="L109" s="143">
        <f>IF(t&lt;Tvie,1-EXP((T0-t)*PertePVj)+'2030'!Pspv,1-EXP((T0-t)*PertePVj)+Pspv)</f>
        <v>4.5751288577389415E-2</v>
      </c>
      <c r="M109" s="836"/>
      <c r="N109" s="836"/>
      <c r="O109" s="48">
        <f>IF(t&lt;Tnet,'2030'!Resal+('2030'!Salim-'2030'!Resal)*(1-EXP(('2030'!Tnet-t)/('2030'!Tau_j))),Resal+(Salim-Resal)*(1-EXP((Tnet-t)/(Tau_j))))*Salcycl</f>
        <v>3.807516268929912E-2</v>
      </c>
      <c r="P109" s="165">
        <f>(INDEX(Models!$BJ109:$BT109,,T109)*(1-R109)+INDEX(Models!$BJ109:$BT109,,T109+1)*R109-ERP_i)*Q109*Ramure*Pc/MaxiM</f>
        <v>4.5083300686745944E-5</v>
      </c>
      <c r="Q109" s="301">
        <f t="shared" si="28"/>
        <v>0.5</v>
      </c>
      <c r="R109" s="173">
        <f t="shared" si="29"/>
        <v>0.99931089658719596</v>
      </c>
      <c r="S109" s="802">
        <f t="shared" si="30"/>
        <v>0</v>
      </c>
      <c r="T109" s="172">
        <f t="shared" si="31"/>
        <v>6</v>
      </c>
      <c r="U109" s="247">
        <f t="shared" si="32"/>
        <v>0.99931089658719596</v>
      </c>
      <c r="V109" s="378">
        <f t="shared" si="33"/>
        <v>49.45066018334883</v>
      </c>
      <c r="W109" s="397">
        <f t="shared" si="34"/>
        <v>49.689559254780427</v>
      </c>
      <c r="X109" s="153">
        <f t="shared" si="35"/>
        <v>47943</v>
      </c>
      <c r="Y109" s="380">
        <f t="shared" si="36"/>
        <v>48.616581731084956</v>
      </c>
      <c r="Z109" s="380">
        <f t="shared" si="37"/>
        <v>50.947495290411773</v>
      </c>
      <c r="AA109" s="381">
        <f t="shared" si="38"/>
        <v>54.118533222451347</v>
      </c>
      <c r="AB109" s="193">
        <f t="shared" si="39"/>
        <v>47943</v>
      </c>
      <c r="AC109" s="119">
        <f>IF(OR(t&lt;Tnet,NoTnet),'2030'!Resal_s+('2030'!Salim-'2030'!Resal_s)*(1-EXP(('2030'!Tnet_s-t)/'2030'!Tau_j)),Resal_s+(Salim-Resal_s)*(1-EXP((Tnet_s-t)/Tau_j)))*Salcycl</f>
        <v>5.8594306667647353E-2</v>
      </c>
      <c r="AD109" s="227">
        <f>(INDEX(Models!$BJ109:$BT109,,AH109)*(1-AF109)+INDEX(Models!$BJ109:$BT109,,AH109+1)*AF109-ERP_i)*AE109*Ramure*Pc/MaxiM</f>
        <v>3.1307113803392034E-4</v>
      </c>
      <c r="AE109" s="301">
        <f t="shared" si="40"/>
        <v>0.5</v>
      </c>
      <c r="AF109" s="173">
        <f t="shared" si="41"/>
        <v>0.52429846296117333</v>
      </c>
      <c r="AG109" s="802">
        <f t="shared" si="49"/>
        <v>4</v>
      </c>
      <c r="AH109" s="172">
        <f t="shared" si="42"/>
        <v>10</v>
      </c>
      <c r="AI109" s="221">
        <f t="shared" si="43"/>
        <v>4.5242984629611733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47944</v>
      </c>
      <c r="B110" s="406">
        <f>'2030'!Wh/'2030'!Env_an*'2031'!Env_an</f>
        <v>12.120761063915099</v>
      </c>
      <c r="C110" s="832"/>
      <c r="D110" s="388">
        <f t="shared" si="25"/>
        <v>12.702062726557736</v>
      </c>
      <c r="E110" s="380">
        <f t="shared" si="47"/>
        <v>13.2054641534995</v>
      </c>
      <c r="F110" s="380">
        <f t="shared" si="26"/>
        <v>13.2054641534995</v>
      </c>
      <c r="G110" s="110">
        <f t="shared" si="48"/>
        <v>0.24331649402051977</v>
      </c>
      <c r="H110" s="409" t="b">
        <f>Wh_hp&gt;='2030'!Maxi_hp</f>
        <v>0</v>
      </c>
      <c r="I110" s="385">
        <f>IF(H110,Wh_hp,'2030'!Maxi_hp)</f>
        <v>13.206048737814166</v>
      </c>
      <c r="J110" s="85">
        <f>IF(H110,An,'2030'!An_max)</f>
        <v>2029</v>
      </c>
      <c r="K110" s="193">
        <f t="shared" si="27"/>
        <v>47944</v>
      </c>
      <c r="L110" s="143">
        <f>IF(t&lt;Tvie,1-EXP((T0-t)*PertePVj)+'2030'!Pspv,1-EXP((T0-t)*PertePVj)+Pspv)</f>
        <v>4.5764351440907292E-2</v>
      </c>
      <c r="M110" s="836"/>
      <c r="N110" s="836"/>
      <c r="O110" s="48">
        <f>IF(t&lt;Tnet,'2030'!Resal+('2030'!Salim-'2030'!Resal)*(1-EXP(('2030'!Tnet-t)/('2030'!Tau_j))),Resal+(Salim-Resal)*(1-EXP((Tnet-t)/(Tau_j))))*Salcycl</f>
        <v>3.812069163872301E-2</v>
      </c>
      <c r="P110" s="165">
        <f>(INDEX(Models!$BJ110:$BT110,,T110)*(1-R110)+INDEX(Models!$BJ110:$BT110,,T110+1)*R110-ERP_i)*Q110*Ramure*Pc/MaxiM</f>
        <v>4.4523942764028303E-5</v>
      </c>
      <c r="Q110" s="301">
        <f t="shared" si="28"/>
        <v>0.5</v>
      </c>
      <c r="R110" s="173">
        <f t="shared" si="29"/>
        <v>5.3428111023623437E-4</v>
      </c>
      <c r="S110" s="802">
        <f t="shared" si="30"/>
        <v>1</v>
      </c>
      <c r="T110" s="172">
        <f t="shared" si="31"/>
        <v>7</v>
      </c>
      <c r="U110" s="247">
        <f t="shared" si="32"/>
        <v>1.0005342811102362</v>
      </c>
      <c r="V110" s="378">
        <f t="shared" si="33"/>
        <v>49.812576202997114</v>
      </c>
      <c r="W110" s="397">
        <f t="shared" si="34"/>
        <v>12.120761063915099</v>
      </c>
      <c r="X110" s="153">
        <f t="shared" si="35"/>
        <v>47944</v>
      </c>
      <c r="Y110" s="380">
        <f t="shared" si="36"/>
        <v>11.862384862206397</v>
      </c>
      <c r="Z110" s="380">
        <f t="shared" si="37"/>
        <v>12.431295016193056</v>
      </c>
      <c r="AA110" s="381">
        <f t="shared" si="38"/>
        <v>13.2054641534995</v>
      </c>
      <c r="AB110" s="193">
        <f t="shared" si="39"/>
        <v>47944</v>
      </c>
      <c r="AC110" s="119">
        <f>IF(OR(t&lt;Tnet,NoTnet),'2030'!Resal_s+('2030'!Salim-'2030'!Resal_s)*(1-EXP(('2030'!Tnet_s-t)/'2030'!Tau_j)),Resal_s+(Salim-Resal_s)*(1-EXP((Tnet_s-t)/Tau_j)))*Salcycl</f>
        <v>5.8624909227540108E-2</v>
      </c>
      <c r="AD110" s="227">
        <f>(INDEX(Models!$BJ110:$BT110,,AH110)*(1-AF110)+INDEX(Models!$BJ110:$BT110,,AH110+1)*AF110-ERP_i)*AE110*Ramure*Pc/MaxiM</f>
        <v>3.187931876746453E-4</v>
      </c>
      <c r="AE110" s="301">
        <f t="shared" si="40"/>
        <v>0.5</v>
      </c>
      <c r="AF110" s="173">
        <f t="shared" si="41"/>
        <v>0.52552184748421293</v>
      </c>
      <c r="AG110" s="802">
        <f t="shared" si="49"/>
        <v>4</v>
      </c>
      <c r="AH110" s="172">
        <f t="shared" si="42"/>
        <v>10</v>
      </c>
      <c r="AI110" s="221">
        <f t="shared" si="43"/>
        <v>4.5255218474842129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47945</v>
      </c>
      <c r="B111" s="406">
        <f>'2030'!Wh/'2030'!Env_an*'2031'!Env_an</f>
        <v>41.084637544339024</v>
      </c>
      <c r="C111" s="832"/>
      <c r="D111" s="388">
        <f t="shared" si="25"/>
        <v>43.055612131305224</v>
      </c>
      <c r="E111" s="380">
        <f t="shared" si="47"/>
        <v>44.7641070519092</v>
      </c>
      <c r="F111" s="380">
        <f t="shared" si="26"/>
        <v>44.765555708496414</v>
      </c>
      <c r="G111" s="110">
        <f t="shared" si="48"/>
        <v>0.8189226866993301</v>
      </c>
      <c r="H111" s="409" t="b">
        <f>Wh_hp&gt;='2030'!Maxi_hp</f>
        <v>0</v>
      </c>
      <c r="I111" s="385">
        <f>IF(H111,Wh_hp,'2030'!Maxi_hp)</f>
        <v>44.766057669859549</v>
      </c>
      <c r="J111" s="85">
        <f>IF(H111,An,'2030'!An_max)</f>
        <v>2029</v>
      </c>
      <c r="K111" s="193">
        <f t="shared" si="27"/>
        <v>47945</v>
      </c>
      <c r="L111" s="143">
        <f>IF(t&lt;Tvie,1-EXP((T0-t)*PertePVj)+'2030'!Pspv,1-EXP((T0-t)*PertePVj)+Pspv)</f>
        <v>4.5777414125605431E-2</v>
      </c>
      <c r="M111" s="836"/>
      <c r="N111" s="836"/>
      <c r="O111" s="48">
        <f>IF(t&lt;Tnet,'2030'!Resal+('2030'!Salim-'2030'!Resal)*(1-EXP(('2030'!Tnet-t)/('2030'!Tau_j))),Resal+(Salim-Resal)*(1-EXP((Tnet-t)/(Tau_j))))*Salcycl</f>
        <v>3.8166625743763352E-2</v>
      </c>
      <c r="P111" s="165">
        <f>(INDEX(Models!$BJ111:$BT111,,T111)*(1-R111)+INDEX(Models!$BJ111:$BT111,,T111+1)*R111-ERP_i)*Q111*Ramure*Pc/MaxiM</f>
        <v>4.3652498729662638E-5</v>
      </c>
      <c r="Q111" s="301">
        <f t="shared" si="28"/>
        <v>0.5</v>
      </c>
      <c r="R111" s="173">
        <f t="shared" si="29"/>
        <v>1.8022276711853191E-3</v>
      </c>
      <c r="S111" s="802">
        <f t="shared" si="30"/>
        <v>1</v>
      </c>
      <c r="T111" s="172">
        <f t="shared" si="31"/>
        <v>7</v>
      </c>
      <c r="U111" s="247">
        <f t="shared" si="32"/>
        <v>1.0018022276711853</v>
      </c>
      <c r="V111" s="378">
        <f t="shared" si="33"/>
        <v>50.168562048696586</v>
      </c>
      <c r="W111" s="397">
        <f t="shared" si="34"/>
        <v>41.084637544339024</v>
      </c>
      <c r="X111" s="153">
        <f t="shared" si="35"/>
        <v>47945</v>
      </c>
      <c r="Y111" s="380">
        <f t="shared" si="36"/>
        <v>40.201135371177095</v>
      </c>
      <c r="Z111" s="380">
        <f t="shared" si="37"/>
        <v>42.129725250989623</v>
      </c>
      <c r="AA111" s="381">
        <f t="shared" si="38"/>
        <v>44.754874119813422</v>
      </c>
      <c r="AB111" s="193">
        <f t="shared" si="39"/>
        <v>47945</v>
      </c>
      <c r="AC111" s="119">
        <f>IF(OR(t&lt;Tnet,NoTnet),'2030'!Resal_s+('2030'!Salim-'2030'!Resal_s)*(1-EXP(('2030'!Tnet_s-t)/'2030'!Tau_j)),Resal_s+(Salim-Resal_s)*(1-EXP((Tnet_s-t)/Tau_j)))*Salcycl</f>
        <v>5.8656155792015149E-2</v>
      </c>
      <c r="AD111" s="227">
        <f>(INDEX(Models!$BJ111:$BT111,,AH111)*(1-AF111)+INDEX(Models!$BJ111:$BT111,,AH111+1)*AF111-ERP_i)*AE111*Ramure*Pc/MaxiM</f>
        <v>3.2186926876273463E-4</v>
      </c>
      <c r="AE111" s="301">
        <f t="shared" si="40"/>
        <v>0.5</v>
      </c>
      <c r="AF111" s="173">
        <f t="shared" si="41"/>
        <v>0.52678979404516202</v>
      </c>
      <c r="AG111" s="802">
        <f t="shared" si="49"/>
        <v>4</v>
      </c>
      <c r="AH111" s="172">
        <f t="shared" si="42"/>
        <v>10</v>
      </c>
      <c r="AI111" s="221">
        <f t="shared" si="43"/>
        <v>4.526789794045162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47946</v>
      </c>
      <c r="B112" s="406">
        <f>'2030'!Wh/'2030'!Env_an*'2031'!Env_an</f>
        <v>34.997463353169294</v>
      </c>
      <c r="C112" s="832"/>
      <c r="D112" s="388">
        <f t="shared" si="25"/>
        <v>36.6769168574451</v>
      </c>
      <c r="E112" s="380">
        <f t="shared" si="47"/>
        <v>38.134135732726797</v>
      </c>
      <c r="F112" s="380">
        <f t="shared" si="26"/>
        <v>38.135043981297564</v>
      </c>
      <c r="G112" s="110">
        <f t="shared" si="48"/>
        <v>0.69275487416273385</v>
      </c>
      <c r="H112" s="409" t="b">
        <f>Wh_hp&gt;='2030'!Maxi_hp</f>
        <v>0</v>
      </c>
      <c r="I112" s="385">
        <f>IF(H112,Wh_hp,'2030'!Maxi_hp)</f>
        <v>38.135748620344017</v>
      </c>
      <c r="J112" s="85">
        <f>IF(H112,An,'2030'!An_max)</f>
        <v>2029</v>
      </c>
      <c r="K112" s="193">
        <f t="shared" si="27"/>
        <v>47946</v>
      </c>
      <c r="L112" s="143">
        <f>IF(t&lt;Tvie,1-EXP((T0-t)*PertePVj)+'2030'!Pspv,1-EXP((T0-t)*PertePVj)+Pspv)</f>
        <v>4.5790476631486388E-2</v>
      </c>
      <c r="M112" s="836"/>
      <c r="N112" s="836"/>
      <c r="O112" s="48">
        <f>IF(t&lt;Tnet,'2030'!Resal+('2030'!Salim-'2030'!Resal)*(1-EXP(('2030'!Tnet-t)/('2030'!Tau_j))),Resal+(Salim-Resal)*(1-EXP((Tnet-t)/(Tau_j))))*Salcycl</f>
        <v>3.821297761918617E-2</v>
      </c>
      <c r="P112" s="165">
        <f>(INDEX(Models!$BJ112:$BT112,,T112)*(1-R112)+INDEX(Models!$BJ112:$BT112,,T112+1)*R112-ERP_i)*Q112*Ramure*Pc/MaxiM</f>
        <v>4.244657537639561E-5</v>
      </c>
      <c r="Q112" s="301">
        <f t="shared" si="28"/>
        <v>0.5</v>
      </c>
      <c r="R112" s="173">
        <f t="shared" si="29"/>
        <v>3.1160859989287637E-3</v>
      </c>
      <c r="S112" s="802">
        <f t="shared" si="30"/>
        <v>1</v>
      </c>
      <c r="T112" s="172">
        <f t="shared" si="31"/>
        <v>7</v>
      </c>
      <c r="U112" s="247">
        <f t="shared" si="32"/>
        <v>1.0031160859989288</v>
      </c>
      <c r="V112" s="378">
        <f t="shared" si="33"/>
        <v>50.518318444771047</v>
      </c>
      <c r="W112" s="397">
        <f t="shared" si="34"/>
        <v>34.997463353169294</v>
      </c>
      <c r="X112" s="153">
        <f t="shared" si="35"/>
        <v>47946</v>
      </c>
      <c r="Y112" s="380">
        <f t="shared" si="36"/>
        <v>34.247037400015003</v>
      </c>
      <c r="Z112" s="380">
        <f t="shared" si="37"/>
        <v>35.890479565868759</v>
      </c>
      <c r="AA112" s="381">
        <f t="shared" si="38"/>
        <v>38.128146694811583</v>
      </c>
      <c r="AB112" s="193">
        <f t="shared" si="39"/>
        <v>47946</v>
      </c>
      <c r="AC112" s="119">
        <f>IF(OR(t&lt;Tnet,NoTnet),'2030'!Resal_s+('2030'!Salim-'2030'!Resal_s)*(1-EXP(('2030'!Tnet_s-t)/'2030'!Tau_j)),Resal_s+(Salim-Resal_s)*(1-EXP((Tnet_s-t)/Tau_j)))*Salcycl</f>
        <v>5.8688064406952276E-2</v>
      </c>
      <c r="AD112" s="227">
        <f>(INDEX(Models!$BJ112:$BT112,,AH112)*(1-AF112)+INDEX(Models!$BJ112:$BT112,,AH112+1)*AF112-ERP_i)*AE112*Ramure*Pc/MaxiM</f>
        <v>3.2234148243468305E-4</v>
      </c>
      <c r="AE112" s="301">
        <f t="shared" si="40"/>
        <v>0.5</v>
      </c>
      <c r="AF112" s="173">
        <f t="shared" si="41"/>
        <v>0.52810365237290569</v>
      </c>
      <c r="AG112" s="802">
        <f t="shared" si="49"/>
        <v>4</v>
      </c>
      <c r="AH112" s="172">
        <f t="shared" si="42"/>
        <v>10</v>
      </c>
      <c r="AI112" s="221">
        <f t="shared" si="43"/>
        <v>4.5281036523729057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47947</v>
      </c>
      <c r="B113" s="406">
        <f>'2030'!Wh/'2030'!Env_an*'2031'!Env_an</f>
        <v>32.558835656974104</v>
      </c>
      <c r="C113" s="832"/>
      <c r="D113" s="388">
        <f t="shared" si="25"/>
        <v>34.121731725391349</v>
      </c>
      <c r="E113" s="380">
        <f t="shared" si="47"/>
        <v>35.479155688220935</v>
      </c>
      <c r="F113" s="380">
        <f t="shared" si="26"/>
        <v>35.47986094227732</v>
      </c>
      <c r="G113" s="110">
        <f t="shared" si="48"/>
        <v>0.64013295155557581</v>
      </c>
      <c r="H113" s="409" t="b">
        <f>Wh_hp&gt;='2030'!Maxi_hp</f>
        <v>0</v>
      </c>
      <c r="I113" s="385">
        <f>IF(H113,Wh_hp,'2030'!Maxi_hp)</f>
        <v>35.480600001328156</v>
      </c>
      <c r="J113" s="85">
        <f>IF(H113,An,'2030'!An_max)</f>
        <v>2029</v>
      </c>
      <c r="K113" s="193">
        <f t="shared" si="27"/>
        <v>47947</v>
      </c>
      <c r="L113" s="143">
        <f>IF(t&lt;Tvie,1-EXP((T0-t)*PertePVj)+'2030'!Pspv,1-EXP((T0-t)*PertePVj)+Pspv)</f>
        <v>4.5803538958552714E-2</v>
      </c>
      <c r="M113" s="836"/>
      <c r="N113" s="836"/>
      <c r="O113" s="48">
        <f>IF(t&lt;Tnet,'2030'!Resal+('2030'!Salim-'2030'!Resal)*(1-EXP(('2030'!Tnet-t)/('2030'!Tau_j))),Resal+(Salim-Resal)*(1-EXP((Tnet-t)/(Tau_j))))*Salcycl</f>
        <v>3.8259759469987838E-2</v>
      </c>
      <c r="P113" s="165">
        <f>(INDEX(Models!$BJ113:$BT113,,T113)*(1-R113)+INDEX(Models!$BJ113:$BT113,,T113+1)*R113-ERP_i)*Q113*Ramure*Pc/MaxiM</f>
        <v>4.0906830144239887E-5</v>
      </c>
      <c r="Q113" s="301">
        <f t="shared" si="28"/>
        <v>0.5</v>
      </c>
      <c r="R113" s="173">
        <f t="shared" si="29"/>
        <v>4.4772249864948321E-3</v>
      </c>
      <c r="S113" s="802">
        <f t="shared" si="30"/>
        <v>1</v>
      </c>
      <c r="T113" s="172">
        <f t="shared" si="31"/>
        <v>7</v>
      </c>
      <c r="U113" s="247">
        <f t="shared" si="32"/>
        <v>1.0044772249864948</v>
      </c>
      <c r="V113" s="378">
        <f t="shared" si="33"/>
        <v>50.861545053421104</v>
      </c>
      <c r="W113" s="397">
        <f t="shared" si="34"/>
        <v>32.558835656974104</v>
      </c>
      <c r="X113" s="153">
        <f t="shared" si="35"/>
        <v>47947</v>
      </c>
      <c r="Y113" s="380">
        <f t="shared" si="36"/>
        <v>31.861825326295843</v>
      </c>
      <c r="Z113" s="380">
        <f t="shared" si="37"/>
        <v>33.391263358407976</v>
      </c>
      <c r="AA113" s="381">
        <f t="shared" si="38"/>
        <v>35.474339732569881</v>
      </c>
      <c r="AB113" s="193">
        <f t="shared" si="39"/>
        <v>47947</v>
      </c>
      <c r="AC113" s="119">
        <f>IF(OR(t&lt;Tnet,NoTnet),'2030'!Resal_s+('2030'!Salim-'2030'!Resal_s)*(1-EXP(('2030'!Tnet_s-t)/'2030'!Tau_j)),Resal_s+(Salim-Resal_s)*(1-EXP((Tnet_s-t)/Tau_j)))*Salcycl</f>
        <v>5.872065244527655E-2</v>
      </c>
      <c r="AD113" s="227">
        <f>(INDEX(Models!$BJ113:$BT113,,AH113)*(1-AF113)+INDEX(Models!$BJ113:$BT113,,AH113+1)*AF113-ERP_i)*AE113*Ramure*Pc/MaxiM</f>
        <v>3.2024656313296826E-4</v>
      </c>
      <c r="AE113" s="301">
        <f t="shared" si="40"/>
        <v>0.5</v>
      </c>
      <c r="AF113" s="173">
        <f t="shared" si="41"/>
        <v>0.5294647913604722</v>
      </c>
      <c r="AG113" s="802">
        <f t="shared" si="49"/>
        <v>4</v>
      </c>
      <c r="AH113" s="172">
        <f t="shared" si="42"/>
        <v>10</v>
      </c>
      <c r="AI113" s="221">
        <f t="shared" si="43"/>
        <v>4.5294647913604722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47948</v>
      </c>
      <c r="B114" s="406">
        <f>'2030'!Wh/'2030'!Env_an*'2031'!Env_an</f>
        <v>53.344394974100297</v>
      </c>
      <c r="C114" s="832"/>
      <c r="D114" s="388">
        <f t="shared" si="25"/>
        <v>55.905809130589795</v>
      </c>
      <c r="E114" s="380">
        <f t="shared" si="47"/>
        <v>58.132697384862162</v>
      </c>
      <c r="F114" s="380">
        <f t="shared" si="26"/>
        <v>58.134973098692676</v>
      </c>
      <c r="G114" s="110">
        <f t="shared" si="48"/>
        <v>1.0419247187108809</v>
      </c>
      <c r="H114" s="409" t="b">
        <f>Wh_hp&gt;='2030'!Maxi_hp</f>
        <v>1</v>
      </c>
      <c r="I114" s="385">
        <f>IF(H114,Wh_hp,'2030'!Maxi_hp)</f>
        <v>58.134973098692676</v>
      </c>
      <c r="J114" s="85">
        <f>IF(H114,An,'2030'!An_max)</f>
        <v>2031</v>
      </c>
      <c r="K114" s="193">
        <f t="shared" si="27"/>
        <v>47948</v>
      </c>
      <c r="L114" s="143">
        <f>IF(t&lt;Tvie,1-EXP((T0-t)*PertePVj)+'2030'!Pspv,1-EXP((T0-t)*PertePVj)+Pspv)</f>
        <v>4.5816601106806631E-2</v>
      </c>
      <c r="M114" s="836"/>
      <c r="N114" s="836"/>
      <c r="O114" s="48">
        <f>IF(t&lt;Tnet,'2030'!Resal+('2030'!Salim-'2030'!Resal)*(1-EXP(('2030'!Tnet-t)/('2030'!Tau_j))),Resal+(Salim-Resal)*(1-EXP((Tnet-t)/(Tau_j))))*Salcycl</f>
        <v>3.8306983065476204E-2</v>
      </c>
      <c r="P114" s="165">
        <f>(INDEX(Models!$BJ114:$BT114,,T114)*(1-R114)+INDEX(Models!$BJ114:$BT114,,T114+1)*R114-ERP_i)*Q114*Ramure*Pc/MaxiM</f>
        <v>3.9145349334686326E-5</v>
      </c>
      <c r="Q114" s="301">
        <f t="shared" si="28"/>
        <v>0.5</v>
      </c>
      <c r="R114" s="173">
        <f t="shared" si="29"/>
        <v>5.8870310928373915E-3</v>
      </c>
      <c r="S114" s="802">
        <f t="shared" si="30"/>
        <v>1</v>
      </c>
      <c r="T114" s="172">
        <f t="shared" si="31"/>
        <v>7</v>
      </c>
      <c r="U114" s="247">
        <f t="shared" si="32"/>
        <v>1.0058870310928374</v>
      </c>
      <c r="V114" s="378">
        <f t="shared" si="33"/>
        <v>51.197935912395415</v>
      </c>
      <c r="W114" s="397">
        <f t="shared" si="34"/>
        <v>53.344394974100297</v>
      </c>
      <c r="X114" s="153">
        <f t="shared" si="35"/>
        <v>47948</v>
      </c>
      <c r="Y114" s="380">
        <f t="shared" si="36"/>
        <v>52.195775254134837</v>
      </c>
      <c r="Z114" s="380">
        <f t="shared" si="37"/>
        <v>54.702036646916532</v>
      </c>
      <c r="AA114" s="381">
        <f t="shared" si="38"/>
        <v>58.116616655537108</v>
      </c>
      <c r="AB114" s="193">
        <f t="shared" si="39"/>
        <v>47948</v>
      </c>
      <c r="AC114" s="119">
        <f>IF(OR(t&lt;Tnet,NoTnet),'2030'!Resal_s+('2030'!Salim-'2030'!Resal_s)*(1-EXP(('2030'!Tnet_s-t)/'2030'!Tau_j)),Resal_s+(Salim-Resal_s)*(1-EXP((Tnet_s-t)/Tau_j)))*Salcycl</f>
        <v>5.8753936569623945E-2</v>
      </c>
      <c r="AD114" s="227">
        <f>(INDEX(Models!$BJ114:$BT114,,AH114)*(1-AF114)+INDEX(Models!$BJ114:$BT114,,AH114+1)*AF114-ERP_i)*AE114*Ramure*Pc/MaxiM</f>
        <v>3.1575559731322197E-4</v>
      </c>
      <c r="AE114" s="301">
        <f t="shared" si="40"/>
        <v>0.5</v>
      </c>
      <c r="AF114" s="173">
        <f t="shared" si="41"/>
        <v>0.53087459746681454</v>
      </c>
      <c r="AG114" s="802">
        <f t="shared" si="49"/>
        <v>4</v>
      </c>
      <c r="AH114" s="172">
        <f t="shared" si="42"/>
        <v>10</v>
      </c>
      <c r="AI114" s="221">
        <f t="shared" si="43"/>
        <v>4.5308745974668145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47949</v>
      </c>
      <c r="B115" s="406">
        <f>'2030'!Wh/'2030'!Env_an*'2031'!Env_an</f>
        <v>43.036330353666692</v>
      </c>
      <c r="C115" s="832"/>
      <c r="D115" s="388">
        <f t="shared" si="25"/>
        <v>45.10340417038752</v>
      </c>
      <c r="E115" s="380">
        <f t="shared" si="47"/>
        <v>46.902326960731237</v>
      </c>
      <c r="F115" s="380">
        <f t="shared" si="26"/>
        <v>46.903668998235077</v>
      </c>
      <c r="G115" s="110">
        <f t="shared" si="48"/>
        <v>0.83520878504045415</v>
      </c>
      <c r="H115" s="409" t="b">
        <f>Wh_hp&gt;='2030'!Maxi_hp</f>
        <v>0</v>
      </c>
      <c r="I115" s="385">
        <f>IF(H115,Wh_hp,'2030'!Maxi_hp)</f>
        <v>46.904077182092792</v>
      </c>
      <c r="J115" s="85">
        <f>IF(H115,An,'2030'!An_max)</f>
        <v>2029</v>
      </c>
      <c r="K115" s="193">
        <f t="shared" si="27"/>
        <v>47949</v>
      </c>
      <c r="L115" s="143">
        <f>IF(t&lt;Tvie,1-EXP((T0-t)*PertePVj)+'2030'!Pspv,1-EXP((T0-t)*PertePVj)+Pspv)</f>
        <v>4.5829663076250804E-2</v>
      </c>
      <c r="M115" s="836"/>
      <c r="N115" s="836"/>
      <c r="O115" s="48">
        <f>IF(t&lt;Tnet,'2030'!Resal+('2030'!Salim-'2030'!Resal)*(1-EXP(('2030'!Tnet-t)/('2030'!Tau_j))),Resal+(Salim-Resal)*(1-EXP((Tnet-t)/(Tau_j))))*Salcycl</f>
        <v>3.8354659713362521E-2</v>
      </c>
      <c r="P115" s="165">
        <f>(INDEX(Models!$BJ115:$BT115,,T115)*(1-R115)+INDEX(Models!$BJ115:$BT115,,T115+1)*R115-ERP_i)*Q115*Ramure*Pc/MaxiM</f>
        <v>3.7421972239611864E-5</v>
      </c>
      <c r="Q115" s="301">
        <f t="shared" si="28"/>
        <v>0.5</v>
      </c>
      <c r="R115" s="173">
        <f t="shared" si="29"/>
        <v>7.3469065587343785E-3</v>
      </c>
      <c r="S115" s="802">
        <f t="shared" si="30"/>
        <v>1</v>
      </c>
      <c r="T115" s="172">
        <f t="shared" si="31"/>
        <v>7</v>
      </c>
      <c r="U115" s="247">
        <f t="shared" si="32"/>
        <v>1.0073469065587344</v>
      </c>
      <c r="V115" s="378">
        <f t="shared" si="33"/>
        <v>51.527177386111852</v>
      </c>
      <c r="W115" s="397">
        <f t="shared" si="34"/>
        <v>43.036330353666692</v>
      </c>
      <c r="X115" s="153">
        <f t="shared" si="35"/>
        <v>47949</v>
      </c>
      <c r="Y115" s="380">
        <f t="shared" si="36"/>
        <v>42.113118975648398</v>
      </c>
      <c r="Z115" s="380">
        <f t="shared" si="37"/>
        <v>44.135850116050918</v>
      </c>
      <c r="AA115" s="381">
        <f t="shared" si="38"/>
        <v>46.892567200539553</v>
      </c>
      <c r="AB115" s="193">
        <f t="shared" si="39"/>
        <v>47949</v>
      </c>
      <c r="AC115" s="119">
        <f>IF(OR(t&lt;Tnet,NoTnet),'2030'!Resal_s+('2030'!Salim-'2030'!Resal_s)*(1-EXP(('2030'!Tnet_s-t)/'2030'!Tau_j)),Resal_s+(Salim-Resal_s)*(1-EXP((Tnet_s-t)/Tau_j)))*Salcycl</f>
        <v>5.8787932695160999E-2</v>
      </c>
      <c r="AD115" s="227">
        <f>(INDEX(Models!$BJ115:$BT115,,AH115)*(1-AF115)+INDEX(Models!$BJ115:$BT115,,AH115+1)*AF115-ERP_i)*AE115*Ramure*Pc/MaxiM</f>
        <v>3.0956747779733773E-4</v>
      </c>
      <c r="AE115" s="301">
        <f t="shared" si="40"/>
        <v>0.5</v>
      </c>
      <c r="AF115" s="173">
        <f t="shared" si="41"/>
        <v>0.5323344729327113</v>
      </c>
      <c r="AG115" s="802">
        <f t="shared" si="49"/>
        <v>4</v>
      </c>
      <c r="AH115" s="172">
        <f t="shared" si="42"/>
        <v>10</v>
      </c>
      <c r="AI115" s="221">
        <f t="shared" si="43"/>
        <v>4.5323344729327113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47950</v>
      </c>
      <c r="B116" s="406">
        <f>'2030'!Wh/'2030'!Env_an*'2031'!Env_an</f>
        <v>35.909010936878126</v>
      </c>
      <c r="C116" s="832"/>
      <c r="D116" s="388">
        <f t="shared" si="25"/>
        <v>37.634268346241491</v>
      </c>
      <c r="E116" s="380">
        <f t="shared" si="47"/>
        <v>39.137248273379285</v>
      </c>
      <c r="F116" s="380">
        <f t="shared" si="26"/>
        <v>39.138032575018435</v>
      </c>
      <c r="G116" s="110">
        <f t="shared" si="48"/>
        <v>0.69255855796370425</v>
      </c>
      <c r="H116" s="409" t="b">
        <f>Wh_hp&gt;='2030'!Maxi_hp</f>
        <v>0</v>
      </c>
      <c r="I116" s="385">
        <f>IF(H116,Wh_hp,'2030'!Maxi_hp)</f>
        <v>39.138638480152373</v>
      </c>
      <c r="J116" s="85">
        <f>IF(H116,An,'2030'!An_max)</f>
        <v>2029</v>
      </c>
      <c r="K116" s="193">
        <f t="shared" si="27"/>
        <v>47950</v>
      </c>
      <c r="L116" s="143">
        <f>IF(t&lt;Tvie,1-EXP((T0-t)*PertePVj)+'2030'!Pspv,1-EXP((T0-t)*PertePVj)+Pspv)</f>
        <v>4.5842724866887563E-2</v>
      </c>
      <c r="M116" s="836"/>
      <c r="N116" s="836"/>
      <c r="O116" s="48">
        <f>IF(t&lt;Tnet,'2030'!Resal+('2030'!Salim-'2030'!Resal)*(1-EXP(('2030'!Tnet-t)/('2030'!Tau_j))),Resal+(Salim-Resal)*(1-EXP((Tnet-t)/(Tau_j))))*Salcycl</f>
        <v>3.8402800233661438E-2</v>
      </c>
      <c r="P116" s="165">
        <f>(INDEX(Models!$BJ116:$BT116,,T116)*(1-R116)+INDEX(Models!$BJ116:$BT116,,T116+1)*R116-ERP_i)*Q116*Ramure*Pc/MaxiM</f>
        <v>3.5732688906522143E-5</v>
      </c>
      <c r="Q116" s="301">
        <f t="shared" si="28"/>
        <v>0.5</v>
      </c>
      <c r="R116" s="173">
        <f t="shared" si="29"/>
        <v>8.8582674273627315E-3</v>
      </c>
      <c r="S116" s="802">
        <f t="shared" si="30"/>
        <v>1</v>
      </c>
      <c r="T116" s="172">
        <f t="shared" si="31"/>
        <v>7</v>
      </c>
      <c r="U116" s="247">
        <f t="shared" si="32"/>
        <v>1.0088582674273627</v>
      </c>
      <c r="V116" s="378">
        <f t="shared" si="33"/>
        <v>51.848969276645434</v>
      </c>
      <c r="W116" s="397">
        <f t="shared" si="34"/>
        <v>35.909010936878126</v>
      </c>
      <c r="X116" s="153">
        <f t="shared" si="35"/>
        <v>47950</v>
      </c>
      <c r="Y116" s="380">
        <f t="shared" si="36"/>
        <v>35.141228032103164</v>
      </c>
      <c r="Z116" s="380">
        <f t="shared" si="37"/>
        <v>36.82959711982565</v>
      </c>
      <c r="AA116" s="381">
        <f t="shared" si="38"/>
        <v>39.131410623880249</v>
      </c>
      <c r="AB116" s="193">
        <f t="shared" si="39"/>
        <v>47950</v>
      </c>
      <c r="AC116" s="119">
        <f>IF(OR(t&lt;Tnet,NoTnet),'2030'!Resal_s+('2030'!Salim-'2030'!Resal_s)*(1-EXP(('2030'!Tnet_s-t)/'2030'!Tau_j)),Resal_s+(Salim-Resal_s)*(1-EXP((Tnet_s-t)/Tau_j)))*Salcycl</f>
        <v>5.8822655952246797E-2</v>
      </c>
      <c r="AD116" s="227">
        <f>(INDEX(Models!$BJ116:$BT116,,AH116)*(1-AF116)+INDEX(Models!$BJ116:$BT116,,AH116+1)*AF116-ERP_i)*AE116*Ramure*Pc/MaxiM</f>
        <v>3.0169530211896368E-4</v>
      </c>
      <c r="AE116" s="301">
        <f t="shared" si="40"/>
        <v>0.5</v>
      </c>
      <c r="AF116" s="173">
        <f t="shared" si="41"/>
        <v>0.53384583380133943</v>
      </c>
      <c r="AG116" s="802">
        <f t="shared" si="49"/>
        <v>4</v>
      </c>
      <c r="AH116" s="172">
        <f t="shared" si="42"/>
        <v>10</v>
      </c>
      <c r="AI116" s="221">
        <f t="shared" si="43"/>
        <v>4.5338458338013394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47951</v>
      </c>
      <c r="B117" s="406">
        <f>'2030'!Wh/'2030'!Env_an*'2031'!Env_an</f>
        <v>8.3034886395880356</v>
      </c>
      <c r="C117" s="832"/>
      <c r="D117" s="388">
        <f t="shared" si="25"/>
        <v>8.7025509581449025</v>
      </c>
      <c r="E117" s="380">
        <f t="shared" si="47"/>
        <v>9.0505577079407811</v>
      </c>
      <c r="F117" s="380">
        <f t="shared" si="26"/>
        <v>9.0505577079407811</v>
      </c>
      <c r="G117" s="110">
        <f t="shared" si="48"/>
        <v>0.15917803576355574</v>
      </c>
      <c r="H117" s="409" t="b">
        <f>Wh_hp&gt;='2030'!Maxi_hp</f>
        <v>0</v>
      </c>
      <c r="I117" s="385">
        <f>IF(H117,Wh_hp,'2030'!Maxi_hp)</f>
        <v>9.0508614779213179</v>
      </c>
      <c r="J117" s="85">
        <f>IF(H117,An,'2030'!An_max)</f>
        <v>2029</v>
      </c>
      <c r="K117" s="193">
        <f t="shared" si="27"/>
        <v>47951</v>
      </c>
      <c r="L117" s="143">
        <f>IF(t&lt;Tvie,1-EXP((T0-t)*PertePVj)+'2030'!Pspv,1-EXP((T0-t)*PertePVj)+Pspv)</f>
        <v>4.5855786478719351E-2</v>
      </c>
      <c r="M117" s="836"/>
      <c r="N117" s="836"/>
      <c r="O117" s="48">
        <f>IF(t&lt;Tnet,'2030'!Resal+('2030'!Salim-'2030'!Resal)*(1-EXP(('2030'!Tnet-t)/('2030'!Tau_j))),Resal+(Salim-Resal)*(1-EXP((Tnet-t)/(Tau_j))))*Salcycl</f>
        <v>3.8451414932202915E-2</v>
      </c>
      <c r="P117" s="165">
        <f>(INDEX(Models!$BJ117:$BT117,,T117)*(1-R117)+INDEX(Models!$BJ117:$BT117,,T117+1)*R117-ERP_i)*Q117*Ramure*Pc/MaxiM</f>
        <v>3.4073378443009546E-5</v>
      </c>
      <c r="Q117" s="301">
        <f t="shared" si="28"/>
        <v>0.5</v>
      </c>
      <c r="R117" s="173">
        <f t="shared" si="29"/>
        <v>1.042254136028431E-2</v>
      </c>
      <c r="S117" s="802">
        <f t="shared" si="30"/>
        <v>1</v>
      </c>
      <c r="T117" s="172">
        <f t="shared" si="31"/>
        <v>7</v>
      </c>
      <c r="U117" s="247">
        <f t="shared" si="32"/>
        <v>1.0104225413602843</v>
      </c>
      <c r="V117" s="378">
        <f t="shared" si="33"/>
        <v>52.163011510023075</v>
      </c>
      <c r="W117" s="397">
        <f t="shared" si="34"/>
        <v>8.3034886395880356</v>
      </c>
      <c r="X117" s="153">
        <f t="shared" si="35"/>
        <v>47951</v>
      </c>
      <c r="Y117" s="380">
        <f t="shared" si="36"/>
        <v>8.1272657718939634</v>
      </c>
      <c r="Z117" s="380">
        <f t="shared" si="37"/>
        <v>8.5178588904293537</v>
      </c>
      <c r="AA117" s="381">
        <f t="shared" si="38"/>
        <v>9.0505577079407811</v>
      </c>
      <c r="AB117" s="193">
        <f t="shared" si="39"/>
        <v>47951</v>
      </c>
      <c r="AC117" s="119">
        <f>IF(OR(t&lt;Tnet,NoTnet),'2030'!Resal_s+('2030'!Salim-'2030'!Resal_s)*(1-EXP(('2030'!Tnet_s-t)/'2030'!Tau_j)),Resal_s+(Salim-Resal_s)*(1-EXP((Tnet_s-t)/Tau_j)))*Salcycl</f>
        <v>5.8858120648636728E-2</v>
      </c>
      <c r="AD117" s="227">
        <f>(INDEX(Models!$BJ117:$BT117,,AH117)*(1-AF117)+INDEX(Models!$BJ117:$BT117,,AH117+1)*AF117-ERP_i)*AE117*Ramure*Pc/MaxiM</f>
        <v>2.9214838950208217E-4</v>
      </c>
      <c r="AE117" s="301">
        <f t="shared" si="40"/>
        <v>0.5</v>
      </c>
      <c r="AF117" s="173">
        <f t="shared" si="41"/>
        <v>0.53541010773426123</v>
      </c>
      <c r="AG117" s="802">
        <f t="shared" si="49"/>
        <v>4</v>
      </c>
      <c r="AH117" s="172">
        <f t="shared" si="42"/>
        <v>10</v>
      </c>
      <c r="AI117" s="221">
        <f t="shared" si="43"/>
        <v>4.5354101077342612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47952</v>
      </c>
      <c r="B118" s="406">
        <f>'2030'!Wh/'2030'!Env_an*'2031'!Env_an</f>
        <v>38.332282924535342</v>
      </c>
      <c r="C118" s="832"/>
      <c r="D118" s="388">
        <f t="shared" si="25"/>
        <v>40.175066960804813</v>
      </c>
      <c r="E118" s="380">
        <f t="shared" si="47"/>
        <v>41.783763307167249</v>
      </c>
      <c r="F118" s="380">
        <f t="shared" si="26"/>
        <v>41.784597065361687</v>
      </c>
      <c r="G118" s="110">
        <f t="shared" si="48"/>
        <v>0.7305609268135993</v>
      </c>
      <c r="H118" s="409" t="b">
        <f>Wh_hp&gt;='2030'!Maxi_hp</f>
        <v>0</v>
      </c>
      <c r="I118" s="385">
        <f>IF(H118,Wh_hp,'2030'!Maxi_hp)</f>
        <v>41.785110206797619</v>
      </c>
      <c r="J118" s="85">
        <f>IF(H118,An,'2030'!An_max)</f>
        <v>2029</v>
      </c>
      <c r="K118" s="193">
        <f t="shared" si="27"/>
        <v>47952</v>
      </c>
      <c r="L118" s="143">
        <f>IF(t&lt;Tvie,1-EXP((T0-t)*PertePVj)+'2030'!Pspv,1-EXP((T0-t)*PertePVj)+Pspv)</f>
        <v>4.5868847911748611E-2</v>
      </c>
      <c r="M118" s="836"/>
      <c r="N118" s="836"/>
      <c r="O118" s="48">
        <f>IF(t&lt;Tnet,'2030'!Resal+('2030'!Salim-'2030'!Resal)*(1-EXP(('2030'!Tnet-t)/('2030'!Tau_j))),Resal+(Salim-Resal)*(1-EXP((Tnet-t)/(Tau_j))))*Salcycl</f>
        <v>3.8500513573570143E-2</v>
      </c>
      <c r="P118" s="165">
        <f>(INDEX(Models!$BJ118:$BT118,,T118)*(1-R118)+INDEX(Models!$BJ118:$BT118,,T118+1)*R118-ERP_i)*Q118*Ramure*Pc/MaxiM</f>
        <v>3.243979644181518E-5</v>
      </c>
      <c r="Q118" s="301">
        <f t="shared" si="28"/>
        <v>0.5</v>
      </c>
      <c r="R118" s="173">
        <f t="shared" si="29"/>
        <v>1.2041165239847995E-2</v>
      </c>
      <c r="S118" s="802">
        <f t="shared" si="30"/>
        <v>1</v>
      </c>
      <c r="T118" s="172">
        <f t="shared" si="31"/>
        <v>7</v>
      </c>
      <c r="U118" s="247">
        <f t="shared" si="32"/>
        <v>1.012041165239848</v>
      </c>
      <c r="V118" s="378">
        <f t="shared" si="33"/>
        <v>52.469004142334882</v>
      </c>
      <c r="W118" s="397">
        <f t="shared" si="34"/>
        <v>38.332282924535342</v>
      </c>
      <c r="X118" s="153">
        <f t="shared" si="35"/>
        <v>47952</v>
      </c>
      <c r="Y118" s="380">
        <f t="shared" si="36"/>
        <v>37.513503512733955</v>
      </c>
      <c r="Z118" s="380">
        <f t="shared" si="37"/>
        <v>39.316925593122427</v>
      </c>
      <c r="AA118" s="381">
        <f t="shared" si="38"/>
        <v>41.777376626096064</v>
      </c>
      <c r="AB118" s="193">
        <f t="shared" si="39"/>
        <v>47952</v>
      </c>
      <c r="AC118" s="119">
        <f>IF(OR(t&lt;Tnet,NoTnet),'2030'!Resal_s+('2030'!Salim-'2030'!Resal_s)*(1-EXP(('2030'!Tnet_s-t)/'2030'!Tau_j)),Resal_s+(Salim-Resal_s)*(1-EXP((Tnet_s-t)/Tau_j)))*Salcycl</f>
        <v>5.8894340230945169E-2</v>
      </c>
      <c r="AD118" s="227">
        <f>(INDEX(Models!$BJ118:$BT118,,AH118)*(1-AF118)+INDEX(Models!$BJ118:$BT118,,AH118+1)*AF118-ERP_i)*AE118*Ramure*Pc/MaxiM</f>
        <v>2.809322673653026E-4</v>
      </c>
      <c r="AE118" s="301">
        <f t="shared" si="40"/>
        <v>0.5</v>
      </c>
      <c r="AF118" s="173">
        <f t="shared" si="41"/>
        <v>0.53702873161382492</v>
      </c>
      <c r="AG118" s="802">
        <f t="shared" si="49"/>
        <v>4</v>
      </c>
      <c r="AH118" s="172">
        <f t="shared" si="42"/>
        <v>10</v>
      </c>
      <c r="AI118" s="221">
        <f t="shared" si="43"/>
        <v>4.5370287316138249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47953</v>
      </c>
      <c r="B119" s="406">
        <f>'2030'!Wh/'2030'!Env_an*'2031'!Env_an</f>
        <v>42.004464227134648</v>
      </c>
      <c r="C119" s="832"/>
      <c r="D119" s="388">
        <f t="shared" si="25"/>
        <v>44.02438715989269</v>
      </c>
      <c r="E119" s="380">
        <f t="shared" si="47"/>
        <v>45.789580304722826</v>
      </c>
      <c r="F119" s="380">
        <f t="shared" si="26"/>
        <v>45.790580617183394</v>
      </c>
      <c r="G119" s="110">
        <f t="shared" si="48"/>
        <v>0.796034787781152</v>
      </c>
      <c r="H119" s="409" t="b">
        <f>Wh_hp&gt;='2030'!Maxi_hp</f>
        <v>0</v>
      </c>
      <c r="I119" s="385">
        <f>IF(H119,Wh_hp,'2030'!Maxi_hp)</f>
        <v>45.790984512458699</v>
      </c>
      <c r="J119" s="85">
        <f>IF(H119,An,'2030'!An_max)</f>
        <v>2029</v>
      </c>
      <c r="K119" s="193">
        <f t="shared" si="27"/>
        <v>47953</v>
      </c>
      <c r="L119" s="143">
        <f>IF(t&lt;Tvie,1-EXP((T0-t)*PertePVj)+'2030'!Pspv,1-EXP((T0-t)*PertePVj)+Pspv)</f>
        <v>4.5881909165977897E-2</v>
      </c>
      <c r="M119" s="836"/>
      <c r="N119" s="836"/>
      <c r="O119" s="48">
        <f>IF(t&lt;Tnet,'2030'!Resal+('2030'!Salim-'2030'!Resal)*(1-EXP(('2030'!Tnet-t)/('2030'!Tau_j))),Resal+(Salim-Resal)*(1-EXP((Tnet-t)/(Tau_j))))*Salcycl</f>
        <v>3.8550105353292979E-2</v>
      </c>
      <c r="P119" s="165">
        <f>(INDEX(Models!$BJ119:$BT119,,T119)*(1-R119)+INDEX(Models!$BJ119:$BT119,,T119+1)*R119-ERP_i)*Q119*Ramure*Pc/MaxiM</f>
        <v>3.0827561488486004E-5</v>
      </c>
      <c r="Q119" s="301">
        <f t="shared" si="28"/>
        <v>0.5</v>
      </c>
      <c r="R119" s="173">
        <f t="shared" si="29"/>
        <v>1.3715582549379324E-2</v>
      </c>
      <c r="S119" s="802">
        <f t="shared" si="30"/>
        <v>1</v>
      </c>
      <c r="T119" s="172">
        <f t="shared" si="31"/>
        <v>7</v>
      </c>
      <c r="U119" s="247">
        <f t="shared" si="32"/>
        <v>1.0137155825493793</v>
      </c>
      <c r="V119" s="378">
        <f t="shared" si="33"/>
        <v>52.766647352301582</v>
      </c>
      <c r="W119" s="397">
        <f t="shared" si="34"/>
        <v>42.004464227134648</v>
      </c>
      <c r="X119" s="153">
        <f t="shared" si="35"/>
        <v>47953</v>
      </c>
      <c r="Y119" s="380">
        <f t="shared" si="36"/>
        <v>41.10712429699894</v>
      </c>
      <c r="Z119" s="380">
        <f t="shared" si="37"/>
        <v>43.083895685350669</v>
      </c>
      <c r="AA119" s="381">
        <f t="shared" si="38"/>
        <v>45.781882802693424</v>
      </c>
      <c r="AB119" s="193">
        <f t="shared" si="39"/>
        <v>47953</v>
      </c>
      <c r="AC119" s="119">
        <f>IF(OR(t&lt;Tnet,NoTnet),'2030'!Resal_s+('2030'!Salim-'2030'!Resal_s)*(1-EXP(('2030'!Tnet_s-t)/'2030'!Tau_j)),Resal_s+(Salim-Resal_s)*(1-EXP((Tnet_s-t)/Tau_j)))*Salcycl</f>
        <v>5.8931327245108932E-2</v>
      </c>
      <c r="AD119" s="227">
        <f>(INDEX(Models!$BJ119:$BT119,,AH119)*(1-AF119)+INDEX(Models!$BJ119:$BT119,,AH119+1)*AF119-ERP_i)*AE119*Ramure*Pc/MaxiM</f>
        <v>2.6804865637007771E-4</v>
      </c>
      <c r="AE119" s="301">
        <f t="shared" si="40"/>
        <v>0.5</v>
      </c>
      <c r="AF119" s="173">
        <f t="shared" si="41"/>
        <v>0.53870314892335625</v>
      </c>
      <c r="AG119" s="802">
        <f t="shared" si="49"/>
        <v>4</v>
      </c>
      <c r="AH119" s="172">
        <f t="shared" si="42"/>
        <v>10</v>
      </c>
      <c r="AI119" s="221">
        <f t="shared" si="43"/>
        <v>4.5387031489233562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47954</v>
      </c>
      <c r="B120" s="406">
        <f>'2030'!Wh/'2030'!Env_an*'2031'!Env_an</f>
        <v>38.220389241671029</v>
      </c>
      <c r="C120" s="832"/>
      <c r="D120" s="388">
        <f t="shared" si="25"/>
        <v>40.058890844901661</v>
      </c>
      <c r="E120" s="380">
        <f t="shared" si="47"/>
        <v>41.667255181228491</v>
      </c>
      <c r="F120" s="380">
        <f t="shared" si="26"/>
        <v>41.66798667457445</v>
      </c>
      <c r="G120" s="110">
        <f t="shared" si="48"/>
        <v>0.72037472140925396</v>
      </c>
      <c r="H120" s="409" t="b">
        <f>Wh_hp&gt;='2030'!Maxi_hp</f>
        <v>0</v>
      </c>
      <c r="I120" s="385">
        <f>IF(H120,Wh_hp,'2030'!Maxi_hp)</f>
        <v>41.668463684708897</v>
      </c>
      <c r="J120" s="85">
        <f>IF(H120,An,'2030'!An_max)</f>
        <v>2029</v>
      </c>
      <c r="K120" s="193">
        <f t="shared" si="27"/>
        <v>47954</v>
      </c>
      <c r="L120" s="143">
        <f>IF(t&lt;Tvie,1-EXP((T0-t)*PertePVj)+'2030'!Pspv,1-EXP((T0-t)*PertePVj)+Pspv)</f>
        <v>4.5894970241409538E-2</v>
      </c>
      <c r="M120" s="836"/>
      <c r="N120" s="836"/>
      <c r="O120" s="48">
        <f>IF(t&lt;Tnet,'2030'!Resal+('2030'!Salim-'2030'!Resal)*(1-EXP(('2030'!Tnet-t)/('2030'!Tau_j))),Resal+(Salim-Resal)*(1-EXP((Tnet-t)/(Tau_j))))*Salcycl</f>
        <v>3.8600198869144953E-2</v>
      </c>
      <c r="P120" s="165">
        <f>(INDEX(Models!$BJ120:$BT120,,T120)*(1-R120)+INDEX(Models!$BJ120:$BT120,,T120+1)*R120-ERP_i)*Q120*Ramure*Pc/MaxiM</f>
        <v>2.923214070320162E-5</v>
      </c>
      <c r="Q120" s="301">
        <f t="shared" si="28"/>
        <v>0.5</v>
      </c>
      <c r="R120" s="173">
        <f t="shared" si="29"/>
        <v>1.544724052302171E-2</v>
      </c>
      <c r="S120" s="802">
        <f t="shared" si="30"/>
        <v>1</v>
      </c>
      <c r="T120" s="172">
        <f t="shared" si="31"/>
        <v>7</v>
      </c>
      <c r="U120" s="247">
        <f t="shared" si="32"/>
        <v>1.0154472405230217</v>
      </c>
      <c r="V120" s="378">
        <f t="shared" si="33"/>
        <v>53.055641465409217</v>
      </c>
      <c r="W120" s="397">
        <f t="shared" si="34"/>
        <v>38.220389241671029</v>
      </c>
      <c r="X120" s="153">
        <f t="shared" si="35"/>
        <v>47954</v>
      </c>
      <c r="Y120" s="380">
        <f t="shared" si="36"/>
        <v>37.405586532901559</v>
      </c>
      <c r="Z120" s="380">
        <f t="shared" si="37"/>
        <v>39.204893975211505</v>
      </c>
      <c r="AA120" s="381">
        <f t="shared" si="38"/>
        <v>41.661643306182782</v>
      </c>
      <c r="AB120" s="193">
        <f t="shared" si="39"/>
        <v>47954</v>
      </c>
      <c r="AC120" s="119">
        <f>IF(OR(t&lt;Tnet,NoTnet),'2030'!Resal_s+('2030'!Salim-'2030'!Resal_s)*(1-EXP(('2030'!Tnet_s-t)/'2030'!Tau_j)),Resal_s+(Salim-Resal_s)*(1-EXP((Tnet_s-t)/Tau_j)))*Salcycl</f>
        <v>5.8969093295623422E-2</v>
      </c>
      <c r="AD120" s="227">
        <f>(INDEX(Models!$BJ120:$BT120,,AH120)*(1-AF120)+INDEX(Models!$BJ120:$BT120,,AH120+1)*AF120-ERP_i)*AE120*Ramure*Pc/MaxiM</f>
        <v>2.534954533504086E-4</v>
      </c>
      <c r="AE120" s="301">
        <f t="shared" si="40"/>
        <v>0.5</v>
      </c>
      <c r="AF120" s="173">
        <f t="shared" si="41"/>
        <v>0.54043480689699841</v>
      </c>
      <c r="AG120" s="802">
        <f t="shared" si="49"/>
        <v>4</v>
      </c>
      <c r="AH120" s="172">
        <f t="shared" si="42"/>
        <v>10</v>
      </c>
      <c r="AI120" s="221">
        <f t="shared" si="43"/>
        <v>4.5404348068969984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47955</v>
      </c>
      <c r="B121" s="406">
        <f>'2030'!Wh/'2030'!Env_an*'2031'!Env_an</f>
        <v>52.934442867580763</v>
      </c>
      <c r="C121" s="832"/>
      <c r="D121" s="388">
        <f t="shared" si="25"/>
        <v>55.481488782178147</v>
      </c>
      <c r="E121" s="380">
        <f t="shared" si="47"/>
        <v>57.712108048644701</v>
      </c>
      <c r="F121" s="380">
        <f t="shared" si="26"/>
        <v>57.713686592582462</v>
      </c>
      <c r="G121" s="110">
        <f t="shared" si="48"/>
        <v>0.99247080737864757</v>
      </c>
      <c r="H121" s="409" t="b">
        <f>Wh_hp&gt;='2030'!Maxi_hp</f>
        <v>0</v>
      </c>
      <c r="I121" s="385">
        <f>IF(H121,Wh_hp,'2030'!Maxi_hp)</f>
        <v>57.713703390054775</v>
      </c>
      <c r="J121" s="85">
        <f>IF(H121,An,'2030'!An_max)</f>
        <v>2029</v>
      </c>
      <c r="K121" s="193">
        <f t="shared" si="27"/>
        <v>47955</v>
      </c>
      <c r="L121" s="143">
        <f>IF(t&lt;Tvie,1-EXP((T0-t)*PertePVj)+'2030'!Pspv,1-EXP((T0-t)*PertePVj)+Pspv)</f>
        <v>4.5908031138045979E-2</v>
      </c>
      <c r="M121" s="836"/>
      <c r="N121" s="836"/>
      <c r="O121" s="48">
        <f>IF(t&lt;Tnet,'2030'!Resal+('2030'!Salim-'2030'!Resal)*(1-EXP(('2030'!Tnet-t)/('2030'!Tau_j))),Resal+(Salim-Resal)*(1-EXP((Tnet-t)/(Tau_j))))*Salcycl</f>
        <v>3.865080209141545E-2</v>
      </c>
      <c r="P121" s="165">
        <f>(INDEX(Models!$BJ121:$BT121,,T121)*(1-R121)+INDEX(Models!$BJ121:$BT121,,T121+1)*R121-ERP_i)*Q121*Ramure*Pc/MaxiM</f>
        <v>2.7648669895694858E-5</v>
      </c>
      <c r="Q121" s="301">
        <f t="shared" si="28"/>
        <v>0.5</v>
      </c>
      <c r="R121" s="173">
        <f t="shared" si="29"/>
        <v>1.7237587057698622E-2</v>
      </c>
      <c r="S121" s="802">
        <f t="shared" si="30"/>
        <v>1</v>
      </c>
      <c r="T121" s="172">
        <f t="shared" si="31"/>
        <v>7</v>
      </c>
      <c r="U121" s="247">
        <f t="shared" si="32"/>
        <v>1.0172375870576986</v>
      </c>
      <c r="V121" s="378">
        <f t="shared" si="33"/>
        <v>53.336004174741646</v>
      </c>
      <c r="W121" s="397">
        <f t="shared" si="34"/>
        <v>52.934442867580763</v>
      </c>
      <c r="X121" s="153">
        <f t="shared" si="35"/>
        <v>47955</v>
      </c>
      <c r="Y121" s="380">
        <f t="shared" si="36"/>
        <v>51.802796294195964</v>
      </c>
      <c r="Z121" s="380">
        <f t="shared" si="37"/>
        <v>54.295390785006411</v>
      </c>
      <c r="AA121" s="381">
        <f t="shared" si="38"/>
        <v>57.700140418251173</v>
      </c>
      <c r="AB121" s="193">
        <f t="shared" si="39"/>
        <v>47955</v>
      </c>
      <c r="AC121" s="119">
        <f>IF(OR(t&lt;Tnet,NoTnet),'2030'!Resal_s+('2030'!Salim-'2030'!Resal_s)*(1-EXP(('2030'!Tnet_s-t)/'2030'!Tau_j)),Resal_s+(Salim-Resal_s)*(1-EXP((Tnet_s-t)/Tau_j)))*Salcycl</f>
        <v>5.9007649003360148E-2</v>
      </c>
      <c r="AD121" s="227">
        <f>(INDEX(Models!$BJ121:$BT121,,AH121)*(1-AF121)+INDEX(Models!$BJ121:$BT121,,AH121+1)*AF121-ERP_i)*AE121*Ramure*Pc/MaxiM</f>
        <v>2.3726530093731235E-4</v>
      </c>
      <c r="AE121" s="301">
        <f t="shared" si="40"/>
        <v>0.5</v>
      </c>
      <c r="AF121" s="173">
        <f t="shared" si="41"/>
        <v>0.54222515343167554</v>
      </c>
      <c r="AG121" s="802">
        <f t="shared" si="49"/>
        <v>4</v>
      </c>
      <c r="AH121" s="172">
        <f t="shared" si="42"/>
        <v>10</v>
      </c>
      <c r="AI121" s="221">
        <f t="shared" si="43"/>
        <v>4.5422251534316755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47956</v>
      </c>
      <c r="B122" s="406">
        <f>'2030'!Wh/'2030'!Env_an*'2031'!Env_an</f>
        <v>33.770176261662144</v>
      </c>
      <c r="C122" s="832"/>
      <c r="D122" s="388">
        <f t="shared" si="25"/>
        <v>35.395579939349503</v>
      </c>
      <c r="E122" s="380">
        <f t="shared" si="47"/>
        <v>36.82060826046505</v>
      </c>
      <c r="F122" s="380">
        <f t="shared" si="26"/>
        <v>36.82106103958116</v>
      </c>
      <c r="G122" s="110">
        <f t="shared" si="48"/>
        <v>0.62993687822688882</v>
      </c>
      <c r="H122" s="409" t="b">
        <f>Wh_hp&gt;='2030'!Maxi_hp</f>
        <v>0</v>
      </c>
      <c r="I122" s="385">
        <f>IF(H122,Wh_hp,'2030'!Maxi_hp)</f>
        <v>36.821557169334042</v>
      </c>
      <c r="J122" s="85">
        <f>IF(H122,An,'2030'!An_max)</f>
        <v>2029</v>
      </c>
      <c r="K122" s="193">
        <f t="shared" si="27"/>
        <v>47956</v>
      </c>
      <c r="L122" s="143">
        <f>IF(t&lt;Tvie,1-EXP((T0-t)*PertePVj)+'2030'!Pspv,1-EXP((T0-t)*PertePVj)+Pspv)</f>
        <v>4.5921091855889773E-2</v>
      </c>
      <c r="M122" s="836"/>
      <c r="N122" s="836"/>
      <c r="O122" s="48">
        <f>IF(t&lt;Tnet,'2030'!Resal+('2030'!Salim-'2030'!Resal)*(1-EXP(('2030'!Tnet-t)/('2030'!Tau_j))),Resal+(Salim-Resal)*(1-EXP((Tnet-t)/(Tau_j))))*Salcycl</f>
        <v>3.8701922332055126E-2</v>
      </c>
      <c r="P122" s="165">
        <f>(INDEX(Models!$BJ122:$BT122,,T122)*(1-R122)+INDEX(Models!$BJ122:$BT122,,T122+1)*R122-ERP_i)*Q122*Ramure*Pc/MaxiM</f>
        <v>2.6088303098609618E-5</v>
      </c>
      <c r="Q122" s="301">
        <f t="shared" si="28"/>
        <v>0.5</v>
      </c>
      <c r="R122" s="173">
        <f t="shared" si="29"/>
        <v>1.9088067380421458E-2</v>
      </c>
      <c r="S122" s="802">
        <f t="shared" si="30"/>
        <v>1</v>
      </c>
      <c r="T122" s="172">
        <f t="shared" si="31"/>
        <v>7</v>
      </c>
      <c r="U122" s="247">
        <f t="shared" si="32"/>
        <v>1.0190880673804215</v>
      </c>
      <c r="V122" s="378">
        <f t="shared" si="33"/>
        <v>53.608086269793908</v>
      </c>
      <c r="W122" s="397">
        <f t="shared" si="34"/>
        <v>33.770176261662144</v>
      </c>
      <c r="X122" s="153">
        <f t="shared" si="35"/>
        <v>47956</v>
      </c>
      <c r="Y122" s="380">
        <f t="shared" si="36"/>
        <v>33.052433744065851</v>
      </c>
      <c r="Z122" s="380">
        <f t="shared" si="37"/>
        <v>34.643291515960648</v>
      </c>
      <c r="AA122" s="381">
        <f t="shared" si="38"/>
        <v>36.817239183916485</v>
      </c>
      <c r="AB122" s="193">
        <f t="shared" si="39"/>
        <v>47956</v>
      </c>
      <c r="AC122" s="119">
        <f>IF(OR(t&lt;Tnet,NoTnet),'2030'!Resal_s+('2030'!Salim-'2030'!Resal_s)*(1-EXP(('2030'!Tnet_s-t)/'2030'!Tau_j)),Resal_s+(Salim-Resal_s)*(1-EXP((Tnet_s-t)/Tau_j)))*Salcycl</f>
        <v>5.9047003961815829E-2</v>
      </c>
      <c r="AD122" s="227">
        <f>(INDEX(Models!$BJ122:$BT122,,AH122)*(1-AF122)+INDEX(Models!$BJ122:$BT122,,AH122+1)*AF122-ERP_i)*AE122*Ramure*Pc/MaxiM</f>
        <v>2.2020832108073449E-4</v>
      </c>
      <c r="AE122" s="301">
        <f t="shared" si="40"/>
        <v>0.5</v>
      </c>
      <c r="AF122" s="173">
        <f t="shared" si="41"/>
        <v>0.5440756337543986</v>
      </c>
      <c r="AG122" s="802">
        <f t="shared" si="49"/>
        <v>4</v>
      </c>
      <c r="AH122" s="172">
        <f t="shared" si="42"/>
        <v>10</v>
      </c>
      <c r="AI122" s="221">
        <f t="shared" si="43"/>
        <v>4.5440756337543986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47957</v>
      </c>
      <c r="B123" s="406">
        <f>'2030'!Wh/'2030'!Env_an*'2031'!Env_an</f>
        <v>11.110842341828224</v>
      </c>
      <c r="C123" s="832"/>
      <c r="D123" s="388">
        <f t="shared" si="25"/>
        <v>11.645781441311636</v>
      </c>
      <c r="E123" s="380">
        <f t="shared" si="47"/>
        <v>12.115292220566637</v>
      </c>
      <c r="F123" s="380">
        <f t="shared" si="26"/>
        <v>12.115292220566637</v>
      </c>
      <c r="G123" s="110">
        <f t="shared" si="48"/>
        <v>0.20623981350440018</v>
      </c>
      <c r="H123" s="409" t="b">
        <f>Wh_hp&gt;='2030'!Maxi_hp</f>
        <v>0</v>
      </c>
      <c r="I123" s="385">
        <f>IF(H123,Wh_hp,'2030'!Maxi_hp)</f>
        <v>12.115583479446171</v>
      </c>
      <c r="J123" s="85">
        <f>IF(H123,An,'2030'!An_max)</f>
        <v>2029</v>
      </c>
      <c r="K123" s="193">
        <f t="shared" si="27"/>
        <v>47957</v>
      </c>
      <c r="L123" s="143">
        <f>IF(t&lt;Tvie,1-EXP((T0-t)*PertePVj)+'2030'!Pspv,1-EXP((T0-t)*PertePVj)+Pspv)</f>
        <v>4.5934152394943251E-2</v>
      </c>
      <c r="M123" s="836"/>
      <c r="N123" s="836"/>
      <c r="O123" s="48">
        <f>IF(t&lt;Tnet,'2030'!Resal+('2030'!Salim-'2030'!Resal)*(1-EXP(('2030'!Tnet-t)/('2030'!Tau_j))),Resal+(Salim-Resal)*(1-EXP((Tnet-t)/(Tau_j))))*Salcycl</f>
        <v>3.8753566212622659E-2</v>
      </c>
      <c r="P123" s="165">
        <f>(INDEX(Models!$BJ123:$BT123,,T123)*(1-R123)+INDEX(Models!$BJ123:$BT123,,T123+1)*R123-ERP_i)*Q123*Ramure*Pc/MaxiM</f>
        <v>2.4652396468157909E-5</v>
      </c>
      <c r="Q123" s="301">
        <f t="shared" si="28"/>
        <v>0.5</v>
      </c>
      <c r="R123" s="173">
        <f t="shared" si="29"/>
        <v>2.1000120465058281E-2</v>
      </c>
      <c r="S123" s="802">
        <f t="shared" si="30"/>
        <v>1</v>
      </c>
      <c r="T123" s="172">
        <f t="shared" si="31"/>
        <v>7</v>
      </c>
      <c r="U123" s="247">
        <f t="shared" si="32"/>
        <v>1.0210001204650583</v>
      </c>
      <c r="V123" s="378">
        <f t="shared" si="33"/>
        <v>53.872083397227627</v>
      </c>
      <c r="W123" s="397">
        <f t="shared" si="34"/>
        <v>11.110842341828224</v>
      </c>
      <c r="X123" s="153">
        <f t="shared" si="35"/>
        <v>47957</v>
      </c>
      <c r="Y123" s="380">
        <f t="shared" si="36"/>
        <v>10.875810594272624</v>
      </c>
      <c r="Z123" s="380">
        <f t="shared" si="37"/>
        <v>11.399433929611485</v>
      </c>
      <c r="AA123" s="381">
        <f t="shared" si="38"/>
        <v>12.115292220566637</v>
      </c>
      <c r="AB123" s="193">
        <f t="shared" si="39"/>
        <v>47957</v>
      </c>
      <c r="AC123" s="119">
        <f>IF(OR(t&lt;Tnet,NoTnet),'2030'!Resal_s+('2030'!Salim-'2030'!Resal_s)*(1-EXP(('2030'!Tnet_s-t)/'2030'!Tau_j)),Resal_s+(Salim-Resal_s)*(1-EXP((Tnet_s-t)/Tau_j)))*Salcycl</f>
        <v>5.9087166691689695E-2</v>
      </c>
      <c r="AD123" s="227">
        <f>(INDEX(Models!$BJ123:$BT123,,AH123)*(1-AF123)+INDEX(Models!$BJ123:$BT123,,AH123+1)*AF123-ERP_i)*AE123*Ramure*Pc/MaxiM</f>
        <v>2.0424877912858836E-4</v>
      </c>
      <c r="AE123" s="301">
        <f t="shared" si="40"/>
        <v>0.5</v>
      </c>
      <c r="AF123" s="173">
        <f t="shared" si="41"/>
        <v>0.54598768683903565</v>
      </c>
      <c r="AG123" s="802">
        <f t="shared" si="49"/>
        <v>4</v>
      </c>
      <c r="AH123" s="172">
        <f t="shared" si="42"/>
        <v>10</v>
      </c>
      <c r="AI123" s="221">
        <f t="shared" si="43"/>
        <v>4.5459876868390356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47958</v>
      </c>
      <c r="B124" s="406">
        <f>'2030'!Wh/'2030'!Env_an*'2031'!Env_an</f>
        <v>11.134225735942602</v>
      </c>
      <c r="C124" s="832"/>
      <c r="D124" s="388">
        <f t="shared" si="25"/>
        <v>11.670450403585248</v>
      </c>
      <c r="E124" s="380">
        <f t="shared" si="47"/>
        <v>12.141614744042394</v>
      </c>
      <c r="F124" s="380">
        <f t="shared" si="26"/>
        <v>12.141614744042394</v>
      </c>
      <c r="G124" s="110">
        <f t="shared" si="48"/>
        <v>0.20569622775293897</v>
      </c>
      <c r="H124" s="409" t="b">
        <f>Wh_hp&gt;='2030'!Maxi_hp</f>
        <v>0</v>
      </c>
      <c r="I124" s="385">
        <f>IF(H124,Wh_hp,'2030'!Maxi_hp)</f>
        <v>12.141890573672137</v>
      </c>
      <c r="J124" s="85">
        <f>IF(H124,An,'2030'!An_max)</f>
        <v>2029</v>
      </c>
      <c r="K124" s="193">
        <f t="shared" si="27"/>
        <v>47958</v>
      </c>
      <c r="L124" s="143">
        <f>IF(t&lt;Tvie,1-EXP((T0-t)*PertePVj)+'2030'!Pspv,1-EXP((T0-t)*PertePVj)+Pspv)</f>
        <v>4.5947212755208966E-2</v>
      </c>
      <c r="M124" s="836"/>
      <c r="N124" s="836"/>
      <c r="O124" s="48">
        <f>IF(t&lt;Tnet,'2030'!Resal+('2030'!Salim-'2030'!Resal)*(1-EXP(('2030'!Tnet-t)/('2030'!Tau_j))),Resal+(Salim-Resal)*(1-EXP((Tnet-t)/(Tau_j))))*Salcycl</f>
        <v>3.8805739630994027E-2</v>
      </c>
      <c r="P124" s="165">
        <f>(INDEX(Models!$BJ124:$BT124,,T124)*(1-R124)+INDEX(Models!$BJ124:$BT124,,T124+1)*R124-ERP_i)*Q124*Ramure*Pc/MaxiM</f>
        <v>2.3340310507494361E-5</v>
      </c>
      <c r="Q124" s="301">
        <f t="shared" si="28"/>
        <v>0.5</v>
      </c>
      <c r="R124" s="173">
        <f t="shared" si="29"/>
        <v>2.2975175193727493E-2</v>
      </c>
      <c r="S124" s="802">
        <f t="shared" si="30"/>
        <v>1</v>
      </c>
      <c r="T124" s="172">
        <f t="shared" si="31"/>
        <v>7</v>
      </c>
      <c r="U124" s="247">
        <f t="shared" si="32"/>
        <v>1.0229751751937275</v>
      </c>
      <c r="V124" s="378">
        <f t="shared" si="33"/>
        <v>54.128196619286733</v>
      </c>
      <c r="W124" s="397">
        <f t="shared" si="34"/>
        <v>11.134225735942602</v>
      </c>
      <c r="X124" s="153">
        <f t="shared" si="35"/>
        <v>47958</v>
      </c>
      <c r="Y124" s="380">
        <f t="shared" si="36"/>
        <v>10.898816252467794</v>
      </c>
      <c r="Z124" s="380">
        <f t="shared" si="37"/>
        <v>11.42370359185521</v>
      </c>
      <c r="AA124" s="381">
        <f t="shared" si="38"/>
        <v>12.141614744042394</v>
      </c>
      <c r="AB124" s="193">
        <f t="shared" si="39"/>
        <v>47958</v>
      </c>
      <c r="AC124" s="119">
        <f>IF(OR(t&lt;Tnet,NoTnet),'2030'!Resal_s+('2030'!Salim-'2030'!Resal_s)*(1-EXP(('2030'!Tnet_s-t)/'2030'!Tau_j)),Resal_s+(Salim-Resal_s)*(1-EXP((Tnet_s-t)/Tau_j)))*Salcycl</f>
        <v>5.9128144593736748E-2</v>
      </c>
      <c r="AD124" s="227">
        <f>(INDEX(Models!$BJ124:$BT124,,AH124)*(1-AF124)+INDEX(Models!$BJ124:$BT124,,AH124+1)*AF124-ERP_i)*AE124*Ramure*Pc/MaxiM</f>
        <v>1.8936737626323001E-4</v>
      </c>
      <c r="AE124" s="301">
        <f t="shared" si="40"/>
        <v>0.5</v>
      </c>
      <c r="AF124" s="173">
        <f t="shared" si="41"/>
        <v>0.54796274156770419</v>
      </c>
      <c r="AG124" s="802">
        <f t="shared" si="49"/>
        <v>4</v>
      </c>
      <c r="AH124" s="172">
        <f t="shared" si="42"/>
        <v>10</v>
      </c>
      <c r="AI124" s="221">
        <f t="shared" si="43"/>
        <v>4.5479627415677042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47959</v>
      </c>
      <c r="B125" s="406">
        <f>'2030'!Wh/'2030'!Env_an*'2031'!Env_an</f>
        <v>10.686901106212874</v>
      </c>
      <c r="C125" s="832"/>
      <c r="D125" s="388">
        <f t="shared" si="25"/>
        <v>11.201735947735523</v>
      </c>
      <c r="E125" s="380">
        <f t="shared" si="47"/>
        <v>11.654616243822369</v>
      </c>
      <c r="F125" s="380">
        <f t="shared" si="26"/>
        <v>11.654616243822369</v>
      </c>
      <c r="G125" s="110">
        <f t="shared" si="48"/>
        <v>0.19653047572619395</v>
      </c>
      <c r="H125" s="409" t="b">
        <f>Wh_hp&gt;='2030'!Maxi_hp</f>
        <v>0</v>
      </c>
      <c r="I125" s="385">
        <f>IF(H125,Wh_hp,'2030'!Maxi_hp)</f>
        <v>11.654867031641119</v>
      </c>
      <c r="J125" s="85">
        <f>IF(H125,An,'2030'!An_max)</f>
        <v>2029</v>
      </c>
      <c r="K125" s="193">
        <f t="shared" si="27"/>
        <v>47959</v>
      </c>
      <c r="L125" s="143">
        <f>IF(t&lt;Tvie,1-EXP((T0-t)*PertePVj)+'2030'!Pspv,1-EXP((T0-t)*PertePVj)+Pspv)</f>
        <v>4.5960272936689361E-2</v>
      </c>
      <c r="M125" s="836"/>
      <c r="N125" s="836"/>
      <c r="O125" s="48">
        <f>IF(t&lt;Tnet,'2030'!Resal+('2030'!Salim-'2030'!Resal)*(1-EXP(('2030'!Tnet-t)/('2030'!Tau_j))),Resal+(Salim-Resal)*(1-EXP((Tnet-t)/(Tau_j))))*Salcycl</f>
        <v>3.885844772683085E-2</v>
      </c>
      <c r="P125" s="165">
        <f>(INDEX(Models!$BJ125:$BT125,,T125)*(1-R125)+INDEX(Models!$BJ125:$BT125,,T125+1)*R125-ERP_i)*Q125*Ramure*Pc/MaxiM</f>
        <v>2.2151821197059922E-5</v>
      </c>
      <c r="Q125" s="301">
        <f t="shared" si="28"/>
        <v>0.5</v>
      </c>
      <c r="R125" s="173">
        <f t="shared" si="29"/>
        <v>2.501464625920069E-2</v>
      </c>
      <c r="S125" s="802">
        <f t="shared" si="30"/>
        <v>1</v>
      </c>
      <c r="T125" s="172">
        <f t="shared" si="31"/>
        <v>7</v>
      </c>
      <c r="U125" s="247">
        <f t="shared" si="32"/>
        <v>1.0250146462592007</v>
      </c>
      <c r="V125" s="378">
        <f t="shared" si="33"/>
        <v>54.376626995902001</v>
      </c>
      <c r="W125" s="397">
        <f t="shared" si="34"/>
        <v>10.686901106212874</v>
      </c>
      <c r="X125" s="153">
        <f t="shared" si="35"/>
        <v>47959</v>
      </c>
      <c r="Y125" s="380">
        <f t="shared" si="36"/>
        <v>10.461058252569289</v>
      </c>
      <c r="Z125" s="380">
        <f t="shared" si="37"/>
        <v>10.965013254500551</v>
      </c>
      <c r="AA125" s="381">
        <f t="shared" si="38"/>
        <v>11.654616243822369</v>
      </c>
      <c r="AB125" s="193">
        <f t="shared" si="39"/>
        <v>47959</v>
      </c>
      <c r="AC125" s="119">
        <f>IF(OR(t&lt;Tnet,NoTnet),'2030'!Resal_s+('2030'!Salim-'2030'!Resal_s)*(1-EXP(('2030'!Tnet_s-t)/'2030'!Tau_j)),Resal_s+(Salim-Resal_s)*(1-EXP((Tnet_s-t)/Tau_j)))*Salcycl</f>
        <v>5.91699438998987E-2</v>
      </c>
      <c r="AD125" s="227">
        <f>(INDEX(Models!$BJ125:$BT125,,AH125)*(1-AF125)+INDEX(Models!$BJ125:$BT125,,AH125+1)*AF125-ERP_i)*AE125*Ramure*Pc/MaxiM</f>
        <v>1.7554761409315934E-4</v>
      </c>
      <c r="AE125" s="301">
        <f t="shared" si="40"/>
        <v>0.5</v>
      </c>
      <c r="AF125" s="173">
        <f t="shared" si="41"/>
        <v>0.55000221263317783</v>
      </c>
      <c r="AG125" s="802">
        <f t="shared" si="49"/>
        <v>4</v>
      </c>
      <c r="AH125" s="172">
        <f t="shared" si="42"/>
        <v>10</v>
      </c>
      <c r="AI125" s="221">
        <f t="shared" si="43"/>
        <v>4.5500022126331778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47960</v>
      </c>
      <c r="B126" s="406">
        <f>'2030'!Wh/'2030'!Env_an*'2031'!Env_an</f>
        <v>28.426400341733089</v>
      </c>
      <c r="C126" s="832"/>
      <c r="D126" s="388">
        <f t="shared" si="25"/>
        <v>29.796232456809346</v>
      </c>
      <c r="E126" s="380">
        <f t="shared" si="47"/>
        <v>31.002596012267624</v>
      </c>
      <c r="F126" s="380">
        <f t="shared" si="26"/>
        <v>31.002801910964862</v>
      </c>
      <c r="G126" s="110">
        <f t="shared" si="48"/>
        <v>0.52045498892516617</v>
      </c>
      <c r="H126" s="409" t="b">
        <f>Wh_hp&gt;='2030'!Maxi_hp</f>
        <v>0</v>
      </c>
      <c r="I126" s="385">
        <f>IF(H126,Wh_hp,'2030'!Maxi_hp)</f>
        <v>31.003236070890104</v>
      </c>
      <c r="J126" s="85">
        <f>IF(H126,An,'2030'!An_max)</f>
        <v>2029</v>
      </c>
      <c r="K126" s="193">
        <f t="shared" si="27"/>
        <v>47960</v>
      </c>
      <c r="L126" s="143">
        <f>IF(t&lt;Tvie,1-EXP((T0-t)*PertePVj)+'2030'!Pspv,1-EXP((T0-t)*PertePVj)+Pspv)</f>
        <v>4.5973332939386768E-2</v>
      </c>
      <c r="M126" s="836"/>
      <c r="N126" s="836"/>
      <c r="O126" s="48">
        <f>IF(t&lt;Tnet,'2030'!Resal+('2030'!Salim-'2030'!Resal)*(1-EXP(('2030'!Tnet-t)/('2030'!Tau_j))),Resal+(Salim-Resal)*(1-EXP((Tnet-t)/(Tau_j))))*Salcycl</f>
        <v>3.8911694845842164E-2</v>
      </c>
      <c r="P126" s="165">
        <f>(INDEX(Models!$BJ126:$BT126,,T126)*(1-R126)+INDEX(Models!$BJ126:$BT126,,T126+1)*R126-ERP_i)*Q126*Ramure*Pc/MaxiM</f>
        <v>2.1087055969328578E-5</v>
      </c>
      <c r="Q126" s="301">
        <f t="shared" si="28"/>
        <v>0.5</v>
      </c>
      <c r="R126" s="173">
        <f t="shared" si="29"/>
        <v>2.7119929806083132E-2</v>
      </c>
      <c r="S126" s="802">
        <f t="shared" si="30"/>
        <v>1</v>
      </c>
      <c r="T126" s="172">
        <f t="shared" si="31"/>
        <v>7</v>
      </c>
      <c r="U126" s="247">
        <f t="shared" si="32"/>
        <v>1.0271199298060831</v>
      </c>
      <c r="V126" s="378">
        <f t="shared" si="33"/>
        <v>54.617575588380319</v>
      </c>
      <c r="W126" s="397">
        <f t="shared" si="34"/>
        <v>28.426400341733089</v>
      </c>
      <c r="X126" s="153">
        <f t="shared" si="35"/>
        <v>47960</v>
      </c>
      <c r="Y126" s="380">
        <f t="shared" si="36"/>
        <v>27.824713492027847</v>
      </c>
      <c r="Z126" s="380">
        <f t="shared" si="37"/>
        <v>29.165551082294883</v>
      </c>
      <c r="AA126" s="381">
        <f t="shared" si="38"/>
        <v>31.001212538097302</v>
      </c>
      <c r="AB126" s="193">
        <f t="shared" si="39"/>
        <v>47960</v>
      </c>
      <c r="AC126" s="119">
        <f>IF(OR(t&lt;Tnet,NoTnet),'2030'!Resal_s+('2030'!Salim-'2030'!Resal_s)*(1-EXP(('2030'!Tnet_s-t)/'2030'!Tau_j)),Resal_s+(Salim-Resal_s)*(1-EXP((Tnet_s-t)/Tau_j)))*Salcycl</f>
        <v>5.9212569622771487E-2</v>
      </c>
      <c r="AD126" s="227">
        <f>(INDEX(Models!$BJ126:$BT126,,AH126)*(1-AF126)+INDEX(Models!$BJ126:$BT126,,AH126+1)*AF126-ERP_i)*AE126*Ramure*Pc/MaxiM</f>
        <v>1.6277516596265246E-4</v>
      </c>
      <c r="AE126" s="301">
        <f t="shared" si="40"/>
        <v>0.5</v>
      </c>
      <c r="AF126" s="173">
        <f t="shared" si="41"/>
        <v>0.55210749618006005</v>
      </c>
      <c r="AG126" s="802">
        <f t="shared" si="49"/>
        <v>4</v>
      </c>
      <c r="AH126" s="172">
        <f t="shared" si="42"/>
        <v>10</v>
      </c>
      <c r="AI126" s="221">
        <f t="shared" si="43"/>
        <v>4.5521074961800601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47961</v>
      </c>
      <c r="B127" s="406">
        <f>'2030'!Wh/'2030'!Env_an*'2031'!Env_an</f>
        <v>9.3326205039521835</v>
      </c>
      <c r="C127" s="832"/>
      <c r="D127" s="388">
        <f t="shared" si="25"/>
        <v>9.7824815423588678</v>
      </c>
      <c r="E127" s="380">
        <f t="shared" si="47"/>
        <v>10.1791157181269</v>
      </c>
      <c r="F127" s="380">
        <f t="shared" si="26"/>
        <v>10.1791157181269</v>
      </c>
      <c r="G127" s="110">
        <f t="shared" si="48"/>
        <v>0.17014076431817785</v>
      </c>
      <c r="H127" s="409" t="b">
        <f>Wh_hp&gt;='2030'!Maxi_hp</f>
        <v>0</v>
      </c>
      <c r="I127" s="385">
        <f>IF(H127,Wh_hp,'2030'!Maxi_hp)</f>
        <v>10.179314095727591</v>
      </c>
      <c r="J127" s="85">
        <f>IF(H127,An,'2030'!An_max)</f>
        <v>2029</v>
      </c>
      <c r="K127" s="193">
        <f t="shared" si="27"/>
        <v>47961</v>
      </c>
      <c r="L127" s="143">
        <f>IF(t&lt;Tvie,1-EXP((T0-t)*PertePVj)+'2030'!Pspv,1-EXP((T0-t)*PertePVj)+Pspv)</f>
        <v>4.5986392763303741E-2</v>
      </c>
      <c r="M127" s="836"/>
      <c r="N127" s="836"/>
      <c r="O127" s="48">
        <f>IF(t&lt;Tnet,'2030'!Resal+('2030'!Salim-'2030'!Resal)*(1-EXP(('2030'!Tnet-t)/('2030'!Tau_j))),Resal+(Salim-Resal)*(1-EXP((Tnet-t)/(Tau_j))))*Salcycl</f>
        <v>3.8965484502912887E-2</v>
      </c>
      <c r="P127" s="165">
        <f>(INDEX(Models!$BJ127:$BT127,,T127)*(1-R127)+INDEX(Models!$BJ127:$BT127,,T127+1)*R127-ERP_i)*Q127*Ramure*Pc/MaxiM</f>
        <v>2.0146446356523659E-5</v>
      </c>
      <c r="Q127" s="301">
        <f t="shared" si="28"/>
        <v>0.5</v>
      </c>
      <c r="R127" s="173">
        <f t="shared" si="29"/>
        <v>2.9292398810116582E-2</v>
      </c>
      <c r="S127" s="802">
        <f t="shared" si="30"/>
        <v>1</v>
      </c>
      <c r="T127" s="172">
        <f t="shared" si="31"/>
        <v>7</v>
      </c>
      <c r="U127" s="247">
        <f t="shared" si="32"/>
        <v>1.0292923988101166</v>
      </c>
      <c r="V127" s="378">
        <f t="shared" si="33"/>
        <v>54.851243452517849</v>
      </c>
      <c r="W127" s="397">
        <f t="shared" si="34"/>
        <v>9.3326205039521835</v>
      </c>
      <c r="X127" s="153">
        <f t="shared" si="35"/>
        <v>47961</v>
      </c>
      <c r="Y127" s="380">
        <f t="shared" si="36"/>
        <v>9.1355787578701797</v>
      </c>
      <c r="Z127" s="380">
        <f t="shared" si="37"/>
        <v>9.5759417775302129</v>
      </c>
      <c r="AA127" s="381">
        <f t="shared" si="38"/>
        <v>10.1791157181269</v>
      </c>
      <c r="AB127" s="193">
        <f t="shared" si="39"/>
        <v>47961</v>
      </c>
      <c r="AC127" s="119">
        <f>IF(OR(t&lt;Tnet,NoTnet),'2030'!Resal_s+('2030'!Salim-'2030'!Resal_s)*(1-EXP(('2030'!Tnet_s-t)/'2030'!Tau_j)),Resal_s+(Salim-Resal_s)*(1-EXP((Tnet_s-t)/Tau_j)))*Salcycl</f>
        <v>5.9256025503527758E-2</v>
      </c>
      <c r="AD127" s="227">
        <f>(INDEX(Models!$BJ127:$BT127,,AH127)*(1-AF127)+INDEX(Models!$BJ127:$BT127,,AH127+1)*AF127-ERP_i)*AE127*Ramure*Pc/MaxiM</f>
        <v>1.5103744185609427E-4</v>
      </c>
      <c r="AE127" s="301">
        <f t="shared" si="40"/>
        <v>0.5</v>
      </c>
      <c r="AF127" s="173">
        <f t="shared" si="41"/>
        <v>0.55427996518409373</v>
      </c>
      <c r="AG127" s="802">
        <f t="shared" si="49"/>
        <v>4</v>
      </c>
      <c r="AH127" s="172">
        <f t="shared" si="42"/>
        <v>10</v>
      </c>
      <c r="AI127" s="221">
        <f t="shared" si="43"/>
        <v>4.5542799651840937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47962</v>
      </c>
      <c r="B128" s="406">
        <f>'2030'!Wh/'2030'!Env_an*'2031'!Env_an</f>
        <v>33.463075610349229</v>
      </c>
      <c r="C128" s="832"/>
      <c r="D128" s="388">
        <f t="shared" si="25"/>
        <v>35.076579038480801</v>
      </c>
      <c r="E128" s="380">
        <f t="shared" si="47"/>
        <v>36.500835027153229</v>
      </c>
      <c r="F128" s="380">
        <f t="shared" si="26"/>
        <v>36.501144858203567</v>
      </c>
      <c r="G128" s="110">
        <f t="shared" si="48"/>
        <v>0.60755319843093603</v>
      </c>
      <c r="H128" s="409" t="b">
        <f>Wh_hp&gt;='2030'!Maxi_hp</f>
        <v>0</v>
      </c>
      <c r="I128" s="385">
        <f>IF(H128,Wh_hp,'2030'!Maxi_hp)</f>
        <v>36.501526446022538</v>
      </c>
      <c r="J128" s="85">
        <f>IF(H128,An,'2030'!An_max)</f>
        <v>2029</v>
      </c>
      <c r="K128" s="193">
        <f t="shared" si="27"/>
        <v>47962</v>
      </c>
      <c r="L128" s="143">
        <f>IF(t&lt;Tvie,1-EXP((T0-t)*PertePVj)+'2030'!Pspv,1-EXP((T0-t)*PertePVj)+Pspv)</f>
        <v>4.5999452408442609E-2</v>
      </c>
      <c r="M128" s="836"/>
      <c r="N128" s="836"/>
      <c r="O128" s="48">
        <f>IF(t&lt;Tnet,'2030'!Resal+('2030'!Salim-'2030'!Resal)*(1-EXP(('2030'!Tnet-t)/('2030'!Tau_j))),Resal+(Salim-Resal)*(1-EXP((Tnet-t)/(Tau_j))))*Salcycl</f>
        <v>3.90198193442126E-2</v>
      </c>
      <c r="P128" s="165">
        <f>(INDEX(Models!$BJ128:$BT128,,T128)*(1-R128)+INDEX(Models!$BJ128:$BT128,,T128+1)*R128-ERP_i)*Q128*Ramure*Pc/MaxiM</f>
        <v>1.9319102780557173E-5</v>
      </c>
      <c r="Q128" s="301">
        <f t="shared" si="28"/>
        <v>0.5</v>
      </c>
      <c r="R128" s="173">
        <f t="shared" si="29"/>
        <v>3.1533398196698093E-2</v>
      </c>
      <c r="S128" s="802">
        <f t="shared" si="30"/>
        <v>1</v>
      </c>
      <c r="T128" s="172">
        <f t="shared" si="31"/>
        <v>7</v>
      </c>
      <c r="U128" s="247">
        <f t="shared" si="32"/>
        <v>1.0315333981966981</v>
      </c>
      <c r="V128" s="378">
        <f t="shared" si="33"/>
        <v>55.077832295572016</v>
      </c>
      <c r="W128" s="397">
        <f t="shared" si="34"/>
        <v>33.463075610349229</v>
      </c>
      <c r="X128" s="153">
        <f t="shared" si="35"/>
        <v>47962</v>
      </c>
      <c r="Y128" s="380">
        <f t="shared" si="36"/>
        <v>32.755131264889741</v>
      </c>
      <c r="Z128" s="380">
        <f t="shared" si="37"/>
        <v>34.334499437743943</v>
      </c>
      <c r="AA128" s="381">
        <f t="shared" si="38"/>
        <v>36.498895393729562</v>
      </c>
      <c r="AB128" s="193">
        <f t="shared" si="39"/>
        <v>47962</v>
      </c>
      <c r="AC128" s="119">
        <f>IF(OR(t&lt;Tnet,NoTnet),'2030'!Resal_s+('2030'!Salim-'2030'!Resal_s)*(1-EXP(('2030'!Tnet_s-t)/'2030'!Tau_j)),Resal_s+(Salim-Resal_s)*(1-EXP((Tnet_s-t)/Tau_j)))*Salcycl</f>
        <v>5.9300313958472649E-2</v>
      </c>
      <c r="AD128" s="227">
        <f>(INDEX(Models!$BJ128:$BT128,,AH128)*(1-AF128)+INDEX(Models!$BJ128:$BT128,,AH128+1)*AF128-ERP_i)*AE128*Ramure*Pc/MaxiM</f>
        <v>1.4026236339844861E-4</v>
      </c>
      <c r="AE128" s="301">
        <f t="shared" si="40"/>
        <v>0.5</v>
      </c>
      <c r="AF128" s="173">
        <f t="shared" si="41"/>
        <v>0.55652096457067479</v>
      </c>
      <c r="AG128" s="802">
        <f t="shared" si="49"/>
        <v>4</v>
      </c>
      <c r="AH128" s="172">
        <f t="shared" si="42"/>
        <v>10</v>
      </c>
      <c r="AI128" s="221">
        <f t="shared" si="43"/>
        <v>4.5565209645706748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47963</v>
      </c>
      <c r="B129" s="406">
        <f>'2030'!Wh/'2030'!Env_an*'2031'!Env_an</f>
        <v>44.16214247836492</v>
      </c>
      <c r="C129" s="832"/>
      <c r="D129" s="388">
        <f t="shared" si="25"/>
        <v>46.292161090240022</v>
      </c>
      <c r="E129" s="380">
        <f t="shared" si="47"/>
        <v>48.174567933260356</v>
      </c>
      <c r="F129" s="380">
        <f t="shared" si="26"/>
        <v>48.175202555246379</v>
      </c>
      <c r="G129" s="110">
        <f t="shared" si="48"/>
        <v>0.7986232298645165</v>
      </c>
      <c r="H129" s="409" t="b">
        <f>Wh_hp&gt;='2030'!Maxi_hp</f>
        <v>0</v>
      </c>
      <c r="I129" s="385">
        <f>IF(H129,Wh_hp,'2030'!Maxi_hp)</f>
        <v>48.175449373434041</v>
      </c>
      <c r="J129" s="85">
        <f>IF(H129,An,'2030'!An_max)</f>
        <v>2029</v>
      </c>
      <c r="K129" s="193">
        <f t="shared" si="27"/>
        <v>47963</v>
      </c>
      <c r="L129" s="143">
        <f>IF(t&lt;Tvie,1-EXP((T0-t)*PertePVj)+'2030'!Pspv,1-EXP((T0-t)*PertePVj)+Pspv)</f>
        <v>4.6012511874806039E-2</v>
      </c>
      <c r="M129" s="836"/>
      <c r="N129" s="836"/>
      <c r="O129" s="48">
        <f>IF(t&lt;Tnet,'2030'!Resal+('2030'!Salim-'2030'!Resal)*(1-EXP(('2030'!Tnet-t)/('2030'!Tau_j))),Resal+(Salim-Resal)*(1-EXP((Tnet-t)/(Tau_j))))*Salcycl</f>
        <v>3.9074701108438921E-2</v>
      </c>
      <c r="P129" s="165">
        <f>(INDEX(Models!$BJ129:$BT129,,T129)*(1-R129)+INDEX(Models!$BJ129:$BT129,,T129+1)*R129-ERP_i)*Q129*Ramure*Pc/MaxiM</f>
        <v>1.8493256627628403E-5</v>
      </c>
      <c r="Q129" s="301">
        <f t="shared" si="28"/>
        <v>0.5</v>
      </c>
      <c r="R129" s="173">
        <f t="shared" si="29"/>
        <v>3.3844239701663836E-2</v>
      </c>
      <c r="S129" s="802">
        <f t="shared" si="30"/>
        <v>1</v>
      </c>
      <c r="T129" s="172">
        <f t="shared" si="31"/>
        <v>7</v>
      </c>
      <c r="U129" s="247">
        <f t="shared" si="32"/>
        <v>1.0338442397016638</v>
      </c>
      <c r="V129" s="378">
        <f t="shared" si="33"/>
        <v>55.297549431459423</v>
      </c>
      <c r="W129" s="397">
        <f t="shared" si="34"/>
        <v>44.16214247836492</v>
      </c>
      <c r="X129" s="153">
        <f t="shared" si="35"/>
        <v>47963</v>
      </c>
      <c r="Y129" s="380">
        <f t="shared" si="36"/>
        <v>43.227098153827207</v>
      </c>
      <c r="Z129" s="380">
        <f t="shared" si="37"/>
        <v>45.312017916271053</v>
      </c>
      <c r="AA129" s="381">
        <f t="shared" si="38"/>
        <v>48.170730947997519</v>
      </c>
      <c r="AB129" s="193">
        <f t="shared" si="39"/>
        <v>47963</v>
      </c>
      <c r="AC129" s="119">
        <f>IF(OR(t&lt;Tnet,NoTnet),'2030'!Resal_s+('2030'!Salim-'2030'!Resal_s)*(1-EXP(('2030'!Tnet_s-t)/'2030'!Tau_j)),Resal_s+(Salim-Resal_s)*(1-EXP((Tnet_s-t)/Tau_j)))*Salcycl</f>
        <v>5.9345436024472502E-2</v>
      </c>
      <c r="AD129" s="227">
        <f>(INDEX(Models!$BJ129:$BT129,,AH129)*(1-AF129)+INDEX(Models!$BJ129:$BT129,,AH129+1)*AF129-ERP_i)*AE129*Ramure*Pc/MaxiM</f>
        <v>1.3030525606076593E-4</v>
      </c>
      <c r="AE129" s="301">
        <f t="shared" si="40"/>
        <v>0.5</v>
      </c>
      <c r="AF129" s="173">
        <f t="shared" si="41"/>
        <v>0.55883180607564054</v>
      </c>
      <c r="AG129" s="802">
        <f t="shared" si="49"/>
        <v>4</v>
      </c>
      <c r="AH129" s="172">
        <f t="shared" si="42"/>
        <v>10</v>
      </c>
      <c r="AI129" s="221">
        <f t="shared" si="43"/>
        <v>4.5588318060756405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47964</v>
      </c>
      <c r="B130" s="406">
        <f>'2030'!Wh/'2030'!Env_an*'2031'!Env_an</f>
        <v>55.140006122587174</v>
      </c>
      <c r="C130" s="832"/>
      <c r="D130" s="388">
        <f t="shared" si="25"/>
        <v>57.800297844224211</v>
      </c>
      <c r="E130" s="380">
        <f t="shared" si="47"/>
        <v>60.154137083680403</v>
      </c>
      <c r="F130" s="380">
        <f t="shared" si="26"/>
        <v>60.155189842304992</v>
      </c>
      <c r="G130" s="110">
        <f t="shared" si="48"/>
        <v>0.99332381077274101</v>
      </c>
      <c r="H130" s="409" t="b">
        <f>Wh_hp&gt;='2030'!Maxi_hp</f>
        <v>0</v>
      </c>
      <c r="I130" s="385">
        <f>IF(H130,Wh_hp,'2030'!Maxi_hp)</f>
        <v>60.155199581708509</v>
      </c>
      <c r="J130" s="85">
        <f>IF(H130,An,'2030'!An_max)</f>
        <v>2029</v>
      </c>
      <c r="K130" s="193">
        <f t="shared" si="27"/>
        <v>47964</v>
      </c>
      <c r="L130" s="143">
        <f>IF(t&lt;Tvie,1-EXP((T0-t)*PertePVj)+'2030'!Pspv,1-EXP((T0-t)*PertePVj)+Pspv)</f>
        <v>4.602557116239625E-2</v>
      </c>
      <c r="M130" s="836"/>
      <c r="N130" s="836"/>
      <c r="O130" s="48">
        <f>IF(t&lt;Tnet,'2030'!Resal+('2030'!Salim-'2030'!Resal)*(1-EXP(('2030'!Tnet-t)/('2030'!Tau_j))),Resal+(Salim-Resal)*(1-EXP((Tnet-t)/(Tau_j))))*Salcycl</f>
        <v>3.9130130587390295E-2</v>
      </c>
      <c r="P130" s="165">
        <f>(INDEX(Models!$BJ130:$BT130,,T130)*(1-R130)+INDEX(Models!$BJ130:$BT130,,T130+1)*R130-ERP_i)*Q130*Ramure*Pc/MaxiM</f>
        <v>1.7669226015951095E-5</v>
      </c>
      <c r="Q130" s="301">
        <f t="shared" si="28"/>
        <v>0.5</v>
      </c>
      <c r="R130" s="173">
        <f t="shared" si="29"/>
        <v>3.6226196479522743E-2</v>
      </c>
      <c r="S130" s="802">
        <f t="shared" si="30"/>
        <v>1</v>
      </c>
      <c r="T130" s="172">
        <f t="shared" si="31"/>
        <v>7</v>
      </c>
      <c r="U130" s="247">
        <f t="shared" si="32"/>
        <v>1.0362261964795227</v>
      </c>
      <c r="V130" s="378">
        <f t="shared" si="33"/>
        <v>55.510596074043129</v>
      </c>
      <c r="W130" s="397">
        <f t="shared" si="34"/>
        <v>55.140006122587174</v>
      </c>
      <c r="X130" s="153">
        <f t="shared" si="35"/>
        <v>47964</v>
      </c>
      <c r="Y130" s="380">
        <f t="shared" si="36"/>
        <v>53.971770445556821</v>
      </c>
      <c r="Z130" s="380">
        <f t="shared" si="37"/>
        <v>56.575699320704224</v>
      </c>
      <c r="AA130" s="381">
        <f t="shared" si="38"/>
        <v>60.147971002636787</v>
      </c>
      <c r="AB130" s="193">
        <f t="shared" si="39"/>
        <v>47964</v>
      </c>
      <c r="AC130" s="119">
        <f>IF(OR(t&lt;Tnet,NoTnet),'2030'!Resal_s+('2030'!Salim-'2030'!Resal_s)*(1-EXP(('2030'!Tnet_s-t)/'2030'!Tau_j)),Resal_s+(Salim-Resal_s)*(1-EXP((Tnet_s-t)/Tau_j)))*Salcycl</f>
        <v>5.9391391303556335E-2</v>
      </c>
      <c r="AD130" s="227">
        <f>(INDEX(Models!$BJ130:$BT130,,AH130)*(1-AF130)+INDEX(Models!$BJ130:$BT130,,AH130+1)*AF130-ERP_i)*AE130*Ramure*Pc/MaxiM</f>
        <v>1.2115912108540225E-4</v>
      </c>
      <c r="AE130" s="301">
        <f t="shared" si="40"/>
        <v>0.5</v>
      </c>
      <c r="AF130" s="173">
        <f t="shared" si="41"/>
        <v>0.56121376285349989</v>
      </c>
      <c r="AG130" s="802">
        <f t="shared" si="49"/>
        <v>4</v>
      </c>
      <c r="AH130" s="172">
        <f t="shared" si="42"/>
        <v>10</v>
      </c>
      <c r="AI130" s="221">
        <f t="shared" si="43"/>
        <v>4.5612137628534999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47965</v>
      </c>
      <c r="B131" s="406">
        <f>'2030'!Wh/'2030'!Env_an*'2031'!Env_an</f>
        <v>43.828984170898885</v>
      </c>
      <c r="C131" s="832"/>
      <c r="D131" s="388">
        <f t="shared" si="25"/>
        <v>45.944191831750665</v>
      </c>
      <c r="E131" s="380">
        <f t="shared" si="47"/>
        <v>47.817992843882557</v>
      </c>
      <c r="F131" s="380">
        <f t="shared" si="26"/>
        <v>47.818552903542738</v>
      </c>
      <c r="G131" s="110">
        <f t="shared" si="48"/>
        <v>0.78662926302483982</v>
      </c>
      <c r="H131" s="409" t="b">
        <f>Wh_hp&gt;='2030'!Maxi_hp</f>
        <v>0</v>
      </c>
      <c r="I131" s="385">
        <f>IF(H131,Wh_hp,'2030'!Maxi_hp)</f>
        <v>47.818788266202148</v>
      </c>
      <c r="J131" s="85">
        <f>IF(H131,An,'2030'!An_max)</f>
        <v>2029</v>
      </c>
      <c r="K131" s="193">
        <f t="shared" si="27"/>
        <v>47965</v>
      </c>
      <c r="L131" s="143">
        <f>IF(t&lt;Tvie,1-EXP((T0-t)*PertePVj)+'2030'!Pspv,1-EXP((T0-t)*PertePVj)+Pspv)</f>
        <v>4.6038630271215797E-2</v>
      </c>
      <c r="M131" s="836"/>
      <c r="N131" s="836"/>
      <c r="O131" s="48">
        <f>IF(t&lt;Tnet,'2030'!Resal+('2030'!Salim-'2030'!Resal)*(1-EXP(('2030'!Tnet-t)/('2030'!Tau_j))),Resal+(Salim-Resal)*(1-EXP((Tnet-t)/(Tau_j))))*Salcycl</f>
        <v>3.9186107586103233E-2</v>
      </c>
      <c r="P131" s="165">
        <f>(INDEX(Models!$BJ131:$BT131,,T131)*(1-R131)+INDEX(Models!$BJ131:$BT131,,T131+1)*R131-ERP_i)*Q131*Ramure*Pc/MaxiM</f>
        <v>1.6847446148489067E-5</v>
      </c>
      <c r="Q131" s="301">
        <f t="shared" si="28"/>
        <v>0.5</v>
      </c>
      <c r="R131" s="173">
        <f t="shared" si="29"/>
        <v>3.8680497466657693E-2</v>
      </c>
      <c r="S131" s="802">
        <f t="shared" si="30"/>
        <v>1</v>
      </c>
      <c r="T131" s="172">
        <f t="shared" si="31"/>
        <v>7</v>
      </c>
      <c r="U131" s="247">
        <f t="shared" si="32"/>
        <v>1.0386804974666577</v>
      </c>
      <c r="V131" s="378">
        <f t="shared" si="33"/>
        <v>55.717173457768752</v>
      </c>
      <c r="W131" s="397">
        <f t="shared" si="34"/>
        <v>43.828984170898885</v>
      </c>
      <c r="X131" s="153">
        <f t="shared" si="35"/>
        <v>47965</v>
      </c>
      <c r="Y131" s="380">
        <f t="shared" si="36"/>
        <v>42.902292653361279</v>
      </c>
      <c r="Z131" s="380">
        <f t="shared" si="37"/>
        <v>44.972777740002833</v>
      </c>
      <c r="AA131" s="381">
        <f t="shared" si="38"/>
        <v>47.814802476171948</v>
      </c>
      <c r="AB131" s="193">
        <f t="shared" si="39"/>
        <v>47965</v>
      </c>
      <c r="AC131" s="119">
        <f>IF(OR(t&lt;Tnet,NoTnet),'2030'!Resal_s+('2030'!Salim-'2030'!Resal_s)*(1-EXP(('2030'!Tnet_s-t)/'2030'!Tau_j)),Resal_s+(Salim-Resal_s)*(1-EXP((Tnet_s-t)/Tau_j)))*Salcycl</f>
        <v>5.9438177907048952E-2</v>
      </c>
      <c r="AD131" s="227">
        <f>(INDEX(Models!$BJ131:$BT131,,AH131)*(1-AF131)+INDEX(Models!$BJ131:$BT131,,AH131+1)*AF131-ERP_i)*AE131*Ramure*Pc/MaxiM</f>
        <v>1.1281855783469073E-4</v>
      </c>
      <c r="AE131" s="301">
        <f t="shared" si="40"/>
        <v>0.5</v>
      </c>
      <c r="AF131" s="173">
        <f t="shared" si="41"/>
        <v>0.56366806384063484</v>
      </c>
      <c r="AG131" s="802">
        <f t="shared" si="49"/>
        <v>4</v>
      </c>
      <c r="AH131" s="172">
        <f t="shared" si="42"/>
        <v>10</v>
      </c>
      <c r="AI131" s="221">
        <f t="shared" si="43"/>
        <v>4.5636680638406348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47966</v>
      </c>
      <c r="B132" s="406">
        <f>'2030'!Wh/'2030'!Env_an*'2031'!Env_an</f>
        <v>23.366448356576281</v>
      </c>
      <c r="C132" s="832"/>
      <c r="D132" s="388">
        <f t="shared" si="25"/>
        <v>24.494459597094682</v>
      </c>
      <c r="E132" s="380">
        <f t="shared" si="47"/>
        <v>25.494948448433266</v>
      </c>
      <c r="F132" s="380">
        <f t="shared" si="26"/>
        <v>25.495017260819466</v>
      </c>
      <c r="G132" s="110">
        <f t="shared" si="48"/>
        <v>0.41786818208218662</v>
      </c>
      <c r="H132" s="409" t="b">
        <f>Wh_hp&gt;='2030'!Maxi_hp</f>
        <v>0</v>
      </c>
      <c r="I132" s="385">
        <f>IF(H132,Wh_hp,'2030'!Maxi_hp)</f>
        <v>25.495342180579392</v>
      </c>
      <c r="J132" s="85">
        <f>IF(H132,An,'2030'!An_max)</f>
        <v>2029</v>
      </c>
      <c r="K132" s="193">
        <f t="shared" si="27"/>
        <v>47966</v>
      </c>
      <c r="L132" s="143">
        <f>IF(t&lt;Tvie,1-EXP((T0-t)*PertePVj)+'2030'!Pspv,1-EXP((T0-t)*PertePVj)+Pspv)</f>
        <v>4.6051689201267121E-2</v>
      </c>
      <c r="M132" s="836"/>
      <c r="N132" s="836"/>
      <c r="O132" s="48">
        <f>IF(t&lt;Tnet,'2030'!Resal+('2030'!Salim-'2030'!Resal)*(1-EXP(('2030'!Tnet-t)/('2030'!Tau_j))),Resal+(Salim-Resal)*(1-EXP((Tnet-t)/(Tau_j))))*Salcycl</f>
        <v>3.9242630882827527E-2</v>
      </c>
      <c r="P132" s="165">
        <f>(INDEX(Models!$BJ132:$BT132,,T132)*(1-R132)+INDEX(Models!$BJ132:$BT132,,T132+1)*R132-ERP_i)*Q132*Ramure*Pc/MaxiM</f>
        <v>1.6028476312365885E-5</v>
      </c>
      <c r="Q132" s="301">
        <f t="shared" si="28"/>
        <v>0.5</v>
      </c>
      <c r="R132" s="173">
        <f t="shared" si="29"/>
        <v>4.1208321509535129E-2</v>
      </c>
      <c r="S132" s="802">
        <f t="shared" si="30"/>
        <v>1</v>
      </c>
      <c r="T132" s="172">
        <f t="shared" si="31"/>
        <v>7</v>
      </c>
      <c r="U132" s="247">
        <f t="shared" si="32"/>
        <v>1.0412083215095351</v>
      </c>
      <c r="V132" s="378">
        <f t="shared" si="33"/>
        <v>55.917482824388095</v>
      </c>
      <c r="W132" s="397">
        <f t="shared" si="34"/>
        <v>23.366448356576281</v>
      </c>
      <c r="X132" s="153">
        <f t="shared" si="35"/>
        <v>47966</v>
      </c>
      <c r="Y132" s="380">
        <f t="shared" si="36"/>
        <v>22.873773419954521</v>
      </c>
      <c r="Z132" s="380">
        <f t="shared" si="37"/>
        <v>23.978000863382736</v>
      </c>
      <c r="AA132" s="381">
        <f t="shared" si="38"/>
        <v>25.49456528100815</v>
      </c>
      <c r="AB132" s="193">
        <f t="shared" si="39"/>
        <v>47966</v>
      </c>
      <c r="AC132" s="119">
        <f>IF(OR(t&lt;Tnet,NoTnet),'2030'!Resal_s+('2030'!Salim-'2030'!Resal_s)*(1-EXP(('2030'!Tnet_s-t)/'2030'!Tau_j)),Resal_s+(Salim-Resal_s)*(1-EXP((Tnet_s-t)/Tau_j)))*Salcycl</f>
        <v>5.9485792399651571E-2</v>
      </c>
      <c r="AD132" s="227">
        <f>(INDEX(Models!$BJ132:$BT132,,AH132)*(1-AF132)+INDEX(Models!$BJ132:$BT132,,AH132+1)*AF132-ERP_i)*AE132*Ramure*Pc/MaxiM</f>
        <v>1.0527970470779476E-4</v>
      </c>
      <c r="AE132" s="301">
        <f t="shared" si="40"/>
        <v>0.5</v>
      </c>
      <c r="AF132" s="173">
        <f t="shared" si="41"/>
        <v>0.56619588788351205</v>
      </c>
      <c r="AG132" s="802">
        <f t="shared" si="49"/>
        <v>4</v>
      </c>
      <c r="AH132" s="172">
        <f t="shared" si="42"/>
        <v>10</v>
      </c>
      <c r="AI132" s="221">
        <f t="shared" si="43"/>
        <v>4.5661958878835121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47967</v>
      </c>
      <c r="B133" s="406">
        <f>'2030'!Wh/'2030'!Env_an*'2031'!Env_an</f>
        <v>42.349963119436957</v>
      </c>
      <c r="C133" s="832"/>
      <c r="D133" s="388">
        <f t="shared" si="25"/>
        <v>44.395007972019606</v>
      </c>
      <c r="E133" s="380">
        <f t="shared" si="47"/>
        <v>46.211089856366506</v>
      </c>
      <c r="F133" s="380">
        <f t="shared" si="26"/>
        <v>46.211546559597835</v>
      </c>
      <c r="G133" s="110">
        <f t="shared" si="48"/>
        <v>0.75473953170572872</v>
      </c>
      <c r="H133" s="409" t="b">
        <f>Wh_hp&gt;='2030'!Maxi_hp</f>
        <v>0</v>
      </c>
      <c r="I133" s="385">
        <f>IF(H133,Wh_hp,'2030'!Maxi_hp)</f>
        <v>46.211781472249143</v>
      </c>
      <c r="J133" s="85">
        <f>IF(H133,An,'2030'!An_max)</f>
        <v>2029</v>
      </c>
      <c r="K133" s="193">
        <f t="shared" si="27"/>
        <v>47967</v>
      </c>
      <c r="L133" s="143">
        <f>IF(t&lt;Tvie,1-EXP((T0-t)*PertePVj)+'2030'!Pspv,1-EXP((T0-t)*PertePVj)+Pspv)</f>
        <v>4.6064747952552665E-2</v>
      </c>
      <c r="M133" s="836"/>
      <c r="N133" s="836"/>
      <c r="O133" s="48">
        <f>IF(t&lt;Tnet,'2030'!Resal+('2030'!Salim-'2030'!Resal)*(1-EXP(('2030'!Tnet-t)/('2030'!Tau_j))),Resal+(Salim-Resal)*(1-EXP((Tnet-t)/(Tau_j))))*Salcycl</f>
        <v>3.9299698189150085E-2</v>
      </c>
      <c r="P133" s="165">
        <f>(INDEX(Models!$BJ133:$BT133,,T133)*(1-R133)+INDEX(Models!$BJ133:$BT133,,T133+1)*R133-ERP_i)*Q133*Ramure*Pc/MaxiM</f>
        <v>1.5213007133017458E-5</v>
      </c>
      <c r="Q133" s="301">
        <f t="shared" si="28"/>
        <v>0.5</v>
      </c>
      <c r="R133" s="173">
        <f t="shared" si="29"/>
        <v>4.3810791270667115E-2</v>
      </c>
      <c r="S133" s="802">
        <f t="shared" si="30"/>
        <v>1</v>
      </c>
      <c r="T133" s="172">
        <f t="shared" si="31"/>
        <v>7</v>
      </c>
      <c r="U133" s="247">
        <f t="shared" si="32"/>
        <v>1.0438107912706671</v>
      </c>
      <c r="V133" s="378">
        <f t="shared" si="33"/>
        <v>56.111725446345787</v>
      </c>
      <c r="W133" s="397">
        <f t="shared" si="34"/>
        <v>42.349963119436957</v>
      </c>
      <c r="X133" s="153">
        <f t="shared" si="35"/>
        <v>47967</v>
      </c>
      <c r="Y133" s="380">
        <f t="shared" si="36"/>
        <v>41.455732424515269</v>
      </c>
      <c r="Z133" s="380">
        <f t="shared" si="37"/>
        <v>43.457595613054586</v>
      </c>
      <c r="AA133" s="381">
        <f t="shared" si="38"/>
        <v>46.208588326635642</v>
      </c>
      <c r="AB133" s="193">
        <f t="shared" si="39"/>
        <v>47967</v>
      </c>
      <c r="AC133" s="119">
        <f>IF(OR(t&lt;Tnet,NoTnet),'2030'!Resal_s+('2030'!Salim-'2030'!Resal_s)*(1-EXP(('2030'!Tnet_s-t)/'2030'!Tau_j)),Resal_s+(Salim-Resal_s)*(1-EXP((Tnet_s-t)/Tau_j)))*Salcycl</f>
        <v>5.9534229743939765E-2</v>
      </c>
      <c r="AD133" s="227">
        <f>(INDEX(Models!$BJ133:$BT133,,AH133)*(1-AF133)+INDEX(Models!$BJ133:$BT133,,AH133+1)*AF133-ERP_i)*AE133*Ramure*Pc/MaxiM</f>
        <v>9.8540181167151175E-5</v>
      </c>
      <c r="AE133" s="301">
        <f t="shared" si="40"/>
        <v>0.5</v>
      </c>
      <c r="AF133" s="173">
        <f t="shared" si="41"/>
        <v>0.56879835764464381</v>
      </c>
      <c r="AG133" s="802">
        <f t="shared" si="49"/>
        <v>4</v>
      </c>
      <c r="AH133" s="172">
        <f t="shared" si="42"/>
        <v>10</v>
      </c>
      <c r="AI133" s="221">
        <f t="shared" si="43"/>
        <v>4.5687983576446438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47968</v>
      </c>
      <c r="B134" s="406">
        <f>'2030'!Wh/'2030'!Env_an*'2031'!Env_an</f>
        <v>43.481416773952922</v>
      </c>
      <c r="C134" s="832"/>
      <c r="D134" s="388">
        <f t="shared" si="25"/>
        <v>45.581722567497721</v>
      </c>
      <c r="E134" s="380">
        <f t="shared" si="47"/>
        <v>45.581722567497721</v>
      </c>
      <c r="F134" s="380">
        <f t="shared" si="26"/>
        <v>45.582137003963226</v>
      </c>
      <c r="G134" s="110">
        <f t="shared" si="48"/>
        <v>0.74191487429984082</v>
      </c>
      <c r="H134" s="409" t="b">
        <f>Wh_hp&gt;='2030'!Maxi_hp</f>
        <v>0</v>
      </c>
      <c r="I134" s="385">
        <f>IF(H134,Wh_hp,'2030'!Maxi_hp)</f>
        <v>45.5823672443764</v>
      </c>
      <c r="J134" s="85">
        <f>IF(H134,An,'2030'!An_max)</f>
        <v>2029</v>
      </c>
      <c r="K134" s="193">
        <f t="shared" si="27"/>
        <v>47968</v>
      </c>
      <c r="L134" s="143">
        <f>IF(t&lt;Tvie,1-EXP((T0-t)*PertePVj)+'2030'!Pspv,1-EXP((T0-t)*PertePVj)+Pspv)</f>
        <v>4.6077806525074871E-2</v>
      </c>
      <c r="M134" s="836"/>
      <c r="N134" s="836"/>
      <c r="O134" s="48">
        <f>IF(t&lt;Tnet,'2030'!Resal+('2030'!Salim-'2030'!Resal)*(1-EXP(('2030'!Tnet-t)/('2030'!Tau_j))),Resal+(Salim-Resal)*(1-EXP((Tnet-t)/(Tau_j))))*Salcycl</f>
        <v>0</v>
      </c>
      <c r="P134" s="165">
        <f>(INDEX(Models!$BJ134:$BT134,,T134)*(1-R134)+INDEX(Models!$BJ134:$BT134,,T134+1)*R134-ERP_i)*Q134*Ramure*Pc/MaxiM</f>
        <v>1.4401868061737788E-5</v>
      </c>
      <c r="Q134" s="301">
        <f t="shared" si="28"/>
        <v>0.5</v>
      </c>
      <c r="R134" s="173">
        <f t="shared" si="29"/>
        <v>4.648896692794624E-2</v>
      </c>
      <c r="S134" s="802">
        <f t="shared" si="30"/>
        <v>1</v>
      </c>
      <c r="T134" s="172">
        <f t="shared" si="31"/>
        <v>7</v>
      </c>
      <c r="U134" s="247">
        <f t="shared" si="32"/>
        <v>1.0464889669279462</v>
      </c>
      <c r="V134" s="378">
        <f t="shared" si="33"/>
        <v>58.606704624715903</v>
      </c>
      <c r="W134" s="397">
        <f t="shared" si="34"/>
        <v>43.481416773952922</v>
      </c>
      <c r="X134" s="153">
        <f t="shared" si="35"/>
        <v>47968</v>
      </c>
      <c r="Y134" s="380">
        <f t="shared" si="36"/>
        <v>41.768043266448515</v>
      </c>
      <c r="Z134" s="380">
        <f t="shared" si="37"/>
        <v>43.785587076338878</v>
      </c>
      <c r="AA134" s="381">
        <f t="shared" si="38"/>
        <v>45.579472320829993</v>
      </c>
      <c r="AB134" s="193">
        <f t="shared" si="39"/>
        <v>47968</v>
      </c>
      <c r="AC134" s="119">
        <f>IF(OR(t&lt;Tnet,NoTnet),'2030'!Resal_s+('2030'!Salim-'2030'!Resal_s)*(1-EXP(('2030'!Tnet_s-t)/'2030'!Tau_j)),Resal_s+(Salim-Resal_s)*(1-EXP((Tnet_s-t)/Tau_j)))*Salcycl</f>
        <v>3.9357306110612951E-2</v>
      </c>
      <c r="AD134" s="227">
        <f>(INDEX(Models!$BJ134:$BT134,,AH134)*(1-AF134)+INDEX(Models!$BJ134:$BT134,,AH134+1)*AF134-ERP_i)*AE134*Ramure*Pc/MaxiM</f>
        <v>9.2599030503698307E-5</v>
      </c>
      <c r="AE134" s="301">
        <f t="shared" si="40"/>
        <v>0.5</v>
      </c>
      <c r="AF134" s="173">
        <f t="shared" si="41"/>
        <v>0.57147653330192316</v>
      </c>
      <c r="AG134" s="802">
        <f t="shared" si="49"/>
        <v>4</v>
      </c>
      <c r="AH134" s="172">
        <f t="shared" si="42"/>
        <v>10</v>
      </c>
      <c r="AI134" s="221">
        <f t="shared" si="43"/>
        <v>4.5714765333019232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47969</v>
      </c>
      <c r="B135" s="406">
        <f>'2030'!Wh/'2030'!Env_an*'2031'!Env_an</f>
        <v>49.327965259298821</v>
      </c>
      <c r="C135" s="832"/>
      <c r="D135" s="388">
        <f t="shared" si="25"/>
        <v>51.711387851529203</v>
      </c>
      <c r="E135" s="380">
        <f t="shared" si="47"/>
        <v>51.715208151222335</v>
      </c>
      <c r="F135" s="380">
        <f t="shared" si="26"/>
        <v>51.715749560382896</v>
      </c>
      <c r="G135" s="110">
        <f t="shared" si="48"/>
        <v>0.83898404638538804</v>
      </c>
      <c r="H135" s="409" t="b">
        <f>Wh_hp&gt;='2030'!Maxi_hp</f>
        <v>0</v>
      </c>
      <c r="I135" s="385">
        <f>IF(H135,Wh_hp,'2030'!Maxi_hp)</f>
        <v>51.715903021990087</v>
      </c>
      <c r="J135" s="85">
        <f>IF(H135,An,'2030'!An_max)</f>
        <v>2029</v>
      </c>
      <c r="K135" s="193">
        <f t="shared" si="27"/>
        <v>47969</v>
      </c>
      <c r="L135" s="143">
        <f>IF(t&lt;Tvie,1-EXP((T0-t)*PertePVj)+'2030'!Pspv,1-EXP((T0-t)*PertePVj)+Pspv)</f>
        <v>4.6090864918836183E-2</v>
      </c>
      <c r="M135" s="836"/>
      <c r="N135" s="836"/>
      <c r="O135" s="48">
        <f>IF(t&lt;Tnet,'2030'!Resal+('2030'!Salim-'2030'!Resal)*(1-EXP(('2030'!Tnet-t)/('2030'!Tau_j))),Resal+(Salim-Resal)*(1-EXP((Tnet-t)/(Tau_j))))*Salcycl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1.3596364261500506E-5</v>
      </c>
      <c r="Q135" s="301">
        <f t="shared" si="28"/>
        <v>0.5</v>
      </c>
      <c r="R135" s="173">
        <f t="shared" si="29"/>
        <v>4.9243839686006208E-2</v>
      </c>
      <c r="S135" s="802">
        <f t="shared" si="30"/>
        <v>1</v>
      </c>
      <c r="T135" s="172">
        <f t="shared" si="31"/>
        <v>7</v>
      </c>
      <c r="U135" s="247">
        <f t="shared" si="32"/>
        <v>1.0492438396860062</v>
      </c>
      <c r="V135" s="378">
        <f t="shared" si="33"/>
        <v>58.794694846470634</v>
      </c>
      <c r="W135" s="397">
        <f t="shared" si="34"/>
        <v>49.327965259298821</v>
      </c>
      <c r="X135" s="153">
        <f t="shared" si="35"/>
        <v>47969</v>
      </c>
      <c r="Y135" s="380">
        <f t="shared" si="36"/>
        <v>47.384486822920685</v>
      </c>
      <c r="Z135" s="380">
        <f t="shared" si="37"/>
        <v>49.674004661763675</v>
      </c>
      <c r="AA135" s="381">
        <f t="shared" si="38"/>
        <v>51.712266939291354</v>
      </c>
      <c r="AB135" s="193">
        <f t="shared" si="39"/>
        <v>47969</v>
      </c>
      <c r="AC135" s="119">
        <f>IF(OR(t&lt;Tnet,NoTnet),'2030'!Resal_s+('2030'!Salim-'2030'!Resal_s)*(1-EXP(('2030'!Tnet_s-t)/'2030'!Tau_j)),Resal_s+(Salim-Resal_s)*(1-EXP((Tnet_s-t)/Tau_j)))*Salcycl</f>
        <v>3.9415450108202375E-2</v>
      </c>
      <c r="AD135" s="227">
        <f>(INDEX(Models!$BJ135:$BT135,,AH135)*(1-AF135)+INDEX(Models!$BJ135:$BT135,,AH135+1)*AF135-ERP_i)*AE135*Ramure*Pc/MaxiM</f>
        <v>8.7458780521001986E-5</v>
      </c>
      <c r="AE135" s="301">
        <f t="shared" si="40"/>
        <v>0.5</v>
      </c>
      <c r="AF135" s="173">
        <f t="shared" si="41"/>
        <v>0.57423140605998313</v>
      </c>
      <c r="AG135" s="802">
        <f t="shared" si="49"/>
        <v>4</v>
      </c>
      <c r="AH135" s="172">
        <f t="shared" si="42"/>
        <v>10</v>
      </c>
      <c r="AI135" s="221">
        <f t="shared" si="43"/>
        <v>4.5742314060599831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47970</v>
      </c>
      <c r="B136" s="406">
        <f>'2030'!Wh/'2030'!Env_an*'2031'!Env_an</f>
        <v>31.705708797195232</v>
      </c>
      <c r="C136" s="832"/>
      <c r="D136" s="388">
        <f t="shared" si="25"/>
        <v>33.2381163589205</v>
      </c>
      <c r="E136" s="380">
        <f t="shared" si="47"/>
        <v>33.243028153205927</v>
      </c>
      <c r="F136" s="380">
        <f t="shared" si="26"/>
        <v>33.243172948802084</v>
      </c>
      <c r="G136" s="110">
        <f t="shared" si="48"/>
        <v>0.53761438230353842</v>
      </c>
      <c r="H136" s="409" t="b">
        <f>Wh_hp&gt;='2030'!Maxi_hp</f>
        <v>0</v>
      </c>
      <c r="I136" s="385">
        <f>IF(H136,Wh_hp,'2030'!Maxi_hp)</f>
        <v>33.243439599072822</v>
      </c>
      <c r="J136" s="85">
        <f>IF(H136,An,'2030'!An_max)</f>
        <v>2029</v>
      </c>
      <c r="K136" s="193">
        <f t="shared" si="27"/>
        <v>47970</v>
      </c>
      <c r="L136" s="143">
        <f>IF(t&lt;Tvie,1-EXP((T0-t)*PertePVj)+'2030'!Pspv,1-EXP((T0-t)*PertePVj)+Pspv)</f>
        <v>4.6103923133839042E-2</v>
      </c>
      <c r="M136" s="836"/>
      <c r="N136" s="836"/>
      <c r="O136" s="48">
        <f>IF(t&lt;Tnet,'2030'!Resal+('2030'!Salim-'2030'!Resal)*(1-EXP(('2030'!Tnet-t)/('2030'!Tau_j))),Resal+(Salim-Resal)*(1-EXP((Tnet-t)/(Tau_j))))*Salcycl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1.2831276745874177E-5</v>
      </c>
      <c r="Q136" s="301">
        <f t="shared" si="28"/>
        <v>0.5</v>
      </c>
      <c r="R136" s="173">
        <f t="shared" si="29"/>
        <v>5.2076325121441336E-2</v>
      </c>
      <c r="S136" s="802">
        <f t="shared" si="30"/>
        <v>1</v>
      </c>
      <c r="T136" s="172">
        <f t="shared" si="31"/>
        <v>7</v>
      </c>
      <c r="U136" s="247">
        <f t="shared" si="32"/>
        <v>1.0520763251214413</v>
      </c>
      <c r="V136" s="378">
        <f t="shared" si="33"/>
        <v>58.974315259932162</v>
      </c>
      <c r="W136" s="397">
        <f t="shared" si="34"/>
        <v>31.705708797195232</v>
      </c>
      <c r="X136" s="153">
        <f t="shared" si="35"/>
        <v>47970</v>
      </c>
      <c r="Y136" s="380">
        <f t="shared" si="36"/>
        <v>30.457926019842869</v>
      </c>
      <c r="Z136" s="380">
        <f t="shared" si="37"/>
        <v>31.93002545927899</v>
      </c>
      <c r="AA136" s="381">
        <f t="shared" si="38"/>
        <v>33.242233522720284</v>
      </c>
      <c r="AB136" s="193">
        <f t="shared" si="39"/>
        <v>47970</v>
      </c>
      <c r="AC136" s="119">
        <f>IF(OR(t&lt;Tnet,NoTnet),'2030'!Resal_s+('2030'!Salim-'2030'!Resal_s)*(1-EXP(('2030'!Tnet_s-t)/'2030'!Tau_j)),Resal_s+(Salim-Resal_s)*(1-EXP((Tnet_s-t)/Tau_j)))*Salcycl</f>
        <v>3.9474124461114486E-2</v>
      </c>
      <c r="AD136" s="227">
        <f>(INDEX(Models!$BJ136:$BT136,,AH136)*(1-AF136)+INDEX(Models!$BJ136:$BT136,,AH136+1)*AF136-ERP_i)*AE136*Ramure*Pc/MaxiM</f>
        <v>8.3248637100831184E-5</v>
      </c>
      <c r="AE136" s="301">
        <f t="shared" si="40"/>
        <v>0.5</v>
      </c>
      <c r="AF136" s="173">
        <f t="shared" si="41"/>
        <v>0.5770638914954187</v>
      </c>
      <c r="AG136" s="802">
        <f t="shared" si="49"/>
        <v>4</v>
      </c>
      <c r="AH136" s="172">
        <f t="shared" si="42"/>
        <v>10</v>
      </c>
      <c r="AI136" s="221">
        <f t="shared" si="43"/>
        <v>4.5770638914954187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47971</v>
      </c>
      <c r="B137" s="406">
        <f>'2030'!Wh/'2030'!Env_an*'2031'!Env_an</f>
        <v>35.336942028631142</v>
      </c>
      <c r="C137" s="832"/>
      <c r="D137" s="388">
        <f t="shared" si="25"/>
        <v>37.045362304465172</v>
      </c>
      <c r="E137" s="380">
        <f t="shared" si="47"/>
        <v>37.053575213471625</v>
      </c>
      <c r="F137" s="380">
        <f t="shared" si="26"/>
        <v>37.053765455221566</v>
      </c>
      <c r="G137" s="110">
        <f t="shared" si="48"/>
        <v>0.59744876949198378</v>
      </c>
      <c r="H137" s="409" t="b">
        <f>Wh_hp&gt;='2030'!Maxi_hp</f>
        <v>0</v>
      </c>
      <c r="I137" s="385">
        <f>IF(H137,Wh_hp,'2030'!Maxi_hp)</f>
        <v>37.054008465235746</v>
      </c>
      <c r="J137" s="85">
        <f>IF(H137,An,'2030'!An_max)</f>
        <v>2029</v>
      </c>
      <c r="K137" s="193">
        <f t="shared" si="27"/>
        <v>47971</v>
      </c>
      <c r="L137" s="143">
        <f>IF(t&lt;Tvie,1-EXP((T0-t)*PertePVj)+'2030'!Pspv,1-EXP((T0-t)*PertePVj)+Pspv)</f>
        <v>4.6116981170085891E-2</v>
      </c>
      <c r="M137" s="836"/>
      <c r="N137" s="836"/>
      <c r="O137" s="48">
        <f>IF(t&lt;Tnet,'2030'!Resal+('2030'!Salim-'2030'!Resal)*(1-EXP(('2030'!Tnet-t)/('2030'!Tau_j))),Resal+(Salim-Resal)*(1-EXP((Tnet-t)/(Tau_j))))*Salcycl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1.2082402140464585E-5</v>
      </c>
      <c r="Q137" s="301">
        <f t="shared" si="28"/>
        <v>0.5</v>
      </c>
      <c r="R137" s="173">
        <f t="shared" si="29"/>
        <v>5.4987256387005079E-2</v>
      </c>
      <c r="S137" s="802">
        <f t="shared" si="30"/>
        <v>1</v>
      </c>
      <c r="T137" s="172">
        <f t="shared" si="31"/>
        <v>7</v>
      </c>
      <c r="U137" s="247">
        <f t="shared" si="32"/>
        <v>1.0549872563870051</v>
      </c>
      <c r="V137" s="378">
        <f t="shared" si="33"/>
        <v>59.145985905192376</v>
      </c>
      <c r="W137" s="397">
        <f t="shared" si="34"/>
        <v>35.336942028631142</v>
      </c>
      <c r="X137" s="153">
        <f t="shared" si="35"/>
        <v>47971</v>
      </c>
      <c r="Y137" s="380">
        <f t="shared" si="36"/>
        <v>33.946513111693335</v>
      </c>
      <c r="Z137" s="380">
        <f t="shared" si="37"/>
        <v>35.587710905404329</v>
      </c>
      <c r="AA137" s="381">
        <f t="shared" si="38"/>
        <v>37.052520122902067</v>
      </c>
      <c r="AB137" s="193">
        <f t="shared" si="39"/>
        <v>47971</v>
      </c>
      <c r="AC137" s="119">
        <f>IF(OR(t&lt;Tnet,NoTnet),'2030'!Resal_s+('2030'!Salim-'2030'!Resal_s)*(1-EXP(('2030'!Tnet_s-t)/'2030'!Tau_j)),Resal_s+(Salim-Resal_s)*(1-EXP((Tnet_s-t)/Tau_j)))*Salcycl</f>
        <v>3.9533322231227755E-2</v>
      </c>
      <c r="AD137" s="227">
        <f>(INDEX(Models!$BJ137:$BT137,,AH137)*(1-AF137)+INDEX(Models!$BJ137:$BT137,,AH137+1)*AF137-ERP_i)*AE137*Ramure*Pc/MaxiM</f>
        <v>7.9092028365375906E-5</v>
      </c>
      <c r="AE137" s="301">
        <f t="shared" si="40"/>
        <v>0.5</v>
      </c>
      <c r="AF137" s="173">
        <f t="shared" si="41"/>
        <v>0.579974822760982</v>
      </c>
      <c r="AG137" s="802">
        <f t="shared" si="49"/>
        <v>4</v>
      </c>
      <c r="AH137" s="172">
        <f t="shared" si="42"/>
        <v>10</v>
      </c>
      <c r="AI137" s="221">
        <f t="shared" si="43"/>
        <v>4.579974822760982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47972</v>
      </c>
      <c r="B138" s="406">
        <f>'2030'!Wh/'2030'!Env_an*'2031'!Env_an</f>
        <v>19.887612795483232</v>
      </c>
      <c r="C138" s="832"/>
      <c r="D138" s="388">
        <f t="shared" si="25"/>
        <v>20.849396258593618</v>
      </c>
      <c r="E138" s="380">
        <f t="shared" si="47"/>
        <v>20.855560349297743</v>
      </c>
      <c r="F138" s="380">
        <f t="shared" si="26"/>
        <v>20.855572290659257</v>
      </c>
      <c r="G138" s="110">
        <f t="shared" si="48"/>
        <v>0.33531202933200727</v>
      </c>
      <c r="H138" s="409" t="b">
        <f>Wh_hp&gt;='2030'!Maxi_hp</f>
        <v>0</v>
      </c>
      <c r="I138" s="385">
        <f>IF(H138,Wh_hp,'2030'!Maxi_hp)</f>
        <v>20.855783858295169</v>
      </c>
      <c r="J138" s="85">
        <f>IF(H138,An,'2030'!An_max)</f>
        <v>2029</v>
      </c>
      <c r="K138" s="193">
        <f t="shared" si="27"/>
        <v>47972</v>
      </c>
      <c r="L138" s="143">
        <f>IF(t&lt;Tvie,1-EXP((T0-t)*PertePVj)+'2030'!Pspv,1-EXP((T0-t)*PertePVj)+Pspv)</f>
        <v>4.6130039027579173E-2</v>
      </c>
      <c r="M138" s="836"/>
      <c r="N138" s="836"/>
      <c r="O138" s="48">
        <f>IF(t&lt;Tnet,'2030'!Resal+('2030'!Salim-'2030'!Resal)*(1-EXP(('2030'!Tnet-t)/('2030'!Tau_j))),Resal+(Salim-Resal)*(1-EXP((Tnet-t)/(Tau_j))))*Salcycl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1.1349132287528626E-5</v>
      </c>
      <c r="Q138" s="301">
        <f t="shared" si="28"/>
        <v>0.5</v>
      </c>
      <c r="R138" s="173">
        <f t="shared" si="29"/>
        <v>5.7977377303295441E-2</v>
      </c>
      <c r="S138" s="802">
        <f t="shared" si="30"/>
        <v>1</v>
      </c>
      <c r="T138" s="172">
        <f t="shared" si="31"/>
        <v>7</v>
      </c>
      <c r="U138" s="247">
        <f t="shared" si="32"/>
        <v>1.0579773773032954</v>
      </c>
      <c r="V138" s="378">
        <f t="shared" si="33"/>
        <v>59.310125303180087</v>
      </c>
      <c r="W138" s="397">
        <f t="shared" si="34"/>
        <v>19.887612795483232</v>
      </c>
      <c r="X138" s="153">
        <f t="shared" si="35"/>
        <v>47972</v>
      </c>
      <c r="Y138" s="380">
        <f t="shared" si="36"/>
        <v>19.10578744651146</v>
      </c>
      <c r="Z138" s="380">
        <f t="shared" si="37"/>
        <v>20.029761108143195</v>
      </c>
      <c r="AA138" s="381">
        <f t="shared" si="38"/>
        <v>20.855493392776857</v>
      </c>
      <c r="AB138" s="193">
        <f t="shared" si="39"/>
        <v>47972</v>
      </c>
      <c r="AC138" s="119">
        <f>IF(OR(t&lt;Tnet,NoTnet),'2030'!Resal_s+('2030'!Salim-'2030'!Resal_s)*(1-EXP(('2030'!Tnet_s-t)/'2030'!Tau_j)),Resal_s+(Salim-Resal_s)*(1-EXP((Tnet_s-t)/Tau_j)))*Salcycl</f>
        <v>3.9593035229732364E-2</v>
      </c>
      <c r="AD138" s="227">
        <f>(INDEX(Models!$BJ138:$BT138,,AH138)*(1-AF138)+INDEX(Models!$BJ138:$BT138,,AH138+1)*AF138-ERP_i)*AE138*Ramure*Pc/MaxiM</f>
        <v>7.4984959085862147E-5</v>
      </c>
      <c r="AE138" s="301">
        <f t="shared" si="40"/>
        <v>0.5</v>
      </c>
      <c r="AF138" s="173">
        <f t="shared" si="41"/>
        <v>0.58296494367727281</v>
      </c>
      <c r="AG138" s="802">
        <f t="shared" si="49"/>
        <v>4</v>
      </c>
      <c r="AH138" s="172">
        <f t="shared" si="42"/>
        <v>10</v>
      </c>
      <c r="AI138" s="221">
        <f t="shared" si="43"/>
        <v>4.5829649436772728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47973</v>
      </c>
      <c r="B139" s="406">
        <f>'2030'!Wh/'2030'!Env_an*'2031'!Env_an</f>
        <v>40.030299195129459</v>
      </c>
      <c r="C139" s="832"/>
      <c r="D139" s="388">
        <f t="shared" si="25"/>
        <v>41.966776208154897</v>
      </c>
      <c r="E139" s="380">
        <f t="shared" si="47"/>
        <v>41.982288292726246</v>
      </c>
      <c r="F139" s="380">
        <f t="shared" si="26"/>
        <v>41.98252620931185</v>
      </c>
      <c r="G139" s="110">
        <f t="shared" si="48"/>
        <v>0.67314642214805509</v>
      </c>
      <c r="H139" s="409" t="b">
        <f>Wh_hp&gt;='2030'!Maxi_hp</f>
        <v>0</v>
      </c>
      <c r="I139" s="385">
        <f>IF(H139,Wh_hp,'2030'!Maxi_hp)</f>
        <v>41.982721841523478</v>
      </c>
      <c r="J139" s="85">
        <f>IF(H139,An,'2030'!An_max)</f>
        <v>2029</v>
      </c>
      <c r="K139" s="193">
        <f t="shared" si="27"/>
        <v>47973</v>
      </c>
      <c r="L139" s="143">
        <f>IF(t&lt;Tvie,1-EXP((T0-t)*PertePVj)+'2030'!Pspv,1-EXP((T0-t)*PertePVj)+Pspv)</f>
        <v>4.614309670632144E-2</v>
      </c>
      <c r="M139" s="836"/>
      <c r="N139" s="836"/>
      <c r="O139" s="48">
        <f>IF(t&lt;Tnet,'2030'!Resal+('2030'!Salim-'2030'!Resal)*(1-EXP(('2030'!Tnet-t)/('2030'!Tau_j))),Resal+(Salim-Resal)*(1-EXP((Tnet-t)/(Tau_j))))*Salcycl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1.0630924160760695E-5</v>
      </c>
      <c r="Q139" s="301">
        <f t="shared" si="28"/>
        <v>0.5</v>
      </c>
      <c r="R139" s="173">
        <f t="shared" si="29"/>
        <v>6.1047335369871947E-2</v>
      </c>
      <c r="S139" s="802">
        <f t="shared" si="30"/>
        <v>1</v>
      </c>
      <c r="T139" s="172">
        <f t="shared" si="31"/>
        <v>7</v>
      </c>
      <c r="U139" s="247">
        <f t="shared" si="32"/>
        <v>1.0610473353698719</v>
      </c>
      <c r="V139" s="378">
        <f t="shared" si="33"/>
        <v>59.467151827725765</v>
      </c>
      <c r="W139" s="397">
        <f t="shared" si="34"/>
        <v>40.030299195129459</v>
      </c>
      <c r="X139" s="153">
        <f t="shared" si="35"/>
        <v>47973</v>
      </c>
      <c r="Y139" s="380">
        <f t="shared" si="36"/>
        <v>38.455941127490476</v>
      </c>
      <c r="Z139" s="380">
        <f t="shared" si="37"/>
        <v>40.316258124988856</v>
      </c>
      <c r="AA139" s="381">
        <f t="shared" si="38"/>
        <v>41.980938960163016</v>
      </c>
      <c r="AB139" s="193">
        <f t="shared" si="39"/>
        <v>47973</v>
      </c>
      <c r="AC139" s="119">
        <f>IF(OR(t&lt;Tnet,NoTnet),'2030'!Resal_s+('2030'!Salim-'2030'!Resal_s)*(1-EXP(('2030'!Tnet_s-t)/'2030'!Tau_j)),Resal_s+(Salim-Resal_s)*(1-EXP((Tnet_s-t)/Tau_j)))*Salcycl</f>
        <v>3.9653253986382309E-2</v>
      </c>
      <c r="AD139" s="227">
        <f>(INDEX(Models!$BJ139:$BT139,,AH139)*(1-AF139)+INDEX(Models!$BJ139:$BT139,,AH139+1)*AF139-ERP_i)*AE139*Ramure*Pc/MaxiM</f>
        <v>7.0923703290215519E-5</v>
      </c>
      <c r="AE139" s="301">
        <f t="shared" si="40"/>
        <v>0.5</v>
      </c>
      <c r="AF139" s="173">
        <f t="shared" si="41"/>
        <v>0.58603490174384909</v>
      </c>
      <c r="AG139" s="802">
        <f t="shared" si="49"/>
        <v>4</v>
      </c>
      <c r="AH139" s="172">
        <f t="shared" si="42"/>
        <v>10</v>
      </c>
      <c r="AI139" s="221">
        <f t="shared" si="43"/>
        <v>4.5860349017438491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47974</v>
      </c>
      <c r="B140" s="406">
        <f>'2030'!Wh/'2030'!Env_an*'2031'!Env_an</f>
        <v>41.963289274257868</v>
      </c>
      <c r="C140" s="832"/>
      <c r="D140" s="388">
        <f t="shared" si="25"/>
        <v>43.993877466746753</v>
      </c>
      <c r="E140" s="380">
        <f t="shared" si="47"/>
        <v>44.013394880725912</v>
      </c>
      <c r="F140" s="380">
        <f t="shared" si="26"/>
        <v>44.013646977891192</v>
      </c>
      <c r="G140" s="110">
        <f t="shared" si="48"/>
        <v>0.70387259628871002</v>
      </c>
      <c r="H140" s="409" t="b">
        <f>Wh_hp&gt;='2030'!Maxi_hp</f>
        <v>0</v>
      </c>
      <c r="I140" s="385">
        <f>IF(H140,Wh_hp,'2030'!Maxi_hp)</f>
        <v>44.013820008810121</v>
      </c>
      <c r="J140" s="85">
        <f>IF(H140,An,'2030'!An_max)</f>
        <v>2029</v>
      </c>
      <c r="K140" s="193">
        <f t="shared" si="27"/>
        <v>47974</v>
      </c>
      <c r="L140" s="143">
        <f>IF(t&lt;Tvie,1-EXP((T0-t)*PertePVj)+'2030'!Pspv,1-EXP((T0-t)*PertePVj)+Pspv)</f>
        <v>4.6156154206314914E-2</v>
      </c>
      <c r="M140" s="836"/>
      <c r="N140" s="836"/>
      <c r="O140" s="48">
        <f>IF(t&lt;Tnet,'2030'!Resal+('2030'!Salim-'2030'!Resal)*(1-EXP(('2030'!Tnet-t)/('2030'!Tau_j))),Resal+(Salim-Resal)*(1-EXP((Tnet-t)/(Tau_j))))*Salcycl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9.9272985201052146E-6</v>
      </c>
      <c r="Q140" s="301">
        <f t="shared" si="28"/>
        <v>0.5</v>
      </c>
      <c r="R140" s="173">
        <f t="shared" si="29"/>
        <v>6.4197674731213183E-2</v>
      </c>
      <c r="S140" s="802">
        <f t="shared" si="30"/>
        <v>1</v>
      </c>
      <c r="T140" s="172">
        <f t="shared" si="31"/>
        <v>7</v>
      </c>
      <c r="U140" s="247">
        <f t="shared" si="32"/>
        <v>1.0641976747312132</v>
      </c>
      <c r="V140" s="378">
        <f t="shared" si="33"/>
        <v>59.617483711866178</v>
      </c>
      <c r="W140" s="397">
        <f t="shared" si="34"/>
        <v>41.963289274257868</v>
      </c>
      <c r="X140" s="153">
        <f t="shared" si="35"/>
        <v>47974</v>
      </c>
      <c r="Y140" s="380">
        <f t="shared" si="36"/>
        <v>40.313312473960977</v>
      </c>
      <c r="Z140" s="380">
        <f t="shared" si="37"/>
        <v>42.26405889364063</v>
      </c>
      <c r="AA140" s="381">
        <f t="shared" si="38"/>
        <v>44.011947974891029</v>
      </c>
      <c r="AB140" s="193">
        <f t="shared" si="39"/>
        <v>47974</v>
      </c>
      <c r="AC140" s="119">
        <f>IF(OR(t&lt;Tnet,NoTnet),'2030'!Resal_s+('2030'!Salim-'2030'!Resal_s)*(1-EXP(('2030'!Tnet_s-t)/'2030'!Tau_j)),Resal_s+(Salim-Resal_s)*(1-EXP((Tnet_s-t)/Tau_j)))*Salcycl</f>
        <v>3.9713967721846308E-2</v>
      </c>
      <c r="AD140" s="227">
        <f>(INDEX(Models!$BJ140:$BT140,,AH140)*(1-AF140)+INDEX(Models!$BJ140:$BT140,,AH140+1)*AF140-ERP_i)*AE140*Ramure*Pc/MaxiM</f>
        <v>6.6904798197328188E-5</v>
      </c>
      <c r="AE140" s="301">
        <f t="shared" si="40"/>
        <v>0.5</v>
      </c>
      <c r="AF140" s="173">
        <f t="shared" si="41"/>
        <v>0.58918524110519055</v>
      </c>
      <c r="AG140" s="802">
        <f t="shared" si="49"/>
        <v>4</v>
      </c>
      <c r="AH140" s="172">
        <f t="shared" si="42"/>
        <v>10</v>
      </c>
      <c r="AI140" s="221">
        <f t="shared" si="43"/>
        <v>4.5891852411051905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47975</v>
      </c>
      <c r="B141" s="406">
        <f>'2030'!Wh/'2030'!Env_an*'2031'!Env_an</f>
        <v>48.26502601993564</v>
      </c>
      <c r="C141" s="832"/>
      <c r="D141" s="388">
        <f t="shared" si="25"/>
        <v>50.601245633129743</v>
      </c>
      <c r="E141" s="380">
        <f t="shared" si="47"/>
        <v>50.627441171901019</v>
      </c>
      <c r="F141" s="380">
        <f t="shared" si="26"/>
        <v>50.627780332852666</v>
      </c>
      <c r="G141" s="110">
        <f t="shared" si="48"/>
        <v>0.8076248413028323</v>
      </c>
      <c r="H141" s="409" t="b">
        <f>Wh_hp&gt;='2030'!Maxi_hp</f>
        <v>0</v>
      </c>
      <c r="I141" s="385">
        <f>IF(H141,Wh_hp,'2030'!Maxi_hp)</f>
        <v>50.627900307832576</v>
      </c>
      <c r="J141" s="85">
        <f>IF(H141,An,'2030'!An_max)</f>
        <v>2029</v>
      </c>
      <c r="K141" s="193">
        <f t="shared" si="27"/>
        <v>47975</v>
      </c>
      <c r="L141" s="143">
        <f>IF(t&lt;Tvie,1-EXP((T0-t)*PertePVj)+'2030'!Pspv,1-EXP((T0-t)*PertePVj)+Pspv)</f>
        <v>4.6169211527562259E-2</v>
      </c>
      <c r="M141" s="836"/>
      <c r="N141" s="836"/>
      <c r="O141" s="48">
        <f>IF(t&lt;Tnet,'2030'!Resal+('2030'!Salim-'2030'!Resal)*(1-EXP(('2030'!Tnet-t)/('2030'!Tau_j))),Resal+(Salim-Resal)*(1-EXP((Tnet-t)/(Tau_j))))*Salcycl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9.2378387500814482E-6</v>
      </c>
      <c r="Q141" s="301">
        <f t="shared" si="28"/>
        <v>0.5</v>
      </c>
      <c r="R141" s="173">
        <f t="shared" si="29"/>
        <v>6.7428829136365609E-2</v>
      </c>
      <c r="S141" s="802">
        <f t="shared" si="30"/>
        <v>1</v>
      </c>
      <c r="T141" s="172">
        <f t="shared" si="31"/>
        <v>7</v>
      </c>
      <c r="U141" s="247">
        <f t="shared" si="32"/>
        <v>1.0674288291363656</v>
      </c>
      <c r="V141" s="378">
        <f t="shared" si="33"/>
        <v>59.761539044953068</v>
      </c>
      <c r="W141" s="397">
        <f t="shared" si="34"/>
        <v>48.26502601993564</v>
      </c>
      <c r="X141" s="153">
        <f t="shared" si="35"/>
        <v>47975</v>
      </c>
      <c r="Y141" s="380">
        <f t="shared" si="36"/>
        <v>46.367463658985614</v>
      </c>
      <c r="Z141" s="380">
        <f t="shared" si="37"/>
        <v>48.611833691427826</v>
      </c>
      <c r="AA141" s="381">
        <f t="shared" si="38"/>
        <v>50.625470082938172</v>
      </c>
      <c r="AB141" s="193">
        <f t="shared" si="39"/>
        <v>47975</v>
      </c>
      <c r="AC141" s="119">
        <f>IF(OR(t&lt;Tnet,NoTnet),'2030'!Resal_s+('2030'!Salim-'2030'!Resal_s)*(1-EXP(('2030'!Tnet_s-t)/'2030'!Tau_j)),Resal_s+(Salim-Resal_s)*(1-EXP((Tnet_s-t)/Tau_j)))*Salcycl</f>
        <v>3.9775164323639131E-2</v>
      </c>
      <c r="AD141" s="227">
        <f>(INDEX(Models!$BJ141:$BT141,,AH141)*(1-AF141)+INDEX(Models!$BJ141:$BT141,,AH141+1)*AF141-ERP_i)*AE141*Ramure*Pc/MaxiM</f>
        <v>6.2925039215333344E-5</v>
      </c>
      <c r="AE141" s="301">
        <f t="shared" si="40"/>
        <v>0.5</v>
      </c>
      <c r="AF141" s="173">
        <f t="shared" si="41"/>
        <v>0.59241639551034275</v>
      </c>
      <c r="AG141" s="802">
        <f t="shared" si="49"/>
        <v>4</v>
      </c>
      <c r="AH141" s="172">
        <f t="shared" si="42"/>
        <v>10</v>
      </c>
      <c r="AI141" s="221">
        <f t="shared" si="43"/>
        <v>4.5924163955103428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47976</v>
      </c>
      <c r="B142" s="406">
        <f>'2030'!Wh/'2030'!Env_an*'2031'!Env_an</f>
        <v>54.743616732893479</v>
      </c>
      <c r="C142" s="832"/>
      <c r="D142" s="388">
        <f t="shared" si="25"/>
        <v>57.39421163471448</v>
      </c>
      <c r="E142" s="380">
        <f t="shared" si="47"/>
        <v>57.42817575551927</v>
      </c>
      <c r="F142" s="380">
        <f t="shared" si="26"/>
        <v>57.428608294075083</v>
      </c>
      <c r="G142" s="110">
        <f t="shared" si="48"/>
        <v>0.91391989650509875</v>
      </c>
      <c r="H142" s="409" t="b">
        <f>Wh_hp&gt;='2030'!Maxi_hp</f>
        <v>0</v>
      </c>
      <c r="I142" s="385">
        <f>IF(H142,Wh_hp,'2030'!Maxi_hp)</f>
        <v>57.4286647399964</v>
      </c>
      <c r="J142" s="85">
        <f>IF(H142,An,'2030'!An_max)</f>
        <v>2029</v>
      </c>
      <c r="K142" s="193">
        <f t="shared" si="27"/>
        <v>47976</v>
      </c>
      <c r="L142" s="143">
        <f>IF(t&lt;Tvie,1-EXP((T0-t)*PertePVj)+'2030'!Pspv,1-EXP((T0-t)*PertePVj)+Pspv)</f>
        <v>4.6182268670065807E-2</v>
      </c>
      <c r="M142" s="836"/>
      <c r="N142" s="836"/>
      <c r="O142" s="48">
        <f>IF(t&lt;Tnet,'2030'!Resal+('2030'!Salim-'2030'!Resal)*(1-EXP(('2030'!Tnet-t)/('2030'!Tau_j))),Resal+(Salim-Resal)*(1-EXP((Tnet-t)/(Tau_j))))*Salcycl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8.5878051602580912E-6</v>
      </c>
      <c r="Q142" s="301">
        <f t="shared" si="28"/>
        <v>0.5</v>
      </c>
      <c r="R142" s="173">
        <f t="shared" si="29"/>
        <v>7.0741114934498528E-2</v>
      </c>
      <c r="S142" s="802">
        <f t="shared" si="30"/>
        <v>1</v>
      </c>
      <c r="T142" s="172">
        <f t="shared" si="31"/>
        <v>7</v>
      </c>
      <c r="U142" s="247">
        <f t="shared" si="32"/>
        <v>1.0707411149344985</v>
      </c>
      <c r="V142" s="378">
        <f t="shared" si="33"/>
        <v>59.899734243808851</v>
      </c>
      <c r="W142" s="397">
        <f t="shared" si="34"/>
        <v>54.743616732893479</v>
      </c>
      <c r="X142" s="153">
        <f t="shared" si="35"/>
        <v>47976</v>
      </c>
      <c r="Y142" s="380">
        <f t="shared" si="36"/>
        <v>52.591576675669558</v>
      </c>
      <c r="Z142" s="380">
        <f t="shared" si="37"/>
        <v>55.137973376045004</v>
      </c>
      <c r="AA142" s="381">
        <f t="shared" si="38"/>
        <v>57.425628390612289</v>
      </c>
      <c r="AB142" s="193">
        <f t="shared" si="39"/>
        <v>47976</v>
      </c>
      <c r="AC142" s="119">
        <f>IF(OR(t&lt;Tnet,NoTnet),'2030'!Resal_s+('2030'!Salim-'2030'!Resal_s)*(1-EXP(('2030'!Tnet_s-t)/'2030'!Tau_j)),Resal_s+(Salim-Resal_s)*(1-EXP((Tnet_s-t)/Tau_j)))*Salcycl</f>
        <v>3.9836830326113716E-2</v>
      </c>
      <c r="AD142" s="227">
        <f>(INDEX(Models!$BJ142:$BT142,,AH142)*(1-AF142)+INDEX(Models!$BJ142:$BT142,,AH142+1)*AF142-ERP_i)*AE142*Ramure*Pc/MaxiM</f>
        <v>5.9164275624943779E-5</v>
      </c>
      <c r="AE142" s="301">
        <f t="shared" si="40"/>
        <v>0.5</v>
      </c>
      <c r="AF142" s="173">
        <f t="shared" si="41"/>
        <v>0.59572868130847567</v>
      </c>
      <c r="AG142" s="802">
        <f t="shared" si="49"/>
        <v>4</v>
      </c>
      <c r="AH142" s="172">
        <f t="shared" si="42"/>
        <v>10</v>
      </c>
      <c r="AI142" s="221">
        <f t="shared" si="43"/>
        <v>4.5957286813084757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47977</v>
      </c>
      <c r="B143" s="406">
        <f>'2030'!Wh/'2030'!Env_an*'2031'!Env_an</f>
        <v>57.923405363748145</v>
      </c>
      <c r="C143" s="832"/>
      <c r="D143" s="388">
        <f t="shared" ref="D143:D206" si="50">Wh/(1-Ppv)</f>
        <v>60.728791670306883</v>
      </c>
      <c r="E143" s="380">
        <f t="shared" si="47"/>
        <v>60.769230480808979</v>
      </c>
      <c r="F143" s="380">
        <f t="shared" ref="F143:F206" si="51">Wh_sa/(1-Pvg*MEDIAN((-Sdif+Wh/Env_an)/Csdif,0,1))</f>
        <v>60.769691679540145</v>
      </c>
      <c r="G143" s="110">
        <f t="shared" si="48"/>
        <v>0.96486728611550787</v>
      </c>
      <c r="H143" s="409" t="b">
        <f>Wh_hp&gt;='2030'!Maxi_hp</f>
        <v>0</v>
      </c>
      <c r="I143" s="385">
        <f>IF(H143,Wh_hp,'2030'!Maxi_hp)</f>
        <v>60.7697142948535</v>
      </c>
      <c r="J143" s="85">
        <f>IF(H143,An,'2030'!An_max)</f>
        <v>2029</v>
      </c>
      <c r="K143" s="193">
        <f t="shared" ref="K143:K206" si="52">t</f>
        <v>47977</v>
      </c>
      <c r="L143" s="143">
        <f>IF(t&lt;Tvie,1-EXP((T0-t)*PertePVj)+'2030'!Pspv,1-EXP((T0-t)*PertePVj)+Pspv)</f>
        <v>4.619532563382811E-2</v>
      </c>
      <c r="M143" s="836"/>
      <c r="N143" s="836"/>
      <c r="O143" s="48">
        <f>IF(t&lt;Tnet,'2030'!Resal+('2030'!Salim-'2030'!Resal)*(1-EXP(('2030'!Tnet-t)/('2030'!Tau_j))),Resal+(Salim-Resal)*(1-EXP((Tnet-t)/(Tau_j))))*Salcycl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7.9903148678190751E-6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7.4134724151843967E-2</v>
      </c>
      <c r="S143" s="802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1.074134724151844</v>
      </c>
      <c r="V143" s="378">
        <f t="shared" ref="V143:V206" si="58">MaxiM*(1-Ppv)*(1-Pvg)*(1-Psa)</f>
        <v>60.032486299709923</v>
      </c>
      <c r="W143" s="397">
        <f t="shared" ref="W143:W206" si="59">Wh*(A143&gt;Tmaj)</f>
        <v>57.923405363748145</v>
      </c>
      <c r="X143" s="153">
        <f t="shared" ref="X143:X206" si="60">t</f>
        <v>47977</v>
      </c>
      <c r="Y143" s="380">
        <f t="shared" ref="Y143:Y206" si="61">Wh_pvt_s*(1-Ppv)</f>
        <v>55.646832929419467</v>
      </c>
      <c r="Z143" s="380">
        <f t="shared" ref="Z143:Z206" si="62">Wh_sa_s*(1-Psa_s)</f>
        <v>58.341958710150209</v>
      </c>
      <c r="AA143" s="381">
        <f t="shared" ref="AA143:AA206" si="63">Wh_hp*(1-Pvg_s*MEDIAN((-Sdif+Wh/Env_an)/Csdif,0,1))</f>
        <v>60.766477408326473</v>
      </c>
      <c r="AB143" s="193">
        <f t="shared" ref="AB143:AB206" si="64">t</f>
        <v>47977</v>
      </c>
      <c r="AC143" s="119">
        <f>IF(OR(t&lt;Tnet,NoTnet),'2030'!Resal_s+('2030'!Salim-'2030'!Resal_s)*(1-EXP(('2030'!Tnet_s-t)/'2030'!Tau_j)),Resal_s+(Salim-Resal_s)*(1-EXP((Tnet_s-t)/Tau_j)))*Salcycl</f>
        <v>3.9898950894988891E-2</v>
      </c>
      <c r="AD143" s="227">
        <f>(INDEX(Models!$BJ143:$BT143,,AH143)*(1-AF143)+INDEX(Models!$BJ143:$BT143,,AH143+1)*AF143-ERP_i)*AE143*Ramure*Pc/MaxiM</f>
        <v>5.5687575294971638E-5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0.59912229052582067</v>
      </c>
      <c r="AG143" s="802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4.5991222905258207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47978</v>
      </c>
      <c r="B144" s="406">
        <f>'2030'!Wh/'2030'!Env_an*'2031'!Env_an</f>
        <v>56.73736040546153</v>
      </c>
      <c r="C144" s="832"/>
      <c r="D144" s="388">
        <f t="shared" si="50"/>
        <v>59.486117679823622</v>
      </c>
      <c r="E144" s="380">
        <f t="shared" ref="E144:E169" si="72">Wh_pvt/(1-Psa)</f>
        <v>59.530140747211178</v>
      </c>
      <c r="F144" s="380">
        <f t="shared" si="51"/>
        <v>59.530547991464928</v>
      </c>
      <c r="G144" s="110">
        <f t="shared" ref="G144:G169" si="73">+Wh_hp/MaxiM</f>
        <v>0.94310381258912546</v>
      </c>
      <c r="H144" s="409" t="b">
        <f>Wh_hp&gt;='2030'!Maxi_hp</f>
        <v>0</v>
      </c>
      <c r="I144" s="385">
        <f>IF(H144,Wh_hp,'2030'!Maxi_hp)</f>
        <v>59.530581326512973</v>
      </c>
      <c r="J144" s="85">
        <f>IF(H144,An,'2030'!An_max)</f>
        <v>2029</v>
      </c>
      <c r="K144" s="193">
        <f t="shared" si="52"/>
        <v>47978</v>
      </c>
      <c r="L144" s="143">
        <f>IF(t&lt;Tvie,1-EXP((T0-t)*PertePVj)+'2030'!Pspv,1-EXP((T0-t)*PertePVj)+Pspv)</f>
        <v>4.6208382418851501E-2</v>
      </c>
      <c r="M144" s="836"/>
      <c r="N144" s="836"/>
      <c r="O144" s="48">
        <f>IF(t&lt;Tnet,'2030'!Resal+('2030'!Salim-'2030'!Resal)*(1-EXP(('2030'!Tnet-t)/('2030'!Tau_j))),Resal+(Salim-Resal)*(1-EXP((Tnet-t)/(Tau_j))))*Salcycl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7.4461478458454926E-6</v>
      </c>
      <c r="Q144" s="301">
        <f t="shared" si="53"/>
        <v>0.5</v>
      </c>
      <c r="R144" s="173">
        <f t="shared" si="54"/>
        <v>7.7609717698562175E-2</v>
      </c>
      <c r="S144" s="802">
        <f t="shared" si="55"/>
        <v>1</v>
      </c>
      <c r="T144" s="172">
        <f t="shared" si="56"/>
        <v>7</v>
      </c>
      <c r="U144" s="247">
        <f t="shared" si="57"/>
        <v>1.0776097176985622</v>
      </c>
      <c r="V144" s="378">
        <f t="shared" si="58"/>
        <v>60.160212809389492</v>
      </c>
      <c r="W144" s="397">
        <f t="shared" si="59"/>
        <v>56.73736040546153</v>
      </c>
      <c r="X144" s="153">
        <f t="shared" si="60"/>
        <v>47978</v>
      </c>
      <c r="Y144" s="380">
        <f t="shared" si="61"/>
        <v>54.50810457993861</v>
      </c>
      <c r="Z144" s="380">
        <f t="shared" si="62"/>
        <v>57.148861004013874</v>
      </c>
      <c r="AA144" s="381">
        <f t="shared" si="63"/>
        <v>59.527676846698995</v>
      </c>
      <c r="AB144" s="193">
        <f t="shared" si="64"/>
        <v>47978</v>
      </c>
      <c r="AC144" s="119">
        <f>IF(OR(t&lt;Tnet,NoTnet),'2030'!Resal_s+('2030'!Salim-'2030'!Resal_s)*(1-EXP(('2030'!Tnet_s-t)/'2030'!Tau_j)),Resal_s+(Salim-Resal_s)*(1-EXP((Tnet_s-t)/Tau_j)))*Salcycl</f>
        <v>3.9961509816874963E-2</v>
      </c>
      <c r="AD144" s="227">
        <f>(INDEX(Models!$BJ144:$BT144,,AH144)*(1-AF144)+INDEX(Models!$BJ144:$BT144,,AH144+1)*AF144-ERP_i)*AE144*Ramure*Pc/MaxiM</f>
        <v>5.2496672984384366E-5</v>
      </c>
      <c r="AE144" s="301">
        <f t="shared" si="65"/>
        <v>0.5</v>
      </c>
      <c r="AF144" s="173">
        <f t="shared" si="66"/>
        <v>0.6025972840725391</v>
      </c>
      <c r="AG144" s="802">
        <f t="shared" ref="AG144:AG207" si="74">INDEX(Echel_vg,AH144)</f>
        <v>4</v>
      </c>
      <c r="AH144" s="172">
        <f t="shared" si="67"/>
        <v>10</v>
      </c>
      <c r="AI144" s="221">
        <f t="shared" si="68"/>
        <v>4.6025972840725391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47979</v>
      </c>
      <c r="B145" s="406">
        <f>'2030'!Wh/'2030'!Env_an*'2031'!Env_an</f>
        <v>60.524121030439986</v>
      </c>
      <c r="C145" s="832"/>
      <c r="D145" s="388">
        <f t="shared" si="50"/>
        <v>63.457204331137412</v>
      </c>
      <c r="E145" s="380">
        <f t="shared" si="72"/>
        <v>63.508875234653786</v>
      </c>
      <c r="F145" s="380">
        <f t="shared" si="51"/>
        <v>63.509317018832235</v>
      </c>
      <c r="G145" s="110">
        <f t="shared" si="73"/>
        <v>1.0039943016367112</v>
      </c>
      <c r="H145" s="409" t="b">
        <f>Wh_hp&gt;='2030'!Maxi_hp</f>
        <v>1</v>
      </c>
      <c r="I145" s="385">
        <f>IF(H145,Wh_hp,'2030'!Maxi_hp)</f>
        <v>63.509317018832235</v>
      </c>
      <c r="J145" s="85">
        <f>IF(H145,An,'2030'!An_max)</f>
        <v>2031</v>
      </c>
      <c r="K145" s="193">
        <f t="shared" si="52"/>
        <v>47979</v>
      </c>
      <c r="L145" s="143">
        <f>IF(t&lt;Tvie,1-EXP((T0-t)*PertePVj)+'2030'!Pspv,1-EXP((T0-t)*PertePVj)+Pspv)</f>
        <v>4.6221439025138533E-2</v>
      </c>
      <c r="M145" s="836"/>
      <c r="N145" s="836"/>
      <c r="O145" s="48">
        <f>IF(t&lt;Tnet,'2030'!Resal+('2030'!Salim-'2030'!Resal)*(1-EXP(('2030'!Tnet-t)/('2030'!Tau_j))),Resal+(Salim-Resal)*(1-EXP((Tnet-t)/(Tau_j))))*Salcycl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6.9562105087686858E-6</v>
      </c>
      <c r="Q145" s="301">
        <f t="shared" si="53"/>
        <v>0.5</v>
      </c>
      <c r="R145" s="173">
        <f t="shared" si="54"/>
        <v>8.1166018756926528E-2</v>
      </c>
      <c r="S145" s="802">
        <f t="shared" si="55"/>
        <v>1</v>
      </c>
      <c r="T145" s="172">
        <f t="shared" si="56"/>
        <v>7</v>
      </c>
      <c r="U145" s="247">
        <f t="shared" si="57"/>
        <v>1.0811660187569265</v>
      </c>
      <c r="V145" s="378">
        <f t="shared" si="58"/>
        <v>60.28333122187405</v>
      </c>
      <c r="W145" s="397">
        <f t="shared" si="59"/>
        <v>60.524121030439986</v>
      </c>
      <c r="X145" s="153">
        <f t="shared" si="60"/>
        <v>47979</v>
      </c>
      <c r="Y145" s="380">
        <f t="shared" si="61"/>
        <v>58.146504721708936</v>
      </c>
      <c r="Z145" s="380">
        <f t="shared" si="62"/>
        <v>60.964365420708475</v>
      </c>
      <c r="AA145" s="381">
        <f t="shared" si="63"/>
        <v>63.506167348570891</v>
      </c>
      <c r="AB145" s="193">
        <f t="shared" si="64"/>
        <v>47979</v>
      </c>
      <c r="AC145" s="119">
        <f>IF(OR(t&lt;Tnet,NoTnet),'2030'!Resal_s+('2030'!Salim-'2030'!Resal_s)*(1-EXP(('2030'!Tnet_s-t)/'2030'!Tau_j)),Resal_s+(Salim-Resal_s)*(1-EXP((Tnet_s-t)/Tau_j)))*Salcycl</f>
        <v>4.0024489494241471E-2</v>
      </c>
      <c r="AD145" s="227">
        <f>(INDEX(Models!$BJ145:$BT145,,AH145)*(1-AF145)+INDEX(Models!$BJ145:$BT145,,AH145+1)*AF145-ERP_i)*AE145*Ramure*Pc/MaxiM</f>
        <v>4.9593829837690959E-5</v>
      </c>
      <c r="AE145" s="301">
        <f t="shared" si="65"/>
        <v>0.5</v>
      </c>
      <c r="AF145" s="173">
        <f t="shared" si="66"/>
        <v>0.60615358513090367</v>
      </c>
      <c r="AG145" s="802">
        <f t="shared" si="74"/>
        <v>4</v>
      </c>
      <c r="AH145" s="172">
        <f t="shared" si="67"/>
        <v>10</v>
      </c>
      <c r="AI145" s="221">
        <f t="shared" si="68"/>
        <v>4.6061535851309037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47980</v>
      </c>
      <c r="B146" s="406">
        <f>'2030'!Wh/'2030'!Env_an*'2031'!Env_an</f>
        <v>46.086010248653906</v>
      </c>
      <c r="C146" s="832"/>
      <c r="D146" s="388">
        <f t="shared" si="50"/>
        <v>48.320064029289867</v>
      </c>
      <c r="E146" s="380">
        <f t="shared" si="72"/>
        <v>48.36299720668746</v>
      </c>
      <c r="F146" s="380">
        <f t="shared" si="51"/>
        <v>48.363205815868092</v>
      </c>
      <c r="G146" s="110">
        <f t="shared" si="73"/>
        <v>0.76298319568787487</v>
      </c>
      <c r="H146" s="409" t="b">
        <f>Wh_hp&gt;='2030'!Maxi_hp</f>
        <v>0</v>
      </c>
      <c r="I146" s="385">
        <f>IF(H146,Wh_hp,'2030'!Maxi_hp)</f>
        <v>48.363304028487015</v>
      </c>
      <c r="J146" s="85">
        <f>IF(H146,An,'2030'!An_max)</f>
        <v>2029</v>
      </c>
      <c r="K146" s="193">
        <f t="shared" si="52"/>
        <v>47980</v>
      </c>
      <c r="L146" s="143">
        <f>IF(t&lt;Tvie,1-EXP((T0-t)*PertePVj)+'2030'!Pspv,1-EXP((T0-t)*PertePVj)+Pspv)</f>
        <v>4.6234495452691426E-2</v>
      </c>
      <c r="M146" s="836"/>
      <c r="N146" s="836"/>
      <c r="O146" s="48">
        <f>IF(t&lt;Tnet,'2030'!Resal+('2030'!Salim-'2030'!Resal)*(1-EXP(('2030'!Tnet-t)/('2030'!Tau_j))),Resal+(Salim-Resal)*(1-EXP((Tnet-t)/(Tau_j))))*Salcycl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6.5215310706932698E-6</v>
      </c>
      <c r="Q146" s="301">
        <f t="shared" si="53"/>
        <v>0.5</v>
      </c>
      <c r="R146" s="173">
        <f t="shared" si="54"/>
        <v>8.4803406404755144E-2</v>
      </c>
      <c r="S146" s="802">
        <f t="shared" si="55"/>
        <v>1</v>
      </c>
      <c r="T146" s="172">
        <f t="shared" si="56"/>
        <v>7</v>
      </c>
      <c r="U146" s="247">
        <f t="shared" si="57"/>
        <v>1.0848034064047551</v>
      </c>
      <c r="V146" s="378">
        <f t="shared" si="58"/>
        <v>60.402258849324831</v>
      </c>
      <c r="W146" s="397">
        <f t="shared" si="59"/>
        <v>46.086010248653906</v>
      </c>
      <c r="X146" s="153">
        <f t="shared" si="60"/>
        <v>47980</v>
      </c>
      <c r="Y146" s="380">
        <f t="shared" si="61"/>
        <v>44.276641964518674</v>
      </c>
      <c r="Z146" s="380">
        <f t="shared" si="62"/>
        <v>46.422985265685362</v>
      </c>
      <c r="AA146" s="381">
        <f t="shared" si="63"/>
        <v>48.36170297321641</v>
      </c>
      <c r="AB146" s="193">
        <f t="shared" si="64"/>
        <v>47980</v>
      </c>
      <c r="AC146" s="119">
        <f>IF(OR(t&lt;Tnet,NoTnet),'2030'!Resal_s+('2030'!Salim-'2030'!Resal_s)*(1-EXP(('2030'!Tnet_s-t)/'2030'!Tau_j)),Resal_s+(Salim-Resal_s)*(1-EXP((Tnet_s-t)/Tau_j)))*Salcycl</f>
        <v>4.0087870946247467E-2</v>
      </c>
      <c r="AD146" s="227">
        <f>(INDEX(Models!$BJ146:$BT146,,AH146)*(1-AF146)+INDEX(Models!$BJ146:$BT146,,AH146+1)*AF146-ERP_i)*AE146*Ramure*Pc/MaxiM</f>
        <v>4.6981801172189934E-5</v>
      </c>
      <c r="AE146" s="301">
        <f t="shared" si="65"/>
        <v>0.5</v>
      </c>
      <c r="AF146" s="173">
        <f t="shared" si="66"/>
        <v>0.60979097277873251</v>
      </c>
      <c r="AG146" s="802">
        <f t="shared" si="74"/>
        <v>4</v>
      </c>
      <c r="AH146" s="172">
        <f t="shared" si="67"/>
        <v>10</v>
      </c>
      <c r="AI146" s="221">
        <f t="shared" si="68"/>
        <v>4.6097909727787325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47981</v>
      </c>
      <c r="B147" s="406">
        <f>'2030'!Wh/'2030'!Env_an*'2031'!Env_an</f>
        <v>48.835698295511868</v>
      </c>
      <c r="C147" s="832"/>
      <c r="D147" s="388">
        <f t="shared" si="50"/>
        <v>51.203746194975125</v>
      </c>
      <c r="E147" s="380">
        <f t="shared" si="72"/>
        <v>51.253045984800039</v>
      </c>
      <c r="F147" s="380">
        <f t="shared" si="51"/>
        <v>51.253274021002852</v>
      </c>
      <c r="G147" s="110">
        <f t="shared" si="73"/>
        <v>0.80696799909141859</v>
      </c>
      <c r="H147" s="409" t="b">
        <f>Wh_hp&gt;='2030'!Maxi_hp</f>
        <v>0</v>
      </c>
      <c r="I147" s="385">
        <f>IF(H147,Wh_hp,'2030'!Maxi_hp)</f>
        <v>51.253353627075597</v>
      </c>
      <c r="J147" s="85">
        <f>IF(H147,An,'2030'!An_max)</f>
        <v>2029</v>
      </c>
      <c r="K147" s="193">
        <f t="shared" si="52"/>
        <v>47981</v>
      </c>
      <c r="L147" s="143">
        <f>IF(t&lt;Tvie,1-EXP((T0-t)*PertePVj)+'2030'!Pspv,1-EXP((T0-t)*PertePVj)+Pspv)</f>
        <v>4.6247551701512957E-2</v>
      </c>
      <c r="M147" s="836"/>
      <c r="N147" s="836"/>
      <c r="O147" s="48">
        <f>IF(t&lt;Tnet,'2030'!Resal+('2030'!Salim-'2030'!Resal)*(1-EXP(('2030'!Tnet-t)/('2030'!Tau_j))),Resal+(Salim-Resal)*(1-EXP((Tnet-t)/(Tau_j))))*Salcycl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6.1432545356470926E-6</v>
      </c>
      <c r="Q147" s="301">
        <f t="shared" si="53"/>
        <v>0.5</v>
      </c>
      <c r="R147" s="173">
        <f t="shared" si="54"/>
        <v>8.852150953020721E-2</v>
      </c>
      <c r="S147" s="802">
        <f t="shared" si="55"/>
        <v>1</v>
      </c>
      <c r="T147" s="172">
        <f t="shared" si="56"/>
        <v>7</v>
      </c>
      <c r="U147" s="247">
        <f t="shared" si="57"/>
        <v>1.0885215095302072</v>
      </c>
      <c r="V147" s="378">
        <f t="shared" si="58"/>
        <v>60.517412858901722</v>
      </c>
      <c r="W147" s="397">
        <f t="shared" si="59"/>
        <v>48.835698295511868</v>
      </c>
      <c r="X147" s="153">
        <f t="shared" si="60"/>
        <v>47981</v>
      </c>
      <c r="Y147" s="380">
        <f t="shared" si="61"/>
        <v>46.918688104895608</v>
      </c>
      <c r="Z147" s="380">
        <f t="shared" si="62"/>
        <v>49.193779988297237</v>
      </c>
      <c r="AA147" s="381">
        <f t="shared" si="63"/>
        <v>51.251616110849291</v>
      </c>
      <c r="AB147" s="193">
        <f t="shared" si="64"/>
        <v>47981</v>
      </c>
      <c r="AC147" s="119">
        <f>IF(OR(t&lt;Tnet,NoTnet),'2030'!Resal_s+('2030'!Salim-'2030'!Resal_s)*(1-EXP(('2030'!Tnet_s-t)/'2030'!Tau_j)),Resal_s+(Salim-Resal_s)*(1-EXP((Tnet_s-t)/Tau_j)))*Salcycl</f>
        <v>4.0151633815824851E-2</v>
      </c>
      <c r="AD147" s="227">
        <f>(INDEX(Models!$BJ147:$BT147,,AH147)*(1-AF147)+INDEX(Models!$BJ147:$BT147,,AH147+1)*AF147-ERP_i)*AE147*Ramure*Pc/MaxiM</f>
        <v>4.4663803136460036E-5</v>
      </c>
      <c r="AE147" s="301">
        <f t="shared" si="65"/>
        <v>0.5</v>
      </c>
      <c r="AF147" s="173">
        <f t="shared" si="66"/>
        <v>0.61350907590418391</v>
      </c>
      <c r="AG147" s="802">
        <f t="shared" si="74"/>
        <v>4</v>
      </c>
      <c r="AH147" s="172">
        <f t="shared" si="67"/>
        <v>10</v>
      </c>
      <c r="AI147" s="221">
        <f t="shared" si="68"/>
        <v>4.6135090759041839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47982</v>
      </c>
      <c r="B148" s="406">
        <f>'2030'!Wh/'2030'!Env_an*'2031'!Env_an</f>
        <v>54.672459880159998</v>
      </c>
      <c r="C148" s="832"/>
      <c r="D148" s="388">
        <f t="shared" si="50"/>
        <v>57.324317654971551</v>
      </c>
      <c r="E148" s="380">
        <f t="shared" si="72"/>
        <v>57.383772355977371</v>
      </c>
      <c r="F148" s="380">
        <f t="shared" si="51"/>
        <v>57.384059586038106</v>
      </c>
      <c r="G148" s="110">
        <f t="shared" si="73"/>
        <v>0.90175040953379559</v>
      </c>
      <c r="H148" s="409" t="b">
        <f>Wh_hp&gt;='2030'!Maxi_hp</f>
        <v>0</v>
      </c>
      <c r="I148" s="385">
        <f>IF(H148,Wh_hp,'2030'!Maxi_hp)</f>
        <v>57.384102451065466</v>
      </c>
      <c r="J148" s="85">
        <f>IF(H148,An,'2030'!An_max)</f>
        <v>2029</v>
      </c>
      <c r="K148" s="193">
        <f t="shared" si="52"/>
        <v>47982</v>
      </c>
      <c r="L148" s="143">
        <f>IF(t&lt;Tvie,1-EXP((T0-t)*PertePVj)+'2030'!Pspv,1-EXP((T0-t)*PertePVj)+Pspv)</f>
        <v>4.6260607771605344E-2</v>
      </c>
      <c r="M148" s="836"/>
      <c r="N148" s="836"/>
      <c r="O148" s="48">
        <f>IF(t&lt;Tnet,'2030'!Resal+('2030'!Salim-'2030'!Resal)*(1-EXP(('2030'!Tnet-t)/('2030'!Tau_j))),Resal+(Salim-Resal)*(1-EXP((Tnet-t)/(Tau_j))))*Salcycl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5.8226372562724935E-6</v>
      </c>
      <c r="Q148" s="301">
        <f t="shared" si="53"/>
        <v>0.5</v>
      </c>
      <c r="R148" s="173">
        <f t="shared" si="54"/>
        <v>9.2319801095809728E-2</v>
      </c>
      <c r="S148" s="802">
        <f t="shared" si="55"/>
        <v>1</v>
      </c>
      <c r="T148" s="172">
        <f t="shared" si="56"/>
        <v>7</v>
      </c>
      <c r="U148" s="247">
        <f t="shared" si="57"/>
        <v>1.0923198010958097</v>
      </c>
      <c r="V148" s="378">
        <f t="shared" si="58"/>
        <v>60.629210279732497</v>
      </c>
      <c r="W148" s="397">
        <f t="shared" si="59"/>
        <v>54.672459880159998</v>
      </c>
      <c r="X148" s="153">
        <f t="shared" si="60"/>
        <v>47982</v>
      </c>
      <c r="Y148" s="380">
        <f t="shared" si="61"/>
        <v>52.526526762879811</v>
      </c>
      <c r="Z148" s="380">
        <f t="shared" si="62"/>
        <v>55.074297225107316</v>
      </c>
      <c r="AA148" s="381">
        <f t="shared" si="63"/>
        <v>57.381955987918708</v>
      </c>
      <c r="AB148" s="193">
        <f t="shared" si="64"/>
        <v>47982</v>
      </c>
      <c r="AC148" s="119">
        <f>IF(OR(t&lt;Tnet,NoTnet),'2030'!Resal_s+('2030'!Salim-'2030'!Resal_s)*(1-EXP(('2030'!Tnet_s-t)/'2030'!Tau_j)),Resal_s+(Salim-Resal_s)*(1-EXP((Tnet_s-t)/Tau_j)))*Salcycl</f>
        <v>4.0215756383369959E-2</v>
      </c>
      <c r="AD148" s="227">
        <f>(INDEX(Models!$BJ148:$BT148,,AH148)*(1-AF148)+INDEX(Models!$BJ148:$BT148,,AH148+1)*AF148-ERP_i)*AE148*Ramure*Pc/MaxiM</f>
        <v>4.2643478022257362E-5</v>
      </c>
      <c r="AE148" s="301">
        <f t="shared" si="65"/>
        <v>0.5</v>
      </c>
      <c r="AF148" s="173">
        <f t="shared" si="66"/>
        <v>0.61730736746978643</v>
      </c>
      <c r="AG148" s="802">
        <f t="shared" si="74"/>
        <v>4</v>
      </c>
      <c r="AH148" s="172">
        <f t="shared" si="67"/>
        <v>10</v>
      </c>
      <c r="AI148" s="221">
        <f t="shared" si="68"/>
        <v>4.6173073674697864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47983</v>
      </c>
      <c r="B149" s="406">
        <f>'2030'!Wh/'2030'!Env_an*'2031'!Env_an</f>
        <v>56.437239802818311</v>
      </c>
      <c r="C149" s="832"/>
      <c r="D149" s="388">
        <f t="shared" si="50"/>
        <v>59.175507325902814</v>
      </c>
      <c r="E149" s="380">
        <f t="shared" si="72"/>
        <v>59.24128448902777</v>
      </c>
      <c r="F149" s="380">
        <f t="shared" si="51"/>
        <v>59.241580626462451</v>
      </c>
      <c r="G149" s="110">
        <f t="shared" si="73"/>
        <v>0.92921286003071379</v>
      </c>
      <c r="H149" s="409" t="b">
        <f>Wh_hp&gt;='2030'!Maxi_hp</f>
        <v>0</v>
      </c>
      <c r="I149" s="385">
        <f>IF(H149,Wh_hp,'2030'!Maxi_hp)</f>
        <v>59.241610983913915</v>
      </c>
      <c r="J149" s="85">
        <f>IF(H149,An,'2030'!An_max)</f>
        <v>2029</v>
      </c>
      <c r="K149" s="193">
        <f t="shared" si="52"/>
        <v>47983</v>
      </c>
      <c r="L149" s="143">
        <f>IF(t&lt;Tvie,1-EXP((T0-t)*PertePVj)+'2030'!Pspv,1-EXP((T0-t)*PertePVj)+Pspv)</f>
        <v>4.6273663662971032E-2</v>
      </c>
      <c r="M149" s="836"/>
      <c r="N149" s="836"/>
      <c r="O149" s="48">
        <f>IF(t&lt;Tnet,'2030'!Resal+('2030'!Salim-'2030'!Resal)*(1-EXP(('2030'!Tnet-t)/('2030'!Tau_j))),Resal+(Salim-Resal)*(1-EXP((Tnet-t)/(Tau_j))))*Salcycl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5.5611775588410134E-6</v>
      </c>
      <c r="Q149" s="301">
        <f t="shared" si="53"/>
        <v>0.5</v>
      </c>
      <c r="R149" s="173">
        <f t="shared" si="54"/>
        <v>9.6197592810849386E-2</v>
      </c>
      <c r="S149" s="802">
        <f t="shared" si="55"/>
        <v>1</v>
      </c>
      <c r="T149" s="172">
        <f t="shared" si="56"/>
        <v>7</v>
      </c>
      <c r="U149" s="247">
        <f t="shared" si="57"/>
        <v>1.0961975928108494</v>
      </c>
      <c r="V149" s="378">
        <f t="shared" si="58"/>
        <v>60.736576614263697</v>
      </c>
      <c r="W149" s="397">
        <f t="shared" si="59"/>
        <v>56.437239802818311</v>
      </c>
      <c r="X149" s="153">
        <f t="shared" si="60"/>
        <v>47983</v>
      </c>
      <c r="Y149" s="380">
        <f t="shared" si="61"/>
        <v>54.222418402347024</v>
      </c>
      <c r="Z149" s="380">
        <f t="shared" si="62"/>
        <v>56.853225434246411</v>
      </c>
      <c r="AA149" s="381">
        <f t="shared" si="63"/>
        <v>59.239401289451514</v>
      </c>
      <c r="AB149" s="193">
        <f t="shared" si="64"/>
        <v>47983</v>
      </c>
      <c r="AC149" s="119">
        <f>IF(OR(t&lt;Tnet,NoTnet),'2030'!Resal_s+('2030'!Salim-'2030'!Resal_s)*(1-EXP(('2030'!Tnet_s-t)/'2030'!Tau_j)),Resal_s+(Salim-Resal_s)*(1-EXP((Tnet_s-t)/Tau_j)))*Salcycl</f>
        <v>4.0280215587357747E-2</v>
      </c>
      <c r="AD149" s="227">
        <f>(INDEX(Models!$BJ149:$BT149,,AH149)*(1-AF149)+INDEX(Models!$BJ149:$BT149,,AH149+1)*AF149-ERP_i)*AE149*Ramure*Pc/MaxiM</f>
        <v>4.092586299156412E-5</v>
      </c>
      <c r="AE149" s="301">
        <f t="shared" si="65"/>
        <v>0.5</v>
      </c>
      <c r="AF149" s="173">
        <f t="shared" si="66"/>
        <v>0.62118515918482586</v>
      </c>
      <c r="AG149" s="802">
        <f t="shared" si="74"/>
        <v>4</v>
      </c>
      <c r="AH149" s="172">
        <f t="shared" si="67"/>
        <v>10</v>
      </c>
      <c r="AI149" s="221">
        <f t="shared" si="68"/>
        <v>4.6211851591848259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47984</v>
      </c>
      <c r="B150" s="406">
        <f>'2030'!Wh/'2030'!Env_an*'2031'!Env_an</f>
        <v>55.159404305866367</v>
      </c>
      <c r="C150" s="832"/>
      <c r="D150" s="388">
        <f t="shared" si="50"/>
        <v>57.836464508236695</v>
      </c>
      <c r="E150" s="380">
        <f t="shared" si="72"/>
        <v>57.905059006184558</v>
      </c>
      <c r="F150" s="380">
        <f t="shared" si="51"/>
        <v>57.905327860524018</v>
      </c>
      <c r="G150" s="110">
        <f t="shared" si="73"/>
        <v>0.90665527490556352</v>
      </c>
      <c r="H150" s="409" t="b">
        <f>Wh_hp&gt;='2030'!Maxi_hp</f>
        <v>0</v>
      </c>
      <c r="I150" s="385">
        <f>IF(H150,Wh_hp,'2030'!Maxi_hp)</f>
        <v>57.905365437101423</v>
      </c>
      <c r="J150" s="85">
        <f>IF(H150,An,'2030'!An_max)</f>
        <v>2029</v>
      </c>
      <c r="K150" s="193">
        <f t="shared" si="52"/>
        <v>47984</v>
      </c>
      <c r="L150" s="143">
        <f>IF(t&lt;Tvie,1-EXP((T0-t)*PertePVj)+'2030'!Pspv,1-EXP((T0-t)*PertePVj)+Pspv)</f>
        <v>4.6286719375612573E-2</v>
      </c>
      <c r="M150" s="836"/>
      <c r="N150" s="836"/>
      <c r="O150" s="48">
        <f>IF(t&lt;Tnet,'2030'!Resal+('2030'!Salim-'2030'!Resal)*(1-EXP(('2030'!Tnet-t)/('2030'!Tau_j))),Resal+(Salim-Resal)*(1-EXP((Tnet-t)/(Tau_j))))*Salcycl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5.357400622791618E-6</v>
      </c>
      <c r="Q150" s="301">
        <f t="shared" si="53"/>
        <v>0.5</v>
      </c>
      <c r="R150" s="173">
        <f t="shared" si="54"/>
        <v>0.10015403027197545</v>
      </c>
      <c r="S150" s="802">
        <f t="shared" si="55"/>
        <v>1</v>
      </c>
      <c r="T150" s="172">
        <f t="shared" si="56"/>
        <v>7</v>
      </c>
      <c r="U150" s="247">
        <f t="shared" si="57"/>
        <v>1.1001540302719754</v>
      </c>
      <c r="V150" s="378">
        <f t="shared" si="58"/>
        <v>60.838299215126511</v>
      </c>
      <c r="W150" s="397">
        <f t="shared" si="59"/>
        <v>55.159404305866367</v>
      </c>
      <c r="X150" s="153">
        <f t="shared" si="60"/>
        <v>47984</v>
      </c>
      <c r="Y150" s="380">
        <f t="shared" si="61"/>
        <v>52.995212173828705</v>
      </c>
      <c r="Z150" s="380">
        <f t="shared" si="62"/>
        <v>55.567237292882425</v>
      </c>
      <c r="AA150" s="381">
        <f t="shared" si="63"/>
        <v>57.903347081147288</v>
      </c>
      <c r="AB150" s="193">
        <f t="shared" si="64"/>
        <v>47984</v>
      </c>
      <c r="AC150" s="119">
        <f>IF(OR(t&lt;Tnet,NoTnet),'2030'!Resal_s+('2030'!Salim-'2030'!Resal_s)*(1-EXP(('2030'!Tnet_s-t)/'2030'!Tau_j)),Resal_s+(Salim-Resal_s)*(1-EXP((Tnet_s-t)/Tau_j)))*Salcycl</f>
        <v>4.0344987052147056E-2</v>
      </c>
      <c r="AD150" s="227">
        <f>(INDEX(Models!$BJ150:$BT150,,AH150)*(1-AF150)+INDEX(Models!$BJ150:$BT150,,AH150+1)*AF150-ERP_i)*AE150*Ramure*Pc/MaxiM</f>
        <v>3.9470550068291907E-5</v>
      </c>
      <c r="AE150" s="301">
        <f t="shared" si="65"/>
        <v>0.5</v>
      </c>
      <c r="AF150" s="173">
        <f t="shared" si="66"/>
        <v>0.62514159664595237</v>
      </c>
      <c r="AG150" s="802">
        <f t="shared" si="74"/>
        <v>4</v>
      </c>
      <c r="AH150" s="172">
        <f t="shared" si="67"/>
        <v>10</v>
      </c>
      <c r="AI150" s="221">
        <f t="shared" si="68"/>
        <v>4.6251415966459524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47985</v>
      </c>
      <c r="B151" s="406">
        <f>'2030'!Wh/'2030'!Env_an*'2031'!Env_an</f>
        <v>58.907481456313832</v>
      </c>
      <c r="C151" s="832"/>
      <c r="D151" s="388">
        <f t="shared" si="50"/>
        <v>61.767293229616143</v>
      </c>
      <c r="E151" s="380">
        <f t="shared" si="72"/>
        <v>61.845151273308957</v>
      </c>
      <c r="F151" s="380">
        <f t="shared" si="51"/>
        <v>61.845456124894667</v>
      </c>
      <c r="G151" s="110">
        <f t="shared" si="73"/>
        <v>0.96673280660718486</v>
      </c>
      <c r="H151" s="409" t="b">
        <f>Wh_hp&gt;='2030'!Maxi_hp</f>
        <v>0</v>
      </c>
      <c r="I151" s="385">
        <f>IF(H151,Wh_hp,'2030'!Maxi_hp)</f>
        <v>61.845469898094777</v>
      </c>
      <c r="J151" s="85">
        <f>IF(H151,An,'2030'!An_max)</f>
        <v>2029</v>
      </c>
      <c r="K151" s="193">
        <f t="shared" si="52"/>
        <v>47985</v>
      </c>
      <c r="L151" s="143">
        <f>IF(t&lt;Tvie,1-EXP((T0-t)*PertePVj)+'2030'!Pspv,1-EXP((T0-t)*PertePVj)+Pspv)</f>
        <v>4.629977490953241E-2</v>
      </c>
      <c r="M151" s="836"/>
      <c r="N151" s="836"/>
      <c r="O151" s="48">
        <f>IF(t&lt;Tnet,'2030'!Resal+('2030'!Salim-'2030'!Resal)*(1-EXP(('2030'!Tnet-t)/('2030'!Tau_j))),Resal+(Salim-Resal)*(1-EXP((Tnet-t)/(Tau_j))))*Salcycl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5.1751950352195627E-6</v>
      </c>
      <c r="Q151" s="301">
        <f t="shared" si="53"/>
        <v>0.5</v>
      </c>
      <c r="R151" s="173">
        <f t="shared" si="54"/>
        <v>0.10418808863194928</v>
      </c>
      <c r="S151" s="802">
        <f t="shared" si="55"/>
        <v>1</v>
      </c>
      <c r="T151" s="172">
        <f t="shared" si="56"/>
        <v>7</v>
      </c>
      <c r="U151" s="247">
        <f t="shared" si="57"/>
        <v>1.1041880886319493</v>
      </c>
      <c r="V151" s="378">
        <f t="shared" si="58"/>
        <v>60.934589749629829</v>
      </c>
      <c r="W151" s="397">
        <f t="shared" si="59"/>
        <v>58.907481456313832</v>
      </c>
      <c r="X151" s="153">
        <f t="shared" si="60"/>
        <v>47985</v>
      </c>
      <c r="Y151" s="380">
        <f t="shared" si="61"/>
        <v>56.596502721162182</v>
      </c>
      <c r="Z151" s="380">
        <f t="shared" si="62"/>
        <v>59.344122222256438</v>
      </c>
      <c r="AA151" s="381">
        <f t="shared" si="63"/>
        <v>61.84320909223689</v>
      </c>
      <c r="AB151" s="193">
        <f t="shared" si="64"/>
        <v>47985</v>
      </c>
      <c r="AC151" s="119">
        <f>IF(OR(t&lt;Tnet,NoTnet),'2030'!Resal_s+('2030'!Salim-'2030'!Resal_s)*(1-EXP(('2030'!Tnet_s-t)/'2030'!Tau_j)),Resal_s+(Salim-Resal_s)*(1-EXP((Tnet_s-t)/Tau_j)))*Salcycl</f>
        <v>4.041004512319462E-2</v>
      </c>
      <c r="AD151" s="227">
        <f>(INDEX(Models!$BJ151:$BT151,,AH151)*(1-AF151)+INDEX(Models!$BJ151:$BT151,,AH151+1)*AF151-ERP_i)*AE151*Ramure*Pc/MaxiM</f>
        <v>3.8145880814726239E-5</v>
      </c>
      <c r="AE151" s="301">
        <f t="shared" si="65"/>
        <v>0.5</v>
      </c>
      <c r="AF151" s="173">
        <f t="shared" si="66"/>
        <v>0.62917565500592598</v>
      </c>
      <c r="AG151" s="802">
        <f t="shared" si="74"/>
        <v>4</v>
      </c>
      <c r="AH151" s="172">
        <f t="shared" si="67"/>
        <v>10</v>
      </c>
      <c r="AI151" s="221">
        <f t="shared" si="68"/>
        <v>4.629175655005926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47986</v>
      </c>
      <c r="B152" s="406">
        <f>'2030'!Wh/'2030'!Env_an*'2031'!Env_an</f>
        <v>56.244629807487307</v>
      </c>
      <c r="C152" s="832"/>
      <c r="D152" s="388">
        <f t="shared" si="50"/>
        <v>58.97597408498239</v>
      </c>
      <c r="E152" s="380">
        <f t="shared" si="72"/>
        <v>59.054710297005329</v>
      </c>
      <c r="F152" s="380">
        <f t="shared" si="51"/>
        <v>59.054973309804438</v>
      </c>
      <c r="G152" s="110">
        <f t="shared" si="73"/>
        <v>0.92165493063598547</v>
      </c>
      <c r="H152" s="409" t="b">
        <f>Wh_hp&gt;='2030'!Maxi_hp</f>
        <v>0</v>
      </c>
      <c r="I152" s="385">
        <f>IF(H152,Wh_hp,'2030'!Maxi_hp)</f>
        <v>59.0550032284944</v>
      </c>
      <c r="J152" s="85">
        <f>IF(H152,An,'2030'!An_max)</f>
        <v>2029</v>
      </c>
      <c r="K152" s="193">
        <f t="shared" si="52"/>
        <v>47986</v>
      </c>
      <c r="L152" s="143">
        <f>IF(t&lt;Tvie,1-EXP((T0-t)*PertePVj)+'2030'!Pspv,1-EXP((T0-t)*PertePVj)+Pspv)</f>
        <v>4.6312830264732985E-2</v>
      </c>
      <c r="M152" s="836"/>
      <c r="N152" s="836"/>
      <c r="O152" s="48">
        <f>IF(t&lt;Tnet,'2030'!Resal+('2030'!Salim-'2030'!Resal)*(1-EXP(('2030'!Tnet-t)/('2030'!Tau_j))),Resal+(Salim-Resal)*(1-EXP((Tnet-t)/(Tau_j))))*Salcycl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5.0149741841970696E-6</v>
      </c>
      <c r="Q152" s="301">
        <f t="shared" si="53"/>
        <v>0.5</v>
      </c>
      <c r="R152" s="173">
        <f t="shared" si="54"/>
        <v>0.10829856885590639</v>
      </c>
      <c r="S152" s="802">
        <f t="shared" si="55"/>
        <v>1</v>
      </c>
      <c r="T152" s="172">
        <f t="shared" si="56"/>
        <v>7</v>
      </c>
      <c r="U152" s="247">
        <f t="shared" si="57"/>
        <v>1.1082985688559064</v>
      </c>
      <c r="V152" s="378">
        <f t="shared" si="58"/>
        <v>61.025657617387246</v>
      </c>
      <c r="W152" s="397">
        <f t="shared" si="59"/>
        <v>56.244629807487307</v>
      </c>
      <c r="X152" s="153">
        <f t="shared" si="60"/>
        <v>47986</v>
      </c>
      <c r="Y152" s="380">
        <f t="shared" si="61"/>
        <v>54.038625630398151</v>
      </c>
      <c r="Z152" s="380">
        <f t="shared" si="62"/>
        <v>56.662842224666477</v>
      </c>
      <c r="AA152" s="381">
        <f t="shared" si="63"/>
        <v>59.053035257647387</v>
      </c>
      <c r="AB152" s="193">
        <f t="shared" si="64"/>
        <v>47986</v>
      </c>
      <c r="AC152" s="119">
        <f>IF(OR(t&lt;Tnet,NoTnet),'2030'!Resal_s+('2030'!Salim-'2030'!Resal_s)*(1-EXP(('2030'!Tnet_s-t)/'2030'!Tau_j)),Resal_s+(Salim-Resal_s)*(1-EXP((Tnet_s-t)/Tau_j)))*Salcycl</f>
        <v>4.0475362909840877E-2</v>
      </c>
      <c r="AD152" s="227">
        <f>(INDEX(Models!$BJ152:$BT152,,AH152)*(1-AF152)+INDEX(Models!$BJ152:$BT152,,AH152+1)*AF152-ERP_i)*AE152*Ramure*Pc/MaxiM</f>
        <v>3.6953644721054664E-5</v>
      </c>
      <c r="AE152" s="301">
        <f t="shared" si="65"/>
        <v>0.5</v>
      </c>
      <c r="AF152" s="173">
        <f t="shared" si="66"/>
        <v>0.63328613522988331</v>
      </c>
      <c r="AG152" s="802">
        <f t="shared" si="74"/>
        <v>4</v>
      </c>
      <c r="AH152" s="172">
        <f t="shared" si="67"/>
        <v>10</v>
      </c>
      <c r="AI152" s="221">
        <f t="shared" si="68"/>
        <v>4.6332861352298833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47987</v>
      </c>
      <c r="B153" s="406">
        <f>'2030'!Wh/'2030'!Env_an*'2031'!Env_an</f>
        <v>55.043162510114186</v>
      </c>
      <c r="C153" s="832"/>
      <c r="D153" s="388">
        <f t="shared" si="50"/>
        <v>57.716951388137304</v>
      </c>
      <c r="E153" s="380">
        <f t="shared" si="72"/>
        <v>57.798312507493328</v>
      </c>
      <c r="F153" s="380">
        <f t="shared" si="51"/>
        <v>57.798554412162488</v>
      </c>
      <c r="G153" s="110">
        <f t="shared" si="73"/>
        <v>0.90069681375025201</v>
      </c>
      <c r="H153" s="409" t="b">
        <f>Wh_hp&gt;='2030'!Maxi_hp</f>
        <v>0</v>
      </c>
      <c r="I153" s="385">
        <f>IF(H153,Wh_hp,'2030'!Maxi_hp)</f>
        <v>57.798590392687245</v>
      </c>
      <c r="J153" s="85">
        <f>IF(H153,An,'2030'!An_max)</f>
        <v>2029</v>
      </c>
      <c r="K153" s="193">
        <f t="shared" si="52"/>
        <v>47987</v>
      </c>
      <c r="L153" s="143">
        <f>IF(t&lt;Tvie,1-EXP((T0-t)*PertePVj)+'2030'!Pspv,1-EXP((T0-t)*PertePVj)+Pspv)</f>
        <v>4.632588544121663E-2</v>
      </c>
      <c r="M153" s="836"/>
      <c r="N153" s="836"/>
      <c r="O153" s="48">
        <f>IF(t&lt;Tnet,'2030'!Resal+('2030'!Salim-'2030'!Resal)*(1-EXP(('2030'!Tnet-t)/('2030'!Tau_j))),Resal+(Salim-Resal)*(1-EXP((Tnet-t)/(Tau_j))))*Salcycl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4.8771884388492093E-6</v>
      </c>
      <c r="Q153" s="301">
        <f t="shared" si="53"/>
        <v>0.5</v>
      </c>
      <c r="R153" s="173">
        <f t="shared" si="54"/>
        <v>0.11248409462320286</v>
      </c>
      <c r="S153" s="802">
        <f t="shared" si="55"/>
        <v>1</v>
      </c>
      <c r="T153" s="172">
        <f t="shared" si="56"/>
        <v>7</v>
      </c>
      <c r="U153" s="247">
        <f t="shared" si="57"/>
        <v>1.1124840946232029</v>
      </c>
      <c r="V153" s="378">
        <f t="shared" si="58"/>
        <v>61.111712161392013</v>
      </c>
      <c r="W153" s="397">
        <f t="shared" si="59"/>
        <v>55.043162510114186</v>
      </c>
      <c r="X153" s="153">
        <f t="shared" si="60"/>
        <v>47987</v>
      </c>
      <c r="Y153" s="380">
        <f t="shared" si="61"/>
        <v>52.884701082777262</v>
      </c>
      <c r="Z153" s="380">
        <f t="shared" si="62"/>
        <v>55.453640059470764</v>
      </c>
      <c r="AA153" s="381">
        <f t="shared" si="63"/>
        <v>57.796774007811848</v>
      </c>
      <c r="AB153" s="193">
        <f t="shared" si="64"/>
        <v>47987</v>
      </c>
      <c r="AC153" s="119">
        <f>IF(OR(t&lt;Tnet,NoTnet),'2030'!Resal_s+('2030'!Salim-'2030'!Resal_s)*(1-EXP(('2030'!Tnet_s-t)/'2030'!Tau_j)),Resal_s+(Salim-Resal_s)*(1-EXP((Tnet_s-t)/Tau_j)))*Salcycl</f>
        <v>4.0540912335771256E-2</v>
      </c>
      <c r="AD153" s="227">
        <f>(INDEX(Models!$BJ153:$BT153,,AH153)*(1-AF153)+INDEX(Models!$BJ153:$BT153,,AH153+1)*AF153-ERP_i)*AE153*Ramure*Pc/MaxiM</f>
        <v>3.5895824357860207E-5</v>
      </c>
      <c r="AE153" s="301">
        <f t="shared" si="65"/>
        <v>0.5</v>
      </c>
      <c r="AF153" s="173">
        <f t="shared" si="66"/>
        <v>0.63747166099717933</v>
      </c>
      <c r="AG153" s="802">
        <f t="shared" si="74"/>
        <v>4</v>
      </c>
      <c r="AH153" s="172">
        <f t="shared" si="67"/>
        <v>10</v>
      </c>
      <c r="AI153" s="221">
        <f t="shared" si="68"/>
        <v>4.6374716609971793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47988</v>
      </c>
      <c r="B154" s="406">
        <f>'2030'!Wh/'2030'!Env_an*'2031'!Env_an</f>
        <v>52.312672116449143</v>
      </c>
      <c r="C154" s="832"/>
      <c r="D154" s="388">
        <f t="shared" si="50"/>
        <v>54.854575000188774</v>
      </c>
      <c r="E154" s="380">
        <f t="shared" si="72"/>
        <v>54.935996227844278</v>
      </c>
      <c r="F154" s="380">
        <f t="shared" si="51"/>
        <v>54.93620361361657</v>
      </c>
      <c r="G154" s="110">
        <f t="shared" si="73"/>
        <v>0.85487968215719401</v>
      </c>
      <c r="H154" s="409" t="b">
        <f>Wh_hp&gt;='2030'!Maxi_hp</f>
        <v>0</v>
      </c>
      <c r="I154" s="385">
        <f>IF(H154,Wh_hp,'2030'!Maxi_hp)</f>
        <v>54.936252257049425</v>
      </c>
      <c r="J154" s="85">
        <f>IF(H154,An,'2030'!An_max)</f>
        <v>2029</v>
      </c>
      <c r="K154" s="193">
        <f t="shared" si="52"/>
        <v>47988</v>
      </c>
      <c r="L154" s="143">
        <f>IF(t&lt;Tvie,1-EXP((T0-t)*PertePVj)+'2030'!Pspv,1-EXP((T0-t)*PertePVj)+Pspv)</f>
        <v>4.6338940438985898E-2</v>
      </c>
      <c r="M154" s="836"/>
      <c r="N154" s="836"/>
      <c r="O154" s="48">
        <f>IF(t&lt;Tnet,'2030'!Resal+('2030'!Salim-'2030'!Resal)*(1-EXP(('2030'!Tnet-t)/('2030'!Tau_j))),Resal+(Salim-Resal)*(1-EXP((Tnet-t)/(Tau_j))))*Salcycl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4.7623232554400653E-6</v>
      </c>
      <c r="Q154" s="301">
        <f t="shared" si="53"/>
        <v>0.5</v>
      </c>
      <c r="R154" s="173">
        <f t="shared" si="54"/>
        <v>0.11674310993086356</v>
      </c>
      <c r="S154" s="802">
        <f t="shared" si="55"/>
        <v>1</v>
      </c>
      <c r="T154" s="172">
        <f t="shared" si="56"/>
        <v>7</v>
      </c>
      <c r="U154" s="247">
        <f t="shared" si="57"/>
        <v>1.1167431099308636</v>
      </c>
      <c r="V154" s="378">
        <f t="shared" si="58"/>
        <v>61.192962659094214</v>
      </c>
      <c r="W154" s="397">
        <f t="shared" si="59"/>
        <v>52.312672116449143</v>
      </c>
      <c r="X154" s="153">
        <f t="shared" si="60"/>
        <v>47988</v>
      </c>
      <c r="Y154" s="380">
        <f t="shared" si="61"/>
        <v>50.261720480461804</v>
      </c>
      <c r="Z154" s="380">
        <f t="shared" si="62"/>
        <v>52.703966442331307</v>
      </c>
      <c r="AA154" s="381">
        <f t="shared" si="63"/>
        <v>54.934680568975885</v>
      </c>
      <c r="AB154" s="193">
        <f t="shared" si="64"/>
        <v>47988</v>
      </c>
      <c r="AC154" s="119">
        <f>IF(OR(t&lt;Tnet,NoTnet),'2030'!Resal_s+('2030'!Salim-'2030'!Resal_s)*(1-EXP(('2030'!Tnet_s-t)/'2030'!Tau_j)),Resal_s+(Salim-Resal_s)*(1-EXP((Tnet_s-t)/Tau_j)))*Salcycl</f>
        <v>4.0606664197195073E-2</v>
      </c>
      <c r="AD154" s="227">
        <f>(INDEX(Models!$BJ154:$BT154,,AH154)*(1-AF154)+INDEX(Models!$BJ154:$BT154,,AH154+1)*AF154-ERP_i)*AE154*Ramure*Pc/MaxiM</f>
        <v>3.4974583025719216E-5</v>
      </c>
      <c r="AE154" s="301">
        <f t="shared" si="65"/>
        <v>0.5</v>
      </c>
      <c r="AF154" s="173">
        <f t="shared" si="66"/>
        <v>0.64173067630484049</v>
      </c>
      <c r="AG154" s="802">
        <f t="shared" si="74"/>
        <v>4</v>
      </c>
      <c r="AH154" s="172">
        <f t="shared" si="67"/>
        <v>10</v>
      </c>
      <c r="AI154" s="221">
        <f t="shared" si="68"/>
        <v>4.6417306763048405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47989</v>
      </c>
      <c r="B155" s="406">
        <f>'2030'!Wh/'2030'!Env_an*'2031'!Env_an</f>
        <v>54.783004969610708</v>
      </c>
      <c r="C155" s="832"/>
      <c r="D155" s="388">
        <f t="shared" si="50"/>
        <v>57.44572913402591</v>
      </c>
      <c r="E155" s="380">
        <f t="shared" si="72"/>
        <v>57.535287919420639</v>
      </c>
      <c r="F155" s="380">
        <f t="shared" si="51"/>
        <v>57.535516016524305</v>
      </c>
      <c r="G155" s="110">
        <f t="shared" si="73"/>
        <v>0.89412938677458487</v>
      </c>
      <c r="H155" s="409" t="b">
        <f>Wh_hp&gt;='2030'!Maxi_hp</f>
        <v>0</v>
      </c>
      <c r="I155" s="385">
        <f>IF(H155,Wh_hp,'2030'!Maxi_hp)</f>
        <v>57.535552350788613</v>
      </c>
      <c r="J155" s="85">
        <f>IF(H155,An,'2030'!An_max)</f>
        <v>2029</v>
      </c>
      <c r="K155" s="193">
        <f t="shared" si="52"/>
        <v>47989</v>
      </c>
      <c r="L155" s="143">
        <f>IF(t&lt;Tvie,1-EXP((T0-t)*PertePVj)+'2030'!Pspv,1-EXP((T0-t)*PertePVj)+Pspv)</f>
        <v>4.6351995258043233E-2</v>
      </c>
      <c r="M155" s="836"/>
      <c r="N155" s="836"/>
      <c r="O155" s="48">
        <f>IF(t&lt;Tnet,'2030'!Resal+('2030'!Salim-'2030'!Resal)*(1-EXP(('2030'!Tnet-t)/('2030'!Tau_j))),Resal+(Salim-Resal)*(1-EXP((Tnet-t)/(Tau_j))))*Salcycl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4.6708971291776479E-6</v>
      </c>
      <c r="Q155" s="301">
        <f t="shared" si="53"/>
        <v>0.5</v>
      </c>
      <c r="R155" s="173">
        <f t="shared" si="54"/>
        <v>0.12107387745180631</v>
      </c>
      <c r="S155" s="802">
        <f t="shared" si="55"/>
        <v>1</v>
      </c>
      <c r="T155" s="172">
        <f t="shared" si="56"/>
        <v>7</v>
      </c>
      <c r="U155" s="247">
        <f t="shared" si="57"/>
        <v>1.1210738774518063</v>
      </c>
      <c r="V155" s="378">
        <f t="shared" si="58"/>
        <v>61.269618333636693</v>
      </c>
      <c r="W155" s="397">
        <f t="shared" si="59"/>
        <v>54.783004969610708</v>
      </c>
      <c r="X155" s="153">
        <f t="shared" si="60"/>
        <v>47989</v>
      </c>
      <c r="Y155" s="380">
        <f t="shared" si="61"/>
        <v>52.635453280675002</v>
      </c>
      <c r="Z155" s="380">
        <f t="shared" si="62"/>
        <v>55.1937958439051</v>
      </c>
      <c r="AA155" s="381">
        <f t="shared" si="63"/>
        <v>57.533846282987454</v>
      </c>
      <c r="AB155" s="193">
        <f t="shared" si="64"/>
        <v>47989</v>
      </c>
      <c r="AC155" s="119">
        <f>IF(OR(t&lt;Tnet,NoTnet),'2030'!Resal_s+('2030'!Salim-'2030'!Resal_s)*(1-EXP(('2030'!Tnet_s-t)/'2030'!Tau_j)),Resal_s+(Salim-Resal_s)*(1-EXP((Tnet_s-t)/Tau_j)))*Salcycl</f>
        <v>4.0672588228718866E-2</v>
      </c>
      <c r="AD155" s="227">
        <f>(INDEX(Models!$BJ155:$BT155,,AH155)*(1-AF155)+INDEX(Models!$BJ155:$BT155,,AH155+1)*AF155-ERP_i)*AE155*Ramure*Pc/MaxiM</f>
        <v>3.4192251713818362E-5</v>
      </c>
      <c r="AE155" s="301">
        <f t="shared" si="65"/>
        <v>0.5</v>
      </c>
      <c r="AF155" s="173">
        <f t="shared" si="66"/>
        <v>0.64606144382578368</v>
      </c>
      <c r="AG155" s="802">
        <f t="shared" si="74"/>
        <v>4</v>
      </c>
      <c r="AH155" s="172">
        <f t="shared" si="67"/>
        <v>10</v>
      </c>
      <c r="AI155" s="221">
        <f t="shared" si="68"/>
        <v>4.6460614438257837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47990</v>
      </c>
      <c r="B156" s="406">
        <f>'2030'!Wh/'2030'!Env_an*'2031'!Env_an</f>
        <v>42.360332156034183</v>
      </c>
      <c r="C156" s="832"/>
      <c r="D156" s="388">
        <f t="shared" si="50"/>
        <v>44.419861238853215</v>
      </c>
      <c r="E156" s="380">
        <f t="shared" si="72"/>
        <v>44.492433147023235</v>
      </c>
      <c r="F156" s="380">
        <f t="shared" si="51"/>
        <v>44.492547307548691</v>
      </c>
      <c r="G156" s="110">
        <f t="shared" si="73"/>
        <v>0.69055986014857684</v>
      </c>
      <c r="H156" s="409" t="b">
        <f>Wh_hp&gt;='2030'!Maxi_hp</f>
        <v>0</v>
      </c>
      <c r="I156" s="385">
        <f>IF(H156,Wh_hp,'2030'!Maxi_hp)</f>
        <v>44.492627896286265</v>
      </c>
      <c r="J156" s="85">
        <f>IF(H156,An,'2030'!An_max)</f>
        <v>2029</v>
      </c>
      <c r="K156" s="193">
        <f t="shared" si="52"/>
        <v>47990</v>
      </c>
      <c r="L156" s="143">
        <f>IF(t&lt;Tvie,1-EXP((T0-t)*PertePVj)+'2030'!Pspv,1-EXP((T0-t)*PertePVj)+Pspv)</f>
        <v>4.6365049898390964E-2</v>
      </c>
      <c r="M156" s="836"/>
      <c r="N156" s="836"/>
      <c r="O156" s="48">
        <f>IF(t&lt;Tnet,'2030'!Resal+('2030'!Salim-'2030'!Resal)*(1-EXP(('2030'!Tnet-t)/('2030'!Tau_j))),Resal+(Salim-Resal)*(1-EXP((Tnet-t)/(Tau_j))))*Salcycl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4.5987262782101713E-6</v>
      </c>
      <c r="Q156" s="301">
        <f t="shared" si="53"/>
        <v>0.5</v>
      </c>
      <c r="R156" s="173">
        <f t="shared" si="54"/>
        <v>0.12547447769736197</v>
      </c>
      <c r="S156" s="802">
        <f t="shared" si="55"/>
        <v>1</v>
      </c>
      <c r="T156" s="172">
        <f t="shared" si="56"/>
        <v>7</v>
      </c>
      <c r="U156" s="247">
        <f t="shared" si="57"/>
        <v>1.125474477697362</v>
      </c>
      <c r="V156" s="378">
        <f t="shared" si="58"/>
        <v>61.3418886419785</v>
      </c>
      <c r="W156" s="397">
        <f t="shared" si="59"/>
        <v>42.360332156034183</v>
      </c>
      <c r="X156" s="153">
        <f t="shared" si="60"/>
        <v>47990</v>
      </c>
      <c r="Y156" s="380">
        <f t="shared" si="61"/>
        <v>40.700360115221315</v>
      </c>
      <c r="Z156" s="380">
        <f t="shared" si="62"/>
        <v>42.679182543471924</v>
      </c>
      <c r="AA156" s="381">
        <f t="shared" si="63"/>
        <v>44.491715093925436</v>
      </c>
      <c r="AB156" s="193">
        <f t="shared" si="64"/>
        <v>47990</v>
      </c>
      <c r="AC156" s="119">
        <f>IF(OR(t&lt;Tnet,NoTnet),'2030'!Resal_s+('2030'!Salim-'2030'!Resal_s)*(1-EXP(('2030'!Tnet_s-t)/'2030'!Tau_j)),Resal_s+(Salim-Resal_s)*(1-EXP((Tnet_s-t)/Tau_j)))*Salcycl</f>
        <v>4.0738653176824367E-2</v>
      </c>
      <c r="AD156" s="227">
        <f>(INDEX(Models!$BJ156:$BT156,,AH156)*(1-AF156)+INDEX(Models!$BJ156:$BT156,,AH156+1)*AF156-ERP_i)*AE156*Ramure*Pc/MaxiM</f>
        <v>3.3524045575510359E-5</v>
      </c>
      <c r="AE156" s="301">
        <f t="shared" si="65"/>
        <v>0.5</v>
      </c>
      <c r="AF156" s="173">
        <f t="shared" si="66"/>
        <v>0.65046204407133867</v>
      </c>
      <c r="AG156" s="802">
        <f t="shared" si="74"/>
        <v>4</v>
      </c>
      <c r="AH156" s="172">
        <f t="shared" si="67"/>
        <v>10</v>
      </c>
      <c r="AI156" s="221">
        <f t="shared" si="68"/>
        <v>4.6504620440713387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47991</v>
      </c>
      <c r="B157" s="406">
        <f>'2030'!Wh/'2030'!Env_an*'2031'!Env_an</f>
        <v>20.155633015775567</v>
      </c>
      <c r="C157" s="832"/>
      <c r="D157" s="388">
        <f t="shared" si="50"/>
        <v>21.135874824108647</v>
      </c>
      <c r="E157" s="380">
        <f t="shared" si="72"/>
        <v>21.171987115121244</v>
      </c>
      <c r="F157" s="380">
        <f t="shared" si="51"/>
        <v>21.171990969376505</v>
      </c>
      <c r="G157" s="110">
        <f t="shared" si="73"/>
        <v>0.32821284368723119</v>
      </c>
      <c r="H157" s="409" t="b">
        <f>Wh_hp&gt;='2030'!Maxi_hp</f>
        <v>0</v>
      </c>
      <c r="I157" s="385">
        <f>IF(H157,Wh_hp,'2030'!Maxi_hp)</f>
        <v>21.172072462811972</v>
      </c>
      <c r="J157" s="85">
        <f>IF(H157,An,'2030'!An_max)</f>
        <v>2029</v>
      </c>
      <c r="K157" s="193">
        <f t="shared" si="52"/>
        <v>47991</v>
      </c>
      <c r="L157" s="143">
        <f>IF(t&lt;Tvie,1-EXP((T0-t)*PertePVj)+'2030'!Pspv,1-EXP((T0-t)*PertePVj)+Pspv)</f>
        <v>4.6378104360031758E-2</v>
      </c>
      <c r="M157" s="836"/>
      <c r="N157" s="836"/>
      <c r="O157" s="48">
        <f>IF(t&lt;Tnet,'2030'!Resal+('2030'!Salim-'2030'!Resal)*(1-EXP(('2030'!Tnet-t)/('2030'!Tau_j))),Resal+(Salim-Resal)*(1-EXP((Tnet-t)/(Tau_j))))*Salcycl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4.516562790053823E-6</v>
      </c>
      <c r="Q157" s="301">
        <f t="shared" si="53"/>
        <v>0.5</v>
      </c>
      <c r="R157" s="173">
        <f t="shared" si="54"/>
        <v>0.12994280902913435</v>
      </c>
      <c r="S157" s="802">
        <f t="shared" si="55"/>
        <v>1</v>
      </c>
      <c r="T157" s="172">
        <f t="shared" si="56"/>
        <v>7</v>
      </c>
      <c r="U157" s="247">
        <f t="shared" si="57"/>
        <v>1.1299428090291344</v>
      </c>
      <c r="V157" s="378">
        <f t="shared" si="58"/>
        <v>61.409984522169005</v>
      </c>
      <c r="W157" s="397">
        <f t="shared" si="59"/>
        <v>20.155633015775567</v>
      </c>
      <c r="X157" s="153">
        <f t="shared" si="60"/>
        <v>47991</v>
      </c>
      <c r="Y157" s="380">
        <f t="shared" si="61"/>
        <v>19.366196101507562</v>
      </c>
      <c r="Z157" s="380">
        <f t="shared" si="62"/>
        <v>20.308044718825439</v>
      </c>
      <c r="AA157" s="381">
        <f t="shared" si="63"/>
        <v>21.171963003927235</v>
      </c>
      <c r="AB157" s="193">
        <f t="shared" si="64"/>
        <v>47991</v>
      </c>
      <c r="AC157" s="119">
        <f>IF(OR(t&lt;Tnet,NoTnet),'2030'!Resal_s+('2030'!Salim-'2030'!Resal_s)*(1-EXP(('2030'!Tnet_s-t)/'2030'!Tau_j)),Resal_s+(Salim-Resal_s)*(1-EXP((Tnet_s-t)/Tau_j)))*Salcycl</f>
        <v>4.0804826880792566E-2</v>
      </c>
      <c r="AD157" s="227">
        <f>(INDEX(Models!$BJ157:$BT157,,AH157)*(1-AF157)+INDEX(Models!$BJ157:$BT157,,AH157+1)*AF157-ERP_i)*AE157*Ramure*Pc/MaxiM</f>
        <v>3.2770976230399239E-5</v>
      </c>
      <c r="AE157" s="301">
        <f t="shared" si="65"/>
        <v>0.5</v>
      </c>
      <c r="AF157" s="173">
        <f t="shared" si="66"/>
        <v>0.6549303754031115</v>
      </c>
      <c r="AG157" s="802">
        <f t="shared" si="74"/>
        <v>4</v>
      </c>
      <c r="AH157" s="172">
        <f t="shared" si="67"/>
        <v>10</v>
      </c>
      <c r="AI157" s="221">
        <f t="shared" si="68"/>
        <v>4.6549303754031115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47992</v>
      </c>
      <c r="B158" s="406">
        <f>'2030'!Wh/'2030'!Env_an*'2031'!Env_an</f>
        <v>17.313097580017327</v>
      </c>
      <c r="C158" s="832"/>
      <c r="D158" s="388">
        <f t="shared" si="50"/>
        <v>18.155345073541831</v>
      </c>
      <c r="E158" s="380">
        <f t="shared" si="72"/>
        <v>18.187723928683699</v>
      </c>
      <c r="F158" s="380">
        <f t="shared" si="51"/>
        <v>18.187723928683699</v>
      </c>
      <c r="G158" s="110">
        <f t="shared" si="73"/>
        <v>0.28163107285491118</v>
      </c>
      <c r="H158" s="409" t="b">
        <f>Wh_hp&gt;='2030'!Maxi_hp</f>
        <v>0</v>
      </c>
      <c r="I158" s="385">
        <f>IF(H158,Wh_hp,'2030'!Maxi_hp)</f>
        <v>18.187795136243519</v>
      </c>
      <c r="J158" s="85">
        <f>IF(H158,An,'2030'!An_max)</f>
        <v>2029</v>
      </c>
      <c r="K158" s="193">
        <f t="shared" si="52"/>
        <v>47992</v>
      </c>
      <c r="L158" s="143">
        <f>IF(t&lt;Tvie,1-EXP((T0-t)*PertePVj)+'2030'!Pspv,1-EXP((T0-t)*PertePVj)+Pspv)</f>
        <v>4.6391158642967834E-2</v>
      </c>
      <c r="M158" s="836"/>
      <c r="N158" s="836"/>
      <c r="O158" s="48">
        <f>IF(t&lt;Tnet,'2030'!Resal+('2030'!Salim-'2030'!Resal)*(1-EXP(('2030'!Tnet-t)/('2030'!Tau_j))),Resal+(Salim-Resal)*(1-EXP((Tnet-t)/(Tau_j))))*Salcycl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4.4238714126768811E-6</v>
      </c>
      <c r="Q158" s="301">
        <f t="shared" si="53"/>
        <v>0.5</v>
      </c>
      <c r="R158" s="173">
        <f t="shared" si="54"/>
        <v>0.13447658855996369</v>
      </c>
      <c r="S158" s="802">
        <f t="shared" si="55"/>
        <v>1</v>
      </c>
      <c r="T158" s="172">
        <f t="shared" si="56"/>
        <v>7</v>
      </c>
      <c r="U158" s="247">
        <f t="shared" si="57"/>
        <v>1.1344765885599637</v>
      </c>
      <c r="V158" s="378">
        <f t="shared" si="58"/>
        <v>61.474115102416576</v>
      </c>
      <c r="W158" s="397">
        <f t="shared" si="59"/>
        <v>17.313097580017327</v>
      </c>
      <c r="X158" s="153">
        <f t="shared" si="60"/>
        <v>47992</v>
      </c>
      <c r="Y158" s="380">
        <f t="shared" si="61"/>
        <v>16.63510744279856</v>
      </c>
      <c r="Z158" s="380">
        <f t="shared" si="62"/>
        <v>17.444372075164473</v>
      </c>
      <c r="AA158" s="381">
        <f t="shared" si="63"/>
        <v>18.187723928683699</v>
      </c>
      <c r="AB158" s="193">
        <f t="shared" si="64"/>
        <v>47992</v>
      </c>
      <c r="AC158" s="119">
        <f>IF(OR(t&lt;Tnet,NoTnet),'2030'!Resal_s+('2030'!Salim-'2030'!Resal_s)*(1-EXP(('2030'!Tnet_s-t)/'2030'!Tau_j)),Resal_s+(Salim-Resal_s)*(1-EXP((Tnet_s-t)/Tau_j)))*Salcycl</f>
        <v>4.0871076360846421E-2</v>
      </c>
      <c r="AD158" s="227">
        <f>(INDEX(Models!$BJ158:$BT158,,AH158)*(1-AF158)+INDEX(Models!$BJ158:$BT158,,AH158+1)*AF158-ERP_i)*AE158*Ramure*Pc/MaxiM</f>
        <v>3.1930867204300944E-5</v>
      </c>
      <c r="AE158" s="301">
        <f t="shared" si="65"/>
        <v>0.5</v>
      </c>
      <c r="AF158" s="173">
        <f t="shared" si="66"/>
        <v>0.65946415493394106</v>
      </c>
      <c r="AG158" s="802">
        <f t="shared" si="74"/>
        <v>4</v>
      </c>
      <c r="AH158" s="172">
        <f t="shared" si="67"/>
        <v>10</v>
      </c>
      <c r="AI158" s="221">
        <f t="shared" si="68"/>
        <v>4.6594641549339411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47993</v>
      </c>
      <c r="B159" s="406">
        <f>'2030'!Wh/'2030'!Env_an*'2031'!Env_an</f>
        <v>42.194876702199352</v>
      </c>
      <c r="C159" s="832"/>
      <c r="D159" s="388">
        <f t="shared" si="50"/>
        <v>44.248178595417279</v>
      </c>
      <c r="E159" s="380">
        <f t="shared" si="72"/>
        <v>44.330406646407923</v>
      </c>
      <c r="F159" s="380">
        <f t="shared" si="51"/>
        <v>44.330512173364063</v>
      </c>
      <c r="G159" s="110">
        <f t="shared" si="73"/>
        <v>0.68570967651717207</v>
      </c>
      <c r="H159" s="409" t="b">
        <f>Wh_hp&gt;='2030'!Maxi_hp</f>
        <v>0</v>
      </c>
      <c r="I159" s="385">
        <f>IF(H159,Wh_hp,'2030'!Maxi_hp)</f>
        <v>44.330588009494271</v>
      </c>
      <c r="J159" s="85">
        <f>IF(H159,An,'2030'!An_max)</f>
        <v>2029</v>
      </c>
      <c r="K159" s="193">
        <f t="shared" si="52"/>
        <v>47993</v>
      </c>
      <c r="L159" s="143">
        <f>IF(t&lt;Tvie,1-EXP((T0-t)*PertePVj)+'2030'!Pspv,1-EXP((T0-t)*PertePVj)+Pspv)</f>
        <v>4.6404212747201856E-2</v>
      </c>
      <c r="M159" s="836"/>
      <c r="N159" s="836"/>
      <c r="O159" s="48">
        <f>IF(t&lt;Tnet,'2030'!Resal+('2030'!Salim-'2030'!Resal)*(1-EXP(('2030'!Tnet-t)/('2030'!Tau_j))),Resal+(Salim-Resal)*(1-EXP((Tnet-t)/(Tau_j))))*Salcycl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4.3201285553199284E-6</v>
      </c>
      <c r="Q159" s="301">
        <f t="shared" si="53"/>
        <v>0.5</v>
      </c>
      <c r="R159" s="173">
        <f t="shared" si="54"/>
        <v>0.13907335397768095</v>
      </c>
      <c r="S159" s="802">
        <f t="shared" si="55"/>
        <v>1</v>
      </c>
      <c r="T159" s="172">
        <f t="shared" si="56"/>
        <v>7</v>
      </c>
      <c r="U159" s="247">
        <f t="shared" si="57"/>
        <v>1.1390733539776809</v>
      </c>
      <c r="V159" s="378">
        <f t="shared" si="58"/>
        <v>61.534489453599086</v>
      </c>
      <c r="W159" s="397">
        <f t="shared" si="59"/>
        <v>42.194876702199352</v>
      </c>
      <c r="X159" s="153">
        <f t="shared" si="60"/>
        <v>47993</v>
      </c>
      <c r="Y159" s="380">
        <f t="shared" si="61"/>
        <v>40.542135779744527</v>
      </c>
      <c r="Z159" s="380">
        <f t="shared" si="62"/>
        <v>42.515011414366505</v>
      </c>
      <c r="AA159" s="381">
        <f t="shared" si="63"/>
        <v>44.329754900219456</v>
      </c>
      <c r="AB159" s="193">
        <f t="shared" si="64"/>
        <v>47993</v>
      </c>
      <c r="AC159" s="119">
        <f>IF(OR(t&lt;Tnet,NoTnet),'2030'!Resal_s+('2030'!Salim-'2030'!Resal_s)*(1-EXP(('2030'!Tnet_s-t)/'2030'!Tau_j)),Resal_s+(Salim-Resal_s)*(1-EXP((Tnet_s-t)/Tau_j)))*Salcycl</f>
        <v>4.0937367913215394E-2</v>
      </c>
      <c r="AD159" s="227">
        <f>(INDEX(Models!$BJ159:$BT159,,AH159)*(1-AF159)+INDEX(Models!$BJ159:$BT159,,AH159+1)*AF159-ERP_i)*AE159*Ramure*Pc/MaxiM</f>
        <v>3.1001721795668757E-5</v>
      </c>
      <c r="AE159" s="301">
        <f t="shared" si="65"/>
        <v>0.5</v>
      </c>
      <c r="AF159" s="173">
        <f t="shared" si="66"/>
        <v>0.66406092035165809</v>
      </c>
      <c r="AG159" s="802">
        <f t="shared" si="74"/>
        <v>4</v>
      </c>
      <c r="AH159" s="172">
        <f t="shared" si="67"/>
        <v>10</v>
      </c>
      <c r="AI159" s="221">
        <f t="shared" si="68"/>
        <v>4.6640609203516581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47994</v>
      </c>
      <c r="B160" s="406">
        <f>'2030'!Wh/'2030'!Env_an*'2031'!Env_an</f>
        <v>28.153396210287223</v>
      </c>
      <c r="C160" s="832"/>
      <c r="D160" s="388">
        <f t="shared" si="50"/>
        <v>29.52381080984312</v>
      </c>
      <c r="E160" s="380">
        <f t="shared" si="72"/>
        <v>29.580888833202085</v>
      </c>
      <c r="F160" s="380">
        <f t="shared" si="51"/>
        <v>29.580916748057138</v>
      </c>
      <c r="G160" s="110">
        <f t="shared" si="73"/>
        <v>0.45709859695635213</v>
      </c>
      <c r="H160" s="409" t="b">
        <f>Wh_hp&gt;='2030'!Maxi_hp</f>
        <v>0</v>
      </c>
      <c r="I160" s="385">
        <f>IF(H160,Wh_hp,'2030'!Maxi_hp)</f>
        <v>29.581001528563949</v>
      </c>
      <c r="J160" s="85">
        <f>IF(H160,An,'2030'!An_max)</f>
        <v>2029</v>
      </c>
      <c r="K160" s="193">
        <f t="shared" si="52"/>
        <v>47994</v>
      </c>
      <c r="L160" s="143">
        <f>IF(t&lt;Tvie,1-EXP((T0-t)*PertePVj)+'2030'!Pspv,1-EXP((T0-t)*PertePVj)+Pspv)</f>
        <v>4.6417266672736046E-2</v>
      </c>
      <c r="M160" s="836"/>
      <c r="N160" s="836"/>
      <c r="O160" s="48">
        <f>IF(t&lt;Tnet,'2030'!Resal+('2030'!Salim-'2030'!Resal)*(1-EXP(('2030'!Tnet-t)/('2030'!Tau_j))),Resal+(Salim-Resal)*(1-EXP((Tnet-t)/(Tau_j))))*Salcycl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4.204800166377802E-6</v>
      </c>
      <c r="Q160" s="301">
        <f t="shared" si="53"/>
        <v>0.5</v>
      </c>
      <c r="R160" s="173">
        <f t="shared" si="54"/>
        <v>0.14373046631851327</v>
      </c>
      <c r="S160" s="802">
        <f t="shared" si="55"/>
        <v>1</v>
      </c>
      <c r="T160" s="172">
        <f t="shared" si="56"/>
        <v>7</v>
      </c>
      <c r="U160" s="247">
        <f t="shared" si="57"/>
        <v>1.1437304663185133</v>
      </c>
      <c r="V160" s="378">
        <f t="shared" si="58"/>
        <v>61.591316591197995</v>
      </c>
      <c r="W160" s="397">
        <f t="shared" si="59"/>
        <v>28.153396210287223</v>
      </c>
      <c r="X160" s="153">
        <f t="shared" si="60"/>
        <v>47994</v>
      </c>
      <c r="Y160" s="380">
        <f t="shared" si="61"/>
        <v>27.051044073258282</v>
      </c>
      <c r="Z160" s="380">
        <f t="shared" si="62"/>
        <v>28.367799801566377</v>
      </c>
      <c r="AA160" s="381">
        <f t="shared" si="63"/>
        <v>29.580717706279575</v>
      </c>
      <c r="AB160" s="193">
        <f t="shared" si="64"/>
        <v>47994</v>
      </c>
      <c r="AC160" s="119">
        <f>IF(OR(t&lt;Tnet,NoTnet),'2030'!Resal_s+('2030'!Salim-'2030'!Resal_s)*(1-EXP(('2030'!Tnet_s-t)/'2030'!Tau_j)),Resal_s+(Salim-Resal_s)*(1-EXP((Tnet_s-t)/Tau_j)))*Salcycl</f>
        <v>4.1003667211756425E-2</v>
      </c>
      <c r="AD160" s="227">
        <f>(INDEX(Models!$BJ160:$BT160,,AH160)*(1-AF160)+INDEX(Models!$BJ160:$BT160,,AH160+1)*AF160-ERP_i)*AE160*Ramure*Pc/MaxiM</f>
        <v>2.9981559918764294E-5</v>
      </c>
      <c r="AE160" s="301">
        <f t="shared" si="65"/>
        <v>0.5</v>
      </c>
      <c r="AF160" s="173">
        <f t="shared" si="66"/>
        <v>0.66871803269248975</v>
      </c>
      <c r="AG160" s="802">
        <f t="shared" si="74"/>
        <v>4</v>
      </c>
      <c r="AH160" s="172">
        <f t="shared" si="67"/>
        <v>10</v>
      </c>
      <c r="AI160" s="221">
        <f t="shared" si="68"/>
        <v>4.6687180326924897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47995</v>
      </c>
      <c r="B161" s="406">
        <f>'2030'!Wh/'2030'!Env_an*'2031'!Env_an</f>
        <v>44.08330950131009</v>
      </c>
      <c r="C161" s="832"/>
      <c r="D161" s="388">
        <f t="shared" si="50"/>
        <v>46.229772658781322</v>
      </c>
      <c r="E161" s="380">
        <f t="shared" si="72"/>
        <v>46.322615113479856</v>
      </c>
      <c r="F161" s="380">
        <f t="shared" si="51"/>
        <v>46.322727120416609</v>
      </c>
      <c r="G161" s="110">
        <f t="shared" si="73"/>
        <v>0.71511680527061816</v>
      </c>
      <c r="H161" s="409" t="b">
        <f>Wh_hp&gt;='2030'!Maxi_hp</f>
        <v>0</v>
      </c>
      <c r="I161" s="385">
        <f>IF(H161,Wh_hp,'2030'!Maxi_hp)</f>
        <v>46.322794432676091</v>
      </c>
      <c r="J161" s="85">
        <f>IF(H161,An,'2030'!An_max)</f>
        <v>2029</v>
      </c>
      <c r="K161" s="193">
        <f t="shared" si="52"/>
        <v>47995</v>
      </c>
      <c r="L161" s="143">
        <f>IF(t&lt;Tvie,1-EXP((T0-t)*PertePVj)+'2030'!Pspv,1-EXP((T0-t)*PertePVj)+Pspv)</f>
        <v>4.6430320419572957E-2</v>
      </c>
      <c r="M161" s="836"/>
      <c r="N161" s="836"/>
      <c r="O161" s="48">
        <f>IF(t&lt;Tnet,'2030'!Resal+('2030'!Salim-'2030'!Resal)*(1-EXP(('2030'!Tnet-t)/('2030'!Tau_j))),Resal+(Salim-Resal)*(1-EXP((Tnet-t)/(Tau_j))))*Salcycl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4.0773433424863E-6</v>
      </c>
      <c r="Q161" s="301">
        <f t="shared" si="53"/>
        <v>0.5</v>
      </c>
      <c r="R161" s="173">
        <f t="shared" si="54"/>
        <v>0.1484451137094891</v>
      </c>
      <c r="S161" s="802">
        <f t="shared" si="55"/>
        <v>1</v>
      </c>
      <c r="T161" s="172">
        <f t="shared" si="56"/>
        <v>7</v>
      </c>
      <c r="U161" s="247">
        <f t="shared" si="57"/>
        <v>1.1484451137094891</v>
      </c>
      <c r="V161" s="378">
        <f t="shared" si="58"/>
        <v>61.644805471682318</v>
      </c>
      <c r="W161" s="397">
        <f t="shared" si="59"/>
        <v>44.08330950131009</v>
      </c>
      <c r="X161" s="153">
        <f t="shared" si="60"/>
        <v>47995</v>
      </c>
      <c r="Y161" s="380">
        <f t="shared" si="61"/>
        <v>42.35708367309892</v>
      </c>
      <c r="Z161" s="380">
        <f t="shared" si="62"/>
        <v>44.419495061688771</v>
      </c>
      <c r="AA161" s="381">
        <f t="shared" si="63"/>
        <v>46.321934088313803</v>
      </c>
      <c r="AB161" s="193">
        <f t="shared" si="64"/>
        <v>47995</v>
      </c>
      <c r="AC161" s="119">
        <f>IF(OR(t&lt;Tnet,NoTnet),'2030'!Resal_s+('2030'!Salim-'2030'!Resal_s)*(1-EXP(('2030'!Tnet_s-t)/'2030'!Tau_j)),Resal_s+(Salim-Resal_s)*(1-EXP((Tnet_s-t)/Tau_j)))*Salcycl</f>
        <v>4.1069939415698607E-2</v>
      </c>
      <c r="AD161" s="227">
        <f>(INDEX(Models!$BJ161:$BT161,,AH161)*(1-AF161)+INDEX(Models!$BJ161:$BT161,,AH161+1)*AF161-ERP_i)*AE161*Ramure*Pc/MaxiM</f>
        <v>2.8868427783273464E-5</v>
      </c>
      <c r="AE161" s="301">
        <f t="shared" si="65"/>
        <v>0.5</v>
      </c>
      <c r="AF161" s="173">
        <f t="shared" si="66"/>
        <v>0.67343268008346602</v>
      </c>
      <c r="AG161" s="802">
        <f t="shared" si="74"/>
        <v>4</v>
      </c>
      <c r="AH161" s="172">
        <f t="shared" si="67"/>
        <v>10</v>
      </c>
      <c r="AI161" s="221">
        <f t="shared" si="68"/>
        <v>4.673432680083466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47996</v>
      </c>
      <c r="B162" s="406">
        <f>'2030'!Wh/'2030'!Env_an*'2031'!Env_an</f>
        <v>57.874301481062396</v>
      </c>
      <c r="C162" s="832"/>
      <c r="D162" s="388">
        <f t="shared" si="50"/>
        <v>60.693093521974845</v>
      </c>
      <c r="E162" s="380">
        <f t="shared" si="72"/>
        <v>60.819536673782792</v>
      </c>
      <c r="F162" s="380">
        <f t="shared" si="51"/>
        <v>60.819754947987555</v>
      </c>
      <c r="G162" s="110">
        <f t="shared" si="73"/>
        <v>0.93806834490970936</v>
      </c>
      <c r="H162" s="409" t="b">
        <f>Wh_hp&gt;='2030'!Maxi_hp</f>
        <v>0</v>
      </c>
      <c r="I162" s="385">
        <f>IF(H162,Wh_hp,'2030'!Maxi_hp)</f>
        <v>60.819773432151607</v>
      </c>
      <c r="J162" s="85">
        <f>IF(H162,An,'2030'!An_max)</f>
        <v>2029</v>
      </c>
      <c r="K162" s="193">
        <f t="shared" si="52"/>
        <v>47996</v>
      </c>
      <c r="L162" s="143">
        <f>IF(t&lt;Tvie,1-EXP((T0-t)*PertePVj)+'2030'!Pspv,1-EXP((T0-t)*PertePVj)+Pspv)</f>
        <v>4.6443373987715142E-2</v>
      </c>
      <c r="M162" s="836"/>
      <c r="N162" s="836"/>
      <c r="O162" s="48">
        <f>IF(t&lt;Tnet,'2030'!Resal+('2030'!Salim-'2030'!Resal)*(1-EXP(('2030'!Tnet-t)/('2030'!Tau_j))),Resal+(Salim-Resal)*(1-EXP((Tnet-t)/(Tau_j))))*Salcycl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3.9372080719393709E-6</v>
      </c>
      <c r="Q162" s="301">
        <f t="shared" si="53"/>
        <v>0.5</v>
      </c>
      <c r="R162" s="173">
        <f t="shared" si="54"/>
        <v>0.15321431609103131</v>
      </c>
      <c r="S162" s="802">
        <f t="shared" si="55"/>
        <v>1</v>
      </c>
      <c r="T162" s="172">
        <f t="shared" si="56"/>
        <v>7</v>
      </c>
      <c r="U162" s="247">
        <f t="shared" si="57"/>
        <v>1.1532143160910313</v>
      </c>
      <c r="V162" s="378">
        <f t="shared" si="58"/>
        <v>61.6951650007423</v>
      </c>
      <c r="W162" s="397">
        <f t="shared" si="59"/>
        <v>57.874301481062396</v>
      </c>
      <c r="X162" s="153">
        <f t="shared" si="60"/>
        <v>47996</v>
      </c>
      <c r="Y162" s="380">
        <f t="shared" si="61"/>
        <v>55.607983950707847</v>
      </c>
      <c r="Z162" s="380">
        <f t="shared" si="62"/>
        <v>58.316394049147362</v>
      </c>
      <c r="AA162" s="381">
        <f t="shared" si="63"/>
        <v>60.818221487379624</v>
      </c>
      <c r="AB162" s="193">
        <f t="shared" si="64"/>
        <v>47996</v>
      </c>
      <c r="AC162" s="119">
        <f>IF(OR(t&lt;Tnet,NoTnet),'2030'!Resal_s+('2030'!Salim-'2030'!Resal_s)*(1-EXP(('2030'!Tnet_s-t)/'2030'!Tau_j)),Resal_s+(Salim-Resal_s)*(1-EXP((Tnet_s-t)/Tau_j)))*Salcycl</f>
        <v>4.1136149283014026E-2</v>
      </c>
      <c r="AD162" s="227">
        <f>(INDEX(Models!$BJ162:$BT162,,AH162)*(1-AF162)+INDEX(Models!$BJ162:$BT162,,AH162+1)*AF162-ERP_i)*AE162*Ramure*Pc/MaxiM</f>
        <v>2.7660407651343714E-5</v>
      </c>
      <c r="AE162" s="301">
        <f t="shared" si="65"/>
        <v>0.5</v>
      </c>
      <c r="AF162" s="173">
        <f t="shared" si="66"/>
        <v>0.67820188246500823</v>
      </c>
      <c r="AG162" s="802">
        <f t="shared" si="74"/>
        <v>4</v>
      </c>
      <c r="AH162" s="172">
        <f t="shared" si="67"/>
        <v>10</v>
      </c>
      <c r="AI162" s="221">
        <f t="shared" si="68"/>
        <v>4.6782018824650082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47997</v>
      </c>
      <c r="B163" s="406">
        <f>'2030'!Wh/'2030'!Env_an*'2031'!Env_an</f>
        <v>62.937727245902764</v>
      </c>
      <c r="C163" s="832"/>
      <c r="D163" s="388">
        <f t="shared" si="50"/>
        <v>66.00403909470549</v>
      </c>
      <c r="E163" s="380">
        <f t="shared" si="72"/>
        <v>66.146502082451988</v>
      </c>
      <c r="F163" s="380">
        <f t="shared" si="51"/>
        <v>66.146752375052429</v>
      </c>
      <c r="G163" s="110">
        <f t="shared" si="73"/>
        <v>1.0193725542453582</v>
      </c>
      <c r="H163" s="409" t="b">
        <f>Wh_hp&gt;='2030'!Maxi_hp</f>
        <v>0</v>
      </c>
      <c r="I163" s="385">
        <f>IF(H163,Wh_hp,'2030'!Maxi_hp)</f>
        <v>66.146752375052472</v>
      </c>
      <c r="J163" s="85">
        <f>IF(H163,An,'2030'!An_max)</f>
        <v>2028</v>
      </c>
      <c r="K163" s="193">
        <f t="shared" si="52"/>
        <v>47997</v>
      </c>
      <c r="L163" s="143">
        <f>IF(t&lt;Tvie,1-EXP((T0-t)*PertePVj)+'2030'!Pspv,1-EXP((T0-t)*PertePVj)+Pspv)</f>
        <v>4.6456427377164822E-2</v>
      </c>
      <c r="M163" s="836"/>
      <c r="N163" s="836"/>
      <c r="O163" s="48">
        <f>IF(t&lt;Tnet,'2030'!Resal+('2030'!Salim-'2030'!Resal)*(1-EXP(('2030'!Tnet-t)/('2030'!Tau_j))),Resal+(Salim-Resal)*(1-EXP((Tnet-t)/(Tau_j))))*Salcycl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3.7838985507106411E-6</v>
      </c>
      <c r="Q163" s="301">
        <f t="shared" si="53"/>
        <v>0.5</v>
      </c>
      <c r="R163" s="173">
        <f t="shared" si="54"/>
        <v>0.15803493092225329</v>
      </c>
      <c r="S163" s="802">
        <f t="shared" si="55"/>
        <v>1</v>
      </c>
      <c r="T163" s="172">
        <f t="shared" si="56"/>
        <v>7</v>
      </c>
      <c r="U163" s="247">
        <f t="shared" si="57"/>
        <v>1.1580349309222533</v>
      </c>
      <c r="V163" s="378">
        <f t="shared" si="58"/>
        <v>61.741634090291519</v>
      </c>
      <c r="W163" s="397">
        <f t="shared" si="59"/>
        <v>62.937727245902764</v>
      </c>
      <c r="X163" s="153">
        <f t="shared" si="60"/>
        <v>47997</v>
      </c>
      <c r="Y163" s="380">
        <f t="shared" si="61"/>
        <v>60.473433070893961</v>
      </c>
      <c r="Z163" s="380">
        <f t="shared" si="62"/>
        <v>63.41968506436951</v>
      </c>
      <c r="AA163" s="381">
        <f t="shared" si="63"/>
        <v>66.145009008491002</v>
      </c>
      <c r="AB163" s="193">
        <f t="shared" si="64"/>
        <v>47997</v>
      </c>
      <c r="AC163" s="119">
        <f>IF(OR(t&lt;Tnet,NoTnet),'2030'!Resal_s+('2030'!Salim-'2030'!Resal_s)*(1-EXP(('2030'!Tnet_s-t)/'2030'!Tau_j)),Resal_s+(Salim-Resal_s)*(1-EXP((Tnet_s-t)/Tau_j)))*Salcycl</f>
        <v>4.1202261288854646E-2</v>
      </c>
      <c r="AD163" s="227">
        <f>(INDEX(Models!$BJ163:$BT163,,AH163)*(1-AF163)+INDEX(Models!$BJ163:$BT163,,AH163+1)*AF163-ERP_i)*AE163*Ramure*Pc/MaxiM</f>
        <v>2.6356041662378628E-5</v>
      </c>
      <c r="AE163" s="301">
        <f t="shared" si="65"/>
        <v>0.5</v>
      </c>
      <c r="AF163" s="173">
        <f t="shared" si="66"/>
        <v>0.68302249729623021</v>
      </c>
      <c r="AG163" s="802">
        <f t="shared" si="74"/>
        <v>4</v>
      </c>
      <c r="AH163" s="172">
        <f t="shared" si="67"/>
        <v>10</v>
      </c>
      <c r="AI163" s="221">
        <f t="shared" si="68"/>
        <v>4.6830224972962302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47998</v>
      </c>
      <c r="B164" s="406">
        <f>'2030'!Wh/'2030'!Env_an*'2031'!Env_an</f>
        <v>50.616667038371929</v>
      </c>
      <c r="C164" s="832"/>
      <c r="D164" s="388">
        <f t="shared" si="50"/>
        <v>53.083426285695587</v>
      </c>
      <c r="E164" s="380">
        <f t="shared" si="72"/>
        <v>53.201988830878086</v>
      </c>
      <c r="F164" s="380">
        <f t="shared" si="51"/>
        <v>53.202131905805757</v>
      </c>
      <c r="G164" s="110">
        <f t="shared" si="73"/>
        <v>0.81925853123188475</v>
      </c>
      <c r="H164" s="409" t="b">
        <f>Wh_hp&gt;='2030'!Maxi_hp</f>
        <v>0</v>
      </c>
      <c r="I164" s="385">
        <f>IF(H164,Wh_hp,'2030'!Maxi_hp)</f>
        <v>53.202175022253925</v>
      </c>
      <c r="J164" s="85">
        <f>IF(H164,An,'2030'!An_max)</f>
        <v>2029</v>
      </c>
      <c r="K164" s="193">
        <f t="shared" si="52"/>
        <v>47998</v>
      </c>
      <c r="L164" s="143">
        <f>IF(t&lt;Tvie,1-EXP((T0-t)*PertePVj)+'2030'!Pspv,1-EXP((T0-t)*PertePVj)+Pspv)</f>
        <v>4.6469480587924661E-2</v>
      </c>
      <c r="M164" s="836"/>
      <c r="N164" s="836"/>
      <c r="O164" s="48">
        <f>IF(t&lt;Tnet,'2030'!Resal+('2030'!Salim-'2030'!Resal)*(1-EXP(('2030'!Tnet-t)/('2030'!Tau_j))),Resal+(Salim-Resal)*(1-EXP((Tnet-t)/(Tau_j))))*Salcycl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3.6253359484085331E-6</v>
      </c>
      <c r="Q164" s="301">
        <f t="shared" si="53"/>
        <v>0.5</v>
      </c>
      <c r="R164" s="173">
        <f t="shared" si="54"/>
        <v>0.16290365986234101</v>
      </c>
      <c r="S164" s="802">
        <f t="shared" si="55"/>
        <v>1</v>
      </c>
      <c r="T164" s="172">
        <f t="shared" si="56"/>
        <v>7</v>
      </c>
      <c r="U164" s="247">
        <f t="shared" si="57"/>
        <v>1.162903659862341</v>
      </c>
      <c r="V164" s="378">
        <f t="shared" si="58"/>
        <v>61.783451411393784</v>
      </c>
      <c r="W164" s="397">
        <f t="shared" si="59"/>
        <v>50.616667038371929</v>
      </c>
      <c r="X164" s="153">
        <f t="shared" si="60"/>
        <v>47998</v>
      </c>
      <c r="Y164" s="380">
        <f t="shared" si="61"/>
        <v>48.635421839606501</v>
      </c>
      <c r="Z164" s="380">
        <f t="shared" si="62"/>
        <v>51.005626825236767</v>
      </c>
      <c r="AA164" s="381">
        <f t="shared" si="63"/>
        <v>53.201144407538237</v>
      </c>
      <c r="AB164" s="193">
        <f t="shared" si="64"/>
        <v>47998</v>
      </c>
      <c r="AC164" s="119">
        <f>IF(OR(t&lt;Tnet,NoTnet),'2030'!Resal_s+('2030'!Salim-'2030'!Resal_s)*(1-EXP(('2030'!Tnet_s-t)/'2030'!Tau_j)),Resal_s+(Salim-Resal_s)*(1-EXP((Tnet_s-t)/Tau_j)))*Salcycl</f>
        <v>4.1268239748436318E-2</v>
      </c>
      <c r="AD164" s="227">
        <f>(INDEX(Models!$BJ164:$BT164,,AH164)*(1-AF164)+INDEX(Models!$BJ164:$BT164,,AH164+1)*AF164-ERP_i)*AE164*Ramure*Pc/MaxiM</f>
        <v>2.5021944980140762E-5</v>
      </c>
      <c r="AE164" s="301">
        <f t="shared" si="65"/>
        <v>0.5</v>
      </c>
      <c r="AF164" s="173">
        <f t="shared" si="66"/>
        <v>0.68789122623631815</v>
      </c>
      <c r="AG164" s="802">
        <f t="shared" si="74"/>
        <v>4</v>
      </c>
      <c r="AH164" s="172">
        <f t="shared" si="67"/>
        <v>10</v>
      </c>
      <c r="AI164" s="221">
        <f t="shared" si="68"/>
        <v>4.6878912262363182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47999</v>
      </c>
      <c r="B165" s="406">
        <f>'2030'!Wh/'2030'!Env_an*'2031'!Env_an</f>
        <v>59.832168424880265</v>
      </c>
      <c r="C165" s="832"/>
      <c r="D165" s="388">
        <f t="shared" si="50"/>
        <v>62.748896097342687</v>
      </c>
      <c r="E165" s="380">
        <f t="shared" si="72"/>
        <v>62.893762190379306</v>
      </c>
      <c r="F165" s="380">
        <f t="shared" si="51"/>
        <v>62.893970137028496</v>
      </c>
      <c r="G165" s="110">
        <f t="shared" si="73"/>
        <v>0.96783176213252287</v>
      </c>
      <c r="H165" s="409" t="b">
        <f>Wh_hp&gt;='2030'!Maxi_hp</f>
        <v>0</v>
      </c>
      <c r="I165" s="385">
        <f>IF(H165,Wh_hp,'2030'!Maxi_hp)</f>
        <v>62.893978774830671</v>
      </c>
      <c r="J165" s="85">
        <f>IF(H165,An,'2030'!An_max)</f>
        <v>2029</v>
      </c>
      <c r="K165" s="193">
        <f t="shared" si="52"/>
        <v>47999</v>
      </c>
      <c r="L165" s="143">
        <f>IF(t&lt;Tvie,1-EXP((T0-t)*PertePVj)+'2030'!Pspv,1-EXP((T0-t)*PertePVj)+Pspv)</f>
        <v>4.648253361999688E-2</v>
      </c>
      <c r="M165" s="836"/>
      <c r="N165" s="836"/>
      <c r="O165" s="48">
        <f>IF(t&lt;Tnet,'2030'!Resal+('2030'!Salim-'2030'!Resal)*(1-EXP(('2030'!Tnet-t)/('2030'!Tau_j))),Resal+(Salim-Resal)*(1-EXP((Tnet-t)/(Tau_j))))*Salcycl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3.4655629023200105E-6</v>
      </c>
      <c r="Q165" s="301">
        <f t="shared" si="53"/>
        <v>0.5</v>
      </c>
      <c r="R165" s="173">
        <f t="shared" si="54"/>
        <v>0.16781705641196765</v>
      </c>
      <c r="S165" s="802">
        <f t="shared" si="55"/>
        <v>1</v>
      </c>
      <c r="T165" s="172">
        <f t="shared" si="56"/>
        <v>7</v>
      </c>
      <c r="U165" s="247">
        <f t="shared" si="57"/>
        <v>1.1678170564119676</v>
      </c>
      <c r="V165" s="378">
        <f t="shared" si="58"/>
        <v>61.8208259297773</v>
      </c>
      <c r="W165" s="397">
        <f t="shared" si="59"/>
        <v>59.832168424880265</v>
      </c>
      <c r="X165" s="153">
        <f t="shared" si="60"/>
        <v>47999</v>
      </c>
      <c r="Y165" s="380">
        <f t="shared" si="61"/>
        <v>57.490375160664051</v>
      </c>
      <c r="Z165" s="380">
        <f t="shared" si="62"/>
        <v>60.292943955105848</v>
      </c>
      <c r="AA165" s="381">
        <f t="shared" si="63"/>
        <v>62.892547595616847</v>
      </c>
      <c r="AB165" s="193">
        <f t="shared" si="64"/>
        <v>47999</v>
      </c>
      <c r="AC165" s="119">
        <f>IF(OR(t&lt;Tnet,NoTnet),'2030'!Resal_s+('2030'!Salim-'2030'!Resal_s)*(1-EXP(('2030'!Tnet_s-t)/'2030'!Tau_j)),Resal_s+(Salim-Resal_s)*(1-EXP((Tnet_s-t)/Tau_j)))*Salcycl</f>
        <v>4.1334048943696682E-2</v>
      </c>
      <c r="AD165" s="227">
        <f>(INDEX(Models!$BJ165:$BT165,,AH165)*(1-AF165)+INDEX(Models!$BJ165:$BT165,,AH165+1)*AF165-ERP_i)*AE165*Ramure*Pc/MaxiM</f>
        <v>2.3707555579180831E-5</v>
      </c>
      <c r="AE165" s="301">
        <f t="shared" si="65"/>
        <v>0.5</v>
      </c>
      <c r="AF165" s="173">
        <f t="shared" si="66"/>
        <v>0.69280462278594435</v>
      </c>
      <c r="AG165" s="802">
        <f t="shared" si="74"/>
        <v>4</v>
      </c>
      <c r="AH165" s="172">
        <f t="shared" si="67"/>
        <v>10</v>
      </c>
      <c r="AI165" s="221">
        <f t="shared" si="68"/>
        <v>4.6928046227859443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48000</v>
      </c>
      <c r="B166" s="406">
        <f>'2030'!Wh/'2030'!Env_an*'2031'!Env_an</f>
        <v>62.381694802210006</v>
      </c>
      <c r="C166" s="832"/>
      <c r="D166" s="388">
        <f t="shared" si="50"/>
        <v>65.423603621808198</v>
      </c>
      <c r="E166" s="380">
        <f t="shared" si="72"/>
        <v>65.579563385109353</v>
      </c>
      <c r="F166" s="380">
        <f t="shared" si="51"/>
        <v>65.579780102115691</v>
      </c>
      <c r="G166" s="110">
        <f t="shared" si="73"/>
        <v>1.0085318377265537</v>
      </c>
      <c r="H166" s="409" t="b">
        <f>Wh_hp&gt;='2030'!Maxi_hp</f>
        <v>1</v>
      </c>
      <c r="I166" s="385">
        <f>IF(H166,Wh_hp,'2030'!Maxi_hp)</f>
        <v>65.579780102115691</v>
      </c>
      <c r="J166" s="85">
        <f>IF(H166,An,'2030'!An_max)</f>
        <v>2031</v>
      </c>
      <c r="K166" s="193">
        <f t="shared" si="52"/>
        <v>48000</v>
      </c>
      <c r="L166" s="143">
        <f>IF(t&lt;Tvie,1-EXP((T0-t)*PertePVj)+'2030'!Pspv,1-EXP((T0-t)*PertePVj)+Pspv)</f>
        <v>4.6495586473384143E-2</v>
      </c>
      <c r="M166" s="836"/>
      <c r="N166" s="836"/>
      <c r="O166" s="48">
        <f>IF(t&lt;Tnet,'2030'!Resal+('2030'!Salim-'2030'!Resal)*(1-EXP(('2030'!Tnet-t)/('2030'!Tau_j))),Resal+(Salim-Resal)*(1-EXP((Tnet-t)/(Tau_j))))*Salcycl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3.3046314885815042E-6</v>
      </c>
      <c r="Q166" s="301">
        <f t="shared" si="53"/>
        <v>0.5</v>
      </c>
      <c r="R166" s="173">
        <f t="shared" si="54"/>
        <v>0.17277153448904992</v>
      </c>
      <c r="S166" s="802">
        <f t="shared" si="55"/>
        <v>1</v>
      </c>
      <c r="T166" s="172">
        <f t="shared" si="56"/>
        <v>7</v>
      </c>
      <c r="U166" s="247">
        <f t="shared" si="57"/>
        <v>1.1727715344890499</v>
      </c>
      <c r="V166" s="378">
        <f t="shared" si="58"/>
        <v>61.853966794773356</v>
      </c>
      <c r="W166" s="397">
        <f t="shared" si="59"/>
        <v>62.381694802210006</v>
      </c>
      <c r="X166" s="153">
        <f t="shared" si="60"/>
        <v>48000</v>
      </c>
      <c r="Y166" s="380">
        <f t="shared" si="61"/>
        <v>59.940520709384543</v>
      </c>
      <c r="Z166" s="380">
        <f t="shared" si="62"/>
        <v>62.863390938789166</v>
      </c>
      <c r="AA166" s="381">
        <f t="shared" si="63"/>
        <v>65.578310243800402</v>
      </c>
      <c r="AB166" s="193">
        <f t="shared" si="64"/>
        <v>48000</v>
      </c>
      <c r="AC166" s="119">
        <f>IF(OR(t&lt;Tnet,NoTnet),'2030'!Resal_s+('2030'!Salim-'2030'!Resal_s)*(1-EXP(('2030'!Tnet_s-t)/'2030'!Tau_j)),Resal_s+(Salim-Resal_s)*(1-EXP((Tnet_s-t)/Tau_j)))*Salcycl</f>
        <v>4.1399653253003599E-2</v>
      </c>
      <c r="AD166" s="227">
        <f>(INDEX(Models!$BJ166:$BT166,,AH166)*(1-AF166)+INDEX(Models!$BJ166:$BT166,,AH166+1)*AF166-ERP_i)*AE166*Ramure*Pc/MaxiM</f>
        <v>2.2413285207836549E-5</v>
      </c>
      <c r="AE166" s="301">
        <f t="shared" si="65"/>
        <v>0.5</v>
      </c>
      <c r="AF166" s="173">
        <f t="shared" si="66"/>
        <v>0.69775910086302684</v>
      </c>
      <c r="AG166" s="802">
        <f t="shared" si="74"/>
        <v>4</v>
      </c>
      <c r="AH166" s="172">
        <f t="shared" si="67"/>
        <v>10</v>
      </c>
      <c r="AI166" s="221">
        <f t="shared" si="68"/>
        <v>4.6977591008630268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48001</v>
      </c>
      <c r="B167" s="406">
        <f>'2030'!Wh/'2030'!Env_an*'2031'!Env_an</f>
        <v>44.933416675722661</v>
      </c>
      <c r="C167" s="832"/>
      <c r="D167" s="388">
        <f t="shared" si="50"/>
        <v>47.125142943692978</v>
      </c>
      <c r="E167" s="380">
        <f t="shared" si="72"/>
        <v>47.241026299209125</v>
      </c>
      <c r="F167" s="380">
        <f t="shared" si="51"/>
        <v>47.241116669495469</v>
      </c>
      <c r="G167" s="110">
        <f t="shared" si="73"/>
        <v>0.72610088533053618</v>
      </c>
      <c r="H167" s="409" t="b">
        <f>Wh_hp&gt;='2030'!Maxi_hp</f>
        <v>0</v>
      </c>
      <c r="I167" s="385">
        <f>IF(H167,Wh_hp,'2030'!Maxi_hp)</f>
        <v>47.241166364897694</v>
      </c>
      <c r="J167" s="85">
        <f>IF(H167,An,'2030'!An_max)</f>
        <v>2029</v>
      </c>
      <c r="K167" s="193">
        <f t="shared" si="52"/>
        <v>48001</v>
      </c>
      <c r="L167" s="143">
        <f>IF(t&lt;Tvie,1-EXP((T0-t)*PertePVj)+'2030'!Pspv,1-EXP((T0-t)*PertePVj)+Pspv)</f>
        <v>4.6508639148088782E-2</v>
      </c>
      <c r="M167" s="836"/>
      <c r="N167" s="836"/>
      <c r="O167" s="48">
        <f>IF(t&lt;Tnet,'2030'!Resal+('2030'!Salim-'2030'!Resal)*(1-EXP(('2030'!Tnet-t)/('2030'!Tau_j))),Resal+(Salim-Resal)*(1-EXP((Tnet-t)/(Tau_j))))*Salcycl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3.1426078936049403E-6</v>
      </c>
      <c r="Q167" s="301">
        <f t="shared" si="53"/>
        <v>0.5</v>
      </c>
      <c r="R167" s="173">
        <f t="shared" si="54"/>
        <v>0.17776337790346242</v>
      </c>
      <c r="S167" s="802">
        <f t="shared" si="55"/>
        <v>1</v>
      </c>
      <c r="T167" s="172">
        <f t="shared" si="56"/>
        <v>7</v>
      </c>
      <c r="U167" s="247">
        <f t="shared" si="57"/>
        <v>1.1777633779034624</v>
      </c>
      <c r="V167" s="378">
        <f t="shared" si="58"/>
        <v>61.883083096372928</v>
      </c>
      <c r="W167" s="397">
        <f t="shared" si="59"/>
        <v>44.933416675722661</v>
      </c>
      <c r="X167" s="153">
        <f t="shared" si="60"/>
        <v>48001</v>
      </c>
      <c r="Y167" s="380">
        <f t="shared" si="61"/>
        <v>43.175690929488979</v>
      </c>
      <c r="Z167" s="380">
        <f t="shared" si="62"/>
        <v>45.281680256560485</v>
      </c>
      <c r="AA167" s="381">
        <f t="shared" si="63"/>
        <v>47.240508769137399</v>
      </c>
      <c r="AB167" s="193">
        <f t="shared" si="64"/>
        <v>48001</v>
      </c>
      <c r="AC167" s="119">
        <f>IF(OR(t&lt;Tnet,NoTnet),'2030'!Resal_s+('2030'!Salim-'2030'!Resal_s)*(1-EXP(('2030'!Tnet_s-t)/'2030'!Tau_j)),Resal_s+(Salim-Resal_s)*(1-EXP((Tnet_s-t)/Tau_j)))*Salcycl</f>
        <v>4.1465017283146485E-2</v>
      </c>
      <c r="AD167" s="227">
        <f>(INDEX(Models!$BJ167:$BT167,,AH167)*(1-AF167)+INDEX(Models!$BJ167:$BT167,,AH167+1)*AF167-ERP_i)*AE167*Ramure*Pc/MaxiM</f>
        <v>2.1139608394768316E-5</v>
      </c>
      <c r="AE167" s="301">
        <f t="shared" si="65"/>
        <v>0.5</v>
      </c>
      <c r="AF167" s="173">
        <f t="shared" si="66"/>
        <v>0.70275094427743934</v>
      </c>
      <c r="AG167" s="802">
        <f t="shared" si="74"/>
        <v>4</v>
      </c>
      <c r="AH167" s="172">
        <f t="shared" si="67"/>
        <v>10</v>
      </c>
      <c r="AI167" s="221">
        <f t="shared" si="68"/>
        <v>4.7027509442774393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48002</v>
      </c>
      <c r="B168" s="406">
        <f>'2030'!Wh/'2030'!Env_an*'2031'!Env_an</f>
        <v>59.493589556038415</v>
      </c>
      <c r="C168" s="832"/>
      <c r="D168" s="388">
        <f t="shared" si="50"/>
        <v>62.396374447810068</v>
      </c>
      <c r="E168" s="380">
        <f t="shared" si="72"/>
        <v>62.554505013973511</v>
      </c>
      <c r="F168" s="380">
        <f t="shared" si="51"/>
        <v>62.5546810142189</v>
      </c>
      <c r="G168" s="110">
        <f t="shared" si="73"/>
        <v>0.96099390685651853</v>
      </c>
      <c r="H168" s="409" t="b">
        <f>Wh_hp&gt;='2030'!Maxi_hp</f>
        <v>0</v>
      </c>
      <c r="I168" s="385">
        <f>IF(H168,Wh_hp,'2030'!Maxi_hp)</f>
        <v>62.554689863332811</v>
      </c>
      <c r="J168" s="85">
        <f>IF(H168,An,'2030'!An_max)</f>
        <v>2029</v>
      </c>
      <c r="K168" s="193">
        <f t="shared" si="52"/>
        <v>48002</v>
      </c>
      <c r="L168" s="143">
        <f>IF(t&lt;Tvie,1-EXP((T0-t)*PertePVj)+'2030'!Pspv,1-EXP((T0-t)*PertePVj)+Pspv)</f>
        <v>4.652169164411335E-2</v>
      </c>
      <c r="M168" s="836"/>
      <c r="N168" s="836"/>
      <c r="O168" s="48">
        <f>IF(t&lt;Tnet,'2030'!Resal+('2030'!Salim-'2030'!Resal)*(1-EXP(('2030'!Tnet-t)/('2030'!Tau_j))),Resal+(Salim-Resal)*(1-EXP((Tnet-t)/(Tau_j))))*Salcycl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2.9795723715772861E-6</v>
      </c>
      <c r="Q168" s="301">
        <f t="shared" si="53"/>
        <v>0.5</v>
      </c>
      <c r="R168" s="173">
        <f t="shared" si="54"/>
        <v>0.18278875068573441</v>
      </c>
      <c r="S168" s="802">
        <f t="shared" si="55"/>
        <v>1</v>
      </c>
      <c r="T168" s="172">
        <f t="shared" si="56"/>
        <v>7</v>
      </c>
      <c r="U168" s="247">
        <f t="shared" si="57"/>
        <v>1.1827887506857344</v>
      </c>
      <c r="V168" s="378">
        <f t="shared" si="58"/>
        <v>61.908383865718399</v>
      </c>
      <c r="W168" s="397">
        <f t="shared" si="59"/>
        <v>59.493589556038415</v>
      </c>
      <c r="X168" s="153">
        <f t="shared" si="60"/>
        <v>48002</v>
      </c>
      <c r="Y168" s="380">
        <f t="shared" si="61"/>
        <v>57.166414177890296</v>
      </c>
      <c r="Z168" s="380">
        <f t="shared" si="62"/>
        <v>59.955652558540301</v>
      </c>
      <c r="AA168" s="381">
        <f t="shared" si="63"/>
        <v>62.553506306287524</v>
      </c>
      <c r="AB168" s="193">
        <f t="shared" si="64"/>
        <v>48002</v>
      </c>
      <c r="AC168" s="119">
        <f>IF(OR(t&lt;Tnet,NoTnet),'2030'!Resal_s+('2030'!Salim-'2030'!Resal_s)*(1-EXP(('2030'!Tnet_s-t)/'2030'!Tau_j)),Resal_s+(Salim-Resal_s)*(1-EXP((Tnet_s-t)/Tau_j)))*Salcycl</f>
        <v>4.1530106002804469E-2</v>
      </c>
      <c r="AD168" s="227">
        <f>(INDEX(Models!$BJ168:$BT168,,AH168)*(1-AF168)+INDEX(Models!$BJ168:$BT168,,AH168+1)*AF168-ERP_i)*AE168*Ramure*Pc/MaxiM</f>
        <v>1.9887059186912727E-5</v>
      </c>
      <c r="AE168" s="301">
        <f t="shared" si="65"/>
        <v>0.5</v>
      </c>
      <c r="AF168" s="173">
        <f t="shared" si="66"/>
        <v>0.70777631705971178</v>
      </c>
      <c r="AG168" s="802">
        <f t="shared" si="74"/>
        <v>4</v>
      </c>
      <c r="AH168" s="172">
        <f t="shared" si="67"/>
        <v>10</v>
      </c>
      <c r="AI168" s="221">
        <f t="shared" si="68"/>
        <v>4.7077763170597118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48003</v>
      </c>
      <c r="B169" s="406">
        <f>'2030'!Wh/'2030'!Env_an*'2031'!Env_an</f>
        <v>30.237717854936509</v>
      </c>
      <c r="C169" s="832"/>
      <c r="D169" s="388">
        <f t="shared" si="50"/>
        <v>31.71349733347208</v>
      </c>
      <c r="E169" s="380">
        <f t="shared" si="72"/>
        <v>31.796255202028483</v>
      </c>
      <c r="F169" s="380">
        <f t="shared" si="51"/>
        <v>31.796279278922572</v>
      </c>
      <c r="G169" s="110">
        <f t="shared" si="73"/>
        <v>0.48825476335275358</v>
      </c>
      <c r="H169" s="409" t="b">
        <f>Wh_hp&gt;='2030'!Maxi_hp</f>
        <v>0</v>
      </c>
      <c r="I169" s="385">
        <f>IF(H169,Wh_hp,'2030'!Maxi_hp)</f>
        <v>31.796334816212941</v>
      </c>
      <c r="J169" s="85">
        <f>IF(H169,An,'2030'!An_max)</f>
        <v>2029</v>
      </c>
      <c r="K169" s="193">
        <f t="shared" si="52"/>
        <v>48003</v>
      </c>
      <c r="L169" s="143">
        <f>IF(t&lt;Tvie,1-EXP((T0-t)*PertePVj)+'2030'!Pspv,1-EXP((T0-t)*PertePVj)+Pspv)</f>
        <v>4.6534743961460068E-2</v>
      </c>
      <c r="M169" s="836"/>
      <c r="N169" s="836"/>
      <c r="O169" s="48">
        <f>IF(t&lt;Tnet,'2030'!Resal+('2030'!Salim-'2030'!Resal)*(1-EXP(('2030'!Tnet-t)/('2030'!Tau_j))),Resal+(Salim-Resal)*(1-EXP((Tnet-t)/(Tau_j))))*Salcycl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2.8156191292971824E-6</v>
      </c>
      <c r="Q169" s="301">
        <f t="shared" si="53"/>
        <v>0.5</v>
      </c>
      <c r="R169" s="173">
        <f t="shared" si="54"/>
        <v>0.18784370821539431</v>
      </c>
      <c r="S169" s="802">
        <f t="shared" si="55"/>
        <v>1</v>
      </c>
      <c r="T169" s="172">
        <f t="shared" si="56"/>
        <v>7</v>
      </c>
      <c r="U169" s="247">
        <f t="shared" si="57"/>
        <v>1.1878437082153943</v>
      </c>
      <c r="V169" s="378">
        <f t="shared" si="58"/>
        <v>61.930078072502191</v>
      </c>
      <c r="W169" s="397">
        <f t="shared" si="59"/>
        <v>30.237717854936509</v>
      </c>
      <c r="X169" s="153">
        <f t="shared" si="60"/>
        <v>48003</v>
      </c>
      <c r="Y169" s="380">
        <f t="shared" si="61"/>
        <v>29.055484316329466</v>
      </c>
      <c r="Z169" s="380">
        <f t="shared" si="62"/>
        <v>30.473563805617072</v>
      </c>
      <c r="AA169" s="381">
        <f t="shared" si="63"/>
        <v>31.796119745975197</v>
      </c>
      <c r="AB169" s="193">
        <f t="shared" si="64"/>
        <v>48003</v>
      </c>
      <c r="AC169" s="119">
        <f>IF(OR(t&lt;Tnet,NoTnet),'2030'!Resal_s+('2030'!Salim-'2030'!Resal_s)*(1-EXP(('2030'!Tnet_s-t)/'2030'!Tau_j)),Resal_s+(Salim-Resal_s)*(1-EXP((Tnet_s-t)/Tau_j)))*Salcycl</f>
        <v>4.1594884876653394E-2</v>
      </c>
      <c r="AD169" s="227">
        <f>(INDEX(Models!$BJ169:$BT169,,AH169)*(1-AF169)+INDEX(Models!$BJ169:$BT169,,AH169+1)*AF169-ERP_i)*AE169*Ramure*Pc/MaxiM</f>
        <v>1.8656227696304725E-5</v>
      </c>
      <c r="AE169" s="301">
        <f t="shared" si="65"/>
        <v>0.5</v>
      </c>
      <c r="AF169" s="173">
        <f t="shared" si="66"/>
        <v>0.71283127458937123</v>
      </c>
      <c r="AG169" s="802">
        <f t="shared" si="74"/>
        <v>4</v>
      </c>
      <c r="AH169" s="172">
        <f t="shared" si="67"/>
        <v>10</v>
      </c>
      <c r="AI169" s="221">
        <f t="shared" si="68"/>
        <v>4.7128312745893712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48004</v>
      </c>
      <c r="B170" s="406">
        <f>'2030'!Wh/'2030'!Env_an*'2031'!Env_an</f>
        <v>33.415482731372464</v>
      </c>
      <c r="C170" s="832"/>
      <c r="D170" s="388">
        <f t="shared" si="50"/>
        <v>35.046835693173101</v>
      </c>
      <c r="E170" s="380">
        <f t="shared" ref="E170:E232" si="75">Wh_pvt/(1-Psa)</f>
        <v>35.140930162977064</v>
      </c>
      <c r="F170" s="380">
        <f t="shared" si="51"/>
        <v>35.140962088796151</v>
      </c>
      <c r="G170" s="110">
        <f t="shared" ref="G170:G232" si="76">+Wh_hp/MaxiM</f>
        <v>0.53940760696545831</v>
      </c>
      <c r="H170" s="409" t="b">
        <f>Wh_hp&gt;='2030'!Maxi_hp</f>
        <v>0</v>
      </c>
      <c r="I170" s="385">
        <f>IF(H170,Wh_hp,'2030'!Maxi_hp)</f>
        <v>35.141013993918293</v>
      </c>
      <c r="J170" s="85">
        <f>IF(H170,An,'2030'!An_max)</f>
        <v>2029</v>
      </c>
      <c r="K170" s="193">
        <f t="shared" si="52"/>
        <v>48004</v>
      </c>
      <c r="L170" s="143">
        <f>IF(t&lt;Tvie,1-EXP((T0-t)*PertePVj)+'2030'!Pspv,1-EXP((T0-t)*PertePVj)+Pspv)</f>
        <v>4.65477961001316E-2</v>
      </c>
      <c r="M170" s="836"/>
      <c r="N170" s="836"/>
      <c r="O170" s="48">
        <f>IF(t&lt;Tnet,'2030'!Resal+('2030'!Salim-'2030'!Resal)*(1-EXP(('2030'!Tnet-t)/('2030'!Tau_j))),Resal+(Salim-Resal)*(1-EXP((Tnet-t)/(Tau_j))))*Salcycl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2.6563591015114214E-6</v>
      </c>
      <c r="Q170" s="301">
        <f t="shared" si="53"/>
        <v>0.5</v>
      </c>
      <c r="R170" s="173">
        <f t="shared" si="54"/>
        <v>0.19292420908566621</v>
      </c>
      <c r="S170" s="802">
        <f t="shared" si="55"/>
        <v>1</v>
      </c>
      <c r="T170" s="172">
        <f t="shared" si="56"/>
        <v>7</v>
      </c>
      <c r="U170" s="247">
        <f t="shared" si="57"/>
        <v>1.1929242090856662</v>
      </c>
      <c r="V170" s="378">
        <f t="shared" si="58"/>
        <v>61.948374280428133</v>
      </c>
      <c r="W170" s="397">
        <f t="shared" si="59"/>
        <v>33.415482731372464</v>
      </c>
      <c r="X170" s="153">
        <f t="shared" si="60"/>
        <v>48004</v>
      </c>
      <c r="Y170" s="380">
        <f t="shared" si="61"/>
        <v>32.109230773122171</v>
      </c>
      <c r="Z170" s="380">
        <f t="shared" si="62"/>
        <v>33.676812158792053</v>
      </c>
      <c r="AA170" s="381">
        <f t="shared" si="63"/>
        <v>35.14075199099932</v>
      </c>
      <c r="AB170" s="193">
        <f t="shared" si="64"/>
        <v>48004</v>
      </c>
      <c r="AC170" s="119">
        <f>IF(OR(t&lt;Tnet,NoTnet),'2030'!Resal_s+('2030'!Salim-'2030'!Resal_s)*(1-EXP(('2030'!Tnet_s-t)/'2030'!Tau_j)),Resal_s+(Salim-Resal_s)*(1-EXP((Tnet_s-t)/Tau_j)))*Salcycl</f>
        <v>4.1659319999248358E-2</v>
      </c>
      <c r="AD170" s="227">
        <f>(INDEX(Models!$BJ170:$BT170,,AH170)*(1-AF170)+INDEX(Models!$BJ170:$BT170,,AH170+1)*AF170-ERP_i)*AE170*Ramure*Pc/MaxiM</f>
        <v>1.7480998475086874E-5</v>
      </c>
      <c r="AE170" s="301">
        <f t="shared" si="65"/>
        <v>0.5</v>
      </c>
      <c r="AF170" s="173">
        <f t="shared" si="66"/>
        <v>0.71791177545964313</v>
      </c>
      <c r="AG170" s="802">
        <f t="shared" si="74"/>
        <v>4</v>
      </c>
      <c r="AH170" s="172">
        <f t="shared" si="67"/>
        <v>10</v>
      </c>
      <c r="AI170" s="221">
        <f t="shared" si="68"/>
        <v>4.7179117754596431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48005</v>
      </c>
      <c r="B171" s="406">
        <f>'2030'!Wh/'2030'!Env_an*'2031'!Env_an</f>
        <v>53.436245762540011</v>
      </c>
      <c r="C171" s="832"/>
      <c r="D171" s="388">
        <f t="shared" si="50"/>
        <v>56.045785044403189</v>
      </c>
      <c r="E171" s="380">
        <f t="shared" si="75"/>
        <v>56.200477424343561</v>
      </c>
      <c r="F171" s="380">
        <f t="shared" si="51"/>
        <v>56.200590648737631</v>
      </c>
      <c r="G171" s="110">
        <f t="shared" si="76"/>
        <v>0.86238246422732012</v>
      </c>
      <c r="H171" s="409" t="b">
        <f>Wh_hp&gt;='2030'!Maxi_hp</f>
        <v>0</v>
      </c>
      <c r="I171" s="385">
        <f>IF(H171,Wh_hp,'2030'!Maxi_hp)</f>
        <v>56.200613965873593</v>
      </c>
      <c r="J171" s="85">
        <f>IF(H171,An,'2030'!An_max)</f>
        <v>2029</v>
      </c>
      <c r="K171" s="193">
        <f t="shared" si="52"/>
        <v>48005</v>
      </c>
      <c r="L171" s="143">
        <f>IF(t&lt;Tvie,1-EXP((T0-t)*PertePVj)+'2030'!Pspv,1-EXP((T0-t)*PertePVj)+Pspv)</f>
        <v>4.6560848060130278E-2</v>
      </c>
      <c r="M171" s="836"/>
      <c r="N171" s="836"/>
      <c r="O171" s="48">
        <f>IF(t&lt;Tnet,'2030'!Resal+('2030'!Salim-'2030'!Resal)*(1-EXP(('2030'!Tnet-t)/('2030'!Tau_j))),Resal+(Salim-Resal)*(1-EXP((Tnet-t)/(Tau_j))))*Salcycl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2.507639294848422E-6</v>
      </c>
      <c r="Q171" s="301">
        <f t="shared" si="53"/>
        <v>0.5</v>
      </c>
      <c r="R171" s="173">
        <f t="shared" si="54"/>
        <v>0.19802612763280614</v>
      </c>
      <c r="S171" s="802">
        <f t="shared" si="55"/>
        <v>1</v>
      </c>
      <c r="T171" s="172">
        <f t="shared" si="56"/>
        <v>7</v>
      </c>
      <c r="U171" s="247">
        <f t="shared" si="57"/>
        <v>1.1980261276328061</v>
      </c>
      <c r="V171" s="378">
        <f t="shared" si="58"/>
        <v>61.96348097911298</v>
      </c>
      <c r="W171" s="397">
        <f t="shared" si="59"/>
        <v>53.436245762540011</v>
      </c>
      <c r="X171" s="153">
        <f t="shared" si="60"/>
        <v>48005</v>
      </c>
      <c r="Y171" s="380">
        <f t="shared" si="61"/>
        <v>51.347468256671021</v>
      </c>
      <c r="Z171" s="380">
        <f t="shared" si="62"/>
        <v>53.855002862216566</v>
      </c>
      <c r="AA171" s="381">
        <f t="shared" si="63"/>
        <v>56.199850480145528</v>
      </c>
      <c r="AB171" s="193">
        <f t="shared" si="64"/>
        <v>48005</v>
      </c>
      <c r="AC171" s="119">
        <f>IF(OR(t&lt;Tnet,NoTnet),'2030'!Resal_s+('2030'!Salim-'2030'!Resal_s)*(1-EXP(('2030'!Tnet_s-t)/'2030'!Tau_j)),Resal_s+(Salim-Resal_s)*(1-EXP((Tnet_s-t)/Tau_j)))*Salcycl</f>
        <v>4.1723378227800832E-2</v>
      </c>
      <c r="AD171" s="227">
        <f>(INDEX(Models!$BJ171:$BT171,,AH171)*(1-AF171)+INDEX(Models!$BJ171:$BT171,,AH171+1)*AF171-ERP_i)*AE171*Ramure*Pc/MaxiM</f>
        <v>1.6392897145347898E-5</v>
      </c>
      <c r="AE171" s="301">
        <f t="shared" si="65"/>
        <v>0.5</v>
      </c>
      <c r="AF171" s="173">
        <f t="shared" si="66"/>
        <v>0.72301369400678261</v>
      </c>
      <c r="AG171" s="802">
        <f t="shared" si="74"/>
        <v>4</v>
      </c>
      <c r="AH171" s="172">
        <f t="shared" si="67"/>
        <v>10</v>
      </c>
      <c r="AI171" s="221">
        <f t="shared" si="68"/>
        <v>4.7230136940067826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48006</v>
      </c>
      <c r="B172" s="406">
        <f>'2030'!Wh/'2030'!Env_an*'2031'!Env_an</f>
        <v>27.903460584333338</v>
      </c>
      <c r="C172" s="832"/>
      <c r="D172" s="388">
        <f t="shared" si="50"/>
        <v>29.26651638726209</v>
      </c>
      <c r="E172" s="380">
        <f t="shared" si="75"/>
        <v>29.349498748144224</v>
      </c>
      <c r="F172" s="380">
        <f t="shared" si="51"/>
        <v>29.34951367626601</v>
      </c>
      <c r="G172" s="110">
        <f t="shared" si="76"/>
        <v>0.45023211602153174</v>
      </c>
      <c r="H172" s="409" t="b">
        <f>Wh_hp&gt;='2030'!Maxi_hp</f>
        <v>0</v>
      </c>
      <c r="I172" s="385">
        <f>IF(H172,Wh_hp,'2030'!Maxi_hp)</f>
        <v>29.349559460101258</v>
      </c>
      <c r="J172" s="85">
        <f>IF(H172,An,'2030'!An_max)</f>
        <v>2029</v>
      </c>
      <c r="K172" s="193">
        <f t="shared" si="52"/>
        <v>48006</v>
      </c>
      <c r="L172" s="143">
        <f>IF(t&lt;Tvie,1-EXP((T0-t)*PertePVj)+'2030'!Pspv,1-EXP((T0-t)*PertePVj)+Pspv)</f>
        <v>4.6573899841458655E-2</v>
      </c>
      <c r="M172" s="836"/>
      <c r="N172" s="836"/>
      <c r="O172" s="48">
        <f>IF(t&lt;Tnet,'2030'!Resal+('2030'!Salim-'2030'!Resal)*(1-EXP(('2030'!Tnet-t)/('2030'!Tau_j))),Resal+(Salim-Resal)*(1-EXP((Tnet-t)/(Tau_j))))*Salcycl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2.369938592763165E-6</v>
      </c>
      <c r="Q172" s="301">
        <f t="shared" si="53"/>
        <v>0.5</v>
      </c>
      <c r="R172" s="173">
        <f t="shared" si="54"/>
        <v>0.20314526705063218</v>
      </c>
      <c r="S172" s="802">
        <f t="shared" si="55"/>
        <v>1</v>
      </c>
      <c r="T172" s="172">
        <f t="shared" si="56"/>
        <v>7</v>
      </c>
      <c r="U172" s="247">
        <f t="shared" si="57"/>
        <v>1.2031452670506322</v>
      </c>
      <c r="V172" s="378">
        <f t="shared" si="58"/>
        <v>61.97560692470968</v>
      </c>
      <c r="W172" s="397">
        <f t="shared" si="59"/>
        <v>27.903460584333338</v>
      </c>
      <c r="X172" s="153">
        <f t="shared" si="60"/>
        <v>48006</v>
      </c>
      <c r="Y172" s="380">
        <f t="shared" si="61"/>
        <v>26.81319442828206</v>
      </c>
      <c r="Z172" s="380">
        <f t="shared" si="62"/>
        <v>28.122991833161901</v>
      </c>
      <c r="AA172" s="381">
        <f t="shared" si="63"/>
        <v>29.34941671087881</v>
      </c>
      <c r="AB172" s="193">
        <f t="shared" si="64"/>
        <v>48006</v>
      </c>
      <c r="AC172" s="119">
        <f>IF(OR(t&lt;Tnet,NoTnet),'2030'!Resal_s+('2030'!Salim-'2030'!Resal_s)*(1-EXP(('2030'!Tnet_s-t)/'2030'!Tau_j)),Resal_s+(Salim-Resal_s)*(1-EXP((Tnet_s-t)/Tau_j)))*Salcycl</f>
        <v>4.1787027312959031E-2</v>
      </c>
      <c r="AD172" s="227">
        <f>(INDEX(Models!$BJ172:$BT172,,AH172)*(1-AF172)+INDEX(Models!$BJ172:$BT172,,AH172+1)*AF172-ERP_i)*AE172*Ramure*Pc/MaxiM</f>
        <v>1.5393899955875186E-5</v>
      </c>
      <c r="AE172" s="301">
        <f t="shared" si="65"/>
        <v>0.5</v>
      </c>
      <c r="AF172" s="173">
        <f t="shared" si="66"/>
        <v>0.72813283342460888</v>
      </c>
      <c r="AG172" s="802">
        <f t="shared" si="74"/>
        <v>4</v>
      </c>
      <c r="AH172" s="172">
        <f t="shared" si="67"/>
        <v>10</v>
      </c>
      <c r="AI172" s="221">
        <f t="shared" si="68"/>
        <v>4.7281328334246089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48007</v>
      </c>
      <c r="B173" s="406">
        <f>'2030'!Wh/'2030'!Env_an*'2031'!Env_an</f>
        <v>25.144079706855166</v>
      </c>
      <c r="C173" s="832"/>
      <c r="D173" s="388">
        <f t="shared" si="50"/>
        <v>26.372703567399764</v>
      </c>
      <c r="E173" s="380">
        <f t="shared" si="75"/>
        <v>26.449466665924593</v>
      </c>
      <c r="F173" s="380">
        <f t="shared" si="51"/>
        <v>26.449475622762691</v>
      </c>
      <c r="G173" s="110">
        <f t="shared" si="76"/>
        <v>0.40564729695975693</v>
      </c>
      <c r="H173" s="409" t="b">
        <f>Wh_hp&gt;='2030'!Maxi_hp</f>
        <v>0</v>
      </c>
      <c r="I173" s="385">
        <f>IF(H173,Wh_hp,'2030'!Maxi_hp)</f>
        <v>26.449517679188737</v>
      </c>
      <c r="J173" s="85">
        <f>IF(H173,An,'2030'!An_max)</f>
        <v>2029</v>
      </c>
      <c r="K173" s="193">
        <f t="shared" si="52"/>
        <v>48007</v>
      </c>
      <c r="L173" s="143">
        <f>IF(t&lt;Tvie,1-EXP((T0-t)*PertePVj)+'2030'!Pspv,1-EXP((T0-t)*PertePVj)+Pspv)</f>
        <v>4.6586951444119062E-2</v>
      </c>
      <c r="M173" s="836"/>
      <c r="N173" s="836"/>
      <c r="O173" s="48">
        <f>IF(t&lt;Tnet,'2030'!Resal+('2030'!Salim-'2030'!Resal)*(1-EXP(('2030'!Tnet-t)/('2030'!Tau_j))),Resal+(Salim-Resal)*(1-EXP((Tnet-t)/(Tau_j))))*Salcycl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2.243748270439507E-6</v>
      </c>
      <c r="Q173" s="301">
        <f t="shared" si="53"/>
        <v>0.5</v>
      </c>
      <c r="R173" s="173">
        <f t="shared" si="54"/>
        <v>0.2082773730038987</v>
      </c>
      <c r="S173" s="802">
        <f t="shared" si="55"/>
        <v>1</v>
      </c>
      <c r="T173" s="172">
        <f t="shared" si="56"/>
        <v>7</v>
      </c>
      <c r="U173" s="247">
        <f t="shared" si="57"/>
        <v>1.2082773730038987</v>
      </c>
      <c r="V173" s="378">
        <f t="shared" si="58"/>
        <v>61.984960809753623</v>
      </c>
      <c r="W173" s="397">
        <f t="shared" si="59"/>
        <v>25.144079706855166</v>
      </c>
      <c r="X173" s="153">
        <f t="shared" si="60"/>
        <v>48007</v>
      </c>
      <c r="Y173" s="380">
        <f t="shared" si="61"/>
        <v>24.161873442201472</v>
      </c>
      <c r="Z173" s="380">
        <f t="shared" si="62"/>
        <v>25.342503418428208</v>
      </c>
      <c r="AA173" s="381">
        <f t="shared" si="63"/>
        <v>26.449417795957775</v>
      </c>
      <c r="AB173" s="193">
        <f t="shared" si="64"/>
        <v>48007</v>
      </c>
      <c r="AC173" s="119">
        <f>IF(OR(t&lt;Tnet,NoTnet),'2030'!Resal_s+('2030'!Salim-'2030'!Resal_s)*(1-EXP(('2030'!Tnet_s-t)/'2030'!Tau_j)),Resal_s+(Salim-Resal_s)*(1-EXP((Tnet_s-t)/Tau_j)))*Salcycl</f>
        <v>4.1850236026697615E-2</v>
      </c>
      <c r="AD173" s="227">
        <f>(INDEX(Models!$BJ173:$BT173,,AH173)*(1-AF173)+INDEX(Models!$BJ173:$BT173,,AH173+1)*AF173-ERP_i)*AE173*Ramure*Pc/MaxiM</f>
        <v>1.4486004109451664E-5</v>
      </c>
      <c r="AE173" s="301">
        <f t="shared" si="65"/>
        <v>0.5</v>
      </c>
      <c r="AF173" s="173">
        <f t="shared" si="66"/>
        <v>0.73326493937787518</v>
      </c>
      <c r="AG173" s="802">
        <f t="shared" si="74"/>
        <v>4</v>
      </c>
      <c r="AH173" s="172">
        <f t="shared" si="67"/>
        <v>10</v>
      </c>
      <c r="AI173" s="221">
        <f t="shared" si="68"/>
        <v>4.7332649393778752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48008</v>
      </c>
      <c r="B174" s="406">
        <f>'2030'!Wh/'2030'!Env_an*'2031'!Env_an</f>
        <v>51.669138165646984</v>
      </c>
      <c r="C174" s="832"/>
      <c r="D174" s="388">
        <f t="shared" si="50"/>
        <v>54.194607007639284</v>
      </c>
      <c r="E174" s="380">
        <f t="shared" si="75"/>
        <v>54.356432241672465</v>
      </c>
      <c r="F174" s="380">
        <f t="shared" si="51"/>
        <v>54.356520461661866</v>
      </c>
      <c r="G174" s="110">
        <f t="shared" si="76"/>
        <v>0.83348366423878895</v>
      </c>
      <c r="H174" s="409" t="b">
        <f>Wh_hp&gt;='2030'!Maxi_hp</f>
        <v>0</v>
      </c>
      <c r="I174" s="385">
        <f>IF(H174,Wh_hp,'2030'!Maxi_hp)</f>
        <v>54.356543349873313</v>
      </c>
      <c r="J174" s="85">
        <f>IF(H174,An,'2030'!An_max)</f>
        <v>2029</v>
      </c>
      <c r="K174" s="193">
        <f t="shared" si="52"/>
        <v>48008</v>
      </c>
      <c r="L174" s="143">
        <f>IF(t&lt;Tvie,1-EXP((T0-t)*PertePVj)+'2030'!Pspv,1-EXP((T0-t)*PertePVj)+Pspv)</f>
        <v>4.6600002868113943E-2</v>
      </c>
      <c r="M174" s="836"/>
      <c r="N174" s="836"/>
      <c r="O174" s="48">
        <f>IF(t&lt;Tnet,'2030'!Resal+('2030'!Salim-'2030'!Resal)*(1-EXP(('2030'!Tnet-t)/('2030'!Tau_j))),Resal+(Salim-Resal)*(1-EXP((Tnet-t)/(Tau_j))))*Salcycl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2.1295700176810017E-6</v>
      </c>
      <c r="Q174" s="301">
        <f t="shared" si="53"/>
        <v>0.5</v>
      </c>
      <c r="R174" s="173">
        <f t="shared" si="54"/>
        <v>0.21341814764820444</v>
      </c>
      <c r="S174" s="802">
        <f t="shared" si="55"/>
        <v>1</v>
      </c>
      <c r="T174" s="172">
        <f t="shared" si="56"/>
        <v>7</v>
      </c>
      <c r="U174" s="247">
        <f t="shared" si="57"/>
        <v>1.2134181476482044</v>
      </c>
      <c r="V174" s="378">
        <f t="shared" si="58"/>
        <v>61.991751257831282</v>
      </c>
      <c r="W174" s="397">
        <f t="shared" si="59"/>
        <v>51.669138165646984</v>
      </c>
      <c r="X174" s="153">
        <f t="shared" si="60"/>
        <v>48008</v>
      </c>
      <c r="Y174" s="380">
        <f t="shared" si="61"/>
        <v>49.650911835177794</v>
      </c>
      <c r="Z174" s="380">
        <f t="shared" si="62"/>
        <v>52.077734407953294</v>
      </c>
      <c r="AA174" s="381">
        <f t="shared" si="63"/>
        <v>54.355954115093482</v>
      </c>
      <c r="AB174" s="193">
        <f t="shared" si="64"/>
        <v>48008</v>
      </c>
      <c r="AC174" s="119">
        <f>IF(OR(t&lt;Tnet,NoTnet),'2030'!Resal_s+('2030'!Salim-'2030'!Resal_s)*(1-EXP(('2030'!Tnet_s-t)/'2030'!Tau_j)),Resal_s+(Salim-Resal_s)*(1-EXP((Tnet_s-t)/Tau_j)))*Salcycl</f>
        <v>4.1912974286428296E-2</v>
      </c>
      <c r="AD174" s="227">
        <f>(INDEX(Models!$BJ174:$BT174,,AH174)*(1-AF174)+INDEX(Models!$BJ174:$BT174,,AH174+1)*AF174-ERP_i)*AE174*Ramure*Pc/MaxiM</f>
        <v>1.3671217599363179E-5</v>
      </c>
      <c r="AE174" s="301">
        <f t="shared" si="65"/>
        <v>0.5</v>
      </c>
      <c r="AF174" s="173">
        <f t="shared" si="66"/>
        <v>0.73840571402218114</v>
      </c>
      <c r="AG174" s="802">
        <f t="shared" si="74"/>
        <v>4</v>
      </c>
      <c r="AH174" s="172">
        <f t="shared" si="67"/>
        <v>10</v>
      </c>
      <c r="AI174" s="221">
        <f t="shared" si="68"/>
        <v>4.7384057140221811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48009</v>
      </c>
      <c r="B175" s="406">
        <f>'2030'!Wh/'2030'!Env_an*'2031'!Env_an</f>
        <v>63.570239978391228</v>
      </c>
      <c r="C175" s="832"/>
      <c r="D175" s="388">
        <f t="shared" si="50"/>
        <v>66.678320122452789</v>
      </c>
      <c r="E175" s="380">
        <f t="shared" si="75"/>
        <v>66.882442313965157</v>
      </c>
      <c r="F175" s="380">
        <f t="shared" si="51"/>
        <v>66.882577946073695</v>
      </c>
      <c r="G175" s="110">
        <f t="shared" si="76"/>
        <v>1.0253895155984707</v>
      </c>
      <c r="H175" s="409" t="b">
        <f>Wh_hp&gt;='2030'!Maxi_hp</f>
        <v>1</v>
      </c>
      <c r="I175" s="385">
        <f>IF(H175,Wh_hp,'2030'!Maxi_hp)</f>
        <v>66.882577946073695</v>
      </c>
      <c r="J175" s="85">
        <f>IF(H175,An,'2030'!An_max)</f>
        <v>2031</v>
      </c>
      <c r="K175" s="193">
        <f t="shared" si="52"/>
        <v>48009</v>
      </c>
      <c r="L175" s="143">
        <f>IF(t&lt;Tvie,1-EXP((T0-t)*PertePVj)+'2030'!Pspv,1-EXP((T0-t)*PertePVj)+Pspv)</f>
        <v>4.6613054113445851E-2</v>
      </c>
      <c r="M175" s="836"/>
      <c r="N175" s="836"/>
      <c r="O175" s="48">
        <f>IF(t&lt;Tnet,'2030'!Resal+('2030'!Salim-'2030'!Resal)*(1-EXP(('2030'!Tnet-t)/('2030'!Tau_j))),Resal+(Salim-Resal)*(1-EXP((Tnet-t)/(Tau_j))))*Salcycl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2.0279138858558378E-6</v>
      </c>
      <c r="Q175" s="301">
        <f t="shared" si="53"/>
        <v>0.5</v>
      </c>
      <c r="R175" s="173">
        <f t="shared" si="54"/>
        <v>0.2185632639592161</v>
      </c>
      <c r="S175" s="802">
        <f t="shared" si="55"/>
        <v>1</v>
      </c>
      <c r="T175" s="172">
        <f t="shared" si="56"/>
        <v>7</v>
      </c>
      <c r="U175" s="247">
        <f t="shared" si="57"/>
        <v>1.2185632639592161</v>
      </c>
      <c r="V175" s="378">
        <f t="shared" si="58"/>
        <v>61.996186825928625</v>
      </c>
      <c r="W175" s="397">
        <f t="shared" si="59"/>
        <v>63.570239978391228</v>
      </c>
      <c r="X175" s="153">
        <f t="shared" si="60"/>
        <v>48009</v>
      </c>
      <c r="Y175" s="380">
        <f t="shared" si="61"/>
        <v>61.087637033941697</v>
      </c>
      <c r="Z175" s="380">
        <f t="shared" si="62"/>
        <v>64.074337599762629</v>
      </c>
      <c r="AA175" s="381">
        <f t="shared" si="63"/>
        <v>66.881711713079852</v>
      </c>
      <c r="AB175" s="193">
        <f t="shared" si="64"/>
        <v>48009</v>
      </c>
      <c r="AC175" s="119">
        <f>IF(OR(t&lt;Tnet,NoTnet),'2030'!Resal_s+('2030'!Salim-'2030'!Resal_s)*(1-EXP(('2030'!Tnet_s-t)/'2030'!Tau_j)),Resal_s+(Salim-Resal_s)*(1-EXP((Tnet_s-t)/Tau_j)))*Salcycl</f>
        <v>4.1975213274456268E-2</v>
      </c>
      <c r="AD175" s="227">
        <f>(INDEX(Models!$BJ175:$BT175,,AH175)*(1-AF175)+INDEX(Models!$BJ175:$BT175,,AH175+1)*AF175-ERP_i)*AE175*Ramure*Pc/MaxiM</f>
        <v>1.2951549124666228E-5</v>
      </c>
      <c r="AE175" s="301">
        <f t="shared" si="65"/>
        <v>0.5</v>
      </c>
      <c r="AF175" s="173">
        <f t="shared" si="66"/>
        <v>0.74355083033319325</v>
      </c>
      <c r="AG175" s="802">
        <f t="shared" si="74"/>
        <v>4</v>
      </c>
      <c r="AH175" s="172">
        <f t="shared" si="67"/>
        <v>10</v>
      </c>
      <c r="AI175" s="221">
        <f t="shared" si="68"/>
        <v>4.7435508303331932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48010</v>
      </c>
      <c r="B176" s="406">
        <f>'2030'!Wh/'2030'!Env_an*'2031'!Env_an</f>
        <v>60.865858236590348</v>
      </c>
      <c r="C176" s="832"/>
      <c r="D176" s="388">
        <f t="shared" si="50"/>
        <v>63.842589531035451</v>
      </c>
      <c r="E176" s="380">
        <f t="shared" si="75"/>
        <v>64.042837151338333</v>
      </c>
      <c r="F176" s="380">
        <f t="shared" si="51"/>
        <v>64.042958108297356</v>
      </c>
      <c r="G176" s="110">
        <f t="shared" si="76"/>
        <v>0.98173147279564721</v>
      </c>
      <c r="H176" s="409" t="b">
        <f>Wh_hp&gt;='2030'!Maxi_hp</f>
        <v>0</v>
      </c>
      <c r="I176" s="385">
        <f>IF(H176,Wh_hp,'2030'!Maxi_hp)</f>
        <v>64.042960780995472</v>
      </c>
      <c r="J176" s="85">
        <f>IF(H176,An,'2030'!An_max)</f>
        <v>2029</v>
      </c>
      <c r="K176" s="193">
        <f t="shared" si="52"/>
        <v>48010</v>
      </c>
      <c r="L176" s="143">
        <f>IF(t&lt;Tvie,1-EXP((T0-t)*PertePVj)+'2030'!Pspv,1-EXP((T0-t)*PertePVj)+Pspv)</f>
        <v>4.6626105180117117E-2</v>
      </c>
      <c r="M176" s="836"/>
      <c r="N176" s="836"/>
      <c r="O176" s="48">
        <f>IF(t&lt;Tnet,'2030'!Resal+('2030'!Salim-'2030'!Resal)*(1-EXP(('2030'!Tnet-t)/('2030'!Tau_j))),Resal+(Salim-Resal)*(1-EXP((Tnet-t)/(Tau_j))))*Salcycl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1.9392961730822009E-6</v>
      </c>
      <c r="Q176" s="301">
        <f t="shared" si="53"/>
        <v>0.5</v>
      </c>
      <c r="R176" s="173">
        <f t="shared" si="54"/>
        <v>0.22370838027022755</v>
      </c>
      <c r="S176" s="802">
        <f t="shared" si="55"/>
        <v>1</v>
      </c>
      <c r="T176" s="172">
        <f t="shared" si="56"/>
        <v>7</v>
      </c>
      <c r="U176" s="247">
        <f t="shared" si="57"/>
        <v>1.2237083802702275</v>
      </c>
      <c r="V176" s="378">
        <f t="shared" si="58"/>
        <v>61.998476001540048</v>
      </c>
      <c r="W176" s="397">
        <f t="shared" si="59"/>
        <v>60.865858236590348</v>
      </c>
      <c r="X176" s="153">
        <f t="shared" si="60"/>
        <v>48010</v>
      </c>
      <c r="Y176" s="380">
        <f t="shared" si="61"/>
        <v>58.489538396976229</v>
      </c>
      <c r="Z176" s="380">
        <f t="shared" si="62"/>
        <v>61.350052392641217</v>
      </c>
      <c r="AA176" s="381">
        <f t="shared" si="63"/>
        <v>64.042189129250048</v>
      </c>
      <c r="AB176" s="193">
        <f t="shared" si="64"/>
        <v>48010</v>
      </c>
      <c r="AC176" s="119">
        <f>IF(OR(t&lt;Tnet,NoTnet),'2030'!Resal_s+('2030'!Salim-'2030'!Resal_s)*(1-EXP(('2030'!Tnet_s-t)/'2030'!Tau_j)),Resal_s+(Salim-Resal_s)*(1-EXP((Tnet_s-t)/Tau_j)))*Salcycl</f>
        <v>4.2036925551928825E-2</v>
      </c>
      <c r="AD176" s="227">
        <f>(INDEX(Models!$BJ176:$BT176,,AH176)*(1-AF176)+INDEX(Models!$BJ176:$BT176,,AH176+1)*AF176-ERP_i)*AE176*Ramure*Pc/MaxiM</f>
        <v>1.2328998146927629E-5</v>
      </c>
      <c r="AE176" s="301">
        <f t="shared" si="65"/>
        <v>0.5</v>
      </c>
      <c r="AF176" s="173">
        <f t="shared" si="66"/>
        <v>0.74869594664420447</v>
      </c>
      <c r="AG176" s="802">
        <f t="shared" si="74"/>
        <v>4</v>
      </c>
      <c r="AH176" s="172">
        <f t="shared" si="67"/>
        <v>10</v>
      </c>
      <c r="AI176" s="221">
        <f t="shared" si="68"/>
        <v>4.7486959466442045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48011</v>
      </c>
      <c r="B177" s="406">
        <f>'2030'!Wh/'2030'!Env_an*'2031'!Env_an</f>
        <v>49.080485756088983</v>
      </c>
      <c r="C177" s="832"/>
      <c r="D177" s="388">
        <f t="shared" si="50"/>
        <v>51.481541400074988</v>
      </c>
      <c r="E177" s="380">
        <f t="shared" si="75"/>
        <v>51.646892665560465</v>
      </c>
      <c r="F177" s="380">
        <f t="shared" si="51"/>
        <v>51.646960286353973</v>
      </c>
      <c r="G177" s="110">
        <f t="shared" si="76"/>
        <v>0.79162754260330837</v>
      </c>
      <c r="H177" s="409" t="b">
        <f>Wh_hp&gt;='2030'!Maxi_hp</f>
        <v>0</v>
      </c>
      <c r="I177" s="385">
        <f>IF(H177,Wh_hp,'2030'!Maxi_hp)</f>
        <v>51.64698382864848</v>
      </c>
      <c r="J177" s="85">
        <f>IF(H177,An,'2030'!An_max)</f>
        <v>2029</v>
      </c>
      <c r="K177" s="193">
        <f t="shared" si="52"/>
        <v>48011</v>
      </c>
      <c r="L177" s="143">
        <f>IF(t&lt;Tvie,1-EXP((T0-t)*PertePVj)+'2030'!Pspv,1-EXP((T0-t)*PertePVj)+Pspv)</f>
        <v>4.6639156068130294E-2</v>
      </c>
      <c r="M177" s="836"/>
      <c r="N177" s="836"/>
      <c r="O177" s="48">
        <f>IF(t&lt;Tnet,'2030'!Resal+('2030'!Salim-'2030'!Resal)*(1-EXP(('2030'!Tnet-t)/('2030'!Tau_j))),Resal+(Salim-Resal)*(1-EXP((Tnet-t)/(Tau_j))))*Salcycl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1.8642190570026011E-6</v>
      </c>
      <c r="Q177" s="301">
        <f t="shared" si="53"/>
        <v>0.5</v>
      </c>
      <c r="R177" s="173">
        <f t="shared" si="54"/>
        <v>0.2288491549145335</v>
      </c>
      <c r="S177" s="802">
        <f t="shared" si="55"/>
        <v>1</v>
      </c>
      <c r="T177" s="172">
        <f t="shared" si="56"/>
        <v>7</v>
      </c>
      <c r="U177" s="247">
        <f t="shared" si="57"/>
        <v>1.2288491549145335</v>
      </c>
      <c r="V177" s="378">
        <f t="shared" si="58"/>
        <v>61.999432660477694</v>
      </c>
      <c r="W177" s="397">
        <f t="shared" si="59"/>
        <v>49.080485756088983</v>
      </c>
      <c r="X177" s="153">
        <f t="shared" si="60"/>
        <v>48011</v>
      </c>
      <c r="Y177" s="380">
        <f t="shared" si="61"/>
        <v>47.164965083919334</v>
      </c>
      <c r="Z177" s="380">
        <f t="shared" si="62"/>
        <v>49.472311962593984</v>
      </c>
      <c r="AA177" s="381">
        <f t="shared" si="63"/>
        <v>51.646532068150876</v>
      </c>
      <c r="AB177" s="193">
        <f t="shared" si="64"/>
        <v>48011</v>
      </c>
      <c r="AC177" s="119">
        <f>IF(OR(t&lt;Tnet,NoTnet),'2030'!Resal_s+('2030'!Salim-'2030'!Resal_s)*(1-EXP(('2030'!Tnet_s-t)/'2030'!Tau_j)),Resal_s+(Salim-Resal_s)*(1-EXP((Tnet_s-t)/Tau_j)))*Salcycl</f>
        <v>4.2098085166451679E-2</v>
      </c>
      <c r="AD177" s="227">
        <f>(INDEX(Models!$BJ177:$BT177,,AH177)*(1-AF177)+INDEX(Models!$BJ177:$BT177,,AH177+1)*AF177-ERP_i)*AE177*Ramure*Pc/MaxiM</f>
        <v>1.1805429859639511E-5</v>
      </c>
      <c r="AE177" s="301">
        <f t="shared" si="65"/>
        <v>0.5</v>
      </c>
      <c r="AF177" s="173">
        <f t="shared" si="66"/>
        <v>0.75383672128851043</v>
      </c>
      <c r="AG177" s="802">
        <f t="shared" si="74"/>
        <v>4</v>
      </c>
      <c r="AH177" s="172">
        <f t="shared" si="67"/>
        <v>10</v>
      </c>
      <c r="AI177" s="221">
        <f t="shared" si="68"/>
        <v>4.7538367212885104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48012</v>
      </c>
      <c r="B178" s="406">
        <f>'2030'!Wh/'2030'!Env_an*'2031'!Env_an</f>
        <v>54.870464496487841</v>
      </c>
      <c r="C178" s="832"/>
      <c r="D178" s="388">
        <f t="shared" si="50"/>
        <v>57.555558303664128</v>
      </c>
      <c r="E178" s="380">
        <f t="shared" si="75"/>
        <v>57.744749653737657</v>
      </c>
      <c r="F178" s="380">
        <f t="shared" si="51"/>
        <v>57.744836814430485</v>
      </c>
      <c r="G178" s="110">
        <f t="shared" si="76"/>
        <v>0.88501599542459253</v>
      </c>
      <c r="H178" s="409" t="b">
        <f>Wh_hp&gt;='2030'!Maxi_hp</f>
        <v>0</v>
      </c>
      <c r="I178" s="385">
        <f>IF(H178,Wh_hp,'2030'!Maxi_hp)</f>
        <v>57.744850835053271</v>
      </c>
      <c r="J178" s="85">
        <f>IF(H178,An,'2030'!An_max)</f>
        <v>2029</v>
      </c>
      <c r="K178" s="193">
        <f t="shared" si="52"/>
        <v>48012</v>
      </c>
      <c r="L178" s="143">
        <f>IF(t&lt;Tvie,1-EXP((T0-t)*PertePVj)+'2030'!Pspv,1-EXP((T0-t)*PertePVj)+Pspv)</f>
        <v>4.6652206777487715E-2</v>
      </c>
      <c r="M178" s="836"/>
      <c r="N178" s="836"/>
      <c r="O178" s="48">
        <f>IF(t&lt;Tnet,'2030'!Resal+('2030'!Salim-'2030'!Resal)*(1-EXP(('2030'!Tnet-t)/('2030'!Tau_j))),Resal+(Salim-Resal)*(1-EXP((Tnet-t)/(Tau_j))))*Salcycl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1.8060826465802317E-6</v>
      </c>
      <c r="Q178" s="301">
        <f t="shared" si="53"/>
        <v>0.5</v>
      </c>
      <c r="R178" s="173">
        <f t="shared" si="54"/>
        <v>0.23398126086780002</v>
      </c>
      <c r="S178" s="802">
        <f t="shared" si="55"/>
        <v>1</v>
      </c>
      <c r="T178" s="172">
        <f t="shared" si="56"/>
        <v>7</v>
      </c>
      <c r="U178" s="247">
        <f t="shared" si="57"/>
        <v>1.2339812608678</v>
      </c>
      <c r="V178" s="378">
        <f t="shared" si="58"/>
        <v>61.999385888645605</v>
      </c>
      <c r="W178" s="397">
        <f t="shared" si="59"/>
        <v>54.870464496487841</v>
      </c>
      <c r="X178" s="153">
        <f t="shared" si="60"/>
        <v>48012</v>
      </c>
      <c r="Y178" s="380">
        <f t="shared" si="61"/>
        <v>52.729537151397764</v>
      </c>
      <c r="Z178" s="380">
        <f t="shared" si="62"/>
        <v>55.309864381351368</v>
      </c>
      <c r="AA178" s="381">
        <f t="shared" si="63"/>
        <v>57.744286573618652</v>
      </c>
      <c r="AB178" s="193">
        <f t="shared" si="64"/>
        <v>48012</v>
      </c>
      <c r="AC178" s="119">
        <f>IF(OR(t&lt;Tnet,NoTnet),'2030'!Resal_s+('2030'!Salim-'2030'!Resal_s)*(1-EXP(('2030'!Tnet_s-t)/'2030'!Tau_j)),Resal_s+(Salim-Resal_s)*(1-EXP((Tnet_s-t)/Tau_j)))*Salcycl</f>
        <v>4.2158667752585678E-2</v>
      </c>
      <c r="AD178" s="227">
        <f>(INDEX(Models!$BJ178:$BT178,,AH178)*(1-AF178)+INDEX(Models!$BJ178:$BT178,,AH178+1)*AF178-ERP_i)*AE178*Ramure*Pc/MaxiM</f>
        <v>1.140170355949394E-5</v>
      </c>
      <c r="AE178" s="301">
        <f t="shared" si="65"/>
        <v>0.5</v>
      </c>
      <c r="AF178" s="173">
        <f t="shared" si="66"/>
        <v>0.75896882724177672</v>
      </c>
      <c r="AG178" s="802">
        <f t="shared" si="74"/>
        <v>4</v>
      </c>
      <c r="AH178" s="172">
        <f t="shared" si="67"/>
        <v>10</v>
      </c>
      <c r="AI178" s="221">
        <f t="shared" si="68"/>
        <v>4.7589688272417767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48013</v>
      </c>
      <c r="B179" s="406">
        <f>'2030'!Wh/'2030'!Env_an*'2031'!Env_an</f>
        <v>55.779730943067506</v>
      </c>
      <c r="C179" s="832"/>
      <c r="D179" s="388">
        <f t="shared" si="50"/>
        <v>58.510120784614948</v>
      </c>
      <c r="E179" s="380">
        <f t="shared" si="75"/>
        <v>58.706851552548343</v>
      </c>
      <c r="F179" s="380">
        <f t="shared" si="51"/>
        <v>58.706939835725471</v>
      </c>
      <c r="G179" s="110">
        <f t="shared" si="76"/>
        <v>0.89970451762879466</v>
      </c>
      <c r="H179" s="409" t="b">
        <f>Wh_hp&gt;='2030'!Maxi_hp</f>
        <v>0</v>
      </c>
      <c r="I179" s="385">
        <f>IF(H179,Wh_hp,'2030'!Maxi_hp)</f>
        <v>58.706951875656188</v>
      </c>
      <c r="J179" s="85">
        <f>IF(H179,An,'2030'!An_max)</f>
        <v>2029</v>
      </c>
      <c r="K179" s="193">
        <f t="shared" si="52"/>
        <v>48013</v>
      </c>
      <c r="L179" s="143">
        <f>IF(t&lt;Tvie,1-EXP((T0-t)*PertePVj)+'2030'!Pspv,1-EXP((T0-t)*PertePVj)+Pspv)</f>
        <v>4.6665257308191932E-2</v>
      </c>
      <c r="M179" s="836"/>
      <c r="N179" s="836"/>
      <c r="O179" s="48">
        <f>IF(t&lt;Tnet,'2030'!Resal+('2030'!Salim-'2030'!Resal)*(1-EXP(('2030'!Tnet-t)/('2030'!Tau_j))),Resal+(Salim-Resal)*(1-EXP((Tnet-t)/(Tau_j))))*Salcycl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1.7552907612671205E-6</v>
      </c>
      <c r="Q179" s="301">
        <f t="shared" si="53"/>
        <v>0.5</v>
      </c>
      <c r="R179" s="173">
        <f t="shared" si="54"/>
        <v>0.23910040028562585</v>
      </c>
      <c r="S179" s="802">
        <f t="shared" si="55"/>
        <v>1</v>
      </c>
      <c r="T179" s="172">
        <f t="shared" si="56"/>
        <v>7</v>
      </c>
      <c r="U179" s="247">
        <f t="shared" si="57"/>
        <v>1.2391004002856258</v>
      </c>
      <c r="V179" s="378">
        <f t="shared" si="58"/>
        <v>61.9978179743566</v>
      </c>
      <c r="W179" s="397">
        <f t="shared" si="59"/>
        <v>55.779730943067506</v>
      </c>
      <c r="X179" s="153">
        <f t="shared" si="60"/>
        <v>48013</v>
      </c>
      <c r="Y179" s="380">
        <f t="shared" si="61"/>
        <v>53.603991483499549</v>
      </c>
      <c r="Z179" s="380">
        <f t="shared" si="62"/>
        <v>56.227879970203212</v>
      </c>
      <c r="AA179" s="381">
        <f t="shared" si="63"/>
        <v>58.706384298320515</v>
      </c>
      <c r="AB179" s="193">
        <f t="shared" si="64"/>
        <v>48013</v>
      </c>
      <c r="AC179" s="119">
        <f>IF(OR(t&lt;Tnet,NoTnet),'2030'!Resal_s+('2030'!Salim-'2030'!Resal_s)*(1-EXP(('2030'!Tnet_s-t)/'2030'!Tau_j)),Resal_s+(Salim-Resal_s)*(1-EXP((Tnet_s-t)/Tau_j)))*Salcycl</f>
        <v>4.2218650624480866E-2</v>
      </c>
      <c r="AD179" s="227">
        <f>(INDEX(Models!$BJ179:$BT179,,AH179)*(1-AF179)+INDEX(Models!$BJ179:$BT179,,AH179+1)*AF179-ERP_i)*AE179*Ramure*Pc/MaxiM</f>
        <v>1.1045475549535687E-5</v>
      </c>
      <c r="AE179" s="301">
        <f t="shared" si="65"/>
        <v>0.5</v>
      </c>
      <c r="AF179" s="173">
        <f t="shared" si="66"/>
        <v>0.76408796665960299</v>
      </c>
      <c r="AG179" s="802">
        <f t="shared" si="74"/>
        <v>4</v>
      </c>
      <c r="AH179" s="172">
        <f t="shared" si="67"/>
        <v>10</v>
      </c>
      <c r="AI179" s="221">
        <f t="shared" si="68"/>
        <v>4.764087966659603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48014</v>
      </c>
      <c r="B180" s="406">
        <f>'2030'!Wh/'2030'!Env_an*'2031'!Env_an</f>
        <v>59.169897834138382</v>
      </c>
      <c r="C180" s="832"/>
      <c r="D180" s="388">
        <f t="shared" si="50"/>
        <v>62.067084290211248</v>
      </c>
      <c r="E180" s="380">
        <f t="shared" si="75"/>
        <v>62.280442255792941</v>
      </c>
      <c r="F180" s="380">
        <f t="shared" si="51"/>
        <v>62.280541946915541</v>
      </c>
      <c r="G180" s="110">
        <f t="shared" si="76"/>
        <v>0.95444220517714595</v>
      </c>
      <c r="H180" s="409" t="b">
        <f>Wh_hp&gt;='2030'!Maxi_hp</f>
        <v>0</v>
      </c>
      <c r="I180" s="385">
        <f>IF(H180,Wh_hp,'2030'!Maxi_hp)</f>
        <v>62.280547585736535</v>
      </c>
      <c r="J180" s="85">
        <f>IF(H180,An,'2030'!An_max)</f>
        <v>2029</v>
      </c>
      <c r="K180" s="193">
        <f t="shared" si="52"/>
        <v>48014</v>
      </c>
      <c r="L180" s="143">
        <f>IF(t&lt;Tvie,1-EXP((T0-t)*PertePVj)+'2030'!Pspv,1-EXP((T0-t)*PertePVj)+Pspv)</f>
        <v>4.6678307660245388E-2</v>
      </c>
      <c r="M180" s="836"/>
      <c r="N180" s="836"/>
      <c r="O180" s="48">
        <f>IF(t&lt;Tnet,'2030'!Resal+('2030'!Salim-'2030'!Resal)*(1-EXP(('2030'!Tnet-t)/('2030'!Tau_j))),Resal+(Salim-Resal)*(1-EXP((Tnet-t)/(Tau_j))))*Salcycl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1.712106490245073E-6</v>
      </c>
      <c r="Q180" s="301">
        <f t="shared" si="53"/>
        <v>0.5</v>
      </c>
      <c r="R180" s="173">
        <f t="shared" si="54"/>
        <v>0.244202318832766</v>
      </c>
      <c r="S180" s="802">
        <f t="shared" si="55"/>
        <v>1</v>
      </c>
      <c r="T180" s="172">
        <f t="shared" si="56"/>
        <v>7</v>
      </c>
      <c r="U180" s="247">
        <f t="shared" si="57"/>
        <v>1.244202318832766</v>
      </c>
      <c r="V180" s="378">
        <f t="shared" si="58"/>
        <v>61.994210775665813</v>
      </c>
      <c r="W180" s="397">
        <f t="shared" si="59"/>
        <v>59.169897834138382</v>
      </c>
      <c r="X180" s="153">
        <f t="shared" si="60"/>
        <v>48014</v>
      </c>
      <c r="Y180" s="380">
        <f t="shared" si="61"/>
        <v>56.862631782733487</v>
      </c>
      <c r="Z180" s="380">
        <f t="shared" si="62"/>
        <v>59.646845592251765</v>
      </c>
      <c r="AA180" s="381">
        <f t="shared" si="63"/>
        <v>62.279916711915135</v>
      </c>
      <c r="AB180" s="193">
        <f t="shared" si="64"/>
        <v>48014</v>
      </c>
      <c r="AC180" s="119">
        <f>IF(OR(t&lt;Tnet,NoTnet),'2030'!Resal_s+('2030'!Salim-'2030'!Resal_s)*(1-EXP(('2030'!Tnet_s-t)/'2030'!Tau_j)),Resal_s+(Salim-Resal_s)*(1-EXP((Tnet_s-t)/Tau_j)))*Salcycl</f>
        <v>4.227801285995663E-2</v>
      </c>
      <c r="AD180" s="227">
        <f>(INDEX(Models!$BJ180:$BT180,,AH180)*(1-AF180)+INDEX(Models!$BJ180:$BT180,,AH180+1)*AF180-ERP_i)*AE180*Ramure*Pc/MaxiM</f>
        <v>1.0737855831178572E-5</v>
      </c>
      <c r="AE180" s="301">
        <f t="shared" si="65"/>
        <v>0.5</v>
      </c>
      <c r="AF180" s="173">
        <f t="shared" si="66"/>
        <v>0.76918988520674247</v>
      </c>
      <c r="AG180" s="802">
        <f t="shared" si="74"/>
        <v>4</v>
      </c>
      <c r="AH180" s="172">
        <f t="shared" si="67"/>
        <v>10</v>
      </c>
      <c r="AI180" s="221">
        <f t="shared" si="68"/>
        <v>4.7691898852067425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48015</v>
      </c>
      <c r="B181" s="406">
        <f>'2030'!Wh/'2030'!Env_an*'2031'!Env_an</f>
        <v>56.069273730498566</v>
      </c>
      <c r="C181" s="832"/>
      <c r="D181" s="388">
        <f t="shared" si="50"/>
        <v>58.815446803339313</v>
      </c>
      <c r="E181" s="380">
        <f t="shared" si="75"/>
        <v>59.02204814522478</v>
      </c>
      <c r="F181" s="380">
        <f t="shared" si="51"/>
        <v>59.022133613404037</v>
      </c>
      <c r="G181" s="110">
        <f t="shared" si="76"/>
        <v>0.90451730972535271</v>
      </c>
      <c r="H181" s="409" t="b">
        <f>Wh_hp&gt;='2030'!Maxi_hp</f>
        <v>0</v>
      </c>
      <c r="I181" s="385">
        <f>IF(H181,Wh_hp,'2030'!Maxi_hp)</f>
        <v>59.022144543230645</v>
      </c>
      <c r="J181" s="85">
        <f>IF(H181,An,'2030'!An_max)</f>
        <v>2029</v>
      </c>
      <c r="K181" s="193">
        <f t="shared" si="52"/>
        <v>48015</v>
      </c>
      <c r="L181" s="143">
        <f>IF(t&lt;Tvie,1-EXP((T0-t)*PertePVj)+'2030'!Pspv,1-EXP((T0-t)*PertePVj)+Pspv)</f>
        <v>4.6691357833650415E-2</v>
      </c>
      <c r="M181" s="836"/>
      <c r="N181" s="836"/>
      <c r="O181" s="48">
        <f>IF(t&lt;Tnet,'2030'!Resal+('2030'!Salim-'2030'!Resal)*(1-EXP(('2030'!Tnet-t)/('2030'!Tau_j))),Resal+(Salim-Resal)*(1-EXP((Tnet-t)/(Tau_j))))*Salcycl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1.6767900866797732E-6</v>
      </c>
      <c r="Q181" s="301">
        <f t="shared" si="53"/>
        <v>0.5</v>
      </c>
      <c r="R181" s="173">
        <f t="shared" si="54"/>
        <v>0.24928281970303789</v>
      </c>
      <c r="S181" s="802">
        <f t="shared" si="55"/>
        <v>1</v>
      </c>
      <c r="T181" s="172">
        <f t="shared" si="56"/>
        <v>7</v>
      </c>
      <c r="U181" s="247">
        <f t="shared" si="57"/>
        <v>1.2492828197030379</v>
      </c>
      <c r="V181" s="378">
        <f t="shared" si="58"/>
        <v>61.988046335270276</v>
      </c>
      <c r="W181" s="397">
        <f t="shared" si="59"/>
        <v>56.069273730498566</v>
      </c>
      <c r="X181" s="153">
        <f t="shared" si="60"/>
        <v>48015</v>
      </c>
      <c r="Y181" s="380">
        <f t="shared" si="61"/>
        <v>53.883690498765617</v>
      </c>
      <c r="Z181" s="380">
        <f t="shared" si="62"/>
        <v>56.522817601146919</v>
      </c>
      <c r="AA181" s="381">
        <f t="shared" si="63"/>
        <v>59.021599437985472</v>
      </c>
      <c r="AB181" s="193">
        <f t="shared" si="64"/>
        <v>48015</v>
      </c>
      <c r="AC181" s="119">
        <f>IF(OR(t&lt;Tnet,NoTnet),'2030'!Resal_s+('2030'!Salim-'2030'!Resal_s)*(1-EXP(('2030'!Tnet_s-t)/'2030'!Tau_j)),Resal_s+(Salim-Resal_s)*(1-EXP((Tnet_s-t)/Tau_j)))*Salcycl</f>
        <v>4.2336735375394965E-2</v>
      </c>
      <c r="AD181" s="227">
        <f>(INDEX(Models!$BJ181:$BT181,,AH181)*(1-AF181)+INDEX(Models!$BJ181:$BT181,,AH181+1)*AF181-ERP_i)*AE181*Ramure*Pc/MaxiM</f>
        <v>1.047992427348899E-5</v>
      </c>
      <c r="AE181" s="301">
        <f t="shared" si="65"/>
        <v>0.5</v>
      </c>
      <c r="AF181" s="173">
        <f t="shared" si="66"/>
        <v>0.77427038607701437</v>
      </c>
      <c r="AG181" s="802">
        <f t="shared" si="74"/>
        <v>4</v>
      </c>
      <c r="AH181" s="172">
        <f t="shared" si="67"/>
        <v>10</v>
      </c>
      <c r="AI181" s="221">
        <f t="shared" si="68"/>
        <v>4.7742703860770144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48016</v>
      </c>
      <c r="B182" s="406">
        <f>'2030'!Wh/'2030'!Env_an*'2031'!Env_an</f>
        <v>56.233357747973322</v>
      </c>
      <c r="C182" s="832"/>
      <c r="D182" s="388">
        <f t="shared" si="50"/>
        <v>58.988374864793755</v>
      </c>
      <c r="E182" s="380">
        <f t="shared" si="75"/>
        <v>59.200015413281825</v>
      </c>
      <c r="F182" s="380">
        <f t="shared" si="51"/>
        <v>59.200100137170523</v>
      </c>
      <c r="G182" s="110">
        <f t="shared" si="76"/>
        <v>0.90729958029478974</v>
      </c>
      <c r="H182" s="409" t="b">
        <f>Wh_hp&gt;='2030'!Maxi_hp</f>
        <v>0</v>
      </c>
      <c r="I182" s="385">
        <f>IF(H182,Wh_hp,'2030'!Maxi_hp)</f>
        <v>59.20011057102802</v>
      </c>
      <c r="J182" s="85">
        <f>IF(H182,An,'2030'!An_max)</f>
        <v>2029</v>
      </c>
      <c r="K182" s="193">
        <f t="shared" si="52"/>
        <v>48016</v>
      </c>
      <c r="L182" s="143">
        <f>IF(t&lt;Tvie,1-EXP((T0-t)*PertePVj)+'2030'!Pspv,1-EXP((T0-t)*PertePVj)+Pspv)</f>
        <v>4.6704407828409567E-2</v>
      </c>
      <c r="M182" s="836"/>
      <c r="N182" s="836"/>
      <c r="O182" s="48">
        <f>IF(t&lt;Tnet,'2030'!Resal+('2030'!Salim-'2030'!Resal)*(1-EXP(('2030'!Tnet-t)/('2030'!Tau_j))),Resal+(Salim-Resal)*(1-EXP((Tnet-t)/(Tau_j))))*Salcycl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1.6495988946989522E-6</v>
      </c>
      <c r="Q182" s="301">
        <f t="shared" si="53"/>
        <v>0.5</v>
      </c>
      <c r="R182" s="173">
        <f t="shared" si="54"/>
        <v>0.25433777723269757</v>
      </c>
      <c r="S182" s="802">
        <f t="shared" si="55"/>
        <v>1</v>
      </c>
      <c r="T182" s="172">
        <f t="shared" si="56"/>
        <v>7</v>
      </c>
      <c r="U182" s="247">
        <f t="shared" si="57"/>
        <v>1.2543377772326976</v>
      </c>
      <c r="V182" s="378">
        <f t="shared" si="58"/>
        <v>61.978806873527198</v>
      </c>
      <c r="W182" s="397">
        <f t="shared" si="59"/>
        <v>56.233357747973322</v>
      </c>
      <c r="X182" s="153">
        <f t="shared" si="60"/>
        <v>48016</v>
      </c>
      <c r="Y182" s="380">
        <f t="shared" si="61"/>
        <v>54.04215403088331</v>
      </c>
      <c r="Z182" s="380">
        <f t="shared" si="62"/>
        <v>56.689818430583784</v>
      </c>
      <c r="AA182" s="381">
        <f t="shared" si="63"/>
        <v>59.199572526593784</v>
      </c>
      <c r="AB182" s="193">
        <f t="shared" si="64"/>
        <v>48016</v>
      </c>
      <c r="AC182" s="119">
        <f>IF(OR(t&lt;Tnet,NoTnet),'2030'!Resal_s+('2030'!Salim-'2030'!Resal_s)*(1-EXP(('2030'!Tnet_s-t)/'2030'!Tau_j)),Resal_s+(Salim-Resal_s)*(1-EXP((Tnet_s-t)/Tau_j)))*Salcycl</f>
        <v>4.2394800990878112E-2</v>
      </c>
      <c r="AD182" s="227">
        <f>(INDEX(Models!$BJ182:$BT182,,AH182)*(1-AF182)+INDEX(Models!$BJ182:$BT182,,AH182+1)*AF182-ERP_i)*AE182*Ramure*Pc/MaxiM</f>
        <v>1.0272732256000064E-5</v>
      </c>
      <c r="AE182" s="301">
        <f t="shared" si="65"/>
        <v>0.5</v>
      </c>
      <c r="AF182" s="173">
        <f t="shared" si="66"/>
        <v>0.77932534360667471</v>
      </c>
      <c r="AG182" s="802">
        <f t="shared" si="74"/>
        <v>4</v>
      </c>
      <c r="AH182" s="172">
        <f t="shared" si="67"/>
        <v>10</v>
      </c>
      <c r="AI182" s="221">
        <f t="shared" si="68"/>
        <v>4.7793253436066747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48017</v>
      </c>
      <c r="B183" s="406">
        <f>'2030'!Wh/'2030'!Env_an*'2031'!Env_an</f>
        <v>59.876665068404058</v>
      </c>
      <c r="C183" s="832"/>
      <c r="D183" s="388">
        <f t="shared" si="50"/>
        <v>62.811037030484414</v>
      </c>
      <c r="E183" s="380">
        <f t="shared" si="75"/>
        <v>63.041108936408293</v>
      </c>
      <c r="F183" s="380">
        <f t="shared" si="51"/>
        <v>63.041206791294321</v>
      </c>
      <c r="G183" s="110">
        <f t="shared" si="76"/>
        <v>0.96628287649808864</v>
      </c>
      <c r="H183" s="409" t="b">
        <f>Wh_hp&gt;='2030'!Maxi_hp</f>
        <v>0</v>
      </c>
      <c r="I183" s="385">
        <f>IF(H183,Wh_hp,'2030'!Maxi_hp)</f>
        <v>63.04121077252843</v>
      </c>
      <c r="J183" s="85">
        <f>IF(H183,An,'2030'!An_max)</f>
        <v>2029</v>
      </c>
      <c r="K183" s="193">
        <f t="shared" si="52"/>
        <v>48017</v>
      </c>
      <c r="L183" s="143">
        <f>IF(t&lt;Tvie,1-EXP((T0-t)*PertePVj)+'2030'!Pspv,1-EXP((T0-t)*PertePVj)+Pspv)</f>
        <v>4.6717457644525173E-2</v>
      </c>
      <c r="M183" s="836"/>
      <c r="N183" s="836"/>
      <c r="O183" s="48">
        <f>IF(t&lt;Tnet,'2030'!Resal+('2030'!Salim-'2030'!Resal)*(1-EXP(('2030'!Tnet-t)/('2030'!Tau_j))),Resal+(Salim-Resal)*(1-EXP((Tnet-t)/(Tau_j))))*Salcycl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1.6307873567109474E-6</v>
      </c>
      <c r="Q183" s="301">
        <f t="shared" si="53"/>
        <v>0.5</v>
      </c>
      <c r="R183" s="173">
        <f t="shared" si="54"/>
        <v>0.25936315001496957</v>
      </c>
      <c r="S183" s="802">
        <f t="shared" si="55"/>
        <v>1</v>
      </c>
      <c r="T183" s="172">
        <f t="shared" si="56"/>
        <v>7</v>
      </c>
      <c r="U183" s="247">
        <f t="shared" si="57"/>
        <v>1.2593631500149696</v>
      </c>
      <c r="V183" s="378">
        <f t="shared" si="58"/>
        <v>61.965974789965664</v>
      </c>
      <c r="W183" s="397">
        <f t="shared" si="59"/>
        <v>59.876665068404058</v>
      </c>
      <c r="X183" s="153">
        <f t="shared" si="60"/>
        <v>48017</v>
      </c>
      <c r="Y183" s="380">
        <f t="shared" si="61"/>
        <v>57.544317171168785</v>
      </c>
      <c r="Z183" s="380">
        <f t="shared" si="62"/>
        <v>60.364387906424881</v>
      </c>
      <c r="AA183" s="381">
        <f t="shared" si="63"/>
        <v>63.040599705581862</v>
      </c>
      <c r="AB183" s="193">
        <f t="shared" si="64"/>
        <v>48017</v>
      </c>
      <c r="AC183" s="119">
        <f>IF(OR(t&lt;Tnet,NoTnet),'2030'!Resal_s+('2030'!Salim-'2030'!Resal_s)*(1-EXP(('2030'!Tnet_s-t)/'2030'!Tau_j)),Resal_s+(Salim-Resal_s)*(1-EXP((Tnet_s-t)/Tau_j)))*Salcycl</f>
        <v>4.245219448507271E-2</v>
      </c>
      <c r="AD183" s="227">
        <f>(INDEX(Models!$BJ183:$BT183,,AH183)*(1-AF183)+INDEX(Models!$BJ183:$BT183,,AH183+1)*AF183-ERP_i)*AE183*Ramure*Pc/MaxiM</f>
        <v>1.0117304760983881E-5</v>
      </c>
      <c r="AE183" s="301">
        <f t="shared" si="65"/>
        <v>0.5</v>
      </c>
      <c r="AF183" s="173">
        <f t="shared" si="66"/>
        <v>0.78435071638894627</v>
      </c>
      <c r="AG183" s="802">
        <f t="shared" si="74"/>
        <v>4</v>
      </c>
      <c r="AH183" s="172">
        <f t="shared" si="67"/>
        <v>10</v>
      </c>
      <c r="AI183" s="221">
        <f t="shared" si="68"/>
        <v>4.7843507163889463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48018</v>
      </c>
      <c r="B184" s="406">
        <f>'2030'!Wh/'2030'!Env_an*'2031'!Env_an</f>
        <v>60.355773814495272</v>
      </c>
      <c r="C184" s="832"/>
      <c r="D184" s="388">
        <f t="shared" si="50"/>
        <v>63.31449215101437</v>
      </c>
      <c r="E184" s="380">
        <f t="shared" si="75"/>
        <v>63.55115926415575</v>
      </c>
      <c r="F184" s="380">
        <f t="shared" si="51"/>
        <v>63.551258657944921</v>
      </c>
      <c r="G184" s="110">
        <f t="shared" si="76"/>
        <v>0.97428107918466855</v>
      </c>
      <c r="H184" s="409" t="b">
        <f>Wh_hp&gt;='2030'!Maxi_hp</f>
        <v>0</v>
      </c>
      <c r="I184" s="385">
        <f>IF(H184,Wh_hp,'2030'!Maxi_hp)</f>
        <v>63.551261695450442</v>
      </c>
      <c r="J184" s="85">
        <f>IF(H184,An,'2030'!An_max)</f>
        <v>2029</v>
      </c>
      <c r="K184" s="193">
        <f t="shared" si="52"/>
        <v>48018</v>
      </c>
      <c r="L184" s="143">
        <f>IF(t&lt;Tvie,1-EXP((T0-t)*PertePVj)+'2030'!Pspv,1-EXP((T0-t)*PertePVj)+Pspv)</f>
        <v>4.6730507281999789E-2</v>
      </c>
      <c r="M184" s="836"/>
      <c r="N184" s="836"/>
      <c r="O184" s="48">
        <f>IF(t&lt;Tnet,'2030'!Resal+('2030'!Salim-'2030'!Resal)*(1-EXP(('2030'!Tnet-t)/('2030'!Tau_j))),Resal+(Salim-Resal)*(1-EXP((Tnet-t)/(Tau_j))))*Salcycl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1.6236488918620303E-6</v>
      </c>
      <c r="Q184" s="301">
        <f t="shared" si="53"/>
        <v>0.5</v>
      </c>
      <c r="R184" s="173">
        <f t="shared" si="54"/>
        <v>0.26435499342938207</v>
      </c>
      <c r="S184" s="802">
        <f t="shared" si="55"/>
        <v>1</v>
      </c>
      <c r="T184" s="172">
        <f t="shared" si="56"/>
        <v>7</v>
      </c>
      <c r="U184" s="247">
        <f t="shared" si="57"/>
        <v>1.2643549934293821</v>
      </c>
      <c r="V184" s="378">
        <f t="shared" si="58"/>
        <v>61.949032474779571</v>
      </c>
      <c r="W184" s="397">
        <f t="shared" si="59"/>
        <v>60.355773814495272</v>
      </c>
      <c r="X184" s="153">
        <f t="shared" si="60"/>
        <v>48018</v>
      </c>
      <c r="Y184" s="380">
        <f t="shared" si="61"/>
        <v>58.00566337174044</v>
      </c>
      <c r="Z184" s="380">
        <f t="shared" si="62"/>
        <v>60.8491762453788</v>
      </c>
      <c r="AA184" s="381">
        <f t="shared" si="63"/>
        <v>63.55064440088973</v>
      </c>
      <c r="AB184" s="193">
        <f t="shared" si="64"/>
        <v>48018</v>
      </c>
      <c r="AC184" s="119">
        <f>IF(OR(t&lt;Tnet,NoTnet),'2030'!Resal_s+('2030'!Salim-'2030'!Resal_s)*(1-EXP(('2030'!Tnet_s-t)/'2030'!Tau_j)),Resal_s+(Salim-Resal_s)*(1-EXP((Tnet_s-t)/Tau_j)))*Salcycl</f>
        <v>4.2508902639437372E-2</v>
      </c>
      <c r="AD184" s="227">
        <f>(INDEX(Models!$BJ184:$BT184,,AH184)*(1-AF184)+INDEX(Models!$BJ184:$BT184,,AH184+1)*AF184-ERP_i)*AE184*Ramure*Pc/MaxiM</f>
        <v>1.0034206314593769E-5</v>
      </c>
      <c r="AE184" s="301">
        <f t="shared" si="65"/>
        <v>0.5</v>
      </c>
      <c r="AF184" s="173">
        <f t="shared" si="66"/>
        <v>0.78934255980335877</v>
      </c>
      <c r="AG184" s="802">
        <f t="shared" si="74"/>
        <v>4</v>
      </c>
      <c r="AH184" s="172">
        <f t="shared" si="67"/>
        <v>10</v>
      </c>
      <c r="AI184" s="221">
        <f t="shared" si="68"/>
        <v>4.7893425598033588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48019</v>
      </c>
      <c r="B185" s="406">
        <f>'2030'!Wh/'2030'!Env_an*'2031'!Env_an</f>
        <v>32.635910124157796</v>
      </c>
      <c r="C185" s="832"/>
      <c r="D185" s="388">
        <f t="shared" si="50"/>
        <v>34.236233444776197</v>
      </c>
      <c r="E185" s="380">
        <f t="shared" si="75"/>
        <v>34.366774458673923</v>
      </c>
      <c r="F185" s="380">
        <f t="shared" si="51"/>
        <v>34.366792537488749</v>
      </c>
      <c r="G185" s="110">
        <f t="shared" si="76"/>
        <v>0.52700163604039929</v>
      </c>
      <c r="H185" s="409" t="b">
        <f>Wh_hp&gt;='2030'!Maxi_hp</f>
        <v>0</v>
      </c>
      <c r="I185" s="385">
        <f>IF(H185,Wh_hp,'2030'!Maxi_hp)</f>
        <v>34.366822617272106</v>
      </c>
      <c r="J185" s="85">
        <f>IF(H185,An,'2030'!An_max)</f>
        <v>2029</v>
      </c>
      <c r="K185" s="193">
        <f t="shared" si="52"/>
        <v>48019</v>
      </c>
      <c r="L185" s="143">
        <f>IF(t&lt;Tvie,1-EXP((T0-t)*PertePVj)+'2030'!Pspv,1-EXP((T0-t)*PertePVj)+Pspv)</f>
        <v>4.6743556740835857E-2</v>
      </c>
      <c r="M185" s="836"/>
      <c r="N185" s="836"/>
      <c r="O185" s="48">
        <f>IF(t&lt;Tnet,'2030'!Resal+('2030'!Salim-'2030'!Resal)*(1-EXP(('2030'!Tnet-t)/('2030'!Tau_j))),Resal+(Salim-Resal)*(1-EXP((Tnet-t)/(Tau_j))))*Salcycl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1.6221794778293161E-6</v>
      </c>
      <c r="Q185" s="301">
        <f t="shared" si="53"/>
        <v>0.5</v>
      </c>
      <c r="R185" s="173">
        <f t="shared" si="54"/>
        <v>0.26930947150646434</v>
      </c>
      <c r="S185" s="802">
        <f t="shared" si="55"/>
        <v>1</v>
      </c>
      <c r="T185" s="172">
        <f t="shared" si="56"/>
        <v>7</v>
      </c>
      <c r="U185" s="247">
        <f t="shared" si="57"/>
        <v>1.2693094715064643</v>
      </c>
      <c r="V185" s="378">
        <f t="shared" si="58"/>
        <v>61.927463065047107</v>
      </c>
      <c r="W185" s="397">
        <f t="shared" si="59"/>
        <v>32.635910124157796</v>
      </c>
      <c r="X185" s="153">
        <f t="shared" si="60"/>
        <v>48019</v>
      </c>
      <c r="Y185" s="380">
        <f t="shared" si="61"/>
        <v>31.365822634159979</v>
      </c>
      <c r="Z185" s="380">
        <f t="shared" si="62"/>
        <v>32.903866379251397</v>
      </c>
      <c r="AA185" s="381">
        <f t="shared" si="63"/>
        <v>34.366681219136851</v>
      </c>
      <c r="AB185" s="193">
        <f t="shared" si="64"/>
        <v>48019</v>
      </c>
      <c r="AC185" s="119">
        <f>IF(OR(t&lt;Tnet,NoTnet),'2030'!Resal_s+('2030'!Salim-'2030'!Resal_s)*(1-EXP(('2030'!Tnet_s-t)/'2030'!Tau_j)),Resal_s+(Salim-Resal_s)*(1-EXP((Tnet_s-t)/Tau_j)))*Salcycl</f>
        <v>4.2564914271410556E-2</v>
      </c>
      <c r="AD185" s="227">
        <f>(INDEX(Models!$BJ185:$BT185,,AH185)*(1-AF185)+INDEX(Models!$BJ185:$BT185,,AH185+1)*AF185-ERP_i)*AE185*Ramure*Pc/MaxiM</f>
        <v>9.9883951307632917E-6</v>
      </c>
      <c r="AE185" s="301">
        <f t="shared" si="65"/>
        <v>0.5</v>
      </c>
      <c r="AF185" s="173">
        <f t="shared" si="66"/>
        <v>0.79429703788044126</v>
      </c>
      <c r="AG185" s="802">
        <f t="shared" si="74"/>
        <v>4</v>
      </c>
      <c r="AH185" s="172">
        <f t="shared" si="67"/>
        <v>10</v>
      </c>
      <c r="AI185" s="221">
        <f t="shared" si="68"/>
        <v>4.7942970378804413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48020</v>
      </c>
      <c r="B186" s="406">
        <f>'2030'!Wh/'2030'!Env_an*'2031'!Env_an</f>
        <v>21.961415623568573</v>
      </c>
      <c r="C186" s="832"/>
      <c r="D186" s="388">
        <f t="shared" si="50"/>
        <v>23.03862346414877</v>
      </c>
      <c r="E186" s="380">
        <f t="shared" si="75"/>
        <v>23.128194889598227</v>
      </c>
      <c r="F186" s="380">
        <f t="shared" si="51"/>
        <v>23.128197833793905</v>
      </c>
      <c r="G186" s="110">
        <f t="shared" si="76"/>
        <v>0.35478379306243968</v>
      </c>
      <c r="H186" s="409" t="b">
        <f>Wh_hp&gt;='2030'!Maxi_hp</f>
        <v>0</v>
      </c>
      <c r="I186" s="385">
        <f>IF(H186,Wh_hp,'2030'!Maxi_hp)</f>
        <v>23.128225429856283</v>
      </c>
      <c r="J186" s="85">
        <f>IF(H186,An,'2030'!An_max)</f>
        <v>2029</v>
      </c>
      <c r="K186" s="193">
        <f t="shared" si="52"/>
        <v>48020</v>
      </c>
      <c r="L186" s="143">
        <f>IF(t&lt;Tvie,1-EXP((T0-t)*PertePVj)+'2030'!Pspv,1-EXP((T0-t)*PertePVj)+Pspv)</f>
        <v>4.6756606021035818E-2</v>
      </c>
      <c r="M186" s="836"/>
      <c r="N186" s="836"/>
      <c r="O186" s="48">
        <f>IF(t&lt;Tnet,'2030'!Resal+('2030'!Salim-'2030'!Resal)*(1-EXP(('2030'!Tnet-t)/('2030'!Tau_j))),Resal+(Salim-Resal)*(1-EXP((Tnet-t)/(Tau_j))))*Salcycl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1.6265469455483856E-6</v>
      </c>
      <c r="Q186" s="301">
        <f t="shared" si="53"/>
        <v>0.5</v>
      </c>
      <c r="R186" s="173">
        <f t="shared" si="54"/>
        <v>0.27422286805609097</v>
      </c>
      <c r="S186" s="802">
        <f t="shared" si="55"/>
        <v>1</v>
      </c>
      <c r="T186" s="172">
        <f t="shared" si="56"/>
        <v>7</v>
      </c>
      <c r="U186" s="247">
        <f t="shared" si="57"/>
        <v>1.274222868056091</v>
      </c>
      <c r="V186" s="378">
        <f t="shared" si="58"/>
        <v>61.900749491370718</v>
      </c>
      <c r="W186" s="397">
        <f t="shared" si="59"/>
        <v>21.961415623568573</v>
      </c>
      <c r="X186" s="153">
        <f t="shared" si="60"/>
        <v>48020</v>
      </c>
      <c r="Y186" s="380">
        <f t="shared" si="61"/>
        <v>21.107145763962915</v>
      </c>
      <c r="Z186" s="380">
        <f t="shared" si="62"/>
        <v>22.142451652204894</v>
      </c>
      <c r="AA186" s="381">
        <f t="shared" si="63"/>
        <v>23.128179768046792</v>
      </c>
      <c r="AB186" s="193">
        <f t="shared" si="64"/>
        <v>48020</v>
      </c>
      <c r="AC186" s="119">
        <f>IF(OR(t&lt;Tnet,NoTnet),'2030'!Resal_s+('2030'!Salim-'2030'!Resal_s)*(1-EXP(('2030'!Tnet_s-t)/'2030'!Tau_j)),Resal_s+(Salim-Resal_s)*(1-EXP((Tnet_s-t)/Tau_j)))*Salcycl</f>
        <v>4.2620220256319105E-2</v>
      </c>
      <c r="AD186" s="227">
        <f>(INDEX(Models!$BJ186:$BT186,,AH186)*(1-AF186)+INDEX(Models!$BJ186:$BT186,,AH186+1)*AF186-ERP_i)*AE186*Ramure*Pc/MaxiM</f>
        <v>9.9805817955683184E-6</v>
      </c>
      <c r="AE186" s="301">
        <f t="shared" si="65"/>
        <v>0.5</v>
      </c>
      <c r="AF186" s="173">
        <f t="shared" si="66"/>
        <v>0.79921043443006834</v>
      </c>
      <c r="AG186" s="802">
        <f t="shared" si="74"/>
        <v>4</v>
      </c>
      <c r="AH186" s="172">
        <f t="shared" si="67"/>
        <v>10</v>
      </c>
      <c r="AI186" s="221">
        <f t="shared" si="68"/>
        <v>4.7992104344300683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48021</v>
      </c>
      <c r="B187" s="406">
        <f>'2030'!Wh/'2030'!Env_an*'2031'!Env_an</f>
        <v>45.558800620779031</v>
      </c>
      <c r="C187" s="832"/>
      <c r="D187" s="388">
        <f t="shared" si="50"/>
        <v>47.794114891127059</v>
      </c>
      <c r="E187" s="380">
        <f t="shared" si="75"/>
        <v>47.983511149507933</v>
      </c>
      <c r="F187" s="380">
        <f t="shared" si="51"/>
        <v>47.983560114865085</v>
      </c>
      <c r="G187" s="110">
        <f t="shared" si="76"/>
        <v>0.73638224118451057</v>
      </c>
      <c r="H187" s="409" t="b">
        <f>Wh_hp&gt;='2030'!Maxi_hp</f>
        <v>0</v>
      </c>
      <c r="I187" s="385">
        <f>IF(H187,Wh_hp,'2030'!Maxi_hp)</f>
        <v>47.983583579403863</v>
      </c>
      <c r="J187" s="85">
        <f>IF(H187,An,'2030'!An_max)</f>
        <v>2029</v>
      </c>
      <c r="K187" s="193">
        <f t="shared" si="52"/>
        <v>48021</v>
      </c>
      <c r="L187" s="143">
        <f>IF(t&lt;Tvie,1-EXP((T0-t)*PertePVj)+'2030'!Pspv,1-EXP((T0-t)*PertePVj)+Pspv)</f>
        <v>4.6769655122602005E-2</v>
      </c>
      <c r="M187" s="836"/>
      <c r="N187" s="836"/>
      <c r="O187" s="48">
        <f>IF(t&lt;Tnet,'2030'!Resal+('2030'!Salim-'2030'!Resal)*(1-EXP(('2030'!Tnet-t)/('2030'!Tau_j))),Resal+(Salim-Resal)*(1-EXP((Tnet-t)/(Tau_j))))*Salcycl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1.6369182073140464E-6</v>
      </c>
      <c r="Q187" s="301">
        <f t="shared" si="53"/>
        <v>0.5</v>
      </c>
      <c r="R187" s="173">
        <f t="shared" si="54"/>
        <v>0.27909159699617869</v>
      </c>
      <c r="S187" s="802">
        <f t="shared" si="55"/>
        <v>1</v>
      </c>
      <c r="T187" s="172">
        <f t="shared" si="56"/>
        <v>7</v>
      </c>
      <c r="U187" s="247">
        <f t="shared" si="57"/>
        <v>1.2790915969961787</v>
      </c>
      <c r="V187" s="378">
        <f t="shared" si="58"/>
        <v>61.868374857086145</v>
      </c>
      <c r="W187" s="397">
        <f t="shared" si="59"/>
        <v>45.558800620779031</v>
      </c>
      <c r="X187" s="153">
        <f t="shared" si="60"/>
        <v>48021</v>
      </c>
      <c r="Y187" s="380">
        <f t="shared" si="61"/>
        <v>43.787192520959202</v>
      </c>
      <c r="Z187" s="380">
        <f t="shared" si="62"/>
        <v>45.935583939673045</v>
      </c>
      <c r="AA187" s="381">
        <f t="shared" si="63"/>
        <v>47.983260640441173</v>
      </c>
      <c r="AB187" s="193">
        <f t="shared" si="64"/>
        <v>48021</v>
      </c>
      <c r="AC187" s="119">
        <f>IF(OR(t&lt;Tnet,NoTnet),'2030'!Resal_s+('2030'!Salim-'2030'!Resal_s)*(1-EXP(('2030'!Tnet_s-t)/'2030'!Tau_j)),Resal_s+(Salim-Resal_s)*(1-EXP((Tnet_s-t)/Tau_j)))*Salcycl</f>
        <v>4.2674813537834151E-2</v>
      </c>
      <c r="AD187" s="227">
        <f>(INDEX(Models!$BJ187:$BT187,,AH187)*(1-AF187)+INDEX(Models!$BJ187:$BT187,,AH187+1)*AF187-ERP_i)*AE187*Ramure*Pc/MaxiM</f>
        <v>1.0011468630256956E-5</v>
      </c>
      <c r="AE187" s="301">
        <f t="shared" si="65"/>
        <v>0.5</v>
      </c>
      <c r="AF187" s="173">
        <f t="shared" si="66"/>
        <v>0.80407916337015539</v>
      </c>
      <c r="AG187" s="802">
        <f t="shared" si="74"/>
        <v>4</v>
      </c>
      <c r="AH187" s="172">
        <f t="shared" si="67"/>
        <v>10</v>
      </c>
      <c r="AI187" s="221">
        <f t="shared" si="68"/>
        <v>4.8040791633701554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48022</v>
      </c>
      <c r="B188" s="406">
        <f>'2030'!Wh/'2030'!Env_an*'2031'!Env_an</f>
        <v>45.047333480346005</v>
      </c>
      <c r="C188" s="832"/>
      <c r="D188" s="388">
        <f t="shared" si="50"/>
        <v>47.258199858029016</v>
      </c>
      <c r="E188" s="380">
        <f t="shared" si="75"/>
        <v>47.449007690159064</v>
      </c>
      <c r="F188" s="380">
        <f t="shared" si="51"/>
        <v>47.449055723283131</v>
      </c>
      <c r="G188" s="110">
        <f t="shared" si="76"/>
        <v>0.72856920537714431</v>
      </c>
      <c r="H188" s="409" t="b">
        <f>Wh_hp&gt;='2030'!Maxi_hp</f>
        <v>0</v>
      </c>
      <c r="I188" s="385">
        <f>IF(H188,Wh_hp,'2030'!Maxi_hp)</f>
        <v>47.449079778476218</v>
      </c>
      <c r="J188" s="85">
        <f>IF(H188,An,'2030'!An_max)</f>
        <v>2029</v>
      </c>
      <c r="K188" s="193">
        <f t="shared" si="52"/>
        <v>48022</v>
      </c>
      <c r="L188" s="143">
        <f>IF(t&lt;Tvie,1-EXP((T0-t)*PertePVj)+'2030'!Pspv,1-EXP((T0-t)*PertePVj)+Pspv)</f>
        <v>4.6782704045536971E-2</v>
      </c>
      <c r="M188" s="836"/>
      <c r="N188" s="836"/>
      <c r="O188" s="48">
        <f>IF(t&lt;Tnet,'2030'!Resal+('2030'!Salim-'2030'!Resal)*(1-EXP(('2030'!Tnet-t)/('2030'!Tau_j))),Resal+(Salim-Resal)*(1-EXP((Tnet-t)/(Tau_j))))*Salcycl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1.6534454251226625E-6</v>
      </c>
      <c r="Q188" s="301">
        <f t="shared" si="53"/>
        <v>0.5</v>
      </c>
      <c r="R188" s="173">
        <f t="shared" si="54"/>
        <v>0.28391221182740067</v>
      </c>
      <c r="S188" s="802">
        <f t="shared" si="55"/>
        <v>1</v>
      </c>
      <c r="T188" s="172">
        <f t="shared" si="56"/>
        <v>7</v>
      </c>
      <c r="U188" s="247">
        <f t="shared" si="57"/>
        <v>1.2839122118274007</v>
      </c>
      <c r="V188" s="378">
        <f t="shared" si="58"/>
        <v>61.829822433311136</v>
      </c>
      <c r="W188" s="397">
        <f t="shared" si="59"/>
        <v>45.047333480346005</v>
      </c>
      <c r="X188" s="153">
        <f t="shared" si="60"/>
        <v>48022</v>
      </c>
      <c r="Y188" s="380">
        <f t="shared" si="61"/>
        <v>43.296406331448033</v>
      </c>
      <c r="Z188" s="380">
        <f t="shared" si="62"/>
        <v>45.421339410438463</v>
      </c>
      <c r="AA188" s="381">
        <f t="shared" si="63"/>
        <v>47.448762847609466</v>
      </c>
      <c r="AB188" s="193">
        <f t="shared" si="64"/>
        <v>48022</v>
      </c>
      <c r="AC188" s="119">
        <f>IF(OR(t&lt;Tnet,NoTnet),'2030'!Resal_s+('2030'!Salim-'2030'!Resal_s)*(1-EXP(('2030'!Tnet_s-t)/'2030'!Tau_j)),Resal_s+(Salim-Resal_s)*(1-EXP((Tnet_s-t)/Tau_j)))*Salcycl</f>
        <v>4.2728689126889395E-2</v>
      </c>
      <c r="AD188" s="227">
        <f>(INDEX(Models!$BJ188:$BT188,,AH188)*(1-AF188)+INDEX(Models!$BJ188:$BT188,,AH188+1)*AF188-ERP_i)*AE188*Ramure*Pc/MaxiM</f>
        <v>1.0081666602976444E-5</v>
      </c>
      <c r="AE188" s="301">
        <f t="shared" si="65"/>
        <v>0.5</v>
      </c>
      <c r="AF188" s="173">
        <f t="shared" si="66"/>
        <v>0.80889977820137737</v>
      </c>
      <c r="AG188" s="802">
        <f t="shared" si="74"/>
        <v>4</v>
      </c>
      <c r="AH188" s="172">
        <f t="shared" si="67"/>
        <v>10</v>
      </c>
      <c r="AI188" s="221">
        <f t="shared" si="68"/>
        <v>4.8088997782013774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48023</v>
      </c>
      <c r="B189" s="406">
        <f>'2030'!Wh/'2030'!Env_an*'2031'!Env_an</f>
        <v>48.456658037314511</v>
      </c>
      <c r="C189" s="832"/>
      <c r="D189" s="388">
        <f t="shared" si="50"/>
        <v>50.835545665199994</v>
      </c>
      <c r="E189" s="380">
        <f t="shared" si="75"/>
        <v>51.044596676288904</v>
      </c>
      <c r="F189" s="380">
        <f t="shared" si="51"/>
        <v>51.044655873155747</v>
      </c>
      <c r="G189" s="110">
        <f t="shared" si="76"/>
        <v>0.78428365795719357</v>
      </c>
      <c r="H189" s="409" t="b">
        <f>Wh_hp&gt;='2030'!Maxi_hp</f>
        <v>0</v>
      </c>
      <c r="I189" s="385">
        <f>IF(H189,Wh_hp,'2030'!Maxi_hp)</f>
        <v>51.044676658471744</v>
      </c>
      <c r="J189" s="85">
        <f>IF(H189,An,'2030'!An_max)</f>
        <v>2029</v>
      </c>
      <c r="K189" s="193">
        <f t="shared" si="52"/>
        <v>48023</v>
      </c>
      <c r="L189" s="143">
        <f>IF(t&lt;Tvie,1-EXP((T0-t)*PertePVj)+'2030'!Pspv,1-EXP((T0-t)*PertePVj)+Pspv)</f>
        <v>4.6795752789843159E-2</v>
      </c>
      <c r="M189" s="836"/>
      <c r="N189" s="836"/>
      <c r="O189" s="48">
        <f>IF(t&lt;Tnet,'2030'!Resal+('2030'!Salim-'2030'!Resal)*(1-EXP(('2030'!Tnet-t)/('2030'!Tau_j))),Resal+(Salim-Resal)*(1-EXP((Tnet-t)/(Tau_j))))*Salcycl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1.6762789964187055E-6</v>
      </c>
      <c r="Q189" s="301">
        <f t="shared" si="53"/>
        <v>0.5</v>
      </c>
      <c r="R189" s="173">
        <f t="shared" si="54"/>
        <v>0.28868141420894311</v>
      </c>
      <c r="S189" s="802">
        <f t="shared" si="55"/>
        <v>1</v>
      </c>
      <c r="T189" s="172">
        <f t="shared" si="56"/>
        <v>7</v>
      </c>
      <c r="U189" s="247">
        <f t="shared" si="57"/>
        <v>1.2886814142089431</v>
      </c>
      <c r="V189" s="378">
        <f t="shared" si="58"/>
        <v>61.784575662545144</v>
      </c>
      <c r="W189" s="397">
        <f t="shared" si="59"/>
        <v>48.456658037314511</v>
      </c>
      <c r="X189" s="153">
        <f t="shared" si="60"/>
        <v>48023</v>
      </c>
      <c r="Y189" s="380">
        <f t="shared" si="61"/>
        <v>46.574061709539549</v>
      </c>
      <c r="Z189" s="380">
        <f t="shared" si="62"/>
        <v>48.860526844957683</v>
      </c>
      <c r="AA189" s="381">
        <f t="shared" si="63"/>
        <v>51.044295956191675</v>
      </c>
      <c r="AB189" s="193">
        <f t="shared" si="64"/>
        <v>48023</v>
      </c>
      <c r="AC189" s="119">
        <f>IF(OR(t&lt;Tnet,NoTnet),'2030'!Resal_s+('2030'!Salim-'2030'!Resal_s)*(1-EXP(('2030'!Tnet_s-t)/'2030'!Tau_j)),Resal_s+(Salim-Resal_s)*(1-EXP((Tnet_s-t)/Tau_j)))*Salcycl</f>
        <v>4.2781844089067121E-2</v>
      </c>
      <c r="AD189" s="227">
        <f>(INDEX(Models!$BJ189:$BT189,,AH189)*(1-AF189)+INDEX(Models!$BJ189:$BT189,,AH189+1)*AF189-ERP_i)*AE189*Ramure*Pc/MaxiM</f>
        <v>1.0191776685168977E-5</v>
      </c>
      <c r="AE189" s="301">
        <f t="shared" si="65"/>
        <v>0.5</v>
      </c>
      <c r="AF189" s="173">
        <f t="shared" si="66"/>
        <v>0.81366898058291959</v>
      </c>
      <c r="AG189" s="802">
        <f t="shared" si="74"/>
        <v>4</v>
      </c>
      <c r="AH189" s="172">
        <f t="shared" si="67"/>
        <v>10</v>
      </c>
      <c r="AI189" s="221">
        <f t="shared" si="68"/>
        <v>4.8136689805829196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48024</v>
      </c>
      <c r="B190" s="406">
        <f>'2030'!Wh/'2030'!Env_an*'2031'!Env_an</f>
        <v>40.365515742621547</v>
      </c>
      <c r="C190" s="832"/>
      <c r="D190" s="388">
        <f t="shared" si="50"/>
        <v>42.34776380649015</v>
      </c>
      <c r="E190" s="380">
        <f t="shared" si="75"/>
        <v>42.52507253647611</v>
      </c>
      <c r="F190" s="380">
        <f t="shared" si="51"/>
        <v>42.525109203736697</v>
      </c>
      <c r="G190" s="110">
        <f t="shared" si="76"/>
        <v>0.65388136529420005</v>
      </c>
      <c r="H190" s="409" t="b">
        <f>Wh_hp&gt;='2030'!Maxi_hp</f>
        <v>0</v>
      </c>
      <c r="I190" s="385">
        <f>IF(H190,Wh_hp,'2030'!Maxi_hp)</f>
        <v>42.525137387301065</v>
      </c>
      <c r="J190" s="85">
        <f>IF(H190,An,'2030'!An_max)</f>
        <v>2029</v>
      </c>
      <c r="K190" s="193">
        <f t="shared" si="52"/>
        <v>48024</v>
      </c>
      <c r="L190" s="143">
        <f>IF(t&lt;Tvie,1-EXP((T0-t)*PertePVj)+'2030'!Pspv,1-EXP((T0-t)*PertePVj)+Pspv)</f>
        <v>4.6808801355523011E-2</v>
      </c>
      <c r="M190" s="836"/>
      <c r="N190" s="836"/>
      <c r="O190" s="48">
        <f>IF(t&lt;Tnet,'2030'!Resal+('2030'!Salim-'2030'!Resal)*(1-EXP(('2030'!Tnet-t)/('2030'!Tau_j))),Resal+(Salim-Resal)*(1-EXP((Tnet-t)/(Tau_j))))*Salcycl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1.7055823637985063E-6</v>
      </c>
      <c r="Q190" s="301">
        <f t="shared" si="53"/>
        <v>0.5</v>
      </c>
      <c r="R190" s="173">
        <f t="shared" si="54"/>
        <v>0.29339606159991893</v>
      </c>
      <c r="S190" s="802">
        <f t="shared" si="55"/>
        <v>1</v>
      </c>
      <c r="T190" s="172">
        <f t="shared" si="56"/>
        <v>7</v>
      </c>
      <c r="U190" s="247">
        <f t="shared" si="57"/>
        <v>1.2933960615999189</v>
      </c>
      <c r="V190" s="378">
        <f t="shared" si="58"/>
        <v>61.732118153987656</v>
      </c>
      <c r="W190" s="397">
        <f t="shared" si="59"/>
        <v>40.365515742621547</v>
      </c>
      <c r="X190" s="153">
        <f t="shared" si="60"/>
        <v>48024</v>
      </c>
      <c r="Y190" s="380">
        <f t="shared" si="61"/>
        <v>38.79808836956073</v>
      </c>
      <c r="Z190" s="380">
        <f t="shared" si="62"/>
        <v>40.703364051970979</v>
      </c>
      <c r="AA190" s="381">
        <f t="shared" si="63"/>
        <v>42.524886857139542</v>
      </c>
      <c r="AB190" s="193">
        <f t="shared" si="64"/>
        <v>48024</v>
      </c>
      <c r="AC190" s="119">
        <f>IF(OR(t&lt;Tnet,NoTnet),'2030'!Resal_s+('2030'!Salim-'2030'!Resal_s)*(1-EXP(('2030'!Tnet_s-t)/'2030'!Tau_j)),Resal_s+(Salim-Resal_s)*(1-EXP((Tnet_s-t)/Tau_j)))*Salcycl</f>
        <v>4.2834277520546721E-2</v>
      </c>
      <c r="AD190" s="227">
        <f>(INDEX(Models!$BJ190:$BT190,,AH190)*(1-AF190)+INDEX(Models!$BJ190:$BT190,,AH190+1)*AF190-ERP_i)*AE190*Ramure*Pc/MaxiM</f>
        <v>1.0342480693786113E-5</v>
      </c>
      <c r="AE190" s="301">
        <f t="shared" si="65"/>
        <v>0.5</v>
      </c>
      <c r="AF190" s="173">
        <f t="shared" si="66"/>
        <v>0.81838362797389586</v>
      </c>
      <c r="AG190" s="802">
        <f t="shared" si="74"/>
        <v>4</v>
      </c>
      <c r="AH190" s="172">
        <f t="shared" si="67"/>
        <v>10</v>
      </c>
      <c r="AI190" s="221">
        <f t="shared" si="68"/>
        <v>4.8183836279738959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48025</v>
      </c>
      <c r="B191" s="406">
        <f>'2030'!Wh/'2030'!Env_an*'2031'!Env_an</f>
        <v>12.624301804376813</v>
      </c>
      <c r="C191" s="832"/>
      <c r="D191" s="388">
        <f t="shared" si="50"/>
        <v>13.244430541098135</v>
      </c>
      <c r="E191" s="380">
        <f t="shared" si="75"/>
        <v>13.300872489165869</v>
      </c>
      <c r="F191" s="380">
        <f t="shared" si="51"/>
        <v>13.300872489165869</v>
      </c>
      <c r="G191" s="110">
        <f t="shared" si="76"/>
        <v>0.20469850297167788</v>
      </c>
      <c r="H191" s="409" t="b">
        <f>Wh_hp&gt;='2030'!Maxi_hp</f>
        <v>0</v>
      </c>
      <c r="I191" s="385">
        <f>IF(H191,Wh_hp,'2030'!Maxi_hp)</f>
        <v>13.300890638570275</v>
      </c>
      <c r="J191" s="85">
        <f>IF(H191,An,'2030'!An_max)</f>
        <v>2029</v>
      </c>
      <c r="K191" s="193">
        <f t="shared" si="52"/>
        <v>48025</v>
      </c>
      <c r="L191" s="143">
        <f>IF(t&lt;Tvie,1-EXP((T0-t)*PertePVj)+'2030'!Pspv,1-EXP((T0-t)*PertePVj)+Pspv)</f>
        <v>4.6821849742578969E-2</v>
      </c>
      <c r="M191" s="836"/>
      <c r="N191" s="836"/>
      <c r="O191" s="48">
        <f>IF(t&lt;Tnet,'2030'!Resal+('2030'!Salim-'2030'!Resal)*(1-EXP(('2030'!Tnet-t)/('2030'!Tau_j))),Resal+(Salim-Resal)*(1-EXP((Tnet-t)/(Tau_j))))*Salcycl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1.7415013758839866E-6</v>
      </c>
      <c r="Q191" s="301">
        <f t="shared" si="53"/>
        <v>0.5</v>
      </c>
      <c r="R191" s="173">
        <f t="shared" si="54"/>
        <v>0.29805317394075104</v>
      </c>
      <c r="S191" s="802">
        <f t="shared" si="55"/>
        <v>1</v>
      </c>
      <c r="T191" s="172">
        <f t="shared" si="56"/>
        <v>7</v>
      </c>
      <c r="U191" s="247">
        <f t="shared" si="57"/>
        <v>1.298053173940751</v>
      </c>
      <c r="V191" s="378">
        <f t="shared" si="58"/>
        <v>61.672555665365806</v>
      </c>
      <c r="W191" s="397">
        <f t="shared" si="59"/>
        <v>12.624301804376813</v>
      </c>
      <c r="X191" s="153">
        <f t="shared" si="60"/>
        <v>48025</v>
      </c>
      <c r="Y191" s="380">
        <f t="shared" si="61"/>
        <v>12.134388115281297</v>
      </c>
      <c r="Z191" s="380">
        <f t="shared" si="62"/>
        <v>12.730451397783522</v>
      </c>
      <c r="AA191" s="381">
        <f t="shared" si="63"/>
        <v>13.300872489165869</v>
      </c>
      <c r="AB191" s="193">
        <f t="shared" si="64"/>
        <v>48025</v>
      </c>
      <c r="AC191" s="119">
        <f>IF(OR(t&lt;Tnet,NoTnet),'2030'!Resal_s+('2030'!Salim-'2030'!Resal_s)*(1-EXP(('2030'!Tnet_s-t)/'2030'!Tau_j)),Resal_s+(Salim-Resal_s)*(1-EXP((Tnet_s-t)/Tau_j)))*Salcycl</f>
        <v>4.2885990512801335E-2</v>
      </c>
      <c r="AD191" s="227">
        <f>(INDEX(Models!$BJ191:$BT191,,AH191)*(1-AF191)+INDEX(Models!$BJ191:$BT191,,AH191+1)*AF191-ERP_i)*AE191*Ramure*Pc/MaxiM</f>
        <v>1.0534355823912231E-5</v>
      </c>
      <c r="AE191" s="301">
        <f t="shared" si="65"/>
        <v>0.5</v>
      </c>
      <c r="AF191" s="173">
        <f t="shared" si="66"/>
        <v>0.8230407403147284</v>
      </c>
      <c r="AG191" s="802">
        <f t="shared" si="74"/>
        <v>4</v>
      </c>
      <c r="AH191" s="172">
        <f t="shared" si="67"/>
        <v>10</v>
      </c>
      <c r="AI191" s="221">
        <f t="shared" si="68"/>
        <v>4.8230407403147284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48026</v>
      </c>
      <c r="B192" s="406">
        <f>'2030'!Wh/'2030'!Env_an*'2031'!Env_an</f>
        <v>18.572491343453294</v>
      </c>
      <c r="C192" s="832"/>
      <c r="D192" s="388">
        <f t="shared" si="50"/>
        <v>19.485072736641996</v>
      </c>
      <c r="E192" s="380">
        <f t="shared" si="75"/>
        <v>19.569561487875607</v>
      </c>
      <c r="F192" s="380">
        <f t="shared" si="51"/>
        <v>19.569561561444992</v>
      </c>
      <c r="G192" s="110">
        <f t="shared" si="76"/>
        <v>0.30146890650027552</v>
      </c>
      <c r="H192" s="409" t="b">
        <f>Wh_hp&gt;='2030'!Maxi_hp</f>
        <v>0</v>
      </c>
      <c r="I192" s="385">
        <f>IF(H192,Wh_hp,'2030'!Maxi_hp)</f>
        <v>19.569588883899613</v>
      </c>
      <c r="J192" s="85">
        <f>IF(H192,An,'2030'!An_max)</f>
        <v>2029</v>
      </c>
      <c r="K192" s="193">
        <f t="shared" si="52"/>
        <v>48026</v>
      </c>
      <c r="L192" s="143">
        <f>IF(t&lt;Tvie,1-EXP((T0-t)*PertePVj)+'2030'!Pspv,1-EXP((T0-t)*PertePVj)+Pspv)</f>
        <v>4.6834897951013477E-2</v>
      </c>
      <c r="M192" s="836"/>
      <c r="N192" s="836"/>
      <c r="O192" s="48">
        <f>IF(t&lt;Tnet,'2030'!Resal+('2030'!Salim-'2030'!Resal)*(1-EXP(('2030'!Tnet-t)/('2030'!Tau_j))),Resal+(Salim-Resal)*(1-EXP((Tnet-t)/(Tau_j))))*Salcycl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1.7908559241370303E-6</v>
      </c>
      <c r="Q192" s="301">
        <f t="shared" si="53"/>
        <v>0.5</v>
      </c>
      <c r="R192" s="173">
        <f t="shared" si="54"/>
        <v>0.30264993935846829</v>
      </c>
      <c r="S192" s="802">
        <f t="shared" si="55"/>
        <v>1</v>
      </c>
      <c r="T192" s="172">
        <f t="shared" si="56"/>
        <v>7</v>
      </c>
      <c r="U192" s="247">
        <f t="shared" si="57"/>
        <v>1.3026499393584683</v>
      </c>
      <c r="V192" s="378">
        <f t="shared" si="58"/>
        <v>61.606546320892527</v>
      </c>
      <c r="W192" s="397">
        <f t="shared" si="59"/>
        <v>18.572491343453294</v>
      </c>
      <c r="X192" s="153">
        <f t="shared" si="60"/>
        <v>48026</v>
      </c>
      <c r="Y192" s="380">
        <f t="shared" si="61"/>
        <v>17.852118142308402</v>
      </c>
      <c r="Z192" s="380">
        <f t="shared" si="62"/>
        <v>18.729303143739013</v>
      </c>
      <c r="AA192" s="381">
        <f t="shared" si="63"/>
        <v>19.569561117549959</v>
      </c>
      <c r="AB192" s="193">
        <f t="shared" si="64"/>
        <v>48026</v>
      </c>
      <c r="AC192" s="119">
        <f>IF(OR(t&lt;Tnet,NoTnet),'2030'!Resal_s+('2030'!Salim-'2030'!Resal_s)*(1-EXP(('2030'!Tnet_s-t)/'2030'!Tau_j)),Resal_s+(Salim-Resal_s)*(1-EXP((Tnet_s-t)/Tau_j)))*Salcycl</f>
        <v>4.2936986106316147E-2</v>
      </c>
      <c r="AD192" s="227">
        <f>(INDEX(Models!$BJ192:$BT192,,AH192)*(1-AF192)+INDEX(Models!$BJ192:$BT192,,AH192+1)*AF192-ERP_i)*AE192*Ramure*Pc/MaxiM</f>
        <v>1.0805473928839279E-5</v>
      </c>
      <c r="AE192" s="301">
        <f t="shared" si="65"/>
        <v>0.5</v>
      </c>
      <c r="AF192" s="173">
        <f t="shared" si="66"/>
        <v>0.82763750573244543</v>
      </c>
      <c r="AG192" s="802">
        <f t="shared" si="74"/>
        <v>4</v>
      </c>
      <c r="AH192" s="172">
        <f t="shared" si="67"/>
        <v>10</v>
      </c>
      <c r="AI192" s="221">
        <f t="shared" si="68"/>
        <v>4.8276375057324454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48027</v>
      </c>
      <c r="B193" s="406">
        <f>'2030'!Wh/'2030'!Env_an*'2031'!Env_an</f>
        <v>64.270803144515796</v>
      </c>
      <c r="C193" s="832"/>
      <c r="D193" s="388">
        <f t="shared" si="50"/>
        <v>67.42974835285105</v>
      </c>
      <c r="E193" s="380">
        <f t="shared" si="75"/>
        <v>67.72714788857445</v>
      </c>
      <c r="F193" s="380">
        <f t="shared" si="51"/>
        <v>67.727273228607245</v>
      </c>
      <c r="G193" s="110">
        <f t="shared" si="76"/>
        <v>1.0444694332725444</v>
      </c>
      <c r="H193" s="409" t="b">
        <f>Wh_hp&gt;='2030'!Maxi_hp</f>
        <v>1</v>
      </c>
      <c r="I193" s="385">
        <f>IF(H193,Wh_hp,'2030'!Maxi_hp)</f>
        <v>67.727273228607245</v>
      </c>
      <c r="J193" s="85">
        <f>IF(H193,An,'2030'!An_max)</f>
        <v>2031</v>
      </c>
      <c r="K193" s="193">
        <f t="shared" si="52"/>
        <v>48027</v>
      </c>
      <c r="L193" s="143">
        <f>IF(t&lt;Tvie,1-EXP((T0-t)*PertePVj)+'2030'!Pspv,1-EXP((T0-t)*PertePVj)+Pspv)</f>
        <v>4.6847945980828865E-2</v>
      </c>
      <c r="M193" s="836"/>
      <c r="N193" s="836"/>
      <c r="O193" s="48">
        <f>IF(t&lt;Tnet,'2030'!Resal+('2030'!Salim-'2030'!Resal)*(1-EXP(('2030'!Tnet-t)/('2030'!Tau_j))),Resal+(Salim-Resal)*(1-EXP((Tnet-t)/(Tau_j))))*Salcycl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1.8506581885818816E-6</v>
      </c>
      <c r="Q193" s="301">
        <f t="shared" si="53"/>
        <v>0.5</v>
      </c>
      <c r="R193" s="173">
        <f t="shared" si="54"/>
        <v>0.30718371888929785</v>
      </c>
      <c r="S193" s="802">
        <f t="shared" si="55"/>
        <v>1</v>
      </c>
      <c r="T193" s="172">
        <f t="shared" si="56"/>
        <v>7</v>
      </c>
      <c r="U193" s="247">
        <f t="shared" si="57"/>
        <v>1.3071837188892979</v>
      </c>
      <c r="V193" s="378">
        <f t="shared" si="58"/>
        <v>61.534403111388087</v>
      </c>
      <c r="W193" s="397">
        <f t="shared" si="59"/>
        <v>64.270803144515796</v>
      </c>
      <c r="X193" s="153">
        <f t="shared" si="60"/>
        <v>48027</v>
      </c>
      <c r="Y193" s="380">
        <f t="shared" si="61"/>
        <v>61.778684664072195</v>
      </c>
      <c r="Z193" s="380">
        <f t="shared" si="62"/>
        <v>64.815140882893814</v>
      </c>
      <c r="AA193" s="381">
        <f t="shared" si="63"/>
        <v>67.726518988931545</v>
      </c>
      <c r="AB193" s="193">
        <f t="shared" si="64"/>
        <v>48027</v>
      </c>
      <c r="AC193" s="119">
        <f>IF(OR(t&lt;Tnet,NoTnet),'2030'!Resal_s+('2030'!Salim-'2030'!Resal_s)*(1-EXP(('2030'!Tnet_s-t)/'2030'!Tau_j)),Resal_s+(Salim-Resal_s)*(1-EXP((Tnet_s-t)/Tau_j)))*Salcycl</f>
        <v>4.2987269233688681E-2</v>
      </c>
      <c r="AD193" s="227">
        <f>(INDEX(Models!$BJ193:$BT193,,AH193)*(1-AF193)+INDEX(Models!$BJ193:$BT193,,AH193+1)*AF193-ERP_i)*AE193*Ramure*Pc/MaxiM</f>
        <v>1.1136424659403853E-5</v>
      </c>
      <c r="AE193" s="301">
        <f t="shared" si="65"/>
        <v>0.5</v>
      </c>
      <c r="AF193" s="173">
        <f t="shared" si="66"/>
        <v>0.832171285263275</v>
      </c>
      <c r="AG193" s="802">
        <f t="shared" si="74"/>
        <v>4</v>
      </c>
      <c r="AH193" s="172">
        <f t="shared" si="67"/>
        <v>10</v>
      </c>
      <c r="AI193" s="221">
        <f t="shared" si="68"/>
        <v>4.832171285263275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48028</v>
      </c>
      <c r="B194" s="406">
        <f>'2030'!Wh/'2030'!Env_an*'2031'!Env_an</f>
        <v>62.364674315590349</v>
      </c>
      <c r="C194" s="832"/>
      <c r="D194" s="388">
        <f t="shared" si="50"/>
        <v>65.430827940116629</v>
      </c>
      <c r="E194" s="380">
        <f t="shared" si="75"/>
        <v>65.724275981586871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Wh_hp&gt;='2030'!Maxi_hp</f>
        <v>1</v>
      </c>
      <c r="I194" s="385">
        <f>IF(H194,Wh_hp,'2030'!Maxi_hp)</f>
        <v>65.724402245637052</v>
      </c>
      <c r="J194" s="85">
        <f>IF(H194,An,'2030'!An_max)</f>
        <v>2031</v>
      </c>
      <c r="K194" s="193">
        <f t="shared" si="52"/>
        <v>48028</v>
      </c>
      <c r="L194" s="143">
        <f>IF(t&lt;Tvie,1-EXP((T0-t)*PertePVj)+'2030'!Pspv,1-EXP((T0-t)*PertePVj)+Pspv)</f>
        <v>4.6860993832027797E-2</v>
      </c>
      <c r="M194" s="836"/>
      <c r="N194" s="836"/>
      <c r="O194" s="48">
        <f>IF(t&lt;Tnet,'2030'!Resal+('2030'!Salim-'2030'!Resal)*(1-EXP(('2030'!Tnet-t)/('2030'!Tau_j))),Resal+(Salim-Resal)*(1-EXP((Tnet-t)/(Tau_j))))*Salcycl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1.9211137090753014E-6</v>
      </c>
      <c r="Q194" s="301">
        <f t="shared" si="53"/>
        <v>0.5</v>
      </c>
      <c r="R194" s="173">
        <f t="shared" si="54"/>
        <v>0.31165205022107001</v>
      </c>
      <c r="S194" s="802">
        <f t="shared" si="55"/>
        <v>1</v>
      </c>
      <c r="T194" s="172">
        <f t="shared" si="56"/>
        <v>7</v>
      </c>
      <c r="U194" s="247">
        <f t="shared" si="57"/>
        <v>1.31165205022107</v>
      </c>
      <c r="V194" s="378">
        <f t="shared" si="58"/>
        <v>61.456438703598202</v>
      </c>
      <c r="W194" s="397">
        <f t="shared" si="59"/>
        <v>62.364674315590349</v>
      </c>
      <c r="X194" s="153">
        <f t="shared" si="60"/>
        <v>48028</v>
      </c>
      <c r="Y194" s="380">
        <f t="shared" si="61"/>
        <v>59.94777898282014</v>
      </c>
      <c r="Z194" s="380">
        <f t="shared" si="62"/>
        <v>62.895106164877184</v>
      </c>
      <c r="AA194" s="381">
        <f t="shared" si="63"/>
        <v>65.723644578028839</v>
      </c>
      <c r="AB194" s="193">
        <f t="shared" si="64"/>
        <v>48028</v>
      </c>
      <c r="AC194" s="119">
        <f>IF(OR(t&lt;Tnet,NoTnet),'2030'!Resal_s+('2030'!Salim-'2030'!Resal_s)*(1-EXP(('2030'!Tnet_s-t)/'2030'!Tau_j)),Resal_s+(Salim-Resal_s)*(1-EXP((Tnet_s-t)/Tau_j)))*Salcycl</f>
        <v>4.3036846652555021E-2</v>
      </c>
      <c r="AD194" s="227">
        <f>(INDEX(Models!$BJ194:$BT194,,AH194)*(1-AF194)+INDEX(Models!$BJ194:$BT194,,AH194+1)*AF194-ERP_i)*AE194*Ramure*Pc/MaxiM</f>
        <v>1.1527949776955775E-5</v>
      </c>
      <c r="AE194" s="301">
        <f t="shared" si="65"/>
        <v>0.5</v>
      </c>
      <c r="AF194" s="173">
        <f t="shared" si="66"/>
        <v>0.83663961659504693</v>
      </c>
      <c r="AG194" s="802">
        <f t="shared" si="74"/>
        <v>4</v>
      </c>
      <c r="AH194" s="172">
        <f t="shared" si="67"/>
        <v>10</v>
      </c>
      <c r="AI194" s="221">
        <f t="shared" si="68"/>
        <v>4.8366396165950469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48029</v>
      </c>
      <c r="B195" s="406">
        <f>'2030'!Wh/'2030'!Env_an*'2031'!Env_an</f>
        <v>15.319273292834733</v>
      </c>
      <c r="C195" s="832"/>
      <c r="D195" s="388">
        <f t="shared" si="50"/>
        <v>16.072664012863385</v>
      </c>
      <c r="E195" s="380">
        <f t="shared" si="75"/>
        <v>16.145941255169102</v>
      </c>
      <c r="F195" s="380">
        <f t="shared" si="51"/>
        <v>16.145941255169102</v>
      </c>
      <c r="G195" s="110">
        <f t="shared" si="76"/>
        <v>0.24960896801674409</v>
      </c>
      <c r="H195" s="409" t="b">
        <f>Wh_hp&gt;='2030'!Maxi_hp</f>
        <v>0</v>
      </c>
      <c r="I195" s="385">
        <f>IF(H195,Wh_hp,'2030'!Maxi_hp)</f>
        <v>16.145966300979342</v>
      </c>
      <c r="J195" s="85">
        <f>IF(H195,An,'2030'!An_max)</f>
        <v>2029</v>
      </c>
      <c r="K195" s="193">
        <f t="shared" si="52"/>
        <v>48029</v>
      </c>
      <c r="L195" s="143">
        <f>IF(t&lt;Tvie,1-EXP((T0-t)*PertePVj)+'2030'!Pspv,1-EXP((T0-t)*PertePVj)+Pspv)</f>
        <v>4.6874041504612607E-2</v>
      </c>
      <c r="M195" s="836"/>
      <c r="N195" s="836"/>
      <c r="O195" s="48">
        <f>IF(t&lt;Tnet,'2030'!Resal+('2030'!Salim-'2030'!Resal)*(1-EXP(('2030'!Tnet-t)/('2030'!Tau_j))),Resal+(Salim-Resal)*(1-EXP((Tnet-t)/(Tau_j))))*Salcycl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2.0024234905412642E-6</v>
      </c>
      <c r="Q195" s="301">
        <f t="shared" si="53"/>
        <v>0.5</v>
      </c>
      <c r="R195" s="173">
        <f t="shared" si="54"/>
        <v>0.31605265046662567</v>
      </c>
      <c r="S195" s="802">
        <f t="shared" si="55"/>
        <v>1</v>
      </c>
      <c r="T195" s="172">
        <f t="shared" si="56"/>
        <v>7</v>
      </c>
      <c r="U195" s="247">
        <f t="shared" si="57"/>
        <v>1.3160526504666257</v>
      </c>
      <c r="V195" s="378">
        <f t="shared" si="58"/>
        <v>61.372965638535867</v>
      </c>
      <c r="W195" s="397">
        <f t="shared" si="59"/>
        <v>15.319273292834733</v>
      </c>
      <c r="X195" s="153">
        <f t="shared" si="60"/>
        <v>48029</v>
      </c>
      <c r="Y195" s="380">
        <f t="shared" si="61"/>
        <v>14.726064497347068</v>
      </c>
      <c r="Z195" s="380">
        <f t="shared" si="62"/>
        <v>15.450281640208138</v>
      </c>
      <c r="AA195" s="381">
        <f t="shared" si="63"/>
        <v>16.145941255169102</v>
      </c>
      <c r="AB195" s="193">
        <f t="shared" si="64"/>
        <v>48029</v>
      </c>
      <c r="AC195" s="119">
        <f>IF(OR(t&lt;Tnet,NoTnet),'2030'!Resal_s+('2030'!Salim-'2030'!Resal_s)*(1-EXP(('2030'!Tnet_s-t)/'2030'!Tau_j)),Resal_s+(Salim-Resal_s)*(1-EXP((Tnet_s-t)/Tau_j)))*Salcycl</f>
        <v>4.308572686886563E-2</v>
      </c>
      <c r="AD195" s="227">
        <f>(INDEX(Models!$BJ195:$BT195,,AH195)*(1-AF195)+INDEX(Models!$BJ195:$BT195,,AH195+1)*AF195-ERP_i)*AE195*Ramure*Pc/MaxiM</f>
        <v>1.1980774253773207E-5</v>
      </c>
      <c r="AE195" s="301">
        <f t="shared" si="65"/>
        <v>0.5</v>
      </c>
      <c r="AF195" s="173">
        <f t="shared" si="66"/>
        <v>0.84104021684060282</v>
      </c>
      <c r="AG195" s="802">
        <f t="shared" si="74"/>
        <v>4</v>
      </c>
      <c r="AH195" s="172">
        <f t="shared" si="67"/>
        <v>10</v>
      </c>
      <c r="AI195" s="221">
        <f t="shared" si="68"/>
        <v>4.8410402168406028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48030</v>
      </c>
      <c r="B196" s="406">
        <f>'2030'!Wh/'2030'!Env_an*'2031'!Env_an</f>
        <v>51.970388967849466</v>
      </c>
      <c r="C196" s="832"/>
      <c r="D196" s="388">
        <f t="shared" si="50"/>
        <v>54.527001332135292</v>
      </c>
      <c r="E196" s="380">
        <f t="shared" si="75"/>
        <v>54.779641129421222</v>
      </c>
      <c r="F196" s="380">
        <f t="shared" si="51"/>
        <v>54.779730967088632</v>
      </c>
      <c r="G196" s="110">
        <f t="shared" si="76"/>
        <v>0.84802091969565707</v>
      </c>
      <c r="H196" s="409" t="b">
        <f>Wh_hp&gt;='2030'!Maxi_hp</f>
        <v>0</v>
      </c>
      <c r="I196" s="385">
        <f>IF(H196,Wh_hp,'2030'!Maxi_hp)</f>
        <v>54.77975021474245</v>
      </c>
      <c r="J196" s="85">
        <f>IF(H196,An,'2030'!An_max)</f>
        <v>2029</v>
      </c>
      <c r="K196" s="193">
        <f t="shared" si="52"/>
        <v>48030</v>
      </c>
      <c r="L196" s="143">
        <f>IF(t&lt;Tvie,1-EXP((T0-t)*PertePVj)+'2030'!Pspv,1-EXP((T0-t)*PertePVj)+Pspv)</f>
        <v>4.6887088998585624E-2</v>
      </c>
      <c r="M196" s="836"/>
      <c r="N196" s="836"/>
      <c r="O196" s="48">
        <f>IF(t&lt;Tnet,'2030'!Resal+('2030'!Salim-'2030'!Resal)*(1-EXP(('2030'!Tnet-t)/('2030'!Tau_j))),Resal+(Salim-Resal)*(1-EXP((Tnet-t)/(Tau_j))))*Salcycl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2.0947836198916989E-6</v>
      </c>
      <c r="Q196" s="301">
        <f t="shared" si="53"/>
        <v>0.5</v>
      </c>
      <c r="R196" s="173">
        <f t="shared" si="54"/>
        <v>0.32038341798756864</v>
      </c>
      <c r="S196" s="802">
        <f t="shared" si="55"/>
        <v>1</v>
      </c>
      <c r="T196" s="172">
        <f t="shared" si="56"/>
        <v>7</v>
      </c>
      <c r="U196" s="247">
        <f t="shared" si="57"/>
        <v>1.3203834179875686</v>
      </c>
      <c r="V196" s="378">
        <f t="shared" si="58"/>
        <v>61.284296323898609</v>
      </c>
      <c r="W196" s="397">
        <f t="shared" si="59"/>
        <v>51.970388967849466</v>
      </c>
      <c r="X196" s="153">
        <f t="shared" si="60"/>
        <v>48030</v>
      </c>
      <c r="Y196" s="380">
        <f t="shared" si="61"/>
        <v>49.958703416258011</v>
      </c>
      <c r="Z196" s="380">
        <f t="shared" si="62"/>
        <v>52.416353655064349</v>
      </c>
      <c r="AA196" s="381">
        <f t="shared" si="63"/>
        <v>54.779195075933835</v>
      </c>
      <c r="AB196" s="193">
        <f t="shared" si="64"/>
        <v>48030</v>
      </c>
      <c r="AC196" s="119">
        <f>IF(OR(t&lt;Tnet,NoTnet),'2030'!Resal_s+('2030'!Salim-'2030'!Resal_s)*(1-EXP(('2030'!Tnet_s-t)/'2030'!Tau_j)),Resal_s+(Salim-Resal_s)*(1-EXP((Tnet_s-t)/Tau_j)))*Salcycl</f>
        <v>4.3133920051109893E-2</v>
      </c>
      <c r="AD196" s="227">
        <f>(INDEX(Models!$BJ196:$BT196,,AH196)*(1-AF196)+INDEX(Models!$BJ196:$BT196,,AH196+1)*AF196-ERP_i)*AE196*Ramure*Pc/MaxiM</f>
        <v>1.2495605078867017E-5</v>
      </c>
      <c r="AE196" s="301">
        <f t="shared" si="65"/>
        <v>0.5</v>
      </c>
      <c r="AF196" s="173">
        <f t="shared" si="66"/>
        <v>0.84537098436154512</v>
      </c>
      <c r="AG196" s="802">
        <f t="shared" si="74"/>
        <v>4</v>
      </c>
      <c r="AH196" s="172">
        <f t="shared" si="67"/>
        <v>10</v>
      </c>
      <c r="AI196" s="221">
        <f t="shared" si="68"/>
        <v>4.8453709843615451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48031</v>
      </c>
      <c r="B197" s="406">
        <f>'2030'!Wh/'2030'!Env_an*'2031'!Env_an</f>
        <v>57.701654169633052</v>
      </c>
      <c r="C197" s="832"/>
      <c r="D197" s="388">
        <f t="shared" si="50"/>
        <v>60.5410370603514</v>
      </c>
      <c r="E197" s="380">
        <f t="shared" si="75"/>
        <v>60.826026802039955</v>
      </c>
      <c r="F197" s="380">
        <f t="shared" si="51"/>
        <v>60.826149628961971</v>
      </c>
      <c r="G197" s="110">
        <f t="shared" si="76"/>
        <v>0.94297995029801296</v>
      </c>
      <c r="H197" s="409" t="b">
        <f>Wh_hp&gt;='2030'!Maxi_hp</f>
        <v>0</v>
      </c>
      <c r="I197" s="385">
        <f>IF(H197,Wh_hp,'2030'!Maxi_hp)</f>
        <v>60.826158021559394</v>
      </c>
      <c r="J197" s="85">
        <f>IF(H197,An,'2030'!An_max)</f>
        <v>2029</v>
      </c>
      <c r="K197" s="193">
        <f t="shared" si="52"/>
        <v>48031</v>
      </c>
      <c r="L197" s="143">
        <f>IF(t&lt;Tvie,1-EXP((T0-t)*PertePVj)+'2030'!Pspv,1-EXP((T0-t)*PertePVj)+Pspv)</f>
        <v>4.6900136313949514E-2</v>
      </c>
      <c r="M197" s="836"/>
      <c r="N197" s="836"/>
      <c r="O197" s="48">
        <f>IF(t&lt;Tnet,'2030'!Resal+('2030'!Salim-'2030'!Resal)*(1-EXP(('2030'!Tnet-t)/('2030'!Tau_j))),Resal+(Salim-Resal)*(1-EXP((Tnet-t)/(Tau_j))))*Salcycl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2.1983849287293711E-6</v>
      </c>
      <c r="Q197" s="301">
        <f t="shared" si="53"/>
        <v>0.5</v>
      </c>
      <c r="R197" s="173">
        <f t="shared" si="54"/>
        <v>0.32464243329522935</v>
      </c>
      <c r="S197" s="802">
        <f t="shared" si="55"/>
        <v>1</v>
      </c>
      <c r="T197" s="172">
        <f t="shared" si="56"/>
        <v>7</v>
      </c>
      <c r="U197" s="247">
        <f t="shared" si="57"/>
        <v>1.3246424332952293</v>
      </c>
      <c r="V197" s="378">
        <f t="shared" si="58"/>
        <v>61.190743046576088</v>
      </c>
      <c r="W197" s="397">
        <f t="shared" si="59"/>
        <v>57.701654169633052</v>
      </c>
      <c r="X197" s="153">
        <f t="shared" si="60"/>
        <v>48031</v>
      </c>
      <c r="Y197" s="380">
        <f t="shared" si="61"/>
        <v>55.469354268319691</v>
      </c>
      <c r="Z197" s="380">
        <f t="shared" si="62"/>
        <v>58.198890149659285</v>
      </c>
      <c r="AA197" s="381">
        <f t="shared" si="63"/>
        <v>60.825419214407013</v>
      </c>
      <c r="AB197" s="193">
        <f t="shared" si="64"/>
        <v>48031</v>
      </c>
      <c r="AC197" s="119">
        <f>IF(OR(t&lt;Tnet,NoTnet),'2030'!Resal_s+('2030'!Salim-'2030'!Resal_s)*(1-EXP(('2030'!Tnet_s-t)/'2030'!Tau_j)),Resal_s+(Salim-Resal_s)*(1-EXP((Tnet_s-t)/Tau_j)))*Salcycl</f>
        <v>4.3181437936158334E-2</v>
      </c>
      <c r="AD197" s="227">
        <f>(INDEX(Models!$BJ197:$BT197,,AH197)*(1-AF197)+INDEX(Models!$BJ197:$BT197,,AH197+1)*AF197-ERP_i)*AE197*Ramure*Pc/MaxiM</f>
        <v>1.3073130246331718E-5</v>
      </c>
      <c r="AE197" s="301">
        <f t="shared" si="65"/>
        <v>0.5</v>
      </c>
      <c r="AF197" s="173">
        <f t="shared" si="66"/>
        <v>0.84962999966920627</v>
      </c>
      <c r="AG197" s="802">
        <f t="shared" si="74"/>
        <v>4</v>
      </c>
      <c r="AH197" s="172">
        <f t="shared" si="67"/>
        <v>10</v>
      </c>
      <c r="AI197" s="221">
        <f t="shared" si="68"/>
        <v>4.8496299996692063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48032</v>
      </c>
      <c r="B198" s="406">
        <f>'2030'!Wh/'2030'!Env_an*'2031'!Env_an</f>
        <v>53.661818535018909</v>
      </c>
      <c r="C198" s="832"/>
      <c r="D198" s="388">
        <f t="shared" si="50"/>
        <v>56.303179944618961</v>
      </c>
      <c r="E198" s="380">
        <f t="shared" si="75"/>
        <v>56.57238645212211</v>
      </c>
      <c r="F198" s="380">
        <f t="shared" si="51"/>
        <v>56.572495164630332</v>
      </c>
      <c r="G198" s="110">
        <f t="shared" si="76"/>
        <v>0.87836794859548095</v>
      </c>
      <c r="H198" s="409" t="b">
        <f>Wh_hp&gt;='2030'!Maxi_hp</f>
        <v>0</v>
      </c>
      <c r="I198" s="385">
        <f>IF(H198,Wh_hp,'2030'!Maxi_hp)</f>
        <v>56.572512739018393</v>
      </c>
      <c r="J198" s="85">
        <f>IF(H198,An,'2030'!An_max)</f>
        <v>2029</v>
      </c>
      <c r="K198" s="193">
        <f t="shared" si="52"/>
        <v>48032</v>
      </c>
      <c r="L198" s="143">
        <f>IF(t&lt;Tvie,1-EXP((T0-t)*PertePVj)+'2030'!Pspv,1-EXP((T0-t)*PertePVj)+Pspv)</f>
        <v>4.6913183450706497E-2</v>
      </c>
      <c r="M198" s="836"/>
      <c r="N198" s="836"/>
      <c r="O198" s="48">
        <f>IF(t&lt;Tnet,'2030'!Resal+('2030'!Salim-'2030'!Resal)*(1-EXP(('2030'!Tnet-t)/('2030'!Tau_j))),Resal+(Salim-Resal)*(1-EXP((Tnet-t)/(Tau_j))))*Salcycl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2.3257752131485861E-6</v>
      </c>
      <c r="Q198" s="301">
        <f t="shared" si="53"/>
        <v>0.5</v>
      </c>
      <c r="R198" s="173">
        <f t="shared" si="54"/>
        <v>0.32882795906252582</v>
      </c>
      <c r="S198" s="802">
        <f t="shared" si="55"/>
        <v>1</v>
      </c>
      <c r="T198" s="172">
        <f t="shared" si="56"/>
        <v>7</v>
      </c>
      <c r="U198" s="247">
        <f t="shared" si="57"/>
        <v>1.3288279590625258</v>
      </c>
      <c r="V198" s="378">
        <f t="shared" si="58"/>
        <v>61.092617205196767</v>
      </c>
      <c r="W198" s="397">
        <f t="shared" si="59"/>
        <v>53.661818535018909</v>
      </c>
      <c r="X198" s="153">
        <f t="shared" si="60"/>
        <v>48032</v>
      </c>
      <c r="Y198" s="380">
        <f t="shared" si="61"/>
        <v>51.58710657265302</v>
      </c>
      <c r="Z198" s="380">
        <f t="shared" si="62"/>
        <v>54.126345760848054</v>
      </c>
      <c r="AA198" s="381">
        <f t="shared" si="63"/>
        <v>56.571850323330651</v>
      </c>
      <c r="AB198" s="193">
        <f t="shared" si="64"/>
        <v>48032</v>
      </c>
      <c r="AC198" s="119">
        <f>IF(OR(t&lt;Tnet,NoTnet),'2030'!Resal_s+('2030'!Salim-'2030'!Resal_s)*(1-EXP(('2030'!Tnet_s-t)/'2030'!Tau_j)),Resal_s+(Salim-Resal_s)*(1-EXP((Tnet_s-t)/Tau_j)))*Salcycl</f>
        <v>4.322829372745577E-2</v>
      </c>
      <c r="AD198" s="227">
        <f>(INDEX(Models!$BJ198:$BT198,,AH198)*(1-AF198)+INDEX(Models!$BJ198:$BT198,,AH198+1)*AF198-ERP_i)*AE198*Ramure*Pc/MaxiM</f>
        <v>1.3795615019666428E-5</v>
      </c>
      <c r="AE198" s="301">
        <f t="shared" si="65"/>
        <v>0.5</v>
      </c>
      <c r="AF198" s="173">
        <f t="shared" si="66"/>
        <v>0.8538155254365023</v>
      </c>
      <c r="AG198" s="802">
        <f t="shared" si="74"/>
        <v>4</v>
      </c>
      <c r="AH198" s="172">
        <f t="shared" si="67"/>
        <v>10</v>
      </c>
      <c r="AI198" s="221">
        <f t="shared" si="68"/>
        <v>4.8538155254365023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48033</v>
      </c>
      <c r="B199" s="406">
        <f>'2030'!Wh/'2030'!Env_an*'2031'!Env_an</f>
        <v>49.95252678989462</v>
      </c>
      <c r="C199" s="832"/>
      <c r="D199" s="388">
        <f t="shared" si="50"/>
        <v>52.412025578380735</v>
      </c>
      <c r="E199" s="380">
        <f t="shared" si="75"/>
        <v>52.666500171403875</v>
      </c>
      <c r="F199" s="380">
        <f t="shared" si="51"/>
        <v>52.666596783107572</v>
      </c>
      <c r="G199" s="110">
        <f t="shared" si="76"/>
        <v>0.81902452245654556</v>
      </c>
      <c r="H199" s="409" t="b">
        <f>Wh_hp&gt;='2030'!Maxi_hp</f>
        <v>0</v>
      </c>
      <c r="I199" s="385">
        <f>IF(H199,Wh_hp,'2030'!Maxi_hp)</f>
        <v>52.666622625450024</v>
      </c>
      <c r="J199" s="85">
        <f>IF(H199,An,'2030'!An_max)</f>
        <v>2029</v>
      </c>
      <c r="K199" s="193">
        <f t="shared" si="52"/>
        <v>48033</v>
      </c>
      <c r="L199" s="143">
        <f>IF(t&lt;Tvie,1-EXP((T0-t)*PertePVj)+'2030'!Pspv,1-EXP((T0-t)*PertePVj)+Pspv)</f>
        <v>4.6926230408859237E-2</v>
      </c>
      <c r="M199" s="836"/>
      <c r="N199" s="836"/>
      <c r="O199" s="48">
        <f>IF(t&lt;Tnet,'2030'!Resal+('2030'!Salim-'2030'!Resal)*(1-EXP(('2030'!Tnet-t)/('2030'!Tau_j))),Resal+(Salim-Resal)*(1-EXP((Tnet-t)/(Tau_j))))*Salcycl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2.4740257123812703E-6</v>
      </c>
      <c r="Q199" s="301">
        <f t="shared" si="53"/>
        <v>0.5</v>
      </c>
      <c r="R199" s="173">
        <f t="shared" si="54"/>
        <v>0.3329384392864827</v>
      </c>
      <c r="S199" s="802">
        <f t="shared" si="55"/>
        <v>1</v>
      </c>
      <c r="T199" s="172">
        <f t="shared" si="56"/>
        <v>7</v>
      </c>
      <c r="U199" s="247">
        <f t="shared" si="57"/>
        <v>1.3329384392864827</v>
      </c>
      <c r="V199" s="378">
        <f t="shared" si="58"/>
        <v>60.99023102407687</v>
      </c>
      <c r="W199" s="397">
        <f t="shared" si="59"/>
        <v>49.95252678989462</v>
      </c>
      <c r="X199" s="153">
        <f t="shared" si="60"/>
        <v>48033</v>
      </c>
      <c r="Y199" s="380">
        <f t="shared" si="61"/>
        <v>48.022460304046398</v>
      </c>
      <c r="Z199" s="380">
        <f t="shared" si="62"/>
        <v>50.386928941132815</v>
      </c>
      <c r="AA199" s="381">
        <f t="shared" si="63"/>
        <v>52.666024942103348</v>
      </c>
      <c r="AB199" s="193">
        <f t="shared" si="64"/>
        <v>48033</v>
      </c>
      <c r="AC199" s="119">
        <f>IF(OR(t&lt;Tnet,NoTnet),'2030'!Resal_s+('2030'!Salim-'2030'!Resal_s)*(1-EXP(('2030'!Tnet_s-t)/'2030'!Tau_j)),Resal_s+(Salim-Resal_s)*(1-EXP((Tnet_s-t)/Tau_j)))*Salcycl</f>
        <v>4.327450198635608E-2</v>
      </c>
      <c r="AD199" s="227">
        <f>(INDEX(Models!$BJ199:$BT199,,AH199)*(1-AF199)+INDEX(Models!$BJ199:$BT199,,AH199+1)*AF199-ERP_i)*AE199*Ramure*Pc/MaxiM</f>
        <v>1.4643664211350534E-5</v>
      </c>
      <c r="AE199" s="301">
        <f t="shared" si="65"/>
        <v>0.5</v>
      </c>
      <c r="AF199" s="173">
        <f t="shared" si="66"/>
        <v>0.85792600566045962</v>
      </c>
      <c r="AG199" s="802">
        <f t="shared" si="74"/>
        <v>4</v>
      </c>
      <c r="AH199" s="172">
        <f t="shared" si="67"/>
        <v>10</v>
      </c>
      <c r="AI199" s="221">
        <f t="shared" si="68"/>
        <v>4.8579260056604596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48034</v>
      </c>
      <c r="B200" s="406">
        <f>'2030'!Wh/'2030'!Env_an*'2031'!Env_an</f>
        <v>59.896994950033736</v>
      </c>
      <c r="C200" s="832"/>
      <c r="D200" s="388">
        <f t="shared" si="50"/>
        <v>62.846987097877438</v>
      </c>
      <c r="E200" s="380">
        <f t="shared" si="75"/>
        <v>63.156764557032261</v>
      </c>
      <c r="F200" s="380">
        <f t="shared" si="51"/>
        <v>63.156927648841112</v>
      </c>
      <c r="G200" s="110">
        <f t="shared" si="76"/>
        <v>0.98379037530492996</v>
      </c>
      <c r="H200" s="409" t="b">
        <f>Wh_hp&gt;='2030'!Maxi_hp</f>
        <v>0</v>
      </c>
      <c r="I200" s="385">
        <f>IF(H200,Wh_hp,'2030'!Maxi_hp)</f>
        <v>63.156930609446704</v>
      </c>
      <c r="J200" s="85">
        <f>IF(H200,An,'2030'!An_max)</f>
        <v>2029</v>
      </c>
      <c r="K200" s="193">
        <f t="shared" si="52"/>
        <v>48034</v>
      </c>
      <c r="L200" s="143">
        <f>IF(t&lt;Tvie,1-EXP((T0-t)*PertePVj)+'2030'!Pspv,1-EXP((T0-t)*PertePVj)+Pspv)</f>
        <v>4.6939277188410067E-2</v>
      </c>
      <c r="M200" s="836"/>
      <c r="N200" s="836"/>
      <c r="O200" s="48">
        <f>IF(t&lt;Tnet,'2030'!Resal+('2030'!Salim-'2030'!Resal)*(1-EXP(('2030'!Tnet-t)/('2030'!Tau_j))),Resal+(Salim-Resal)*(1-EXP((Tnet-t)/(Tau_j))))*Salcycl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2.6435417436420468E-6</v>
      </c>
      <c r="Q200" s="301">
        <f t="shared" si="53"/>
        <v>0.5</v>
      </c>
      <c r="R200" s="173">
        <f t="shared" si="54"/>
        <v>0.33697249764645676</v>
      </c>
      <c r="S200" s="802">
        <f t="shared" si="55"/>
        <v>1</v>
      </c>
      <c r="T200" s="172">
        <f t="shared" si="56"/>
        <v>7</v>
      </c>
      <c r="U200" s="247">
        <f t="shared" si="57"/>
        <v>1.3369724976464568</v>
      </c>
      <c r="V200" s="378">
        <f t="shared" si="58"/>
        <v>60.883896393935231</v>
      </c>
      <c r="W200" s="397">
        <f t="shared" si="59"/>
        <v>59.896994950033736</v>
      </c>
      <c r="X200" s="153">
        <f t="shared" si="60"/>
        <v>48034</v>
      </c>
      <c r="Y200" s="380">
        <f t="shared" si="61"/>
        <v>57.583969612634625</v>
      </c>
      <c r="Z200" s="380">
        <f t="shared" si="62"/>
        <v>60.42004274686532</v>
      </c>
      <c r="AA200" s="381">
        <f t="shared" si="63"/>
        <v>63.1559640691871</v>
      </c>
      <c r="AB200" s="193">
        <f t="shared" si="64"/>
        <v>48034</v>
      </c>
      <c r="AC200" s="119">
        <f>IF(OR(t&lt;Tnet,NoTnet),'2030'!Resal_s+('2030'!Salim-'2030'!Resal_s)*(1-EXP(('2030'!Tnet_s-t)/'2030'!Tau_j)),Resal_s+(Salim-Resal_s)*(1-EXP((Tnet_s-t)/Tau_j)))*Salcycl</f>
        <v>4.3320078517439561E-2</v>
      </c>
      <c r="AD200" s="227">
        <f>(INDEX(Models!$BJ200:$BT200,,AH200)*(1-AF200)+INDEX(Models!$BJ200:$BT200,,AH200+1)*AF200-ERP_i)*AE200*Ramure*Pc/MaxiM</f>
        <v>1.5618583524807221E-5</v>
      </c>
      <c r="AE200" s="301">
        <f t="shared" si="65"/>
        <v>0.5</v>
      </c>
      <c r="AF200" s="173">
        <f t="shared" si="66"/>
        <v>0.86196006402043324</v>
      </c>
      <c r="AG200" s="802">
        <f t="shared" si="74"/>
        <v>4</v>
      </c>
      <c r="AH200" s="172">
        <f t="shared" si="67"/>
        <v>10</v>
      </c>
      <c r="AI200" s="221">
        <f t="shared" si="68"/>
        <v>4.8619600640204332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48035</v>
      </c>
      <c r="B201" s="406">
        <f>'2030'!Wh/'2030'!Env_an*'2031'!Env_an</f>
        <v>44.095704519617598</v>
      </c>
      <c r="C201" s="832"/>
      <c r="D201" s="388">
        <f t="shared" si="50"/>
        <v>46.268099299023682</v>
      </c>
      <c r="E201" s="380">
        <f t="shared" si="75"/>
        <v>46.499568477134467</v>
      </c>
      <c r="F201" s="380">
        <f t="shared" si="51"/>
        <v>46.499648613862185</v>
      </c>
      <c r="G201" s="110">
        <f t="shared" si="76"/>
        <v>0.72556866212859361</v>
      </c>
      <c r="H201" s="409" t="b">
        <f>Wh_hp&gt;='2030'!Maxi_hp</f>
        <v>0</v>
      </c>
      <c r="I201" s="385">
        <f>IF(H201,Wh_hp,'2030'!Maxi_hp)</f>
        <v>46.499688125069234</v>
      </c>
      <c r="J201" s="85">
        <f>IF(H201,An,'2030'!An_max)</f>
        <v>2029</v>
      </c>
      <c r="K201" s="193">
        <f t="shared" si="52"/>
        <v>48035</v>
      </c>
      <c r="L201" s="143">
        <f>IF(t&lt;Tvie,1-EXP((T0-t)*PertePVj)+'2030'!Pspv,1-EXP((T0-t)*PertePVj)+Pspv)</f>
        <v>4.6952323789361428E-2</v>
      </c>
      <c r="M201" s="836"/>
      <c r="N201" s="836"/>
      <c r="O201" s="48">
        <f>IF(t&lt;Tnet,'2030'!Resal+('2030'!Salim-'2030'!Resal)*(1-EXP(('2030'!Tnet-t)/('2030'!Tau_j))),Resal+(Salim-Resal)*(1-EXP((Tnet-t)/(Tau_j))))*Salcycl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2.8347157102327585E-6</v>
      </c>
      <c r="Q201" s="301">
        <f t="shared" si="53"/>
        <v>0.5</v>
      </c>
      <c r="R201" s="173">
        <f t="shared" si="54"/>
        <v>0.34092893510758282</v>
      </c>
      <c r="S201" s="802">
        <f t="shared" si="55"/>
        <v>1</v>
      </c>
      <c r="T201" s="172">
        <f t="shared" si="56"/>
        <v>7</v>
      </c>
      <c r="U201" s="247">
        <f t="shared" si="57"/>
        <v>1.3409289351075828</v>
      </c>
      <c r="V201" s="378">
        <f t="shared" si="58"/>
        <v>60.77392508269844</v>
      </c>
      <c r="W201" s="397">
        <f t="shared" si="59"/>
        <v>44.095704519617598</v>
      </c>
      <c r="X201" s="153">
        <f t="shared" si="60"/>
        <v>48035</v>
      </c>
      <c r="Y201" s="380">
        <f t="shared" si="61"/>
        <v>42.394169379909492</v>
      </c>
      <c r="Z201" s="380">
        <f t="shared" si="62"/>
        <v>44.482737262914966</v>
      </c>
      <c r="AA201" s="381">
        <f t="shared" si="63"/>
        <v>46.499175897229556</v>
      </c>
      <c r="AB201" s="193">
        <f t="shared" si="64"/>
        <v>48035</v>
      </c>
      <c r="AC201" s="119">
        <f>IF(OR(t&lt;Tnet,NoTnet),'2030'!Resal_s+('2030'!Salim-'2030'!Resal_s)*(1-EXP(('2030'!Tnet_s-t)/'2030'!Tau_j)),Resal_s+(Salim-Resal_s)*(1-EXP((Tnet_s-t)/Tau_j)))*Salcycl</f>
        <v>4.3365040248696654E-2</v>
      </c>
      <c r="AD201" s="227">
        <f>(INDEX(Models!$BJ201:$BT201,,AH201)*(1-AF201)+INDEX(Models!$BJ201:$BT201,,AH201+1)*AF201-ERP_i)*AE201*Ramure*Pc/MaxiM</f>
        <v>1.6721636922580193E-5</v>
      </c>
      <c r="AE201" s="301">
        <f t="shared" si="65"/>
        <v>0.5</v>
      </c>
      <c r="AF201" s="173">
        <f t="shared" si="66"/>
        <v>0.86591650148155974</v>
      </c>
      <c r="AG201" s="802">
        <f t="shared" si="74"/>
        <v>4</v>
      </c>
      <c r="AH201" s="172">
        <f t="shared" si="67"/>
        <v>10</v>
      </c>
      <c r="AI201" s="221">
        <f t="shared" si="68"/>
        <v>4.8659165014815597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48036</v>
      </c>
      <c r="B202" s="406">
        <f>'2030'!Wh/'2030'!Env_an*'2031'!Env_an</f>
        <v>59.440967465953847</v>
      </c>
      <c r="C202" s="832"/>
      <c r="D202" s="388">
        <f t="shared" si="50"/>
        <v>62.370207344048559</v>
      </c>
      <c r="E202" s="380">
        <f t="shared" si="75"/>
        <v>62.68682293947635</v>
      </c>
      <c r="F202" s="380">
        <f t="shared" si="51"/>
        <v>62.687008516851265</v>
      </c>
      <c r="G202" s="110">
        <f t="shared" si="76"/>
        <v>0.97989360652612612</v>
      </c>
      <c r="H202" s="409" t="b">
        <f>Wh_hp&gt;='2030'!Maxi_hp</f>
        <v>0</v>
      </c>
      <c r="I202" s="385">
        <f>IF(H202,Wh_hp,'2030'!Maxi_hp)</f>
        <v>62.687012707228902</v>
      </c>
      <c r="J202" s="85">
        <f>IF(H202,An,'2030'!An_max)</f>
        <v>2029</v>
      </c>
      <c r="K202" s="193">
        <f t="shared" si="52"/>
        <v>48036</v>
      </c>
      <c r="L202" s="143">
        <f>IF(t&lt;Tvie,1-EXP((T0-t)*PertePVj)+'2030'!Pspv,1-EXP((T0-t)*PertePVj)+Pspv)</f>
        <v>4.6965370211715762E-2</v>
      </c>
      <c r="M202" s="836"/>
      <c r="N202" s="836"/>
      <c r="O202" s="48">
        <f>IF(t&lt;Tnet,'2030'!Resal+('2030'!Salim-'2030'!Resal)*(1-EXP(('2030'!Tnet-t)/('2030'!Tau_j))),Resal+(Salim-Resal)*(1-EXP((Tnet-t)/(Tau_j))))*Salcycl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3.0479266390146751E-6</v>
      </c>
      <c r="Q202" s="301">
        <f t="shared" si="53"/>
        <v>0.5</v>
      </c>
      <c r="R202" s="173">
        <f t="shared" si="54"/>
        <v>0.34480672682262226</v>
      </c>
      <c r="S202" s="802">
        <f t="shared" si="55"/>
        <v>1</v>
      </c>
      <c r="T202" s="172">
        <f t="shared" si="56"/>
        <v>7</v>
      </c>
      <c r="U202" s="247">
        <f t="shared" si="57"/>
        <v>1.3448067268226223</v>
      </c>
      <c r="V202" s="378">
        <f t="shared" si="58"/>
        <v>60.660628731742712</v>
      </c>
      <c r="W202" s="397">
        <f t="shared" si="59"/>
        <v>59.440967465953847</v>
      </c>
      <c r="X202" s="153">
        <f t="shared" si="60"/>
        <v>48036</v>
      </c>
      <c r="Y202" s="380">
        <f t="shared" si="61"/>
        <v>57.148490049528839</v>
      </c>
      <c r="Z202" s="380">
        <f t="shared" si="62"/>
        <v>59.964757064729454</v>
      </c>
      <c r="AA202" s="381">
        <f t="shared" si="63"/>
        <v>62.685915359086273</v>
      </c>
      <c r="AB202" s="193">
        <f t="shared" si="64"/>
        <v>48036</v>
      </c>
      <c r="AC202" s="119">
        <f>IF(OR(t&lt;Tnet,NoTnet),'2030'!Resal_s+('2030'!Salim-'2030'!Resal_s)*(1-EXP(('2030'!Tnet_s-t)/'2030'!Tau_j)),Resal_s+(Salim-Resal_s)*(1-EXP((Tnet_s-t)/Tau_j)))*Salcycl</f>
        <v>4.3409405107496551E-2</v>
      </c>
      <c r="AD202" s="227">
        <f>(INDEX(Models!$BJ202:$BT202,,AH202)*(1-AF202)+INDEX(Models!$BJ202:$BT202,,AH202+1)*AF202-ERP_i)*AE202*Ramure*Pc/MaxiM</f>
        <v>1.7954045713156277E-5</v>
      </c>
      <c r="AE202" s="301">
        <f t="shared" si="65"/>
        <v>0.5</v>
      </c>
      <c r="AF202" s="173">
        <f t="shared" si="66"/>
        <v>0.86979429319659918</v>
      </c>
      <c r="AG202" s="802">
        <f t="shared" si="74"/>
        <v>4</v>
      </c>
      <c r="AH202" s="172">
        <f t="shared" si="67"/>
        <v>10</v>
      </c>
      <c r="AI202" s="221">
        <f t="shared" si="68"/>
        <v>4.8697942931965992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48037</v>
      </c>
      <c r="B203" s="406">
        <f>'2030'!Wh/'2030'!Env_an*'2031'!Env_an</f>
        <v>62.328907285092782</v>
      </c>
      <c r="C203" s="832"/>
      <c r="D203" s="388">
        <f t="shared" si="50"/>
        <v>65.401359592797533</v>
      </c>
      <c r="E203" s="380">
        <f t="shared" si="75"/>
        <v>65.738170363927495</v>
      </c>
      <c r="F203" s="380">
        <f t="shared" si="51"/>
        <v>65.738386218533634</v>
      </c>
      <c r="G203" s="110">
        <f t="shared" si="76"/>
        <v>1.0294757370422232</v>
      </c>
      <c r="H203" s="409" t="b">
        <f>Wh_hp&gt;='2030'!Maxi_hp</f>
        <v>1</v>
      </c>
      <c r="I203" s="385">
        <f>IF(H203,Wh_hp,'2030'!Maxi_hp)</f>
        <v>65.738386218533634</v>
      </c>
      <c r="J203" s="85">
        <f>IF(H203,An,'2030'!An_max)</f>
        <v>2031</v>
      </c>
      <c r="K203" s="193">
        <f t="shared" si="52"/>
        <v>48037</v>
      </c>
      <c r="L203" s="143">
        <f>IF(t&lt;Tvie,1-EXP((T0-t)*PertePVj)+'2030'!Pspv,1-EXP((T0-t)*PertePVj)+Pspv)</f>
        <v>4.6978416455475513E-2</v>
      </c>
      <c r="M203" s="836"/>
      <c r="N203" s="836"/>
      <c r="O203" s="48">
        <f>IF(t&lt;Tnet,'2030'!Resal+('2030'!Salim-'2030'!Resal)*(1-EXP(('2030'!Tnet-t)/('2030'!Tau_j))),Resal+(Salim-Resal)*(1-EXP((Tnet-t)/(Tau_j))))*Salcycl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3.2835397788278354E-6</v>
      </c>
      <c r="Q203" s="301">
        <f t="shared" si="53"/>
        <v>0.5</v>
      </c>
      <c r="R203" s="173">
        <f t="shared" si="54"/>
        <v>0.34860501838822477</v>
      </c>
      <c r="S203" s="802">
        <f t="shared" si="55"/>
        <v>1</v>
      </c>
      <c r="T203" s="172">
        <f t="shared" si="56"/>
        <v>7</v>
      </c>
      <c r="U203" s="247">
        <f t="shared" si="57"/>
        <v>1.3486050183882248</v>
      </c>
      <c r="V203" s="378">
        <f t="shared" si="58"/>
        <v>60.544318862889718</v>
      </c>
      <c r="W203" s="397">
        <f t="shared" si="59"/>
        <v>62.328907285092782</v>
      </c>
      <c r="X203" s="153">
        <f t="shared" si="60"/>
        <v>48037</v>
      </c>
      <c r="Y203" s="380">
        <f t="shared" si="61"/>
        <v>59.926596451953849</v>
      </c>
      <c r="Z203" s="380">
        <f t="shared" si="62"/>
        <v>62.880628819624334</v>
      </c>
      <c r="AA203" s="381">
        <f t="shared" si="63"/>
        <v>65.737116350932624</v>
      </c>
      <c r="AB203" s="193">
        <f t="shared" si="64"/>
        <v>48037</v>
      </c>
      <c r="AC203" s="119">
        <f>IF(OR(t&lt;Tnet,NoTnet),'2030'!Resal_s+('2030'!Salim-'2030'!Resal_s)*(1-EXP(('2030'!Tnet_s-t)/'2030'!Tau_j)),Resal_s+(Salim-Resal_s)*(1-EXP((Tnet_s-t)/Tau_j)))*Salcycl</f>
        <v>4.3453191893285094E-2</v>
      </c>
      <c r="AD203" s="227">
        <f>(INDEX(Models!$BJ203:$BT203,,AH203)*(1-AF203)+INDEX(Models!$BJ203:$BT203,,AH203+1)*AF203-ERP_i)*AE203*Ramure*Pc/MaxiM</f>
        <v>1.9316987745686603E-5</v>
      </c>
      <c r="AE203" s="301">
        <f t="shared" si="65"/>
        <v>0.5</v>
      </c>
      <c r="AF203" s="173">
        <f t="shared" si="66"/>
        <v>0.8735925847622017</v>
      </c>
      <c r="AG203" s="802">
        <f t="shared" si="74"/>
        <v>4</v>
      </c>
      <c r="AH203" s="172">
        <f t="shared" si="67"/>
        <v>10</v>
      </c>
      <c r="AI203" s="221">
        <f t="shared" si="68"/>
        <v>4.8735925847622017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48038</v>
      </c>
      <c r="B204" s="406">
        <f>'2030'!Wh/'2030'!Env_an*'2031'!Env_an</f>
        <v>61.365960059137976</v>
      </c>
      <c r="C204" s="832"/>
      <c r="D204" s="388">
        <f t="shared" si="50"/>
        <v>64.391826144020484</v>
      </c>
      <c r="E204" s="380">
        <f t="shared" si="75"/>
        <v>64.728165282021877</v>
      </c>
      <c r="F204" s="380">
        <f t="shared" si="51"/>
        <v>64.728394543927067</v>
      </c>
      <c r="G204" s="110">
        <f t="shared" si="76"/>
        <v>1.0155672058317351</v>
      </c>
      <c r="H204" s="409" t="b">
        <f>Wh_hp&gt;='2030'!Maxi_hp</f>
        <v>1</v>
      </c>
      <c r="I204" s="385">
        <f>IF(H204,Wh_hp,'2030'!Maxi_hp)</f>
        <v>64.728394543927067</v>
      </c>
      <c r="J204" s="85">
        <f>IF(H204,An,'2030'!An_max)</f>
        <v>2031</v>
      </c>
      <c r="K204" s="193">
        <f t="shared" si="52"/>
        <v>48038</v>
      </c>
      <c r="L204" s="143">
        <f>IF(t&lt;Tvie,1-EXP((T0-t)*PertePVj)+'2030'!Pspv,1-EXP((T0-t)*PertePVj)+Pspv)</f>
        <v>4.6991462520643124E-2</v>
      </c>
      <c r="M204" s="836"/>
      <c r="N204" s="836"/>
      <c r="O204" s="48">
        <f>IF(t&lt;Tnet,'2030'!Resal+('2030'!Salim-'2030'!Resal)*(1-EXP(('2030'!Tnet-t)/('2030'!Tau_j))),Resal+(Salim-Resal)*(1-EXP((Tnet-t)/(Tau_j))))*Salcycl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3.5419062500960713E-6</v>
      </c>
      <c r="Q204" s="301">
        <f t="shared" si="53"/>
        <v>0.5</v>
      </c>
      <c r="R204" s="173">
        <f t="shared" si="54"/>
        <v>0.35232312151367684</v>
      </c>
      <c r="S204" s="802">
        <f t="shared" si="55"/>
        <v>1</v>
      </c>
      <c r="T204" s="172">
        <f t="shared" si="56"/>
        <v>7</v>
      </c>
      <c r="U204" s="247">
        <f t="shared" si="57"/>
        <v>1.3523231215136768</v>
      </c>
      <c r="V204" s="378">
        <f t="shared" si="58"/>
        <v>60.425306869652339</v>
      </c>
      <c r="W204" s="397">
        <f t="shared" si="59"/>
        <v>61.365960059137976</v>
      </c>
      <c r="X204" s="153">
        <f t="shared" si="60"/>
        <v>48038</v>
      </c>
      <c r="Y204" s="380">
        <f t="shared" si="61"/>
        <v>59.002333489805942</v>
      </c>
      <c r="Z204" s="380">
        <f t="shared" si="62"/>
        <v>61.91165259218257</v>
      </c>
      <c r="AA204" s="381">
        <f t="shared" si="63"/>
        <v>64.727047442687578</v>
      </c>
      <c r="AB204" s="193">
        <f t="shared" si="64"/>
        <v>48038</v>
      </c>
      <c r="AC204" s="119">
        <f>IF(OR(t&lt;Tnet,NoTnet),'2030'!Resal_s+('2030'!Salim-'2030'!Resal_s)*(1-EXP(('2030'!Tnet_s-t)/'2030'!Tau_j)),Resal_s+(Salim-Resal_s)*(1-EXP((Tnet_s-t)/Tau_j)))*Salcycl</f>
        <v>4.3496420147974356E-2</v>
      </c>
      <c r="AD204" s="227">
        <f>(INDEX(Models!$BJ204:$BT204,,AH204)*(1-AF204)+INDEX(Models!$BJ204:$BT204,,AH204+1)*AF204-ERP_i)*AE204*Ramure*Pc/MaxiM</f>
        <v>2.0811596656691628E-5</v>
      </c>
      <c r="AE204" s="301">
        <f t="shared" si="65"/>
        <v>0.5</v>
      </c>
      <c r="AF204" s="173">
        <f t="shared" si="66"/>
        <v>0.87731068788765398</v>
      </c>
      <c r="AG204" s="802">
        <f t="shared" si="74"/>
        <v>4</v>
      </c>
      <c r="AH204" s="172">
        <f t="shared" si="67"/>
        <v>10</v>
      </c>
      <c r="AI204" s="221">
        <f t="shared" si="68"/>
        <v>4.877310687887654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48039</v>
      </c>
      <c r="B205" s="406">
        <f>'2030'!Wh/'2030'!Env_an*'2031'!Env_an</f>
        <v>60.719973625365029</v>
      </c>
      <c r="C205" s="832"/>
      <c r="D205" s="388">
        <f t="shared" si="50"/>
        <v>63.714859263270334</v>
      </c>
      <c r="E205" s="380">
        <f t="shared" si="75"/>
        <v>64.052333837720198</v>
      </c>
      <c r="F205" s="380">
        <f t="shared" si="51"/>
        <v>64.052578735294134</v>
      </c>
      <c r="G205" s="110">
        <f t="shared" si="76"/>
        <v>1.0069050210726644</v>
      </c>
      <c r="H205" s="409" t="b">
        <f>Wh_hp&gt;='2030'!Maxi_hp</f>
        <v>1</v>
      </c>
      <c r="I205" s="385">
        <f>IF(H205,Wh_hp,'2030'!Maxi_hp)</f>
        <v>64.052578735294134</v>
      </c>
      <c r="J205" s="85">
        <f>IF(H205,An,'2030'!An_max)</f>
        <v>2031</v>
      </c>
      <c r="K205" s="193">
        <f t="shared" si="52"/>
        <v>48039</v>
      </c>
      <c r="L205" s="143">
        <f>IF(t&lt;Tvie,1-EXP((T0-t)*PertePVj)+'2030'!Pspv,1-EXP((T0-t)*PertePVj)+Pspv)</f>
        <v>4.7004508407221146E-2</v>
      </c>
      <c r="M205" s="836"/>
      <c r="N205" s="836"/>
      <c r="O205" s="48">
        <f>IF(t&lt;Tnet,'2030'!Resal+('2030'!Salim-'2030'!Resal)*(1-EXP(('2030'!Tnet-t)/('2030'!Tau_j))),Resal+(Salim-Resal)*(1-EXP((Tnet-t)/(Tau_j))))*Salcycl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3.8233835197233116E-6</v>
      </c>
      <c r="Q205" s="301">
        <f t="shared" si="53"/>
        <v>0.5</v>
      </c>
      <c r="R205" s="173">
        <f t="shared" si="54"/>
        <v>0.35596050916150546</v>
      </c>
      <c r="S205" s="802">
        <f t="shared" si="55"/>
        <v>1</v>
      </c>
      <c r="T205" s="172">
        <f t="shared" si="56"/>
        <v>7</v>
      </c>
      <c r="U205" s="247">
        <f t="shared" si="57"/>
        <v>1.3559605091615055</v>
      </c>
      <c r="V205" s="378">
        <f t="shared" si="58"/>
        <v>60.303576161214828</v>
      </c>
      <c r="W205" s="397">
        <f t="shared" si="59"/>
        <v>60.719973625365029</v>
      </c>
      <c r="X205" s="153">
        <f t="shared" si="60"/>
        <v>48039</v>
      </c>
      <c r="Y205" s="380">
        <f t="shared" si="61"/>
        <v>58.382802210578397</v>
      </c>
      <c r="Z205" s="380">
        <f t="shared" si="62"/>
        <v>61.262411759158404</v>
      </c>
      <c r="AA205" s="381">
        <f t="shared" si="63"/>
        <v>64.05114145415746</v>
      </c>
      <c r="AB205" s="193">
        <f t="shared" si="64"/>
        <v>48039</v>
      </c>
      <c r="AC205" s="119">
        <f>IF(OR(t&lt;Tnet,NoTnet),'2030'!Resal_s+('2030'!Salim-'2030'!Resal_s)*(1-EXP(('2030'!Tnet_s-t)/'2030'!Tau_j)),Resal_s+(Salim-Resal_s)*(1-EXP((Tnet_s-t)/Tau_j)))*Salcycl</f>
        <v>4.3539110024994714E-2</v>
      </c>
      <c r="AD205" s="227">
        <f>(INDEX(Models!$BJ205:$BT205,,AH205)*(1-AF205)+INDEX(Models!$BJ205:$BT205,,AH205+1)*AF205-ERP_i)*AE205*Ramure*Pc/MaxiM</f>
        <v>2.243908309469476E-5</v>
      </c>
      <c r="AE205" s="301">
        <f t="shared" si="65"/>
        <v>0.5</v>
      </c>
      <c r="AF205" s="173">
        <f t="shared" si="66"/>
        <v>0.88094807553548282</v>
      </c>
      <c r="AG205" s="802">
        <f t="shared" si="74"/>
        <v>4</v>
      </c>
      <c r="AH205" s="172">
        <f t="shared" si="67"/>
        <v>10</v>
      </c>
      <c r="AI205" s="221">
        <f t="shared" si="68"/>
        <v>4.8809480755354828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48040</v>
      </c>
      <c r="B206" s="406">
        <f>'2030'!Wh/'2030'!Env_an*'2031'!Env_an</f>
        <v>59.674900628595964</v>
      </c>
      <c r="C206" s="832"/>
      <c r="D206" s="388">
        <f t="shared" si="50"/>
        <v>62.619097430689116</v>
      </c>
      <c r="E206" s="380">
        <f t="shared" si="75"/>
        <v>62.955353161223321</v>
      </c>
      <c r="F206" s="380">
        <f t="shared" si="51"/>
        <v>62.955609496773747</v>
      </c>
      <c r="G206" s="110">
        <f t="shared" si="76"/>
        <v>0.99162714972377841</v>
      </c>
      <c r="H206" s="409" t="b">
        <f>Wh_hp&gt;='2030'!Maxi_hp</f>
        <v>0</v>
      </c>
      <c r="I206" s="385">
        <f>IF(H206,Wh_hp,'2030'!Maxi_hp)</f>
        <v>62.955611856490201</v>
      </c>
      <c r="J206" s="85">
        <f>IF(H206,An,'2030'!An_max)</f>
        <v>2029</v>
      </c>
      <c r="K206" s="193">
        <f t="shared" si="52"/>
        <v>48040</v>
      </c>
      <c r="L206" s="143">
        <f>IF(t&lt;Tvie,1-EXP((T0-t)*PertePVj)+'2030'!Pspv,1-EXP((T0-t)*PertePVj)+Pspv)</f>
        <v>4.7017554115211913E-2</v>
      </c>
      <c r="M206" s="836"/>
      <c r="N206" s="836"/>
      <c r="O206" s="48">
        <f>IF(t&lt;Tnet,'2030'!Resal+('2030'!Salim-'2030'!Resal)*(1-EXP(('2030'!Tnet-t)/('2030'!Tau_j))),Resal+(Salim-Resal)*(1-EXP((Tnet-t)/(Tau_j))))*Salcycl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4.1209788417527334E-6</v>
      </c>
      <c r="Q206" s="301">
        <f t="shared" si="53"/>
        <v>0.5</v>
      </c>
      <c r="R206" s="173">
        <f t="shared" si="54"/>
        <v>0.35951681021986981</v>
      </c>
      <c r="S206" s="802">
        <f t="shared" si="55"/>
        <v>1</v>
      </c>
      <c r="T206" s="172">
        <f t="shared" si="56"/>
        <v>7</v>
      </c>
      <c r="U206" s="247">
        <f t="shared" si="57"/>
        <v>1.3595168102198698</v>
      </c>
      <c r="V206" s="378">
        <f t="shared" si="58"/>
        <v>60.178765480285456</v>
      </c>
      <c r="W206" s="397">
        <f t="shared" si="59"/>
        <v>59.674900628595964</v>
      </c>
      <c r="X206" s="153">
        <f t="shared" si="60"/>
        <v>48040</v>
      </c>
      <c r="Y206" s="380">
        <f t="shared" si="61"/>
        <v>57.379535924166781</v>
      </c>
      <c r="Z206" s="380">
        <f t="shared" si="62"/>
        <v>60.210485693567271</v>
      </c>
      <c r="AA206" s="381">
        <f t="shared" si="63"/>
        <v>62.954106366112306</v>
      </c>
      <c r="AB206" s="193">
        <f t="shared" si="64"/>
        <v>48040</v>
      </c>
      <c r="AC206" s="119">
        <f>IF(OR(t&lt;Tnet,NoTnet),'2030'!Resal_s+('2030'!Salim-'2030'!Resal_s)*(1-EXP(('2030'!Tnet_s-t)/'2030'!Tau_j)),Resal_s+(Salim-Resal_s)*(1-EXP((Tnet_s-t)/Tau_j)))*Salcycl</f>
        <v>4.3581282157980204E-2</v>
      </c>
      <c r="AD206" s="227">
        <f>(INDEX(Models!$BJ206:$BT206,,AH206)*(1-AF206)+INDEX(Models!$BJ206:$BT206,,AH206+1)*AF206-ERP_i)*AE206*Ramure*Pc/MaxiM</f>
        <v>2.4165082221601065E-5</v>
      </c>
      <c r="AE206" s="301">
        <f t="shared" si="65"/>
        <v>0.5</v>
      </c>
      <c r="AF206" s="173">
        <f t="shared" si="66"/>
        <v>0.88450437659384651</v>
      </c>
      <c r="AG206" s="802">
        <f t="shared" si="74"/>
        <v>4</v>
      </c>
      <c r="AH206" s="172">
        <f t="shared" si="67"/>
        <v>10</v>
      </c>
      <c r="AI206" s="221">
        <f t="shared" si="68"/>
        <v>4.8845043765938465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48041</v>
      </c>
      <c r="B207" s="406">
        <f>'2030'!Wh/'2030'!Env_an*'2031'!Env_an</f>
        <v>58.739030249008088</v>
      </c>
      <c r="C207" s="832"/>
      <c r="D207" s="388">
        <f t="shared" ref="D207:D270" si="77">Wh/(1-Ppv)</f>
        <v>61.637897530710937</v>
      </c>
      <c r="E207" s="380">
        <f t="shared" si="75"/>
        <v>61.973391535231222</v>
      </c>
      <c r="F207" s="380">
        <f t="shared" ref="F207:F270" si="78">Wh_sa/(1-Pvg*MEDIAN((-Sdif+Wh/Env_an)/Csdif,0,1))</f>
        <v>61.97365736473531</v>
      </c>
      <c r="G207" s="110">
        <f t="shared" si="76"/>
        <v>0.97815766481125643</v>
      </c>
      <c r="H207" s="409" t="b">
        <f>Wh_hp&gt;='2030'!Maxi_hp</f>
        <v>0</v>
      </c>
      <c r="I207" s="385">
        <f>IF(H207,Wh_hp,'2030'!Maxi_hp)</f>
        <v>61.973663870347522</v>
      </c>
      <c r="J207" s="85">
        <f>IF(H207,An,'2030'!An_max)</f>
        <v>2029</v>
      </c>
      <c r="K207" s="193">
        <f t="shared" ref="K207:K270" si="79">t</f>
        <v>48041</v>
      </c>
      <c r="L207" s="143">
        <f>IF(t&lt;Tvie,1-EXP((T0-t)*PertePVj)+'2030'!Pspv,1-EXP((T0-t)*PertePVj)+Pspv)</f>
        <v>4.7030599644617865E-2</v>
      </c>
      <c r="M207" s="836"/>
      <c r="N207" s="836"/>
      <c r="O207" s="48">
        <f>IF(t&lt;Tnet,'2030'!Resal+('2030'!Salim-'2030'!Resal)*(1-EXP(('2030'!Tnet-t)/('2030'!Tau_j))),Resal+(Salim-Resal)*(1-EXP((Tnet-t)/(Tau_j))))*Salcycl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4.427548560520663E-6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0.36299180376658802</v>
      </c>
      <c r="S207" s="802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1.362991803766588</v>
      </c>
      <c r="V207" s="378">
        <f t="shared" ref="V207:V270" si="85">MaxiM*(1-Ppv)*(1-Pvg)*(1-Psa)</f>
        <v>60.050668974013433</v>
      </c>
      <c r="W207" s="397">
        <f t="shared" ref="W207:W270" si="86">Wh*(A207&gt;Tmaj)</f>
        <v>58.739030249008088</v>
      </c>
      <c r="X207" s="153">
        <f t="shared" ref="X207:X270" si="87">t</f>
        <v>48041</v>
      </c>
      <c r="Y207" s="380">
        <f t="shared" ref="Y207:Y270" si="88">Wh_pvt_s*(1-Ppv)</f>
        <v>56.481250867851578</v>
      </c>
      <c r="Z207" s="380">
        <f t="shared" ref="Z207:Z270" si="89">Wh_sa_s*(1-Psa_s)</f>
        <v>59.268693041758262</v>
      </c>
      <c r="AA207" s="381">
        <f t="shared" ref="AA207:AA270" si="90">Wh_hp*(1-Pvg_s*MEDIAN((-Sdif+Wh/Env_an)/Csdif,0,1))</f>
        <v>61.972099297459287</v>
      </c>
      <c r="AB207" s="193">
        <f t="shared" ref="AB207:AB270" si="91">t</f>
        <v>48041</v>
      </c>
      <c r="AC207" s="119">
        <f>IF(OR(t&lt;Tnet,NoTnet),'2030'!Resal_s+('2030'!Salim-'2030'!Resal_s)*(1-EXP(('2030'!Tnet_s-t)/'2030'!Tau_j)),Resal_s+(Salim-Resal_s)*(1-EXP((Tnet_s-t)/Tau_j)))*Salcycl</f>
        <v>4.3622957530048606E-2</v>
      </c>
      <c r="AD207" s="227">
        <f>(INDEX(Models!$BJ207:$BT207,,AH207)*(1-AF207)+INDEX(Models!$BJ207:$BT207,,AH207+1)*AF207-ERP_i)*AE207*Ramure*Pc/MaxiM</f>
        <v>2.5950537540472614E-5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0.88797937014056494</v>
      </c>
      <c r="AG207" s="802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4.8879793701405649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48042</v>
      </c>
      <c r="B208" s="406">
        <f>'2030'!Wh/'2030'!Env_an*'2031'!Env_an</f>
        <v>57.574155096707656</v>
      </c>
      <c r="C208" s="832"/>
      <c r="D208" s="388">
        <f t="shared" si="77"/>
        <v>60.41636093232438</v>
      </c>
      <c r="E208" s="380">
        <f t="shared" si="75"/>
        <v>60.749618151211003</v>
      </c>
      <c r="F208" s="380">
        <f t="shared" si="78"/>
        <v>60.749890191003011</v>
      </c>
      <c r="G208" s="110">
        <f t="shared" si="76"/>
        <v>0.96086487709324053</v>
      </c>
      <c r="H208" s="409" t="b">
        <f>Wh_hp&gt;='2030'!Maxi_hp</f>
        <v>0</v>
      </c>
      <c r="I208" s="385">
        <f>IF(H208,Wh_hp,'2030'!Maxi_hp)</f>
        <v>60.74990242341601</v>
      </c>
      <c r="J208" s="85">
        <f>IF(H208,An,'2030'!An_max)</f>
        <v>2029</v>
      </c>
      <c r="K208" s="193">
        <f t="shared" si="79"/>
        <v>48042</v>
      </c>
      <c r="L208" s="143">
        <f>IF(t&lt;Tvie,1-EXP((T0-t)*PertePVj)+'2030'!Pspv,1-EXP((T0-t)*PertePVj)+Pspv)</f>
        <v>4.7043644995441447E-2</v>
      </c>
      <c r="M208" s="836"/>
      <c r="N208" s="836"/>
      <c r="O208" s="48">
        <f>IF(t&lt;Tnet,'2030'!Resal+('2030'!Salim-'2030'!Resal)*(1-EXP(('2030'!Tnet-t)/('2030'!Tau_j))),Resal+(Salim-Resal)*(1-EXP((Tnet-t)/(Tau_j))))*Salcycl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4.7432076561450828E-6</v>
      </c>
      <c r="Q208" s="301">
        <f t="shared" si="80"/>
        <v>0.5</v>
      </c>
      <c r="R208" s="173">
        <f t="shared" si="81"/>
        <v>0.36638541298393346</v>
      </c>
      <c r="S208" s="802">
        <f t="shared" si="82"/>
        <v>1</v>
      </c>
      <c r="T208" s="172">
        <f t="shared" si="83"/>
        <v>7</v>
      </c>
      <c r="U208" s="247">
        <f t="shared" si="84"/>
        <v>1.3663854129839335</v>
      </c>
      <c r="V208" s="378">
        <f t="shared" si="85"/>
        <v>59.919080405346264</v>
      </c>
      <c r="W208" s="397">
        <f t="shared" si="86"/>
        <v>57.574155096707656</v>
      </c>
      <c r="X208" s="153">
        <f t="shared" si="87"/>
        <v>48042</v>
      </c>
      <c r="Y208" s="380">
        <f t="shared" si="88"/>
        <v>55.362735923998734</v>
      </c>
      <c r="Z208" s="380">
        <f t="shared" si="89"/>
        <v>58.095772837082244</v>
      </c>
      <c r="AA208" s="381">
        <f t="shared" si="90"/>
        <v>60.748295991680536</v>
      </c>
      <c r="AB208" s="193">
        <f t="shared" si="91"/>
        <v>48042</v>
      </c>
      <c r="AC208" s="119">
        <f>IF(OR(t&lt;Tnet,NoTnet),'2030'!Resal_s+('2030'!Salim-'2030'!Resal_s)*(1-EXP(('2030'!Tnet_s-t)/'2030'!Tau_j)),Resal_s+(Salim-Resal_s)*(1-EXP((Tnet_s-t)/Tau_j)))*Salcycl</f>
        <v>4.3664157344620085E-2</v>
      </c>
      <c r="AD208" s="227">
        <f>(INDEX(Models!$BJ208:$BT208,,AH208)*(1-AF208)+INDEX(Models!$BJ208:$BT208,,AH208+1)*AF208-ERP_i)*AE208*Ramure*Pc/MaxiM</f>
        <v>2.7796001372098218E-5</v>
      </c>
      <c r="AE208" s="301">
        <f t="shared" si="92"/>
        <v>0.5</v>
      </c>
      <c r="AF208" s="173">
        <f t="shared" si="93"/>
        <v>0.89137297935791082</v>
      </c>
      <c r="AG208" s="802">
        <f t="shared" ref="AG208:AG271" si="99">INDEX(Echel_vg,AH208)</f>
        <v>4</v>
      </c>
      <c r="AH208" s="172">
        <f t="shared" si="94"/>
        <v>10</v>
      </c>
      <c r="AI208" s="221">
        <f t="shared" si="95"/>
        <v>4.8913729793579108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48043</v>
      </c>
      <c r="B209" s="406">
        <f>'2030'!Wh/'2030'!Env_an*'2031'!Env_an</f>
        <v>57.419069297833097</v>
      </c>
      <c r="C209" s="832"/>
      <c r="D209" s="388">
        <f t="shared" si="77"/>
        <v>60.254444000385369</v>
      </c>
      <c r="E209" s="380">
        <f t="shared" si="75"/>
        <v>60.591202491163806</v>
      </c>
      <c r="F209" s="380">
        <f t="shared" si="78"/>
        <v>60.591492221382147</v>
      </c>
      <c r="G209" s="110">
        <f t="shared" si="76"/>
        <v>0.96044512056627807</v>
      </c>
      <c r="H209" s="409" t="b">
        <f>Wh_hp&gt;='2030'!Maxi_hp</f>
        <v>0</v>
      </c>
      <c r="I209" s="385">
        <f>IF(H209,Wh_hp,'2030'!Maxi_hp)</f>
        <v>60.591505389714662</v>
      </c>
      <c r="J209" s="85">
        <f>IF(H209,An,'2030'!An_max)</f>
        <v>2029</v>
      </c>
      <c r="K209" s="193">
        <f t="shared" si="79"/>
        <v>48043</v>
      </c>
      <c r="L209" s="143">
        <f>IF(t&lt;Tvie,1-EXP((T0-t)*PertePVj)+'2030'!Pspv,1-EXP((T0-t)*PertePVj)+Pspv)</f>
        <v>4.7056690167685211E-2</v>
      </c>
      <c r="M209" s="836"/>
      <c r="N209" s="836"/>
      <c r="O209" s="48">
        <f>IF(t&lt;Tnet,'2030'!Resal+('2030'!Salim-'2030'!Resal)*(1-EXP(('2030'!Tnet-t)/('2030'!Tau_j))),Resal+(Salim-Resal)*(1-EXP((Tnet-t)/(Tau_j))))*Salcycl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5.0680777482933512E-6</v>
      </c>
      <c r="Q209" s="301">
        <f t="shared" si="80"/>
        <v>0.5</v>
      </c>
      <c r="R209" s="173">
        <f t="shared" si="81"/>
        <v>0.36969769878206638</v>
      </c>
      <c r="S209" s="802">
        <f t="shared" si="82"/>
        <v>1</v>
      </c>
      <c r="T209" s="172">
        <f t="shared" si="83"/>
        <v>7</v>
      </c>
      <c r="U209" s="247">
        <f t="shared" si="84"/>
        <v>1.3696976987820664</v>
      </c>
      <c r="V209" s="378">
        <f t="shared" si="85"/>
        <v>59.783793602119303</v>
      </c>
      <c r="W209" s="397">
        <f t="shared" si="86"/>
        <v>57.419069297833097</v>
      </c>
      <c r="X209" s="153">
        <f t="shared" si="87"/>
        <v>48043</v>
      </c>
      <c r="Y209" s="380">
        <f t="shared" si="88"/>
        <v>55.215177435206996</v>
      </c>
      <c r="Z209" s="380">
        <f t="shared" si="89"/>
        <v>57.941723149221716</v>
      </c>
      <c r="AA209" s="381">
        <f t="shared" si="90"/>
        <v>60.589794222361732</v>
      </c>
      <c r="AB209" s="193">
        <f t="shared" si="91"/>
        <v>48043</v>
      </c>
      <c r="AC209" s="119">
        <f>IF(OR(t&lt;Tnet,NoTnet),'2030'!Resal_s+('2030'!Salim-'2030'!Resal_s)*(1-EXP(('2030'!Tnet_s-t)/'2030'!Tau_j)),Resal_s+(Salim-Resal_s)*(1-EXP((Tnet_s-t)/Tau_j)))*Salcycl</f>
        <v>4.3704902898691396E-2</v>
      </c>
      <c r="AD209" s="227">
        <f>(INDEX(Models!$BJ209:$BT209,,AH209)*(1-AF209)+INDEX(Models!$BJ209:$BT209,,AH209+1)*AF209-ERP_i)*AE209*Ramure*Pc/MaxiM</f>
        <v>2.9702083204363424E-5</v>
      </c>
      <c r="AE209" s="301">
        <f t="shared" si="92"/>
        <v>0.5</v>
      </c>
      <c r="AF209" s="173">
        <f t="shared" si="93"/>
        <v>0.89468526515604374</v>
      </c>
      <c r="AG209" s="802">
        <f t="shared" si="99"/>
        <v>4</v>
      </c>
      <c r="AH209" s="172">
        <f t="shared" si="94"/>
        <v>10</v>
      </c>
      <c r="AI209" s="221">
        <f t="shared" si="95"/>
        <v>4.8946852651560437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48044</v>
      </c>
      <c r="B210" s="406">
        <f>'2030'!Wh/'2030'!Env_an*'2031'!Env_an</f>
        <v>54.88498662325091</v>
      </c>
      <c r="C210" s="832"/>
      <c r="D210" s="388">
        <f t="shared" si="77"/>
        <v>57.596015834951061</v>
      </c>
      <c r="E210" s="380">
        <f t="shared" si="75"/>
        <v>57.922111569817439</v>
      </c>
      <c r="F210" s="380">
        <f t="shared" si="78"/>
        <v>57.922388811286098</v>
      </c>
      <c r="G210" s="110">
        <f t="shared" si="76"/>
        <v>0.9201998264326775</v>
      </c>
      <c r="H210" s="409" t="b">
        <f>Wh_hp&gt;='2030'!Maxi_hp</f>
        <v>0</v>
      </c>
      <c r="I210" s="385">
        <f>IF(H210,Wh_hp,'2030'!Maxi_hp)</f>
        <v>57.922415868802247</v>
      </c>
      <c r="J210" s="85">
        <f>IF(H210,An,'2030'!An_max)</f>
        <v>2029</v>
      </c>
      <c r="K210" s="193">
        <f t="shared" si="79"/>
        <v>48044</v>
      </c>
      <c r="L210" s="143">
        <f>IF(t&lt;Tvie,1-EXP((T0-t)*PertePVj)+'2030'!Pspv,1-EXP((T0-t)*PertePVj)+Pspv)</f>
        <v>4.7069735161351489E-2</v>
      </c>
      <c r="M210" s="836"/>
      <c r="N210" s="836"/>
      <c r="O210" s="48">
        <f>IF(t&lt;Tnet,'2030'!Resal+('2030'!Salim-'2030'!Resal)*(1-EXP(('2030'!Tnet-t)/('2030'!Tau_j))),Resal+(Salim-Resal)*(1-EXP((Tnet-t)/(Tau_j))))*Salcycl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5.402287950636317E-6</v>
      </c>
      <c r="Q210" s="301">
        <f t="shared" si="80"/>
        <v>0.5</v>
      </c>
      <c r="R210" s="173">
        <f t="shared" si="81"/>
        <v>0.3729288531872188</v>
      </c>
      <c r="S210" s="802">
        <f t="shared" si="82"/>
        <v>1</v>
      </c>
      <c r="T210" s="172">
        <f t="shared" si="83"/>
        <v>7</v>
      </c>
      <c r="U210" s="247">
        <f t="shared" si="84"/>
        <v>1.3729288531872188</v>
      </c>
      <c r="V210" s="378">
        <f t="shared" si="85"/>
        <v>59.644602449572247</v>
      </c>
      <c r="W210" s="397">
        <f t="shared" si="86"/>
        <v>54.88498662325091</v>
      </c>
      <c r="X210" s="153">
        <f t="shared" si="87"/>
        <v>48044</v>
      </c>
      <c r="Y210" s="380">
        <f t="shared" si="88"/>
        <v>52.779955512707161</v>
      </c>
      <c r="Z210" s="380">
        <f t="shared" si="89"/>
        <v>55.3870072765964</v>
      </c>
      <c r="AA210" s="381">
        <f t="shared" si="90"/>
        <v>57.920763558017605</v>
      </c>
      <c r="AB210" s="193">
        <f t="shared" si="91"/>
        <v>48044</v>
      </c>
      <c r="AC210" s="119">
        <f>IF(OR(t&lt;Tnet,NoTnet),'2030'!Resal_s+('2030'!Salim-'2030'!Resal_s)*(1-EXP(('2030'!Tnet_s-t)/'2030'!Tau_j)),Resal_s+(Salim-Resal_s)*(1-EXP((Tnet_s-t)/Tau_j)))*Salcycl</f>
        <v>4.3745215459447678E-2</v>
      </c>
      <c r="AD210" s="227">
        <f>(INDEX(Models!$BJ210:$BT210,,AH210)*(1-AF210)+INDEX(Models!$BJ210:$BT210,,AH210+1)*AF210-ERP_i)*AE210*Ramure*Pc/MaxiM</f>
        <v>3.1669454759988507E-5</v>
      </c>
      <c r="AE210" s="301">
        <f t="shared" si="92"/>
        <v>0.5</v>
      </c>
      <c r="AF210" s="173">
        <f t="shared" si="93"/>
        <v>0.89791641956119594</v>
      </c>
      <c r="AG210" s="802">
        <f t="shared" si="99"/>
        <v>4</v>
      </c>
      <c r="AH210" s="172">
        <f t="shared" si="94"/>
        <v>10</v>
      </c>
      <c r="AI210" s="221">
        <f t="shared" si="95"/>
        <v>4.8979164195611959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48045</v>
      </c>
      <c r="B211" s="406">
        <f>'2030'!Wh/'2030'!Env_an*'2031'!Env_an</f>
        <v>56.013130438711514</v>
      </c>
      <c r="C211" s="832"/>
      <c r="D211" s="388">
        <f t="shared" si="77"/>
        <v>58.780688670236017</v>
      </c>
      <c r="E211" s="380">
        <f t="shared" si="75"/>
        <v>59.117767538538963</v>
      </c>
      <c r="F211" s="380">
        <f t="shared" si="78"/>
        <v>59.118078781220305</v>
      </c>
      <c r="G211" s="110">
        <f t="shared" si="76"/>
        <v>0.94137611511425934</v>
      </c>
      <c r="H211" s="409" t="b">
        <f>Wh_hp&gt;='2030'!Maxi_hp</f>
        <v>0</v>
      </c>
      <c r="I211" s="385">
        <f>IF(H211,Wh_hp,'2030'!Maxi_hp)</f>
        <v>59.118100350514474</v>
      </c>
      <c r="J211" s="85">
        <f>IF(H211,An,'2030'!An_max)</f>
        <v>2029</v>
      </c>
      <c r="K211" s="193">
        <f t="shared" si="79"/>
        <v>48045</v>
      </c>
      <c r="L211" s="143">
        <f>IF(t&lt;Tvie,1-EXP((T0-t)*PertePVj)+'2030'!Pspv,1-EXP((T0-t)*PertePVj)+Pspv)</f>
        <v>4.7082779976442724E-2</v>
      </c>
      <c r="M211" s="836"/>
      <c r="N211" s="836"/>
      <c r="O211" s="48">
        <f>IF(t&lt;Tnet,'2030'!Resal+('2030'!Salim-'2030'!Resal)*(1-EXP(('2030'!Tnet-t)/('2030'!Tau_j))),Resal+(Salim-Resal)*(1-EXP((Tnet-t)/(Tau_j))))*Salcycl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5.745975722327692E-6</v>
      </c>
      <c r="Q211" s="301">
        <f t="shared" si="80"/>
        <v>0.5</v>
      </c>
      <c r="R211" s="173">
        <f t="shared" si="81"/>
        <v>0.37607919254856026</v>
      </c>
      <c r="S211" s="802">
        <f t="shared" si="82"/>
        <v>1</v>
      </c>
      <c r="T211" s="172">
        <f t="shared" si="83"/>
        <v>7</v>
      </c>
      <c r="U211" s="247">
        <f t="shared" si="84"/>
        <v>1.3760791925485603</v>
      </c>
      <c r="V211" s="378">
        <f t="shared" si="85"/>
        <v>59.501300898788145</v>
      </c>
      <c r="W211" s="397">
        <f t="shared" si="86"/>
        <v>56.013130438711514</v>
      </c>
      <c r="X211" s="153">
        <f t="shared" si="87"/>
        <v>48045</v>
      </c>
      <c r="Y211" s="380">
        <f t="shared" si="88"/>
        <v>53.866353472403993</v>
      </c>
      <c r="Z211" s="380">
        <f t="shared" si="89"/>
        <v>56.527841391167591</v>
      </c>
      <c r="AA211" s="381">
        <f t="shared" si="90"/>
        <v>59.116253412912243</v>
      </c>
      <c r="AB211" s="193">
        <f t="shared" si="91"/>
        <v>48045</v>
      </c>
      <c r="AC211" s="119">
        <f>IF(OR(t&lt;Tnet,NoTnet),'2030'!Resal_s+('2030'!Salim-'2030'!Resal_s)*(1-EXP(('2030'!Tnet_s-t)/'2030'!Tau_j)),Resal_s+(Salim-Resal_s)*(1-EXP((Tnet_s-t)/Tau_j)))*Salcycl</f>
        <v>4.3785116145051366E-2</v>
      </c>
      <c r="AD211" s="227">
        <f>(INDEX(Models!$BJ211:$BT211,,AH211)*(1-AF211)+INDEX(Models!$BJ211:$BT211,,AH211+1)*AF211-ERP_i)*AE211*Ramure*Pc/MaxiM</f>
        <v>3.3698854981380529E-5</v>
      </c>
      <c r="AE211" s="301">
        <f t="shared" si="92"/>
        <v>0.5</v>
      </c>
      <c r="AF211" s="173">
        <f t="shared" si="93"/>
        <v>0.9010667589225374</v>
      </c>
      <c r="AG211" s="802">
        <f t="shared" si="99"/>
        <v>4</v>
      </c>
      <c r="AH211" s="172">
        <f t="shared" si="94"/>
        <v>10</v>
      </c>
      <c r="AI211" s="221">
        <f t="shared" si="95"/>
        <v>4.9010667589225374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48046</v>
      </c>
      <c r="B212" s="406">
        <f>'2030'!Wh/'2030'!Env_an*'2031'!Env_an</f>
        <v>56.416548947842323</v>
      </c>
      <c r="C212" s="832"/>
      <c r="D212" s="388">
        <f t="shared" si="77"/>
        <v>59.204850188559369</v>
      </c>
      <c r="E212" s="380">
        <f t="shared" si="75"/>
        <v>59.548662527640332</v>
      </c>
      <c r="F212" s="380">
        <f t="shared" si="78"/>
        <v>59.548999580862514</v>
      </c>
      <c r="G212" s="110">
        <f t="shared" si="76"/>
        <v>0.95051429595102876</v>
      </c>
      <c r="H212" s="409" t="b">
        <f>Wh_hp&gt;='2030'!Maxi_hp</f>
        <v>0</v>
      </c>
      <c r="I212" s="385">
        <f>IF(H212,Wh_hp,'2030'!Maxi_hp)</f>
        <v>59.549019008951987</v>
      </c>
      <c r="J212" s="85">
        <f>IF(H212,An,'2030'!An_max)</f>
        <v>2029</v>
      </c>
      <c r="K212" s="193">
        <f t="shared" si="79"/>
        <v>48046</v>
      </c>
      <c r="L212" s="143">
        <f>IF(t&lt;Tvie,1-EXP((T0-t)*PertePVj)+'2030'!Pspv,1-EXP((T0-t)*PertePVj)+Pspv)</f>
        <v>4.7095824612961357E-2</v>
      </c>
      <c r="M212" s="836"/>
      <c r="N212" s="836"/>
      <c r="O212" s="48">
        <f>IF(t&lt;Tnet,'2030'!Resal+('2030'!Salim-'2030'!Resal)*(1-EXP(('2030'!Tnet-t)/('2030'!Tau_j))),Resal+(Salim-Resal)*(1-EXP((Tnet-t)/(Tau_j))))*Salcycl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6.0906681145561781E-6</v>
      </c>
      <c r="Q212" s="301">
        <f t="shared" si="80"/>
        <v>0.5</v>
      </c>
      <c r="R212" s="173">
        <f t="shared" si="81"/>
        <v>0.37914915061513654</v>
      </c>
      <c r="S212" s="802">
        <f t="shared" si="82"/>
        <v>1</v>
      </c>
      <c r="T212" s="172">
        <f t="shared" si="83"/>
        <v>7</v>
      </c>
      <c r="U212" s="247">
        <f t="shared" si="84"/>
        <v>1.3791491506151365</v>
      </c>
      <c r="V212" s="378">
        <f t="shared" si="85"/>
        <v>59.353683470929838</v>
      </c>
      <c r="W212" s="397">
        <f t="shared" si="86"/>
        <v>56.416548947842323</v>
      </c>
      <c r="X212" s="153">
        <f t="shared" si="87"/>
        <v>48046</v>
      </c>
      <c r="Y212" s="380">
        <f t="shared" si="88"/>
        <v>54.25588268295504</v>
      </c>
      <c r="Z212" s="380">
        <f t="shared" si="89"/>
        <v>56.937396313661935</v>
      </c>
      <c r="AA212" s="381">
        <f t="shared" si="90"/>
        <v>59.54702228335325</v>
      </c>
      <c r="AB212" s="193">
        <f t="shared" si="91"/>
        <v>48046</v>
      </c>
      <c r="AC212" s="119">
        <f>IF(OR(t&lt;Tnet,NoTnet),'2030'!Resal_s+('2030'!Salim-'2030'!Resal_s)*(1-EXP(('2030'!Tnet_s-t)/'2030'!Tau_j)),Resal_s+(Salim-Resal_s)*(1-EXP((Tnet_s-t)/Tau_j)))*Salcycl</f>
        <v>4.3824625810396763E-2</v>
      </c>
      <c r="AD212" s="227">
        <f>(INDEX(Models!$BJ212:$BT212,,AH212)*(1-AF212)+INDEX(Models!$BJ212:$BT212,,AH212+1)*AF212-ERP_i)*AE212*Ramure*Pc/MaxiM</f>
        <v>3.5730448783811557E-5</v>
      </c>
      <c r="AE212" s="301">
        <f t="shared" si="92"/>
        <v>0.5</v>
      </c>
      <c r="AF212" s="173">
        <f t="shared" si="93"/>
        <v>0.90413671698911369</v>
      </c>
      <c r="AG212" s="802">
        <f t="shared" si="99"/>
        <v>4</v>
      </c>
      <c r="AH212" s="172">
        <f t="shared" si="94"/>
        <v>10</v>
      </c>
      <c r="AI212" s="221">
        <f t="shared" si="95"/>
        <v>4.9041367169891137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48047</v>
      </c>
      <c r="B213" s="406">
        <f>'2030'!Wh/'2030'!Env_an*'2031'!Env_an</f>
        <v>58.137935430120805</v>
      </c>
      <c r="C213" s="832"/>
      <c r="D213" s="388">
        <f t="shared" si="77"/>
        <v>61.012148757681295</v>
      </c>
      <c r="E213" s="380">
        <f t="shared" si="75"/>
        <v>61.370883155422995</v>
      </c>
      <c r="F213" s="380">
        <f t="shared" si="78"/>
        <v>61.371267198121799</v>
      </c>
      <c r="G213" s="110">
        <f t="shared" si="76"/>
        <v>0.98203392799172717</v>
      </c>
      <c r="H213" s="409" t="b">
        <f>Wh_hp&gt;='2030'!Maxi_hp</f>
        <v>0</v>
      </c>
      <c r="I213" s="385">
        <f>IF(H213,Wh_hp,'2030'!Maxi_hp)</f>
        <v>61.371274856817003</v>
      </c>
      <c r="J213" s="85">
        <f>IF(H213,An,'2030'!An_max)</f>
        <v>2029</v>
      </c>
      <c r="K213" s="193">
        <f t="shared" si="79"/>
        <v>48047</v>
      </c>
      <c r="L213" s="143">
        <f>IF(t&lt;Tvie,1-EXP((T0-t)*PertePVj)+'2030'!Pspv,1-EXP((T0-t)*PertePVj)+Pspv)</f>
        <v>4.7108869070909942E-2</v>
      </c>
      <c r="M213" s="836"/>
      <c r="N213" s="836"/>
      <c r="O213" s="48">
        <f>IF(t&lt;Tnet,'2030'!Resal+('2030'!Salim-'2030'!Resal)*(1-EXP(('2030'!Tnet-t)/('2030'!Tau_j))),Resal+(Salim-Resal)*(1-EXP((Tnet-t)/(Tau_j))))*Salcycl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6.4225335245219705E-6</v>
      </c>
      <c r="Q213" s="301">
        <f t="shared" si="80"/>
        <v>0.5</v>
      </c>
      <c r="R213" s="173">
        <f t="shared" si="81"/>
        <v>0.38213927153142691</v>
      </c>
      <c r="S213" s="802">
        <f t="shared" si="82"/>
        <v>1</v>
      </c>
      <c r="T213" s="172">
        <f t="shared" si="83"/>
        <v>7</v>
      </c>
      <c r="U213" s="247">
        <f t="shared" si="84"/>
        <v>1.3821392715314269</v>
      </c>
      <c r="V213" s="378">
        <f t="shared" si="85"/>
        <v>59.201545068414987</v>
      </c>
      <c r="W213" s="397">
        <f t="shared" si="86"/>
        <v>58.137935430120805</v>
      </c>
      <c r="X213" s="153">
        <f t="shared" si="87"/>
        <v>48047</v>
      </c>
      <c r="Y213" s="380">
        <f t="shared" si="88"/>
        <v>55.912924537842535</v>
      </c>
      <c r="Z213" s="380">
        <f t="shared" si="89"/>
        <v>58.677138156723309</v>
      </c>
      <c r="AA213" s="381">
        <f t="shared" si="90"/>
        <v>61.369014168731823</v>
      </c>
      <c r="AB213" s="193">
        <f t="shared" si="91"/>
        <v>48047</v>
      </c>
      <c r="AC213" s="119">
        <f>IF(OR(t&lt;Tnet,NoTnet),'2030'!Resal_s+('2030'!Salim-'2030'!Resal_s)*(1-EXP(('2030'!Tnet_s-t)/'2030'!Tau_j)),Resal_s+(Salim-Resal_s)*(1-EXP((Tnet_s-t)/Tau_j)))*Salcycl</f>
        <v>4.3863764938561652E-2</v>
      </c>
      <c r="AD213" s="227">
        <f>(INDEX(Models!$BJ213:$BT213,,AH213)*(1-AF213)+INDEX(Models!$BJ213:$BT213,,AH213+1)*AF213-ERP_i)*AE213*Ramure*Pc/MaxiM</f>
        <v>3.7678510315832717E-5</v>
      </c>
      <c r="AE213" s="301">
        <f t="shared" si="92"/>
        <v>0.5</v>
      </c>
      <c r="AF213" s="173">
        <f t="shared" si="93"/>
        <v>0.9071268379054036</v>
      </c>
      <c r="AG213" s="802">
        <f t="shared" si="99"/>
        <v>4</v>
      </c>
      <c r="AH213" s="172">
        <f t="shared" si="94"/>
        <v>10</v>
      </c>
      <c r="AI213" s="221">
        <f t="shared" si="95"/>
        <v>4.9071268379054036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48048</v>
      </c>
      <c r="B214" s="406">
        <f>'2030'!Wh/'2030'!Env_an*'2031'!Env_an</f>
        <v>42.703490723381229</v>
      </c>
      <c r="C214" s="832"/>
      <c r="D214" s="388">
        <f t="shared" si="77"/>
        <v>44.815272091653846</v>
      </c>
      <c r="E214" s="380">
        <f t="shared" si="75"/>
        <v>45.082020897506197</v>
      </c>
      <c r="F214" s="380">
        <f t="shared" si="78"/>
        <v>45.082204650978063</v>
      </c>
      <c r="G214" s="110">
        <f t="shared" si="76"/>
        <v>0.72323835125897384</v>
      </c>
      <c r="H214" s="409" t="b">
        <f>Wh_hp&gt;='2030'!Maxi_hp</f>
        <v>0</v>
      </c>
      <c r="I214" s="385">
        <f>IF(H214,Wh_hp,'2030'!Maxi_hp)</f>
        <v>45.082295517723566</v>
      </c>
      <c r="J214" s="85">
        <f>IF(H214,An,'2030'!An_max)</f>
        <v>2029</v>
      </c>
      <c r="K214" s="193">
        <f t="shared" si="79"/>
        <v>48048</v>
      </c>
      <c r="L214" s="143">
        <f>IF(t&lt;Tvie,1-EXP((T0-t)*PertePVj)+'2030'!Pspv,1-EXP((T0-t)*PertePVj)+Pspv)</f>
        <v>4.7121913350290812E-2</v>
      </c>
      <c r="M214" s="836"/>
      <c r="N214" s="836"/>
      <c r="O214" s="48">
        <f>IF(t&lt;Tnet,'2030'!Resal+('2030'!Salim-'2030'!Resal)*(1-EXP(('2030'!Tnet-t)/('2030'!Tau_j))),Resal+(Salim-Resal)*(1-EXP((Tnet-t)/(Tau_j))))*Salcycl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6.7412658654673778E-6</v>
      </c>
      <c r="Q214" s="301">
        <f t="shared" si="80"/>
        <v>0.5</v>
      </c>
      <c r="R214" s="173">
        <f t="shared" si="81"/>
        <v>0.38505020279699065</v>
      </c>
      <c r="S214" s="802">
        <f t="shared" si="82"/>
        <v>1</v>
      </c>
      <c r="T214" s="172">
        <f t="shared" si="83"/>
        <v>7</v>
      </c>
      <c r="U214" s="247">
        <f t="shared" si="84"/>
        <v>1.3850502027969906</v>
      </c>
      <c r="V214" s="378">
        <f t="shared" si="85"/>
        <v>59.044679849893562</v>
      </c>
      <c r="W214" s="397">
        <f t="shared" si="86"/>
        <v>42.703490723381229</v>
      </c>
      <c r="X214" s="153">
        <f t="shared" si="87"/>
        <v>48048</v>
      </c>
      <c r="Y214" s="380">
        <f t="shared" si="88"/>
        <v>41.070903852820862</v>
      </c>
      <c r="Z214" s="380">
        <f t="shared" si="89"/>
        <v>43.101950216134078</v>
      </c>
      <c r="AA214" s="381">
        <f t="shared" si="90"/>
        <v>45.081126799009049</v>
      </c>
      <c r="AB214" s="193">
        <f t="shared" si="91"/>
        <v>48048</v>
      </c>
      <c r="AC214" s="119">
        <f>IF(OR(t&lt;Tnet,NoTnet),'2030'!Resal_s+('2030'!Salim-'2030'!Resal_s)*(1-EXP(('2030'!Tnet_s-t)/'2030'!Tau_j)),Resal_s+(Salim-Resal_s)*(1-EXP((Tnet_s-t)/Tau_j)))*Salcycl</f>
        <v>4.3902553538623469E-2</v>
      </c>
      <c r="AD214" s="227">
        <f>(INDEX(Models!$BJ214:$BT214,,AH214)*(1-AF214)+INDEX(Models!$BJ214:$BT214,,AH214+1)*AF214-ERP_i)*AE214*Ramure*Pc/MaxiM</f>
        <v>3.9542581769264262E-5</v>
      </c>
      <c r="AE214" s="301">
        <f t="shared" si="92"/>
        <v>0.5</v>
      </c>
      <c r="AF214" s="173">
        <f t="shared" si="93"/>
        <v>0.91003776917096779</v>
      </c>
      <c r="AG214" s="802">
        <f t="shared" si="99"/>
        <v>4</v>
      </c>
      <c r="AH214" s="172">
        <f t="shared" si="94"/>
        <v>10</v>
      </c>
      <c r="AI214" s="221">
        <f t="shared" si="95"/>
        <v>4.9100377691709678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48049</v>
      </c>
      <c r="B215" s="406">
        <f>'2030'!Wh/'2030'!Env_an*'2031'!Env_an</f>
        <v>40.100056575821334</v>
      </c>
      <c r="C215" s="832"/>
      <c r="D215" s="388">
        <f t="shared" si="77"/>
        <v>42.083668499953092</v>
      </c>
      <c r="E215" s="380">
        <f t="shared" si="75"/>
        <v>42.337204088274738</v>
      </c>
      <c r="F215" s="380">
        <f t="shared" si="78"/>
        <v>42.337366472808114</v>
      </c>
      <c r="G215" s="110">
        <f t="shared" si="76"/>
        <v>0.68101163571750933</v>
      </c>
      <c r="H215" s="409" t="b">
        <f>Wh_hp&gt;='2030'!Maxi_hp</f>
        <v>0</v>
      </c>
      <c r="I215" s="385">
        <f>IF(H215,Wh_hp,'2030'!Maxi_hp)</f>
        <v>42.337469147916153</v>
      </c>
      <c r="J215" s="85">
        <f>IF(H215,An,'2030'!An_max)</f>
        <v>2029</v>
      </c>
      <c r="K215" s="193">
        <f t="shared" si="79"/>
        <v>48049</v>
      </c>
      <c r="L215" s="143">
        <f>IF(t&lt;Tvie,1-EXP((T0-t)*PertePVj)+'2030'!Pspv,1-EXP((T0-t)*PertePVj)+Pspv)</f>
        <v>4.7134957451106518E-2</v>
      </c>
      <c r="M215" s="836"/>
      <c r="N215" s="836"/>
      <c r="O215" s="48">
        <f>IF(t&lt;Tnet,'2030'!Resal+('2030'!Salim-'2030'!Resal)*(1-EXP(('2030'!Tnet-t)/('2030'!Tau_j))),Resal+(Salim-Resal)*(1-EXP((Tnet-t)/(Tau_j))))*Salcycl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7.0465758378049946E-6</v>
      </c>
      <c r="Q215" s="301">
        <f t="shared" si="80"/>
        <v>0.5</v>
      </c>
      <c r="R215" s="173">
        <f t="shared" si="81"/>
        <v>0.38788268823242578</v>
      </c>
      <c r="S215" s="802">
        <f t="shared" si="82"/>
        <v>1</v>
      </c>
      <c r="T215" s="172">
        <f t="shared" si="83"/>
        <v>7</v>
      </c>
      <c r="U215" s="247">
        <f t="shared" si="84"/>
        <v>1.3878826882324258</v>
      </c>
      <c r="V215" s="378">
        <f t="shared" si="85"/>
        <v>58.882882035257687</v>
      </c>
      <c r="W215" s="397">
        <f t="shared" si="86"/>
        <v>40.100056575821334</v>
      </c>
      <c r="X215" s="153">
        <f t="shared" si="87"/>
        <v>48049</v>
      </c>
      <c r="Y215" s="380">
        <f t="shared" si="88"/>
        <v>38.568269685234981</v>
      </c>
      <c r="Z215" s="380">
        <f t="shared" si="89"/>
        <v>40.476109378580716</v>
      </c>
      <c r="AA215" s="381">
        <f t="shared" si="90"/>
        <v>42.336414223825749</v>
      </c>
      <c r="AB215" s="193">
        <f t="shared" si="91"/>
        <v>48049</v>
      </c>
      <c r="AC215" s="119">
        <f>IF(OR(t&lt;Tnet,NoTnet),'2030'!Resal_s+('2030'!Salim-'2030'!Resal_s)*(1-EXP(('2030'!Tnet_s-t)/'2030'!Tau_j)),Resal_s+(Salim-Resal_s)*(1-EXP((Tnet_s-t)/Tau_j)))*Salcycl</f>
        <v>4.394101105043758E-2</v>
      </c>
      <c r="AD215" s="227">
        <f>(INDEX(Models!$BJ215:$BT215,,AH215)*(1-AF215)+INDEX(Models!$BJ215:$BT215,,AH215+1)*AF215-ERP_i)*AE215*Ramure*Pc/MaxiM</f>
        <v>4.1322252380298587E-5</v>
      </c>
      <c r="AE215" s="301">
        <f t="shared" si="92"/>
        <v>0.5</v>
      </c>
      <c r="AF215" s="173">
        <f t="shared" si="93"/>
        <v>0.91287025460640248</v>
      </c>
      <c r="AG215" s="802">
        <f t="shared" si="99"/>
        <v>4</v>
      </c>
      <c r="AH215" s="172">
        <f t="shared" si="94"/>
        <v>10</v>
      </c>
      <c r="AI215" s="221">
        <f t="shared" si="95"/>
        <v>4.9128702546064025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48050</v>
      </c>
      <c r="B216" s="406">
        <f>'2030'!Wh/'2030'!Env_an*'2031'!Env_an</f>
        <v>55.33239079292386</v>
      </c>
      <c r="C216" s="832"/>
      <c r="D216" s="388">
        <f t="shared" si="77"/>
        <v>58.070288851443074</v>
      </c>
      <c r="E216" s="380">
        <f t="shared" si="75"/>
        <v>58.424334467988082</v>
      </c>
      <c r="F216" s="380">
        <f t="shared" si="78"/>
        <v>58.424727905396288</v>
      </c>
      <c r="G216" s="110">
        <f t="shared" si="76"/>
        <v>0.94237360065237163</v>
      </c>
      <c r="H216" s="409" t="b">
        <f>Wh_hp&gt;='2030'!Maxi_hp</f>
        <v>0</v>
      </c>
      <c r="I216" s="385">
        <f>IF(H216,Wh_hp,'2030'!Maxi_hp)</f>
        <v>58.424754522049035</v>
      </c>
      <c r="J216" s="85">
        <f>IF(H216,An,'2030'!An_max)</f>
        <v>2029</v>
      </c>
      <c r="K216" s="193">
        <f t="shared" si="79"/>
        <v>48050</v>
      </c>
      <c r="L216" s="143">
        <f>IF(t&lt;Tvie,1-EXP((T0-t)*PertePVj)+'2030'!Pspv,1-EXP((T0-t)*PertePVj)+Pspv)</f>
        <v>4.7148001373359394E-2</v>
      </c>
      <c r="M216" s="836"/>
      <c r="N216" s="836"/>
      <c r="O216" s="48">
        <f>IF(t&lt;Tnet,'2030'!Resal+('2030'!Salim-'2030'!Resal)*(1-EXP(('2030'!Tnet-t)/('2030'!Tau_j))),Resal+(Salim-Resal)*(1-EXP((Tnet-t)/(Tau_j))))*Salcycl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7.3381894963475329E-6</v>
      </c>
      <c r="Q216" s="301">
        <f t="shared" si="80"/>
        <v>0.5</v>
      </c>
      <c r="R216" s="173">
        <f t="shared" si="81"/>
        <v>0.39063756099048574</v>
      </c>
      <c r="S216" s="802">
        <f t="shared" si="82"/>
        <v>1</v>
      </c>
      <c r="T216" s="172">
        <f t="shared" si="83"/>
        <v>7</v>
      </c>
      <c r="U216" s="247">
        <f t="shared" si="84"/>
        <v>1.3906375609904857</v>
      </c>
      <c r="V216" s="378">
        <f t="shared" si="85"/>
        <v>58.715945913759988</v>
      </c>
      <c r="W216" s="397">
        <f t="shared" si="86"/>
        <v>55.33239079292386</v>
      </c>
      <c r="X216" s="153">
        <f t="shared" si="87"/>
        <v>48050</v>
      </c>
      <c r="Y216" s="380">
        <f t="shared" si="88"/>
        <v>53.219692925977469</v>
      </c>
      <c r="Z216" s="380">
        <f t="shared" si="89"/>
        <v>55.853052732936263</v>
      </c>
      <c r="AA216" s="381">
        <f t="shared" si="90"/>
        <v>58.422421538692966</v>
      </c>
      <c r="AB216" s="193">
        <f t="shared" si="91"/>
        <v>48050</v>
      </c>
      <c r="AC216" s="119">
        <f>IF(OR(t&lt;Tnet,NoTnet),'2030'!Resal_s+('2030'!Salim-'2030'!Resal_s)*(1-EXP(('2030'!Tnet_s-t)/'2030'!Tau_j)),Resal_s+(Salim-Resal_s)*(1-EXP((Tnet_s-t)/Tau_j)))*Salcycl</f>
        <v>4.3979156256900777E-2</v>
      </c>
      <c r="AD216" s="227">
        <f>(INDEX(Models!$BJ216:$BT216,,AH216)*(1-AF216)+INDEX(Models!$BJ216:$BT216,,AH216+1)*AF216-ERP_i)*AE216*Ramure*Pc/MaxiM</f>
        <v>4.3017149777750002E-5</v>
      </c>
      <c r="AE216" s="301">
        <f t="shared" si="92"/>
        <v>0.5</v>
      </c>
      <c r="AF216" s="173">
        <f t="shared" si="93"/>
        <v>0.91562512736446244</v>
      </c>
      <c r="AG216" s="802">
        <f t="shared" si="99"/>
        <v>4</v>
      </c>
      <c r="AH216" s="172">
        <f t="shared" si="94"/>
        <v>10</v>
      </c>
      <c r="AI216" s="221">
        <f t="shared" si="95"/>
        <v>4.9156251273644624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48051</v>
      </c>
      <c r="B217" s="406">
        <f>'2030'!Wh/'2030'!Env_an*'2031'!Env_an</f>
        <v>47.522860644887913</v>
      </c>
      <c r="C217" s="832"/>
      <c r="D217" s="388">
        <f t="shared" si="77"/>
        <v>49.875018649637269</v>
      </c>
      <c r="E217" s="380">
        <f t="shared" si="75"/>
        <v>50.182699877365671</v>
      </c>
      <c r="F217" s="380">
        <f t="shared" si="78"/>
        <v>50.182979282914395</v>
      </c>
      <c r="G217" s="110">
        <f t="shared" si="76"/>
        <v>0.81174901893066198</v>
      </c>
      <c r="H217" s="409" t="b">
        <f>Wh_hp&gt;='2030'!Maxi_hp</f>
        <v>0</v>
      </c>
      <c r="I217" s="385">
        <f>IF(H217,Wh_hp,'2030'!Maxi_hp)</f>
        <v>50.18305666617475</v>
      </c>
      <c r="J217" s="85">
        <f>IF(H217,An,'2030'!An_max)</f>
        <v>2029</v>
      </c>
      <c r="K217" s="193">
        <f t="shared" si="79"/>
        <v>48051</v>
      </c>
      <c r="L217" s="143">
        <f>IF(t&lt;Tvie,1-EXP((T0-t)*PertePVj)+'2030'!Pspv,1-EXP((T0-t)*PertePVj)+Pspv)</f>
        <v>4.7161045117051992E-2</v>
      </c>
      <c r="M217" s="836"/>
      <c r="N217" s="836"/>
      <c r="O217" s="48">
        <f>IF(t&lt;Tnet,'2030'!Resal+('2030'!Salim-'2030'!Resal)*(1-EXP(('2030'!Tnet-t)/('2030'!Tau_j))),Resal+(Salim-Resal)*(1-EXP((Tnet-t)/(Tau_j))))*Salcycl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7.6158467392890511E-6</v>
      </c>
      <c r="Q217" s="301">
        <f t="shared" si="80"/>
        <v>0.5</v>
      </c>
      <c r="R217" s="173">
        <f t="shared" si="81"/>
        <v>0.39331573664776487</v>
      </c>
      <c r="S217" s="802">
        <f t="shared" si="82"/>
        <v>1</v>
      </c>
      <c r="T217" s="172">
        <f t="shared" si="83"/>
        <v>7</v>
      </c>
      <c r="U217" s="247">
        <f t="shared" si="84"/>
        <v>1.3933157366477649</v>
      </c>
      <c r="V217" s="378">
        <f t="shared" si="85"/>
        <v>58.5436658424765</v>
      </c>
      <c r="W217" s="397">
        <f t="shared" si="86"/>
        <v>47.522860644887913</v>
      </c>
      <c r="X217" s="153">
        <f t="shared" si="87"/>
        <v>48051</v>
      </c>
      <c r="Y217" s="380">
        <f t="shared" si="88"/>
        <v>45.710075856313857</v>
      </c>
      <c r="Z217" s="380">
        <f t="shared" si="89"/>
        <v>47.972509543261836</v>
      </c>
      <c r="AA217" s="381">
        <f t="shared" si="90"/>
        <v>50.181342037228127</v>
      </c>
      <c r="AB217" s="193">
        <f t="shared" si="91"/>
        <v>48051</v>
      </c>
      <c r="AC217" s="119">
        <f>IF(OR(t&lt;Tnet,NoTnet),'2030'!Resal_s+('2030'!Salim-'2030'!Resal_s)*(1-EXP(('2030'!Tnet_s-t)/'2030'!Tau_j)),Resal_s+(Salim-Resal_s)*(1-EXP((Tnet_s-t)/Tau_j)))*Salcycl</f>
        <v>4.4017007204144157E-2</v>
      </c>
      <c r="AD217" s="227">
        <f>(INDEX(Models!$BJ217:$BT217,,AH217)*(1-AF217)+INDEX(Models!$BJ217:$BT217,,AH217+1)*AF217-ERP_i)*AE217*Ramure*Pc/MaxiM</f>
        <v>4.4626931276191223E-5</v>
      </c>
      <c r="AE217" s="301">
        <f t="shared" si="92"/>
        <v>0.5</v>
      </c>
      <c r="AF217" s="173">
        <f t="shared" si="93"/>
        <v>0.91830330302174179</v>
      </c>
      <c r="AG217" s="802">
        <f t="shared" si="99"/>
        <v>4</v>
      </c>
      <c r="AH217" s="172">
        <f t="shared" si="94"/>
        <v>10</v>
      </c>
      <c r="AI217" s="221">
        <f t="shared" si="95"/>
        <v>4.9183033030217418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48052</v>
      </c>
      <c r="B218" s="406">
        <f>'2030'!Wh/'2030'!Env_an*'2031'!Env_an</f>
        <v>44.966791572123945</v>
      </c>
      <c r="C218" s="832"/>
      <c r="D218" s="388">
        <f t="shared" si="77"/>
        <v>47.193082217854744</v>
      </c>
      <c r="E218" s="380">
        <f t="shared" si="75"/>
        <v>47.487621676716728</v>
      </c>
      <c r="F218" s="380">
        <f t="shared" si="78"/>
        <v>47.48787313579296</v>
      </c>
      <c r="G218" s="110">
        <f t="shared" si="76"/>
        <v>0.77042801528504046</v>
      </c>
      <c r="H218" s="409" t="b">
        <f>Wh_hp&gt;='2030'!Maxi_hp</f>
        <v>0</v>
      </c>
      <c r="I218" s="385">
        <f>IF(H218,Wh_hp,'2030'!Maxi_hp)</f>
        <v>47.487965360403408</v>
      </c>
      <c r="J218" s="85">
        <f>IF(H218,An,'2030'!An_max)</f>
        <v>2029</v>
      </c>
      <c r="K218" s="193">
        <f t="shared" si="79"/>
        <v>48052</v>
      </c>
      <c r="L218" s="143">
        <f>IF(t&lt;Tvie,1-EXP((T0-t)*PertePVj)+'2030'!Pspv,1-EXP((T0-t)*PertePVj)+Pspv)</f>
        <v>4.7174088682186532E-2</v>
      </c>
      <c r="M218" s="836"/>
      <c r="N218" s="836"/>
      <c r="O218" s="48">
        <f>IF(t&lt;Tnet,'2030'!Resal+('2030'!Salim-'2030'!Resal)*(1-EXP(('2030'!Tnet-t)/('2030'!Tau_j))),Resal+(Salim-Resal)*(1-EXP((Tnet-t)/(Tau_j))))*Salcycl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7.879299732043061E-6</v>
      </c>
      <c r="Q218" s="301">
        <f t="shared" si="80"/>
        <v>0.5</v>
      </c>
      <c r="R218" s="173">
        <f t="shared" si="81"/>
        <v>0.39591820640889708</v>
      </c>
      <c r="S218" s="802">
        <f t="shared" si="82"/>
        <v>1</v>
      </c>
      <c r="T218" s="172">
        <f t="shared" si="83"/>
        <v>7</v>
      </c>
      <c r="U218" s="247">
        <f t="shared" si="84"/>
        <v>1.3959182064088971</v>
      </c>
      <c r="V218" s="378">
        <f t="shared" si="85"/>
        <v>58.365836238989665</v>
      </c>
      <c r="W218" s="397">
        <f t="shared" si="86"/>
        <v>44.966791572123945</v>
      </c>
      <c r="X218" s="153">
        <f t="shared" si="87"/>
        <v>48052</v>
      </c>
      <c r="Y218" s="380">
        <f t="shared" si="88"/>
        <v>43.252967024138357</v>
      </c>
      <c r="Z218" s="380">
        <f t="shared" si="89"/>
        <v>45.394406796008511</v>
      </c>
      <c r="AA218" s="381">
        <f t="shared" si="90"/>
        <v>47.486400269242296</v>
      </c>
      <c r="AB218" s="193">
        <f t="shared" si="91"/>
        <v>48052</v>
      </c>
      <c r="AC218" s="119">
        <f>IF(OR(t&lt;Tnet,NoTnet),'2030'!Resal_s+('2030'!Salim-'2030'!Resal_s)*(1-EXP(('2030'!Tnet_s-t)/'2030'!Tau_j)),Resal_s+(Salim-Resal_s)*(1-EXP((Tnet_s-t)/Tau_j)))*Salcycl</f>
        <v>4.4054581130016764E-2</v>
      </c>
      <c r="AD218" s="227">
        <f>(INDEX(Models!$BJ218:$BT218,,AH218)*(1-AF218)+INDEX(Models!$BJ218:$BT218,,AH218+1)*AF218-ERP_i)*AE218*Ramure*Pc/MaxiM</f>
        <v>4.6151275157010247E-5</v>
      </c>
      <c r="AE218" s="301">
        <f t="shared" si="92"/>
        <v>0.5</v>
      </c>
      <c r="AF218" s="173">
        <f t="shared" si="93"/>
        <v>0.92090577278287356</v>
      </c>
      <c r="AG218" s="802">
        <f t="shared" si="99"/>
        <v>4</v>
      </c>
      <c r="AH218" s="172">
        <f t="shared" si="94"/>
        <v>10</v>
      </c>
      <c r="AI218" s="221">
        <f t="shared" si="95"/>
        <v>4.9209057727828736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48053</v>
      </c>
      <c r="B219" s="406">
        <f>'2030'!Wh/'2030'!Env_an*'2031'!Env_an</f>
        <v>54.746353553787365</v>
      </c>
      <c r="C219" s="832"/>
      <c r="D219" s="388">
        <f t="shared" si="77"/>
        <v>57.457613552862391</v>
      </c>
      <c r="E219" s="380">
        <f t="shared" si="75"/>
        <v>57.820354113366292</v>
      </c>
      <c r="F219" s="380">
        <f t="shared" si="78"/>
        <v>57.820784459788413</v>
      </c>
      <c r="G219" s="110">
        <f t="shared" si="76"/>
        <v>0.94095505320344075</v>
      </c>
      <c r="H219" s="409" t="b">
        <f>Wh_hp&gt;='2030'!Maxi_hp</f>
        <v>0</v>
      </c>
      <c r="I219" s="385">
        <f>IF(H219,Wh_hp,'2030'!Maxi_hp)</f>
        <v>57.820814196098695</v>
      </c>
      <c r="J219" s="85">
        <f>IF(H219,An,'2030'!An_max)</f>
        <v>2029</v>
      </c>
      <c r="K219" s="193">
        <f t="shared" si="79"/>
        <v>48053</v>
      </c>
      <c r="L219" s="143">
        <f>IF(t&lt;Tvie,1-EXP((T0-t)*PertePVj)+'2030'!Pspv,1-EXP((T0-t)*PertePVj)+Pspv)</f>
        <v>4.7187132068765791E-2</v>
      </c>
      <c r="M219" s="836"/>
      <c r="N219" s="836"/>
      <c r="O219" s="48">
        <f>IF(t&lt;Tnet,'2030'!Resal+('2030'!Salim-'2030'!Resal)*(1-EXP(('2030'!Tnet-t)/('2030'!Tau_j))),Resal+(Salim-Resal)*(1-EXP((Tnet-t)/(Tau_j))))*Salcycl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8.1283845970100643E-6</v>
      </c>
      <c r="Q219" s="301">
        <f t="shared" si="80"/>
        <v>0.5</v>
      </c>
      <c r="R219" s="173">
        <f t="shared" si="81"/>
        <v>0.39844603045177429</v>
      </c>
      <c r="S219" s="802">
        <f t="shared" si="82"/>
        <v>1</v>
      </c>
      <c r="T219" s="172">
        <f t="shared" si="83"/>
        <v>7</v>
      </c>
      <c r="U219" s="247">
        <f t="shared" si="84"/>
        <v>1.3984460304517743</v>
      </c>
      <c r="V219" s="378">
        <f t="shared" si="85"/>
        <v>58.181648349588713</v>
      </c>
      <c r="W219" s="397">
        <f t="shared" si="86"/>
        <v>54.746353553787365</v>
      </c>
      <c r="X219" s="153">
        <f t="shared" si="87"/>
        <v>48053</v>
      </c>
      <c r="Y219" s="380">
        <f t="shared" si="88"/>
        <v>52.660964876824622</v>
      </c>
      <c r="Z219" s="380">
        <f t="shared" si="89"/>
        <v>55.268948026660397</v>
      </c>
      <c r="AA219" s="381">
        <f t="shared" si="90"/>
        <v>57.818264855108815</v>
      </c>
      <c r="AB219" s="193">
        <f t="shared" si="91"/>
        <v>48053</v>
      </c>
      <c r="AC219" s="119">
        <f>IF(OR(t&lt;Tnet,NoTnet),'2030'!Resal_s+('2030'!Salim-'2030'!Resal_s)*(1-EXP(('2030'!Tnet_s-t)/'2030'!Tau_j)),Resal_s+(Salim-Resal_s)*(1-EXP((Tnet_s-t)/Tau_j)))*Salcycl</f>
        <v>4.4091894401136818E-2</v>
      </c>
      <c r="AD219" s="227">
        <f>(INDEX(Models!$BJ219:$BT219,,AH219)*(1-AF219)+INDEX(Models!$BJ219:$BT219,,AH219+1)*AF219-ERP_i)*AE219*Ramure*Pc/MaxiM</f>
        <v>4.7590301244558592E-5</v>
      </c>
      <c r="AE219" s="301">
        <f t="shared" si="92"/>
        <v>0.5</v>
      </c>
      <c r="AF219" s="173">
        <f t="shared" si="93"/>
        <v>0.92343359682575077</v>
      </c>
      <c r="AG219" s="802">
        <f t="shared" si="99"/>
        <v>4</v>
      </c>
      <c r="AH219" s="172">
        <f t="shared" si="94"/>
        <v>10</v>
      </c>
      <c r="AI219" s="221">
        <f t="shared" si="95"/>
        <v>4.9234335968257508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48054</v>
      </c>
      <c r="B220" s="406">
        <f>'2030'!Wh/'2030'!Env_an*'2031'!Env_an</f>
        <v>28.880684756699377</v>
      </c>
      <c r="C220" s="832"/>
      <c r="D220" s="388">
        <f t="shared" si="77"/>
        <v>30.311387562533742</v>
      </c>
      <c r="E220" s="380">
        <f t="shared" si="75"/>
        <v>30.504929696252173</v>
      </c>
      <c r="F220" s="380">
        <f t="shared" si="78"/>
        <v>30.505002291506994</v>
      </c>
      <c r="G220" s="110">
        <f t="shared" si="76"/>
        <v>0.49801906143285329</v>
      </c>
      <c r="H220" s="409" t="b">
        <f>Wh_hp&gt;='2030'!Maxi_hp</f>
        <v>0</v>
      </c>
      <c r="I220" s="385">
        <f>IF(H220,Wh_hp,'2030'!Maxi_hp)</f>
        <v>30.50514003279957</v>
      </c>
      <c r="J220" s="85">
        <f>IF(H220,An,'2030'!An_max)</f>
        <v>2029</v>
      </c>
      <c r="K220" s="193">
        <f t="shared" si="79"/>
        <v>48054</v>
      </c>
      <c r="L220" s="143">
        <f>IF(t&lt;Tvie,1-EXP((T0-t)*PertePVj)+'2030'!Pspv,1-EXP((T0-t)*PertePVj)+Pspv)</f>
        <v>4.7200175276791989E-2</v>
      </c>
      <c r="M220" s="836"/>
      <c r="N220" s="836"/>
      <c r="O220" s="48">
        <f>IF(t&lt;Tnet,'2030'!Resal+('2030'!Salim-'2030'!Resal)*(1-EXP(('2030'!Tnet-t)/('2030'!Tau_j))),Resal+(Salim-Resal)*(1-EXP((Tnet-t)/(Tau_j))))*Salcycl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8.412433132567283E-6</v>
      </c>
      <c r="Q220" s="301">
        <f t="shared" si="80"/>
        <v>0.5</v>
      </c>
      <c r="R220" s="173">
        <f t="shared" si="81"/>
        <v>0.40090033143890924</v>
      </c>
      <c r="S220" s="802">
        <f t="shared" si="82"/>
        <v>1</v>
      </c>
      <c r="T220" s="172">
        <f t="shared" si="83"/>
        <v>7</v>
      </c>
      <c r="U220" s="247">
        <f t="shared" si="84"/>
        <v>1.4009003314389092</v>
      </c>
      <c r="V220" s="378">
        <f t="shared" si="85"/>
        <v>57.99077337742127</v>
      </c>
      <c r="W220" s="397">
        <f t="shared" si="86"/>
        <v>28.880684756699377</v>
      </c>
      <c r="X220" s="153">
        <f t="shared" si="87"/>
        <v>48054</v>
      </c>
      <c r="Y220" s="380">
        <f t="shared" si="88"/>
        <v>27.782158596526198</v>
      </c>
      <c r="Z220" s="380">
        <f t="shared" si="89"/>
        <v>29.158442178132244</v>
      </c>
      <c r="AA220" s="381">
        <f t="shared" si="90"/>
        <v>30.504577534992443</v>
      </c>
      <c r="AB220" s="193">
        <f t="shared" si="91"/>
        <v>48054</v>
      </c>
      <c r="AC220" s="119">
        <f>IF(OR(t&lt;Tnet,NoTnet),'2030'!Resal_s+('2030'!Salim-'2030'!Resal_s)*(1-EXP(('2030'!Tnet_s-t)/'2030'!Tau_j)),Resal_s+(Salim-Resal_s)*(1-EXP((Tnet_s-t)/Tau_j)))*Salcycl</f>
        <v>4.4128962458700439E-2</v>
      </c>
      <c r="AD220" s="227">
        <f>(INDEX(Models!$BJ220:$BT220,,AH220)*(1-AF220)+INDEX(Models!$BJ220:$BT220,,AH220+1)*AF220-ERP_i)*AE220*Ramure*Pc/MaxiM</f>
        <v>4.9221340775156034E-5</v>
      </c>
      <c r="AE220" s="301">
        <f t="shared" si="92"/>
        <v>0.5</v>
      </c>
      <c r="AF220" s="173">
        <f t="shared" si="93"/>
        <v>0.92588789781288661</v>
      </c>
      <c r="AG220" s="802">
        <f t="shared" si="99"/>
        <v>4</v>
      </c>
      <c r="AH220" s="172">
        <f t="shared" si="94"/>
        <v>10</v>
      </c>
      <c r="AI220" s="221">
        <f t="shared" si="95"/>
        <v>4.9258878978128866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48055</v>
      </c>
      <c r="B221" s="406">
        <f>'2030'!Wh/'2030'!Env_an*'2031'!Env_an</f>
        <v>51.183014026642233</v>
      </c>
      <c r="C221" s="832"/>
      <c r="D221" s="388">
        <f t="shared" si="77"/>
        <v>53.719273829194144</v>
      </c>
      <c r="E221" s="380">
        <f t="shared" si="75"/>
        <v>54.066138707411852</v>
      </c>
      <c r="F221" s="380">
        <f t="shared" si="78"/>
        <v>54.066534027571478</v>
      </c>
      <c r="G221" s="110">
        <f t="shared" si="76"/>
        <v>0.88561408712762324</v>
      </c>
      <c r="H221" s="409" t="b">
        <f>Wh_hp&gt;='2030'!Maxi_hp</f>
        <v>0</v>
      </c>
      <c r="I221" s="385">
        <f>IF(H221,Wh_hp,'2030'!Maxi_hp)</f>
        <v>54.066591686678493</v>
      </c>
      <c r="J221" s="85">
        <f>IF(H221,An,'2030'!An_max)</f>
        <v>2029</v>
      </c>
      <c r="K221" s="193">
        <f t="shared" si="79"/>
        <v>48055</v>
      </c>
      <c r="L221" s="143">
        <f>IF(t&lt;Tvie,1-EXP((T0-t)*PertePVj)+'2030'!Pspv,1-EXP((T0-t)*PertePVj)+Pspv)</f>
        <v>4.7213218306267568E-2</v>
      </c>
      <c r="M221" s="836"/>
      <c r="N221" s="836"/>
      <c r="O221" s="48">
        <f>IF(t&lt;Tnet,'2030'!Resal+('2030'!Salim-'2030'!Resal)*(1-EXP(('2030'!Tnet-t)/('2030'!Tau_j))),Resal+(Salim-Resal)*(1-EXP((Tnet-t)/(Tau_j))))*Salcycl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8.7398910555669228E-6</v>
      </c>
      <c r="Q221" s="301">
        <f t="shared" si="80"/>
        <v>0.5</v>
      </c>
      <c r="R221" s="173">
        <f t="shared" si="81"/>
        <v>0.40328228821676815</v>
      </c>
      <c r="S221" s="802">
        <f t="shared" si="82"/>
        <v>1</v>
      </c>
      <c r="T221" s="172">
        <f t="shared" si="83"/>
        <v>7</v>
      </c>
      <c r="U221" s="247">
        <f t="shared" si="84"/>
        <v>1.4032822882167681</v>
      </c>
      <c r="V221" s="378">
        <f t="shared" si="85"/>
        <v>57.793729427647953</v>
      </c>
      <c r="W221" s="397">
        <f t="shared" si="86"/>
        <v>51.183014026642233</v>
      </c>
      <c r="X221" s="153">
        <f t="shared" si="87"/>
        <v>48055</v>
      </c>
      <c r="Y221" s="380">
        <f t="shared" si="88"/>
        <v>49.236622981956096</v>
      </c>
      <c r="Z221" s="380">
        <f t="shared" si="89"/>
        <v>51.676433728887424</v>
      </c>
      <c r="AA221" s="381">
        <f t="shared" si="90"/>
        <v>54.06422339420682</v>
      </c>
      <c r="AB221" s="193">
        <f t="shared" si="91"/>
        <v>48055</v>
      </c>
      <c r="AC221" s="119">
        <f>IF(OR(t&lt;Tnet,NoTnet),'2030'!Resal_s+('2030'!Salim-'2030'!Resal_s)*(1-EXP(('2030'!Tnet_s-t)/'2030'!Tau_j)),Resal_s+(Salim-Resal_s)*(1-EXP((Tnet_s-t)/Tau_j)))*Salcycl</f>
        <v>4.4165799773150022E-2</v>
      </c>
      <c r="AD221" s="227">
        <f>(INDEX(Models!$BJ221:$BT221,,AH221)*(1-AF221)+INDEX(Models!$BJ221:$BT221,,AH221+1)*AF221-ERP_i)*AE221*Ramure*Pc/MaxiM</f>
        <v>5.1084376509952089E-5</v>
      </c>
      <c r="AE221" s="301">
        <f t="shared" si="92"/>
        <v>0.5</v>
      </c>
      <c r="AF221" s="173">
        <f t="shared" si="93"/>
        <v>0.92826985459074507</v>
      </c>
      <c r="AG221" s="802">
        <f t="shared" si="99"/>
        <v>4</v>
      </c>
      <c r="AH221" s="172">
        <f t="shared" si="94"/>
        <v>10</v>
      </c>
      <c r="AI221" s="221">
        <f t="shared" si="95"/>
        <v>4.9282698545907451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48056</v>
      </c>
      <c r="B222" s="406">
        <f>'2030'!Wh/'2030'!Env_an*'2031'!Env_an</f>
        <v>57.929396286595171</v>
      </c>
      <c r="C222" s="832"/>
      <c r="D222" s="388">
        <f t="shared" si="77"/>
        <v>60.800790287265421</v>
      </c>
      <c r="E222" s="380">
        <f t="shared" si="75"/>
        <v>61.197744761222154</v>
      </c>
      <c r="F222" s="380">
        <f t="shared" si="78"/>
        <v>61.198302360762874</v>
      </c>
      <c r="G222" s="110">
        <f t="shared" si="76"/>
        <v>1.0058752442346583</v>
      </c>
      <c r="H222" s="409" t="b">
        <f>Wh_hp&gt;='2030'!Maxi_hp</f>
        <v>1</v>
      </c>
      <c r="I222" s="385">
        <f>IF(H222,Wh_hp,'2030'!Maxi_hp)</f>
        <v>61.198302360762874</v>
      </c>
      <c r="J222" s="85">
        <f>IF(H222,An,'2030'!An_max)</f>
        <v>2031</v>
      </c>
      <c r="K222" s="193">
        <f t="shared" si="79"/>
        <v>48056</v>
      </c>
      <c r="L222" s="143">
        <f>IF(t&lt;Tvie,1-EXP((T0-t)*PertePVj)+'2030'!Pspv,1-EXP((T0-t)*PertePVj)+Pspv)</f>
        <v>4.7226261157195082E-2</v>
      </c>
      <c r="M222" s="836"/>
      <c r="N222" s="836"/>
      <c r="O222" s="48">
        <f>IF(t&lt;Tnet,'2030'!Resal+('2030'!Salim-'2030'!Resal)*(1-EXP(('2030'!Tnet-t)/('2030'!Tau_j))),Resal+(Salim-Resal)*(1-EXP((Tnet-t)/(Tau_j))))*Salcycl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9.1113563483070547E-6</v>
      </c>
      <c r="Q222" s="301">
        <f t="shared" si="80"/>
        <v>0.5</v>
      </c>
      <c r="R222" s="173">
        <f t="shared" si="81"/>
        <v>0.40559312972173411</v>
      </c>
      <c r="S222" s="802">
        <f t="shared" si="82"/>
        <v>1</v>
      </c>
      <c r="T222" s="172">
        <f t="shared" si="83"/>
        <v>7</v>
      </c>
      <c r="U222" s="247">
        <f t="shared" si="84"/>
        <v>1.4055931297217341</v>
      </c>
      <c r="V222" s="378">
        <f t="shared" si="85"/>
        <v>57.591034890884508</v>
      </c>
      <c r="W222" s="397">
        <f t="shared" si="86"/>
        <v>57.929396286595171</v>
      </c>
      <c r="X222" s="153">
        <f t="shared" si="87"/>
        <v>48056</v>
      </c>
      <c r="Y222" s="380">
        <f t="shared" si="88"/>
        <v>55.727810787557203</v>
      </c>
      <c r="Z222" s="380">
        <f t="shared" si="89"/>
        <v>58.490078510393907</v>
      </c>
      <c r="AA222" s="381">
        <f t="shared" si="90"/>
        <v>61.195047698935554</v>
      </c>
      <c r="AB222" s="193">
        <f t="shared" si="91"/>
        <v>48056</v>
      </c>
      <c r="AC222" s="119">
        <f>IF(OR(t&lt;Tnet,NoTnet),'2030'!Resal_s+('2030'!Salim-'2030'!Resal_s)*(1-EXP(('2030'!Tnet_s-t)/'2030'!Tau_j)),Resal_s+(Salim-Resal_s)*(1-EXP((Tnet_s-t)/Tau_j)))*Salcycl</f>
        <v>4.4202419807717601E-2</v>
      </c>
      <c r="AD222" s="227">
        <f>(INDEX(Models!$BJ222:$BT222,,AH222)*(1-AF222)+INDEX(Models!$BJ222:$BT222,,AH222+1)*AF222-ERP_i)*AE222*Ramure*Pc/MaxiM</f>
        <v>5.3182224044986929E-5</v>
      </c>
      <c r="AE222" s="301">
        <f t="shared" si="92"/>
        <v>0.5</v>
      </c>
      <c r="AF222" s="173">
        <f t="shared" si="93"/>
        <v>0.93058069609571081</v>
      </c>
      <c r="AG222" s="802">
        <f t="shared" si="99"/>
        <v>4</v>
      </c>
      <c r="AH222" s="172">
        <f t="shared" si="94"/>
        <v>10</v>
      </c>
      <c r="AI222" s="221">
        <f t="shared" si="95"/>
        <v>4.9305806960957108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48057</v>
      </c>
      <c r="B223" s="406">
        <f>'2030'!Wh/'2030'!Env_an*'2031'!Env_an</f>
        <v>45.514498822189971</v>
      </c>
      <c r="C223" s="832"/>
      <c r="D223" s="388">
        <f t="shared" si="77"/>
        <v>47.771175915561336</v>
      </c>
      <c r="E223" s="380">
        <f t="shared" si="75"/>
        <v>48.086488213860221</v>
      </c>
      <c r="F223" s="380">
        <f t="shared" si="78"/>
        <v>48.086810987739064</v>
      </c>
      <c r="G223" s="110">
        <f t="shared" si="76"/>
        <v>0.79316532292243958</v>
      </c>
      <c r="H223" s="409" t="b">
        <f>Wh_hp&gt;='2030'!Maxi_hp</f>
        <v>0</v>
      </c>
      <c r="I223" s="385">
        <f>IF(H223,Wh_hp,'2030'!Maxi_hp)</f>
        <v>48.086911548880181</v>
      </c>
      <c r="J223" s="85">
        <f>IF(H223,An,'2030'!An_max)</f>
        <v>2029</v>
      </c>
      <c r="K223" s="193">
        <f t="shared" si="79"/>
        <v>48057</v>
      </c>
      <c r="L223" s="143">
        <f>IF(t&lt;Tvie,1-EXP((T0-t)*PertePVj)+'2030'!Pspv,1-EXP((T0-t)*PertePVj)+Pspv)</f>
        <v>4.7239303829576862E-2</v>
      </c>
      <c r="M223" s="836"/>
      <c r="N223" s="836"/>
      <c r="O223" s="48">
        <f>IF(t&lt;Tnet,'2030'!Resal+('2030'!Salim-'2030'!Resal)*(1-EXP(('2030'!Tnet-t)/('2030'!Tau_j))),Resal+(Salim-Resal)*(1-EXP((Tnet-t)/(Tau_j))))*Salcycl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9.5274339566130591E-6</v>
      </c>
      <c r="Q223" s="301">
        <f t="shared" si="80"/>
        <v>0.5</v>
      </c>
      <c r="R223" s="173">
        <f t="shared" si="81"/>
        <v>0.40783412910831562</v>
      </c>
      <c r="S223" s="802">
        <f t="shared" si="82"/>
        <v>1</v>
      </c>
      <c r="T223" s="172">
        <f t="shared" si="83"/>
        <v>7</v>
      </c>
      <c r="U223" s="247">
        <f t="shared" si="84"/>
        <v>1.4078341291083156</v>
      </c>
      <c r="V223" s="378">
        <f t="shared" si="85"/>
        <v>57.383207986142999</v>
      </c>
      <c r="W223" s="397">
        <f t="shared" si="86"/>
        <v>45.514498822189971</v>
      </c>
      <c r="X223" s="153">
        <f t="shared" si="87"/>
        <v>48057</v>
      </c>
      <c r="Y223" s="380">
        <f t="shared" si="88"/>
        <v>43.786698675711193</v>
      </c>
      <c r="Z223" s="380">
        <f t="shared" si="89"/>
        <v>45.957708847258047</v>
      </c>
      <c r="AA223" s="381">
        <f t="shared" si="90"/>
        <v>48.084930137137654</v>
      </c>
      <c r="AB223" s="193">
        <f t="shared" si="91"/>
        <v>48057</v>
      </c>
      <c r="AC223" s="119">
        <f>IF(OR(t&lt;Tnet,NoTnet),'2030'!Resal_s+('2030'!Salim-'2030'!Resal_s)*(1-EXP(('2030'!Tnet_s-t)/'2030'!Tau_j)),Resal_s+(Salim-Resal_s)*(1-EXP((Tnet_s-t)/Tau_j)))*Salcycl</f>
        <v>4.4238834990771518E-2</v>
      </c>
      <c r="AD223" s="227">
        <f>(INDEX(Models!$BJ223:$BT223,,AH223)*(1-AF223)+INDEX(Models!$BJ223:$BT223,,AH223+1)*AF223-ERP_i)*AE223*Ramure*Pc/MaxiM</f>
        <v>5.5517751161116703E-5</v>
      </c>
      <c r="AE223" s="301">
        <f t="shared" si="92"/>
        <v>0.5</v>
      </c>
      <c r="AF223" s="173">
        <f t="shared" si="93"/>
        <v>0.93282169548229277</v>
      </c>
      <c r="AG223" s="802">
        <f t="shared" si="99"/>
        <v>4</v>
      </c>
      <c r="AH223" s="172">
        <f t="shared" si="94"/>
        <v>10</v>
      </c>
      <c r="AI223" s="221">
        <f t="shared" si="95"/>
        <v>4.9328216954822928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48058</v>
      </c>
      <c r="B224" s="406">
        <f>'2030'!Wh/'2030'!Env_an*'2031'!Env_an</f>
        <v>28.273837011315116</v>
      </c>
      <c r="C224" s="832"/>
      <c r="D224" s="388">
        <f t="shared" si="77"/>
        <v>29.676102483389403</v>
      </c>
      <c r="E224" s="380">
        <f t="shared" si="75"/>
        <v>29.874104188383271</v>
      </c>
      <c r="F224" s="380">
        <f t="shared" si="78"/>
        <v>29.874187123994687</v>
      </c>
      <c r="G224" s="110">
        <f t="shared" si="76"/>
        <v>0.49454703316946547</v>
      </c>
      <c r="H224" s="409" t="b">
        <f>Wh_hp&gt;='2030'!Maxi_hp</f>
        <v>0</v>
      </c>
      <c r="I224" s="385">
        <f>IF(H224,Wh_hp,'2030'!Maxi_hp)</f>
        <v>29.874346743738087</v>
      </c>
      <c r="J224" s="85">
        <f>IF(H224,An,'2030'!An_max)</f>
        <v>2029</v>
      </c>
      <c r="K224" s="193">
        <f t="shared" si="79"/>
        <v>48058</v>
      </c>
      <c r="L224" s="143">
        <f>IF(t&lt;Tvie,1-EXP((T0-t)*PertePVj)+'2030'!Pspv,1-EXP((T0-t)*PertePVj)+Pspv)</f>
        <v>4.7252346323415462E-2</v>
      </c>
      <c r="M224" s="836"/>
      <c r="N224" s="836"/>
      <c r="O224" s="48">
        <f>IF(t&lt;Tnet,'2030'!Resal+('2030'!Salim-'2030'!Resal)*(1-EXP(('2030'!Tnet-t)/('2030'!Tau_j))),Resal+(Salim-Resal)*(1-EXP((Tnet-t)/(Tau_j))))*Salcycl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9.9887333294938887E-6</v>
      </c>
      <c r="Q224" s="301">
        <f t="shared" si="80"/>
        <v>0.5</v>
      </c>
      <c r="R224" s="173">
        <f t="shared" si="81"/>
        <v>0.41000659811234907</v>
      </c>
      <c r="S224" s="802">
        <f t="shared" si="82"/>
        <v>1</v>
      </c>
      <c r="T224" s="172">
        <f t="shared" si="83"/>
        <v>7</v>
      </c>
      <c r="U224" s="247">
        <f t="shared" si="84"/>
        <v>1.4100065981123491</v>
      </c>
      <c r="V224" s="378">
        <f t="shared" si="85"/>
        <v>57.170766757023763</v>
      </c>
      <c r="W224" s="397">
        <f t="shared" si="86"/>
        <v>28.273837011315116</v>
      </c>
      <c r="X224" s="153">
        <f t="shared" si="87"/>
        <v>48058</v>
      </c>
      <c r="Y224" s="380">
        <f t="shared" si="88"/>
        <v>27.201940945937164</v>
      </c>
      <c r="Z224" s="380">
        <f t="shared" si="89"/>
        <v>28.55104480285712</v>
      </c>
      <c r="AA224" s="381">
        <f t="shared" si="90"/>
        <v>29.873704775537842</v>
      </c>
      <c r="AB224" s="193">
        <f t="shared" si="91"/>
        <v>48058</v>
      </c>
      <c r="AC224" s="119">
        <f>IF(OR(t&lt;Tnet,NoTnet),'2030'!Resal_s+('2030'!Salim-'2030'!Resal_s)*(1-EXP(('2030'!Tnet_s-t)/'2030'!Tau_j)),Resal_s+(Salim-Resal_s)*(1-EXP((Tnet_s-t)/Tau_j)))*Salcycl</f>
        <v>4.4275056696810665E-2</v>
      </c>
      <c r="AD224" s="227">
        <f>(INDEX(Models!$BJ224:$BT224,,AH224)*(1-AF224)+INDEX(Models!$BJ224:$BT224,,AH224+1)*AF224-ERP_i)*AE224*Ramure*Pc/MaxiM</f>
        <v>5.8093863722052689E-5</v>
      </c>
      <c r="AE224" s="301">
        <f t="shared" si="92"/>
        <v>0.5</v>
      </c>
      <c r="AF224" s="173">
        <f t="shared" si="93"/>
        <v>0.93499416448632555</v>
      </c>
      <c r="AG224" s="802">
        <f t="shared" si="99"/>
        <v>4</v>
      </c>
      <c r="AH224" s="172">
        <f t="shared" si="94"/>
        <v>10</v>
      </c>
      <c r="AI224" s="221">
        <f t="shared" si="95"/>
        <v>4.9349941644863256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48059</v>
      </c>
      <c r="B225" s="406">
        <f>'2030'!Wh/'2030'!Env_an*'2031'!Env_an</f>
        <v>46.502027047795806</v>
      </c>
      <c r="C225" s="832"/>
      <c r="D225" s="388">
        <f t="shared" si="77"/>
        <v>48.809003570629976</v>
      </c>
      <c r="E225" s="380">
        <f t="shared" si="75"/>
        <v>49.138153680090369</v>
      </c>
      <c r="F225" s="380">
        <f t="shared" si="78"/>
        <v>49.138534216742926</v>
      </c>
      <c r="G225" s="110">
        <f t="shared" si="76"/>
        <v>0.81647842205750032</v>
      </c>
      <c r="H225" s="409" t="b">
        <f>Wh_hp&gt;='2030'!Maxi_hp</f>
        <v>0</v>
      </c>
      <c r="I225" s="385">
        <f>IF(H225,Wh_hp,'2030'!Maxi_hp)</f>
        <v>49.138634097962324</v>
      </c>
      <c r="J225" s="85">
        <f>IF(H225,An,'2030'!An_max)</f>
        <v>2029</v>
      </c>
      <c r="K225" s="193">
        <f t="shared" si="79"/>
        <v>48059</v>
      </c>
      <c r="L225" s="143">
        <f>IF(t&lt;Tvie,1-EXP((T0-t)*PertePVj)+'2030'!Pspv,1-EXP((T0-t)*PertePVj)+Pspv)</f>
        <v>4.7265388638713213E-2</v>
      </c>
      <c r="M225" s="836"/>
      <c r="N225" s="836"/>
      <c r="O225" s="48">
        <f>IF(t&lt;Tnet,'2030'!Resal+('2030'!Salim-'2030'!Resal)*(1-EXP(('2030'!Tnet-t)/('2030'!Tau_j))),Resal+(Salim-Resal)*(1-EXP((Tnet-t)/(Tau_j))))*Salcycl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1.0495865698108483E-5</v>
      </c>
      <c r="Q225" s="301">
        <f t="shared" si="80"/>
        <v>0.5</v>
      </c>
      <c r="R225" s="173">
        <f t="shared" si="81"/>
        <v>0.41211188165923129</v>
      </c>
      <c r="S225" s="802">
        <f t="shared" si="82"/>
        <v>1</v>
      </c>
      <c r="T225" s="172">
        <f t="shared" si="83"/>
        <v>7</v>
      </c>
      <c r="U225" s="247">
        <f t="shared" si="84"/>
        <v>1.4121118816592313</v>
      </c>
      <c r="V225" s="378">
        <f t="shared" si="85"/>
        <v>56.954229077739903</v>
      </c>
      <c r="W225" s="397">
        <f t="shared" si="86"/>
        <v>46.502027047795806</v>
      </c>
      <c r="X225" s="153">
        <f t="shared" si="87"/>
        <v>48059</v>
      </c>
      <c r="Y225" s="380">
        <f t="shared" si="88"/>
        <v>44.739503997175248</v>
      </c>
      <c r="Z225" s="380">
        <f t="shared" si="89"/>
        <v>46.959041336023809</v>
      </c>
      <c r="AA225" s="381">
        <f t="shared" si="90"/>
        <v>49.136325745681361</v>
      </c>
      <c r="AB225" s="193">
        <f t="shared" si="91"/>
        <v>48059</v>
      </c>
      <c r="AC225" s="119">
        <f>IF(OR(t&lt;Tnet,NoTnet),'2030'!Resal_s+('2030'!Salim-'2030'!Resal_s)*(1-EXP(('2030'!Tnet_s-t)/'2030'!Tau_j)),Resal_s+(Salim-Resal_s)*(1-EXP((Tnet_s-t)/Tau_j)))*Salcycl</f>
        <v>4.4311095235868667E-2</v>
      </c>
      <c r="AD225" s="227">
        <f>(INDEX(Models!$BJ225:$BT225,,AH225)*(1-AF225)+INDEX(Models!$BJ225:$BT225,,AH225+1)*AF225-ERP_i)*AE225*Ramure*Pc/MaxiM</f>
        <v>6.0913490210604556E-5</v>
      </c>
      <c r="AE225" s="301">
        <f t="shared" si="92"/>
        <v>0.5</v>
      </c>
      <c r="AF225" s="173">
        <f t="shared" si="93"/>
        <v>0.93709944803320866</v>
      </c>
      <c r="AG225" s="802">
        <f t="shared" si="99"/>
        <v>4</v>
      </c>
      <c r="AH225" s="172">
        <f t="shared" si="94"/>
        <v>10</v>
      </c>
      <c r="AI225" s="221">
        <f t="shared" si="95"/>
        <v>4.9370994480332087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48060</v>
      </c>
      <c r="B226" s="406">
        <f>'2030'!Wh/'2030'!Env_an*'2031'!Env_an</f>
        <v>56.945628747613682</v>
      </c>
      <c r="C226" s="832"/>
      <c r="D226" s="388">
        <f t="shared" si="77"/>
        <v>59.771533034530613</v>
      </c>
      <c r="E226" s="380">
        <f t="shared" si="75"/>
        <v>60.178882004512779</v>
      </c>
      <c r="F226" s="380">
        <f t="shared" si="78"/>
        <v>60.179550846641447</v>
      </c>
      <c r="G226" s="110">
        <f t="shared" si="76"/>
        <v>1.003728264484145</v>
      </c>
      <c r="H226" s="409" t="b">
        <f>Wh_hp&gt;='2030'!Maxi_hp</f>
        <v>0</v>
      </c>
      <c r="I226" s="385">
        <f>IF(H226,Wh_hp,'2030'!Maxi_hp)</f>
        <v>60.179550846641455</v>
      </c>
      <c r="J226" s="85">
        <f>IF(H226,An,'2030'!An_max)</f>
        <v>2030</v>
      </c>
      <c r="K226" s="193">
        <f t="shared" si="79"/>
        <v>48060</v>
      </c>
      <c r="L226" s="143">
        <f>IF(t&lt;Tvie,1-EXP((T0-t)*PertePVj)+'2030'!Pspv,1-EXP((T0-t)*PertePVj)+Pspv)</f>
        <v>4.7278430775472668E-2</v>
      </c>
      <c r="M226" s="836"/>
      <c r="N226" s="836"/>
      <c r="O226" s="48">
        <f>IF(t&lt;Tnet,'2030'!Resal+('2030'!Salim-'2030'!Resal)*(1-EXP(('2030'!Tnet-t)/('2030'!Tau_j))),Resal+(Salim-Resal)*(1-EXP((Tnet-t)/(Tau_j))))*Salcycl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1.1114109681144865E-5</v>
      </c>
      <c r="Q226" s="301">
        <f t="shared" si="80"/>
        <v>0.5</v>
      </c>
      <c r="R226" s="173">
        <f t="shared" si="81"/>
        <v>0.41415135272470449</v>
      </c>
      <c r="S226" s="802">
        <f t="shared" si="82"/>
        <v>1</v>
      </c>
      <c r="T226" s="172">
        <f t="shared" si="83"/>
        <v>7</v>
      </c>
      <c r="U226" s="247">
        <f t="shared" si="84"/>
        <v>1.4141513527247045</v>
      </c>
      <c r="V226" s="378">
        <f t="shared" si="85"/>
        <v>56.734108984048845</v>
      </c>
      <c r="W226" s="397">
        <f t="shared" si="86"/>
        <v>56.945628747613682</v>
      </c>
      <c r="X226" s="153">
        <f t="shared" si="87"/>
        <v>48060</v>
      </c>
      <c r="Y226" s="380">
        <f t="shared" si="88"/>
        <v>54.788235692922761</v>
      </c>
      <c r="Z226" s="380">
        <f t="shared" si="89"/>
        <v>57.50708020341969</v>
      </c>
      <c r="AA226" s="381">
        <f t="shared" si="90"/>
        <v>60.175689070642484</v>
      </c>
      <c r="AB226" s="193">
        <f t="shared" si="91"/>
        <v>48060</v>
      </c>
      <c r="AC226" s="119">
        <f>IF(OR(t&lt;Tnet,NoTnet),'2030'!Resal_s+('2030'!Salim-'2030'!Resal_s)*(1-EXP(('2030'!Tnet_s-t)/'2030'!Tau_j)),Resal_s+(Salim-Resal_s)*(1-EXP((Tnet_s-t)/Tau_j)))*Salcycl</f>
        <v>4.4346959851012509E-2</v>
      </c>
      <c r="AD226" s="227">
        <f>(INDEX(Models!$BJ226:$BT226,,AH226)*(1-AF226)+INDEX(Models!$BJ226:$BT226,,AH226+1)*AF226-ERP_i)*AE226*Ramure*Pc/MaxiM</f>
        <v>6.4170900989314139E-5</v>
      </c>
      <c r="AE226" s="301">
        <f t="shared" si="92"/>
        <v>0.5</v>
      </c>
      <c r="AF226" s="173">
        <f t="shared" si="93"/>
        <v>0.93913891909868141</v>
      </c>
      <c r="AG226" s="802">
        <f t="shared" si="99"/>
        <v>4</v>
      </c>
      <c r="AH226" s="172">
        <f t="shared" si="94"/>
        <v>10</v>
      </c>
      <c r="AI226" s="221">
        <f t="shared" si="95"/>
        <v>4.9391389190986814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48061</v>
      </c>
      <c r="B227" s="406">
        <f>'2030'!Wh/'2030'!Env_an*'2031'!Env_an</f>
        <v>56.445591149204724</v>
      </c>
      <c r="C227" s="832"/>
      <c r="D227" s="388">
        <f t="shared" si="77"/>
        <v>59.247492316636837</v>
      </c>
      <c r="E227" s="380">
        <f t="shared" si="75"/>
        <v>59.655499448863573</v>
      </c>
      <c r="F227" s="380">
        <f t="shared" si="78"/>
        <v>59.65620548957628</v>
      </c>
      <c r="G227" s="110">
        <f t="shared" si="76"/>
        <v>0.99884388006327329</v>
      </c>
      <c r="H227" s="409" t="b">
        <f>Wh_hp&gt;='2030'!Maxi_hp</f>
        <v>0</v>
      </c>
      <c r="I227" s="385">
        <f>IF(H227,Wh_hp,'2030'!Maxi_hp)</f>
        <v>59.656206346936855</v>
      </c>
      <c r="J227" s="85">
        <f>IF(H227,An,'2030'!An_max)</f>
        <v>2029</v>
      </c>
      <c r="K227" s="193">
        <f t="shared" si="79"/>
        <v>48061</v>
      </c>
      <c r="L227" s="143">
        <f>IF(t&lt;Tvie,1-EXP((T0-t)*PertePVj)+'2030'!Pspv,1-EXP((T0-t)*PertePVj)+Pspv)</f>
        <v>4.7291472733696271E-2</v>
      </c>
      <c r="M227" s="836"/>
      <c r="N227" s="836"/>
      <c r="O227" s="48">
        <f>IF(t&lt;Tnet,'2030'!Resal+('2030'!Salim-'2030'!Resal)*(1-EXP(('2030'!Tnet-t)/('2030'!Tau_j))),Resal+(Salim-Resal)*(1-EXP((Tnet-t)/(Tau_j))))*Salcycl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1.1854738547394064E-5</v>
      </c>
      <c r="Q227" s="301">
        <f t="shared" si="80"/>
        <v>0.5</v>
      </c>
      <c r="R227" s="173">
        <f t="shared" si="81"/>
        <v>0.4161264074533737</v>
      </c>
      <c r="S227" s="802">
        <f t="shared" si="82"/>
        <v>1</v>
      </c>
      <c r="T227" s="172">
        <f t="shared" si="83"/>
        <v>7</v>
      </c>
      <c r="U227" s="247">
        <f t="shared" si="84"/>
        <v>1.4161264074533737</v>
      </c>
      <c r="V227" s="378">
        <f t="shared" si="85"/>
        <v>56.510923449288576</v>
      </c>
      <c r="W227" s="397">
        <f t="shared" si="86"/>
        <v>56.445591149204724</v>
      </c>
      <c r="X227" s="153">
        <f t="shared" si="87"/>
        <v>48061</v>
      </c>
      <c r="Y227" s="380">
        <f t="shared" si="88"/>
        <v>54.308804715866358</v>
      </c>
      <c r="Z227" s="380">
        <f t="shared" si="89"/>
        <v>57.004637999514628</v>
      </c>
      <c r="AA227" s="381">
        <f t="shared" si="90"/>
        <v>59.652159433786977</v>
      </c>
      <c r="AB227" s="193">
        <f t="shared" si="91"/>
        <v>48061</v>
      </c>
      <c r="AC227" s="119">
        <f>IF(OR(t&lt;Tnet,NoTnet),'2030'!Resal_s+('2030'!Salim-'2030'!Resal_s)*(1-EXP(('2030'!Tnet_s-t)/'2030'!Tau_j)),Resal_s+(Salim-Resal_s)*(1-EXP((Tnet_s-t)/Tau_j)))*Salcycl</f>
        <v>4.4382658723546388E-2</v>
      </c>
      <c r="AD227" s="227">
        <f>(INDEX(Models!$BJ227:$BT227,,AH227)*(1-AF227)+INDEX(Models!$BJ227:$BT227,,AH227+1)*AF227-ERP_i)*AE227*Ramure*Pc/MaxiM</f>
        <v>6.7935081740830039E-5</v>
      </c>
      <c r="AE227" s="301">
        <f t="shared" si="92"/>
        <v>0.5</v>
      </c>
      <c r="AF227" s="173">
        <f t="shared" si="93"/>
        <v>0.94111397382735085</v>
      </c>
      <c r="AG227" s="802">
        <f t="shared" si="99"/>
        <v>4</v>
      </c>
      <c r="AH227" s="172">
        <f t="shared" si="94"/>
        <v>10</v>
      </c>
      <c r="AI227" s="221">
        <f t="shared" si="95"/>
        <v>4.9411139738273508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48062</v>
      </c>
      <c r="B228" s="406">
        <f>'2030'!Wh/'2030'!Env_an*'2031'!Env_an</f>
        <v>56.455672459341478</v>
      </c>
      <c r="C228" s="832"/>
      <c r="D228" s="388">
        <f t="shared" si="77"/>
        <v>59.258885257029739</v>
      </c>
      <c r="E228" s="380">
        <f t="shared" si="75"/>
        <v>59.671196684793834</v>
      </c>
      <c r="F228" s="380">
        <f t="shared" si="78"/>
        <v>59.671955685390998</v>
      </c>
      <c r="G228" s="110">
        <f t="shared" si="76"/>
        <v>1.0030289075718304</v>
      </c>
      <c r="H228" s="409" t="b">
        <f>Wh_hp&gt;='2030'!Maxi_hp</f>
        <v>1</v>
      </c>
      <c r="I228" s="385">
        <f>IF(H228,Wh_hp,'2030'!Maxi_hp)</f>
        <v>59.671955685390998</v>
      </c>
      <c r="J228" s="85">
        <f>IF(H228,An,'2030'!An_max)</f>
        <v>2031</v>
      </c>
      <c r="K228" s="193">
        <f t="shared" si="79"/>
        <v>48062</v>
      </c>
      <c r="L228" s="143">
        <f>IF(t&lt;Tvie,1-EXP((T0-t)*PertePVj)+'2030'!Pspv,1-EXP((T0-t)*PertePVj)+Pspv)</f>
        <v>4.7304514513386353E-2</v>
      </c>
      <c r="M228" s="836"/>
      <c r="N228" s="836"/>
      <c r="O228" s="48">
        <f>IF(t&lt;Tnet,'2030'!Resal+('2030'!Salim-'2030'!Resal)*(1-EXP(('2030'!Tnet-t)/('2030'!Tau_j))),Resal+(Salim-Resal)*(1-EXP((Tnet-t)/(Tau_j))))*Salcycl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1.2719552902901502E-5</v>
      </c>
      <c r="Q228" s="301">
        <f t="shared" si="80"/>
        <v>0.5</v>
      </c>
      <c r="R228" s="173">
        <f t="shared" si="81"/>
        <v>0.41803846053801053</v>
      </c>
      <c r="S228" s="802">
        <f t="shared" si="82"/>
        <v>1</v>
      </c>
      <c r="T228" s="172">
        <f t="shared" si="83"/>
        <v>7</v>
      </c>
      <c r="U228" s="247">
        <f t="shared" si="84"/>
        <v>1.4180384605380105</v>
      </c>
      <c r="V228" s="378">
        <f t="shared" si="85"/>
        <v>56.285189821708592</v>
      </c>
      <c r="W228" s="397">
        <f t="shared" si="86"/>
        <v>56.455672459341478</v>
      </c>
      <c r="X228" s="153">
        <f t="shared" si="87"/>
        <v>48062</v>
      </c>
      <c r="Y228" s="380">
        <f t="shared" si="88"/>
        <v>54.320140740518859</v>
      </c>
      <c r="Z228" s="380">
        <f t="shared" si="89"/>
        <v>57.017317251979478</v>
      </c>
      <c r="AA228" s="381">
        <f t="shared" si="90"/>
        <v>59.667646654053542</v>
      </c>
      <c r="AB228" s="193">
        <f t="shared" si="91"/>
        <v>48062</v>
      </c>
      <c r="AC228" s="119">
        <f>IF(OR(t&lt;Tnet,NoTnet),'2030'!Resal_s+('2030'!Salim-'2030'!Resal_s)*(1-EXP(('2030'!Tnet_s-t)/'2030'!Tau_j)),Resal_s+(Salim-Resal_s)*(1-EXP((Tnet_s-t)/Tau_j)))*Salcycl</f>
        <v>4.4418198985463272E-2</v>
      </c>
      <c r="AD228" s="227">
        <f>(INDEX(Models!$BJ228:$BT228,,AH228)*(1-AF228)+INDEX(Models!$BJ228:$BT228,,AH228+1)*AF228-ERP_i)*AE228*Ramure*Pc/MaxiM</f>
        <v>7.2212001231751699E-5</v>
      </c>
      <c r="AE228" s="301">
        <f t="shared" si="92"/>
        <v>0.5</v>
      </c>
      <c r="AF228" s="173">
        <f t="shared" si="93"/>
        <v>0.943026026911987</v>
      </c>
      <c r="AG228" s="802">
        <f t="shared" si="99"/>
        <v>4</v>
      </c>
      <c r="AH228" s="172">
        <f t="shared" si="94"/>
        <v>10</v>
      </c>
      <c r="AI228" s="221">
        <f t="shared" si="95"/>
        <v>4.943026026911987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48063</v>
      </c>
      <c r="B229" s="406">
        <f>'2030'!Wh/'2030'!Env_an*'2031'!Env_an</f>
        <v>56.054181088072468</v>
      </c>
      <c r="C229" s="832"/>
      <c r="D229" s="388">
        <f t="shared" si="77"/>
        <v>58.838263943921405</v>
      </c>
      <c r="E229" s="380">
        <f t="shared" si="75"/>
        <v>59.251840146948439</v>
      </c>
      <c r="F229" s="380">
        <f t="shared" si="78"/>
        <v>59.252652454113992</v>
      </c>
      <c r="G229" s="110">
        <f t="shared" si="76"/>
        <v>0.99994212612638367</v>
      </c>
      <c r="H229" s="409" t="b">
        <f>Wh_hp&gt;='2030'!Maxi_hp</f>
        <v>0</v>
      </c>
      <c r="I229" s="385">
        <f>IF(H229,Wh_hp,'2030'!Maxi_hp)</f>
        <v>59.252652503112273</v>
      </c>
      <c r="J229" s="85">
        <f>IF(H229,An,'2030'!An_max)</f>
        <v>2029</v>
      </c>
      <c r="K229" s="193">
        <f t="shared" si="79"/>
        <v>48063</v>
      </c>
      <c r="L229" s="143">
        <f>IF(t&lt;Tvie,1-EXP((T0-t)*PertePVj)+'2030'!Pspv,1-EXP((T0-t)*PertePVj)+Pspv)</f>
        <v>4.7317556114545467E-2</v>
      </c>
      <c r="M229" s="836"/>
      <c r="N229" s="836"/>
      <c r="O229" s="48">
        <f>IF(t&lt;Tnet,'2030'!Resal+('2030'!Salim-'2030'!Resal)*(1-EXP(('2030'!Tnet-t)/('2030'!Tau_j))),Resal+(Salim-Resal)*(1-EXP((Tnet-t)/(Tau_j))))*Salcycl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1.3710345364025414E-5</v>
      </c>
      <c r="Q229" s="301">
        <f t="shared" si="80"/>
        <v>0.5</v>
      </c>
      <c r="R229" s="173">
        <f t="shared" si="81"/>
        <v>0.41988894086073358</v>
      </c>
      <c r="S229" s="802">
        <f t="shared" si="82"/>
        <v>1</v>
      </c>
      <c r="T229" s="172">
        <f t="shared" si="83"/>
        <v>7</v>
      </c>
      <c r="U229" s="247">
        <f t="shared" si="84"/>
        <v>1.4198889408607336</v>
      </c>
      <c r="V229" s="378">
        <f t="shared" si="85"/>
        <v>56.057425284879955</v>
      </c>
      <c r="W229" s="397">
        <f t="shared" si="86"/>
        <v>56.054181088072468</v>
      </c>
      <c r="X229" s="153">
        <f t="shared" si="87"/>
        <v>48063</v>
      </c>
      <c r="Y229" s="380">
        <f t="shared" si="88"/>
        <v>53.935449511226444</v>
      </c>
      <c r="Z229" s="380">
        <f t="shared" si="89"/>
        <v>56.614299819837299</v>
      </c>
      <c r="AA229" s="381">
        <f t="shared" si="90"/>
        <v>59.248089924388935</v>
      </c>
      <c r="AB229" s="193">
        <f t="shared" si="91"/>
        <v>48063</v>
      </c>
      <c r="AC229" s="119">
        <f>IF(OR(t&lt;Tnet,NoTnet),'2030'!Resal_s+('2030'!Salim-'2030'!Resal_s)*(1-EXP(('2030'!Tnet_s-t)/'2030'!Tau_j)),Resal_s+(Salim-Resal_s)*(1-EXP((Tnet_s-t)/Tau_j)))*Salcycl</f>
        <v>4.4453586738624332E-2</v>
      </c>
      <c r="AD229" s="227">
        <f>(INDEX(Models!$BJ229:$BT229,,AH229)*(1-AF229)+INDEX(Models!$BJ229:$BT229,,AH229+1)*AF229-ERP_i)*AE229*Ramure*Pc/MaxiM</f>
        <v>7.7007640602924388E-5</v>
      </c>
      <c r="AE229" s="301">
        <f t="shared" si="92"/>
        <v>0.5</v>
      </c>
      <c r="AF229" s="173">
        <f t="shared" si="93"/>
        <v>0.94487650723471006</v>
      </c>
      <c r="AG229" s="802">
        <f t="shared" si="99"/>
        <v>4</v>
      </c>
      <c r="AH229" s="172">
        <f t="shared" si="94"/>
        <v>10</v>
      </c>
      <c r="AI229" s="221">
        <f t="shared" si="95"/>
        <v>4.9448765072347101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48064</v>
      </c>
      <c r="B230" s="406">
        <f>'2030'!Wh/'2030'!Env_an*'2031'!Env_an</f>
        <v>53.475082562261491</v>
      </c>
      <c r="C230" s="832"/>
      <c r="D230" s="388">
        <f t="shared" si="77"/>
        <v>56.131835896081739</v>
      </c>
      <c r="E230" s="380">
        <f t="shared" si="75"/>
        <v>56.530382856680824</v>
      </c>
      <c r="F230" s="380">
        <f t="shared" si="78"/>
        <v>56.531170675929133</v>
      </c>
      <c r="G230" s="110">
        <f t="shared" si="76"/>
        <v>0.95785079442386467</v>
      </c>
      <c r="H230" s="409" t="b">
        <f>Wh_hp&gt;='2030'!Maxi_hp</f>
        <v>0</v>
      </c>
      <c r="I230" s="385">
        <f>IF(H230,Wh_hp,'2030'!Maxi_hp)</f>
        <v>56.531207392998965</v>
      </c>
      <c r="J230" s="85">
        <f>IF(H230,An,'2030'!An_max)</f>
        <v>2029</v>
      </c>
      <c r="K230" s="193">
        <f t="shared" si="79"/>
        <v>48064</v>
      </c>
      <c r="L230" s="143">
        <f>IF(t&lt;Tvie,1-EXP((T0-t)*PertePVj)+'2030'!Pspv,1-EXP((T0-t)*PertePVj)+Pspv)</f>
        <v>4.7330597537175945E-2</v>
      </c>
      <c r="M230" s="836"/>
      <c r="N230" s="836"/>
      <c r="O230" s="48">
        <f>IF(t&lt;Tnet,'2030'!Resal+('2030'!Salim-'2030'!Resal)*(1-EXP(('2030'!Tnet-t)/('2030'!Tau_j))),Resal+(Salim-Resal)*(1-EXP((Tnet-t)/(Tau_j))))*Salcycl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1.4828891250305544E-5</v>
      </c>
      <c r="Q230" s="301">
        <f t="shared" si="80"/>
        <v>0.5</v>
      </c>
      <c r="R230" s="173">
        <f t="shared" si="81"/>
        <v>0.42167928739541027</v>
      </c>
      <c r="S230" s="802">
        <f t="shared" si="82"/>
        <v>1</v>
      </c>
      <c r="T230" s="172">
        <f t="shared" si="83"/>
        <v>7</v>
      </c>
      <c r="U230" s="247">
        <f t="shared" si="84"/>
        <v>1.4216792873954103</v>
      </c>
      <c r="V230" s="378">
        <f t="shared" si="85"/>
        <v>55.828146853639076</v>
      </c>
      <c r="W230" s="397">
        <f t="shared" si="86"/>
        <v>53.475082562261491</v>
      </c>
      <c r="X230" s="153">
        <f t="shared" si="87"/>
        <v>48064</v>
      </c>
      <c r="Y230" s="380">
        <f t="shared" si="88"/>
        <v>51.455566355817894</v>
      </c>
      <c r="Z230" s="380">
        <f t="shared" si="89"/>
        <v>54.011985923758942</v>
      </c>
      <c r="AA230" s="381">
        <f t="shared" si="90"/>
        <v>56.526796812543594</v>
      </c>
      <c r="AB230" s="193">
        <f t="shared" si="91"/>
        <v>48064</v>
      </c>
      <c r="AC230" s="119">
        <f>IF(OR(t&lt;Tnet,NoTnet),'2030'!Resal_s+('2030'!Salim-'2030'!Resal_s)*(1-EXP(('2030'!Tnet_s-t)/'2030'!Tau_j)),Resal_s+(Salim-Resal_s)*(1-EXP((Tnet_s-t)/Tau_j)))*Salcycl</f>
        <v>4.4488827080090304E-2</v>
      </c>
      <c r="AD230" s="227">
        <f>(INDEX(Models!$BJ230:$BT230,,AH230)*(1-AF230)+INDEX(Models!$BJ230:$BT230,,AH230+1)*AF230-ERP_i)*AE230*Ramure*Pc/MaxiM</f>
        <v>8.2327951019956877E-5</v>
      </c>
      <c r="AE230" s="301">
        <f t="shared" si="92"/>
        <v>0.5</v>
      </c>
      <c r="AF230" s="173">
        <f t="shared" si="93"/>
        <v>0.9466668537693872</v>
      </c>
      <c r="AG230" s="802">
        <f t="shared" si="99"/>
        <v>4</v>
      </c>
      <c r="AH230" s="172">
        <f t="shared" si="94"/>
        <v>10</v>
      </c>
      <c r="AI230" s="221">
        <f t="shared" si="95"/>
        <v>4.9466668537693872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48065</v>
      </c>
      <c r="B231" s="406">
        <f>'2030'!Wh/'2030'!Env_an*'2031'!Env_an</f>
        <v>42.685153836143108</v>
      </c>
      <c r="C231" s="832"/>
      <c r="D231" s="388">
        <f t="shared" si="77"/>
        <v>44.806454429734352</v>
      </c>
      <c r="E231" s="380">
        <f t="shared" si="75"/>
        <v>45.127774018757783</v>
      </c>
      <c r="F231" s="380">
        <f t="shared" si="78"/>
        <v>45.128258822331993</v>
      </c>
      <c r="G231" s="110">
        <f t="shared" si="76"/>
        <v>0.76774389175646385</v>
      </c>
      <c r="H231" s="409" t="b">
        <f>Wh_hp&gt;='2030'!Maxi_hp</f>
        <v>0</v>
      </c>
      <c r="I231" s="385">
        <f>IF(H231,Wh_hp,'2030'!Maxi_hp)</f>
        <v>45.128433447277068</v>
      </c>
      <c r="J231" s="85">
        <f>IF(H231,An,'2030'!An_max)</f>
        <v>2029</v>
      </c>
      <c r="K231" s="193">
        <f t="shared" si="79"/>
        <v>48065</v>
      </c>
      <c r="L231" s="143">
        <f>IF(t&lt;Tvie,1-EXP((T0-t)*PertePVj)+'2030'!Pspv,1-EXP((T0-t)*PertePVj)+Pspv)</f>
        <v>4.7343638781280339E-2</v>
      </c>
      <c r="M231" s="836"/>
      <c r="N231" s="836"/>
      <c r="O231" s="48">
        <f>IF(t&lt;Tnet,'2030'!Resal+('2030'!Salim-'2030'!Resal)*(1-EXP(('2030'!Tnet-t)/('2030'!Tau_j))),Resal+(Salim-Resal)*(1-EXP((Tnet-t)/(Tau_j))))*Salcycl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1.6076938420122036E-5</v>
      </c>
      <c r="Q231" s="301">
        <f t="shared" si="80"/>
        <v>0.5</v>
      </c>
      <c r="R231" s="173">
        <f t="shared" si="81"/>
        <v>0.42341094536905266</v>
      </c>
      <c r="S231" s="802">
        <f t="shared" si="82"/>
        <v>1</v>
      </c>
      <c r="T231" s="172">
        <f t="shared" si="83"/>
        <v>7</v>
      </c>
      <c r="U231" s="247">
        <f t="shared" si="84"/>
        <v>1.4234109453690527</v>
      </c>
      <c r="V231" s="378">
        <f t="shared" si="85"/>
        <v>55.597871377723521</v>
      </c>
      <c r="W231" s="397">
        <f t="shared" si="86"/>
        <v>42.685153836143108</v>
      </c>
      <c r="X231" s="153">
        <f t="shared" si="87"/>
        <v>48065</v>
      </c>
      <c r="Y231" s="380">
        <f t="shared" si="88"/>
        <v>41.075142256179433</v>
      </c>
      <c r="Z231" s="380">
        <f t="shared" si="89"/>
        <v>43.116430990533239</v>
      </c>
      <c r="AA231" s="381">
        <f t="shared" si="90"/>
        <v>45.12559977120145</v>
      </c>
      <c r="AB231" s="193">
        <f t="shared" si="91"/>
        <v>48065</v>
      </c>
      <c r="AC231" s="119">
        <f>IF(OR(t&lt;Tnet,NoTnet),'2030'!Resal_s+('2030'!Salim-'2030'!Resal_s)*(1-EXP(('2030'!Tnet_s-t)/'2030'!Tau_j)),Resal_s+(Salim-Resal_s)*(1-EXP((Tnet_s-t)/Tau_j)))*Salcycl</f>
        <v>4.4523924132980369E-2</v>
      </c>
      <c r="AD231" s="227">
        <f>(INDEX(Models!$BJ231:$BT231,,AH231)*(1-AF231)+INDEX(Models!$BJ231:$BT231,,AH231+1)*AF231-ERP_i)*AE231*Ramure*Pc/MaxiM</f>
        <v>8.8178807987519646E-5</v>
      </c>
      <c r="AE231" s="301">
        <f t="shared" si="92"/>
        <v>0.5</v>
      </c>
      <c r="AF231" s="173">
        <f t="shared" si="93"/>
        <v>0.94839851174302936</v>
      </c>
      <c r="AG231" s="802">
        <f t="shared" si="99"/>
        <v>4</v>
      </c>
      <c r="AH231" s="172">
        <f t="shared" si="94"/>
        <v>10</v>
      </c>
      <c r="AI231" s="221">
        <f t="shared" si="95"/>
        <v>4.9483985117430294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48066</v>
      </c>
      <c r="B232" s="406">
        <f>'2030'!Wh/'2030'!Env_an*'2031'!Env_an</f>
        <v>50.931260510757227</v>
      </c>
      <c r="C232" s="832"/>
      <c r="D232" s="388">
        <f t="shared" si="77"/>
        <v>53.463095193455977</v>
      </c>
      <c r="E232" s="380">
        <f t="shared" si="75"/>
        <v>53.850290332847777</v>
      </c>
      <c r="F232" s="380">
        <f t="shared" si="78"/>
        <v>53.851122778645298</v>
      </c>
      <c r="G232" s="110">
        <f t="shared" si="76"/>
        <v>0.9198810205925031</v>
      </c>
      <c r="H232" s="409" t="b">
        <f>Wh_hp&gt;='2030'!Maxi_hp</f>
        <v>0</v>
      </c>
      <c r="I232" s="385">
        <f>IF(H232,Wh_hp,'2030'!Maxi_hp)</f>
        <v>53.851200625141161</v>
      </c>
      <c r="J232" s="85">
        <f>IF(H232,An,'2030'!An_max)</f>
        <v>2029</v>
      </c>
      <c r="K232" s="193">
        <f t="shared" si="79"/>
        <v>48066</v>
      </c>
      <c r="L232" s="143">
        <f>IF(t&lt;Tvie,1-EXP((T0-t)*PertePVj)+'2030'!Pspv,1-EXP((T0-t)*PertePVj)+Pspv)</f>
        <v>4.7356679846861094E-2</v>
      </c>
      <c r="M232" s="836"/>
      <c r="N232" s="836"/>
      <c r="O232" s="48">
        <f>IF(t&lt;Tnet,'2030'!Resal+('2030'!Salim-'2030'!Resal)*(1-EXP(('2030'!Tnet-t)/('2030'!Tau_j))),Resal+(Salim-Resal)*(1-EXP((Tnet-t)/(Tau_j))))*Salcycl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1.7456196239144702E-5</v>
      </c>
      <c r="Q232" s="301">
        <f t="shared" si="80"/>
        <v>0.5</v>
      </c>
      <c r="R232" s="173">
        <f t="shared" si="81"/>
        <v>0.42508536267858421</v>
      </c>
      <c r="S232" s="802">
        <f t="shared" si="82"/>
        <v>1</v>
      </c>
      <c r="T232" s="172">
        <f t="shared" si="83"/>
        <v>7</v>
      </c>
      <c r="U232" s="247">
        <f t="shared" si="84"/>
        <v>1.4250853626785842</v>
      </c>
      <c r="V232" s="378">
        <f t="shared" si="85"/>
        <v>55.367115542884484</v>
      </c>
      <c r="W232" s="397">
        <f t="shared" si="86"/>
        <v>50.931260510757227</v>
      </c>
      <c r="X232" s="153">
        <f t="shared" si="87"/>
        <v>48066</v>
      </c>
      <c r="Y232" s="380">
        <f t="shared" si="88"/>
        <v>49.010896499313503</v>
      </c>
      <c r="Z232" s="380">
        <f t="shared" si="89"/>
        <v>51.447268313847964</v>
      </c>
      <c r="AA232" s="381">
        <f t="shared" si="90"/>
        <v>53.846613145685417</v>
      </c>
      <c r="AB232" s="193">
        <f t="shared" si="91"/>
        <v>48066</v>
      </c>
      <c r="AC232" s="119">
        <f>IF(OR(t&lt;Tnet,NoTnet),'2030'!Resal_s+('2030'!Salim-'2030'!Resal_s)*(1-EXP(('2030'!Tnet_s-t)/'2030'!Tau_j)),Resal_s+(Salim-Resal_s)*(1-EXP((Tnet_s-t)/Tau_j)))*Salcycl</f>
        <v>4.4558881082193129E-2</v>
      </c>
      <c r="AD232" s="227">
        <f>(INDEX(Models!$BJ232:$BT232,,AH232)*(1-AF232)+INDEX(Models!$BJ232:$BT232,,AH232+1)*AF232-ERP_i)*AE232*Ramure*Pc/MaxiM</f>
        <v>9.4565962311106086E-5</v>
      </c>
      <c r="AE232" s="301">
        <f t="shared" si="92"/>
        <v>0.5</v>
      </c>
      <c r="AF232" s="173">
        <f t="shared" si="93"/>
        <v>0.95007292905256069</v>
      </c>
      <c r="AG232" s="802">
        <f t="shared" si="99"/>
        <v>4</v>
      </c>
      <c r="AH232" s="172">
        <f t="shared" si="94"/>
        <v>10</v>
      </c>
      <c r="AI232" s="221">
        <f t="shared" si="95"/>
        <v>4.9500729290525607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48067</v>
      </c>
      <c r="B233" s="406">
        <f>'2030'!Wh/'2030'!Env_an*'2031'!Env_an</f>
        <v>53.699523844284826</v>
      </c>
      <c r="C233" s="832"/>
      <c r="D233" s="388">
        <f t="shared" si="77"/>
        <v>56.369742819486838</v>
      </c>
      <c r="E233" s="380">
        <f t="shared" ref="E233:E296" si="100">Wh_pvt/(1-Psa)</f>
        <v>56.781987247769372</v>
      </c>
      <c r="F233" s="380">
        <f t="shared" si="78"/>
        <v>56.783024318215389</v>
      </c>
      <c r="G233" s="110">
        <f t="shared" ref="G233:G296" si="101">+Wh_hp/MaxiM</f>
        <v>0.97397366254452544</v>
      </c>
      <c r="H233" s="409" t="b">
        <f>Wh_hp&gt;='2030'!Maxi_hp</f>
        <v>0</v>
      </c>
      <c r="I233" s="385">
        <f>IF(H233,Wh_hp,'2030'!Maxi_hp)</f>
        <v>56.783053223603659</v>
      </c>
      <c r="J233" s="85">
        <f>IF(H233,An,'2030'!An_max)</f>
        <v>2029</v>
      </c>
      <c r="K233" s="193">
        <f t="shared" si="79"/>
        <v>48067</v>
      </c>
      <c r="L233" s="143">
        <f>IF(t&lt;Tvie,1-EXP((T0-t)*PertePVj)+'2030'!Pspv,1-EXP((T0-t)*PertePVj)+Pspv)</f>
        <v>4.736972073392054E-2</v>
      </c>
      <c r="M233" s="836"/>
      <c r="N233" s="836"/>
      <c r="O233" s="48">
        <f>IF(t&lt;Tnet,'2030'!Resal+('2030'!Salim-'2030'!Resal)*(1-EXP(('2030'!Tnet-t)/('2030'!Tau_j))),Resal+(Salim-Resal)*(1-EXP((Tnet-t)/(Tau_j))))*Salcycl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1.8968998848748106E-5</v>
      </c>
      <c r="Q233" s="301">
        <f t="shared" si="80"/>
        <v>0.5</v>
      </c>
      <c r="R233" s="173">
        <f t="shared" si="81"/>
        <v>0.42670398655814767</v>
      </c>
      <c r="S233" s="802">
        <f t="shared" si="82"/>
        <v>1</v>
      </c>
      <c r="T233" s="172">
        <f t="shared" si="83"/>
        <v>7</v>
      </c>
      <c r="U233" s="247">
        <f t="shared" si="84"/>
        <v>1.4267039865581477</v>
      </c>
      <c r="V233" s="378">
        <f t="shared" si="85"/>
        <v>55.134433339078534</v>
      </c>
      <c r="W233" s="397">
        <f t="shared" si="86"/>
        <v>53.699523844284826</v>
      </c>
      <c r="X233" s="153">
        <f t="shared" si="87"/>
        <v>48067</v>
      </c>
      <c r="Y233" s="380">
        <f t="shared" si="88"/>
        <v>51.675960583430914</v>
      </c>
      <c r="Z233" s="380">
        <f t="shared" si="89"/>
        <v>54.245557492926679</v>
      </c>
      <c r="AA233" s="381">
        <f t="shared" si="90"/>
        <v>56.777475200962748</v>
      </c>
      <c r="AB233" s="193">
        <f t="shared" si="91"/>
        <v>48067</v>
      </c>
      <c r="AC233" s="119">
        <f>IF(OR(t&lt;Tnet,NoTnet),'2030'!Resal_s+('2030'!Salim-'2030'!Resal_s)*(1-EXP(('2030'!Tnet_s-t)/'2030'!Tau_j)),Resal_s+(Salim-Resal_s)*(1-EXP((Tnet_s-t)/Tau_j)))*Salcycl</f>
        <v>4.4593700214290842E-2</v>
      </c>
      <c r="AD233" s="227">
        <f>(INDEX(Models!$BJ233:$BT233,,AH233)*(1-AF233)+INDEX(Models!$BJ233:$BT233,,AH233+1)*AF233-ERP_i)*AE233*Ramure*Pc/MaxiM</f>
        <v>1.0149860039030703E-4</v>
      </c>
      <c r="AE233" s="301">
        <f t="shared" si="92"/>
        <v>0.5</v>
      </c>
      <c r="AF233" s="173">
        <f t="shared" si="93"/>
        <v>0.95169155293212437</v>
      </c>
      <c r="AG233" s="802">
        <f t="shared" si="99"/>
        <v>4</v>
      </c>
      <c r="AH233" s="172">
        <f t="shared" si="94"/>
        <v>10</v>
      </c>
      <c r="AI233" s="221">
        <f t="shared" si="95"/>
        <v>4.9516915529321244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48068</v>
      </c>
      <c r="B234" s="406">
        <f>'2030'!Wh/'2030'!Env_an*'2031'!Env_an</f>
        <v>55.091076452512041</v>
      </c>
      <c r="C234" s="832"/>
      <c r="D234" s="388">
        <f t="shared" si="77"/>
        <v>57.831282305925328</v>
      </c>
      <c r="E234" s="380">
        <f t="shared" si="100"/>
        <v>58.258313104364561</v>
      </c>
      <c r="F234" s="380">
        <f t="shared" si="78"/>
        <v>58.259512816427652</v>
      </c>
      <c r="G234" s="110">
        <f t="shared" si="101"/>
        <v>1.0035125626922676</v>
      </c>
      <c r="H234" s="409" t="b">
        <f>Wh_hp&gt;='2030'!Maxi_hp</f>
        <v>1</v>
      </c>
      <c r="I234" s="385">
        <f>IF(H234,Wh_hp,'2030'!Maxi_hp)</f>
        <v>58.259512816427652</v>
      </c>
      <c r="J234" s="85">
        <f>IF(H234,An,'2030'!An_max)</f>
        <v>2031</v>
      </c>
      <c r="K234" s="193">
        <f t="shared" si="79"/>
        <v>48068</v>
      </c>
      <c r="L234" s="143">
        <f>IF(t&lt;Tvie,1-EXP((T0-t)*PertePVj)+'2030'!Pspv,1-EXP((T0-t)*PertePVj)+Pspv)</f>
        <v>4.738276144246123E-2</v>
      </c>
      <c r="M234" s="836"/>
      <c r="N234" s="836"/>
      <c r="O234" s="48">
        <f>IF(t&lt;Tnet,'2030'!Resal+('2030'!Salim-'2030'!Resal)*(1-EXP(('2030'!Tnet-t)/('2030'!Tau_j))),Resal+(Salim-Resal)*(1-EXP((Tnet-t)/(Tau_j))))*Salcycl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2.0592552273327671E-5</v>
      </c>
      <c r="Q234" s="301">
        <f t="shared" si="80"/>
        <v>0.5</v>
      </c>
      <c r="R234" s="173">
        <f t="shared" si="81"/>
        <v>0.42826826049106925</v>
      </c>
      <c r="S234" s="802">
        <f t="shared" si="82"/>
        <v>1</v>
      </c>
      <c r="T234" s="172">
        <f t="shared" si="83"/>
        <v>7</v>
      </c>
      <c r="U234" s="247">
        <f t="shared" si="84"/>
        <v>1.4282682604910693</v>
      </c>
      <c r="V234" s="378">
        <f t="shared" si="85"/>
        <v>54.898242932516226</v>
      </c>
      <c r="W234" s="397">
        <f t="shared" si="86"/>
        <v>55.091076452512041</v>
      </c>
      <c r="X234" s="153">
        <f t="shared" si="87"/>
        <v>48068</v>
      </c>
      <c r="Y234" s="380">
        <f t="shared" si="88"/>
        <v>53.016411475912506</v>
      </c>
      <c r="Z234" s="380">
        <f t="shared" si="89"/>
        <v>55.653424408097436</v>
      </c>
      <c r="AA234" s="381">
        <f t="shared" si="90"/>
        <v>58.25316914958686</v>
      </c>
      <c r="AB234" s="193">
        <f t="shared" si="91"/>
        <v>48068</v>
      </c>
      <c r="AC234" s="119">
        <f>IF(OR(t&lt;Tnet,NoTnet),'2030'!Resal_s+('2030'!Salim-'2030'!Resal_s)*(1-EXP(('2030'!Tnet_s-t)/'2030'!Tau_j)),Resal_s+(Salim-Resal_s)*(1-EXP((Tnet_s-t)/Tau_j)))*Salcycl</f>
        <v>4.4628382960824033E-2</v>
      </c>
      <c r="AD234" s="227">
        <f>(INDEX(Models!$BJ234:$BT234,,AH234)*(1-AF234)+INDEX(Models!$BJ234:$BT234,,AH234+1)*AF234-ERP_i)*AE234*Ramure*Pc/MaxiM</f>
        <v>1.0888636952353661E-4</v>
      </c>
      <c r="AE234" s="301">
        <f t="shared" si="92"/>
        <v>0.5</v>
      </c>
      <c r="AF234" s="173">
        <f t="shared" si="93"/>
        <v>0.95325582686504617</v>
      </c>
      <c r="AG234" s="802">
        <f t="shared" si="99"/>
        <v>4</v>
      </c>
      <c r="AH234" s="172">
        <f t="shared" si="94"/>
        <v>10</v>
      </c>
      <c r="AI234" s="221">
        <f t="shared" si="95"/>
        <v>4.9532558268650462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48069</v>
      </c>
      <c r="B235" s="406">
        <f>'2030'!Wh/'2030'!Env_an*'2031'!Env_an</f>
        <v>52.523685697858241</v>
      </c>
      <c r="C235" s="832"/>
      <c r="D235" s="388">
        <f t="shared" si="77"/>
        <v>55.136945445563931</v>
      </c>
      <c r="E235" s="380">
        <f t="shared" si="100"/>
        <v>55.547983751087948</v>
      </c>
      <c r="F235" s="380">
        <f t="shared" si="78"/>
        <v>55.549152048865949</v>
      </c>
      <c r="G235" s="110">
        <f t="shared" si="101"/>
        <v>0.96093519694504159</v>
      </c>
      <c r="H235" s="409" t="b">
        <f>Wh_hp&gt;='2030'!Maxi_hp</f>
        <v>0</v>
      </c>
      <c r="I235" s="385">
        <f>IF(H235,Wh_hp,'2030'!Maxi_hp)</f>
        <v>55.549201670831643</v>
      </c>
      <c r="J235" s="85">
        <f>IF(H235,An,'2030'!An_max)</f>
        <v>2029</v>
      </c>
      <c r="K235" s="193">
        <f t="shared" si="79"/>
        <v>48069</v>
      </c>
      <c r="L235" s="143">
        <f>IF(t&lt;Tvie,1-EXP((T0-t)*PertePVj)+'2030'!Pspv,1-EXP((T0-t)*PertePVj)+Pspv)</f>
        <v>4.7395801972485607E-2</v>
      </c>
      <c r="M235" s="836"/>
      <c r="N235" s="836"/>
      <c r="O235" s="48">
        <f>IF(t&lt;Tnet,'2030'!Resal+('2030'!Salim-'2030'!Resal)*(1-EXP(('2030'!Tnet-t)/('2030'!Tau_j))),Resal+(Salim-Resal)*(1-EXP((Tnet-t)/(Tau_j))))*Salcycl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2.2274834803064252E-5</v>
      </c>
      <c r="Q235" s="301">
        <f t="shared" si="80"/>
        <v>0.5</v>
      </c>
      <c r="R235" s="173">
        <f t="shared" si="81"/>
        <v>0.42977962135969761</v>
      </c>
      <c r="S235" s="802">
        <f t="shared" si="82"/>
        <v>1</v>
      </c>
      <c r="T235" s="172">
        <f t="shared" si="83"/>
        <v>7</v>
      </c>
      <c r="U235" s="247">
        <f t="shared" si="84"/>
        <v>1.4297796213596976</v>
      </c>
      <c r="V235" s="378">
        <f t="shared" si="85"/>
        <v>54.658857927013237</v>
      </c>
      <c r="W235" s="397">
        <f t="shared" si="86"/>
        <v>52.523685697858241</v>
      </c>
      <c r="X235" s="153">
        <f t="shared" si="87"/>
        <v>48069</v>
      </c>
      <c r="Y235" s="380">
        <f t="shared" si="88"/>
        <v>50.547398078142734</v>
      </c>
      <c r="Z235" s="380">
        <f t="shared" si="89"/>
        <v>53.062329751230799</v>
      </c>
      <c r="AA235" s="381">
        <f t="shared" si="90"/>
        <v>55.54304487330343</v>
      </c>
      <c r="AB235" s="193">
        <f t="shared" si="91"/>
        <v>48069</v>
      </c>
      <c r="AC235" s="119">
        <f>IF(OR(t&lt;Tnet,NoTnet),'2030'!Resal_s+('2030'!Salim-'2030'!Resal_s)*(1-EXP(('2030'!Tnet_s-t)/'2030'!Tau_j)),Resal_s+(Salim-Resal_s)*(1-EXP((Tnet_s-t)/Tau_j)))*Salcycl</f>
        <v>4.4662929944357097E-2</v>
      </c>
      <c r="AD235" s="227">
        <f>(INDEX(Models!$BJ235:$BT235,,AH235)*(1-AF235)+INDEX(Models!$BJ235:$BT235,,AH235+1)*AF235-ERP_i)*AE235*Ramure*Pc/MaxiM</f>
        <v>1.1643977188865204E-4</v>
      </c>
      <c r="AE235" s="301">
        <f t="shared" si="92"/>
        <v>0.5</v>
      </c>
      <c r="AF235" s="173">
        <f t="shared" si="93"/>
        <v>0.95476718773367431</v>
      </c>
      <c r="AG235" s="802">
        <f t="shared" si="99"/>
        <v>4</v>
      </c>
      <c r="AH235" s="172">
        <f t="shared" si="94"/>
        <v>10</v>
      </c>
      <c r="AI235" s="221">
        <f t="shared" si="95"/>
        <v>4.9547671877336743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48070</v>
      </c>
      <c r="B236" s="406">
        <f>'2030'!Wh/'2030'!Env_an*'2031'!Env_an</f>
        <v>51.008373160136792</v>
      </c>
      <c r="C236" s="832"/>
      <c r="D236" s="388">
        <f t="shared" si="77"/>
        <v>53.546973167985037</v>
      </c>
      <c r="E236" s="380">
        <f t="shared" si="100"/>
        <v>53.949944523733521</v>
      </c>
      <c r="F236" s="380">
        <f t="shared" si="78"/>
        <v>53.951124314435354</v>
      </c>
      <c r="G236" s="110">
        <f t="shared" si="101"/>
        <v>0.9373660602353544</v>
      </c>
      <c r="H236" s="409" t="b">
        <f>Wh_hp&gt;='2030'!Maxi_hp</f>
        <v>0</v>
      </c>
      <c r="I236" s="385">
        <f>IF(H236,Wh_hp,'2030'!Maxi_hp)</f>
        <v>53.951207460934612</v>
      </c>
      <c r="J236" s="85">
        <f>IF(H236,An,'2030'!An_max)</f>
        <v>2029</v>
      </c>
      <c r="K236" s="193">
        <f t="shared" si="79"/>
        <v>48070</v>
      </c>
      <c r="L236" s="143">
        <f>IF(t&lt;Tvie,1-EXP((T0-t)*PertePVj)+'2030'!Pspv,1-EXP((T0-t)*PertePVj)+Pspv)</f>
        <v>4.7408842323996003E-2</v>
      </c>
      <c r="M236" s="836"/>
      <c r="N236" s="836"/>
      <c r="O236" s="48">
        <f>IF(t&lt;Tnet,'2030'!Resal+('2030'!Salim-'2030'!Resal)*(1-EXP(('2030'!Tnet-t)/('2030'!Tau_j))),Resal+(Salim-Resal)*(1-EXP((Tnet-t)/(Tau_j))))*Salcycl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2.4016637522296952E-5</v>
      </c>
      <c r="Q236" s="301">
        <f t="shared" si="80"/>
        <v>0.5</v>
      </c>
      <c r="R236" s="173">
        <f t="shared" si="81"/>
        <v>0.43123949682559459</v>
      </c>
      <c r="S236" s="802">
        <f t="shared" si="82"/>
        <v>1</v>
      </c>
      <c r="T236" s="172">
        <f t="shared" si="83"/>
        <v>7</v>
      </c>
      <c r="U236" s="247">
        <f t="shared" si="84"/>
        <v>1.4312394968255946</v>
      </c>
      <c r="V236" s="378">
        <f t="shared" si="85"/>
        <v>54.416588898710927</v>
      </c>
      <c r="W236" s="397">
        <f t="shared" si="86"/>
        <v>51.008373160136792</v>
      </c>
      <c r="X236" s="153">
        <f t="shared" si="87"/>
        <v>48070</v>
      </c>
      <c r="Y236" s="380">
        <f t="shared" si="88"/>
        <v>49.09066683631989</v>
      </c>
      <c r="Z236" s="380">
        <f t="shared" si="89"/>
        <v>51.533825860912145</v>
      </c>
      <c r="AA236" s="381">
        <f t="shared" si="90"/>
        <v>53.945025041889821</v>
      </c>
      <c r="AB236" s="193">
        <f t="shared" si="91"/>
        <v>48070</v>
      </c>
      <c r="AC236" s="119">
        <f>IF(OR(t&lt;Tnet,NoTnet),'2030'!Resal_s+('2030'!Salim-'2030'!Resal_s)*(1-EXP(('2030'!Tnet_s-t)/'2030'!Tau_j)),Resal_s+(Salim-Resal_s)*(1-EXP((Tnet_s-t)/Tau_j)))*Salcycl</f>
        <v>4.4697341026448838E-2</v>
      </c>
      <c r="AD236" s="227">
        <f>(INDEX(Models!$BJ236:$BT236,,AH236)*(1-AF236)+INDEX(Models!$BJ236:$BT236,,AH236+1)*AF236-ERP_i)*AE236*Ramure*Pc/MaxiM</f>
        <v>1.2416102080495679E-4</v>
      </c>
      <c r="AE236" s="301">
        <f t="shared" si="92"/>
        <v>0.5</v>
      </c>
      <c r="AF236" s="173">
        <f t="shared" si="93"/>
        <v>0.95622706319957196</v>
      </c>
      <c r="AG236" s="802">
        <f t="shared" si="99"/>
        <v>4</v>
      </c>
      <c r="AH236" s="172">
        <f t="shared" si="94"/>
        <v>10</v>
      </c>
      <c r="AI236" s="221">
        <f t="shared" si="95"/>
        <v>4.956227063199572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48071</v>
      </c>
      <c r="B237" s="406">
        <f>'2030'!Wh/'2030'!Env_an*'2031'!Env_an</f>
        <v>48.138702385269099</v>
      </c>
      <c r="C237" s="832"/>
      <c r="D237" s="388">
        <f t="shared" si="77"/>
        <v>50.535175541776226</v>
      </c>
      <c r="E237" s="380">
        <f t="shared" si="100"/>
        <v>50.919050645890174</v>
      </c>
      <c r="F237" s="380">
        <f t="shared" si="78"/>
        <v>50.920156174298356</v>
      </c>
      <c r="G237" s="110">
        <f t="shared" si="101"/>
        <v>0.88862752088419761</v>
      </c>
      <c r="H237" s="409" t="b">
        <f>Wh_hp&gt;='2030'!Maxi_hp</f>
        <v>0</v>
      </c>
      <c r="I237" s="385">
        <f>IF(H237,Wh_hp,'2030'!Maxi_hp)</f>
        <v>50.92030589939894</v>
      </c>
      <c r="J237" s="85">
        <f>IF(H237,An,'2030'!An_max)</f>
        <v>2029</v>
      </c>
      <c r="K237" s="193">
        <f t="shared" si="79"/>
        <v>48071</v>
      </c>
      <c r="L237" s="143">
        <f>IF(t&lt;Tvie,1-EXP((T0-t)*PertePVj)+'2030'!Pspv,1-EXP((T0-t)*PertePVj)+Pspv)</f>
        <v>4.7421882496994971E-2</v>
      </c>
      <c r="M237" s="836"/>
      <c r="N237" s="836"/>
      <c r="O237" s="48">
        <f>IF(t&lt;Tnet,'2030'!Resal+('2030'!Salim-'2030'!Resal)*(1-EXP(('2030'!Tnet-t)/('2030'!Tau_j))),Resal+(Salim-Resal)*(1-EXP((Tnet-t)/(Tau_j))))*Salcycl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2.5818735196149683E-5</v>
      </c>
      <c r="Q237" s="301">
        <f t="shared" si="80"/>
        <v>0.5</v>
      </c>
      <c r="R237" s="173">
        <f t="shared" si="81"/>
        <v>0.43264930293193715</v>
      </c>
      <c r="S237" s="802">
        <f t="shared" si="82"/>
        <v>1</v>
      </c>
      <c r="T237" s="172">
        <f t="shared" si="83"/>
        <v>7</v>
      </c>
      <c r="U237" s="247">
        <f t="shared" si="84"/>
        <v>1.4326493029319372</v>
      </c>
      <c r="V237" s="378">
        <f t="shared" si="85"/>
        <v>54.171746327284239</v>
      </c>
      <c r="W237" s="397">
        <f t="shared" si="86"/>
        <v>48.138702385269099</v>
      </c>
      <c r="X237" s="153">
        <f t="shared" si="87"/>
        <v>48071</v>
      </c>
      <c r="Y237" s="380">
        <f t="shared" si="88"/>
        <v>46.330555177824614</v>
      </c>
      <c r="Z237" s="380">
        <f t="shared" si="89"/>
        <v>48.63701393778706</v>
      </c>
      <c r="AA237" s="381">
        <f t="shared" si="90"/>
        <v>50.914501850655867</v>
      </c>
      <c r="AB237" s="193">
        <f t="shared" si="91"/>
        <v>48071</v>
      </c>
      <c r="AC237" s="119">
        <f>IF(OR(t&lt;Tnet,NoTnet),'2030'!Resal_s+('2030'!Salim-'2030'!Resal_s)*(1-EXP(('2030'!Tnet_s-t)/'2030'!Tau_j)),Resal_s+(Salim-Resal_s)*(1-EXP((Tnet_s-t)/Tau_j)))*Salcycl</f>
        <v>4.4731615356842884E-2</v>
      </c>
      <c r="AD237" s="227">
        <f>(INDEX(Models!$BJ237:$BT237,,AH237)*(1-AF237)+INDEX(Models!$BJ237:$BT237,,AH237+1)*AF237-ERP_i)*AE237*Ramure*Pc/MaxiM</f>
        <v>1.3205222385849607E-4</v>
      </c>
      <c r="AE237" s="301">
        <f t="shared" si="92"/>
        <v>0.5</v>
      </c>
      <c r="AF237" s="173">
        <f t="shared" si="93"/>
        <v>0.9576368693059143</v>
      </c>
      <c r="AG237" s="802">
        <f t="shared" si="99"/>
        <v>4</v>
      </c>
      <c r="AH237" s="172">
        <f t="shared" si="94"/>
        <v>10</v>
      </c>
      <c r="AI237" s="221">
        <f t="shared" si="95"/>
        <v>4.9576368693059143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48072</v>
      </c>
      <c r="B238" s="406">
        <f>'2030'!Wh/'2030'!Env_an*'2031'!Env_an</f>
        <v>0</v>
      </c>
      <c r="C238" s="832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Wh_hp&gt;='2030'!Maxi_hp</f>
        <v>1</v>
      </c>
      <c r="I238" s="385">
        <f>IF(H238,Wh_hp,'2030'!Maxi_hp)</f>
        <v>0</v>
      </c>
      <c r="J238" s="85">
        <f>IF(H238,An,'2030'!An_max)</f>
        <v>2031</v>
      </c>
      <c r="K238" s="193">
        <f t="shared" si="79"/>
        <v>48072</v>
      </c>
      <c r="L238" s="143">
        <f>IF(t&lt;Tvie,1-EXP((T0-t)*PertePVj)+'2030'!Pspv,1-EXP((T0-t)*PertePVj)+Pspv)</f>
        <v>4.7434922491484954E-2</v>
      </c>
      <c r="M238" s="836"/>
      <c r="N238" s="836"/>
      <c r="O238" s="48">
        <f>IF(t&lt;Tnet,'2030'!Resal+('2030'!Salim-'2030'!Resal)*(1-EXP(('2030'!Tnet-t)/('2030'!Tau_j))),Resal+(Salim-Resal)*(1-EXP((Tnet-t)/(Tau_j))))*Salcycl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2.7681882140992318E-5</v>
      </c>
      <c r="Q238" s="301">
        <f t="shared" si="80"/>
        <v>0.5</v>
      </c>
      <c r="R238" s="173">
        <f t="shared" si="81"/>
        <v>0.43401044191950322</v>
      </c>
      <c r="S238" s="802">
        <f t="shared" si="82"/>
        <v>1</v>
      </c>
      <c r="T238" s="172">
        <f t="shared" si="83"/>
        <v>7</v>
      </c>
      <c r="U238" s="247">
        <f t="shared" si="84"/>
        <v>1.4340104419195032</v>
      </c>
      <c r="V238" s="378">
        <f t="shared" si="85"/>
        <v>53.924640592655393</v>
      </c>
      <c r="W238" s="397">
        <f t="shared" si="86"/>
        <v>0</v>
      </c>
      <c r="X238" s="153">
        <f t="shared" si="87"/>
        <v>48072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48072</v>
      </c>
      <c r="AC238" s="119">
        <f>IF(OR(t&lt;Tnet,NoTnet),'2030'!Resal_s+('2030'!Salim-'2030'!Resal_s)*(1-EXP(('2030'!Tnet_s-t)/'2030'!Tau_j)),Resal_s+(Salim-Resal_s)*(1-EXP((Tnet_s-t)/Tau_j)))*Salcycl</f>
        <v>4.4765751423133854E-2</v>
      </c>
      <c r="AD238" s="227">
        <f>(INDEX(Models!$BJ238:$BT238,,AH238)*(1-AF238)+INDEX(Models!$BJ238:$BT238,,AH238+1)*AF238-ERP_i)*AE238*Ramure*Pc/MaxiM</f>
        <v>1.4011536799484915E-4</v>
      </c>
      <c r="AE238" s="301">
        <f t="shared" si="92"/>
        <v>0.5</v>
      </c>
      <c r="AF238" s="173">
        <f t="shared" si="93"/>
        <v>0.95899800829347992</v>
      </c>
      <c r="AG238" s="802">
        <f t="shared" si="99"/>
        <v>4</v>
      </c>
      <c r="AH238" s="172">
        <f t="shared" si="94"/>
        <v>10</v>
      </c>
      <c r="AI238" s="221">
        <f t="shared" si="95"/>
        <v>4.9589980082934799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48073</v>
      </c>
      <c r="B239" s="406">
        <f>'2030'!Wh/'2030'!Env_an*'2031'!Env_an</f>
        <v>35.776508587082503</v>
      </c>
      <c r="C239" s="832"/>
      <c r="D239" s="388">
        <f t="shared" si="77"/>
        <v>37.558587007747896</v>
      </c>
      <c r="E239" s="380">
        <f t="shared" si="100"/>
        <v>37.849186054535785</v>
      </c>
      <c r="F239" s="380">
        <f t="shared" si="78"/>
        <v>37.849772826105536</v>
      </c>
      <c r="G239" s="110">
        <f t="shared" si="101"/>
        <v>0.66652288926485836</v>
      </c>
      <c r="H239" s="409" t="b">
        <f>Wh_hp&gt;='2030'!Maxi_hp</f>
        <v>0</v>
      </c>
      <c r="I239" s="385">
        <f>IF(H239,Wh_hp,'2030'!Maxi_hp)</f>
        <v>37.850153606716795</v>
      </c>
      <c r="J239" s="85">
        <f>IF(H239,An,'2030'!An_max)</f>
        <v>2029</v>
      </c>
      <c r="K239" s="193">
        <f t="shared" si="79"/>
        <v>48073</v>
      </c>
      <c r="L239" s="143">
        <f>IF(t&lt;Tvie,1-EXP((T0-t)*PertePVj)+'2030'!Pspv,1-EXP((T0-t)*PertePVj)+Pspv)</f>
        <v>4.7447962307468283E-2</v>
      </c>
      <c r="M239" s="836"/>
      <c r="N239" s="836"/>
      <c r="O239" s="48">
        <f>IF(t&lt;Tnet,'2030'!Resal+('2030'!Salim-'2030'!Resal)*(1-EXP(('2030'!Tnet-t)/('2030'!Tau_j))),Resal+(Salim-Resal)*(1-EXP((Tnet-t)/(Tau_j))))*Salcycl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2.9606807875003112E-5</v>
      </c>
      <c r="Q239" s="301">
        <f t="shared" si="80"/>
        <v>0.5</v>
      </c>
      <c r="R239" s="173">
        <f t="shared" si="81"/>
        <v>0.43532430024724689</v>
      </c>
      <c r="S239" s="802">
        <f t="shared" si="82"/>
        <v>1</v>
      </c>
      <c r="T239" s="172">
        <f t="shared" si="83"/>
        <v>7</v>
      </c>
      <c r="U239" s="247">
        <f t="shared" si="84"/>
        <v>1.4353243002472469</v>
      </c>
      <c r="V239" s="378">
        <f t="shared" si="85"/>
        <v>53.675581975878153</v>
      </c>
      <c r="W239" s="397">
        <f t="shared" si="86"/>
        <v>35.776508587082503</v>
      </c>
      <c r="X239" s="153">
        <f t="shared" si="87"/>
        <v>48073</v>
      </c>
      <c r="Y239" s="380">
        <f t="shared" si="88"/>
        <v>34.435998413217199</v>
      </c>
      <c r="Z239" s="380">
        <f t="shared" si="89"/>
        <v>36.151304128890622</v>
      </c>
      <c r="AA239" s="381">
        <f t="shared" si="90"/>
        <v>37.846832660630213</v>
      </c>
      <c r="AB239" s="193">
        <f t="shared" si="91"/>
        <v>48073</v>
      </c>
      <c r="AC239" s="119">
        <f>IF(OR(t&lt;Tnet,NoTnet),'2030'!Resal_s+('2030'!Salim-'2030'!Resal_s)*(1-EXP(('2030'!Tnet_s-t)/'2030'!Tau_j)),Resal_s+(Salim-Resal_s)*(1-EXP((Tnet_s-t)/Tau_j)))*Salcycl</f>
        <v>4.4799747100193812E-2</v>
      </c>
      <c r="AD239" s="227">
        <f>(INDEX(Models!$BJ239:$BT239,,AH239)*(1-AF239)+INDEX(Models!$BJ239:$BT239,,AH239+1)*AF239-ERP_i)*AE239*Ramure*Pc/MaxiM</f>
        <v>1.483523040927035E-4</v>
      </c>
      <c r="AE239" s="301">
        <f t="shared" si="92"/>
        <v>0.5</v>
      </c>
      <c r="AF239" s="173">
        <f t="shared" si="93"/>
        <v>0.96031186662122359</v>
      </c>
      <c r="AG239" s="802">
        <f t="shared" si="99"/>
        <v>4</v>
      </c>
      <c r="AH239" s="172">
        <f t="shared" si="94"/>
        <v>10</v>
      </c>
      <c r="AI239" s="221">
        <f t="shared" si="95"/>
        <v>4.9603118666212236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48074</v>
      </c>
      <c r="B240" s="406">
        <f>'2030'!Wh/'2030'!Env_an*'2031'!Env_an</f>
        <v>35.841809893366808</v>
      </c>
      <c r="C240" s="832"/>
      <c r="D240" s="388">
        <f t="shared" si="77"/>
        <v>37.627656155339174</v>
      </c>
      <c r="E240" s="380">
        <f t="shared" si="100"/>
        <v>37.921438343280791</v>
      </c>
      <c r="F240" s="380">
        <f t="shared" si="78"/>
        <v>37.922076927547089</v>
      </c>
      <c r="G240" s="110">
        <f t="shared" si="101"/>
        <v>0.67087245872057266</v>
      </c>
      <c r="H240" s="409" t="b">
        <f>Wh_hp&gt;='2030'!Maxi_hp</f>
        <v>0</v>
      </c>
      <c r="I240" s="385">
        <f>IF(H240,Wh_hp,'2030'!Maxi_hp)</f>
        <v>37.922481293251799</v>
      </c>
      <c r="J240" s="85">
        <f>IF(H240,An,'2030'!An_max)</f>
        <v>2029</v>
      </c>
      <c r="K240" s="193">
        <f t="shared" si="79"/>
        <v>48074</v>
      </c>
      <c r="L240" s="143">
        <f>IF(t&lt;Tvie,1-EXP((T0-t)*PertePVj)+'2030'!Pspv,1-EXP((T0-t)*PertePVj)+Pspv)</f>
        <v>4.7461001944947512E-2</v>
      </c>
      <c r="M240" s="836"/>
      <c r="N240" s="836"/>
      <c r="O240" s="48">
        <f>IF(t&lt;Tnet,'2030'!Resal+('2030'!Salim-'2030'!Resal)*(1-EXP(('2030'!Tnet-t)/('2030'!Tau_j))),Resal+(Salim-Resal)*(1-EXP((Tnet-t)/(Tau_j))))*Salcycl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3.1782482474961243E-5</v>
      </c>
      <c r="Q240" s="301">
        <f t="shared" si="80"/>
        <v>0.5</v>
      </c>
      <c r="R240" s="173">
        <f t="shared" si="81"/>
        <v>0.43659224680819575</v>
      </c>
      <c r="S240" s="802">
        <f t="shared" si="82"/>
        <v>1</v>
      </c>
      <c r="T240" s="172">
        <f t="shared" si="83"/>
        <v>7</v>
      </c>
      <c r="U240" s="247">
        <f t="shared" si="84"/>
        <v>1.4365922468081957</v>
      </c>
      <c r="V240" s="378">
        <f t="shared" si="85"/>
        <v>53.424870600389816</v>
      </c>
      <c r="W240" s="397">
        <f t="shared" si="86"/>
        <v>35.841809893366808</v>
      </c>
      <c r="X240" s="153">
        <f t="shared" si="87"/>
        <v>48074</v>
      </c>
      <c r="Y240" s="380">
        <f t="shared" si="88"/>
        <v>34.499875665912299</v>
      </c>
      <c r="Z240" s="380">
        <f t="shared" si="89"/>
        <v>36.218859003522248</v>
      </c>
      <c r="AA240" s="381">
        <f t="shared" si="90"/>
        <v>37.918899777144787</v>
      </c>
      <c r="AB240" s="193">
        <f t="shared" si="91"/>
        <v>48074</v>
      </c>
      <c r="AC240" s="119">
        <f>IF(OR(t&lt;Tnet,NoTnet),'2030'!Resal_s+('2030'!Salim-'2030'!Resal_s)*(1-EXP(('2030'!Tnet_s-t)/'2030'!Tau_j)),Resal_s+(Salim-Resal_s)*(1-EXP((Tnet_s-t)/Tau_j)))*Salcycl</f>
        <v>4.4833599698671199E-2</v>
      </c>
      <c r="AD240" s="227">
        <f>(INDEX(Models!$BJ240:$BT240,,AH240)*(1-AF240)+INDEX(Models!$BJ240:$BT240,,AH240+1)*AF240-ERP_i)*AE240*Ramure*Pc/MaxiM</f>
        <v>1.5812748968486683E-4</v>
      </c>
      <c r="AE240" s="301">
        <f t="shared" si="92"/>
        <v>0.5</v>
      </c>
      <c r="AF240" s="173">
        <f t="shared" si="93"/>
        <v>0.96157981318217267</v>
      </c>
      <c r="AG240" s="802">
        <f t="shared" si="99"/>
        <v>4</v>
      </c>
      <c r="AH240" s="172">
        <f t="shared" si="94"/>
        <v>10</v>
      </c>
      <c r="AI240" s="221">
        <f t="shared" si="95"/>
        <v>4.9615798131821727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48075</v>
      </c>
      <c r="B241" s="406">
        <f>'2030'!Wh/'2030'!Env_an*'2031'!Env_an</f>
        <v>36.249065949900533</v>
      </c>
      <c r="C241" s="832"/>
      <c r="D241" s="388">
        <f t="shared" si="77"/>
        <v>38.055725014914998</v>
      </c>
      <c r="E241" s="380">
        <f t="shared" si="100"/>
        <v>38.355525213828166</v>
      </c>
      <c r="F241" s="380">
        <f t="shared" si="78"/>
        <v>38.356239372658763</v>
      </c>
      <c r="G241" s="110">
        <f t="shared" si="101"/>
        <v>0.68171112712764192</v>
      </c>
      <c r="H241" s="409" t="b">
        <f>Wh_hp&gt;='2030'!Maxi_hp</f>
        <v>0</v>
      </c>
      <c r="I241" s="385">
        <f>IF(H241,Wh_hp,'2030'!Maxi_hp)</f>
        <v>38.356665226910529</v>
      </c>
      <c r="J241" s="85">
        <f>IF(H241,An,'2030'!An_max)</f>
        <v>2029</v>
      </c>
      <c r="K241" s="193">
        <f t="shared" si="79"/>
        <v>48075</v>
      </c>
      <c r="L241" s="143">
        <f>IF(t&lt;Tvie,1-EXP((T0-t)*PertePVj)+'2030'!Pspv,1-EXP((T0-t)*PertePVj)+Pspv)</f>
        <v>4.7474041403925082E-2</v>
      </c>
      <c r="M241" s="836"/>
      <c r="N241" s="836"/>
      <c r="O241" s="48">
        <f>IF(t&lt;Tnet,'2030'!Resal+('2030'!Salim-'2030'!Resal)*(1-EXP(('2030'!Tnet-t)/('2030'!Tau_j))),Resal+(Salim-Resal)*(1-EXP((Tnet-t)/(Tau_j))))*Salcycl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3.4143651802769047E-5</v>
      </c>
      <c r="Q241" s="301">
        <f t="shared" si="80"/>
        <v>0.5</v>
      </c>
      <c r="R241" s="173">
        <f t="shared" si="81"/>
        <v>0.43781563133123602</v>
      </c>
      <c r="S241" s="802">
        <f t="shared" si="82"/>
        <v>1</v>
      </c>
      <c r="T241" s="172">
        <f t="shared" si="83"/>
        <v>7</v>
      </c>
      <c r="U241" s="247">
        <f t="shared" si="84"/>
        <v>1.437815631331236</v>
      </c>
      <c r="V241" s="378">
        <f t="shared" si="85"/>
        <v>53.172820197047692</v>
      </c>
      <c r="W241" s="397">
        <f t="shared" si="86"/>
        <v>36.249065949900533</v>
      </c>
      <c r="X241" s="153">
        <f t="shared" si="87"/>
        <v>48075</v>
      </c>
      <c r="Y241" s="380">
        <f t="shared" si="88"/>
        <v>34.892851725617433</v>
      </c>
      <c r="Z241" s="380">
        <f t="shared" si="89"/>
        <v>36.631916863500393</v>
      </c>
      <c r="AA241" s="381">
        <f t="shared" si="90"/>
        <v>38.352699152770448</v>
      </c>
      <c r="AB241" s="193">
        <f t="shared" si="91"/>
        <v>48075</v>
      </c>
      <c r="AC241" s="119">
        <f>IF(OR(t&lt;Tnet,NoTnet),'2030'!Resal_s+('2030'!Salim-'2030'!Resal_s)*(1-EXP(('2030'!Tnet_s-t)/'2030'!Tau_j)),Resal_s+(Salim-Resal_s)*(1-EXP((Tnet_s-t)/Tau_j)))*Salcycl</f>
        <v>4.4867306011909608E-2</v>
      </c>
      <c r="AD241" s="227">
        <f>(INDEX(Models!$BJ241:$BT241,,AH241)*(1-AF241)+INDEX(Models!$BJ241:$BT241,,AH241+1)*AF241-ERP_i)*AE241*Ramure*Pc/MaxiM</f>
        <v>1.6925651548728017E-4</v>
      </c>
      <c r="AE241" s="301">
        <f t="shared" si="92"/>
        <v>0.5</v>
      </c>
      <c r="AF241" s="173">
        <f t="shared" si="93"/>
        <v>0.96280319770521317</v>
      </c>
      <c r="AG241" s="802">
        <f t="shared" si="99"/>
        <v>4</v>
      </c>
      <c r="AH241" s="172">
        <f t="shared" si="94"/>
        <v>10</v>
      </c>
      <c r="AI241" s="221">
        <f t="shared" si="95"/>
        <v>4.9628031977052132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48076</v>
      </c>
      <c r="B242" s="406">
        <f>'2030'!Wh/'2030'!Env_an*'2031'!Env_an</f>
        <v>37.545013652640108</v>
      </c>
      <c r="C242" s="832"/>
      <c r="D242" s="388">
        <f t="shared" si="77"/>
        <v>39.416802534937901</v>
      </c>
      <c r="E242" s="380">
        <f t="shared" si="100"/>
        <v>39.73009350946753</v>
      </c>
      <c r="F242" s="380">
        <f t="shared" si="78"/>
        <v>39.730946305767247</v>
      </c>
      <c r="G242" s="110">
        <f t="shared" si="101"/>
        <v>0.70946004945472374</v>
      </c>
      <c r="H242" s="409" t="b">
        <f>Wh_hp&gt;='2030'!Maxi_hp</f>
        <v>0</v>
      </c>
      <c r="I242" s="385">
        <f>IF(H242,Wh_hp,'2030'!Maxi_hp)</f>
        <v>39.731380632019373</v>
      </c>
      <c r="J242" s="85">
        <f>IF(H242,An,'2030'!An_max)</f>
        <v>2029</v>
      </c>
      <c r="K242" s="193">
        <f t="shared" si="79"/>
        <v>48076</v>
      </c>
      <c r="L242" s="143">
        <f>IF(t&lt;Tvie,1-EXP((T0-t)*PertePVj)+'2030'!Pspv,1-EXP((T0-t)*PertePVj)+Pspv)</f>
        <v>4.7487080684403438E-2</v>
      </c>
      <c r="M242" s="836"/>
      <c r="N242" s="836"/>
      <c r="O242" s="48">
        <f>IF(t&lt;Tnet,'2030'!Resal+('2030'!Salim-'2030'!Resal)*(1-EXP(('2030'!Tnet-t)/('2030'!Tau_j))),Resal+(Salim-Resal)*(1-EXP((Tnet-t)/(Tau_j))))*Salcycl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3.6693694712421998E-5</v>
      </c>
      <c r="Q242" s="301">
        <f t="shared" si="80"/>
        <v>0.5</v>
      </c>
      <c r="R242" s="173">
        <f t="shared" si="81"/>
        <v>0.43899578295925479</v>
      </c>
      <c r="S242" s="802">
        <f t="shared" si="82"/>
        <v>1</v>
      </c>
      <c r="T242" s="172">
        <f t="shared" si="83"/>
        <v>7</v>
      </c>
      <c r="U242" s="247">
        <f t="shared" si="84"/>
        <v>1.4389957829592548</v>
      </c>
      <c r="V242" s="378">
        <f t="shared" si="85"/>
        <v>52.919740696851136</v>
      </c>
      <c r="W242" s="397">
        <f t="shared" si="86"/>
        <v>37.545013652640108</v>
      </c>
      <c r="X242" s="153">
        <f t="shared" si="87"/>
        <v>48076</v>
      </c>
      <c r="Y242" s="380">
        <f t="shared" si="88"/>
        <v>36.141157728635974</v>
      </c>
      <c r="Z242" s="380">
        <f t="shared" si="89"/>
        <v>37.942958038410929</v>
      </c>
      <c r="AA242" s="381">
        <f t="shared" si="90"/>
        <v>39.726722120378938</v>
      </c>
      <c r="AB242" s="193">
        <f t="shared" si="91"/>
        <v>48076</v>
      </c>
      <c r="AC242" s="119">
        <f>IF(OR(t&lt;Tnet,NoTnet),'2030'!Resal_s+('2030'!Salim-'2030'!Resal_s)*(1-EXP(('2030'!Tnet_s-t)/'2030'!Tau_j)),Resal_s+(Salim-Resal_s)*(1-EXP((Tnet_s-t)/Tau_j)))*Salcycl</f>
        <v>4.4900862360677252E-2</v>
      </c>
      <c r="AD242" s="227">
        <f>(INDEX(Models!$BJ242:$BT242,,AH242)*(1-AF242)+INDEX(Models!$BJ242:$BT242,,AH242+1)*AF242-ERP_i)*AE242*Ramure*Pc/MaxiM</f>
        <v>1.8175614633786423E-4</v>
      </c>
      <c r="AE242" s="301">
        <f t="shared" si="92"/>
        <v>0.5</v>
      </c>
      <c r="AF242" s="173">
        <f t="shared" si="93"/>
        <v>0.96398334933323149</v>
      </c>
      <c r="AG242" s="802">
        <f t="shared" si="99"/>
        <v>4</v>
      </c>
      <c r="AH242" s="172">
        <f t="shared" si="94"/>
        <v>10</v>
      </c>
      <c r="AI242" s="221">
        <f t="shared" si="95"/>
        <v>4.9639833493332315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48077</v>
      </c>
      <c r="B243" s="406">
        <f>'2030'!Wh/'2030'!Env_an*'2031'!Env_an</f>
        <v>26.115158027718504</v>
      </c>
      <c r="C243" s="832"/>
      <c r="D243" s="388">
        <f t="shared" si="77"/>
        <v>27.417492191034935</v>
      </c>
      <c r="E243" s="380">
        <f t="shared" si="100"/>
        <v>27.637334061521457</v>
      </c>
      <c r="F243" s="380">
        <f t="shared" si="78"/>
        <v>27.637639026442994</v>
      </c>
      <c r="G243" s="110">
        <f t="shared" si="101"/>
        <v>0.49585017087978339</v>
      </c>
      <c r="H243" s="409" t="b">
        <f>Wh_hp&gt;='2030'!Maxi_hp</f>
        <v>0</v>
      </c>
      <c r="I243" s="385">
        <f>IF(H243,Wh_hp,'2030'!Maxi_hp)</f>
        <v>27.638205186320917</v>
      </c>
      <c r="J243" s="85">
        <f>IF(H243,An,'2030'!An_max)</f>
        <v>2029</v>
      </c>
      <c r="K243" s="193">
        <f t="shared" si="79"/>
        <v>48077</v>
      </c>
      <c r="L243" s="143">
        <f>IF(t&lt;Tvie,1-EXP((T0-t)*PertePVj)+'2030'!Pspv,1-EXP((T0-t)*PertePVj)+Pspv)</f>
        <v>4.7500119786384909E-2</v>
      </c>
      <c r="M243" s="836"/>
      <c r="N243" s="836"/>
      <c r="O243" s="48">
        <f>IF(t&lt;Tnet,'2030'!Resal+('2030'!Salim-'2030'!Resal)*(1-EXP(('2030'!Tnet-t)/('2030'!Tau_j))),Resal+(Salim-Resal)*(1-EXP((Tnet-t)/(Tau_j))))*Salcycl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3.9435904294315249E-5</v>
      </c>
      <c r="Q243" s="301">
        <f t="shared" si="80"/>
        <v>0.5</v>
      </c>
      <c r="R243" s="173">
        <f t="shared" si="81"/>
        <v>0.44013400899410748</v>
      </c>
      <c r="S243" s="802">
        <f t="shared" si="82"/>
        <v>1</v>
      </c>
      <c r="T243" s="172">
        <f t="shared" si="83"/>
        <v>7</v>
      </c>
      <c r="U243" s="247">
        <f t="shared" si="84"/>
        <v>1.4401340089941075</v>
      </c>
      <c r="V243" s="378">
        <f t="shared" si="85"/>
        <v>52.665941938822733</v>
      </c>
      <c r="W243" s="397">
        <f t="shared" si="86"/>
        <v>26.115158027718504</v>
      </c>
      <c r="X243" s="153">
        <f t="shared" si="87"/>
        <v>48077</v>
      </c>
      <c r="Y243" s="380">
        <f t="shared" si="88"/>
        <v>25.14058385685426</v>
      </c>
      <c r="Z243" s="380">
        <f t="shared" si="89"/>
        <v>26.394317079825811</v>
      </c>
      <c r="AA243" s="381">
        <f t="shared" si="90"/>
        <v>27.636126082716927</v>
      </c>
      <c r="AB243" s="193">
        <f t="shared" si="91"/>
        <v>48077</v>
      </c>
      <c r="AC243" s="119">
        <f>IF(OR(t&lt;Tnet,NoTnet),'2030'!Resal_s+('2030'!Salim-'2030'!Resal_s)*(1-EXP(('2030'!Tnet_s-t)/'2030'!Tau_j)),Resal_s+(Salim-Resal_s)*(1-EXP((Tnet_s-t)/Tau_j)))*Salcycl</f>
        <v>4.4934264635147894E-2</v>
      </c>
      <c r="AD243" s="227">
        <f>(INDEX(Models!$BJ243:$BT243,,AH243)*(1-AF243)+INDEX(Models!$BJ243:$BT243,,AH243+1)*AF243-ERP_i)*AE243*Ramure*Pc/MaxiM</f>
        <v>1.9564316998610918E-4</v>
      </c>
      <c r="AE243" s="301">
        <f t="shared" si="92"/>
        <v>0.5</v>
      </c>
      <c r="AF243" s="173">
        <f t="shared" si="93"/>
        <v>0.96512157536808463</v>
      </c>
      <c r="AG243" s="802">
        <f t="shared" si="99"/>
        <v>4</v>
      </c>
      <c r="AH243" s="172">
        <f t="shared" si="94"/>
        <v>10</v>
      </c>
      <c r="AI243" s="221">
        <f t="shared" si="95"/>
        <v>4.9651215753680846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48078</v>
      </c>
      <c r="B244" s="406">
        <f>'2030'!Wh/'2030'!Env_an*'2031'!Env_an</f>
        <v>39.84700760967732</v>
      </c>
      <c r="C244" s="832"/>
      <c r="D244" s="388">
        <f t="shared" si="77"/>
        <v>41.834706667133787</v>
      </c>
      <c r="E244" s="380">
        <f t="shared" si="100"/>
        <v>42.173081343326054</v>
      </c>
      <c r="F244" s="380">
        <f t="shared" si="78"/>
        <v>42.174256389867566</v>
      </c>
      <c r="G244" s="110">
        <f t="shared" si="101"/>
        <v>0.7602578002207977</v>
      </c>
      <c r="H244" s="409" t="b">
        <f>Wh_hp&gt;='2030'!Maxi_hp</f>
        <v>0</v>
      </c>
      <c r="I244" s="385">
        <f>IF(H244,Wh_hp,'2030'!Maxi_hp)</f>
        <v>42.174700344926478</v>
      </c>
      <c r="J244" s="85">
        <f>IF(H244,An,'2030'!An_max)</f>
        <v>2029</v>
      </c>
      <c r="K244" s="193">
        <f t="shared" si="79"/>
        <v>48078</v>
      </c>
      <c r="L244" s="143">
        <f>IF(t&lt;Tvie,1-EXP((T0-t)*PertePVj)+'2030'!Pspv,1-EXP((T0-t)*PertePVj)+Pspv)</f>
        <v>4.751315870987205E-2</v>
      </c>
      <c r="M244" s="836"/>
      <c r="N244" s="836"/>
      <c r="O244" s="48">
        <f>IF(t&lt;Tnet,'2030'!Resal+('2030'!Salim-'2030'!Resal)*(1-EXP(('2030'!Tnet-t)/('2030'!Tau_j))),Resal+(Salim-Resal)*(1-EXP((Tnet-t)/(Tau_j))))*Salcycl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4.2373477452391339E-5</v>
      </c>
      <c r="Q244" s="301">
        <f t="shared" si="80"/>
        <v>0.5</v>
      </c>
      <c r="R244" s="173">
        <f t="shared" si="81"/>
        <v>0.44123159379892107</v>
      </c>
      <c r="S244" s="802">
        <f t="shared" si="82"/>
        <v>1</v>
      </c>
      <c r="T244" s="172">
        <f t="shared" si="83"/>
        <v>7</v>
      </c>
      <c r="U244" s="247">
        <f t="shared" si="84"/>
        <v>1.4412315937989211</v>
      </c>
      <c r="V244" s="378">
        <f t="shared" si="85"/>
        <v>52.411733666061266</v>
      </c>
      <c r="W244" s="397">
        <f t="shared" si="86"/>
        <v>39.84700760967732</v>
      </c>
      <c r="X244" s="153">
        <f t="shared" si="87"/>
        <v>48078</v>
      </c>
      <c r="Y244" s="380">
        <f t="shared" si="88"/>
        <v>38.358739462619404</v>
      </c>
      <c r="Z244" s="380">
        <f t="shared" si="89"/>
        <v>40.272198837585108</v>
      </c>
      <c r="AA244" s="381">
        <f t="shared" si="90"/>
        <v>42.168407032222518</v>
      </c>
      <c r="AB244" s="193">
        <f t="shared" si="91"/>
        <v>48078</v>
      </c>
      <c r="AC244" s="119">
        <f>IF(OR(t&lt;Tnet,NoTnet),'2030'!Resal_s+('2030'!Salim-'2030'!Resal_s)*(1-EXP(('2030'!Tnet_s-t)/'2030'!Tau_j)),Resal_s+(Salim-Resal_s)*(1-EXP((Tnet_s-t)/Tau_j)))*Salcycl</f>
        <v>4.496750833363107E-2</v>
      </c>
      <c r="AD244" s="227">
        <f>(INDEX(Models!$BJ244:$BT244,,AH244)*(1-AF244)+INDEX(Models!$BJ244:$BT244,,AH244+1)*AF244-ERP_i)*AE244*Ramure*Pc/MaxiM</f>
        <v>2.1093430390015916E-4</v>
      </c>
      <c r="AE244" s="301">
        <f t="shared" si="92"/>
        <v>0.5</v>
      </c>
      <c r="AF244" s="173">
        <f t="shared" si="93"/>
        <v>0.96621916017289777</v>
      </c>
      <c r="AG244" s="802">
        <f t="shared" si="99"/>
        <v>4</v>
      </c>
      <c r="AH244" s="172">
        <f t="shared" si="94"/>
        <v>10</v>
      </c>
      <c r="AI244" s="221">
        <f t="shared" si="95"/>
        <v>4.9662191601728978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48079</v>
      </c>
      <c r="B245" s="406">
        <f>'2030'!Wh/'2030'!Env_an*'2031'!Env_an</f>
        <v>39.446630917241173</v>
      </c>
      <c r="C245" s="832"/>
      <c r="D245" s="388">
        <f t="shared" si="77"/>
        <v>41.414924811406564</v>
      </c>
      <c r="E245" s="380">
        <f t="shared" si="100"/>
        <v>41.752802344327662</v>
      </c>
      <c r="F245" s="380">
        <f t="shared" si="78"/>
        <v>41.754041005408567</v>
      </c>
      <c r="G245" s="110">
        <f t="shared" si="101"/>
        <v>0.75628744158995276</v>
      </c>
      <c r="H245" s="409" t="b">
        <f>Wh_hp&gt;='2030'!Maxi_hp</f>
        <v>0</v>
      </c>
      <c r="I245" s="385">
        <f>IF(H245,Wh_hp,'2030'!Maxi_hp)</f>
        <v>41.75452393105094</v>
      </c>
      <c r="J245" s="85">
        <f>IF(H245,An,'2030'!An_max)</f>
        <v>2029</v>
      </c>
      <c r="K245" s="193">
        <f t="shared" si="79"/>
        <v>48079</v>
      </c>
      <c r="L245" s="143">
        <f>IF(t&lt;Tvie,1-EXP((T0-t)*PertePVj)+'2030'!Pspv,1-EXP((T0-t)*PertePVj)+Pspv)</f>
        <v>4.7526197454867303E-2</v>
      </c>
      <c r="M245" s="836"/>
      <c r="N245" s="836"/>
      <c r="O245" s="48">
        <f>IF(t&lt;Tnet,'2030'!Resal+('2030'!Salim-'2030'!Resal)*(1-EXP(('2030'!Tnet-t)/('2030'!Tau_j))),Resal+(Salim-Resal)*(1-EXP((Tnet-t)/(Tau_j))))*Salcycl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4.5509503516288804E-5</v>
      </c>
      <c r="Q245" s="301">
        <f t="shared" si="80"/>
        <v>0.5</v>
      </c>
      <c r="R245" s="173">
        <f t="shared" si="81"/>
        <v>0.44228979784836042</v>
      </c>
      <c r="S245" s="802">
        <f t="shared" si="82"/>
        <v>1</v>
      </c>
      <c r="T245" s="172">
        <f t="shared" si="83"/>
        <v>7</v>
      </c>
      <c r="U245" s="247">
        <f t="shared" si="84"/>
        <v>1.4422897978483604</v>
      </c>
      <c r="V245" s="378">
        <f t="shared" si="85"/>
        <v>52.157425527822014</v>
      </c>
      <c r="W245" s="397">
        <f t="shared" si="86"/>
        <v>39.446630917241173</v>
      </c>
      <c r="X245" s="153">
        <f t="shared" si="87"/>
        <v>48079</v>
      </c>
      <c r="Y245" s="380">
        <f t="shared" si="88"/>
        <v>37.974337495387232</v>
      </c>
      <c r="Z245" s="380">
        <f t="shared" si="89"/>
        <v>39.86916741847903</v>
      </c>
      <c r="AA245" s="381">
        <f t="shared" si="90"/>
        <v>41.747845016922412</v>
      </c>
      <c r="AB245" s="193">
        <f t="shared" si="91"/>
        <v>48079</v>
      </c>
      <c r="AC245" s="119">
        <f>IF(OR(t&lt;Tnet,NoTnet),'2030'!Resal_s+('2030'!Salim-'2030'!Resal_s)*(1-EXP(('2030'!Tnet_s-t)/'2030'!Tau_j)),Resal_s+(Salim-Resal_s)*(1-EXP((Tnet_s-t)/Tau_j)))*Salcycl</f>
        <v>4.5000588597611801E-2</v>
      </c>
      <c r="AD245" s="227">
        <f>(INDEX(Models!$BJ245:$BT245,,AH245)*(1-AF245)+INDEX(Models!$BJ245:$BT245,,AH245+1)*AF245-ERP_i)*AE245*Ramure*Pc/MaxiM</f>
        <v>2.2764609637422722E-4</v>
      </c>
      <c r="AE245" s="301">
        <f t="shared" si="92"/>
        <v>0.5</v>
      </c>
      <c r="AF245" s="173">
        <f t="shared" si="93"/>
        <v>0.9672773642223369</v>
      </c>
      <c r="AG245" s="802">
        <f t="shared" si="99"/>
        <v>4</v>
      </c>
      <c r="AH245" s="172">
        <f t="shared" si="94"/>
        <v>10</v>
      </c>
      <c r="AI245" s="221">
        <f t="shared" si="95"/>
        <v>4.9672773642223369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48080</v>
      </c>
      <c r="B246" s="406">
        <f>'2030'!Wh/'2030'!Env_an*'2031'!Env_an</f>
        <v>51.479854843511504</v>
      </c>
      <c r="C246" s="832"/>
      <c r="D246" s="388">
        <f t="shared" si="77"/>
        <v>54.04931813513182</v>
      </c>
      <c r="E246" s="380">
        <f t="shared" si="100"/>
        <v>54.494049166546404</v>
      </c>
      <c r="F246" s="380">
        <f t="shared" si="78"/>
        <v>54.496680136299162</v>
      </c>
      <c r="G246" s="110">
        <f t="shared" si="101"/>
        <v>0.99184057031919759</v>
      </c>
      <c r="H246" s="409" t="b">
        <f>Wh_hp&gt;='2030'!Maxi_hp</f>
        <v>0</v>
      </c>
      <c r="I246" s="385">
        <f>IF(H246,Wh_hp,'2030'!Maxi_hp)</f>
        <v>54.496702940093506</v>
      </c>
      <c r="J246" s="85">
        <f>IF(H246,An,'2030'!An_max)</f>
        <v>2029</v>
      </c>
      <c r="K246" s="193">
        <f t="shared" si="79"/>
        <v>48080</v>
      </c>
      <c r="L246" s="143">
        <f>IF(t&lt;Tvie,1-EXP((T0-t)*PertePVj)+'2030'!Pspv,1-EXP((T0-t)*PertePVj)+Pspv)</f>
        <v>4.753923602137311E-2</v>
      </c>
      <c r="M246" s="836"/>
      <c r="N246" s="836"/>
      <c r="O246" s="48">
        <f>IF(t&lt;Tnet,'2030'!Resal+('2030'!Salim-'2030'!Resal)*(1-EXP(('2030'!Tnet-t)/('2030'!Tau_j))),Resal+(Salim-Resal)*(1-EXP((Tnet-t)/(Tau_j))))*Salcycl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4.8846951881777074E-5</v>
      </c>
      <c r="Q246" s="301">
        <f t="shared" si="80"/>
        <v>0.5</v>
      </c>
      <c r="R246" s="173">
        <f t="shared" si="81"/>
        <v>0.44330985691764568</v>
      </c>
      <c r="S246" s="802">
        <f t="shared" si="82"/>
        <v>1</v>
      </c>
      <c r="T246" s="172">
        <f t="shared" si="83"/>
        <v>7</v>
      </c>
      <c r="U246" s="247">
        <f t="shared" si="84"/>
        <v>1.4433098569176457</v>
      </c>
      <c r="V246" s="378">
        <f t="shared" si="85"/>
        <v>51.903327080237091</v>
      </c>
      <c r="W246" s="397">
        <f t="shared" si="86"/>
        <v>51.479854843511504</v>
      </c>
      <c r="X246" s="153">
        <f t="shared" si="87"/>
        <v>48080</v>
      </c>
      <c r="Y246" s="380">
        <f t="shared" si="88"/>
        <v>49.556401343514793</v>
      </c>
      <c r="Z246" s="380">
        <f t="shared" si="89"/>
        <v>52.029861195024338</v>
      </c>
      <c r="AA246" s="381">
        <f t="shared" si="90"/>
        <v>54.483441260242131</v>
      </c>
      <c r="AB246" s="193">
        <f t="shared" si="91"/>
        <v>48080</v>
      </c>
      <c r="AC246" s="119">
        <f>IF(OR(t&lt;Tnet,NoTnet),'2030'!Resal_s+('2030'!Salim-'2030'!Resal_s)*(1-EXP(('2030'!Tnet_s-t)/'2030'!Tau_j)),Resal_s+(Salim-Resal_s)*(1-EXP((Tnet_s-t)/Tau_j)))*Salcycl</f>
        <v>4.5033500242728362E-2</v>
      </c>
      <c r="AD246" s="227">
        <f>(INDEX(Models!$BJ246:$BT246,,AH246)*(1-AF246)+INDEX(Models!$BJ246:$BT246,,AH246+1)*AF246-ERP_i)*AE246*Ramure*Pc/MaxiM</f>
        <v>2.4579482187097657E-4</v>
      </c>
      <c r="AE246" s="301">
        <f t="shared" si="92"/>
        <v>0.5</v>
      </c>
      <c r="AF246" s="173">
        <f t="shared" si="93"/>
        <v>0.96829742329162283</v>
      </c>
      <c r="AG246" s="802">
        <f t="shared" si="99"/>
        <v>4</v>
      </c>
      <c r="AH246" s="172">
        <f t="shared" si="94"/>
        <v>10</v>
      </c>
      <c r="AI246" s="221">
        <f t="shared" si="95"/>
        <v>4.9682974232916228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48081</v>
      </c>
      <c r="B247" s="406">
        <f>'2030'!Wh/'2030'!Env_an*'2031'!Env_an</f>
        <v>37.148689643105655</v>
      </c>
      <c r="C247" s="832"/>
      <c r="D247" s="388">
        <f t="shared" si="77"/>
        <v>39.003389524679619</v>
      </c>
      <c r="E247" s="380">
        <f t="shared" si="100"/>
        <v>39.327041589551541</v>
      </c>
      <c r="F247" s="380">
        <f t="shared" si="78"/>
        <v>39.328275550771238</v>
      </c>
      <c r="G247" s="110">
        <f t="shared" si="101"/>
        <v>0.71922251877518228</v>
      </c>
      <c r="H247" s="409" t="b">
        <f>Wh_hp&gt;='2030'!Maxi_hp</f>
        <v>0</v>
      </c>
      <c r="I247" s="385">
        <f>IF(H247,Wh_hp,'2030'!Maxi_hp)</f>
        <v>39.328887221224242</v>
      </c>
      <c r="J247" s="85">
        <f>IF(H247,An,'2030'!An_max)</f>
        <v>2029</v>
      </c>
      <c r="K247" s="193">
        <f t="shared" si="79"/>
        <v>48081</v>
      </c>
      <c r="L247" s="143">
        <f>IF(t&lt;Tvie,1-EXP((T0-t)*PertePVj)+'2030'!Pspv,1-EXP((T0-t)*PertePVj)+Pspv)</f>
        <v>4.7552274409391804E-2</v>
      </c>
      <c r="M247" s="836"/>
      <c r="N247" s="836"/>
      <c r="O247" s="48">
        <f>IF(t&lt;Tnet,'2030'!Resal+('2030'!Salim-'2030'!Resal)*(1-EXP(('2030'!Tnet-t)/('2030'!Tau_j))),Resal+(Salim-Resal)*(1-EXP((Tnet-t)/(Tau_j))))*Salcycl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5.2388309870624623E-5</v>
      </c>
      <c r="Q247" s="301">
        <f t="shared" si="80"/>
        <v>0.5</v>
      </c>
      <c r="R247" s="173">
        <f t="shared" si="81"/>
        <v>0.44429298140130991</v>
      </c>
      <c r="S247" s="802">
        <f t="shared" si="82"/>
        <v>1</v>
      </c>
      <c r="T247" s="172">
        <f t="shared" si="83"/>
        <v>7</v>
      </c>
      <c r="U247" s="247">
        <f t="shared" si="84"/>
        <v>1.4442929814013099</v>
      </c>
      <c r="V247" s="378">
        <f t="shared" si="85"/>
        <v>51.650091684414882</v>
      </c>
      <c r="W247" s="397">
        <f t="shared" si="86"/>
        <v>37.148689643105655</v>
      </c>
      <c r="X247" s="153">
        <f t="shared" si="87"/>
        <v>48081</v>
      </c>
      <c r="Y247" s="380">
        <f t="shared" si="88"/>
        <v>35.764344194659849</v>
      </c>
      <c r="Z247" s="380">
        <f t="shared" si="89"/>
        <v>37.549928708667508</v>
      </c>
      <c r="AA247" s="381">
        <f t="shared" si="90"/>
        <v>39.322024410975374</v>
      </c>
      <c r="AB247" s="193">
        <f t="shared" si="91"/>
        <v>48081</v>
      </c>
      <c r="AC247" s="119">
        <f>IF(OR(t&lt;Tnet,NoTnet),'2030'!Resal_s+('2030'!Salim-'2030'!Resal_s)*(1-EXP(('2030'!Tnet_s-t)/'2030'!Tau_j)),Resal_s+(Salim-Resal_s)*(1-EXP((Tnet_s-t)/Tau_j)))*Salcycl</f>
        <v>4.5066237785388381E-2</v>
      </c>
      <c r="AD247" s="227">
        <f>(INDEX(Models!$BJ247:$BT247,,AH247)*(1-AF247)+INDEX(Models!$BJ247:$BT247,,AH247+1)*AF247-ERP_i)*AE247*Ramure*Pc/MaxiM</f>
        <v>2.6539460352707582E-4</v>
      </c>
      <c r="AE247" s="301">
        <f t="shared" si="92"/>
        <v>0.5</v>
      </c>
      <c r="AF247" s="173">
        <f t="shared" si="93"/>
        <v>0.96928054777528683</v>
      </c>
      <c r="AG247" s="802">
        <f t="shared" si="99"/>
        <v>4</v>
      </c>
      <c r="AH247" s="172">
        <f t="shared" si="94"/>
        <v>10</v>
      </c>
      <c r="AI247" s="221">
        <f t="shared" si="95"/>
        <v>4.9692805477752868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48082</v>
      </c>
      <c r="B248" s="406">
        <f>'2030'!Wh/'2030'!Env_an*'2031'!Env_an</f>
        <v>27.17318970400018</v>
      </c>
      <c r="C248" s="832"/>
      <c r="D248" s="388">
        <f t="shared" si="77"/>
        <v>28.530239463158118</v>
      </c>
      <c r="E248" s="380">
        <f t="shared" si="100"/>
        <v>28.76897378662872</v>
      </c>
      <c r="F248" s="380">
        <f t="shared" si="78"/>
        <v>28.769503614405092</v>
      </c>
      <c r="G248" s="110">
        <f t="shared" si="101"/>
        <v>0.52866373503540387</v>
      </c>
      <c r="H248" s="409" t="b">
        <f>Wh_hp&gt;='2030'!Maxi_hp</f>
        <v>0</v>
      </c>
      <c r="I248" s="385">
        <f>IF(H248,Wh_hp,'2030'!Maxi_hp)</f>
        <v>28.770317385561622</v>
      </c>
      <c r="J248" s="85">
        <f>IF(H248,An,'2030'!An_max)</f>
        <v>2029</v>
      </c>
      <c r="K248" s="193">
        <f t="shared" si="79"/>
        <v>48082</v>
      </c>
      <c r="L248" s="143">
        <f>IF(t&lt;Tvie,1-EXP((T0-t)*PertePVj)+'2030'!Pspv,1-EXP((T0-t)*PertePVj)+Pspv)</f>
        <v>4.7565312618926048E-2</v>
      </c>
      <c r="M248" s="836"/>
      <c r="N248" s="836"/>
      <c r="O248" s="48">
        <f>IF(t&lt;Tnet,'2030'!Resal+('2030'!Salim-'2030'!Resal)*(1-EXP(('2030'!Tnet-t)/('2030'!Tau_j))),Resal+(Salim-Resal)*(1-EXP((Tnet-t)/(Tau_j))))*Salcycl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5.6372200737692461E-5</v>
      </c>
      <c r="Q248" s="301">
        <f t="shared" si="80"/>
        <v>0.5</v>
      </c>
      <c r="R248" s="173">
        <f t="shared" si="81"/>
        <v>0.44524035575292831</v>
      </c>
      <c r="S248" s="802">
        <f t="shared" si="82"/>
        <v>1</v>
      </c>
      <c r="T248" s="172">
        <f t="shared" si="83"/>
        <v>7</v>
      </c>
      <c r="U248" s="247">
        <f t="shared" si="84"/>
        <v>1.4452403557529283</v>
      </c>
      <c r="V248" s="378">
        <f t="shared" si="85"/>
        <v>51.397810179401752</v>
      </c>
      <c r="W248" s="397">
        <f t="shared" si="86"/>
        <v>27.17318970400018</v>
      </c>
      <c r="X248" s="153">
        <f t="shared" si="87"/>
        <v>48082</v>
      </c>
      <c r="Y248" s="380">
        <f t="shared" si="88"/>
        <v>26.162867536488093</v>
      </c>
      <c r="Z248" s="380">
        <f t="shared" si="89"/>
        <v>27.469461038245658</v>
      </c>
      <c r="AA248" s="381">
        <f t="shared" si="90"/>
        <v>28.76680949587498</v>
      </c>
      <c r="AB248" s="193">
        <f t="shared" si="91"/>
        <v>48082</v>
      </c>
      <c r="AC248" s="119">
        <f>IF(OR(t&lt;Tnet,NoTnet),'2030'!Resal_s+('2030'!Salim-'2030'!Resal_s)*(1-EXP(('2030'!Tnet_s-t)/'2030'!Tau_j)),Resal_s+(Salim-Resal_s)*(1-EXP((Tnet_s-t)/Tau_j)))*Salcycl</f>
        <v>4.5098795464799717E-2</v>
      </c>
      <c r="AD248" s="227">
        <f>(INDEX(Models!$BJ248:$BT248,,AH248)*(1-AF248)+INDEX(Models!$BJ248:$BT248,,AH248+1)*AF248-ERP_i)*AE248*Ramure*Pc/MaxiM</f>
        <v>2.8664671307030321E-4</v>
      </c>
      <c r="AE248" s="301">
        <f t="shared" si="92"/>
        <v>0.5</v>
      </c>
      <c r="AF248" s="173">
        <f t="shared" si="93"/>
        <v>0.97022792212690501</v>
      </c>
      <c r="AG248" s="802">
        <f t="shared" si="99"/>
        <v>4</v>
      </c>
      <c r="AH248" s="172">
        <f t="shared" si="94"/>
        <v>10</v>
      </c>
      <c r="AI248" s="221">
        <f t="shared" si="95"/>
        <v>4.970227922126905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48083</v>
      </c>
      <c r="B249" s="406">
        <f>'2030'!Wh/'2030'!Env_an*'2031'!Env_an</f>
        <v>45.967410767792998</v>
      </c>
      <c r="C249" s="832"/>
      <c r="D249" s="388">
        <f t="shared" si="77"/>
        <v>48.263718909753216</v>
      </c>
      <c r="E249" s="380">
        <f t="shared" si="100"/>
        <v>48.670938609035908</v>
      </c>
      <c r="F249" s="380">
        <f t="shared" si="78"/>
        <v>48.673471275431936</v>
      </c>
      <c r="G249" s="110">
        <f t="shared" si="101"/>
        <v>0.89874159409453636</v>
      </c>
      <c r="H249" s="409" t="b">
        <f>Wh_hp&gt;='2030'!Maxi_hp</f>
        <v>0</v>
      </c>
      <c r="I249" s="385">
        <f>IF(H249,Wh_hp,'2030'!Maxi_hp)</f>
        <v>48.67379250059259</v>
      </c>
      <c r="J249" s="85">
        <f>IF(H249,An,'2030'!An_max)</f>
        <v>2029</v>
      </c>
      <c r="K249" s="193">
        <f t="shared" si="79"/>
        <v>48083</v>
      </c>
      <c r="L249" s="143">
        <f>IF(t&lt;Tvie,1-EXP((T0-t)*PertePVj)+'2030'!Pspv,1-EXP((T0-t)*PertePVj)+Pspv)</f>
        <v>4.7578350649978063E-2</v>
      </c>
      <c r="M249" s="836"/>
      <c r="N249" s="836"/>
      <c r="O249" s="48">
        <f>IF(t&lt;Tnet,'2030'!Resal+('2030'!Salim-'2030'!Resal)*(1-EXP(('2030'!Tnet-t)/('2030'!Tau_j))),Resal+(Salim-Resal)*(1-EXP((Tnet-t)/(Tau_j))))*Salcycl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6.0832903047505151E-5</v>
      </c>
      <c r="Q249" s="301">
        <f t="shared" si="80"/>
        <v>0.5</v>
      </c>
      <c r="R249" s="173">
        <f t="shared" si="81"/>
        <v>0.44615313803731449</v>
      </c>
      <c r="S249" s="802">
        <f t="shared" si="82"/>
        <v>1</v>
      </c>
      <c r="T249" s="172">
        <f t="shared" si="83"/>
        <v>7</v>
      </c>
      <c r="U249" s="247">
        <f t="shared" si="84"/>
        <v>1.4461531380373145</v>
      </c>
      <c r="V249" s="378">
        <f t="shared" si="85"/>
        <v>51.14596517785332</v>
      </c>
      <c r="W249" s="397">
        <f t="shared" si="86"/>
        <v>45.967410767792998</v>
      </c>
      <c r="X249" s="153">
        <f t="shared" si="87"/>
        <v>48083</v>
      </c>
      <c r="Y249" s="380">
        <f t="shared" si="88"/>
        <v>44.253766767674492</v>
      </c>
      <c r="Z249" s="380">
        <f t="shared" si="89"/>
        <v>46.464469594822184</v>
      </c>
      <c r="AA249" s="381">
        <f t="shared" si="90"/>
        <v>48.660578292733021</v>
      </c>
      <c r="AB249" s="193">
        <f t="shared" si="91"/>
        <v>48083</v>
      </c>
      <c r="AC249" s="119">
        <f>IF(OR(t&lt;Tnet,NoTnet),'2030'!Resal_s+('2030'!Salim-'2030'!Resal_s)*(1-EXP(('2030'!Tnet_s-t)/'2030'!Tau_j)),Resal_s+(Salim-Resal_s)*(1-EXP((Tnet_s-t)/Tau_j)))*Salcycl</f>
        <v>4.5131167260270839E-2</v>
      </c>
      <c r="AD249" s="227">
        <f>(INDEX(Models!$BJ249:$BT249,,AH249)*(1-AF249)+INDEX(Models!$BJ249:$BT249,,AH249+1)*AF249-ERP_i)*AE249*Ramure*Pc/MaxiM</f>
        <v>3.0968056738398865E-4</v>
      </c>
      <c r="AE249" s="301">
        <f t="shared" si="92"/>
        <v>0.5</v>
      </c>
      <c r="AF249" s="173">
        <f t="shared" si="93"/>
        <v>0.97114070441129119</v>
      </c>
      <c r="AG249" s="802">
        <f t="shared" si="99"/>
        <v>4</v>
      </c>
      <c r="AH249" s="172">
        <f t="shared" si="94"/>
        <v>10</v>
      </c>
      <c r="AI249" s="221">
        <f t="shared" si="95"/>
        <v>4.9711407044112912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48084</v>
      </c>
      <c r="B250" s="406">
        <f>'2030'!Wh/'2030'!Env_an*'2031'!Env_an</f>
        <v>49.925981741284716</v>
      </c>
      <c r="C250" s="832"/>
      <c r="D250" s="388">
        <f t="shared" si="77"/>
        <v>52.420758420891715</v>
      </c>
      <c r="E250" s="380">
        <f t="shared" si="100"/>
        <v>52.866697467395767</v>
      </c>
      <c r="F250" s="380">
        <f t="shared" si="78"/>
        <v>52.870080649156748</v>
      </c>
      <c r="G250" s="110">
        <f t="shared" si="101"/>
        <v>0.98097717610490476</v>
      </c>
      <c r="H250" s="409" t="b">
        <f>Wh_hp&gt;='2030'!Maxi_hp</f>
        <v>0</v>
      </c>
      <c r="I250" s="385">
        <f>IF(H250,Wh_hp,'2030'!Maxi_hp)</f>
        <v>52.870151950506376</v>
      </c>
      <c r="J250" s="85">
        <f>IF(H250,An,'2030'!An_max)</f>
        <v>2029</v>
      </c>
      <c r="K250" s="193">
        <f t="shared" si="79"/>
        <v>48084</v>
      </c>
      <c r="L250" s="143">
        <f>IF(t&lt;Tvie,1-EXP((T0-t)*PertePVj)+'2030'!Pspv,1-EXP((T0-t)*PertePVj)+Pspv)</f>
        <v>4.7591388502550402E-2</v>
      </c>
      <c r="M250" s="836"/>
      <c r="N250" s="836"/>
      <c r="O250" s="48">
        <f>IF(t&lt;Tnet,'2030'!Resal+('2030'!Salim-'2030'!Resal)*(1-EXP(('2030'!Tnet-t)/('2030'!Tau_j))),Resal+(Salim-Resal)*(1-EXP((Tnet-t)/(Tau_j))))*Salcycl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6.5777857476037526E-5</v>
      </c>
      <c r="Q250" s="301">
        <f t="shared" si="80"/>
        <v>0.5</v>
      </c>
      <c r="R250" s="173">
        <f t="shared" si="81"/>
        <v>0.44703245958697879</v>
      </c>
      <c r="S250" s="802">
        <f t="shared" si="82"/>
        <v>1</v>
      </c>
      <c r="T250" s="172">
        <f t="shared" si="83"/>
        <v>7</v>
      </c>
      <c r="U250" s="247">
        <f t="shared" si="84"/>
        <v>1.4470324595869788</v>
      </c>
      <c r="V250" s="378">
        <f t="shared" si="85"/>
        <v>50.894040875816167</v>
      </c>
      <c r="W250" s="397">
        <f t="shared" si="86"/>
        <v>49.925981741284716</v>
      </c>
      <c r="X250" s="153">
        <f t="shared" si="87"/>
        <v>48084</v>
      </c>
      <c r="Y250" s="380">
        <f t="shared" si="88"/>
        <v>48.064121914021328</v>
      </c>
      <c r="Z250" s="380">
        <f t="shared" si="89"/>
        <v>50.465862376497462</v>
      </c>
      <c r="AA250" s="381">
        <f t="shared" si="90"/>
        <v>52.852875109946744</v>
      </c>
      <c r="AB250" s="193">
        <f t="shared" si="91"/>
        <v>48084</v>
      </c>
      <c r="AC250" s="119">
        <f>IF(OR(t&lt;Tnet,NoTnet),'2030'!Resal_s+('2030'!Salim-'2030'!Resal_s)*(1-EXP(('2030'!Tnet_s-t)/'2030'!Tau_j)),Resal_s+(Salim-Resal_s)*(1-EXP((Tnet_s-t)/Tau_j)))*Salcycl</f>
        <v>4.5163346903715561E-2</v>
      </c>
      <c r="AD250" s="227">
        <f>(INDEX(Models!$BJ250:$BT250,,AH250)*(1-AF250)+INDEX(Models!$BJ250:$BT250,,AH250+1)*AF250-ERP_i)*AE250*Ramure*Pc/MaxiM</f>
        <v>3.3452045615927966E-4</v>
      </c>
      <c r="AE250" s="301">
        <f t="shared" si="92"/>
        <v>0.5</v>
      </c>
      <c r="AF250" s="173">
        <f t="shared" si="93"/>
        <v>0.97202002596095571</v>
      </c>
      <c r="AG250" s="802">
        <f t="shared" si="99"/>
        <v>4</v>
      </c>
      <c r="AH250" s="172">
        <f t="shared" si="94"/>
        <v>10</v>
      </c>
      <c r="AI250" s="221">
        <f t="shared" si="95"/>
        <v>4.9720200259609557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48085</v>
      </c>
      <c r="B251" s="406">
        <f>'2030'!Wh/'2030'!Env_an*'2031'!Env_an</f>
        <v>32.0217661772162</v>
      </c>
      <c r="C251" s="832"/>
      <c r="D251" s="388">
        <f t="shared" si="77"/>
        <v>33.62233829864001</v>
      </c>
      <c r="E251" s="380">
        <f t="shared" si="100"/>
        <v>33.910695285141117</v>
      </c>
      <c r="F251" s="380">
        <f t="shared" si="78"/>
        <v>33.911841807503535</v>
      </c>
      <c r="G251" s="110">
        <f t="shared" si="101"/>
        <v>0.63229870065079852</v>
      </c>
      <c r="H251" s="409" t="b">
        <f>Wh_hp&gt;='2030'!Maxi_hp</f>
        <v>0</v>
      </c>
      <c r="I251" s="385">
        <f>IF(H251,Wh_hp,'2030'!Maxi_hp)</f>
        <v>33.912804177715458</v>
      </c>
      <c r="J251" s="85">
        <f>IF(H251,An,'2030'!An_max)</f>
        <v>2029</v>
      </c>
      <c r="K251" s="193">
        <f t="shared" si="79"/>
        <v>48085</v>
      </c>
      <c r="L251" s="143">
        <f>IF(t&lt;Tvie,1-EXP((T0-t)*PertePVj)+'2030'!Pspv,1-EXP((T0-t)*PertePVj)+Pspv)</f>
        <v>4.7604426176645509E-2</v>
      </c>
      <c r="M251" s="836"/>
      <c r="N251" s="836"/>
      <c r="O251" s="48">
        <f>IF(t&lt;Tnet,'2030'!Resal+('2030'!Salim-'2030'!Resal)*(1-EXP(('2030'!Tnet-t)/('2030'!Tau_j))),Resal+(Salim-Resal)*(1-EXP((Tnet-t)/(Tau_j))))*Salcycl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7.1214697972612635E-5</v>
      </c>
      <c r="Q251" s="301">
        <f t="shared" si="80"/>
        <v>0.5</v>
      </c>
      <c r="R251" s="173">
        <f t="shared" si="81"/>
        <v>0.44787942475494336</v>
      </c>
      <c r="S251" s="802">
        <f t="shared" si="82"/>
        <v>1</v>
      </c>
      <c r="T251" s="172">
        <f t="shared" si="83"/>
        <v>7</v>
      </c>
      <c r="U251" s="247">
        <f t="shared" si="84"/>
        <v>1.4478794247549434</v>
      </c>
      <c r="V251" s="378">
        <f t="shared" si="85"/>
        <v>50.641521648427087</v>
      </c>
      <c r="W251" s="397">
        <f t="shared" si="86"/>
        <v>32.0217661772162</v>
      </c>
      <c r="X251" s="153">
        <f t="shared" si="87"/>
        <v>48085</v>
      </c>
      <c r="Y251" s="380">
        <f t="shared" si="88"/>
        <v>30.832504580729072</v>
      </c>
      <c r="Z251" s="380">
        <f t="shared" si="89"/>
        <v>32.373632793097933</v>
      </c>
      <c r="AA251" s="381">
        <f t="shared" si="90"/>
        <v>33.906026791288454</v>
      </c>
      <c r="AB251" s="193">
        <f t="shared" si="91"/>
        <v>48085</v>
      </c>
      <c r="AC251" s="119">
        <f>IF(OR(t&lt;Tnet,NoTnet),'2030'!Resal_s+('2030'!Salim-'2030'!Resal_s)*(1-EXP(('2030'!Tnet_s-t)/'2030'!Tau_j)),Resal_s+(Salim-Resal_s)*(1-EXP((Tnet_s-t)/Tau_j)))*Salcycl</f>
        <v>4.5195327887378456E-2</v>
      </c>
      <c r="AD251" s="227">
        <f>(INDEX(Models!$BJ251:$BT251,,AH251)*(1-AF251)+INDEX(Models!$BJ251:$BT251,,AH251+1)*AF251-ERP_i)*AE251*Ramure*Pc/MaxiM</f>
        <v>3.6119192877201331E-4</v>
      </c>
      <c r="AE251" s="301">
        <f t="shared" si="92"/>
        <v>0.5</v>
      </c>
      <c r="AF251" s="173">
        <f t="shared" si="93"/>
        <v>0.97286699112892006</v>
      </c>
      <c r="AG251" s="802">
        <f t="shared" si="99"/>
        <v>4</v>
      </c>
      <c r="AH251" s="172">
        <f t="shared" si="94"/>
        <v>10</v>
      </c>
      <c r="AI251" s="221">
        <f t="shared" si="95"/>
        <v>4.9728669911289201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48086</v>
      </c>
      <c r="B252" s="406">
        <f>'2030'!Wh/'2030'!Env_an*'2031'!Env_an</f>
        <v>36.905684631751406</v>
      </c>
      <c r="C252" s="832"/>
      <c r="D252" s="388">
        <f t="shared" si="77"/>
        <v>38.750904415000115</v>
      </c>
      <c r="E252" s="380">
        <f t="shared" si="100"/>
        <v>39.085932655796093</v>
      </c>
      <c r="F252" s="380">
        <f t="shared" si="78"/>
        <v>39.087795615881063</v>
      </c>
      <c r="G252" s="110">
        <f t="shared" si="101"/>
        <v>0.73241000396786771</v>
      </c>
      <c r="H252" s="409" t="b">
        <f>Wh_hp&gt;='2030'!Maxi_hp</f>
        <v>0</v>
      </c>
      <c r="I252" s="385">
        <f>IF(H252,Wh_hp,'2030'!Maxi_hp)</f>
        <v>39.088674539563129</v>
      </c>
      <c r="J252" s="85">
        <f>IF(H252,An,'2030'!An_max)</f>
        <v>2029</v>
      </c>
      <c r="K252" s="193">
        <f t="shared" si="79"/>
        <v>48086</v>
      </c>
      <c r="L252" s="143">
        <f>IF(t&lt;Tvie,1-EXP((T0-t)*PertePVj)+'2030'!Pspv,1-EXP((T0-t)*PertePVj)+Pspv)</f>
        <v>4.7617463672265714E-2</v>
      </c>
      <c r="M252" s="836"/>
      <c r="N252" s="836"/>
      <c r="O252" s="48">
        <f>IF(t&lt;Tnet,'2030'!Resal+('2030'!Salim-'2030'!Resal)*(1-EXP(('2030'!Tnet-t)/('2030'!Tau_j))),Resal+(Salim-Resal)*(1-EXP((Tnet-t)/(Tau_j))))*Salcycl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7.7151253038314647E-5</v>
      </c>
      <c r="Q252" s="301">
        <f t="shared" si="80"/>
        <v>0.5</v>
      </c>
      <c r="R252" s="173">
        <f t="shared" si="81"/>
        <v>0.44869511075634705</v>
      </c>
      <c r="S252" s="802">
        <f t="shared" si="82"/>
        <v>1</v>
      </c>
      <c r="T252" s="172">
        <f t="shared" si="83"/>
        <v>7</v>
      </c>
      <c r="U252" s="247">
        <f t="shared" si="84"/>
        <v>1.448695110756347</v>
      </c>
      <c r="V252" s="378">
        <f t="shared" si="85"/>
        <v>50.387892053372425</v>
      </c>
      <c r="W252" s="397">
        <f t="shared" si="86"/>
        <v>36.905684631751406</v>
      </c>
      <c r="X252" s="153">
        <f t="shared" si="87"/>
        <v>48086</v>
      </c>
      <c r="Y252" s="380">
        <f t="shared" si="88"/>
        <v>35.53432852503105</v>
      </c>
      <c r="Z252" s="380">
        <f t="shared" si="89"/>
        <v>37.31098289774075</v>
      </c>
      <c r="AA252" s="381">
        <f t="shared" si="90"/>
        <v>39.078385062270534</v>
      </c>
      <c r="AB252" s="193">
        <f t="shared" si="91"/>
        <v>48086</v>
      </c>
      <c r="AC252" s="119">
        <f>IF(OR(t&lt;Tnet,NoTnet),'2030'!Resal_s+('2030'!Salim-'2030'!Resal_s)*(1-EXP(('2030'!Tnet_s-t)/'2030'!Tau_j)),Resal_s+(Salim-Resal_s)*(1-EXP((Tnet_s-t)/Tau_j)))*Salcycl</f>
        <v>4.522710346687734E-2</v>
      </c>
      <c r="AD252" s="227">
        <f>(INDEX(Models!$BJ252:$BT252,,AH252)*(1-AF252)+INDEX(Models!$BJ252:$BT252,,AH252+1)*AF252-ERP_i)*AE252*Ramure*Pc/MaxiM</f>
        <v>3.8972171690229674E-4</v>
      </c>
      <c r="AE252" s="301">
        <f t="shared" si="92"/>
        <v>0.5</v>
      </c>
      <c r="AF252" s="173">
        <f t="shared" si="93"/>
        <v>0.97368267713032353</v>
      </c>
      <c r="AG252" s="802">
        <f t="shared" si="99"/>
        <v>4</v>
      </c>
      <c r="AH252" s="172">
        <f t="shared" si="94"/>
        <v>10</v>
      </c>
      <c r="AI252" s="221">
        <f t="shared" si="95"/>
        <v>4.9736826771303235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48087</v>
      </c>
      <c r="B253" s="406">
        <f>'2030'!Wh/'2030'!Env_an*'2031'!Env_an</f>
        <v>46.525009132187066</v>
      </c>
      <c r="C253" s="832"/>
      <c r="D253" s="388">
        <f t="shared" si="77"/>
        <v>48.851847083009012</v>
      </c>
      <c r="E253" s="380">
        <f t="shared" si="100"/>
        <v>49.277587310778848</v>
      </c>
      <c r="F253" s="380">
        <f t="shared" si="78"/>
        <v>49.281283495940116</v>
      </c>
      <c r="G253" s="110">
        <f t="shared" si="101"/>
        <v>0.92803036538874573</v>
      </c>
      <c r="H253" s="409" t="b">
        <f>Wh_hp&gt;='2030'!Maxi_hp</f>
        <v>0</v>
      </c>
      <c r="I253" s="385">
        <f>IF(H253,Wh_hp,'2030'!Maxi_hp)</f>
        <v>49.281607893472703</v>
      </c>
      <c r="J253" s="85">
        <f>IF(H253,An,'2030'!An_max)</f>
        <v>2029</v>
      </c>
      <c r="K253" s="193">
        <f t="shared" si="79"/>
        <v>48087</v>
      </c>
      <c r="L253" s="143">
        <f>IF(t&lt;Tvie,1-EXP((T0-t)*PertePVj)+'2030'!Pspv,1-EXP((T0-t)*PertePVj)+Pspv)</f>
        <v>4.7630500989413682E-2</v>
      </c>
      <c r="M253" s="836"/>
      <c r="N253" s="836"/>
      <c r="O253" s="48">
        <f>IF(t&lt;Tnet,'2030'!Resal+('2030'!Salim-'2030'!Resal)*(1-EXP(('2030'!Tnet-t)/('2030'!Tau_j))),Resal+(Salim-Resal)*(1-EXP((Tnet-t)/(Tau_j))))*Salcycl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8.3595633065816242E-5</v>
      </c>
      <c r="Q253" s="301">
        <f t="shared" si="80"/>
        <v>0.5</v>
      </c>
      <c r="R253" s="173">
        <f t="shared" si="81"/>
        <v>0.44948056759159427</v>
      </c>
      <c r="S253" s="802">
        <f t="shared" si="82"/>
        <v>1</v>
      </c>
      <c r="T253" s="172">
        <f t="shared" si="83"/>
        <v>7</v>
      </c>
      <c r="U253" s="247">
        <f t="shared" si="84"/>
        <v>1.4494805675915943</v>
      </c>
      <c r="V253" s="378">
        <f t="shared" si="85"/>
        <v>50.132636828891115</v>
      </c>
      <c r="W253" s="397">
        <f t="shared" si="86"/>
        <v>46.525009132187066</v>
      </c>
      <c r="X253" s="153">
        <f t="shared" si="87"/>
        <v>48087</v>
      </c>
      <c r="Y253" s="380">
        <f t="shared" si="88"/>
        <v>44.792930484219454</v>
      </c>
      <c r="Z253" s="380">
        <f t="shared" si="89"/>
        <v>47.033142630832558</v>
      </c>
      <c r="AA253" s="381">
        <f t="shared" si="90"/>
        <v>49.262707068816546</v>
      </c>
      <c r="AB253" s="193">
        <f t="shared" si="91"/>
        <v>48087</v>
      </c>
      <c r="AC253" s="119">
        <f>IF(OR(t&lt;Tnet,NoTnet),'2030'!Resal_s+('2030'!Salim-'2030'!Resal_s)*(1-EXP(('2030'!Tnet_s-t)/'2030'!Tau_j)),Resal_s+(Salim-Resal_s)*(1-EXP((Tnet_s-t)/Tau_j)))*Salcycl</f>
        <v>4.5258666659740043E-2</v>
      </c>
      <c r="AD253" s="227">
        <f>(INDEX(Models!$BJ253:$BT253,,AH253)*(1-AF253)+INDEX(Models!$BJ253:$BT253,,AH253+1)*AF253-ERP_i)*AE253*Ramure*Pc/MaxiM</f>
        <v>4.201380931254465E-4</v>
      </c>
      <c r="AE253" s="301">
        <f t="shared" si="92"/>
        <v>0.5</v>
      </c>
      <c r="AF253" s="173">
        <f t="shared" si="93"/>
        <v>0.97446813396557097</v>
      </c>
      <c r="AG253" s="802">
        <f t="shared" si="99"/>
        <v>4</v>
      </c>
      <c r="AH253" s="172">
        <f t="shared" si="94"/>
        <v>10</v>
      </c>
      <c r="AI253" s="221">
        <f t="shared" si="95"/>
        <v>4.974468133965571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48088</v>
      </c>
      <c r="B254" s="406">
        <f>'2030'!Wh/'2030'!Env_an*'2031'!Env_an</f>
        <v>48.90994036405214</v>
      </c>
      <c r="C254" s="832"/>
      <c r="D254" s="388">
        <f t="shared" si="77"/>
        <v>51.356758023058923</v>
      </c>
      <c r="E254" s="380">
        <f t="shared" si="100"/>
        <v>51.80787897290071</v>
      </c>
      <c r="F254" s="380">
        <f t="shared" si="78"/>
        <v>51.812412593116392</v>
      </c>
      <c r="G254" s="110">
        <f t="shared" si="101"/>
        <v>0.9806427001565925</v>
      </c>
      <c r="H254" s="409" t="b">
        <f>Wh_hp&gt;='2030'!Maxi_hp</f>
        <v>0</v>
      </c>
      <c r="I254" s="385">
        <f>IF(H254,Wh_hp,'2030'!Maxi_hp)</f>
        <v>51.812511657802986</v>
      </c>
      <c r="J254" s="85">
        <f>IF(H254,An,'2030'!An_max)</f>
        <v>2029</v>
      </c>
      <c r="K254" s="193">
        <f t="shared" si="79"/>
        <v>48088</v>
      </c>
      <c r="L254" s="143">
        <f>IF(t&lt;Tvie,1-EXP((T0-t)*PertePVj)+'2030'!Pspv,1-EXP((T0-t)*PertePVj)+Pspv)</f>
        <v>4.7643538128091634E-2</v>
      </c>
      <c r="M254" s="836"/>
      <c r="N254" s="836"/>
      <c r="O254" s="48">
        <f>IF(t&lt;Tnet,'2030'!Resal+('2030'!Salim-'2030'!Resal)*(1-EXP(('2030'!Tnet-t)/('2030'!Tau_j))),Resal+(Salim-Resal)*(1-EXP((Tnet-t)/(Tau_j))))*Salcycl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8.9988831554643333E-5</v>
      </c>
      <c r="Q254" s="301">
        <f t="shared" si="80"/>
        <v>0.5</v>
      </c>
      <c r="R254" s="173">
        <f t="shared" si="81"/>
        <v>0.45023681804415405</v>
      </c>
      <c r="S254" s="802">
        <f t="shared" si="82"/>
        <v>1</v>
      </c>
      <c r="T254" s="172">
        <f t="shared" si="83"/>
        <v>7</v>
      </c>
      <c r="U254" s="247">
        <f t="shared" si="84"/>
        <v>1.4502368180441541</v>
      </c>
      <c r="V254" s="378">
        <f t="shared" si="85"/>
        <v>49.875269197631773</v>
      </c>
      <c r="W254" s="397">
        <f t="shared" si="86"/>
        <v>48.90994036405214</v>
      </c>
      <c r="X254" s="153">
        <f t="shared" si="87"/>
        <v>48088</v>
      </c>
      <c r="Y254" s="380">
        <f t="shared" si="88"/>
        <v>47.088524985610761</v>
      </c>
      <c r="Z254" s="380">
        <f t="shared" si="89"/>
        <v>49.444222694783534</v>
      </c>
      <c r="AA254" s="381">
        <f t="shared" si="90"/>
        <v>51.789782473311085</v>
      </c>
      <c r="AB254" s="193">
        <f t="shared" si="91"/>
        <v>48088</v>
      </c>
      <c r="AC254" s="119">
        <f>IF(OR(t&lt;Tnet,NoTnet),'2030'!Resal_s+('2030'!Salim-'2030'!Resal_s)*(1-EXP(('2030'!Tnet_s-t)/'2030'!Tau_j)),Resal_s+(Salim-Resal_s)*(1-EXP((Tnet_s-t)/Tau_j)))*Salcycl</f>
        <v>4.5290010239689441E-2</v>
      </c>
      <c r="AD254" s="227">
        <f>(INDEX(Models!$BJ254:$BT254,,AH254)*(1-AF254)+INDEX(Models!$BJ254:$BT254,,AH254+1)*AF254-ERP_i)*AE254*Ramure*Pc/MaxiM</f>
        <v>4.491902590734448E-4</v>
      </c>
      <c r="AE254" s="301">
        <f t="shared" si="92"/>
        <v>0.5</v>
      </c>
      <c r="AF254" s="173">
        <f t="shared" si="93"/>
        <v>0.97522438441813097</v>
      </c>
      <c r="AG254" s="802">
        <f t="shared" si="99"/>
        <v>4</v>
      </c>
      <c r="AH254" s="172">
        <f t="shared" si="94"/>
        <v>10</v>
      </c>
      <c r="AI254" s="221">
        <f t="shared" si="95"/>
        <v>4.975224384418131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48089</v>
      </c>
      <c r="B255" s="406">
        <f>'2030'!Wh/'2030'!Env_an*'2031'!Env_an</f>
        <v>34.182377530813341</v>
      </c>
      <c r="C255" s="832"/>
      <c r="D255" s="388">
        <f t="shared" si="77"/>
        <v>35.892910725962921</v>
      </c>
      <c r="E255" s="380">
        <f t="shared" si="100"/>
        <v>36.210674058543276</v>
      </c>
      <c r="F255" s="380">
        <f t="shared" si="78"/>
        <v>36.212608173312148</v>
      </c>
      <c r="G255" s="110">
        <f t="shared" si="101"/>
        <v>0.68891910463046824</v>
      </c>
      <c r="H255" s="409" t="b">
        <f>Wh_hp&gt;='2030'!Maxi_hp</f>
        <v>0</v>
      </c>
      <c r="I255" s="385">
        <f>IF(H255,Wh_hp,'2030'!Maxi_hp)</f>
        <v>36.213798655088205</v>
      </c>
      <c r="J255" s="85">
        <f>IF(H255,An,'2030'!An_max)</f>
        <v>2029</v>
      </c>
      <c r="K255" s="193">
        <f t="shared" si="79"/>
        <v>48089</v>
      </c>
      <c r="L255" s="143">
        <f>IF(t&lt;Tvie,1-EXP((T0-t)*PertePVj)+'2030'!Pspv,1-EXP((T0-t)*PertePVj)+Pspv)</f>
        <v>4.7656575088302122E-2</v>
      </c>
      <c r="M255" s="836"/>
      <c r="N255" s="836"/>
      <c r="O255" s="48">
        <f>IF(t&lt;Tnet,'2030'!Resal+('2030'!Salim-'2030'!Resal)*(1-EXP(('2030'!Tnet-t)/('2030'!Tau_j))),Resal+(Salim-Resal)*(1-EXP((Tnet-t)/(Tau_j))))*Salcycl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9.6123225922554713E-5</v>
      </c>
      <c r="Q255" s="301">
        <f t="shared" si="80"/>
        <v>0.5</v>
      </c>
      <c r="R255" s="173">
        <f t="shared" si="81"/>
        <v>0.45096485774644868</v>
      </c>
      <c r="S255" s="802">
        <f t="shared" si="82"/>
        <v>1</v>
      </c>
      <c r="T255" s="172">
        <f t="shared" si="83"/>
        <v>7</v>
      </c>
      <c r="U255" s="247">
        <f t="shared" si="84"/>
        <v>1.4509648577464487</v>
      </c>
      <c r="V255" s="378">
        <f t="shared" si="85"/>
        <v>49.615284556451222</v>
      </c>
      <c r="W255" s="397">
        <f t="shared" si="86"/>
        <v>34.182377530813341</v>
      </c>
      <c r="X255" s="153">
        <f t="shared" si="87"/>
        <v>48089</v>
      </c>
      <c r="Y255" s="380">
        <f t="shared" si="88"/>
        <v>32.915159799849086</v>
      </c>
      <c r="Z255" s="380">
        <f t="shared" si="89"/>
        <v>34.562279676473864</v>
      </c>
      <c r="AA255" s="381">
        <f t="shared" si="90"/>
        <v>36.203042346565752</v>
      </c>
      <c r="AB255" s="193">
        <f t="shared" si="91"/>
        <v>48089</v>
      </c>
      <c r="AC255" s="119">
        <f>IF(OR(t&lt;Tnet,NoTnet),'2030'!Resal_s+('2030'!Salim-'2030'!Resal_s)*(1-EXP(('2030'!Tnet_s-t)/'2030'!Tau_j)),Resal_s+(Salim-Resal_s)*(1-EXP((Tnet_s-t)/Tau_j)))*Salcycl</f>
        <v>4.5321126727006368E-2</v>
      </c>
      <c r="AD255" s="227">
        <f>(INDEX(Models!$BJ255:$BT255,,AH255)*(1-AF255)+INDEX(Models!$BJ255:$BT255,,AH255+1)*AF255-ERP_i)*AE255*Ramure*Pc/MaxiM</f>
        <v>4.7541032222066888E-4</v>
      </c>
      <c r="AE255" s="301">
        <f t="shared" si="92"/>
        <v>0.5</v>
      </c>
      <c r="AF255" s="173">
        <f t="shared" si="93"/>
        <v>0.97595242412042538</v>
      </c>
      <c r="AG255" s="802">
        <f t="shared" si="99"/>
        <v>4</v>
      </c>
      <c r="AH255" s="172">
        <f t="shared" si="94"/>
        <v>10</v>
      </c>
      <c r="AI255" s="221">
        <f t="shared" si="95"/>
        <v>4.9759524241204254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48090</v>
      </c>
      <c r="B256" s="406">
        <f>'2030'!Wh/'2030'!Env_an*'2031'!Env_an</f>
        <v>47.970739467326446</v>
      </c>
      <c r="C256" s="832"/>
      <c r="D256" s="388">
        <f t="shared" si="77"/>
        <v>50.371950811655175</v>
      </c>
      <c r="E256" s="380">
        <f t="shared" si="100"/>
        <v>50.821370419090862</v>
      </c>
      <c r="F256" s="380">
        <f t="shared" si="78"/>
        <v>50.826347141354631</v>
      </c>
      <c r="G256" s="110">
        <f t="shared" si="101"/>
        <v>0.97200478778572219</v>
      </c>
      <c r="H256" s="409" t="b">
        <f>Wh_hp&gt;='2030'!Maxi_hp</f>
        <v>0</v>
      </c>
      <c r="I256" s="385">
        <f>IF(H256,Wh_hp,'2030'!Maxi_hp)</f>
        <v>50.826506738332967</v>
      </c>
      <c r="J256" s="85">
        <f>IF(H256,An,'2030'!An_max)</f>
        <v>2029</v>
      </c>
      <c r="K256" s="193">
        <f t="shared" si="79"/>
        <v>48090</v>
      </c>
      <c r="L256" s="143">
        <f>IF(t&lt;Tvie,1-EXP((T0-t)*PertePVj)+'2030'!Pspv,1-EXP((T0-t)*PertePVj)+Pspv)</f>
        <v>4.766961187004759E-2</v>
      </c>
      <c r="M256" s="836"/>
      <c r="N256" s="836"/>
      <c r="O256" s="48">
        <f>IF(t&lt;Tnet,'2030'!Resal+('2030'!Salim-'2030'!Resal)*(1-EXP(('2030'!Tnet-t)/('2030'!Tau_j))),Resal+(Salim-Resal)*(1-EXP((Tnet-t)/(Tau_j))))*Salcycl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1.019947028123752E-4</v>
      </c>
      <c r="Q256" s="301">
        <f t="shared" si="80"/>
        <v>0.5</v>
      </c>
      <c r="R256" s="173">
        <f t="shared" si="81"/>
        <v>0.45166565530762348</v>
      </c>
      <c r="S256" s="802">
        <f t="shared" si="82"/>
        <v>1</v>
      </c>
      <c r="T256" s="172">
        <f t="shared" si="83"/>
        <v>7</v>
      </c>
      <c r="U256" s="247">
        <f t="shared" si="84"/>
        <v>1.4516656553076235</v>
      </c>
      <c r="V256" s="378">
        <f t="shared" si="85"/>
        <v>49.35216822148714</v>
      </c>
      <c r="W256" s="397">
        <f t="shared" si="86"/>
        <v>47.970739467326446</v>
      </c>
      <c r="X256" s="153">
        <f t="shared" si="87"/>
        <v>48090</v>
      </c>
      <c r="Y256" s="380">
        <f t="shared" si="88"/>
        <v>46.186154549929888</v>
      </c>
      <c r="Z256" s="380">
        <f t="shared" si="89"/>
        <v>48.498037157696423</v>
      </c>
      <c r="AA256" s="381">
        <f t="shared" si="90"/>
        <v>50.802010356887642</v>
      </c>
      <c r="AB256" s="193">
        <f t="shared" si="91"/>
        <v>48090</v>
      </c>
      <c r="AC256" s="119">
        <f>IF(OR(t&lt;Tnet,NoTnet),'2030'!Resal_s+('2030'!Salim-'2030'!Resal_s)*(1-EXP(('2030'!Tnet_s-t)/'2030'!Tau_j)),Resal_s+(Salim-Resal_s)*(1-EXP((Tnet_s-t)/Tau_j)))*Salcycl</f>
        <v>4.5352008375370366E-2</v>
      </c>
      <c r="AD256" s="227">
        <f>(INDEX(Models!$BJ256:$BT256,,AH256)*(1-AF256)+INDEX(Models!$BJ256:$BT256,,AH256+1)*AF256-ERP_i)*AE256*Ramure*Pc/MaxiM</f>
        <v>4.9876665153451719E-4</v>
      </c>
      <c r="AE256" s="301">
        <f t="shared" si="92"/>
        <v>0.5</v>
      </c>
      <c r="AF256" s="173">
        <f t="shared" si="93"/>
        <v>0.97665322168159996</v>
      </c>
      <c r="AG256" s="802">
        <f t="shared" si="99"/>
        <v>4</v>
      </c>
      <c r="AH256" s="172">
        <f t="shared" si="94"/>
        <v>10</v>
      </c>
      <c r="AI256" s="221">
        <f t="shared" si="95"/>
        <v>4.9766532216816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48091</v>
      </c>
      <c r="B257" s="406">
        <f>'2030'!Wh/'2030'!Env_an*'2031'!Env_an</f>
        <v>24.286846407565957</v>
      </c>
      <c r="C257" s="832"/>
      <c r="D257" s="388">
        <f t="shared" si="77"/>
        <v>25.502891833936943</v>
      </c>
      <c r="E257" s="380">
        <f t="shared" si="100"/>
        <v>25.732184235158389</v>
      </c>
      <c r="F257" s="380">
        <f t="shared" si="78"/>
        <v>25.732954717317984</v>
      </c>
      <c r="G257" s="110">
        <f t="shared" si="101"/>
        <v>0.49474910013863771</v>
      </c>
      <c r="H257" s="409" t="b">
        <f>Wh_hp&gt;='2030'!Maxi_hp</f>
        <v>0</v>
      </c>
      <c r="I257" s="385">
        <f>IF(H257,Wh_hp,'2030'!Maxi_hp)</f>
        <v>25.734491979650002</v>
      </c>
      <c r="J257" s="85">
        <f>IF(H257,An,'2030'!An_max)</f>
        <v>2029</v>
      </c>
      <c r="K257" s="193">
        <f t="shared" si="79"/>
        <v>48091</v>
      </c>
      <c r="L257" s="143">
        <f>IF(t&lt;Tvie,1-EXP((T0-t)*PertePVj)+'2030'!Pspv,1-EXP((T0-t)*PertePVj)+Pspv)</f>
        <v>4.768264847333048E-2</v>
      </c>
      <c r="M257" s="836"/>
      <c r="N257" s="836"/>
      <c r="O257" s="48">
        <f>IF(t&lt;Tnet,'2030'!Resal+('2030'!Salim-'2030'!Resal)*(1-EXP(('2030'!Tnet-t)/('2030'!Tau_j))),Resal+(Salim-Resal)*(1-EXP((Tnet-t)/(Tau_j))))*Salcycl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1.0759939537258616E-4</v>
      </c>
      <c r="Q257" s="301">
        <f t="shared" si="80"/>
        <v>0.5</v>
      </c>
      <c r="R257" s="173">
        <f t="shared" si="81"/>
        <v>0.45234015249732362</v>
      </c>
      <c r="S257" s="802">
        <f t="shared" si="82"/>
        <v>1</v>
      </c>
      <c r="T257" s="172">
        <f t="shared" si="83"/>
        <v>7</v>
      </c>
      <c r="U257" s="247">
        <f t="shared" si="84"/>
        <v>1.4523401524973236</v>
      </c>
      <c r="V257" s="378">
        <f t="shared" si="85"/>
        <v>49.085405668991257</v>
      </c>
      <c r="W257" s="397">
        <f t="shared" si="86"/>
        <v>24.286846407565957</v>
      </c>
      <c r="X257" s="153">
        <f t="shared" si="87"/>
        <v>48091</v>
      </c>
      <c r="Y257" s="380">
        <f t="shared" si="88"/>
        <v>23.390414851371887</v>
      </c>
      <c r="Z257" s="380">
        <f t="shared" si="89"/>
        <v>24.561575838006604</v>
      </c>
      <c r="AA257" s="381">
        <f t="shared" si="90"/>
        <v>25.729236709162596</v>
      </c>
      <c r="AB257" s="193">
        <f t="shared" si="91"/>
        <v>48091</v>
      </c>
      <c r="AC257" s="119">
        <f>IF(OR(t&lt;Tnet,NoTnet),'2030'!Resal_s+('2030'!Salim-'2030'!Resal_s)*(1-EXP(('2030'!Tnet_s-t)/'2030'!Tau_j)),Resal_s+(Salim-Resal_s)*(1-EXP((Tnet_s-t)/Tau_j)))*Salcycl</f>
        <v>4.5382647155644884E-2</v>
      </c>
      <c r="AD257" s="227">
        <f>(INDEX(Models!$BJ257:$BT257,,AH257)*(1-AF257)+INDEX(Models!$BJ257:$BT257,,AH257+1)*AF257-ERP_i)*AE257*Ramure*Pc/MaxiM</f>
        <v>5.192273753875041E-4</v>
      </c>
      <c r="AE257" s="301">
        <f t="shared" si="92"/>
        <v>0.5</v>
      </c>
      <c r="AF257" s="173">
        <f t="shared" si="93"/>
        <v>0.97732771887130099</v>
      </c>
      <c r="AG257" s="802">
        <f t="shared" si="99"/>
        <v>4</v>
      </c>
      <c r="AH257" s="172">
        <f t="shared" si="94"/>
        <v>10</v>
      </c>
      <c r="AI257" s="221">
        <f t="shared" si="95"/>
        <v>4.977327718871301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48092</v>
      </c>
      <c r="B258" s="406">
        <f>'2030'!Wh/'2030'!Env_an*'2031'!Env_an</f>
        <v>41.761369703668407</v>
      </c>
      <c r="C258" s="832"/>
      <c r="D258" s="388">
        <f t="shared" si="77"/>
        <v>43.852966999526956</v>
      </c>
      <c r="E258" s="380">
        <f t="shared" si="100"/>
        <v>44.250254996734839</v>
      </c>
      <c r="F258" s="380">
        <f t="shared" si="78"/>
        <v>44.254221185595966</v>
      </c>
      <c r="G258" s="110">
        <f t="shared" si="101"/>
        <v>0.8554919350804695</v>
      </c>
      <c r="H258" s="409" t="b">
        <f>Wh_hp&gt;='2030'!Maxi_hp</f>
        <v>0</v>
      </c>
      <c r="I258" s="385">
        <f>IF(H258,Wh_hp,'2030'!Maxi_hp)</f>
        <v>44.255013345219645</v>
      </c>
      <c r="J258" s="85">
        <f>IF(H258,An,'2030'!An_max)</f>
        <v>2029</v>
      </c>
      <c r="K258" s="193">
        <f t="shared" si="79"/>
        <v>48092</v>
      </c>
      <c r="L258" s="143">
        <f>IF(t&lt;Tvie,1-EXP((T0-t)*PertePVj)+'2030'!Pspv,1-EXP((T0-t)*PertePVj)+Pspv)</f>
        <v>4.7695684898153123E-2</v>
      </c>
      <c r="M258" s="836"/>
      <c r="N258" s="836"/>
      <c r="O258" s="48">
        <f>IF(t&lt;Tnet,'2030'!Resal+('2030'!Salim-'2030'!Resal)*(1-EXP(('2030'!Tnet-t)/('2030'!Tau_j))),Resal+(Salim-Resal)*(1-EXP((Tnet-t)/(Tau_j))))*Salcycl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1.129336533672917E-4</v>
      </c>
      <c r="Q258" s="301">
        <f t="shared" si="80"/>
        <v>0.5</v>
      </c>
      <c r="R258" s="173">
        <f t="shared" si="81"/>
        <v>0.45298926447994514</v>
      </c>
      <c r="S258" s="802">
        <f t="shared" si="82"/>
        <v>1</v>
      </c>
      <c r="T258" s="172">
        <f t="shared" si="83"/>
        <v>7</v>
      </c>
      <c r="U258" s="247">
        <f t="shared" si="84"/>
        <v>1.4529892644799451</v>
      </c>
      <c r="V258" s="378">
        <f t="shared" si="85"/>
        <v>48.814482536148923</v>
      </c>
      <c r="W258" s="397">
        <f t="shared" si="86"/>
        <v>41.761369703668407</v>
      </c>
      <c r="X258" s="153">
        <f t="shared" si="87"/>
        <v>48092</v>
      </c>
      <c r="Y258" s="380">
        <f t="shared" si="88"/>
        <v>40.212485737837255</v>
      </c>
      <c r="Z258" s="380">
        <f t="shared" si="89"/>
        <v>42.226507955638759</v>
      </c>
      <c r="AA258" s="381">
        <f t="shared" si="90"/>
        <v>44.235370366712253</v>
      </c>
      <c r="AB258" s="193">
        <f t="shared" si="91"/>
        <v>48092</v>
      </c>
      <c r="AC258" s="119">
        <f>IF(OR(t&lt;Tnet,NoTnet),'2030'!Resal_s+('2030'!Salim-'2030'!Resal_s)*(1-EXP(('2030'!Tnet_s-t)/'2030'!Tau_j)),Resal_s+(Salim-Resal_s)*(1-EXP((Tnet_s-t)/Tau_j)))*Salcycl</f>
        <v>4.5413034737133949E-2</v>
      </c>
      <c r="AD258" s="227">
        <f>(INDEX(Models!$BJ258:$BT258,,AH258)*(1-AF258)+INDEX(Models!$BJ258:$BT258,,AH258+1)*AF258-ERP_i)*AE258*Ramure*Pc/MaxiM</f>
        <v>5.3676007876671792E-4</v>
      </c>
      <c r="AE258" s="301">
        <f t="shared" si="92"/>
        <v>0.5</v>
      </c>
      <c r="AF258" s="173">
        <f t="shared" si="93"/>
        <v>0.97797683085392162</v>
      </c>
      <c r="AG258" s="802">
        <f t="shared" si="99"/>
        <v>4</v>
      </c>
      <c r="AH258" s="172">
        <f t="shared" si="94"/>
        <v>10</v>
      </c>
      <c r="AI258" s="221">
        <f t="shared" si="95"/>
        <v>4.9779768308539216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48093</v>
      </c>
      <c r="B259" s="406">
        <f>'2030'!Wh/'2030'!Env_an*'2031'!Env_an</f>
        <v>39.474834800172509</v>
      </c>
      <c r="C259" s="832"/>
      <c r="D259" s="388">
        <f t="shared" si="77"/>
        <v>41.452479589664648</v>
      </c>
      <c r="E259" s="380">
        <f t="shared" si="100"/>
        <v>41.830863644642932</v>
      </c>
      <c r="F259" s="380">
        <f t="shared" si="78"/>
        <v>41.83448303582999</v>
      </c>
      <c r="G259" s="110">
        <f t="shared" si="101"/>
        <v>0.81323648968878437</v>
      </c>
      <c r="H259" s="409" t="b">
        <f>Wh_hp&gt;='2030'!Maxi_hp</f>
        <v>0</v>
      </c>
      <c r="I259" s="385">
        <f>IF(H259,Wh_hp,'2030'!Maxi_hp)</f>
        <v>41.835491521624917</v>
      </c>
      <c r="J259" s="85">
        <f>IF(H259,An,'2030'!An_max)</f>
        <v>2029</v>
      </c>
      <c r="K259" s="193">
        <f t="shared" si="79"/>
        <v>48093</v>
      </c>
      <c r="L259" s="143">
        <f>IF(t&lt;Tvie,1-EXP((T0-t)*PertePVj)+'2030'!Pspv,1-EXP((T0-t)*PertePVj)+Pspv)</f>
        <v>4.7708721144518185E-2</v>
      </c>
      <c r="M259" s="836"/>
      <c r="N259" s="836"/>
      <c r="O259" s="48">
        <f>IF(t&lt;Tnet,'2030'!Resal+('2030'!Salim-'2030'!Resal)*(1-EXP(('2030'!Tnet-t)/('2030'!Tau_j))),Resal+(Salim-Resal)*(1-EXP((Tnet-t)/(Tau_j))))*Salcycl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1.1799401224803476E-4</v>
      </c>
      <c r="Q259" s="301">
        <f t="shared" si="80"/>
        <v>0.5</v>
      </c>
      <c r="R259" s="173">
        <f t="shared" si="81"/>
        <v>0.4536138800941516</v>
      </c>
      <c r="S259" s="802">
        <f t="shared" si="82"/>
        <v>1</v>
      </c>
      <c r="T259" s="172">
        <f t="shared" si="83"/>
        <v>7</v>
      </c>
      <c r="U259" s="247">
        <f t="shared" si="84"/>
        <v>1.4536138800941516</v>
      </c>
      <c r="V259" s="378">
        <f t="shared" si="85"/>
        <v>48.538884618032924</v>
      </c>
      <c r="W259" s="397">
        <f t="shared" si="86"/>
        <v>39.474834800172509</v>
      </c>
      <c r="X259" s="153">
        <f t="shared" si="87"/>
        <v>48093</v>
      </c>
      <c r="Y259" s="380">
        <f t="shared" si="88"/>
        <v>38.012847724672703</v>
      </c>
      <c r="Z259" s="380">
        <f t="shared" si="89"/>
        <v>39.917248607336525</v>
      </c>
      <c r="AA259" s="381">
        <f t="shared" si="90"/>
        <v>41.817571293602533</v>
      </c>
      <c r="AB259" s="193">
        <f t="shared" si="91"/>
        <v>48093</v>
      </c>
      <c r="AC259" s="119">
        <f>IF(OR(t&lt;Tnet,NoTnet),'2030'!Resal_s+('2030'!Salim-'2030'!Resal_s)*(1-EXP(('2030'!Tnet_s-t)/'2030'!Tau_j)),Resal_s+(Salim-Resal_s)*(1-EXP((Tnet_s-t)/Tau_j)))*Salcycl</f>
        <v>4.5443162466891757E-2</v>
      </c>
      <c r="AD259" s="227">
        <f>(INDEX(Models!$BJ259:$BT259,,AH259)*(1-AF259)+INDEX(Models!$BJ259:$BT259,,AH259+1)*AF259-ERP_i)*AE259*Ramure*Pc/MaxiM</f>
        <v>5.5133148543182946E-4</v>
      </c>
      <c r="AE259" s="301">
        <f t="shared" si="92"/>
        <v>0.5</v>
      </c>
      <c r="AF259" s="173">
        <f t="shared" si="93"/>
        <v>0.97860144646812852</v>
      </c>
      <c r="AG259" s="802">
        <f t="shared" si="99"/>
        <v>4</v>
      </c>
      <c r="AH259" s="172">
        <f t="shared" si="94"/>
        <v>10</v>
      </c>
      <c r="AI259" s="221">
        <f t="shared" si="95"/>
        <v>4.9786014464681285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48094</v>
      </c>
      <c r="B260" s="406">
        <f>'2030'!Wh/'2030'!Env_an*'2031'!Env_an</f>
        <v>36.315327567050431</v>
      </c>
      <c r="C260" s="832"/>
      <c r="D260" s="388">
        <f t="shared" si="77"/>
        <v>38.135206639548741</v>
      </c>
      <c r="E260" s="380">
        <f t="shared" si="100"/>
        <v>38.485921571110502</v>
      </c>
      <c r="F260" s="380">
        <f t="shared" si="78"/>
        <v>38.488976467934435</v>
      </c>
      <c r="G260" s="110">
        <f t="shared" si="101"/>
        <v>0.75249031195966998</v>
      </c>
      <c r="H260" s="409" t="b">
        <f>Wh_hp&gt;='2030'!Maxi_hp</f>
        <v>0</v>
      </c>
      <c r="I260" s="385">
        <f>IF(H260,Wh_hp,'2030'!Maxi_hp)</f>
        <v>38.490251493308925</v>
      </c>
      <c r="J260" s="85">
        <f>IF(H260,An,'2030'!An_max)</f>
        <v>2029</v>
      </c>
      <c r="K260" s="193">
        <f t="shared" si="79"/>
        <v>48094</v>
      </c>
      <c r="L260" s="143">
        <f>IF(t&lt;Tvie,1-EXP((T0-t)*PertePVj)+'2030'!Pspv,1-EXP((T0-t)*PertePVj)+Pspv)</f>
        <v>4.7721757212427884E-2</v>
      </c>
      <c r="M260" s="836"/>
      <c r="N260" s="836"/>
      <c r="O260" s="48">
        <f>IF(t&lt;Tnet,'2030'!Resal+('2030'!Salim-'2030'!Resal)*(1-EXP(('2030'!Tnet-t)/('2030'!Tau_j))),Resal+(Salim-Resal)*(1-EXP((Tnet-t)/(Tau_j))))*Salcycl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1.2277716116964452E-4</v>
      </c>
      <c r="Q260" s="301">
        <f t="shared" si="80"/>
        <v>0.5</v>
      </c>
      <c r="R260" s="173">
        <f t="shared" si="81"/>
        <v>0.45421486217277707</v>
      </c>
      <c r="S260" s="802">
        <f t="shared" si="82"/>
        <v>1</v>
      </c>
      <c r="T260" s="172">
        <f t="shared" si="83"/>
        <v>7</v>
      </c>
      <c r="U260" s="247">
        <f t="shared" si="84"/>
        <v>1.4542148621727771</v>
      </c>
      <c r="V260" s="378">
        <f t="shared" si="85"/>
        <v>48.258097871493682</v>
      </c>
      <c r="W260" s="397">
        <f t="shared" si="86"/>
        <v>36.315327567050431</v>
      </c>
      <c r="X260" s="153">
        <f t="shared" si="87"/>
        <v>48094</v>
      </c>
      <c r="Y260" s="380">
        <f t="shared" si="88"/>
        <v>34.972796773936331</v>
      </c>
      <c r="Z260" s="380">
        <f t="shared" si="89"/>
        <v>36.725397265784039</v>
      </c>
      <c r="AA260" s="381">
        <f t="shared" si="90"/>
        <v>38.474970416904618</v>
      </c>
      <c r="AB260" s="193">
        <f t="shared" si="91"/>
        <v>48094</v>
      </c>
      <c r="AC260" s="119">
        <f>IF(OR(t&lt;Tnet,NoTnet),'2030'!Resal_s+('2030'!Salim-'2030'!Resal_s)*(1-EXP(('2030'!Tnet_s-t)/'2030'!Tau_j)),Resal_s+(Salim-Resal_s)*(1-EXP((Tnet_s-t)/Tau_j)))*Salcycl</f>
        <v>4.5473021347714214E-2</v>
      </c>
      <c r="AD260" s="227">
        <f>(INDEX(Models!$BJ260:$BT260,,AH260)*(1-AF260)+INDEX(Models!$BJ260:$BT260,,AH260+1)*AF260-ERP_i)*AE260*Ramure*Pc/MaxiM</f>
        <v>5.6290712379058019E-4</v>
      </c>
      <c r="AE260" s="301">
        <f t="shared" si="92"/>
        <v>0.5</v>
      </c>
      <c r="AF260" s="173">
        <f t="shared" si="93"/>
        <v>0.97920242854675443</v>
      </c>
      <c r="AG260" s="802">
        <f t="shared" si="99"/>
        <v>4</v>
      </c>
      <c r="AH260" s="172">
        <f t="shared" si="94"/>
        <v>10</v>
      </c>
      <c r="AI260" s="221">
        <f t="shared" si="95"/>
        <v>4.9792024285467544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48095</v>
      </c>
      <c r="B261" s="406">
        <f>'2030'!Wh/'2030'!Env_an*'2031'!Env_an</f>
        <v>47.616958450841281</v>
      </c>
      <c r="C261" s="832"/>
      <c r="D261" s="388">
        <f t="shared" si="77"/>
        <v>50.003883483202713</v>
      </c>
      <c r="E261" s="380">
        <f t="shared" si="100"/>
        <v>50.467168300196079</v>
      </c>
      <c r="F261" s="380">
        <f t="shared" si="78"/>
        <v>50.473524085986327</v>
      </c>
      <c r="G261" s="110">
        <f t="shared" si="101"/>
        <v>0.99256523258438967</v>
      </c>
      <c r="H261" s="409" t="b">
        <f>Wh_hp&gt;='2030'!Maxi_hp</f>
        <v>0</v>
      </c>
      <c r="I261" s="385">
        <f>IF(H261,Wh_hp,'2030'!Maxi_hp)</f>
        <v>50.473575928072705</v>
      </c>
      <c r="J261" s="85">
        <f>IF(H261,An,'2030'!An_max)</f>
        <v>2029</v>
      </c>
      <c r="K261" s="193">
        <f t="shared" si="79"/>
        <v>48095</v>
      </c>
      <c r="L261" s="143">
        <f>IF(t&lt;Tvie,1-EXP((T0-t)*PertePVj)+'2030'!Pspv,1-EXP((T0-t)*PertePVj)+Pspv)</f>
        <v>4.7734793101884776E-2</v>
      </c>
      <c r="M261" s="836"/>
      <c r="N261" s="836"/>
      <c r="O261" s="48">
        <f>IF(t&lt;Tnet,'2030'!Resal+('2030'!Salim-'2030'!Resal)*(1-EXP(('2030'!Tnet-t)/('2030'!Tau_j))),Resal+(Salim-Resal)*(1-EXP((Tnet-t)/(Tau_j))))*Salcycl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1.2727471586355599E-4</v>
      </c>
      <c r="Q261" s="301">
        <f t="shared" si="80"/>
        <v>0.5</v>
      </c>
      <c r="R261" s="173">
        <f t="shared" si="81"/>
        <v>0.45479304789854136</v>
      </c>
      <c r="S261" s="802">
        <f t="shared" si="82"/>
        <v>1</v>
      </c>
      <c r="T261" s="172">
        <f t="shared" si="83"/>
        <v>7</v>
      </c>
      <c r="U261" s="247">
        <f t="shared" si="84"/>
        <v>1.4547930478985414</v>
      </c>
      <c r="V261" s="378">
        <f t="shared" si="85"/>
        <v>47.973566394127545</v>
      </c>
      <c r="W261" s="397">
        <f t="shared" si="86"/>
        <v>47.616958450841281</v>
      </c>
      <c r="X261" s="153">
        <f t="shared" si="87"/>
        <v>48095</v>
      </c>
      <c r="Y261" s="380">
        <f t="shared" si="88"/>
        <v>45.851198486619111</v>
      </c>
      <c r="Z261" s="380">
        <f t="shared" si="89"/>
        <v>48.149610165820981</v>
      </c>
      <c r="AA261" s="381">
        <f t="shared" si="90"/>
        <v>50.444988396502595</v>
      </c>
      <c r="AB261" s="193">
        <f t="shared" si="91"/>
        <v>48095</v>
      </c>
      <c r="AC261" s="119">
        <f>IF(OR(t&lt;Tnet,NoTnet),'2030'!Resal_s+('2030'!Salim-'2030'!Resal_s)*(1-EXP(('2030'!Tnet_s-t)/'2030'!Tau_j)),Resal_s+(Salim-Resal_s)*(1-EXP((Tnet_s-t)/Tau_j)))*Salcycl</f>
        <v>4.5502602015480995E-2</v>
      </c>
      <c r="AD261" s="227">
        <f>(INDEX(Models!$BJ261:$BT261,,AH261)*(1-AF261)+INDEX(Models!$BJ261:$BT261,,AH261+1)*AF261-ERP_i)*AE261*Ramure*Pc/MaxiM</f>
        <v>5.7142765519053388E-4</v>
      </c>
      <c r="AE261" s="301">
        <f t="shared" si="92"/>
        <v>0.5</v>
      </c>
      <c r="AF261" s="173">
        <f t="shared" si="93"/>
        <v>0.97978061427251806</v>
      </c>
      <c r="AG261" s="802">
        <f t="shared" si="99"/>
        <v>4</v>
      </c>
      <c r="AH261" s="172">
        <f t="shared" si="94"/>
        <v>10</v>
      </c>
      <c r="AI261" s="221">
        <f t="shared" si="95"/>
        <v>4.9797806142725181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48096</v>
      </c>
      <c r="B262" s="406">
        <f>'2030'!Wh/'2030'!Env_an*'2031'!Env_an</f>
        <v>39.845133137904227</v>
      </c>
      <c r="C262" s="832"/>
      <c r="D262" s="388">
        <f t="shared" si="77"/>
        <v>41.84304782233469</v>
      </c>
      <c r="E262" s="380">
        <f t="shared" si="100"/>
        <v>42.233577915346672</v>
      </c>
      <c r="F262" s="380">
        <f t="shared" si="78"/>
        <v>42.237806860413407</v>
      </c>
      <c r="G262" s="110">
        <f t="shared" si="101"/>
        <v>0.83553151365906064</v>
      </c>
      <c r="H262" s="409" t="b">
        <f>Wh_hp&gt;='2030'!Maxi_hp</f>
        <v>0</v>
      </c>
      <c r="I262" s="385">
        <f>IF(H262,Wh_hp,'2030'!Maxi_hp)</f>
        <v>42.238789216452098</v>
      </c>
      <c r="J262" s="85">
        <f>IF(H262,An,'2030'!An_max)</f>
        <v>2029</v>
      </c>
      <c r="K262" s="193">
        <f t="shared" si="79"/>
        <v>48096</v>
      </c>
      <c r="L262" s="143">
        <f>IF(t&lt;Tvie,1-EXP((T0-t)*PertePVj)+'2030'!Pspv,1-EXP((T0-t)*PertePVj)+Pspv)</f>
        <v>4.7747828812891413E-2</v>
      </c>
      <c r="M262" s="836"/>
      <c r="N262" s="836"/>
      <c r="O262" s="48">
        <f>IF(t&lt;Tnet,'2030'!Resal+('2030'!Salim-'2030'!Resal)*(1-EXP(('2030'!Tnet-t)/('2030'!Tau_j))),Resal+(Salim-Resal)*(1-EXP((Tnet-t)/(Tau_j))))*Salcycl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1.3086480391303148E-4</v>
      </c>
      <c r="Q262" s="301">
        <f t="shared" si="80"/>
        <v>0.5</v>
      </c>
      <c r="R262" s="173">
        <f t="shared" si="81"/>
        <v>0.45534924919131337</v>
      </c>
      <c r="S262" s="802">
        <f t="shared" si="82"/>
        <v>1</v>
      </c>
      <c r="T262" s="172">
        <f t="shared" si="83"/>
        <v>7</v>
      </c>
      <c r="U262" s="247">
        <f t="shared" si="84"/>
        <v>1.4553492491913134</v>
      </c>
      <c r="V262" s="378">
        <f t="shared" si="85"/>
        <v>47.686900402317804</v>
      </c>
      <c r="W262" s="397">
        <f t="shared" si="86"/>
        <v>39.845133137904227</v>
      </c>
      <c r="X262" s="153">
        <f t="shared" si="87"/>
        <v>48096</v>
      </c>
      <c r="Y262" s="380">
        <f t="shared" si="88"/>
        <v>38.372795201971122</v>
      </c>
      <c r="Z262" s="380">
        <f t="shared" si="89"/>
        <v>40.296883916929637</v>
      </c>
      <c r="AA262" s="381">
        <f t="shared" si="90"/>
        <v>42.219204281281392</v>
      </c>
      <c r="AB262" s="193">
        <f t="shared" si="91"/>
        <v>48096</v>
      </c>
      <c r="AC262" s="119">
        <f>IF(OR(t&lt;Tnet,NoTnet),'2030'!Resal_s+('2030'!Salim-'2030'!Resal_s)*(1-EXP(('2030'!Tnet_s-t)/'2030'!Tau_j)),Resal_s+(Salim-Resal_s)*(1-EXP((Tnet_s-t)/Tau_j)))*Salcycl</f>
        <v>4.5531894716548352E-2</v>
      </c>
      <c r="AD262" s="227">
        <f>(INDEX(Models!$BJ262:$BT262,,AH262)*(1-AF262)+INDEX(Models!$BJ262:$BT262,,AH262+1)*AF262-ERP_i)*AE262*Ramure*Pc/MaxiM</f>
        <v>5.7565724594911918E-4</v>
      </c>
      <c r="AE262" s="301">
        <f t="shared" si="92"/>
        <v>0.5</v>
      </c>
      <c r="AF262" s="173">
        <f t="shared" si="93"/>
        <v>0.98033681556529029</v>
      </c>
      <c r="AG262" s="802">
        <f t="shared" si="99"/>
        <v>4</v>
      </c>
      <c r="AH262" s="172">
        <f t="shared" si="94"/>
        <v>10</v>
      </c>
      <c r="AI262" s="221">
        <f t="shared" si="95"/>
        <v>4.9803368155652903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48097</v>
      </c>
      <c r="B263" s="406">
        <f>'2030'!Wh/'2030'!Env_an*'2031'!Env_an</f>
        <v>43.430403323103675</v>
      </c>
      <c r="C263" s="832"/>
      <c r="D263" s="388">
        <f t="shared" si="77"/>
        <v>45.608714971844222</v>
      </c>
      <c r="E263" s="380">
        <f t="shared" si="100"/>
        <v>46.037497318475822</v>
      </c>
      <c r="F263" s="380">
        <f t="shared" si="78"/>
        <v>46.042900061390085</v>
      </c>
      <c r="G263" s="110">
        <f t="shared" si="101"/>
        <v>0.9162810926970909</v>
      </c>
      <c r="H263" s="409" t="b">
        <f>Wh_hp&gt;='2030'!Maxi_hp</f>
        <v>0</v>
      </c>
      <c r="I263" s="385">
        <f>IF(H263,Wh_hp,'2030'!Maxi_hp)</f>
        <v>46.043452651344005</v>
      </c>
      <c r="J263" s="85">
        <f>IF(H263,An,'2030'!An_max)</f>
        <v>2029</v>
      </c>
      <c r="K263" s="193">
        <f t="shared" si="79"/>
        <v>48097</v>
      </c>
      <c r="L263" s="143">
        <f>IF(t&lt;Tvie,1-EXP((T0-t)*PertePVj)+'2030'!Pspv,1-EXP((T0-t)*PertePVj)+Pspv)</f>
        <v>4.7760864345450016E-2</v>
      </c>
      <c r="M263" s="836"/>
      <c r="N263" s="836"/>
      <c r="O263" s="48">
        <f>IF(t&lt;Tnet,'2030'!Resal+('2030'!Salim-'2030'!Resal)*(1-EXP(('2030'!Tnet-t)/('2030'!Tau_j))),Resal+(Salim-Resal)*(1-EXP((Tnet-t)/(Tau_j))))*Salcycl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1.3327863502811759E-4</v>
      </c>
      <c r="Q263" s="301">
        <f t="shared" si="80"/>
        <v>0.5</v>
      </c>
      <c r="R263" s="173">
        <f t="shared" si="81"/>
        <v>0.455884253122945</v>
      </c>
      <c r="S263" s="802">
        <f t="shared" si="82"/>
        <v>1</v>
      </c>
      <c r="T263" s="172">
        <f t="shared" si="83"/>
        <v>7</v>
      </c>
      <c r="U263" s="247">
        <f t="shared" si="84"/>
        <v>1.455884253122945</v>
      </c>
      <c r="V263" s="378">
        <f t="shared" si="85"/>
        <v>47.397803394367109</v>
      </c>
      <c r="W263" s="397">
        <f t="shared" si="86"/>
        <v>43.430403323103675</v>
      </c>
      <c r="X263" s="153">
        <f t="shared" si="87"/>
        <v>48097</v>
      </c>
      <c r="Y263" s="380">
        <f t="shared" si="88"/>
        <v>41.825089709518203</v>
      </c>
      <c r="Z263" s="380">
        <f t="shared" si="89"/>
        <v>43.9228846446943</v>
      </c>
      <c r="AA263" s="381">
        <f t="shared" si="90"/>
        <v>46.019577521118613</v>
      </c>
      <c r="AB263" s="193">
        <f t="shared" si="91"/>
        <v>48097</v>
      </c>
      <c r="AC263" s="119">
        <f>IF(OR(t&lt;Tnet,NoTnet),'2030'!Resal_s+('2030'!Salim-'2030'!Resal_s)*(1-EXP(('2030'!Tnet_s-t)/'2030'!Tau_j)),Resal_s+(Salim-Resal_s)*(1-EXP((Tnet_s-t)/Tau_j)))*Salcycl</f>
        <v>4.5560889285916069E-2</v>
      </c>
      <c r="AD263" s="227">
        <f>(INDEX(Models!$BJ263:$BT263,,AH263)*(1-AF263)+INDEX(Models!$BJ263:$BT263,,AH263+1)*AF263-ERP_i)*AE263*Ramure*Pc/MaxiM</f>
        <v>5.7533670990805191E-4</v>
      </c>
      <c r="AE263" s="301">
        <f t="shared" si="92"/>
        <v>0.5</v>
      </c>
      <c r="AF263" s="173">
        <f t="shared" si="93"/>
        <v>0.98087181949692148</v>
      </c>
      <c r="AG263" s="802">
        <f t="shared" si="99"/>
        <v>4</v>
      </c>
      <c r="AH263" s="172">
        <f t="shared" si="94"/>
        <v>10</v>
      </c>
      <c r="AI263" s="221">
        <f t="shared" si="95"/>
        <v>4.9808718194969215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48098</v>
      </c>
      <c r="B264" s="406">
        <f>'2030'!Wh/'2030'!Env_an*'2031'!Env_an</f>
        <v>35.611553471621413</v>
      </c>
      <c r="C264" s="832"/>
      <c r="D264" s="388">
        <f t="shared" si="77"/>
        <v>37.398211895668062</v>
      </c>
      <c r="E264" s="380">
        <f t="shared" si="100"/>
        <v>37.752347083680888</v>
      </c>
      <c r="F264" s="380">
        <f t="shared" si="78"/>
        <v>37.755654972281057</v>
      </c>
      <c r="G264" s="110">
        <f t="shared" si="101"/>
        <v>0.75595271828881061</v>
      </c>
      <c r="H264" s="409" t="b">
        <f>Wh_hp&gt;='2030'!Maxi_hp</f>
        <v>0</v>
      </c>
      <c r="I264" s="385">
        <f>IF(H264,Wh_hp,'2030'!Maxi_hp)</f>
        <v>37.756981568842036</v>
      </c>
      <c r="J264" s="85">
        <f>IF(H264,An,'2030'!An_max)</f>
        <v>2029</v>
      </c>
      <c r="K264" s="193">
        <f t="shared" si="79"/>
        <v>48098</v>
      </c>
      <c r="L264" s="143">
        <f>IF(t&lt;Tvie,1-EXP((T0-t)*PertePVj)+'2030'!Pspv,1-EXP((T0-t)*PertePVj)+Pspv)</f>
        <v>4.7773899699563027E-2</v>
      </c>
      <c r="M264" s="836"/>
      <c r="N264" s="836"/>
      <c r="O264" s="48">
        <f>IF(t&lt;Tnet,'2030'!Resal+('2030'!Salim-'2030'!Resal)*(1-EXP(('2030'!Tnet-t)/('2030'!Tau_j))),Resal+(Salim-Resal)*(1-EXP((Tnet-t)/(Tau_j))))*Salcycl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1.3449722863000804E-4</v>
      </c>
      <c r="Q264" s="301">
        <f t="shared" si="80"/>
        <v>0.5</v>
      </c>
      <c r="R264" s="173">
        <f t="shared" si="81"/>
        <v>0.4563988223559825</v>
      </c>
      <c r="S264" s="802">
        <f t="shared" si="82"/>
        <v>1</v>
      </c>
      <c r="T264" s="172">
        <f t="shared" si="83"/>
        <v>7</v>
      </c>
      <c r="U264" s="247">
        <f t="shared" si="84"/>
        <v>1.4563988223559825</v>
      </c>
      <c r="V264" s="378">
        <f t="shared" si="85"/>
        <v>47.105966875792674</v>
      </c>
      <c r="W264" s="397">
        <f t="shared" si="86"/>
        <v>35.611553471621413</v>
      </c>
      <c r="X264" s="153">
        <f t="shared" si="87"/>
        <v>48098</v>
      </c>
      <c r="Y264" s="380">
        <f t="shared" si="88"/>
        <v>34.300137866912038</v>
      </c>
      <c r="Z264" s="380">
        <f t="shared" si="89"/>
        <v>36.021001583646992</v>
      </c>
      <c r="AA264" s="381">
        <f t="shared" si="90"/>
        <v>37.741626290845076</v>
      </c>
      <c r="AB264" s="193">
        <f t="shared" si="91"/>
        <v>48098</v>
      </c>
      <c r="AC264" s="119">
        <f>IF(OR(t&lt;Tnet,NoTnet),'2030'!Resal_s+('2030'!Salim-'2030'!Resal_s)*(1-EXP(('2030'!Tnet_s-t)/'2030'!Tau_j)),Resal_s+(Salim-Resal_s)*(1-EXP((Tnet_s-t)/Tau_j)))*Salcycl</f>
        <v>4.5589575126905785E-2</v>
      </c>
      <c r="AD264" s="227">
        <f>(INDEX(Models!$BJ264:$BT264,,AH264)*(1-AF264)+INDEX(Models!$BJ264:$BT264,,AH264+1)*AF264-ERP_i)*AE264*Ramure*Pc/MaxiM</f>
        <v>5.7039973304343625E-4</v>
      </c>
      <c r="AE264" s="301">
        <f t="shared" si="92"/>
        <v>0.5</v>
      </c>
      <c r="AF264" s="173">
        <f t="shared" si="93"/>
        <v>0.98138638872995987</v>
      </c>
      <c r="AG264" s="802">
        <f t="shared" si="99"/>
        <v>4</v>
      </c>
      <c r="AH264" s="172">
        <f t="shared" si="94"/>
        <v>10</v>
      </c>
      <c r="AI264" s="221">
        <f t="shared" si="95"/>
        <v>4.9813863887299599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48099</v>
      </c>
      <c r="B265" s="406">
        <f>'2030'!Wh/'2030'!Env_an*'2031'!Env_an</f>
        <v>39.607285055825002</v>
      </c>
      <c r="C265" s="832"/>
      <c r="D265" s="388">
        <f t="shared" si="77"/>
        <v>41.594981739339325</v>
      </c>
      <c r="E265" s="380">
        <f t="shared" si="100"/>
        <v>41.991679710669509</v>
      </c>
      <c r="F265" s="380">
        <f t="shared" si="78"/>
        <v>41.996086440790542</v>
      </c>
      <c r="G265" s="110">
        <f t="shared" si="101"/>
        <v>0.84608412613046746</v>
      </c>
      <c r="H265" s="409" t="b">
        <f>Wh_hp&gt;='2030'!Maxi_hp</f>
        <v>0</v>
      </c>
      <c r="I265" s="385">
        <f>IF(H265,Wh_hp,'2030'!Maxi_hp)</f>
        <v>41.997012275611205</v>
      </c>
      <c r="J265" s="85">
        <f>IF(H265,An,'2030'!An_max)</f>
        <v>2029</v>
      </c>
      <c r="K265" s="193">
        <f t="shared" si="79"/>
        <v>48099</v>
      </c>
      <c r="L265" s="143">
        <f>IF(t&lt;Tvie,1-EXP((T0-t)*PertePVj)+'2030'!Pspv,1-EXP((T0-t)*PertePVj)+Pspv)</f>
        <v>4.7786934875233111E-2</v>
      </c>
      <c r="M265" s="836"/>
      <c r="N265" s="836"/>
      <c r="O265" s="48">
        <f>IF(t&lt;Tnet,'2030'!Resal+('2030'!Salim-'2030'!Resal)*(1-EXP(('2030'!Tnet-t)/('2030'!Tau_j))),Resal+(Salim-Resal)*(1-EXP((Tnet-t)/(Tau_j))))*Salcycl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1.3450121944885615E-4</v>
      </c>
      <c r="Q265" s="301">
        <f t="shared" si="80"/>
        <v>0.5</v>
      </c>
      <c r="R265" s="173">
        <f t="shared" si="81"/>
        <v>0.45689369560282844</v>
      </c>
      <c r="S265" s="802">
        <f t="shared" si="82"/>
        <v>1</v>
      </c>
      <c r="T265" s="172">
        <f t="shared" si="83"/>
        <v>7</v>
      </c>
      <c r="U265" s="247">
        <f t="shared" si="84"/>
        <v>1.4568936956028284</v>
      </c>
      <c r="V265" s="378">
        <f t="shared" si="85"/>
        <v>46.811082432801769</v>
      </c>
      <c r="W265" s="397">
        <f t="shared" si="86"/>
        <v>39.607285055825002</v>
      </c>
      <c r="X265" s="153">
        <f t="shared" si="87"/>
        <v>48099</v>
      </c>
      <c r="Y265" s="380">
        <f t="shared" si="88"/>
        <v>38.148299243217238</v>
      </c>
      <c r="Z265" s="380">
        <f t="shared" si="89"/>
        <v>40.062776536487377</v>
      </c>
      <c r="AA265" s="381">
        <f t="shared" si="90"/>
        <v>41.977713397683395</v>
      </c>
      <c r="AB265" s="193">
        <f t="shared" si="91"/>
        <v>48099</v>
      </c>
      <c r="AC265" s="119">
        <f>IF(OR(t&lt;Tnet,NoTnet),'2030'!Resal_s+('2030'!Salim-'2030'!Resal_s)*(1-EXP(('2030'!Tnet_s-t)/'2030'!Tau_j)),Resal_s+(Salim-Resal_s)*(1-EXP((Tnet_s-t)/Tau_j)))*Salcycl</f>
        <v>4.5617941193092669E-2</v>
      </c>
      <c r="AD265" s="227">
        <f>(INDEX(Models!$BJ265:$BT265,,AH265)*(1-AF265)+INDEX(Models!$BJ265:$BT265,,AH265+1)*AF265-ERP_i)*AE265*Ramure*Pc/MaxiM</f>
        <v>5.6077786363702955E-4</v>
      </c>
      <c r="AE265" s="301">
        <f t="shared" si="92"/>
        <v>0.5</v>
      </c>
      <c r="AF265" s="173">
        <f t="shared" si="93"/>
        <v>0.98188126197680514</v>
      </c>
      <c r="AG265" s="802">
        <f t="shared" si="99"/>
        <v>4</v>
      </c>
      <c r="AH265" s="172">
        <f t="shared" si="94"/>
        <v>10</v>
      </c>
      <c r="AI265" s="221">
        <f t="shared" si="95"/>
        <v>4.9818812619768051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48100</v>
      </c>
      <c r="B266" s="406">
        <f>'2030'!Wh/'2030'!Env_an*'2031'!Env_an</f>
        <v>18.869644904598289</v>
      </c>
      <c r="C266" s="832"/>
      <c r="D266" s="388">
        <f t="shared" si="77"/>
        <v>19.816891732371499</v>
      </c>
      <c r="E266" s="380">
        <f t="shared" si="100"/>
        <v>20.007230509523882</v>
      </c>
      <c r="F266" s="380">
        <f t="shared" si="78"/>
        <v>20.007633090479235</v>
      </c>
      <c r="G266" s="110">
        <f t="shared" si="101"/>
        <v>0.40564087404402155</v>
      </c>
      <c r="H266" s="409" t="b">
        <f>Wh_hp&gt;='2030'!Maxi_hp</f>
        <v>0</v>
      </c>
      <c r="I266" s="385">
        <f>IF(H266,Wh_hp,'2030'!Maxi_hp)</f>
        <v>20.00931133285399</v>
      </c>
      <c r="J266" s="85">
        <f>IF(H266,An,'2030'!An_max)</f>
        <v>2029</v>
      </c>
      <c r="K266" s="193">
        <f t="shared" si="79"/>
        <v>48100</v>
      </c>
      <c r="L266" s="143">
        <f>IF(t&lt;Tvie,1-EXP((T0-t)*PertePVj)+'2030'!Pspv,1-EXP((T0-t)*PertePVj)+Pspv)</f>
        <v>4.77999698724626E-2</v>
      </c>
      <c r="M266" s="836"/>
      <c r="N266" s="836"/>
      <c r="O266" s="48">
        <f>IF(t&lt;Tnet,'2030'!Resal+('2030'!Salim-'2030'!Resal)*(1-EXP(('2030'!Tnet-t)/('2030'!Tau_j))),Resal+(Salim-Resal)*(1-EXP((Tnet-t)/(Tau_j))))*Salcycl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1.3327076566948273E-4</v>
      </c>
      <c r="Q266" s="301">
        <f t="shared" si="80"/>
        <v>0.5</v>
      </c>
      <c r="R266" s="173">
        <f t="shared" si="81"/>
        <v>0.45736958810218353</v>
      </c>
      <c r="S266" s="802">
        <f t="shared" si="82"/>
        <v>1</v>
      </c>
      <c r="T266" s="172">
        <f t="shared" si="83"/>
        <v>7</v>
      </c>
      <c r="U266" s="247">
        <f t="shared" si="84"/>
        <v>1.4573695881021835</v>
      </c>
      <c r="V266" s="378">
        <f t="shared" si="85"/>
        <v>46.512841727681703</v>
      </c>
      <c r="W266" s="397">
        <f t="shared" si="86"/>
        <v>18.869644904598289</v>
      </c>
      <c r="X266" s="153">
        <f t="shared" si="87"/>
        <v>48100</v>
      </c>
      <c r="Y266" s="380">
        <f t="shared" si="88"/>
        <v>18.180155156438072</v>
      </c>
      <c r="Z266" s="380">
        <f t="shared" si="89"/>
        <v>19.092789940368966</v>
      </c>
      <c r="AA266" s="381">
        <f t="shared" si="90"/>
        <v>20.005982538648958</v>
      </c>
      <c r="AB266" s="193">
        <f t="shared" si="91"/>
        <v>48100</v>
      </c>
      <c r="AC266" s="119">
        <f>IF(OR(t&lt;Tnet,NoTnet),'2030'!Resal_s+('2030'!Salim-'2030'!Resal_s)*(1-EXP(('2030'!Tnet_s-t)/'2030'!Tau_j)),Resal_s+(Salim-Resal_s)*(1-EXP((Tnet_s-t)/Tau_j)))*Salcycl</f>
        <v>4.5645975973228052E-2</v>
      </c>
      <c r="AD266" s="227">
        <f>(INDEX(Models!$BJ266:$BT266,,AH266)*(1-AF266)+INDEX(Models!$BJ266:$BT266,,AH266+1)*AF266-ERP_i)*AE266*Ramure*Pc/MaxiM</f>
        <v>5.4640017932669276E-4</v>
      </c>
      <c r="AE266" s="301">
        <f t="shared" si="92"/>
        <v>0.5</v>
      </c>
      <c r="AF266" s="173">
        <f t="shared" si="93"/>
        <v>0.98235715447616023</v>
      </c>
      <c r="AG266" s="802">
        <f t="shared" si="99"/>
        <v>4</v>
      </c>
      <c r="AH266" s="172">
        <f t="shared" si="94"/>
        <v>10</v>
      </c>
      <c r="AI266" s="221">
        <f t="shared" si="95"/>
        <v>4.9823571544761602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48101</v>
      </c>
      <c r="B267" s="406">
        <f>'2030'!Wh/'2030'!Env_an*'2031'!Env_an</f>
        <v>43.98891316105388</v>
      </c>
      <c r="C267" s="832"/>
      <c r="D267" s="388">
        <f t="shared" si="77"/>
        <v>46.197767221963048</v>
      </c>
      <c r="E267" s="380">
        <f t="shared" si="100"/>
        <v>46.644612930054002</v>
      </c>
      <c r="F267" s="380">
        <f t="shared" si="78"/>
        <v>46.650295008093089</v>
      </c>
      <c r="G267" s="110">
        <f t="shared" si="101"/>
        <v>0.95190708625576481</v>
      </c>
      <c r="H267" s="409" t="b">
        <f>Wh_hp&gt;='2030'!Maxi_hp</f>
        <v>0</v>
      </c>
      <c r="I267" s="385">
        <f>IF(H267,Wh_hp,'2030'!Maxi_hp)</f>
        <v>46.650603731410484</v>
      </c>
      <c r="J267" s="85">
        <f>IF(H267,An,'2030'!An_max)</f>
        <v>2029</v>
      </c>
      <c r="K267" s="193">
        <f t="shared" si="79"/>
        <v>48101</v>
      </c>
      <c r="L267" s="143">
        <f>IF(t&lt;Tvie,1-EXP((T0-t)*PertePVj)+'2030'!Pspv,1-EXP((T0-t)*PertePVj)+Pspv)</f>
        <v>4.7813004691253824E-2</v>
      </c>
      <c r="M267" s="836"/>
      <c r="N267" s="836"/>
      <c r="O267" s="48">
        <f>IF(t&lt;Tnet,'2030'!Resal+('2030'!Salim-'2030'!Resal)*(1-EXP(('2030'!Tnet-t)/('2030'!Tau_j))),Resal+(Salim-Resal)*(1-EXP((Tnet-t)/(Tau_j))))*Salcycl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1.3078545268249936E-4</v>
      </c>
      <c r="Q267" s="301">
        <f t="shared" si="80"/>
        <v>0.5</v>
      </c>
      <c r="R267" s="173">
        <f t="shared" si="81"/>
        <v>0.45782719210984846</v>
      </c>
      <c r="S267" s="802">
        <f t="shared" si="82"/>
        <v>1</v>
      </c>
      <c r="T267" s="172">
        <f t="shared" si="83"/>
        <v>7</v>
      </c>
      <c r="U267" s="247">
        <f t="shared" si="84"/>
        <v>1.4578271921098485</v>
      </c>
      <c r="V267" s="378">
        <f t="shared" si="85"/>
        <v>46.210936503932594</v>
      </c>
      <c r="W267" s="397">
        <f t="shared" si="86"/>
        <v>43.98891316105388</v>
      </c>
      <c r="X267" s="153">
        <f t="shared" si="87"/>
        <v>48101</v>
      </c>
      <c r="Y267" s="380">
        <f t="shared" si="88"/>
        <v>42.370175779376964</v>
      </c>
      <c r="Z267" s="380">
        <f t="shared" si="89"/>
        <v>44.497746753659932</v>
      </c>
      <c r="AA267" s="381">
        <f t="shared" si="90"/>
        <v>46.627390691560542</v>
      </c>
      <c r="AB267" s="193">
        <f t="shared" si="91"/>
        <v>48101</v>
      </c>
      <c r="AC267" s="119">
        <f>IF(OR(t&lt;Tnet,NoTnet),'2030'!Resal_s+('2030'!Salim-'2030'!Resal_s)*(1-EXP(('2030'!Tnet_s-t)/'2030'!Tau_j)),Resal_s+(Salim-Resal_s)*(1-EXP((Tnet_s-t)/Tau_j)))*Salcycl</f>
        <v>4.5673667479876209E-2</v>
      </c>
      <c r="AD267" s="227">
        <f>(INDEX(Models!$BJ267:$BT267,,AH267)*(1-AF267)+INDEX(Models!$BJ267:$BT267,,AH267+1)*AF267-ERP_i)*AE267*Ramure*Pc/MaxiM</f>
        <v>5.2719293636716512E-4</v>
      </c>
      <c r="AE267" s="301">
        <f t="shared" si="92"/>
        <v>0.5</v>
      </c>
      <c r="AF267" s="173">
        <f t="shared" si="93"/>
        <v>0.98281475848382538</v>
      </c>
      <c r="AG267" s="802">
        <f t="shared" si="99"/>
        <v>4</v>
      </c>
      <c r="AH267" s="172">
        <f t="shared" si="94"/>
        <v>10</v>
      </c>
      <c r="AI267" s="221">
        <f t="shared" si="95"/>
        <v>4.9828147584838254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48102</v>
      </c>
      <c r="B268" s="406">
        <f>'2030'!Wh/'2030'!Env_an*'2031'!Env_an</f>
        <v>45.507613183881269</v>
      </c>
      <c r="C268" s="832"/>
      <c r="D268" s="388">
        <f t="shared" si="77"/>
        <v>47.793381318616007</v>
      </c>
      <c r="E268" s="380">
        <f t="shared" si="100"/>
        <v>48.258883431543566</v>
      </c>
      <c r="F268" s="380">
        <f t="shared" si="78"/>
        <v>48.264950683508445</v>
      </c>
      <c r="G268" s="110">
        <f t="shared" si="101"/>
        <v>0.99134070746296343</v>
      </c>
      <c r="H268" s="409" t="b">
        <f>Wh_hp&gt;='2030'!Maxi_hp</f>
        <v>0</v>
      </c>
      <c r="I268" s="385">
        <f>IF(H268,Wh_hp,'2030'!Maxi_hp)</f>
        <v>48.26500627117499</v>
      </c>
      <c r="J268" s="85">
        <f>IF(H268,An,'2030'!An_max)</f>
        <v>2029</v>
      </c>
      <c r="K268" s="193">
        <f t="shared" si="79"/>
        <v>48102</v>
      </c>
      <c r="L268" s="143">
        <f>IF(t&lt;Tvie,1-EXP((T0-t)*PertePVj)+'2030'!Pspv,1-EXP((T0-t)*PertePVj)+Pspv)</f>
        <v>4.7826039331609449E-2</v>
      </c>
      <c r="M268" s="836"/>
      <c r="N268" s="836"/>
      <c r="O268" s="48">
        <f>IF(t&lt;Tnet,'2030'!Resal+('2030'!Salim-'2030'!Resal)*(1-EXP(('2030'!Tnet-t)/('2030'!Tau_j))),Resal+(Salim-Resal)*(1-EXP((Tnet-t)/(Tau_j))))*Salcycl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1.2728144409163486E-4</v>
      </c>
      <c r="Q268" s="301">
        <f t="shared" si="80"/>
        <v>0.5</v>
      </c>
      <c r="R268" s="173">
        <f t="shared" si="81"/>
        <v>0.45826717740118506</v>
      </c>
      <c r="S268" s="802">
        <f t="shared" si="82"/>
        <v>1</v>
      </c>
      <c r="T268" s="172">
        <f t="shared" si="83"/>
        <v>7</v>
      </c>
      <c r="U268" s="247">
        <f t="shared" si="84"/>
        <v>1.4582671774011851</v>
      </c>
      <c r="V268" s="378">
        <f t="shared" si="85"/>
        <v>45.90504676378464</v>
      </c>
      <c r="W268" s="397">
        <f t="shared" si="86"/>
        <v>45.507613183881269</v>
      </c>
      <c r="X268" s="153">
        <f t="shared" si="87"/>
        <v>48102</v>
      </c>
      <c r="Y268" s="380">
        <f t="shared" si="88"/>
        <v>43.834515408078936</v>
      </c>
      <c r="Z268" s="380">
        <f t="shared" si="89"/>
        <v>46.036246756116647</v>
      </c>
      <c r="AA268" s="381">
        <f t="shared" si="90"/>
        <v>48.240904488568148</v>
      </c>
      <c r="AB268" s="193">
        <f t="shared" si="91"/>
        <v>48102</v>
      </c>
      <c r="AC268" s="119">
        <f>IF(OR(t&lt;Tnet,NoTnet),'2030'!Resal_s+('2030'!Salim-'2030'!Resal_s)*(1-EXP(('2030'!Tnet_s-t)/'2030'!Tau_j)),Resal_s+(Salim-Resal_s)*(1-EXP((Tnet_s-t)/Tau_j)))*Salcycl</f>
        <v>4.5701003242465073E-2</v>
      </c>
      <c r="AD268" s="227">
        <f>(INDEX(Models!$BJ268:$BT268,,AH268)*(1-AF268)+INDEX(Models!$BJ268:$BT268,,AH268+1)*AF268-ERP_i)*AE268*Ramure*Pc/MaxiM</f>
        <v>5.0445151027644604E-4</v>
      </c>
      <c r="AE268" s="301">
        <f t="shared" si="92"/>
        <v>0.5</v>
      </c>
      <c r="AF268" s="173">
        <f t="shared" si="93"/>
        <v>0.98325474377516198</v>
      </c>
      <c r="AG268" s="802">
        <f t="shared" si="99"/>
        <v>4</v>
      </c>
      <c r="AH268" s="172">
        <f t="shared" si="94"/>
        <v>10</v>
      </c>
      <c r="AI268" s="221">
        <f t="shared" si="95"/>
        <v>4.983254743775162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48103</v>
      </c>
      <c r="B269" s="406">
        <f>'2030'!Wh/'2030'!Env_an*'2031'!Env_an</f>
        <v>35.348426525707239</v>
      </c>
      <c r="C269" s="832"/>
      <c r="D269" s="388">
        <f t="shared" si="77"/>
        <v>37.124424614376814</v>
      </c>
      <c r="E269" s="380">
        <f t="shared" si="100"/>
        <v>37.488510294742071</v>
      </c>
      <c r="F269" s="380">
        <f t="shared" si="78"/>
        <v>37.491650496066725</v>
      </c>
      <c r="G269" s="110">
        <f t="shared" si="101"/>
        <v>0.77524187923164545</v>
      </c>
      <c r="H269" s="409" t="b">
        <f>Wh_hp&gt;='2030'!Maxi_hp</f>
        <v>0</v>
      </c>
      <c r="I269" s="385">
        <f>IF(H269,Wh_hp,'2030'!Maxi_hp)</f>
        <v>37.492729744607125</v>
      </c>
      <c r="J269" s="85">
        <f>IF(H269,An,'2030'!An_max)</f>
        <v>2029</v>
      </c>
      <c r="K269" s="193">
        <f t="shared" si="79"/>
        <v>48103</v>
      </c>
      <c r="L269" s="143">
        <f>IF(t&lt;Tvie,1-EXP((T0-t)*PertePVj)+'2030'!Pspv,1-EXP((T0-t)*PertePVj)+Pspv)</f>
        <v>4.7839073793531695E-2</v>
      </c>
      <c r="M269" s="836"/>
      <c r="N269" s="836"/>
      <c r="O269" s="48">
        <f>IF(t&lt;Tnet,'2030'!Resal+('2030'!Salim-'2030'!Resal)*(1-EXP(('2030'!Tnet-t)/('2030'!Tau_j))),Resal+(Salim-Resal)*(1-EXP((Tnet-t)/(Tau_j))))*Salcycl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1.2336109295160664E-4</v>
      </c>
      <c r="Q269" s="301">
        <f t="shared" si="80"/>
        <v>0.5</v>
      </c>
      <c r="R269" s="173">
        <f t="shared" si="81"/>
        <v>0.45869019178277215</v>
      </c>
      <c r="S269" s="802">
        <f t="shared" si="82"/>
        <v>1</v>
      </c>
      <c r="T269" s="172">
        <f t="shared" si="83"/>
        <v>7</v>
      </c>
      <c r="U269" s="247">
        <f t="shared" si="84"/>
        <v>1.4586901917827721</v>
      </c>
      <c r="V269" s="378">
        <f t="shared" si="85"/>
        <v>45.594836173593031</v>
      </c>
      <c r="W269" s="397">
        <f t="shared" si="86"/>
        <v>35.348426525707239</v>
      </c>
      <c r="X269" s="153">
        <f t="shared" si="87"/>
        <v>48103</v>
      </c>
      <c r="Y269" s="380">
        <f t="shared" si="88"/>
        <v>34.054543421555998</v>
      </c>
      <c r="Z269" s="380">
        <f t="shared" si="89"/>
        <v>35.765533413803993</v>
      </c>
      <c r="AA269" s="381">
        <f t="shared" si="90"/>
        <v>37.479389839447421</v>
      </c>
      <c r="AB269" s="193">
        <f t="shared" si="91"/>
        <v>48103</v>
      </c>
      <c r="AC269" s="119">
        <f>IF(OR(t&lt;Tnet,NoTnet),'2030'!Resal_s+('2030'!Salim-'2030'!Resal_s)*(1-EXP(('2030'!Tnet_s-t)/'2030'!Tau_j)),Resal_s+(Salim-Resal_s)*(1-EXP((Tnet_s-t)/Tau_j)))*Salcycl</f>
        <v>4.5727970305417732E-2</v>
      </c>
      <c r="AD269" s="227">
        <f>(INDEX(Models!$BJ269:$BT269,,AH269)*(1-AF269)+INDEX(Models!$BJ269:$BT269,,AH269+1)*AF269-ERP_i)*AE269*Ramure*Pc/MaxiM</f>
        <v>4.8165319496732908E-4</v>
      </c>
      <c r="AE269" s="301">
        <f t="shared" si="92"/>
        <v>0.5</v>
      </c>
      <c r="AF269" s="173">
        <f t="shared" si="93"/>
        <v>0.98367775815674907</v>
      </c>
      <c r="AG269" s="802">
        <f t="shared" si="99"/>
        <v>4</v>
      </c>
      <c r="AH269" s="172">
        <f t="shared" si="94"/>
        <v>10</v>
      </c>
      <c r="AI269" s="221">
        <f t="shared" si="95"/>
        <v>4.9836777581567491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48104</v>
      </c>
      <c r="B270" s="406">
        <f>'2030'!Wh/'2030'!Env_an*'2031'!Env_an</f>
        <v>13.549252906407924</v>
      </c>
      <c r="C270" s="832"/>
      <c r="D270" s="388">
        <f t="shared" si="77"/>
        <v>14.230197872983348</v>
      </c>
      <c r="E270" s="380">
        <f t="shared" si="100"/>
        <v>14.370711252661728</v>
      </c>
      <c r="F270" s="380">
        <f t="shared" si="78"/>
        <v>14.370711252661728</v>
      </c>
      <c r="G270" s="110">
        <f t="shared" si="101"/>
        <v>0.29919702432320505</v>
      </c>
      <c r="H270" s="409" t="b">
        <f>Wh_hp&gt;='2030'!Maxi_hp</f>
        <v>0</v>
      </c>
      <c r="I270" s="385">
        <f>IF(H270,Wh_hp,'2030'!Maxi_hp)</f>
        <v>14.371946817511974</v>
      </c>
      <c r="J270" s="85">
        <f>IF(H270,An,'2030'!An_max)</f>
        <v>2029</v>
      </c>
      <c r="K270" s="193">
        <f t="shared" si="79"/>
        <v>48104</v>
      </c>
      <c r="L270" s="143">
        <f>IF(t&lt;Tvie,1-EXP((T0-t)*PertePVj)+'2030'!Pspv,1-EXP((T0-t)*PertePVj)+Pspv)</f>
        <v>4.7852108077023114E-2</v>
      </c>
      <c r="M270" s="836"/>
      <c r="N270" s="836"/>
      <c r="O270" s="48">
        <f>IF(t&lt;Tnet,'2030'!Resal+('2030'!Salim-'2030'!Resal)*(1-EXP(('2030'!Tnet-t)/('2030'!Tau_j))),Resal+(Salim-Resal)*(1-EXP((Tnet-t)/(Tau_j))))*Salcycl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1.1901804130758893E-4</v>
      </c>
      <c r="Q270" s="301">
        <f t="shared" si="80"/>
        <v>0.5</v>
      </c>
      <c r="R270" s="173">
        <f t="shared" si="81"/>
        <v>0.45909686161098229</v>
      </c>
      <c r="S270" s="802">
        <f t="shared" si="82"/>
        <v>1</v>
      </c>
      <c r="T270" s="172">
        <f t="shared" si="83"/>
        <v>7</v>
      </c>
      <c r="U270" s="247">
        <f t="shared" si="84"/>
        <v>1.4590968616109823</v>
      </c>
      <c r="V270" s="378">
        <f t="shared" si="85"/>
        <v>45.27999678977789</v>
      </c>
      <c r="W270" s="397">
        <f t="shared" si="86"/>
        <v>13.549252906407924</v>
      </c>
      <c r="X270" s="153">
        <f t="shared" si="87"/>
        <v>48104</v>
      </c>
      <c r="Y270" s="380">
        <f t="shared" si="88"/>
        <v>13.056980904295102</v>
      </c>
      <c r="Z270" s="380">
        <f t="shared" si="89"/>
        <v>13.713185750928842</v>
      </c>
      <c r="AA270" s="381">
        <f t="shared" si="90"/>
        <v>14.370711252661728</v>
      </c>
      <c r="AB270" s="193">
        <f t="shared" si="91"/>
        <v>48104</v>
      </c>
      <c r="AC270" s="119">
        <f>IF(OR(t&lt;Tnet,NoTnet),'2030'!Resal_s+('2030'!Salim-'2030'!Resal_s)*(1-EXP(('2030'!Tnet_s-t)/'2030'!Tau_j)),Resal_s+(Salim-Resal_s)*(1-EXP((Tnet_s-t)/Tau_j)))*Salcycl</f>
        <v>4.5754555231989728E-2</v>
      </c>
      <c r="AD270" s="227">
        <f>(INDEX(Models!$BJ270:$BT270,,AH270)*(1-AF270)+INDEX(Models!$BJ270:$BT270,,AH270+1)*AF270-ERP_i)*AE270*Ramure*Pc/MaxiM</f>
        <v>4.5879585555601179E-4</v>
      </c>
      <c r="AE270" s="301">
        <f t="shared" si="92"/>
        <v>0.5</v>
      </c>
      <c r="AF270" s="173">
        <f t="shared" si="93"/>
        <v>0.98408442798495877</v>
      </c>
      <c r="AG270" s="802">
        <f t="shared" si="99"/>
        <v>4</v>
      </c>
      <c r="AH270" s="172">
        <f t="shared" si="94"/>
        <v>10</v>
      </c>
      <c r="AI270" s="221">
        <f t="shared" si="95"/>
        <v>4.9840844279849588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48105</v>
      </c>
      <c r="B271" s="406">
        <f>'2030'!Wh/'2030'!Env_an*'2031'!Env_an</f>
        <v>36.407279789748991</v>
      </c>
      <c r="C271" s="832"/>
      <c r="D271" s="388">
        <f t="shared" ref="D271:D334" si="102">Wh/(1-Ppv)</f>
        <v>38.237524328419781</v>
      </c>
      <c r="E271" s="380">
        <f t="shared" si="100"/>
        <v>38.617654644793738</v>
      </c>
      <c r="F271" s="380">
        <f t="shared" ref="F271:F334" si="103">Wh_sa/(1-Pvg*MEDIAN((-Sdif+Wh/Env_an)/Csdif,0,1))</f>
        <v>38.620867820218002</v>
      </c>
      <c r="G271" s="110">
        <f t="shared" si="101"/>
        <v>0.80974133848106111</v>
      </c>
      <c r="H271" s="409" t="b">
        <f>Wh_hp&gt;='2030'!Maxi_hp</f>
        <v>0</v>
      </c>
      <c r="I271" s="385">
        <f>IF(H271,Wh_hp,'2030'!Maxi_hp)</f>
        <v>38.621729058439904</v>
      </c>
      <c r="J271" s="85">
        <f>IF(H271,An,'2030'!An_max)</f>
        <v>2029</v>
      </c>
      <c r="K271" s="193">
        <f t="shared" ref="K271:K334" si="104">t</f>
        <v>48105</v>
      </c>
      <c r="L271" s="143">
        <f>IF(t&lt;Tvie,1-EXP((T0-t)*PertePVj)+'2030'!Pspv,1-EXP((T0-t)*PertePVj)+Pspv)</f>
        <v>4.7865142182086151E-2</v>
      </c>
      <c r="M271" s="836"/>
      <c r="N271" s="836"/>
      <c r="O271" s="48">
        <f>IF(t&lt;Tnet,'2030'!Resal+('2030'!Salim-'2030'!Resal)*(1-EXP(('2030'!Tnet-t)/('2030'!Tau_j))),Resal+(Salim-Resal)*(1-EXP((Tnet-t)/(Tau_j))))*Salcycl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1.1424551822839908E-4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0.45948779231541792</v>
      </c>
      <c r="S271" s="802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1.4594877923154179</v>
      </c>
      <c r="V271" s="378">
        <f t="shared" ref="V271:V334" si="110">MaxiM*(1-Ppv)*(1-Pvg)*(1-Psa)</f>
        <v>44.9602207600919</v>
      </c>
      <c r="W271" s="397">
        <f t="shared" ref="W271:W334" si="111">Wh*(A271&gt;Tmaj)</f>
        <v>36.407279789748991</v>
      </c>
      <c r="X271" s="153">
        <f t="shared" ref="X271:X334" si="112">t</f>
        <v>48105</v>
      </c>
      <c r="Y271" s="380">
        <f t="shared" ref="Y271:Y334" si="113">Wh_pvt_s*(1-Ppv)</f>
        <v>35.077674442201371</v>
      </c>
      <c r="Z271" s="380">
        <f t="shared" ref="Z271:Z334" si="114">Wh_sa_s*(1-Psa_s)</f>
        <v>36.84107787272044</v>
      </c>
      <c r="AA271" s="381">
        <f t="shared" ref="AA271:AA334" si="115">Wh_hp*(1-Pvg_s*MEDIAN((-Sdif+Wh/Env_an)/Csdif,0,1))</f>
        <v>38.608608708622356</v>
      </c>
      <c r="AB271" s="193">
        <f t="shared" ref="AB271:AB334" si="116">t</f>
        <v>48105</v>
      </c>
      <c r="AC271" s="119">
        <f>IF(OR(t&lt;Tnet,NoTnet),'2030'!Resal_s+('2030'!Salim-'2030'!Resal_s)*(1-EXP(('2030'!Tnet_s-t)/'2030'!Tau_j)),Resal_s+(Salim-Resal_s)*(1-EXP((Tnet_s-t)/Tau_j)))*Salcycl</f>
        <v>4.5780744114386554E-2</v>
      </c>
      <c r="AD271" s="227">
        <f>(INDEX(Models!$BJ271:$BT271,,AH271)*(1-AF271)+INDEX(Models!$BJ271:$BT271,,AH271+1)*AF271-ERP_i)*AE271*Ramure*Pc/MaxiM</f>
        <v>4.3587677992585548E-4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0.9844753586893944</v>
      </c>
      <c r="AG271" s="802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4.9844753586893944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48106</v>
      </c>
      <c r="B272" s="406">
        <f>'2030'!Wh/'2030'!Env_an*'2031'!Env_an</f>
        <v>41.357946107546773</v>
      </c>
      <c r="C272" s="832"/>
      <c r="D272" s="388">
        <f t="shared" si="102"/>
        <v>43.437662145500255</v>
      </c>
      <c r="E272" s="380">
        <f t="shared" si="100"/>
        <v>43.872391052378624</v>
      </c>
      <c r="F272" s="380">
        <f t="shared" si="103"/>
        <v>43.876673392455636</v>
      </c>
      <c r="G272" s="110">
        <f t="shared" si="101"/>
        <v>0.92656631450435967</v>
      </c>
      <c r="H272" s="409" t="b">
        <f>Wh_hp&gt;='2030'!Maxi_hp</f>
        <v>0</v>
      </c>
      <c r="I272" s="385">
        <f>IF(H272,Wh_hp,'2030'!Maxi_hp)</f>
        <v>43.877031869617284</v>
      </c>
      <c r="J272" s="85">
        <f>IF(H272,An,'2030'!An_max)</f>
        <v>2029</v>
      </c>
      <c r="K272" s="193">
        <f t="shared" si="104"/>
        <v>48106</v>
      </c>
      <c r="L272" s="143">
        <f>IF(t&lt;Tvie,1-EXP((T0-t)*PertePVj)+'2030'!Pspv,1-EXP((T0-t)*PertePVj)+Pspv)</f>
        <v>4.7878176108723247E-2</v>
      </c>
      <c r="M272" s="836"/>
      <c r="N272" s="836"/>
      <c r="O272" s="48">
        <f>IF(t&lt;Tnet,'2030'!Resal+('2030'!Salim-'2030'!Resal)*(1-EXP(('2030'!Tnet-t)/('2030'!Tau_j))),Resal+(Salim-Resal)*(1-EXP((Tnet-t)/(Tau_j))))*Salcycl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1.090363014624486E-4</v>
      </c>
      <c r="Q272" s="301">
        <f t="shared" si="105"/>
        <v>0.5</v>
      </c>
      <c r="R272" s="173">
        <f t="shared" si="106"/>
        <v>0.45986356892531588</v>
      </c>
      <c r="S272" s="802">
        <f t="shared" si="107"/>
        <v>1</v>
      </c>
      <c r="T272" s="172">
        <f t="shared" si="108"/>
        <v>7</v>
      </c>
      <c r="U272" s="247">
        <f t="shared" si="109"/>
        <v>1.4598635689253159</v>
      </c>
      <c r="V272" s="378">
        <f t="shared" si="110"/>
        <v>44.635200319848821</v>
      </c>
      <c r="W272" s="397">
        <f t="shared" si="111"/>
        <v>41.357946107546773</v>
      </c>
      <c r="X272" s="153">
        <f t="shared" si="112"/>
        <v>48106</v>
      </c>
      <c r="Y272" s="380">
        <f t="shared" si="113"/>
        <v>39.847595344951934</v>
      </c>
      <c r="Z272" s="380">
        <f t="shared" si="114"/>
        <v>41.851362236501103</v>
      </c>
      <c r="AA272" s="381">
        <f t="shared" si="115"/>
        <v>43.860457262954021</v>
      </c>
      <c r="AB272" s="193">
        <f t="shared" si="116"/>
        <v>48106</v>
      </c>
      <c r="AC272" s="119">
        <f>IF(OR(t&lt;Tnet,NoTnet),'2030'!Resal_s+('2030'!Salim-'2030'!Resal_s)*(1-EXP(('2030'!Tnet_s-t)/'2030'!Tau_j)),Resal_s+(Salim-Resal_s)*(1-EXP((Tnet_s-t)/Tau_j)))*Salcycl</f>
        <v>4.5806522590676801E-2</v>
      </c>
      <c r="AD272" s="227">
        <f>(INDEX(Models!$BJ272:$BT272,,AH272)*(1-AF272)+INDEX(Models!$BJ272:$BT272,,AH272+1)*AF272-ERP_i)*AE272*Ramure*Pc/MaxiM</f>
        <v>4.1289265987647973E-4</v>
      </c>
      <c r="AE272" s="301">
        <f t="shared" si="117"/>
        <v>0.5</v>
      </c>
      <c r="AF272" s="173">
        <f t="shared" si="118"/>
        <v>0.98485113529929258</v>
      </c>
      <c r="AG272" s="802">
        <f t="shared" ref="AG272:AG335" si="124">INDEX(Echel_vg,AH272)</f>
        <v>4</v>
      </c>
      <c r="AH272" s="172">
        <f t="shared" si="119"/>
        <v>10</v>
      </c>
      <c r="AI272" s="221">
        <f t="shared" si="120"/>
        <v>4.9848511352992926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48107</v>
      </c>
      <c r="B273" s="406">
        <f>'2030'!Wh/'2030'!Env_an*'2031'!Env_an</f>
        <v>27.791313527494388</v>
      </c>
      <c r="C273" s="832"/>
      <c r="D273" s="388">
        <f t="shared" si="102"/>
        <v>29.189220617654929</v>
      </c>
      <c r="E273" s="380">
        <f t="shared" si="100"/>
        <v>29.483295168846862</v>
      </c>
      <c r="F273" s="380">
        <f t="shared" si="103"/>
        <v>29.484720328150154</v>
      </c>
      <c r="G273" s="110">
        <f t="shared" si="101"/>
        <v>0.62724336045746598</v>
      </c>
      <c r="H273" s="409" t="b">
        <f>Wh_hp&gt;='2030'!Maxi_hp</f>
        <v>0</v>
      </c>
      <c r="I273" s="385">
        <f>IF(H273,Wh_hp,'2030'!Maxi_hp)</f>
        <v>29.485873944823876</v>
      </c>
      <c r="J273" s="85">
        <f>IF(H273,An,'2030'!An_max)</f>
        <v>2029</v>
      </c>
      <c r="K273" s="193">
        <f t="shared" si="104"/>
        <v>48107</v>
      </c>
      <c r="L273" s="143">
        <f>IF(t&lt;Tvie,1-EXP((T0-t)*PertePVj)+'2030'!Pspv,1-EXP((T0-t)*PertePVj)+Pspv)</f>
        <v>4.7891209856936845E-2</v>
      </c>
      <c r="M273" s="836"/>
      <c r="N273" s="836"/>
      <c r="O273" s="48">
        <f>IF(t&lt;Tnet,'2030'!Resal+('2030'!Salim-'2030'!Resal)*(1-EXP(('2030'!Tnet-t)/('2030'!Tau_j))),Resal+(Salim-Resal)*(1-EXP((Tnet-t)/(Tau_j))))*Salcycl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1.0338267620449689E-4</v>
      </c>
      <c r="Q273" s="301">
        <f t="shared" si="105"/>
        <v>0.5</v>
      </c>
      <c r="R273" s="173">
        <f t="shared" si="106"/>
        <v>0.46022475659721152</v>
      </c>
      <c r="S273" s="802">
        <f t="shared" si="107"/>
        <v>1</v>
      </c>
      <c r="T273" s="172">
        <f t="shared" si="108"/>
        <v>7</v>
      </c>
      <c r="U273" s="247">
        <f t="shared" si="109"/>
        <v>1.4602247565972115</v>
      </c>
      <c r="V273" s="378">
        <f t="shared" si="110"/>
        <v>44.304627793133079</v>
      </c>
      <c r="W273" s="397">
        <f t="shared" si="111"/>
        <v>27.791313527494388</v>
      </c>
      <c r="X273" s="153">
        <f t="shared" si="112"/>
        <v>48107</v>
      </c>
      <c r="Y273" s="380">
        <f t="shared" si="113"/>
        <v>26.781156495179328</v>
      </c>
      <c r="Z273" s="380">
        <f t="shared" si="114"/>
        <v>28.128252540505599</v>
      </c>
      <c r="AA273" s="381">
        <f t="shared" si="115"/>
        <v>29.479346279903947</v>
      </c>
      <c r="AB273" s="193">
        <f t="shared" si="116"/>
        <v>48107</v>
      </c>
      <c r="AC273" s="119">
        <f>IF(OR(t&lt;Tnet,NoTnet),'2030'!Resal_s+('2030'!Salim-'2030'!Resal_s)*(1-EXP(('2030'!Tnet_s-t)/'2030'!Tau_j)),Resal_s+(Salim-Resal_s)*(1-EXP((Tnet_s-t)/Tau_j)))*Salcycl</f>
        <v>4.5831875868949851E-2</v>
      </c>
      <c r="AD273" s="227">
        <f>(INDEX(Models!$BJ273:$BT273,,AH273)*(1-AF273)+INDEX(Models!$BJ273:$BT273,,AH273+1)*AF273-ERP_i)*AE273*Ramure*Pc/MaxiM</f>
        <v>3.8983956983757248E-4</v>
      </c>
      <c r="AE273" s="301">
        <f t="shared" si="117"/>
        <v>0.5</v>
      </c>
      <c r="AF273" s="173">
        <f t="shared" si="118"/>
        <v>0.98521232297118821</v>
      </c>
      <c r="AG273" s="802">
        <f t="shared" si="124"/>
        <v>4</v>
      </c>
      <c r="AH273" s="172">
        <f t="shared" si="119"/>
        <v>10</v>
      </c>
      <c r="AI273" s="221">
        <f t="shared" si="120"/>
        <v>4.9852123229711882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48108</v>
      </c>
      <c r="B274" s="406">
        <f>'2030'!Wh/'2030'!Env_an*'2031'!Env_an</f>
        <v>44.624192861491899</v>
      </c>
      <c r="C274" s="832"/>
      <c r="D274" s="388">
        <f t="shared" si="102"/>
        <v>46.869437820099925</v>
      </c>
      <c r="E274" s="380">
        <f t="shared" si="100"/>
        <v>47.344752552041307</v>
      </c>
      <c r="F274" s="380">
        <f t="shared" si="103"/>
        <v>47.34935852673366</v>
      </c>
      <c r="G274" s="110">
        <f t="shared" si="101"/>
        <v>1.0149198133359907</v>
      </c>
      <c r="H274" s="409" t="b">
        <f>Wh_hp&gt;='2030'!Maxi_hp</f>
        <v>1</v>
      </c>
      <c r="I274" s="385">
        <f>IF(H274,Wh_hp,'2030'!Maxi_hp)</f>
        <v>47.34935852673366</v>
      </c>
      <c r="J274" s="85">
        <f>IF(H274,An,'2030'!An_max)</f>
        <v>2031</v>
      </c>
      <c r="K274" s="193">
        <f t="shared" si="104"/>
        <v>48108</v>
      </c>
      <c r="L274" s="143">
        <f>IF(t&lt;Tvie,1-EXP((T0-t)*PertePVj)+'2030'!Pspv,1-EXP((T0-t)*PertePVj)+Pspv)</f>
        <v>4.7904243426729387E-2</v>
      </c>
      <c r="M274" s="836"/>
      <c r="N274" s="836"/>
      <c r="O274" s="48">
        <f>IF(t&lt;Tnet,'2030'!Resal+('2030'!Salim-'2030'!Resal)*(1-EXP(('2030'!Tnet-t)/('2030'!Tau_j))),Resal+(Salim-Resal)*(1-EXP((Tnet-t)/(Tau_j))))*Salcycl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9.7276390550364288E-5</v>
      </c>
      <c r="Q274" s="301">
        <f t="shared" si="105"/>
        <v>0.5</v>
      </c>
      <c r="R274" s="173">
        <f t="shared" si="106"/>
        <v>0.46057190114230995</v>
      </c>
      <c r="S274" s="802">
        <f t="shared" si="107"/>
        <v>1</v>
      </c>
      <c r="T274" s="172">
        <f t="shared" si="108"/>
        <v>7</v>
      </c>
      <c r="U274" s="247">
        <f t="shared" si="109"/>
        <v>1.4605719011423099</v>
      </c>
      <c r="V274" s="378">
        <f t="shared" si="110"/>
        <v>43.968195590560406</v>
      </c>
      <c r="W274" s="397">
        <f t="shared" si="111"/>
        <v>44.624192861491899</v>
      </c>
      <c r="X274" s="153">
        <f t="shared" si="112"/>
        <v>48108</v>
      </c>
      <c r="Y274" s="380">
        <f t="shared" si="113"/>
        <v>42.998074045517022</v>
      </c>
      <c r="Z274" s="380">
        <f t="shared" si="114"/>
        <v>45.161501612267728</v>
      </c>
      <c r="AA274" s="381">
        <f t="shared" si="115"/>
        <v>47.331994904133047</v>
      </c>
      <c r="AB274" s="193">
        <f t="shared" si="116"/>
        <v>48108</v>
      </c>
      <c r="AC274" s="119">
        <f>IF(OR(t&lt;Tnet,NoTnet),'2030'!Resal_s+('2030'!Salim-'2030'!Resal_s)*(1-EXP(('2030'!Tnet_s-t)/'2030'!Tau_j)),Resal_s+(Salim-Resal_s)*(1-EXP((Tnet_s-t)/Tau_j)))*Salcycl</f>
        <v>4.5856788759093471E-2</v>
      </c>
      <c r="AD274" s="227">
        <f>(INDEX(Models!$BJ274:$BT274,,AH274)*(1-AF274)+INDEX(Models!$BJ274:$BT274,,AH274+1)*AF274-ERP_i)*AE274*Ramure*Pc/MaxiM</f>
        <v>3.6671294270675938E-4</v>
      </c>
      <c r="AE274" s="301">
        <f t="shared" si="117"/>
        <v>0.5</v>
      </c>
      <c r="AF274" s="173">
        <f t="shared" si="118"/>
        <v>0.98555946751628642</v>
      </c>
      <c r="AG274" s="802">
        <f t="shared" si="124"/>
        <v>4</v>
      </c>
      <c r="AH274" s="172">
        <f t="shared" si="119"/>
        <v>10</v>
      </c>
      <c r="AI274" s="221">
        <f t="shared" si="120"/>
        <v>4.9855594675162864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48109</v>
      </c>
      <c r="B275" s="406">
        <f>'2030'!Wh/'2030'!Env_an*'2031'!Env_an</f>
        <v>43.710434442421729</v>
      </c>
      <c r="C275" s="832"/>
      <c r="D275" s="388">
        <f t="shared" si="102"/>
        <v>45.910332556334808</v>
      </c>
      <c r="E275" s="380">
        <f t="shared" si="100"/>
        <v>46.378965107640774</v>
      </c>
      <c r="F275" s="380">
        <f t="shared" si="103"/>
        <v>46.383172558229624</v>
      </c>
      <c r="G275" s="110">
        <f t="shared" si="101"/>
        <v>1.0019679371990164</v>
      </c>
      <c r="H275" s="409" t="b">
        <f>Wh_hp&gt;='2030'!Maxi_hp</f>
        <v>1</v>
      </c>
      <c r="I275" s="385">
        <f>IF(H275,Wh_hp,'2030'!Maxi_hp)</f>
        <v>46.383172558229624</v>
      </c>
      <c r="J275" s="85">
        <f>IF(H275,An,'2030'!An_max)</f>
        <v>2031</v>
      </c>
      <c r="K275" s="193">
        <f t="shared" si="104"/>
        <v>48109</v>
      </c>
      <c r="L275" s="143">
        <f>IF(t&lt;Tvie,1-EXP((T0-t)*PertePVj)+'2030'!Pspv,1-EXP((T0-t)*PertePVj)+Pspv)</f>
        <v>4.7917276818103316E-2</v>
      </c>
      <c r="M275" s="836"/>
      <c r="N275" s="836"/>
      <c r="O275" s="48">
        <f>IF(t&lt;Tnet,'2030'!Resal+('2030'!Salim-'2030'!Resal)*(1-EXP(('2030'!Tnet-t)/('2030'!Tau_j))),Resal+(Salim-Resal)*(1-EXP((Tnet-t)/(Tau_j))))*Salcycl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9.071071159630089E-5</v>
      </c>
      <c r="Q275" s="301">
        <f t="shared" si="105"/>
        <v>0.5</v>
      </c>
      <c r="R275" s="173">
        <f t="shared" si="106"/>
        <v>0.46090552955216779</v>
      </c>
      <c r="S275" s="802">
        <f t="shared" si="107"/>
        <v>1</v>
      </c>
      <c r="T275" s="172">
        <f t="shared" si="108"/>
        <v>7</v>
      </c>
      <c r="U275" s="247">
        <f t="shared" si="109"/>
        <v>1.4609055295521678</v>
      </c>
      <c r="V275" s="378">
        <f t="shared" si="110"/>
        <v>43.624584000774988</v>
      </c>
      <c r="W275" s="397">
        <f t="shared" si="111"/>
        <v>43.710434442421729</v>
      </c>
      <c r="X275" s="153">
        <f t="shared" si="112"/>
        <v>48109</v>
      </c>
      <c r="Y275" s="380">
        <f t="shared" si="113"/>
        <v>42.119999263603319</v>
      </c>
      <c r="Z275" s="380">
        <f t="shared" si="114"/>
        <v>44.239852523357087</v>
      </c>
      <c r="AA275" s="381">
        <f t="shared" si="115"/>
        <v>46.367239218972394</v>
      </c>
      <c r="AB275" s="193">
        <f t="shared" si="116"/>
        <v>48109</v>
      </c>
      <c r="AC275" s="119">
        <f>IF(OR(t&lt;Tnet,NoTnet),'2030'!Resal_s+('2030'!Salim-'2030'!Resal_s)*(1-EXP(('2030'!Tnet_s-t)/'2030'!Tau_j)),Resal_s+(Salim-Resal_s)*(1-EXP((Tnet_s-t)/Tau_j)))*Salcycl</f>
        <v>4.5881245712486377E-2</v>
      </c>
      <c r="AD275" s="227">
        <f>(INDEX(Models!$BJ275:$BT275,,AH275)*(1-AF275)+INDEX(Models!$BJ275:$BT275,,AH275+1)*AF275-ERP_i)*AE275*Ramure*Pc/MaxiM</f>
        <v>3.4351551173498346E-4</v>
      </c>
      <c r="AE275" s="301">
        <f t="shared" si="117"/>
        <v>0.5</v>
      </c>
      <c r="AF275" s="173">
        <f t="shared" si="118"/>
        <v>0.98589309592614427</v>
      </c>
      <c r="AG275" s="802">
        <f t="shared" si="124"/>
        <v>4</v>
      </c>
      <c r="AH275" s="172">
        <f t="shared" si="119"/>
        <v>10</v>
      </c>
      <c r="AI275" s="221">
        <f t="shared" si="120"/>
        <v>4.9858930959261443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48110</v>
      </c>
      <c r="B276" s="406">
        <f>'2030'!Wh/'2030'!Env_an*'2031'!Env_an</f>
        <v>44.055845136478048</v>
      </c>
      <c r="C276" s="832"/>
      <c r="D276" s="388">
        <f t="shared" si="102"/>
        <v>46.27376083983448</v>
      </c>
      <c r="E276" s="380">
        <f t="shared" si="100"/>
        <v>46.749163223157417</v>
      </c>
      <c r="F276" s="380">
        <f t="shared" si="103"/>
        <v>46.753120968509741</v>
      </c>
      <c r="G276" s="110">
        <f t="shared" si="101"/>
        <v>1.0180864621196524</v>
      </c>
      <c r="H276" s="409" t="b">
        <f>Wh_hp&gt;='2030'!Maxi_hp</f>
        <v>1</v>
      </c>
      <c r="I276" s="385">
        <f>IF(H276,Wh_hp,'2030'!Maxi_hp)</f>
        <v>46.753120968509741</v>
      </c>
      <c r="J276" s="85">
        <f>IF(H276,An,'2030'!An_max)</f>
        <v>2031</v>
      </c>
      <c r="K276" s="193">
        <f t="shared" si="104"/>
        <v>48110</v>
      </c>
      <c r="L276" s="143">
        <f>IF(t&lt;Tvie,1-EXP((T0-t)*PertePVj)+'2030'!Pspv,1-EXP((T0-t)*PertePVj)+Pspv)</f>
        <v>4.7930310031060963E-2</v>
      </c>
      <c r="M276" s="836"/>
      <c r="N276" s="836"/>
      <c r="O276" s="48">
        <f>IF(t&lt;Tnet,'2030'!Resal+('2030'!Salim-'2030'!Resal)*(1-EXP(('2030'!Tnet-t)/('2030'!Tau_j))),Resal+(Salim-Resal)*(1-EXP((Tnet-t)/(Tau_j))))*Salcycl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8.4652003338786809E-5</v>
      </c>
      <c r="Q276" s="301">
        <f t="shared" si="105"/>
        <v>0.5</v>
      </c>
      <c r="R276" s="173">
        <f t="shared" si="106"/>
        <v>0.46122615052142923</v>
      </c>
      <c r="S276" s="802">
        <f t="shared" si="107"/>
        <v>1</v>
      </c>
      <c r="T276" s="172">
        <f t="shared" si="108"/>
        <v>7</v>
      </c>
      <c r="U276" s="247">
        <f t="shared" si="109"/>
        <v>1.4612261505214292</v>
      </c>
      <c r="V276" s="378">
        <f t="shared" si="110"/>
        <v>43.273186291814476</v>
      </c>
      <c r="W276" s="397">
        <f t="shared" si="111"/>
        <v>44.055845136478048</v>
      </c>
      <c r="X276" s="153">
        <f t="shared" si="112"/>
        <v>48110</v>
      </c>
      <c r="Y276" s="380">
        <f t="shared" si="113"/>
        <v>42.455133413852771</v>
      </c>
      <c r="Z276" s="380">
        <f t="shared" si="114"/>
        <v>44.592464040355971</v>
      </c>
      <c r="AA276" s="381">
        <f t="shared" si="115"/>
        <v>46.737981889377082</v>
      </c>
      <c r="AB276" s="193">
        <f t="shared" si="116"/>
        <v>48110</v>
      </c>
      <c r="AC276" s="119">
        <f>IF(OR(t&lt;Tnet,NoTnet),'2030'!Resal_s+('2030'!Salim-'2030'!Resal_s)*(1-EXP(('2030'!Tnet_s-t)/'2030'!Tau_j)),Resal_s+(Salim-Resal_s)*(1-EXP((Tnet_s-t)/Tau_j)))*Salcycl</f>
        <v>4.5905230869815544E-2</v>
      </c>
      <c r="AD276" s="227">
        <f>(INDEX(Models!$BJ276:$BT276,,AH276)*(1-AF276)+INDEX(Models!$BJ276:$BT276,,AH276+1)*AF276-ERP_i)*AE276*Ramure*Pc/MaxiM</f>
        <v>3.2380895262283064E-4</v>
      </c>
      <c r="AE276" s="301">
        <f t="shared" si="117"/>
        <v>0.5</v>
      </c>
      <c r="AF276" s="173">
        <f t="shared" si="118"/>
        <v>0.98621371689540638</v>
      </c>
      <c r="AG276" s="802">
        <f t="shared" si="124"/>
        <v>4</v>
      </c>
      <c r="AH276" s="172">
        <f t="shared" si="119"/>
        <v>10</v>
      </c>
      <c r="AI276" s="221">
        <f t="shared" si="120"/>
        <v>4.9862137168954064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48111</v>
      </c>
      <c r="B277" s="406">
        <f>'2030'!Wh/'2030'!Env_an*'2031'!Env_an</f>
        <v>44.404105840858342</v>
      </c>
      <c r="C277" s="832"/>
      <c r="D277" s="388">
        <f t="shared" si="102"/>
        <v>46.640192595090667</v>
      </c>
      <c r="E277" s="380">
        <f t="shared" si="100"/>
        <v>47.122435288194467</v>
      </c>
      <c r="F277" s="380">
        <f t="shared" si="103"/>
        <v>47.126194805421541</v>
      </c>
      <c r="G277" s="110">
        <f t="shared" si="101"/>
        <v>1.034703804355928</v>
      </c>
      <c r="H277" s="409" t="b">
        <f>Wh_hp&gt;='2030'!Maxi_hp</f>
        <v>1</v>
      </c>
      <c r="I277" s="385">
        <f>IF(H277,Wh_hp,'2030'!Maxi_hp)</f>
        <v>47.126194805421541</v>
      </c>
      <c r="J277" s="85">
        <f>IF(H277,An,'2030'!An_max)</f>
        <v>2031</v>
      </c>
      <c r="K277" s="193">
        <f t="shared" si="104"/>
        <v>48111</v>
      </c>
      <c r="L277" s="143">
        <f>IF(t&lt;Tvie,1-EXP((T0-t)*PertePVj)+'2030'!Pspv,1-EXP((T0-t)*PertePVj)+Pspv)</f>
        <v>4.7943343065604993E-2</v>
      </c>
      <c r="M277" s="836"/>
      <c r="N277" s="836"/>
      <c r="O277" s="48">
        <f>IF(t&lt;Tnet,'2030'!Resal+('2030'!Salim-'2030'!Resal)*(1-EXP(('2030'!Tnet-t)/('2030'!Tau_j))),Resal+(Salim-Resal)*(1-EXP((Tnet-t)/(Tau_j))))*Salcycl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7.9775531264535444E-5</v>
      </c>
      <c r="Q277" s="301">
        <f t="shared" si="105"/>
        <v>0.5</v>
      </c>
      <c r="R277" s="173">
        <f t="shared" si="106"/>
        <v>0.46153425496648803</v>
      </c>
      <c r="S277" s="802">
        <f t="shared" si="107"/>
        <v>1</v>
      </c>
      <c r="T277" s="172">
        <f t="shared" si="108"/>
        <v>7</v>
      </c>
      <c r="U277" s="247">
        <f t="shared" si="109"/>
        <v>1.461534254966488</v>
      </c>
      <c r="V277" s="378">
        <f t="shared" si="110"/>
        <v>42.914799050631267</v>
      </c>
      <c r="W277" s="397">
        <f t="shared" si="111"/>
        <v>44.404105840858342</v>
      </c>
      <c r="X277" s="153">
        <f t="shared" si="112"/>
        <v>48111</v>
      </c>
      <c r="Y277" s="380">
        <f t="shared" si="113"/>
        <v>42.792908363467753</v>
      </c>
      <c r="Z277" s="380">
        <f t="shared" si="114"/>
        <v>44.94785898694321</v>
      </c>
      <c r="AA277" s="381">
        <f t="shared" si="115"/>
        <v>47.111636532392879</v>
      </c>
      <c r="AB277" s="193">
        <f t="shared" si="116"/>
        <v>48111</v>
      </c>
      <c r="AC277" s="119">
        <f>IF(OR(t&lt;Tnet,NoTnet),'2030'!Resal_s+('2030'!Salim-'2030'!Resal_s)*(1-EXP(('2030'!Tnet_s-t)/'2030'!Tau_j)),Resal_s+(Salim-Resal_s)*(1-EXP((Tnet_s-t)/Tau_j)))*Salcycl</f>
        <v>4.5928728117137364E-2</v>
      </c>
      <c r="AD277" s="227">
        <f>(INDEX(Models!$BJ277:$BT277,,AH277)*(1-AF277)+INDEX(Models!$BJ277:$BT277,,AH277+1)*AF277-ERP_i)*AE277*Ramure*Pc/MaxiM</f>
        <v>3.0892103826274218E-4</v>
      </c>
      <c r="AE277" s="301">
        <f t="shared" si="117"/>
        <v>0.5</v>
      </c>
      <c r="AF277" s="173">
        <f t="shared" si="118"/>
        <v>0.98652182134046473</v>
      </c>
      <c r="AG277" s="802">
        <f t="shared" si="124"/>
        <v>4</v>
      </c>
      <c r="AH277" s="172">
        <f t="shared" si="119"/>
        <v>10</v>
      </c>
      <c r="AI277" s="221">
        <f t="shared" si="120"/>
        <v>4.9865218213404647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48112</v>
      </c>
      <c r="B278" s="406">
        <f>'2030'!Wh/'2030'!Env_an*'2031'!Env_an</f>
        <v>43.092428427229549</v>
      </c>
      <c r="C278" s="832"/>
      <c r="D278" s="388">
        <f t="shared" si="102"/>
        <v>45.263081793074591</v>
      </c>
      <c r="E278" s="380">
        <f t="shared" si="100"/>
        <v>45.734061911155763</v>
      </c>
      <c r="F278" s="380">
        <f t="shared" si="103"/>
        <v>45.737542651525203</v>
      </c>
      <c r="G278" s="110">
        <f t="shared" si="101"/>
        <v>1.0127421343989176</v>
      </c>
      <c r="H278" s="409" t="b">
        <f>Wh_hp&gt;='2030'!Maxi_hp</f>
        <v>1</v>
      </c>
      <c r="I278" s="385">
        <f>IF(H278,Wh_hp,'2030'!Maxi_hp)</f>
        <v>45.737542651525203</v>
      </c>
      <c r="J278" s="85">
        <f>IF(H278,An,'2030'!An_max)</f>
        <v>2031</v>
      </c>
      <c r="K278" s="193">
        <f t="shared" si="104"/>
        <v>48112</v>
      </c>
      <c r="L278" s="143">
        <f>IF(t&lt;Tvie,1-EXP((T0-t)*PertePVj)+'2030'!Pspv,1-EXP((T0-t)*PertePVj)+Pspv)</f>
        <v>4.7956375921737626E-2</v>
      </c>
      <c r="M278" s="836"/>
      <c r="N278" s="836"/>
      <c r="O278" s="48">
        <f>IF(t&lt;Tnet,'2030'!Resal+('2030'!Salim-'2030'!Resal)*(1-EXP(('2030'!Tnet-t)/('2030'!Tau_j))),Resal+(Salim-Resal)*(1-EXP((Tnet-t)/(Tau_j))))*Salcycl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7.6102478787680534E-5</v>
      </c>
      <c r="Q278" s="301">
        <f t="shared" si="105"/>
        <v>0.5</v>
      </c>
      <c r="R278" s="173">
        <f t="shared" si="106"/>
        <v>0.4618303165390758</v>
      </c>
      <c r="S278" s="802">
        <f t="shared" si="107"/>
        <v>1</v>
      </c>
      <c r="T278" s="172">
        <f t="shared" si="108"/>
        <v>7</v>
      </c>
      <c r="U278" s="247">
        <f t="shared" si="109"/>
        <v>1.4618303165390758</v>
      </c>
      <c r="V278" s="378">
        <f t="shared" si="110"/>
        <v>42.550247455445067</v>
      </c>
      <c r="W278" s="397">
        <f t="shared" si="111"/>
        <v>43.092428427229549</v>
      </c>
      <c r="X278" s="153">
        <f t="shared" si="112"/>
        <v>48112</v>
      </c>
      <c r="Y278" s="380">
        <f t="shared" si="113"/>
        <v>41.530789142125151</v>
      </c>
      <c r="Z278" s="380">
        <f t="shared" si="114"/>
        <v>43.622779557327441</v>
      </c>
      <c r="AA278" s="381">
        <f t="shared" si="115"/>
        <v>45.723870085400073</v>
      </c>
      <c r="AB278" s="193">
        <f t="shared" si="116"/>
        <v>48112</v>
      </c>
      <c r="AC278" s="119">
        <f>IF(OR(t&lt;Tnet,NoTnet),'2030'!Resal_s+('2030'!Salim-'2030'!Resal_s)*(1-EXP(('2030'!Tnet_s-t)/'2030'!Tau_j)),Resal_s+(Salim-Resal_s)*(1-EXP((Tnet_s-t)/Tau_j)))*Salcycl</f>
        <v>4.5951721150207875E-2</v>
      </c>
      <c r="AD278" s="227">
        <f>(INDEX(Models!$BJ278:$BT278,,AH278)*(1-AF278)+INDEX(Models!$BJ278:$BT278,,AH278+1)*AF278-ERP_i)*AE278*Ramure*Pc/MaxiM</f>
        <v>2.9893530199690818E-4</v>
      </c>
      <c r="AE278" s="301">
        <f t="shared" si="117"/>
        <v>0.5</v>
      </c>
      <c r="AF278" s="173">
        <f t="shared" si="118"/>
        <v>0.98681788291305228</v>
      </c>
      <c r="AG278" s="802">
        <f t="shared" si="124"/>
        <v>4</v>
      </c>
      <c r="AH278" s="172">
        <f t="shared" si="119"/>
        <v>10</v>
      </c>
      <c r="AI278" s="221">
        <f t="shared" si="120"/>
        <v>4.9868178829130523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48113</v>
      </c>
      <c r="B279" s="406">
        <f>'2030'!Wh/'2030'!Env_an*'2031'!Env_an</f>
        <v>41.885982560412316</v>
      </c>
      <c r="C279" s="832"/>
      <c r="D279" s="388">
        <f t="shared" si="102"/>
        <v>43.996467066035734</v>
      </c>
      <c r="E279" s="380">
        <f t="shared" si="100"/>
        <v>44.457151887138835</v>
      </c>
      <c r="F279" s="380">
        <f t="shared" si="103"/>
        <v>44.460393990296211</v>
      </c>
      <c r="G279" s="110">
        <f t="shared" si="101"/>
        <v>0.99302033791532174</v>
      </c>
      <c r="H279" s="409" t="b">
        <f>Wh_hp&gt;='2030'!Maxi_hp</f>
        <v>0</v>
      </c>
      <c r="I279" s="385">
        <f>IF(H279,Wh_hp,'2030'!Maxi_hp)</f>
        <v>44.460416745113406</v>
      </c>
      <c r="J279" s="85">
        <f>IF(H279,An,'2030'!An_max)</f>
        <v>2029</v>
      </c>
      <c r="K279" s="193">
        <f t="shared" si="104"/>
        <v>48113</v>
      </c>
      <c r="L279" s="143">
        <f>IF(t&lt;Tvie,1-EXP((T0-t)*PertePVj)+'2030'!Pspv,1-EXP((T0-t)*PertePVj)+Pspv)</f>
        <v>4.7969408599461416E-2</v>
      </c>
      <c r="M279" s="836"/>
      <c r="N279" s="836"/>
      <c r="O279" s="48">
        <f>IF(t&lt;Tnet,'2030'!Resal+('2030'!Salim-'2030'!Resal)*(1-EXP(('2030'!Tnet-t)/('2030'!Tau_j))),Resal+(Salim-Resal)*(1-EXP((Tnet-t)/(Tau_j))))*Salcycl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7.3655490377645864E-5</v>
      </c>
      <c r="Q279" s="301">
        <f t="shared" si="105"/>
        <v>0.5</v>
      </c>
      <c r="R279" s="173">
        <f t="shared" si="106"/>
        <v>0.46211479213388573</v>
      </c>
      <c r="S279" s="802">
        <f t="shared" si="107"/>
        <v>1</v>
      </c>
      <c r="T279" s="172">
        <f t="shared" si="108"/>
        <v>7</v>
      </c>
      <c r="U279" s="247">
        <f t="shared" si="109"/>
        <v>1.4621147921338857</v>
      </c>
      <c r="V279" s="378">
        <f t="shared" si="110"/>
        <v>42.180356434215533</v>
      </c>
      <c r="W279" s="397">
        <f t="shared" si="111"/>
        <v>41.885982560412316</v>
      </c>
      <c r="X279" s="153">
        <f t="shared" si="112"/>
        <v>48113</v>
      </c>
      <c r="Y279" s="380">
        <f t="shared" si="113"/>
        <v>40.369923879899957</v>
      </c>
      <c r="Z279" s="380">
        <f t="shared" si="114"/>
        <v>42.404019623478163</v>
      </c>
      <c r="AA279" s="381">
        <f t="shared" si="115"/>
        <v>44.447455547490641</v>
      </c>
      <c r="AB279" s="193">
        <f t="shared" si="116"/>
        <v>48113</v>
      </c>
      <c r="AC279" s="119">
        <f>IF(OR(t&lt;Tnet,NoTnet),'2030'!Resal_s+('2030'!Salim-'2030'!Resal_s)*(1-EXP(('2030'!Tnet_s-t)/'2030'!Tau_j)),Resal_s+(Salim-Resal_s)*(1-EXP((Tnet_s-t)/Tau_j)))*Salcycl</f>
        <v>4.597419354701035E-2</v>
      </c>
      <c r="AD279" s="227">
        <f>(INDEX(Models!$BJ279:$BT279,,AH279)*(1-AF279)+INDEX(Models!$BJ279:$BT279,,AH279+1)*AF279-ERP_i)*AE279*Ramure*Pc/MaxiM</f>
        <v>2.9394109419355122E-4</v>
      </c>
      <c r="AE279" s="301">
        <f t="shared" si="117"/>
        <v>0.5</v>
      </c>
      <c r="AF279" s="173">
        <f t="shared" si="118"/>
        <v>0.98710235850786265</v>
      </c>
      <c r="AG279" s="802">
        <f t="shared" si="124"/>
        <v>4</v>
      </c>
      <c r="AH279" s="172">
        <f t="shared" si="119"/>
        <v>10</v>
      </c>
      <c r="AI279" s="221">
        <f t="shared" si="120"/>
        <v>4.9871023585078627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48114</v>
      </c>
      <c r="B280" s="406">
        <f>'2030'!Wh/'2030'!Env_an*'2031'!Env_an</f>
        <v>30.693342980554217</v>
      </c>
      <c r="C280" s="832"/>
      <c r="D280" s="388">
        <f t="shared" si="102"/>
        <v>32.240311844646214</v>
      </c>
      <c r="E280" s="380">
        <f t="shared" si="100"/>
        <v>32.580005649217171</v>
      </c>
      <c r="F280" s="380">
        <f t="shared" si="103"/>
        <v>32.581469981632424</v>
      </c>
      <c r="G280" s="110">
        <f t="shared" si="101"/>
        <v>0.73416578076453809</v>
      </c>
      <c r="H280" s="409" t="b">
        <f>Wh_hp&gt;='2030'!Maxi_hp</f>
        <v>0</v>
      </c>
      <c r="I280" s="385">
        <f>IF(H280,Wh_hp,'2030'!Maxi_hp)</f>
        <v>32.582094509576486</v>
      </c>
      <c r="J280" s="85">
        <f>IF(H280,An,'2030'!An_max)</f>
        <v>2029</v>
      </c>
      <c r="K280" s="193">
        <f t="shared" si="104"/>
        <v>48114</v>
      </c>
      <c r="L280" s="143">
        <f>IF(t&lt;Tvie,1-EXP((T0-t)*PertePVj)+'2030'!Pspv,1-EXP((T0-t)*PertePVj)+Pspv)</f>
        <v>4.7982441098778805E-2</v>
      </c>
      <c r="M280" s="836"/>
      <c r="N280" s="836"/>
      <c r="O280" s="48">
        <f>IF(t&lt;Tnet,'2030'!Resal+('2030'!Salim-'2030'!Resal)*(1-EXP(('2030'!Tnet-t)/('2030'!Tau_j))),Resal+(Salim-Resal)*(1-EXP((Tnet-t)/(Tau_j))))*Salcycl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7.2458817633184766E-5</v>
      </c>
      <c r="Q280" s="301">
        <f t="shared" si="105"/>
        <v>0.5</v>
      </c>
      <c r="R280" s="173">
        <f t="shared" si="106"/>
        <v>0.46238812238945104</v>
      </c>
      <c r="S280" s="802">
        <f t="shared" si="107"/>
        <v>1</v>
      </c>
      <c r="T280" s="172">
        <f t="shared" si="108"/>
        <v>7</v>
      </c>
      <c r="U280" s="247">
        <f t="shared" si="109"/>
        <v>1.462388122389451</v>
      </c>
      <c r="V280" s="378">
        <f t="shared" si="110"/>
        <v>41.80595066724463</v>
      </c>
      <c r="W280" s="397">
        <f t="shared" si="111"/>
        <v>30.693342980554217</v>
      </c>
      <c r="X280" s="153">
        <f t="shared" si="112"/>
        <v>48114</v>
      </c>
      <c r="Y280" s="380">
        <f t="shared" si="113"/>
        <v>29.586020681657896</v>
      </c>
      <c r="Z280" s="380">
        <f t="shared" si="114"/>
        <v>31.07717962240617</v>
      </c>
      <c r="AA280" s="381">
        <f t="shared" si="115"/>
        <v>32.575527796222929</v>
      </c>
      <c r="AB280" s="193">
        <f t="shared" si="116"/>
        <v>48114</v>
      </c>
      <c r="AC280" s="119">
        <f>IF(OR(t&lt;Tnet,NoTnet),'2030'!Resal_s+('2030'!Salim-'2030'!Resal_s)*(1-EXP(('2030'!Tnet_s-t)/'2030'!Tau_j)),Resal_s+(Salim-Resal_s)*(1-EXP((Tnet_s-t)/Tau_j)))*Salcycl</f>
        <v>4.599612884830951E-2</v>
      </c>
      <c r="AD280" s="227">
        <f>(INDEX(Models!$BJ280:$BT280,,AH280)*(1-AF280)+INDEX(Models!$BJ280:$BT280,,AH280+1)*AF280-ERP_i)*AE280*Ramure*Pc/MaxiM</f>
        <v>2.9403414446271201E-4</v>
      </c>
      <c r="AE280" s="301">
        <f t="shared" si="117"/>
        <v>0.5</v>
      </c>
      <c r="AF280" s="173">
        <f t="shared" si="118"/>
        <v>0.98737568876342774</v>
      </c>
      <c r="AG280" s="802">
        <f t="shared" si="124"/>
        <v>4</v>
      </c>
      <c r="AH280" s="172">
        <f t="shared" si="119"/>
        <v>10</v>
      </c>
      <c r="AI280" s="221">
        <f t="shared" si="120"/>
        <v>4.9873756887634277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48115</v>
      </c>
      <c r="B281" s="406">
        <f>'2030'!Wh/'2030'!Env_an*'2031'!Env_an</f>
        <v>18.959224732008593</v>
      </c>
      <c r="C281" s="832"/>
      <c r="D281" s="388">
        <f t="shared" si="102"/>
        <v>19.915057337082168</v>
      </c>
      <c r="E281" s="380">
        <f t="shared" si="100"/>
        <v>20.126185916300788</v>
      </c>
      <c r="F281" s="380">
        <f t="shared" si="103"/>
        <v>20.126514701667009</v>
      </c>
      <c r="G281" s="110">
        <f t="shared" si="101"/>
        <v>0.45761865674696939</v>
      </c>
      <c r="H281" s="409" t="b">
        <f>Wh_hp&gt;='2030'!Maxi_hp</f>
        <v>0</v>
      </c>
      <c r="I281" s="385">
        <f>IF(H281,Wh_hp,'2030'!Maxi_hp)</f>
        <v>20.127303320288217</v>
      </c>
      <c r="J281" s="85">
        <f>IF(H281,An,'2030'!An_max)</f>
        <v>2029</v>
      </c>
      <c r="K281" s="193">
        <f t="shared" si="104"/>
        <v>48115</v>
      </c>
      <c r="L281" s="143">
        <f>IF(t&lt;Tvie,1-EXP((T0-t)*PertePVj)+'2030'!Pspv,1-EXP((T0-t)*PertePVj)+Pspv)</f>
        <v>4.7995473419692236E-2</v>
      </c>
      <c r="M281" s="836"/>
      <c r="N281" s="836"/>
      <c r="O281" s="48">
        <f>IF(t&lt;Tnet,'2030'!Resal+('2030'!Salim-'2030'!Resal)*(1-EXP(('2030'!Tnet-t)/('2030'!Tau_j))),Resal+(Salim-Resal)*(1-EXP((Tnet-t)/(Tau_j))))*Salcycl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7.2537646135388683E-5</v>
      </c>
      <c r="Q281" s="301">
        <f t="shared" si="105"/>
        <v>0.5</v>
      </c>
      <c r="R281" s="173">
        <f t="shared" si="106"/>
        <v>0.46265073218158714</v>
      </c>
      <c r="S281" s="802">
        <f t="shared" si="107"/>
        <v>1</v>
      </c>
      <c r="T281" s="172">
        <f t="shared" si="108"/>
        <v>7</v>
      </c>
      <c r="U281" s="247">
        <f t="shared" si="109"/>
        <v>1.4626507321815871</v>
      </c>
      <c r="V281" s="378">
        <f t="shared" si="110"/>
        <v>41.427854599352159</v>
      </c>
      <c r="W281" s="397">
        <f t="shared" si="111"/>
        <v>18.959224732008593</v>
      </c>
      <c r="X281" s="153">
        <f t="shared" si="112"/>
        <v>48115</v>
      </c>
      <c r="Y281" s="380">
        <f t="shared" si="113"/>
        <v>18.277580937871274</v>
      </c>
      <c r="Z281" s="380">
        <f t="shared" si="114"/>
        <v>19.199048352770035</v>
      </c>
      <c r="AA281" s="381">
        <f t="shared" si="115"/>
        <v>20.125158026506472</v>
      </c>
      <c r="AB281" s="193">
        <f t="shared" si="116"/>
        <v>48115</v>
      </c>
      <c r="AC281" s="119">
        <f>IF(OR(t&lt;Tnet,NoTnet),'2030'!Resal_s+('2030'!Salim-'2030'!Resal_s)*(1-EXP(('2030'!Tnet_s-t)/'2030'!Tau_j)),Resal_s+(Salim-Resal_s)*(1-EXP((Tnet_s-t)/Tau_j)))*Salcycl</f>
        <v>4.6017510645962448E-2</v>
      </c>
      <c r="AD281" s="227">
        <f>(INDEX(Models!$BJ281:$BT281,,AH281)*(1-AF281)+INDEX(Models!$BJ281:$BT281,,AH281+1)*AF281-ERP_i)*AE281*Ramure*Pc/MaxiM</f>
        <v>2.9931387715516057E-4</v>
      </c>
      <c r="AE281" s="301">
        <f t="shared" si="117"/>
        <v>0.5</v>
      </c>
      <c r="AF281" s="173">
        <f t="shared" si="118"/>
        <v>0.98763829855556384</v>
      </c>
      <c r="AG281" s="802">
        <f t="shared" si="124"/>
        <v>4</v>
      </c>
      <c r="AH281" s="172">
        <f t="shared" si="119"/>
        <v>10</v>
      </c>
      <c r="AI281" s="221">
        <f t="shared" si="120"/>
        <v>4.9876382985555638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48116</v>
      </c>
      <c r="B282" s="406">
        <f>'2030'!Wh/'2030'!Env_an*'2031'!Env_an</f>
        <v>30.346918252425997</v>
      </c>
      <c r="C282" s="832"/>
      <c r="D282" s="388">
        <f t="shared" si="102"/>
        <v>31.877299776031663</v>
      </c>
      <c r="E282" s="380">
        <f t="shared" si="100"/>
        <v>32.217315473510176</v>
      </c>
      <c r="F282" s="380">
        <f t="shared" si="103"/>
        <v>32.218823159213699</v>
      </c>
      <c r="G282" s="110">
        <f t="shared" si="101"/>
        <v>0.73930310716522507</v>
      </c>
      <c r="H282" s="409" t="b">
        <f>Wh_hp&gt;='2030'!Maxi_hp</f>
        <v>0</v>
      </c>
      <c r="I282" s="385">
        <f>IF(H282,Wh_hp,'2030'!Maxi_hp)</f>
        <v>32.219448271079415</v>
      </c>
      <c r="J282" s="85">
        <f>IF(H282,An,'2030'!An_max)</f>
        <v>2029</v>
      </c>
      <c r="K282" s="193">
        <f t="shared" si="104"/>
        <v>48116</v>
      </c>
      <c r="L282" s="143">
        <f>IF(t&lt;Tvie,1-EXP((T0-t)*PertePVj)+'2030'!Pspv,1-EXP((T0-t)*PertePVj)+Pspv)</f>
        <v>4.8008505562204151E-2</v>
      </c>
      <c r="M282" s="836"/>
      <c r="N282" s="836"/>
      <c r="O282" s="48">
        <f>IF(t&lt;Tnet,'2030'!Resal+('2030'!Salim-'2030'!Resal)*(1-EXP(('2030'!Tnet-t)/('2030'!Tau_j))),Resal+(Salim-Resal)*(1-EXP((Tnet-t)/(Tau_j))))*Salcycl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7.4561496129424984E-5</v>
      </c>
      <c r="Q282" s="301">
        <f t="shared" si="105"/>
        <v>0.5</v>
      </c>
      <c r="R282" s="173">
        <f t="shared" si="106"/>
        <v>0.46290303110880537</v>
      </c>
      <c r="S282" s="802">
        <f t="shared" si="107"/>
        <v>1</v>
      </c>
      <c r="T282" s="172">
        <f t="shared" si="108"/>
        <v>7</v>
      </c>
      <c r="U282" s="247">
        <f t="shared" si="109"/>
        <v>1.4629030311088054</v>
      </c>
      <c r="V282" s="378">
        <f t="shared" si="110"/>
        <v>41.04686602399989</v>
      </c>
      <c r="W282" s="397">
        <f t="shared" si="111"/>
        <v>30.346918252425997</v>
      </c>
      <c r="X282" s="153">
        <f t="shared" si="112"/>
        <v>48116</v>
      </c>
      <c r="Y282" s="380">
        <f t="shared" si="113"/>
        <v>29.254201796489664</v>
      </c>
      <c r="Z282" s="380">
        <f t="shared" si="114"/>
        <v>30.729478117623209</v>
      </c>
      <c r="AA282" s="381">
        <f t="shared" si="115"/>
        <v>32.212486987850625</v>
      </c>
      <c r="AB282" s="193">
        <f t="shared" si="116"/>
        <v>48116</v>
      </c>
      <c r="AC282" s="119">
        <f>IF(OR(t&lt;Tnet,NoTnet),'2030'!Resal_s+('2030'!Salim-'2030'!Resal_s)*(1-EXP(('2030'!Tnet_s-t)/'2030'!Tau_j)),Resal_s+(Salim-Resal_s)*(1-EXP((Tnet_s-t)/Tau_j)))*Salcycl</f>
        <v>4.6038322678616871E-2</v>
      </c>
      <c r="AD282" s="227">
        <f>(INDEX(Models!$BJ282:$BT282,,AH282)*(1-AF282)+INDEX(Models!$BJ282:$BT282,,AH282+1)*AF282-ERP_i)*AE282*Ramure*Pc/MaxiM</f>
        <v>3.1335073050065503E-4</v>
      </c>
      <c r="AE282" s="301">
        <f t="shared" si="117"/>
        <v>0.5</v>
      </c>
      <c r="AF282" s="173">
        <f t="shared" si="118"/>
        <v>0.98789059748278252</v>
      </c>
      <c r="AG282" s="802">
        <f t="shared" si="124"/>
        <v>4</v>
      </c>
      <c r="AH282" s="172">
        <f t="shared" si="119"/>
        <v>10</v>
      </c>
      <c r="AI282" s="221">
        <f t="shared" si="120"/>
        <v>4.9878905974827825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48117</v>
      </c>
      <c r="B283" s="406">
        <f>'2030'!Wh/'2030'!Env_an*'2031'!Env_an</f>
        <v>32.729479560856312</v>
      </c>
      <c r="C283" s="832"/>
      <c r="D283" s="388">
        <f t="shared" si="102"/>
        <v>34.380483226280028</v>
      </c>
      <c r="E283" s="380">
        <f t="shared" si="100"/>
        <v>34.749423803516962</v>
      </c>
      <c r="F283" s="380">
        <f t="shared" si="103"/>
        <v>34.75138601526281</v>
      </c>
      <c r="G283" s="110">
        <f t="shared" si="101"/>
        <v>0.80486203123115119</v>
      </c>
      <c r="H283" s="409" t="b">
        <f>Wh_hp&gt;='2030'!Maxi_hp</f>
        <v>0</v>
      </c>
      <c r="I283" s="385">
        <f>IF(H283,Wh_hp,'2030'!Maxi_hp)</f>
        <v>34.751917189720331</v>
      </c>
      <c r="J283" s="85">
        <f>IF(H283,An,'2030'!An_max)</f>
        <v>2029</v>
      </c>
      <c r="K283" s="193">
        <f t="shared" si="104"/>
        <v>48117</v>
      </c>
      <c r="L283" s="143">
        <f>IF(t&lt;Tvie,1-EXP((T0-t)*PertePVj)+'2030'!Pspv,1-EXP((T0-t)*PertePVj)+Pspv)</f>
        <v>4.8021537526316993E-2</v>
      </c>
      <c r="M283" s="836"/>
      <c r="N283" s="836"/>
      <c r="O283" s="48">
        <f>IF(t&lt;Tnet,'2030'!Resal+('2030'!Salim-'2030'!Resal)*(1-EXP(('2030'!Tnet-t)/('2030'!Tau_j))),Resal+(Salim-Resal)*(1-EXP((Tnet-t)/(Tau_j))))*Salcycl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7.8285974285768463E-5</v>
      </c>
      <c r="Q283" s="301">
        <f t="shared" si="105"/>
        <v>0.5</v>
      </c>
      <c r="R283" s="173">
        <f t="shared" si="106"/>
        <v>0.46314541396918329</v>
      </c>
      <c r="S283" s="802">
        <f t="shared" si="107"/>
        <v>1</v>
      </c>
      <c r="T283" s="172">
        <f t="shared" si="108"/>
        <v>7</v>
      </c>
      <c r="U283" s="247">
        <f t="shared" si="109"/>
        <v>1.4631454139691833</v>
      </c>
      <c r="V283" s="378">
        <f t="shared" si="110"/>
        <v>40.663820676862869</v>
      </c>
      <c r="W283" s="397">
        <f t="shared" si="111"/>
        <v>32.729479560856312</v>
      </c>
      <c r="X283" s="153">
        <f t="shared" si="112"/>
        <v>48117</v>
      </c>
      <c r="Y283" s="380">
        <f t="shared" si="113"/>
        <v>31.551214732903503</v>
      </c>
      <c r="Z283" s="380">
        <f t="shared" si="114"/>
        <v>33.142782086601798</v>
      </c>
      <c r="AA283" s="381">
        <f t="shared" si="115"/>
        <v>34.742993974711148</v>
      </c>
      <c r="AB283" s="193">
        <f t="shared" si="116"/>
        <v>48117</v>
      </c>
      <c r="AC283" s="119">
        <f>IF(OR(t&lt;Tnet,NoTnet),'2030'!Resal_s+('2030'!Salim-'2030'!Resal_s)*(1-EXP(('2030'!Tnet_s-t)/'2030'!Tau_j)),Resal_s+(Salim-Resal_s)*(1-EXP((Tnet_s-t)/Tau_j)))*Salcycl</f>
        <v>4.605854893432957E-2</v>
      </c>
      <c r="AD283" s="227">
        <f>(INDEX(Models!$BJ283:$BT283,,AH283)*(1-AF283)+INDEX(Models!$BJ283:$BT283,,AH283+1)*AF283-ERP_i)*AE283*Ramure*Pc/MaxiM</f>
        <v>3.3481558359929858E-4</v>
      </c>
      <c r="AE283" s="301">
        <f t="shared" si="117"/>
        <v>0.5</v>
      </c>
      <c r="AF283" s="173">
        <f t="shared" si="118"/>
        <v>0.98813298034316066</v>
      </c>
      <c r="AG283" s="802">
        <f t="shared" si="124"/>
        <v>4</v>
      </c>
      <c r="AH283" s="172">
        <f t="shared" si="119"/>
        <v>10</v>
      </c>
      <c r="AI283" s="221">
        <f t="shared" si="120"/>
        <v>4.9881329803431607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48118</v>
      </c>
      <c r="B284" s="406">
        <f>'2030'!Wh/'2030'!Env_an*'2031'!Env_an</f>
        <v>16.016407027904652</v>
      </c>
      <c r="C284" s="832"/>
      <c r="D284" s="388">
        <f t="shared" si="102"/>
        <v>16.824567900884706</v>
      </c>
      <c r="E284" s="380">
        <f t="shared" si="100"/>
        <v>17.006199129603896</v>
      </c>
      <c r="F284" s="380">
        <f t="shared" si="103"/>
        <v>17.006397769631281</v>
      </c>
      <c r="G284" s="110">
        <f t="shared" si="101"/>
        <v>0.39760264943297308</v>
      </c>
      <c r="H284" s="409" t="b">
        <f>Wh_hp&gt;='2030'!Maxi_hp</f>
        <v>0</v>
      </c>
      <c r="I284" s="385">
        <f>IF(H284,Wh_hp,'2030'!Maxi_hp)</f>
        <v>17.007258267445948</v>
      </c>
      <c r="J284" s="85">
        <f>IF(H284,An,'2030'!An_max)</f>
        <v>2029</v>
      </c>
      <c r="K284" s="193">
        <f t="shared" si="104"/>
        <v>48118</v>
      </c>
      <c r="L284" s="143">
        <f>IF(t&lt;Tvie,1-EXP((T0-t)*PertePVj)+'2030'!Pspv,1-EXP((T0-t)*PertePVj)+Pspv)</f>
        <v>4.8034569312033093E-2</v>
      </c>
      <c r="M284" s="836"/>
      <c r="N284" s="836"/>
      <c r="O284" s="48">
        <f>IF(t&lt;Tnet,'2030'!Resal+('2030'!Salim-'2030'!Resal)*(1-EXP(('2030'!Tnet-t)/('2030'!Tau_j))),Resal+(Salim-Resal)*(1-EXP((Tnet-t)/(Tau_j))))*Salcycl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8.3745866023205478E-5</v>
      </c>
      <c r="Q284" s="301">
        <f t="shared" si="105"/>
        <v>0.5</v>
      </c>
      <c r="R284" s="173">
        <f t="shared" si="106"/>
        <v>0.46337826122825265</v>
      </c>
      <c r="S284" s="802">
        <f t="shared" si="107"/>
        <v>1</v>
      </c>
      <c r="T284" s="172">
        <f t="shared" si="108"/>
        <v>7</v>
      </c>
      <c r="U284" s="247">
        <f t="shared" si="109"/>
        <v>1.4633782612282527</v>
      </c>
      <c r="V284" s="378">
        <f t="shared" si="110"/>
        <v>40.279542417567079</v>
      </c>
      <c r="W284" s="397">
        <f t="shared" si="111"/>
        <v>16.016407027904652</v>
      </c>
      <c r="X284" s="153">
        <f t="shared" si="112"/>
        <v>48118</v>
      </c>
      <c r="Y284" s="380">
        <f t="shared" si="113"/>
        <v>15.442736321263178</v>
      </c>
      <c r="Z284" s="380">
        <f t="shared" si="114"/>
        <v>16.221950738382393</v>
      </c>
      <c r="AA284" s="381">
        <f t="shared" si="115"/>
        <v>17.005534722185178</v>
      </c>
      <c r="AB284" s="193">
        <f t="shared" si="116"/>
        <v>48118</v>
      </c>
      <c r="AC284" s="119">
        <f>IF(OR(t&lt;Tnet,NoTnet),'2030'!Resal_s+('2030'!Salim-'2030'!Resal_s)*(1-EXP(('2030'!Tnet_s-t)/'2030'!Tau_j)),Resal_s+(Salim-Resal_s)*(1-EXP((Tnet_s-t)/Tau_j)))*Salcycl</f>
        <v>4.6078173759542568E-2</v>
      </c>
      <c r="AD284" s="227">
        <f>(INDEX(Models!$BJ284:$BT284,,AH284)*(1-AF284)+INDEX(Models!$BJ284:$BT284,,AH284+1)*AF284-ERP_i)*AE284*Ramure*Pc/MaxiM</f>
        <v>3.6385745986926369E-4</v>
      </c>
      <c r="AE284" s="301">
        <f t="shared" si="117"/>
        <v>0.5</v>
      </c>
      <c r="AF284" s="173">
        <f t="shared" si="118"/>
        <v>0.98836582760222935</v>
      </c>
      <c r="AG284" s="802">
        <f t="shared" si="124"/>
        <v>4</v>
      </c>
      <c r="AH284" s="172">
        <f t="shared" si="119"/>
        <v>10</v>
      </c>
      <c r="AI284" s="221">
        <f t="shared" si="120"/>
        <v>4.9883658276022294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48119</v>
      </c>
      <c r="B285" s="406">
        <f>'2030'!Wh/'2030'!Env_an*'2031'!Env_an</f>
        <v>18.296707157952714</v>
      </c>
      <c r="C285" s="832"/>
      <c r="D285" s="388">
        <f t="shared" si="102"/>
        <v>19.22019123605644</v>
      </c>
      <c r="E285" s="380">
        <f t="shared" si="100"/>
        <v>19.428919726316732</v>
      </c>
      <c r="F285" s="380">
        <f t="shared" si="103"/>
        <v>19.429320273639171</v>
      </c>
      <c r="G285" s="110">
        <f t="shared" si="101"/>
        <v>0.45859095915766412</v>
      </c>
      <c r="H285" s="409" t="b">
        <f>Wh_hp&gt;='2030'!Maxi_hp</f>
        <v>0</v>
      </c>
      <c r="I285" s="385">
        <f>IF(H285,Wh_hp,'2030'!Maxi_hp)</f>
        <v>19.430282263297158</v>
      </c>
      <c r="J285" s="85">
        <f>IF(H285,An,'2030'!An_max)</f>
        <v>2029</v>
      </c>
      <c r="K285" s="193">
        <f t="shared" si="104"/>
        <v>48119</v>
      </c>
      <c r="L285" s="143">
        <f>IF(t&lt;Tvie,1-EXP((T0-t)*PertePVj)+'2030'!Pspv,1-EXP((T0-t)*PertePVj)+Pspv)</f>
        <v>4.8047600919355116E-2</v>
      </c>
      <c r="M285" s="836"/>
      <c r="N285" s="836"/>
      <c r="O285" s="48">
        <f>IF(t&lt;Tnet,'2030'!Resal+('2030'!Salim-'2030'!Resal)*(1-EXP(('2030'!Tnet-t)/('2030'!Tau_j))),Resal+(Salim-Resal)*(1-EXP((Tnet-t)/(Tau_j))))*Salcycl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9.0976134471671433E-5</v>
      </c>
      <c r="Q285" s="301">
        <f t="shared" si="105"/>
        <v>0.5</v>
      </c>
      <c r="R285" s="173">
        <f t="shared" si="106"/>
        <v>0.46360193947753925</v>
      </c>
      <c r="S285" s="802">
        <f t="shared" si="107"/>
        <v>1</v>
      </c>
      <c r="T285" s="172">
        <f t="shared" si="108"/>
        <v>7</v>
      </c>
      <c r="U285" s="247">
        <f t="shared" si="109"/>
        <v>1.4636019394775392</v>
      </c>
      <c r="V285" s="378">
        <f t="shared" si="110"/>
        <v>39.894854881432124</v>
      </c>
      <c r="W285" s="397">
        <f t="shared" si="111"/>
        <v>18.296707157952714</v>
      </c>
      <c r="X285" s="153">
        <f t="shared" si="112"/>
        <v>48119</v>
      </c>
      <c r="Y285" s="380">
        <f t="shared" si="113"/>
        <v>17.641582626771481</v>
      </c>
      <c r="Z285" s="380">
        <f t="shared" si="114"/>
        <v>18.532000805721978</v>
      </c>
      <c r="AA285" s="381">
        <f t="shared" si="115"/>
        <v>19.427556408804158</v>
      </c>
      <c r="AB285" s="193">
        <f t="shared" si="116"/>
        <v>48119</v>
      </c>
      <c r="AC285" s="119">
        <f>IF(OR(t&lt;Tnet,NoTnet),'2030'!Resal_s+('2030'!Salim-'2030'!Resal_s)*(1-EXP(('2030'!Tnet_s-t)/'2030'!Tau_j)),Resal_s+(Salim-Resal_s)*(1-EXP((Tnet_s-t)/Tau_j)))*Salcycl</f>
        <v>4.6097181973762426E-2</v>
      </c>
      <c r="AD285" s="227">
        <f>(INDEX(Models!$BJ285:$BT285,,AH285)*(1-AF285)+INDEX(Models!$BJ285:$BT285,,AH285+1)*AF285-ERP_i)*AE285*Ramure*Pc/MaxiM</f>
        <v>4.0062583228010334E-4</v>
      </c>
      <c r="AE285" s="301">
        <f t="shared" si="117"/>
        <v>0.5</v>
      </c>
      <c r="AF285" s="173">
        <f t="shared" si="118"/>
        <v>0.98858950585151639</v>
      </c>
      <c r="AG285" s="802">
        <f t="shared" si="124"/>
        <v>4</v>
      </c>
      <c r="AH285" s="172">
        <f t="shared" si="119"/>
        <v>10</v>
      </c>
      <c r="AI285" s="221">
        <f t="shared" si="120"/>
        <v>4.9885895058515164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48120</v>
      </c>
      <c r="B286" s="406">
        <f>'2030'!Wh/'2030'!Env_an*'2031'!Env_an</f>
        <v>23.680044058758224</v>
      </c>
      <c r="C286" s="832"/>
      <c r="D286" s="388">
        <f t="shared" si="102"/>
        <v>24.875580171847691</v>
      </c>
      <c r="E286" s="380">
        <f t="shared" si="100"/>
        <v>25.147317976851472</v>
      </c>
      <c r="F286" s="380">
        <f t="shared" si="103"/>
        <v>25.148393497124676</v>
      </c>
      <c r="G286" s="110">
        <f t="shared" si="101"/>
        <v>0.59929992317188552</v>
      </c>
      <c r="H286" s="409" t="b">
        <f>Wh_hp&gt;='2030'!Maxi_hp</f>
        <v>0</v>
      </c>
      <c r="I286" s="385">
        <f>IF(H286,Wh_hp,'2030'!Maxi_hp)</f>
        <v>25.149408574242972</v>
      </c>
      <c r="J286" s="85">
        <f>IF(H286,An,'2030'!An_max)</f>
        <v>2029</v>
      </c>
      <c r="K286" s="193">
        <f t="shared" si="104"/>
        <v>48120</v>
      </c>
      <c r="L286" s="143">
        <f>IF(t&lt;Tvie,1-EXP((T0-t)*PertePVj)+'2030'!Pspv,1-EXP((T0-t)*PertePVj)+Pspv)</f>
        <v>4.8060632348285282E-2</v>
      </c>
      <c r="M286" s="836"/>
      <c r="N286" s="836"/>
      <c r="O286" s="48">
        <f>IF(t&lt;Tnet,'2030'!Resal+('2030'!Salim-'2030'!Resal)*(1-EXP(('2030'!Tnet-t)/('2030'!Tau_j))),Resal+(Salim-Resal)*(1-EXP((Tnet-t)/(Tau_j))))*Salcycl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1.0001151505172901E-4</v>
      </c>
      <c r="Q286" s="301">
        <f t="shared" si="105"/>
        <v>0.5</v>
      </c>
      <c r="R286" s="173">
        <f t="shared" si="106"/>
        <v>0.46381680188344943</v>
      </c>
      <c r="S286" s="802">
        <f t="shared" si="107"/>
        <v>1</v>
      </c>
      <c r="T286" s="172">
        <f t="shared" si="108"/>
        <v>7</v>
      </c>
      <c r="U286" s="247">
        <f t="shared" si="109"/>
        <v>1.4638168018834494</v>
      </c>
      <c r="V286" s="378">
        <f t="shared" si="110"/>
        <v>39.510581482828037</v>
      </c>
      <c r="W286" s="397">
        <f t="shared" si="111"/>
        <v>23.680044058758224</v>
      </c>
      <c r="X286" s="153">
        <f t="shared" si="112"/>
        <v>48120</v>
      </c>
      <c r="Y286" s="380">
        <f t="shared" si="113"/>
        <v>22.831402979221583</v>
      </c>
      <c r="Z286" s="380">
        <f t="shared" si="114"/>
        <v>23.984093688175832</v>
      </c>
      <c r="AA286" s="381">
        <f t="shared" si="115"/>
        <v>25.143605091996996</v>
      </c>
      <c r="AB286" s="193">
        <f t="shared" si="116"/>
        <v>48120</v>
      </c>
      <c r="AC286" s="119">
        <f>IF(OR(t&lt;Tnet,NoTnet),'2030'!Resal_s+('2030'!Salim-'2030'!Resal_s)*(1-EXP(('2030'!Tnet_s-t)/'2030'!Tau_j)),Resal_s+(Salim-Resal_s)*(1-EXP((Tnet_s-t)/Tau_j)))*Salcycl</f>
        <v>4.6115558989201097E-2</v>
      </c>
      <c r="AD286" s="227">
        <f>(INDEX(Models!$BJ286:$BT286,,AH286)*(1-AF286)+INDEX(Models!$BJ286:$BT286,,AH286+1)*AF286-ERP_i)*AE286*Ramure*Pc/MaxiM</f>
        <v>4.4526882796322654E-4</v>
      </c>
      <c r="AE286" s="301">
        <f t="shared" si="117"/>
        <v>0.5</v>
      </c>
      <c r="AF286" s="173">
        <f t="shared" si="118"/>
        <v>0.98880436825742635</v>
      </c>
      <c r="AG286" s="802">
        <f t="shared" si="124"/>
        <v>4</v>
      </c>
      <c r="AH286" s="172">
        <f t="shared" si="119"/>
        <v>10</v>
      </c>
      <c r="AI286" s="221">
        <f t="shared" si="120"/>
        <v>4.9888043682574263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48121</v>
      </c>
      <c r="B287" s="406">
        <f>'2030'!Wh/'2030'!Env_an*'2031'!Env_an</f>
        <v>25.393320748673979</v>
      </c>
      <c r="C287" s="832"/>
      <c r="D287" s="388">
        <f t="shared" si="102"/>
        <v>26.675720355290576</v>
      </c>
      <c r="E287" s="380">
        <f t="shared" si="100"/>
        <v>26.968824076123763</v>
      </c>
      <c r="F287" s="380">
        <f t="shared" si="103"/>
        <v>26.970315070172699</v>
      </c>
      <c r="G287" s="110">
        <f t="shared" si="101"/>
        <v>0.64895225211195195</v>
      </c>
      <c r="H287" s="409" t="b">
        <f>Wh_hp&gt;='2030'!Maxi_hp</f>
        <v>0</v>
      </c>
      <c r="I287" s="385">
        <f>IF(H287,Wh_hp,'2030'!Maxi_hp)</f>
        <v>26.971374294476501</v>
      </c>
      <c r="J287" s="85">
        <f>IF(H287,An,'2030'!An_max)</f>
        <v>2029</v>
      </c>
      <c r="K287" s="193">
        <f t="shared" si="104"/>
        <v>48121</v>
      </c>
      <c r="L287" s="143">
        <f>IF(t&lt;Tvie,1-EXP((T0-t)*PertePVj)+'2030'!Pspv,1-EXP((T0-t)*PertePVj)+Pspv)</f>
        <v>4.8073663598826144E-2</v>
      </c>
      <c r="M287" s="836"/>
      <c r="N287" s="836"/>
      <c r="O287" s="48">
        <f>IF(t&lt;Tnet,'2030'!Resal+('2030'!Salim-'2030'!Resal)*(1-EXP(('2030'!Tnet-t)/('2030'!Tau_j))),Resal+(Salim-Resal)*(1-EXP((Tnet-t)/(Tau_j))))*Salcycl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1.1088607548293916E-4</v>
      </c>
      <c r="Q287" s="301">
        <f t="shared" si="105"/>
        <v>0.5</v>
      </c>
      <c r="R287" s="173">
        <f t="shared" si="106"/>
        <v>0.46402318862625846</v>
      </c>
      <c r="S287" s="802">
        <f t="shared" si="107"/>
        <v>1</v>
      </c>
      <c r="T287" s="172">
        <f t="shared" si="108"/>
        <v>7</v>
      </c>
      <c r="U287" s="247">
        <f t="shared" si="109"/>
        <v>1.4640231886262585</v>
      </c>
      <c r="V287" s="378">
        <f t="shared" si="110"/>
        <v>39.127545417573998</v>
      </c>
      <c r="W287" s="397">
        <f t="shared" si="111"/>
        <v>25.393320748673979</v>
      </c>
      <c r="X287" s="153">
        <f t="shared" si="112"/>
        <v>48121</v>
      </c>
      <c r="Y287" s="380">
        <f t="shared" si="113"/>
        <v>24.483259109081395</v>
      </c>
      <c r="Z287" s="380">
        <f t="shared" si="114"/>
        <v>25.719699280137707</v>
      </c>
      <c r="AA287" s="381">
        <f t="shared" si="115"/>
        <v>26.963619796875683</v>
      </c>
      <c r="AB287" s="193">
        <f t="shared" si="116"/>
        <v>48121</v>
      </c>
      <c r="AC287" s="119">
        <f>IF(OR(t&lt;Tnet,NoTnet),'2030'!Resal_s+('2030'!Salim-'2030'!Resal_s)*(1-EXP(('2030'!Tnet_s-t)/'2030'!Tau_j)),Resal_s+(Salim-Resal_s)*(1-EXP((Tnet_s-t)/Tau_j)))*Salcycl</f>
        <v>4.6133290934554448E-2</v>
      </c>
      <c r="AD287" s="227">
        <f>(INDEX(Models!$BJ287:$BT287,,AH287)*(1-AF287)+INDEX(Models!$BJ287:$BT287,,AH287+1)*AF287-ERP_i)*AE287*Ramure*Pc/MaxiM</f>
        <v>4.9793128330760726E-4</v>
      </c>
      <c r="AE287" s="301">
        <f t="shared" si="117"/>
        <v>0.5</v>
      </c>
      <c r="AF287" s="173">
        <f t="shared" si="118"/>
        <v>0.98901075500023516</v>
      </c>
      <c r="AG287" s="802">
        <f t="shared" si="124"/>
        <v>4</v>
      </c>
      <c r="AH287" s="172">
        <f t="shared" si="119"/>
        <v>10</v>
      </c>
      <c r="AI287" s="221">
        <f t="shared" si="120"/>
        <v>4.9890107550002352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48122</v>
      </c>
      <c r="B288" s="406">
        <f>'2030'!Wh/'2030'!Env_an*'2031'!Env_an</f>
        <v>34.658385669608379</v>
      </c>
      <c r="C288" s="832"/>
      <c r="D288" s="388">
        <f t="shared" si="102"/>
        <v>36.409182932503541</v>
      </c>
      <c r="E288" s="380">
        <f t="shared" si="100"/>
        <v>36.811547824532525</v>
      </c>
      <c r="F288" s="380">
        <f t="shared" si="103"/>
        <v>36.815413354630067</v>
      </c>
      <c r="G288" s="110">
        <f t="shared" si="101"/>
        <v>0.8944724665160142</v>
      </c>
      <c r="H288" s="409" t="b">
        <f>Wh_hp&gt;='2030'!Maxi_hp</f>
        <v>0</v>
      </c>
      <c r="I288" s="385">
        <f>IF(H288,Wh_hp,'2030'!Maxi_hp)</f>
        <v>36.815898632606007</v>
      </c>
      <c r="J288" s="85">
        <f>IF(H288,An,'2030'!An_max)</f>
        <v>2029</v>
      </c>
      <c r="K288" s="193">
        <f t="shared" si="104"/>
        <v>48122</v>
      </c>
      <c r="L288" s="143">
        <f>IF(t&lt;Tvie,1-EXP((T0-t)*PertePVj)+'2030'!Pspv,1-EXP((T0-t)*PertePVj)+Pspv)</f>
        <v>4.8086694670980146E-2</v>
      </c>
      <c r="M288" s="836"/>
      <c r="N288" s="836"/>
      <c r="O288" s="48">
        <f>IF(t&lt;Tnet,'2030'!Resal+('2030'!Salim-'2030'!Resal)*(1-EXP(('2030'!Tnet-t)/('2030'!Tau_j))),Resal+(Salim-Resal)*(1-EXP((Tnet-t)/(Tau_j))))*Salcycl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1.2363274010528477E-4</v>
      </c>
      <c r="Q288" s="301">
        <f t="shared" si="105"/>
        <v>0.5</v>
      </c>
      <c r="R288" s="173">
        <f t="shared" si="106"/>
        <v>0.46422142732900662</v>
      </c>
      <c r="S288" s="802">
        <f t="shared" si="107"/>
        <v>1</v>
      </c>
      <c r="T288" s="172">
        <f t="shared" si="108"/>
        <v>7</v>
      </c>
      <c r="U288" s="247">
        <f t="shared" si="109"/>
        <v>1.4642214273290066</v>
      </c>
      <c r="V288" s="378">
        <f t="shared" si="110"/>
        <v>38.746569665756248</v>
      </c>
      <c r="W288" s="397">
        <f t="shared" si="111"/>
        <v>34.658385669608379</v>
      </c>
      <c r="X288" s="153">
        <f t="shared" si="112"/>
        <v>48122</v>
      </c>
      <c r="Y288" s="380">
        <f t="shared" si="113"/>
        <v>33.411875973405095</v>
      </c>
      <c r="Z288" s="380">
        <f t="shared" si="114"/>
        <v>35.09970475920241</v>
      </c>
      <c r="AA288" s="381">
        <f t="shared" si="115"/>
        <v>36.797943264067179</v>
      </c>
      <c r="AB288" s="193">
        <f t="shared" si="116"/>
        <v>48122</v>
      </c>
      <c r="AC288" s="119">
        <f>IF(OR(t&lt;Tnet,NoTnet),'2030'!Resal_s+('2030'!Salim-'2030'!Resal_s)*(1-EXP(('2030'!Tnet_s-t)/'2030'!Tau_j)),Resal_s+(Salim-Resal_s)*(1-EXP((Tnet_s-t)/Tau_j)))*Salcycl</f>
        <v>4.6150364782019865E-2</v>
      </c>
      <c r="AD288" s="227">
        <f>(INDEX(Models!$BJ288:$BT288,,AH288)*(1-AF288)+INDEX(Models!$BJ288:$BT288,,AH288+1)*AF288-ERP_i)*AE288*Ramure*Pc/MaxiM</f>
        <v>5.5875264496150167E-4</v>
      </c>
      <c r="AE288" s="301">
        <f t="shared" si="117"/>
        <v>0.5</v>
      </c>
      <c r="AF288" s="173">
        <f t="shared" si="118"/>
        <v>0.98920899370298354</v>
      </c>
      <c r="AG288" s="802">
        <f t="shared" si="124"/>
        <v>4</v>
      </c>
      <c r="AH288" s="172">
        <f t="shared" si="119"/>
        <v>10</v>
      </c>
      <c r="AI288" s="221">
        <f t="shared" si="120"/>
        <v>4.9892089937029835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48123</v>
      </c>
      <c r="B289" s="406">
        <f>'2030'!Wh/'2030'!Env_an*'2031'!Env_an</f>
        <v>36.04302047177179</v>
      </c>
      <c r="C289" s="832"/>
      <c r="D289" s="388">
        <f t="shared" si="102"/>
        <v>37.864282046935678</v>
      </c>
      <c r="E289" s="380">
        <f t="shared" si="100"/>
        <v>38.285123599951795</v>
      </c>
      <c r="F289" s="380">
        <f t="shared" si="103"/>
        <v>38.28996091312569</v>
      </c>
      <c r="G289" s="110">
        <f t="shared" si="101"/>
        <v>0.93945241829978055</v>
      </c>
      <c r="H289" s="409" t="b">
        <f>Wh_hp&gt;='2030'!Maxi_hp</f>
        <v>0</v>
      </c>
      <c r="I289" s="385">
        <f>IF(H289,Wh_hp,'2030'!Maxi_hp)</f>
        <v>38.290285207747907</v>
      </c>
      <c r="J289" s="85">
        <f>IF(H289,An,'2030'!An_max)</f>
        <v>2029</v>
      </c>
      <c r="K289" s="193">
        <f t="shared" si="104"/>
        <v>48123</v>
      </c>
      <c r="L289" s="143">
        <f>IF(t&lt;Tvie,1-EXP((T0-t)*PertePVj)+'2030'!Pspv,1-EXP((T0-t)*PertePVj)+Pspv)</f>
        <v>4.8099725564749729E-2</v>
      </c>
      <c r="M289" s="836"/>
      <c r="N289" s="836"/>
      <c r="O289" s="48">
        <f>IF(t&lt;Tnet,'2030'!Resal+('2030'!Salim-'2030'!Resal)*(1-EXP(('2030'!Tnet-t)/('2030'!Tau_j))),Resal+(Salim-Resal)*(1-EXP((Tnet-t)/(Tau_j))))*Salcycl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1.3829340066535658E-4</v>
      </c>
      <c r="Q289" s="301">
        <f t="shared" si="105"/>
        <v>0.5</v>
      </c>
      <c r="R289" s="173">
        <f t="shared" si="106"/>
        <v>0.46441183347616311</v>
      </c>
      <c r="S289" s="802">
        <f t="shared" si="107"/>
        <v>1</v>
      </c>
      <c r="T289" s="172">
        <f t="shared" si="108"/>
        <v>7</v>
      </c>
      <c r="U289" s="247">
        <f t="shared" si="109"/>
        <v>1.4644118334761631</v>
      </c>
      <c r="V289" s="378">
        <f t="shared" si="110"/>
        <v>38.365529378801902</v>
      </c>
      <c r="W289" s="397">
        <f t="shared" si="111"/>
        <v>36.04302047177179</v>
      </c>
      <c r="X289" s="153">
        <f t="shared" si="112"/>
        <v>48123</v>
      </c>
      <c r="Y289" s="380">
        <f t="shared" si="113"/>
        <v>34.745585689119203</v>
      </c>
      <c r="Z289" s="380">
        <f t="shared" si="114"/>
        <v>36.501287605714047</v>
      </c>
      <c r="AA289" s="381">
        <f t="shared" si="115"/>
        <v>38.267997380858738</v>
      </c>
      <c r="AB289" s="193">
        <f t="shared" si="116"/>
        <v>48123</v>
      </c>
      <c r="AC289" s="119">
        <f>IF(OR(t&lt;Tnet,NoTnet),'2030'!Resal_s+('2030'!Salim-'2030'!Resal_s)*(1-EXP(('2030'!Tnet_s-t)/'2030'!Tau_j)),Resal_s+(Salim-Resal_s)*(1-EXP((Tnet_s-t)/Tau_j)))*Salcycl</f>
        <v>4.616676847658565E-2</v>
      </c>
      <c r="AD289" s="227">
        <f>(INDEX(Models!$BJ289:$BT289,,AH289)*(1-AF289)+INDEX(Models!$BJ289:$BT289,,AH289+1)*AF289-ERP_i)*AE289*Ramure*Pc/MaxiM</f>
        <v>6.2791294642919381E-4</v>
      </c>
      <c r="AE289" s="301">
        <f t="shared" si="117"/>
        <v>0.5</v>
      </c>
      <c r="AF289" s="173">
        <f t="shared" si="118"/>
        <v>0.98939939985014025</v>
      </c>
      <c r="AG289" s="802">
        <f t="shared" si="124"/>
        <v>4</v>
      </c>
      <c r="AH289" s="172">
        <f t="shared" si="119"/>
        <v>10</v>
      </c>
      <c r="AI289" s="221">
        <f t="shared" si="120"/>
        <v>4.9893993998501402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48124</v>
      </c>
      <c r="B290" s="406">
        <f>'2030'!Wh/'2030'!Env_an*'2031'!Env_an</f>
        <v>32.640018027428773</v>
      </c>
      <c r="C290" s="832"/>
      <c r="D290" s="388">
        <f t="shared" si="102"/>
        <v>34.289794555787353</v>
      </c>
      <c r="E290" s="380">
        <f t="shared" si="100"/>
        <v>34.673068608168187</v>
      </c>
      <c r="F290" s="380">
        <f t="shared" si="103"/>
        <v>34.677342746474729</v>
      </c>
      <c r="G290" s="110">
        <f t="shared" si="101"/>
        <v>0.85932710204326124</v>
      </c>
      <c r="H290" s="409" t="b">
        <f>Wh_hp&gt;='2030'!Maxi_hp</f>
        <v>0</v>
      </c>
      <c r="I290" s="385">
        <f>IF(H290,Wh_hp,'2030'!Maxi_hp)</f>
        <v>34.678104414130672</v>
      </c>
      <c r="J290" s="85">
        <f>IF(H290,An,'2030'!An_max)</f>
        <v>2029</v>
      </c>
      <c r="K290" s="193">
        <f t="shared" si="104"/>
        <v>48124</v>
      </c>
      <c r="L290" s="143">
        <f>IF(t&lt;Tvie,1-EXP((T0-t)*PertePVj)+'2030'!Pspv,1-EXP((T0-t)*PertePVj)+Pspv)</f>
        <v>4.8112756280137337E-2</v>
      </c>
      <c r="M290" s="836"/>
      <c r="N290" s="836"/>
      <c r="O290" s="48">
        <f>IF(t&lt;Tnet,'2030'!Resal+('2030'!Salim-'2030'!Resal)*(1-EXP(('2030'!Tnet-t)/('2030'!Tau_j))),Resal+(Salim-Resal)*(1-EXP((Tnet-t)/(Tau_j))))*Salcycl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1.5424612258682884E-4</v>
      </c>
      <c r="Q290" s="301">
        <f t="shared" si="105"/>
        <v>0.5</v>
      </c>
      <c r="R290" s="173">
        <f t="shared" si="106"/>
        <v>0.46459471082195125</v>
      </c>
      <c r="S290" s="802">
        <f t="shared" si="107"/>
        <v>1</v>
      </c>
      <c r="T290" s="172">
        <f t="shared" si="108"/>
        <v>7</v>
      </c>
      <c r="U290" s="247">
        <f t="shared" si="109"/>
        <v>1.4645947108219513</v>
      </c>
      <c r="V290" s="378">
        <f t="shared" si="110"/>
        <v>37.982051605011414</v>
      </c>
      <c r="W290" s="397">
        <f t="shared" si="111"/>
        <v>32.640018027428773</v>
      </c>
      <c r="X290" s="153">
        <f t="shared" si="112"/>
        <v>48124</v>
      </c>
      <c r="Y290" s="380">
        <f t="shared" si="113"/>
        <v>31.46680049418552</v>
      </c>
      <c r="Z290" s="380">
        <f t="shared" si="114"/>
        <v>33.057277216172146</v>
      </c>
      <c r="AA290" s="381">
        <f t="shared" si="115"/>
        <v>34.657863696732775</v>
      </c>
      <c r="AB290" s="193">
        <f t="shared" si="116"/>
        <v>48124</v>
      </c>
      <c r="AC290" s="119">
        <f>IF(OR(t&lt;Tnet,NoTnet),'2030'!Resal_s+('2030'!Salim-'2030'!Resal_s)*(1-EXP(('2030'!Tnet_s-t)/'2030'!Tau_j)),Resal_s+(Salim-Resal_s)*(1-EXP((Tnet_s-t)/Tau_j)))*Salcycl</f>
        <v>4.6182491066566127E-2</v>
      </c>
      <c r="AD290" s="227">
        <f>(INDEX(Models!$BJ290:$BT290,,AH290)*(1-AF290)+INDEX(Models!$BJ290:$BT290,,AH290+1)*AF290-ERP_i)*AE290*Ramure*Pc/MaxiM</f>
        <v>7.0296459283348438E-4</v>
      </c>
      <c r="AE290" s="301">
        <f t="shared" si="117"/>
        <v>0.5</v>
      </c>
      <c r="AF290" s="173">
        <f t="shared" si="118"/>
        <v>0.98958227719592795</v>
      </c>
      <c r="AG290" s="802">
        <f t="shared" si="124"/>
        <v>4</v>
      </c>
      <c r="AH290" s="172">
        <f t="shared" si="119"/>
        <v>10</v>
      </c>
      <c r="AI290" s="221">
        <f t="shared" si="120"/>
        <v>4.989582277195928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48125</v>
      </c>
      <c r="B291" s="406">
        <f>'2030'!Wh/'2030'!Env_an*'2031'!Env_an</f>
        <v>38.016523863835694</v>
      </c>
      <c r="C291" s="832"/>
      <c r="D291" s="388">
        <f t="shared" si="102"/>
        <v>39.938600434102462</v>
      </c>
      <c r="E291" s="380">
        <f t="shared" si="100"/>
        <v>40.387520557572934</v>
      </c>
      <c r="F291" s="380">
        <f t="shared" si="103"/>
        <v>40.394405046621053</v>
      </c>
      <c r="G291" s="110">
        <f t="shared" si="101"/>
        <v>1.0111694837797949</v>
      </c>
      <c r="H291" s="409" t="b">
        <f>Wh_hp&gt;='2030'!Maxi_hp</f>
        <v>1</v>
      </c>
      <c r="I291" s="385">
        <f>IF(H291,Wh_hp,'2030'!Maxi_hp)</f>
        <v>40.394405046621053</v>
      </c>
      <c r="J291" s="85">
        <f>IF(H291,An,'2030'!An_max)</f>
        <v>2031</v>
      </c>
      <c r="K291" s="193">
        <f t="shared" si="104"/>
        <v>48125</v>
      </c>
      <c r="L291" s="143">
        <f>IF(t&lt;Tvie,1-EXP((T0-t)*PertePVj)+'2030'!Pspv,1-EXP((T0-t)*PertePVj)+Pspv)</f>
        <v>4.8125786817145411E-2</v>
      </c>
      <c r="M291" s="836"/>
      <c r="N291" s="836"/>
      <c r="O291" s="48">
        <f>IF(t&lt;Tnet,'2030'!Resal+('2030'!Salim-'2030'!Resal)*(1-EXP(('2030'!Tnet-t)/('2030'!Tau_j))),Resal+(Salim-Resal)*(1-EXP((Tnet-t)/(Tau_j))))*Salcycl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1.7043174766823868E-4</v>
      </c>
      <c r="Q291" s="301">
        <f t="shared" si="105"/>
        <v>0.5</v>
      </c>
      <c r="R291" s="173">
        <f t="shared" si="106"/>
        <v>0.46477035178828174</v>
      </c>
      <c r="S291" s="802">
        <f t="shared" si="107"/>
        <v>1</v>
      </c>
      <c r="T291" s="172">
        <f t="shared" si="108"/>
        <v>7</v>
      </c>
      <c r="U291" s="247">
        <f t="shared" si="109"/>
        <v>1.4647703517882817</v>
      </c>
      <c r="V291" s="378">
        <f t="shared" si="110"/>
        <v>37.596589368706326</v>
      </c>
      <c r="W291" s="397">
        <f t="shared" si="111"/>
        <v>38.016523863835694</v>
      </c>
      <c r="X291" s="153">
        <f t="shared" si="112"/>
        <v>48125</v>
      </c>
      <c r="Y291" s="380">
        <f t="shared" si="113"/>
        <v>36.645471464940073</v>
      </c>
      <c r="Z291" s="380">
        <f t="shared" si="114"/>
        <v>38.498229027978191</v>
      </c>
      <c r="AA291" s="381">
        <f t="shared" si="115"/>
        <v>40.362894781295729</v>
      </c>
      <c r="AB291" s="193">
        <f t="shared" si="116"/>
        <v>48125</v>
      </c>
      <c r="AC291" s="119">
        <f>IF(OR(t&lt;Tnet,NoTnet),'2030'!Resal_s+('2030'!Salim-'2030'!Resal_s)*(1-EXP(('2030'!Tnet_s-t)/'2030'!Tau_j)),Resal_s+(Salim-Resal_s)*(1-EXP((Tnet_s-t)/Tau_j)))*Salcycl</f>
        <v>4.6197522834304519E-2</v>
      </c>
      <c r="AD291" s="227">
        <f>(INDEX(Models!$BJ291:$BT291,,AH291)*(1-AF291)+INDEX(Models!$BJ291:$BT291,,AH291+1)*AF291-ERP_i)*AE291*Ramure*Pc/MaxiM</f>
        <v>7.8006509289987381E-4</v>
      </c>
      <c r="AE291" s="301">
        <f t="shared" si="117"/>
        <v>0.5</v>
      </c>
      <c r="AF291" s="173">
        <f t="shared" si="118"/>
        <v>0.98975791816225822</v>
      </c>
      <c r="AG291" s="802">
        <f t="shared" si="124"/>
        <v>4</v>
      </c>
      <c r="AH291" s="172">
        <f t="shared" si="119"/>
        <v>10</v>
      </c>
      <c r="AI291" s="221">
        <f t="shared" si="120"/>
        <v>4.9897579181622582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48126</v>
      </c>
      <c r="B292" s="406">
        <f>'2030'!Wh/'2030'!Env_an*'2031'!Env_an</f>
        <v>38.264675169433069</v>
      </c>
      <c r="C292" s="832"/>
      <c r="D292" s="388">
        <f t="shared" si="102"/>
        <v>40.199848318112629</v>
      </c>
      <c r="E292" s="380">
        <f t="shared" si="100"/>
        <v>40.654217160835188</v>
      </c>
      <c r="F292" s="380">
        <f t="shared" si="103"/>
        <v>40.661814891212082</v>
      </c>
      <c r="G292" s="110">
        <f t="shared" si="101"/>
        <v>1.0283561778969419</v>
      </c>
      <c r="H292" s="409" t="b">
        <f>Wh_hp&gt;='2030'!Maxi_hp</f>
        <v>1</v>
      </c>
      <c r="I292" s="385">
        <f>IF(H292,Wh_hp,'2030'!Maxi_hp)</f>
        <v>40.661814891212082</v>
      </c>
      <c r="J292" s="85">
        <f>IF(H292,An,'2030'!An_max)</f>
        <v>2031</v>
      </c>
      <c r="K292" s="193">
        <f t="shared" si="104"/>
        <v>48126</v>
      </c>
      <c r="L292" s="143">
        <f>IF(t&lt;Tvie,1-EXP((T0-t)*PertePVj)+'2030'!Pspv,1-EXP((T0-t)*PertePVj)+Pspv)</f>
        <v>4.8138817175776283E-2</v>
      </c>
      <c r="M292" s="836"/>
      <c r="N292" s="836"/>
      <c r="O292" s="48">
        <f>IF(t&lt;Tnet,'2030'!Resal+('2030'!Salim-'2030'!Resal)*(1-EXP(('2030'!Tnet-t)/('2030'!Tau_j))),Resal+(Salim-Resal)*(1-EXP((Tnet-t)/(Tau_j))))*Salcycl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1.8685172802097446E-4</v>
      </c>
      <c r="Q292" s="301">
        <f t="shared" si="105"/>
        <v>0.5</v>
      </c>
      <c r="R292" s="173">
        <f t="shared" si="106"/>
        <v>0.46493903785226331</v>
      </c>
      <c r="S292" s="802">
        <f t="shared" si="107"/>
        <v>1</v>
      </c>
      <c r="T292" s="172">
        <f t="shared" si="108"/>
        <v>7</v>
      </c>
      <c r="U292" s="247">
        <f t="shared" si="109"/>
        <v>1.4649390378522633</v>
      </c>
      <c r="V292" s="378">
        <f t="shared" si="110"/>
        <v>37.209554424700322</v>
      </c>
      <c r="W292" s="397">
        <f t="shared" si="111"/>
        <v>38.264675169433069</v>
      </c>
      <c r="X292" s="153">
        <f t="shared" si="112"/>
        <v>48126</v>
      </c>
      <c r="Y292" s="380">
        <f t="shared" si="113"/>
        <v>36.884081312994375</v>
      </c>
      <c r="Z292" s="380">
        <f t="shared" si="114"/>
        <v>38.749433193144093</v>
      </c>
      <c r="AA292" s="381">
        <f t="shared" si="115"/>
        <v>40.62687653813115</v>
      </c>
      <c r="AB292" s="193">
        <f t="shared" si="116"/>
        <v>48126</v>
      </c>
      <c r="AC292" s="119">
        <f>IF(OR(t&lt;Tnet,NoTnet),'2030'!Resal_s+('2030'!Salim-'2030'!Resal_s)*(1-EXP(('2030'!Tnet_s-t)/'2030'!Tau_j)),Resal_s+(Salim-Resal_s)*(1-EXP((Tnet_s-t)/Tau_j)))*Salcycl</f>
        <v>4.6211855425925923E-2</v>
      </c>
      <c r="AD292" s="227">
        <f>(INDEX(Models!$BJ292:$BT292,,AH292)*(1-AF292)+INDEX(Models!$BJ292:$BT292,,AH292+1)*AF292-ERP_i)*AE292*Ramure*Pc/MaxiM</f>
        <v>8.5924234258614811E-4</v>
      </c>
      <c r="AE292" s="301">
        <f t="shared" si="117"/>
        <v>0.5</v>
      </c>
      <c r="AF292" s="173">
        <f t="shared" si="118"/>
        <v>0.98992660422624024</v>
      </c>
      <c r="AG292" s="802">
        <f t="shared" si="124"/>
        <v>4</v>
      </c>
      <c r="AH292" s="172">
        <f t="shared" si="119"/>
        <v>10</v>
      </c>
      <c r="AI292" s="221">
        <f t="shared" si="120"/>
        <v>4.9899266042262402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48127</v>
      </c>
      <c r="B293" s="406">
        <f>'2030'!Wh/'2030'!Env_an*'2031'!Env_an</f>
        <v>15.336581320352805</v>
      </c>
      <c r="C293" s="832"/>
      <c r="D293" s="388">
        <f t="shared" si="102"/>
        <v>16.112424316580412</v>
      </c>
      <c r="E293" s="380">
        <f t="shared" si="100"/>
        <v>16.295541574792782</v>
      </c>
      <c r="F293" s="380">
        <f t="shared" si="103"/>
        <v>16.296093575356053</v>
      </c>
      <c r="G293" s="110">
        <f t="shared" si="101"/>
        <v>0.41644252966776513</v>
      </c>
      <c r="H293" s="409" t="b">
        <f>Wh_hp&gt;='2030'!Maxi_hp</f>
        <v>0</v>
      </c>
      <c r="I293" s="385">
        <f>IF(H293,Wh_hp,'2030'!Maxi_hp)</f>
        <v>16.29805513186291</v>
      </c>
      <c r="J293" s="85">
        <f>IF(H293,An,'2030'!An_max)</f>
        <v>2029</v>
      </c>
      <c r="K293" s="193">
        <f t="shared" si="104"/>
        <v>48127</v>
      </c>
      <c r="L293" s="143">
        <f>IF(t&lt;Tvie,1-EXP((T0-t)*PertePVj)+'2030'!Pspv,1-EXP((T0-t)*PertePVj)+Pspv)</f>
        <v>4.8151847356032507E-2</v>
      </c>
      <c r="M293" s="836"/>
      <c r="N293" s="836"/>
      <c r="O293" s="48">
        <f>IF(t&lt;Tnet,'2030'!Resal+('2030'!Salim-'2030'!Resal)*(1-EXP(('2030'!Tnet-t)/('2030'!Tau_j))),Resal+(Salim-Resal)*(1-EXP((Tnet-t)/(Tau_j))))*Salcycl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2.0350682112732775E-4</v>
      </c>
      <c r="Q293" s="301">
        <f t="shared" si="105"/>
        <v>0.5</v>
      </c>
      <c r="R293" s="173">
        <f t="shared" si="106"/>
        <v>0.46510103992330243</v>
      </c>
      <c r="S293" s="802">
        <f t="shared" si="107"/>
        <v>1</v>
      </c>
      <c r="T293" s="172">
        <f t="shared" si="108"/>
        <v>7</v>
      </c>
      <c r="U293" s="247">
        <f t="shared" si="109"/>
        <v>1.4651010399233024</v>
      </c>
      <c r="V293" s="378">
        <f t="shared" si="110"/>
        <v>36.82135838617657</v>
      </c>
      <c r="W293" s="397">
        <f t="shared" si="111"/>
        <v>15.336581320352805</v>
      </c>
      <c r="X293" s="153">
        <f t="shared" si="112"/>
        <v>48127</v>
      </c>
      <c r="Y293" s="380">
        <f t="shared" si="113"/>
        <v>14.792068299134396</v>
      </c>
      <c r="Z293" s="380">
        <f t="shared" si="114"/>
        <v>15.540365611937339</v>
      </c>
      <c r="AA293" s="381">
        <f t="shared" si="115"/>
        <v>16.293542465552658</v>
      </c>
      <c r="AB293" s="193">
        <f t="shared" si="116"/>
        <v>48127</v>
      </c>
      <c r="AC293" s="119">
        <f>IF(OR(t&lt;Tnet,NoTnet),'2030'!Resal_s+('2030'!Salim-'2030'!Resal_s)*(1-EXP(('2030'!Tnet_s-t)/'2030'!Tau_j)),Resal_s+(Salim-Resal_s)*(1-EXP((Tnet_s-t)/Tau_j)))*Salcycl</f>
        <v>4.6225481978990304E-2</v>
      </c>
      <c r="AD293" s="227">
        <f>(INDEX(Models!$BJ293:$BT293,,AH293)*(1-AF293)+INDEX(Models!$BJ293:$BT293,,AH293+1)*AF293-ERP_i)*AE293*Ramure*Pc/MaxiM</f>
        <v>9.4052122584612461E-4</v>
      </c>
      <c r="AE293" s="301">
        <f t="shared" si="117"/>
        <v>0.5</v>
      </c>
      <c r="AF293" s="173">
        <f t="shared" si="118"/>
        <v>0.99008860629727913</v>
      </c>
      <c r="AG293" s="802">
        <f t="shared" si="124"/>
        <v>4</v>
      </c>
      <c r="AH293" s="172">
        <f t="shared" si="119"/>
        <v>10</v>
      </c>
      <c r="AI293" s="221">
        <f t="shared" si="120"/>
        <v>4.9900886062972791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48128</v>
      </c>
      <c r="B294" s="406">
        <f>'2030'!Wh/'2030'!Env_an*'2031'!Env_an</f>
        <v>29.458020635306305</v>
      </c>
      <c r="C294" s="832"/>
      <c r="D294" s="388">
        <f t="shared" si="102"/>
        <v>30.948659000455212</v>
      </c>
      <c r="E294" s="380">
        <f t="shared" si="100"/>
        <v>31.302306843794842</v>
      </c>
      <c r="F294" s="380">
        <f t="shared" si="103"/>
        <v>31.30731988419322</v>
      </c>
      <c r="G294" s="110">
        <f t="shared" si="101"/>
        <v>0.80851754283066912</v>
      </c>
      <c r="H294" s="409" t="b">
        <f>Wh_hp&gt;='2030'!Maxi_hp</f>
        <v>0</v>
      </c>
      <c r="I294" s="385">
        <f>IF(H294,Wh_hp,'2030'!Maxi_hp)</f>
        <v>31.308659162314775</v>
      </c>
      <c r="J294" s="85">
        <f>IF(H294,An,'2030'!An_max)</f>
        <v>2029</v>
      </c>
      <c r="K294" s="193">
        <f t="shared" si="104"/>
        <v>48128</v>
      </c>
      <c r="L294" s="143">
        <f>IF(t&lt;Tvie,1-EXP((T0-t)*PertePVj)+'2030'!Pspv,1-EXP((T0-t)*PertePVj)+Pspv)</f>
        <v>4.8164877357916636E-2</v>
      </c>
      <c r="M294" s="836"/>
      <c r="N294" s="836"/>
      <c r="O294" s="48">
        <f>IF(t&lt;Tnet,'2030'!Resal+('2030'!Salim-'2030'!Resal)*(1-EXP(('2030'!Tnet-t)/('2030'!Tau_j))),Resal+(Salim-Resal)*(1-EXP((Tnet-t)/(Tau_j))))*Salcycl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2.203970552532504E-4</v>
      </c>
      <c r="Q294" s="301">
        <f t="shared" si="105"/>
        <v>0.5</v>
      </c>
      <c r="R294" s="173">
        <f t="shared" si="106"/>
        <v>0.46525661870982526</v>
      </c>
      <c r="S294" s="802">
        <f t="shared" si="107"/>
        <v>1</v>
      </c>
      <c r="T294" s="172">
        <f t="shared" si="108"/>
        <v>7</v>
      </c>
      <c r="U294" s="247">
        <f t="shared" si="109"/>
        <v>1.4652566187098253</v>
      </c>
      <c r="V294" s="378">
        <f t="shared" si="110"/>
        <v>36.432412722663493</v>
      </c>
      <c r="W294" s="397">
        <f t="shared" si="111"/>
        <v>29.458020635306305</v>
      </c>
      <c r="X294" s="153">
        <f t="shared" si="112"/>
        <v>48128</v>
      </c>
      <c r="Y294" s="380">
        <f t="shared" si="113"/>
        <v>28.400386965077097</v>
      </c>
      <c r="Z294" s="380">
        <f t="shared" si="114"/>
        <v>29.837506821815857</v>
      </c>
      <c r="AA294" s="381">
        <f t="shared" si="115"/>
        <v>31.284030239513804</v>
      </c>
      <c r="AB294" s="193">
        <f t="shared" si="116"/>
        <v>48128</v>
      </c>
      <c r="AC294" s="119">
        <f>IF(OR(t&lt;Tnet,NoTnet),'2030'!Resal_s+('2030'!Salim-'2030'!Resal_s)*(1-EXP(('2030'!Tnet_s-t)/'2030'!Tau_j)),Resal_s+(Salim-Resal_s)*(1-EXP((Tnet_s-t)/Tau_j)))*Salcycl</f>
        <v>4.6238397246876832E-2</v>
      </c>
      <c r="AD294" s="227">
        <f>(INDEX(Models!$BJ294:$BT294,,AH294)*(1-AF294)+INDEX(Models!$BJ294:$BT294,,AH294+1)*AF294-ERP_i)*AE294*Ramure*Pc/MaxiM</f>
        <v>1.0239233473754903E-3</v>
      </c>
      <c r="AE294" s="301">
        <f t="shared" si="117"/>
        <v>0.5</v>
      </c>
      <c r="AF294" s="173">
        <f t="shared" si="118"/>
        <v>0.99024418508380219</v>
      </c>
      <c r="AG294" s="802">
        <f t="shared" si="124"/>
        <v>4</v>
      </c>
      <c r="AH294" s="172">
        <f t="shared" si="119"/>
        <v>10</v>
      </c>
      <c r="AI294" s="221">
        <f t="shared" si="120"/>
        <v>4.9902441850838022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48129</v>
      </c>
      <c r="B295" s="406">
        <f>'2030'!Wh/'2030'!Env_an*'2031'!Env_an</f>
        <v>14.897571536368359</v>
      </c>
      <c r="C295" s="832"/>
      <c r="D295" s="388">
        <f t="shared" si="102"/>
        <v>15.651634532093222</v>
      </c>
      <c r="E295" s="380">
        <f t="shared" si="100"/>
        <v>15.831449725870316</v>
      </c>
      <c r="F295" s="380">
        <f t="shared" si="103"/>
        <v>15.832058523815704</v>
      </c>
      <c r="G295" s="110">
        <f t="shared" si="101"/>
        <v>0.41324397471456537</v>
      </c>
      <c r="H295" s="409" t="b">
        <f>Wh_hp&gt;='2030'!Maxi_hp</f>
        <v>0</v>
      </c>
      <c r="I295" s="385">
        <f>IF(H295,Wh_hp,'2030'!Maxi_hp)</f>
        <v>15.834295523225657</v>
      </c>
      <c r="J295" s="85">
        <f>IF(H295,An,'2030'!An_max)</f>
        <v>2029</v>
      </c>
      <c r="K295" s="193">
        <f t="shared" si="104"/>
        <v>48129</v>
      </c>
      <c r="L295" s="143">
        <f>IF(t&lt;Tvie,1-EXP((T0-t)*PertePVj)+'2030'!Pspv,1-EXP((T0-t)*PertePVj)+Pspv)</f>
        <v>4.8177907181430779E-2</v>
      </c>
      <c r="M295" s="836"/>
      <c r="N295" s="836"/>
      <c r="O295" s="48">
        <f>IF(t&lt;Tnet,'2030'!Resal+('2030'!Salim-'2030'!Resal)*(1-EXP(('2030'!Tnet-t)/('2030'!Tau_j))),Resal+(Salim-Resal)*(1-EXP((Tnet-t)/(Tau_j))))*Salcycl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2.3752169445025016E-4</v>
      </c>
      <c r="Q295" s="301">
        <f t="shared" si="105"/>
        <v>0.5</v>
      </c>
      <c r="R295" s="173">
        <f t="shared" si="106"/>
        <v>0.46540602507568662</v>
      </c>
      <c r="S295" s="802">
        <f t="shared" si="107"/>
        <v>1</v>
      </c>
      <c r="T295" s="172">
        <f t="shared" si="108"/>
        <v>7</v>
      </c>
      <c r="U295" s="247">
        <f t="shared" si="109"/>
        <v>1.4654060250756866</v>
      </c>
      <c r="V295" s="378">
        <f t="shared" si="110"/>
        <v>36.043128759071209</v>
      </c>
      <c r="W295" s="397">
        <f t="shared" si="111"/>
        <v>14.897571536368359</v>
      </c>
      <c r="X295" s="153">
        <f t="shared" si="112"/>
        <v>48129</v>
      </c>
      <c r="Y295" s="380">
        <f t="shared" si="113"/>
        <v>14.3697572906134</v>
      </c>
      <c r="Z295" s="380">
        <f t="shared" si="114"/>
        <v>15.097104174227734</v>
      </c>
      <c r="AA295" s="381">
        <f t="shared" si="115"/>
        <v>15.829214821122687</v>
      </c>
      <c r="AB295" s="193">
        <f t="shared" si="116"/>
        <v>48129</v>
      </c>
      <c r="AC295" s="119">
        <f>IF(OR(t&lt;Tnet,NoTnet),'2030'!Resal_s+('2030'!Salim-'2030'!Resal_s)*(1-EXP(('2030'!Tnet_s-t)/'2030'!Tau_j)),Resal_s+(Salim-Resal_s)*(1-EXP((Tnet_s-t)/Tau_j)))*Salcycl</f>
        <v>4.6250597718720456E-2</v>
      </c>
      <c r="AD295" s="227">
        <f>(INDEX(Models!$BJ295:$BT295,,AH295)*(1-AF295)+INDEX(Models!$BJ295:$BT295,,AH295+1)*AF295-ERP_i)*AE295*Ramure*Pc/MaxiM</f>
        <v>1.1094667570356262E-3</v>
      </c>
      <c r="AE295" s="301">
        <f t="shared" si="117"/>
        <v>0.5</v>
      </c>
      <c r="AF295" s="173">
        <f t="shared" si="118"/>
        <v>0.99039359144966355</v>
      </c>
      <c r="AG295" s="802">
        <f t="shared" si="124"/>
        <v>4</v>
      </c>
      <c r="AH295" s="172">
        <f t="shared" si="119"/>
        <v>10</v>
      </c>
      <c r="AI295" s="221">
        <f t="shared" si="120"/>
        <v>4.9903935914496635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48130</v>
      </c>
      <c r="B296" s="406">
        <f>'2030'!Wh/'2030'!Env_an*'2031'!Env_an</f>
        <v>34.789736383610204</v>
      </c>
      <c r="C296" s="832"/>
      <c r="D296" s="388">
        <f t="shared" si="102"/>
        <v>36.551171584369982</v>
      </c>
      <c r="E296" s="380">
        <f t="shared" si="100"/>
        <v>36.97333676672811</v>
      </c>
      <c r="F296" s="380">
        <f t="shared" si="103"/>
        <v>36.982420552565983</v>
      </c>
      <c r="G296" s="110">
        <f t="shared" si="101"/>
        <v>0.97575292145581471</v>
      </c>
      <c r="H296" s="409" t="b">
        <f>Wh_hp&gt;='2030'!Maxi_hp</f>
        <v>0</v>
      </c>
      <c r="I296" s="385">
        <f>IF(H296,Wh_hp,'2030'!Maxi_hp)</f>
        <v>36.982651831701581</v>
      </c>
      <c r="J296" s="85">
        <f>IF(H296,An,'2030'!An_max)</f>
        <v>2029</v>
      </c>
      <c r="K296" s="193">
        <f t="shared" si="104"/>
        <v>48130</v>
      </c>
      <c r="L296" s="143">
        <f>IF(t&lt;Tvie,1-EXP((T0-t)*PertePVj)+'2030'!Pspv,1-EXP((T0-t)*PertePVj)+Pspv)</f>
        <v>4.8190936826577713E-2</v>
      </c>
      <c r="M296" s="836"/>
      <c r="N296" s="836"/>
      <c r="O296" s="48">
        <f>IF(t&lt;Tnet,'2030'!Resal+('2030'!Salim-'2030'!Resal)*(1-EXP(('2030'!Tnet-t)/('2030'!Tau_j))),Resal+(Salim-Resal)*(1-EXP((Tnet-t)/(Tau_j))))*Salcycl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2.5443457994982384E-4</v>
      </c>
      <c r="Q296" s="301">
        <f t="shared" si="105"/>
        <v>0.5</v>
      </c>
      <c r="R296" s="173">
        <f t="shared" si="106"/>
        <v>0.46554950038634901</v>
      </c>
      <c r="S296" s="802">
        <f t="shared" si="107"/>
        <v>1</v>
      </c>
      <c r="T296" s="172">
        <f t="shared" si="108"/>
        <v>7</v>
      </c>
      <c r="U296" s="247">
        <f t="shared" si="109"/>
        <v>1.465549500386349</v>
      </c>
      <c r="V296" s="378">
        <f t="shared" si="110"/>
        <v>35.653933532153495</v>
      </c>
      <c r="W296" s="397">
        <f t="shared" si="111"/>
        <v>34.789736383610204</v>
      </c>
      <c r="X296" s="153">
        <f t="shared" si="112"/>
        <v>48130</v>
      </c>
      <c r="Y296" s="380">
        <f t="shared" si="113"/>
        <v>33.532148929402254</v>
      </c>
      <c r="Z296" s="380">
        <f t="shared" si="114"/>
        <v>35.229911362267202</v>
      </c>
      <c r="AA296" s="381">
        <f t="shared" si="115"/>
        <v>36.938776038504244</v>
      </c>
      <c r="AB296" s="193">
        <f t="shared" si="116"/>
        <v>48130</v>
      </c>
      <c r="AC296" s="119">
        <f>IF(OR(t&lt;Tnet,NoTnet),'2030'!Resal_s+('2030'!Salim-'2030'!Resal_s)*(1-EXP(('2030'!Tnet_s-t)/'2030'!Tau_j)),Resal_s+(Salim-Resal_s)*(1-EXP((Tnet_s-t)/Tau_j)))*Salcycl</f>
        <v>4.6262081733724904E-2</v>
      </c>
      <c r="AD296" s="227">
        <f>(INDEX(Models!$BJ296:$BT296,,AH296)*(1-AF296)+INDEX(Models!$BJ296:$BT296,,AH296+1)*AF296-ERP_i)*AE296*Ramure*Pc/MaxiM</f>
        <v>1.2224719737568268E-3</v>
      </c>
      <c r="AE296" s="301">
        <f t="shared" si="117"/>
        <v>0.5</v>
      </c>
      <c r="AF296" s="173">
        <f t="shared" si="118"/>
        <v>0.99053706676032593</v>
      </c>
      <c r="AG296" s="802">
        <f t="shared" si="124"/>
        <v>4</v>
      </c>
      <c r="AH296" s="172">
        <f t="shared" si="119"/>
        <v>10</v>
      </c>
      <c r="AI296" s="221">
        <f t="shared" si="120"/>
        <v>4.9905370667603259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48131</v>
      </c>
      <c r="B297" s="406">
        <f>'2030'!Wh/'2030'!Env_an*'2031'!Env_an</f>
        <v>30.459703537918504</v>
      </c>
      <c r="C297" s="832"/>
      <c r="D297" s="388">
        <f t="shared" si="102"/>
        <v>32.002343421517878</v>
      </c>
      <c r="E297" s="380">
        <f t="shared" ref="E297:E360" si="125">Wh_pvt/(1-Psa)</f>
        <v>32.373925228065318</v>
      </c>
      <c r="F297" s="380">
        <f t="shared" si="103"/>
        <v>32.380976783181382</v>
      </c>
      <c r="G297" s="110">
        <f t="shared" ref="G297:G360" si="126">+Wh_hp/MaxiM</f>
        <v>0.8636855956089855</v>
      </c>
      <c r="H297" s="409" t="b">
        <f>Wh_hp&gt;='2030'!Maxi_hp</f>
        <v>0</v>
      </c>
      <c r="I297" s="385">
        <f>IF(H297,Wh_hp,'2030'!Maxi_hp)</f>
        <v>32.382186606939499</v>
      </c>
      <c r="J297" s="85">
        <f>IF(H297,An,'2030'!An_max)</f>
        <v>2029</v>
      </c>
      <c r="K297" s="193">
        <f t="shared" si="104"/>
        <v>48131</v>
      </c>
      <c r="L297" s="143">
        <f>IF(t&lt;Tvie,1-EXP((T0-t)*PertePVj)+'2030'!Pspv,1-EXP((T0-t)*PertePVj)+Pspv)</f>
        <v>4.8203966293359768E-2</v>
      </c>
      <c r="M297" s="836"/>
      <c r="N297" s="836"/>
      <c r="O297" s="48">
        <f>IF(t&lt;Tnet,'2030'!Resal+('2030'!Salim-'2030'!Resal)*(1-EXP(('2030'!Tnet-t)/('2030'!Tau_j))),Resal+(Salim-Resal)*(1-EXP((Tnet-t)/(Tau_j))))*Salcycl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2.7040892761176391E-4</v>
      </c>
      <c r="Q297" s="301">
        <f t="shared" si="105"/>
        <v>0.5</v>
      </c>
      <c r="R297" s="173">
        <f t="shared" si="106"/>
        <v>0.46568727684494027</v>
      </c>
      <c r="S297" s="802">
        <f t="shared" si="107"/>
        <v>1</v>
      </c>
      <c r="T297" s="172">
        <f t="shared" si="108"/>
        <v>7</v>
      </c>
      <c r="U297" s="247">
        <f t="shared" si="109"/>
        <v>1.4656872768449403</v>
      </c>
      <c r="V297" s="378">
        <f t="shared" si="110"/>
        <v>35.265263112144851</v>
      </c>
      <c r="W297" s="397">
        <f t="shared" si="111"/>
        <v>30.459703537918504</v>
      </c>
      <c r="X297" s="153">
        <f t="shared" si="112"/>
        <v>48131</v>
      </c>
      <c r="Y297" s="380">
        <f t="shared" si="113"/>
        <v>29.361767341040157</v>
      </c>
      <c r="Z297" s="380">
        <f t="shared" si="114"/>
        <v>30.848801950450188</v>
      </c>
      <c r="AA297" s="381">
        <f t="shared" si="115"/>
        <v>32.345521396917491</v>
      </c>
      <c r="AB297" s="193">
        <f t="shared" si="116"/>
        <v>48131</v>
      </c>
      <c r="AC297" s="119">
        <f>IF(OR(t&lt;Tnet,NoTnet),'2030'!Resal_s+('2030'!Salim-'2030'!Resal_s)*(1-EXP(('2030'!Tnet_s-t)/'2030'!Tau_j)),Resal_s+(Salim-Resal_s)*(1-EXP((Tnet_s-t)/Tau_j)))*Salcycl</f>
        <v>4.627284958868956E-2</v>
      </c>
      <c r="AD297" s="227">
        <f>(INDEX(Models!$BJ297:$BT297,,AH297)*(1-AF297)+INDEX(Models!$BJ297:$BT297,,AH297+1)*AF297-ERP_i)*AE297*Ramure*Pc/MaxiM</f>
        <v>1.3596224974309994E-3</v>
      </c>
      <c r="AE297" s="301">
        <f t="shared" si="117"/>
        <v>0.5</v>
      </c>
      <c r="AF297" s="173">
        <f t="shared" si="118"/>
        <v>0.99067484321891719</v>
      </c>
      <c r="AG297" s="802">
        <f t="shared" si="124"/>
        <v>4</v>
      </c>
      <c r="AH297" s="172">
        <f t="shared" si="119"/>
        <v>10</v>
      </c>
      <c r="AI297" s="221">
        <f t="shared" si="120"/>
        <v>4.9906748432189172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48132</v>
      </c>
      <c r="B298" s="406">
        <f>'2030'!Wh/'2030'!Env_an*'2031'!Env_an</f>
        <v>24.4967175956604</v>
      </c>
      <c r="C298" s="832"/>
      <c r="D298" s="388">
        <f t="shared" si="102"/>
        <v>25.73771277901108</v>
      </c>
      <c r="E298" s="380">
        <f t="shared" si="125"/>
        <v>26.038120793150998</v>
      </c>
      <c r="F298" s="380">
        <f t="shared" si="103"/>
        <v>26.042393298952032</v>
      </c>
      <c r="G298" s="110">
        <f t="shared" si="126"/>
        <v>0.7022786801811014</v>
      </c>
      <c r="H298" s="409" t="b">
        <f>Wh_hp&gt;='2030'!Maxi_hp</f>
        <v>0</v>
      </c>
      <c r="I298" s="385">
        <f>IF(H298,Wh_hp,'2030'!Maxi_hp)</f>
        <v>26.044636008714082</v>
      </c>
      <c r="J298" s="85">
        <f>IF(H298,An,'2030'!An_max)</f>
        <v>2029</v>
      </c>
      <c r="K298" s="193">
        <f t="shared" si="104"/>
        <v>48132</v>
      </c>
      <c r="L298" s="143">
        <f>IF(t&lt;Tvie,1-EXP((T0-t)*PertePVj)+'2030'!Pspv,1-EXP((T0-t)*PertePVj)+Pspv)</f>
        <v>4.8216995581779276E-2</v>
      </c>
      <c r="M298" s="836"/>
      <c r="N298" s="836"/>
      <c r="O298" s="48">
        <f>IF(t&lt;Tnet,'2030'!Resal+('2030'!Salim-'2030'!Resal)*(1-EXP(('2030'!Tnet-t)/('2030'!Tau_j))),Resal+(Salim-Resal)*(1-EXP((Tnet-t)/(Tau_j))))*Salcycl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2.8541760956423399E-4</v>
      </c>
      <c r="Q298" s="301">
        <f t="shared" si="105"/>
        <v>0.5</v>
      </c>
      <c r="R298" s="173">
        <f t="shared" si="106"/>
        <v>0.46581957781830652</v>
      </c>
      <c r="S298" s="802">
        <f t="shared" si="107"/>
        <v>1</v>
      </c>
      <c r="T298" s="172">
        <f t="shared" si="108"/>
        <v>7</v>
      </c>
      <c r="U298" s="247">
        <f t="shared" si="109"/>
        <v>1.4658195778183065</v>
      </c>
      <c r="V298" s="378">
        <f t="shared" si="110"/>
        <v>34.877527863655445</v>
      </c>
      <c r="W298" s="397">
        <f t="shared" si="111"/>
        <v>24.4967175956604</v>
      </c>
      <c r="X298" s="153">
        <f t="shared" si="112"/>
        <v>48132</v>
      </c>
      <c r="Y298" s="380">
        <f t="shared" si="113"/>
        <v>23.618834053060471</v>
      </c>
      <c r="Z298" s="380">
        <f t="shared" si="114"/>
        <v>24.815355961832424</v>
      </c>
      <c r="AA298" s="381">
        <f t="shared" si="115"/>
        <v>26.019619504024551</v>
      </c>
      <c r="AB298" s="193">
        <f t="shared" si="116"/>
        <v>48132</v>
      </c>
      <c r="AC298" s="119">
        <f>IF(OR(t&lt;Tnet,NoTnet),'2030'!Resal_s+('2030'!Salim-'2030'!Resal_s)*(1-EXP(('2030'!Tnet_s-t)/'2030'!Tau_j)),Resal_s+(Salim-Resal_s)*(1-EXP((Tnet_s-t)/Tau_j)))*Salcycl</f>
        <v>4.6282903637613164E-2</v>
      </c>
      <c r="AD298" s="227">
        <f>(INDEX(Models!$BJ298:$BT298,,AH298)*(1-AF298)+INDEX(Models!$BJ298:$BT298,,AH298+1)*AF298-ERP_i)*AE298*Ramure*Pc/MaxiM</f>
        <v>1.5213653091675097E-3</v>
      </c>
      <c r="AE298" s="301">
        <f t="shared" si="117"/>
        <v>0.5</v>
      </c>
      <c r="AF298" s="173">
        <f t="shared" si="118"/>
        <v>0.99080714419228322</v>
      </c>
      <c r="AG298" s="802">
        <f t="shared" si="124"/>
        <v>4</v>
      </c>
      <c r="AH298" s="172">
        <f t="shared" si="119"/>
        <v>10</v>
      </c>
      <c r="AI298" s="221">
        <f t="shared" si="120"/>
        <v>4.9908071441922832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48133</v>
      </c>
      <c r="B299" s="406">
        <f>'2030'!Wh/'2030'!Env_an*'2031'!Env_an</f>
        <v>24.402523354050693</v>
      </c>
      <c r="C299" s="832"/>
      <c r="D299" s="388">
        <f t="shared" si="102"/>
        <v>25.639097667637309</v>
      </c>
      <c r="E299" s="380">
        <f t="shared" si="125"/>
        <v>25.939906651316335</v>
      </c>
      <c r="F299" s="380">
        <f t="shared" si="103"/>
        <v>25.944429107600133</v>
      </c>
      <c r="G299" s="110">
        <f t="shared" si="126"/>
        <v>0.70741271593543209</v>
      </c>
      <c r="H299" s="409" t="b">
        <f>Wh_hp&gt;='2030'!Maxi_hp</f>
        <v>0</v>
      </c>
      <c r="I299" s="385">
        <f>IF(H299,Wh_hp,'2030'!Maxi_hp)</f>
        <v>25.946732021539848</v>
      </c>
      <c r="J299" s="85">
        <f>IF(H299,An,'2030'!An_max)</f>
        <v>2029</v>
      </c>
      <c r="K299" s="193">
        <f t="shared" si="104"/>
        <v>48133</v>
      </c>
      <c r="L299" s="143">
        <f>IF(t&lt;Tvie,1-EXP((T0-t)*PertePVj)+'2030'!Pspv,1-EXP((T0-t)*PertePVj)+Pspv)</f>
        <v>4.8230024691838791E-2</v>
      </c>
      <c r="M299" s="836"/>
      <c r="N299" s="836"/>
      <c r="O299" s="48">
        <f>IF(t&lt;Tnet,'2030'!Resal+('2030'!Salim-'2030'!Resal)*(1-EXP(('2030'!Tnet-t)/('2030'!Tau_j))),Resal+(Salim-Resal)*(1-EXP((Tnet-t)/(Tau_j))))*Salcycl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2.9943278495257416E-4</v>
      </c>
      <c r="Q299" s="301">
        <f t="shared" si="105"/>
        <v>0.5</v>
      </c>
      <c r="R299" s="173">
        <f t="shared" si="106"/>
        <v>0.46594661815320793</v>
      </c>
      <c r="S299" s="802">
        <f t="shared" si="107"/>
        <v>1</v>
      </c>
      <c r="T299" s="172">
        <f t="shared" si="108"/>
        <v>7</v>
      </c>
      <c r="U299" s="247">
        <f t="shared" si="109"/>
        <v>1.4659466181532079</v>
      </c>
      <c r="V299" s="378">
        <f t="shared" si="110"/>
        <v>34.491137971297775</v>
      </c>
      <c r="W299" s="397">
        <f t="shared" si="111"/>
        <v>24.402523354050693</v>
      </c>
      <c r="X299" s="153">
        <f t="shared" si="112"/>
        <v>48133</v>
      </c>
      <c r="Y299" s="380">
        <f t="shared" si="113"/>
        <v>23.526610444883996</v>
      </c>
      <c r="Z299" s="380">
        <f t="shared" si="114"/>
        <v>24.718798717375616</v>
      </c>
      <c r="AA299" s="381">
        <f t="shared" si="115"/>
        <v>25.918630393269197</v>
      </c>
      <c r="AB299" s="193">
        <f t="shared" si="116"/>
        <v>48133</v>
      </c>
      <c r="AC299" s="119">
        <f>IF(OR(t&lt;Tnet,NoTnet),'2030'!Resal_s+('2030'!Salim-'2030'!Resal_s)*(1-EXP(('2030'!Tnet_s-t)/'2030'!Tau_j)),Resal_s+(Salim-Resal_s)*(1-EXP((Tnet_s-t)/Tau_j)))*Salcycl</f>
        <v>4.6292248382274345E-2</v>
      </c>
      <c r="AD299" s="227">
        <f>(INDEX(Models!$BJ299:$BT299,,AH299)*(1-AF299)+INDEX(Models!$BJ299:$BT299,,AH299+1)*AF299-ERP_i)*AE299*Ramure*Pc/MaxiM</f>
        <v>1.7081383203158464E-3</v>
      </c>
      <c r="AE299" s="301">
        <f t="shared" si="117"/>
        <v>0.5</v>
      </c>
      <c r="AF299" s="173">
        <f t="shared" si="118"/>
        <v>0.99093418452718485</v>
      </c>
      <c r="AG299" s="802">
        <f t="shared" si="124"/>
        <v>4</v>
      </c>
      <c r="AH299" s="172">
        <f t="shared" si="119"/>
        <v>10</v>
      </c>
      <c r="AI299" s="221">
        <f t="shared" si="120"/>
        <v>4.9909341845271848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48134</v>
      </c>
      <c r="B300" s="406">
        <f>'2030'!Wh/'2030'!Env_an*'2031'!Env_an</f>
        <v>22.103850868511024</v>
      </c>
      <c r="C300" s="832"/>
      <c r="D300" s="388">
        <f t="shared" si="102"/>
        <v>23.22426009357229</v>
      </c>
      <c r="E300" s="380">
        <f t="shared" si="125"/>
        <v>23.498136305101912</v>
      </c>
      <c r="F300" s="380">
        <f t="shared" si="103"/>
        <v>23.501787483670505</v>
      </c>
      <c r="G300" s="110">
        <f t="shared" si="126"/>
        <v>0.64798136075489243</v>
      </c>
      <c r="H300" s="409" t="b">
        <f>Wh_hp&gt;='2030'!Maxi_hp</f>
        <v>0</v>
      </c>
      <c r="I300" s="385">
        <f>IF(H300,Wh_hp,'2030'!Maxi_hp)</f>
        <v>23.504405346147131</v>
      </c>
      <c r="J300" s="85">
        <f>IF(H300,An,'2030'!An_max)</f>
        <v>2029</v>
      </c>
      <c r="K300" s="193">
        <f t="shared" si="104"/>
        <v>48134</v>
      </c>
      <c r="L300" s="143">
        <f>IF(t&lt;Tvie,1-EXP((T0-t)*PertePVj)+'2030'!Pspv,1-EXP((T0-t)*PertePVj)+Pspv)</f>
        <v>4.8243053623540755E-2</v>
      </c>
      <c r="M300" s="836"/>
      <c r="N300" s="836"/>
      <c r="O300" s="48">
        <f>IF(t&lt;Tnet,'2030'!Resal+('2030'!Salim-'2030'!Resal)*(1-EXP(('2030'!Tnet-t)/('2030'!Tau_j))),Resal+(Salim-Resal)*(1-EXP((Tnet-t)/(Tau_j))))*Salcycl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3.1242601776941846E-4</v>
      </c>
      <c r="Q300" s="301">
        <f t="shared" si="105"/>
        <v>0.5</v>
      </c>
      <c r="R300" s="173">
        <f t="shared" si="106"/>
        <v>0.46606860448280196</v>
      </c>
      <c r="S300" s="802">
        <f t="shared" si="107"/>
        <v>1</v>
      </c>
      <c r="T300" s="172">
        <f t="shared" si="108"/>
        <v>7</v>
      </c>
      <c r="U300" s="247">
        <f t="shared" si="109"/>
        <v>1.466068604482802</v>
      </c>
      <c r="V300" s="378">
        <f t="shared" si="110"/>
        <v>34.106503439939473</v>
      </c>
      <c r="W300" s="397">
        <f t="shared" si="111"/>
        <v>22.103850868511024</v>
      </c>
      <c r="X300" s="153">
        <f t="shared" si="112"/>
        <v>48134</v>
      </c>
      <c r="Y300" s="380">
        <f t="shared" si="113"/>
        <v>21.311960880065261</v>
      </c>
      <c r="Z300" s="380">
        <f t="shared" si="114"/>
        <v>22.392230454639098</v>
      </c>
      <c r="AA300" s="381">
        <f t="shared" si="115"/>
        <v>23.479345039565985</v>
      </c>
      <c r="AB300" s="193">
        <f t="shared" si="116"/>
        <v>48134</v>
      </c>
      <c r="AC300" s="119">
        <f>IF(OR(t&lt;Tnet,NoTnet),'2030'!Resal_s+('2030'!Salim-'2030'!Resal_s)*(1-EXP(('2030'!Tnet_s-t)/'2030'!Tau_j)),Resal_s+(Salim-Resal_s)*(1-EXP((Tnet_s-t)/Tau_j)))*Salcycl</f>
        <v>4.6300890552736805E-2</v>
      </c>
      <c r="AD300" s="227">
        <f>(INDEX(Models!$BJ300:$BT300,,AH300)*(1-AF300)+INDEX(Models!$BJ300:$BT300,,AH300+1)*AF300-ERP_i)*AE300*Ramure*Pc/MaxiM</f>
        <v>1.9203671660710517E-3</v>
      </c>
      <c r="AE300" s="301">
        <f t="shared" si="117"/>
        <v>0.5</v>
      </c>
      <c r="AF300" s="173">
        <f t="shared" si="118"/>
        <v>0.99105617085677888</v>
      </c>
      <c r="AG300" s="802">
        <f t="shared" si="124"/>
        <v>4</v>
      </c>
      <c r="AH300" s="172">
        <f t="shared" si="119"/>
        <v>10</v>
      </c>
      <c r="AI300" s="221">
        <f t="shared" si="120"/>
        <v>4.9910561708567789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48135</v>
      </c>
      <c r="B301" s="406">
        <f>'2030'!Wh/'2030'!Env_an*'2031'!Env_an</f>
        <v>14.856866605791689</v>
      </c>
      <c r="C301" s="832"/>
      <c r="D301" s="388">
        <f t="shared" si="102"/>
        <v>15.610151355519312</v>
      </c>
      <c r="E301" s="380">
        <f t="shared" si="125"/>
        <v>15.795172786546452</v>
      </c>
      <c r="F301" s="380">
        <f t="shared" si="103"/>
        <v>15.796201514412623</v>
      </c>
      <c r="G301" s="110">
        <f t="shared" si="126"/>
        <v>0.44042817561270475</v>
      </c>
      <c r="H301" s="409" t="b">
        <f>Wh_hp&gt;='2030'!Maxi_hp</f>
        <v>0</v>
      </c>
      <c r="I301" s="385">
        <f>IF(H301,Wh_hp,'2030'!Maxi_hp)</f>
        <v>15.799104375148877</v>
      </c>
      <c r="J301" s="85">
        <f>IF(H301,An,'2030'!An_max)</f>
        <v>2029</v>
      </c>
      <c r="K301" s="193">
        <f t="shared" si="104"/>
        <v>48135</v>
      </c>
      <c r="L301" s="143">
        <f>IF(t&lt;Tvie,1-EXP((T0-t)*PertePVj)+'2030'!Pspv,1-EXP((T0-t)*PertePVj)+Pspv)</f>
        <v>4.825608237688761E-2</v>
      </c>
      <c r="M301" s="836"/>
      <c r="N301" s="836"/>
      <c r="O301" s="48">
        <f>IF(t&lt;Tnet,'2030'!Resal+('2030'!Salim-'2030'!Resal)*(1-EXP(('2030'!Tnet-t)/('2030'!Tau_j))),Resal+(Salim-Resal)*(1-EXP((Tnet-t)/(Tau_j))))*Salcycl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3.2436840233176383E-4</v>
      </c>
      <c r="Q301" s="301">
        <f t="shared" si="105"/>
        <v>0.5</v>
      </c>
      <c r="R301" s="173">
        <f t="shared" si="106"/>
        <v>0.46618573552358278</v>
      </c>
      <c r="S301" s="802">
        <f t="shared" si="107"/>
        <v>1</v>
      </c>
      <c r="T301" s="172">
        <f t="shared" si="108"/>
        <v>7</v>
      </c>
      <c r="U301" s="247">
        <f t="shared" si="109"/>
        <v>1.4661857355235828</v>
      </c>
      <c r="V301" s="378">
        <f t="shared" si="110"/>
        <v>33.724034094462354</v>
      </c>
      <c r="W301" s="397">
        <f t="shared" si="111"/>
        <v>14.856866605791689</v>
      </c>
      <c r="X301" s="153">
        <f t="shared" si="112"/>
        <v>48135</v>
      </c>
      <c r="Y301" s="380">
        <f t="shared" si="113"/>
        <v>14.331520992807206</v>
      </c>
      <c r="Z301" s="380">
        <f t="shared" si="114"/>
        <v>15.05816924850834</v>
      </c>
      <c r="AA301" s="381">
        <f t="shared" si="115"/>
        <v>15.789355996033692</v>
      </c>
      <c r="AB301" s="193">
        <f t="shared" si="116"/>
        <v>48135</v>
      </c>
      <c r="AC301" s="119">
        <f>IF(OR(t&lt;Tnet,NoTnet),'2030'!Resal_s+('2030'!Salim-'2030'!Resal_s)*(1-EXP(('2030'!Tnet_s-t)/'2030'!Tau_j)),Resal_s+(Salim-Resal_s)*(1-EXP((Tnet_s-t)/Tau_j)))*Salcycl</f>
        <v>4.6308839176786326E-2</v>
      </c>
      <c r="AD301" s="227">
        <f>(INDEX(Models!$BJ301:$BT301,,AH301)*(1-AF301)+INDEX(Models!$BJ301:$BT301,,AH301+1)*AF301-ERP_i)*AE301*Ramure*Pc/MaxiM</f>
        <v>2.1584618563610888E-3</v>
      </c>
      <c r="AE301" s="301">
        <f t="shared" si="117"/>
        <v>0.5</v>
      </c>
      <c r="AF301" s="173">
        <f t="shared" si="118"/>
        <v>0.99117330189756014</v>
      </c>
      <c r="AG301" s="802">
        <f t="shared" si="124"/>
        <v>4</v>
      </c>
      <c r="AH301" s="172">
        <f t="shared" si="119"/>
        <v>10</v>
      </c>
      <c r="AI301" s="221">
        <f t="shared" si="120"/>
        <v>4.9911733018975601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48136</v>
      </c>
      <c r="B302" s="406">
        <f>'2030'!Wh/'2030'!Env_an*'2031'!Env_an</f>
        <v>33.113322511449653</v>
      </c>
      <c r="C302" s="832"/>
      <c r="D302" s="388">
        <f t="shared" si="102"/>
        <v>34.792736993719117</v>
      </c>
      <c r="E302" s="380">
        <f t="shared" si="125"/>
        <v>35.207198734466537</v>
      </c>
      <c r="F302" s="380">
        <f t="shared" si="103"/>
        <v>35.218888433495302</v>
      </c>
      <c r="G302" s="110">
        <f t="shared" si="126"/>
        <v>0.99307443876382573</v>
      </c>
      <c r="H302" s="409" t="b">
        <f>Wh_hp&gt;='2030'!Maxi_hp</f>
        <v>0</v>
      </c>
      <c r="I302" s="385">
        <f>IF(H302,Wh_hp,'2030'!Maxi_hp)</f>
        <v>35.218971163029543</v>
      </c>
      <c r="J302" s="85">
        <f>IF(H302,An,'2030'!An_max)</f>
        <v>2029</v>
      </c>
      <c r="K302" s="193">
        <f t="shared" si="104"/>
        <v>48136</v>
      </c>
      <c r="L302" s="143">
        <f>IF(t&lt;Tvie,1-EXP((T0-t)*PertePVj)+'2030'!Pspv,1-EXP((T0-t)*PertePVj)+Pspv)</f>
        <v>4.8269110951881689E-2</v>
      </c>
      <c r="M302" s="836"/>
      <c r="N302" s="836"/>
      <c r="O302" s="48">
        <f>IF(t&lt;Tnet,'2030'!Resal+('2030'!Salim-'2030'!Resal)*(1-EXP(('2030'!Tnet-t)/('2030'!Tau_j))),Resal+(Salim-Resal)*(1-EXP((Tnet-t)/(Tau_j))))*Salcycl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3.3523069645580703E-4</v>
      </c>
      <c r="Q302" s="301">
        <f t="shared" si="105"/>
        <v>0.5</v>
      </c>
      <c r="R302" s="173">
        <f t="shared" si="106"/>
        <v>0.46629820236294894</v>
      </c>
      <c r="S302" s="802">
        <f t="shared" si="107"/>
        <v>1</v>
      </c>
      <c r="T302" s="172">
        <f t="shared" si="108"/>
        <v>7</v>
      </c>
      <c r="U302" s="247">
        <f t="shared" si="109"/>
        <v>1.4662982023629489</v>
      </c>
      <c r="V302" s="378">
        <f t="shared" si="110"/>
        <v>33.344139582198594</v>
      </c>
      <c r="W302" s="397">
        <f t="shared" si="111"/>
        <v>33.113322511449653</v>
      </c>
      <c r="X302" s="153">
        <f t="shared" si="112"/>
        <v>48136</v>
      </c>
      <c r="Y302" s="380">
        <f t="shared" si="113"/>
        <v>31.889756075504181</v>
      </c>
      <c r="Z302" s="380">
        <f t="shared" si="114"/>
        <v>33.507114713276763</v>
      </c>
      <c r="AA302" s="381">
        <f t="shared" si="115"/>
        <v>35.134403455214702</v>
      </c>
      <c r="AB302" s="193">
        <f t="shared" si="116"/>
        <v>48136</v>
      </c>
      <c r="AC302" s="119">
        <f>IF(OR(t&lt;Tnet,NoTnet),'2030'!Resal_s+('2030'!Salim-'2030'!Resal_s)*(1-EXP(('2030'!Tnet_s-t)/'2030'!Tau_j)),Resal_s+(Salim-Resal_s)*(1-EXP((Tnet_s-t)/Tau_j)))*Salcycl</f>
        <v>4.6316105637376703E-2</v>
      </c>
      <c r="AD302" s="227">
        <f>(INDEX(Models!$BJ302:$BT302,,AH302)*(1-AF302)+INDEX(Models!$BJ302:$BT302,,AH302+1)*AF302-ERP_i)*AE302*Ramure*Pc/MaxiM</f>
        <v>2.4228132853865167E-3</v>
      </c>
      <c r="AE302" s="301">
        <f t="shared" si="117"/>
        <v>0.5</v>
      </c>
      <c r="AF302" s="173">
        <f t="shared" si="118"/>
        <v>0.99128576873692609</v>
      </c>
      <c r="AG302" s="802">
        <f t="shared" si="124"/>
        <v>4</v>
      </c>
      <c r="AH302" s="172">
        <f t="shared" si="119"/>
        <v>10</v>
      </c>
      <c r="AI302" s="221">
        <f t="shared" si="120"/>
        <v>4.9912857687369261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48137</v>
      </c>
      <c r="B303" s="406">
        <f>'2030'!Wh/'2030'!Env_an*'2031'!Env_an</f>
        <v>29.028209543122724</v>
      </c>
      <c r="C303" s="832"/>
      <c r="D303" s="388">
        <f t="shared" si="102"/>
        <v>30.500856128992048</v>
      </c>
      <c r="E303" s="380">
        <f t="shared" si="125"/>
        <v>30.866002983681266</v>
      </c>
      <c r="F303" s="380">
        <f t="shared" si="103"/>
        <v>30.874837364684346</v>
      </c>
      <c r="G303" s="110">
        <f t="shared" si="126"/>
        <v>0.88051052977180511</v>
      </c>
      <c r="H303" s="409" t="b">
        <f>Wh_hp&gt;='2030'!Maxi_hp</f>
        <v>0</v>
      </c>
      <c r="I303" s="385">
        <f>IF(H303,Wh_hp,'2030'!Maxi_hp)</f>
        <v>30.876124473865527</v>
      </c>
      <c r="J303" s="85">
        <f>IF(H303,An,'2030'!An_max)</f>
        <v>2029</v>
      </c>
      <c r="K303" s="193">
        <f t="shared" si="104"/>
        <v>48137</v>
      </c>
      <c r="L303" s="143">
        <f>IF(t&lt;Tvie,1-EXP((T0-t)*PertePVj)+'2030'!Pspv,1-EXP((T0-t)*PertePVj)+Pspv)</f>
        <v>4.8282139348525543E-2</v>
      </c>
      <c r="M303" s="836"/>
      <c r="N303" s="836"/>
      <c r="O303" s="48">
        <f>IF(t&lt;Tnet,'2030'!Resal+('2030'!Salim-'2030'!Resal)*(1-EXP(('2030'!Tnet-t)/('2030'!Tau_j))),Resal+(Salim-Resal)*(1-EXP((Tnet-t)/(Tau_j))))*Salcycl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3.4500119269780107E-4</v>
      </c>
      <c r="Q303" s="301">
        <f t="shared" si="105"/>
        <v>0.5</v>
      </c>
      <c r="R303" s="173">
        <f t="shared" si="106"/>
        <v>0.46640618873758188</v>
      </c>
      <c r="S303" s="802">
        <f t="shared" si="107"/>
        <v>1</v>
      </c>
      <c r="T303" s="172">
        <f t="shared" si="108"/>
        <v>7</v>
      </c>
      <c r="U303" s="247">
        <f t="shared" si="109"/>
        <v>1.4664061887375819</v>
      </c>
      <c r="V303" s="378">
        <f t="shared" si="110"/>
        <v>32.96553454078466</v>
      </c>
      <c r="W303" s="397">
        <f t="shared" si="111"/>
        <v>29.028209543122724</v>
      </c>
      <c r="X303" s="153">
        <f t="shared" si="112"/>
        <v>48137</v>
      </c>
      <c r="Y303" s="380">
        <f t="shared" si="113"/>
        <v>27.959905690345455</v>
      </c>
      <c r="Z303" s="380">
        <f t="shared" si="114"/>
        <v>29.378355546680826</v>
      </c>
      <c r="AA303" s="381">
        <f t="shared" si="115"/>
        <v>30.805342290512424</v>
      </c>
      <c r="AB303" s="193">
        <f t="shared" si="116"/>
        <v>48137</v>
      </c>
      <c r="AC303" s="119">
        <f>IF(OR(t&lt;Tnet,NoTnet),'2030'!Resal_s+('2030'!Salim-'2030'!Resal_s)*(1-EXP(('2030'!Tnet_s-t)/'2030'!Tau_j)),Resal_s+(Salim-Resal_s)*(1-EXP((Tnet_s-t)/Tau_j)))*Salcycl</f>
        <v>4.632270371724094E-2</v>
      </c>
      <c r="AD303" s="227">
        <f>(INDEX(Models!$BJ303:$BT303,,AH303)*(1-AF303)+INDEX(Models!$BJ303:$BT303,,AH303+1)*AF303-ERP_i)*AE303*Ramure*Pc/MaxiM</f>
        <v>2.7139290763639043E-3</v>
      </c>
      <c r="AE303" s="301">
        <f t="shared" si="117"/>
        <v>0.5</v>
      </c>
      <c r="AF303" s="173">
        <f t="shared" si="118"/>
        <v>0.99139375511155858</v>
      </c>
      <c r="AG303" s="802">
        <f t="shared" si="124"/>
        <v>4</v>
      </c>
      <c r="AH303" s="172">
        <f t="shared" si="119"/>
        <v>10</v>
      </c>
      <c r="AI303" s="221">
        <f t="shared" si="120"/>
        <v>4.9913937551115586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48138</v>
      </c>
      <c r="B304" s="406">
        <f>'2030'!Wh/'2030'!Env_an*'2031'!Env_an</f>
        <v>16.359445902686751</v>
      </c>
      <c r="C304" s="832"/>
      <c r="D304" s="388">
        <f t="shared" si="102"/>
        <v>17.18962155615133</v>
      </c>
      <c r="E304" s="380">
        <f t="shared" si="125"/>
        <v>17.396426357906833</v>
      </c>
      <c r="F304" s="380">
        <f t="shared" si="103"/>
        <v>17.398262883892578</v>
      </c>
      <c r="G304" s="110">
        <f t="shared" si="126"/>
        <v>0.50190118778984993</v>
      </c>
      <c r="H304" s="409" t="b">
        <f>Wh_hp&gt;='2030'!Maxi_hp</f>
        <v>0</v>
      </c>
      <c r="I304" s="385">
        <f>IF(H304,Wh_hp,'2030'!Maxi_hp)</f>
        <v>17.401471097209534</v>
      </c>
      <c r="J304" s="85">
        <f>IF(H304,An,'2030'!An_max)</f>
        <v>2029</v>
      </c>
      <c r="K304" s="193">
        <f t="shared" si="104"/>
        <v>48138</v>
      </c>
      <c r="L304" s="143">
        <f>IF(t&lt;Tvie,1-EXP((T0-t)*PertePVj)+'2030'!Pspv,1-EXP((T0-t)*PertePVj)+Pspv)</f>
        <v>4.8295167566821617E-2</v>
      </c>
      <c r="M304" s="836"/>
      <c r="N304" s="836"/>
      <c r="O304" s="48">
        <f>IF(t&lt;Tnet,'2030'!Resal+('2030'!Salim-'2030'!Resal)*(1-EXP(('2030'!Tnet-t)/('2030'!Tau_j))),Resal+(Salim-Resal)*(1-EXP((Tnet-t)/(Tau_j))))*Salcycl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3.6573746722279467E-4</v>
      </c>
      <c r="Q304" s="301">
        <f t="shared" si="105"/>
        <v>0.5</v>
      </c>
      <c r="R304" s="173">
        <f t="shared" si="106"/>
        <v>0.46650987130282662</v>
      </c>
      <c r="S304" s="802">
        <f t="shared" si="107"/>
        <v>1</v>
      </c>
      <c r="T304" s="172">
        <f t="shared" si="108"/>
        <v>7</v>
      </c>
      <c r="U304" s="247">
        <f t="shared" si="109"/>
        <v>1.4665098713028266</v>
      </c>
      <c r="V304" s="378">
        <f t="shared" si="110"/>
        <v>32.586472117326942</v>
      </c>
      <c r="W304" s="397">
        <f t="shared" si="111"/>
        <v>16.359445902686751</v>
      </c>
      <c r="X304" s="153">
        <f t="shared" si="112"/>
        <v>48138</v>
      </c>
      <c r="Y304" s="380">
        <f t="shared" si="113"/>
        <v>15.776804742453828</v>
      </c>
      <c r="Z304" s="380">
        <f t="shared" si="114"/>
        <v>16.577413715676975</v>
      </c>
      <c r="AA304" s="381">
        <f t="shared" si="115"/>
        <v>17.382732226614404</v>
      </c>
      <c r="AB304" s="193">
        <f t="shared" si="116"/>
        <v>48138</v>
      </c>
      <c r="AC304" s="119">
        <f>IF(OR(t&lt;Tnet,NoTnet),'2030'!Resal_s+('2030'!Salim-'2030'!Resal_s)*(1-EXP(('2030'!Tnet_s-t)/'2030'!Tau_j)),Resal_s+(Salim-Resal_s)*(1-EXP((Tnet_s-t)/Tau_j)))*Salcycl</f>
        <v>4.6328649629913801E-2</v>
      </c>
      <c r="AD304" s="227">
        <f>(INDEX(Models!$BJ304:$BT304,,AH304)*(1-AF304)+INDEX(Models!$BJ304:$BT304,,AH304+1)*AF304-ERP_i)*AE304*Ramure*Pc/MaxiM</f>
        <v>3.0928738832512004E-3</v>
      </c>
      <c r="AE304" s="301">
        <f t="shared" si="117"/>
        <v>0.5</v>
      </c>
      <c r="AF304" s="173">
        <f t="shared" si="118"/>
        <v>0.99149743767680398</v>
      </c>
      <c r="AG304" s="802">
        <f t="shared" si="124"/>
        <v>4</v>
      </c>
      <c r="AH304" s="172">
        <f t="shared" si="119"/>
        <v>10</v>
      </c>
      <c r="AI304" s="221">
        <f t="shared" si="120"/>
        <v>4.991497437676804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48139</v>
      </c>
      <c r="B305" s="406">
        <f>'2030'!Wh/'2030'!Env_an*'2031'!Env_an</f>
        <v>29.183595028329336</v>
      </c>
      <c r="C305" s="832"/>
      <c r="D305" s="388">
        <f t="shared" si="102"/>
        <v>30.664964112973514</v>
      </c>
      <c r="E305" s="380">
        <f t="shared" si="125"/>
        <v>31.035691759951785</v>
      </c>
      <c r="F305" s="380">
        <f t="shared" si="103"/>
        <v>31.046401398867854</v>
      </c>
      <c r="G305" s="110">
        <f t="shared" si="126"/>
        <v>0.90607060726602973</v>
      </c>
      <c r="H305" s="409" t="b">
        <f>Wh_hp&gt;='2030'!Maxi_hp</f>
        <v>0</v>
      </c>
      <c r="I305" s="385">
        <f>IF(H305,Wh_hp,'2030'!Maxi_hp)</f>
        <v>31.047579483972747</v>
      </c>
      <c r="J305" s="85">
        <f>IF(H305,An,'2030'!An_max)</f>
        <v>2029</v>
      </c>
      <c r="K305" s="193">
        <f t="shared" si="104"/>
        <v>48139</v>
      </c>
      <c r="L305" s="143">
        <f>IF(t&lt;Tvie,1-EXP((T0-t)*PertePVj)+'2030'!Pspv,1-EXP((T0-t)*PertePVj)+Pspv)</f>
        <v>4.8308195606772353E-2</v>
      </c>
      <c r="M305" s="836"/>
      <c r="N305" s="836"/>
      <c r="O305" s="48">
        <f>IF(t&lt;Tnet,'2030'!Resal+('2030'!Salim-'2030'!Resal)*(1-EXP(('2030'!Tnet-t)/('2030'!Tau_j))),Resal+(Salim-Resal)*(1-EXP((Tnet-t)/(Tau_j))))*Salcycl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3.9838563963545638E-4</v>
      </c>
      <c r="Q305" s="301">
        <f t="shared" si="105"/>
        <v>0.5</v>
      </c>
      <c r="R305" s="173">
        <f t="shared" si="106"/>
        <v>0.46660941989326732</v>
      </c>
      <c r="S305" s="802">
        <f t="shared" si="107"/>
        <v>1</v>
      </c>
      <c r="T305" s="172">
        <f t="shared" si="108"/>
        <v>7</v>
      </c>
      <c r="U305" s="247">
        <f t="shared" si="109"/>
        <v>1.4666094198932673</v>
      </c>
      <c r="V305" s="378">
        <f t="shared" si="110"/>
        <v>32.207241890384459</v>
      </c>
      <c r="W305" s="397">
        <f t="shared" si="111"/>
        <v>29.183595028329336</v>
      </c>
      <c r="X305" s="153">
        <f t="shared" si="112"/>
        <v>48139</v>
      </c>
      <c r="Y305" s="380">
        <f t="shared" si="113"/>
        <v>28.090633906564591</v>
      </c>
      <c r="Z305" s="380">
        <f t="shared" si="114"/>
        <v>29.516523917608392</v>
      </c>
      <c r="AA305" s="381">
        <f t="shared" si="115"/>
        <v>30.950587252367246</v>
      </c>
      <c r="AB305" s="193">
        <f t="shared" si="116"/>
        <v>48139</v>
      </c>
      <c r="AC305" s="119">
        <f>IF(OR(t&lt;Tnet,NoTnet),'2030'!Resal_s+('2030'!Salim-'2030'!Resal_s)*(1-EXP(('2030'!Tnet_s-t)/'2030'!Tau_j)),Resal_s+(Salim-Resal_s)*(1-EXP((Tnet_s-t)/Tau_j)))*Salcycl</f>
        <v>4.6333962036509309E-2</v>
      </c>
      <c r="AD305" s="227">
        <f>(INDEX(Models!$BJ305:$BT305,,AH305)*(1-AF305)+INDEX(Models!$BJ305:$BT305,,AH305+1)*AF305-ERP_i)*AE305*Ramure*Pc/MaxiM</f>
        <v>3.5641705886551986E-3</v>
      </c>
      <c r="AE305" s="301">
        <f t="shared" si="117"/>
        <v>0.5</v>
      </c>
      <c r="AF305" s="173">
        <f t="shared" si="118"/>
        <v>0.99159698626724424</v>
      </c>
      <c r="AG305" s="802">
        <f t="shared" si="124"/>
        <v>4</v>
      </c>
      <c r="AH305" s="172">
        <f t="shared" si="119"/>
        <v>10</v>
      </c>
      <c r="AI305" s="221">
        <f t="shared" si="120"/>
        <v>4.9915969862672442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48140</v>
      </c>
      <c r="B306" s="406">
        <f>'2030'!Wh/'2030'!Env_an*'2031'!Env_an</f>
        <v>16.302104016224092</v>
      </c>
      <c r="C306" s="832"/>
      <c r="D306" s="388">
        <f t="shared" si="102"/>
        <v>17.129838784087298</v>
      </c>
      <c r="E306" s="380">
        <f t="shared" si="125"/>
        <v>17.337934825435632</v>
      </c>
      <c r="F306" s="380">
        <f t="shared" si="103"/>
        <v>17.340264268706484</v>
      </c>
      <c r="G306" s="110">
        <f t="shared" si="126"/>
        <v>0.51203305168985536</v>
      </c>
      <c r="H306" s="409" t="b">
        <f>Wh_hp&gt;='2030'!Maxi_hp</f>
        <v>0</v>
      </c>
      <c r="I306" s="385">
        <f>IF(H306,Wh_hp,'2030'!Maxi_hp)</f>
        <v>17.344077822210085</v>
      </c>
      <c r="J306" s="85">
        <f>IF(H306,An,'2030'!An_max)</f>
        <v>2029</v>
      </c>
      <c r="K306" s="193">
        <f t="shared" si="104"/>
        <v>48140</v>
      </c>
      <c r="L306" s="143">
        <f>IF(t&lt;Tvie,1-EXP((T0-t)*PertePVj)+'2030'!Pspv,1-EXP((T0-t)*PertePVj)+Pspv)</f>
        <v>4.8321223468380081E-2</v>
      </c>
      <c r="M306" s="836"/>
      <c r="N306" s="836"/>
      <c r="O306" s="48">
        <f>IF(t&lt;Tnet,'2030'!Resal+('2030'!Salim-'2030'!Resal)*(1-EXP(('2030'!Tnet-t)/('2030'!Tau_j))),Resal+(Salim-Resal)*(1-EXP((Tnet-t)/(Tau_j))))*Salcycl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4.4316656777115289E-4</v>
      </c>
      <c r="Q306" s="301">
        <f t="shared" si="105"/>
        <v>0.5</v>
      </c>
      <c r="R306" s="173">
        <f t="shared" si="106"/>
        <v>0.46670499777469732</v>
      </c>
      <c r="S306" s="802">
        <f t="shared" si="107"/>
        <v>1</v>
      </c>
      <c r="T306" s="172">
        <f t="shared" si="108"/>
        <v>7</v>
      </c>
      <c r="U306" s="247">
        <f t="shared" si="109"/>
        <v>1.4667049977746973</v>
      </c>
      <c r="V306" s="378">
        <f t="shared" si="110"/>
        <v>31.828157807821473</v>
      </c>
      <c r="W306" s="397">
        <f t="shared" si="111"/>
        <v>16.302104016224092</v>
      </c>
      <c r="X306" s="153">
        <f t="shared" si="112"/>
        <v>48140</v>
      </c>
      <c r="Y306" s="380">
        <f t="shared" si="113"/>
        <v>15.717964239999812</v>
      </c>
      <c r="Z306" s="380">
        <f t="shared" si="114"/>
        <v>16.516039474247513</v>
      </c>
      <c r="AA306" s="381">
        <f t="shared" si="115"/>
        <v>17.318558294195689</v>
      </c>
      <c r="AB306" s="193">
        <f t="shared" si="116"/>
        <v>48140</v>
      </c>
      <c r="AC306" s="119">
        <f>IF(OR(t&lt;Tnet,NoTnet),'2030'!Resal_s+('2030'!Salim-'2030'!Resal_s)*(1-EXP(('2030'!Tnet_s-t)/'2030'!Tau_j)),Resal_s+(Salim-Resal_s)*(1-EXP((Tnet_s-t)/Tau_j)))*Salcycl</f>
        <v>4.6338662047702893E-2</v>
      </c>
      <c r="AD306" s="227">
        <f>(INDEX(Models!$BJ306:$BT306,,AH306)*(1-AF306)+INDEX(Models!$BJ306:$BT306,,AH306+1)*AF306-ERP_i)*AE306*Ramure*Pc/MaxiM</f>
        <v>4.1294683345317537E-3</v>
      </c>
      <c r="AE306" s="301">
        <f t="shared" si="117"/>
        <v>0.5</v>
      </c>
      <c r="AF306" s="173">
        <f t="shared" si="118"/>
        <v>0.99169256414867402</v>
      </c>
      <c r="AG306" s="802">
        <f t="shared" si="124"/>
        <v>4</v>
      </c>
      <c r="AH306" s="172">
        <f t="shared" si="119"/>
        <v>10</v>
      </c>
      <c r="AI306" s="221">
        <f t="shared" si="120"/>
        <v>4.991692564148674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48141</v>
      </c>
      <c r="B307" s="406">
        <f>'2030'!Wh/'2030'!Env_an*'2031'!Env_an</f>
        <v>8.5756688498528124</v>
      </c>
      <c r="C307" s="832"/>
      <c r="D307" s="388">
        <f t="shared" si="102"/>
        <v>9.0112193910840652</v>
      </c>
      <c r="E307" s="380">
        <f t="shared" si="125"/>
        <v>9.12121424027616</v>
      </c>
      <c r="F307" s="380">
        <f t="shared" si="103"/>
        <v>9.12121424027616</v>
      </c>
      <c r="G307" s="110">
        <f t="shared" si="126"/>
        <v>0.27254389344545255</v>
      </c>
      <c r="H307" s="409" t="b">
        <f>Wh_hp&gt;='2030'!Maxi_hp</f>
        <v>0</v>
      </c>
      <c r="I307" s="385">
        <f>IF(H307,Wh_hp,'2030'!Maxi_hp)</f>
        <v>9.1244739912078945</v>
      </c>
      <c r="J307" s="85">
        <f>IF(H307,An,'2030'!An_max)</f>
        <v>2029</v>
      </c>
      <c r="K307" s="193">
        <f t="shared" si="104"/>
        <v>48141</v>
      </c>
      <c r="L307" s="143">
        <f>IF(t&lt;Tvie,1-EXP((T0-t)*PertePVj)+'2030'!Pspv,1-EXP((T0-t)*PertePVj)+Pspv)</f>
        <v>4.8334251151647356E-2</v>
      </c>
      <c r="M307" s="836"/>
      <c r="N307" s="836"/>
      <c r="O307" s="48">
        <f>IF(t&lt;Tnet,'2030'!Resal+('2030'!Salim-'2030'!Resal)*(1-EXP(('2030'!Tnet-t)/('2030'!Tau_j))),Resal+(Salim-Resal)*(1-EXP((Tnet-t)/(Tau_j))))*Salcycl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5.0030076808829486E-4</v>
      </c>
      <c r="Q307" s="301">
        <f t="shared" si="105"/>
        <v>0.5</v>
      </c>
      <c r="R307" s="173">
        <f t="shared" si="106"/>
        <v>0.4667967618876907</v>
      </c>
      <c r="S307" s="802">
        <f t="shared" si="107"/>
        <v>1</v>
      </c>
      <c r="T307" s="172">
        <f t="shared" si="108"/>
        <v>7</v>
      </c>
      <c r="U307" s="247">
        <f t="shared" si="109"/>
        <v>1.4667967618876907</v>
      </c>
      <c r="V307" s="378">
        <f t="shared" si="110"/>
        <v>31.449533973344565</v>
      </c>
      <c r="W307" s="397">
        <f t="shared" si="111"/>
        <v>8.5756688498528124</v>
      </c>
      <c r="X307" s="153">
        <f t="shared" si="112"/>
        <v>48141</v>
      </c>
      <c r="Y307" s="380">
        <f t="shared" si="113"/>
        <v>8.2780758196101516</v>
      </c>
      <c r="Z307" s="380">
        <f t="shared" si="114"/>
        <v>8.6985118773348411</v>
      </c>
      <c r="AA307" s="381">
        <f t="shared" si="115"/>
        <v>9.12121424027616</v>
      </c>
      <c r="AB307" s="193">
        <f t="shared" si="116"/>
        <v>48141</v>
      </c>
      <c r="AC307" s="119">
        <f>IF(OR(t&lt;Tnet,NoTnet),'2030'!Resal_s+('2030'!Salim-'2030'!Resal_s)*(1-EXP(('2030'!Tnet_s-t)/'2030'!Tau_j)),Resal_s+(Salim-Resal_s)*(1-EXP((Tnet_s-t)/Tau_j)))*Salcycl</f>
        <v>4.6342773210480026E-2</v>
      </c>
      <c r="AD307" s="227">
        <f>(INDEX(Models!$BJ307:$BT307,,AH307)*(1-AF307)+INDEX(Models!$BJ307:$BT307,,AH307+1)*AF307-ERP_i)*AE307*Ramure*Pc/MaxiM</f>
        <v>4.7904095930842161E-3</v>
      </c>
      <c r="AE307" s="301">
        <f t="shared" si="117"/>
        <v>0.5</v>
      </c>
      <c r="AF307" s="173">
        <f t="shared" si="118"/>
        <v>0.99178432826166762</v>
      </c>
      <c r="AG307" s="802">
        <f t="shared" si="124"/>
        <v>4</v>
      </c>
      <c r="AH307" s="172">
        <f t="shared" si="119"/>
        <v>10</v>
      </c>
      <c r="AI307" s="221">
        <f t="shared" si="120"/>
        <v>4.9917843282616676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48142</v>
      </c>
      <c r="B308" s="406">
        <f>'2030'!Wh/'2030'!Env_an*'2031'!Env_an</f>
        <v>16.57997073028892</v>
      </c>
      <c r="C308" s="832"/>
      <c r="D308" s="388">
        <f t="shared" si="102"/>
        <v>17.422291092577769</v>
      </c>
      <c r="E308" s="380">
        <f t="shared" si="125"/>
        <v>17.635965703329443</v>
      </c>
      <c r="F308" s="380">
        <f t="shared" si="103"/>
        <v>17.639321105737032</v>
      </c>
      <c r="G308" s="110">
        <f t="shared" si="126"/>
        <v>0.53340116280806193</v>
      </c>
      <c r="H308" s="409" t="b">
        <f>Wh_hp&gt;='2030'!Maxi_hp</f>
        <v>0</v>
      </c>
      <c r="I308" s="385">
        <f>IF(H308,Wh_hp,'2030'!Maxi_hp)</f>
        <v>17.644122151694521</v>
      </c>
      <c r="J308" s="85">
        <f>IF(H308,An,'2030'!An_max)</f>
        <v>2029</v>
      </c>
      <c r="K308" s="193">
        <f t="shared" si="104"/>
        <v>48142</v>
      </c>
      <c r="L308" s="143">
        <f>IF(t&lt;Tvie,1-EXP((T0-t)*PertePVj)+'2030'!Pspv,1-EXP((T0-t)*PertePVj)+Pspv)</f>
        <v>4.834727865657662E-2</v>
      </c>
      <c r="M308" s="836"/>
      <c r="N308" s="836"/>
      <c r="O308" s="48">
        <f>IF(t&lt;Tnet,'2030'!Resal+('2030'!Salim-'2030'!Resal)*(1-EXP(('2030'!Tnet-t)/('2030'!Tau_j))),Resal+(Salim-Resal)*(1-EXP((Tnet-t)/(Tau_j))))*Salcycl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5.700077733859102E-4</v>
      </c>
      <c r="Q308" s="301">
        <f t="shared" si="105"/>
        <v>0.5</v>
      </c>
      <c r="R308" s="173">
        <f t="shared" si="106"/>
        <v>0.46688486308297605</v>
      </c>
      <c r="S308" s="802">
        <f t="shared" si="107"/>
        <v>1</v>
      </c>
      <c r="T308" s="172">
        <f t="shared" si="108"/>
        <v>7</v>
      </c>
      <c r="U308" s="247">
        <f t="shared" si="109"/>
        <v>1.4668848630829761</v>
      </c>
      <c r="V308" s="378">
        <f t="shared" si="110"/>
        <v>31.071684625775578</v>
      </c>
      <c r="W308" s="397">
        <f t="shared" si="111"/>
        <v>16.57997073028892</v>
      </c>
      <c r="X308" s="153">
        <f t="shared" si="112"/>
        <v>48142</v>
      </c>
      <c r="Y308" s="380">
        <f t="shared" si="113"/>
        <v>15.978872295003995</v>
      </c>
      <c r="Z308" s="380">
        <f t="shared" si="114"/>
        <v>16.790654759487303</v>
      </c>
      <c r="AA308" s="381">
        <f t="shared" si="115"/>
        <v>17.606658620069926</v>
      </c>
      <c r="AB308" s="193">
        <f t="shared" si="116"/>
        <v>48142</v>
      </c>
      <c r="AC308" s="119">
        <f>IF(OR(t&lt;Tnet,NoTnet),'2030'!Resal_s+('2030'!Salim-'2030'!Resal_s)*(1-EXP(('2030'!Tnet_s-t)/'2030'!Tau_j)),Resal_s+(Salim-Resal_s)*(1-EXP((Tnet_s-t)/Tau_j)))*Salcycl</f>
        <v>4.6346321479332514E-2</v>
      </c>
      <c r="AD308" s="227">
        <f>(INDEX(Models!$BJ308:$BT308,,AH308)*(1-AF308)+INDEX(Models!$BJ308:$BT308,,AH308+1)*AF308-ERP_i)*AE308*Ramure*Pc/MaxiM</f>
        <v>5.5486253113076296E-3</v>
      </c>
      <c r="AE308" s="301">
        <f t="shared" si="117"/>
        <v>0.5</v>
      </c>
      <c r="AF308" s="173">
        <f t="shared" si="118"/>
        <v>0.99187242945695253</v>
      </c>
      <c r="AG308" s="802">
        <f t="shared" si="124"/>
        <v>4</v>
      </c>
      <c r="AH308" s="172">
        <f t="shared" si="119"/>
        <v>10</v>
      </c>
      <c r="AI308" s="221">
        <f t="shared" si="120"/>
        <v>4.9918724294569525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48143</v>
      </c>
      <c r="B309" s="406">
        <f>'2030'!Wh/'2030'!Env_an*'2031'!Env_an</f>
        <v>28.420153814932782</v>
      </c>
      <c r="C309" s="832"/>
      <c r="D309" s="388">
        <f t="shared" si="102"/>
        <v>29.864405608148338</v>
      </c>
      <c r="E309" s="380">
        <f t="shared" si="125"/>
        <v>30.232400223693361</v>
      </c>
      <c r="F309" s="380">
        <f t="shared" si="103"/>
        <v>30.250048850224086</v>
      </c>
      <c r="G309" s="110">
        <f t="shared" si="126"/>
        <v>0.92582699573862992</v>
      </c>
      <c r="H309" s="409" t="b">
        <f>Wh_hp&gt;='2030'!Maxi_hp</f>
        <v>0</v>
      </c>
      <c r="I309" s="385">
        <f>IF(H309,Wh_hp,'2030'!Maxi_hp)</f>
        <v>30.25155125083587</v>
      </c>
      <c r="J309" s="85">
        <f>IF(H309,An,'2030'!An_max)</f>
        <v>2029</v>
      </c>
      <c r="K309" s="193">
        <f t="shared" si="104"/>
        <v>48143</v>
      </c>
      <c r="L309" s="143">
        <f>IF(t&lt;Tvie,1-EXP((T0-t)*PertePVj)+'2030'!Pspv,1-EXP((T0-t)*PertePVj)+Pspv)</f>
        <v>4.8360305983170204E-2</v>
      </c>
      <c r="M309" s="836"/>
      <c r="N309" s="836"/>
      <c r="O309" s="48">
        <f>IF(t&lt;Tnet,'2030'!Resal+('2030'!Salim-'2030'!Resal)*(1-EXP(('2030'!Tnet-t)/('2030'!Tau_j))),Resal+(Salim-Resal)*(1-EXP((Tnet-t)/(Tau_j))))*Salcycl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6.5250548975853955E-4</v>
      </c>
      <c r="Q309" s="301">
        <f t="shared" si="105"/>
        <v>0.5</v>
      </c>
      <c r="R309" s="173">
        <f t="shared" si="106"/>
        <v>0.46696944634882187</v>
      </c>
      <c r="S309" s="802">
        <f t="shared" si="107"/>
        <v>1</v>
      </c>
      <c r="T309" s="172">
        <f t="shared" si="108"/>
        <v>7</v>
      </c>
      <c r="U309" s="247">
        <f t="shared" si="109"/>
        <v>1.4669694463488219</v>
      </c>
      <c r="V309" s="378">
        <f t="shared" si="110"/>
        <v>30.694924120564629</v>
      </c>
      <c r="W309" s="397">
        <f t="shared" si="111"/>
        <v>28.420153814932782</v>
      </c>
      <c r="X309" s="153">
        <f t="shared" si="112"/>
        <v>48143</v>
      </c>
      <c r="Y309" s="380">
        <f t="shared" si="113"/>
        <v>27.295644194367277</v>
      </c>
      <c r="Z309" s="380">
        <f t="shared" si="114"/>
        <v>28.682750799468597</v>
      </c>
      <c r="AA309" s="381">
        <f t="shared" si="115"/>
        <v>30.07679002104296</v>
      </c>
      <c r="AB309" s="193">
        <f t="shared" si="116"/>
        <v>48143</v>
      </c>
      <c r="AC309" s="119">
        <f>IF(OR(t&lt;Tnet,NoTnet),'2030'!Resal_s+('2030'!Salim-'2030'!Resal_s)*(1-EXP(('2030'!Tnet_s-t)/'2030'!Tau_j)),Resal_s+(Salim-Resal_s)*(1-EXP((Tnet_s-t)/Tau_j)))*Salcycl</f>
        <v>4.6349335171706682E-2</v>
      </c>
      <c r="AD309" s="227">
        <f>(INDEX(Models!$BJ309:$BT309,,AH309)*(1-AF309)+INDEX(Models!$BJ309:$BT309,,AH309+1)*AF309-ERP_i)*AE309*Ramure*Pc/MaxiM</f>
        <v>6.405730043241323E-3</v>
      </c>
      <c r="AE309" s="301">
        <f t="shared" si="117"/>
        <v>0.5</v>
      </c>
      <c r="AF309" s="173">
        <f t="shared" si="118"/>
        <v>0.99195701272279901</v>
      </c>
      <c r="AG309" s="802">
        <f t="shared" si="124"/>
        <v>4</v>
      </c>
      <c r="AH309" s="172">
        <f t="shared" si="119"/>
        <v>10</v>
      </c>
      <c r="AI309" s="221">
        <f t="shared" si="120"/>
        <v>4.991957012722799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48144</v>
      </c>
      <c r="B310" s="406">
        <f>'2030'!Wh/'2030'!Env_an*'2031'!Env_an</f>
        <v>18.529754700351564</v>
      </c>
      <c r="C310" s="832"/>
      <c r="D310" s="388">
        <f t="shared" si="102"/>
        <v>19.471663989120579</v>
      </c>
      <c r="E310" s="380">
        <f t="shared" si="125"/>
        <v>19.712716746565537</v>
      </c>
      <c r="F310" s="380">
        <f t="shared" si="103"/>
        <v>19.719472167961047</v>
      </c>
      <c r="G310" s="110">
        <f t="shared" si="126"/>
        <v>0.61090053173230463</v>
      </c>
      <c r="H310" s="409" t="b">
        <f>Wh_hp&gt;='2030'!Maxi_hp</f>
        <v>0</v>
      </c>
      <c r="I310" s="385">
        <f>IF(H310,Wh_hp,'2030'!Maxi_hp)</f>
        <v>19.725542277555711</v>
      </c>
      <c r="J310" s="85">
        <f>IF(H310,An,'2030'!An_max)</f>
        <v>2029</v>
      </c>
      <c r="K310" s="193">
        <f t="shared" si="104"/>
        <v>48144</v>
      </c>
      <c r="L310" s="143">
        <f>IF(t&lt;Tvie,1-EXP((T0-t)*PertePVj)+'2030'!Pspv,1-EXP((T0-t)*PertePVj)+Pspv)</f>
        <v>4.8373333131430774E-2</v>
      </c>
      <c r="M310" s="836"/>
      <c r="N310" s="836"/>
      <c r="O310" s="48">
        <f>IF(t&lt;Tnet,'2030'!Resal+('2030'!Salim-'2030'!Resal)*(1-EXP(('2030'!Tnet-t)/('2030'!Tau_j))),Resal+(Salim-Resal)*(1-EXP((Tnet-t)/(Tau_j))))*Salcycl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7.7066970544082216E-4</v>
      </c>
      <c r="Q310" s="301">
        <f t="shared" si="105"/>
        <v>0.5</v>
      </c>
      <c r="R310" s="173">
        <f t="shared" si="106"/>
        <v>0.46705065103064358</v>
      </c>
      <c r="S310" s="802">
        <f t="shared" si="107"/>
        <v>1</v>
      </c>
      <c r="T310" s="172">
        <f t="shared" si="108"/>
        <v>7</v>
      </c>
      <c r="U310" s="247">
        <f t="shared" si="109"/>
        <v>1.4670506510306436</v>
      </c>
      <c r="V310" s="378">
        <f t="shared" si="110"/>
        <v>30.318879345808803</v>
      </c>
      <c r="W310" s="397">
        <f t="shared" si="111"/>
        <v>18.529754700351564</v>
      </c>
      <c r="X310" s="153">
        <f t="shared" si="112"/>
        <v>48144</v>
      </c>
      <c r="Y310" s="380">
        <f t="shared" si="113"/>
        <v>17.837131949343348</v>
      </c>
      <c r="Z310" s="380">
        <f t="shared" si="114"/>
        <v>18.743833659094868</v>
      </c>
      <c r="AA310" s="381">
        <f t="shared" si="115"/>
        <v>19.654873297877298</v>
      </c>
      <c r="AB310" s="193">
        <f t="shared" si="116"/>
        <v>48144</v>
      </c>
      <c r="AC310" s="119">
        <f>IF(OR(t&lt;Tnet,NoTnet),'2030'!Resal_s+('2030'!Salim-'2030'!Resal_s)*(1-EXP(('2030'!Tnet_s-t)/'2030'!Tau_j)),Resal_s+(Salim-Resal_s)*(1-EXP((Tnet_s-t)/Tau_j)))*Salcycl</f>
        <v>4.6351844907635206E-2</v>
      </c>
      <c r="AD310" s="227">
        <f>(INDEX(Models!$BJ310:$BT310,,AH310)*(1-AF310)+INDEX(Models!$BJ310:$BT310,,AH310+1)*AF310-ERP_i)*AE310*Ramure*Pc/MaxiM</f>
        <v>7.369546511538109E-3</v>
      </c>
      <c r="AE310" s="301">
        <f t="shared" si="117"/>
        <v>0.5</v>
      </c>
      <c r="AF310" s="173">
        <f t="shared" si="118"/>
        <v>0.9920382174046205</v>
      </c>
      <c r="AG310" s="802">
        <f t="shared" si="124"/>
        <v>4</v>
      </c>
      <c r="AH310" s="172">
        <f t="shared" si="119"/>
        <v>10</v>
      </c>
      <c r="AI310" s="221">
        <f t="shared" si="120"/>
        <v>4.9920382174046205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48145</v>
      </c>
      <c r="B311" s="406">
        <f>'2030'!Wh/'2030'!Env_an*'2031'!Env_an</f>
        <v>24.035470586588772</v>
      </c>
      <c r="C311" s="832"/>
      <c r="D311" s="388">
        <f t="shared" si="102"/>
        <v>25.257593606107719</v>
      </c>
      <c r="E311" s="380">
        <f t="shared" si="125"/>
        <v>25.571720010741732</v>
      </c>
      <c r="F311" s="380">
        <f t="shared" si="103"/>
        <v>25.588729112544691</v>
      </c>
      <c r="G311" s="110">
        <f t="shared" si="126"/>
        <v>0.80247479991599657</v>
      </c>
      <c r="H311" s="409" t="b">
        <f>Wh_hp&gt;='2030'!Maxi_hp</f>
        <v>0</v>
      </c>
      <c r="I311" s="385">
        <f>IF(H311,Wh_hp,'2030'!Maxi_hp)</f>
        <v>25.593522653413345</v>
      </c>
      <c r="J311" s="85">
        <f>IF(H311,An,'2030'!An_max)</f>
        <v>2029</v>
      </c>
      <c r="K311" s="193">
        <f t="shared" si="104"/>
        <v>48145</v>
      </c>
      <c r="L311" s="143">
        <f>IF(t&lt;Tvie,1-EXP((T0-t)*PertePVj)+'2030'!Pspv,1-EXP((T0-t)*PertePVj)+Pspv)</f>
        <v>4.8386360101360437E-2</v>
      </c>
      <c r="M311" s="836"/>
      <c r="N311" s="836"/>
      <c r="O311" s="48">
        <f>IF(t&lt;Tnet,'2030'!Resal+('2030'!Salim-'2030'!Resal)*(1-EXP(('2030'!Tnet-t)/('2030'!Tau_j))),Resal+(Salim-Resal)*(1-EXP((Tnet-t)/(Tau_j))))*Salcycl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9.2562552150580427E-4</v>
      </c>
      <c r="Q311" s="301">
        <f t="shared" si="105"/>
        <v>0.5</v>
      </c>
      <c r="R311" s="173">
        <f t="shared" si="106"/>
        <v>0.46712861104303638</v>
      </c>
      <c r="S311" s="802">
        <f t="shared" si="107"/>
        <v>1</v>
      </c>
      <c r="T311" s="172">
        <f t="shared" si="108"/>
        <v>7</v>
      </c>
      <c r="U311" s="247">
        <f t="shared" si="109"/>
        <v>1.4671286110430364</v>
      </c>
      <c r="V311" s="378">
        <f t="shared" si="110"/>
        <v>29.943862669643433</v>
      </c>
      <c r="W311" s="397">
        <f t="shared" si="111"/>
        <v>24.035470586588772</v>
      </c>
      <c r="X311" s="153">
        <f t="shared" si="112"/>
        <v>48145</v>
      </c>
      <c r="Y311" s="380">
        <f t="shared" si="113"/>
        <v>23.081527385018365</v>
      </c>
      <c r="Z311" s="380">
        <f t="shared" si="114"/>
        <v>24.255145594042638</v>
      </c>
      <c r="AA311" s="381">
        <f t="shared" si="115"/>
        <v>25.434115627626099</v>
      </c>
      <c r="AB311" s="193">
        <f t="shared" si="116"/>
        <v>48145</v>
      </c>
      <c r="AC311" s="119">
        <f>IF(OR(t&lt;Tnet,NoTnet),'2030'!Resal_s+('2030'!Salim-'2030'!Resal_s)*(1-EXP(('2030'!Tnet_s-t)/'2030'!Tau_j)),Resal_s+(Salim-Resal_s)*(1-EXP((Tnet_s-t)/Tau_j)))*Salcycl</f>
        <v>4.6353883533614401E-2</v>
      </c>
      <c r="AD311" s="227">
        <f>(INDEX(Models!$BJ311:$BT311,,AH311)*(1-AF311)+INDEX(Models!$BJ311:$BT311,,AH311+1)*AF311-ERP_i)*AE311*Ramure*Pc/MaxiM</f>
        <v>8.413976779462139E-3</v>
      </c>
      <c r="AE311" s="301">
        <f t="shared" si="117"/>
        <v>0.5</v>
      </c>
      <c r="AF311" s="173">
        <f t="shared" si="118"/>
        <v>0.99211617741701374</v>
      </c>
      <c r="AG311" s="802">
        <f t="shared" si="124"/>
        <v>4</v>
      </c>
      <c r="AH311" s="172">
        <f t="shared" si="119"/>
        <v>10</v>
      </c>
      <c r="AI311" s="221">
        <f t="shared" si="120"/>
        <v>4.9921161774170137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48146</v>
      </c>
      <c r="B312" s="406">
        <f>'2030'!Wh/'2030'!Env_an*'2031'!Env_an</f>
        <v>20.198115472915774</v>
      </c>
      <c r="C312" s="832"/>
      <c r="D312" s="388">
        <f t="shared" si="102"/>
        <v>21.225412420624249</v>
      </c>
      <c r="E312" s="380">
        <f t="shared" si="125"/>
        <v>21.490600819065541</v>
      </c>
      <c r="F312" s="380">
        <f t="shared" si="103"/>
        <v>21.503756898180857</v>
      </c>
      <c r="G312" s="110">
        <f t="shared" si="126"/>
        <v>0.68271041544615851</v>
      </c>
      <c r="H312" s="409" t="b">
        <f>Wh_hp&gt;='2030'!Maxi_hp</f>
        <v>0</v>
      </c>
      <c r="I312" s="385">
        <f>IF(H312,Wh_hp,'2030'!Maxi_hp)</f>
        <v>21.511552777585699</v>
      </c>
      <c r="J312" s="85">
        <f>IF(H312,An,'2030'!An_max)</f>
        <v>2029</v>
      </c>
      <c r="K312" s="193">
        <f t="shared" si="104"/>
        <v>48146</v>
      </c>
      <c r="L312" s="143">
        <f>IF(t&lt;Tvie,1-EXP((T0-t)*PertePVj)+'2030'!Pspv,1-EXP((T0-t)*PertePVj)+Pspv)</f>
        <v>4.8399386892961971E-2</v>
      </c>
      <c r="M312" s="836"/>
      <c r="N312" s="836"/>
      <c r="O312" s="48">
        <f>IF(t&lt;Tnet,'2030'!Resal+('2030'!Salim-'2030'!Resal)*(1-EXP(('2030'!Tnet-t)/('2030'!Tau_j))),Resal+(Salim-Resal)*(1-EXP((Tnet-t)/(Tau_j))))*Salcycl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1.1180145477995924E-3</v>
      </c>
      <c r="Q312" s="301">
        <f t="shared" si="105"/>
        <v>0.5</v>
      </c>
      <c r="R312" s="173">
        <f t="shared" si="106"/>
        <v>0.46720345507444461</v>
      </c>
      <c r="S312" s="802">
        <f t="shared" si="107"/>
        <v>1</v>
      </c>
      <c r="T312" s="172">
        <f t="shared" si="108"/>
        <v>7</v>
      </c>
      <c r="U312" s="247">
        <f t="shared" si="109"/>
        <v>1.4672034550744446</v>
      </c>
      <c r="V312" s="378">
        <f t="shared" si="110"/>
        <v>29.570201732401213</v>
      </c>
      <c r="W312" s="397">
        <f t="shared" si="111"/>
        <v>20.198115472915774</v>
      </c>
      <c r="X312" s="153">
        <f t="shared" si="112"/>
        <v>48146</v>
      </c>
      <c r="Y312" s="380">
        <f t="shared" si="113"/>
        <v>19.412538434881164</v>
      </c>
      <c r="Z312" s="380">
        <f t="shared" si="114"/>
        <v>20.399880125652672</v>
      </c>
      <c r="AA312" s="381">
        <f t="shared" si="115"/>
        <v>21.391493189373186</v>
      </c>
      <c r="AB312" s="193">
        <f t="shared" si="116"/>
        <v>48146</v>
      </c>
      <c r="AC312" s="119">
        <f>IF(OR(t&lt;Tnet,NoTnet),'2030'!Resal_s+('2030'!Salim-'2030'!Resal_s)*(1-EXP(('2030'!Tnet_s-t)/'2030'!Tau_j)),Resal_s+(Salim-Resal_s)*(1-EXP((Tnet_s-t)/Tau_j)))*Salcycl</f>
        <v>4.6355486030920226E-2</v>
      </c>
      <c r="AD312" s="227">
        <f>(INDEX(Models!$BJ312:$BT312,,AH312)*(1-AF312)+INDEX(Models!$BJ312:$BT312,,AH312+1)*AF312-ERP_i)*AE312*Ramure*Pc/MaxiM</f>
        <v>9.5402633669770549E-3</v>
      </c>
      <c r="AE312" s="301">
        <f t="shared" si="117"/>
        <v>0.5</v>
      </c>
      <c r="AF312" s="173">
        <f t="shared" si="118"/>
        <v>0.99219102144842175</v>
      </c>
      <c r="AG312" s="802">
        <f t="shared" si="124"/>
        <v>4</v>
      </c>
      <c r="AH312" s="172">
        <f t="shared" si="119"/>
        <v>10</v>
      </c>
      <c r="AI312" s="221">
        <f t="shared" si="120"/>
        <v>4.9921910214484218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48147</v>
      </c>
      <c r="B313" s="406">
        <f>'2030'!Wh/'2030'!Env_an*'2031'!Env_an</f>
        <v>15.093405511466287</v>
      </c>
      <c r="C313" s="832"/>
      <c r="D313" s="388">
        <f t="shared" si="102"/>
        <v>15.861288782759067</v>
      </c>
      <c r="E313" s="380">
        <f t="shared" si="125"/>
        <v>16.060358750569012</v>
      </c>
      <c r="F313" s="380">
        <f t="shared" si="103"/>
        <v>16.06707299311946</v>
      </c>
      <c r="G313" s="110">
        <f t="shared" si="126"/>
        <v>0.51644763457348819</v>
      </c>
      <c r="H313" s="409" t="b">
        <f>Wh_hp&gt;='2030'!Maxi_hp</f>
        <v>0</v>
      </c>
      <c r="I313" s="385">
        <f>IF(H313,Wh_hp,'2030'!Maxi_hp)</f>
        <v>16.077750549030981</v>
      </c>
      <c r="J313" s="85">
        <f>IF(H313,An,'2030'!An_max)</f>
        <v>2029</v>
      </c>
      <c r="K313" s="193">
        <f t="shared" si="104"/>
        <v>48147</v>
      </c>
      <c r="L313" s="143">
        <f>IF(t&lt;Tvie,1-EXP((T0-t)*PertePVj)+'2030'!Pspv,1-EXP((T0-t)*PertePVj)+Pspv)</f>
        <v>4.8412413506237595E-2</v>
      </c>
      <c r="M313" s="836"/>
      <c r="N313" s="836"/>
      <c r="O313" s="48">
        <f>IF(t&lt;Tnet,'2030'!Resal+('2030'!Salim-'2030'!Resal)*(1-EXP(('2030'!Tnet-t)/('2030'!Tau_j))),Resal+(Salim-Resal)*(1-EXP((Tnet-t)/(Tau_j))))*Salcycl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1.3484688731323447E-3</v>
      </c>
      <c r="Q313" s="301">
        <f t="shared" si="105"/>
        <v>0.5</v>
      </c>
      <c r="R313" s="173">
        <f t="shared" si="106"/>
        <v>0.46727530678467399</v>
      </c>
      <c r="S313" s="802">
        <f t="shared" si="107"/>
        <v>1</v>
      </c>
      <c r="T313" s="172">
        <f t="shared" si="108"/>
        <v>7</v>
      </c>
      <c r="U313" s="247">
        <f t="shared" si="109"/>
        <v>1.467275306784674</v>
      </c>
      <c r="V313" s="378">
        <f t="shared" si="110"/>
        <v>29.198224564813337</v>
      </c>
      <c r="W313" s="397">
        <f t="shared" si="111"/>
        <v>15.093405511466287</v>
      </c>
      <c r="X313" s="153">
        <f t="shared" si="112"/>
        <v>48147</v>
      </c>
      <c r="Y313" s="380">
        <f t="shared" si="113"/>
        <v>14.531897659226392</v>
      </c>
      <c r="Z313" s="380">
        <f t="shared" si="114"/>
        <v>15.271213985431332</v>
      </c>
      <c r="AA313" s="381">
        <f t="shared" si="115"/>
        <v>16.01354910775007</v>
      </c>
      <c r="AB313" s="193">
        <f t="shared" si="116"/>
        <v>48147</v>
      </c>
      <c r="AC313" s="119">
        <f>IF(OR(t&lt;Tnet,NoTnet),'2030'!Resal_s+('2030'!Salim-'2030'!Resal_s)*(1-EXP(('2030'!Tnet_s-t)/'2030'!Tau_j)),Resal_s+(Salim-Resal_s)*(1-EXP((Tnet_s-t)/Tau_j)))*Salcycl</f>
        <v>4.635668940868766E-2</v>
      </c>
      <c r="AD313" s="227">
        <f>(INDEX(Models!$BJ313:$BT313,,AH313)*(1-AF313)+INDEX(Models!$BJ313:$BT313,,AH313+1)*AF313-ERP_i)*AE313*Ramure*Pc/MaxiM</f>
        <v>1.0749580886814327E-2</v>
      </c>
      <c r="AE313" s="301">
        <f t="shared" si="117"/>
        <v>0.5</v>
      </c>
      <c r="AF313" s="173">
        <f t="shared" si="118"/>
        <v>0.99226287315865136</v>
      </c>
      <c r="AG313" s="802">
        <f t="shared" si="124"/>
        <v>4</v>
      </c>
      <c r="AH313" s="172">
        <f t="shared" si="119"/>
        <v>10</v>
      </c>
      <c r="AI313" s="221">
        <f t="shared" si="120"/>
        <v>4.9922628731586514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48148</v>
      </c>
      <c r="B314" s="406">
        <f>'2030'!Wh/'2030'!Env_an*'2031'!Env_an</f>
        <v>14.270894878560552</v>
      </c>
      <c r="C314" s="832"/>
      <c r="D314" s="388">
        <f t="shared" si="102"/>
        <v>14.997137878169598</v>
      </c>
      <c r="E314" s="380">
        <f t="shared" si="125"/>
        <v>15.186210240412956</v>
      </c>
      <c r="F314" s="380">
        <f t="shared" si="103"/>
        <v>15.193057654760185</v>
      </c>
      <c r="G314" s="110">
        <f t="shared" si="126"/>
        <v>0.49445352191032454</v>
      </c>
      <c r="H314" s="409" t="b">
        <f>Wh_hp&gt;='2030'!Maxi_hp</f>
        <v>0</v>
      </c>
      <c r="I314" s="385">
        <f>IF(H314,Wh_hp,'2030'!Maxi_hp)</f>
        <v>15.205683863893487</v>
      </c>
      <c r="J314" s="85">
        <f>IF(H314,An,'2030'!An_max)</f>
        <v>2029</v>
      </c>
      <c r="K314" s="193">
        <f t="shared" si="104"/>
        <v>48148</v>
      </c>
      <c r="L314" s="143">
        <f>IF(t&lt;Tvie,1-EXP((T0-t)*PertePVj)+'2030'!Pspv,1-EXP((T0-t)*PertePVj)+Pspv)</f>
        <v>4.8425439941189863E-2</v>
      </c>
      <c r="M314" s="836"/>
      <c r="N314" s="836"/>
      <c r="O314" s="48">
        <f>IF(t&lt;Tnet,'2030'!Resal+('2030'!Salim-'2030'!Resal)*(1-EXP(('2030'!Tnet-t)/('2030'!Tau_j))),Resal+(Salim-Resal)*(1-EXP((Tnet-t)/(Tau_j))))*Salcycl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1.6176137325620264E-3</v>
      </c>
      <c r="Q314" s="301">
        <f t="shared" si="105"/>
        <v>0.5</v>
      </c>
      <c r="R314" s="173">
        <f t="shared" si="106"/>
        <v>0.46734428499545144</v>
      </c>
      <c r="S314" s="802">
        <f t="shared" si="107"/>
        <v>1</v>
      </c>
      <c r="T314" s="172">
        <f t="shared" si="108"/>
        <v>7</v>
      </c>
      <c r="U314" s="247">
        <f t="shared" si="109"/>
        <v>1.4673442849954514</v>
      </c>
      <c r="V314" s="378">
        <f t="shared" si="110"/>
        <v>28.828259369314999</v>
      </c>
      <c r="W314" s="397">
        <f t="shared" si="111"/>
        <v>14.270894878560552</v>
      </c>
      <c r="X314" s="153">
        <f t="shared" si="112"/>
        <v>48148</v>
      </c>
      <c r="Y314" s="380">
        <f t="shared" si="113"/>
        <v>13.740859860938757</v>
      </c>
      <c r="Z314" s="380">
        <f t="shared" si="114"/>
        <v>14.440129484009672</v>
      </c>
      <c r="AA314" s="381">
        <f t="shared" si="115"/>
        <v>15.142078899977776</v>
      </c>
      <c r="AB314" s="193">
        <f t="shared" si="116"/>
        <v>48148</v>
      </c>
      <c r="AC314" s="119">
        <f>IF(OR(t&lt;Tnet,NoTnet),'2030'!Resal_s+('2030'!Salim-'2030'!Resal_s)*(1-EXP(('2030'!Tnet_s-t)/'2030'!Tau_j)),Resal_s+(Salim-Resal_s)*(1-EXP((Tnet_s-t)/Tau_j)))*Salcycl</f>
        <v>4.6357532582209267E-2</v>
      </c>
      <c r="AD314" s="227">
        <f>(INDEX(Models!$BJ314:$BT314,,AH314)*(1-AF314)+INDEX(Models!$BJ314:$BT314,,AH314+1)*AF314-ERP_i)*AE314*Ramure*Pc/MaxiM</f>
        <v>1.2043076353092616E-2</v>
      </c>
      <c r="AE314" s="301">
        <f t="shared" si="117"/>
        <v>0.5</v>
      </c>
      <c r="AF314" s="173">
        <f t="shared" si="118"/>
        <v>0.99233185136942836</v>
      </c>
      <c r="AG314" s="802">
        <f t="shared" si="124"/>
        <v>4</v>
      </c>
      <c r="AH314" s="172">
        <f t="shared" si="119"/>
        <v>10</v>
      </c>
      <c r="AI314" s="221">
        <f t="shared" si="120"/>
        <v>4.9923318513694284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48149</v>
      </c>
      <c r="B315" s="406">
        <f>'2030'!Wh/'2030'!Env_an*'2031'!Env_an</f>
        <v>16.414281346385383</v>
      </c>
      <c r="C315" s="832"/>
      <c r="D315" s="388">
        <f t="shared" si="102"/>
        <v>17.249836992462711</v>
      </c>
      <c r="E315" s="380">
        <f t="shared" si="125"/>
        <v>17.468281479836321</v>
      </c>
      <c r="F315" s="380">
        <f t="shared" si="103"/>
        <v>17.481592770866452</v>
      </c>
      <c r="G315" s="110">
        <f t="shared" si="126"/>
        <v>0.57606412220053993</v>
      </c>
      <c r="H315" s="409" t="b">
        <f>Wh_hp&gt;='2030'!Maxi_hp</f>
        <v>0</v>
      </c>
      <c r="I315" s="385">
        <f>IF(H315,Wh_hp,'2030'!Maxi_hp)</f>
        <v>17.496056527248719</v>
      </c>
      <c r="J315" s="85">
        <f>IF(H315,An,'2030'!An_max)</f>
        <v>2029</v>
      </c>
      <c r="K315" s="193">
        <f t="shared" si="104"/>
        <v>48149</v>
      </c>
      <c r="L315" s="143">
        <f>IF(t&lt;Tvie,1-EXP((T0-t)*PertePVj)+'2030'!Pspv,1-EXP((T0-t)*PertePVj)+Pspv)</f>
        <v>4.8438466197821106E-2</v>
      </c>
      <c r="M315" s="836"/>
      <c r="N315" s="836"/>
      <c r="O315" s="48">
        <f>IF(t&lt;Tnet,'2030'!Resal+('2030'!Salim-'2030'!Resal)*(1-EXP(('2030'!Tnet-t)/('2030'!Tau_j))),Resal+(Salim-Resal)*(1-EXP((Tnet-t)/(Tau_j))))*Salcycl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1.9260655790872213E-3</v>
      </c>
      <c r="Q315" s="301">
        <f t="shared" si="105"/>
        <v>0.5</v>
      </c>
      <c r="R315" s="173">
        <f t="shared" si="106"/>
        <v>0.46741050387423355</v>
      </c>
      <c r="S315" s="802">
        <f t="shared" si="107"/>
        <v>1</v>
      </c>
      <c r="T315" s="172">
        <f t="shared" si="108"/>
        <v>7</v>
      </c>
      <c r="U315" s="247">
        <f t="shared" si="109"/>
        <v>1.4674105038742336</v>
      </c>
      <c r="V315" s="378">
        <f t="shared" si="110"/>
        <v>28.460634425799888</v>
      </c>
      <c r="W315" s="397">
        <f t="shared" si="111"/>
        <v>16.414281346385383</v>
      </c>
      <c r="X315" s="153">
        <f t="shared" si="112"/>
        <v>48149</v>
      </c>
      <c r="Y315" s="380">
        <f t="shared" si="113"/>
        <v>15.779478509084649</v>
      </c>
      <c r="Z315" s="380">
        <f t="shared" si="114"/>
        <v>16.582720032864486</v>
      </c>
      <c r="AA315" s="381">
        <f t="shared" si="115"/>
        <v>17.388832508174868</v>
      </c>
      <c r="AB315" s="193">
        <f t="shared" si="116"/>
        <v>48149</v>
      </c>
      <c r="AC315" s="119">
        <f>IF(OR(t&lt;Tnet,NoTnet),'2030'!Resal_s+('2030'!Salim-'2030'!Resal_s)*(1-EXP(('2030'!Tnet_s-t)/'2030'!Tau_j)),Resal_s+(Salim-Resal_s)*(1-EXP((Tnet_s-t)/Tau_j)))*Salcycl</f>
        <v>4.6358056237036628E-2</v>
      </c>
      <c r="AD315" s="227">
        <f>(INDEX(Models!$BJ315:$BT315,,AH315)*(1-AF315)+INDEX(Models!$BJ315:$BT315,,AH315+1)*AF315-ERP_i)*AE315*Ramure*Pc/MaxiM</f>
        <v>1.3421864841879105E-2</v>
      </c>
      <c r="AE315" s="301">
        <f t="shared" si="117"/>
        <v>0.5</v>
      </c>
      <c r="AF315" s="173">
        <f t="shared" si="118"/>
        <v>0.99239807024821047</v>
      </c>
      <c r="AG315" s="802">
        <f t="shared" si="124"/>
        <v>4</v>
      </c>
      <c r="AH315" s="172">
        <f t="shared" si="119"/>
        <v>10</v>
      </c>
      <c r="AI315" s="221">
        <f t="shared" si="120"/>
        <v>4.9923980702482105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48150</v>
      </c>
      <c r="B316" s="406">
        <f>'2030'!Wh/'2030'!Env_an*'2031'!Env_an</f>
        <v>23.092139105513013</v>
      </c>
      <c r="C316" s="832"/>
      <c r="D316" s="388">
        <f t="shared" si="102"/>
        <v>24.267957879257395</v>
      </c>
      <c r="E316" s="380">
        <f t="shared" si="125"/>
        <v>24.576639191625997</v>
      </c>
      <c r="F316" s="380">
        <f t="shared" si="103"/>
        <v>24.618386680353932</v>
      </c>
      <c r="G316" s="110">
        <f t="shared" si="126"/>
        <v>0.8214343236708419</v>
      </c>
      <c r="H316" s="409" t="b">
        <f>Wh_hp&gt;='2030'!Maxi_hp</f>
        <v>0</v>
      </c>
      <c r="I316" s="385">
        <f>IF(H316,Wh_hp,'2030'!Maxi_hp)</f>
        <v>24.628486560246188</v>
      </c>
      <c r="J316" s="85">
        <f>IF(H316,An,'2030'!An_max)</f>
        <v>2029</v>
      </c>
      <c r="K316" s="193">
        <f t="shared" si="104"/>
        <v>48150</v>
      </c>
      <c r="L316" s="143">
        <f>IF(t&lt;Tvie,1-EXP((T0-t)*PertePVj)+'2030'!Pspv,1-EXP((T0-t)*PertePVj)+Pspv)</f>
        <v>4.8451492276133878E-2</v>
      </c>
      <c r="M316" s="836"/>
      <c r="N316" s="836"/>
      <c r="O316" s="48">
        <f>IF(t&lt;Tnet,'2030'!Resal+('2030'!Salim-'2030'!Resal)*(1-EXP(('2030'!Tnet-t)/('2030'!Tau_j))),Resal+(Salim-Resal)*(1-EXP((Tnet-t)/(Tau_j))))*Salcycl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2.2744300507683275E-3</v>
      </c>
      <c r="Q316" s="301">
        <f t="shared" si="105"/>
        <v>0.5</v>
      </c>
      <c r="R316" s="173">
        <f t="shared" si="106"/>
        <v>0.46747407311146971</v>
      </c>
      <c r="S316" s="802">
        <f t="shared" si="107"/>
        <v>1</v>
      </c>
      <c r="T316" s="172">
        <f t="shared" si="108"/>
        <v>7</v>
      </c>
      <c r="U316" s="247">
        <f t="shared" si="109"/>
        <v>1.4674740731114697</v>
      </c>
      <c r="V316" s="378">
        <f t="shared" si="110"/>
        <v>28.095677997172704</v>
      </c>
      <c r="W316" s="397">
        <f t="shared" si="111"/>
        <v>23.092139105513013</v>
      </c>
      <c r="X316" s="153">
        <f t="shared" si="112"/>
        <v>48150</v>
      </c>
      <c r="Y316" s="380">
        <f t="shared" si="113"/>
        <v>22.0916584325192</v>
      </c>
      <c r="Z316" s="380">
        <f t="shared" si="114"/>
        <v>23.216534157951799</v>
      </c>
      <c r="AA316" s="381">
        <f t="shared" si="115"/>
        <v>24.345133212176925</v>
      </c>
      <c r="AB316" s="193">
        <f t="shared" si="116"/>
        <v>48150</v>
      </c>
      <c r="AC316" s="119">
        <f>IF(OR(t&lt;Tnet,NoTnet),'2030'!Resal_s+('2030'!Salim-'2030'!Resal_s)*(1-EXP(('2030'!Tnet_s-t)/'2030'!Tau_j)),Resal_s+(Salim-Resal_s)*(1-EXP((Tnet_s-t)/Tau_j)))*Salcycl</f>
        <v>4.6358302679593649E-2</v>
      </c>
      <c r="AD316" s="227">
        <f>(INDEX(Models!$BJ316:$BT316,,AH316)*(1-AF316)+INDEX(Models!$BJ316:$BT316,,AH316+1)*AF316-ERP_i)*AE316*Ramure*Pc/MaxiM</f>
        <v>1.4887024787255195E-2</v>
      </c>
      <c r="AE316" s="301">
        <f t="shared" si="117"/>
        <v>0.5</v>
      </c>
      <c r="AF316" s="173">
        <f t="shared" si="118"/>
        <v>0.99246163948544641</v>
      </c>
      <c r="AG316" s="802">
        <f t="shared" si="124"/>
        <v>4</v>
      </c>
      <c r="AH316" s="172">
        <f t="shared" si="119"/>
        <v>10</v>
      </c>
      <c r="AI316" s="221">
        <f t="shared" si="120"/>
        <v>4.9924616394854464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48151</v>
      </c>
      <c r="B317" s="406">
        <f>'2030'!Wh/'2030'!Env_an*'2031'!Env_an</f>
        <v>20.220554738749001</v>
      </c>
      <c r="C317" s="832"/>
      <c r="D317" s="388">
        <f t="shared" si="102"/>
        <v>21.250447434698874</v>
      </c>
      <c r="E317" s="380">
        <f t="shared" si="125"/>
        <v>21.521935872475012</v>
      </c>
      <c r="F317" s="380">
        <f t="shared" si="103"/>
        <v>21.557136257726381</v>
      </c>
      <c r="G317" s="110">
        <f t="shared" si="126"/>
        <v>0.72839320204543223</v>
      </c>
      <c r="H317" s="409" t="b">
        <f>Wh_hp&gt;='2030'!Maxi_hp</f>
        <v>0</v>
      </c>
      <c r="I317" s="385">
        <f>IF(H317,Wh_hp,'2030'!Maxi_hp)</f>
        <v>21.572856200177455</v>
      </c>
      <c r="J317" s="85">
        <f>IF(H317,An,'2030'!An_max)</f>
        <v>2029</v>
      </c>
      <c r="K317" s="193">
        <f t="shared" si="104"/>
        <v>48151</v>
      </c>
      <c r="L317" s="143">
        <f>IF(t&lt;Tvie,1-EXP((T0-t)*PertePVj)+'2030'!Pspv,1-EXP((T0-t)*PertePVj)+Pspv)</f>
        <v>4.8464518176130622E-2</v>
      </c>
      <c r="M317" s="836"/>
      <c r="N317" s="836"/>
      <c r="O317" s="48">
        <f>IF(t&lt;Tnet,'2030'!Resal+('2030'!Salim-'2030'!Resal)*(1-EXP(('2030'!Tnet-t)/('2030'!Tau_j))),Resal+(Salim-Resal)*(1-EXP((Tnet-t)/(Tau_j))))*Salcycl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2.6634799951449242E-3</v>
      </c>
      <c r="Q317" s="301">
        <f t="shared" si="105"/>
        <v>0.5</v>
      </c>
      <c r="R317" s="173">
        <f t="shared" si="106"/>
        <v>0.46753509809151228</v>
      </c>
      <c r="S317" s="802">
        <f t="shared" si="107"/>
        <v>1</v>
      </c>
      <c r="T317" s="172">
        <f t="shared" si="108"/>
        <v>7</v>
      </c>
      <c r="U317" s="247">
        <f t="shared" si="109"/>
        <v>1.4675350980915123</v>
      </c>
      <c r="V317" s="378">
        <f t="shared" si="110"/>
        <v>27.731836943169764</v>
      </c>
      <c r="W317" s="397">
        <f t="shared" si="111"/>
        <v>20.220554738749001</v>
      </c>
      <c r="X317" s="153">
        <f t="shared" si="112"/>
        <v>48151</v>
      </c>
      <c r="Y317" s="380">
        <f t="shared" si="113"/>
        <v>19.364296188334542</v>
      </c>
      <c r="Z317" s="380">
        <f t="shared" si="114"/>
        <v>20.350577102198805</v>
      </c>
      <c r="AA317" s="381">
        <f t="shared" si="115"/>
        <v>21.339856926038212</v>
      </c>
      <c r="AB317" s="193">
        <f t="shared" si="116"/>
        <v>48151</v>
      </c>
      <c r="AC317" s="119">
        <f>IF(OR(t&lt;Tnet,NoTnet),'2030'!Resal_s+('2030'!Salim-'2030'!Resal_s)*(1-EXP(('2030'!Tnet_s-t)/'2030'!Tau_j)),Resal_s+(Salim-Resal_s)*(1-EXP((Tnet_s-t)/Tau_j)))*Salcycl</f>
        <v>4.6358315675130934E-2</v>
      </c>
      <c r="AD317" s="227">
        <f>(INDEX(Models!$BJ317:$BT317,,AH317)*(1-AF317)+INDEX(Models!$BJ317:$BT317,,AH317+1)*AF317-ERP_i)*AE317*Ramure*Pc/MaxiM</f>
        <v>1.6440705099594298E-2</v>
      </c>
      <c r="AE317" s="301">
        <f t="shared" si="117"/>
        <v>0.5</v>
      </c>
      <c r="AF317" s="173">
        <f t="shared" si="118"/>
        <v>0.99252266446548898</v>
      </c>
      <c r="AG317" s="802">
        <f t="shared" si="124"/>
        <v>4</v>
      </c>
      <c r="AH317" s="172">
        <f t="shared" si="119"/>
        <v>10</v>
      </c>
      <c r="AI317" s="221">
        <f t="shared" si="120"/>
        <v>4.992522664465489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48152</v>
      </c>
      <c r="B318" s="406">
        <f>'2030'!Wh/'2030'!Env_an*'2031'!Env_an</f>
        <v>19.395823955182479</v>
      </c>
      <c r="C318" s="832"/>
      <c r="D318" s="388">
        <f t="shared" si="102"/>
        <v>20.383989711220767</v>
      </c>
      <c r="E318" s="380">
        <f t="shared" si="125"/>
        <v>20.645545488520167</v>
      </c>
      <c r="F318" s="380">
        <f t="shared" si="103"/>
        <v>20.68282017372492</v>
      </c>
      <c r="G318" s="110">
        <f t="shared" si="126"/>
        <v>0.70779513886164103</v>
      </c>
      <c r="H318" s="409" t="b">
        <f>Wh_hp&gt;='2030'!Maxi_hp</f>
        <v>0</v>
      </c>
      <c r="I318" s="385">
        <f>IF(H318,Wh_hp,'2030'!Maxi_hp)</f>
        <v>20.701574892760259</v>
      </c>
      <c r="J318" s="85">
        <f>IF(H318,An,'2030'!An_max)</f>
        <v>2029</v>
      </c>
      <c r="K318" s="193">
        <f t="shared" si="104"/>
        <v>48152</v>
      </c>
      <c r="L318" s="143">
        <f>IF(t&lt;Tvie,1-EXP((T0-t)*PertePVj)+'2030'!Pspv,1-EXP((T0-t)*PertePVj)+Pspv)</f>
        <v>4.8477543897813669E-2</v>
      </c>
      <c r="M318" s="836"/>
      <c r="N318" s="836"/>
      <c r="O318" s="48">
        <f>IF(t&lt;Tnet,'2030'!Resal+('2030'!Salim-'2030'!Resal)*(1-EXP(('2030'!Tnet-t)/('2030'!Tau_j))),Resal+(Salim-Resal)*(1-EXP((Tnet-t)/(Tau_j))))*Salcycl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3.0866692503342722E-3</v>
      </c>
      <c r="Q318" s="301">
        <f t="shared" si="105"/>
        <v>0.5</v>
      </c>
      <c r="R318" s="173">
        <f t="shared" si="106"/>
        <v>0.46759368005737323</v>
      </c>
      <c r="S318" s="802">
        <f t="shared" si="107"/>
        <v>1</v>
      </c>
      <c r="T318" s="172">
        <f t="shared" si="108"/>
        <v>7</v>
      </c>
      <c r="U318" s="247">
        <f t="shared" si="109"/>
        <v>1.4675936800573732</v>
      </c>
      <c r="V318" s="378">
        <f t="shared" si="110"/>
        <v>27.367898806283382</v>
      </c>
      <c r="W318" s="397">
        <f t="shared" si="111"/>
        <v>19.395823955182479</v>
      </c>
      <c r="X318" s="153">
        <f t="shared" si="112"/>
        <v>48152</v>
      </c>
      <c r="Y318" s="380">
        <f t="shared" si="113"/>
        <v>18.570422768184624</v>
      </c>
      <c r="Z318" s="380">
        <f t="shared" si="114"/>
        <v>19.51653652427337</v>
      </c>
      <c r="AA318" s="381">
        <f t="shared" si="115"/>
        <v>20.465268303008568</v>
      </c>
      <c r="AB318" s="193">
        <f t="shared" si="116"/>
        <v>48152</v>
      </c>
      <c r="AC318" s="119">
        <f>IF(OR(t&lt;Tnet,NoTnet),'2030'!Resal_s+('2030'!Salim-'2030'!Resal_s)*(1-EXP(('2030'!Tnet_s-t)/'2030'!Tau_j)),Resal_s+(Salim-Resal_s)*(1-EXP((Tnet_s-t)/Tau_j)))*Salcycl</f>
        <v>4.6358140273964829E-2</v>
      </c>
      <c r="AD318" s="227">
        <f>(INDEX(Models!$BJ318:$BT318,,AH318)*(1-AF318)+INDEX(Models!$BJ318:$BT318,,AH318+1)*AF318-ERP_i)*AE318*Ramure*Pc/MaxiM</f>
        <v>1.8015193582567229E-2</v>
      </c>
      <c r="AE318" s="301">
        <f t="shared" si="117"/>
        <v>0.5</v>
      </c>
      <c r="AF318" s="173">
        <f t="shared" si="118"/>
        <v>0.99258124643135037</v>
      </c>
      <c r="AG318" s="802">
        <f t="shared" si="124"/>
        <v>4</v>
      </c>
      <c r="AH318" s="172">
        <f t="shared" si="119"/>
        <v>10</v>
      </c>
      <c r="AI318" s="221">
        <f t="shared" si="120"/>
        <v>4.9925812464313504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48153</v>
      </c>
      <c r="B319" s="406">
        <f>'2030'!Wh/'2030'!Env_an*'2031'!Env_an</f>
        <v>17.684626107808157</v>
      </c>
      <c r="C319" s="832"/>
      <c r="D319" s="388">
        <f t="shared" si="102"/>
        <v>18.585865299750218</v>
      </c>
      <c r="E319" s="380">
        <f t="shared" si="125"/>
        <v>18.82538214683122</v>
      </c>
      <c r="F319" s="380">
        <f t="shared" si="103"/>
        <v>18.859145128935523</v>
      </c>
      <c r="G319" s="110">
        <f t="shared" si="126"/>
        <v>0.65372865927660739</v>
      </c>
      <c r="H319" s="409" t="b">
        <f>Wh_hp&gt;='2030'!Maxi_hp</f>
        <v>0</v>
      </c>
      <c r="I319" s="385">
        <f>IF(H319,Wh_hp,'2030'!Maxi_hp)</f>
        <v>18.88226346904651</v>
      </c>
      <c r="J319" s="85">
        <f>IF(H319,An,'2030'!An_max)</f>
        <v>2029</v>
      </c>
      <c r="K319" s="193">
        <f t="shared" si="104"/>
        <v>48153</v>
      </c>
      <c r="L319" s="143">
        <f>IF(t&lt;Tvie,1-EXP((T0-t)*PertePVj)+'2030'!Pspv,1-EXP((T0-t)*PertePVj)+Pspv)</f>
        <v>4.8490569441185571E-2</v>
      </c>
      <c r="M319" s="836"/>
      <c r="N319" s="836"/>
      <c r="O319" s="48">
        <f>IF(t&lt;Tnet,'2030'!Resal+('2030'!Salim-'2030'!Resal)*(1-EXP(('2030'!Tnet-t)/('2030'!Tau_j))),Resal+(Salim-Resal)*(1-EXP((Tnet-t)/(Tau_j))))*Salcycl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3.5313960592509141E-3</v>
      </c>
      <c r="Q319" s="301">
        <f t="shared" si="105"/>
        <v>0.5</v>
      </c>
      <c r="R319" s="173">
        <f t="shared" si="106"/>
        <v>0.46764991626951491</v>
      </c>
      <c r="S319" s="802">
        <f t="shared" si="107"/>
        <v>1</v>
      </c>
      <c r="T319" s="172">
        <f t="shared" si="108"/>
        <v>7</v>
      </c>
      <c r="U319" s="247">
        <f t="shared" si="109"/>
        <v>1.4676499162695149</v>
      </c>
      <c r="V319" s="378">
        <f t="shared" si="110"/>
        <v>27.004751114484698</v>
      </c>
      <c r="W319" s="397">
        <f t="shared" si="111"/>
        <v>17.684626107808157</v>
      </c>
      <c r="X319" s="153">
        <f t="shared" si="112"/>
        <v>48153</v>
      </c>
      <c r="Y319" s="380">
        <f t="shared" si="113"/>
        <v>16.943220601784237</v>
      </c>
      <c r="Z319" s="380">
        <f t="shared" si="114"/>
        <v>17.806676484366118</v>
      </c>
      <c r="AA319" s="381">
        <f t="shared" si="115"/>
        <v>18.67228286129205</v>
      </c>
      <c r="AB319" s="193">
        <f t="shared" si="116"/>
        <v>48153</v>
      </c>
      <c r="AC319" s="119">
        <f>IF(OR(t&lt;Tnet,NoTnet),'2030'!Resal_s+('2030'!Salim-'2030'!Resal_s)*(1-EXP(('2030'!Tnet_s-t)/'2030'!Tau_j)),Resal_s+(Salim-Resal_s)*(1-EXP((Tnet_s-t)/Tau_j)))*Salcycl</f>
        <v>4.6357822627052556E-2</v>
      </c>
      <c r="AD319" s="227">
        <f>(INDEX(Models!$BJ319:$BT319,,AH319)*(1-AF319)+INDEX(Models!$BJ319:$BT319,,AH319+1)*AF319-ERP_i)*AE319*Ramure*Pc/MaxiM</f>
        <v>1.9544620600759972E-2</v>
      </c>
      <c r="AE319" s="301">
        <f t="shared" si="117"/>
        <v>0.5</v>
      </c>
      <c r="AF319" s="173">
        <f t="shared" si="118"/>
        <v>0.99263748264349161</v>
      </c>
      <c r="AG319" s="802">
        <f t="shared" si="124"/>
        <v>4</v>
      </c>
      <c r="AH319" s="172">
        <f t="shared" si="119"/>
        <v>10</v>
      </c>
      <c r="AI319" s="221">
        <f t="shared" si="120"/>
        <v>4.9926374826434916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48154</v>
      </c>
      <c r="B320" s="406">
        <f>'2030'!Wh/'2030'!Env_an*'2031'!Env_an</f>
        <v>24.477822114053716</v>
      </c>
      <c r="C320" s="832"/>
      <c r="D320" s="388">
        <f t="shared" si="102"/>
        <v>25.725606508276133</v>
      </c>
      <c r="E320" s="380">
        <f t="shared" si="125"/>
        <v>26.058560273896383</v>
      </c>
      <c r="F320" s="380">
        <f t="shared" si="103"/>
        <v>26.150975369628483</v>
      </c>
      <c r="G320" s="110">
        <f t="shared" si="126"/>
        <v>0.91830870008160326</v>
      </c>
      <c r="H320" s="409" t="b">
        <f>Wh_hp&gt;='2030'!Maxi_hp</f>
        <v>0</v>
      </c>
      <c r="I320" s="385">
        <f>IF(H320,Wh_hp,'2030'!Maxi_hp)</f>
        <v>26.159500551407298</v>
      </c>
      <c r="J320" s="85">
        <f>IF(H320,An,'2030'!An_max)</f>
        <v>2029</v>
      </c>
      <c r="K320" s="193">
        <f t="shared" si="104"/>
        <v>48154</v>
      </c>
      <c r="L320" s="143">
        <f>IF(t&lt;Tvie,1-EXP((T0-t)*PertePVj)+'2030'!Pspv,1-EXP((T0-t)*PertePVj)+Pspv)</f>
        <v>4.8503594806248662E-2</v>
      </c>
      <c r="M320" s="836"/>
      <c r="N320" s="836"/>
      <c r="O320" s="48">
        <f>IF(t&lt;Tnet,'2030'!Resal+('2030'!Salim-'2030'!Resal)*(1-EXP(('2030'!Tnet-t)/('2030'!Tau_j))),Resal+(Salim-Resal)*(1-EXP((Tnet-t)/(Tau_j))))*Salcycl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3.9980409547832911E-3</v>
      </c>
      <c r="Q320" s="301">
        <f t="shared" si="105"/>
        <v>0.5</v>
      </c>
      <c r="R320" s="173">
        <f t="shared" si="106"/>
        <v>0.46770390015886898</v>
      </c>
      <c r="S320" s="802">
        <f t="shared" si="107"/>
        <v>1</v>
      </c>
      <c r="T320" s="172">
        <f t="shared" si="108"/>
        <v>7</v>
      </c>
      <c r="U320" s="247">
        <f t="shared" si="109"/>
        <v>1.467703900158869</v>
      </c>
      <c r="V320" s="378">
        <f t="shared" si="110"/>
        <v>26.642915192271051</v>
      </c>
      <c r="W320" s="397">
        <f t="shared" si="111"/>
        <v>24.477822114053716</v>
      </c>
      <c r="X320" s="153">
        <f t="shared" si="112"/>
        <v>48154</v>
      </c>
      <c r="Y320" s="380">
        <f t="shared" si="113"/>
        <v>23.288017279316932</v>
      </c>
      <c r="Z320" s="380">
        <f t="shared" si="114"/>
        <v>24.475150039662882</v>
      </c>
      <c r="AA320" s="381">
        <f t="shared" si="115"/>
        <v>25.664908730980617</v>
      </c>
      <c r="AB320" s="193">
        <f t="shared" si="116"/>
        <v>48154</v>
      </c>
      <c r="AC320" s="119">
        <f>IF(OR(t&lt;Tnet,NoTnet),'2030'!Resal_s+('2030'!Salim-'2030'!Resal_s)*(1-EXP(('2030'!Tnet_s-t)/'2030'!Tau_j)),Resal_s+(Salim-Resal_s)*(1-EXP((Tnet_s-t)/Tau_j)))*Salcycl</f>
        <v>4.6357409792054008E-2</v>
      </c>
      <c r="AD320" s="227">
        <f>(INDEX(Models!$BJ320:$BT320,,AH320)*(1-AF320)+INDEX(Models!$BJ320:$BT320,,AH320+1)*AF320-ERP_i)*AE320*Ramure*Pc/MaxiM</f>
        <v>2.1028104907248608E-2</v>
      </c>
      <c r="AE320" s="301">
        <f t="shared" si="117"/>
        <v>0.5</v>
      </c>
      <c r="AF320" s="173">
        <f t="shared" si="118"/>
        <v>0.9926914665328459</v>
      </c>
      <c r="AG320" s="802">
        <f t="shared" si="124"/>
        <v>4</v>
      </c>
      <c r="AH320" s="172">
        <f t="shared" si="119"/>
        <v>10</v>
      </c>
      <c r="AI320" s="221">
        <f t="shared" si="120"/>
        <v>4.9926914665328459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48155</v>
      </c>
      <c r="B321" s="406">
        <f>'2030'!Wh/'2030'!Env_an*'2031'!Env_an</f>
        <v>8.8778028956211674</v>
      </c>
      <c r="C321" s="832"/>
      <c r="D321" s="388">
        <f t="shared" si="102"/>
        <v>9.3304865667290002</v>
      </c>
      <c r="E321" s="380">
        <f t="shared" si="125"/>
        <v>9.4517626294631754</v>
      </c>
      <c r="F321" s="380">
        <f t="shared" si="103"/>
        <v>9.4540520145191351</v>
      </c>
      <c r="G321" s="110">
        <f t="shared" si="126"/>
        <v>0.33634435832390874</v>
      </c>
      <c r="H321" s="409" t="b">
        <f>Wh_hp&gt;='2030'!Maxi_hp</f>
        <v>0</v>
      </c>
      <c r="I321" s="385">
        <f>IF(H321,Wh_hp,'2030'!Maxi_hp)</f>
        <v>9.4821264073197273</v>
      </c>
      <c r="J321" s="85">
        <f>IF(H321,An,'2030'!An_max)</f>
        <v>2029</v>
      </c>
      <c r="K321" s="193">
        <f t="shared" si="104"/>
        <v>48155</v>
      </c>
      <c r="L321" s="143">
        <f>IF(t&lt;Tvie,1-EXP((T0-t)*PertePVj)+'2030'!Pspv,1-EXP((T0-t)*PertePVj)+Pspv)</f>
        <v>4.8516619993005494E-2</v>
      </c>
      <c r="M321" s="836"/>
      <c r="N321" s="836"/>
      <c r="O321" s="48">
        <f>IF(t&lt;Tnet,'2030'!Resal+('2030'!Salim-'2030'!Resal)*(1-EXP(('2030'!Tnet-t)/('2030'!Tau_j))),Resal+(Salim-Resal)*(1-EXP((Tnet-t)/(Tau_j))))*Salcycl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4.4869788175955199E-3</v>
      </c>
      <c r="Q321" s="301">
        <f t="shared" si="105"/>
        <v>0.5</v>
      </c>
      <c r="R321" s="173">
        <f t="shared" si="106"/>
        <v>0.46775572147426225</v>
      </c>
      <c r="S321" s="802">
        <f t="shared" si="107"/>
        <v>1</v>
      </c>
      <c r="T321" s="172">
        <f t="shared" si="108"/>
        <v>7</v>
      </c>
      <c r="U321" s="247">
        <f t="shared" si="109"/>
        <v>1.4677557214742623</v>
      </c>
      <c r="V321" s="378">
        <f t="shared" si="110"/>
        <v>26.282911773231795</v>
      </c>
      <c r="W321" s="397">
        <f t="shared" si="111"/>
        <v>8.8778028956211674</v>
      </c>
      <c r="X321" s="153">
        <f t="shared" si="112"/>
        <v>48155</v>
      </c>
      <c r="Y321" s="380">
        <f t="shared" si="113"/>
        <v>8.5679748456050504</v>
      </c>
      <c r="Z321" s="380">
        <f t="shared" si="114"/>
        <v>9.0048602273452918</v>
      </c>
      <c r="AA321" s="381">
        <f t="shared" si="115"/>
        <v>9.4425898903346148</v>
      </c>
      <c r="AB321" s="193">
        <f t="shared" si="116"/>
        <v>48155</v>
      </c>
      <c r="AC321" s="119">
        <f>IF(OR(t&lt;Tnet,NoTnet),'2030'!Resal_s+('2030'!Salim-'2030'!Resal_s)*(1-EXP(('2030'!Tnet_s-t)/'2030'!Tau_j)),Resal_s+(Salim-Resal_s)*(1-EXP((Tnet_s-t)/Tau_j)))*Salcycl</f>
        <v>4.6356949531121933E-2</v>
      </c>
      <c r="AD321" s="227">
        <f>(INDEX(Models!$BJ321:$BT321,,AH321)*(1-AF321)+INDEX(Models!$BJ321:$BT321,,AH321+1)*AF321-ERP_i)*AE321*Ramure*Pc/MaxiM</f>
        <v>2.2464682507951885E-2</v>
      </c>
      <c r="AE321" s="301">
        <f t="shared" si="117"/>
        <v>0.5</v>
      </c>
      <c r="AF321" s="173">
        <f t="shared" si="118"/>
        <v>0.9927432878482394</v>
      </c>
      <c r="AG321" s="802">
        <f t="shared" si="124"/>
        <v>4</v>
      </c>
      <c r="AH321" s="172">
        <f t="shared" si="119"/>
        <v>10</v>
      </c>
      <c r="AI321" s="221">
        <f t="shared" si="120"/>
        <v>4.9927432878482394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48156</v>
      </c>
      <c r="B322" s="406">
        <f>'2030'!Wh/'2030'!Env_an*'2031'!Env_an</f>
        <v>12.31797963472615</v>
      </c>
      <c r="C322" s="832"/>
      <c r="D322" s="388">
        <f t="shared" si="102"/>
        <v>12.946256885475986</v>
      </c>
      <c r="E322" s="380">
        <f t="shared" si="125"/>
        <v>13.115244765455603</v>
      </c>
      <c r="F322" s="380">
        <f t="shared" si="103"/>
        <v>13.131667263314318</v>
      </c>
      <c r="G322" s="110">
        <f t="shared" si="126"/>
        <v>0.4733512379845185</v>
      </c>
      <c r="H322" s="409" t="b">
        <f>Wh_hp&gt;='2030'!Maxi_hp</f>
        <v>0</v>
      </c>
      <c r="I322" s="385">
        <f>IF(H322,Wh_hp,'2030'!Maxi_hp)</f>
        <v>13.16600405306964</v>
      </c>
      <c r="J322" s="85">
        <f>IF(H322,An,'2030'!An_max)</f>
        <v>2029</v>
      </c>
      <c r="K322" s="193">
        <f t="shared" si="104"/>
        <v>48156</v>
      </c>
      <c r="L322" s="143">
        <f>IF(t&lt;Tvie,1-EXP((T0-t)*PertePVj)+'2030'!Pspv,1-EXP((T0-t)*PertePVj)+Pspv)</f>
        <v>4.8529645001458399E-2</v>
      </c>
      <c r="M322" s="836"/>
      <c r="N322" s="836"/>
      <c r="O322" s="48">
        <f>IF(t&lt;Tnet,'2030'!Resal+('2030'!Salim-'2030'!Resal)*(1-EXP(('2030'!Tnet-t)/('2030'!Tau_j))),Resal+(Salim-Resal)*(1-EXP((Tnet-t)/(Tau_j))))*Salcycl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4.9985757367473904E-3</v>
      </c>
      <c r="Q322" s="301">
        <f t="shared" si="105"/>
        <v>0.5</v>
      </c>
      <c r="R322" s="173">
        <f t="shared" si="106"/>
        <v>0.46780546642443466</v>
      </c>
      <c r="S322" s="802">
        <f t="shared" si="107"/>
        <v>1</v>
      </c>
      <c r="T322" s="172">
        <f t="shared" si="108"/>
        <v>7</v>
      </c>
      <c r="U322" s="247">
        <f t="shared" si="109"/>
        <v>1.4678054664244347</v>
      </c>
      <c r="V322" s="378">
        <f t="shared" si="110"/>
        <v>25.92526095709793</v>
      </c>
      <c r="W322" s="397">
        <f t="shared" si="111"/>
        <v>12.31797963472615</v>
      </c>
      <c r="X322" s="153">
        <f t="shared" si="112"/>
        <v>48156</v>
      </c>
      <c r="Y322" s="380">
        <f t="shared" si="113"/>
        <v>11.844087237780235</v>
      </c>
      <c r="Z322" s="380">
        <f t="shared" si="114"/>
        <v>12.448193656856906</v>
      </c>
      <c r="AA322" s="381">
        <f t="shared" si="115"/>
        <v>13.053298772184778</v>
      </c>
      <c r="AB322" s="193">
        <f t="shared" si="116"/>
        <v>48156</v>
      </c>
      <c r="AC322" s="119">
        <f>IF(OR(t&lt;Tnet,NoTnet),'2030'!Resal_s+('2030'!Salim-'2030'!Resal_s)*(1-EXP(('2030'!Tnet_s-t)/'2030'!Tau_j)),Resal_s+(Salim-Resal_s)*(1-EXP((Tnet_s-t)/Tau_j)))*Salcycl</f>
        <v>4.6356490101742608E-2</v>
      </c>
      <c r="AD322" s="227">
        <f>(INDEX(Models!$BJ322:$BT322,,AH322)*(1-AF322)+INDEX(Models!$BJ322:$BT322,,AH322+1)*AF322-ERP_i)*AE322*Ramure*Pc/MaxiM</f>
        <v>2.3853304269284246E-2</v>
      </c>
      <c r="AE322" s="301">
        <f t="shared" si="117"/>
        <v>0.5</v>
      </c>
      <c r="AF322" s="173">
        <f t="shared" si="118"/>
        <v>0.9927930327984118</v>
      </c>
      <c r="AG322" s="802">
        <f t="shared" si="124"/>
        <v>4</v>
      </c>
      <c r="AH322" s="172">
        <f t="shared" si="119"/>
        <v>10</v>
      </c>
      <c r="AI322" s="221">
        <f t="shared" si="120"/>
        <v>4.9927930327984118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48157</v>
      </c>
      <c r="B323" s="406">
        <f>'2030'!Wh/'2030'!Env_an*'2031'!Env_an</f>
        <v>24.816371443419509</v>
      </c>
      <c r="C323" s="832"/>
      <c r="D323" s="388">
        <f t="shared" si="102"/>
        <v>26.082484896119805</v>
      </c>
      <c r="E323" s="380">
        <f t="shared" si="125"/>
        <v>26.424377326514161</v>
      </c>
      <c r="F323" s="380">
        <f t="shared" si="103"/>
        <v>26.565174576141111</v>
      </c>
      <c r="G323" s="110">
        <f t="shared" si="126"/>
        <v>0.97028109801985363</v>
      </c>
      <c r="H323" s="409" t="b">
        <f>Wh_hp&gt;='2030'!Maxi_hp</f>
        <v>0</v>
      </c>
      <c r="I323" s="385">
        <f>IF(H323,Wh_hp,'2030'!Maxi_hp)</f>
        <v>26.56948731621242</v>
      </c>
      <c r="J323" s="85">
        <f>IF(H323,An,'2030'!An_max)</f>
        <v>2029</v>
      </c>
      <c r="K323" s="193">
        <f t="shared" si="104"/>
        <v>48157</v>
      </c>
      <c r="L323" s="143">
        <f>IF(t&lt;Tvie,1-EXP((T0-t)*PertePVj)+'2030'!Pspv,1-EXP((T0-t)*PertePVj)+Pspv)</f>
        <v>4.854266983160993E-2</v>
      </c>
      <c r="M323" s="836"/>
      <c r="N323" s="836"/>
      <c r="O323" s="48">
        <f>IF(t&lt;Tnet,'2030'!Resal+('2030'!Salim-'2030'!Resal)*(1-EXP(('2030'!Tnet-t)/('2030'!Tau_j))),Resal+(Salim-Resal)*(1-EXP((Tnet-t)/(Tau_j))))*Salcycl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5.5331853695966115E-3</v>
      </c>
      <c r="Q323" s="301">
        <f t="shared" si="105"/>
        <v>0.5</v>
      </c>
      <c r="R323" s="173">
        <f t="shared" si="106"/>
        <v>0.46785321781482403</v>
      </c>
      <c r="S323" s="802">
        <f t="shared" si="107"/>
        <v>1</v>
      </c>
      <c r="T323" s="172">
        <f t="shared" si="108"/>
        <v>7</v>
      </c>
      <c r="U323" s="247">
        <f t="shared" si="109"/>
        <v>1.467853217814824</v>
      </c>
      <c r="V323" s="378">
        <f t="shared" si="110"/>
        <v>25.570482161017829</v>
      </c>
      <c r="W323" s="397">
        <f t="shared" si="111"/>
        <v>24.816371443419509</v>
      </c>
      <c r="X323" s="153">
        <f t="shared" si="112"/>
        <v>48157</v>
      </c>
      <c r="Y323" s="380">
        <f t="shared" si="113"/>
        <v>23.522287831737795</v>
      </c>
      <c r="Z323" s="380">
        <f t="shared" si="114"/>
        <v>24.722378067731942</v>
      </c>
      <c r="AA323" s="381">
        <f t="shared" si="115"/>
        <v>25.924118583822413</v>
      </c>
      <c r="AB323" s="193">
        <f t="shared" si="116"/>
        <v>48157</v>
      </c>
      <c r="AC323" s="119">
        <f>IF(OR(t&lt;Tnet,NoTnet),'2030'!Resal_s+('2030'!Salim-'2030'!Resal_s)*(1-EXP(('2030'!Tnet_s-t)/'2030'!Tau_j)),Resal_s+(Salim-Resal_s)*(1-EXP((Tnet_s-t)/Tau_j)))*Salcycl</f>
        <v>4.6356080042019313E-2</v>
      </c>
      <c r="AD323" s="227">
        <f>(INDEX(Models!$BJ323:$BT323,,AH323)*(1-AF323)+INDEX(Models!$BJ323:$BT323,,AH323+1)*AF323-ERP_i)*AE323*Ramure*Pc/MaxiM</f>
        <v>2.5192833291760527E-2</v>
      </c>
      <c r="AE323" s="301">
        <f t="shared" si="117"/>
        <v>0.5</v>
      </c>
      <c r="AF323" s="173">
        <f t="shared" si="118"/>
        <v>0.99284078418880117</v>
      </c>
      <c r="AG323" s="802">
        <f t="shared" si="124"/>
        <v>4</v>
      </c>
      <c r="AH323" s="172">
        <f t="shared" si="119"/>
        <v>10</v>
      </c>
      <c r="AI323" s="221">
        <f t="shared" si="120"/>
        <v>4.9928407841888012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48158</v>
      </c>
      <c r="B324" s="406">
        <f>'2030'!Wh/'2030'!Env_an*'2031'!Env_an</f>
        <v>24.869003760299424</v>
      </c>
      <c r="C324" s="832"/>
      <c r="D324" s="388">
        <f t="shared" si="102"/>
        <v>26.138160285481014</v>
      </c>
      <c r="E324" s="380">
        <f t="shared" si="125"/>
        <v>26.482220103057379</v>
      </c>
      <c r="F324" s="380">
        <f t="shared" si="103"/>
        <v>26.640404712176473</v>
      </c>
      <c r="G324" s="110">
        <f t="shared" si="126"/>
        <v>0.98596589650573208</v>
      </c>
      <c r="H324" s="409" t="b">
        <f>Wh_hp&gt;='2030'!Maxi_hp</f>
        <v>0</v>
      </c>
      <c r="I324" s="385">
        <f>IF(H324,Wh_hp,'2030'!Maxi_hp)</f>
        <v>26.642633436722377</v>
      </c>
      <c r="J324" s="85">
        <f>IF(H324,An,'2030'!An_max)</f>
        <v>2029</v>
      </c>
      <c r="K324" s="193">
        <f t="shared" si="104"/>
        <v>48158</v>
      </c>
      <c r="L324" s="143">
        <f>IF(t&lt;Tvie,1-EXP((T0-t)*PertePVj)+'2030'!Pspv,1-EXP((T0-t)*PertePVj)+Pspv)</f>
        <v>4.855569448346253E-2</v>
      </c>
      <c r="M324" s="836"/>
      <c r="N324" s="836"/>
      <c r="O324" s="48">
        <f>IF(t&lt;Tnet,'2030'!Resal+('2030'!Salim-'2030'!Resal)*(1-EXP(('2030'!Tnet-t)/('2030'!Tau_j))),Resal+(Salim-Resal)*(1-EXP((Tnet-t)/(Tau_j))))*Salcycl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6.0581956971426489E-3</v>
      </c>
      <c r="Q324" s="301">
        <f t="shared" si="105"/>
        <v>0.5</v>
      </c>
      <c r="R324" s="173">
        <f t="shared" si="106"/>
        <v>0.4678990551792932</v>
      </c>
      <c r="S324" s="802">
        <f t="shared" si="107"/>
        <v>1</v>
      </c>
      <c r="T324" s="172">
        <f t="shared" si="108"/>
        <v>7</v>
      </c>
      <c r="U324" s="247">
        <f t="shared" si="109"/>
        <v>1.4678990551792932</v>
      </c>
      <c r="V324" s="378">
        <f t="shared" si="110"/>
        <v>25.21993012606228</v>
      </c>
      <c r="W324" s="397">
        <f t="shared" si="111"/>
        <v>24.869003760299424</v>
      </c>
      <c r="X324" s="153">
        <f t="shared" si="112"/>
        <v>48158</v>
      </c>
      <c r="Y324" s="380">
        <f t="shared" si="113"/>
        <v>23.545906888896852</v>
      </c>
      <c r="Z324" s="380">
        <f t="shared" si="114"/>
        <v>24.747540925281822</v>
      </c>
      <c r="AA324" s="381">
        <f t="shared" si="115"/>
        <v>25.95049610076423</v>
      </c>
      <c r="AB324" s="193">
        <f t="shared" si="116"/>
        <v>48158</v>
      </c>
      <c r="AC324" s="119">
        <f>IF(OR(t&lt;Tnet,NoTnet),'2030'!Resal_s+('2030'!Salim-'2030'!Resal_s)*(1-EXP(('2030'!Tnet_s-t)/'2030'!Tau_j)),Resal_s+(Salim-Resal_s)*(1-EXP((Tnet_s-t)/Tau_j)))*Salcycl</f>
        <v>4.6355767951849765E-2</v>
      </c>
      <c r="AD324" s="227">
        <f>(INDEX(Models!$BJ324:$BT324,,AH324)*(1-AF324)+INDEX(Models!$BJ324:$BT324,,AH324+1)*AF324-ERP_i)*AE324*Ramure*Pc/MaxiM</f>
        <v>2.6422301160364783E-2</v>
      </c>
      <c r="AE324" s="301">
        <f t="shared" si="117"/>
        <v>0.5</v>
      </c>
      <c r="AF324" s="173">
        <f t="shared" si="118"/>
        <v>0.99288662155326968</v>
      </c>
      <c r="AG324" s="802">
        <f t="shared" si="124"/>
        <v>4</v>
      </c>
      <c r="AH324" s="172">
        <f t="shared" si="119"/>
        <v>10</v>
      </c>
      <c r="AI324" s="221">
        <f t="shared" si="120"/>
        <v>4.9928866215532697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48159</v>
      </c>
      <c r="B325" s="406">
        <f>'2030'!Wh/'2030'!Env_an*'2031'!Env_an</f>
        <v>24.664687127830973</v>
      </c>
      <c r="C325" s="832"/>
      <c r="D325" s="388">
        <f t="shared" si="102"/>
        <v>25.923771500126588</v>
      </c>
      <c r="E325" s="380">
        <f t="shared" si="125"/>
        <v>26.266433038084251</v>
      </c>
      <c r="F325" s="380">
        <f t="shared" si="103"/>
        <v>26.437471382146583</v>
      </c>
      <c r="G325" s="110">
        <f t="shared" si="126"/>
        <v>0.99147732338662253</v>
      </c>
      <c r="H325" s="409" t="b">
        <f>Wh_hp&gt;='2030'!Maxi_hp</f>
        <v>0</v>
      </c>
      <c r="I325" s="385">
        <f>IF(H325,Wh_hp,'2030'!Maxi_hp)</f>
        <v>26.438919159325689</v>
      </c>
      <c r="J325" s="85">
        <f>IF(H325,An,'2030'!An_max)</f>
        <v>2029</v>
      </c>
      <c r="K325" s="193">
        <f t="shared" si="104"/>
        <v>48159</v>
      </c>
      <c r="L325" s="143">
        <f>IF(t&lt;Tvie,1-EXP((T0-t)*PertePVj)+'2030'!Pspv,1-EXP((T0-t)*PertePVj)+Pspv)</f>
        <v>4.8568718957018531E-2</v>
      </c>
      <c r="M325" s="836"/>
      <c r="N325" s="836"/>
      <c r="O325" s="48">
        <f>IF(t&lt;Tnet,'2030'!Resal+('2030'!Salim-'2030'!Resal)*(1-EXP(('2030'!Tnet-t)/('2030'!Tau_j))),Resal+(Salim-Resal)*(1-EXP((Tnet-t)/(Tau_j))))*Salcycl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6.5485350312957831E-3</v>
      </c>
      <c r="Q325" s="301">
        <f t="shared" si="105"/>
        <v>0.5</v>
      </c>
      <c r="R325" s="173">
        <f t="shared" si="106"/>
        <v>0.46794305490696431</v>
      </c>
      <c r="S325" s="802">
        <f t="shared" si="107"/>
        <v>1</v>
      </c>
      <c r="T325" s="172">
        <f t="shared" si="108"/>
        <v>7</v>
      </c>
      <c r="U325" s="247">
        <f t="shared" si="109"/>
        <v>1.4679430549069643</v>
      </c>
      <c r="V325" s="378">
        <f t="shared" si="110"/>
        <v>24.874725354348236</v>
      </c>
      <c r="W325" s="397">
        <f t="shared" si="111"/>
        <v>24.664687127830973</v>
      </c>
      <c r="X325" s="153">
        <f t="shared" si="112"/>
        <v>48159</v>
      </c>
      <c r="Y325" s="380">
        <f t="shared" si="113"/>
        <v>23.334966923224233</v>
      </c>
      <c r="Z325" s="380">
        <f t="shared" si="114"/>
        <v>24.526171661755633</v>
      </c>
      <c r="AA325" s="381">
        <f t="shared" si="115"/>
        <v>25.718361813035095</v>
      </c>
      <c r="AB325" s="193">
        <f t="shared" si="116"/>
        <v>48159</v>
      </c>
      <c r="AC325" s="119">
        <f>IF(OR(t&lt;Tnet,NoTnet),'2030'!Resal_s+('2030'!Salim-'2030'!Resal_s)*(1-EXP(('2030'!Tnet_s-t)/'2030'!Tau_j)),Resal_s+(Salim-Resal_s)*(1-EXP((Tnet_s-t)/Tau_j)))*Salcycl</f>
        <v>4.6355602271495024E-2</v>
      </c>
      <c r="AD325" s="227">
        <f>(INDEX(Models!$BJ325:$BT325,,AH325)*(1-AF325)+INDEX(Models!$BJ325:$BT325,,AH325+1)*AF325-ERP_i)*AE325*Ramure*Pc/MaxiM</f>
        <v>2.7532505827759755E-2</v>
      </c>
      <c r="AE325" s="301">
        <f t="shared" si="117"/>
        <v>0.5</v>
      </c>
      <c r="AF325" s="173">
        <f t="shared" si="118"/>
        <v>0.99293062128094078</v>
      </c>
      <c r="AG325" s="802">
        <f t="shared" si="124"/>
        <v>4</v>
      </c>
      <c r="AH325" s="172">
        <f t="shared" si="119"/>
        <v>10</v>
      </c>
      <c r="AI325" s="221">
        <f t="shared" si="120"/>
        <v>4.9929306212809408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48160</v>
      </c>
      <c r="B326" s="406">
        <f>'2030'!Wh/'2030'!Env_an*'2031'!Env_an</f>
        <v>17.841316907185846</v>
      </c>
      <c r="C326" s="832"/>
      <c r="D326" s="388">
        <f t="shared" si="102"/>
        <v>18.752338186334271</v>
      </c>
      <c r="E326" s="380">
        <f t="shared" si="125"/>
        <v>19.001236090674759</v>
      </c>
      <c r="F326" s="380">
        <f t="shared" si="103"/>
        <v>19.082791554136524</v>
      </c>
      <c r="G326" s="110">
        <f t="shared" si="126"/>
        <v>0.72517426148124586</v>
      </c>
      <c r="H326" s="409" t="b">
        <f>Wh_hp&gt;='2030'!Maxi_hp</f>
        <v>0</v>
      </c>
      <c r="I326" s="385">
        <f>IF(H326,Wh_hp,'2030'!Maxi_hp)</f>
        <v>19.118807313115258</v>
      </c>
      <c r="J326" s="85">
        <f>IF(H326,An,'2030'!An_max)</f>
        <v>2029</v>
      </c>
      <c r="K326" s="193">
        <f t="shared" si="104"/>
        <v>48160</v>
      </c>
      <c r="L326" s="143">
        <f>IF(t&lt;Tvie,1-EXP((T0-t)*PertePVj)+'2030'!Pspv,1-EXP((T0-t)*PertePVj)+Pspv)</f>
        <v>4.8581743252280374E-2</v>
      </c>
      <c r="M326" s="836"/>
      <c r="N326" s="836"/>
      <c r="O326" s="48">
        <f>IF(t&lt;Tnet,'2030'!Resal+('2030'!Salim-'2030'!Resal)*(1-EXP(('2030'!Tnet-t)/('2030'!Tau_j))),Resal+(Salim-Resal)*(1-EXP((Tnet-t)/(Tau_j))))*Salcycl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7.0034298971755017E-3</v>
      </c>
      <c r="Q326" s="301">
        <f t="shared" si="105"/>
        <v>0.5</v>
      </c>
      <c r="R326" s="173">
        <f t="shared" si="106"/>
        <v>0.46798529036433045</v>
      </c>
      <c r="S326" s="802">
        <f t="shared" si="107"/>
        <v>1</v>
      </c>
      <c r="T326" s="172">
        <f t="shared" si="108"/>
        <v>7</v>
      </c>
      <c r="U326" s="247">
        <f t="shared" si="109"/>
        <v>1.4679852903643305</v>
      </c>
      <c r="V326" s="378">
        <f t="shared" si="110"/>
        <v>24.535353910426451</v>
      </c>
      <c r="W326" s="397">
        <f t="shared" si="111"/>
        <v>17.841316907185846</v>
      </c>
      <c r="X326" s="153">
        <f t="shared" si="112"/>
        <v>48160</v>
      </c>
      <c r="Y326" s="380">
        <f t="shared" si="113"/>
        <v>17.012752934610209</v>
      </c>
      <c r="Z326" s="380">
        <f t="shared" si="114"/>
        <v>17.881465710744031</v>
      </c>
      <c r="AA326" s="381">
        <f t="shared" si="115"/>
        <v>18.750664601105267</v>
      </c>
      <c r="AB326" s="193">
        <f t="shared" si="116"/>
        <v>48160</v>
      </c>
      <c r="AC326" s="119">
        <f>IF(OR(t&lt;Tnet,NoTnet),'2030'!Resal_s+('2030'!Salim-'2030'!Resal_s)*(1-EXP(('2030'!Tnet_s-t)/'2030'!Tau_j)),Resal_s+(Salim-Resal_s)*(1-EXP((Tnet_s-t)/Tau_j)))*Salcycl</f>
        <v>4.6355631059071929E-2</v>
      </c>
      <c r="AD326" s="227">
        <f>(INDEX(Models!$BJ326:$BT326,,AH326)*(1-AF326)+INDEX(Models!$BJ326:$BT326,,AH326+1)*AF326-ERP_i)*AE326*Ramure*Pc/MaxiM</f>
        <v>2.8520809444083695E-2</v>
      </c>
      <c r="AE326" s="301">
        <f t="shared" si="117"/>
        <v>0.5</v>
      </c>
      <c r="AF326" s="173">
        <f t="shared" si="118"/>
        <v>0.99297285673830693</v>
      </c>
      <c r="AG326" s="802">
        <f t="shared" si="124"/>
        <v>4</v>
      </c>
      <c r="AH326" s="172">
        <f t="shared" si="119"/>
        <v>10</v>
      </c>
      <c r="AI326" s="221">
        <f t="shared" si="120"/>
        <v>4.9929728567383069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48161</v>
      </c>
      <c r="B327" s="406">
        <f>'2030'!Wh/'2030'!Env_an*'2031'!Env_an</f>
        <v>9.9489156065652828</v>
      </c>
      <c r="C327" s="832"/>
      <c r="D327" s="388">
        <f t="shared" si="102"/>
        <v>10.457074719943824</v>
      </c>
      <c r="E327" s="380">
        <f t="shared" si="125"/>
        <v>10.596443544678221</v>
      </c>
      <c r="F327" s="380">
        <f t="shared" si="103"/>
        <v>10.608937728805811</v>
      </c>
      <c r="G327" s="110">
        <f t="shared" si="126"/>
        <v>0.40850320070395246</v>
      </c>
      <c r="H327" s="409" t="b">
        <f>Wh_hp&gt;='2030'!Maxi_hp</f>
        <v>0</v>
      </c>
      <c r="I327" s="385">
        <f>IF(H327,Wh_hp,'2030'!Maxi_hp)</f>
        <v>10.654615352614371</v>
      </c>
      <c r="J327" s="85">
        <f>IF(H327,An,'2030'!An_max)</f>
        <v>2029</v>
      </c>
      <c r="K327" s="193">
        <f t="shared" si="104"/>
        <v>48161</v>
      </c>
      <c r="L327" s="143">
        <f>IF(t&lt;Tvie,1-EXP((T0-t)*PertePVj)+'2030'!Pspv,1-EXP((T0-t)*PertePVj)+Pspv)</f>
        <v>4.8594767369250613E-2</v>
      </c>
      <c r="M327" s="836"/>
      <c r="N327" s="836"/>
      <c r="O327" s="48">
        <f>IF(t&lt;Tnet,'2030'!Resal+('2030'!Salim-'2030'!Resal)*(1-EXP(('2030'!Tnet-t)/('2030'!Tau_j))),Resal+(Salim-Resal)*(1-EXP((Tnet-t)/(Tau_j))))*Salcycl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7.4220705056908349E-3</v>
      </c>
      <c r="Q327" s="301">
        <f t="shared" si="105"/>
        <v>0.5</v>
      </c>
      <c r="R327" s="173">
        <f t="shared" si="106"/>
        <v>0.4680258320127999</v>
      </c>
      <c r="S327" s="802">
        <f t="shared" si="107"/>
        <v>1</v>
      </c>
      <c r="T327" s="172">
        <f t="shared" si="108"/>
        <v>7</v>
      </c>
      <c r="U327" s="247">
        <f t="shared" si="109"/>
        <v>1.4680258320127999</v>
      </c>
      <c r="V327" s="378">
        <f t="shared" si="110"/>
        <v>24.20230162068437</v>
      </c>
      <c r="W327" s="397">
        <f t="shared" si="111"/>
        <v>9.9489156065652828</v>
      </c>
      <c r="X327" s="153">
        <f t="shared" si="112"/>
        <v>48161</v>
      </c>
      <c r="Y327" s="380">
        <f t="shared" si="113"/>
        <v>9.5806302878168932</v>
      </c>
      <c r="Z327" s="380">
        <f t="shared" si="114"/>
        <v>10.069978553013948</v>
      </c>
      <c r="AA327" s="381">
        <f t="shared" si="115"/>
        <v>10.559472419206084</v>
      </c>
      <c r="AB327" s="193">
        <f t="shared" si="116"/>
        <v>48161</v>
      </c>
      <c r="AC327" s="119">
        <f>IF(OR(t&lt;Tnet,NoTnet),'2030'!Resal_s+('2030'!Salim-'2030'!Resal_s)*(1-EXP(('2030'!Tnet_s-t)/'2030'!Tau_j)),Resal_s+(Salim-Resal_s)*(1-EXP((Tnet_s-t)/Tau_j)))*Salcycl</f>
        <v>4.6355901768522181E-2</v>
      </c>
      <c r="AD327" s="227">
        <f>(INDEX(Models!$BJ327:$BT327,,AH327)*(1-AF327)+INDEX(Models!$BJ327:$BT327,,AH327+1)*AF327-ERP_i)*AE327*Ramure*Pc/MaxiM</f>
        <v>2.9384472942438046E-2</v>
      </c>
      <c r="AE327" s="301">
        <f t="shared" si="117"/>
        <v>0.5</v>
      </c>
      <c r="AF327" s="173">
        <f t="shared" si="118"/>
        <v>0.99301339838677638</v>
      </c>
      <c r="AG327" s="802">
        <f t="shared" si="124"/>
        <v>4</v>
      </c>
      <c r="AH327" s="172">
        <f t="shared" si="119"/>
        <v>10</v>
      </c>
      <c r="AI327" s="221">
        <f t="shared" si="120"/>
        <v>4.9930133983867764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48162</v>
      </c>
      <c r="B328" s="406">
        <f>'2030'!Wh/'2030'!Env_an*'2031'!Env_an</f>
        <v>18.08789622969179</v>
      </c>
      <c r="C328" s="832"/>
      <c r="D328" s="388">
        <f t="shared" si="102"/>
        <v>19.012028966012053</v>
      </c>
      <c r="E328" s="380">
        <f t="shared" si="125"/>
        <v>19.2664570489775</v>
      </c>
      <c r="F328" s="380">
        <f t="shared" si="103"/>
        <v>19.365240138478523</v>
      </c>
      <c r="G328" s="110">
        <f t="shared" si="126"/>
        <v>0.75551687901788744</v>
      </c>
      <c r="H328" s="409" t="b">
        <f>Wh_hp&gt;='2030'!Maxi_hp</f>
        <v>0</v>
      </c>
      <c r="I328" s="385">
        <f>IF(H328,Wh_hp,'2030'!Maxi_hp)</f>
        <v>19.401311166578108</v>
      </c>
      <c r="J328" s="85">
        <f>IF(H328,An,'2030'!An_max)</f>
        <v>2029</v>
      </c>
      <c r="K328" s="193">
        <f t="shared" si="104"/>
        <v>48162</v>
      </c>
      <c r="L328" s="143">
        <f>IF(t&lt;Tvie,1-EXP((T0-t)*PertePVj)+'2030'!Pspv,1-EXP((T0-t)*PertePVj)+Pspv)</f>
        <v>4.860779130793158E-2</v>
      </c>
      <c r="M328" s="836"/>
      <c r="N328" s="836"/>
      <c r="O328" s="48">
        <f>IF(t&lt;Tnet,'2030'!Resal+('2030'!Salim-'2030'!Resal)*(1-EXP(('2030'!Tnet-t)/('2030'!Tau_j))),Resal+(Salim-Resal)*(1-EXP((Tnet-t)/(Tau_j))))*Salcycl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7.8036123902685429E-3</v>
      </c>
      <c r="Q328" s="301">
        <f t="shared" si="105"/>
        <v>0.5</v>
      </c>
      <c r="R328" s="173">
        <f t="shared" si="106"/>
        <v>0.46806474752183513</v>
      </c>
      <c r="S328" s="802">
        <f t="shared" si="107"/>
        <v>1</v>
      </c>
      <c r="T328" s="172">
        <f t="shared" si="108"/>
        <v>7</v>
      </c>
      <c r="U328" s="247">
        <f t="shared" si="109"/>
        <v>1.4680647475218351</v>
      </c>
      <c r="V328" s="378">
        <f t="shared" si="110"/>
        <v>23.876054202555178</v>
      </c>
      <c r="W328" s="397">
        <f t="shared" si="111"/>
        <v>18.08789622969179</v>
      </c>
      <c r="X328" s="153">
        <f t="shared" si="112"/>
        <v>48162</v>
      </c>
      <c r="Y328" s="380">
        <f t="shared" si="113"/>
        <v>17.223932910151472</v>
      </c>
      <c r="Z328" s="380">
        <f t="shared" si="114"/>
        <v>18.103924704018933</v>
      </c>
      <c r="AA328" s="381">
        <f t="shared" si="115"/>
        <v>18.983953609715822</v>
      </c>
      <c r="AB328" s="193">
        <f t="shared" si="116"/>
        <v>48162</v>
      </c>
      <c r="AC328" s="119">
        <f>IF(OR(t&lt;Tnet,NoTnet),'2030'!Resal_s+('2030'!Salim-'2030'!Resal_s)*(1-EXP(('2030'!Tnet_s-t)/'2030'!Tau_j)),Resal_s+(Salim-Resal_s)*(1-EXP((Tnet_s-t)/Tau_j)))*Salcycl</f>
        <v>4.6356461029619184E-2</v>
      </c>
      <c r="AD328" s="227">
        <f>(INDEX(Models!$BJ328:$BT328,,AH328)*(1-AF328)+INDEX(Models!$BJ328:$BT328,,AH328+1)*AF328-ERP_i)*AE328*Ramure*Pc/MaxiM</f>
        <v>3.0120664327514403E-2</v>
      </c>
      <c r="AE328" s="301">
        <f t="shared" si="117"/>
        <v>0.5</v>
      </c>
      <c r="AF328" s="173">
        <f t="shared" si="118"/>
        <v>0.99305231389581206</v>
      </c>
      <c r="AG328" s="802">
        <f t="shared" si="124"/>
        <v>4</v>
      </c>
      <c r="AH328" s="172">
        <f t="shared" si="119"/>
        <v>10</v>
      </c>
      <c r="AI328" s="221">
        <f t="shared" si="120"/>
        <v>4.9930523138958121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48163</v>
      </c>
      <c r="B329" s="406">
        <f>'2030'!Wh/'2030'!Env_an*'2031'!Env_an</f>
        <v>21.515734825290203</v>
      </c>
      <c r="C329" s="832"/>
      <c r="D329" s="388">
        <f t="shared" si="102"/>
        <v>22.615309611630206</v>
      </c>
      <c r="E329" s="380">
        <f t="shared" si="125"/>
        <v>22.919196777502837</v>
      </c>
      <c r="F329" s="380">
        <f t="shared" si="103"/>
        <v>23.083984225365949</v>
      </c>
      <c r="G329" s="110">
        <f t="shared" si="126"/>
        <v>0.91241625610653576</v>
      </c>
      <c r="H329" s="409" t="b">
        <f>Wh_hp&gt;='2030'!Maxi_hp</f>
        <v>0</v>
      </c>
      <c r="I329" s="385">
        <f>IF(H329,Wh_hp,'2030'!Maxi_hp)</f>
        <v>23.100015519056523</v>
      </c>
      <c r="J329" s="85">
        <f>IF(H329,An,'2030'!An_max)</f>
        <v>2029</v>
      </c>
      <c r="K329" s="193">
        <f t="shared" si="104"/>
        <v>48163</v>
      </c>
      <c r="L329" s="143">
        <f>IF(t&lt;Tvie,1-EXP((T0-t)*PertePVj)+'2030'!Pspv,1-EXP((T0-t)*PertePVj)+Pspv)</f>
        <v>4.8620815068325829E-2</v>
      </c>
      <c r="M329" s="836"/>
      <c r="N329" s="836"/>
      <c r="O329" s="48">
        <f>IF(t&lt;Tnet,'2030'!Resal+('2030'!Salim-'2030'!Resal)*(1-EXP(('2030'!Tnet-t)/('2030'!Tau_j))),Resal+(Salim-Resal)*(1-EXP((Tnet-t)/(Tau_j))))*Salcycl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8.1471786486077401E-3</v>
      </c>
      <c r="Q329" s="301">
        <f t="shared" si="105"/>
        <v>0.5</v>
      </c>
      <c r="R329" s="173">
        <f t="shared" si="106"/>
        <v>0.46810210187783219</v>
      </c>
      <c r="S329" s="802">
        <f t="shared" si="107"/>
        <v>1</v>
      </c>
      <c r="T329" s="172">
        <f t="shared" si="108"/>
        <v>7</v>
      </c>
      <c r="U329" s="247">
        <f t="shared" si="109"/>
        <v>1.4681021018778322</v>
      </c>
      <c r="V329" s="378">
        <f t="shared" si="110"/>
        <v>23.557097385962368</v>
      </c>
      <c r="W329" s="397">
        <f t="shared" si="111"/>
        <v>21.515734825290203</v>
      </c>
      <c r="X329" s="153">
        <f t="shared" si="112"/>
        <v>48163</v>
      </c>
      <c r="Y329" s="380">
        <f t="shared" si="113"/>
        <v>20.379682552469021</v>
      </c>
      <c r="Z329" s="380">
        <f t="shared" si="114"/>
        <v>21.421198692646026</v>
      </c>
      <c r="AA329" s="381">
        <f t="shared" si="115"/>
        <v>22.462500803828508</v>
      </c>
      <c r="AB329" s="193">
        <f t="shared" si="116"/>
        <v>48163</v>
      </c>
      <c r="AC329" s="119">
        <f>IF(OR(t&lt;Tnet,NoTnet),'2030'!Resal_s+('2030'!Salim-'2030'!Resal_s)*(1-EXP(('2030'!Tnet_s-t)/'2030'!Tau_j)),Resal_s+(Salim-Resal_s)*(1-EXP((Tnet_s-t)/Tau_j)))*Salcycl</f>
        <v>4.6357354431568951E-2</v>
      </c>
      <c r="AD329" s="227">
        <f>(INDEX(Models!$BJ329:$BT329,,AH329)*(1-AF329)+INDEX(Models!$BJ329:$BT329,,AH329+1)*AF329-ERP_i)*AE329*Ramure*Pc/MaxiM</f>
        <v>3.0726469328050093E-2</v>
      </c>
      <c r="AE329" s="301">
        <f t="shared" si="117"/>
        <v>0.5</v>
      </c>
      <c r="AF329" s="173">
        <f t="shared" si="118"/>
        <v>0.99308966825180889</v>
      </c>
      <c r="AG329" s="802">
        <f t="shared" si="124"/>
        <v>4</v>
      </c>
      <c r="AH329" s="172">
        <f t="shared" si="119"/>
        <v>10</v>
      </c>
      <c r="AI329" s="221">
        <f t="shared" si="120"/>
        <v>4.9930896682518089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48164</v>
      </c>
      <c r="B330" s="406">
        <f>'2030'!Wh/'2030'!Env_an*'2031'!Env_an</f>
        <v>21.641766846512411</v>
      </c>
      <c r="C330" s="832"/>
      <c r="D330" s="388">
        <f t="shared" si="102"/>
        <v>22.748093978676302</v>
      </c>
      <c r="E330" s="380">
        <f t="shared" si="125"/>
        <v>23.055010810664584</v>
      </c>
      <c r="F330" s="380">
        <f t="shared" si="103"/>
        <v>23.232007489022713</v>
      </c>
      <c r="G330" s="110">
        <f t="shared" si="126"/>
        <v>0.9302105100432293</v>
      </c>
      <c r="H330" s="409" t="b">
        <f>Wh_hp&gt;='2030'!Maxi_hp</f>
        <v>0</v>
      </c>
      <c r="I330" s="385">
        <f>IF(H330,Wh_hp,'2030'!Maxi_hp)</f>
        <v>23.245317456420246</v>
      </c>
      <c r="J330" s="85">
        <f>IF(H330,An,'2030'!An_max)</f>
        <v>2029</v>
      </c>
      <c r="K330" s="193">
        <f t="shared" si="104"/>
        <v>48164</v>
      </c>
      <c r="L330" s="143">
        <f>IF(t&lt;Tvie,1-EXP((T0-t)*PertePVj)+'2030'!Pspv,1-EXP((T0-t)*PertePVj)+Pspv)</f>
        <v>4.863383865043569E-2</v>
      </c>
      <c r="M330" s="836"/>
      <c r="N330" s="836"/>
      <c r="O330" s="48">
        <f>IF(t&lt;Tnet,'2030'!Resal+('2030'!Salim-'2030'!Resal)*(1-EXP(('2030'!Tnet-t)/('2030'!Tau_j))),Resal+(Salim-Resal)*(1-EXP((Tnet-t)/(Tau_j))))*Salcycl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8.4518629107810592E-3</v>
      </c>
      <c r="Q330" s="301">
        <f t="shared" si="105"/>
        <v>0.5</v>
      </c>
      <c r="R330" s="173">
        <f t="shared" si="106"/>
        <v>0.46813795748889531</v>
      </c>
      <c r="S330" s="802">
        <f t="shared" si="107"/>
        <v>1</v>
      </c>
      <c r="T330" s="172">
        <f t="shared" si="108"/>
        <v>7</v>
      </c>
      <c r="U330" s="247">
        <f t="shared" si="109"/>
        <v>1.4681379574888953</v>
      </c>
      <c r="V330" s="378">
        <f t="shared" si="110"/>
        <v>23.245917040626399</v>
      </c>
      <c r="W330" s="397">
        <f t="shared" si="111"/>
        <v>21.641766846512411</v>
      </c>
      <c r="X330" s="153">
        <f t="shared" si="112"/>
        <v>48164</v>
      </c>
      <c r="Y330" s="380">
        <f t="shared" si="113"/>
        <v>20.484752592812928</v>
      </c>
      <c r="Z330" s="380">
        <f t="shared" si="114"/>
        <v>21.531933155741214</v>
      </c>
      <c r="AA330" s="381">
        <f t="shared" si="115"/>
        <v>22.578648273685257</v>
      </c>
      <c r="AB330" s="193">
        <f t="shared" si="116"/>
        <v>48164</v>
      </c>
      <c r="AC330" s="119">
        <f>IF(OR(t&lt;Tnet,NoTnet),'2030'!Resal_s+('2030'!Salim-'2030'!Resal_s)*(1-EXP(('2030'!Tnet_s-t)/'2030'!Tau_j)),Resal_s+(Salim-Resal_s)*(1-EXP((Tnet_s-t)/Tau_j)))*Salcycl</f>
        <v>4.6358626311742333E-2</v>
      </c>
      <c r="AD330" s="227">
        <f>(INDEX(Models!$BJ330:$BT330,,AH330)*(1-AF330)+INDEX(Models!$BJ330:$BT330,,AH330+1)*AF330-ERP_i)*AE330*Ramure*Pc/MaxiM</f>
        <v>3.1198904808565964E-2</v>
      </c>
      <c r="AE330" s="301">
        <f t="shared" si="117"/>
        <v>0.5</v>
      </c>
      <c r="AF330" s="173">
        <f t="shared" si="118"/>
        <v>0.99312552386287223</v>
      </c>
      <c r="AG330" s="802">
        <f t="shared" si="124"/>
        <v>4</v>
      </c>
      <c r="AH330" s="172">
        <f t="shared" si="119"/>
        <v>10</v>
      </c>
      <c r="AI330" s="221">
        <f t="shared" si="120"/>
        <v>4.9931255238628722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48165</v>
      </c>
      <c r="B331" s="406">
        <f>'2030'!Wh/'2030'!Env_an*'2031'!Env_an</f>
        <v>20.605563954685017</v>
      </c>
      <c r="C331" s="832"/>
      <c r="D331" s="388">
        <f t="shared" si="102"/>
        <v>21.659216890984098</v>
      </c>
      <c r="E331" s="380">
        <f t="shared" si="125"/>
        <v>21.952628617642738</v>
      </c>
      <c r="F331" s="380">
        <f t="shared" si="103"/>
        <v>22.117383454750517</v>
      </c>
      <c r="G331" s="110">
        <f t="shared" si="126"/>
        <v>0.89702253302538537</v>
      </c>
      <c r="H331" s="409" t="b">
        <f>Wh_hp&gt;='2030'!Maxi_hp</f>
        <v>0</v>
      </c>
      <c r="I331" s="385">
        <f>IF(H331,Wh_hp,'2030'!Maxi_hp)</f>
        <v>22.136637442604965</v>
      </c>
      <c r="J331" s="85">
        <f>IF(H331,An,'2030'!An_max)</f>
        <v>2029</v>
      </c>
      <c r="K331" s="193">
        <f t="shared" si="104"/>
        <v>48165</v>
      </c>
      <c r="L331" s="143">
        <f>IF(t&lt;Tvie,1-EXP((T0-t)*PertePVj)+'2030'!Pspv,1-EXP((T0-t)*PertePVj)+Pspv)</f>
        <v>4.8646862054263607E-2</v>
      </c>
      <c r="M331" s="836"/>
      <c r="N331" s="836"/>
      <c r="O331" s="48">
        <f>IF(t&lt;Tnet,'2030'!Resal+('2030'!Salim-'2030'!Resal)*(1-EXP(('2030'!Tnet-t)/('2030'!Tau_j))),Resal+(Salim-Resal)*(1-EXP((Tnet-t)/(Tau_j))))*Salcycl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8.7172158236386941E-3</v>
      </c>
      <c r="Q331" s="301">
        <f t="shared" si="105"/>
        <v>0.5</v>
      </c>
      <c r="R331" s="173">
        <f t="shared" si="106"/>
        <v>0.46817237428564606</v>
      </c>
      <c r="S331" s="802">
        <f t="shared" si="107"/>
        <v>1</v>
      </c>
      <c r="T331" s="172">
        <f t="shared" si="108"/>
        <v>7</v>
      </c>
      <c r="U331" s="247">
        <f t="shared" si="109"/>
        <v>1.4681723742856461</v>
      </c>
      <c r="V331" s="378">
        <f t="shared" si="110"/>
        <v>22.941717815284296</v>
      </c>
      <c r="W331" s="397">
        <f t="shared" si="111"/>
        <v>20.605563954685017</v>
      </c>
      <c r="X331" s="153">
        <f t="shared" si="112"/>
        <v>48165</v>
      </c>
      <c r="Y331" s="380">
        <f t="shared" si="113"/>
        <v>19.525196814510846</v>
      </c>
      <c r="Z331" s="380">
        <f t="shared" si="114"/>
        <v>20.523605836494891</v>
      </c>
      <c r="AA331" s="381">
        <f t="shared" si="115"/>
        <v>21.521342135042836</v>
      </c>
      <c r="AB331" s="193">
        <f t="shared" si="116"/>
        <v>48165</v>
      </c>
      <c r="AC331" s="119">
        <f>IF(OR(t&lt;Tnet,NoTnet),'2030'!Resal_s+('2030'!Salim-'2030'!Resal_s)*(1-EXP(('2030'!Tnet_s-t)/'2030'!Tau_j)),Resal_s+(Salim-Resal_s)*(1-EXP((Tnet_s-t)/Tau_j)))*Salcycl</f>
        <v>4.6360319551044513E-2</v>
      </c>
      <c r="AD331" s="227">
        <f>(INDEX(Models!$BJ331:$BT331,,AH331)*(1-AF331)+INDEX(Models!$BJ331:$BT331,,AH331+1)*AF331-ERP_i)*AE331*Ramure*Pc/MaxiM</f>
        <v>3.1536681501491956E-2</v>
      </c>
      <c r="AE331" s="301">
        <f t="shared" si="117"/>
        <v>0.5</v>
      </c>
      <c r="AF331" s="173">
        <f t="shared" si="118"/>
        <v>0.99315994065962343</v>
      </c>
      <c r="AG331" s="802">
        <f t="shared" si="124"/>
        <v>4</v>
      </c>
      <c r="AH331" s="172">
        <f t="shared" si="119"/>
        <v>10</v>
      </c>
      <c r="AI331" s="221">
        <f t="shared" si="120"/>
        <v>4.9931599406596234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48166</v>
      </c>
      <c r="B332" s="406">
        <f>'2030'!Wh/'2030'!Env_an*'2031'!Env_an</f>
        <v>11.133873036828287</v>
      </c>
      <c r="C332" s="832"/>
      <c r="D332" s="388">
        <f t="shared" si="102"/>
        <v>11.703357048181479</v>
      </c>
      <c r="E332" s="380">
        <f t="shared" si="125"/>
        <v>11.862540476090455</v>
      </c>
      <c r="F332" s="380">
        <f t="shared" si="103"/>
        <v>11.891634044057675</v>
      </c>
      <c r="G332" s="110">
        <f t="shared" si="126"/>
        <v>0.48850363610526154</v>
      </c>
      <c r="H332" s="409" t="b">
        <f>Wh_hp&gt;='2030'!Maxi_hp</f>
        <v>0</v>
      </c>
      <c r="I332" s="385">
        <f>IF(H332,Wh_hp,'2030'!Maxi_hp)</f>
        <v>11.944428368692432</v>
      </c>
      <c r="J332" s="85">
        <f>IF(H332,An,'2030'!An_max)</f>
        <v>2029</v>
      </c>
      <c r="K332" s="193">
        <f t="shared" si="104"/>
        <v>48166</v>
      </c>
      <c r="L332" s="143">
        <f>IF(t&lt;Tvie,1-EXP((T0-t)*PertePVj)+'2030'!Pspv,1-EXP((T0-t)*PertePVj)+Pspv)</f>
        <v>4.8659885279812132E-2</v>
      </c>
      <c r="M332" s="836"/>
      <c r="N332" s="836"/>
      <c r="O332" s="48">
        <f>IF(t&lt;Tnet,'2030'!Resal+('2030'!Salim-'2030'!Resal)*(1-EXP(('2030'!Tnet-t)/('2030'!Tau_j))),Resal+(Salim-Resal)*(1-EXP((Tnet-t)/(Tau_j))))*Salcycl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8.9336458283078256E-3</v>
      </c>
      <c r="Q332" s="301">
        <f t="shared" si="105"/>
        <v>0.5</v>
      </c>
      <c r="R332" s="173">
        <f t="shared" si="106"/>
        <v>0.4682054098182078</v>
      </c>
      <c r="S332" s="802">
        <f t="shared" si="107"/>
        <v>1</v>
      </c>
      <c r="T332" s="172">
        <f t="shared" si="108"/>
        <v>7</v>
      </c>
      <c r="U332" s="247">
        <f t="shared" si="109"/>
        <v>1.4682054098182078</v>
      </c>
      <c r="V332" s="378">
        <f t="shared" si="110"/>
        <v>22.643576553768249</v>
      </c>
      <c r="W332" s="397">
        <f t="shared" si="111"/>
        <v>11.133873036828287</v>
      </c>
      <c r="X332" s="153">
        <f t="shared" si="112"/>
        <v>48166</v>
      </c>
      <c r="Y332" s="380">
        <f t="shared" si="113"/>
        <v>10.694722882484418</v>
      </c>
      <c r="Z332" s="380">
        <f t="shared" si="114"/>
        <v>11.241744899646111</v>
      </c>
      <c r="AA332" s="381">
        <f t="shared" si="115"/>
        <v>11.788278679674233</v>
      </c>
      <c r="AB332" s="193">
        <f t="shared" si="116"/>
        <v>48166</v>
      </c>
      <c r="AC332" s="119">
        <f>IF(OR(t&lt;Tnet,NoTnet),'2030'!Resal_s+('2030'!Salim-'2030'!Resal_s)*(1-EXP(('2030'!Tnet_s-t)/'2030'!Tau_j)),Resal_s+(Salim-Resal_s)*(1-EXP((Tnet_s-t)/Tau_j)))*Salcycl</f>
        <v>4.6362475377382716E-2</v>
      </c>
      <c r="AD332" s="227">
        <f>(INDEX(Models!$BJ332:$BT332,,AH332)*(1-AF332)+INDEX(Models!$BJ332:$BT332,,AH332+1)*AF332-ERP_i)*AE332*Ramure*Pc/MaxiM</f>
        <v>3.1736919338932662E-2</v>
      </c>
      <c r="AE332" s="301">
        <f t="shared" si="117"/>
        <v>0.5</v>
      </c>
      <c r="AF332" s="173">
        <f t="shared" si="118"/>
        <v>0.9931929761921845</v>
      </c>
      <c r="AG332" s="802">
        <f t="shared" si="124"/>
        <v>4</v>
      </c>
      <c r="AH332" s="172">
        <f t="shared" si="119"/>
        <v>10</v>
      </c>
      <c r="AI332" s="221">
        <f t="shared" si="120"/>
        <v>4.9931929761921845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48167</v>
      </c>
      <c r="B333" s="406">
        <f>'2030'!Wh/'2030'!Env_an*'2031'!Env_an</f>
        <v>12.6412056514932</v>
      </c>
      <c r="C333" s="832"/>
      <c r="D333" s="388">
        <f t="shared" si="102"/>
        <v>13.287969786778108</v>
      </c>
      <c r="E333" s="380">
        <f t="shared" si="125"/>
        <v>13.469434778855106</v>
      </c>
      <c r="F333" s="380">
        <f t="shared" si="103"/>
        <v>13.516141322508254</v>
      </c>
      <c r="G333" s="110">
        <f t="shared" si="126"/>
        <v>0.56236147060367392</v>
      </c>
      <c r="H333" s="409" t="b">
        <f>Wh_hp&gt;='2030'!Maxi_hp</f>
        <v>0</v>
      </c>
      <c r="I333" s="385">
        <f>IF(H333,Wh_hp,'2030'!Maxi_hp)</f>
        <v>13.568390090033908</v>
      </c>
      <c r="J333" s="85">
        <f>IF(H333,An,'2030'!An_max)</f>
        <v>2029</v>
      </c>
      <c r="K333" s="193">
        <f t="shared" si="104"/>
        <v>48167</v>
      </c>
      <c r="L333" s="143">
        <f>IF(t&lt;Tvie,1-EXP((T0-t)*PertePVj)+'2030'!Pspv,1-EXP((T0-t)*PertePVj)+Pspv)</f>
        <v>4.8672908327083597E-2</v>
      </c>
      <c r="M333" s="836"/>
      <c r="N333" s="836"/>
      <c r="O333" s="48">
        <f>IF(t&lt;Tnet,'2030'!Resal+('2030'!Salim-'2030'!Resal)*(1-EXP(('2030'!Tnet-t)/('2030'!Tau_j))),Resal+(Salim-Resal)*(1-EXP((Tnet-t)/(Tau_j))))*Salcycl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9.1084532654370724E-3</v>
      </c>
      <c r="Q333" s="301">
        <f t="shared" si="105"/>
        <v>0.5</v>
      </c>
      <c r="R333" s="173">
        <f t="shared" si="106"/>
        <v>0.46823711934950296</v>
      </c>
      <c r="S333" s="802">
        <f t="shared" si="107"/>
        <v>1</v>
      </c>
      <c r="T333" s="172">
        <f t="shared" si="108"/>
        <v>7</v>
      </c>
      <c r="U333" s="247">
        <f t="shared" si="109"/>
        <v>1.468237119349503</v>
      </c>
      <c r="V333" s="378">
        <f t="shared" si="110"/>
        <v>22.351280791717148</v>
      </c>
      <c r="W333" s="397">
        <f t="shared" si="111"/>
        <v>12.6412056514932</v>
      </c>
      <c r="X333" s="153">
        <f t="shared" si="112"/>
        <v>48167</v>
      </c>
      <c r="Y333" s="380">
        <f t="shared" si="113"/>
        <v>12.11381531869683</v>
      </c>
      <c r="Z333" s="380">
        <f t="shared" si="114"/>
        <v>12.733596493498979</v>
      </c>
      <c r="AA333" s="381">
        <f t="shared" si="115"/>
        <v>13.35269602289431</v>
      </c>
      <c r="AB333" s="193">
        <f t="shared" si="116"/>
        <v>48167</v>
      </c>
      <c r="AC333" s="119">
        <f>IF(OR(t&lt;Tnet,NoTnet),'2030'!Resal_s+('2030'!Salim-'2030'!Resal_s)*(1-EXP(('2030'!Tnet_s-t)/'2030'!Tau_j)),Resal_s+(Salim-Resal_s)*(1-EXP((Tnet_s-t)/Tau_j)))*Salcycl</f>
        <v>4.6365133178635567E-2</v>
      </c>
      <c r="AD333" s="227">
        <f>(INDEX(Models!$BJ333:$BT333,,AH333)*(1-AF333)+INDEX(Models!$BJ333:$BT333,,AH333+1)*AF333-ERP_i)*AE333*Ramure*Pc/MaxiM</f>
        <v>3.1874203410224976E-2</v>
      </c>
      <c r="AE333" s="301">
        <f t="shared" si="117"/>
        <v>0.5</v>
      </c>
      <c r="AF333" s="173">
        <f t="shared" si="118"/>
        <v>0.99322468572347944</v>
      </c>
      <c r="AG333" s="802">
        <f t="shared" si="124"/>
        <v>4</v>
      </c>
      <c r="AH333" s="172">
        <f t="shared" si="119"/>
        <v>10</v>
      </c>
      <c r="AI333" s="221">
        <f t="shared" si="120"/>
        <v>4.9932246857234794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48168</v>
      </c>
      <c r="B334" s="406">
        <f>'2030'!Wh/'2030'!Env_an*'2031'!Env_an</f>
        <v>21.11300105395037</v>
      </c>
      <c r="C334" s="832"/>
      <c r="D334" s="388">
        <f t="shared" si="102"/>
        <v>22.193512895794338</v>
      </c>
      <c r="E334" s="380">
        <f t="shared" si="125"/>
        <v>22.497812721896231</v>
      </c>
      <c r="F334" s="380">
        <f t="shared" si="103"/>
        <v>22.694608666991886</v>
      </c>
      <c r="G334" s="110">
        <f t="shared" si="126"/>
        <v>0.95631355123458639</v>
      </c>
      <c r="H334" s="409" t="b">
        <f>Wh_hp&gt;='2030'!Maxi_hp</f>
        <v>0</v>
      </c>
      <c r="I334" s="385">
        <f>IF(H334,Wh_hp,'2030'!Maxi_hp)</f>
        <v>22.703454545271786</v>
      </c>
      <c r="J334" s="85">
        <f>IF(H334,An,'2030'!An_max)</f>
        <v>2029</v>
      </c>
      <c r="K334" s="193">
        <f t="shared" si="104"/>
        <v>48168</v>
      </c>
      <c r="L334" s="143">
        <f>IF(t&lt;Tvie,1-EXP((T0-t)*PertePVj)+'2030'!Pspv,1-EXP((T0-t)*PertePVj)+Pspv)</f>
        <v>4.8685931196080556E-2</v>
      </c>
      <c r="M334" s="836"/>
      <c r="N334" s="836"/>
      <c r="O334" s="48">
        <f>IF(t&lt;Tnet,'2030'!Resal+('2030'!Salim-'2030'!Resal)*(1-EXP(('2030'!Tnet-t)/('2030'!Tau_j))),Resal+(Salim-Resal)*(1-EXP((Tnet-t)/(Tau_j))))*Salcycl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9.2409483849865397E-3</v>
      </c>
      <c r="Q334" s="301">
        <f t="shared" si="105"/>
        <v>0.5</v>
      </c>
      <c r="R334" s="173">
        <f t="shared" si="106"/>
        <v>0.46826755594499248</v>
      </c>
      <c r="S334" s="802">
        <f t="shared" si="107"/>
        <v>1</v>
      </c>
      <c r="T334" s="172">
        <f t="shared" si="108"/>
        <v>7</v>
      </c>
      <c r="U334" s="247">
        <f t="shared" si="109"/>
        <v>1.4682675559449925</v>
      </c>
      <c r="V334" s="378">
        <f t="shared" si="110"/>
        <v>22.064805798281579</v>
      </c>
      <c r="W334" s="397">
        <f t="shared" si="111"/>
        <v>21.11300105395037</v>
      </c>
      <c r="X334" s="153">
        <f t="shared" si="112"/>
        <v>48168</v>
      </c>
      <c r="Y334" s="380">
        <f t="shared" si="113"/>
        <v>19.971398538600752</v>
      </c>
      <c r="Z334" s="380">
        <f t="shared" si="114"/>
        <v>20.993485951186081</v>
      </c>
      <c r="AA334" s="381">
        <f t="shared" si="115"/>
        <v>22.014249965474427</v>
      </c>
      <c r="AB334" s="193">
        <f t="shared" si="116"/>
        <v>48168</v>
      </c>
      <c r="AC334" s="119">
        <f>IF(OR(t&lt;Tnet,NoTnet),'2030'!Resal_s+('2030'!Salim-'2030'!Resal_s)*(1-EXP(('2030'!Tnet_s-t)/'2030'!Tau_j)),Resal_s+(Salim-Resal_s)*(1-EXP((Tnet_s-t)/Tau_j)))*Salcycl</f>
        <v>4.6368330326458554E-2</v>
      </c>
      <c r="AD334" s="227">
        <f>(INDEX(Models!$BJ334:$BT334,,AH334)*(1-AF334)+INDEX(Models!$BJ334:$BT334,,AH334+1)*AF334-ERP_i)*AE334*Ramure*Pc/MaxiM</f>
        <v>3.19476076651036E-2</v>
      </c>
      <c r="AE334" s="301">
        <f t="shared" si="117"/>
        <v>0.5</v>
      </c>
      <c r="AF334" s="173">
        <f t="shared" si="118"/>
        <v>0.99325512231896962</v>
      </c>
      <c r="AG334" s="802">
        <f t="shared" si="124"/>
        <v>4</v>
      </c>
      <c r="AH334" s="172">
        <f t="shared" si="119"/>
        <v>10</v>
      </c>
      <c r="AI334" s="221">
        <f t="shared" si="120"/>
        <v>4.9932551223189696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48169</v>
      </c>
      <c r="B335" s="406">
        <f>'2030'!Wh/'2030'!Env_an*'2031'!Env_an</f>
        <v>13.878087151689304</v>
      </c>
      <c r="C335" s="832"/>
      <c r="D335" s="388">
        <f t="shared" ref="D335:D379" si="127">Wh/(1-Ppv)</f>
        <v>14.588533470442497</v>
      </c>
      <c r="E335" s="380">
        <f t="shared" si="125"/>
        <v>14.789361243714845</v>
      </c>
      <c r="F335" s="380">
        <f t="shared" ref="F335:F379" si="128">Wh_sa/(1-Pvg*MEDIAN((-Sdif+Wh/Env_an)/Csdif,0,1))</f>
        <v>14.856108397467729</v>
      </c>
      <c r="G335" s="110">
        <f t="shared" si="126"/>
        <v>0.63397758734375864</v>
      </c>
      <c r="H335" s="409" t="b">
        <f>Wh_hp&gt;='2030'!Maxi_hp</f>
        <v>0</v>
      </c>
      <c r="I335" s="385">
        <f>IF(H335,Wh_hp,'2030'!Maxi_hp)</f>
        <v>14.90520857000852</v>
      </c>
      <c r="J335" s="85">
        <f>IF(H335,An,'2030'!An_max)</f>
        <v>2029</v>
      </c>
      <c r="K335" s="193">
        <f t="shared" ref="K335:K379" si="129">t</f>
        <v>48169</v>
      </c>
      <c r="L335" s="143">
        <f>IF(t&lt;Tvie,1-EXP((T0-t)*PertePVj)+'2030'!Pspv,1-EXP((T0-t)*PertePVj)+Pspv)</f>
        <v>4.869895388680523E-2</v>
      </c>
      <c r="M335" s="836"/>
      <c r="N335" s="836"/>
      <c r="O335" s="48">
        <f>IF(t&lt;Tnet,'2030'!Resal+('2030'!Salim-'2030'!Resal)*(1-EXP(('2030'!Tnet-t)/('2030'!Tau_j))),Resal+(Salim-Resal)*(1-EXP((Tnet-t)/(Tau_j))))*Salcycl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9.3304226805961191E-3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0.46829677055898666</v>
      </c>
      <c r="S335" s="802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1.4682967705589867</v>
      </c>
      <c r="V335" s="378">
        <f t="shared" ref="V335:V379" si="135">MaxiM*(1-Ppv)*(1-Pvg)*(1-Psa)</f>
        <v>21.784127713863665</v>
      </c>
      <c r="W335" s="397">
        <f t="shared" ref="W335:W379" si="136">Wh*(A335&gt;Tmaj)</f>
        <v>13.878087151689304</v>
      </c>
      <c r="X335" s="153">
        <f t="shared" ref="X335:X379" si="137">t</f>
        <v>48169</v>
      </c>
      <c r="Y335" s="380">
        <f t="shared" ref="Y335:Y379" si="138">Wh_pvt_s*(1-Ppv)</f>
        <v>13.269883914525943</v>
      </c>
      <c r="Z335" s="380">
        <f t="shared" ref="Z335:Z379" si="139">Wh_sa_s*(1-Psa_s)</f>
        <v>13.949195124659798</v>
      </c>
      <c r="AA335" s="381">
        <f t="shared" ref="AA335:AA379" si="140">Wh_hp*(1-Pvg_s*MEDIAN((-Sdif+Wh/Env_an)/Csdif,0,1))</f>
        <v>14.627503195001884</v>
      </c>
      <c r="AB335" s="193">
        <f t="shared" ref="AB335:AB379" si="141">t</f>
        <v>48169</v>
      </c>
      <c r="AC335" s="119">
        <f>IF(OR(t&lt;Tnet,NoTnet),'2030'!Resal_s+('2030'!Salim-'2030'!Resal_s)*(1-EXP(('2030'!Tnet_s-t)/'2030'!Tau_j)),Resal_s+(Salim-Resal_s)*(1-EXP((Tnet_s-t)/Tau_j)))*Salcycl</f>
        <v>4.6372102012177931E-2</v>
      </c>
      <c r="AD335" s="227">
        <f>(INDEX(Models!$BJ335:$BT335,,AH335)*(1-AF335)+INDEX(Models!$BJ335:$BT335,,AH335+1)*AF335-ERP_i)*AE335*Ramure*Pc/MaxiM</f>
        <v>3.1956166608788937E-2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0.99328433693296336</v>
      </c>
      <c r="AG335" s="802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4.9932843369329634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48170</v>
      </c>
      <c r="B336" s="406">
        <f>'2030'!Wh/'2030'!Env_an*'2031'!Env_an</f>
        <v>11.503210718182459</v>
      </c>
      <c r="C336" s="832"/>
      <c r="D336" s="388">
        <f t="shared" si="127"/>
        <v>12.09224801826204</v>
      </c>
      <c r="E336" s="380">
        <f t="shared" si="125"/>
        <v>12.259376756446247</v>
      </c>
      <c r="F336" s="380">
        <f t="shared" si="128"/>
        <v>12.298055067294126</v>
      </c>
      <c r="G336" s="110">
        <f t="shared" si="126"/>
        <v>0.53146071030533959</v>
      </c>
      <c r="H336" s="409" t="b">
        <f>Wh_hp&gt;='2030'!Maxi_hp</f>
        <v>0</v>
      </c>
      <c r="I336" s="385">
        <f>IF(H336,Wh_hp,'2030'!Maxi_hp)</f>
        <v>12.350377028474375</v>
      </c>
      <c r="J336" s="85">
        <f>IF(H336,An,'2030'!An_max)</f>
        <v>2029</v>
      </c>
      <c r="K336" s="193">
        <f t="shared" si="129"/>
        <v>48170</v>
      </c>
      <c r="L336" s="143">
        <f>IF(t&lt;Tvie,1-EXP((T0-t)*PertePVj)+'2030'!Pspv,1-EXP((T0-t)*PertePVj)+Pspv)</f>
        <v>4.8711976399260282E-2</v>
      </c>
      <c r="M336" s="836"/>
      <c r="N336" s="836"/>
      <c r="O336" s="48">
        <f>IF(t&lt;Tnet,'2030'!Resal+('2030'!Salim-'2030'!Resal)*(1-EXP(('2030'!Tnet-t)/('2030'!Tau_j))),Resal+(Salim-Resal)*(1-EXP((Tnet-t)/(Tau_j))))*Salcycl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9.376144958755956E-3</v>
      </c>
      <c r="Q336" s="301">
        <f t="shared" si="130"/>
        <v>0.5</v>
      </c>
      <c r="R336" s="173">
        <f t="shared" si="131"/>
        <v>0.46832481211764998</v>
      </c>
      <c r="S336" s="802">
        <f t="shared" si="132"/>
        <v>1</v>
      </c>
      <c r="T336" s="172">
        <f t="shared" si="133"/>
        <v>7</v>
      </c>
      <c r="U336" s="247">
        <f t="shared" si="134"/>
        <v>1.46832481211765</v>
      </c>
      <c r="V336" s="378">
        <f t="shared" si="135"/>
        <v>21.509223634005497</v>
      </c>
      <c r="W336" s="397">
        <f t="shared" si="136"/>
        <v>11.503210718182459</v>
      </c>
      <c r="X336" s="153">
        <f t="shared" si="137"/>
        <v>48170</v>
      </c>
      <c r="Y336" s="380">
        <f t="shared" si="138"/>
        <v>11.037061026542403</v>
      </c>
      <c r="Z336" s="380">
        <f t="shared" si="139"/>
        <v>11.602228507792832</v>
      </c>
      <c r="AA336" s="381">
        <f t="shared" si="140"/>
        <v>12.166466407127293</v>
      </c>
      <c r="AB336" s="193">
        <f t="shared" si="141"/>
        <v>48170</v>
      </c>
      <c r="AC336" s="119">
        <f>IF(OR(t&lt;Tnet,NoTnet),'2030'!Resal_s+('2030'!Salim-'2030'!Resal_s)*(1-EXP(('2030'!Tnet_s-t)/'2030'!Tau_j)),Resal_s+(Salim-Resal_s)*(1-EXP((Tnet_s-t)/Tau_j)))*Salcycl</f>
        <v>4.6376481095934556E-2</v>
      </c>
      <c r="AD336" s="227">
        <f>(INDEX(Models!$BJ336:$BT336,,AH336)*(1-AF336)+INDEX(Models!$BJ336:$BT336,,AH336+1)*AF336-ERP_i)*AE336*Ramure*Pc/MaxiM</f>
        <v>3.1898868528804684E-2</v>
      </c>
      <c r="AE336" s="301">
        <f t="shared" si="142"/>
        <v>0.5</v>
      </c>
      <c r="AF336" s="173">
        <f t="shared" si="143"/>
        <v>0.9933123784916269</v>
      </c>
      <c r="AG336" s="802">
        <f t="shared" ref="AG336:AG379" si="149">INDEX(Echel_vg,AH336)</f>
        <v>4</v>
      </c>
      <c r="AH336" s="172">
        <f t="shared" si="144"/>
        <v>10</v>
      </c>
      <c r="AI336" s="221">
        <f t="shared" si="145"/>
        <v>4.9933123784916269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48171</v>
      </c>
      <c r="B337" s="406">
        <f>'2030'!Wh/'2030'!Env_an*'2031'!Env_an</f>
        <v>8.2552243075864062</v>
      </c>
      <c r="C337" s="832"/>
      <c r="D337" s="388">
        <f t="shared" si="127"/>
        <v>8.6780629119814883</v>
      </c>
      <c r="E337" s="380">
        <f t="shared" si="125"/>
        <v>8.7984818229874566</v>
      </c>
      <c r="F337" s="380">
        <f t="shared" si="128"/>
        <v>8.8089446110785019</v>
      </c>
      <c r="G337" s="110">
        <f t="shared" si="126"/>
        <v>0.38547595074219504</v>
      </c>
      <c r="H337" s="409" t="b">
        <f>Wh_hp&gt;='2030'!Maxi_hp</f>
        <v>0</v>
      </c>
      <c r="I337" s="385">
        <f>IF(H337,Wh_hp,'2030'!Maxi_hp)</f>
        <v>8.8581759020799709</v>
      </c>
      <c r="J337" s="85">
        <f>IF(H337,An,'2030'!An_max)</f>
        <v>2029</v>
      </c>
      <c r="K337" s="193">
        <f t="shared" si="129"/>
        <v>48171</v>
      </c>
      <c r="L337" s="143">
        <f>IF(t&lt;Tvie,1-EXP((T0-t)*PertePVj)+'2030'!Pspv,1-EXP((T0-t)*PertePVj)+Pspv)</f>
        <v>4.8724998733448155E-2</v>
      </c>
      <c r="M337" s="836"/>
      <c r="N337" s="836"/>
      <c r="O337" s="48">
        <f>IF(t&lt;Tnet,'2030'!Resal+('2030'!Salim-'2030'!Resal)*(1-EXP(('2030'!Tnet-t)/('2030'!Tau_j))),Resal+(Salim-Resal)*(1-EXP((Tnet-t)/(Tau_j))))*Salcycl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9.377357593427128E-3</v>
      </c>
      <c r="Q337" s="301">
        <f t="shared" si="130"/>
        <v>0.5</v>
      </c>
      <c r="R337" s="173">
        <f t="shared" si="131"/>
        <v>0.46835172759882049</v>
      </c>
      <c r="S337" s="802">
        <f t="shared" si="132"/>
        <v>1</v>
      </c>
      <c r="T337" s="172">
        <f t="shared" si="133"/>
        <v>7</v>
      </c>
      <c r="U337" s="247">
        <f t="shared" si="134"/>
        <v>1.4683517275988205</v>
      </c>
      <c r="V337" s="378">
        <f t="shared" si="135"/>
        <v>21.240071695799308</v>
      </c>
      <c r="W337" s="397">
        <f t="shared" si="136"/>
        <v>8.2552243075864062</v>
      </c>
      <c r="X337" s="153">
        <f t="shared" si="137"/>
        <v>48171</v>
      </c>
      <c r="Y337" s="380">
        <f t="shared" si="138"/>
        <v>7.9589035016599654</v>
      </c>
      <c r="Z337" s="380">
        <f t="shared" si="139"/>
        <v>8.3665643384544719</v>
      </c>
      <c r="AA337" s="381">
        <f t="shared" si="140"/>
        <v>8.773492041781358</v>
      </c>
      <c r="AB337" s="193">
        <f t="shared" si="141"/>
        <v>48171</v>
      </c>
      <c r="AC337" s="119">
        <f>IF(OR(t&lt;Tnet,NoTnet),'2030'!Resal_s+('2030'!Salim-'2030'!Resal_s)*(1-EXP(('2030'!Tnet_s-t)/'2030'!Tau_j)),Resal_s+(Salim-Resal_s)*(1-EXP((Tnet_s-t)/Tau_j)))*Salcycl</f>
        <v>4.6381497970135993E-2</v>
      </c>
      <c r="AD337" s="227">
        <f>(INDEX(Models!$BJ337:$BT337,,AH337)*(1-AF337)+INDEX(Models!$BJ337:$BT337,,AH337+1)*AF337-ERP_i)*AE337*Ramure*Pc/MaxiM</f>
        <v>3.1774649071756159E-2</v>
      </c>
      <c r="AE337" s="301">
        <f t="shared" si="142"/>
        <v>0.5</v>
      </c>
      <c r="AF337" s="173">
        <f t="shared" si="143"/>
        <v>0.99333929397279785</v>
      </c>
      <c r="AG337" s="802">
        <f t="shared" si="149"/>
        <v>4</v>
      </c>
      <c r="AH337" s="172">
        <f t="shared" si="144"/>
        <v>10</v>
      </c>
      <c r="AI337" s="221">
        <f t="shared" si="145"/>
        <v>4.9933392939727979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48172</v>
      </c>
      <c r="B338" s="406">
        <f>'2030'!Wh/'2030'!Env_an*'2031'!Env_an</f>
        <v>14.860318435594861</v>
      </c>
      <c r="C338" s="832"/>
      <c r="D338" s="388">
        <f t="shared" si="127"/>
        <v>15.621688621980182</v>
      </c>
      <c r="E338" s="380">
        <f t="shared" si="125"/>
        <v>15.839321206548073</v>
      </c>
      <c r="F338" s="380">
        <f t="shared" si="128"/>
        <v>15.926101978708822</v>
      </c>
      <c r="G338" s="110">
        <f t="shared" si="126"/>
        <v>0.70565506512544585</v>
      </c>
      <c r="H338" s="409" t="b">
        <f>Wh_hp&gt;='2030'!Maxi_hp</f>
        <v>0</v>
      </c>
      <c r="I338" s="385">
        <f>IF(H338,Wh_hp,'2030'!Maxi_hp)</f>
        <v>15.968452484480915</v>
      </c>
      <c r="J338" s="85">
        <f>IF(H338,An,'2030'!An_max)</f>
        <v>2029</v>
      </c>
      <c r="K338" s="193">
        <f t="shared" si="129"/>
        <v>48172</v>
      </c>
      <c r="L338" s="143">
        <f>IF(t&lt;Tvie,1-EXP((T0-t)*PertePVj)+'2030'!Pspv,1-EXP((T0-t)*PertePVj)+Pspv)</f>
        <v>4.873802088937107E-2</v>
      </c>
      <c r="M338" s="836"/>
      <c r="N338" s="836"/>
      <c r="O338" s="48">
        <f>IF(t&lt;Tnet,'2030'!Resal+('2030'!Salim-'2030'!Resal)*(1-EXP(('2030'!Tnet-t)/('2030'!Tau_j))),Resal+(Salim-Resal)*(1-EXP((Tnet-t)/(Tau_j))))*Salcycl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9.3389648371391652E-3</v>
      </c>
      <c r="Q338" s="301">
        <f t="shared" si="130"/>
        <v>0.5</v>
      </c>
      <c r="R338" s="173">
        <f t="shared" si="131"/>
        <v>0.46837756210875958</v>
      </c>
      <c r="S338" s="802">
        <f t="shared" si="132"/>
        <v>1</v>
      </c>
      <c r="T338" s="172">
        <f t="shared" si="133"/>
        <v>7</v>
      </c>
      <c r="U338" s="247">
        <f t="shared" si="134"/>
        <v>1.4683775621087596</v>
      </c>
      <c r="V338" s="378">
        <f t="shared" si="135"/>
        <v>20.976530628994343</v>
      </c>
      <c r="W338" s="397">
        <f t="shared" si="136"/>
        <v>14.860318435594861</v>
      </c>
      <c r="X338" s="153">
        <f t="shared" si="137"/>
        <v>48172</v>
      </c>
      <c r="Y338" s="380">
        <f t="shared" si="138"/>
        <v>14.180710103087032</v>
      </c>
      <c r="Z338" s="380">
        <f t="shared" si="139"/>
        <v>14.907260475547565</v>
      </c>
      <c r="AA338" s="381">
        <f t="shared" si="140"/>
        <v>15.632403602121387</v>
      </c>
      <c r="AB338" s="193">
        <f t="shared" si="141"/>
        <v>48172</v>
      </c>
      <c r="AC338" s="119">
        <f>IF(OR(t&lt;Tnet,NoTnet),'2030'!Resal_s+('2030'!Salim-'2030'!Resal_s)*(1-EXP(('2030'!Tnet_s-t)/'2030'!Tau_j)),Resal_s+(Salim-Resal_s)*(1-EXP((Tnet_s-t)/Tau_j)))*Salcycl</f>
        <v>4.6387180438164789E-2</v>
      </c>
      <c r="AD338" s="227">
        <f>(INDEX(Models!$BJ338:$BT338,,AH338)*(1-AF338)+INDEX(Models!$BJ338:$BT338,,AH338+1)*AF338-ERP_i)*AE338*Ramure*Pc/MaxiM</f>
        <v>3.1606526922740442E-2</v>
      </c>
      <c r="AE338" s="301">
        <f t="shared" si="142"/>
        <v>0.5</v>
      </c>
      <c r="AF338" s="173">
        <f t="shared" si="143"/>
        <v>0.99336512848273628</v>
      </c>
      <c r="AG338" s="802">
        <f t="shared" si="149"/>
        <v>4</v>
      </c>
      <c r="AH338" s="172">
        <f t="shared" si="144"/>
        <v>10</v>
      </c>
      <c r="AI338" s="221">
        <f t="shared" si="145"/>
        <v>4.9933651284827363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48173</v>
      </c>
      <c r="B339" s="406">
        <f>'2030'!Wh/'2030'!Env_an*'2031'!Env_an</f>
        <v>3.3840557504483466</v>
      </c>
      <c r="C339" s="832"/>
      <c r="D339" s="388">
        <f t="shared" si="127"/>
        <v>3.5574869492080965</v>
      </c>
      <c r="E339" s="380">
        <f t="shared" si="125"/>
        <v>3.6072445999486229</v>
      </c>
      <c r="F339" s="380">
        <f t="shared" si="128"/>
        <v>3.6072445999486229</v>
      </c>
      <c r="G339" s="110">
        <f t="shared" si="126"/>
        <v>0.16182180616233519</v>
      </c>
      <c r="H339" s="409" t="b">
        <f>Wh_hp&gt;='2030'!Maxi_hp</f>
        <v>0</v>
      </c>
      <c r="I339" s="385">
        <f>IF(H339,Wh_hp,'2030'!Maxi_hp)</f>
        <v>3.630137530262179</v>
      </c>
      <c r="J339" s="85">
        <f>IF(H339,An,'2030'!An_max)</f>
        <v>2029</v>
      </c>
      <c r="K339" s="193">
        <f t="shared" si="129"/>
        <v>48173</v>
      </c>
      <c r="L339" s="143">
        <f>IF(t&lt;Tvie,1-EXP((T0-t)*PertePVj)+'2030'!Pspv,1-EXP((T0-t)*PertePVj)+Pspv)</f>
        <v>4.8751042867031691E-2</v>
      </c>
      <c r="M339" s="836"/>
      <c r="N339" s="836"/>
      <c r="O339" s="48">
        <f>IF(t&lt;Tnet,'2030'!Resal+('2030'!Salim-'2030'!Resal)*(1-EXP(('2030'!Tnet-t)/('2030'!Tau_j))),Resal+(Salim-Resal)*(1-EXP((Tnet-t)/(Tau_j))))*Salcycl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9.2963153806150094E-3</v>
      </c>
      <c r="Q339" s="301">
        <f t="shared" si="130"/>
        <v>0.5</v>
      </c>
      <c r="R339" s="173">
        <f t="shared" si="131"/>
        <v>0.46840235895594473</v>
      </c>
      <c r="S339" s="802">
        <f t="shared" si="132"/>
        <v>1</v>
      </c>
      <c r="T339" s="172">
        <f t="shared" si="133"/>
        <v>7</v>
      </c>
      <c r="U339" s="247">
        <f t="shared" si="134"/>
        <v>1.4684023589559447</v>
      </c>
      <c r="V339" s="378">
        <f t="shared" si="135"/>
        <v>20.717828952937051</v>
      </c>
      <c r="W339" s="397">
        <f t="shared" si="136"/>
        <v>3.3840557504483466</v>
      </c>
      <c r="X339" s="153">
        <f t="shared" si="137"/>
        <v>48173</v>
      </c>
      <c r="Y339" s="380">
        <f t="shared" si="138"/>
        <v>3.2721933962891625</v>
      </c>
      <c r="Z339" s="380">
        <f t="shared" si="139"/>
        <v>3.439891704219515</v>
      </c>
      <c r="AA339" s="381">
        <f t="shared" si="140"/>
        <v>3.6072445999486229</v>
      </c>
      <c r="AB339" s="193">
        <f t="shared" si="141"/>
        <v>48173</v>
      </c>
      <c r="AC339" s="119">
        <f>IF(OR(t&lt;Tnet,NoTnet),'2030'!Resal_s+('2030'!Salim-'2030'!Resal_s)*(1-EXP(('2030'!Tnet_s-t)/'2030'!Tau_j)),Resal_s+(Salim-Resal_s)*(1-EXP((Tnet_s-t)/Tau_j)))*Salcycl</f>
        <v>4.639355360917076E-2</v>
      </c>
      <c r="AD339" s="227">
        <f>(INDEX(Models!$BJ339:$BT339,,AH339)*(1-AF339)+INDEX(Models!$BJ339:$BT339,,AH339+1)*AF339-ERP_i)*AE339*Ramure*Pc/MaxiM</f>
        <v>3.1459136531300252E-2</v>
      </c>
      <c r="AE339" s="301">
        <f t="shared" si="142"/>
        <v>0.5</v>
      </c>
      <c r="AF339" s="173">
        <f t="shared" si="143"/>
        <v>0.99338992532992165</v>
      </c>
      <c r="AG339" s="802">
        <f t="shared" si="149"/>
        <v>4</v>
      </c>
      <c r="AH339" s="172">
        <f t="shared" si="144"/>
        <v>10</v>
      </c>
      <c r="AI339" s="221">
        <f t="shared" si="145"/>
        <v>4.9933899253299217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48174</v>
      </c>
      <c r="B340" s="406">
        <f>'2030'!Wh/'2030'!Env_an*'2031'!Env_an</f>
        <v>9.4954425721167048</v>
      </c>
      <c r="C340" s="832"/>
      <c r="D340" s="388">
        <f t="shared" si="127"/>
        <v>9.9822159985860512</v>
      </c>
      <c r="E340" s="380">
        <f t="shared" si="125"/>
        <v>10.122387912288278</v>
      </c>
      <c r="F340" s="380">
        <f t="shared" si="128"/>
        <v>10.144371729290764</v>
      </c>
      <c r="G340" s="110">
        <f t="shared" si="126"/>
        <v>0.46071461714202344</v>
      </c>
      <c r="H340" s="409" t="b">
        <f>Wh_hp&gt;='2030'!Maxi_hp</f>
        <v>0</v>
      </c>
      <c r="I340" s="385">
        <f>IF(H340,Wh_hp,'2030'!Maxi_hp)</f>
        <v>10.193478053920225</v>
      </c>
      <c r="J340" s="85">
        <f>IF(H340,An,'2030'!An_max)</f>
        <v>2029</v>
      </c>
      <c r="K340" s="193">
        <f t="shared" si="129"/>
        <v>48174</v>
      </c>
      <c r="L340" s="143">
        <f>IF(t&lt;Tvie,1-EXP((T0-t)*PertePVj)+'2030'!Pspv,1-EXP((T0-t)*PertePVj)+Pspv)</f>
        <v>4.876406466643235E-2</v>
      </c>
      <c r="M340" s="836"/>
      <c r="N340" s="836"/>
      <c r="O340" s="48">
        <f>IF(t&lt;Tnet,'2030'!Resal+('2030'!Salim-'2030'!Resal)*(1-EXP(('2030'!Tnet-t)/('2030'!Tau_j))),Resal+(Salim-Resal)*(1-EXP((Tnet-t)/(Tau_j))))*Salcycl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9.2493458461574297E-3</v>
      </c>
      <c r="Q340" s="301">
        <f t="shared" si="130"/>
        <v>0.5</v>
      </c>
      <c r="R340" s="173">
        <f t="shared" si="131"/>
        <v>0.4684261597220134</v>
      </c>
      <c r="S340" s="802">
        <f t="shared" si="132"/>
        <v>1</v>
      </c>
      <c r="T340" s="172">
        <f t="shared" si="133"/>
        <v>7</v>
      </c>
      <c r="U340" s="247">
        <f t="shared" si="134"/>
        <v>1.4684261597220134</v>
      </c>
      <c r="V340" s="378">
        <f t="shared" si="135"/>
        <v>20.463964161737419</v>
      </c>
      <c r="W340" s="397">
        <f t="shared" si="136"/>
        <v>9.4954425721167048</v>
      </c>
      <c r="X340" s="153">
        <f t="shared" si="137"/>
        <v>48174</v>
      </c>
      <c r="Y340" s="380">
        <f t="shared" si="138"/>
        <v>9.1343856972370183</v>
      </c>
      <c r="Z340" s="380">
        <f t="shared" si="139"/>
        <v>9.6026499398741549</v>
      </c>
      <c r="AA340" s="381">
        <f t="shared" si="140"/>
        <v>10.069899730173203</v>
      </c>
      <c r="AB340" s="193">
        <f t="shared" si="141"/>
        <v>48174</v>
      </c>
      <c r="AC340" s="119">
        <f>IF(OR(t&lt;Tnet,NoTnet),'2030'!Resal_s+('2030'!Salim-'2030'!Resal_s)*(1-EXP(('2030'!Tnet_s-t)/'2030'!Tau_j)),Resal_s+(Salim-Resal_s)*(1-EXP((Tnet_s-t)/Tau_j)))*Salcycl</f>
        <v>4.6400639809649091E-2</v>
      </c>
      <c r="AD340" s="227">
        <f>(INDEX(Models!$BJ340:$BT340,,AH340)*(1-AF340)+INDEX(Models!$BJ340:$BT340,,AH340+1)*AF340-ERP_i)*AE340*Ramure*Pc/MaxiM</f>
        <v>3.1332924378652934E-2</v>
      </c>
      <c r="AE340" s="301">
        <f t="shared" si="142"/>
        <v>0.5</v>
      </c>
      <c r="AF340" s="173">
        <f t="shared" si="143"/>
        <v>0.99341372609598988</v>
      </c>
      <c r="AG340" s="802">
        <f t="shared" si="149"/>
        <v>4</v>
      </c>
      <c r="AH340" s="172">
        <f t="shared" si="144"/>
        <v>10</v>
      </c>
      <c r="AI340" s="221">
        <f t="shared" si="145"/>
        <v>4.9934137260959899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48175</v>
      </c>
      <c r="B341" s="406">
        <f>'2030'!Wh/'2030'!Env_an*'2031'!Env_an</f>
        <v>12.664006461528992</v>
      </c>
      <c r="C341" s="832"/>
      <c r="D341" s="388">
        <f t="shared" si="127"/>
        <v>13.31339508223579</v>
      </c>
      <c r="E341" s="380">
        <f t="shared" si="125"/>
        <v>13.501083515022422</v>
      </c>
      <c r="F341" s="380">
        <f t="shared" si="128"/>
        <v>13.559249395218972</v>
      </c>
      <c r="G341" s="110">
        <f t="shared" si="126"/>
        <v>0.62337976670982354</v>
      </c>
      <c r="H341" s="409" t="b">
        <f>Wh_hp&gt;='2030'!Maxi_hp</f>
        <v>0</v>
      </c>
      <c r="I341" s="385">
        <f>IF(H341,Wh_hp,'2030'!Maxi_hp)</f>
        <v>13.60479605353742</v>
      </c>
      <c r="J341" s="85">
        <f>IF(H341,An,'2030'!An_max)</f>
        <v>2029</v>
      </c>
      <c r="K341" s="193">
        <f t="shared" si="129"/>
        <v>48175</v>
      </c>
      <c r="L341" s="143">
        <f>IF(t&lt;Tvie,1-EXP((T0-t)*PertePVj)+'2030'!Pspv,1-EXP((T0-t)*PertePVj)+Pspv)</f>
        <v>4.8777086287575488E-2</v>
      </c>
      <c r="M341" s="836"/>
      <c r="N341" s="836"/>
      <c r="O341" s="48">
        <f>IF(t&lt;Tnet,'2030'!Resal+('2030'!Salim-'2030'!Resal)*(1-EXP(('2030'!Tnet-t)/('2030'!Tau_j))),Resal+(Salim-Resal)*(1-EXP((Tnet-t)/(Tau_j))))*Salcycl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9.1979343242521456E-3</v>
      </c>
      <c r="Q341" s="301">
        <f t="shared" si="130"/>
        <v>0.5</v>
      </c>
      <c r="R341" s="173">
        <f t="shared" si="131"/>
        <v>0.46844900432996295</v>
      </c>
      <c r="S341" s="802">
        <f t="shared" si="132"/>
        <v>1</v>
      </c>
      <c r="T341" s="172">
        <f t="shared" si="133"/>
        <v>7</v>
      </c>
      <c r="U341" s="247">
        <f t="shared" si="134"/>
        <v>1.4684490043299629</v>
      </c>
      <c r="V341" s="378">
        <f t="shared" si="135"/>
        <v>20.214935024626744</v>
      </c>
      <c r="W341" s="397">
        <f t="shared" si="136"/>
        <v>12.664006461528992</v>
      </c>
      <c r="X341" s="153">
        <f t="shared" si="137"/>
        <v>48175</v>
      </c>
      <c r="Y341" s="380">
        <f t="shared" si="138"/>
        <v>12.120168190982966</v>
      </c>
      <c r="Z341" s="380">
        <f t="shared" si="139"/>
        <v>12.741669714074147</v>
      </c>
      <c r="AA341" s="381">
        <f t="shared" si="140"/>
        <v>13.36176880742547</v>
      </c>
      <c r="AB341" s="193">
        <f t="shared" si="141"/>
        <v>48175</v>
      </c>
      <c r="AC341" s="119">
        <f>IF(OR(t&lt;Tnet,NoTnet),'2030'!Resal_s+('2030'!Salim-'2030'!Resal_s)*(1-EXP(('2030'!Tnet_s-t)/'2030'!Tau_j)),Resal_s+(Salim-Resal_s)*(1-EXP((Tnet_s-t)/Tau_j)))*Salcycl</f>
        <v>4.6408458512372873E-2</v>
      </c>
      <c r="AD341" s="227">
        <f>(INDEX(Models!$BJ341:$BT341,,AH341)*(1-AF341)+INDEX(Models!$BJ341:$BT341,,AH341+1)*AF341-ERP_i)*AE341*Ramure*Pc/MaxiM</f>
        <v>3.1228161092061096E-2</v>
      </c>
      <c r="AE341" s="301">
        <f t="shared" si="142"/>
        <v>0.5</v>
      </c>
      <c r="AF341" s="173">
        <f t="shared" si="143"/>
        <v>0.99343657070394009</v>
      </c>
      <c r="AG341" s="802">
        <f t="shared" si="149"/>
        <v>4</v>
      </c>
      <c r="AH341" s="172">
        <f t="shared" si="144"/>
        <v>10</v>
      </c>
      <c r="AI341" s="221">
        <f t="shared" si="145"/>
        <v>4.9934365707039401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48176</v>
      </c>
      <c r="B342" s="406">
        <f>'2030'!Wh/'2030'!Env_an*'2031'!Env_an</f>
        <v>11.774327936396679</v>
      </c>
      <c r="C342" s="832"/>
      <c r="D342" s="388">
        <f t="shared" si="127"/>
        <v>12.378264809992416</v>
      </c>
      <c r="E342" s="380">
        <f t="shared" si="125"/>
        <v>12.553459330394983</v>
      </c>
      <c r="F342" s="380">
        <f t="shared" si="128"/>
        <v>12.601115403664567</v>
      </c>
      <c r="G342" s="110">
        <f t="shared" si="126"/>
        <v>0.5864067623153133</v>
      </c>
      <c r="H342" s="409" t="b">
        <f>Wh_hp&gt;='2030'!Maxi_hp</f>
        <v>0</v>
      </c>
      <c r="I342" s="385">
        <f>IF(H342,Wh_hp,'2030'!Maxi_hp)</f>
        <v>12.647365612879526</v>
      </c>
      <c r="J342" s="85">
        <f>IF(H342,An,'2030'!An_max)</f>
        <v>2029</v>
      </c>
      <c r="K342" s="193">
        <f t="shared" si="129"/>
        <v>48176</v>
      </c>
      <c r="L342" s="143">
        <f>IF(t&lt;Tvie,1-EXP((T0-t)*PertePVj)+'2030'!Pspv,1-EXP((T0-t)*PertePVj)+Pspv)</f>
        <v>4.8790107730463661E-2</v>
      </c>
      <c r="M342" s="836"/>
      <c r="N342" s="836"/>
      <c r="O342" s="48">
        <f>IF(t&lt;Tnet,'2030'!Resal+('2030'!Salim-'2030'!Resal)*(1-EXP(('2030'!Tnet-t)/('2030'!Tau_j))),Resal+(Salim-Resal)*(1-EXP((Tnet-t)/(Tau_j))))*Salcycl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9.1419809229947562E-3</v>
      </c>
      <c r="Q342" s="301">
        <f t="shared" si="130"/>
        <v>0.5</v>
      </c>
      <c r="R342" s="173">
        <f t="shared" si="131"/>
        <v>0.46847093110971105</v>
      </c>
      <c r="S342" s="802">
        <f t="shared" si="132"/>
        <v>1</v>
      </c>
      <c r="T342" s="172">
        <f t="shared" si="133"/>
        <v>7</v>
      </c>
      <c r="U342" s="247">
        <f t="shared" si="134"/>
        <v>1.4684709311097111</v>
      </c>
      <c r="V342" s="378">
        <f t="shared" si="135"/>
        <v>19.970739889371021</v>
      </c>
      <c r="W342" s="397">
        <f t="shared" si="136"/>
        <v>11.774327936396679</v>
      </c>
      <c r="X342" s="153">
        <f t="shared" si="137"/>
        <v>48176</v>
      </c>
      <c r="Y342" s="380">
        <f t="shared" si="138"/>
        <v>11.282670411930589</v>
      </c>
      <c r="Z342" s="380">
        <f t="shared" si="139"/>
        <v>11.861388851845028</v>
      </c>
      <c r="AA342" s="381">
        <f t="shared" si="140"/>
        <v>12.438759057968028</v>
      </c>
      <c r="AB342" s="193">
        <f t="shared" si="141"/>
        <v>48176</v>
      </c>
      <c r="AC342" s="119">
        <f>IF(OR(t&lt;Tnet,NoTnet),'2030'!Resal_s+('2030'!Salim-'2030'!Resal_s)*(1-EXP(('2030'!Tnet_s-t)/'2030'!Tau_j)),Resal_s+(Salim-Resal_s)*(1-EXP((Tnet_s-t)/Tau_j)))*Salcycl</f>
        <v>4.6417026283112041E-2</v>
      </c>
      <c r="AD342" s="227">
        <f>(INDEX(Models!$BJ342:$BT342,,AH342)*(1-AF342)+INDEX(Models!$BJ342:$BT342,,AH342+1)*AF342-ERP_i)*AE342*Ramure*Pc/MaxiM</f>
        <v>3.1145214308545038E-2</v>
      </c>
      <c r="AE342" s="301">
        <f t="shared" si="142"/>
        <v>0.5</v>
      </c>
      <c r="AF342" s="173">
        <f t="shared" si="143"/>
        <v>0.99345849748368753</v>
      </c>
      <c r="AG342" s="802">
        <f t="shared" si="149"/>
        <v>4</v>
      </c>
      <c r="AH342" s="172">
        <f t="shared" si="144"/>
        <v>10</v>
      </c>
      <c r="AI342" s="221">
        <f t="shared" si="145"/>
        <v>4.9934584974836875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48177</v>
      </c>
      <c r="B343" s="406">
        <f>'2030'!Wh/'2030'!Env_an*'2031'!Env_an</f>
        <v>4.7786937250346657</v>
      </c>
      <c r="C343" s="832"/>
      <c r="D343" s="388">
        <f t="shared" si="127"/>
        <v>5.0238745213555731</v>
      </c>
      <c r="E343" s="380">
        <f t="shared" si="125"/>
        <v>5.0952598938528979</v>
      </c>
      <c r="F343" s="380">
        <f t="shared" si="128"/>
        <v>5.0952598938528979</v>
      </c>
      <c r="G343" s="110">
        <f t="shared" si="126"/>
        <v>0.23998814302130453</v>
      </c>
      <c r="H343" s="409" t="b">
        <f>Wh_hp&gt;='2030'!Maxi_hp</f>
        <v>0</v>
      </c>
      <c r="I343" s="385">
        <f>IF(H343,Wh_hp,'2030'!Maxi_hp)</f>
        <v>5.1269316051657343</v>
      </c>
      <c r="J343" s="85">
        <f>IF(H343,An,'2030'!An_max)</f>
        <v>2029</v>
      </c>
      <c r="K343" s="193">
        <f t="shared" si="129"/>
        <v>48177</v>
      </c>
      <c r="L343" s="143">
        <f>IF(t&lt;Tvie,1-EXP((T0-t)*PertePVj)+'2030'!Pspv,1-EXP((T0-t)*PertePVj)+Pspv)</f>
        <v>4.8803128995099088E-2</v>
      </c>
      <c r="M343" s="836"/>
      <c r="N343" s="836"/>
      <c r="O343" s="48">
        <f>IF(t&lt;Tnet,'2030'!Resal+('2030'!Salim-'2030'!Resal)*(1-EXP(('2030'!Tnet-t)/('2030'!Tau_j))),Resal+(Salim-Resal)*(1-EXP((Tnet-t)/(Tau_j))))*Salcycl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9.0814141219100475E-3</v>
      </c>
      <c r="Q343" s="301">
        <f t="shared" si="130"/>
        <v>0.5</v>
      </c>
      <c r="R343" s="173">
        <f t="shared" si="131"/>
        <v>0.46849197686110822</v>
      </c>
      <c r="S343" s="802">
        <f t="shared" si="132"/>
        <v>1</v>
      </c>
      <c r="T343" s="172">
        <f t="shared" si="133"/>
        <v>7</v>
      </c>
      <c r="U343" s="247">
        <f t="shared" si="134"/>
        <v>1.4684919768611082</v>
      </c>
      <c r="V343" s="378">
        <f t="shared" si="135"/>
        <v>19.731376595282395</v>
      </c>
      <c r="W343" s="397">
        <f t="shared" si="136"/>
        <v>4.7786937250346657</v>
      </c>
      <c r="X343" s="153">
        <f t="shared" si="137"/>
        <v>48177</v>
      </c>
      <c r="Y343" s="380">
        <f t="shared" si="138"/>
        <v>4.6215855070772456</v>
      </c>
      <c r="Z343" s="380">
        <f t="shared" si="139"/>
        <v>4.8587055403102068</v>
      </c>
      <c r="AA343" s="381">
        <f t="shared" si="140"/>
        <v>5.0952598938528979</v>
      </c>
      <c r="AB343" s="193">
        <f t="shared" si="141"/>
        <v>48177</v>
      </c>
      <c r="AC343" s="119">
        <f>IF(OR(t&lt;Tnet,NoTnet),'2030'!Resal_s+('2030'!Salim-'2030'!Resal_s)*(1-EXP(('2030'!Tnet_s-t)/'2030'!Tau_j)),Resal_s+(Salim-Resal_s)*(1-EXP((Tnet_s-t)/Tau_j)))*Salcycl</f>
        <v>4.6426356745428957E-2</v>
      </c>
      <c r="AD343" s="227">
        <f>(INDEX(Models!$BJ343:$BT343,,AH343)*(1-AF343)+INDEX(Models!$BJ343:$BT343,,AH343+1)*AF343-ERP_i)*AE343*Ramure*Pc/MaxiM</f>
        <v>3.1084571826362966E-2</v>
      </c>
      <c r="AE343" s="301">
        <f t="shared" si="142"/>
        <v>0.5</v>
      </c>
      <c r="AF343" s="173">
        <f t="shared" si="143"/>
        <v>0.99347954323508514</v>
      </c>
      <c r="AG343" s="802">
        <f t="shared" si="149"/>
        <v>4</v>
      </c>
      <c r="AH343" s="172">
        <f t="shared" si="144"/>
        <v>10</v>
      </c>
      <c r="AI343" s="221">
        <f t="shared" si="145"/>
        <v>4.9934795432350851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48178</v>
      </c>
      <c r="B344" s="406">
        <f>'2030'!Wh/'2030'!Env_an*'2031'!Env_an</f>
        <v>9.5566699119517953</v>
      </c>
      <c r="C344" s="832"/>
      <c r="D344" s="388">
        <f t="shared" si="127"/>
        <v>10.047132226614739</v>
      </c>
      <c r="E344" s="380">
        <f t="shared" si="125"/>
        <v>10.19045661270169</v>
      </c>
      <c r="F344" s="380">
        <f t="shared" si="128"/>
        <v>10.215478056304388</v>
      </c>
      <c r="G344" s="110">
        <f t="shared" si="126"/>
        <v>0.48693827427356529</v>
      </c>
      <c r="H344" s="409" t="b">
        <f>Wh_hp&gt;='2030'!Maxi_hp</f>
        <v>0</v>
      </c>
      <c r="I344" s="385">
        <f>IF(H344,Wh_hp,'2030'!Maxi_hp)</f>
        <v>10.261471929700905</v>
      </c>
      <c r="J344" s="85">
        <f>IF(H344,An,'2030'!An_max)</f>
        <v>2029</v>
      </c>
      <c r="K344" s="193">
        <f t="shared" si="129"/>
        <v>48178</v>
      </c>
      <c r="L344" s="143">
        <f>IF(t&lt;Tvie,1-EXP((T0-t)*PertePVj)+'2030'!Pspv,1-EXP((T0-t)*PertePVj)+Pspv)</f>
        <v>4.8816150081484433E-2</v>
      </c>
      <c r="M344" s="836"/>
      <c r="N344" s="836"/>
      <c r="O344" s="48">
        <f>IF(t&lt;Tnet,'2030'!Resal+('2030'!Salim-'2030'!Resal)*(1-EXP(('2030'!Tnet-t)/('2030'!Tau_j))),Resal+(Salim-Resal)*(1-EXP((Tnet-t)/(Tau_j))))*Salcycl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9.0161505021602809E-3</v>
      </c>
      <c r="Q344" s="301">
        <f t="shared" si="130"/>
        <v>0.5</v>
      </c>
      <c r="R344" s="173">
        <f t="shared" si="131"/>
        <v>0.46851217691450664</v>
      </c>
      <c r="S344" s="802">
        <f t="shared" si="132"/>
        <v>1</v>
      </c>
      <c r="T344" s="172">
        <f t="shared" si="133"/>
        <v>7</v>
      </c>
      <c r="U344" s="247">
        <f t="shared" si="134"/>
        <v>1.4685121769145066</v>
      </c>
      <c r="V344" s="378">
        <f t="shared" si="135"/>
        <v>19.496843294982863</v>
      </c>
      <c r="W344" s="397">
        <f t="shared" si="136"/>
        <v>9.5566699119517953</v>
      </c>
      <c r="X344" s="153">
        <f t="shared" si="137"/>
        <v>48178</v>
      </c>
      <c r="Y344" s="380">
        <f t="shared" si="138"/>
        <v>9.1874355139390875</v>
      </c>
      <c r="Z344" s="380">
        <f t="shared" si="139"/>
        <v>9.6589481778166668</v>
      </c>
      <c r="AA344" s="381">
        <f t="shared" si="140"/>
        <v>10.12931784653443</v>
      </c>
      <c r="AB344" s="193">
        <f t="shared" si="141"/>
        <v>48178</v>
      </c>
      <c r="AC344" s="119">
        <f>IF(OR(t&lt;Tnet,NoTnet),'2030'!Resal_s+('2030'!Salim-'2030'!Resal_s)*(1-EXP(('2030'!Tnet_s-t)/'2030'!Tau_j)),Resal_s+(Salim-Resal_s)*(1-EXP((Tnet_s-t)/Tau_j)))*Salcycl</f>
        <v>4.6436460563698413E-2</v>
      </c>
      <c r="AD344" s="227">
        <f>(INDEX(Models!$BJ344:$BT344,,AH344)*(1-AF344)+INDEX(Models!$BJ344:$BT344,,AH344+1)*AF344-ERP_i)*AE344*Ramure*Pc/MaxiM</f>
        <v>3.1046706613677633E-2</v>
      </c>
      <c r="AE344" s="301">
        <f t="shared" si="142"/>
        <v>0.5</v>
      </c>
      <c r="AF344" s="173">
        <f t="shared" si="143"/>
        <v>0.99349974328848401</v>
      </c>
      <c r="AG344" s="802">
        <f t="shared" si="149"/>
        <v>4</v>
      </c>
      <c r="AH344" s="172">
        <f t="shared" si="144"/>
        <v>10</v>
      </c>
      <c r="AI344" s="221">
        <f t="shared" si="145"/>
        <v>4.993499743288484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48179</v>
      </c>
      <c r="B345" s="406">
        <f>'2030'!Wh/'2030'!Env_an*'2031'!Env_an</f>
        <v>13.662622925411803</v>
      </c>
      <c r="C345" s="832"/>
      <c r="D345" s="388">
        <f t="shared" si="127"/>
        <v>14.364005401245052</v>
      </c>
      <c r="E345" s="380">
        <f t="shared" si="125"/>
        <v>14.569717128097567</v>
      </c>
      <c r="F345" s="380">
        <f t="shared" si="128"/>
        <v>14.646320163933886</v>
      </c>
      <c r="G345" s="110">
        <f t="shared" si="126"/>
        <v>0.70654710362059636</v>
      </c>
      <c r="H345" s="409" t="b">
        <f>Wh_hp&gt;='2030'!Maxi_hp</f>
        <v>0</v>
      </c>
      <c r="I345" s="385">
        <f>IF(H345,Wh_hp,'2030'!Maxi_hp)</f>
        <v>14.683716756103069</v>
      </c>
      <c r="J345" s="85">
        <f>IF(H345,An,'2030'!An_max)</f>
        <v>2029</v>
      </c>
      <c r="K345" s="193">
        <f t="shared" si="129"/>
        <v>48179</v>
      </c>
      <c r="L345" s="143">
        <f>IF(t&lt;Tvie,1-EXP((T0-t)*PertePVj)+'2030'!Pspv,1-EXP((T0-t)*PertePVj)+Pspv)</f>
        <v>4.8829170989622028E-2</v>
      </c>
      <c r="M345" s="836"/>
      <c r="N345" s="836"/>
      <c r="O345" s="48">
        <f>IF(t&lt;Tnet,'2030'!Resal+('2030'!Salim-'2030'!Resal)*(1-EXP(('2030'!Tnet-t)/('2030'!Tau_j))),Resal+(Salim-Resal)*(1-EXP((Tnet-t)/(Tau_j))))*Salcycl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8.9471158629267859E-3</v>
      </c>
      <c r="Q345" s="301">
        <f t="shared" si="130"/>
        <v>0.5</v>
      </c>
      <c r="R345" s="173">
        <f t="shared" si="131"/>
        <v>0.46853156518896721</v>
      </c>
      <c r="S345" s="802">
        <f t="shared" si="132"/>
        <v>1</v>
      </c>
      <c r="T345" s="172">
        <f t="shared" si="133"/>
        <v>7</v>
      </c>
      <c r="U345" s="247">
        <f t="shared" si="134"/>
        <v>1.4685315651889672</v>
      </c>
      <c r="V345" s="378">
        <f t="shared" si="135"/>
        <v>19.264919347696587</v>
      </c>
      <c r="W345" s="397">
        <f t="shared" si="136"/>
        <v>13.662622925411803</v>
      </c>
      <c r="X345" s="153">
        <f t="shared" si="137"/>
        <v>48179</v>
      </c>
      <c r="Y345" s="380">
        <f t="shared" si="138"/>
        <v>13.043082167839483</v>
      </c>
      <c r="Z345" s="380">
        <f t="shared" si="139"/>
        <v>13.712659987070706</v>
      </c>
      <c r="AA345" s="381">
        <f t="shared" si="140"/>
        <v>14.380600716235008</v>
      </c>
      <c r="AB345" s="193">
        <f t="shared" si="141"/>
        <v>48179</v>
      </c>
      <c r="AC345" s="119">
        <f>IF(OR(t&lt;Tnet,NoTnet),'2030'!Resal_s+('2030'!Salim-'2030'!Resal_s)*(1-EXP(('2030'!Tnet_s-t)/'2030'!Tau_j)),Resal_s+(Salim-Resal_s)*(1-EXP((Tnet_s-t)/Tau_j)))*Salcycl</f>
        <v>4.6447345444354721E-2</v>
      </c>
      <c r="AD345" s="227">
        <f>(INDEX(Models!$BJ345:$BT345,,AH345)*(1-AF345)+INDEX(Models!$BJ345:$BT345,,AH345+1)*AF345-ERP_i)*AE345*Ramure*Pc/MaxiM</f>
        <v>3.103561966753739E-2</v>
      </c>
      <c r="AE345" s="301">
        <f t="shared" si="142"/>
        <v>0.5</v>
      </c>
      <c r="AF345" s="173">
        <f t="shared" si="143"/>
        <v>0.99351913156294458</v>
      </c>
      <c r="AG345" s="802">
        <f t="shared" si="149"/>
        <v>4</v>
      </c>
      <c r="AH345" s="172">
        <f t="shared" si="144"/>
        <v>10</v>
      </c>
      <c r="AI345" s="221">
        <f t="shared" si="145"/>
        <v>4.9935191315629446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48180</v>
      </c>
      <c r="B346" s="406">
        <f>'2030'!Wh/'2030'!Env_an*'2031'!Env_an</f>
        <v>9.3298840014611102</v>
      </c>
      <c r="C346" s="832"/>
      <c r="D346" s="388">
        <f t="shared" si="127"/>
        <v>9.8089758820650221</v>
      </c>
      <c r="E346" s="380">
        <f t="shared" si="125"/>
        <v>9.950005652820197</v>
      </c>
      <c r="F346" s="380">
        <f t="shared" si="128"/>
        <v>9.9740631471228944</v>
      </c>
      <c r="G346" s="110">
        <f t="shared" si="126"/>
        <v>0.48699206309321963</v>
      </c>
      <c r="H346" s="409" t="b">
        <f>Wh_hp&gt;='2030'!Maxi_hp</f>
        <v>0</v>
      </c>
      <c r="I346" s="385">
        <f>IF(H346,Wh_hp,'2030'!Maxi_hp)</f>
        <v>10.018379129472789</v>
      </c>
      <c r="J346" s="85">
        <f>IF(H346,An,'2030'!An_max)</f>
        <v>2029</v>
      </c>
      <c r="K346" s="193">
        <f t="shared" si="129"/>
        <v>48180</v>
      </c>
      <c r="L346" s="143">
        <f>IF(t&lt;Tvie,1-EXP((T0-t)*PertePVj)+'2030'!Pspv,1-EXP((T0-t)*PertePVj)+Pspv)</f>
        <v>4.8842191719514316E-2</v>
      </c>
      <c r="M346" s="836"/>
      <c r="N346" s="836"/>
      <c r="O346" s="48">
        <f>IF(t&lt;Tnet,'2030'!Resal+('2030'!Salim-'2030'!Resal)*(1-EXP(('2030'!Tnet-t)/('2030'!Tau_j))),Resal+(Salim-Resal)*(1-EXP((Tnet-t)/(Tau_j))))*Salcycl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8.8784215152499062E-3</v>
      </c>
      <c r="Q346" s="301">
        <f t="shared" si="130"/>
        <v>0.5</v>
      </c>
      <c r="R346" s="173">
        <f t="shared" si="131"/>
        <v>0.46855017424820211</v>
      </c>
      <c r="S346" s="802">
        <f t="shared" si="132"/>
        <v>1</v>
      </c>
      <c r="T346" s="172">
        <f t="shared" si="133"/>
        <v>7</v>
      </c>
      <c r="U346" s="247">
        <f t="shared" si="134"/>
        <v>1.4685501742482021</v>
      </c>
      <c r="V346" s="378">
        <f t="shared" si="135"/>
        <v>19.0340005956586</v>
      </c>
      <c r="W346" s="397">
        <f t="shared" si="136"/>
        <v>9.3298840014611102</v>
      </c>
      <c r="X346" s="153">
        <f t="shared" si="137"/>
        <v>48180</v>
      </c>
      <c r="Y346" s="380">
        <f t="shared" si="138"/>
        <v>8.9698219992338153</v>
      </c>
      <c r="Z346" s="380">
        <f t="shared" si="139"/>
        <v>9.4304246058280956</v>
      </c>
      <c r="AA346" s="381">
        <f t="shared" si="140"/>
        <v>9.889899611659752</v>
      </c>
      <c r="AB346" s="193">
        <f t="shared" si="141"/>
        <v>48180</v>
      </c>
      <c r="AC346" s="119">
        <f>IF(OR(t&lt;Tnet,NoTnet),'2030'!Resal_s+('2030'!Salim-'2030'!Resal_s)*(1-EXP(('2030'!Tnet_s-t)/'2030'!Tau_j)),Resal_s+(Salim-Resal_s)*(1-EXP((Tnet_s-t)/Tau_j)))*Salcycl</f>
        <v>4.6459016155225283E-2</v>
      </c>
      <c r="AD346" s="227">
        <f>(INDEX(Models!$BJ346:$BT346,,AH346)*(1-AF346)+INDEX(Models!$BJ346:$BT346,,AH346+1)*AF346-ERP_i)*AE346*Ramure*Pc/MaxiM</f>
        <v>3.1060564107528797E-2</v>
      </c>
      <c r="AE346" s="301">
        <f t="shared" si="142"/>
        <v>0.5</v>
      </c>
      <c r="AF346" s="173">
        <f t="shared" si="143"/>
        <v>0.99353774062217859</v>
      </c>
      <c r="AG346" s="802">
        <f t="shared" si="149"/>
        <v>4</v>
      </c>
      <c r="AH346" s="172">
        <f t="shared" si="144"/>
        <v>10</v>
      </c>
      <c r="AI346" s="221">
        <f t="shared" si="145"/>
        <v>4.9935377406221786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48181</v>
      </c>
      <c r="B347" s="406">
        <f>'2030'!Wh/'2030'!Env_an*'2031'!Env_an</f>
        <v>10.340960098996071</v>
      </c>
      <c r="C347" s="832"/>
      <c r="D347" s="388">
        <f t="shared" si="127"/>
        <v>10.872119820672555</v>
      </c>
      <c r="E347" s="380">
        <f t="shared" si="125"/>
        <v>11.029048831026669</v>
      </c>
      <c r="F347" s="380">
        <f t="shared" si="128"/>
        <v>11.063886463489915</v>
      </c>
      <c r="G347" s="110">
        <f t="shared" si="126"/>
        <v>0.54677883299405616</v>
      </c>
      <c r="H347" s="409" t="b">
        <f>Wh_hp&gt;='2030'!Maxi_hp</f>
        <v>0</v>
      </c>
      <c r="I347" s="385">
        <f>IF(H347,Wh_hp,'2030'!Maxi_hp)</f>
        <v>11.107056154609616</v>
      </c>
      <c r="J347" s="85">
        <f>IF(H347,An,'2030'!An_max)</f>
        <v>2029</v>
      </c>
      <c r="K347" s="193">
        <f t="shared" si="129"/>
        <v>48181</v>
      </c>
      <c r="L347" s="143">
        <f>IF(t&lt;Tvie,1-EXP((T0-t)*PertePVj)+'2030'!Pspv,1-EXP((T0-t)*PertePVj)+Pspv)</f>
        <v>4.8855212271163739E-2</v>
      </c>
      <c r="M347" s="836"/>
      <c r="N347" s="836"/>
      <c r="O347" s="48">
        <f>IF(t&lt;Tnet,'2030'!Resal+('2030'!Salim-'2030'!Resal)*(1-EXP(('2030'!Tnet-t)/('2030'!Tau_j))),Resal+(Salim-Resal)*(1-EXP((Tnet-t)/(Tau_j))))*Salcycl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8.8198281883785975E-3</v>
      </c>
      <c r="Q347" s="301">
        <f t="shared" si="130"/>
        <v>0.5</v>
      </c>
      <c r="R347" s="173">
        <f t="shared" si="131"/>
        <v>0.46856803535433111</v>
      </c>
      <c r="S347" s="802">
        <f t="shared" si="132"/>
        <v>1</v>
      </c>
      <c r="T347" s="172">
        <f t="shared" si="133"/>
        <v>7</v>
      </c>
      <c r="U347" s="247">
        <f t="shared" si="134"/>
        <v>1.4685680353543311</v>
      </c>
      <c r="V347" s="378">
        <f t="shared" si="135"/>
        <v>18.804917181388642</v>
      </c>
      <c r="W347" s="397">
        <f t="shared" si="136"/>
        <v>10.340960098996071</v>
      </c>
      <c r="X347" s="153">
        <f t="shared" si="137"/>
        <v>48181</v>
      </c>
      <c r="Y347" s="380">
        <f t="shared" si="138"/>
        <v>9.9228280694704836</v>
      </c>
      <c r="Z347" s="380">
        <f t="shared" si="139"/>
        <v>10.432510588807855</v>
      </c>
      <c r="AA347" s="381">
        <f t="shared" si="140"/>
        <v>10.940952798473457</v>
      </c>
      <c r="AB347" s="193">
        <f t="shared" si="141"/>
        <v>48181</v>
      </c>
      <c r="AC347" s="119">
        <f>IF(OR(t&lt;Tnet,NoTnet),'2030'!Resal_s+('2030'!Salim-'2030'!Resal_s)*(1-EXP(('2030'!Tnet_s-t)/'2030'!Tau_j)),Resal_s+(Salim-Resal_s)*(1-EXP((Tnet_s-t)/Tau_j)))*Salcycl</f>
        <v>4.647147456266728E-2</v>
      </c>
      <c r="AD347" s="227">
        <f>(INDEX(Models!$BJ347:$BT347,,AH347)*(1-AF347)+INDEX(Models!$BJ347:$BT347,,AH347+1)*AF347-ERP_i)*AE347*Ramure*Pc/MaxiM</f>
        <v>3.1123062256218588E-2</v>
      </c>
      <c r="AE347" s="301">
        <f t="shared" si="142"/>
        <v>0.5</v>
      </c>
      <c r="AF347" s="173">
        <f t="shared" si="143"/>
        <v>0.99355560172830781</v>
      </c>
      <c r="AG347" s="802">
        <f t="shared" si="149"/>
        <v>4</v>
      </c>
      <c r="AH347" s="172">
        <f t="shared" si="144"/>
        <v>10</v>
      </c>
      <c r="AI347" s="221">
        <f t="shared" si="145"/>
        <v>4.9935556017283078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48182</v>
      </c>
      <c r="B348" s="406">
        <f>'2030'!Wh/'2030'!Env_an*'2031'!Env_an</f>
        <v>4.4301226649812779</v>
      </c>
      <c r="C348" s="832"/>
      <c r="D348" s="388">
        <f t="shared" si="127"/>
        <v>4.6577380937438404</v>
      </c>
      <c r="E348" s="380">
        <f t="shared" si="125"/>
        <v>4.725231950887026</v>
      </c>
      <c r="F348" s="380">
        <f t="shared" si="128"/>
        <v>4.725231950887026</v>
      </c>
      <c r="G348" s="110">
        <f t="shared" si="126"/>
        <v>0.23636027621624037</v>
      </c>
      <c r="H348" s="409" t="b">
        <f>Wh_hp&gt;='2030'!Maxi_hp</f>
        <v>0</v>
      </c>
      <c r="I348" s="385">
        <f>IF(H348,Wh_hp,'2030'!Maxi_hp)</f>
        <v>4.7537491431428256</v>
      </c>
      <c r="J348" s="85">
        <f>IF(H348,An,'2030'!An_max)</f>
        <v>2029</v>
      </c>
      <c r="K348" s="193">
        <f t="shared" si="129"/>
        <v>48182</v>
      </c>
      <c r="L348" s="143">
        <f>IF(t&lt;Tvie,1-EXP((T0-t)*PertePVj)+'2030'!Pspv,1-EXP((T0-t)*PertePVj)+Pspv)</f>
        <v>4.886823264457274E-2</v>
      </c>
      <c r="M348" s="836"/>
      <c r="N348" s="836"/>
      <c r="O348" s="48">
        <f>IF(t&lt;Tnet,'2030'!Resal+('2030'!Salim-'2030'!Resal)*(1-EXP(('2030'!Tnet-t)/('2030'!Tau_j))),Resal+(Salim-Resal)*(1-EXP((Tnet-t)/(Tau_j))))*Salcycl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8.7710416673234728E-3</v>
      </c>
      <c r="Q348" s="301">
        <f t="shared" si="130"/>
        <v>0.5</v>
      </c>
      <c r="R348" s="173">
        <f t="shared" si="131"/>
        <v>0.46858517851954029</v>
      </c>
      <c r="S348" s="802">
        <f t="shared" si="132"/>
        <v>1</v>
      </c>
      <c r="T348" s="172">
        <f t="shared" si="133"/>
        <v>7</v>
      </c>
      <c r="U348" s="247">
        <f t="shared" si="134"/>
        <v>1.4685851785195403</v>
      </c>
      <c r="V348" s="378">
        <f t="shared" si="135"/>
        <v>18.578696660846294</v>
      </c>
      <c r="W348" s="397">
        <f t="shared" si="136"/>
        <v>4.4301226649812779</v>
      </c>
      <c r="X348" s="153">
        <f t="shared" si="137"/>
        <v>48182</v>
      </c>
      <c r="Y348" s="380">
        <f t="shared" si="138"/>
        <v>4.2854010941322622</v>
      </c>
      <c r="Z348" s="380">
        <f t="shared" si="139"/>
        <v>4.5055808681983134</v>
      </c>
      <c r="AA348" s="381">
        <f t="shared" si="140"/>
        <v>4.725231950887026</v>
      </c>
      <c r="AB348" s="193">
        <f t="shared" si="141"/>
        <v>48182</v>
      </c>
      <c r="AC348" s="119">
        <f>IF(OR(t&lt;Tnet,NoTnet),'2030'!Resal_s+('2030'!Salim-'2030'!Resal_s)*(1-EXP(('2030'!Tnet_s-t)/'2030'!Tau_j)),Resal_s+(Salim-Resal_s)*(1-EXP((Tnet_s-t)/Tau_j)))*Salcycl</f>
        <v>4.6484719686084371E-2</v>
      </c>
      <c r="AD348" s="227">
        <f>(INDEX(Models!$BJ348:$BT348,,AH348)*(1-AF348)+INDEX(Models!$BJ348:$BT348,,AH348+1)*AF348-ERP_i)*AE348*Ramure*Pc/MaxiM</f>
        <v>3.1222241303541842E-2</v>
      </c>
      <c r="AE348" s="301">
        <f t="shared" si="142"/>
        <v>0.5</v>
      </c>
      <c r="AF348" s="173">
        <f t="shared" si="143"/>
        <v>0.99357274489351699</v>
      </c>
      <c r="AG348" s="802">
        <f t="shared" si="149"/>
        <v>4</v>
      </c>
      <c r="AH348" s="172">
        <f t="shared" si="144"/>
        <v>10</v>
      </c>
      <c r="AI348" s="221">
        <f t="shared" si="145"/>
        <v>4.993572744893517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48183</v>
      </c>
      <c r="B349" s="406">
        <f>'2030'!Wh/'2030'!Env_an*'2031'!Env_an</f>
        <v>4.1807905056940893</v>
      </c>
      <c r="C349" s="832"/>
      <c r="D349" s="388">
        <f t="shared" si="127"/>
        <v>4.395655661479311</v>
      </c>
      <c r="E349" s="380">
        <f t="shared" si="125"/>
        <v>4.4596013662340539</v>
      </c>
      <c r="F349" s="380">
        <f t="shared" si="128"/>
        <v>4.4596013662340539</v>
      </c>
      <c r="G349" s="110">
        <f t="shared" si="126"/>
        <v>0.22576825899433819</v>
      </c>
      <c r="H349" s="409" t="b">
        <f>Wh_hp&gt;='2030'!Maxi_hp</f>
        <v>0</v>
      </c>
      <c r="I349" s="385">
        <f>IF(H349,Wh_hp,'2030'!Maxi_hp)</f>
        <v>4.4864220109746071</v>
      </c>
      <c r="J349" s="85">
        <f>IF(H349,An,'2030'!An_max)</f>
        <v>2029</v>
      </c>
      <c r="K349" s="193">
        <f t="shared" si="129"/>
        <v>48183</v>
      </c>
      <c r="L349" s="143">
        <f>IF(t&lt;Tvie,1-EXP((T0-t)*PertePVj)+'2030'!Pspv,1-EXP((T0-t)*PertePVj)+Pspv)</f>
        <v>4.8881252839743761E-2</v>
      </c>
      <c r="M349" s="836"/>
      <c r="N349" s="836"/>
      <c r="O349" s="48">
        <f>IF(t&lt;Tnet,'2030'!Resal+('2030'!Salim-'2030'!Resal)*(1-EXP(('2030'!Tnet-t)/('2030'!Tau_j))),Resal+(Salim-Resal)*(1-EXP((Tnet-t)/(Tau_j))))*Salcycl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8.73175996821394E-3</v>
      </c>
      <c r="Q349" s="301">
        <f t="shared" si="130"/>
        <v>0.5</v>
      </c>
      <c r="R349" s="173">
        <f t="shared" si="131"/>
        <v>0.46860163255571585</v>
      </c>
      <c r="S349" s="802">
        <f t="shared" si="132"/>
        <v>1</v>
      </c>
      <c r="T349" s="172">
        <f t="shared" si="133"/>
        <v>7</v>
      </c>
      <c r="U349" s="247">
        <f t="shared" si="134"/>
        <v>1.4686016325557159</v>
      </c>
      <c r="V349" s="378">
        <f t="shared" si="135"/>
        <v>18.356366235808689</v>
      </c>
      <c r="W349" s="397">
        <f t="shared" si="136"/>
        <v>4.1807905056940893</v>
      </c>
      <c r="X349" s="153">
        <f t="shared" si="137"/>
        <v>48183</v>
      </c>
      <c r="Y349" s="380">
        <f t="shared" si="138"/>
        <v>4.0443808891723574</v>
      </c>
      <c r="Z349" s="380">
        <f t="shared" si="139"/>
        <v>4.2522354871540662</v>
      </c>
      <c r="AA349" s="381">
        <f t="shared" si="140"/>
        <v>4.4596013662340539</v>
      </c>
      <c r="AB349" s="193">
        <f t="shared" si="141"/>
        <v>48183</v>
      </c>
      <c r="AC349" s="119">
        <f>IF(OR(t&lt;Tnet,NoTnet),'2030'!Resal_s+('2030'!Salim-'2030'!Resal_s)*(1-EXP(('2030'!Tnet_s-t)/'2030'!Tau_j)),Resal_s+(Salim-Resal_s)*(1-EXP((Tnet_s-t)/Tau_j)))*Salcycl</f>
        <v>4.64987477692652E-2</v>
      </c>
      <c r="AD349" s="227">
        <f>(INDEX(Models!$BJ349:$BT349,,AH349)*(1-AF349)+INDEX(Models!$BJ349:$BT349,,AH349+1)*AF349-ERP_i)*AE349*Ramure*Pc/MaxiM</f>
        <v>3.1357146068769298E-2</v>
      </c>
      <c r="AE349" s="301">
        <f t="shared" si="142"/>
        <v>0.5</v>
      </c>
      <c r="AF349" s="173">
        <f t="shared" si="143"/>
        <v>0.99358919892969233</v>
      </c>
      <c r="AG349" s="802">
        <f t="shared" si="149"/>
        <v>4</v>
      </c>
      <c r="AH349" s="172">
        <f t="shared" si="144"/>
        <v>10</v>
      </c>
      <c r="AI349" s="221">
        <f t="shared" si="145"/>
        <v>4.9935891989296923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48184</v>
      </c>
      <c r="B350" s="406">
        <f>'2030'!Wh/'2030'!Env_an*'2031'!Env_an</f>
        <v>5.334624545167765</v>
      </c>
      <c r="C350" s="832"/>
      <c r="D350" s="388">
        <f t="shared" si="127"/>
        <v>5.6088659682351993</v>
      </c>
      <c r="E350" s="380">
        <f t="shared" si="125"/>
        <v>5.6907802598315671</v>
      </c>
      <c r="F350" s="380">
        <f t="shared" si="128"/>
        <v>5.6907802598315671</v>
      </c>
      <c r="G350" s="110">
        <f t="shared" si="126"/>
        <v>0.29153857364026825</v>
      </c>
      <c r="H350" s="409" t="b">
        <f>Wh_hp&gt;='2030'!Maxi_hp</f>
        <v>0</v>
      </c>
      <c r="I350" s="385">
        <f>IF(H350,Wh_hp,'2030'!Maxi_hp)</f>
        <v>5.7249199528421579</v>
      </c>
      <c r="J350" s="85">
        <f>IF(H350,An,'2030'!An_max)</f>
        <v>2029</v>
      </c>
      <c r="K350" s="193">
        <f t="shared" si="129"/>
        <v>48184</v>
      </c>
      <c r="L350" s="143">
        <f>IF(t&lt;Tvie,1-EXP((T0-t)*PertePVj)+'2030'!Pspv,1-EXP((T0-t)*PertePVj)+Pspv)</f>
        <v>4.8894272856679244E-2</v>
      </c>
      <c r="M350" s="836"/>
      <c r="N350" s="836"/>
      <c r="O350" s="48">
        <f>IF(t&lt;Tnet,'2030'!Resal+('2030'!Salim-'2030'!Resal)*(1-EXP(('2030'!Tnet-t)/('2030'!Tau_j))),Resal+(Salim-Resal)*(1-EXP((Tnet-t)/(Tau_j))))*Salcycl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8.7016688230719171E-3</v>
      </c>
      <c r="Q350" s="301">
        <f t="shared" si="130"/>
        <v>0.5</v>
      </c>
      <c r="R350" s="173">
        <f t="shared" si="131"/>
        <v>0.46861742512213755</v>
      </c>
      <c r="S350" s="802">
        <f t="shared" si="132"/>
        <v>1</v>
      </c>
      <c r="T350" s="172">
        <f t="shared" si="133"/>
        <v>7</v>
      </c>
      <c r="U350" s="247">
        <f t="shared" si="134"/>
        <v>1.4686174251221376</v>
      </c>
      <c r="V350" s="378">
        <f t="shared" si="135"/>
        <v>18.138952739768296</v>
      </c>
      <c r="W350" s="397">
        <f t="shared" si="136"/>
        <v>5.334624545167765</v>
      </c>
      <c r="X350" s="153">
        <f t="shared" si="137"/>
        <v>48184</v>
      </c>
      <c r="Y350" s="380">
        <f t="shared" si="138"/>
        <v>5.1607775274799099</v>
      </c>
      <c r="Z350" s="380">
        <f t="shared" si="139"/>
        <v>5.4260818542019358</v>
      </c>
      <c r="AA350" s="381">
        <f t="shared" si="140"/>
        <v>5.6907802598315671</v>
      </c>
      <c r="AB350" s="193">
        <f t="shared" si="141"/>
        <v>48184</v>
      </c>
      <c r="AC350" s="119">
        <f>IF(OR(t&lt;Tnet,NoTnet),'2030'!Resal_s+('2030'!Salim-'2030'!Resal_s)*(1-EXP(('2030'!Tnet_s-t)/'2030'!Tau_j)),Resal_s+(Salim-Resal_s)*(1-EXP((Tnet_s-t)/Tau_j)))*Salcycl</f>
        <v>4.6513552367855017E-2</v>
      </c>
      <c r="AD350" s="227">
        <f>(INDEX(Models!$BJ350:$BT350,,AH350)*(1-AF350)+INDEX(Models!$BJ350:$BT350,,AH350+1)*AF350-ERP_i)*AE350*Ramure*Pc/MaxiM</f>
        <v>3.1526717154920149E-2</v>
      </c>
      <c r="AE350" s="301">
        <f t="shared" si="142"/>
        <v>0.5</v>
      </c>
      <c r="AF350" s="173">
        <f t="shared" si="143"/>
        <v>0.99360499149611492</v>
      </c>
      <c r="AG350" s="802">
        <f t="shared" si="149"/>
        <v>4</v>
      </c>
      <c r="AH350" s="172">
        <f t="shared" si="144"/>
        <v>10</v>
      </c>
      <c r="AI350" s="221">
        <f t="shared" si="145"/>
        <v>4.9936049914961149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48185</v>
      </c>
      <c r="B351" s="406">
        <f>'2030'!Wh/'2030'!Env_an*'2031'!Env_an</f>
        <v>9.594054275411029</v>
      </c>
      <c r="C351" s="832"/>
      <c r="D351" s="388">
        <f t="shared" si="127"/>
        <v>10.087401787151146</v>
      </c>
      <c r="E351" s="380">
        <f t="shared" si="125"/>
        <v>10.235298734041921</v>
      </c>
      <c r="F351" s="380">
        <f t="shared" si="128"/>
        <v>10.26523337478584</v>
      </c>
      <c r="G351" s="110">
        <f t="shared" si="126"/>
        <v>0.53206518490013222</v>
      </c>
      <c r="H351" s="409" t="b">
        <f>Wh_hp&gt;='2030'!Maxi_hp</f>
        <v>0</v>
      </c>
      <c r="I351" s="385">
        <f>IF(H351,Wh_hp,'2030'!Maxi_hp)</f>
        <v>10.306101868372124</v>
      </c>
      <c r="J351" s="85">
        <f>IF(H351,An,'2030'!An_max)</f>
        <v>2029</v>
      </c>
      <c r="K351" s="193">
        <f t="shared" si="129"/>
        <v>48185</v>
      </c>
      <c r="L351" s="143">
        <f>IF(t&lt;Tvie,1-EXP((T0-t)*PertePVj)+'2030'!Pspv,1-EXP((T0-t)*PertePVj)+Pspv)</f>
        <v>4.8907292695381632E-2</v>
      </c>
      <c r="M351" s="836"/>
      <c r="N351" s="836"/>
      <c r="O351" s="48">
        <f>IF(t&lt;Tnet,'2030'!Resal+('2030'!Salim-'2030'!Resal)*(1-EXP(('2030'!Tnet-t)/('2030'!Tau_j))),Resal+(Salim-Resal)*(1-EXP((Tnet-t)/(Tau_j))))*Salcycl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8.6804371263329884E-3</v>
      </c>
      <c r="Q351" s="301">
        <f t="shared" si="130"/>
        <v>0.5</v>
      </c>
      <c r="R351" s="173">
        <f t="shared" si="131"/>
        <v>0.46863258277130027</v>
      </c>
      <c r="S351" s="802">
        <f t="shared" si="132"/>
        <v>1</v>
      </c>
      <c r="T351" s="172">
        <f t="shared" si="133"/>
        <v>7</v>
      </c>
      <c r="U351" s="247">
        <f t="shared" si="134"/>
        <v>1.4686325827713003</v>
      </c>
      <c r="V351" s="378">
        <f t="shared" si="135"/>
        <v>17.927482612250763</v>
      </c>
      <c r="W351" s="397">
        <f t="shared" si="136"/>
        <v>9.594054275411029</v>
      </c>
      <c r="X351" s="153">
        <f t="shared" si="137"/>
        <v>48185</v>
      </c>
      <c r="Y351" s="380">
        <f t="shared" si="138"/>
        <v>9.2096890335498269</v>
      </c>
      <c r="Z351" s="380">
        <f t="shared" si="139"/>
        <v>9.6832716335823239</v>
      </c>
      <c r="AA351" s="381">
        <f t="shared" si="140"/>
        <v>10.155812706936061</v>
      </c>
      <c r="AB351" s="193">
        <f t="shared" si="141"/>
        <v>48185</v>
      </c>
      <c r="AC351" s="119">
        <f>IF(OR(t&lt;Tnet,NoTnet),'2030'!Resal_s+('2030'!Salim-'2030'!Resal_s)*(1-EXP(('2030'!Tnet_s-t)/'2030'!Tau_j)),Resal_s+(Salim-Resal_s)*(1-EXP((Tnet_s-t)/Tau_j)))*Salcycl</f>
        <v>4.6529124452148303E-2</v>
      </c>
      <c r="AD351" s="227">
        <f>(INDEX(Models!$BJ351:$BT351,,AH351)*(1-AF351)+INDEX(Models!$BJ351:$BT351,,AH351+1)*AF351-ERP_i)*AE351*Ramure*Pc/MaxiM</f>
        <v>3.1729768722357415E-2</v>
      </c>
      <c r="AE351" s="301">
        <f t="shared" si="142"/>
        <v>0.5</v>
      </c>
      <c r="AF351" s="173">
        <f t="shared" si="143"/>
        <v>0.99362014914527741</v>
      </c>
      <c r="AG351" s="802">
        <f t="shared" si="149"/>
        <v>4</v>
      </c>
      <c r="AH351" s="172">
        <f t="shared" si="144"/>
        <v>10</v>
      </c>
      <c r="AI351" s="221">
        <f t="shared" si="145"/>
        <v>4.9936201491452774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48186</v>
      </c>
      <c r="B352" s="406">
        <f>'2030'!Wh/'2030'!Env_an*'2031'!Env_an</f>
        <v>12.82901177953244</v>
      </c>
      <c r="C352" s="832"/>
      <c r="D352" s="388">
        <f t="shared" si="127"/>
        <v>13.48889261982904</v>
      </c>
      <c r="E352" s="380">
        <f t="shared" si="125"/>
        <v>13.68743343290364</v>
      </c>
      <c r="F352" s="380">
        <f t="shared" si="128"/>
        <v>13.759705839840068</v>
      </c>
      <c r="G352" s="110">
        <f t="shared" si="126"/>
        <v>0.7213778296272082</v>
      </c>
      <c r="H352" s="409" t="b">
        <f>Wh_hp&gt;='2030'!Maxi_hp</f>
        <v>0</v>
      </c>
      <c r="I352" s="385">
        <f>IF(H352,Wh_hp,'2030'!Maxi_hp)</f>
        <v>13.792273723795391</v>
      </c>
      <c r="J352" s="85">
        <f>IF(H352,An,'2030'!An_max)</f>
        <v>2029</v>
      </c>
      <c r="K352" s="193">
        <f t="shared" si="129"/>
        <v>48186</v>
      </c>
      <c r="L352" s="143">
        <f>IF(t&lt;Tvie,1-EXP((T0-t)*PertePVj)+'2030'!Pspv,1-EXP((T0-t)*PertePVj)+Pspv)</f>
        <v>4.8920312355853257E-2</v>
      </c>
      <c r="M352" s="836"/>
      <c r="N352" s="836"/>
      <c r="O352" s="48">
        <f>IF(t&lt;Tnet,'2030'!Resal+('2030'!Salim-'2030'!Resal)*(1-EXP(('2030'!Tnet-t)/('2030'!Tau_j))),Resal+(Salim-Resal)*(1-EXP((Tnet-t)/(Tau_j))))*Salcycl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8.6742307414489836E-3</v>
      </c>
      <c r="Q352" s="301">
        <f t="shared" si="130"/>
        <v>0.5</v>
      </c>
      <c r="R352" s="173">
        <f t="shared" si="131"/>
        <v>0.4686471309929352</v>
      </c>
      <c r="S352" s="802">
        <f t="shared" si="132"/>
        <v>1</v>
      </c>
      <c r="T352" s="172">
        <f t="shared" si="133"/>
        <v>7</v>
      </c>
      <c r="U352" s="247">
        <f t="shared" si="134"/>
        <v>1.4686471309929352</v>
      </c>
      <c r="V352" s="378">
        <f t="shared" si="135"/>
        <v>17.722865360326296</v>
      </c>
      <c r="W352" s="397">
        <f t="shared" si="136"/>
        <v>12.82901177953244</v>
      </c>
      <c r="X352" s="153">
        <f t="shared" si="137"/>
        <v>48186</v>
      </c>
      <c r="Y352" s="380">
        <f t="shared" si="138"/>
        <v>12.235994884001723</v>
      </c>
      <c r="Z352" s="380">
        <f t="shared" si="139"/>
        <v>12.865372947150888</v>
      </c>
      <c r="AA352" s="381">
        <f t="shared" si="140"/>
        <v>13.493430789345961</v>
      </c>
      <c r="AB352" s="193">
        <f t="shared" si="141"/>
        <v>48186</v>
      </c>
      <c r="AC352" s="119">
        <f>IF(OR(t&lt;Tnet,NoTnet),'2030'!Resal_s+('2030'!Salim-'2030'!Resal_s)*(1-EXP(('2030'!Tnet_s-t)/'2030'!Tau_j)),Resal_s+(Salim-Resal_s)*(1-EXP((Tnet_s-t)/Tau_j)))*Salcycl</f>
        <v>4.6545452524273605E-2</v>
      </c>
      <c r="AD352" s="227">
        <f>(INDEX(Models!$BJ352:$BT352,,AH352)*(1-AF352)+INDEX(Models!$BJ352:$BT352,,AH352+1)*AF352-ERP_i)*AE352*Ramure*Pc/MaxiM</f>
        <v>3.1958686953771007E-2</v>
      </c>
      <c r="AE352" s="301">
        <f t="shared" si="142"/>
        <v>0.5</v>
      </c>
      <c r="AF352" s="173">
        <f t="shared" si="143"/>
        <v>0.9936346973669119</v>
      </c>
      <c r="AG352" s="802">
        <f t="shared" si="149"/>
        <v>4</v>
      </c>
      <c r="AH352" s="172">
        <f t="shared" si="144"/>
        <v>10</v>
      </c>
      <c r="AI352" s="221">
        <f t="shared" si="145"/>
        <v>4.9936346973669119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48187</v>
      </c>
      <c r="B353" s="406">
        <f>'2030'!Wh/'2030'!Env_an*'2031'!Env_an</f>
        <v>17.778664047562014</v>
      </c>
      <c r="C353" s="832"/>
      <c r="D353" s="388">
        <f t="shared" si="127"/>
        <v>18.693394104455663</v>
      </c>
      <c r="E353" s="380">
        <f t="shared" si="125"/>
        <v>18.969613107880086</v>
      </c>
      <c r="F353" s="380">
        <f t="shared" si="128"/>
        <v>19.135643499951623</v>
      </c>
      <c r="G353" s="110">
        <f t="shared" si="126"/>
        <v>1.0144026581276953</v>
      </c>
      <c r="H353" s="409" t="b">
        <f>Wh_hp&gt;='2030'!Maxi_hp</f>
        <v>1</v>
      </c>
      <c r="I353" s="385">
        <f>IF(H353,Wh_hp,'2030'!Maxi_hp)</f>
        <v>19.135643499951623</v>
      </c>
      <c r="J353" s="85">
        <f>IF(H353,An,'2030'!An_max)</f>
        <v>2031</v>
      </c>
      <c r="K353" s="193">
        <f t="shared" si="129"/>
        <v>48187</v>
      </c>
      <c r="L353" s="143">
        <f>IF(t&lt;Tvie,1-EXP((T0-t)*PertePVj)+'2030'!Pspv,1-EXP((T0-t)*PertePVj)+Pspv)</f>
        <v>4.8933331838096783E-2</v>
      </c>
      <c r="M353" s="836"/>
      <c r="N353" s="836"/>
      <c r="O353" s="48">
        <f>IF(t&lt;Tnet,'2030'!Resal+('2030'!Salim-'2030'!Resal)*(1-EXP(('2030'!Tnet-t)/('2030'!Tau_j))),Resal+(Salim-Resal)*(1-EXP((Tnet-t)/(Tau_j))))*Salcycl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8.6764990198503165E-3</v>
      </c>
      <c r="Q353" s="301">
        <f t="shared" si="130"/>
        <v>0.5</v>
      </c>
      <c r="R353" s="173">
        <f t="shared" si="131"/>
        <v>0.46866109425630409</v>
      </c>
      <c r="S353" s="802">
        <f t="shared" si="132"/>
        <v>1</v>
      </c>
      <c r="T353" s="172">
        <f t="shared" si="133"/>
        <v>7</v>
      </c>
      <c r="U353" s="247">
        <f t="shared" si="134"/>
        <v>1.4686610942563041</v>
      </c>
      <c r="V353" s="378">
        <f t="shared" si="135"/>
        <v>17.526239610192338</v>
      </c>
      <c r="W353" s="397">
        <f t="shared" si="136"/>
        <v>17.778664047562014</v>
      </c>
      <c r="X353" s="153">
        <f t="shared" si="137"/>
        <v>48187</v>
      </c>
      <c r="Y353" s="380">
        <f t="shared" si="138"/>
        <v>16.793398146436807</v>
      </c>
      <c r="Z353" s="380">
        <f t="shared" si="139"/>
        <v>17.657435286732195</v>
      </c>
      <c r="AA353" s="381">
        <f t="shared" si="140"/>
        <v>18.519762132319482</v>
      </c>
      <c r="AB353" s="193">
        <f t="shared" si="141"/>
        <v>48187</v>
      </c>
      <c r="AC353" s="119">
        <f>IF(OR(t&lt;Tnet,NoTnet),'2030'!Resal_s+('2030'!Salim-'2030'!Resal_s)*(1-EXP(('2030'!Tnet_s-t)/'2030'!Tau_j)),Resal_s+(Salim-Resal_s)*(1-EXP((Tnet_s-t)/Tau_j)))*Salcycl</f>
        <v>4.6562522748735007E-2</v>
      </c>
      <c r="AD353" s="227">
        <f>(INDEX(Models!$BJ353:$BT353,,AH353)*(1-AF353)+INDEX(Models!$BJ353:$BT353,,AH353+1)*AF353-ERP_i)*AE353*Ramure*Pc/MaxiM</f>
        <v>3.2185035618671358E-2</v>
      </c>
      <c r="AE353" s="301">
        <f t="shared" si="142"/>
        <v>0.5</v>
      </c>
      <c r="AF353" s="173">
        <f t="shared" si="143"/>
        <v>0.99364866063028146</v>
      </c>
      <c r="AG353" s="802">
        <f t="shared" si="149"/>
        <v>4</v>
      </c>
      <c r="AH353" s="172">
        <f t="shared" si="144"/>
        <v>10</v>
      </c>
      <c r="AI353" s="221">
        <f t="shared" si="145"/>
        <v>4.9936486606302815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48188</v>
      </c>
      <c r="B354" s="406">
        <f>'2030'!Wh/'2030'!Env_an*'2031'!Env_an</f>
        <v>11.613376124995391</v>
      </c>
      <c r="C354" s="832"/>
      <c r="D354" s="388">
        <f t="shared" si="127"/>
        <v>12.211063107682541</v>
      </c>
      <c r="E354" s="380">
        <f t="shared" si="125"/>
        <v>12.392200857752414</v>
      </c>
      <c r="F354" s="380">
        <f t="shared" si="128"/>
        <v>12.449332132767598</v>
      </c>
      <c r="G354" s="110">
        <f t="shared" si="126"/>
        <v>0.66704046760475566</v>
      </c>
      <c r="H354" s="409" t="b">
        <f>Wh_hp&gt;='2030'!Maxi_hp</f>
        <v>0</v>
      </c>
      <c r="I354" s="385">
        <f>IF(H354,Wh_hp,'2030'!Maxi_hp)</f>
        <v>12.484663878420859</v>
      </c>
      <c r="J354" s="85">
        <f>IF(H354,An,'2030'!An_max)</f>
        <v>2029</v>
      </c>
      <c r="K354" s="193">
        <f t="shared" si="129"/>
        <v>48188</v>
      </c>
      <c r="L354" s="143">
        <f>IF(t&lt;Tvie,1-EXP((T0-t)*PertePVj)+'2030'!Pspv,1-EXP((T0-t)*PertePVj)+Pspv)</f>
        <v>4.8946351142114541E-2</v>
      </c>
      <c r="M354" s="836"/>
      <c r="N354" s="836"/>
      <c r="O354" s="48">
        <f>IF(t&lt;Tnet,'2030'!Resal+('2030'!Salim-'2030'!Resal)*(1-EXP(('2030'!Tnet-t)/('2030'!Tau_j))),Resal+(Salim-Resal)*(1-EXP((Tnet-t)/(Tau_j))))*Salcycl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8.6868357793185042E-3</v>
      </c>
      <c r="Q354" s="301">
        <f t="shared" si="130"/>
        <v>0.5</v>
      </c>
      <c r="R354" s="173">
        <f t="shared" si="131"/>
        <v>0.46867449605082712</v>
      </c>
      <c r="S354" s="802">
        <f t="shared" si="132"/>
        <v>1</v>
      </c>
      <c r="T354" s="172">
        <f t="shared" si="133"/>
        <v>7</v>
      </c>
      <c r="U354" s="247">
        <f t="shared" si="134"/>
        <v>1.4686744960508271</v>
      </c>
      <c r="V354" s="378">
        <f t="shared" si="135"/>
        <v>17.338630542401045</v>
      </c>
      <c r="W354" s="397">
        <f t="shared" si="136"/>
        <v>11.613376124995391</v>
      </c>
      <c r="X354" s="153">
        <f t="shared" si="137"/>
        <v>48188</v>
      </c>
      <c r="Y354" s="380">
        <f t="shared" si="138"/>
        <v>11.095216871124292</v>
      </c>
      <c r="Z354" s="380">
        <f t="shared" si="139"/>
        <v>11.666236583444551</v>
      </c>
      <c r="AA354" s="381">
        <f t="shared" si="140"/>
        <v>12.236202815084475</v>
      </c>
      <c r="AB354" s="193">
        <f t="shared" si="141"/>
        <v>48188</v>
      </c>
      <c r="AC354" s="119">
        <f>IF(OR(t&lt;Tnet,NoTnet),'2030'!Resal_s+('2030'!Salim-'2030'!Resal_s)*(1-EXP(('2030'!Tnet_s-t)/'2030'!Tau_j)),Resal_s+(Salim-Resal_s)*(1-EXP((Tnet_s-t)/Tau_j)))*Salcycl</f>
        <v>4.658031909517589E-2</v>
      </c>
      <c r="AD354" s="227">
        <f>(INDEX(Models!$BJ354:$BT354,,AH354)*(1-AF354)+INDEX(Models!$BJ354:$BT354,,AH354+1)*AF354-ERP_i)*AE354*Ramure*Pc/MaxiM</f>
        <v>3.2406407558372353E-2</v>
      </c>
      <c r="AE354" s="301">
        <f t="shared" si="142"/>
        <v>0.5</v>
      </c>
      <c r="AF354" s="173">
        <f t="shared" si="143"/>
        <v>0.99366206242480448</v>
      </c>
      <c r="AG354" s="802">
        <f t="shared" si="149"/>
        <v>4</v>
      </c>
      <c r="AH354" s="172">
        <f t="shared" si="144"/>
        <v>10</v>
      </c>
      <c r="AI354" s="221">
        <f t="shared" si="145"/>
        <v>4.9936620624248045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48189</v>
      </c>
      <c r="B355" s="406">
        <f>'2030'!Wh/'2030'!Env_an*'2031'!Env_an</f>
        <v>14.246603905685213</v>
      </c>
      <c r="C355" s="832"/>
      <c r="D355" s="388">
        <f t="shared" si="127"/>
        <v>14.980016058513181</v>
      </c>
      <c r="E355" s="380">
        <f t="shared" si="125"/>
        <v>15.203093669774024</v>
      </c>
      <c r="F355" s="380">
        <f t="shared" si="128"/>
        <v>15.303991245590407</v>
      </c>
      <c r="G355" s="110">
        <f t="shared" si="126"/>
        <v>0.82840537529938418</v>
      </c>
      <c r="H355" s="409" t="b">
        <f>Wh_hp&gt;='2030'!Maxi_hp</f>
        <v>0</v>
      </c>
      <c r="I355" s="385">
        <f>IF(H355,Wh_hp,'2030'!Maxi_hp)</f>
        <v>15.326405452456894</v>
      </c>
      <c r="J355" s="85">
        <f>IF(H355,An,'2030'!An_max)</f>
        <v>2029</v>
      </c>
      <c r="K355" s="193">
        <f t="shared" si="129"/>
        <v>48189</v>
      </c>
      <c r="L355" s="143">
        <f>IF(t&lt;Tvie,1-EXP((T0-t)*PertePVj)+'2030'!Pspv,1-EXP((T0-t)*PertePVj)+Pspv)</f>
        <v>4.8959370267908975E-2</v>
      </c>
      <c r="M355" s="836"/>
      <c r="N355" s="836"/>
      <c r="O355" s="48">
        <f>IF(t&lt;Tnet,'2030'!Resal+('2030'!Salim-'2030'!Resal)*(1-EXP(('2030'!Tnet-t)/('2030'!Tau_j))),Resal+(Salim-Resal)*(1-EXP((Tnet-t)/(Tau_j))))*Salcycl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8.7047982054709733E-3</v>
      </c>
      <c r="Q355" s="301">
        <f t="shared" si="130"/>
        <v>0.5</v>
      </c>
      <c r="R355" s="173">
        <f t="shared" si="131"/>
        <v>0.46868735892511215</v>
      </c>
      <c r="S355" s="802">
        <f t="shared" si="132"/>
        <v>1</v>
      </c>
      <c r="T355" s="172">
        <f t="shared" si="133"/>
        <v>7</v>
      </c>
      <c r="U355" s="247">
        <f t="shared" si="134"/>
        <v>1.4686873589251122</v>
      </c>
      <c r="V355" s="378">
        <f t="shared" si="135"/>
        <v>17.161062894764559</v>
      </c>
      <c r="W355" s="397">
        <f t="shared" si="136"/>
        <v>14.246603905685213</v>
      </c>
      <c r="X355" s="153">
        <f t="shared" si="137"/>
        <v>48189</v>
      </c>
      <c r="Y355" s="380">
        <f t="shared" si="138"/>
        <v>13.533650795028533</v>
      </c>
      <c r="Z355" s="380">
        <f t="shared" si="139"/>
        <v>14.230360272663614</v>
      </c>
      <c r="AA355" s="381">
        <f t="shared" si="140"/>
        <v>14.925889146462936</v>
      </c>
      <c r="AB355" s="193">
        <f t="shared" si="141"/>
        <v>48189</v>
      </c>
      <c r="AC355" s="119">
        <f>IF(OR(t&lt;Tnet,NoTnet),'2030'!Resal_s+('2030'!Salim-'2030'!Resal_s)*(1-EXP(('2030'!Tnet_s-t)/'2030'!Tau_j)),Resal_s+(Salim-Resal_s)*(1-EXP((Tnet_s-t)/Tau_j)))*Salcycl</f>
        <v>4.6598823492143185E-2</v>
      </c>
      <c r="AD355" s="227">
        <f>(INDEX(Models!$BJ355:$BT355,,AH355)*(1-AF355)+INDEX(Models!$BJ355:$BT355,,AH355+1)*AF355-ERP_i)*AE355*Ramure*Pc/MaxiM</f>
        <v>3.2620233413330119E-2</v>
      </c>
      <c r="AE355" s="301">
        <f t="shared" si="142"/>
        <v>0.5</v>
      </c>
      <c r="AF355" s="173">
        <f t="shared" si="143"/>
        <v>0.9936749252990893</v>
      </c>
      <c r="AG355" s="802">
        <f t="shared" si="149"/>
        <v>4</v>
      </c>
      <c r="AH355" s="172">
        <f t="shared" si="144"/>
        <v>10</v>
      </c>
      <c r="AI355" s="221">
        <f t="shared" si="145"/>
        <v>4.9936749252990893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48190</v>
      </c>
      <c r="B356" s="406">
        <f>'2030'!Wh/'2030'!Env_an*'2031'!Env_an</f>
        <v>4.5898443240378262</v>
      </c>
      <c r="C356" s="832"/>
      <c r="D356" s="388">
        <f t="shared" si="127"/>
        <v>4.8261946046462221</v>
      </c>
      <c r="E356" s="380">
        <f t="shared" si="125"/>
        <v>4.8983443405648117</v>
      </c>
      <c r="F356" s="380">
        <f t="shared" si="128"/>
        <v>4.8983443405648117</v>
      </c>
      <c r="G356" s="110">
        <f t="shared" si="126"/>
        <v>0.26771950376142217</v>
      </c>
      <c r="H356" s="409" t="b">
        <f>Wh_hp&gt;='2030'!Maxi_hp</f>
        <v>0</v>
      </c>
      <c r="I356" s="385">
        <f>IF(H356,Wh_hp,'2030'!Maxi_hp)</f>
        <v>4.9279572871357686</v>
      </c>
      <c r="J356" s="85">
        <f>IF(H356,An,'2030'!An_max)</f>
        <v>2029</v>
      </c>
      <c r="K356" s="193">
        <f t="shared" si="129"/>
        <v>48190</v>
      </c>
      <c r="L356" s="143">
        <f>IF(t&lt;Tvie,1-EXP((T0-t)*PertePVj)+'2030'!Pspv,1-EXP((T0-t)*PertePVj)+Pspv)</f>
        <v>4.8972389215482415E-2</v>
      </c>
      <c r="M356" s="836"/>
      <c r="N356" s="836"/>
      <c r="O356" s="48">
        <f>IF(t&lt;Tnet,'2030'!Resal+('2030'!Salim-'2030'!Resal)*(1-EXP(('2030'!Tnet-t)/('2030'!Tau_j))),Resal+(Salim-Resal)*(1-EXP((Tnet-t)/(Tau_j))))*Salcycl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8.7299028960866661E-3</v>
      </c>
      <c r="Q356" s="301">
        <f t="shared" si="130"/>
        <v>0.5</v>
      </c>
      <c r="R356" s="173">
        <f t="shared" si="131"/>
        <v>0.46869970452444631</v>
      </c>
      <c r="S356" s="802">
        <f t="shared" si="132"/>
        <v>1</v>
      </c>
      <c r="T356" s="172">
        <f t="shared" si="133"/>
        <v>7</v>
      </c>
      <c r="U356" s="247">
        <f t="shared" si="134"/>
        <v>1.4686997045244463</v>
      </c>
      <c r="V356" s="378">
        <f t="shared" si="135"/>
        <v>16.994560967195525</v>
      </c>
      <c r="W356" s="397">
        <f t="shared" si="136"/>
        <v>4.5898443240378262</v>
      </c>
      <c r="X356" s="153">
        <f t="shared" si="137"/>
        <v>48190</v>
      </c>
      <c r="Y356" s="380">
        <f t="shared" si="138"/>
        <v>4.4412925189036425</v>
      </c>
      <c r="Z356" s="380">
        <f t="shared" si="139"/>
        <v>4.6699932457691222</v>
      </c>
      <c r="AA356" s="381">
        <f t="shared" si="140"/>
        <v>4.8983443405648117</v>
      </c>
      <c r="AB356" s="193">
        <f t="shared" si="141"/>
        <v>48190</v>
      </c>
      <c r="AC356" s="119">
        <f>IF(OR(t&lt;Tnet,NoTnet),'2030'!Resal_s+('2030'!Salim-'2030'!Resal_s)*(1-EXP(('2030'!Tnet_s-t)/'2030'!Tau_j)),Resal_s+(Salim-Resal_s)*(1-EXP((Tnet_s-t)/Tau_j)))*Salcycl</f>
        <v>4.6618015990553971E-2</v>
      </c>
      <c r="AD356" s="227">
        <f>(INDEX(Models!$BJ356:$BT356,,AH356)*(1-AF356)+INDEX(Models!$BJ356:$BT356,,AH356+1)*AF356-ERP_i)*AE356*Ramure*Pc/MaxiM</f>
        <v>3.2823792750290008E-2</v>
      </c>
      <c r="AE356" s="301">
        <f t="shared" si="142"/>
        <v>0.5</v>
      </c>
      <c r="AF356" s="173">
        <f t="shared" si="143"/>
        <v>0.99368727089842324</v>
      </c>
      <c r="AG356" s="802">
        <f t="shared" si="149"/>
        <v>4</v>
      </c>
      <c r="AH356" s="172">
        <f t="shared" si="144"/>
        <v>10</v>
      </c>
      <c r="AI356" s="221">
        <f t="shared" si="145"/>
        <v>4.9936872708984232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48191</v>
      </c>
      <c r="B357" s="406">
        <f>'2030'!Wh/'2030'!Env_an*'2031'!Env_an</f>
        <v>7.6421208259579343</v>
      </c>
      <c r="C357" s="832"/>
      <c r="D357" s="388">
        <f t="shared" si="127"/>
        <v>8.0357555921035662</v>
      </c>
      <c r="E357" s="380">
        <f t="shared" si="125"/>
        <v>8.1563537596079883</v>
      </c>
      <c r="F357" s="380">
        <f t="shared" si="128"/>
        <v>8.1720858359569331</v>
      </c>
      <c r="G357" s="110">
        <f t="shared" si="126"/>
        <v>0.45069522193159278</v>
      </c>
      <c r="H357" s="409" t="b">
        <f>Wh_hp&gt;='2030'!Maxi_hp</f>
        <v>0</v>
      </c>
      <c r="I357" s="385">
        <f>IF(H357,Wh_hp,'2030'!Maxi_hp)</f>
        <v>8.2108216550010145</v>
      </c>
      <c r="J357" s="85">
        <f>IF(H357,An,'2030'!An_max)</f>
        <v>2029</v>
      </c>
      <c r="K357" s="193">
        <f t="shared" si="129"/>
        <v>48191</v>
      </c>
      <c r="L357" s="143">
        <f>IF(t&lt;Tvie,1-EXP((T0-t)*PertePVj)+'2030'!Pspv,1-EXP((T0-t)*PertePVj)+Pspv)</f>
        <v>4.8985407984837415E-2</v>
      </c>
      <c r="M357" s="836"/>
      <c r="N357" s="836"/>
      <c r="O357" s="48">
        <f>IF(t&lt;Tnet,'2030'!Resal+('2030'!Salim-'2030'!Resal)*(1-EXP(('2030'!Tnet-t)/('2030'!Tau_j))),Resal+(Salim-Resal)*(1-EXP((Tnet-t)/(Tau_j))))*Salcycl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8.7616225020190879E-3</v>
      </c>
      <c r="Q357" s="301">
        <f t="shared" si="130"/>
        <v>0.5</v>
      </c>
      <c r="R357" s="173">
        <f t="shared" si="131"/>
        <v>0.46871155362680628</v>
      </c>
      <c r="S357" s="802">
        <f t="shared" si="132"/>
        <v>1</v>
      </c>
      <c r="T357" s="172">
        <f t="shared" si="133"/>
        <v>7</v>
      </c>
      <c r="U357" s="247">
        <f t="shared" si="134"/>
        <v>1.4687115536268063</v>
      </c>
      <c r="V357" s="378">
        <f t="shared" si="135"/>
        <v>16.840148615069928</v>
      </c>
      <c r="W357" s="397">
        <f t="shared" si="136"/>
        <v>7.6421208259579343</v>
      </c>
      <c r="X357" s="153">
        <f t="shared" si="137"/>
        <v>48191</v>
      </c>
      <c r="Y357" s="380">
        <f t="shared" si="138"/>
        <v>7.355567705886104</v>
      </c>
      <c r="Z357" s="380">
        <f t="shared" si="139"/>
        <v>7.7344425286892236</v>
      </c>
      <c r="AA357" s="381">
        <f t="shared" si="140"/>
        <v>8.112806587702396</v>
      </c>
      <c r="AB357" s="193">
        <f t="shared" si="141"/>
        <v>48191</v>
      </c>
      <c r="AC357" s="119">
        <f>IF(OR(t&lt;Tnet,NoTnet),'2030'!Resal_s+('2030'!Salim-'2030'!Resal_s)*(1-EXP(('2030'!Tnet_s-t)/'2030'!Tau_j)),Resal_s+(Salim-Resal_s)*(1-EXP((Tnet_s-t)/Tau_j)))*Salcycl</f>
        <v>4.6637874935500971E-2</v>
      </c>
      <c r="AD357" s="227">
        <f>(INDEX(Models!$BJ357:$BT357,,AH357)*(1-AF357)+INDEX(Models!$BJ357:$BT357,,AH357+1)*AF357-ERP_i)*AE357*Ramure*Pc/MaxiM</f>
        <v>3.3014230536999332E-2</v>
      </c>
      <c r="AE357" s="301">
        <f t="shared" si="142"/>
        <v>0.5</v>
      </c>
      <c r="AF357" s="173">
        <f t="shared" si="143"/>
        <v>0.99369912000078298</v>
      </c>
      <c r="AG357" s="802">
        <f t="shared" si="149"/>
        <v>4</v>
      </c>
      <c r="AH357" s="172">
        <f t="shared" si="144"/>
        <v>10</v>
      </c>
      <c r="AI357" s="221">
        <f t="shared" si="145"/>
        <v>4.993699120000783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48192</v>
      </c>
      <c r="B358" s="406">
        <f>'2030'!Wh/'2030'!Env_an*'2031'!Env_an</f>
        <v>11.128546503936011</v>
      </c>
      <c r="C358" s="832"/>
      <c r="D358" s="388">
        <f t="shared" si="127"/>
        <v>11.70192228375433</v>
      </c>
      <c r="E358" s="380">
        <f t="shared" si="125"/>
        <v>11.878222558242665</v>
      </c>
      <c r="F358" s="380">
        <f t="shared" si="128"/>
        <v>11.933188912122167</v>
      </c>
      <c r="G358" s="110">
        <f t="shared" si="126"/>
        <v>0.66361855809186721</v>
      </c>
      <c r="H358" s="409" t="b">
        <f>Wh_hp&gt;='2030'!Maxi_hp</f>
        <v>0</v>
      </c>
      <c r="I358" s="385">
        <f>IF(H358,Wh_hp,'2030'!Maxi_hp)</f>
        <v>11.967930640546628</v>
      </c>
      <c r="J358" s="85">
        <f>IF(H358,An,'2030'!An_max)</f>
        <v>2029</v>
      </c>
      <c r="K358" s="193">
        <f t="shared" si="129"/>
        <v>48192</v>
      </c>
      <c r="L358" s="143">
        <f>IF(t&lt;Tvie,1-EXP((T0-t)*PertePVj)+'2030'!Pspv,1-EXP((T0-t)*PertePVj)+Pspv)</f>
        <v>4.8998426575976417E-2</v>
      </c>
      <c r="M358" s="836"/>
      <c r="N358" s="836"/>
      <c r="O358" s="48">
        <f>IF(t&lt;Tnet,'2030'!Resal+('2030'!Salim-'2030'!Resal)*(1-EXP(('2030'!Tnet-t)/('2030'!Tau_j))),Resal+(Salim-Resal)*(1-EXP((Tnet-t)/(Tau_j))))*Salcycl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8.7993831484203429E-3</v>
      </c>
      <c r="Q358" s="301">
        <f t="shared" si="130"/>
        <v>0.5</v>
      </c>
      <c r="R358" s="173">
        <f t="shared" si="131"/>
        <v>0.46872292617745082</v>
      </c>
      <c r="S358" s="802">
        <f t="shared" si="132"/>
        <v>1</v>
      </c>
      <c r="T358" s="172">
        <f t="shared" si="133"/>
        <v>7</v>
      </c>
      <c r="U358" s="247">
        <f t="shared" si="134"/>
        <v>1.4687229261774508</v>
      </c>
      <c r="V358" s="378">
        <f t="shared" si="135"/>
        <v>16.698849234860244</v>
      </c>
      <c r="W358" s="397">
        <f t="shared" si="136"/>
        <v>11.128546503936011</v>
      </c>
      <c r="X358" s="153">
        <f t="shared" si="137"/>
        <v>48192</v>
      </c>
      <c r="Y358" s="380">
        <f t="shared" si="138"/>
        <v>10.631020692162581</v>
      </c>
      <c r="Z358" s="380">
        <f t="shared" si="139"/>
        <v>11.178762463963372</v>
      </c>
      <c r="AA358" s="381">
        <f t="shared" si="140"/>
        <v>11.725872652539586</v>
      </c>
      <c r="AB358" s="193">
        <f t="shared" si="141"/>
        <v>48192</v>
      </c>
      <c r="AC358" s="119">
        <f>IF(OR(t&lt;Tnet,NoTnet),'2030'!Resal_s+('2030'!Salim-'2030'!Resal_s)*(1-EXP(('2030'!Tnet_s-t)/'2030'!Tau_j)),Resal_s+(Salim-Resal_s)*(1-EXP((Tnet_s-t)/Tau_j)))*Salcycl</f>
        <v>4.6658377144981347E-2</v>
      </c>
      <c r="AD358" s="227">
        <f>(INDEX(Models!$BJ358:$BT358,,AH358)*(1-AF358)+INDEX(Models!$BJ358:$BT358,,AH358+1)*AF358-ERP_i)*AE358*Ramure*Pc/MaxiM</f>
        <v>3.3188579416485356E-2</v>
      </c>
      <c r="AE358" s="301">
        <f t="shared" si="142"/>
        <v>0.5</v>
      </c>
      <c r="AF358" s="173">
        <f t="shared" si="143"/>
        <v>0.99371049255142818</v>
      </c>
      <c r="AG358" s="802">
        <f t="shared" si="149"/>
        <v>4</v>
      </c>
      <c r="AH358" s="172">
        <f t="shared" si="144"/>
        <v>10</v>
      </c>
      <c r="AI358" s="221">
        <f t="shared" si="145"/>
        <v>4.9937104925514282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48193</v>
      </c>
      <c r="B359" s="406">
        <f>'2030'!Wh/'2030'!Env_an*'2031'!Env_an</f>
        <v>12.654633943134728</v>
      </c>
      <c r="C359" s="832"/>
      <c r="D359" s="388">
        <f t="shared" si="127"/>
        <v>13.306820441164033</v>
      </c>
      <c r="E359" s="380">
        <f t="shared" si="125"/>
        <v>13.5080767111534</v>
      </c>
      <c r="F359" s="380">
        <f t="shared" si="128"/>
        <v>13.587717218815884</v>
      </c>
      <c r="G359" s="110">
        <f t="shared" si="126"/>
        <v>0.76156112766011974</v>
      </c>
      <c r="H359" s="409" t="b">
        <f>Wh_hp&gt;='2030'!Maxi_hp</f>
        <v>0</v>
      </c>
      <c r="I359" s="385">
        <f>IF(H359,Wh_hp,'2030'!Maxi_hp)</f>
        <v>13.615892722604087</v>
      </c>
      <c r="J359" s="85">
        <f>IF(H359,An,'2030'!An_max)</f>
        <v>2029</v>
      </c>
      <c r="K359" s="193">
        <f t="shared" si="129"/>
        <v>48193</v>
      </c>
      <c r="L359" s="143">
        <f>IF(t&lt;Tvie,1-EXP((T0-t)*PertePVj)+'2030'!Pspv,1-EXP((T0-t)*PertePVj)+Pspv)</f>
        <v>4.9011444988901864E-2</v>
      </c>
      <c r="M359" s="836"/>
      <c r="N359" s="836"/>
      <c r="O359" s="48">
        <f>IF(t&lt;Tnet,'2030'!Resal+('2030'!Salim-'2030'!Resal)*(1-EXP(('2030'!Tnet-t)/('2030'!Tau_j))),Resal+(Salim-Resal)*(1-EXP((Tnet-t)/(Tau_j))))*Salcycl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8.8451336402310798E-3</v>
      </c>
      <c r="Q359" s="301">
        <f t="shared" si="130"/>
        <v>0.5</v>
      </c>
      <c r="R359" s="173">
        <f t="shared" si="131"/>
        <v>0.46873384132214224</v>
      </c>
      <c r="S359" s="802">
        <f t="shared" si="132"/>
        <v>1</v>
      </c>
      <c r="T359" s="172">
        <f t="shared" si="133"/>
        <v>7</v>
      </c>
      <c r="U359" s="247">
        <f t="shared" si="134"/>
        <v>1.4687338413221422</v>
      </c>
      <c r="V359" s="378">
        <f t="shared" si="135"/>
        <v>16.566826269619053</v>
      </c>
      <c r="W359" s="397">
        <f t="shared" si="136"/>
        <v>12.654633943134728</v>
      </c>
      <c r="X359" s="153">
        <f t="shared" si="137"/>
        <v>48193</v>
      </c>
      <c r="Y359" s="380">
        <f t="shared" si="138"/>
        <v>12.04632138284763</v>
      </c>
      <c r="Z359" s="380">
        <f t="shared" si="139"/>
        <v>12.667157053963754</v>
      </c>
      <c r="AA359" s="381">
        <f t="shared" si="140"/>
        <v>13.287406521352676</v>
      </c>
      <c r="AB359" s="193">
        <f t="shared" si="141"/>
        <v>48193</v>
      </c>
      <c r="AC359" s="119">
        <f>IF(OR(t&lt;Tnet,NoTnet),'2030'!Resal_s+('2030'!Salim-'2030'!Resal_s)*(1-EXP(('2030'!Tnet_s-t)/'2030'!Tau_j)),Resal_s+(Salim-Resal_s)*(1-EXP((Tnet_s-t)/Tau_j)))*Salcycl</f>
        <v>4.6679498094093011E-2</v>
      </c>
      <c r="AD359" s="227">
        <f>(INDEX(Models!$BJ359:$BT359,,AH359)*(1-AF359)+INDEX(Models!$BJ359:$BT359,,AH359+1)*AF359-ERP_i)*AE359*Ramure*Pc/MaxiM</f>
        <v>3.3353482174051936E-2</v>
      </c>
      <c r="AE359" s="301">
        <f t="shared" si="142"/>
        <v>0.5</v>
      </c>
      <c r="AF359" s="173">
        <f t="shared" si="143"/>
        <v>0.99372140769611939</v>
      </c>
      <c r="AG359" s="802">
        <f t="shared" si="149"/>
        <v>4</v>
      </c>
      <c r="AH359" s="172">
        <f t="shared" si="144"/>
        <v>10</v>
      </c>
      <c r="AI359" s="221">
        <f t="shared" si="145"/>
        <v>4.9937214076961194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48194</v>
      </c>
      <c r="B360" s="406">
        <f>'2030'!Wh/'2030'!Env_an*'2031'!Env_an</f>
        <v>5.7943574393171344</v>
      </c>
      <c r="C360" s="832"/>
      <c r="D360" s="388">
        <f t="shared" si="127"/>
        <v>6.0930667669526422</v>
      </c>
      <c r="E360" s="380">
        <f t="shared" si="125"/>
        <v>6.1855765759779979</v>
      </c>
      <c r="F360" s="380">
        <f t="shared" si="128"/>
        <v>6.1897046082042726</v>
      </c>
      <c r="G360" s="110">
        <f t="shared" si="126"/>
        <v>0.34954504789730556</v>
      </c>
      <c r="H360" s="409" t="b">
        <f>Wh_hp&gt;='2030'!Maxi_hp</f>
        <v>0</v>
      </c>
      <c r="I360" s="385">
        <f>IF(H360,Wh_hp,'2030'!Maxi_hp)</f>
        <v>6.225080817486667</v>
      </c>
      <c r="J360" s="85">
        <f>IF(H360,An,'2030'!An_max)</f>
        <v>2029</v>
      </c>
      <c r="K360" s="193">
        <f t="shared" si="129"/>
        <v>48194</v>
      </c>
      <c r="L360" s="143">
        <f>IF(t&lt;Tvie,1-EXP((T0-t)*PertePVj)+'2030'!Pspv,1-EXP((T0-t)*PertePVj)+Pspv)</f>
        <v>4.9024463223616199E-2</v>
      </c>
      <c r="M360" s="836"/>
      <c r="N360" s="836"/>
      <c r="O360" s="48">
        <f>IF(t&lt;Tnet,'2030'!Resal+('2030'!Salim-'2030'!Resal)*(1-EXP(('2030'!Tnet-t)/('2030'!Tau_j))),Resal+(Salim-Resal)*(1-EXP((Tnet-t)/(Tau_j))))*Salcycl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8.9008942513980477E-3</v>
      </c>
      <c r="Q360" s="301">
        <f t="shared" si="130"/>
        <v>0.5</v>
      </c>
      <c r="R360" s="173">
        <f t="shared" si="131"/>
        <v>0.46874431743905687</v>
      </c>
      <c r="S360" s="802">
        <f t="shared" si="132"/>
        <v>1</v>
      </c>
      <c r="T360" s="172">
        <f t="shared" si="133"/>
        <v>7</v>
      </c>
      <c r="U360" s="247">
        <f t="shared" si="134"/>
        <v>1.4687443174390569</v>
      </c>
      <c r="V360" s="378">
        <f t="shared" si="135"/>
        <v>16.440270112164207</v>
      </c>
      <c r="W360" s="397">
        <f t="shared" si="136"/>
        <v>5.7943574393171344</v>
      </c>
      <c r="X360" s="153">
        <f t="shared" si="137"/>
        <v>48194</v>
      </c>
      <c r="Y360" s="380">
        <f t="shared" si="138"/>
        <v>5.5972707343289967</v>
      </c>
      <c r="Z360" s="380">
        <f t="shared" si="139"/>
        <v>5.8858198953283498</v>
      </c>
      <c r="AA360" s="381">
        <f t="shared" si="140"/>
        <v>6.1741606829417481</v>
      </c>
      <c r="AB360" s="193">
        <f t="shared" si="141"/>
        <v>48194</v>
      </c>
      <c r="AC360" s="119">
        <f>IF(OR(t&lt;Tnet,NoTnet),'2030'!Resal_s+('2030'!Salim-'2030'!Resal_s)*(1-EXP(('2030'!Tnet_s-t)/'2030'!Tau_j)),Resal_s+(Salim-Resal_s)*(1-EXP((Tnet_s-t)/Tau_j)))*Salcycl</f>
        <v>4.67012121032159E-2</v>
      </c>
      <c r="AD360" s="227">
        <f>(INDEX(Models!$BJ360:$BT360,,AH360)*(1-AF360)+INDEX(Models!$BJ360:$BT360,,AH360+1)*AF360-ERP_i)*AE360*Ramure*Pc/MaxiM</f>
        <v>3.351592900189411E-2</v>
      </c>
      <c r="AE360" s="301">
        <f t="shared" si="142"/>
        <v>0.5</v>
      </c>
      <c r="AF360" s="173">
        <f t="shared" si="143"/>
        <v>0.99373188381303379</v>
      </c>
      <c r="AG360" s="802">
        <f t="shared" si="149"/>
        <v>4</v>
      </c>
      <c r="AH360" s="172">
        <f t="shared" si="144"/>
        <v>10</v>
      </c>
      <c r="AI360" s="221">
        <f t="shared" si="145"/>
        <v>4.9937318838130338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48195</v>
      </c>
      <c r="B361" s="406">
        <f>'2030'!Wh/'2030'!Env_an*'2031'!Env_an</f>
        <v>5.4584804203202371</v>
      </c>
      <c r="C361" s="832"/>
      <c r="D361" s="388">
        <f t="shared" si="127"/>
        <v>5.7399532714160761</v>
      </c>
      <c r="E361" s="380">
        <f t="shared" ref="E361:E379" si="150">Wh_pvt/(1-Psa)</f>
        <v>5.827438378212034</v>
      </c>
      <c r="F361" s="380">
        <f t="shared" si="128"/>
        <v>5.8300094560988542</v>
      </c>
      <c r="G361" s="110">
        <f t="shared" ref="G361:G379" si="151">+Wh_hp/MaxiM</f>
        <v>0.33160813586509641</v>
      </c>
      <c r="H361" s="409" t="b">
        <f>Wh_hp&gt;='2030'!Maxi_hp</f>
        <v>0</v>
      </c>
      <c r="I361" s="385">
        <f>IF(H361,Wh_hp,'2030'!Maxi_hp)</f>
        <v>5.864489945974193</v>
      </c>
      <c r="J361" s="85">
        <f>IF(H361,An,'2030'!An_max)</f>
        <v>2029</v>
      </c>
      <c r="K361" s="193">
        <f t="shared" si="129"/>
        <v>48195</v>
      </c>
      <c r="L361" s="143">
        <f>IF(t&lt;Tvie,1-EXP((T0-t)*PertePVj)+'2030'!Pspv,1-EXP((T0-t)*PertePVj)+Pspv)</f>
        <v>4.9037481280121753E-2</v>
      </c>
      <c r="M361" s="836"/>
      <c r="N361" s="836"/>
      <c r="O361" s="48">
        <f>IF(t&lt;Tnet,'2030'!Resal+('2030'!Salim-'2030'!Resal)*(1-EXP(('2030'!Tnet-t)/('2030'!Tau_j))),Resal+(Salim-Resal)*(1-EXP((Tnet-t)/(Tau_j))))*Salcycl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8.9588208233351927E-3</v>
      </c>
      <c r="Q361" s="301">
        <f t="shared" si="130"/>
        <v>0.5</v>
      </c>
      <c r="R361" s="173">
        <f t="shared" si="131"/>
        <v>0.46875437216943272</v>
      </c>
      <c r="S361" s="802">
        <f t="shared" si="132"/>
        <v>1</v>
      </c>
      <c r="T361" s="172">
        <f t="shared" si="133"/>
        <v>7</v>
      </c>
      <c r="U361" s="247">
        <f t="shared" si="134"/>
        <v>1.4687543721694327</v>
      </c>
      <c r="V361" s="378">
        <f t="shared" si="135"/>
        <v>16.320364322652139</v>
      </c>
      <c r="W361" s="397">
        <f t="shared" si="136"/>
        <v>5.4584804203202371</v>
      </c>
      <c r="X361" s="153">
        <f t="shared" si="137"/>
        <v>48195</v>
      </c>
      <c r="Y361" s="380">
        <f t="shared" si="138"/>
        <v>5.2763201695251354</v>
      </c>
      <c r="Z361" s="380">
        <f t="shared" si="139"/>
        <v>5.5483997167709225</v>
      </c>
      <c r="AA361" s="381">
        <f t="shared" si="140"/>
        <v>5.8203466394957397</v>
      </c>
      <c r="AB361" s="193">
        <f t="shared" si="141"/>
        <v>48195</v>
      </c>
      <c r="AC361" s="119">
        <f>IF(OR(t&lt;Tnet,NoTnet),'2030'!Resal_s+('2030'!Salim-'2030'!Resal_s)*(1-EXP(('2030'!Tnet_s-t)/'2030'!Tau_j)),Resal_s+(Salim-Resal_s)*(1-EXP((Tnet_s-t)/Tau_j)))*Salcycl</f>
        <v>4.6723492528681757E-2</v>
      </c>
      <c r="AD361" s="227">
        <f>(INDEX(Models!$BJ361:$BT361,,AH361)*(1-AF361)+INDEX(Models!$BJ361:$BT361,,AH361+1)*AF361-ERP_i)*AE361*Ramure*Pc/MaxiM</f>
        <v>3.3669708350653013E-2</v>
      </c>
      <c r="AE361" s="301">
        <f t="shared" si="142"/>
        <v>0.5</v>
      </c>
      <c r="AF361" s="173">
        <f t="shared" si="143"/>
        <v>0.99374193854341009</v>
      </c>
      <c r="AG361" s="802">
        <f t="shared" si="149"/>
        <v>4</v>
      </c>
      <c r="AH361" s="172">
        <f t="shared" si="144"/>
        <v>10</v>
      </c>
      <c r="AI361" s="221">
        <f t="shared" si="145"/>
        <v>4.9937419385434101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48196</v>
      </c>
      <c r="B362" s="406">
        <f>'2030'!Wh/'2030'!Env_an*'2031'!Env_an</f>
        <v>12.430275323565434</v>
      </c>
      <c r="C362" s="832"/>
      <c r="D362" s="388">
        <f t="shared" si="127"/>
        <v>13.071435772945661</v>
      </c>
      <c r="E362" s="380">
        <f t="shared" si="150"/>
        <v>13.271431165709616</v>
      </c>
      <c r="F362" s="380">
        <f t="shared" si="128"/>
        <v>13.351746492074662</v>
      </c>
      <c r="G362" s="110">
        <f t="shared" si="151"/>
        <v>0.76459724101027737</v>
      </c>
      <c r="H362" s="409" t="b">
        <f>Wh_hp&gt;='2030'!Maxi_hp</f>
        <v>0</v>
      </c>
      <c r="I362" s="385">
        <f>IF(H362,Wh_hp,'2030'!Maxi_hp)</f>
        <v>13.379643575055832</v>
      </c>
      <c r="J362" s="85">
        <f>IF(H362,An,'2030'!An_max)</f>
        <v>2029</v>
      </c>
      <c r="K362" s="193">
        <f t="shared" si="129"/>
        <v>48196</v>
      </c>
      <c r="L362" s="143">
        <f>IF(t&lt;Tvie,1-EXP((T0-t)*PertePVj)+'2030'!Pspv,1-EXP((T0-t)*PertePVj)+Pspv)</f>
        <v>4.9050499158421079E-2</v>
      </c>
      <c r="M362" s="836"/>
      <c r="N362" s="836"/>
      <c r="O362" s="48">
        <f>IF(t&lt;Tnet,'2030'!Resal+('2030'!Salim-'2030'!Resal)*(1-EXP(('2030'!Tnet-t)/('2030'!Tau_j))),Resal+(Salim-Resal)*(1-EXP((Tnet-t)/(Tau_j))))*Salcycl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9.0182312642968498E-3</v>
      </c>
      <c r="Q362" s="301">
        <f t="shared" si="130"/>
        <v>0.5</v>
      </c>
      <c r="R362" s="173">
        <f t="shared" si="131"/>
        <v>0.46876402244700222</v>
      </c>
      <c r="S362" s="802">
        <f t="shared" si="132"/>
        <v>1</v>
      </c>
      <c r="T362" s="172">
        <f t="shared" si="133"/>
        <v>7</v>
      </c>
      <c r="U362" s="247">
        <f t="shared" si="134"/>
        <v>1.4687640224470022</v>
      </c>
      <c r="V362" s="378">
        <f t="shared" si="135"/>
        <v>16.208170826689916</v>
      </c>
      <c r="W362" s="397">
        <f t="shared" si="136"/>
        <v>12.430275323565434</v>
      </c>
      <c r="X362" s="153">
        <f t="shared" si="137"/>
        <v>48196</v>
      </c>
      <c r="Y362" s="380">
        <f t="shared" si="138"/>
        <v>11.83033661770231</v>
      </c>
      <c r="Z362" s="380">
        <f t="shared" si="139"/>
        <v>12.440551898110892</v>
      </c>
      <c r="AA362" s="381">
        <f t="shared" si="140"/>
        <v>13.050620264179086</v>
      </c>
      <c r="AB362" s="193">
        <f t="shared" si="141"/>
        <v>48196</v>
      </c>
      <c r="AC362" s="119">
        <f>IF(OR(t&lt;Tnet,NoTnet),'2030'!Resal_s+('2030'!Salim-'2030'!Resal_s)*(1-EXP(('2030'!Tnet_s-t)/'2030'!Tau_j)),Resal_s+(Salim-Resal_s)*(1-EXP((Tnet_s-t)/Tau_j)))*Salcycl</f>
        <v>4.6746311954435571E-2</v>
      </c>
      <c r="AD362" s="227">
        <f>(INDEX(Models!$BJ362:$BT362,,AH362)*(1-AF362)+INDEX(Models!$BJ362:$BT362,,AH362+1)*AF362-ERP_i)*AE362*Ramure*Pc/MaxiM</f>
        <v>3.3812051644598239E-2</v>
      </c>
      <c r="AE362" s="301">
        <f t="shared" si="142"/>
        <v>0.5</v>
      </c>
      <c r="AF362" s="173">
        <f t="shared" si="143"/>
        <v>0.99375158882097914</v>
      </c>
      <c r="AG362" s="802">
        <f t="shared" si="149"/>
        <v>4</v>
      </c>
      <c r="AH362" s="172">
        <f t="shared" si="144"/>
        <v>10</v>
      </c>
      <c r="AI362" s="221">
        <f t="shared" si="145"/>
        <v>4.9937515888209791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48197</v>
      </c>
      <c r="B363" s="406">
        <f>'2030'!Wh/'2030'!Env_an*'2031'!Env_an</f>
        <v>6.6390454289680871</v>
      </c>
      <c r="C363" s="832"/>
      <c r="D363" s="388">
        <f t="shared" si="127"/>
        <v>6.9815866218904006</v>
      </c>
      <c r="E363" s="380">
        <f t="shared" si="150"/>
        <v>7.0888171797403103</v>
      </c>
      <c r="F363" s="380">
        <f t="shared" si="128"/>
        <v>7.0991512437276425</v>
      </c>
      <c r="G363" s="110">
        <f t="shared" si="151"/>
        <v>0.40909442864215101</v>
      </c>
      <c r="H363" s="409" t="b">
        <f>Wh_hp&gt;='2030'!Maxi_hp</f>
        <v>0</v>
      </c>
      <c r="I363" s="385">
        <f>IF(H363,Wh_hp,'2030'!Maxi_hp)</f>
        <v>7.136761375036941</v>
      </c>
      <c r="J363" s="85">
        <f>IF(H363,An,'2030'!An_max)</f>
        <v>2029</v>
      </c>
      <c r="K363" s="193">
        <f t="shared" si="129"/>
        <v>48197</v>
      </c>
      <c r="L363" s="143">
        <f>IF(t&lt;Tvie,1-EXP((T0-t)*PertePVj)+'2030'!Pspv,1-EXP((T0-t)*PertePVj)+Pspv)</f>
        <v>4.906351685851662E-2</v>
      </c>
      <c r="M363" s="836"/>
      <c r="N363" s="836"/>
      <c r="O363" s="48">
        <f>IF(t&lt;Tnet,'2030'!Resal+('2030'!Salim-'2030'!Resal)*(1-EXP(('2030'!Tnet-t)/('2030'!Tau_j))),Resal+(Salim-Resal)*(1-EXP((Tnet-t)/(Tau_j))))*Salcycl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9.0784065014938003E-3</v>
      </c>
      <c r="Q363" s="301">
        <f t="shared" si="130"/>
        <v>0.5</v>
      </c>
      <c r="R363" s="173">
        <f t="shared" si="131"/>
        <v>0.46877328452625866</v>
      </c>
      <c r="S363" s="802">
        <f t="shared" si="132"/>
        <v>1</v>
      </c>
      <c r="T363" s="172">
        <f t="shared" si="133"/>
        <v>7</v>
      </c>
      <c r="U363" s="247">
        <f t="shared" si="134"/>
        <v>1.4687732845262587</v>
      </c>
      <c r="V363" s="378">
        <f t="shared" si="135"/>
        <v>16.104751220668238</v>
      </c>
      <c r="W363" s="397">
        <f t="shared" si="136"/>
        <v>6.6390454289680871</v>
      </c>
      <c r="X363" s="153">
        <f t="shared" si="137"/>
        <v>48197</v>
      </c>
      <c r="Y363" s="380">
        <f t="shared" si="138"/>
        <v>6.400086821785937</v>
      </c>
      <c r="Z363" s="380">
        <f t="shared" si="139"/>
        <v>6.7302989581836368</v>
      </c>
      <c r="AA363" s="381">
        <f t="shared" si="140"/>
        <v>7.0605168041545472</v>
      </c>
      <c r="AB363" s="193">
        <f t="shared" si="141"/>
        <v>48197</v>
      </c>
      <c r="AC363" s="119">
        <f>IF(OR(t&lt;Tnet,NoTnet),'2030'!Resal_s+('2030'!Salim-'2030'!Resal_s)*(1-EXP(('2030'!Tnet_s-t)/'2030'!Tau_j)),Resal_s+(Salim-Resal_s)*(1-EXP((Tnet_s-t)/Tau_j)))*Salcycl</f>
        <v>4.6769642383204038E-2</v>
      </c>
      <c r="AD363" s="227">
        <f>(INDEX(Models!$BJ363:$BT363,,AH363)*(1-AF363)+INDEX(Models!$BJ363:$BT363,,AH363+1)*AF363-ERP_i)*AE363*Ramure*Pc/MaxiM</f>
        <v>3.3940098283880525E-2</v>
      </c>
      <c r="AE363" s="301">
        <f t="shared" si="142"/>
        <v>0.5</v>
      </c>
      <c r="AF363" s="173">
        <f t="shared" si="143"/>
        <v>0.99376085090023558</v>
      </c>
      <c r="AG363" s="802">
        <f t="shared" si="149"/>
        <v>4</v>
      </c>
      <c r="AH363" s="172">
        <f t="shared" si="144"/>
        <v>10</v>
      </c>
      <c r="AI363" s="221">
        <f t="shared" si="145"/>
        <v>4.9937608509002356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48198</v>
      </c>
      <c r="B364" s="406">
        <f>'2030'!Wh/'2030'!Env_an*'2031'!Env_an</f>
        <v>5.5717203231551471</v>
      </c>
      <c r="C364" s="832"/>
      <c r="D364" s="388">
        <f t="shared" si="127"/>
        <v>5.8592731430018965</v>
      </c>
      <c r="E364" s="380">
        <f t="shared" si="150"/>
        <v>5.9496115695671481</v>
      </c>
      <c r="F364" s="380">
        <f t="shared" si="128"/>
        <v>5.9533414047949158</v>
      </c>
      <c r="G364" s="110">
        <f t="shared" si="151"/>
        <v>0.34502567746096813</v>
      </c>
      <c r="H364" s="409" t="b">
        <f>Wh_hp&gt;='2030'!Maxi_hp</f>
        <v>0</v>
      </c>
      <c r="I364" s="385">
        <f>IF(H364,Wh_hp,'2030'!Maxi_hp)</f>
        <v>5.9885599299290551</v>
      </c>
      <c r="J364" s="85">
        <f>IF(H364,An,'2030'!An_max)</f>
        <v>2029</v>
      </c>
      <c r="K364" s="193">
        <f t="shared" si="129"/>
        <v>48198</v>
      </c>
      <c r="L364" s="143">
        <f>IF(t&lt;Tvie,1-EXP((T0-t)*PertePVj)+'2030'!Pspv,1-EXP((T0-t)*PertePVj)+Pspv)</f>
        <v>4.9076534380410708E-2</v>
      </c>
      <c r="M364" s="836"/>
      <c r="N364" s="836"/>
      <c r="O364" s="48">
        <f>IF(t&lt;Tnet,'2030'!Resal+('2030'!Salim-'2030'!Resal)*(1-EXP(('2030'!Tnet-t)/('2030'!Tau_j))),Resal+(Salim-Resal)*(1-EXP((Tnet-t)/(Tau_j))))*Salcycl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9.1385924547702571E-3</v>
      </c>
      <c r="Q364" s="301">
        <f t="shared" si="130"/>
        <v>0.5</v>
      </c>
      <c r="R364" s="173">
        <f t="shared" si="131"/>
        <v>0.46878217400960387</v>
      </c>
      <c r="S364" s="802">
        <f t="shared" si="132"/>
        <v>1</v>
      </c>
      <c r="T364" s="172">
        <f t="shared" si="133"/>
        <v>7</v>
      </c>
      <c r="U364" s="247">
        <f t="shared" si="134"/>
        <v>1.4687821740096039</v>
      </c>
      <c r="V364" s="378">
        <f t="shared" si="135"/>
        <v>16.011166750553372</v>
      </c>
      <c r="W364" s="397">
        <f t="shared" si="136"/>
        <v>5.5717203231551471</v>
      </c>
      <c r="X364" s="153">
        <f t="shared" si="137"/>
        <v>48198</v>
      </c>
      <c r="Y364" s="380">
        <f t="shared" si="138"/>
        <v>5.3836691054180896</v>
      </c>
      <c r="Z364" s="380">
        <f t="shared" si="139"/>
        <v>5.6615167256497081</v>
      </c>
      <c r="AA364" s="381">
        <f t="shared" si="140"/>
        <v>5.9394438255543021</v>
      </c>
      <c r="AB364" s="193">
        <f t="shared" si="141"/>
        <v>48198</v>
      </c>
      <c r="AC364" s="119">
        <f>IF(OR(t&lt;Tnet,NoTnet),'2030'!Resal_s+('2030'!Salim-'2030'!Resal_s)*(1-EXP(('2030'!Tnet_s-t)/'2030'!Tau_j)),Resal_s+(Salim-Resal_s)*(1-EXP((Tnet_s-t)/Tau_j)))*Salcycl</f>
        <v>4.6793455425711776E-2</v>
      </c>
      <c r="AD364" s="227">
        <f>(INDEX(Models!$BJ364:$BT364,,AH364)*(1-AF364)+INDEX(Models!$BJ364:$BT364,,AH364+1)*AF364-ERP_i)*AE364*Ramure*Pc/MaxiM</f>
        <v>3.4050917810606707E-2</v>
      </c>
      <c r="AE364" s="301">
        <f t="shared" si="142"/>
        <v>0.5</v>
      </c>
      <c r="AF364" s="173">
        <f t="shared" si="143"/>
        <v>0.99376974038358057</v>
      </c>
      <c r="AG364" s="802">
        <f t="shared" si="149"/>
        <v>4</v>
      </c>
      <c r="AH364" s="172">
        <f t="shared" si="144"/>
        <v>10</v>
      </c>
      <c r="AI364" s="221">
        <f t="shared" si="145"/>
        <v>4.9937697403835806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48199</v>
      </c>
      <c r="B365" s="406">
        <f>'2030'!Wh/'2030'!Env_an*'2031'!Env_an</f>
        <v>3.5976635359480018</v>
      </c>
      <c r="C365" s="832"/>
      <c r="D365" s="388">
        <f t="shared" si="127"/>
        <v>3.7833883752891388</v>
      </c>
      <c r="E365" s="380">
        <f t="shared" si="150"/>
        <v>3.8419442467583123</v>
      </c>
      <c r="F365" s="380">
        <f t="shared" si="128"/>
        <v>3.8419442467583123</v>
      </c>
      <c r="G365" s="110">
        <f t="shared" si="151"/>
        <v>0.22378611080148625</v>
      </c>
      <c r="H365" s="409" t="b">
        <f>Wh_hp&gt;='2030'!Maxi_hp</f>
        <v>0</v>
      </c>
      <c r="I365" s="385">
        <f>IF(H365,Wh_hp,'2030'!Maxi_hp)</f>
        <v>3.8665030803996028</v>
      </c>
      <c r="J365" s="85">
        <f>IF(H365,An,'2030'!An_max)</f>
        <v>2029</v>
      </c>
      <c r="K365" s="193">
        <f t="shared" si="129"/>
        <v>48199</v>
      </c>
      <c r="L365" s="143">
        <f>IF(t&lt;Tvie,1-EXP((T0-t)*PertePVj)+'2030'!Pspv,1-EXP((T0-t)*PertePVj)+Pspv)</f>
        <v>4.9089551724105895E-2</v>
      </c>
      <c r="M365" s="836"/>
      <c r="N365" s="836"/>
      <c r="O365" s="48">
        <f>IF(t&lt;Tnet,'2030'!Resal+('2030'!Salim-'2030'!Resal)*(1-EXP(('2030'!Tnet-t)/('2030'!Tau_j))),Resal+(Salim-Resal)*(1-EXP((Tnet-t)/(Tau_j))))*Salcycl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9.1980033202196908E-3</v>
      </c>
      <c r="Q365" s="301">
        <f t="shared" si="130"/>
        <v>0.5</v>
      </c>
      <c r="R365" s="173">
        <f t="shared" si="131"/>
        <v>0.46879070587341642</v>
      </c>
      <c r="S365" s="802">
        <f t="shared" si="132"/>
        <v>1</v>
      </c>
      <c r="T365" s="172">
        <f t="shared" si="133"/>
        <v>7</v>
      </c>
      <c r="U365" s="247">
        <f t="shared" si="134"/>
        <v>1.4687907058734164</v>
      </c>
      <c r="V365" s="378">
        <f t="shared" si="135"/>
        <v>15.928478322595009</v>
      </c>
      <c r="W365" s="397">
        <f t="shared" si="136"/>
        <v>3.5976635359480018</v>
      </c>
      <c r="X365" s="153">
        <f t="shared" si="137"/>
        <v>48199</v>
      </c>
      <c r="Y365" s="380">
        <f t="shared" si="138"/>
        <v>3.4823036370459182</v>
      </c>
      <c r="Z365" s="380">
        <f t="shared" si="139"/>
        <v>3.6620731672048827</v>
      </c>
      <c r="AA365" s="381">
        <f t="shared" si="140"/>
        <v>3.8419442467583123</v>
      </c>
      <c r="AB365" s="193">
        <f t="shared" si="141"/>
        <v>48199</v>
      </c>
      <c r="AC365" s="119">
        <f>IF(OR(t&lt;Tnet,NoTnet),'2030'!Resal_s+('2030'!Salim-'2030'!Resal_s)*(1-EXP(('2030'!Tnet_s-t)/'2030'!Tau_j)),Resal_s+(Salim-Resal_s)*(1-EXP((Tnet_s-t)/Tau_j)))*Salcycl</f>
        <v>4.6817722486524369E-2</v>
      </c>
      <c r="AD365" s="227">
        <f>(INDEX(Models!$BJ365:$BT365,,AH365)*(1-AF365)+INDEX(Models!$BJ365:$BT365,,AH365+1)*AF365-ERP_i)*AE365*Ramure*Pc/MaxiM</f>
        <v>3.4141537230536062E-2</v>
      </c>
      <c r="AE365" s="301">
        <f t="shared" si="142"/>
        <v>0.5</v>
      </c>
      <c r="AF365" s="173">
        <f t="shared" si="143"/>
        <v>0.99377827224739335</v>
      </c>
      <c r="AG365" s="802">
        <f t="shared" si="149"/>
        <v>4</v>
      </c>
      <c r="AH365" s="172">
        <f t="shared" si="144"/>
        <v>10</v>
      </c>
      <c r="AI365" s="221">
        <f t="shared" si="145"/>
        <v>4.9937782722473933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48200</v>
      </c>
      <c r="B366" s="406">
        <f>'2030'!Wh/'2030'!Env_an*'2031'!Env_an</f>
        <v>14.478179837263131</v>
      </c>
      <c r="C366" s="832"/>
      <c r="D366" s="388">
        <f t="shared" si="127"/>
        <v>15.225806026583189</v>
      </c>
      <c r="E366" s="380">
        <f t="shared" si="150"/>
        <v>15.462358099972931</v>
      </c>
      <c r="F366" s="380">
        <f t="shared" si="128"/>
        <v>15.588663495256879</v>
      </c>
      <c r="G366" s="110">
        <f t="shared" si="151"/>
        <v>0.9119419172881954</v>
      </c>
      <c r="H366" s="409" t="b">
        <f>Wh_hp&gt;='2030'!Maxi_hp</f>
        <v>0</v>
      </c>
      <c r="I366" s="385">
        <f>IF(H366,Wh_hp,'2030'!Maxi_hp)</f>
        <v>15.601154054383358</v>
      </c>
      <c r="J366" s="85">
        <f>IF(H366,An,'2030'!An_max)</f>
        <v>2029</v>
      </c>
      <c r="K366" s="193">
        <f t="shared" si="129"/>
        <v>48200</v>
      </c>
      <c r="L366" s="143">
        <f>IF(t&lt;Tvie,1-EXP((T0-t)*PertePVj)+'2030'!Pspv,1-EXP((T0-t)*PertePVj)+Pspv)</f>
        <v>4.9102568889604625E-2</v>
      </c>
      <c r="M366" s="836"/>
      <c r="N366" s="836"/>
      <c r="O366" s="48">
        <f>IF(t&lt;Tnet,'2030'!Resal+('2030'!Salim-'2030'!Resal)*(1-EXP(('2030'!Tnet-t)/('2030'!Tau_j))),Resal+(Salim-Resal)*(1-EXP((Tnet-t)/(Tau_j))))*Salcycl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9.2523130685509009E-3</v>
      </c>
      <c r="Q366" s="301">
        <f t="shared" si="130"/>
        <v>0.5</v>
      </c>
      <c r="R366" s="173">
        <f t="shared" si="131"/>
        <v>0.46879889449308565</v>
      </c>
      <c r="S366" s="802">
        <f t="shared" si="132"/>
        <v>1</v>
      </c>
      <c r="T366" s="172">
        <f t="shared" si="133"/>
        <v>7</v>
      </c>
      <c r="U366" s="247">
        <f t="shared" si="134"/>
        <v>1.4687988944930856</v>
      </c>
      <c r="V366" s="378">
        <f t="shared" si="135"/>
        <v>15.857802717041281</v>
      </c>
      <c r="W366" s="397">
        <f t="shared" si="136"/>
        <v>14.478179837263131</v>
      </c>
      <c r="X366" s="153">
        <f t="shared" si="137"/>
        <v>48200</v>
      </c>
      <c r="Y366" s="380">
        <f t="shared" si="138"/>
        <v>13.705561132909066</v>
      </c>
      <c r="Z366" s="380">
        <f t="shared" si="139"/>
        <v>14.413290734106427</v>
      </c>
      <c r="AA366" s="381">
        <f t="shared" si="140"/>
        <v>15.121624126064059</v>
      </c>
      <c r="AB366" s="193">
        <f t="shared" si="141"/>
        <v>48200</v>
      </c>
      <c r="AC366" s="119">
        <f>IF(OR(t&lt;Tnet,NoTnet),'2030'!Resal_s+('2030'!Salim-'2030'!Resal_s)*(1-EXP(('2030'!Tnet_s-t)/'2030'!Tau_j)),Resal_s+(Salim-Resal_s)*(1-EXP((Tnet_s-t)/Tau_j)))*Salcycl</f>
        <v>4.6842414945146599E-2</v>
      </c>
      <c r="AD366" s="227">
        <f>(INDEX(Models!$BJ366:$BT366,,AH366)*(1-AF366)+INDEX(Models!$BJ366:$BT366,,AH366+1)*AF366-ERP_i)*AE366*Ramure*Pc/MaxiM</f>
        <v>3.4212271371274229E-2</v>
      </c>
      <c r="AE366" s="301">
        <f t="shared" si="142"/>
        <v>0.5</v>
      </c>
      <c r="AF366" s="173">
        <f t="shared" si="143"/>
        <v>0.99378646086706279</v>
      </c>
      <c r="AG366" s="802">
        <f t="shared" si="149"/>
        <v>4</v>
      </c>
      <c r="AH366" s="172">
        <f t="shared" si="144"/>
        <v>10</v>
      </c>
      <c r="AI366" s="221">
        <f t="shared" si="145"/>
        <v>4.9937864608670628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48201</v>
      </c>
      <c r="B367" s="406">
        <f>'2030'!Wh/'2030'!Env_an*'2031'!Env_an</f>
        <v>13.862267340204758</v>
      </c>
      <c r="C367" s="832"/>
      <c r="D367" s="388">
        <f t="shared" si="127"/>
        <v>14.578288522047755</v>
      </c>
      <c r="E367" s="380">
        <f t="shared" si="150"/>
        <v>14.805644272276549</v>
      </c>
      <c r="F367" s="380">
        <f t="shared" si="128"/>
        <v>14.92000821148852</v>
      </c>
      <c r="G367" s="110">
        <f t="shared" si="151"/>
        <v>0.87590158481937819</v>
      </c>
      <c r="H367" s="409" t="b">
        <f>Wh_hp&gt;='2030'!Maxi_hp</f>
        <v>0</v>
      </c>
      <c r="I367" s="385">
        <f>IF(H367,Wh_hp,'2030'!Maxi_hp)</f>
        <v>14.936937183070963</v>
      </c>
      <c r="J367" s="85">
        <f>IF(H367,An,'2030'!An_max)</f>
        <v>2029</v>
      </c>
      <c r="K367" s="193">
        <f t="shared" si="129"/>
        <v>48201</v>
      </c>
      <c r="L367" s="143">
        <f>IF(t&lt;Tvie,1-EXP((T0-t)*PertePVj)+'2030'!Pspv,1-EXP((T0-t)*PertePVj)+Pspv)</f>
        <v>4.9115585876909229E-2</v>
      </c>
      <c r="M367" s="836"/>
      <c r="N367" s="836"/>
      <c r="O367" s="48">
        <f>IF(t&lt;Tnet,'2030'!Resal+('2030'!Salim-'2030'!Resal)*(1-EXP(('2030'!Tnet-t)/('2030'!Tau_j))),Resal+(Salim-Resal)*(1-EXP((Tnet-t)/(Tau_j))))*Salcycl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9.2936306796071646E-3</v>
      </c>
      <c r="Q367" s="301">
        <f t="shared" si="130"/>
        <v>0.5</v>
      </c>
      <c r="R367" s="173">
        <f t="shared" si="131"/>
        <v>0.46880675366705171</v>
      </c>
      <c r="S367" s="802">
        <f t="shared" si="132"/>
        <v>1</v>
      </c>
      <c r="T367" s="172">
        <f t="shared" si="133"/>
        <v>7</v>
      </c>
      <c r="U367" s="247">
        <f t="shared" si="134"/>
        <v>1.4688067536670517</v>
      </c>
      <c r="V367" s="378">
        <f t="shared" si="135"/>
        <v>15.800312068530507</v>
      </c>
      <c r="W367" s="397">
        <f t="shared" si="136"/>
        <v>13.862267340204758</v>
      </c>
      <c r="X367" s="153">
        <f t="shared" si="137"/>
        <v>48201</v>
      </c>
      <c r="Y367" s="380">
        <f t="shared" si="138"/>
        <v>13.140111177576147</v>
      </c>
      <c r="Z367" s="380">
        <f t="shared" si="139"/>
        <v>13.818831166450453</v>
      </c>
      <c r="AA367" s="381">
        <f t="shared" si="140"/>
        <v>14.498331794628442</v>
      </c>
      <c r="AB367" s="193">
        <f t="shared" si="141"/>
        <v>48201</v>
      </c>
      <c r="AC367" s="119">
        <f>IF(OR(t&lt;Tnet,NoTnet),'2030'!Resal_s+('2030'!Salim-'2030'!Resal_s)*(1-EXP(('2030'!Tnet_s-t)/'2030'!Tau_j)),Resal_s+(Salim-Resal_s)*(1-EXP((Tnet_s-t)/Tau_j)))*Salcycl</f>
        <v>4.6867504331066595E-2</v>
      </c>
      <c r="AD367" s="227">
        <f>(INDEX(Models!$BJ367:$BT367,,AH367)*(1-AF367)+INDEX(Models!$BJ367:$BT367,,AH367+1)*AF367-ERP_i)*AE367*Ramure*Pc/MaxiM</f>
        <v>3.4266963096942708E-2</v>
      </c>
      <c r="AE367" s="301">
        <f t="shared" si="142"/>
        <v>0.5</v>
      </c>
      <c r="AF367" s="173">
        <f t="shared" si="143"/>
        <v>0.99379432004102863</v>
      </c>
      <c r="AG367" s="802">
        <f t="shared" si="149"/>
        <v>4</v>
      </c>
      <c r="AH367" s="172">
        <f t="shared" si="144"/>
        <v>10</v>
      </c>
      <c r="AI367" s="221">
        <f t="shared" si="145"/>
        <v>4.9937943200410286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48202</v>
      </c>
      <c r="B368" s="406">
        <f>'2030'!Wh/'2030'!Env_an*'2031'!Env_an</f>
        <v>4.1848292312197426</v>
      </c>
      <c r="C368" s="832"/>
      <c r="D368" s="388">
        <f t="shared" si="127"/>
        <v>4.4010464959205322</v>
      </c>
      <c r="E368" s="380">
        <f t="shared" si="150"/>
        <v>4.4699440944212725</v>
      </c>
      <c r="F368" s="380">
        <f t="shared" si="128"/>
        <v>4.4699440944212725</v>
      </c>
      <c r="G368" s="110">
        <f t="shared" si="151"/>
        <v>0.2631087695460092</v>
      </c>
      <c r="H368" s="409" t="b">
        <f>Wh_hp&gt;='2030'!Maxi_hp</f>
        <v>0</v>
      </c>
      <c r="I368" s="385">
        <f>IF(H368,Wh_hp,'2030'!Maxi_hp)</f>
        <v>4.4989059789896171</v>
      </c>
      <c r="J368" s="85">
        <f>IF(H368,An,'2030'!An_max)</f>
        <v>2029</v>
      </c>
      <c r="K368" s="193">
        <f t="shared" si="129"/>
        <v>48202</v>
      </c>
      <c r="L368" s="143">
        <f>IF(t&lt;Tvie,1-EXP((T0-t)*PertePVj)+'2030'!Pspv,1-EXP((T0-t)*PertePVj)+Pspv)</f>
        <v>4.9128602686022149E-2</v>
      </c>
      <c r="M368" s="836"/>
      <c r="N368" s="836"/>
      <c r="O368" s="48">
        <f>IF(t&lt;Tnet,'2030'!Resal+('2030'!Salim-'2030'!Resal)*(1-EXP(('2030'!Tnet-t)/('2030'!Tau_j))),Resal+(Salim-Resal)*(1-EXP((Tnet-t)/(Tau_j))))*Salcycl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9.3210718608057117E-3</v>
      </c>
      <c r="Q368" s="301">
        <f t="shared" si="130"/>
        <v>0.5</v>
      </c>
      <c r="R368" s="173">
        <f t="shared" si="131"/>
        <v>0.46881429663989005</v>
      </c>
      <c r="S368" s="802">
        <f t="shared" si="132"/>
        <v>1</v>
      </c>
      <c r="T368" s="172">
        <f t="shared" si="133"/>
        <v>7</v>
      </c>
      <c r="U368" s="247">
        <f t="shared" si="134"/>
        <v>1.46881429663989</v>
      </c>
      <c r="V368" s="378">
        <f t="shared" si="135"/>
        <v>15.757065583119505</v>
      </c>
      <c r="W368" s="397">
        <f t="shared" si="136"/>
        <v>4.1848292312197426</v>
      </c>
      <c r="X368" s="153">
        <f t="shared" si="137"/>
        <v>48202</v>
      </c>
      <c r="Y368" s="380">
        <f t="shared" si="138"/>
        <v>4.0510308596062892</v>
      </c>
      <c r="Z368" s="380">
        <f t="shared" si="139"/>
        <v>4.260335173662436</v>
      </c>
      <c r="AA368" s="381">
        <f t="shared" si="140"/>
        <v>4.4699440944212725</v>
      </c>
      <c r="AB368" s="193">
        <f t="shared" si="141"/>
        <v>48202</v>
      </c>
      <c r="AC368" s="119">
        <f>IF(OR(t&lt;Tnet,NoTnet),'2030'!Resal_s+('2030'!Salim-'2030'!Resal_s)*(1-EXP(('2030'!Tnet_s-t)/'2030'!Tau_j)),Resal_s+(Salim-Resal_s)*(1-EXP((Tnet_s-t)/Tau_j)))*Salcycl</f>
        <v>4.6892962491508379E-2</v>
      </c>
      <c r="AD368" s="227">
        <f>(INDEX(Models!$BJ368:$BT368,,AH368)*(1-AF368)+INDEX(Models!$BJ368:$BT368,,AH368+1)*AF368-ERP_i)*AE368*Ramure*Pc/MaxiM</f>
        <v>3.4302763137048303E-2</v>
      </c>
      <c r="AE368" s="301">
        <f t="shared" si="142"/>
        <v>0.5</v>
      </c>
      <c r="AF368" s="173">
        <f t="shared" si="143"/>
        <v>0.99380186301386697</v>
      </c>
      <c r="AG368" s="802">
        <f t="shared" si="149"/>
        <v>4</v>
      </c>
      <c r="AH368" s="172">
        <f t="shared" si="144"/>
        <v>10</v>
      </c>
      <c r="AI368" s="221">
        <f t="shared" si="145"/>
        <v>4.993801863013867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48203</v>
      </c>
      <c r="B369" s="406">
        <f>'2030'!Wh/'2030'!Env_an*'2031'!Env_an</f>
        <v>14.840264361630265</v>
      </c>
      <c r="C369" s="832"/>
      <c r="D369" s="388">
        <f t="shared" si="127"/>
        <v>15.607228860905327</v>
      </c>
      <c r="E369" s="380">
        <f t="shared" si="150"/>
        <v>15.852484072869123</v>
      </c>
      <c r="F369" s="380">
        <f t="shared" si="128"/>
        <v>15.989680213082606</v>
      </c>
      <c r="G369" s="110">
        <f t="shared" si="151"/>
        <v>0.94277259082853726</v>
      </c>
      <c r="H369" s="409" t="b">
        <f>Wh_hp&gt;='2030'!Maxi_hp</f>
        <v>0</v>
      </c>
      <c r="I369" s="385">
        <f>IF(H369,Wh_hp,'2030'!Maxi_hp)</f>
        <v>15.998077862301324</v>
      </c>
      <c r="J369" s="85">
        <f>IF(H369,An,'2030'!An_max)</f>
        <v>2029</v>
      </c>
      <c r="K369" s="193">
        <f t="shared" si="129"/>
        <v>48203</v>
      </c>
      <c r="L369" s="143">
        <f>IF(t&lt;Tvie,1-EXP((T0-t)*PertePVj)+'2030'!Pspv,1-EXP((T0-t)*PertePVj)+Pspv)</f>
        <v>4.9141619316945939E-2</v>
      </c>
      <c r="M369" s="836"/>
      <c r="N369" s="836"/>
      <c r="O369" s="48">
        <f>IF(t&lt;Tnet,'2030'!Resal+('2030'!Salim-'2030'!Resal)*(1-EXP(('2030'!Tnet-t)/('2030'!Tau_j))),Resal+(Salim-Resal)*(1-EXP((Tnet-t)/(Tau_j))))*Salcycl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9.3338018049722929E-3</v>
      </c>
      <c r="Q369" s="301">
        <f t="shared" si="130"/>
        <v>0.5</v>
      </c>
      <c r="R369" s="173">
        <f t="shared" si="131"/>
        <v>0.46882153612447697</v>
      </c>
      <c r="S369" s="802">
        <f t="shared" si="132"/>
        <v>1</v>
      </c>
      <c r="T369" s="172">
        <f t="shared" si="133"/>
        <v>7</v>
      </c>
      <c r="U369" s="247">
        <f t="shared" si="134"/>
        <v>1.468821536124477</v>
      </c>
      <c r="V369" s="378">
        <f t="shared" si="135"/>
        <v>15.729122226893544</v>
      </c>
      <c r="W369" s="397">
        <f t="shared" si="136"/>
        <v>14.840264361630265</v>
      </c>
      <c r="X369" s="153">
        <f t="shared" si="137"/>
        <v>48203</v>
      </c>
      <c r="Y369" s="380">
        <f t="shared" si="138"/>
        <v>14.033445171393936</v>
      </c>
      <c r="Z369" s="380">
        <f t="shared" si="139"/>
        <v>14.758712187311151</v>
      </c>
      <c r="AA369" s="381">
        <f t="shared" si="140"/>
        <v>15.485261481405086</v>
      </c>
      <c r="AB369" s="193">
        <f t="shared" si="141"/>
        <v>48203</v>
      </c>
      <c r="AC369" s="119">
        <f>IF(OR(t&lt;Tnet,NoTnet),'2030'!Resal_s+('2030'!Salim-'2030'!Resal_s)*(1-EXP(('2030'!Tnet_s-t)/'2030'!Tau_j)),Resal_s+(Salim-Resal_s)*(1-EXP((Tnet_s-t)/Tau_j)))*Salcycl</f>
        <v>4.6918761750738634E-2</v>
      </c>
      <c r="AD369" s="227">
        <f>(INDEX(Models!$BJ369:$BT369,,AH369)*(1-AF369)+INDEX(Models!$BJ369:$BT369,,AH369+1)*AF369-ERP_i)*AE369*Ramure*Pc/MaxiM</f>
        <v>3.4316887201545437E-2</v>
      </c>
      <c r="AE369" s="301">
        <f t="shared" si="142"/>
        <v>0.5</v>
      </c>
      <c r="AF369" s="173">
        <f t="shared" si="143"/>
        <v>0.99380910249845389</v>
      </c>
      <c r="AG369" s="802">
        <f t="shared" si="149"/>
        <v>4</v>
      </c>
      <c r="AH369" s="172">
        <f t="shared" si="144"/>
        <v>10</v>
      </c>
      <c r="AI369" s="221">
        <f t="shared" si="145"/>
        <v>4.9938091024984539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48204</v>
      </c>
      <c r="B370" s="406">
        <f>'2030'!Wh/'2030'!Env_an*'2031'!Env_an</f>
        <v>14.773073522003175</v>
      </c>
      <c r="C370" s="832"/>
      <c r="D370" s="388">
        <f t="shared" si="127"/>
        <v>15.536778195223752</v>
      </c>
      <c r="E370" s="380">
        <f t="shared" si="150"/>
        <v>15.78184987756061</v>
      </c>
      <c r="F370" s="380">
        <f t="shared" si="128"/>
        <v>15.917628032369413</v>
      </c>
      <c r="G370" s="110">
        <f t="shared" si="151"/>
        <v>0.93915064016114336</v>
      </c>
      <c r="H370" s="409" t="b">
        <f>Wh_hp&gt;='2030'!Maxi_hp</f>
        <v>0</v>
      </c>
      <c r="I370" s="385">
        <f>IF(H370,Wh_hp,'2030'!Maxi_hp)</f>
        <v>15.92651457827774</v>
      </c>
      <c r="J370" s="85">
        <f>IF(H370,An,'2030'!An_max)</f>
        <v>2029</v>
      </c>
      <c r="K370" s="193">
        <f t="shared" si="129"/>
        <v>48204</v>
      </c>
      <c r="L370" s="143">
        <f>IF(t&lt;Tvie,1-EXP((T0-t)*PertePVj)+'2030'!Pspv,1-EXP((T0-t)*PertePVj)+Pspv)</f>
        <v>4.9154635769683042E-2</v>
      </c>
      <c r="M370" s="836"/>
      <c r="N370" s="836"/>
      <c r="O370" s="48">
        <f>IF(t&lt;Tnet,'2030'!Resal+('2030'!Salim-'2030'!Resal)*(1-EXP(('2030'!Tnet-t)/('2030'!Tau_j))),Resal+(Salim-Resal)*(1-EXP((Tnet-t)/(Tau_j))))*Salcycl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9.3310539566049747E-3</v>
      </c>
      <c r="Q370" s="301">
        <f t="shared" si="130"/>
        <v>0.5</v>
      </c>
      <c r="R370" s="173">
        <f t="shared" si="131"/>
        <v>0.4688284843232744</v>
      </c>
      <c r="S370" s="802">
        <f t="shared" si="132"/>
        <v>1</v>
      </c>
      <c r="T370" s="172">
        <f t="shared" si="133"/>
        <v>7</v>
      </c>
      <c r="U370" s="247">
        <f t="shared" si="134"/>
        <v>1.4688284843232744</v>
      </c>
      <c r="V370" s="378">
        <f t="shared" si="135"/>
        <v>15.717540707305565</v>
      </c>
      <c r="W370" s="397">
        <f t="shared" si="136"/>
        <v>14.773073522003175</v>
      </c>
      <c r="X370" s="153">
        <f t="shared" si="137"/>
        <v>48204</v>
      </c>
      <c r="Y370" s="380">
        <f t="shared" si="138"/>
        <v>13.972300407767316</v>
      </c>
      <c r="Z370" s="380">
        <f t="shared" si="139"/>
        <v>14.694608538242711</v>
      </c>
      <c r="AA370" s="381">
        <f t="shared" si="140"/>
        <v>15.418424552478776</v>
      </c>
      <c r="AB370" s="193">
        <f t="shared" si="141"/>
        <v>48204</v>
      </c>
      <c r="AC370" s="119">
        <f>IF(OR(t&lt;Tnet,NoTnet),'2030'!Resal_s+('2030'!Salim-'2030'!Resal_s)*(1-EXP(('2030'!Tnet_s-t)/'2030'!Tau_j)),Resal_s+(Salim-Resal_s)*(1-EXP((Tnet_s-t)/Tau_j)))*Salcycl</f>
        <v>4.6944875059864603E-2</v>
      </c>
      <c r="AD370" s="227">
        <f>(INDEX(Models!$BJ370:$BT370,,AH370)*(1-AF370)+INDEX(Models!$BJ370:$BT370,,AH370+1)*AF370-ERP_i)*AE370*Ramure*Pc/MaxiM</f>
        <v>3.4306657155150126E-2</v>
      </c>
      <c r="AE370" s="301">
        <f t="shared" si="142"/>
        <v>0.5</v>
      </c>
      <c r="AF370" s="173">
        <f t="shared" si="143"/>
        <v>0.99381605069725154</v>
      </c>
      <c r="AG370" s="802">
        <f t="shared" si="149"/>
        <v>4</v>
      </c>
      <c r="AH370" s="172">
        <f t="shared" si="144"/>
        <v>10</v>
      </c>
      <c r="AI370" s="221">
        <f t="shared" si="145"/>
        <v>4.9938160506972515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48205</v>
      </c>
      <c r="B371" s="406">
        <f>'2030'!Wh/'2030'!Env_an*'2031'!Env_an</f>
        <v>14.495180627969422</v>
      </c>
      <c r="C371" s="832"/>
      <c r="D371" s="388">
        <f t="shared" si="127"/>
        <v>15.244728115459303</v>
      </c>
      <c r="E371" s="380">
        <f t="shared" si="150"/>
        <v>15.486100057399771</v>
      </c>
      <c r="F371" s="380">
        <f t="shared" si="128"/>
        <v>15.615284869490376</v>
      </c>
      <c r="G371" s="110">
        <f t="shared" si="151"/>
        <v>0.92092109948122358</v>
      </c>
      <c r="H371" s="409" t="b">
        <f>Wh_hp&gt;='2030'!Maxi_hp</f>
        <v>0</v>
      </c>
      <c r="I371" s="385">
        <f>IF(H371,Wh_hp,'2030'!Maxi_hp)</f>
        <v>15.626593087861776</v>
      </c>
      <c r="J371" s="85">
        <f>IF(H371,An,'2030'!An_max)</f>
        <v>2029</v>
      </c>
      <c r="K371" s="193">
        <f t="shared" si="129"/>
        <v>48205</v>
      </c>
      <c r="L371" s="143">
        <f>IF(t&lt;Tvie,1-EXP((T0-t)*PertePVj)+'2030'!Pspv,1-EXP((T0-t)*PertePVj)+Pspv)</f>
        <v>4.9167652044235788E-2</v>
      </c>
      <c r="M371" s="836"/>
      <c r="N371" s="836"/>
      <c r="O371" s="48">
        <f>IF(t&lt;Tnet,'2030'!Resal+('2030'!Salim-'2030'!Resal)*(1-EXP(('2030'!Tnet-t)/('2030'!Tau_j))),Resal+(Salim-Resal)*(1-EXP((Tnet-t)/(Tau_j))))*Salcycl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9.3121093537425707E-3</v>
      </c>
      <c r="Q371" s="301">
        <f t="shared" si="130"/>
        <v>0.5</v>
      </c>
      <c r="R371" s="173">
        <f t="shared" si="131"/>
        <v>0.4688284843232744</v>
      </c>
      <c r="S371" s="802">
        <f t="shared" si="132"/>
        <v>1</v>
      </c>
      <c r="T371" s="172">
        <f t="shared" si="133"/>
        <v>7</v>
      </c>
      <c r="U371" s="247">
        <f t="shared" si="134"/>
        <v>1.4688284843232744</v>
      </c>
      <c r="V371" s="378">
        <f t="shared" si="135"/>
        <v>15.723380101969113</v>
      </c>
      <c r="W371" s="397">
        <f t="shared" si="136"/>
        <v>14.495180627969422</v>
      </c>
      <c r="X371" s="153">
        <f t="shared" si="137"/>
        <v>48205</v>
      </c>
      <c r="Y371" s="380">
        <f t="shared" si="138"/>
        <v>13.71930549223241</v>
      </c>
      <c r="Z371" s="380">
        <f t="shared" si="139"/>
        <v>14.428732385607349</v>
      </c>
      <c r="AA371" s="381">
        <f t="shared" si="140"/>
        <v>15.139871469045888</v>
      </c>
      <c r="AB371" s="193">
        <f t="shared" si="141"/>
        <v>48205</v>
      </c>
      <c r="AC371" s="119">
        <f>IF(OR(t&lt;Tnet,NoTnet),'2030'!Resal_s+('2030'!Salim-'2030'!Resal_s)*(1-EXP(('2030'!Tnet_s-t)/'2030'!Tau_j)),Resal_s+(Salim-Resal_s)*(1-EXP((Tnet_s-t)/Tau_j)))*Salcycl</f>
        <v>4.6971276136160922E-2</v>
      </c>
      <c r="AD371" s="227">
        <f>(INDEX(Models!$BJ371:$BT371,,AH371)*(1-AF371)+INDEX(Models!$BJ371:$BT371,,AH371+1)*AF371-ERP_i)*AE371*Ramure*Pc/MaxiM</f>
        <v>3.4269520553767932E-2</v>
      </c>
      <c r="AE371" s="301">
        <f t="shared" si="142"/>
        <v>0.5</v>
      </c>
      <c r="AF371" s="173">
        <f t="shared" si="143"/>
        <v>0.99381605069725154</v>
      </c>
      <c r="AG371" s="802">
        <f t="shared" si="149"/>
        <v>4</v>
      </c>
      <c r="AH371" s="172">
        <f t="shared" si="144"/>
        <v>10</v>
      </c>
      <c r="AI371" s="221">
        <f t="shared" si="145"/>
        <v>4.9938160506972515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48206</v>
      </c>
      <c r="B372" s="406">
        <f>'2030'!Wh/'2030'!Env_an*'2031'!Env_an</f>
        <v>15.682997650439987</v>
      </c>
      <c r="C372" s="832"/>
      <c r="D372" s="388">
        <f t="shared" si="127"/>
        <v>16.494193086893588</v>
      </c>
      <c r="E372" s="380">
        <f t="shared" si="150"/>
        <v>16.756329980210534</v>
      </c>
      <c r="F372" s="380">
        <f t="shared" si="128"/>
        <v>16.912294786167816</v>
      </c>
      <c r="G372" s="110">
        <f t="shared" si="151"/>
        <v>0.99583670622941467</v>
      </c>
      <c r="H372" s="409" t="b">
        <f>Wh_hp&gt;='2030'!Maxi_hp</f>
        <v>0</v>
      </c>
      <c r="I372" s="385">
        <f>IF(H372,Wh_hp,'2030'!Maxi_hp)</f>
        <v>16.912936659129191</v>
      </c>
      <c r="J372" s="85">
        <f>IF(H372,An,'2030'!An_max)</f>
        <v>2029</v>
      </c>
      <c r="K372" s="193">
        <f t="shared" si="129"/>
        <v>48206</v>
      </c>
      <c r="L372" s="143">
        <f>IF(t&lt;Tvie,1-EXP((T0-t)*PertePVj)+'2030'!Pspv,1-EXP((T0-t)*PertePVj)+Pspv)</f>
        <v>4.918066814060662E-2</v>
      </c>
      <c r="M372" s="836"/>
      <c r="N372" s="836"/>
      <c r="O372" s="48">
        <f>IF(t&lt;Tnet,'2030'!Resal+('2030'!Salim-'2030'!Resal)*(1-EXP(('2030'!Tnet-t)/('2030'!Tau_j))),Resal+(Salim-Resal)*(1-EXP((Tnet-t)/(Tau_j))))*Salcycl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9.2764245942917479E-3</v>
      </c>
      <c r="Q372" s="301">
        <f t="shared" si="130"/>
        <v>0.5</v>
      </c>
      <c r="R372" s="173">
        <f t="shared" si="131"/>
        <v>0.4688284843232744</v>
      </c>
      <c r="S372" s="802">
        <f t="shared" si="132"/>
        <v>1</v>
      </c>
      <c r="T372" s="172">
        <f t="shared" si="133"/>
        <v>7</v>
      </c>
      <c r="U372" s="247">
        <f t="shared" si="134"/>
        <v>1.4688284843232744</v>
      </c>
      <c r="V372" s="378">
        <f t="shared" si="135"/>
        <v>15.747698106042471</v>
      </c>
      <c r="W372" s="397">
        <f t="shared" si="136"/>
        <v>15.682997650439987</v>
      </c>
      <c r="X372" s="153">
        <f t="shared" si="137"/>
        <v>48206</v>
      </c>
      <c r="Y372" s="380">
        <f t="shared" si="138"/>
        <v>14.803705659931715</v>
      </c>
      <c r="Z372" s="380">
        <f t="shared" si="139"/>
        <v>15.569420145236254</v>
      </c>
      <c r="AA372" s="381">
        <f t="shared" si="140"/>
        <v>16.337236604247714</v>
      </c>
      <c r="AB372" s="193">
        <f t="shared" si="141"/>
        <v>48206</v>
      </c>
      <c r="AC372" s="119">
        <f>IF(OR(t&lt;Tnet,NoTnet),'2030'!Resal_s+('2030'!Salim-'2030'!Resal_s)*(1-EXP(('2030'!Tnet_s-t)/'2030'!Tau_j)),Resal_s+(Salim-Resal_s)*(1-EXP((Tnet_s-t)/Tau_j)))*Salcycl</f>
        <v>4.6997939591070459E-2</v>
      </c>
      <c r="AD372" s="227">
        <f>(INDEX(Models!$BJ372:$BT372,,AH372)*(1-AF372)+INDEX(Models!$BJ372:$BT372,,AH372+1)*AF372-ERP_i)*AE372*Ramure*Pc/MaxiM</f>
        <v>3.4203125693455391E-2</v>
      </c>
      <c r="AE372" s="301">
        <f t="shared" si="142"/>
        <v>0.5</v>
      </c>
      <c r="AF372" s="173">
        <f t="shared" si="143"/>
        <v>0.99381605069725154</v>
      </c>
      <c r="AG372" s="802">
        <f t="shared" si="149"/>
        <v>4</v>
      </c>
      <c r="AH372" s="172">
        <f t="shared" si="144"/>
        <v>10</v>
      </c>
      <c r="AI372" s="221">
        <f t="shared" si="145"/>
        <v>4.9938160506972515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48207</v>
      </c>
      <c r="B373" s="406">
        <f>'2030'!Wh/'2030'!Env_an*'2031'!Env_an</f>
        <v>8.6967288433905523</v>
      </c>
      <c r="C373" s="832"/>
      <c r="D373" s="388">
        <f t="shared" si="127"/>
        <v>9.1466881294132669</v>
      </c>
      <c r="E373" s="380">
        <f t="shared" si="150"/>
        <v>9.2925983745781373</v>
      </c>
      <c r="F373" s="380">
        <f t="shared" si="128"/>
        <v>9.3233930346151901</v>
      </c>
      <c r="G373" s="110">
        <f t="shared" si="151"/>
        <v>0.5474150312063305</v>
      </c>
      <c r="H373" s="409" t="b">
        <f>Wh_hp&gt;='2030'!Maxi_hp</f>
        <v>0</v>
      </c>
      <c r="I373" s="385">
        <f>IF(H373,Wh_hp,'2030'!Maxi_hp)</f>
        <v>9.3617927334027389</v>
      </c>
      <c r="J373" s="85">
        <f>IF(H373,An,'2030'!An_max)</f>
        <v>2029</v>
      </c>
      <c r="K373" s="193">
        <f t="shared" si="129"/>
        <v>48207</v>
      </c>
      <c r="L373" s="143">
        <f>IF(t&lt;Tvie,1-EXP((T0-t)*PertePVj)+'2030'!Pspv,1-EXP((T0-t)*PertePVj)+Pspv)</f>
        <v>4.9193684058798093E-2</v>
      </c>
      <c r="M373" s="836"/>
      <c r="N373" s="836"/>
      <c r="O373" s="48">
        <f>IF(t&lt;Tnet,'2030'!Resal+('2030'!Salim-'2030'!Resal)*(1-EXP(('2030'!Tnet-t)/('2030'!Tau_j))),Resal+(Salim-Resal)*(1-EXP((Tnet-t)/(Tau_j))))*Salcycl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9.2229438358342498E-3</v>
      </c>
      <c r="Q373" s="301">
        <f t="shared" si="130"/>
        <v>0.5</v>
      </c>
      <c r="R373" s="173">
        <f t="shared" si="131"/>
        <v>0.4688284843232744</v>
      </c>
      <c r="S373" s="802">
        <f t="shared" si="132"/>
        <v>1</v>
      </c>
      <c r="T373" s="172">
        <f t="shared" si="133"/>
        <v>7</v>
      </c>
      <c r="U373" s="247">
        <f t="shared" si="134"/>
        <v>1.4688284843232744</v>
      </c>
      <c r="V373" s="378">
        <f t="shared" si="135"/>
        <v>15.792539694307587</v>
      </c>
      <c r="W373" s="397">
        <f t="shared" si="136"/>
        <v>8.6967288433905523</v>
      </c>
      <c r="X373" s="153">
        <f t="shared" si="137"/>
        <v>48207</v>
      </c>
      <c r="Y373" s="380">
        <f t="shared" si="138"/>
        <v>8.3447031075792868</v>
      </c>
      <c r="Z373" s="380">
        <f t="shared" si="139"/>
        <v>8.7764489651279565</v>
      </c>
      <c r="AA373" s="381">
        <f t="shared" si="140"/>
        <v>9.2095254348102742</v>
      </c>
      <c r="AB373" s="193">
        <f t="shared" si="141"/>
        <v>48207</v>
      </c>
      <c r="AC373" s="119">
        <f>IF(OR(t&lt;Tnet,NoTnet),'2030'!Resal_s+('2030'!Salim-'2030'!Resal_s)*(1-EXP(('2030'!Tnet_s-t)/'2030'!Tau_j)),Resal_s+(Salim-Resal_s)*(1-EXP((Tnet_s-t)/Tau_j)))*Salcycl</f>
        <v>4.7024841046138015E-2</v>
      </c>
      <c r="AD373" s="227">
        <f>(INDEX(Models!$BJ373:$BT373,,AH373)*(1-AF373)+INDEX(Models!$BJ373:$BT373,,AH373+1)*AF373-ERP_i)*AE373*Ramure*Pc/MaxiM</f>
        <v>3.4103135948194307E-2</v>
      </c>
      <c r="AE373" s="301">
        <f t="shared" si="142"/>
        <v>0.5</v>
      </c>
      <c r="AF373" s="173">
        <f t="shared" si="143"/>
        <v>0.99381605069725154</v>
      </c>
      <c r="AG373" s="802">
        <f t="shared" si="149"/>
        <v>4</v>
      </c>
      <c r="AH373" s="172">
        <f t="shared" si="144"/>
        <v>10</v>
      </c>
      <c r="AI373" s="221">
        <f t="shared" si="145"/>
        <v>4.9938160506972515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48208</v>
      </c>
      <c r="B374" s="406">
        <f>'2030'!Wh/'2030'!Env_an*'2031'!Env_an</f>
        <v>14.533798110561181</v>
      </c>
      <c r="C374" s="832"/>
      <c r="D374" s="388">
        <f t="shared" si="127"/>
        <v>15.285970260292995</v>
      </c>
      <c r="E374" s="380">
        <f t="shared" si="150"/>
        <v>15.530726898255137</v>
      </c>
      <c r="F374" s="380">
        <f t="shared" si="128"/>
        <v>15.656920121178011</v>
      </c>
      <c r="G374" s="110">
        <f t="shared" si="151"/>
        <v>0.91547578687991116</v>
      </c>
      <c r="H374" s="409" t="b">
        <f>Wh_hp&gt;='2030'!Maxi_hp</f>
        <v>0</v>
      </c>
      <c r="I374" s="385">
        <f>IF(H374,Wh_hp,'2030'!Maxi_hp)</f>
        <v>15.668829921528692</v>
      </c>
      <c r="J374" s="85">
        <f>IF(H374,An,'2030'!An_max)</f>
        <v>2029</v>
      </c>
      <c r="K374" s="193">
        <f t="shared" si="129"/>
        <v>48208</v>
      </c>
      <c r="L374" s="143">
        <f>IF(t&lt;Tvie,1-EXP((T0-t)*PertePVj)+'2030'!Pspv,1-EXP((T0-t)*PertePVj)+Pspv)</f>
        <v>4.9206699798812537E-2</v>
      </c>
      <c r="M374" s="836"/>
      <c r="N374" s="836"/>
      <c r="O374" s="48">
        <f>IF(t&lt;Tnet,'2030'!Resal+('2030'!Salim-'2030'!Resal)*(1-EXP(('2030'!Tnet-t)/('2030'!Tau_j))),Resal+(Salim-Resal)*(1-EXP((Tnet-t)/(Tau_j))))*Salcycl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9.1517784749694277E-3</v>
      </c>
      <c r="Q374" s="301">
        <f t="shared" si="130"/>
        <v>0.5</v>
      </c>
      <c r="R374" s="173">
        <f t="shared" si="131"/>
        <v>0.4688284843232744</v>
      </c>
      <c r="S374" s="802">
        <f t="shared" si="132"/>
        <v>1</v>
      </c>
      <c r="T374" s="172">
        <f t="shared" si="133"/>
        <v>7</v>
      </c>
      <c r="U374" s="247">
        <f t="shared" si="134"/>
        <v>1.4688284843232744</v>
      </c>
      <c r="V374" s="378">
        <f t="shared" si="135"/>
        <v>15.858202091167497</v>
      </c>
      <c r="W374" s="397">
        <f t="shared" si="136"/>
        <v>14.533798110561181</v>
      </c>
      <c r="X374" s="153">
        <f t="shared" si="137"/>
        <v>48208</v>
      </c>
      <c r="Y374" s="380">
        <f t="shared" si="138"/>
        <v>13.761659172329205</v>
      </c>
      <c r="Z374" s="380">
        <f t="shared" si="139"/>
        <v>14.473870576724977</v>
      </c>
      <c r="AA374" s="381">
        <f t="shared" si="140"/>
        <v>15.188520178652951</v>
      </c>
      <c r="AB374" s="193">
        <f t="shared" si="141"/>
        <v>48208</v>
      </c>
      <c r="AC374" s="119">
        <f>IF(OR(t&lt;Tnet,NoTnet),'2030'!Resal_s+('2030'!Salim-'2030'!Resal_s)*(1-EXP(('2030'!Tnet_s-t)/'2030'!Tau_j)),Resal_s+(Salim-Resal_s)*(1-EXP((Tnet_s-t)/Tau_j)))*Salcycl</f>
        <v>4.7051957236254834E-2</v>
      </c>
      <c r="AD374" s="227">
        <f>(INDEX(Models!$BJ374:$BT374,,AH374)*(1-AF374)+INDEX(Models!$BJ374:$BT374,,AH374+1)*AF374-ERP_i)*AE374*Ramure*Pc/MaxiM</f>
        <v>3.3969276736022985E-2</v>
      </c>
      <c r="AE374" s="301">
        <f t="shared" si="142"/>
        <v>0.5</v>
      </c>
      <c r="AF374" s="173">
        <f t="shared" si="143"/>
        <v>0.99381605069725154</v>
      </c>
      <c r="AG374" s="802">
        <f t="shared" si="149"/>
        <v>4</v>
      </c>
      <c r="AH374" s="172">
        <f t="shared" si="144"/>
        <v>10</v>
      </c>
      <c r="AI374" s="221">
        <f t="shared" si="145"/>
        <v>4.9938160506972515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48209</v>
      </c>
      <c r="B375" s="406">
        <f>'2030'!Wh/'2030'!Env_an*'2031'!Env_an</f>
        <v>6.254948770219273</v>
      </c>
      <c r="C375" s="832"/>
      <c r="D375" s="388">
        <f t="shared" si="127"/>
        <v>6.5787531265353456</v>
      </c>
      <c r="E375" s="380">
        <f t="shared" si="150"/>
        <v>6.6844833559552086</v>
      </c>
      <c r="F375" s="380">
        <f t="shared" si="128"/>
        <v>6.6924909683076086</v>
      </c>
      <c r="G375" s="110">
        <f t="shared" si="151"/>
        <v>0.38923853380424028</v>
      </c>
      <c r="H375" s="409" t="b">
        <f>Wh_hp&gt;='2030'!Maxi_hp</f>
        <v>0</v>
      </c>
      <c r="I375" s="385">
        <f>IF(H375,Wh_hp,'2030'!Maxi_hp)</f>
        <v>6.7291202495307125</v>
      </c>
      <c r="J375" s="85">
        <f>IF(H375,An,'2030'!An_max)</f>
        <v>2029</v>
      </c>
      <c r="K375" s="193">
        <f t="shared" si="129"/>
        <v>48209</v>
      </c>
      <c r="L375" s="143">
        <f>IF(t&lt;Tvie,1-EXP((T0-t)*PertePVj)+'2030'!Pspv,1-EXP((T0-t)*PertePVj)+Pspv)</f>
        <v>4.9219715360652505E-2</v>
      </c>
      <c r="M375" s="836"/>
      <c r="N375" s="836"/>
      <c r="O375" s="48">
        <f>IF(t&lt;Tnet,'2030'!Resal+('2030'!Salim-'2030'!Resal)*(1-EXP(('2030'!Tnet-t)/('2030'!Tau_j))),Resal+(Salim-Resal)*(1-EXP((Tnet-t)/(Tau_j))))*Salcycl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9.0711514914972487E-3</v>
      </c>
      <c r="Q375" s="301">
        <f t="shared" si="130"/>
        <v>0.5</v>
      </c>
      <c r="R375" s="173">
        <f t="shared" si="131"/>
        <v>0.4688284843232744</v>
      </c>
      <c r="S375" s="802">
        <f t="shared" si="132"/>
        <v>1</v>
      </c>
      <c r="T375" s="172">
        <f t="shared" si="133"/>
        <v>7</v>
      </c>
      <c r="U375" s="247">
        <f t="shared" si="134"/>
        <v>1.4688284843232744</v>
      </c>
      <c r="V375" s="378">
        <f t="shared" si="135"/>
        <v>15.943011105809942</v>
      </c>
      <c r="W375" s="397">
        <f t="shared" si="136"/>
        <v>6.254948770219273</v>
      </c>
      <c r="X375" s="153">
        <f t="shared" si="137"/>
        <v>48209</v>
      </c>
      <c r="Y375" s="380">
        <f t="shared" si="138"/>
        <v>6.0364868905618305</v>
      </c>
      <c r="Z375" s="380">
        <f t="shared" si="139"/>
        <v>6.3489819762634294</v>
      </c>
      <c r="AA375" s="381">
        <f t="shared" si="140"/>
        <v>6.6626548782050063</v>
      </c>
      <c r="AB375" s="193">
        <f t="shared" si="141"/>
        <v>48209</v>
      </c>
      <c r="AC375" s="119">
        <f>IF(OR(t&lt;Tnet,NoTnet),'2030'!Resal_s+('2030'!Salim-'2030'!Resal_s)*(1-EXP(('2030'!Tnet_s-t)/'2030'!Tau_j)),Resal_s+(Salim-Resal_s)*(1-EXP((Tnet_s-t)/Tau_j)))*Salcycl</f>
        <v>4.7079266099714918E-2</v>
      </c>
      <c r="AD375" s="227">
        <f>(INDEX(Models!$BJ375:$BT375,,AH375)*(1-AF375)+INDEX(Models!$BJ375:$BT375,,AH375+1)*AF375-ERP_i)*AE375*Ramure*Pc/MaxiM</f>
        <v>3.3798800606717902E-2</v>
      </c>
      <c r="AE375" s="301">
        <f t="shared" si="142"/>
        <v>0.5</v>
      </c>
      <c r="AF375" s="173">
        <f t="shared" si="143"/>
        <v>0.99381605069725154</v>
      </c>
      <c r="AG375" s="802">
        <f t="shared" si="149"/>
        <v>4</v>
      </c>
      <c r="AH375" s="172">
        <f t="shared" si="144"/>
        <v>10</v>
      </c>
      <c r="AI375" s="221">
        <f t="shared" si="145"/>
        <v>4.9938160506972515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48210</v>
      </c>
      <c r="B376" s="406">
        <f>'2030'!Wh/'2030'!Env_an*'2031'!Env_an</f>
        <v>12.81155702811834</v>
      </c>
      <c r="C376" s="832"/>
      <c r="D376" s="388">
        <f t="shared" si="127"/>
        <v>13.47496642174907</v>
      </c>
      <c r="E376" s="380">
        <f t="shared" si="150"/>
        <v>13.692332525617136</v>
      </c>
      <c r="F376" s="380">
        <f t="shared" si="128"/>
        <v>13.780508456971114</v>
      </c>
      <c r="G376" s="110">
        <f t="shared" si="151"/>
        <v>0.79638022125725116</v>
      </c>
      <c r="H376" s="409" t="b">
        <f>Wh_hp&gt;='2030'!Maxi_hp</f>
        <v>0</v>
      </c>
      <c r="I376" s="385">
        <f>IF(H376,Wh_hp,'2030'!Maxi_hp)</f>
        <v>13.805321805879533</v>
      </c>
      <c r="J376" s="85">
        <f>IF(H376,An,'2030'!An_max)</f>
        <v>2029</v>
      </c>
      <c r="K376" s="193">
        <f t="shared" si="129"/>
        <v>48210</v>
      </c>
      <c r="L376" s="143">
        <f>IF(t&lt;Tvie,1-EXP((T0-t)*PertePVj)+'2030'!Pspv,1-EXP((T0-t)*PertePVj)+Pspv)</f>
        <v>4.923273074432033E-2</v>
      </c>
      <c r="M376" s="836"/>
      <c r="N376" s="836"/>
      <c r="O376" s="48">
        <f>IF(t&lt;Tnet,'2030'!Resal+('2030'!Salim-'2030'!Resal)*(1-EXP(('2030'!Tnet-t)/('2030'!Tau_j))),Resal+(Salim-Resal)*(1-EXP((Tnet-t)/(Tau_j))))*Salcycl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8.9857266250981827E-3</v>
      </c>
      <c r="Q376" s="301">
        <f t="shared" si="130"/>
        <v>0.5</v>
      </c>
      <c r="R376" s="173">
        <f t="shared" si="131"/>
        <v>0.4688284843232744</v>
      </c>
      <c r="S376" s="802">
        <f t="shared" si="132"/>
        <v>1</v>
      </c>
      <c r="T376" s="172">
        <f t="shared" si="133"/>
        <v>7</v>
      </c>
      <c r="U376" s="247">
        <f t="shared" si="134"/>
        <v>1.4688284843232744</v>
      </c>
      <c r="V376" s="378">
        <f t="shared" si="135"/>
        <v>16.045348805198763</v>
      </c>
      <c r="W376" s="397">
        <f t="shared" si="136"/>
        <v>12.81155702811834</v>
      </c>
      <c r="X376" s="153">
        <f t="shared" si="137"/>
        <v>48210</v>
      </c>
      <c r="Y376" s="380">
        <f t="shared" si="138"/>
        <v>12.186213314556007</v>
      </c>
      <c r="Z376" s="380">
        <f t="shared" si="139"/>
        <v>12.81724109423344</v>
      </c>
      <c r="AA376" s="381">
        <f t="shared" si="140"/>
        <v>13.450867714643332</v>
      </c>
      <c r="AB376" s="193">
        <f t="shared" si="141"/>
        <v>48210</v>
      </c>
      <c r="AC376" s="119">
        <f>IF(OR(t&lt;Tnet,NoTnet),'2030'!Resal_s+('2030'!Salim-'2030'!Resal_s)*(1-EXP(('2030'!Tnet_s-t)/'2030'!Tau_j)),Resal_s+(Salim-Resal_s)*(1-EXP((Tnet_s-t)/Tau_j)))*Salcycl</f>
        <v>4.7106746854709704E-2</v>
      </c>
      <c r="AD376" s="227">
        <f>(INDEX(Models!$BJ376:$BT376,,AH376)*(1-AF376)+INDEX(Models!$BJ376:$BT376,,AH376+1)*AF376-ERP_i)*AE376*Ramure*Pc/MaxiM</f>
        <v>3.3592631793826176E-2</v>
      </c>
      <c r="AE376" s="301">
        <f t="shared" si="142"/>
        <v>0.5</v>
      </c>
      <c r="AF376" s="173">
        <f t="shared" si="143"/>
        <v>0.99381605069725154</v>
      </c>
      <c r="AG376" s="802">
        <f t="shared" si="149"/>
        <v>4</v>
      </c>
      <c r="AH376" s="172">
        <f t="shared" si="144"/>
        <v>10</v>
      </c>
      <c r="AI376" s="221">
        <f t="shared" si="145"/>
        <v>4.9938160506972515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48211</v>
      </c>
      <c r="B377" s="406">
        <f>'2030'!Wh/'2030'!Env_an*'2031'!Env_an</f>
        <v>9.7616222641105281</v>
      </c>
      <c r="C377" s="832"/>
      <c r="D377" s="388">
        <f t="shared" si="127"/>
        <v>10.267240164875773</v>
      </c>
      <c r="E377" s="380">
        <f t="shared" si="150"/>
        <v>10.433474487738756</v>
      </c>
      <c r="F377" s="380">
        <f t="shared" si="128"/>
        <v>10.473932384050377</v>
      </c>
      <c r="G377" s="110">
        <f t="shared" si="151"/>
        <v>0.60087235349869261</v>
      </c>
      <c r="H377" s="409" t="b">
        <f>Wh_hp&gt;='2030'!Maxi_hp</f>
        <v>0</v>
      </c>
      <c r="I377" s="385">
        <f>IF(H377,Wh_hp,'2030'!Maxi_hp)</f>
        <v>10.510587532857029</v>
      </c>
      <c r="J377" s="85">
        <f>IF(H377,An,'2030'!An_max)</f>
        <v>2029</v>
      </c>
      <c r="K377" s="193">
        <f t="shared" si="129"/>
        <v>48211</v>
      </c>
      <c r="L377" s="143">
        <f>IF(t&lt;Tvie,1-EXP((T0-t)*PertePVj)+'2030'!Pspv,1-EXP((T0-t)*PertePVj)+Pspv)</f>
        <v>4.9245745949818454E-2</v>
      </c>
      <c r="M377" s="836"/>
      <c r="N377" s="836"/>
      <c r="O377" s="48">
        <f>IF(t&lt;Tnet,'2030'!Resal+('2030'!Salim-'2030'!Resal)*(1-EXP(('2030'!Tnet-t)/('2030'!Tau_j))),Resal+(Salim-Resal)*(1-EXP((Tnet-t)/(Tau_j))))*Salcycl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8.8966441190189826E-3</v>
      </c>
      <c r="Q377" s="301">
        <f t="shared" si="130"/>
        <v>0.5</v>
      </c>
      <c r="R377" s="173">
        <f t="shared" si="131"/>
        <v>0.4688284843232744</v>
      </c>
      <c r="S377" s="802">
        <f t="shared" si="132"/>
        <v>1</v>
      </c>
      <c r="T377" s="172">
        <f t="shared" si="133"/>
        <v>7</v>
      </c>
      <c r="U377" s="247">
        <f t="shared" si="134"/>
        <v>1.4688284843232744</v>
      </c>
      <c r="V377" s="378">
        <f t="shared" si="135"/>
        <v>16.163653429568619</v>
      </c>
      <c r="W377" s="397">
        <f t="shared" si="136"/>
        <v>9.7616222641105281</v>
      </c>
      <c r="X377" s="153">
        <f t="shared" si="137"/>
        <v>48211</v>
      </c>
      <c r="Y377" s="380">
        <f t="shared" si="138"/>
        <v>9.3513487784672531</v>
      </c>
      <c r="Z377" s="380">
        <f t="shared" si="139"/>
        <v>9.8357159472395921</v>
      </c>
      <c r="AA377" s="381">
        <f t="shared" si="140"/>
        <v>10.322248742566371</v>
      </c>
      <c r="AB377" s="193">
        <f t="shared" si="141"/>
        <v>48211</v>
      </c>
      <c r="AC377" s="119">
        <f>IF(OR(t&lt;Tnet,NoTnet),'2030'!Resal_s+('2030'!Salim-'2030'!Resal_s)*(1-EXP(('2030'!Tnet_s-t)/'2030'!Tau_j)),Resal_s+(Salim-Resal_s)*(1-EXP((Tnet_s-t)/Tau_j)))*Salcycl</f>
        <v>4.7134380062015035E-2</v>
      </c>
      <c r="AD377" s="227">
        <f>(INDEX(Models!$BJ377:$BT377,,AH377)*(1-AF377)+INDEX(Models!$BJ377:$BT377,,AH377+1)*AF377-ERP_i)*AE377*Ramure*Pc/MaxiM</f>
        <v>3.3355055501797917E-2</v>
      </c>
      <c r="AE377" s="301">
        <f t="shared" si="142"/>
        <v>0.5</v>
      </c>
      <c r="AF377" s="173">
        <f t="shared" si="143"/>
        <v>0.99381605069725154</v>
      </c>
      <c r="AG377" s="802">
        <f t="shared" si="149"/>
        <v>4</v>
      </c>
      <c r="AH377" s="172">
        <f t="shared" si="144"/>
        <v>10</v>
      </c>
      <c r="AI377" s="221">
        <f t="shared" si="145"/>
        <v>4.9938160506972515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48212</v>
      </c>
      <c r="B378" s="406">
        <f>'2030'!Wh/'2030'!Env_an*'2031'!Env_an</f>
        <v>11.696004166508159</v>
      </c>
      <c r="C378" s="832"/>
      <c r="D378" s="388">
        <f t="shared" si="127"/>
        <v>12.301984689892103</v>
      </c>
      <c r="E378" s="380">
        <f t="shared" si="150"/>
        <v>12.501896845307051</v>
      </c>
      <c r="F378" s="380">
        <f t="shared" si="128"/>
        <v>12.567930689873783</v>
      </c>
      <c r="G378" s="110">
        <f t="shared" si="151"/>
        <v>0.71514445272089466</v>
      </c>
      <c r="H378" s="409" t="b">
        <f>Wh_hp&gt;='2030'!Maxi_hp</f>
        <v>0</v>
      </c>
      <c r="I378" s="385">
        <f>IF(H378,Wh_hp,'2030'!Maxi_hp)</f>
        <v>12.598957546876406</v>
      </c>
      <c r="J378" s="85">
        <f>IF(H378,An,'2030'!An_max)</f>
        <v>2029</v>
      </c>
      <c r="K378" s="193">
        <f t="shared" si="129"/>
        <v>48212</v>
      </c>
      <c r="L378" s="143">
        <f>IF(t&lt;Tvie,1-EXP((T0-t)*PertePVj)+'2030'!Pspv,1-EXP((T0-t)*PertePVj)+Pspv)</f>
        <v>4.9258760977149318E-2</v>
      </c>
      <c r="M378" s="836"/>
      <c r="N378" s="836"/>
      <c r="O378" s="48">
        <f>IF(t&lt;Tnet,'2030'!Resal+('2030'!Salim-'2030'!Resal)*(1-EXP(('2030'!Tnet-t)/('2030'!Tau_j))),Resal+(Salim-Resal)*(1-EXP((Tnet-t)/(Tau_j))))*Salcycl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8.8050075692310444E-3</v>
      </c>
      <c r="Q378" s="301">
        <f t="shared" si="130"/>
        <v>0.5</v>
      </c>
      <c r="R378" s="173">
        <f t="shared" si="131"/>
        <v>0.4688284843232744</v>
      </c>
      <c r="S378" s="802">
        <f t="shared" si="132"/>
        <v>1</v>
      </c>
      <c r="T378" s="172">
        <f t="shared" si="133"/>
        <v>7</v>
      </c>
      <c r="U378" s="247">
        <f t="shared" si="134"/>
        <v>1.4688284843232744</v>
      </c>
      <c r="V378" s="378">
        <f t="shared" si="135"/>
        <v>16.29636357162908</v>
      </c>
      <c r="W378" s="397">
        <f t="shared" si="136"/>
        <v>11.696004166508159</v>
      </c>
      <c r="X378" s="153">
        <f t="shared" si="137"/>
        <v>48212</v>
      </c>
      <c r="Y378" s="380">
        <f t="shared" si="138"/>
        <v>11.160504517520915</v>
      </c>
      <c r="Z378" s="380">
        <f t="shared" si="139"/>
        <v>11.738740321174474</v>
      </c>
      <c r="AA378" s="381">
        <f t="shared" si="140"/>
        <v>12.319766991325592</v>
      </c>
      <c r="AB378" s="193">
        <f t="shared" si="141"/>
        <v>48212</v>
      </c>
      <c r="AC378" s="119">
        <f>IF(OR(t&lt;Tnet,NoTnet),'2030'!Resal_s+('2030'!Salim-'2030'!Resal_s)*(1-EXP(('2030'!Tnet_s-t)/'2030'!Tau_j)),Resal_s+(Salim-Resal_s)*(1-EXP((Tnet_s-t)/Tau_j)))*Salcycl</f>
        <v>4.7162147673752368E-2</v>
      </c>
      <c r="AD378" s="227">
        <f>(INDEX(Models!$BJ378:$BT378,,AH378)*(1-AF378)+INDEX(Models!$BJ378:$BT378,,AH378+1)*AF378-ERP_i)*AE378*Ramure*Pc/MaxiM</f>
        <v>3.3090353264483723E-2</v>
      </c>
      <c r="AE378" s="301">
        <f t="shared" si="142"/>
        <v>0.5</v>
      </c>
      <c r="AF378" s="173">
        <f t="shared" si="143"/>
        <v>0.99381605069725154</v>
      </c>
      <c r="AG378" s="802">
        <f t="shared" si="149"/>
        <v>4</v>
      </c>
      <c r="AH378" s="172">
        <f t="shared" si="144"/>
        <v>10</v>
      </c>
      <c r="AI378" s="221">
        <f t="shared" si="145"/>
        <v>4.9938160506972515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48213</v>
      </c>
      <c r="B379" s="406">
        <f>'2030'!Wh/'2030'!Env_an*'2031'!Env_an</f>
        <v>10.635260253831417</v>
      </c>
      <c r="C379" s="832"/>
      <c r="D379" s="388">
        <f t="shared" si="127"/>
        <v>11.186435811427542</v>
      </c>
      <c r="E379" s="380">
        <f t="shared" si="150"/>
        <v>11.368887081673552</v>
      </c>
      <c r="F379" s="380">
        <f t="shared" si="128"/>
        <v>11.418174606357624</v>
      </c>
      <c r="G379" s="110">
        <f t="shared" si="151"/>
        <v>0.64398280483169201</v>
      </c>
      <c r="H379" s="409" t="b">
        <f>Wh_hp&gt;='2030'!Maxi_hp</f>
        <v>0</v>
      </c>
      <c r="I379" s="385">
        <f>IF(H379,Wh_hp,'2030'!Maxi_hp)</f>
        <v>11.453040856870238</v>
      </c>
      <c r="J379" s="85">
        <f>IF(H379,An,'2030'!An_max)</f>
        <v>2029</v>
      </c>
      <c r="K379" s="193">
        <f t="shared" si="129"/>
        <v>48213</v>
      </c>
      <c r="L379" s="143">
        <f>IF(t&lt;Tvie,1-EXP((T0-t)*PertePVj)+'2030'!Pspv,1-EXP((T0-t)*PertePVj)+Pspv)</f>
        <v>4.9271775826315367E-2</v>
      </c>
      <c r="M379" s="836"/>
      <c r="N379" s="836"/>
      <c r="O379" s="48">
        <f>IF(t&lt;Tnet,'2030'!Resal+('2030'!Salim-'2030'!Resal)*(1-EXP(('2030'!Tnet-t)/('2030'!Tau_j))),Resal+(Salim-Resal)*(1-EXP((Tnet-t)/(Tau_j))))*Salcycl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8.7118719277282444E-3</v>
      </c>
      <c r="Q379" s="302">
        <f t="shared" si="130"/>
        <v>0.5</v>
      </c>
      <c r="R379" s="173">
        <f t="shared" si="131"/>
        <v>0.4688284843232744</v>
      </c>
      <c r="S379" s="802">
        <f t="shared" si="132"/>
        <v>1</v>
      </c>
      <c r="T379" s="172">
        <f t="shared" si="133"/>
        <v>7</v>
      </c>
      <c r="U379" s="303">
        <f t="shared" si="134"/>
        <v>1.4688284843232744</v>
      </c>
      <c r="V379" s="378">
        <f t="shared" si="135"/>
        <v>16.441918174850468</v>
      </c>
      <c r="W379" s="397">
        <f t="shared" si="136"/>
        <v>10.635260253831417</v>
      </c>
      <c r="X379" s="153">
        <f t="shared" si="137"/>
        <v>48213</v>
      </c>
      <c r="Y379" s="380">
        <f t="shared" si="138"/>
        <v>10.175193814464009</v>
      </c>
      <c r="Z379" s="380">
        <f t="shared" si="139"/>
        <v>10.702526290631239</v>
      </c>
      <c r="AA379" s="381">
        <f t="shared" si="140"/>
        <v>11.232592712160059</v>
      </c>
      <c r="AB379" s="193">
        <f t="shared" si="141"/>
        <v>48213</v>
      </c>
      <c r="AC379" s="119">
        <f>IF(OR(t&lt;Tnet,NoTnet),'2030'!Resal_s+('2030'!Salim-'2030'!Resal_s)*(1-EXP(('2030'!Tnet_s-t)/'2030'!Tau_j)),Resal_s+(Salim-Resal_s)*(1-EXP((Tnet_s-t)/Tau_j)))*Salcycl</f>
        <v>4.7190033068232572E-2</v>
      </c>
      <c r="AD379" s="227">
        <f>(INDEX(Models!$BJ379:$BT379,,AH379)*(1-AF379)+INDEX(Models!$BJ379:$BT379,,AH379+1)*AF379-ERP_i)*AE379*Ramure*Pc/MaxiM</f>
        <v>3.2802736690829899E-2</v>
      </c>
      <c r="AE379" s="302">
        <f t="shared" si="142"/>
        <v>0.5</v>
      </c>
      <c r="AF379" s="173">
        <f t="shared" si="143"/>
        <v>0.99381605069725154</v>
      </c>
      <c r="AG379" s="802">
        <f t="shared" si="149"/>
        <v>4</v>
      </c>
      <c r="AH379" s="172">
        <f t="shared" si="144"/>
        <v>10</v>
      </c>
      <c r="AI379" s="218">
        <f t="shared" si="145"/>
        <v>4.9938160506972515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601"/>
      <c r="B380" s="796"/>
      <c r="C380" s="833"/>
      <c r="D380" s="602"/>
      <c r="E380" s="382"/>
      <c r="F380" s="382"/>
      <c r="G380" s="603"/>
      <c r="H380" s="596" t="b">
        <f>Wh_hp&gt;='2030'!Maxi_hp</f>
        <v>0</v>
      </c>
      <c r="I380" s="597">
        <f>IF(H380,Wh_hp,'2030'!Maxi_hp)</f>
        <v>12.79301018817635</v>
      </c>
      <c r="J380" s="147">
        <f>IF(H380,An,'2030'!An_max)</f>
        <v>2024</v>
      </c>
      <c r="K380" s="230"/>
      <c r="L380" s="604"/>
      <c r="M380" s="837"/>
      <c r="N380" s="837"/>
      <c r="O380" s="605"/>
      <c r="P380" s="318"/>
      <c r="Q380" s="225"/>
      <c r="R380" s="225"/>
      <c r="S380" s="225"/>
      <c r="T380" s="225"/>
      <c r="U380" s="319"/>
      <c r="V380" s="392">
        <f>(V379+V15)/2</f>
        <v>16.433777240404908</v>
      </c>
      <c r="W380" s="795"/>
      <c r="X380" s="606"/>
      <c r="Y380" s="382"/>
      <c r="Z380" s="382"/>
      <c r="AA380" s="383"/>
      <c r="AB380" s="230"/>
      <c r="AC380" s="607"/>
      <c r="AD380" s="318"/>
      <c r="AE380" s="225"/>
      <c r="AF380" s="225"/>
      <c r="AG380" s="225"/>
      <c r="AH380" s="225"/>
      <c r="AI380" s="608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4.4522580627188391E-2</v>
      </c>
      <c r="M381" s="838"/>
      <c r="N381" s="838"/>
      <c r="O381" s="47">
        <f t="shared" si="152"/>
        <v>0</v>
      </c>
      <c r="P381" s="164">
        <f t="shared" si="152"/>
        <v>1.6221794778293161E-6</v>
      </c>
      <c r="Q381" s="306">
        <f t="shared" si="152"/>
        <v>0.5</v>
      </c>
      <c r="R381" s="307">
        <f t="shared" si="152"/>
        <v>5.3428111023623437E-4</v>
      </c>
      <c r="S381" s="802">
        <f t="shared" si="152"/>
        <v>0</v>
      </c>
      <c r="T381" s="172">
        <f t="shared" si="152"/>
        <v>6</v>
      </c>
      <c r="U381" s="248">
        <f>MIN(U15:U380)</f>
        <v>0.96882975735944543</v>
      </c>
      <c r="V381" s="57">
        <f>MIN(V15:V380)</f>
        <v>15.717540707305565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3.9357306110612951E-2</v>
      </c>
      <c r="AD381" s="164">
        <f t="shared" si="153"/>
        <v>9.9805817955683184E-6</v>
      </c>
      <c r="AE381" s="306">
        <f t="shared" si="153"/>
        <v>0.5</v>
      </c>
      <c r="AF381" s="307">
        <f t="shared" si="153"/>
        <v>0.49381732373342224</v>
      </c>
      <c r="AG381" s="802">
        <f t="shared" si="153"/>
        <v>4</v>
      </c>
      <c r="AH381" s="172">
        <f t="shared" si="153"/>
        <v>10</v>
      </c>
      <c r="AI381" s="222">
        <f>MIN(AI15:AI380)</f>
        <v>4.4938173237334222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29.95883622256672</v>
      </c>
      <c r="C382" s="370"/>
      <c r="D382" s="370">
        <f>AVERAGE(D15:D380)</f>
        <v>31.431751198218691</v>
      </c>
      <c r="E382" s="370">
        <f>AVERAGE(E15:E380)</f>
        <v>31.880829972361557</v>
      </c>
      <c r="F382" s="371">
        <f>AVERAGE(F15:F380)</f>
        <v>31.897778945221273</v>
      </c>
      <c r="G382" s="126">
        <f>AVERAGE(G15:G380)</f>
        <v>0.69541055176187183</v>
      </c>
      <c r="H382" s="94"/>
      <c r="I382" s="371">
        <f>AVERAGE(I15:I380)</f>
        <v>31.853099857046224</v>
      </c>
      <c r="J382" s="59">
        <f>AVERAGE(J15:J380)</f>
        <v>2027.6939890710382</v>
      </c>
      <c r="K382" s="196" t="s">
        <v>8</v>
      </c>
      <c r="L382" s="143">
        <f t="shared" ref="L382:V382" si="154">AVERAGE(L15:L380)</f>
        <v>4.689914486734497E-2</v>
      </c>
      <c r="M382" s="836"/>
      <c r="N382" s="836"/>
      <c r="O382" s="48">
        <f t="shared" si="154"/>
        <v>1.770857544060981E-2</v>
      </c>
      <c r="P382" s="165">
        <f t="shared" si="154"/>
        <v>2.0486587519824651E-3</v>
      </c>
      <c r="Q382" s="308">
        <f t="shared" si="154"/>
        <v>0.5</v>
      </c>
      <c r="R382" s="173">
        <f t="shared" si="154"/>
        <v>0.50898732696132865</v>
      </c>
      <c r="S382" s="802">
        <f t="shared" si="154"/>
        <v>0.73972602739726023</v>
      </c>
      <c r="T382" s="172">
        <f t="shared" si="154"/>
        <v>6.7397260273972606</v>
      </c>
      <c r="U382" s="247">
        <f>AVERAGE(U15:U380)</f>
        <v>1.2487133543585904</v>
      </c>
      <c r="V382" s="59">
        <f t="shared" si="154"/>
        <v>41.127088476136834</v>
      </c>
      <c r="X382" s="112" t="s">
        <v>8</v>
      </c>
      <c r="Y382" s="370">
        <f>AVERAGE(Y15:Y380)</f>
        <v>28.89750726434545</v>
      </c>
      <c r="Z382" s="370">
        <f>AVERAGE(Z15:Z380)</f>
        <v>30.318084277040235</v>
      </c>
      <c r="AA382" s="370">
        <f>AVERAGE(AA15:AA380)</f>
        <v>31.822721870202404</v>
      </c>
      <c r="AB382" s="196" t="s">
        <v>8</v>
      </c>
      <c r="AC382" s="48">
        <f t="shared" ref="AC382:AH382" si="155">AVERAGE(AC15:AC380)</f>
        <v>4.8879877654508047E-2</v>
      </c>
      <c r="AD382" s="165">
        <f t="shared" si="155"/>
        <v>8.7078125271614799E-3</v>
      </c>
      <c r="AE382" s="308">
        <f t="shared" si="155"/>
        <v>0.5</v>
      </c>
      <c r="AF382" s="173">
        <f t="shared" si="155"/>
        <v>0.77370092073256636</v>
      </c>
      <c r="AG382" s="802">
        <f t="shared" si="155"/>
        <v>4</v>
      </c>
      <c r="AH382" s="172">
        <f t="shared" si="155"/>
        <v>10</v>
      </c>
      <c r="AI382" s="221">
        <f>AVERAGE(AI15:AI380)</f>
        <v>4.7737009207325638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64.270803144515796</v>
      </c>
      <c r="C383" s="372"/>
      <c r="D383" s="372">
        <f>MAX(D15:D380)</f>
        <v>67.42974835285105</v>
      </c>
      <c r="E383" s="372">
        <f>MAX(E15:E380)</f>
        <v>67.72714788857445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60">
        <f>MAX(J15:J380)</f>
        <v>2031</v>
      </c>
      <c r="K383" s="196" t="s">
        <v>9</v>
      </c>
      <c r="L383" s="144">
        <f t="shared" ref="L383:T383" si="156">MAX(L15:L380)</f>
        <v>4.9271775826315367E-2</v>
      </c>
      <c r="M383" s="839"/>
      <c r="N383" s="839"/>
      <c r="O383" s="49">
        <f t="shared" si="156"/>
        <v>3.9299698189150085E-2</v>
      </c>
      <c r="P383" s="166">
        <f t="shared" si="156"/>
        <v>9.377357593427128E-3</v>
      </c>
      <c r="Q383" s="309">
        <f t="shared" si="156"/>
        <v>0.5</v>
      </c>
      <c r="R383" s="310">
        <f t="shared" si="156"/>
        <v>0.99931089658719596</v>
      </c>
      <c r="S383" s="803">
        <f t="shared" si="156"/>
        <v>1</v>
      </c>
      <c r="T383" s="229">
        <f t="shared" si="156"/>
        <v>7</v>
      </c>
      <c r="U383" s="249">
        <f>MAX(U15:U380)</f>
        <v>1.4688284843232744</v>
      </c>
      <c r="V383" s="60">
        <f>MAX(V15:V380)</f>
        <v>61.999432660477694</v>
      </c>
      <c r="X383" s="112" t="s">
        <v>9</v>
      </c>
      <c r="Y383" s="372">
        <f>MAX(Y15:Y380)</f>
        <v>61.778684664072195</v>
      </c>
      <c r="Z383" s="372">
        <f>MAX(Z15:Z380)</f>
        <v>64.815140882893814</v>
      </c>
      <c r="AA383" s="372">
        <f>MAX(AA15:AA380)</f>
        <v>67.726518988931545</v>
      </c>
      <c r="AB383" s="196" t="s">
        <v>9</v>
      </c>
      <c r="AC383" s="49">
        <f t="shared" ref="AC383:AH383" si="157">MAX(AC15:AC380)</f>
        <v>5.9534229743939765E-2</v>
      </c>
      <c r="AD383" s="166">
        <f t="shared" si="157"/>
        <v>3.4316887201545437E-2</v>
      </c>
      <c r="AE383" s="309">
        <f t="shared" si="157"/>
        <v>0.5</v>
      </c>
      <c r="AF383" s="310">
        <f t="shared" si="157"/>
        <v>0.99381605069725154</v>
      </c>
      <c r="AG383" s="803">
        <f t="shared" si="157"/>
        <v>4</v>
      </c>
      <c r="AH383" s="229">
        <f t="shared" si="157"/>
        <v>10</v>
      </c>
      <c r="AI383" s="223">
        <f>MAX(AI15:AI380)</f>
        <v>4.9938160506972515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O5" sqref="O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5" customWidth="1"/>
    <col min="14" max="14" width="9.140625" style="625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37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0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64" customWidth="1"/>
    <col min="50" max="51" width="6.85546875" style="15" customWidth="1"/>
    <col min="52" max="16384" width="11.42578125" style="15"/>
  </cols>
  <sheetData>
    <row r="1" spans="1:49" ht="21.75" thickBot="1" x14ac:dyDescent="0.4">
      <c r="A1" s="652" t="str">
        <f>"Calcul Masques  "&amp;Station</f>
        <v>Calcul Masques  S.D.I.S. Montgiscard</v>
      </c>
      <c r="B1" s="1190" t="str">
        <f>Station</f>
        <v>S.D.I.S. Montgiscard</v>
      </c>
      <c r="C1" s="1191"/>
      <c r="D1" s="1191"/>
      <c r="E1" s="1191"/>
      <c r="F1" s="1192"/>
      <c r="H1" s="22" t="s">
        <v>281</v>
      </c>
      <c r="I1" s="1211">
        <v>44618</v>
      </c>
      <c r="J1" s="1212"/>
      <c r="K1" s="876"/>
      <c r="M1" s="782" t="s">
        <v>171</v>
      </c>
      <c r="N1" s="654"/>
      <c r="O1" s="655"/>
      <c r="P1" s="655"/>
      <c r="Q1" s="654"/>
      <c r="R1" s="654"/>
      <c r="S1" s="656"/>
      <c r="T1" s="657"/>
      <c r="U1" s="656"/>
      <c r="V1" s="654"/>
      <c r="W1" s="656"/>
      <c r="X1" s="654"/>
      <c r="Y1" s="15"/>
      <c r="AA1" s="15"/>
    </row>
    <row r="2" spans="1:49" s="6" customFormat="1" ht="12.75" customHeight="1" thickBot="1" x14ac:dyDescent="0.25">
      <c r="A2" s="567"/>
      <c r="C2" s="658"/>
      <c r="D2" s="659"/>
      <c r="E2" s="1022"/>
      <c r="F2" s="1022"/>
      <c r="G2" s="26"/>
      <c r="H2" s="25"/>
      <c r="L2" s="8"/>
      <c r="P2" s="1114"/>
      <c r="Q2" s="559"/>
      <c r="R2" s="559"/>
      <c r="S2" s="1109"/>
      <c r="T2" s="1109"/>
      <c r="U2" s="559"/>
      <c r="V2" s="110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</row>
    <row r="3" spans="1:49" ht="16.5" thickBot="1" x14ac:dyDescent="0.3">
      <c r="A3" s="660" t="s">
        <v>309</v>
      </c>
      <c r="B3" s="661"/>
      <c r="C3" s="661"/>
      <c r="E3" s="1023"/>
      <c r="F3" s="1024" t="s">
        <v>191</v>
      </c>
      <c r="G3" s="20"/>
      <c r="H3" s="22" t="s">
        <v>15</v>
      </c>
      <c r="I3" s="877">
        <v>0.08</v>
      </c>
      <c r="J3" s="878">
        <f>DEGREES(ATAN(I3))</f>
        <v>4.5739212599008612</v>
      </c>
      <c r="K3" s="878"/>
      <c r="L3" s="556" t="s">
        <v>300</v>
      </c>
      <c r="M3" s="879" t="s">
        <v>344</v>
      </c>
      <c r="P3" s="1115"/>
      <c r="Q3" s="1115"/>
      <c r="R3" s="1115"/>
      <c r="S3" s="1116"/>
      <c r="T3" s="1116"/>
      <c r="U3" s="1117"/>
      <c r="V3" s="1116"/>
      <c r="W3" s="1117"/>
      <c r="X3" s="1117"/>
      <c r="Y3" s="1117"/>
      <c r="Z3" s="1117"/>
      <c r="AA3" s="1117"/>
      <c r="AB3" s="1117"/>
      <c r="AC3" s="1117"/>
      <c r="AD3" s="1117"/>
      <c r="AE3" s="1117"/>
      <c r="AF3" s="1117"/>
    </row>
    <row r="4" spans="1:49" s="25" customFormat="1" ht="12" thickBot="1" x14ac:dyDescent="0.25">
      <c r="A4" s="662" t="s">
        <v>139</v>
      </c>
      <c r="B4" s="880" t="s">
        <v>140</v>
      </c>
      <c r="C4" s="880" t="s">
        <v>141</v>
      </c>
      <c r="D4" s="880" t="s">
        <v>142</v>
      </c>
      <c r="E4" s="881" t="s">
        <v>169</v>
      </c>
      <c r="F4" s="663" t="s">
        <v>190</v>
      </c>
      <c r="I4" s="6"/>
      <c r="J4" s="882"/>
      <c r="K4" s="882"/>
      <c r="L4" s="6"/>
      <c r="O4" s="882" t="s">
        <v>282</v>
      </c>
      <c r="P4" s="1118"/>
      <c r="Q4" s="1119"/>
      <c r="R4" s="559"/>
      <c r="S4" s="1118"/>
      <c r="T4" s="1109"/>
      <c r="U4" s="559"/>
      <c r="V4" s="1109"/>
      <c r="W4" s="559"/>
      <c r="X4" s="1118"/>
      <c r="Y4" s="1118"/>
      <c r="Z4" s="1118"/>
      <c r="AA4" s="1118"/>
      <c r="AB4" s="1118"/>
      <c r="AC4" s="1118"/>
      <c r="AD4" s="1118"/>
      <c r="AE4" s="1118"/>
      <c r="AF4" s="1118"/>
      <c r="AM4" s="351"/>
      <c r="AN4" s="351"/>
      <c r="AO4" s="351"/>
      <c r="AP4" s="351"/>
      <c r="AQ4" s="351"/>
      <c r="AR4" s="351"/>
      <c r="AS4" s="351"/>
      <c r="AT4" s="351"/>
      <c r="AU4" s="351"/>
      <c r="AV4" s="351"/>
      <c r="AW4" s="351"/>
    </row>
    <row r="5" spans="1:49" ht="16.5" thickBot="1" x14ac:dyDescent="0.3">
      <c r="A5" s="664" t="s">
        <v>143</v>
      </c>
      <c r="B5" s="883">
        <v>2</v>
      </c>
      <c r="C5" s="884">
        <v>12</v>
      </c>
      <c r="D5" s="167">
        <f>+C5*B5</f>
        <v>24</v>
      </c>
      <c r="E5" s="885">
        <v>0.375</v>
      </c>
      <c r="F5" s="665">
        <f>+D5*E5</f>
        <v>9</v>
      </c>
      <c r="G5" s="625"/>
      <c r="H5" s="22" t="s">
        <v>283</v>
      </c>
      <c r="I5" s="879">
        <f>129-180</f>
        <v>-51</v>
      </c>
      <c r="J5" s="878"/>
      <c r="K5" s="878"/>
      <c r="L5" s="22" t="s">
        <v>284</v>
      </c>
      <c r="M5" s="879">
        <f>Azi_pvG</f>
        <v>-51</v>
      </c>
      <c r="N5" s="886">
        <f>+IF($M$3="G",Azi_pvG,Azi_pvD)</f>
        <v>-51</v>
      </c>
      <c r="O5" s="887">
        <f>90-$J$3</f>
        <v>85.426078740099143</v>
      </c>
      <c r="P5" s="1120"/>
      <c r="Q5" s="1116"/>
      <c r="R5" s="1121"/>
      <c r="S5" s="1116"/>
      <c r="T5" s="1116"/>
      <c r="U5" s="1117"/>
      <c r="V5" s="1116"/>
      <c r="W5" s="1117"/>
      <c r="X5" s="1117"/>
      <c r="Y5" s="1117"/>
      <c r="Z5" s="1117"/>
      <c r="AA5" s="1117"/>
      <c r="AB5" s="1117"/>
      <c r="AC5" s="1117"/>
      <c r="AD5" s="1122"/>
      <c r="AE5" s="1122"/>
      <c r="AF5" s="1117"/>
    </row>
    <row r="6" spans="1:49" s="6" customFormat="1" ht="11.25" x14ac:dyDescent="0.2">
      <c r="A6" s="556" t="s">
        <v>138</v>
      </c>
      <c r="B6" s="8">
        <f>1.776+0.002+0.01</f>
        <v>1.788</v>
      </c>
      <c r="C6" s="8">
        <f>1.052+0.002+0.01</f>
        <v>1.0640000000000001</v>
      </c>
      <c r="E6" s="624"/>
      <c r="F6" s="593"/>
      <c r="G6" s="25"/>
      <c r="N6" s="18"/>
      <c r="P6" s="559"/>
      <c r="Q6" s="559"/>
      <c r="R6" s="1109"/>
      <c r="S6" s="1110"/>
      <c r="T6" s="1109"/>
      <c r="U6" s="559"/>
      <c r="V6" s="1109"/>
      <c r="W6" s="559"/>
      <c r="X6" s="559"/>
      <c r="Y6" s="559"/>
      <c r="Z6" s="559"/>
      <c r="AA6" s="559"/>
      <c r="AB6" s="559"/>
      <c r="AC6" s="559"/>
      <c r="AD6" s="1122"/>
      <c r="AE6" s="1122"/>
      <c r="AF6" s="559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</row>
    <row r="7" spans="1:49" s="6" customFormat="1" ht="19.5" thickBot="1" x14ac:dyDescent="0.35">
      <c r="A7" s="16" t="s">
        <v>164</v>
      </c>
      <c r="D7" s="666"/>
      <c r="F7" s="8"/>
      <c r="G7" s="26"/>
      <c r="H7" s="559"/>
      <c r="I7" s="559"/>
      <c r="M7" s="667" t="s">
        <v>144</v>
      </c>
      <c r="N7" s="26"/>
      <c r="O7" s="18"/>
      <c r="P7" s="18"/>
      <c r="S7" s="667" t="s">
        <v>144</v>
      </c>
      <c r="U7" s="26"/>
      <c r="V7" s="1109"/>
      <c r="W7" s="559"/>
      <c r="X7" s="559"/>
      <c r="Y7" s="1123"/>
      <c r="Z7" s="1110"/>
      <c r="AA7" s="559"/>
      <c r="AB7" s="559"/>
      <c r="AC7" s="559"/>
      <c r="AD7" s="559"/>
      <c r="AE7" s="559"/>
      <c r="AF7" s="559"/>
      <c r="AM7" s="351"/>
      <c r="AN7" s="351"/>
      <c r="AO7" s="351"/>
      <c r="AP7" s="351"/>
      <c r="AQ7" s="351"/>
      <c r="AR7" s="351"/>
      <c r="AS7" s="351"/>
      <c r="AT7" s="351"/>
      <c r="AU7" s="351"/>
      <c r="AV7" s="351"/>
      <c r="AW7" s="351"/>
    </row>
    <row r="8" spans="1:49" s="19" customFormat="1" ht="16.5" thickBot="1" x14ac:dyDescent="0.3">
      <c r="A8" s="660" t="s">
        <v>302</v>
      </c>
      <c r="D8" s="105"/>
      <c r="E8" s="888">
        <v>1.62</v>
      </c>
      <c r="F8" s="669" t="s">
        <v>237</v>
      </c>
      <c r="H8" s="29"/>
      <c r="I8" s="31"/>
      <c r="L8" s="668" t="s">
        <v>172</v>
      </c>
      <c r="M8" s="29"/>
      <c r="O8" s="29"/>
      <c r="P8" s="34"/>
      <c r="R8" s="668" t="s">
        <v>173</v>
      </c>
      <c r="S8" s="29"/>
      <c r="U8" s="29"/>
      <c r="V8" s="29"/>
      <c r="Y8" s="668" t="s">
        <v>174</v>
      </c>
      <c r="Z8" s="669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0" t="s">
        <v>175</v>
      </c>
      <c r="B9" s="889" t="s">
        <v>176</v>
      </c>
      <c r="C9" s="889" t="s">
        <v>177</v>
      </c>
      <c r="D9" s="889" t="s">
        <v>180</v>
      </c>
      <c r="E9" s="890" t="s">
        <v>181</v>
      </c>
      <c r="F9" s="670" t="s">
        <v>178</v>
      </c>
      <c r="G9" s="670" t="s">
        <v>179</v>
      </c>
      <c r="H9" s="671" t="s">
        <v>147</v>
      </c>
      <c r="I9" s="672" t="s">
        <v>182</v>
      </c>
      <c r="L9" s="673" t="s">
        <v>149</v>
      </c>
      <c r="M9" s="681" t="s">
        <v>150</v>
      </c>
      <c r="N9" s="681" t="s">
        <v>151</v>
      </c>
      <c r="O9" s="681" t="s">
        <v>152</v>
      </c>
      <c r="P9" s="34"/>
      <c r="R9" s="673" t="s">
        <v>149</v>
      </c>
      <c r="S9" s="681" t="s">
        <v>150</v>
      </c>
      <c r="T9" s="681" t="s">
        <v>151</v>
      </c>
      <c r="U9" s="681" t="s">
        <v>152</v>
      </c>
      <c r="V9" s="554"/>
      <c r="W9" s="787" t="s">
        <v>352</v>
      </c>
      <c r="X9" s="554"/>
      <c r="Y9" s="554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3" t="s">
        <v>345</v>
      </c>
      <c r="B10" s="891">
        <v>1.0900000000000001</v>
      </c>
      <c r="C10" s="892">
        <v>-6.7</v>
      </c>
      <c r="D10" s="891">
        <f>Hrm*B10/(B10-C10)</f>
        <v>0.22667522464698334</v>
      </c>
      <c r="E10" s="892">
        <f t="shared" ref="E10:E11" si="0">+D10*C10/B10</f>
        <v>-1.3933247753530167</v>
      </c>
      <c r="F10" s="893">
        <f>DEGREES(ATAN2(H10,D10))</f>
        <v>0.28286920612995353</v>
      </c>
      <c r="G10" s="893">
        <f>DEGREES(ATAN2(H10,E10))</f>
        <v>-1.7382179836362419</v>
      </c>
      <c r="H10" s="550">
        <f>SQRT(POWER(N10-T$10,2)+POWER(M10-S$10,2))</f>
        <v>45.913192004041669</v>
      </c>
      <c r="I10" s="675">
        <f>(F10-G10)/(B10-C10)</f>
        <v>0.25944636582364511</v>
      </c>
      <c r="J10" s="43"/>
      <c r="K10" s="43"/>
      <c r="L10" s="784" t="str">
        <f>A10</f>
        <v>Cloture angle Est</v>
      </c>
      <c r="M10" s="894">
        <v>532.5</v>
      </c>
      <c r="N10" s="895">
        <v>322.12</v>
      </c>
      <c r="O10" s="1125">
        <v>158.43</v>
      </c>
      <c r="P10" s="814"/>
      <c r="Q10" s="814"/>
      <c r="R10" s="785" t="s">
        <v>349</v>
      </c>
      <c r="S10" s="894">
        <v>575.66</v>
      </c>
      <c r="T10" s="895">
        <v>337.78</v>
      </c>
      <c r="U10" s="896">
        <v>158.83000000000001</v>
      </c>
      <c r="V10" s="676" t="s">
        <v>183</v>
      </c>
      <c r="W10" s="897">
        <f>1.55+U10-O10</f>
        <v>1.9500000000000171</v>
      </c>
      <c r="X10" s="814" t="s">
        <v>85</v>
      </c>
      <c r="Y10" s="614" t="s">
        <v>347</v>
      </c>
      <c r="Z10" s="617"/>
      <c r="AA10" s="554"/>
      <c r="AB10" s="554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3" t="s">
        <v>346</v>
      </c>
      <c r="B11" s="898">
        <v>-10.41</v>
      </c>
      <c r="C11" s="899">
        <v>-25.68</v>
      </c>
      <c r="D11" s="898">
        <f>1.59*B11/(B11-C11)</f>
        <v>-1.0839489194499017</v>
      </c>
      <c r="E11" s="899">
        <f t="shared" si="0"/>
        <v>-2.6739489194499013</v>
      </c>
      <c r="F11" s="893">
        <f>DEGREES(ATAN2(H11,D11))</f>
        <v>-2.2636938979903869</v>
      </c>
      <c r="G11" s="893">
        <f>DEGREES(ATAN2(H11,E11))</f>
        <v>-5.5695117813472121</v>
      </c>
      <c r="H11" s="550">
        <f>SQRT(POWER(N11-T$11,2)+POWER(M11-S$11,2))</f>
        <v>27.421278234247222</v>
      </c>
      <c r="I11" s="675">
        <f>(F11-G11)/(B11-C11)</f>
        <v>0.21649102052107566</v>
      </c>
      <c r="J11" s="117"/>
      <c r="K11" s="43"/>
      <c r="L11" s="784" t="str">
        <f>A11</f>
        <v>Cloture angle Sud</v>
      </c>
      <c r="M11" s="900">
        <v>485.67</v>
      </c>
      <c r="N11" s="618">
        <v>259.75</v>
      </c>
      <c r="O11" s="901">
        <v>159.09</v>
      </c>
      <c r="P11" s="815"/>
      <c r="Q11" s="815"/>
      <c r="R11" s="785" t="s">
        <v>338</v>
      </c>
      <c r="S11" s="900">
        <v>478.4</v>
      </c>
      <c r="T11" s="618">
        <v>233.31</v>
      </c>
      <c r="U11" s="901">
        <v>161</v>
      </c>
      <c r="V11" s="677" t="s">
        <v>184</v>
      </c>
      <c r="W11" s="902">
        <f>1.55+U11-O10</f>
        <v>4.1200000000000045</v>
      </c>
      <c r="X11" s="815" t="s">
        <v>85</v>
      </c>
      <c r="Y11" s="615" t="s">
        <v>348</v>
      </c>
      <c r="Z11" s="617"/>
      <c r="AA11" s="554"/>
      <c r="AB11" s="554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3"/>
      <c r="B12" s="903"/>
      <c r="C12" s="904"/>
      <c r="D12" s="903"/>
      <c r="E12" s="904"/>
      <c r="F12" s="893" t="e">
        <f>DEGREES(ATAN2(H12,D12))</f>
        <v>#DIV/0!</v>
      </c>
      <c r="G12" s="893" t="e">
        <f>DEGREES(ATAN2(H12,E12))</f>
        <v>#DIV/0!</v>
      </c>
      <c r="H12" s="550">
        <f>SQRT(POWER(N12-T$12,2)+POWER(M12-S$12,2))</f>
        <v>0</v>
      </c>
      <c r="I12" s="675" t="e">
        <f>(F12-G12)/(B12-C12)</f>
        <v>#DIV/0!</v>
      </c>
      <c r="J12" s="117"/>
      <c r="K12" s="43"/>
      <c r="L12" s="784">
        <f>A12</f>
        <v>0</v>
      </c>
      <c r="M12" s="905"/>
      <c r="N12" s="906"/>
      <c r="O12" s="907"/>
      <c r="P12" s="815"/>
      <c r="Q12" s="815"/>
      <c r="R12" s="786"/>
      <c r="S12" s="905"/>
      <c r="T12" s="906"/>
      <c r="U12" s="907"/>
      <c r="V12" s="677" t="s">
        <v>238</v>
      </c>
      <c r="W12" s="908"/>
      <c r="X12" s="815" t="s">
        <v>85</v>
      </c>
      <c r="Y12" s="615"/>
      <c r="Z12" s="617"/>
      <c r="AA12" s="554"/>
      <c r="AB12" s="554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56"/>
      <c r="C13" s="1100" t="s">
        <v>330</v>
      </c>
      <c r="D13" s="10" t="e">
        <f>Hrm*B13/(B13-C13)</f>
        <v>#VALUE!</v>
      </c>
      <c r="E13" s="1101" t="e">
        <f>+D13*C13/B13</f>
        <v>#VALUE!</v>
      </c>
      <c r="F13" s="559"/>
      <c r="G13" s="1105"/>
      <c r="H13" s="1106"/>
      <c r="I13" s="1107"/>
      <c r="J13" s="559"/>
      <c r="K13" s="559"/>
      <c r="L13" s="559"/>
      <c r="O13" s="18"/>
      <c r="P13" s="1108"/>
      <c r="Q13" s="559"/>
      <c r="R13" s="559"/>
      <c r="U13" s="788"/>
      <c r="V13" s="26"/>
      <c r="Y13" s="1109"/>
      <c r="Z13" s="1110"/>
      <c r="AA13" s="1111"/>
      <c r="AB13" s="1112"/>
      <c r="AC13" s="1113"/>
      <c r="AD13" s="1112"/>
      <c r="AM13" s="351"/>
      <c r="AN13" s="351"/>
      <c r="AO13" s="351"/>
      <c r="AP13" s="351"/>
      <c r="AQ13" s="351"/>
      <c r="AR13" s="351"/>
      <c r="AS13" s="351"/>
      <c r="AT13" s="351"/>
      <c r="AU13" s="351"/>
      <c r="AV13" s="351"/>
      <c r="AW13" s="351"/>
    </row>
    <row r="14" spans="1:49" s="19" customFormat="1" ht="15.75" x14ac:dyDescent="0.25">
      <c r="A14" s="660" t="s">
        <v>162</v>
      </c>
      <c r="B14" s="680"/>
      <c r="C14" s="28"/>
      <c r="D14" s="667" t="s">
        <v>303</v>
      </c>
      <c r="E14" s="71"/>
      <c r="F14" s="82"/>
      <c r="G14" s="881" t="s">
        <v>186</v>
      </c>
      <c r="K14" s="1010" t="s">
        <v>304</v>
      </c>
      <c r="L14" s="1009">
        <f>+CHOOSE(N14,L16,L17,L18,L19)</f>
        <v>7.6216955964359707</v>
      </c>
      <c r="M14" s="136" t="s">
        <v>285</v>
      </c>
      <c r="N14" s="909">
        <f>IF(M3="D",3,IF(M3="C",2,1))</f>
        <v>2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1" t="s">
        <v>149</v>
      </c>
      <c r="B15" s="682" t="s">
        <v>185</v>
      </c>
      <c r="C15" s="681" t="s">
        <v>145</v>
      </c>
      <c r="D15" s="681" t="s">
        <v>150</v>
      </c>
      <c r="E15" s="681" t="s">
        <v>151</v>
      </c>
      <c r="F15" s="1021" t="s">
        <v>286</v>
      </c>
      <c r="G15" s="1020" t="s">
        <v>187</v>
      </c>
      <c r="H15" s="681" t="s">
        <v>153</v>
      </c>
      <c r="I15" s="681" t="s">
        <v>155</v>
      </c>
      <c r="J15" s="681" t="s">
        <v>146</v>
      </c>
      <c r="K15" s="681" t="s">
        <v>147</v>
      </c>
      <c r="L15" s="681" t="s">
        <v>148</v>
      </c>
      <c r="M15" s="681" t="s">
        <v>154</v>
      </c>
      <c r="N15" s="683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61" t="s">
        <v>351</v>
      </c>
      <c r="B16" s="910">
        <v>1</v>
      </c>
      <c r="C16" s="970">
        <v>10.94</v>
      </c>
      <c r="D16" s="911">
        <v>492.66</v>
      </c>
      <c r="E16" s="911">
        <v>270.31</v>
      </c>
      <c r="F16" s="983"/>
      <c r="G16" s="987"/>
      <c r="H16" s="987"/>
      <c r="I16" s="987"/>
      <c r="J16" s="995">
        <f>IF(B16="",0,C16*CHOOSE(B16,Rata1,Rata2,Rata3))</f>
        <v>2.8383432421106773</v>
      </c>
      <c r="K16" s="990">
        <f>IF(B16="",0,SQRT(+POWER(D16-CHOOSE(B16,$S$10,$S$11,$S$12),2)+POWER(E16-CHOOSE(B16,$T$10,$T$11,$T$12),2)))</f>
        <v>106.9635493988489</v>
      </c>
      <c r="L16" s="989">
        <f>IF(B16="",0,K16*TAN(RADIANS(J16))+CHOOSE(B16,Hobs1,Hobs2,Hobs3))</f>
        <v>7.2531456089889463</v>
      </c>
      <c r="M16" s="996"/>
      <c r="N16" s="1005" t="str">
        <f t="shared" ref="N16:N43" si="1">A16</f>
        <v>Coin sud CPV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2" t="s">
        <v>297</v>
      </c>
      <c r="B17" s="912">
        <v>2</v>
      </c>
      <c r="C17" s="971">
        <v>18.3</v>
      </c>
      <c r="D17" s="913">
        <v>497.24</v>
      </c>
      <c r="E17" s="913">
        <v>280.23</v>
      </c>
      <c r="F17" s="984"/>
      <c r="G17" s="974"/>
      <c r="H17" s="974"/>
      <c r="I17" s="974"/>
      <c r="J17" s="997">
        <f>IF(B17="",0,C17*CHOOSE(B17,Rata1,Rata2,Rata3))</f>
        <v>3.9617856755356846</v>
      </c>
      <c r="K17" s="992">
        <f>IF(B17="",0,SQRT(+POWER(D17-CHOOSE(B17,$S$10,$S$11,$S$12),2)+POWER(E17-CHOOSE(B17,$T$10,$T$11,$T$12),2)))</f>
        <v>50.561170872518396</v>
      </c>
      <c r="L17" s="991">
        <f>IF(B17="",0,K17*TAN(RADIANS(J17))+CHOOSE(B17,Hobs1,Hobs2,Hobs3))</f>
        <v>7.6216955964359707</v>
      </c>
      <c r="M17" s="998"/>
      <c r="N17" s="1006" t="str">
        <f t="shared" si="1"/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2" t="s">
        <v>351</v>
      </c>
      <c r="B18" s="912">
        <v>2</v>
      </c>
      <c r="C18" s="971">
        <v>22.47</v>
      </c>
      <c r="D18" s="913">
        <v>492.66</v>
      </c>
      <c r="E18" s="913">
        <v>270.31</v>
      </c>
      <c r="F18" s="985"/>
      <c r="G18" s="975"/>
      <c r="H18" s="975"/>
      <c r="I18" s="975"/>
      <c r="J18" s="997">
        <f>IF(B18="",0,C18*CHOOSE(B18,Rata1,Rata2,Rata3))</f>
        <v>4.8645532311085695</v>
      </c>
      <c r="K18" s="992">
        <f>IF(B18="",0,SQRT(+POWER(D18-CHOOSE(B18,$S$10,$S$11,$S$12),2)+POWER(E18-CHOOSE(B18,$T$10,$T$11,$T$12),2)))</f>
        <v>39.652838486040331</v>
      </c>
      <c r="L18" s="991">
        <f>IF(B18="",0,K18*TAN(RADIANS(J18))+CHOOSE(B18,Hobs1,Hobs2,Hobs3))</f>
        <v>7.4947367006621004</v>
      </c>
      <c r="M18" s="998"/>
      <c r="N18" s="1006" t="str">
        <f t="shared" si="1"/>
        <v>Coin sud CPV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3"/>
      <c r="B19" s="960"/>
      <c r="C19" s="1000"/>
      <c r="D19" s="964"/>
      <c r="E19" s="965"/>
      <c r="F19" s="986"/>
      <c r="G19" s="976"/>
      <c r="H19" s="976"/>
      <c r="I19" s="976"/>
      <c r="J19" s="999">
        <f>IF(B19="",0,C19*CHOOSE(B19,Rata1,Rata2,Rata3))</f>
        <v>0</v>
      </c>
      <c r="K19" s="994">
        <f>IF(B19="",0,SQRT(+POWER(D19-CHOOSE(B19,$S$10,$S$11,$S$12),2)+POWER(E19-CHOOSE(B19,$T$10,$T$11,$T$12),2)))</f>
        <v>0</v>
      </c>
      <c r="L19" s="993">
        <f>IF(B19="",0,K19*TAN(RADIANS(J19))+CHOOSE(B19,Hobs1,Hobs2,Hobs3))</f>
        <v>0</v>
      </c>
      <c r="M19" s="1001"/>
      <c r="N19" s="1007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4" t="s">
        <v>163</v>
      </c>
      <c r="B20" s="912"/>
      <c r="C20" s="971"/>
      <c r="D20" s="913"/>
      <c r="E20" s="913"/>
      <c r="F20" s="973"/>
      <c r="G20" s="1002">
        <f t="shared" ref="G20:G42" si="2">IF(AND(H20=H21,H20&gt;=Azi_pv_sel+90),"",P57-P56)</f>
        <v>90</v>
      </c>
      <c r="H20" s="977">
        <f>+Azi_pv_sel-180</f>
        <v>-231</v>
      </c>
      <c r="I20" s="978">
        <f>J3</f>
        <v>4.5739212599008612</v>
      </c>
      <c r="J20" s="997">
        <f t="shared" ref="J20:J42" si="3">IF(B20="",0,C20*CHOOSE(B20,Rata1,Rata2,Rata3))</f>
        <v>0</v>
      </c>
      <c r="K20" s="992">
        <f t="shared" ref="K20:K42" si="4">IF(B20="",0,SQRT(+POWER(D20-CHOOSE(B20,$S$10,$S$11,$S$12),2)+POWER(E20-CHOOSE(B20,$T$10,$T$11,$T$12),2)))</f>
        <v>0</v>
      </c>
      <c r="L20" s="991">
        <f t="shared" ref="L20:L42" si="5">IF(B20="",0,K20*TAN(RADIANS(J20))+CHOOSE(B20,Hobs1,Hobs2,Hobs3))</f>
        <v>0</v>
      </c>
      <c r="M20" s="992">
        <f t="shared" ref="M20:M42" si="6">IF(B20="",0,SQRT(POWER($E20-CHOOSE($N$14,E$16,E$17,E$18,E$19),2)+POWER($D20-CHOOSE($N$14,D$16,D$17,D$18,D$19),2)))</f>
        <v>0</v>
      </c>
      <c r="N20" s="1003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4" t="s">
        <v>334</v>
      </c>
      <c r="B21" s="912"/>
      <c r="C21" s="971"/>
      <c r="D21" s="913"/>
      <c r="E21" s="913"/>
      <c r="F21" s="973"/>
      <c r="G21" s="1002">
        <f t="shared" si="2"/>
        <v>111.56985506979044</v>
      </c>
      <c r="H21" s="979">
        <f>Azi_pv_sel-90</f>
        <v>-141</v>
      </c>
      <c r="I21" s="980">
        <f>1</f>
        <v>1</v>
      </c>
      <c r="J21" s="997">
        <f t="shared" si="3"/>
        <v>0</v>
      </c>
      <c r="K21" s="992">
        <f t="shared" si="4"/>
        <v>0</v>
      </c>
      <c r="L21" s="991">
        <f t="shared" si="5"/>
        <v>0</v>
      </c>
      <c r="M21" s="992">
        <f t="shared" si="6"/>
        <v>0</v>
      </c>
      <c r="N21" s="1003" t="str">
        <f t="shared" si="1"/>
        <v>Toiture 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4" t="s">
        <v>156</v>
      </c>
      <c r="B22" s="912">
        <v>1</v>
      </c>
      <c r="C22" s="971">
        <v>36.340000000000003</v>
      </c>
      <c r="D22" s="913">
        <v>561.55999999999995</v>
      </c>
      <c r="E22" s="913">
        <v>161.03</v>
      </c>
      <c r="F22" s="973" t="s">
        <v>353</v>
      </c>
      <c r="G22" s="1002">
        <f t="shared" si="2"/>
        <v>7.5010000000000012</v>
      </c>
      <c r="H22" s="979">
        <f t="shared" ref="H22:H32" si="7">DEGREES(ATAN2(CHOOSE($N$14,E$16,E$17,E$18,E$19)-$E22,CHOOSE($N$14,D$16,D$17,D$18,D$19)-$D22))</f>
        <v>-28.351180072905183</v>
      </c>
      <c r="I22" s="980">
        <f t="shared" ref="I22:I32" si="8">DEGREES(ATAN2(M22,$L22-L$14))</f>
        <v>9.9545051281248487</v>
      </c>
      <c r="J22" s="997">
        <f t="shared" si="3"/>
        <v>9.4282809340312639</v>
      </c>
      <c r="K22" s="992">
        <f t="shared" si="4"/>
        <v>177.31151259859013</v>
      </c>
      <c r="L22" s="991">
        <f t="shared" si="5"/>
        <v>31.393656683324309</v>
      </c>
      <c r="M22" s="992">
        <f t="shared" si="6"/>
        <v>135.44630818150782</v>
      </c>
      <c r="N22" s="1003" t="str">
        <f t="shared" si="1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4" t="s">
        <v>158</v>
      </c>
      <c r="B23" s="912">
        <v>1</v>
      </c>
      <c r="C23" s="971">
        <v>35.770000000000003</v>
      </c>
      <c r="D23" s="913">
        <v>537.99</v>
      </c>
      <c r="E23" s="913">
        <v>179.01</v>
      </c>
      <c r="F23" s="973"/>
      <c r="G23" s="1002">
        <f t="shared" si="2"/>
        <v>9.3397740034356396</v>
      </c>
      <c r="H23" s="979">
        <f t="shared" si="7"/>
        <v>-21.929144930209567</v>
      </c>
      <c r="I23" s="980">
        <f t="shared" si="8"/>
        <v>10.889941374628975</v>
      </c>
      <c r="J23" s="997">
        <f t="shared" si="3"/>
        <v>9.2803965055117867</v>
      </c>
      <c r="K23" s="992">
        <f t="shared" si="4"/>
        <v>163.17763878669157</v>
      </c>
      <c r="L23" s="991">
        <f t="shared" si="5"/>
        <v>28.614038674989775</v>
      </c>
      <c r="M23" s="992">
        <f t="shared" si="6"/>
        <v>109.11485187636011</v>
      </c>
      <c r="N23" s="1003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4" t="s">
        <v>160</v>
      </c>
      <c r="B24" s="912">
        <v>1</v>
      </c>
      <c r="C24" s="971">
        <v>40.82</v>
      </c>
      <c r="D24" s="913">
        <v>515.58000000000004</v>
      </c>
      <c r="E24" s="913">
        <v>198.11</v>
      </c>
      <c r="F24" s="973"/>
      <c r="G24" s="1002">
        <f t="shared" si="2"/>
        <v>9.5871464333867973</v>
      </c>
      <c r="H24" s="979">
        <f t="shared" si="7"/>
        <v>-12.589370926773928</v>
      </c>
      <c r="I24" s="980">
        <f t="shared" si="8"/>
        <v>15.133748467210168</v>
      </c>
      <c r="J24" s="997">
        <f t="shared" si="3"/>
        <v>10.590600652921193</v>
      </c>
      <c r="K24" s="992">
        <f t="shared" si="4"/>
        <v>152.04379402001248</v>
      </c>
      <c r="L24" s="991">
        <f t="shared" si="5"/>
        <v>30.378407138290331</v>
      </c>
      <c r="M24" s="992">
        <f t="shared" si="6"/>
        <v>84.143032985506295</v>
      </c>
      <c r="N24" s="1003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4" t="s">
        <v>335</v>
      </c>
      <c r="B25" s="912">
        <v>1</v>
      </c>
      <c r="C25" s="971">
        <v>40.799999999999997</v>
      </c>
      <c r="D25" s="913">
        <v>500.16</v>
      </c>
      <c r="E25" s="913">
        <v>211.01</v>
      </c>
      <c r="F25" s="973" t="s">
        <v>353</v>
      </c>
      <c r="G25" s="1002">
        <f t="shared" si="2"/>
        <v>7.5009999999999994</v>
      </c>
      <c r="H25" s="979">
        <f t="shared" si="7"/>
        <v>-2.4155524704772033</v>
      </c>
      <c r="I25" s="980">
        <f t="shared" si="8"/>
        <v>17.543758014545595</v>
      </c>
      <c r="J25" s="997">
        <f t="shared" si="3"/>
        <v>10.58541172560472</v>
      </c>
      <c r="K25" s="992">
        <f t="shared" si="4"/>
        <v>147.54959471309974</v>
      </c>
      <c r="L25" s="991">
        <f t="shared" si="5"/>
        <v>29.52427408638242</v>
      </c>
      <c r="M25" s="992">
        <f t="shared" si="6"/>
        <v>69.281561760687836</v>
      </c>
      <c r="N25" s="1003" t="str">
        <f t="shared" si="1"/>
        <v>Arbre 7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4" t="s">
        <v>336</v>
      </c>
      <c r="B26" s="912">
        <v>1</v>
      </c>
      <c r="C26" s="971">
        <v>42</v>
      </c>
      <c r="D26" s="913">
        <v>492.28</v>
      </c>
      <c r="E26" s="913">
        <v>217.19</v>
      </c>
      <c r="F26" s="973"/>
      <c r="G26" s="1002">
        <f t="shared" si="2"/>
        <v>8.3152399390416267</v>
      </c>
      <c r="H26" s="979">
        <f t="shared" si="7"/>
        <v>4.4987755066128692</v>
      </c>
      <c r="I26" s="980">
        <f t="shared" si="8"/>
        <v>19.628292384218174</v>
      </c>
      <c r="J26" s="997">
        <f t="shared" si="3"/>
        <v>10.896747364593095</v>
      </c>
      <c r="K26" s="992">
        <f t="shared" si="4"/>
        <v>146.60891002937029</v>
      </c>
      <c r="L26" s="991">
        <f t="shared" si="5"/>
        <v>30.173794685448133</v>
      </c>
      <c r="M26" s="992">
        <f t="shared" si="6"/>
        <v>63.234825847787413</v>
      </c>
      <c r="N26" s="1003" t="str">
        <f t="shared" si="1"/>
        <v>Arbre 8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4" t="s">
        <v>337</v>
      </c>
      <c r="B27" s="912">
        <v>1</v>
      </c>
      <c r="C27" s="971">
        <v>42</v>
      </c>
      <c r="D27" s="913">
        <v>484.53</v>
      </c>
      <c r="E27" s="913">
        <v>224.35</v>
      </c>
      <c r="F27" s="973"/>
      <c r="G27" s="1002">
        <f t="shared" si="2"/>
        <v>8.56482548939365</v>
      </c>
      <c r="H27" s="979">
        <f t="shared" si="7"/>
        <v>12.814015445654496</v>
      </c>
      <c r="I27" s="980">
        <f t="shared" si="8"/>
        <v>21.296520451440923</v>
      </c>
      <c r="J27" s="997">
        <f t="shared" si="3"/>
        <v>10.896747364593095</v>
      </c>
      <c r="K27" s="992">
        <f t="shared" si="4"/>
        <v>145.50272093675773</v>
      </c>
      <c r="L27" s="991">
        <f t="shared" si="5"/>
        <v>29.960841367488641</v>
      </c>
      <c r="M27" s="992">
        <f t="shared" si="6"/>
        <v>57.307229037879715</v>
      </c>
      <c r="N27" s="1003" t="str">
        <f t="shared" si="1"/>
        <v>Arbre 9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4" t="s">
        <v>338</v>
      </c>
      <c r="B28" s="912">
        <v>1</v>
      </c>
      <c r="C28" s="971">
        <v>42.7</v>
      </c>
      <c r="D28" s="913">
        <v>477.69</v>
      </c>
      <c r="E28" s="913">
        <v>230.29</v>
      </c>
      <c r="F28" s="973"/>
      <c r="G28" s="1002">
        <f t="shared" si="2"/>
        <v>10.985814142188588</v>
      </c>
      <c r="H28" s="979">
        <f t="shared" si="7"/>
        <v>21.378840935048146</v>
      </c>
      <c r="I28" s="980">
        <f t="shared" si="8"/>
        <v>23.036535479706945</v>
      </c>
      <c r="J28" s="997">
        <f t="shared" si="3"/>
        <v>11.078359820669647</v>
      </c>
      <c r="K28" s="992">
        <f t="shared" si="4"/>
        <v>145.43803147732712</v>
      </c>
      <c r="L28" s="991">
        <f t="shared" si="5"/>
        <v>30.42676637346656</v>
      </c>
      <c r="M28" s="992">
        <f t="shared" si="6"/>
        <v>53.630272234998053</v>
      </c>
      <c r="N28" s="1003" t="str">
        <f t="shared" si="1"/>
        <v>Arbre 10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4" t="s">
        <v>339</v>
      </c>
      <c r="B29" s="912">
        <v>1</v>
      </c>
      <c r="C29" s="971">
        <v>42.7</v>
      </c>
      <c r="D29" s="913">
        <v>469.64</v>
      </c>
      <c r="E29" s="913">
        <v>236.68</v>
      </c>
      <c r="F29" s="973"/>
      <c r="G29" s="1002">
        <f t="shared" si="2"/>
        <v>14.295819702802341</v>
      </c>
      <c r="H29" s="979">
        <f t="shared" si="7"/>
        <v>32.364655077236733</v>
      </c>
      <c r="I29" s="980">
        <f t="shared" si="8"/>
        <v>24.052642687617144</v>
      </c>
      <c r="J29" s="997">
        <f t="shared" si="3"/>
        <v>11.078359820669647</v>
      </c>
      <c r="K29" s="992">
        <f t="shared" si="4"/>
        <v>146.4972709643425</v>
      </c>
      <c r="L29" s="991">
        <f t="shared" si="5"/>
        <v>30.634165463641882</v>
      </c>
      <c r="M29" s="992">
        <f t="shared" si="6"/>
        <v>51.559310507414686</v>
      </c>
      <c r="N29" s="1003" t="str">
        <f t="shared" si="1"/>
        <v>Arbre 11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4" t="s">
        <v>350</v>
      </c>
      <c r="B30" s="912">
        <v>1</v>
      </c>
      <c r="C30" s="971">
        <v>12</v>
      </c>
      <c r="D30" s="913">
        <v>452.87</v>
      </c>
      <c r="E30" s="913">
        <v>238.36</v>
      </c>
      <c r="F30" s="973"/>
      <c r="G30" s="1002">
        <f t="shared" si="2"/>
        <v>10.02085424716612</v>
      </c>
      <c r="H30" s="979">
        <f t="shared" si="7"/>
        <v>46.660474780039074</v>
      </c>
      <c r="I30" s="980">
        <f t="shared" si="8"/>
        <v>2.7420108598986195</v>
      </c>
      <c r="J30" s="997">
        <f t="shared" si="3"/>
        <v>3.1133563898837413</v>
      </c>
      <c r="K30" s="992">
        <f t="shared" si="4"/>
        <v>157.99278622772619</v>
      </c>
      <c r="L30" s="991">
        <f t="shared" si="5"/>
        <v>10.543522104406566</v>
      </c>
      <c r="M30" s="992">
        <f t="shared" si="6"/>
        <v>61.006506210403501</v>
      </c>
      <c r="N30" s="1003" t="str">
        <f t="shared" si="1"/>
        <v>creux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4" t="s">
        <v>340</v>
      </c>
      <c r="B31" s="912">
        <v>1</v>
      </c>
      <c r="C31" s="971">
        <v>22.47</v>
      </c>
      <c r="D31" s="913">
        <v>436.1</v>
      </c>
      <c r="E31" s="913">
        <v>240.04</v>
      </c>
      <c r="F31" s="973"/>
      <c r="G31" s="1002">
        <f t="shared" si="2"/>
        <v>14.933951903503655</v>
      </c>
      <c r="H31" s="979">
        <f t="shared" si="7"/>
        <v>56.681329027205194</v>
      </c>
      <c r="I31" s="980">
        <f t="shared" si="8"/>
        <v>9.1039254352090015</v>
      </c>
      <c r="J31" s="997">
        <f t="shared" si="3"/>
        <v>5.8297598400573056</v>
      </c>
      <c r="K31" s="992">
        <f t="shared" si="4"/>
        <v>170.38222090347332</v>
      </c>
      <c r="L31" s="991">
        <f t="shared" si="5"/>
        <v>19.346210446437727</v>
      </c>
      <c r="M31" s="992">
        <f t="shared" si="6"/>
        <v>73.166493014220663</v>
      </c>
      <c r="N31" s="1003" t="str">
        <f t="shared" si="1"/>
        <v>Arbre 12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4" t="s">
        <v>341</v>
      </c>
      <c r="B32" s="912">
        <v>1</v>
      </c>
      <c r="C32" s="972">
        <v>22.54</v>
      </c>
      <c r="D32" s="913">
        <v>418.52</v>
      </c>
      <c r="E32" s="913">
        <v>255.86</v>
      </c>
      <c r="F32" s="973" t="s">
        <v>353</v>
      </c>
      <c r="G32" s="1002">
        <f t="shared" si="2"/>
        <v>7.5010000000000048</v>
      </c>
      <c r="H32" s="979">
        <f t="shared" si="7"/>
        <v>72.798612216871561</v>
      </c>
      <c r="I32" s="980">
        <f t="shared" si="8"/>
        <v>8.6107482426615505</v>
      </c>
      <c r="J32" s="997">
        <f t="shared" si="3"/>
        <v>5.8479210856649608</v>
      </c>
      <c r="K32" s="992">
        <f t="shared" si="4"/>
        <v>177.21135968103169</v>
      </c>
      <c r="L32" s="991">
        <f t="shared" si="5"/>
        <v>20.10023167309355</v>
      </c>
      <c r="M32" s="992">
        <f t="shared" si="6"/>
        <v>82.405917870017106</v>
      </c>
      <c r="N32" s="1003" t="str">
        <f t="shared" si="1"/>
        <v>Arbre 13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4" t="s">
        <v>350</v>
      </c>
      <c r="B33" s="912">
        <v>1</v>
      </c>
      <c r="C33" s="972">
        <v>12</v>
      </c>
      <c r="D33" s="913">
        <v>409.08499999999998</v>
      </c>
      <c r="E33" s="913">
        <v>263.27999999999997</v>
      </c>
      <c r="F33" s="973" t="s">
        <v>135</v>
      </c>
      <c r="G33" s="1002">
        <f t="shared" si="2"/>
        <v>7.5010000000000048</v>
      </c>
      <c r="H33" s="979">
        <f t="shared" ref="H33:H35" si="9">DEGREES(ATAN2(CHOOSE($N$14,E$16,E$17,E$18,E$19)-$E33,CHOOSE($N$14,D$16,D$17,D$18,D$19)-$D33))</f>
        <v>79.116280930708854</v>
      </c>
      <c r="I33" s="980">
        <f t="shared" ref="I33:I35" si="10">DEGREES(ATAN2(M33,$L33-L$14))</f>
        <v>2.7127869667867266</v>
      </c>
      <c r="J33" s="997">
        <f t="shared" si="3"/>
        <v>3.1133563898837413</v>
      </c>
      <c r="K33" s="992">
        <f t="shared" si="4"/>
        <v>182.47597273339852</v>
      </c>
      <c r="L33" s="991">
        <f t="shared" si="5"/>
        <v>11.875208249364753</v>
      </c>
      <c r="M33" s="992">
        <f t="shared" si="6"/>
        <v>89.769741700642129</v>
      </c>
      <c r="N33" s="1003" t="str">
        <f t="shared" si="1"/>
        <v>creux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4" t="s">
        <v>342</v>
      </c>
      <c r="B34" s="912">
        <v>1</v>
      </c>
      <c r="C34" s="972">
        <v>23.8</v>
      </c>
      <c r="D34" s="913">
        <v>399.65</v>
      </c>
      <c r="E34" s="913">
        <v>270.7</v>
      </c>
      <c r="F34" s="973"/>
      <c r="G34" s="1002">
        <f t="shared" si="2"/>
        <v>7.6595029727722022</v>
      </c>
      <c r="H34" s="979">
        <f t="shared" si="9"/>
        <v>84.422553913938373</v>
      </c>
      <c r="I34" s="980">
        <f t="shared" si="10"/>
        <v>8.530083298502289</v>
      </c>
      <c r="J34" s="997">
        <f t="shared" si="3"/>
        <v>6.1748235066027535</v>
      </c>
      <c r="K34" s="992">
        <f t="shared" si="4"/>
        <v>188.3593546920354</v>
      </c>
      <c r="L34" s="991">
        <f t="shared" si="5"/>
        <v>22.32863382840938</v>
      </c>
      <c r="M34" s="992">
        <f t="shared" si="6"/>
        <v>98.054214595804126</v>
      </c>
      <c r="N34" s="1003" t="str">
        <f t="shared" si="1"/>
        <v>Arbre 14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4" t="s">
        <v>343</v>
      </c>
      <c r="B35" s="912">
        <v>1</v>
      </c>
      <c r="C35" s="966">
        <v>23.6</v>
      </c>
      <c r="D35" s="913">
        <v>378.63</v>
      </c>
      <c r="E35" s="913">
        <v>289.10000000000002</v>
      </c>
      <c r="F35" s="973"/>
      <c r="G35" s="1002">
        <f t="shared" si="2"/>
        <v>34.723216096518939</v>
      </c>
      <c r="H35" s="979">
        <f t="shared" si="9"/>
        <v>94.276783903481061</v>
      </c>
      <c r="I35" s="980">
        <f t="shared" si="10"/>
        <v>7.708789840898878</v>
      </c>
      <c r="J35" s="997">
        <f t="shared" si="3"/>
        <v>6.1229342334380252</v>
      </c>
      <c r="K35" s="992">
        <f t="shared" si="4"/>
        <v>202.95458432861275</v>
      </c>
      <c r="L35" s="991">
        <f t="shared" si="5"/>
        <v>23.721757661158684</v>
      </c>
      <c r="M35" s="992">
        <f t="shared" si="6"/>
        <v>118.94119975853617</v>
      </c>
      <c r="N35" s="1003" t="str">
        <f t="shared" si="1"/>
        <v>Arbre 15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4" t="s">
        <v>163</v>
      </c>
      <c r="B36" s="912"/>
      <c r="C36" s="966"/>
      <c r="D36" s="913"/>
      <c r="E36" s="913"/>
      <c r="F36" s="973"/>
      <c r="G36" s="1002" t="str">
        <f t="shared" si="2"/>
        <v/>
      </c>
      <c r="H36" s="979">
        <f t="shared" ref="H36:H43" si="11">Azi_pv_sel+180</f>
        <v>129</v>
      </c>
      <c r="I36" s="980">
        <f t="shared" ref="I36:I40" si="12">$J$3</f>
        <v>4.5739212599008612</v>
      </c>
      <c r="J36" s="997">
        <f t="shared" si="3"/>
        <v>0</v>
      </c>
      <c r="K36" s="992">
        <f t="shared" si="4"/>
        <v>0</v>
      </c>
      <c r="L36" s="991">
        <f t="shared" si="5"/>
        <v>0</v>
      </c>
      <c r="M36" s="992">
        <f t="shared" si="6"/>
        <v>0</v>
      </c>
      <c r="N36" s="1003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4"/>
      <c r="B37" s="912"/>
      <c r="C37" s="966"/>
      <c r="D37" s="913"/>
      <c r="E37" s="913"/>
      <c r="F37" s="973"/>
      <c r="G37" s="1002" t="str">
        <f t="shared" si="2"/>
        <v/>
      </c>
      <c r="H37" s="979">
        <f t="shared" si="11"/>
        <v>129</v>
      </c>
      <c r="I37" s="980">
        <f t="shared" si="12"/>
        <v>4.5739212599008612</v>
      </c>
      <c r="J37" s="997">
        <f t="shared" si="3"/>
        <v>0</v>
      </c>
      <c r="K37" s="992">
        <f t="shared" si="4"/>
        <v>0</v>
      </c>
      <c r="L37" s="991">
        <f t="shared" si="5"/>
        <v>0</v>
      </c>
      <c r="M37" s="992">
        <f t="shared" si="6"/>
        <v>0</v>
      </c>
      <c r="N37" s="1003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4"/>
      <c r="B38" s="912"/>
      <c r="C38" s="966"/>
      <c r="D38" s="913"/>
      <c r="E38" s="913"/>
      <c r="F38" s="973"/>
      <c r="G38" s="1002" t="str">
        <f t="shared" si="2"/>
        <v/>
      </c>
      <c r="H38" s="979">
        <f t="shared" si="11"/>
        <v>129</v>
      </c>
      <c r="I38" s="980">
        <f t="shared" si="12"/>
        <v>4.5739212599008612</v>
      </c>
      <c r="J38" s="997">
        <f t="shared" si="3"/>
        <v>0</v>
      </c>
      <c r="K38" s="992">
        <f t="shared" si="4"/>
        <v>0</v>
      </c>
      <c r="L38" s="991">
        <f t="shared" si="5"/>
        <v>0</v>
      </c>
      <c r="M38" s="992">
        <f t="shared" si="6"/>
        <v>0</v>
      </c>
      <c r="N38" s="1003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4"/>
      <c r="B39" s="912"/>
      <c r="C39" s="966"/>
      <c r="D39" s="913"/>
      <c r="E39" s="913"/>
      <c r="F39" s="973"/>
      <c r="G39" s="1002" t="str">
        <f t="shared" si="2"/>
        <v/>
      </c>
      <c r="H39" s="979">
        <f t="shared" si="11"/>
        <v>129</v>
      </c>
      <c r="I39" s="980">
        <f t="shared" si="12"/>
        <v>4.5739212599008612</v>
      </c>
      <c r="J39" s="997">
        <f t="shared" si="3"/>
        <v>0</v>
      </c>
      <c r="K39" s="992">
        <f t="shared" si="4"/>
        <v>0</v>
      </c>
      <c r="L39" s="991">
        <f t="shared" si="5"/>
        <v>0</v>
      </c>
      <c r="M39" s="992">
        <f t="shared" si="6"/>
        <v>0</v>
      </c>
      <c r="N39" s="1003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4"/>
      <c r="B40" s="912"/>
      <c r="C40" s="966"/>
      <c r="D40" s="913"/>
      <c r="E40" s="913"/>
      <c r="F40" s="973"/>
      <c r="G40" s="1002" t="str">
        <f t="shared" si="2"/>
        <v/>
      </c>
      <c r="H40" s="979">
        <f t="shared" si="11"/>
        <v>129</v>
      </c>
      <c r="I40" s="980">
        <f t="shared" si="12"/>
        <v>4.5739212599008612</v>
      </c>
      <c r="J40" s="997">
        <f t="shared" si="3"/>
        <v>0</v>
      </c>
      <c r="K40" s="992">
        <f t="shared" si="4"/>
        <v>0</v>
      </c>
      <c r="L40" s="991">
        <f t="shared" si="5"/>
        <v>0</v>
      </c>
      <c r="M40" s="992">
        <f t="shared" si="6"/>
        <v>0</v>
      </c>
      <c r="N40" s="1003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4"/>
      <c r="B41" s="912"/>
      <c r="C41" s="966"/>
      <c r="D41" s="913"/>
      <c r="E41" s="913"/>
      <c r="F41" s="973"/>
      <c r="G41" s="1002" t="str">
        <f t="shared" si="2"/>
        <v/>
      </c>
      <c r="H41" s="979">
        <f t="shared" si="11"/>
        <v>129</v>
      </c>
      <c r="I41" s="980">
        <f>$J$3</f>
        <v>4.5739212599008612</v>
      </c>
      <c r="J41" s="997">
        <f t="shared" si="3"/>
        <v>0</v>
      </c>
      <c r="K41" s="992">
        <f t="shared" si="4"/>
        <v>0</v>
      </c>
      <c r="L41" s="991">
        <f t="shared" si="5"/>
        <v>0</v>
      </c>
      <c r="M41" s="992">
        <f t="shared" si="6"/>
        <v>0</v>
      </c>
      <c r="N41" s="1003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4"/>
      <c r="B42" s="912"/>
      <c r="C42" s="966"/>
      <c r="D42" s="913"/>
      <c r="E42" s="913"/>
      <c r="F42" s="973"/>
      <c r="G42" s="1002" t="str">
        <f t="shared" si="2"/>
        <v/>
      </c>
      <c r="H42" s="979">
        <f t="shared" si="11"/>
        <v>129</v>
      </c>
      <c r="I42" s="980">
        <f>$J$3</f>
        <v>4.5739212599008612</v>
      </c>
      <c r="J42" s="997">
        <f t="shared" si="3"/>
        <v>0</v>
      </c>
      <c r="K42" s="992">
        <f t="shared" si="4"/>
        <v>0</v>
      </c>
      <c r="L42" s="991">
        <f t="shared" si="5"/>
        <v>0</v>
      </c>
      <c r="M42" s="992">
        <f t="shared" si="6"/>
        <v>0</v>
      </c>
      <c r="N42" s="1003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8"/>
      <c r="B43" s="959"/>
      <c r="C43" s="968"/>
      <c r="D43" s="969"/>
      <c r="E43" s="969"/>
      <c r="F43" s="988"/>
      <c r="G43" s="1102"/>
      <c r="H43" s="981">
        <f t="shared" si="11"/>
        <v>129</v>
      </c>
      <c r="I43" s="982">
        <f>$J$3</f>
        <v>4.5739212599008612</v>
      </c>
      <c r="J43" s="999"/>
      <c r="K43" s="994"/>
      <c r="L43" s="993"/>
      <c r="M43" s="994"/>
      <c r="N43" s="1004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7" t="s">
        <v>188</v>
      </c>
      <c r="B44" s="915"/>
      <c r="C44" s="916"/>
      <c r="D44" s="616"/>
      <c r="E44" s="651"/>
      <c r="F44" s="967"/>
      <c r="G44" s="616"/>
      <c r="H44" s="917"/>
      <c r="I44" s="917"/>
      <c r="J44" s="916"/>
      <c r="K44" s="616"/>
      <c r="L44" s="915"/>
      <c r="M44" s="915"/>
      <c r="N44" s="1008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4" t="s">
        <v>157</v>
      </c>
      <c r="B45" s="912">
        <v>1</v>
      </c>
      <c r="C45" s="971">
        <v>36.270000000000003</v>
      </c>
      <c r="D45" s="913">
        <v>554.38</v>
      </c>
      <c r="E45" s="913">
        <v>166.83</v>
      </c>
      <c r="F45" s="973"/>
      <c r="G45" s="1002"/>
      <c r="H45" s="979"/>
      <c r="I45" s="980"/>
      <c r="J45" s="997"/>
      <c r="K45" s="992"/>
      <c r="L45" s="991"/>
      <c r="M45" s="992"/>
      <c r="N45" s="1003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4" t="s">
        <v>159</v>
      </c>
      <c r="B46" s="912">
        <v>1</v>
      </c>
      <c r="C46" s="971">
        <v>32.880000000000003</v>
      </c>
      <c r="D46" s="913">
        <v>531.12</v>
      </c>
      <c r="E46" s="913">
        <v>186.13</v>
      </c>
      <c r="F46" s="973"/>
      <c r="G46" s="1002"/>
      <c r="H46" s="979"/>
      <c r="I46" s="980"/>
      <c r="J46" s="997"/>
      <c r="K46" s="992"/>
      <c r="L46" s="991"/>
      <c r="M46" s="992"/>
      <c r="N46" s="1003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4" t="s">
        <v>161</v>
      </c>
      <c r="B47" s="912">
        <v>1</v>
      </c>
      <c r="C47" s="971">
        <v>41.77</v>
      </c>
      <c r="D47" s="913">
        <v>508.09</v>
      </c>
      <c r="E47" s="913">
        <v>204.77</v>
      </c>
      <c r="F47" s="973"/>
      <c r="G47" s="1002"/>
      <c r="H47" s="979"/>
      <c r="I47" s="980"/>
      <c r="J47" s="997"/>
      <c r="K47" s="992"/>
      <c r="L47" s="991"/>
      <c r="M47" s="992"/>
      <c r="N47" s="1003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4"/>
      <c r="B48" s="912"/>
      <c r="C48" s="971"/>
      <c r="D48" s="913"/>
      <c r="E48" s="913"/>
      <c r="F48" s="973"/>
      <c r="G48" s="1002"/>
      <c r="H48" s="979"/>
      <c r="I48" s="980"/>
      <c r="J48" s="997"/>
      <c r="K48" s="992"/>
      <c r="L48" s="991"/>
      <c r="M48" s="992"/>
      <c r="N48" s="1003"/>
      <c r="O48" s="689"/>
      <c r="P48" s="685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4"/>
      <c r="B49" s="912"/>
      <c r="C49" s="971"/>
      <c r="D49" s="913"/>
      <c r="E49" s="913"/>
      <c r="F49" s="973"/>
      <c r="G49" s="1002"/>
      <c r="H49" s="979"/>
      <c r="I49" s="980"/>
      <c r="J49" s="997"/>
      <c r="K49" s="992"/>
      <c r="L49" s="991"/>
      <c r="M49" s="992"/>
      <c r="N49" s="1003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4"/>
      <c r="B50" s="912"/>
      <c r="C50" s="971"/>
      <c r="D50" s="913"/>
      <c r="E50" s="913"/>
      <c r="F50" s="973"/>
      <c r="G50" s="1002"/>
      <c r="H50" s="979"/>
      <c r="I50" s="980"/>
      <c r="J50" s="997"/>
      <c r="K50" s="992"/>
      <c r="L50" s="991"/>
      <c r="M50" s="992"/>
      <c r="N50" s="1003"/>
      <c r="O50" s="689"/>
      <c r="P50" s="685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4" t="s">
        <v>350</v>
      </c>
      <c r="B51" s="912">
        <v>1</v>
      </c>
      <c r="C51" s="971">
        <v>10</v>
      </c>
      <c r="D51" s="913">
        <f>+(D50+D52)/2</f>
        <v>0</v>
      </c>
      <c r="E51" s="913">
        <f>+(E50+E52)/2</f>
        <v>0</v>
      </c>
      <c r="F51" s="973"/>
      <c r="G51" s="1002"/>
      <c r="H51" s="979"/>
      <c r="I51" s="980"/>
      <c r="J51" s="997"/>
      <c r="K51" s="992"/>
      <c r="L51" s="991"/>
      <c r="M51" s="992"/>
      <c r="N51" s="1003"/>
      <c r="O51" s="689"/>
      <c r="P51" s="685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2" t="s">
        <v>170</v>
      </c>
      <c r="C52" s="625"/>
      <c r="F52" s="15"/>
      <c r="K52" s="15"/>
      <c r="L52" s="625"/>
      <c r="M52" s="918"/>
      <c r="N52" s="41"/>
      <c r="O52" s="919"/>
      <c r="P52" s="21"/>
      <c r="R52" s="21"/>
      <c r="S52" s="337"/>
    </row>
    <row r="53" spans="1:51" s="36" customFormat="1" ht="15.75" x14ac:dyDescent="0.25">
      <c r="A53" s="687"/>
      <c r="B53" s="687" t="s">
        <v>199</v>
      </c>
      <c r="C53" s="1099">
        <v>1</v>
      </c>
      <c r="E53" s="685"/>
      <c r="G53" s="687" t="s">
        <v>331</v>
      </c>
      <c r="H53" s="1124">
        <f>I1</f>
        <v>44618</v>
      </c>
      <c r="L53" s="1025"/>
      <c r="P53" s="684" t="s">
        <v>287</v>
      </c>
      <c r="R53" s="685"/>
      <c r="V53" s="685"/>
      <c r="X53" s="685"/>
      <c r="Y53" s="691"/>
      <c r="Z53" s="685"/>
      <c r="AA53" s="684" t="s">
        <v>288</v>
      </c>
      <c r="AM53" s="82"/>
      <c r="AN53" s="1201" t="s">
        <v>321</v>
      </c>
      <c r="AO53" s="1202"/>
      <c r="AP53" s="1197" t="s">
        <v>322</v>
      </c>
      <c r="AQ53" s="1198"/>
      <c r="AR53" s="1197" t="s">
        <v>323</v>
      </c>
      <c r="AS53" s="1198"/>
      <c r="AT53" s="1197" t="s">
        <v>324</v>
      </c>
      <c r="AU53" s="1198"/>
      <c r="AV53" s="1197" t="s">
        <v>325</v>
      </c>
      <c r="AW53" s="1198"/>
    </row>
    <row r="54" spans="1:51" s="4" customFormat="1" x14ac:dyDescent="0.25">
      <c r="A54" s="709" t="str">
        <f>Station</f>
        <v>S.D.I.S. Montgiscard</v>
      </c>
      <c r="B54" s="1210" t="s">
        <v>311</v>
      </c>
      <c r="C54" s="1207" t="str">
        <f>"Hauteur fonction de la croissance vue du champ PV "&amp;ZonePV</f>
        <v>Hauteur fonction de la croissance vue du champ PV 2</v>
      </c>
      <c r="D54" s="1208"/>
      <c r="E54" s="1208"/>
      <c r="F54" s="1208"/>
      <c r="G54" s="1208"/>
      <c r="H54" s="1208"/>
      <c r="I54" s="1208"/>
      <c r="J54" s="1208"/>
      <c r="K54" s="1208"/>
      <c r="L54" s="1208"/>
      <c r="M54" s="1209"/>
      <c r="O54" s="920" t="str">
        <f>Station</f>
        <v>S.D.I.S. Montgiscard</v>
      </c>
      <c r="P54" s="921">
        <f>Azi_pv_sel</f>
        <v>-51</v>
      </c>
      <c r="Q54" s="1207" t="str">
        <f>"Elevation vue du champ PV zone: "&amp;ZonePV</f>
        <v>Elevation vue du champ PV zone: 2</v>
      </c>
      <c r="R54" s="1208"/>
      <c r="S54" s="1208"/>
      <c r="T54" s="1208"/>
      <c r="U54" s="1208"/>
      <c r="V54" s="1208"/>
      <c r="W54" s="1208"/>
      <c r="X54" s="1208"/>
      <c r="Y54" s="1208"/>
      <c r="Z54" s="1209"/>
      <c r="AA54" s="922">
        <f>Ram_pv</f>
        <v>0.08</v>
      </c>
      <c r="AB54" s="2"/>
      <c r="AC54" s="2"/>
      <c r="AD54" s="28"/>
      <c r="AG54" s="923"/>
      <c r="AH54" s="924" t="s">
        <v>289</v>
      </c>
      <c r="AJ54" s="1205" t="s">
        <v>318</v>
      </c>
      <c r="AK54" s="1066"/>
      <c r="AL54" s="1066"/>
      <c r="AM54" s="1066"/>
      <c r="AN54" s="1203" t="s">
        <v>312</v>
      </c>
      <c r="AO54" s="1204"/>
      <c r="AP54" s="1199" t="s">
        <v>312</v>
      </c>
      <c r="AQ54" s="1200"/>
      <c r="AR54" s="1199" t="s">
        <v>312</v>
      </c>
      <c r="AS54" s="1200"/>
      <c r="AT54" s="1199" t="s">
        <v>312</v>
      </c>
      <c r="AU54" s="1200"/>
      <c r="AV54" s="1199" t="s">
        <v>312</v>
      </c>
      <c r="AW54" s="1200"/>
    </row>
    <row r="55" spans="1:51" s="19" customFormat="1" ht="13.5" thickBot="1" x14ac:dyDescent="0.25">
      <c r="A55" s="710" t="s">
        <v>310</v>
      </c>
      <c r="B55" s="1210"/>
      <c r="C55" s="692">
        <f>+D$55-$C$53</f>
        <v>-5</v>
      </c>
      <c r="D55" s="692">
        <f>+E$55-$C$53</f>
        <v>-4</v>
      </c>
      <c r="E55" s="692">
        <f>+F$55-$C$53</f>
        <v>-3</v>
      </c>
      <c r="F55" s="692">
        <f>+G$55-$C$53</f>
        <v>-2</v>
      </c>
      <c r="G55" s="692">
        <f>+H$55-$C$53</f>
        <v>-1</v>
      </c>
      <c r="H55" s="693">
        <v>0</v>
      </c>
      <c r="I55" s="692">
        <f>$C$53+H$55</f>
        <v>1</v>
      </c>
      <c r="J55" s="692">
        <f>$C$53+I$55</f>
        <v>2</v>
      </c>
      <c r="K55" s="692">
        <f>$C$53+J$55</f>
        <v>3</v>
      </c>
      <c r="L55" s="692">
        <f>$C$53+K$55</f>
        <v>4</v>
      </c>
      <c r="M55" s="692">
        <f>$C$53+L$55</f>
        <v>5</v>
      </c>
      <c r="N55" s="674" t="s">
        <v>154</v>
      </c>
      <c r="O55" s="674" t="str">
        <f>"zone "&amp;ZonePV</f>
        <v>zone 2</v>
      </c>
      <c r="P55" s="694" t="s">
        <v>153</v>
      </c>
      <c r="Q55" s="692">
        <f t="shared" ref="Q55:AA55" si="13">C55</f>
        <v>-5</v>
      </c>
      <c r="R55" s="692">
        <f t="shared" si="13"/>
        <v>-4</v>
      </c>
      <c r="S55" s="692">
        <f t="shared" si="13"/>
        <v>-3</v>
      </c>
      <c r="T55" s="692">
        <f t="shared" si="13"/>
        <v>-2</v>
      </c>
      <c r="U55" s="692">
        <f t="shared" si="13"/>
        <v>-1</v>
      </c>
      <c r="V55" s="693">
        <f t="shared" si="13"/>
        <v>0</v>
      </c>
      <c r="W55" s="692">
        <f t="shared" si="13"/>
        <v>1</v>
      </c>
      <c r="X55" s="692">
        <f t="shared" si="13"/>
        <v>2</v>
      </c>
      <c r="Y55" s="692">
        <f t="shared" si="13"/>
        <v>3</v>
      </c>
      <c r="Z55" s="692">
        <f t="shared" si="13"/>
        <v>4</v>
      </c>
      <c r="AA55" s="692">
        <f t="shared" si="13"/>
        <v>5</v>
      </c>
      <c r="AB55" s="124" t="s">
        <v>296</v>
      </c>
      <c r="AC55" s="926" t="s">
        <v>291</v>
      </c>
      <c r="AD55" s="925" t="s">
        <v>290</v>
      </c>
      <c r="AE55" s="926" t="s">
        <v>292</v>
      </c>
      <c r="AF55" s="927" t="s">
        <v>293</v>
      </c>
      <c r="AG55" s="928" t="s">
        <v>294</v>
      </c>
      <c r="AH55" s="929" t="s">
        <v>295</v>
      </c>
      <c r="AJ55" s="1206"/>
      <c r="AK55" s="82" t="s">
        <v>314</v>
      </c>
      <c r="AL55" s="82" t="s">
        <v>316</v>
      </c>
      <c r="AM55" s="82" t="s">
        <v>317</v>
      </c>
      <c r="AN55" s="1075" t="s">
        <v>315</v>
      </c>
      <c r="AO55" s="1076" t="s">
        <v>313</v>
      </c>
      <c r="AP55" s="1077" t="s">
        <v>315</v>
      </c>
      <c r="AQ55" s="1078" t="s">
        <v>313</v>
      </c>
      <c r="AR55" s="1077" t="s">
        <v>315</v>
      </c>
      <c r="AS55" s="1078" t="s">
        <v>313</v>
      </c>
      <c r="AT55" s="1077" t="s">
        <v>315</v>
      </c>
      <c r="AU55" s="1078" t="s">
        <v>313</v>
      </c>
      <c r="AV55" s="1077" t="s">
        <v>315</v>
      </c>
      <c r="AW55" s="1078" t="s">
        <v>313</v>
      </c>
    </row>
    <row r="56" spans="1:51" s="28" customFormat="1" ht="12.75" x14ac:dyDescent="0.2">
      <c r="A56" s="1026" t="str">
        <f t="shared" ref="A56:A79" si="14">A20</f>
        <v>Arrière PV</v>
      </c>
      <c r="B56" s="1029">
        <v>1</v>
      </c>
      <c r="C56" s="1085">
        <f t="shared" ref="C56:M56" si="15">$L20+C$55*Rapous</f>
        <v>-5</v>
      </c>
      <c r="D56" s="1085">
        <f t="shared" si="15"/>
        <v>-4</v>
      </c>
      <c r="E56" s="1085">
        <f t="shared" si="15"/>
        <v>-3</v>
      </c>
      <c r="F56" s="1085">
        <f t="shared" si="15"/>
        <v>-2</v>
      </c>
      <c r="G56" s="1086">
        <f t="shared" si="15"/>
        <v>-1</v>
      </c>
      <c r="H56" s="1087">
        <f t="shared" si="15"/>
        <v>0</v>
      </c>
      <c r="I56" s="1088">
        <f t="shared" si="15"/>
        <v>1</v>
      </c>
      <c r="J56" s="1085">
        <f t="shared" si="15"/>
        <v>2</v>
      </c>
      <c r="K56" s="1085">
        <f t="shared" si="15"/>
        <v>3</v>
      </c>
      <c r="L56" s="1085">
        <f t="shared" si="15"/>
        <v>4</v>
      </c>
      <c r="M56" s="1086">
        <f t="shared" si="15"/>
        <v>5</v>
      </c>
      <c r="N56" s="689">
        <f t="shared" ref="N56:N79" si="16">$M20</f>
        <v>0</v>
      </c>
      <c r="O56" s="930" t="str">
        <f t="shared" ref="O56:O79" si="17">N20</f>
        <v>Arrière PV</v>
      </c>
      <c r="P56" s="679">
        <f t="shared" ref="P56:P79" si="18">$H20+Azi_decal</f>
        <v>-231</v>
      </c>
      <c r="Q56" s="1089">
        <f t="shared" ref="Q56:Q79" si="19">MAX(IF($N56=0,$I20,DEGREES(ATAN2($N56,C56-H_pv))),Elev_F+0)</f>
        <v>4.5739212599008612</v>
      </c>
      <c r="R56" s="689">
        <f t="shared" ref="R56:R79" si="20">MAX(IF($N56=0,$I20,DEGREES(ATAN2($N56,D56-H_pv))),Elev_F+0)</f>
        <v>4.5739212599008612</v>
      </c>
      <c r="S56" s="689">
        <f t="shared" ref="S56:S79" si="21">MAX(IF($N56=0,$I20,DEGREES(ATAN2($N56,E56-H_pv))),Elev_F+0)</f>
        <v>4.5739212599008612</v>
      </c>
      <c r="T56" s="689">
        <f t="shared" ref="T56:T79" si="22">MAX(IF($N56=0,$I20,DEGREES(ATAN2($N56,F56-H_pv))),Elev_F+0)</f>
        <v>4.5739212599008612</v>
      </c>
      <c r="U56" s="946">
        <f t="shared" ref="U56:U79" si="23">MAX(IF($N56=0,$I20,DEGREES(ATAN2($N56,G56-H_pv))),Elev_F+0)</f>
        <v>4.5739212599008612</v>
      </c>
      <c r="V56" s="1090">
        <f t="shared" ref="V56:V79" si="24">MAX(IF($N56=0,$I20,DEGREES(ATAN2($N56,H56-H_pv))),Elev_F+0)</f>
        <v>4.5739212599008612</v>
      </c>
      <c r="W56" s="686">
        <f t="shared" ref="W56:W79" si="25">MAX(IF($N56=0,$I20,DEGREES(ATAN2($N56,I56-H_pv))),Elev_F+0)</f>
        <v>4.5739212599008612</v>
      </c>
      <c r="X56" s="689">
        <f t="shared" ref="X56:X79" si="26">MAX(IF($N56=0,$I20,DEGREES(ATAN2($N56,J56-H_pv))),Elev_F+0)</f>
        <v>4.5739212599008612</v>
      </c>
      <c r="Y56" s="689">
        <f t="shared" ref="Y56:Y79" si="27">MAX(IF($N56=0,$I20,DEGREES(ATAN2($N56,K56-H_pv))),Elev_F+0)</f>
        <v>4.5739212599008612</v>
      </c>
      <c r="Z56" s="689">
        <f t="shared" ref="Z56:Z79" si="28">MAX(IF($N56=0,$I20,DEGREES(ATAN2($N56,L56-H_pv))),Elev_F+0)</f>
        <v>4.5739212599008612</v>
      </c>
      <c r="AA56" s="946">
        <f t="shared" ref="AA56:AA79" si="29">MAX(IF($N56=0,$I20,DEGREES(ATAN2($N56,M56-H_pv))),Elev_F+0)</f>
        <v>4.5739212599008612</v>
      </c>
      <c r="AB56" s="1053">
        <f t="shared" ref="AB56:AB78" si="30">(AA56+AA57)/2</f>
        <v>2.7869606299504306</v>
      </c>
      <c r="AC56" s="1054">
        <f>INDEX($AH$56:$AH$82,MATCH(AB56,$AG$56:$AG$82)+1)</f>
        <v>7.5010000000000003</v>
      </c>
      <c r="AD56" s="1055" t="b">
        <f t="shared" ref="AD56:AD79" si="31">G20&lt;AC56</f>
        <v>0</v>
      </c>
      <c r="AE56" s="1054">
        <f t="shared" ref="AE56:AE79" si="32">H21-H20</f>
        <v>90</v>
      </c>
      <c r="AF56" s="1056">
        <f>+IF(F15="D",AC55-AE55,IF(F20="G",AE56-AC56,0))</f>
        <v>0</v>
      </c>
      <c r="AG56" s="931">
        <v>-10</v>
      </c>
      <c r="AH56" s="932">
        <v>7.5</v>
      </c>
      <c r="AJ56" s="1067">
        <f>AM56+(INDEX($AO$56:$AO$79,$AK56+1)-AM56)/(INDEX($AN$56:$AN$79,AK56+1)-AL56)*($H20-AL56)</f>
        <v>1</v>
      </c>
      <c r="AK56" s="82">
        <f>MATCH($H20,$AN$56:$AN$79)</f>
        <v>1</v>
      </c>
      <c r="AL56" s="1068">
        <f>INDEX($AN$56:$AN$79,$AK56)</f>
        <v>-231</v>
      </c>
      <c r="AM56" s="1068">
        <f>INDEX($AO$56:$AO$79,$AK56)</f>
        <v>1</v>
      </c>
      <c r="AN56" s="1079">
        <f t="shared" ref="AN56:AN67" si="33">IF(AND(AX56=0,AX57=0),MAX(AN55,$H$43+1),AX56)</f>
        <v>-231</v>
      </c>
      <c r="AO56" s="1080">
        <f>IF(AND(AY56=0,AY57=0),$I$43,AY56)</f>
        <v>1</v>
      </c>
      <c r="AP56" s="1072">
        <f>$H$20</f>
        <v>-231</v>
      </c>
      <c r="AQ56" s="1073">
        <v>1</v>
      </c>
      <c r="AR56" s="1072">
        <f>$H$20</f>
        <v>-231</v>
      </c>
      <c r="AS56" s="1073">
        <f>AS57</f>
        <v>1</v>
      </c>
      <c r="AT56" s="1072">
        <f>$H$20</f>
        <v>-231</v>
      </c>
      <c r="AU56" s="1073">
        <f>AU57</f>
        <v>1</v>
      </c>
      <c r="AV56" s="1072">
        <f>$H$20</f>
        <v>-231</v>
      </c>
      <c r="AW56" s="1073">
        <f>AW57</f>
        <v>1</v>
      </c>
      <c r="AX56" s="28">
        <f t="shared" ref="AX56:AX79" si="34">CHOOSE(ZonePV,AP56,AR56,AT56,AV56)</f>
        <v>-231</v>
      </c>
      <c r="AY56" s="28">
        <f t="shared" ref="AY56:AY79" si="35">CHOOSE(ZonePV,AQ56,AS56,AU56,AW56)</f>
        <v>1</v>
      </c>
    </row>
    <row r="57" spans="1:51" s="28" customFormat="1" ht="12.75" x14ac:dyDescent="0.2">
      <c r="A57" s="1026" t="str">
        <f t="shared" si="14"/>
        <v>Toiture G</v>
      </c>
      <c r="B57" s="1030">
        <v>1</v>
      </c>
      <c r="C57" s="1085">
        <f t="shared" ref="C57:M57" si="36">$L21+C$55*Rapous</f>
        <v>-5</v>
      </c>
      <c r="D57" s="1085">
        <f t="shared" si="36"/>
        <v>-4</v>
      </c>
      <c r="E57" s="1085">
        <f t="shared" si="36"/>
        <v>-3</v>
      </c>
      <c r="F57" s="1085">
        <f t="shared" si="36"/>
        <v>-2</v>
      </c>
      <c r="G57" s="1086">
        <f t="shared" si="36"/>
        <v>-1</v>
      </c>
      <c r="H57" s="1087">
        <f t="shared" si="36"/>
        <v>0</v>
      </c>
      <c r="I57" s="1088">
        <f t="shared" si="36"/>
        <v>1</v>
      </c>
      <c r="J57" s="1085">
        <f t="shared" si="36"/>
        <v>2</v>
      </c>
      <c r="K57" s="1085">
        <f t="shared" si="36"/>
        <v>3</v>
      </c>
      <c r="L57" s="1085">
        <f t="shared" si="36"/>
        <v>4</v>
      </c>
      <c r="M57" s="1086">
        <f t="shared" si="36"/>
        <v>5</v>
      </c>
      <c r="N57" s="689">
        <f t="shared" si="16"/>
        <v>0</v>
      </c>
      <c r="O57" s="930" t="str">
        <f t="shared" si="17"/>
        <v>Toiture G</v>
      </c>
      <c r="P57" s="679">
        <f t="shared" si="18"/>
        <v>-141</v>
      </c>
      <c r="Q57" s="686">
        <f t="shared" si="19"/>
        <v>1</v>
      </c>
      <c r="R57" s="689">
        <f t="shared" si="20"/>
        <v>1</v>
      </c>
      <c r="S57" s="689">
        <f t="shared" si="21"/>
        <v>1</v>
      </c>
      <c r="T57" s="689">
        <f t="shared" si="22"/>
        <v>1</v>
      </c>
      <c r="U57" s="946">
        <f t="shared" si="23"/>
        <v>1</v>
      </c>
      <c r="V57" s="1090">
        <f t="shared" si="24"/>
        <v>1</v>
      </c>
      <c r="W57" s="686">
        <f t="shared" si="25"/>
        <v>1</v>
      </c>
      <c r="X57" s="689">
        <f t="shared" si="26"/>
        <v>1</v>
      </c>
      <c r="Y57" s="689">
        <f t="shared" si="27"/>
        <v>1</v>
      </c>
      <c r="Z57" s="689">
        <f t="shared" si="28"/>
        <v>1</v>
      </c>
      <c r="AA57" s="946">
        <f t="shared" si="29"/>
        <v>1</v>
      </c>
      <c r="AB57" s="1057">
        <f t="shared" si="30"/>
        <v>6.4963491508563793</v>
      </c>
      <c r="AC57" s="1058">
        <f t="shared" ref="AC57:AC79" si="37">INDEX($AH$56:$AH$82,MATCH(AB57,$AG$56:$AG$82)+1)</f>
        <v>7.5010000000000003</v>
      </c>
      <c r="AD57" s="39" t="b">
        <f t="shared" si="31"/>
        <v>0</v>
      </c>
      <c r="AE57" s="1058">
        <f t="shared" si="32"/>
        <v>112.64881992709482</v>
      </c>
      <c r="AF57" s="1059">
        <f t="shared" ref="AF57:AF79" si="38">+IF(F20="D",AC56-AE56,IF(F21="G",AE57-AC57,0))</f>
        <v>0</v>
      </c>
      <c r="AG57" s="931">
        <v>22.98</v>
      </c>
      <c r="AH57" s="932">
        <v>7.5010000000000003</v>
      </c>
      <c r="AJ57" s="1067">
        <f t="shared" ref="AJ57:AJ79" si="39">AM57+(INDEX($AO$56:$AO$79,$AK57+1)-AM57)/(INDEX($AN$56:$AN$79,AK57+1)-AL57)*($H21-AL57)</f>
        <v>1</v>
      </c>
      <c r="AK57" s="82">
        <f t="shared" ref="AK57:AK79" si="40">MATCH($H21,$AN$56:$AN$79)</f>
        <v>1</v>
      </c>
      <c r="AL57" s="1068">
        <f t="shared" ref="AL57:AL79" si="41">INDEX($AN$56:$AN$79,$AK57)</f>
        <v>-231</v>
      </c>
      <c r="AM57" s="1068">
        <f t="shared" ref="AM57:AM79" si="42">INDEX($AO$56:$AO$79,$AK57)</f>
        <v>1</v>
      </c>
      <c r="AN57" s="1079">
        <f t="shared" si="33"/>
        <v>129</v>
      </c>
      <c r="AO57" s="1080">
        <f t="shared" ref="AO57:AO79" si="43">IF(AND(AY57=0,AY58=0),$I$43,AY57)</f>
        <v>1</v>
      </c>
      <c r="AP57" s="1072">
        <f>$H$43</f>
        <v>129</v>
      </c>
      <c r="AQ57" s="1073">
        <v>1</v>
      </c>
      <c r="AR57" s="1072">
        <f>$H$43</f>
        <v>129</v>
      </c>
      <c r="AS57" s="1073">
        <v>1</v>
      </c>
      <c r="AT57" s="1072">
        <f>$H$43</f>
        <v>129</v>
      </c>
      <c r="AU57" s="1073">
        <v>1</v>
      </c>
      <c r="AV57" s="1072">
        <f>$H$43</f>
        <v>129</v>
      </c>
      <c r="AW57" s="1073">
        <v>1</v>
      </c>
      <c r="AX57" s="28">
        <f t="shared" si="34"/>
        <v>129</v>
      </c>
      <c r="AY57" s="28">
        <f t="shared" si="35"/>
        <v>1</v>
      </c>
    </row>
    <row r="58" spans="1:51" s="19" customFormat="1" ht="12.75" x14ac:dyDescent="0.2">
      <c r="A58" s="1026" t="str">
        <f t="shared" si="14"/>
        <v>Arbre 1</v>
      </c>
      <c r="B58" s="1030">
        <v>1</v>
      </c>
      <c r="C58" s="1085">
        <f t="shared" ref="C58:M58" si="44">$L22+C$55*Rapous</f>
        <v>26.393656683324309</v>
      </c>
      <c r="D58" s="1085">
        <f t="shared" si="44"/>
        <v>27.393656683324309</v>
      </c>
      <c r="E58" s="1085">
        <f t="shared" si="44"/>
        <v>28.393656683324309</v>
      </c>
      <c r="F58" s="1085">
        <f t="shared" si="44"/>
        <v>29.393656683324309</v>
      </c>
      <c r="G58" s="1086">
        <f t="shared" si="44"/>
        <v>30.393656683324309</v>
      </c>
      <c r="H58" s="1087">
        <f t="shared" si="44"/>
        <v>31.393656683324309</v>
      </c>
      <c r="I58" s="1088">
        <f t="shared" si="44"/>
        <v>32.393656683324309</v>
      </c>
      <c r="J58" s="1085">
        <f t="shared" si="44"/>
        <v>33.393656683324309</v>
      </c>
      <c r="K58" s="1085">
        <f t="shared" si="44"/>
        <v>34.393656683324309</v>
      </c>
      <c r="L58" s="1085">
        <f t="shared" si="44"/>
        <v>35.393656683324309</v>
      </c>
      <c r="M58" s="1086">
        <f t="shared" si="44"/>
        <v>36.393656683324309</v>
      </c>
      <c r="N58" s="689">
        <f t="shared" si="16"/>
        <v>135.44630818150782</v>
      </c>
      <c r="O58" s="930" t="str">
        <f t="shared" si="17"/>
        <v>Arbre 1</v>
      </c>
      <c r="P58" s="679">
        <f t="shared" si="18"/>
        <v>-29.430144930209568</v>
      </c>
      <c r="Q58" s="686">
        <f t="shared" si="19"/>
        <v>7.8905508127151691</v>
      </c>
      <c r="R58" s="689">
        <f t="shared" si="20"/>
        <v>8.3051698235460059</v>
      </c>
      <c r="S58" s="689">
        <f t="shared" si="21"/>
        <v>8.7189147280919919</v>
      </c>
      <c r="T58" s="689">
        <f t="shared" si="22"/>
        <v>9.1317452780557105</v>
      </c>
      <c r="U58" s="946">
        <f t="shared" si="23"/>
        <v>9.5436217825163983</v>
      </c>
      <c r="V58" s="1090">
        <f t="shared" si="24"/>
        <v>9.9545051281248487</v>
      </c>
      <c r="W58" s="686">
        <f t="shared" si="25"/>
        <v>10.364356798456079</v>
      </c>
      <c r="X58" s="689">
        <f t="shared" si="26"/>
        <v>10.773138892501064</v>
      </c>
      <c r="Y58" s="689">
        <f t="shared" si="27"/>
        <v>11.180814142280997</v>
      </c>
      <c r="Z58" s="689">
        <f t="shared" si="28"/>
        <v>11.587345929569791</v>
      </c>
      <c r="AA58" s="946">
        <f t="shared" si="29"/>
        <v>11.992698301712759</v>
      </c>
      <c r="AB58" s="1057">
        <f t="shared" si="30"/>
        <v>12.695732662874132</v>
      </c>
      <c r="AC58" s="1058">
        <f t="shared" si="37"/>
        <v>7.5010000000000003</v>
      </c>
      <c r="AD58" s="39" t="b">
        <f t="shared" si="31"/>
        <v>0</v>
      </c>
      <c r="AE58" s="1058">
        <f t="shared" si="32"/>
        <v>6.4220351426956164</v>
      </c>
      <c r="AF58" s="1059">
        <f t="shared" si="38"/>
        <v>-1.078964857304384</v>
      </c>
      <c r="AG58" s="931">
        <v>23.38</v>
      </c>
      <c r="AH58" s="932">
        <v>7.5199999999999818</v>
      </c>
      <c r="AJ58" s="1067">
        <f t="shared" si="39"/>
        <v>1</v>
      </c>
      <c r="AK58" s="82">
        <f t="shared" si="40"/>
        <v>1</v>
      </c>
      <c r="AL58" s="1068">
        <f t="shared" si="41"/>
        <v>-231</v>
      </c>
      <c r="AM58" s="1068">
        <f t="shared" si="42"/>
        <v>1</v>
      </c>
      <c r="AN58" s="1079">
        <f t="shared" si="33"/>
        <v>130</v>
      </c>
      <c r="AO58" s="1080">
        <f t="shared" si="43"/>
        <v>4.5739212599008612</v>
      </c>
      <c r="AP58" s="1072"/>
      <c r="AQ58" s="1073"/>
      <c r="AR58" s="1072"/>
      <c r="AS58" s="1073"/>
      <c r="AT58" s="1072"/>
      <c r="AU58" s="1073"/>
      <c r="AV58" s="1072"/>
      <c r="AW58" s="1073"/>
      <c r="AX58" s="28">
        <f t="shared" si="34"/>
        <v>0</v>
      </c>
      <c r="AY58" s="28">
        <f t="shared" si="35"/>
        <v>0</v>
      </c>
    </row>
    <row r="59" spans="1:51" s="19" customFormat="1" ht="12.75" x14ac:dyDescent="0.2">
      <c r="A59" s="1026" t="str">
        <f t="shared" si="14"/>
        <v>Arbre 3</v>
      </c>
      <c r="B59" s="1030">
        <v>1</v>
      </c>
      <c r="C59" s="1085">
        <f t="shared" ref="C59:M59" si="45">$L23+C$55*Rapous</f>
        <v>23.614038674989775</v>
      </c>
      <c r="D59" s="1085">
        <f t="shared" si="45"/>
        <v>24.614038674989775</v>
      </c>
      <c r="E59" s="1085">
        <f t="shared" si="45"/>
        <v>25.614038674989775</v>
      </c>
      <c r="F59" s="1085">
        <f t="shared" si="45"/>
        <v>26.614038674989775</v>
      </c>
      <c r="G59" s="1086">
        <f t="shared" si="45"/>
        <v>27.614038674989775</v>
      </c>
      <c r="H59" s="1087">
        <f t="shared" si="45"/>
        <v>28.614038674989775</v>
      </c>
      <c r="I59" s="1088">
        <f t="shared" si="45"/>
        <v>29.614038674989775</v>
      </c>
      <c r="J59" s="1085">
        <f t="shared" si="45"/>
        <v>30.614038674989775</v>
      </c>
      <c r="K59" s="1085">
        <f t="shared" si="45"/>
        <v>31.614038674989775</v>
      </c>
      <c r="L59" s="1085">
        <f t="shared" si="45"/>
        <v>32.614038674989771</v>
      </c>
      <c r="M59" s="1086">
        <f t="shared" si="45"/>
        <v>33.614038674989771</v>
      </c>
      <c r="N59" s="689">
        <f t="shared" si="16"/>
        <v>109.11485187636011</v>
      </c>
      <c r="O59" s="930" t="str">
        <f t="shared" si="17"/>
        <v>Arbre 3</v>
      </c>
      <c r="P59" s="679">
        <f t="shared" si="18"/>
        <v>-21.929144930209567</v>
      </c>
      <c r="Q59" s="686">
        <f t="shared" si="19"/>
        <v>8.3381504449855406</v>
      </c>
      <c r="R59" s="689">
        <f t="shared" si="20"/>
        <v>8.851515262779925</v>
      </c>
      <c r="S59" s="689">
        <f t="shared" si="21"/>
        <v>9.3634514921007259</v>
      </c>
      <c r="T59" s="689">
        <f t="shared" si="22"/>
        <v>9.8738837013468768</v>
      </c>
      <c r="U59" s="946">
        <f t="shared" si="23"/>
        <v>10.382737856140094</v>
      </c>
      <c r="V59" s="1090">
        <f t="shared" si="24"/>
        <v>10.889941374628975</v>
      </c>
      <c r="W59" s="686">
        <f t="shared" si="25"/>
        <v>11.395423179595216</v>
      </c>
      <c r="X59" s="689">
        <f t="shared" si="26"/>
        <v>11.899113747296322</v>
      </c>
      <c r="Y59" s="689">
        <f t="shared" si="27"/>
        <v>12.4009451529916</v>
      </c>
      <c r="Z59" s="689">
        <f t="shared" si="28"/>
        <v>12.900851113110612</v>
      </c>
      <c r="AA59" s="946">
        <f t="shared" si="29"/>
        <v>13.398767024035505</v>
      </c>
      <c r="AB59" s="1057">
        <f t="shared" si="30"/>
        <v>15.827607811075552</v>
      </c>
      <c r="AC59" s="1058">
        <f t="shared" si="37"/>
        <v>7.5010000000000003</v>
      </c>
      <c r="AD59" s="39" t="b">
        <f t="shared" si="31"/>
        <v>0</v>
      </c>
      <c r="AE59" s="1058">
        <f t="shared" si="32"/>
        <v>9.3397740034356396</v>
      </c>
      <c r="AF59" s="1059">
        <f t="shared" si="38"/>
        <v>0</v>
      </c>
      <c r="AG59" s="931">
        <v>24.23</v>
      </c>
      <c r="AH59" s="932">
        <v>7.6000000000000227</v>
      </c>
      <c r="AJ59" s="1067">
        <f t="shared" si="39"/>
        <v>1</v>
      </c>
      <c r="AK59" s="82">
        <f t="shared" si="40"/>
        <v>1</v>
      </c>
      <c r="AL59" s="1068">
        <f t="shared" si="41"/>
        <v>-231</v>
      </c>
      <c r="AM59" s="1068">
        <f t="shared" si="42"/>
        <v>1</v>
      </c>
      <c r="AN59" s="1079">
        <f t="shared" si="33"/>
        <v>130</v>
      </c>
      <c r="AO59" s="1080">
        <f t="shared" si="43"/>
        <v>4.5739212599008612</v>
      </c>
      <c r="AP59" s="1072"/>
      <c r="AQ59" s="1073"/>
      <c r="AR59" s="1072"/>
      <c r="AS59" s="1073"/>
      <c r="AT59" s="1072"/>
      <c r="AU59" s="1073"/>
      <c r="AV59" s="1072"/>
      <c r="AW59" s="1073"/>
      <c r="AX59" s="28">
        <f t="shared" si="34"/>
        <v>0</v>
      </c>
      <c r="AY59" s="28">
        <f t="shared" si="35"/>
        <v>0</v>
      </c>
    </row>
    <row r="60" spans="1:51" s="19" customFormat="1" ht="12.75" x14ac:dyDescent="0.2">
      <c r="A60" s="1026" t="str">
        <f t="shared" si="14"/>
        <v>Arbre 5</v>
      </c>
      <c r="B60" s="1030">
        <v>1</v>
      </c>
      <c r="C60" s="1085">
        <f t="shared" ref="C60:M60" si="46">$L24+C$55*Rapous</f>
        <v>25.378407138290331</v>
      </c>
      <c r="D60" s="1085">
        <f t="shared" si="46"/>
        <v>26.378407138290331</v>
      </c>
      <c r="E60" s="1085">
        <f t="shared" si="46"/>
        <v>27.378407138290331</v>
      </c>
      <c r="F60" s="1085">
        <f t="shared" si="46"/>
        <v>28.378407138290331</v>
      </c>
      <c r="G60" s="1086">
        <f t="shared" si="46"/>
        <v>29.378407138290331</v>
      </c>
      <c r="H60" s="1087">
        <f t="shared" si="46"/>
        <v>30.378407138290331</v>
      </c>
      <c r="I60" s="1088">
        <f t="shared" si="46"/>
        <v>31.378407138290331</v>
      </c>
      <c r="J60" s="1085">
        <f t="shared" si="46"/>
        <v>32.378407138290328</v>
      </c>
      <c r="K60" s="1085">
        <f t="shared" si="46"/>
        <v>33.378407138290328</v>
      </c>
      <c r="L60" s="1085">
        <f t="shared" si="46"/>
        <v>34.378407138290328</v>
      </c>
      <c r="M60" s="1086">
        <f t="shared" si="46"/>
        <v>35.378407138290328</v>
      </c>
      <c r="N60" s="689">
        <f t="shared" si="16"/>
        <v>84.143032985506295</v>
      </c>
      <c r="O60" s="930" t="str">
        <f t="shared" si="17"/>
        <v>Arbre 5</v>
      </c>
      <c r="P60" s="679">
        <f t="shared" si="18"/>
        <v>-12.589370926773928</v>
      </c>
      <c r="Q60" s="686">
        <f t="shared" si="19"/>
        <v>11.916294179997086</v>
      </c>
      <c r="R60" s="689">
        <f t="shared" si="20"/>
        <v>12.566606296799311</v>
      </c>
      <c r="S60" s="689">
        <f t="shared" si="21"/>
        <v>13.21364441074077</v>
      </c>
      <c r="T60" s="689">
        <f t="shared" si="22"/>
        <v>13.857269430464783</v>
      </c>
      <c r="U60" s="946">
        <f t="shared" si="23"/>
        <v>14.497347172175846</v>
      </c>
      <c r="V60" s="1090">
        <f t="shared" si="24"/>
        <v>15.133748467210168</v>
      </c>
      <c r="W60" s="686">
        <f t="shared" si="25"/>
        <v>15.766349253516745</v>
      </c>
      <c r="X60" s="689">
        <f t="shared" si="26"/>
        <v>16.395030651226243</v>
      </c>
      <c r="Y60" s="689">
        <f t="shared" si="27"/>
        <v>17.019679022564514</v>
      </c>
      <c r="Z60" s="689">
        <f t="shared" si="28"/>
        <v>17.640186016441621</v>
      </c>
      <c r="AA60" s="946">
        <f t="shared" si="29"/>
        <v>18.2564485981156</v>
      </c>
      <c r="AB60" s="1057">
        <f t="shared" si="30"/>
        <v>19.739016865026493</v>
      </c>
      <c r="AC60" s="1058">
        <f t="shared" si="37"/>
        <v>7.5010000000000003</v>
      </c>
      <c r="AD60" s="39" t="b">
        <f t="shared" si="31"/>
        <v>0</v>
      </c>
      <c r="AE60" s="1058">
        <f t="shared" si="32"/>
        <v>10.173818456296724</v>
      </c>
      <c r="AF60" s="1059">
        <f t="shared" si="38"/>
        <v>0</v>
      </c>
      <c r="AG60" s="931">
        <v>25.31</v>
      </c>
      <c r="AH60" s="932">
        <v>7.7300000000000182</v>
      </c>
      <c r="AJ60" s="1067">
        <f t="shared" si="39"/>
        <v>1</v>
      </c>
      <c r="AK60" s="82">
        <f t="shared" si="40"/>
        <v>1</v>
      </c>
      <c r="AL60" s="1068">
        <f t="shared" si="41"/>
        <v>-231</v>
      </c>
      <c r="AM60" s="1068">
        <f t="shared" si="42"/>
        <v>1</v>
      </c>
      <c r="AN60" s="1079">
        <f t="shared" si="33"/>
        <v>130</v>
      </c>
      <c r="AO60" s="1080">
        <f t="shared" si="43"/>
        <v>4.5739212599008612</v>
      </c>
      <c r="AP60" s="1072"/>
      <c r="AQ60" s="1073"/>
      <c r="AR60" s="1072"/>
      <c r="AS60" s="1073"/>
      <c r="AT60" s="1072"/>
      <c r="AU60" s="1073"/>
      <c r="AV60" s="1072"/>
      <c r="AW60" s="1073"/>
      <c r="AX60" s="28">
        <f t="shared" si="34"/>
        <v>0</v>
      </c>
      <c r="AY60" s="28">
        <f t="shared" si="35"/>
        <v>0</v>
      </c>
    </row>
    <row r="61" spans="1:51" s="19" customFormat="1" ht="12.75" x14ac:dyDescent="0.2">
      <c r="A61" s="1026" t="str">
        <f t="shared" si="14"/>
        <v>Arbre 7</v>
      </c>
      <c r="B61" s="1030">
        <v>1</v>
      </c>
      <c r="C61" s="1085">
        <f t="shared" ref="C61:M61" si="47">$L25+C$55*Rapous</f>
        <v>24.52427408638242</v>
      </c>
      <c r="D61" s="1085">
        <f t="shared" si="47"/>
        <v>25.52427408638242</v>
      </c>
      <c r="E61" s="1085">
        <f t="shared" si="47"/>
        <v>26.52427408638242</v>
      </c>
      <c r="F61" s="1085">
        <f t="shared" si="47"/>
        <v>27.52427408638242</v>
      </c>
      <c r="G61" s="1086">
        <f t="shared" si="47"/>
        <v>28.52427408638242</v>
      </c>
      <c r="H61" s="1087">
        <f t="shared" si="47"/>
        <v>29.52427408638242</v>
      </c>
      <c r="I61" s="1088">
        <f t="shared" si="47"/>
        <v>30.52427408638242</v>
      </c>
      <c r="J61" s="1085">
        <f t="shared" si="47"/>
        <v>31.52427408638242</v>
      </c>
      <c r="K61" s="1085">
        <f t="shared" si="47"/>
        <v>32.52427408638242</v>
      </c>
      <c r="L61" s="1085">
        <f t="shared" si="47"/>
        <v>33.52427408638242</v>
      </c>
      <c r="M61" s="1086">
        <f t="shared" si="47"/>
        <v>34.52427408638242</v>
      </c>
      <c r="N61" s="689">
        <f t="shared" si="16"/>
        <v>69.281561760687836</v>
      </c>
      <c r="O61" s="930" t="str">
        <f t="shared" si="17"/>
        <v>Arbre 7</v>
      </c>
      <c r="P61" s="679">
        <f t="shared" si="18"/>
        <v>-3.0022244933871307</v>
      </c>
      <c r="Q61" s="686">
        <f t="shared" si="19"/>
        <v>13.710580111091097</v>
      </c>
      <c r="R61" s="689">
        <f t="shared" si="20"/>
        <v>14.488487079600308</v>
      </c>
      <c r="S61" s="689">
        <f t="shared" si="21"/>
        <v>15.26097406895151</v>
      </c>
      <c r="T61" s="689">
        <f t="shared" si="22"/>
        <v>16.027819699246741</v>
      </c>
      <c r="U61" s="946">
        <f t="shared" si="23"/>
        <v>16.788813891713648</v>
      </c>
      <c r="V61" s="1090">
        <f t="shared" si="24"/>
        <v>17.543758014545595</v>
      </c>
      <c r="W61" s="686">
        <f t="shared" si="25"/>
        <v>18.292464980093033</v>
      </c>
      <c r="X61" s="689">
        <f t="shared" si="26"/>
        <v>19.034759295087891</v>
      </c>
      <c r="Y61" s="689">
        <f t="shared" si="27"/>
        <v>19.770477065856646</v>
      </c>
      <c r="Z61" s="689">
        <f t="shared" si="28"/>
        <v>20.499465960715185</v>
      </c>
      <c r="AA61" s="946">
        <f t="shared" si="29"/>
        <v>21.221585131937385</v>
      </c>
      <c r="AB61" s="1057">
        <f t="shared" si="30"/>
        <v>22.382432037895164</v>
      </c>
      <c r="AC61" s="1058">
        <f t="shared" si="37"/>
        <v>7.5010000000000003</v>
      </c>
      <c r="AD61" s="39" t="b">
        <f t="shared" si="31"/>
        <v>0</v>
      </c>
      <c r="AE61" s="1058">
        <f t="shared" si="32"/>
        <v>6.914327977090073</v>
      </c>
      <c r="AF61" s="1059">
        <f t="shared" si="38"/>
        <v>-0.58667202290992737</v>
      </c>
      <c r="AG61" s="931">
        <v>26.83</v>
      </c>
      <c r="AH61" s="932">
        <v>7.9000000000000057</v>
      </c>
      <c r="AJ61" s="1067">
        <f t="shared" si="39"/>
        <v>1</v>
      </c>
      <c r="AK61" s="82">
        <f t="shared" si="40"/>
        <v>1</v>
      </c>
      <c r="AL61" s="1068">
        <f t="shared" si="41"/>
        <v>-231</v>
      </c>
      <c r="AM61" s="1068">
        <f t="shared" si="42"/>
        <v>1</v>
      </c>
      <c r="AN61" s="1079">
        <f t="shared" si="33"/>
        <v>130</v>
      </c>
      <c r="AO61" s="1080">
        <f t="shared" si="43"/>
        <v>4.5739212599008612</v>
      </c>
      <c r="AP61" s="1072"/>
      <c r="AQ61" s="1073"/>
      <c r="AR61" s="1072"/>
      <c r="AS61" s="1073"/>
      <c r="AT61" s="1072"/>
      <c r="AU61" s="1073"/>
      <c r="AV61" s="1072"/>
      <c r="AW61" s="1073"/>
      <c r="AX61" s="28">
        <f t="shared" si="34"/>
        <v>0</v>
      </c>
      <c r="AY61" s="28">
        <f t="shared" si="35"/>
        <v>0</v>
      </c>
    </row>
    <row r="62" spans="1:51" s="19" customFormat="1" ht="12.75" x14ac:dyDescent="0.2">
      <c r="A62" s="1026" t="str">
        <f t="shared" si="14"/>
        <v>Arbre 8</v>
      </c>
      <c r="B62" s="1030">
        <v>1</v>
      </c>
      <c r="C62" s="1085">
        <f t="shared" ref="C62:M62" si="48">$L26+C$55*Rapous</f>
        <v>25.173794685448133</v>
      </c>
      <c r="D62" s="1085">
        <f t="shared" si="48"/>
        <v>26.173794685448133</v>
      </c>
      <c r="E62" s="1085">
        <f t="shared" si="48"/>
        <v>27.173794685448133</v>
      </c>
      <c r="F62" s="1085">
        <f t="shared" si="48"/>
        <v>28.173794685448133</v>
      </c>
      <c r="G62" s="1086">
        <f t="shared" si="48"/>
        <v>29.173794685448133</v>
      </c>
      <c r="H62" s="1087">
        <f t="shared" si="48"/>
        <v>30.173794685448133</v>
      </c>
      <c r="I62" s="1088">
        <f t="shared" si="48"/>
        <v>31.173794685448133</v>
      </c>
      <c r="J62" s="1085">
        <f t="shared" si="48"/>
        <v>32.173794685448129</v>
      </c>
      <c r="K62" s="1085">
        <f t="shared" si="48"/>
        <v>33.173794685448129</v>
      </c>
      <c r="L62" s="1085">
        <f t="shared" si="48"/>
        <v>34.173794685448129</v>
      </c>
      <c r="M62" s="1086">
        <f t="shared" si="48"/>
        <v>35.173794685448129</v>
      </c>
      <c r="N62" s="689">
        <f t="shared" si="16"/>
        <v>63.234825847787413</v>
      </c>
      <c r="O62" s="930" t="str">
        <f t="shared" si="17"/>
        <v>Arbre 8</v>
      </c>
      <c r="P62" s="679">
        <f t="shared" si="18"/>
        <v>4.4987755066128692</v>
      </c>
      <c r="Q62" s="686">
        <f t="shared" si="19"/>
        <v>15.513065526175557</v>
      </c>
      <c r="R62" s="689">
        <f t="shared" si="20"/>
        <v>16.350855298506566</v>
      </c>
      <c r="S62" s="689">
        <f t="shared" si="21"/>
        <v>17.181518616780405</v>
      </c>
      <c r="T62" s="689">
        <f t="shared" si="22"/>
        <v>18.004801391793045</v>
      </c>
      <c r="U62" s="946">
        <f t="shared" si="23"/>
        <v>18.820466212393356</v>
      </c>
      <c r="V62" s="1090">
        <f t="shared" si="24"/>
        <v>19.628292384218174</v>
      </c>
      <c r="W62" s="686">
        <f t="shared" si="25"/>
        <v>20.42807589287797</v>
      </c>
      <c r="X62" s="689">
        <f t="shared" si="26"/>
        <v>21.219629296002864</v>
      </c>
      <c r="Y62" s="689">
        <f t="shared" si="27"/>
        <v>22.002781548916985</v>
      </c>
      <c r="Z62" s="689">
        <f t="shared" si="28"/>
        <v>22.777377768983126</v>
      </c>
      <c r="AA62" s="946">
        <f t="shared" si="29"/>
        <v>23.54327894385294</v>
      </c>
      <c r="AB62" s="1057">
        <f t="shared" si="30"/>
        <v>24.523675513416123</v>
      </c>
      <c r="AC62" s="1058">
        <f t="shared" si="37"/>
        <v>7.7300000000000182</v>
      </c>
      <c r="AD62" s="39" t="b">
        <f t="shared" si="31"/>
        <v>0</v>
      </c>
      <c r="AE62" s="1058">
        <f t="shared" si="32"/>
        <v>8.3152399390416267</v>
      </c>
      <c r="AF62" s="1059">
        <f t="shared" si="38"/>
        <v>0</v>
      </c>
      <c r="AG62" s="931">
        <v>28.54</v>
      </c>
      <c r="AH62" s="932">
        <v>8.1200000000000045</v>
      </c>
      <c r="AJ62" s="1067">
        <f t="shared" si="39"/>
        <v>1</v>
      </c>
      <c r="AK62" s="82">
        <f t="shared" si="40"/>
        <v>1</v>
      </c>
      <c r="AL62" s="1068">
        <f t="shared" si="41"/>
        <v>-231</v>
      </c>
      <c r="AM62" s="1068">
        <f t="shared" si="42"/>
        <v>1</v>
      </c>
      <c r="AN62" s="1079">
        <f t="shared" si="33"/>
        <v>130</v>
      </c>
      <c r="AO62" s="1080">
        <f t="shared" si="43"/>
        <v>4.5739212599008612</v>
      </c>
      <c r="AP62" s="1072"/>
      <c r="AQ62" s="1073"/>
      <c r="AR62" s="1072"/>
      <c r="AS62" s="1073"/>
      <c r="AT62" s="1072"/>
      <c r="AU62" s="1073"/>
      <c r="AV62" s="1072"/>
      <c r="AW62" s="1073"/>
      <c r="AX62" s="28">
        <f t="shared" si="34"/>
        <v>0</v>
      </c>
      <c r="AY62" s="28">
        <f t="shared" si="35"/>
        <v>0</v>
      </c>
    </row>
    <row r="63" spans="1:51" s="19" customFormat="1" ht="12.75" x14ac:dyDescent="0.2">
      <c r="A63" s="1026" t="str">
        <f t="shared" si="14"/>
        <v>Arbre 9</v>
      </c>
      <c r="B63" s="1030">
        <v>1</v>
      </c>
      <c r="C63" s="1085">
        <f t="shared" ref="C63:M63" si="49">$L27+C$55*Rapous</f>
        <v>24.960841367488641</v>
      </c>
      <c r="D63" s="1085">
        <f t="shared" si="49"/>
        <v>25.960841367488641</v>
      </c>
      <c r="E63" s="1085">
        <f t="shared" si="49"/>
        <v>26.960841367488641</v>
      </c>
      <c r="F63" s="1085">
        <f t="shared" si="49"/>
        <v>27.960841367488641</v>
      </c>
      <c r="G63" s="1086">
        <f t="shared" si="49"/>
        <v>28.960841367488641</v>
      </c>
      <c r="H63" s="1087">
        <f t="shared" si="49"/>
        <v>29.960841367488641</v>
      </c>
      <c r="I63" s="1088">
        <f t="shared" si="49"/>
        <v>30.960841367488641</v>
      </c>
      <c r="J63" s="1085">
        <f t="shared" si="49"/>
        <v>31.960841367488641</v>
      </c>
      <c r="K63" s="1085">
        <f t="shared" si="49"/>
        <v>32.960841367488641</v>
      </c>
      <c r="L63" s="1085">
        <f t="shared" si="49"/>
        <v>33.960841367488641</v>
      </c>
      <c r="M63" s="1086">
        <f t="shared" si="49"/>
        <v>34.960841367488641</v>
      </c>
      <c r="N63" s="689">
        <f t="shared" si="16"/>
        <v>57.307229037879715</v>
      </c>
      <c r="O63" s="930" t="str">
        <f t="shared" si="17"/>
        <v>Arbre 9</v>
      </c>
      <c r="P63" s="679">
        <f t="shared" si="18"/>
        <v>12.814015445654496</v>
      </c>
      <c r="Q63" s="686">
        <f t="shared" si="19"/>
        <v>16.833963288128405</v>
      </c>
      <c r="R63" s="689">
        <f t="shared" si="20"/>
        <v>17.745426622425299</v>
      </c>
      <c r="S63" s="689">
        <f t="shared" si="21"/>
        <v>18.647704090733988</v>
      </c>
      <c r="T63" s="689">
        <f t="shared" si="22"/>
        <v>19.540493251807476</v>
      </c>
      <c r="U63" s="946">
        <f t="shared" si="23"/>
        <v>20.423516408841447</v>
      </c>
      <c r="V63" s="1090">
        <f t="shared" si="24"/>
        <v>21.296520451440923</v>
      </c>
      <c r="W63" s="686">
        <f t="shared" si="25"/>
        <v>22.159276576846356</v>
      </c>
      <c r="X63" s="689">
        <f t="shared" si="26"/>
        <v>23.011579900424287</v>
      </c>
      <c r="Y63" s="689">
        <f t="shared" si="27"/>
        <v>23.853248965853769</v>
      </c>
      <c r="Z63" s="689">
        <f t="shared" si="28"/>
        <v>24.684125165680424</v>
      </c>
      <c r="AA63" s="946">
        <f t="shared" si="29"/>
        <v>25.504072082979306</v>
      </c>
      <c r="AB63" s="1057">
        <f t="shared" si="30"/>
        <v>26.454468768671546</v>
      </c>
      <c r="AC63" s="1058">
        <f t="shared" si="37"/>
        <v>7.9000000000000057</v>
      </c>
      <c r="AD63" s="39" t="b">
        <f t="shared" si="31"/>
        <v>0</v>
      </c>
      <c r="AE63" s="1058">
        <f t="shared" si="32"/>
        <v>8.56482548939365</v>
      </c>
      <c r="AF63" s="1059">
        <f t="shared" si="38"/>
        <v>0</v>
      </c>
      <c r="AG63" s="931">
        <v>30.6</v>
      </c>
      <c r="AH63" s="932">
        <v>8.3700000000000045</v>
      </c>
      <c r="AJ63" s="1067">
        <f t="shared" si="39"/>
        <v>1</v>
      </c>
      <c r="AK63" s="82">
        <f t="shared" si="40"/>
        <v>1</v>
      </c>
      <c r="AL63" s="1068">
        <f t="shared" si="41"/>
        <v>-231</v>
      </c>
      <c r="AM63" s="1068">
        <f t="shared" si="42"/>
        <v>1</v>
      </c>
      <c r="AN63" s="1079">
        <f t="shared" si="33"/>
        <v>130</v>
      </c>
      <c r="AO63" s="1080">
        <f t="shared" si="43"/>
        <v>4.5739212599008612</v>
      </c>
      <c r="AP63" s="1072"/>
      <c r="AQ63" s="1073"/>
      <c r="AR63" s="1072"/>
      <c r="AS63" s="1073"/>
      <c r="AT63" s="1072"/>
      <c r="AU63" s="1073"/>
      <c r="AV63" s="1072"/>
      <c r="AW63" s="1073"/>
      <c r="AX63" s="28">
        <f t="shared" si="34"/>
        <v>0</v>
      </c>
      <c r="AY63" s="28">
        <f t="shared" si="35"/>
        <v>0</v>
      </c>
    </row>
    <row r="64" spans="1:51" s="19" customFormat="1" ht="12.75" x14ac:dyDescent="0.2">
      <c r="A64" s="1026" t="str">
        <f t="shared" si="14"/>
        <v>Arbre 10</v>
      </c>
      <c r="B64" s="1030">
        <v>1</v>
      </c>
      <c r="C64" s="1085">
        <f t="shared" ref="C64:M64" si="50">$L28+C$55*Rapous</f>
        <v>25.42676637346656</v>
      </c>
      <c r="D64" s="1085">
        <f t="shared" si="50"/>
        <v>26.42676637346656</v>
      </c>
      <c r="E64" s="1085">
        <f t="shared" si="50"/>
        <v>27.42676637346656</v>
      </c>
      <c r="F64" s="1085">
        <f t="shared" si="50"/>
        <v>28.42676637346656</v>
      </c>
      <c r="G64" s="1086">
        <f t="shared" si="50"/>
        <v>29.42676637346656</v>
      </c>
      <c r="H64" s="1087">
        <f t="shared" si="50"/>
        <v>30.42676637346656</v>
      </c>
      <c r="I64" s="1088">
        <f t="shared" si="50"/>
        <v>31.42676637346656</v>
      </c>
      <c r="J64" s="1085">
        <f t="shared" si="50"/>
        <v>32.426766373466563</v>
      </c>
      <c r="K64" s="1085">
        <f t="shared" si="50"/>
        <v>33.426766373466563</v>
      </c>
      <c r="L64" s="1085">
        <f t="shared" si="50"/>
        <v>34.426766373466563</v>
      </c>
      <c r="M64" s="1086">
        <f t="shared" si="50"/>
        <v>35.426766373466563</v>
      </c>
      <c r="N64" s="689">
        <f t="shared" si="16"/>
        <v>53.630272234998053</v>
      </c>
      <c r="O64" s="930" t="str">
        <f t="shared" si="17"/>
        <v>Arbre 10</v>
      </c>
      <c r="P64" s="679">
        <f t="shared" si="18"/>
        <v>21.378840935048146</v>
      </c>
      <c r="Q64" s="686">
        <f t="shared" si="19"/>
        <v>18.365993576884396</v>
      </c>
      <c r="R64" s="689">
        <f t="shared" si="20"/>
        <v>19.322851948771504</v>
      </c>
      <c r="S64" s="689">
        <f t="shared" si="21"/>
        <v>20.268634614203865</v>
      </c>
      <c r="T64" s="689">
        <f t="shared" si="22"/>
        <v>21.203026454715879</v>
      </c>
      <c r="U64" s="946">
        <f t="shared" si="23"/>
        <v>22.125744114598742</v>
      </c>
      <c r="V64" s="1090">
        <f t="shared" si="24"/>
        <v>23.036535479706945</v>
      </c>
      <c r="W64" s="686">
        <f t="shared" si="25"/>
        <v>23.935179005265528</v>
      </c>
      <c r="X64" s="689">
        <f t="shared" si="26"/>
        <v>24.821482909624233</v>
      </c>
      <c r="Y64" s="689">
        <f t="shared" si="27"/>
        <v>25.69528425103487</v>
      </c>
      <c r="Z64" s="689">
        <f t="shared" si="28"/>
        <v>26.556447904377432</v>
      </c>
      <c r="AA64" s="946">
        <f t="shared" si="29"/>
        <v>27.404865454363787</v>
      </c>
      <c r="AB64" s="1057">
        <f t="shared" si="30"/>
        <v>27.960176569159771</v>
      </c>
      <c r="AC64" s="1058">
        <f t="shared" si="37"/>
        <v>8.1200000000000045</v>
      </c>
      <c r="AD64" s="39" t="b">
        <f t="shared" si="31"/>
        <v>0</v>
      </c>
      <c r="AE64" s="1058">
        <f t="shared" si="32"/>
        <v>10.985814142188588</v>
      </c>
      <c r="AF64" s="1059">
        <f t="shared" si="38"/>
        <v>0</v>
      </c>
      <c r="AG64" s="931">
        <v>32.76</v>
      </c>
      <c r="AH64" s="932">
        <v>8.660000000000025</v>
      </c>
      <c r="AJ64" s="1067">
        <f t="shared" si="39"/>
        <v>1</v>
      </c>
      <c r="AK64" s="82">
        <f t="shared" si="40"/>
        <v>1</v>
      </c>
      <c r="AL64" s="1068">
        <f t="shared" si="41"/>
        <v>-231</v>
      </c>
      <c r="AM64" s="1068">
        <f t="shared" si="42"/>
        <v>1</v>
      </c>
      <c r="AN64" s="1079">
        <f t="shared" si="33"/>
        <v>130</v>
      </c>
      <c r="AO64" s="1080">
        <f t="shared" si="43"/>
        <v>4.5739212599008612</v>
      </c>
      <c r="AP64" s="1072"/>
      <c r="AQ64" s="1073"/>
      <c r="AR64" s="1072"/>
      <c r="AS64" s="1073"/>
      <c r="AT64" s="1072"/>
      <c r="AU64" s="1073"/>
      <c r="AV64" s="1072"/>
      <c r="AW64" s="1073"/>
      <c r="AX64" s="28">
        <f t="shared" si="34"/>
        <v>0</v>
      </c>
      <c r="AY64" s="28">
        <f t="shared" si="35"/>
        <v>0</v>
      </c>
    </row>
    <row r="65" spans="1:51" s="19" customFormat="1" ht="12.75" x14ac:dyDescent="0.2">
      <c r="A65" s="1026" t="str">
        <f t="shared" si="14"/>
        <v>Arbre 11</v>
      </c>
      <c r="B65" s="1030">
        <v>1</v>
      </c>
      <c r="C65" s="1085">
        <f t="shared" ref="C65:M65" si="51">$L29+C$55*Rapous</f>
        <v>25.634165463641882</v>
      </c>
      <c r="D65" s="1085">
        <f t="shared" si="51"/>
        <v>26.634165463641882</v>
      </c>
      <c r="E65" s="1085">
        <f t="shared" si="51"/>
        <v>27.634165463641882</v>
      </c>
      <c r="F65" s="1085">
        <f t="shared" si="51"/>
        <v>28.634165463641882</v>
      </c>
      <c r="G65" s="1086">
        <f t="shared" si="51"/>
        <v>29.634165463641882</v>
      </c>
      <c r="H65" s="1087">
        <f t="shared" si="51"/>
        <v>30.634165463641882</v>
      </c>
      <c r="I65" s="1088">
        <f t="shared" si="51"/>
        <v>31.634165463641882</v>
      </c>
      <c r="J65" s="1085">
        <f t="shared" si="51"/>
        <v>32.634165463641878</v>
      </c>
      <c r="K65" s="1085">
        <f t="shared" si="51"/>
        <v>33.634165463641878</v>
      </c>
      <c r="L65" s="1085">
        <f t="shared" si="51"/>
        <v>34.634165463641878</v>
      </c>
      <c r="M65" s="1086">
        <f t="shared" si="51"/>
        <v>35.634165463641878</v>
      </c>
      <c r="N65" s="689">
        <f t="shared" si="16"/>
        <v>51.559310507414686</v>
      </c>
      <c r="O65" s="930" t="str">
        <f t="shared" si="17"/>
        <v>Arbre 11</v>
      </c>
      <c r="P65" s="679">
        <f t="shared" si="18"/>
        <v>32.364655077236733</v>
      </c>
      <c r="Q65" s="686">
        <f t="shared" si="19"/>
        <v>19.257084121098991</v>
      </c>
      <c r="R65" s="689">
        <f t="shared" si="20"/>
        <v>20.241427155043652</v>
      </c>
      <c r="S65" s="689">
        <f t="shared" si="21"/>
        <v>21.213455540296305</v>
      </c>
      <c r="T65" s="689">
        <f t="shared" si="22"/>
        <v>22.172850066919565</v>
      </c>
      <c r="U65" s="946">
        <f t="shared" si="23"/>
        <v>23.119328086304524</v>
      </c>
      <c r="V65" s="1090">
        <f t="shared" si="24"/>
        <v>24.052642687617144</v>
      </c>
      <c r="W65" s="686">
        <f t="shared" si="25"/>
        <v>24.972581705575365</v>
      </c>
      <c r="X65" s="689">
        <f t="shared" si="26"/>
        <v>25.878966582042132</v>
      </c>
      <c r="Y65" s="689">
        <f t="shared" si="27"/>
        <v>26.771651103681528</v>
      </c>
      <c r="Z65" s="689">
        <f t="shared" si="28"/>
        <v>27.65052003734186</v>
      </c>
      <c r="AA65" s="946">
        <f t="shared" si="29"/>
        <v>28.515487683955755</v>
      </c>
      <c r="AB65" s="1057">
        <f t="shared" si="30"/>
        <v>17.957034865584426</v>
      </c>
      <c r="AC65" s="1058">
        <f t="shared" si="37"/>
        <v>7.5010000000000003</v>
      </c>
      <c r="AD65" s="39" t="b">
        <f t="shared" si="31"/>
        <v>0</v>
      </c>
      <c r="AE65" s="1058">
        <f t="shared" si="32"/>
        <v>14.295819702802341</v>
      </c>
      <c r="AF65" s="1059">
        <f t="shared" si="38"/>
        <v>0</v>
      </c>
      <c r="AG65" s="931">
        <v>35.270000000000003</v>
      </c>
      <c r="AH65" s="932">
        <v>9</v>
      </c>
      <c r="AJ65" s="1067">
        <f t="shared" si="39"/>
        <v>1</v>
      </c>
      <c r="AK65" s="82">
        <f t="shared" si="40"/>
        <v>1</v>
      </c>
      <c r="AL65" s="1068">
        <f t="shared" si="41"/>
        <v>-231</v>
      </c>
      <c r="AM65" s="1068">
        <f t="shared" si="42"/>
        <v>1</v>
      </c>
      <c r="AN65" s="1079">
        <f t="shared" si="33"/>
        <v>130</v>
      </c>
      <c r="AO65" s="1080">
        <f t="shared" si="43"/>
        <v>4.5739212599008612</v>
      </c>
      <c r="AP65" s="1072"/>
      <c r="AQ65" s="1073"/>
      <c r="AR65" s="1072"/>
      <c r="AS65" s="1073"/>
      <c r="AT65" s="1072"/>
      <c r="AU65" s="1073"/>
      <c r="AV65" s="1072"/>
      <c r="AW65" s="1073"/>
      <c r="AX65" s="28">
        <f t="shared" si="34"/>
        <v>0</v>
      </c>
      <c r="AY65" s="28">
        <f t="shared" si="35"/>
        <v>0</v>
      </c>
    </row>
    <row r="66" spans="1:51" s="19" customFormat="1" ht="12.75" x14ac:dyDescent="0.2">
      <c r="A66" s="1026" t="str">
        <f t="shared" si="14"/>
        <v>creux</v>
      </c>
      <c r="B66" s="1030">
        <v>1</v>
      </c>
      <c r="C66" s="1085">
        <f t="shared" ref="C66:M66" si="52">$L30+C$55*Rapous</f>
        <v>5.5435221044065663</v>
      </c>
      <c r="D66" s="1085">
        <f t="shared" si="52"/>
        <v>6.5435221044065663</v>
      </c>
      <c r="E66" s="1085">
        <f t="shared" si="52"/>
        <v>7.5435221044065663</v>
      </c>
      <c r="F66" s="1085">
        <f t="shared" si="52"/>
        <v>8.5435221044065663</v>
      </c>
      <c r="G66" s="1086">
        <f t="shared" si="52"/>
        <v>9.5435221044065663</v>
      </c>
      <c r="H66" s="1087">
        <f t="shared" si="52"/>
        <v>10.543522104406566</v>
      </c>
      <c r="I66" s="1088">
        <f t="shared" si="52"/>
        <v>11.543522104406566</v>
      </c>
      <c r="J66" s="1085">
        <f t="shared" si="52"/>
        <v>12.543522104406566</v>
      </c>
      <c r="K66" s="1085">
        <f t="shared" si="52"/>
        <v>13.543522104406566</v>
      </c>
      <c r="L66" s="1085">
        <f t="shared" si="52"/>
        <v>14.543522104406566</v>
      </c>
      <c r="M66" s="1086">
        <f t="shared" si="52"/>
        <v>15.543522104406566</v>
      </c>
      <c r="N66" s="689">
        <f t="shared" si="16"/>
        <v>61.006506210403501</v>
      </c>
      <c r="O66" s="930" t="str">
        <f t="shared" si="17"/>
        <v>creux</v>
      </c>
      <c r="P66" s="679">
        <f t="shared" si="18"/>
        <v>46.660474780039074</v>
      </c>
      <c r="Q66" s="686">
        <f t="shared" si="19"/>
        <v>1</v>
      </c>
      <c r="R66" s="689">
        <f t="shared" si="20"/>
        <v>1</v>
      </c>
      <c r="S66" s="689">
        <f t="shared" si="21"/>
        <v>1</v>
      </c>
      <c r="T66" s="689">
        <f t="shared" si="22"/>
        <v>1</v>
      </c>
      <c r="U66" s="946">
        <f t="shared" si="23"/>
        <v>1.8043345216828877</v>
      </c>
      <c r="V66" s="1090">
        <f t="shared" si="24"/>
        <v>2.7420108598986195</v>
      </c>
      <c r="W66" s="686">
        <f t="shared" si="25"/>
        <v>3.6782197166507258</v>
      </c>
      <c r="X66" s="689">
        <f t="shared" si="26"/>
        <v>4.6124660485600222</v>
      </c>
      <c r="Y66" s="689">
        <f t="shared" si="27"/>
        <v>5.5442610554279241</v>
      </c>
      <c r="Z66" s="689">
        <f t="shared" si="28"/>
        <v>6.4731236800020922</v>
      </c>
      <c r="AA66" s="946">
        <f t="shared" si="29"/>
        <v>7.3985820472130968</v>
      </c>
      <c r="AB66" s="1057">
        <f t="shared" si="30"/>
        <v>10.137069026553151</v>
      </c>
      <c r="AC66" s="1058">
        <f t="shared" si="37"/>
        <v>7.5010000000000003</v>
      </c>
      <c r="AD66" s="39" t="b">
        <f t="shared" si="31"/>
        <v>0</v>
      </c>
      <c r="AE66" s="1058">
        <f t="shared" si="32"/>
        <v>10.02085424716612</v>
      </c>
      <c r="AF66" s="1059">
        <f t="shared" si="38"/>
        <v>0</v>
      </c>
      <c r="AG66" s="931">
        <v>37.65</v>
      </c>
      <c r="AH66" s="932">
        <v>9.3500000000000227</v>
      </c>
      <c r="AJ66" s="1067">
        <f t="shared" si="39"/>
        <v>1</v>
      </c>
      <c r="AK66" s="82">
        <f t="shared" si="40"/>
        <v>1</v>
      </c>
      <c r="AL66" s="1068">
        <f t="shared" si="41"/>
        <v>-231</v>
      </c>
      <c r="AM66" s="1068">
        <f t="shared" si="42"/>
        <v>1</v>
      </c>
      <c r="AN66" s="1079">
        <f t="shared" si="33"/>
        <v>130</v>
      </c>
      <c r="AO66" s="1080">
        <f t="shared" si="43"/>
        <v>4.5739212599008612</v>
      </c>
      <c r="AP66" s="1072"/>
      <c r="AQ66" s="1073"/>
      <c r="AR66" s="1072"/>
      <c r="AS66" s="1073"/>
      <c r="AT66" s="1072"/>
      <c r="AU66" s="1073"/>
      <c r="AV66" s="1072"/>
      <c r="AW66" s="1073"/>
      <c r="AX66" s="28">
        <f t="shared" si="34"/>
        <v>0</v>
      </c>
      <c r="AY66" s="28">
        <f t="shared" si="35"/>
        <v>0</v>
      </c>
    </row>
    <row r="67" spans="1:51" s="19" customFormat="1" ht="12.75" x14ac:dyDescent="0.2">
      <c r="A67" s="1026" t="str">
        <f t="shared" si="14"/>
        <v>Arbre 12</v>
      </c>
      <c r="B67" s="1030">
        <v>1</v>
      </c>
      <c r="C67" s="1085">
        <f t="shared" ref="C67:M67" si="53">$L31+C$55*Rapous</f>
        <v>14.346210446437727</v>
      </c>
      <c r="D67" s="1085">
        <f t="shared" si="53"/>
        <v>15.346210446437727</v>
      </c>
      <c r="E67" s="1085">
        <f t="shared" si="53"/>
        <v>16.346210446437727</v>
      </c>
      <c r="F67" s="1085">
        <f t="shared" si="53"/>
        <v>17.346210446437727</v>
      </c>
      <c r="G67" s="1086">
        <f t="shared" si="53"/>
        <v>18.346210446437727</v>
      </c>
      <c r="H67" s="1087">
        <f t="shared" si="53"/>
        <v>19.346210446437727</v>
      </c>
      <c r="I67" s="1088">
        <f t="shared" si="53"/>
        <v>20.346210446437727</v>
      </c>
      <c r="J67" s="1085">
        <f t="shared" si="53"/>
        <v>21.346210446437727</v>
      </c>
      <c r="K67" s="1085">
        <f t="shared" si="53"/>
        <v>22.346210446437727</v>
      </c>
      <c r="L67" s="1085">
        <f t="shared" si="53"/>
        <v>23.346210446437727</v>
      </c>
      <c r="M67" s="1086">
        <f t="shared" si="53"/>
        <v>24.346210446437727</v>
      </c>
      <c r="N67" s="689">
        <f t="shared" si="16"/>
        <v>73.166493014220663</v>
      </c>
      <c r="O67" s="930" t="str">
        <f t="shared" si="17"/>
        <v>Arbre 12</v>
      </c>
      <c r="P67" s="679">
        <f t="shared" si="18"/>
        <v>56.681329027205194</v>
      </c>
      <c r="Q67" s="686">
        <f t="shared" si="19"/>
        <v>5.2511326459396619</v>
      </c>
      <c r="R67" s="689">
        <f t="shared" si="20"/>
        <v>6.0266476561780733</v>
      </c>
      <c r="S67" s="689">
        <f t="shared" si="21"/>
        <v>6.7999527240138731</v>
      </c>
      <c r="T67" s="689">
        <f t="shared" si="22"/>
        <v>7.5707768517387235</v>
      </c>
      <c r="U67" s="946">
        <f t="shared" si="23"/>
        <v>8.3388543674727558</v>
      </c>
      <c r="V67" s="1090">
        <f t="shared" si="24"/>
        <v>9.1039254352090015</v>
      </c>
      <c r="W67" s="686">
        <f t="shared" si="25"/>
        <v>9.8657365346393195</v>
      </c>
      <c r="X67" s="689">
        <f t="shared" si="26"/>
        <v>10.624040908828851</v>
      </c>
      <c r="Y67" s="689">
        <f t="shared" si="27"/>
        <v>11.378598978101408</v>
      </c>
      <c r="Z67" s="689">
        <f t="shared" si="28"/>
        <v>12.129178718800171</v>
      </c>
      <c r="AA67" s="946">
        <f t="shared" si="29"/>
        <v>12.875556005893205</v>
      </c>
      <c r="AB67" s="1057">
        <f t="shared" si="30"/>
        <v>12.425342846429627</v>
      </c>
      <c r="AC67" s="1058">
        <f t="shared" si="37"/>
        <v>7.5010000000000003</v>
      </c>
      <c r="AD67" s="39" t="b">
        <f t="shared" si="31"/>
        <v>0</v>
      </c>
      <c r="AE67" s="1058">
        <f t="shared" si="32"/>
        <v>16.117283189666367</v>
      </c>
      <c r="AF67" s="1059">
        <f t="shared" si="38"/>
        <v>0</v>
      </c>
      <c r="AG67" s="931">
        <v>40.520000000000003</v>
      </c>
      <c r="AH67" s="932">
        <v>9.789999999999992</v>
      </c>
      <c r="AJ67" s="1067">
        <f t="shared" si="39"/>
        <v>1</v>
      </c>
      <c r="AK67" s="82">
        <f t="shared" si="40"/>
        <v>1</v>
      </c>
      <c r="AL67" s="1068">
        <f t="shared" si="41"/>
        <v>-231</v>
      </c>
      <c r="AM67" s="1068">
        <f t="shared" si="42"/>
        <v>1</v>
      </c>
      <c r="AN67" s="1079">
        <f t="shared" si="33"/>
        <v>130</v>
      </c>
      <c r="AO67" s="1080">
        <f t="shared" si="43"/>
        <v>4.5739212599008612</v>
      </c>
      <c r="AP67" s="1072"/>
      <c r="AQ67" s="1073"/>
      <c r="AR67" s="1072"/>
      <c r="AS67" s="1073"/>
      <c r="AT67" s="1072"/>
      <c r="AU67" s="1073"/>
      <c r="AV67" s="1072"/>
      <c r="AW67" s="1073"/>
      <c r="AX67" s="28">
        <f t="shared" si="34"/>
        <v>0</v>
      </c>
      <c r="AY67" s="28">
        <f t="shared" si="35"/>
        <v>0</v>
      </c>
    </row>
    <row r="68" spans="1:51" s="19" customFormat="1" ht="12.75" x14ac:dyDescent="0.2">
      <c r="A68" s="1026" t="str">
        <f t="shared" si="14"/>
        <v>Arbre 13</v>
      </c>
      <c r="B68" s="1030">
        <v>1</v>
      </c>
      <c r="C68" s="1085">
        <f t="shared" ref="C68:M68" si="54">$L32+C$55*Rapous</f>
        <v>15.10023167309355</v>
      </c>
      <c r="D68" s="1085">
        <f t="shared" si="54"/>
        <v>16.10023167309355</v>
      </c>
      <c r="E68" s="1085">
        <f t="shared" si="54"/>
        <v>17.10023167309355</v>
      </c>
      <c r="F68" s="1085">
        <f t="shared" si="54"/>
        <v>18.10023167309355</v>
      </c>
      <c r="G68" s="1086">
        <f t="shared" si="54"/>
        <v>19.10023167309355</v>
      </c>
      <c r="H68" s="1087">
        <f t="shared" si="54"/>
        <v>20.10023167309355</v>
      </c>
      <c r="I68" s="1088">
        <f t="shared" si="54"/>
        <v>21.10023167309355</v>
      </c>
      <c r="J68" s="1085">
        <f t="shared" si="54"/>
        <v>22.10023167309355</v>
      </c>
      <c r="K68" s="1085">
        <f t="shared" si="54"/>
        <v>23.10023167309355</v>
      </c>
      <c r="L68" s="1085">
        <f t="shared" si="54"/>
        <v>24.10023167309355</v>
      </c>
      <c r="M68" s="1086">
        <f t="shared" si="54"/>
        <v>25.10023167309355</v>
      </c>
      <c r="N68" s="689">
        <f t="shared" si="16"/>
        <v>82.405917870017106</v>
      </c>
      <c r="O68" s="930" t="str">
        <f t="shared" si="17"/>
        <v>Arbre 13</v>
      </c>
      <c r="P68" s="679">
        <f t="shared" si="18"/>
        <v>71.615280930708849</v>
      </c>
      <c r="Q68" s="686">
        <f t="shared" si="19"/>
        <v>5.1855255081369993</v>
      </c>
      <c r="R68" s="689">
        <f t="shared" si="20"/>
        <v>5.8743474779186657</v>
      </c>
      <c r="S68" s="689">
        <f t="shared" si="21"/>
        <v>6.5614696785852971</v>
      </c>
      <c r="T68" s="689">
        <f t="shared" si="22"/>
        <v>7.2467015346040027</v>
      </c>
      <c r="U68" s="946">
        <f t="shared" si="23"/>
        <v>7.9298556794056365</v>
      </c>
      <c r="V68" s="1090">
        <f t="shared" si="24"/>
        <v>8.6107482426615505</v>
      </c>
      <c r="W68" s="686">
        <f t="shared" si="25"/>
        <v>9.2891991231890696</v>
      </c>
      <c r="X68" s="689">
        <f t="shared" si="26"/>
        <v>9.9650322465848724</v>
      </c>
      <c r="Y68" s="689">
        <f t="shared" si="27"/>
        <v>10.638075806797534</v>
      </c>
      <c r="Z68" s="689">
        <f t="shared" si="28"/>
        <v>11.308162490965756</v>
      </c>
      <c r="AA68" s="946">
        <f t="shared" si="29"/>
        <v>11.975129686966049</v>
      </c>
      <c r="AB68" s="1057">
        <f t="shared" si="30"/>
        <v>8.9302114458513344</v>
      </c>
      <c r="AC68" s="1058">
        <f t="shared" si="37"/>
        <v>7.5010000000000003</v>
      </c>
      <c r="AD68" s="39" t="b">
        <f t="shared" si="31"/>
        <v>0</v>
      </c>
      <c r="AE68" s="1058">
        <f t="shared" si="32"/>
        <v>6.3176687138372927</v>
      </c>
      <c r="AF68" s="1059">
        <f t="shared" si="38"/>
        <v>-1.1833312861627077</v>
      </c>
      <c r="AG68" s="931">
        <v>42.91</v>
      </c>
      <c r="AH68" s="932">
        <v>10.22999999999999</v>
      </c>
      <c r="AJ68" s="1067">
        <f t="shared" si="39"/>
        <v>1</v>
      </c>
      <c r="AK68" s="82">
        <f t="shared" si="40"/>
        <v>1</v>
      </c>
      <c r="AL68" s="1068">
        <f t="shared" si="41"/>
        <v>-231</v>
      </c>
      <c r="AM68" s="1068">
        <f t="shared" si="42"/>
        <v>1</v>
      </c>
      <c r="AN68" s="1079">
        <f>IF(AND(AX68=0,AX69=0),MAX(AN67,$H$43+1),AX68)</f>
        <v>130</v>
      </c>
      <c r="AO68" s="1080">
        <f t="shared" si="43"/>
        <v>4.5739212599008612</v>
      </c>
      <c r="AP68" s="1072"/>
      <c r="AQ68" s="1073"/>
      <c r="AR68" s="1072"/>
      <c r="AS68" s="1073"/>
      <c r="AT68" s="1072"/>
      <c r="AU68" s="1073"/>
      <c r="AV68" s="1072"/>
      <c r="AW68" s="1073"/>
      <c r="AX68" s="28">
        <f t="shared" si="34"/>
        <v>0</v>
      </c>
      <c r="AY68" s="28">
        <f t="shared" si="35"/>
        <v>0</v>
      </c>
    </row>
    <row r="69" spans="1:51" s="19" customFormat="1" ht="12.75" x14ac:dyDescent="0.2">
      <c r="A69" s="1026" t="str">
        <f t="shared" si="14"/>
        <v>creux</v>
      </c>
      <c r="B69" s="1030">
        <v>1</v>
      </c>
      <c r="C69" s="1085">
        <f t="shared" ref="C69:M69" si="55">$L33+C$55*Rapous</f>
        <v>6.8752082493647535</v>
      </c>
      <c r="D69" s="1085">
        <f t="shared" si="55"/>
        <v>7.8752082493647535</v>
      </c>
      <c r="E69" s="1085">
        <f t="shared" si="55"/>
        <v>8.8752082493647535</v>
      </c>
      <c r="F69" s="1085">
        <f t="shared" si="55"/>
        <v>9.8752082493647535</v>
      </c>
      <c r="G69" s="1086">
        <f t="shared" si="55"/>
        <v>10.875208249364753</v>
      </c>
      <c r="H69" s="1087">
        <f t="shared" si="55"/>
        <v>11.875208249364753</v>
      </c>
      <c r="I69" s="1088">
        <f t="shared" si="55"/>
        <v>12.875208249364753</v>
      </c>
      <c r="J69" s="1085">
        <f t="shared" si="55"/>
        <v>13.875208249364753</v>
      </c>
      <c r="K69" s="1085">
        <f t="shared" si="55"/>
        <v>14.875208249364753</v>
      </c>
      <c r="L69" s="1085">
        <f t="shared" si="55"/>
        <v>15.875208249364753</v>
      </c>
      <c r="M69" s="1086">
        <f t="shared" si="55"/>
        <v>16.875208249364753</v>
      </c>
      <c r="N69" s="689">
        <f t="shared" si="16"/>
        <v>89.769741700642129</v>
      </c>
      <c r="O69" s="930" t="str">
        <f t="shared" si="17"/>
        <v>creux</v>
      </c>
      <c r="P69" s="679">
        <f t="shared" si="18"/>
        <v>79.116280930708854</v>
      </c>
      <c r="Q69" s="686">
        <f t="shared" si="19"/>
        <v>1</v>
      </c>
      <c r="R69" s="689">
        <f t="shared" si="20"/>
        <v>1</v>
      </c>
      <c r="S69" s="689">
        <f t="shared" si="21"/>
        <v>1</v>
      </c>
      <c r="T69" s="689">
        <f t="shared" si="22"/>
        <v>1.4380085083745087</v>
      </c>
      <c r="U69" s="946">
        <f t="shared" si="23"/>
        <v>2.0756547128598859</v>
      </c>
      <c r="V69" s="1090">
        <f t="shared" si="24"/>
        <v>2.7127869667867266</v>
      </c>
      <c r="W69" s="686">
        <f t="shared" si="25"/>
        <v>3.3492485504963714</v>
      </c>
      <c r="X69" s="689">
        <f t="shared" si="26"/>
        <v>3.98488373583089</v>
      </c>
      <c r="Y69" s="689">
        <f t="shared" si="27"/>
        <v>4.6195380120484213</v>
      </c>
      <c r="Z69" s="689">
        <f t="shared" si="28"/>
        <v>5.253058307278212</v>
      </c>
      <c r="AA69" s="946">
        <f t="shared" si="29"/>
        <v>5.8852932047366204</v>
      </c>
      <c r="AB69" s="1057">
        <f t="shared" si="30"/>
        <v>8.6246034845877428</v>
      </c>
      <c r="AC69" s="1058">
        <f t="shared" si="37"/>
        <v>7.5010000000000003</v>
      </c>
      <c r="AD69" s="39" t="b">
        <f t="shared" si="31"/>
        <v>0</v>
      </c>
      <c r="AE69" s="1058">
        <f t="shared" si="32"/>
        <v>5.306272983229519</v>
      </c>
      <c r="AF69" s="1059">
        <f t="shared" si="38"/>
        <v>0</v>
      </c>
      <c r="AG69" s="931">
        <v>46.04</v>
      </c>
      <c r="AH69" s="932">
        <v>10.759999999999991</v>
      </c>
      <c r="AJ69" s="1067">
        <f t="shared" si="39"/>
        <v>1</v>
      </c>
      <c r="AK69" s="82">
        <f t="shared" si="40"/>
        <v>1</v>
      </c>
      <c r="AL69" s="1068">
        <f t="shared" si="41"/>
        <v>-231</v>
      </c>
      <c r="AM69" s="1068">
        <f t="shared" si="42"/>
        <v>1</v>
      </c>
      <c r="AN69" s="1079">
        <f>IF(AND(AX69=0,AX70=0),MAX(AN68,$H$43+1),AX69)</f>
        <v>130</v>
      </c>
      <c r="AO69" s="1080">
        <f t="shared" si="43"/>
        <v>4.5739212599008612</v>
      </c>
      <c r="AP69" s="1072"/>
      <c r="AQ69" s="1073"/>
      <c r="AR69" s="1072"/>
      <c r="AS69" s="1073"/>
      <c r="AT69" s="1072"/>
      <c r="AU69" s="1073"/>
      <c r="AV69" s="1072"/>
      <c r="AW69" s="1073"/>
      <c r="AX69" s="28">
        <f t="shared" si="34"/>
        <v>0</v>
      </c>
      <c r="AY69" s="28">
        <f t="shared" si="35"/>
        <v>0</v>
      </c>
    </row>
    <row r="70" spans="1:51" s="28" customFormat="1" ht="12.75" x14ac:dyDescent="0.2">
      <c r="A70" s="1027" t="str">
        <f t="shared" si="14"/>
        <v>Arbre 14</v>
      </c>
      <c r="B70" s="1030">
        <v>1</v>
      </c>
      <c r="C70" s="1085">
        <f t="shared" ref="C70:M70" si="56">$L34+C$55*Rapous</f>
        <v>17.32863382840938</v>
      </c>
      <c r="D70" s="1085">
        <f t="shared" si="56"/>
        <v>18.32863382840938</v>
      </c>
      <c r="E70" s="1085">
        <f t="shared" si="56"/>
        <v>19.32863382840938</v>
      </c>
      <c r="F70" s="1085">
        <f t="shared" si="56"/>
        <v>20.32863382840938</v>
      </c>
      <c r="G70" s="1086">
        <f t="shared" si="56"/>
        <v>21.32863382840938</v>
      </c>
      <c r="H70" s="1087">
        <f t="shared" si="56"/>
        <v>22.32863382840938</v>
      </c>
      <c r="I70" s="1088">
        <f t="shared" si="56"/>
        <v>23.32863382840938</v>
      </c>
      <c r="J70" s="1085">
        <f t="shared" si="56"/>
        <v>24.32863382840938</v>
      </c>
      <c r="K70" s="1085">
        <f t="shared" si="56"/>
        <v>25.32863382840938</v>
      </c>
      <c r="L70" s="1085">
        <f t="shared" si="56"/>
        <v>26.32863382840938</v>
      </c>
      <c r="M70" s="1086">
        <f t="shared" si="56"/>
        <v>27.32863382840938</v>
      </c>
      <c r="N70" s="689">
        <f t="shared" si="16"/>
        <v>98.054214595804126</v>
      </c>
      <c r="O70" s="930" t="str">
        <f t="shared" si="17"/>
        <v>Arbre 14</v>
      </c>
      <c r="P70" s="679">
        <f t="shared" si="18"/>
        <v>86.617280930708858</v>
      </c>
      <c r="Q70" s="686">
        <f t="shared" si="19"/>
        <v>5.6536107931134909</v>
      </c>
      <c r="R70" s="689">
        <f t="shared" si="20"/>
        <v>6.231669857347593</v>
      </c>
      <c r="S70" s="689">
        <f t="shared" si="21"/>
        <v>6.8084581124817438</v>
      </c>
      <c r="T70" s="689">
        <f t="shared" si="22"/>
        <v>7.3838632473941077</v>
      </c>
      <c r="U70" s="946">
        <f t="shared" si="23"/>
        <v>7.95777460448722</v>
      </c>
      <c r="V70" s="1090">
        <f t="shared" si="24"/>
        <v>8.530083298502289</v>
      </c>
      <c r="W70" s="686">
        <f t="shared" si="25"/>
        <v>9.1006823302004669</v>
      </c>
      <c r="X70" s="689">
        <f t="shared" si="26"/>
        <v>9.669466694648186</v>
      </c>
      <c r="Y70" s="689">
        <f t="shared" si="27"/>
        <v>10.236333483871645</v>
      </c>
      <c r="Z70" s="689">
        <f t="shared" si="28"/>
        <v>10.801181983674113</v>
      </c>
      <c r="AA70" s="946">
        <f t="shared" si="29"/>
        <v>11.363913764438864</v>
      </c>
      <c r="AB70" s="1057">
        <f t="shared" si="30"/>
        <v>10.711739291424255</v>
      </c>
      <c r="AC70" s="1058">
        <f t="shared" si="37"/>
        <v>7.5010000000000003</v>
      </c>
      <c r="AD70" s="39" t="b">
        <f t="shared" si="31"/>
        <v>0</v>
      </c>
      <c r="AE70" s="1058">
        <f t="shared" si="32"/>
        <v>9.8542299895426879</v>
      </c>
      <c r="AF70" s="1059">
        <f t="shared" si="38"/>
        <v>2.1947270167704813</v>
      </c>
      <c r="AG70" s="931">
        <v>48.37</v>
      </c>
      <c r="AH70" s="932">
        <v>11.280000000000001</v>
      </c>
      <c r="AJ70" s="1067">
        <f t="shared" si="39"/>
        <v>1</v>
      </c>
      <c r="AK70" s="82">
        <f t="shared" si="40"/>
        <v>1</v>
      </c>
      <c r="AL70" s="1068">
        <f t="shared" si="41"/>
        <v>-231</v>
      </c>
      <c r="AM70" s="1068">
        <f t="shared" si="42"/>
        <v>1</v>
      </c>
      <c r="AN70" s="1079">
        <f t="shared" ref="AN70:AN79" si="57">IF(AND(AX70=0,AX71=0),MAX(AN69,$H$43+1),AX70)</f>
        <v>130</v>
      </c>
      <c r="AO70" s="1080">
        <f t="shared" si="43"/>
        <v>4.5739212599008612</v>
      </c>
      <c r="AP70" s="1072"/>
      <c r="AQ70" s="1073"/>
      <c r="AR70" s="1072"/>
      <c r="AS70" s="1073"/>
      <c r="AT70" s="1072"/>
      <c r="AU70" s="1073"/>
      <c r="AV70" s="1072"/>
      <c r="AW70" s="1073"/>
      <c r="AX70" s="28">
        <f t="shared" si="34"/>
        <v>0</v>
      </c>
      <c r="AY70" s="28">
        <f t="shared" si="35"/>
        <v>0</v>
      </c>
    </row>
    <row r="71" spans="1:51" s="28" customFormat="1" ht="12.75" x14ac:dyDescent="0.2">
      <c r="A71" s="1027" t="str">
        <f t="shared" si="14"/>
        <v>Arbre 15</v>
      </c>
      <c r="B71" s="1030">
        <v>1</v>
      </c>
      <c r="C71" s="1085">
        <f t="shared" ref="C71:M71" si="58">$L35+C$55*Rapous</f>
        <v>18.721757661158684</v>
      </c>
      <c r="D71" s="1085">
        <f t="shared" si="58"/>
        <v>19.721757661158684</v>
      </c>
      <c r="E71" s="1085">
        <f t="shared" si="58"/>
        <v>20.721757661158684</v>
      </c>
      <c r="F71" s="1085">
        <f t="shared" si="58"/>
        <v>21.721757661158684</v>
      </c>
      <c r="G71" s="1086">
        <f t="shared" si="58"/>
        <v>22.721757661158684</v>
      </c>
      <c r="H71" s="1087">
        <f t="shared" si="58"/>
        <v>23.721757661158684</v>
      </c>
      <c r="I71" s="1088">
        <f t="shared" si="58"/>
        <v>24.721757661158684</v>
      </c>
      <c r="J71" s="1085">
        <f t="shared" si="58"/>
        <v>25.721757661158684</v>
      </c>
      <c r="K71" s="1085">
        <f t="shared" si="58"/>
        <v>26.721757661158684</v>
      </c>
      <c r="L71" s="1085">
        <f t="shared" si="58"/>
        <v>27.721757661158684</v>
      </c>
      <c r="M71" s="1086">
        <f t="shared" si="58"/>
        <v>28.721757661158684</v>
      </c>
      <c r="N71" s="689">
        <f t="shared" si="16"/>
        <v>118.94119975853617</v>
      </c>
      <c r="O71" s="930" t="str">
        <f t="shared" si="17"/>
        <v>Arbre 15</v>
      </c>
      <c r="P71" s="679">
        <f t="shared" si="18"/>
        <v>94.276783903481061</v>
      </c>
      <c r="Q71" s="686">
        <f t="shared" si="19"/>
        <v>5.3316256529746964</v>
      </c>
      <c r="R71" s="689">
        <f t="shared" si="20"/>
        <v>5.8087994007350261</v>
      </c>
      <c r="S71" s="689">
        <f t="shared" si="21"/>
        <v>6.2851659684088643</v>
      </c>
      <c r="T71" s="689">
        <f t="shared" si="22"/>
        <v>6.760661720226242</v>
      </c>
      <c r="U71" s="946">
        <f t="shared" si="23"/>
        <v>7.2352237325375865</v>
      </c>
      <c r="V71" s="1090">
        <f t="shared" si="24"/>
        <v>7.708789840898878</v>
      </c>
      <c r="W71" s="686">
        <f t="shared" si="25"/>
        <v>8.1812986856437835</v>
      </c>
      <c r="X71" s="689">
        <f t="shared" si="26"/>
        <v>8.6526897558665432</v>
      </c>
      <c r="Y71" s="689">
        <f t="shared" si="27"/>
        <v>9.1229034317451152</v>
      </c>
      <c r="Z71" s="689">
        <f t="shared" si="28"/>
        <v>9.5918810251399176</v>
      </c>
      <c r="AA71" s="946">
        <f t="shared" si="29"/>
        <v>10.059564818409648</v>
      </c>
      <c r="AB71" s="1057">
        <f t="shared" si="30"/>
        <v>7.3167430391552539</v>
      </c>
      <c r="AC71" s="1058">
        <f t="shared" si="37"/>
        <v>7.5010000000000003</v>
      </c>
      <c r="AD71" s="39" t="b">
        <f t="shared" si="31"/>
        <v>0</v>
      </c>
      <c r="AE71" s="1058">
        <f t="shared" si="32"/>
        <v>34.723216096518939</v>
      </c>
      <c r="AF71" s="1059">
        <f t="shared" si="38"/>
        <v>0</v>
      </c>
      <c r="AG71" s="931">
        <v>51.52</v>
      </c>
      <c r="AH71" s="932">
        <v>11.930000000000007</v>
      </c>
      <c r="AJ71" s="1067">
        <f t="shared" si="39"/>
        <v>1</v>
      </c>
      <c r="AK71" s="82">
        <f t="shared" si="40"/>
        <v>1</v>
      </c>
      <c r="AL71" s="1068">
        <f t="shared" si="41"/>
        <v>-231</v>
      </c>
      <c r="AM71" s="1068">
        <f t="shared" si="42"/>
        <v>1</v>
      </c>
      <c r="AN71" s="1079">
        <f t="shared" si="57"/>
        <v>130</v>
      </c>
      <c r="AO71" s="1080">
        <f t="shared" si="43"/>
        <v>4.5739212599008612</v>
      </c>
      <c r="AP71" s="1072"/>
      <c r="AQ71" s="1073"/>
      <c r="AR71" s="1072"/>
      <c r="AS71" s="1073"/>
      <c r="AT71" s="1072"/>
      <c r="AU71" s="1073"/>
      <c r="AV71" s="1072"/>
      <c r="AW71" s="1073"/>
      <c r="AX71" s="28">
        <f t="shared" si="34"/>
        <v>0</v>
      </c>
      <c r="AY71" s="28">
        <f t="shared" si="35"/>
        <v>0</v>
      </c>
    </row>
    <row r="72" spans="1:51" s="28" customFormat="1" ht="12.75" x14ac:dyDescent="0.2">
      <c r="A72" s="1027" t="str">
        <f t="shared" si="14"/>
        <v>Arrière PV</v>
      </c>
      <c r="B72" s="1030">
        <v>1</v>
      </c>
      <c r="C72" s="1085">
        <f t="shared" ref="C72:M72" si="59">$L36+C$55*Rapous</f>
        <v>-5</v>
      </c>
      <c r="D72" s="1085">
        <f t="shared" si="59"/>
        <v>-4</v>
      </c>
      <c r="E72" s="1085">
        <f t="shared" si="59"/>
        <v>-3</v>
      </c>
      <c r="F72" s="1085">
        <f t="shared" si="59"/>
        <v>-2</v>
      </c>
      <c r="G72" s="1086">
        <f t="shared" si="59"/>
        <v>-1</v>
      </c>
      <c r="H72" s="1087">
        <f t="shared" si="59"/>
        <v>0</v>
      </c>
      <c r="I72" s="1088">
        <f t="shared" si="59"/>
        <v>1</v>
      </c>
      <c r="J72" s="1085">
        <f t="shared" si="59"/>
        <v>2</v>
      </c>
      <c r="K72" s="1085">
        <f t="shared" si="59"/>
        <v>3</v>
      </c>
      <c r="L72" s="1085">
        <f t="shared" si="59"/>
        <v>4</v>
      </c>
      <c r="M72" s="1086">
        <f t="shared" si="59"/>
        <v>5</v>
      </c>
      <c r="N72" s="689">
        <f t="shared" si="16"/>
        <v>0</v>
      </c>
      <c r="O72" s="930" t="str">
        <f t="shared" si="17"/>
        <v>Arrière PV</v>
      </c>
      <c r="P72" s="679">
        <f t="shared" si="18"/>
        <v>129</v>
      </c>
      <c r="Q72" s="686">
        <f t="shared" si="19"/>
        <v>4.5739212599008612</v>
      </c>
      <c r="R72" s="689">
        <f t="shared" si="20"/>
        <v>4.5739212599008612</v>
      </c>
      <c r="S72" s="689">
        <f t="shared" si="21"/>
        <v>4.5739212599008612</v>
      </c>
      <c r="T72" s="689">
        <f t="shared" si="22"/>
        <v>4.5739212599008612</v>
      </c>
      <c r="U72" s="946">
        <f t="shared" si="23"/>
        <v>4.5739212599008612</v>
      </c>
      <c r="V72" s="1090">
        <f t="shared" si="24"/>
        <v>4.5739212599008612</v>
      </c>
      <c r="W72" s="686">
        <f t="shared" si="25"/>
        <v>4.5739212599008612</v>
      </c>
      <c r="X72" s="689">
        <f t="shared" si="26"/>
        <v>4.5739212599008612</v>
      </c>
      <c r="Y72" s="689">
        <f t="shared" si="27"/>
        <v>4.5739212599008612</v>
      </c>
      <c r="Z72" s="689">
        <f t="shared" si="28"/>
        <v>4.5739212599008612</v>
      </c>
      <c r="AA72" s="946">
        <f t="shared" si="29"/>
        <v>4.5739212599008612</v>
      </c>
      <c r="AB72" s="1057">
        <f t="shared" si="30"/>
        <v>4.5739212599008612</v>
      </c>
      <c r="AC72" s="1058">
        <f t="shared" si="37"/>
        <v>7.5010000000000003</v>
      </c>
      <c r="AD72" s="39" t="b">
        <f t="shared" si="31"/>
        <v>0</v>
      </c>
      <c r="AE72" s="1058">
        <f t="shared" si="32"/>
        <v>0</v>
      </c>
      <c r="AF72" s="1059">
        <f t="shared" si="38"/>
        <v>0</v>
      </c>
      <c r="AG72" s="931">
        <v>53.73</v>
      </c>
      <c r="AH72" s="934">
        <v>12.530000000000001</v>
      </c>
      <c r="AJ72" s="1067">
        <f t="shared" si="39"/>
        <v>1</v>
      </c>
      <c r="AK72" s="82">
        <f t="shared" si="40"/>
        <v>2</v>
      </c>
      <c r="AL72" s="1068">
        <f t="shared" si="41"/>
        <v>129</v>
      </c>
      <c r="AM72" s="1068">
        <f t="shared" si="42"/>
        <v>1</v>
      </c>
      <c r="AN72" s="1079">
        <f t="shared" si="57"/>
        <v>130</v>
      </c>
      <c r="AO72" s="1080">
        <f t="shared" si="43"/>
        <v>4.5739212599008612</v>
      </c>
      <c r="AP72" s="1072"/>
      <c r="AQ72" s="1073"/>
      <c r="AR72" s="1072"/>
      <c r="AS72" s="1073"/>
      <c r="AT72" s="1072"/>
      <c r="AU72" s="1073"/>
      <c r="AV72" s="1072"/>
      <c r="AW72" s="1073"/>
      <c r="AX72" s="28">
        <f t="shared" si="34"/>
        <v>0</v>
      </c>
      <c r="AY72" s="28">
        <f t="shared" si="35"/>
        <v>0</v>
      </c>
    </row>
    <row r="73" spans="1:51" s="28" customFormat="1" ht="12.75" x14ac:dyDescent="0.2">
      <c r="A73" s="1027">
        <f t="shared" si="14"/>
        <v>0</v>
      </c>
      <c r="B73" s="1030">
        <v>1</v>
      </c>
      <c r="C73" s="1085">
        <f t="shared" ref="C73:M73" si="60">$L37+C$55*Rapous</f>
        <v>-5</v>
      </c>
      <c r="D73" s="1085">
        <f t="shared" si="60"/>
        <v>-4</v>
      </c>
      <c r="E73" s="1085">
        <f t="shared" si="60"/>
        <v>-3</v>
      </c>
      <c r="F73" s="1085">
        <f t="shared" si="60"/>
        <v>-2</v>
      </c>
      <c r="G73" s="1086">
        <f t="shared" si="60"/>
        <v>-1</v>
      </c>
      <c r="H73" s="1087">
        <f t="shared" si="60"/>
        <v>0</v>
      </c>
      <c r="I73" s="1088">
        <f t="shared" si="60"/>
        <v>1</v>
      </c>
      <c r="J73" s="1085">
        <f t="shared" si="60"/>
        <v>2</v>
      </c>
      <c r="K73" s="1085">
        <f t="shared" si="60"/>
        <v>3</v>
      </c>
      <c r="L73" s="1085">
        <f t="shared" si="60"/>
        <v>4</v>
      </c>
      <c r="M73" s="1086">
        <f t="shared" si="60"/>
        <v>5</v>
      </c>
      <c r="N73" s="689">
        <f t="shared" si="16"/>
        <v>0</v>
      </c>
      <c r="O73" s="930">
        <f t="shared" si="17"/>
        <v>0</v>
      </c>
      <c r="P73" s="679">
        <f t="shared" si="18"/>
        <v>129</v>
      </c>
      <c r="Q73" s="686">
        <f t="shared" si="19"/>
        <v>4.5739212599008612</v>
      </c>
      <c r="R73" s="689">
        <f t="shared" si="20"/>
        <v>4.5739212599008612</v>
      </c>
      <c r="S73" s="689">
        <f t="shared" si="21"/>
        <v>4.5739212599008612</v>
      </c>
      <c r="T73" s="689">
        <f t="shared" si="22"/>
        <v>4.5739212599008612</v>
      </c>
      <c r="U73" s="946">
        <f t="shared" si="23"/>
        <v>4.5739212599008612</v>
      </c>
      <c r="V73" s="1090">
        <f t="shared" si="24"/>
        <v>4.5739212599008612</v>
      </c>
      <c r="W73" s="686">
        <f t="shared" si="25"/>
        <v>4.5739212599008612</v>
      </c>
      <c r="X73" s="689">
        <f t="shared" si="26"/>
        <v>4.5739212599008612</v>
      </c>
      <c r="Y73" s="689">
        <f t="shared" si="27"/>
        <v>4.5739212599008612</v>
      </c>
      <c r="Z73" s="689">
        <f t="shared" si="28"/>
        <v>4.5739212599008612</v>
      </c>
      <c r="AA73" s="946">
        <f t="shared" si="29"/>
        <v>4.5739212599008612</v>
      </c>
      <c r="AB73" s="1057">
        <f t="shared" si="30"/>
        <v>4.5739212599008612</v>
      </c>
      <c r="AC73" s="1058">
        <f t="shared" si="37"/>
        <v>7.5010000000000003</v>
      </c>
      <c r="AD73" s="39" t="b">
        <f t="shared" si="31"/>
        <v>0</v>
      </c>
      <c r="AE73" s="1058">
        <f t="shared" si="32"/>
        <v>0</v>
      </c>
      <c r="AF73" s="1059">
        <f t="shared" si="38"/>
        <v>0</v>
      </c>
      <c r="AG73" s="931">
        <v>56.67</v>
      </c>
      <c r="AH73" s="934">
        <v>13.370000000000005</v>
      </c>
      <c r="AJ73" s="1067">
        <f t="shared" si="39"/>
        <v>1</v>
      </c>
      <c r="AK73" s="82">
        <f t="shared" si="40"/>
        <v>2</v>
      </c>
      <c r="AL73" s="1068">
        <f t="shared" si="41"/>
        <v>129</v>
      </c>
      <c r="AM73" s="1068">
        <f t="shared" si="42"/>
        <v>1</v>
      </c>
      <c r="AN73" s="1079">
        <f t="shared" si="57"/>
        <v>130</v>
      </c>
      <c r="AO73" s="1080">
        <f t="shared" si="43"/>
        <v>4.5739212599008612</v>
      </c>
      <c r="AP73" s="1072"/>
      <c r="AQ73" s="1073"/>
      <c r="AR73" s="1072"/>
      <c r="AS73" s="1073"/>
      <c r="AT73" s="1072"/>
      <c r="AU73" s="1073"/>
      <c r="AV73" s="1072"/>
      <c r="AW73" s="1073"/>
      <c r="AX73" s="28">
        <f t="shared" si="34"/>
        <v>0</v>
      </c>
      <c r="AY73" s="28">
        <f t="shared" si="35"/>
        <v>0</v>
      </c>
    </row>
    <row r="74" spans="1:51" s="28" customFormat="1" ht="12.75" x14ac:dyDescent="0.2">
      <c r="A74" s="1027">
        <f t="shared" si="14"/>
        <v>0</v>
      </c>
      <c r="B74" s="1030">
        <v>1</v>
      </c>
      <c r="C74" s="1085">
        <f t="shared" ref="C74:M74" si="61">$L38+C$55*Rapous</f>
        <v>-5</v>
      </c>
      <c r="D74" s="1085">
        <f t="shared" si="61"/>
        <v>-4</v>
      </c>
      <c r="E74" s="1085">
        <f t="shared" si="61"/>
        <v>-3</v>
      </c>
      <c r="F74" s="1085">
        <f t="shared" si="61"/>
        <v>-2</v>
      </c>
      <c r="G74" s="1086">
        <f t="shared" si="61"/>
        <v>-1</v>
      </c>
      <c r="H74" s="1087">
        <f t="shared" si="61"/>
        <v>0</v>
      </c>
      <c r="I74" s="1088">
        <f t="shared" si="61"/>
        <v>1</v>
      </c>
      <c r="J74" s="1085">
        <f t="shared" si="61"/>
        <v>2</v>
      </c>
      <c r="K74" s="1085">
        <f t="shared" si="61"/>
        <v>3</v>
      </c>
      <c r="L74" s="1085">
        <f t="shared" si="61"/>
        <v>4</v>
      </c>
      <c r="M74" s="1086">
        <f t="shared" si="61"/>
        <v>5</v>
      </c>
      <c r="N74" s="689">
        <f t="shared" si="16"/>
        <v>0</v>
      </c>
      <c r="O74" s="930">
        <f t="shared" si="17"/>
        <v>0</v>
      </c>
      <c r="P74" s="679">
        <f t="shared" si="18"/>
        <v>129</v>
      </c>
      <c r="Q74" s="686">
        <f t="shared" si="19"/>
        <v>4.5739212599008612</v>
      </c>
      <c r="R74" s="689">
        <f t="shared" si="20"/>
        <v>4.5739212599008612</v>
      </c>
      <c r="S74" s="689">
        <f t="shared" si="21"/>
        <v>4.5739212599008612</v>
      </c>
      <c r="T74" s="689">
        <f t="shared" si="22"/>
        <v>4.5739212599008612</v>
      </c>
      <c r="U74" s="946">
        <f t="shared" si="23"/>
        <v>4.5739212599008612</v>
      </c>
      <c r="V74" s="1090">
        <f t="shared" si="24"/>
        <v>4.5739212599008612</v>
      </c>
      <c r="W74" s="686">
        <f t="shared" si="25"/>
        <v>4.5739212599008612</v>
      </c>
      <c r="X74" s="689">
        <f t="shared" si="26"/>
        <v>4.5739212599008612</v>
      </c>
      <c r="Y74" s="689">
        <f t="shared" si="27"/>
        <v>4.5739212599008612</v>
      </c>
      <c r="Z74" s="689">
        <f t="shared" si="28"/>
        <v>4.5739212599008612</v>
      </c>
      <c r="AA74" s="946">
        <f t="shared" si="29"/>
        <v>4.5739212599008612</v>
      </c>
      <c r="AB74" s="1057">
        <f t="shared" si="30"/>
        <v>4.5739212599008612</v>
      </c>
      <c r="AC74" s="1058">
        <f t="shared" si="37"/>
        <v>7.5010000000000003</v>
      </c>
      <c r="AD74" s="39" t="b">
        <f t="shared" si="31"/>
        <v>0</v>
      </c>
      <c r="AE74" s="1058">
        <f t="shared" si="32"/>
        <v>0</v>
      </c>
      <c r="AF74" s="1059">
        <f t="shared" si="38"/>
        <v>0</v>
      </c>
      <c r="AG74" s="931">
        <v>58.66</v>
      </c>
      <c r="AH74" s="934">
        <v>13.969999999999999</v>
      </c>
      <c r="AJ74" s="1067">
        <f t="shared" si="39"/>
        <v>1</v>
      </c>
      <c r="AK74" s="82">
        <f t="shared" si="40"/>
        <v>2</v>
      </c>
      <c r="AL74" s="1068">
        <f t="shared" si="41"/>
        <v>129</v>
      </c>
      <c r="AM74" s="1068">
        <f t="shared" si="42"/>
        <v>1</v>
      </c>
      <c r="AN74" s="1079">
        <f t="shared" si="57"/>
        <v>130</v>
      </c>
      <c r="AO74" s="1080">
        <f t="shared" si="43"/>
        <v>4.5739212599008612</v>
      </c>
      <c r="AP74" s="1072"/>
      <c r="AQ74" s="1073"/>
      <c r="AR74" s="1072"/>
      <c r="AS74" s="1073"/>
      <c r="AT74" s="1072"/>
      <c r="AU74" s="1073"/>
      <c r="AV74" s="1072"/>
      <c r="AW74" s="1073"/>
      <c r="AX74" s="28">
        <f t="shared" si="34"/>
        <v>0</v>
      </c>
      <c r="AY74" s="28">
        <f t="shared" si="35"/>
        <v>0</v>
      </c>
    </row>
    <row r="75" spans="1:51" s="28" customFormat="1" ht="12.75" x14ac:dyDescent="0.2">
      <c r="A75" s="1027">
        <f t="shared" si="14"/>
        <v>0</v>
      </c>
      <c r="B75" s="1030">
        <v>1</v>
      </c>
      <c r="C75" s="689">
        <f t="shared" ref="C75:M75" si="62">$L39+C$55*Rapous</f>
        <v>-5</v>
      </c>
      <c r="D75" s="689">
        <f t="shared" si="62"/>
        <v>-4</v>
      </c>
      <c r="E75" s="689">
        <f t="shared" si="62"/>
        <v>-3</v>
      </c>
      <c r="F75" s="689">
        <f t="shared" si="62"/>
        <v>-2</v>
      </c>
      <c r="G75" s="946">
        <f t="shared" si="62"/>
        <v>-1</v>
      </c>
      <c r="H75" s="1087">
        <f t="shared" si="62"/>
        <v>0</v>
      </c>
      <c r="I75" s="1088">
        <f t="shared" si="62"/>
        <v>1</v>
      </c>
      <c r="J75" s="1091">
        <f t="shared" si="62"/>
        <v>2</v>
      </c>
      <c r="K75" s="1085">
        <f t="shared" si="62"/>
        <v>3</v>
      </c>
      <c r="L75" s="1091">
        <f t="shared" si="62"/>
        <v>4</v>
      </c>
      <c r="M75" s="1086">
        <f t="shared" si="62"/>
        <v>5</v>
      </c>
      <c r="N75" s="689">
        <f t="shared" si="16"/>
        <v>0</v>
      </c>
      <c r="O75" s="930">
        <f t="shared" si="17"/>
        <v>0</v>
      </c>
      <c r="P75" s="689">
        <f t="shared" si="18"/>
        <v>129</v>
      </c>
      <c r="Q75" s="686">
        <f t="shared" si="19"/>
        <v>4.5739212599008612</v>
      </c>
      <c r="R75" s="689">
        <f t="shared" si="20"/>
        <v>4.5739212599008612</v>
      </c>
      <c r="S75" s="689">
        <f t="shared" si="21"/>
        <v>4.5739212599008612</v>
      </c>
      <c r="T75" s="689">
        <f t="shared" si="22"/>
        <v>4.5739212599008612</v>
      </c>
      <c r="U75" s="946">
        <f t="shared" si="23"/>
        <v>4.5739212599008612</v>
      </c>
      <c r="V75" s="1090">
        <f t="shared" si="24"/>
        <v>4.5739212599008612</v>
      </c>
      <c r="W75" s="686">
        <f t="shared" si="25"/>
        <v>4.5739212599008612</v>
      </c>
      <c r="X75" s="689">
        <f t="shared" si="26"/>
        <v>4.5739212599008612</v>
      </c>
      <c r="Y75" s="689">
        <f t="shared" si="27"/>
        <v>4.5739212599008612</v>
      </c>
      <c r="Z75" s="689">
        <f t="shared" si="28"/>
        <v>4.5739212599008612</v>
      </c>
      <c r="AA75" s="946">
        <f t="shared" si="29"/>
        <v>4.5739212599008612</v>
      </c>
      <c r="AB75" s="1057">
        <f t="shared" si="30"/>
        <v>4.5739212599008612</v>
      </c>
      <c r="AC75" s="1058">
        <f t="shared" si="37"/>
        <v>7.5010000000000003</v>
      </c>
      <c r="AD75" s="39" t="b">
        <f t="shared" si="31"/>
        <v>0</v>
      </c>
      <c r="AE75" s="1058">
        <f t="shared" si="32"/>
        <v>0</v>
      </c>
      <c r="AF75" s="1059">
        <f t="shared" si="38"/>
        <v>0</v>
      </c>
      <c r="AG75" s="931">
        <v>61.27</v>
      </c>
      <c r="AH75" s="934">
        <v>15.02000000000001</v>
      </c>
      <c r="AJ75" s="1067">
        <f t="shared" si="39"/>
        <v>1</v>
      </c>
      <c r="AK75" s="82">
        <f t="shared" si="40"/>
        <v>2</v>
      </c>
      <c r="AL75" s="1068">
        <f t="shared" si="41"/>
        <v>129</v>
      </c>
      <c r="AM75" s="1068">
        <f t="shared" si="42"/>
        <v>1</v>
      </c>
      <c r="AN75" s="1079">
        <f t="shared" si="57"/>
        <v>130</v>
      </c>
      <c r="AO75" s="1080">
        <f t="shared" si="43"/>
        <v>4.5739212599008612</v>
      </c>
      <c r="AP75" s="1072"/>
      <c r="AQ75" s="1073"/>
      <c r="AR75" s="1072"/>
      <c r="AS75" s="1073"/>
      <c r="AT75" s="1072"/>
      <c r="AU75" s="1073"/>
      <c r="AV75" s="1072"/>
      <c r="AW75" s="1073"/>
      <c r="AX75" s="28">
        <f t="shared" si="34"/>
        <v>0</v>
      </c>
      <c r="AY75" s="28">
        <f t="shared" si="35"/>
        <v>0</v>
      </c>
    </row>
    <row r="76" spans="1:51" s="28" customFormat="1" ht="12.75" x14ac:dyDescent="0.2">
      <c r="A76" s="1027">
        <f t="shared" si="14"/>
        <v>0</v>
      </c>
      <c r="B76" s="1030">
        <v>1</v>
      </c>
      <c r="C76" s="689">
        <f t="shared" ref="C76:M76" si="63">$L40+C$55*Rapous</f>
        <v>-5</v>
      </c>
      <c r="D76" s="689">
        <f t="shared" si="63"/>
        <v>-4</v>
      </c>
      <c r="E76" s="689">
        <f t="shared" si="63"/>
        <v>-3</v>
      </c>
      <c r="F76" s="689">
        <f t="shared" si="63"/>
        <v>-2</v>
      </c>
      <c r="G76" s="946">
        <f t="shared" si="63"/>
        <v>-1</v>
      </c>
      <c r="H76" s="1087">
        <f t="shared" si="63"/>
        <v>0</v>
      </c>
      <c r="I76" s="1088">
        <f t="shared" si="63"/>
        <v>1</v>
      </c>
      <c r="J76" s="1091">
        <f t="shared" si="63"/>
        <v>2</v>
      </c>
      <c r="K76" s="1085">
        <f t="shared" si="63"/>
        <v>3</v>
      </c>
      <c r="L76" s="1091">
        <f t="shared" si="63"/>
        <v>4</v>
      </c>
      <c r="M76" s="1086">
        <f t="shared" si="63"/>
        <v>5</v>
      </c>
      <c r="N76" s="689">
        <f t="shared" si="16"/>
        <v>0</v>
      </c>
      <c r="O76" s="930">
        <f t="shared" si="17"/>
        <v>0</v>
      </c>
      <c r="P76" s="689">
        <f t="shared" si="18"/>
        <v>129</v>
      </c>
      <c r="Q76" s="686">
        <f t="shared" si="19"/>
        <v>4.5739212599008612</v>
      </c>
      <c r="R76" s="689">
        <f t="shared" si="20"/>
        <v>4.5739212599008612</v>
      </c>
      <c r="S76" s="689">
        <f t="shared" si="21"/>
        <v>4.5739212599008612</v>
      </c>
      <c r="T76" s="689">
        <f t="shared" si="22"/>
        <v>4.5739212599008612</v>
      </c>
      <c r="U76" s="946">
        <f t="shared" si="23"/>
        <v>4.5739212599008612</v>
      </c>
      <c r="V76" s="1090">
        <f t="shared" si="24"/>
        <v>4.5739212599008612</v>
      </c>
      <c r="W76" s="686">
        <f t="shared" si="25"/>
        <v>4.5739212599008612</v>
      </c>
      <c r="X76" s="689">
        <f t="shared" si="26"/>
        <v>4.5739212599008612</v>
      </c>
      <c r="Y76" s="689">
        <f t="shared" si="27"/>
        <v>4.5739212599008612</v>
      </c>
      <c r="Z76" s="689">
        <f t="shared" si="28"/>
        <v>4.5739212599008612</v>
      </c>
      <c r="AA76" s="946">
        <f t="shared" si="29"/>
        <v>4.5739212599008612</v>
      </c>
      <c r="AB76" s="1057">
        <f t="shared" si="30"/>
        <v>4.5739212599008612</v>
      </c>
      <c r="AC76" s="1058">
        <f t="shared" si="37"/>
        <v>7.5010000000000003</v>
      </c>
      <c r="AD76" s="39" t="b">
        <f t="shared" si="31"/>
        <v>0</v>
      </c>
      <c r="AE76" s="1058">
        <f t="shared" si="32"/>
        <v>0</v>
      </c>
      <c r="AF76" s="1059">
        <f t="shared" si="38"/>
        <v>0</v>
      </c>
      <c r="AG76" s="931">
        <v>62.95</v>
      </c>
      <c r="AH76" s="934">
        <v>15.569999999999993</v>
      </c>
      <c r="AJ76" s="1067">
        <f t="shared" si="39"/>
        <v>1</v>
      </c>
      <c r="AK76" s="82">
        <f t="shared" si="40"/>
        <v>2</v>
      </c>
      <c r="AL76" s="1068">
        <f t="shared" si="41"/>
        <v>129</v>
      </c>
      <c r="AM76" s="1068">
        <f t="shared" si="42"/>
        <v>1</v>
      </c>
      <c r="AN76" s="1079">
        <f t="shared" si="57"/>
        <v>130</v>
      </c>
      <c r="AO76" s="1080">
        <f t="shared" si="43"/>
        <v>4.5739212599008612</v>
      </c>
      <c r="AP76" s="1072"/>
      <c r="AQ76" s="1073"/>
      <c r="AR76" s="1072"/>
      <c r="AS76" s="1073"/>
      <c r="AT76" s="1072"/>
      <c r="AU76" s="1073"/>
      <c r="AV76" s="1072"/>
      <c r="AW76" s="1073"/>
      <c r="AX76" s="28">
        <f t="shared" si="34"/>
        <v>0</v>
      </c>
      <c r="AY76" s="28">
        <f t="shared" si="35"/>
        <v>0</v>
      </c>
    </row>
    <row r="77" spans="1:51" s="28" customFormat="1" ht="12.75" x14ac:dyDescent="0.2">
      <c r="A77" s="1027">
        <f t="shared" si="14"/>
        <v>0</v>
      </c>
      <c r="B77" s="1030">
        <v>1</v>
      </c>
      <c r="C77" s="689">
        <f t="shared" ref="C77:M77" si="64">$L41+C$55*Rapous</f>
        <v>-5</v>
      </c>
      <c r="D77" s="689">
        <f t="shared" si="64"/>
        <v>-4</v>
      </c>
      <c r="E77" s="689">
        <f t="shared" si="64"/>
        <v>-3</v>
      </c>
      <c r="F77" s="689">
        <f t="shared" si="64"/>
        <v>-2</v>
      </c>
      <c r="G77" s="946">
        <f t="shared" si="64"/>
        <v>-1</v>
      </c>
      <c r="H77" s="1087">
        <f t="shared" si="64"/>
        <v>0</v>
      </c>
      <c r="I77" s="1088">
        <f t="shared" si="64"/>
        <v>1</v>
      </c>
      <c r="J77" s="1091">
        <f t="shared" si="64"/>
        <v>2</v>
      </c>
      <c r="K77" s="1085">
        <f t="shared" si="64"/>
        <v>3</v>
      </c>
      <c r="L77" s="1091">
        <f t="shared" si="64"/>
        <v>4</v>
      </c>
      <c r="M77" s="1086">
        <f t="shared" si="64"/>
        <v>5</v>
      </c>
      <c r="N77" s="689">
        <f t="shared" si="16"/>
        <v>0</v>
      </c>
      <c r="O77" s="930">
        <f t="shared" si="17"/>
        <v>0</v>
      </c>
      <c r="P77" s="689">
        <f t="shared" si="18"/>
        <v>129</v>
      </c>
      <c r="Q77" s="686">
        <f t="shared" si="19"/>
        <v>4.5739212599008612</v>
      </c>
      <c r="R77" s="689">
        <f t="shared" si="20"/>
        <v>4.5739212599008612</v>
      </c>
      <c r="S77" s="689">
        <f t="shared" si="21"/>
        <v>4.5739212599008612</v>
      </c>
      <c r="T77" s="689">
        <f t="shared" si="22"/>
        <v>4.5739212599008612</v>
      </c>
      <c r="U77" s="946">
        <f t="shared" si="23"/>
        <v>4.5739212599008612</v>
      </c>
      <c r="V77" s="1090">
        <f t="shared" si="24"/>
        <v>4.5739212599008612</v>
      </c>
      <c r="W77" s="686">
        <f t="shared" si="25"/>
        <v>4.5739212599008612</v>
      </c>
      <c r="X77" s="689">
        <f t="shared" si="26"/>
        <v>4.5739212599008612</v>
      </c>
      <c r="Y77" s="689">
        <f t="shared" si="27"/>
        <v>4.5739212599008612</v>
      </c>
      <c r="Z77" s="689">
        <f t="shared" si="28"/>
        <v>4.5739212599008612</v>
      </c>
      <c r="AA77" s="946">
        <f t="shared" si="29"/>
        <v>4.5739212599008612</v>
      </c>
      <c r="AB77" s="1057">
        <f t="shared" si="30"/>
        <v>4.5739212599008612</v>
      </c>
      <c r="AC77" s="1058">
        <f t="shared" si="37"/>
        <v>7.5010000000000003</v>
      </c>
      <c r="AD77" s="39" t="b">
        <f t="shared" si="31"/>
        <v>0</v>
      </c>
      <c r="AE77" s="1058">
        <f t="shared" si="32"/>
        <v>0</v>
      </c>
      <c r="AF77" s="1059">
        <f t="shared" si="38"/>
        <v>0</v>
      </c>
      <c r="AG77" s="931">
        <v>65.069999999999993</v>
      </c>
      <c r="AH77" s="934">
        <v>16.789999999999992</v>
      </c>
      <c r="AJ77" s="1067">
        <f t="shared" si="39"/>
        <v>1</v>
      </c>
      <c r="AK77" s="82">
        <f t="shared" si="40"/>
        <v>2</v>
      </c>
      <c r="AL77" s="1068">
        <f t="shared" si="41"/>
        <v>129</v>
      </c>
      <c r="AM77" s="1068">
        <f t="shared" si="42"/>
        <v>1</v>
      </c>
      <c r="AN77" s="1079">
        <f t="shared" si="57"/>
        <v>130</v>
      </c>
      <c r="AO77" s="1080">
        <f t="shared" si="43"/>
        <v>4.5739212599008612</v>
      </c>
      <c r="AP77" s="1072"/>
      <c r="AQ77" s="1073"/>
      <c r="AR77" s="1072"/>
      <c r="AS77" s="1073"/>
      <c r="AT77" s="1072"/>
      <c r="AU77" s="1073"/>
      <c r="AV77" s="1072"/>
      <c r="AW77" s="1073"/>
      <c r="AX77" s="28">
        <f t="shared" si="34"/>
        <v>0</v>
      </c>
      <c r="AY77" s="28">
        <f t="shared" si="35"/>
        <v>0</v>
      </c>
    </row>
    <row r="78" spans="1:51" s="28" customFormat="1" ht="12.75" x14ac:dyDescent="0.2">
      <c r="A78" s="1027">
        <f t="shared" si="14"/>
        <v>0</v>
      </c>
      <c r="B78" s="1030">
        <v>1</v>
      </c>
      <c r="C78" s="689">
        <f t="shared" ref="C78:M78" si="65">$L42+C$55*Rapous</f>
        <v>-5</v>
      </c>
      <c r="D78" s="689">
        <f t="shared" si="65"/>
        <v>-4</v>
      </c>
      <c r="E78" s="689">
        <f t="shared" si="65"/>
        <v>-3</v>
      </c>
      <c r="F78" s="689">
        <f t="shared" si="65"/>
        <v>-2</v>
      </c>
      <c r="G78" s="946">
        <f t="shared" si="65"/>
        <v>-1</v>
      </c>
      <c r="H78" s="1087">
        <f t="shared" si="65"/>
        <v>0</v>
      </c>
      <c r="I78" s="1088">
        <f t="shared" si="65"/>
        <v>1</v>
      </c>
      <c r="J78" s="1091">
        <f t="shared" si="65"/>
        <v>2</v>
      </c>
      <c r="K78" s="1085">
        <f t="shared" si="65"/>
        <v>3</v>
      </c>
      <c r="L78" s="1091">
        <f t="shared" si="65"/>
        <v>4</v>
      </c>
      <c r="M78" s="1086">
        <f t="shared" si="65"/>
        <v>5</v>
      </c>
      <c r="N78" s="689">
        <f t="shared" si="16"/>
        <v>0</v>
      </c>
      <c r="O78" s="930">
        <f t="shared" si="17"/>
        <v>0</v>
      </c>
      <c r="P78" s="689">
        <f t="shared" si="18"/>
        <v>129</v>
      </c>
      <c r="Q78" s="686">
        <f t="shared" si="19"/>
        <v>4.5739212599008612</v>
      </c>
      <c r="R78" s="689">
        <f t="shared" si="20"/>
        <v>4.5739212599008612</v>
      </c>
      <c r="S78" s="689">
        <f t="shared" si="21"/>
        <v>4.5739212599008612</v>
      </c>
      <c r="T78" s="689">
        <f t="shared" si="22"/>
        <v>4.5739212599008612</v>
      </c>
      <c r="U78" s="946">
        <f t="shared" si="23"/>
        <v>4.5739212599008612</v>
      </c>
      <c r="V78" s="1090">
        <f t="shared" si="24"/>
        <v>4.5739212599008612</v>
      </c>
      <c r="W78" s="686">
        <f t="shared" si="25"/>
        <v>4.5739212599008612</v>
      </c>
      <c r="X78" s="689">
        <f t="shared" si="26"/>
        <v>4.5739212599008612</v>
      </c>
      <c r="Y78" s="689">
        <f t="shared" si="27"/>
        <v>4.5739212599008612</v>
      </c>
      <c r="Z78" s="689">
        <f t="shared" si="28"/>
        <v>4.5739212599008612</v>
      </c>
      <c r="AA78" s="946">
        <f t="shared" si="29"/>
        <v>4.5739212599008612</v>
      </c>
      <c r="AB78" s="1057">
        <f t="shared" si="30"/>
        <v>4.5739212599008612</v>
      </c>
      <c r="AC78" s="1058">
        <f t="shared" si="37"/>
        <v>7.5010000000000003</v>
      </c>
      <c r="AD78" s="39" t="b">
        <f t="shared" si="31"/>
        <v>0</v>
      </c>
      <c r="AE78" s="1058">
        <f t="shared" si="32"/>
        <v>0</v>
      </c>
      <c r="AF78" s="1059">
        <f t="shared" si="38"/>
        <v>0</v>
      </c>
      <c r="AG78" s="931">
        <v>66.36</v>
      </c>
      <c r="AH78" s="934">
        <v>17.259999999999991</v>
      </c>
      <c r="AJ78" s="1067">
        <f t="shared" si="39"/>
        <v>1</v>
      </c>
      <c r="AK78" s="82">
        <f t="shared" si="40"/>
        <v>2</v>
      </c>
      <c r="AL78" s="1068">
        <f t="shared" si="41"/>
        <v>129</v>
      </c>
      <c r="AM78" s="1068">
        <f t="shared" si="42"/>
        <v>1</v>
      </c>
      <c r="AN78" s="1079">
        <f t="shared" si="57"/>
        <v>130</v>
      </c>
      <c r="AO78" s="1080">
        <f t="shared" si="43"/>
        <v>4.5739212599008612</v>
      </c>
      <c r="AP78" s="1072"/>
      <c r="AQ78" s="1073"/>
      <c r="AR78" s="1072"/>
      <c r="AS78" s="1073"/>
      <c r="AT78" s="1072"/>
      <c r="AU78" s="1073"/>
      <c r="AV78" s="1072"/>
      <c r="AW78" s="1073"/>
      <c r="AX78" s="28">
        <f t="shared" si="34"/>
        <v>0</v>
      </c>
      <c r="AY78" s="28">
        <f t="shared" si="35"/>
        <v>0</v>
      </c>
    </row>
    <row r="79" spans="1:51" s="28" customFormat="1" ht="13.5" thickBot="1" x14ac:dyDescent="0.25">
      <c r="A79" s="1028">
        <f t="shared" si="14"/>
        <v>0</v>
      </c>
      <c r="B79" s="1031">
        <v>1</v>
      </c>
      <c r="C79" s="698">
        <f t="shared" ref="C79:M79" si="66">$L43+C$55*Rapous</f>
        <v>-5</v>
      </c>
      <c r="D79" s="698">
        <f t="shared" si="66"/>
        <v>-4</v>
      </c>
      <c r="E79" s="698">
        <f t="shared" si="66"/>
        <v>-3</v>
      </c>
      <c r="F79" s="698">
        <f t="shared" si="66"/>
        <v>-2</v>
      </c>
      <c r="G79" s="952">
        <f t="shared" si="66"/>
        <v>-1</v>
      </c>
      <c r="H79" s="1092">
        <f t="shared" si="66"/>
        <v>0</v>
      </c>
      <c r="I79" s="1093">
        <f t="shared" si="66"/>
        <v>1</v>
      </c>
      <c r="J79" s="1094">
        <f t="shared" si="66"/>
        <v>2</v>
      </c>
      <c r="K79" s="1095">
        <f t="shared" si="66"/>
        <v>3</v>
      </c>
      <c r="L79" s="1094">
        <f t="shared" si="66"/>
        <v>4</v>
      </c>
      <c r="M79" s="1096">
        <f t="shared" si="66"/>
        <v>5</v>
      </c>
      <c r="N79" s="698">
        <f t="shared" si="16"/>
        <v>0</v>
      </c>
      <c r="O79" s="935">
        <f t="shared" si="17"/>
        <v>0</v>
      </c>
      <c r="P79" s="698">
        <f t="shared" si="18"/>
        <v>129</v>
      </c>
      <c r="Q79" s="951">
        <f t="shared" si="19"/>
        <v>4.5739212599008612</v>
      </c>
      <c r="R79" s="698">
        <f t="shared" si="20"/>
        <v>4.5739212599008612</v>
      </c>
      <c r="S79" s="698">
        <f t="shared" si="21"/>
        <v>4.5739212599008612</v>
      </c>
      <c r="T79" s="698">
        <f t="shared" si="22"/>
        <v>4.5739212599008612</v>
      </c>
      <c r="U79" s="952">
        <f t="shared" si="23"/>
        <v>4.5739212599008612</v>
      </c>
      <c r="V79" s="1097">
        <f t="shared" si="24"/>
        <v>4.5739212599008612</v>
      </c>
      <c r="W79" s="951">
        <f t="shared" si="25"/>
        <v>4.5739212599008612</v>
      </c>
      <c r="X79" s="698">
        <f t="shared" si="26"/>
        <v>4.5739212599008612</v>
      </c>
      <c r="Y79" s="698">
        <f t="shared" si="27"/>
        <v>4.5739212599008612</v>
      </c>
      <c r="Z79" s="698">
        <f t="shared" si="28"/>
        <v>4.5739212599008612</v>
      </c>
      <c r="AA79" s="952">
        <f t="shared" si="29"/>
        <v>4.5739212599008612</v>
      </c>
      <c r="AB79" s="1060">
        <f>(AA79+Z80)/2</f>
        <v>2.2869606299504306</v>
      </c>
      <c r="AC79" s="1061">
        <f t="shared" si="37"/>
        <v>7.5010000000000003</v>
      </c>
      <c r="AD79" s="1062" t="b">
        <f t="shared" si="31"/>
        <v>1</v>
      </c>
      <c r="AE79" s="1061">
        <f t="shared" si="32"/>
        <v>-129</v>
      </c>
      <c r="AF79" s="1063">
        <f t="shared" si="38"/>
        <v>0</v>
      </c>
      <c r="AG79" s="931">
        <v>67.87</v>
      </c>
      <c r="AH79" s="934">
        <v>18.400000000000006</v>
      </c>
      <c r="AJ79" s="1069">
        <f t="shared" si="39"/>
        <v>1</v>
      </c>
      <c r="AK79" s="1070">
        <f t="shared" si="40"/>
        <v>2</v>
      </c>
      <c r="AL79" s="1071">
        <f t="shared" si="41"/>
        <v>129</v>
      </c>
      <c r="AM79" s="1071">
        <f t="shared" si="42"/>
        <v>1</v>
      </c>
      <c r="AN79" s="1081">
        <f t="shared" si="57"/>
        <v>130</v>
      </c>
      <c r="AO79" s="1082">
        <f t="shared" si="43"/>
        <v>4.5739212599008612</v>
      </c>
      <c r="AP79" s="1083"/>
      <c r="AQ79" s="1084"/>
      <c r="AR79" s="1083"/>
      <c r="AS79" s="1084"/>
      <c r="AT79" s="1083"/>
      <c r="AU79" s="1084"/>
      <c r="AV79" s="1083"/>
      <c r="AW79" s="1084"/>
      <c r="AX79" s="28">
        <f t="shared" si="34"/>
        <v>0</v>
      </c>
      <c r="AY79" s="28">
        <f t="shared" si="35"/>
        <v>0</v>
      </c>
    </row>
    <row r="80" spans="1:51" s="19" customFormat="1" ht="12.75" x14ac:dyDescent="0.2">
      <c r="G80" s="31"/>
      <c r="H80" s="31"/>
      <c r="U80" s="29"/>
      <c r="W80" s="29"/>
      <c r="X80" s="695"/>
      <c r="Y80" s="29"/>
      <c r="AB80" s="1032"/>
      <c r="AC80" s="29"/>
      <c r="AG80" s="931">
        <v>68.69</v>
      </c>
      <c r="AH80" s="934">
        <v>18.659999999999997</v>
      </c>
      <c r="AJ80" s="93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3" t="s">
        <v>197</v>
      </c>
      <c r="F81" s="30"/>
      <c r="G81" s="29"/>
      <c r="H81" s="31"/>
      <c r="K81" s="30"/>
      <c r="Q81" s="29"/>
      <c r="R81" s="669"/>
      <c r="S81" s="29"/>
      <c r="U81" s="29"/>
      <c r="W81" s="29"/>
      <c r="X81" s="695"/>
      <c r="Y81" s="29"/>
      <c r="AB81" s="1032"/>
      <c r="AC81" s="29"/>
      <c r="AG81" s="931">
        <v>69.48</v>
      </c>
      <c r="AH81" s="934">
        <v>19.439999999999998</v>
      </c>
      <c r="AJ81" s="93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2" t="str">
        <f t="array" ref="A82:Z94">TRANSPOSE(O54:AA79)</f>
        <v>S.D.I.S. Montgiscard</v>
      </c>
      <c r="B82" s="936" t="str">
        <v>zone 2</v>
      </c>
      <c r="C82" s="937" t="str">
        <v>Arrière PV</v>
      </c>
      <c r="D82" s="937" t="str">
        <v>Toiture G</v>
      </c>
      <c r="E82" s="937" t="str">
        <v>Arbre 1</v>
      </c>
      <c r="F82" s="937" t="str">
        <v>Arbre 3</v>
      </c>
      <c r="G82" s="937" t="str">
        <v>Arbre 5</v>
      </c>
      <c r="H82" s="937" t="str">
        <v>Arbre 7</v>
      </c>
      <c r="I82" s="937" t="str">
        <v>Arbre 8</v>
      </c>
      <c r="J82" s="937" t="str">
        <v>Arbre 9</v>
      </c>
      <c r="K82" s="937" t="str">
        <v>Arbre 10</v>
      </c>
      <c r="L82" s="937" t="str">
        <v>Arbre 11</v>
      </c>
      <c r="M82" s="937" t="str">
        <v>creux</v>
      </c>
      <c r="N82" s="937" t="str">
        <v>Arbre 12</v>
      </c>
      <c r="O82" s="937" t="str">
        <v>Arbre 13</v>
      </c>
      <c r="P82" s="937" t="str">
        <v>creux</v>
      </c>
      <c r="Q82" s="937" t="str">
        <v>Arbre 14</v>
      </c>
      <c r="R82" s="937" t="str">
        <v>Arbre 15</v>
      </c>
      <c r="S82" s="937" t="str">
        <v>Arrière PV</v>
      </c>
      <c r="T82" s="937">
        <v>0</v>
      </c>
      <c r="U82" s="937">
        <v>0</v>
      </c>
      <c r="V82" s="937">
        <v>0</v>
      </c>
      <c r="W82" s="937">
        <v>0</v>
      </c>
      <c r="X82" s="937">
        <v>0</v>
      </c>
      <c r="Y82" s="937">
        <v>0</v>
      </c>
      <c r="Z82" s="937">
        <v>0</v>
      </c>
      <c r="AB82" s="1033"/>
      <c r="AG82" s="953">
        <v>69.760000000000005</v>
      </c>
      <c r="AH82" s="954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8">
        <v>-51</v>
      </c>
      <c r="B83" s="939" t="str">
        <v>Azi.S / PV</v>
      </c>
      <c r="C83" s="940">
        <v>-231</v>
      </c>
      <c r="D83" s="696">
        <v>-141</v>
      </c>
      <c r="E83" s="696">
        <v>-29.430144930209568</v>
      </c>
      <c r="F83" s="696">
        <v>-21.929144930209567</v>
      </c>
      <c r="G83" s="696">
        <v>-12.589370926773928</v>
      </c>
      <c r="H83" s="696">
        <v>-3.0022244933871307</v>
      </c>
      <c r="I83" s="696">
        <v>4.4987755066128692</v>
      </c>
      <c r="J83" s="696">
        <v>12.814015445654496</v>
      </c>
      <c r="K83" s="696">
        <v>21.378840935048146</v>
      </c>
      <c r="L83" s="696">
        <v>32.364655077236733</v>
      </c>
      <c r="M83" s="696">
        <v>46.660474780039074</v>
      </c>
      <c r="N83" s="696">
        <v>56.681329027205194</v>
      </c>
      <c r="O83" s="696">
        <v>71.615280930708849</v>
      </c>
      <c r="P83" s="696">
        <v>79.116280930708854</v>
      </c>
      <c r="Q83" s="696">
        <v>86.617280930708858</v>
      </c>
      <c r="R83" s="696">
        <v>94.276783903481061</v>
      </c>
      <c r="S83" s="696">
        <v>129</v>
      </c>
      <c r="T83" s="696">
        <v>129</v>
      </c>
      <c r="U83" s="696">
        <v>129</v>
      </c>
      <c r="V83" s="696">
        <v>129</v>
      </c>
      <c r="W83" s="696">
        <v>129</v>
      </c>
      <c r="X83" s="696">
        <v>129</v>
      </c>
      <c r="Y83" s="696">
        <v>129</v>
      </c>
      <c r="Z83" s="941">
        <v>129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2" t="str">
        <v>Elevation vue du champ PV zone: 2</v>
      </c>
      <c r="B84" s="943">
        <v>-5</v>
      </c>
      <c r="C84" s="816">
        <v>4.5739212599008612</v>
      </c>
      <c r="D84" s="697">
        <v>1</v>
      </c>
      <c r="E84" s="697">
        <v>7.8905508127151691</v>
      </c>
      <c r="F84" s="697">
        <v>8.3381504449855406</v>
      </c>
      <c r="G84" s="697">
        <v>11.916294179997086</v>
      </c>
      <c r="H84" s="697">
        <v>13.710580111091097</v>
      </c>
      <c r="I84" s="697">
        <v>15.513065526175557</v>
      </c>
      <c r="J84" s="697">
        <v>16.833963288128405</v>
      </c>
      <c r="K84" s="697">
        <v>18.365993576884396</v>
      </c>
      <c r="L84" s="697">
        <v>19.257084121098991</v>
      </c>
      <c r="M84" s="697">
        <v>1</v>
      </c>
      <c r="N84" s="697">
        <v>5.2511326459396619</v>
      </c>
      <c r="O84" s="697">
        <v>5.1855255081369993</v>
      </c>
      <c r="P84" s="697">
        <v>1</v>
      </c>
      <c r="Q84" s="697">
        <v>5.6536107931134909</v>
      </c>
      <c r="R84" s="697">
        <v>5.3316256529746964</v>
      </c>
      <c r="S84" s="697">
        <v>4.5739212599008612</v>
      </c>
      <c r="T84" s="697">
        <v>4.5739212599008612</v>
      </c>
      <c r="U84" s="697">
        <v>4.5739212599008612</v>
      </c>
      <c r="V84" s="697">
        <v>4.5739212599008612</v>
      </c>
      <c r="W84" s="697">
        <v>4.5739212599008612</v>
      </c>
      <c r="X84" s="697">
        <v>4.5739212599008612</v>
      </c>
      <c r="Y84" s="697">
        <v>4.5739212599008612</v>
      </c>
      <c r="Z84" s="944">
        <v>4.5739212599008612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5">
        <v>0</v>
      </c>
      <c r="B85" s="943">
        <v>-4</v>
      </c>
      <c r="C85" s="686">
        <v>4.5739212599008612</v>
      </c>
      <c r="D85" s="689">
        <v>1</v>
      </c>
      <c r="E85" s="689">
        <v>8.3051698235460059</v>
      </c>
      <c r="F85" s="689">
        <v>8.851515262779925</v>
      </c>
      <c r="G85" s="689">
        <v>12.566606296799311</v>
      </c>
      <c r="H85" s="689">
        <v>14.488487079600308</v>
      </c>
      <c r="I85" s="689">
        <v>16.350855298506566</v>
      </c>
      <c r="J85" s="689">
        <v>17.745426622425299</v>
      </c>
      <c r="K85" s="689">
        <v>19.322851948771504</v>
      </c>
      <c r="L85" s="689">
        <v>20.241427155043652</v>
      </c>
      <c r="M85" s="689">
        <v>1</v>
      </c>
      <c r="N85" s="689">
        <v>6.0266476561780733</v>
      </c>
      <c r="O85" s="689">
        <v>5.8743474779186657</v>
      </c>
      <c r="P85" s="689">
        <v>1</v>
      </c>
      <c r="Q85" s="689">
        <v>6.231669857347593</v>
      </c>
      <c r="R85" s="689">
        <v>5.8087994007350261</v>
      </c>
      <c r="S85" s="689">
        <v>4.5739212599008612</v>
      </c>
      <c r="T85" s="689">
        <v>4.5739212599008612</v>
      </c>
      <c r="U85" s="689">
        <v>4.5739212599008612</v>
      </c>
      <c r="V85" s="689">
        <v>4.5739212599008612</v>
      </c>
      <c r="W85" s="689">
        <v>4.5739212599008612</v>
      </c>
      <c r="X85" s="689">
        <v>4.5739212599008612</v>
      </c>
      <c r="Y85" s="689">
        <v>4.5739212599008612</v>
      </c>
      <c r="Z85" s="946">
        <v>4.5739212599008612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5">
        <v>0</v>
      </c>
      <c r="B86" s="943">
        <v>-3</v>
      </c>
      <c r="C86" s="686">
        <v>4.5739212599008612</v>
      </c>
      <c r="D86" s="689">
        <v>1</v>
      </c>
      <c r="E86" s="689">
        <v>8.7189147280919919</v>
      </c>
      <c r="F86" s="689">
        <v>9.3634514921007259</v>
      </c>
      <c r="G86" s="689">
        <v>13.21364441074077</v>
      </c>
      <c r="H86" s="689">
        <v>15.26097406895151</v>
      </c>
      <c r="I86" s="689">
        <v>17.181518616780405</v>
      </c>
      <c r="J86" s="689">
        <v>18.647704090733988</v>
      </c>
      <c r="K86" s="689">
        <v>20.268634614203865</v>
      </c>
      <c r="L86" s="689">
        <v>21.213455540296305</v>
      </c>
      <c r="M86" s="689">
        <v>1</v>
      </c>
      <c r="N86" s="689">
        <v>6.7999527240138731</v>
      </c>
      <c r="O86" s="689">
        <v>6.5614696785852971</v>
      </c>
      <c r="P86" s="689">
        <v>1</v>
      </c>
      <c r="Q86" s="689">
        <v>6.8084581124817438</v>
      </c>
      <c r="R86" s="689">
        <v>6.2851659684088643</v>
      </c>
      <c r="S86" s="689">
        <v>4.5739212599008612</v>
      </c>
      <c r="T86" s="689">
        <v>4.5739212599008612</v>
      </c>
      <c r="U86" s="689">
        <v>4.5739212599008612</v>
      </c>
      <c r="V86" s="689">
        <v>4.5739212599008612</v>
      </c>
      <c r="W86" s="689">
        <v>4.5739212599008612</v>
      </c>
      <c r="X86" s="689">
        <v>4.5739212599008612</v>
      </c>
      <c r="Y86" s="689">
        <v>4.5739212599008612</v>
      </c>
      <c r="Z86" s="946">
        <v>4.5739212599008612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5">
        <v>0</v>
      </c>
      <c r="B87" s="943">
        <v>-2</v>
      </c>
      <c r="C87" s="686">
        <v>4.5739212599008612</v>
      </c>
      <c r="D87" s="689">
        <v>1</v>
      </c>
      <c r="E87" s="689">
        <v>9.1317452780557105</v>
      </c>
      <c r="F87" s="689">
        <v>9.8738837013468768</v>
      </c>
      <c r="G87" s="689">
        <v>13.857269430464783</v>
      </c>
      <c r="H87" s="689">
        <v>16.027819699246741</v>
      </c>
      <c r="I87" s="689">
        <v>18.004801391793045</v>
      </c>
      <c r="J87" s="689">
        <v>19.540493251807476</v>
      </c>
      <c r="K87" s="689">
        <v>21.203026454715879</v>
      </c>
      <c r="L87" s="689">
        <v>22.172850066919565</v>
      </c>
      <c r="M87" s="689">
        <v>1</v>
      </c>
      <c r="N87" s="689">
        <v>7.5707768517387235</v>
      </c>
      <c r="O87" s="689">
        <v>7.2467015346040027</v>
      </c>
      <c r="P87" s="689">
        <v>1.4380085083745087</v>
      </c>
      <c r="Q87" s="689">
        <v>7.3838632473941077</v>
      </c>
      <c r="R87" s="689">
        <v>6.760661720226242</v>
      </c>
      <c r="S87" s="689">
        <v>4.5739212599008612</v>
      </c>
      <c r="T87" s="689">
        <v>4.5739212599008612</v>
      </c>
      <c r="U87" s="689">
        <v>4.5739212599008612</v>
      </c>
      <c r="V87" s="689">
        <v>4.5739212599008612</v>
      </c>
      <c r="W87" s="689">
        <v>4.5739212599008612</v>
      </c>
      <c r="X87" s="689">
        <v>4.5739212599008612</v>
      </c>
      <c r="Y87" s="689">
        <v>4.5739212599008612</v>
      </c>
      <c r="Z87" s="946">
        <v>4.5739212599008612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5">
        <v>0</v>
      </c>
      <c r="B88" s="947">
        <v>-1</v>
      </c>
      <c r="C88" s="686">
        <v>4.5739212599008612</v>
      </c>
      <c r="D88" s="689">
        <v>1</v>
      </c>
      <c r="E88" s="689">
        <v>9.5436217825163983</v>
      </c>
      <c r="F88" s="689">
        <v>10.382737856140094</v>
      </c>
      <c r="G88" s="689">
        <v>14.497347172175846</v>
      </c>
      <c r="H88" s="689">
        <v>16.788813891713648</v>
      </c>
      <c r="I88" s="689">
        <v>18.820466212393356</v>
      </c>
      <c r="J88" s="689">
        <v>20.423516408841447</v>
      </c>
      <c r="K88" s="689">
        <v>22.125744114598742</v>
      </c>
      <c r="L88" s="689">
        <v>23.119328086304524</v>
      </c>
      <c r="M88" s="689">
        <v>1.8043345216828877</v>
      </c>
      <c r="N88" s="689">
        <v>8.3388543674727558</v>
      </c>
      <c r="O88" s="689">
        <v>7.9298556794056365</v>
      </c>
      <c r="P88" s="689">
        <v>2.0756547128598859</v>
      </c>
      <c r="Q88" s="689">
        <v>7.95777460448722</v>
      </c>
      <c r="R88" s="689">
        <v>7.2352237325375865</v>
      </c>
      <c r="S88" s="689">
        <v>4.5739212599008612</v>
      </c>
      <c r="T88" s="689">
        <v>4.5739212599008612</v>
      </c>
      <c r="U88" s="689">
        <v>4.5739212599008612</v>
      </c>
      <c r="V88" s="689">
        <v>4.5739212599008612</v>
      </c>
      <c r="W88" s="689">
        <v>4.5739212599008612</v>
      </c>
      <c r="X88" s="689">
        <v>4.5739212599008612</v>
      </c>
      <c r="Y88" s="689">
        <v>4.5739212599008612</v>
      </c>
      <c r="Z88" s="946">
        <v>4.5739212599008612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5">
        <v>0</v>
      </c>
      <c r="B89" s="943">
        <v>0</v>
      </c>
      <c r="C89" s="948">
        <v>4.5739212599008612</v>
      </c>
      <c r="D89" s="678">
        <v>1</v>
      </c>
      <c r="E89" s="678">
        <v>9.9545051281248487</v>
      </c>
      <c r="F89" s="678">
        <v>10.889941374628975</v>
      </c>
      <c r="G89" s="678">
        <v>15.133748467210168</v>
      </c>
      <c r="H89" s="678">
        <v>17.543758014545595</v>
      </c>
      <c r="I89" s="678">
        <v>19.628292384218174</v>
      </c>
      <c r="J89" s="678">
        <v>21.296520451440923</v>
      </c>
      <c r="K89" s="678">
        <v>23.036535479706945</v>
      </c>
      <c r="L89" s="678">
        <v>24.052642687617144</v>
      </c>
      <c r="M89" s="678">
        <v>2.7420108598986195</v>
      </c>
      <c r="N89" s="678">
        <v>9.1039254352090015</v>
      </c>
      <c r="O89" s="678">
        <v>8.6107482426615505</v>
      </c>
      <c r="P89" s="678">
        <v>2.7127869667867266</v>
      </c>
      <c r="Q89" s="678">
        <v>8.530083298502289</v>
      </c>
      <c r="R89" s="678">
        <v>7.708789840898878</v>
      </c>
      <c r="S89" s="678">
        <v>4.5739212599008612</v>
      </c>
      <c r="T89" s="678">
        <v>4.5739212599008612</v>
      </c>
      <c r="U89" s="678">
        <v>4.5739212599008612</v>
      </c>
      <c r="V89" s="678">
        <v>4.5739212599008612</v>
      </c>
      <c r="W89" s="678">
        <v>4.5739212599008612</v>
      </c>
      <c r="X89" s="678">
        <v>4.5739212599008612</v>
      </c>
      <c r="Y89" s="678">
        <v>4.5739212599008612</v>
      </c>
      <c r="Z89" s="688">
        <v>4.5739212599008612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5">
        <v>0</v>
      </c>
      <c r="B90" s="949">
        <v>1</v>
      </c>
      <c r="C90" s="686">
        <v>4.5739212599008612</v>
      </c>
      <c r="D90" s="689">
        <v>1</v>
      </c>
      <c r="E90" s="689">
        <v>10.364356798456079</v>
      </c>
      <c r="F90" s="689">
        <v>11.395423179595216</v>
      </c>
      <c r="G90" s="689">
        <v>15.766349253516745</v>
      </c>
      <c r="H90" s="689">
        <v>18.292464980093033</v>
      </c>
      <c r="I90" s="689">
        <v>20.42807589287797</v>
      </c>
      <c r="J90" s="689">
        <v>22.159276576846356</v>
      </c>
      <c r="K90" s="689">
        <v>23.935179005265528</v>
      </c>
      <c r="L90" s="689">
        <v>24.972581705575365</v>
      </c>
      <c r="M90" s="689">
        <v>3.6782197166507258</v>
      </c>
      <c r="N90" s="689">
        <v>9.8657365346393195</v>
      </c>
      <c r="O90" s="689">
        <v>9.2891991231890696</v>
      </c>
      <c r="P90" s="689">
        <v>3.3492485504963714</v>
      </c>
      <c r="Q90" s="689">
        <v>9.1006823302004669</v>
      </c>
      <c r="R90" s="689">
        <v>8.1812986856437835</v>
      </c>
      <c r="S90" s="689">
        <v>4.5739212599008612</v>
      </c>
      <c r="T90" s="689">
        <v>4.5739212599008612</v>
      </c>
      <c r="U90" s="689">
        <v>4.5739212599008612</v>
      </c>
      <c r="V90" s="689">
        <v>4.5739212599008612</v>
      </c>
      <c r="W90" s="689">
        <v>4.5739212599008612</v>
      </c>
      <c r="X90" s="689">
        <v>4.5739212599008612</v>
      </c>
      <c r="Y90" s="689">
        <v>4.5739212599008612</v>
      </c>
      <c r="Z90" s="946">
        <v>4.5739212599008612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5">
        <v>0</v>
      </c>
      <c r="B91" s="943">
        <v>2</v>
      </c>
      <c r="C91" s="686">
        <v>4.5739212599008612</v>
      </c>
      <c r="D91" s="689">
        <v>1</v>
      </c>
      <c r="E91" s="689">
        <v>10.773138892501064</v>
      </c>
      <c r="F91" s="689">
        <v>11.899113747296322</v>
      </c>
      <c r="G91" s="689">
        <v>16.395030651226243</v>
      </c>
      <c r="H91" s="689">
        <v>19.034759295087891</v>
      </c>
      <c r="I91" s="689">
        <v>21.219629296002864</v>
      </c>
      <c r="J91" s="689">
        <v>23.011579900424287</v>
      </c>
      <c r="K91" s="689">
        <v>24.821482909624233</v>
      </c>
      <c r="L91" s="689">
        <v>25.878966582042132</v>
      </c>
      <c r="M91" s="689">
        <v>4.6124660485600222</v>
      </c>
      <c r="N91" s="689">
        <v>10.624040908828851</v>
      </c>
      <c r="O91" s="689">
        <v>9.9650322465848724</v>
      </c>
      <c r="P91" s="689">
        <v>3.98488373583089</v>
      </c>
      <c r="Q91" s="689">
        <v>9.669466694648186</v>
      </c>
      <c r="R91" s="689">
        <v>8.6526897558665432</v>
      </c>
      <c r="S91" s="689">
        <v>4.5739212599008612</v>
      </c>
      <c r="T91" s="689">
        <v>4.5739212599008612</v>
      </c>
      <c r="U91" s="689">
        <v>4.5739212599008612</v>
      </c>
      <c r="V91" s="689">
        <v>4.5739212599008612</v>
      </c>
      <c r="W91" s="689">
        <v>4.5739212599008612</v>
      </c>
      <c r="X91" s="689">
        <v>4.5739212599008612</v>
      </c>
      <c r="Y91" s="689">
        <v>4.5739212599008612</v>
      </c>
      <c r="Z91" s="946">
        <v>4.5739212599008612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5">
        <v>0</v>
      </c>
      <c r="B92" s="943">
        <v>3</v>
      </c>
      <c r="C92" s="686">
        <v>4.5739212599008612</v>
      </c>
      <c r="D92" s="689">
        <v>1</v>
      </c>
      <c r="E92" s="689">
        <v>11.180814142280997</v>
      </c>
      <c r="F92" s="689">
        <v>12.4009451529916</v>
      </c>
      <c r="G92" s="689">
        <v>17.019679022564514</v>
      </c>
      <c r="H92" s="689">
        <v>19.770477065856646</v>
      </c>
      <c r="I92" s="689">
        <v>22.002781548916985</v>
      </c>
      <c r="J92" s="689">
        <v>23.853248965853769</v>
      </c>
      <c r="K92" s="689">
        <v>25.69528425103487</v>
      </c>
      <c r="L92" s="689">
        <v>26.771651103681528</v>
      </c>
      <c r="M92" s="689">
        <v>5.5442610554279241</v>
      </c>
      <c r="N92" s="689">
        <v>11.378598978101408</v>
      </c>
      <c r="O92" s="689">
        <v>10.638075806797534</v>
      </c>
      <c r="P92" s="689">
        <v>4.6195380120484213</v>
      </c>
      <c r="Q92" s="689">
        <v>10.236333483871645</v>
      </c>
      <c r="R92" s="689">
        <v>9.1229034317451152</v>
      </c>
      <c r="S92" s="689">
        <v>4.5739212599008612</v>
      </c>
      <c r="T92" s="689">
        <v>4.5739212599008612</v>
      </c>
      <c r="U92" s="689">
        <v>4.5739212599008612</v>
      </c>
      <c r="V92" s="689">
        <v>4.5739212599008612</v>
      </c>
      <c r="W92" s="689">
        <v>4.5739212599008612</v>
      </c>
      <c r="X92" s="689">
        <v>4.5739212599008612</v>
      </c>
      <c r="Y92" s="689">
        <v>4.5739212599008612</v>
      </c>
      <c r="Z92" s="946">
        <v>4.5739212599008612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5">
        <v>0</v>
      </c>
      <c r="B93" s="943">
        <v>4</v>
      </c>
      <c r="C93" s="686">
        <v>4.5739212599008612</v>
      </c>
      <c r="D93" s="689">
        <v>1</v>
      </c>
      <c r="E93" s="689">
        <v>11.587345929569791</v>
      </c>
      <c r="F93" s="689">
        <v>12.900851113110612</v>
      </c>
      <c r="G93" s="689">
        <v>17.640186016441621</v>
      </c>
      <c r="H93" s="689">
        <v>20.499465960715185</v>
      </c>
      <c r="I93" s="689">
        <v>22.777377768983126</v>
      </c>
      <c r="J93" s="689">
        <v>24.684125165680424</v>
      </c>
      <c r="K93" s="689">
        <v>26.556447904377432</v>
      </c>
      <c r="L93" s="689">
        <v>27.65052003734186</v>
      </c>
      <c r="M93" s="689">
        <v>6.4731236800020922</v>
      </c>
      <c r="N93" s="689">
        <v>12.129178718800171</v>
      </c>
      <c r="O93" s="689">
        <v>11.308162490965756</v>
      </c>
      <c r="P93" s="689">
        <v>5.253058307278212</v>
      </c>
      <c r="Q93" s="689">
        <v>10.801181983674113</v>
      </c>
      <c r="R93" s="689">
        <v>9.5918810251399176</v>
      </c>
      <c r="S93" s="689">
        <v>4.5739212599008612</v>
      </c>
      <c r="T93" s="689">
        <v>4.5739212599008612</v>
      </c>
      <c r="U93" s="689">
        <v>4.5739212599008612</v>
      </c>
      <c r="V93" s="689">
        <v>4.5739212599008612</v>
      </c>
      <c r="W93" s="689">
        <v>4.5739212599008612</v>
      </c>
      <c r="X93" s="689">
        <v>4.5739212599008612</v>
      </c>
      <c r="Y93" s="689">
        <v>4.5739212599008612</v>
      </c>
      <c r="Z93" s="946">
        <v>4.5739212599008612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50">
        <v>0.08</v>
      </c>
      <c r="B94" s="943">
        <v>5</v>
      </c>
      <c r="C94" s="951">
        <v>4.5739212599008612</v>
      </c>
      <c r="D94" s="698">
        <v>1</v>
      </c>
      <c r="E94" s="698">
        <v>11.992698301712759</v>
      </c>
      <c r="F94" s="698">
        <v>13.398767024035505</v>
      </c>
      <c r="G94" s="698">
        <v>18.2564485981156</v>
      </c>
      <c r="H94" s="698">
        <v>21.221585131937385</v>
      </c>
      <c r="I94" s="698">
        <v>23.54327894385294</v>
      </c>
      <c r="J94" s="698">
        <v>25.504072082979306</v>
      </c>
      <c r="K94" s="698">
        <v>27.404865454363787</v>
      </c>
      <c r="L94" s="698">
        <v>28.515487683955755</v>
      </c>
      <c r="M94" s="698">
        <v>7.3985820472130968</v>
      </c>
      <c r="N94" s="698">
        <v>12.875556005893205</v>
      </c>
      <c r="O94" s="698">
        <v>11.975129686966049</v>
      </c>
      <c r="P94" s="698">
        <v>5.8852932047366204</v>
      </c>
      <c r="Q94" s="698">
        <v>11.363913764438864</v>
      </c>
      <c r="R94" s="698">
        <v>10.059564818409648</v>
      </c>
      <c r="S94" s="698">
        <v>4.5739212599008612</v>
      </c>
      <c r="T94" s="698">
        <v>4.5739212599008612</v>
      </c>
      <c r="U94" s="698">
        <v>4.5739212599008612</v>
      </c>
      <c r="V94" s="698">
        <v>4.5739212599008612</v>
      </c>
      <c r="W94" s="698">
        <v>4.5739212599008612</v>
      </c>
      <c r="X94" s="698">
        <v>4.5739212599008612</v>
      </c>
      <c r="Y94" s="698">
        <v>4.5739212599008612</v>
      </c>
      <c r="Z94" s="952">
        <v>4.5739212599008612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8" customFormat="1" x14ac:dyDescent="0.25">
      <c r="A96" s="1098" t="s">
        <v>308</v>
      </c>
      <c r="F96" s="1016"/>
      <c r="G96" s="1017"/>
      <c r="H96" s="690"/>
      <c r="I96" s="1098" t="s">
        <v>307</v>
      </c>
      <c r="N96" s="1016"/>
      <c r="Q96" s="1098" t="s">
        <v>305</v>
      </c>
      <c r="V96" s="1016"/>
      <c r="W96" s="1017"/>
      <c r="X96" s="690"/>
      <c r="Y96" s="1098" t="s">
        <v>306</v>
      </c>
      <c r="AD96" s="1016"/>
      <c r="AH96" s="1018"/>
      <c r="AM96" s="1065"/>
      <c r="AN96" s="1065"/>
      <c r="AO96" s="1065"/>
      <c r="AP96" s="1065"/>
      <c r="AQ96" s="1065"/>
      <c r="AR96" s="1065"/>
      <c r="AS96" s="1065"/>
      <c r="AT96" s="1065"/>
      <c r="AU96" s="1065"/>
      <c r="AV96" s="1065"/>
      <c r="AW96" s="1065"/>
    </row>
    <row r="97" spans="1:49" s="19" customFormat="1" ht="12.75" x14ac:dyDescent="0.2">
      <c r="A97" s="1011"/>
      <c r="B97" s="1012"/>
      <c r="C97" s="1013"/>
      <c r="D97" s="1014"/>
      <c r="E97" s="1014"/>
      <c r="F97" s="1015"/>
      <c r="G97" s="29"/>
      <c r="H97" s="31"/>
      <c r="I97" s="1011"/>
      <c r="J97" s="1012"/>
      <c r="K97" s="1013"/>
      <c r="L97" s="1014"/>
      <c r="M97" s="1014"/>
      <c r="N97" s="1015"/>
      <c r="Q97" s="1011"/>
      <c r="R97" s="1012"/>
      <c r="S97" s="1013"/>
      <c r="T97" s="1014"/>
      <c r="U97" s="1014"/>
      <c r="V97" s="1015"/>
      <c r="W97" s="29"/>
      <c r="X97" s="695"/>
      <c r="Y97" s="1011"/>
      <c r="Z97" s="1012"/>
      <c r="AA97" s="1013"/>
      <c r="AB97" s="1014"/>
      <c r="AC97" s="1014"/>
      <c r="AD97" s="1015"/>
      <c r="AH97" s="1019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4"/>
      <c r="B98" s="912"/>
      <c r="C98" s="971"/>
      <c r="D98" s="913"/>
      <c r="E98" s="913"/>
      <c r="F98" s="973"/>
      <c r="G98" s="29"/>
      <c r="H98" s="31"/>
      <c r="I98" s="914"/>
      <c r="J98" s="912"/>
      <c r="K98" s="971"/>
      <c r="L98" s="913"/>
      <c r="M98" s="913"/>
      <c r="N98" s="973"/>
      <c r="Q98" s="914"/>
      <c r="R98" s="912"/>
      <c r="S98" s="971"/>
      <c r="T98" s="913"/>
      <c r="U98" s="913"/>
      <c r="V98" s="973"/>
      <c r="W98" s="29"/>
      <c r="X98" s="695"/>
      <c r="Y98" s="914"/>
      <c r="Z98" s="912"/>
      <c r="AA98" s="971"/>
      <c r="AB98" s="913"/>
      <c r="AC98" s="913"/>
      <c r="AD98" s="973"/>
      <c r="AH98" s="1019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4"/>
      <c r="B99" s="912"/>
      <c r="C99" s="971"/>
      <c r="D99" s="913"/>
      <c r="E99" s="913"/>
      <c r="F99" s="973"/>
      <c r="G99" s="29"/>
      <c r="H99" s="31"/>
      <c r="I99" s="914"/>
      <c r="J99" s="912"/>
      <c r="K99" s="971"/>
      <c r="L99" s="913"/>
      <c r="M99" s="913"/>
      <c r="N99" s="973"/>
      <c r="Q99" s="914"/>
      <c r="R99" s="912"/>
      <c r="S99" s="971"/>
      <c r="T99" s="913"/>
      <c r="U99" s="913"/>
      <c r="V99" s="973"/>
      <c r="W99" s="29"/>
      <c r="X99" s="695"/>
      <c r="Y99" s="914"/>
      <c r="Z99" s="912"/>
      <c r="AA99" s="971"/>
      <c r="AB99" s="913"/>
      <c r="AC99" s="913"/>
      <c r="AD99" s="973"/>
      <c r="AH99" s="1019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4"/>
      <c r="B100" s="912"/>
      <c r="C100" s="971"/>
      <c r="D100" s="913"/>
      <c r="E100" s="913"/>
      <c r="F100" s="973"/>
      <c r="G100" s="29"/>
      <c r="H100" s="31"/>
      <c r="I100" s="914"/>
      <c r="J100" s="912"/>
      <c r="K100" s="971"/>
      <c r="L100" s="913"/>
      <c r="M100" s="913"/>
      <c r="N100" s="973"/>
      <c r="Q100" s="914"/>
      <c r="R100" s="912"/>
      <c r="S100" s="971"/>
      <c r="T100" s="913"/>
      <c r="U100" s="913"/>
      <c r="V100" s="973"/>
      <c r="W100" s="29"/>
      <c r="X100" s="695"/>
      <c r="Y100" s="914"/>
      <c r="Z100" s="912"/>
      <c r="AA100" s="971"/>
      <c r="AB100" s="913"/>
      <c r="AC100" s="913"/>
      <c r="AD100" s="973"/>
      <c r="AH100" s="1019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4"/>
      <c r="B101" s="912"/>
      <c r="C101" s="971"/>
      <c r="D101" s="913"/>
      <c r="E101" s="913"/>
      <c r="F101" s="973"/>
      <c r="G101" s="29"/>
      <c r="H101" s="31"/>
      <c r="I101" s="914"/>
      <c r="J101" s="912"/>
      <c r="K101" s="971"/>
      <c r="L101" s="913"/>
      <c r="M101" s="913"/>
      <c r="N101" s="973"/>
      <c r="Q101" s="914"/>
      <c r="R101" s="912"/>
      <c r="S101" s="971"/>
      <c r="T101" s="913"/>
      <c r="U101" s="913"/>
      <c r="V101" s="973"/>
      <c r="W101" s="29"/>
      <c r="X101" s="695"/>
      <c r="Y101" s="914"/>
      <c r="Z101" s="912"/>
      <c r="AA101" s="971"/>
      <c r="AB101" s="913"/>
      <c r="AC101" s="913"/>
      <c r="AD101" s="973"/>
      <c r="AH101" s="1019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4"/>
      <c r="B102" s="912"/>
      <c r="C102" s="971"/>
      <c r="D102" s="913"/>
      <c r="E102" s="913"/>
      <c r="F102" s="973"/>
      <c r="G102" s="29"/>
      <c r="H102" s="31"/>
      <c r="I102" s="914"/>
      <c r="J102" s="912"/>
      <c r="K102" s="971"/>
      <c r="L102" s="913"/>
      <c r="M102" s="913"/>
      <c r="N102" s="973"/>
      <c r="Q102" s="914"/>
      <c r="R102" s="912"/>
      <c r="S102" s="971"/>
      <c r="T102" s="913"/>
      <c r="U102" s="913"/>
      <c r="V102" s="973"/>
      <c r="W102" s="29"/>
      <c r="X102" s="695"/>
      <c r="Y102" s="914"/>
      <c r="Z102" s="912"/>
      <c r="AA102" s="971"/>
      <c r="AB102" s="913"/>
      <c r="AC102" s="913"/>
      <c r="AD102" s="973"/>
      <c r="AH102" s="1019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4"/>
      <c r="B103" s="912"/>
      <c r="C103" s="971"/>
      <c r="D103" s="913"/>
      <c r="E103" s="913"/>
      <c r="F103" s="973"/>
      <c r="G103" s="29"/>
      <c r="H103" s="31"/>
      <c r="I103" s="914"/>
      <c r="J103" s="912"/>
      <c r="K103" s="971"/>
      <c r="L103" s="913"/>
      <c r="M103" s="913"/>
      <c r="N103" s="973"/>
      <c r="Q103" s="914"/>
      <c r="R103" s="912"/>
      <c r="S103" s="971"/>
      <c r="T103" s="913"/>
      <c r="U103" s="913"/>
      <c r="V103" s="973"/>
      <c r="W103" s="29"/>
      <c r="X103" s="695"/>
      <c r="Y103" s="914"/>
      <c r="Z103" s="912"/>
      <c r="AA103" s="971"/>
      <c r="AB103" s="913"/>
      <c r="AC103" s="913"/>
      <c r="AD103" s="973"/>
      <c r="AH103" s="1019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4"/>
      <c r="B104" s="912"/>
      <c r="C104" s="971"/>
      <c r="D104" s="913"/>
      <c r="E104" s="913"/>
      <c r="F104" s="973"/>
      <c r="G104" s="29"/>
      <c r="H104" s="31"/>
      <c r="I104" s="914"/>
      <c r="J104" s="912"/>
      <c r="K104" s="971"/>
      <c r="L104" s="913"/>
      <c r="M104" s="913"/>
      <c r="N104" s="973"/>
      <c r="Q104" s="914"/>
      <c r="R104" s="912"/>
      <c r="S104" s="971"/>
      <c r="T104" s="913"/>
      <c r="U104" s="913"/>
      <c r="V104" s="973"/>
      <c r="W104" s="29"/>
      <c r="X104" s="695"/>
      <c r="Y104" s="914"/>
      <c r="Z104" s="912"/>
      <c r="AA104" s="971"/>
      <c r="AB104" s="913"/>
      <c r="AC104" s="913"/>
      <c r="AD104" s="973"/>
      <c r="AH104" s="1019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4"/>
      <c r="B105" s="912"/>
      <c r="C105" s="971"/>
      <c r="D105" s="913"/>
      <c r="E105" s="913"/>
      <c r="F105" s="973"/>
      <c r="G105" s="29"/>
      <c r="H105" s="31"/>
      <c r="I105" s="914"/>
      <c r="J105" s="912"/>
      <c r="K105" s="971"/>
      <c r="L105" s="913"/>
      <c r="M105" s="913"/>
      <c r="N105" s="973"/>
      <c r="Q105" s="914"/>
      <c r="R105" s="912"/>
      <c r="S105" s="971"/>
      <c r="T105" s="913"/>
      <c r="U105" s="913"/>
      <c r="V105" s="973"/>
      <c r="W105" s="29"/>
      <c r="X105" s="695"/>
      <c r="Y105" s="914"/>
      <c r="Z105" s="912"/>
      <c r="AA105" s="971"/>
      <c r="AB105" s="913"/>
      <c r="AC105" s="913"/>
      <c r="AD105" s="973"/>
      <c r="AH105" s="1019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4"/>
      <c r="B106" s="912"/>
      <c r="C106" s="971"/>
      <c r="D106" s="913"/>
      <c r="E106" s="913"/>
      <c r="F106" s="973"/>
      <c r="G106" s="29"/>
      <c r="H106" s="31"/>
      <c r="I106" s="914"/>
      <c r="J106" s="912"/>
      <c r="K106" s="971"/>
      <c r="L106" s="913"/>
      <c r="M106" s="913"/>
      <c r="N106" s="973"/>
      <c r="Q106" s="914"/>
      <c r="R106" s="912"/>
      <c r="S106" s="971"/>
      <c r="T106" s="913"/>
      <c r="U106" s="913"/>
      <c r="V106" s="973"/>
      <c r="W106" s="29"/>
      <c r="X106" s="695"/>
      <c r="Y106" s="914"/>
      <c r="Z106" s="912"/>
      <c r="AA106" s="971"/>
      <c r="AB106" s="913"/>
      <c r="AC106" s="913"/>
      <c r="AD106" s="973"/>
      <c r="AH106" s="1019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4"/>
      <c r="B107" s="912"/>
      <c r="C107" s="971"/>
      <c r="D107" s="913"/>
      <c r="E107" s="913"/>
      <c r="F107" s="973"/>
      <c r="G107" s="29"/>
      <c r="H107" s="31"/>
      <c r="I107" s="914"/>
      <c r="J107" s="912"/>
      <c r="K107" s="971"/>
      <c r="L107" s="913"/>
      <c r="M107" s="913"/>
      <c r="N107" s="973"/>
      <c r="Q107" s="914"/>
      <c r="R107" s="912"/>
      <c r="S107" s="971"/>
      <c r="T107" s="913"/>
      <c r="U107" s="913"/>
      <c r="V107" s="973"/>
      <c r="W107" s="29"/>
      <c r="X107" s="695"/>
      <c r="Y107" s="914"/>
      <c r="Z107" s="912"/>
      <c r="AA107" s="971"/>
      <c r="AB107" s="913"/>
      <c r="AC107" s="913"/>
      <c r="AD107" s="973"/>
      <c r="AH107" s="1019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4"/>
      <c r="B108" s="912"/>
      <c r="C108" s="971"/>
      <c r="D108" s="913"/>
      <c r="E108" s="913"/>
      <c r="F108" s="973"/>
      <c r="G108" s="29"/>
      <c r="H108" s="31"/>
      <c r="I108" s="914"/>
      <c r="J108" s="912"/>
      <c r="K108" s="971"/>
      <c r="L108" s="913"/>
      <c r="M108" s="913"/>
      <c r="N108" s="973"/>
      <c r="Q108" s="914"/>
      <c r="R108" s="912"/>
      <c r="S108" s="971"/>
      <c r="T108" s="913"/>
      <c r="U108" s="913"/>
      <c r="V108" s="973"/>
      <c r="W108" s="29"/>
      <c r="X108" s="695"/>
      <c r="Y108" s="914"/>
      <c r="Z108" s="912"/>
      <c r="AA108" s="971"/>
      <c r="AB108" s="913"/>
      <c r="AC108" s="913"/>
      <c r="AD108" s="973"/>
      <c r="AH108" s="1019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4"/>
      <c r="B109" s="912"/>
      <c r="C109" s="972"/>
      <c r="D109" s="913"/>
      <c r="E109" s="913"/>
      <c r="F109" s="973"/>
      <c r="G109" s="29"/>
      <c r="H109" s="31"/>
      <c r="I109" s="914"/>
      <c r="J109" s="912"/>
      <c r="K109" s="972"/>
      <c r="L109" s="913"/>
      <c r="M109" s="913"/>
      <c r="N109" s="973"/>
      <c r="Q109" s="914"/>
      <c r="R109" s="912"/>
      <c r="S109" s="972"/>
      <c r="T109" s="913"/>
      <c r="U109" s="913"/>
      <c r="V109" s="973"/>
      <c r="W109" s="29"/>
      <c r="X109" s="695"/>
      <c r="Y109" s="914"/>
      <c r="Z109" s="912"/>
      <c r="AA109" s="972"/>
      <c r="AB109" s="913"/>
      <c r="AC109" s="913"/>
      <c r="AD109" s="973"/>
      <c r="AH109" s="1019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4"/>
      <c r="B110" s="912"/>
      <c r="C110" s="972"/>
      <c r="D110" s="913"/>
      <c r="E110" s="913"/>
      <c r="F110" s="973"/>
      <c r="G110" s="29"/>
      <c r="H110" s="31"/>
      <c r="I110" s="914"/>
      <c r="J110" s="912"/>
      <c r="K110" s="972"/>
      <c r="L110" s="913"/>
      <c r="M110" s="913"/>
      <c r="N110" s="973"/>
      <c r="Q110" s="914"/>
      <c r="R110" s="912"/>
      <c r="S110" s="972"/>
      <c r="T110" s="913"/>
      <c r="U110" s="913"/>
      <c r="V110" s="973"/>
      <c r="W110" s="29"/>
      <c r="X110" s="695"/>
      <c r="Y110" s="914"/>
      <c r="Z110" s="912"/>
      <c r="AA110" s="972"/>
      <c r="AB110" s="913"/>
      <c r="AC110" s="913"/>
      <c r="AD110" s="973"/>
      <c r="AH110" s="1019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4"/>
      <c r="B111" s="912"/>
      <c r="C111" s="972"/>
      <c r="D111" s="913"/>
      <c r="E111" s="913"/>
      <c r="F111" s="973"/>
      <c r="G111" s="29"/>
      <c r="H111" s="31"/>
      <c r="I111" s="914"/>
      <c r="J111" s="912"/>
      <c r="K111" s="972"/>
      <c r="L111" s="913"/>
      <c r="M111" s="913"/>
      <c r="N111" s="973"/>
      <c r="Q111" s="914"/>
      <c r="R111" s="912"/>
      <c r="S111" s="972"/>
      <c r="T111" s="913"/>
      <c r="U111" s="913"/>
      <c r="V111" s="973"/>
      <c r="W111" s="29"/>
      <c r="X111" s="695"/>
      <c r="Y111" s="914"/>
      <c r="Z111" s="912"/>
      <c r="AA111" s="972"/>
      <c r="AB111" s="913"/>
      <c r="AC111" s="913"/>
      <c r="AD111" s="973"/>
      <c r="AH111" s="1019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4"/>
      <c r="B112" s="912"/>
      <c r="C112" s="966"/>
      <c r="D112" s="913"/>
      <c r="E112" s="913"/>
      <c r="F112" s="973"/>
      <c r="G112" s="29"/>
      <c r="H112" s="31"/>
      <c r="I112" s="914"/>
      <c r="J112" s="912"/>
      <c r="K112" s="966"/>
      <c r="L112" s="913"/>
      <c r="M112" s="913"/>
      <c r="N112" s="973"/>
      <c r="Q112" s="914"/>
      <c r="R112" s="912"/>
      <c r="S112" s="966"/>
      <c r="T112" s="913"/>
      <c r="U112" s="913"/>
      <c r="V112" s="973"/>
      <c r="W112" s="29"/>
      <c r="X112" s="695"/>
      <c r="Y112" s="914"/>
      <c r="Z112" s="912"/>
      <c r="AA112" s="966"/>
      <c r="AB112" s="913"/>
      <c r="AC112" s="913"/>
      <c r="AD112" s="973"/>
      <c r="AH112" s="1019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4"/>
      <c r="B113" s="912"/>
      <c r="C113" s="966"/>
      <c r="D113" s="913"/>
      <c r="E113" s="913"/>
      <c r="F113" s="973"/>
      <c r="G113" s="29"/>
      <c r="H113" s="31"/>
      <c r="I113" s="914"/>
      <c r="J113" s="912"/>
      <c r="K113" s="966"/>
      <c r="L113" s="913"/>
      <c r="M113" s="913"/>
      <c r="N113" s="973"/>
      <c r="Q113" s="914"/>
      <c r="R113" s="912"/>
      <c r="S113" s="966"/>
      <c r="T113" s="913"/>
      <c r="U113" s="913"/>
      <c r="V113" s="973"/>
      <c r="W113" s="29"/>
      <c r="X113" s="695"/>
      <c r="Y113" s="914"/>
      <c r="Z113" s="912"/>
      <c r="AA113" s="966"/>
      <c r="AB113" s="913"/>
      <c r="AC113" s="913"/>
      <c r="AD113" s="973"/>
      <c r="AH113" s="1019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4"/>
      <c r="B114" s="912"/>
      <c r="C114" s="966"/>
      <c r="D114" s="913"/>
      <c r="E114" s="913"/>
      <c r="F114" s="973"/>
      <c r="G114" s="29"/>
      <c r="H114" s="31"/>
      <c r="I114" s="914"/>
      <c r="J114" s="912"/>
      <c r="K114" s="966"/>
      <c r="L114" s="913"/>
      <c r="M114" s="913"/>
      <c r="N114" s="973"/>
      <c r="Q114" s="914"/>
      <c r="R114" s="912"/>
      <c r="S114" s="966"/>
      <c r="T114" s="913"/>
      <c r="U114" s="913"/>
      <c r="V114" s="973"/>
      <c r="W114" s="29"/>
      <c r="X114" s="695"/>
      <c r="Y114" s="914"/>
      <c r="Z114" s="912"/>
      <c r="AA114" s="966"/>
      <c r="AB114" s="913"/>
      <c r="AC114" s="913"/>
      <c r="AD114" s="973"/>
      <c r="AH114" s="1019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4"/>
      <c r="B115" s="912"/>
      <c r="C115" s="966"/>
      <c r="D115" s="913"/>
      <c r="E115" s="913"/>
      <c r="F115" s="973"/>
      <c r="G115" s="29"/>
      <c r="H115" s="31"/>
      <c r="I115" s="914"/>
      <c r="J115" s="912"/>
      <c r="K115" s="966"/>
      <c r="L115" s="913"/>
      <c r="M115" s="913"/>
      <c r="N115" s="973"/>
      <c r="Q115" s="914"/>
      <c r="R115" s="912"/>
      <c r="S115" s="966"/>
      <c r="T115" s="913"/>
      <c r="U115" s="913"/>
      <c r="V115" s="973"/>
      <c r="W115" s="29"/>
      <c r="X115" s="695"/>
      <c r="Y115" s="914"/>
      <c r="Z115" s="912"/>
      <c r="AA115" s="966"/>
      <c r="AB115" s="913"/>
      <c r="AC115" s="913"/>
      <c r="AD115" s="973"/>
      <c r="AH115" s="1019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4"/>
      <c r="B116" s="912"/>
      <c r="C116" s="966"/>
      <c r="D116" s="913"/>
      <c r="E116" s="913"/>
      <c r="F116" s="973"/>
      <c r="G116" s="29"/>
      <c r="H116" s="31"/>
      <c r="I116" s="914"/>
      <c r="J116" s="912"/>
      <c r="K116" s="966"/>
      <c r="L116" s="913"/>
      <c r="M116" s="913"/>
      <c r="N116" s="973"/>
      <c r="Q116" s="914"/>
      <c r="R116" s="912"/>
      <c r="S116" s="966"/>
      <c r="T116" s="913"/>
      <c r="U116" s="913"/>
      <c r="V116" s="973"/>
      <c r="W116" s="29"/>
      <c r="X116" s="695"/>
      <c r="Y116" s="914"/>
      <c r="Z116" s="912"/>
      <c r="AA116" s="966"/>
      <c r="AB116" s="913"/>
      <c r="AC116" s="913"/>
      <c r="AD116" s="973"/>
      <c r="AH116" s="1019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4"/>
      <c r="B117" s="912"/>
      <c r="C117" s="966"/>
      <c r="D117" s="913"/>
      <c r="E117" s="913"/>
      <c r="F117" s="973"/>
      <c r="G117" s="29"/>
      <c r="H117" s="31"/>
      <c r="I117" s="914"/>
      <c r="J117" s="912"/>
      <c r="K117" s="966"/>
      <c r="L117" s="913"/>
      <c r="M117" s="913"/>
      <c r="N117" s="973"/>
      <c r="Q117" s="914"/>
      <c r="R117" s="912"/>
      <c r="S117" s="966"/>
      <c r="T117" s="913"/>
      <c r="U117" s="913"/>
      <c r="V117" s="973"/>
      <c r="W117" s="29"/>
      <c r="X117" s="695"/>
      <c r="Y117" s="914"/>
      <c r="Z117" s="912"/>
      <c r="AA117" s="966"/>
      <c r="AB117" s="913"/>
      <c r="AC117" s="913"/>
      <c r="AD117" s="973"/>
      <c r="AH117" s="1019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4"/>
      <c r="B118" s="912"/>
      <c r="C118" s="966"/>
      <c r="D118" s="913"/>
      <c r="E118" s="913"/>
      <c r="F118" s="973"/>
      <c r="G118" s="29"/>
      <c r="H118" s="31"/>
      <c r="I118" s="914"/>
      <c r="J118" s="912"/>
      <c r="K118" s="966"/>
      <c r="L118" s="913"/>
      <c r="M118" s="913"/>
      <c r="N118" s="973"/>
      <c r="Q118" s="914"/>
      <c r="R118" s="912"/>
      <c r="S118" s="966"/>
      <c r="T118" s="913"/>
      <c r="U118" s="913"/>
      <c r="V118" s="973"/>
      <c r="W118" s="29"/>
      <c r="X118" s="695"/>
      <c r="Y118" s="914"/>
      <c r="Z118" s="912"/>
      <c r="AA118" s="966"/>
      <c r="AB118" s="913"/>
      <c r="AC118" s="913"/>
      <c r="AD118" s="973"/>
      <c r="AH118" s="1019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4"/>
      <c r="B119" s="912"/>
      <c r="C119" s="966"/>
      <c r="D119" s="913"/>
      <c r="E119" s="913"/>
      <c r="F119" s="973"/>
      <c r="G119" s="29"/>
      <c r="H119" s="31"/>
      <c r="I119" s="914"/>
      <c r="J119" s="912"/>
      <c r="K119" s="966"/>
      <c r="L119" s="913"/>
      <c r="M119" s="913"/>
      <c r="N119" s="973"/>
      <c r="Q119" s="914"/>
      <c r="R119" s="912"/>
      <c r="S119" s="966"/>
      <c r="T119" s="913"/>
      <c r="U119" s="913"/>
      <c r="V119" s="973"/>
      <c r="W119" s="29"/>
      <c r="X119" s="695"/>
      <c r="Y119" s="914"/>
      <c r="Z119" s="912"/>
      <c r="AA119" s="966"/>
      <c r="AB119" s="913"/>
      <c r="AC119" s="913"/>
      <c r="AD119" s="973"/>
      <c r="AH119" s="1019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8"/>
      <c r="B120" s="959"/>
      <c r="C120" s="968"/>
      <c r="D120" s="969"/>
      <c r="E120" s="969"/>
      <c r="F120" s="988"/>
      <c r="G120" s="29"/>
      <c r="H120" s="31"/>
      <c r="I120" s="958"/>
      <c r="J120" s="959"/>
      <c r="K120" s="968"/>
      <c r="L120" s="969"/>
      <c r="M120" s="969"/>
      <c r="N120" s="988"/>
      <c r="Q120" s="958"/>
      <c r="R120" s="959"/>
      <c r="S120" s="968"/>
      <c r="T120" s="969"/>
      <c r="U120" s="969"/>
      <c r="V120" s="988"/>
      <c r="W120" s="29"/>
      <c r="X120" s="695"/>
      <c r="Y120" s="958"/>
      <c r="Z120" s="959"/>
      <c r="AA120" s="968"/>
      <c r="AB120" s="969"/>
      <c r="AC120" s="969"/>
      <c r="AD120" s="988"/>
      <c r="AH120" s="1019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8" customFormat="1" x14ac:dyDescent="0.25">
      <c r="A121" s="1098" t="s">
        <v>326</v>
      </c>
      <c r="F121" s="1016"/>
      <c r="G121" s="1017"/>
      <c r="H121" s="690"/>
      <c r="I121" s="1098" t="s">
        <v>327</v>
      </c>
      <c r="N121" s="1016"/>
      <c r="Q121" s="1098" t="s">
        <v>328</v>
      </c>
      <c r="V121" s="1016"/>
      <c r="W121" s="1017"/>
      <c r="X121" s="690"/>
      <c r="Y121" s="1098" t="s">
        <v>329</v>
      </c>
      <c r="AD121" s="1016"/>
      <c r="AH121" s="1018"/>
      <c r="AM121" s="1065"/>
      <c r="AN121" s="1065"/>
      <c r="AO121" s="1065"/>
      <c r="AP121" s="1065"/>
      <c r="AQ121" s="1065"/>
      <c r="AR121" s="1065"/>
      <c r="AS121" s="1065"/>
      <c r="AT121" s="1065"/>
      <c r="AU121" s="1065"/>
      <c r="AV121" s="1065"/>
      <c r="AW121" s="1065"/>
    </row>
    <row r="122" spans="1:49" s="19" customFormat="1" ht="12.75" x14ac:dyDescent="0.2">
      <c r="A122" s="1011"/>
      <c r="B122" s="1012"/>
      <c r="C122" s="1013"/>
      <c r="D122" s="1014"/>
      <c r="E122" s="1014"/>
      <c r="F122" s="1015"/>
      <c r="G122" s="29"/>
      <c r="H122" s="31"/>
      <c r="I122" s="1011"/>
      <c r="J122" s="1012"/>
      <c r="K122" s="1013"/>
      <c r="L122" s="1014"/>
      <c r="M122" s="1014"/>
      <c r="N122" s="1015"/>
      <c r="Q122" s="1011"/>
      <c r="R122" s="1012"/>
      <c r="S122" s="1013"/>
      <c r="T122" s="1014"/>
      <c r="U122" s="1014"/>
      <c r="V122" s="1015"/>
      <c r="W122" s="29"/>
      <c r="X122" s="695"/>
      <c r="Y122" s="1011"/>
      <c r="Z122" s="1012"/>
      <c r="AA122" s="1013"/>
      <c r="AB122" s="1014"/>
      <c r="AC122" s="1014"/>
      <c r="AD122" s="1015"/>
      <c r="AH122" s="1019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4"/>
      <c r="B123" s="912"/>
      <c r="C123" s="971"/>
      <c r="D123" s="913"/>
      <c r="E123" s="913"/>
      <c r="F123" s="973"/>
      <c r="G123" s="29"/>
      <c r="H123" s="31"/>
      <c r="I123" s="914"/>
      <c r="J123" s="912"/>
      <c r="K123" s="971"/>
      <c r="L123" s="913"/>
      <c r="M123" s="913"/>
      <c r="N123" s="973"/>
      <c r="Q123" s="914"/>
      <c r="R123" s="912"/>
      <c r="S123" s="971"/>
      <c r="T123" s="913"/>
      <c r="U123" s="913"/>
      <c r="V123" s="973"/>
      <c r="W123" s="29"/>
      <c r="X123" s="695"/>
      <c r="Y123" s="914"/>
      <c r="Z123" s="912"/>
      <c r="AA123" s="971"/>
      <c r="AB123" s="913"/>
      <c r="AC123" s="913"/>
      <c r="AD123" s="973"/>
      <c r="AH123" s="1019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4"/>
      <c r="B124" s="912"/>
      <c r="C124" s="971"/>
      <c r="D124" s="913"/>
      <c r="E124" s="913"/>
      <c r="F124" s="973"/>
      <c r="G124" s="29"/>
      <c r="H124" s="31"/>
      <c r="I124" s="914"/>
      <c r="J124" s="912"/>
      <c r="K124" s="971"/>
      <c r="L124" s="913"/>
      <c r="M124" s="913"/>
      <c r="N124" s="973"/>
      <c r="Q124" s="914"/>
      <c r="R124" s="912"/>
      <c r="S124" s="971"/>
      <c r="T124" s="913"/>
      <c r="U124" s="913"/>
      <c r="V124" s="973"/>
      <c r="W124" s="29"/>
      <c r="X124" s="695"/>
      <c r="Y124" s="914"/>
      <c r="Z124" s="912"/>
      <c r="AA124" s="971"/>
      <c r="AB124" s="913"/>
      <c r="AC124" s="913"/>
      <c r="AD124" s="973"/>
      <c r="AH124" s="1019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4"/>
      <c r="B125" s="912"/>
      <c r="C125" s="971"/>
      <c r="D125" s="913"/>
      <c r="E125" s="913"/>
      <c r="F125" s="973"/>
      <c r="G125" s="29"/>
      <c r="H125" s="31"/>
      <c r="I125" s="914"/>
      <c r="J125" s="912"/>
      <c r="K125" s="971"/>
      <c r="L125" s="913"/>
      <c r="M125" s="913"/>
      <c r="N125" s="973"/>
      <c r="Q125" s="914"/>
      <c r="R125" s="912"/>
      <c r="S125" s="971"/>
      <c r="T125" s="913"/>
      <c r="U125" s="913"/>
      <c r="V125" s="973"/>
      <c r="W125" s="29"/>
      <c r="X125" s="695"/>
      <c r="Y125" s="914"/>
      <c r="Z125" s="912"/>
      <c r="AA125" s="971"/>
      <c r="AB125" s="913"/>
      <c r="AC125" s="913"/>
      <c r="AD125" s="973"/>
      <c r="AH125" s="1019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4"/>
      <c r="B126" s="912"/>
      <c r="C126" s="971"/>
      <c r="D126" s="913"/>
      <c r="E126" s="913"/>
      <c r="F126" s="973"/>
      <c r="G126" s="29"/>
      <c r="H126" s="31"/>
      <c r="I126" s="914"/>
      <c r="J126" s="912"/>
      <c r="K126" s="971"/>
      <c r="L126" s="913"/>
      <c r="M126" s="913"/>
      <c r="N126" s="973"/>
      <c r="Q126" s="914"/>
      <c r="R126" s="912"/>
      <c r="S126" s="971"/>
      <c r="T126" s="913"/>
      <c r="U126" s="913"/>
      <c r="V126" s="973"/>
      <c r="W126" s="29"/>
      <c r="X126" s="695"/>
      <c r="Y126" s="914"/>
      <c r="Z126" s="912"/>
      <c r="AA126" s="971"/>
      <c r="AB126" s="913"/>
      <c r="AC126" s="913"/>
      <c r="AD126" s="973"/>
      <c r="AH126" s="1019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4"/>
      <c r="B127" s="912"/>
      <c r="C127" s="971"/>
      <c r="D127" s="913"/>
      <c r="E127" s="913"/>
      <c r="F127" s="973"/>
      <c r="G127" s="29"/>
      <c r="H127" s="31"/>
      <c r="I127" s="914"/>
      <c r="J127" s="912"/>
      <c r="K127" s="971"/>
      <c r="L127" s="913"/>
      <c r="M127" s="913"/>
      <c r="N127" s="973"/>
      <c r="Q127" s="914"/>
      <c r="R127" s="912"/>
      <c r="S127" s="971"/>
      <c r="T127" s="913"/>
      <c r="U127" s="913"/>
      <c r="V127" s="973"/>
      <c r="W127" s="29"/>
      <c r="X127" s="695"/>
      <c r="Y127" s="914"/>
      <c r="Z127" s="912"/>
      <c r="AA127" s="971"/>
      <c r="AB127" s="913"/>
      <c r="AC127" s="913"/>
      <c r="AD127" s="973"/>
      <c r="AH127" s="1019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4"/>
      <c r="B128" s="912"/>
      <c r="C128" s="971"/>
      <c r="D128" s="913"/>
      <c r="E128" s="913"/>
      <c r="F128" s="973"/>
      <c r="G128" s="29"/>
      <c r="H128" s="31"/>
      <c r="I128" s="914"/>
      <c r="J128" s="912"/>
      <c r="K128" s="971"/>
      <c r="L128" s="913"/>
      <c r="M128" s="913"/>
      <c r="N128" s="973"/>
      <c r="Q128" s="914"/>
      <c r="R128" s="912"/>
      <c r="S128" s="971"/>
      <c r="T128" s="913"/>
      <c r="U128" s="913"/>
      <c r="V128" s="973"/>
      <c r="W128" s="29"/>
      <c r="X128" s="695"/>
      <c r="Y128" s="914"/>
      <c r="Z128" s="912"/>
      <c r="AA128" s="971"/>
      <c r="AB128" s="913"/>
      <c r="AC128" s="913"/>
      <c r="AD128" s="973"/>
      <c r="AH128" s="1019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4"/>
      <c r="B129" s="912"/>
      <c r="C129" s="971"/>
      <c r="D129" s="913"/>
      <c r="E129" s="913"/>
      <c r="F129" s="973"/>
      <c r="G129" s="29"/>
      <c r="H129" s="31"/>
      <c r="I129" s="914"/>
      <c r="J129" s="912"/>
      <c r="K129" s="971"/>
      <c r="L129" s="913"/>
      <c r="M129" s="913"/>
      <c r="N129" s="973"/>
      <c r="Q129" s="914"/>
      <c r="R129" s="912"/>
      <c r="S129" s="971"/>
      <c r="T129" s="913"/>
      <c r="U129" s="913"/>
      <c r="V129" s="973"/>
      <c r="W129" s="29"/>
      <c r="X129" s="695"/>
      <c r="Y129" s="914"/>
      <c r="Z129" s="912"/>
      <c r="AA129" s="971"/>
      <c r="AB129" s="913"/>
      <c r="AC129" s="913"/>
      <c r="AD129" s="973"/>
      <c r="AH129" s="1019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4"/>
      <c r="B130" s="912"/>
      <c r="C130" s="971"/>
      <c r="D130" s="913"/>
      <c r="E130" s="913"/>
      <c r="F130" s="973"/>
      <c r="G130" s="29"/>
      <c r="H130" s="31"/>
      <c r="I130" s="914"/>
      <c r="J130" s="912"/>
      <c r="K130" s="971"/>
      <c r="L130" s="913"/>
      <c r="M130" s="913"/>
      <c r="N130" s="973"/>
      <c r="Q130" s="914"/>
      <c r="R130" s="912"/>
      <c r="S130" s="971"/>
      <c r="T130" s="913"/>
      <c r="U130" s="913"/>
      <c r="V130" s="973"/>
      <c r="W130" s="29"/>
      <c r="X130" s="695"/>
      <c r="Y130" s="914"/>
      <c r="Z130" s="912"/>
      <c r="AA130" s="971"/>
      <c r="AB130" s="913"/>
      <c r="AC130" s="913"/>
      <c r="AD130" s="973"/>
      <c r="AH130" s="1019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4"/>
      <c r="B131" s="912"/>
      <c r="C131" s="971"/>
      <c r="D131" s="913"/>
      <c r="E131" s="913"/>
      <c r="F131" s="973"/>
      <c r="G131" s="29"/>
      <c r="H131" s="31"/>
      <c r="I131" s="914"/>
      <c r="J131" s="912"/>
      <c r="K131" s="971"/>
      <c r="L131" s="913"/>
      <c r="M131" s="913"/>
      <c r="N131" s="973"/>
      <c r="Q131" s="914"/>
      <c r="R131" s="912"/>
      <c r="S131" s="971"/>
      <c r="T131" s="913"/>
      <c r="U131" s="913"/>
      <c r="V131" s="973"/>
      <c r="W131" s="29"/>
      <c r="X131" s="695"/>
      <c r="Y131" s="914"/>
      <c r="Z131" s="912"/>
      <c r="AA131" s="971"/>
      <c r="AB131" s="913"/>
      <c r="AC131" s="913"/>
      <c r="AD131" s="973"/>
      <c r="AH131" s="1019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4"/>
      <c r="B132" s="912"/>
      <c r="C132" s="971"/>
      <c r="D132" s="913"/>
      <c r="E132" s="913"/>
      <c r="F132" s="973"/>
      <c r="G132" s="29"/>
      <c r="H132" s="31"/>
      <c r="I132" s="914"/>
      <c r="J132" s="912"/>
      <c r="K132" s="971"/>
      <c r="L132" s="913"/>
      <c r="M132" s="913"/>
      <c r="N132" s="973"/>
      <c r="Q132" s="914"/>
      <c r="R132" s="912"/>
      <c r="S132" s="971"/>
      <c r="T132" s="913"/>
      <c r="U132" s="913"/>
      <c r="V132" s="973"/>
      <c r="W132" s="29"/>
      <c r="X132" s="695"/>
      <c r="Y132" s="914"/>
      <c r="Z132" s="912"/>
      <c r="AA132" s="971"/>
      <c r="AB132" s="913"/>
      <c r="AC132" s="913"/>
      <c r="AD132" s="973"/>
      <c r="AH132" s="1019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4"/>
      <c r="B133" s="912"/>
      <c r="C133" s="971"/>
      <c r="D133" s="913"/>
      <c r="E133" s="913"/>
      <c r="F133" s="973"/>
      <c r="G133" s="29"/>
      <c r="H133" s="31"/>
      <c r="I133" s="914"/>
      <c r="J133" s="912"/>
      <c r="K133" s="971"/>
      <c r="L133" s="913"/>
      <c r="M133" s="913"/>
      <c r="N133" s="973"/>
      <c r="Q133" s="914"/>
      <c r="R133" s="912"/>
      <c r="S133" s="971"/>
      <c r="T133" s="913"/>
      <c r="U133" s="913"/>
      <c r="V133" s="973"/>
      <c r="W133" s="29"/>
      <c r="X133" s="695"/>
      <c r="Y133" s="914"/>
      <c r="Z133" s="912"/>
      <c r="AA133" s="971"/>
      <c r="AB133" s="913"/>
      <c r="AC133" s="913"/>
      <c r="AD133" s="973"/>
      <c r="AH133" s="1019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4"/>
      <c r="B134" s="912"/>
      <c r="C134" s="972"/>
      <c r="D134" s="913"/>
      <c r="E134" s="913"/>
      <c r="F134" s="973"/>
      <c r="G134" s="29"/>
      <c r="H134" s="31"/>
      <c r="I134" s="914"/>
      <c r="J134" s="912"/>
      <c r="K134" s="972"/>
      <c r="L134" s="913"/>
      <c r="M134" s="913"/>
      <c r="N134" s="973"/>
      <c r="Q134" s="914"/>
      <c r="R134" s="912"/>
      <c r="S134" s="972"/>
      <c r="T134" s="913"/>
      <c r="U134" s="913"/>
      <c r="V134" s="973"/>
      <c r="W134" s="29"/>
      <c r="X134" s="695"/>
      <c r="Y134" s="914"/>
      <c r="Z134" s="912"/>
      <c r="AA134" s="972"/>
      <c r="AB134" s="913"/>
      <c r="AC134" s="913"/>
      <c r="AD134" s="973"/>
      <c r="AH134" s="1019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4"/>
      <c r="B135" s="912"/>
      <c r="C135" s="972"/>
      <c r="D135" s="913"/>
      <c r="E135" s="913"/>
      <c r="F135" s="973"/>
      <c r="G135" s="29"/>
      <c r="H135" s="31"/>
      <c r="I135" s="914"/>
      <c r="J135" s="912"/>
      <c r="K135" s="972"/>
      <c r="L135" s="913"/>
      <c r="M135" s="913"/>
      <c r="N135" s="973"/>
      <c r="Q135" s="914"/>
      <c r="R135" s="912"/>
      <c r="S135" s="972"/>
      <c r="T135" s="913"/>
      <c r="U135" s="913"/>
      <c r="V135" s="973"/>
      <c r="W135" s="29"/>
      <c r="X135" s="695"/>
      <c r="Y135" s="914"/>
      <c r="Z135" s="912"/>
      <c r="AA135" s="972"/>
      <c r="AB135" s="913"/>
      <c r="AC135" s="913"/>
      <c r="AD135" s="973"/>
      <c r="AH135" s="1019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4"/>
      <c r="B136" s="912"/>
      <c r="C136" s="972"/>
      <c r="D136" s="913"/>
      <c r="E136" s="913"/>
      <c r="F136" s="973"/>
      <c r="G136" s="29"/>
      <c r="H136" s="31"/>
      <c r="I136" s="914"/>
      <c r="J136" s="912"/>
      <c r="K136" s="972"/>
      <c r="L136" s="913"/>
      <c r="M136" s="913"/>
      <c r="N136" s="973"/>
      <c r="Q136" s="914"/>
      <c r="R136" s="912"/>
      <c r="S136" s="972"/>
      <c r="T136" s="913"/>
      <c r="U136" s="913"/>
      <c r="V136" s="973"/>
      <c r="W136" s="29"/>
      <c r="X136" s="695"/>
      <c r="Y136" s="914"/>
      <c r="Z136" s="912"/>
      <c r="AA136" s="972"/>
      <c r="AB136" s="913"/>
      <c r="AC136" s="913"/>
      <c r="AD136" s="973"/>
      <c r="AH136" s="1019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4"/>
      <c r="B137" s="912"/>
      <c r="C137" s="966"/>
      <c r="D137" s="913"/>
      <c r="E137" s="913"/>
      <c r="F137" s="973"/>
      <c r="G137" s="29"/>
      <c r="H137" s="31"/>
      <c r="I137" s="914"/>
      <c r="J137" s="912"/>
      <c r="K137" s="966"/>
      <c r="L137" s="913"/>
      <c r="M137" s="913"/>
      <c r="N137" s="973"/>
      <c r="Q137" s="914"/>
      <c r="R137" s="912"/>
      <c r="S137" s="966"/>
      <c r="T137" s="913"/>
      <c r="U137" s="913"/>
      <c r="V137" s="973"/>
      <c r="W137" s="29"/>
      <c r="X137" s="695"/>
      <c r="Y137" s="914"/>
      <c r="Z137" s="912"/>
      <c r="AA137" s="966"/>
      <c r="AB137" s="913"/>
      <c r="AC137" s="913"/>
      <c r="AD137" s="973"/>
      <c r="AH137" s="1019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4"/>
      <c r="B138" s="912"/>
      <c r="C138" s="966"/>
      <c r="D138" s="913"/>
      <c r="E138" s="913"/>
      <c r="F138" s="973"/>
      <c r="G138" s="29"/>
      <c r="H138" s="31"/>
      <c r="I138" s="914"/>
      <c r="J138" s="912"/>
      <c r="K138" s="966"/>
      <c r="L138" s="913"/>
      <c r="M138" s="913"/>
      <c r="N138" s="973"/>
      <c r="Q138" s="914"/>
      <c r="R138" s="912"/>
      <c r="S138" s="966"/>
      <c r="T138" s="913"/>
      <c r="U138" s="913"/>
      <c r="V138" s="973"/>
      <c r="W138" s="29"/>
      <c r="X138" s="695"/>
      <c r="Y138" s="914"/>
      <c r="Z138" s="912"/>
      <c r="AA138" s="966"/>
      <c r="AB138" s="913"/>
      <c r="AC138" s="913"/>
      <c r="AD138" s="973"/>
      <c r="AH138" s="1019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4"/>
      <c r="B139" s="912"/>
      <c r="C139" s="966"/>
      <c r="D139" s="913"/>
      <c r="E139" s="913"/>
      <c r="F139" s="973"/>
      <c r="G139" s="29"/>
      <c r="H139" s="31"/>
      <c r="I139" s="914"/>
      <c r="J139" s="912"/>
      <c r="K139" s="966"/>
      <c r="L139" s="913"/>
      <c r="M139" s="913"/>
      <c r="N139" s="973"/>
      <c r="Q139" s="914"/>
      <c r="R139" s="912"/>
      <c r="S139" s="966"/>
      <c r="T139" s="913"/>
      <c r="U139" s="913"/>
      <c r="V139" s="973"/>
      <c r="W139" s="29"/>
      <c r="X139" s="695"/>
      <c r="Y139" s="914"/>
      <c r="Z139" s="912"/>
      <c r="AA139" s="966"/>
      <c r="AB139" s="913"/>
      <c r="AC139" s="913"/>
      <c r="AD139" s="973"/>
      <c r="AH139" s="1019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4"/>
      <c r="B140" s="912"/>
      <c r="C140" s="966"/>
      <c r="D140" s="913"/>
      <c r="E140" s="913"/>
      <c r="F140" s="973"/>
      <c r="G140" s="29"/>
      <c r="H140" s="31"/>
      <c r="I140" s="914"/>
      <c r="J140" s="912"/>
      <c r="K140" s="966"/>
      <c r="L140" s="913"/>
      <c r="M140" s="913"/>
      <c r="N140" s="973"/>
      <c r="Q140" s="914"/>
      <c r="R140" s="912"/>
      <c r="S140" s="966"/>
      <c r="T140" s="913"/>
      <c r="U140" s="913"/>
      <c r="V140" s="973"/>
      <c r="W140" s="29"/>
      <c r="X140" s="695"/>
      <c r="Y140" s="914"/>
      <c r="Z140" s="912"/>
      <c r="AA140" s="966"/>
      <c r="AB140" s="913"/>
      <c r="AC140" s="913"/>
      <c r="AD140" s="973"/>
      <c r="AH140" s="1019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4"/>
      <c r="B141" s="912"/>
      <c r="C141" s="966"/>
      <c r="D141" s="913"/>
      <c r="E141" s="913"/>
      <c r="F141" s="973"/>
      <c r="G141" s="29"/>
      <c r="H141" s="31"/>
      <c r="I141" s="914"/>
      <c r="J141" s="912"/>
      <c r="K141" s="966"/>
      <c r="L141" s="913"/>
      <c r="M141" s="913"/>
      <c r="N141" s="973"/>
      <c r="Q141" s="914"/>
      <c r="R141" s="912"/>
      <c r="S141" s="966"/>
      <c r="T141" s="913"/>
      <c r="U141" s="913"/>
      <c r="V141" s="973"/>
      <c r="W141" s="29"/>
      <c r="X141" s="695"/>
      <c r="Y141" s="914"/>
      <c r="Z141" s="912"/>
      <c r="AA141" s="966"/>
      <c r="AB141" s="913"/>
      <c r="AC141" s="913"/>
      <c r="AD141" s="973"/>
      <c r="AH141" s="1019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4"/>
      <c r="B142" s="912"/>
      <c r="C142" s="966"/>
      <c r="D142" s="913"/>
      <c r="E142" s="913"/>
      <c r="F142" s="973"/>
      <c r="G142" s="29"/>
      <c r="H142" s="31"/>
      <c r="I142" s="914"/>
      <c r="J142" s="912"/>
      <c r="K142" s="966"/>
      <c r="L142" s="913"/>
      <c r="M142" s="913"/>
      <c r="N142" s="973"/>
      <c r="Q142" s="914"/>
      <c r="R142" s="912"/>
      <c r="S142" s="966"/>
      <c r="T142" s="913"/>
      <c r="U142" s="913"/>
      <c r="V142" s="973"/>
      <c r="W142" s="29"/>
      <c r="X142" s="695"/>
      <c r="Y142" s="914"/>
      <c r="Z142" s="912"/>
      <c r="AA142" s="966"/>
      <c r="AB142" s="913"/>
      <c r="AC142" s="913"/>
      <c r="AD142" s="973"/>
      <c r="AH142" s="1019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4"/>
      <c r="B143" s="912"/>
      <c r="C143" s="966"/>
      <c r="D143" s="913"/>
      <c r="E143" s="913"/>
      <c r="F143" s="973"/>
      <c r="G143" s="29"/>
      <c r="H143" s="31"/>
      <c r="I143" s="914"/>
      <c r="J143" s="912"/>
      <c r="K143" s="966"/>
      <c r="L143" s="913"/>
      <c r="M143" s="913"/>
      <c r="N143" s="973"/>
      <c r="Q143" s="914"/>
      <c r="R143" s="912"/>
      <c r="S143" s="966"/>
      <c r="T143" s="913"/>
      <c r="U143" s="913"/>
      <c r="V143" s="973"/>
      <c r="W143" s="29"/>
      <c r="X143" s="695"/>
      <c r="Y143" s="914"/>
      <c r="Z143" s="912"/>
      <c r="AA143" s="966"/>
      <c r="AB143" s="913"/>
      <c r="AC143" s="913"/>
      <c r="AD143" s="973"/>
      <c r="AH143" s="1019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4"/>
      <c r="B144" s="912"/>
      <c r="C144" s="966"/>
      <c r="D144" s="913"/>
      <c r="E144" s="913"/>
      <c r="F144" s="973"/>
      <c r="G144" s="29"/>
      <c r="H144" s="31"/>
      <c r="I144" s="914"/>
      <c r="J144" s="912"/>
      <c r="K144" s="966"/>
      <c r="L144" s="913"/>
      <c r="M144" s="913"/>
      <c r="N144" s="973"/>
      <c r="Q144" s="914"/>
      <c r="R144" s="912"/>
      <c r="S144" s="966"/>
      <c r="T144" s="913"/>
      <c r="U144" s="913"/>
      <c r="V144" s="973"/>
      <c r="W144" s="29"/>
      <c r="X144" s="695"/>
      <c r="Y144" s="914"/>
      <c r="Z144" s="912"/>
      <c r="AA144" s="966"/>
      <c r="AB144" s="913"/>
      <c r="AC144" s="913"/>
      <c r="AD144" s="973"/>
      <c r="AH144" s="1019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8"/>
      <c r="B145" s="959"/>
      <c r="C145" s="968"/>
      <c r="D145" s="969"/>
      <c r="E145" s="969"/>
      <c r="F145" s="988"/>
      <c r="G145" s="29"/>
      <c r="H145" s="31"/>
      <c r="I145" s="958"/>
      <c r="J145" s="959"/>
      <c r="K145" s="968"/>
      <c r="L145" s="969"/>
      <c r="M145" s="969"/>
      <c r="N145" s="988"/>
      <c r="Q145" s="958"/>
      <c r="R145" s="959"/>
      <c r="S145" s="968"/>
      <c r="T145" s="969"/>
      <c r="U145" s="969"/>
      <c r="V145" s="988"/>
      <c r="W145" s="29"/>
      <c r="X145" s="695"/>
      <c r="Y145" s="958"/>
      <c r="Z145" s="959"/>
      <c r="AA145" s="968"/>
      <c r="AB145" s="969"/>
      <c r="AC145" s="969"/>
      <c r="AD145" s="988"/>
      <c r="AH145" s="1019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formatCells="0" formatColumns="0" formatRows="0" sort="0"/>
  <mergeCells count="16">
    <mergeCell ref="Q54:Z54"/>
    <mergeCell ref="B54:B55"/>
    <mergeCell ref="B1:F1"/>
    <mergeCell ref="I1:J1"/>
    <mergeCell ref="C54:M54"/>
    <mergeCell ref="AN53:AO53"/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</mergeCells>
  <conditionalFormatting sqref="C82:Z94">
    <cfRule type="expression" dxfId="40" priority="2086" stopIfTrue="1">
      <formula>C$82=0</formula>
    </cfRule>
  </conditionalFormatting>
  <conditionalFormatting sqref="A16:N43">
    <cfRule type="expression" dxfId="39" priority="13" stopIfTrue="1">
      <formula>$B16=""</formula>
    </cfRule>
  </conditionalFormatting>
  <conditionalFormatting sqref="A56:A79 C56:AA79">
    <cfRule type="expression" dxfId="38" priority="2094" stopIfTrue="1">
      <formula>$N56=0</formula>
    </cfRule>
  </conditionalFormatting>
  <conditionalFormatting sqref="F20:G43">
    <cfRule type="expression" dxfId="37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topLeftCell="B1" zoomScaleNormal="100" workbookViewId="0">
      <pane ySplit="42" topLeftCell="A375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5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46" customWidth="1"/>
    <col min="61" max="61" width="7.85546875" style="6" customWidth="1"/>
    <col min="62" max="64" width="10.140625" style="6" customWidth="1"/>
    <col min="65" max="65" width="10.140625" style="567" customWidth="1"/>
    <col min="66" max="69" width="10.140625" style="6" customWidth="1"/>
    <col min="70" max="70" width="10.140625" style="567" customWidth="1"/>
    <col min="71" max="71" width="10.140625" style="563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8" t="s">
        <v>196</v>
      </c>
      <c r="B1" s="90"/>
      <c r="K1" s="4"/>
      <c r="L1" s="4"/>
      <c r="M1" s="4"/>
      <c r="N1" s="269" t="s">
        <v>242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52">
        <v>0.999</v>
      </c>
      <c r="Z1" s="669" t="s">
        <v>227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2" t="s">
        <v>75</v>
      </c>
      <c r="AN1" s="4"/>
      <c r="AO1" s="4"/>
      <c r="AT1" s="756"/>
      <c r="AY1" s="756"/>
      <c r="BC1" s="1222" t="s">
        <v>209</v>
      </c>
      <c r="BD1" s="1222"/>
      <c r="BE1" s="1222"/>
      <c r="BF1" s="800"/>
      <c r="BH1" s="726" t="s">
        <v>201</v>
      </c>
      <c r="BJ1" s="711"/>
      <c r="BK1" s="711"/>
      <c r="BL1" s="711"/>
      <c r="BM1" s="711"/>
      <c r="BN1" s="711"/>
      <c r="BO1" s="711"/>
      <c r="BP1" s="711"/>
      <c r="BQ1" s="711"/>
      <c r="BR1" s="568"/>
      <c r="BS1" s="569"/>
      <c r="BT1" s="456"/>
    </row>
    <row r="2" spans="1:84" s="4" customFormat="1" ht="12.75" customHeight="1" thickBot="1" x14ac:dyDescent="0.3">
      <c r="A2" s="1213" t="str">
        <f>'Réglage perte'!B2</f>
        <v>S.D.I.S. Montgiscard</v>
      </c>
      <c r="B2" s="1214"/>
      <c r="C2" s="1214"/>
      <c r="D2" s="1215"/>
      <c r="I2" s="1170" t="s">
        <v>366</v>
      </c>
      <c r="J2" s="1171">
        <f>AVERAGEIF($BW$15:$BZ$380,"&gt;0,97")</f>
        <v>0.99972591227737084</v>
      </c>
      <c r="L2" s="171">
        <v>43079</v>
      </c>
      <c r="M2" s="171">
        <v>43093</v>
      </c>
      <c r="N2" s="753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1">
        <v>43473</v>
      </c>
      <c r="AO2" s="171">
        <v>43487</v>
      </c>
      <c r="BB2" s="724"/>
      <c r="BC2" s="1222"/>
      <c r="BD2" s="1222"/>
      <c r="BE2" s="1222"/>
      <c r="BF2" s="800"/>
      <c r="BH2" s="28"/>
      <c r="BI2" s="560"/>
      <c r="BJ2" s="561"/>
      <c r="BK2" s="278"/>
      <c r="BL2" s="561"/>
      <c r="BM2" s="562"/>
      <c r="BN2" s="278"/>
      <c r="BP2" s="6"/>
      <c r="BQ2" s="278"/>
      <c r="BR2" s="562"/>
      <c r="BS2" s="563"/>
      <c r="BT2" s="6"/>
    </row>
    <row r="3" spans="1:84" s="4" customFormat="1" ht="12.75" customHeight="1" thickBot="1" x14ac:dyDescent="0.3">
      <c r="A3" s="1216"/>
      <c r="B3" s="1217"/>
      <c r="C3" s="1217"/>
      <c r="D3" s="1218"/>
      <c r="E3" s="3"/>
      <c r="L3" s="748">
        <f>AL3</f>
        <v>180</v>
      </c>
      <c r="M3" s="752">
        <f>+AM3</f>
        <v>170</v>
      </c>
      <c r="N3" s="167">
        <v>193</v>
      </c>
      <c r="O3" s="167">
        <v>229</v>
      </c>
      <c r="P3" s="167">
        <v>280</v>
      </c>
      <c r="Q3" s="167">
        <v>337</v>
      </c>
      <c r="R3" s="167">
        <v>397</v>
      </c>
      <c r="S3" s="167">
        <v>462</v>
      </c>
      <c r="T3" s="167">
        <v>527</v>
      </c>
      <c r="U3" s="167">
        <v>579</v>
      </c>
      <c r="V3" s="167">
        <v>615</v>
      </c>
      <c r="W3" s="167">
        <v>637</v>
      </c>
      <c r="X3" s="167">
        <v>649</v>
      </c>
      <c r="Y3" s="167">
        <v>653</v>
      </c>
      <c r="Z3" s="167">
        <v>651</v>
      </c>
      <c r="AA3" s="167">
        <v>638</v>
      </c>
      <c r="AB3" s="167">
        <v>617</v>
      </c>
      <c r="AC3" s="167">
        <v>586</v>
      </c>
      <c r="AD3" s="167">
        <v>550</v>
      </c>
      <c r="AE3" s="167">
        <v>512</v>
      </c>
      <c r="AF3" s="167">
        <v>467</v>
      </c>
      <c r="AG3" s="167">
        <v>412</v>
      </c>
      <c r="AH3" s="167">
        <v>355</v>
      </c>
      <c r="AI3" s="167">
        <v>300</v>
      </c>
      <c r="AJ3" s="167">
        <v>250</v>
      </c>
      <c r="AK3" s="167">
        <v>210</v>
      </c>
      <c r="AL3" s="167">
        <v>180</v>
      </c>
      <c r="AM3" s="167">
        <v>170</v>
      </c>
      <c r="AN3" s="748">
        <f>+N3</f>
        <v>193</v>
      </c>
      <c r="AO3" s="749">
        <f>+O3</f>
        <v>229</v>
      </c>
      <c r="BC3" s="1222"/>
      <c r="BD3" s="1222"/>
      <c r="BE3" s="1222"/>
      <c r="BF3" s="800"/>
      <c r="BH3" s="28"/>
      <c r="BI3" s="6"/>
      <c r="BJ3" s="6"/>
      <c r="BK3" s="6"/>
      <c r="BL3" s="6"/>
      <c r="BM3" s="6"/>
      <c r="BN3" s="6"/>
      <c r="BO3" s="789" t="s">
        <v>239</v>
      </c>
      <c r="BP3" s="790">
        <v>0.3</v>
      </c>
      <c r="BQ3" s="791" t="s">
        <v>240</v>
      </c>
      <c r="BR3" s="792" t="s">
        <v>245</v>
      </c>
      <c r="BS3" s="561"/>
    </row>
    <row r="4" spans="1:84" s="4" customFormat="1" ht="12.75" customHeight="1" x14ac:dyDescent="0.25">
      <c r="A4" s="2"/>
      <c r="B4" s="413"/>
      <c r="E4" s="33"/>
      <c r="F4" s="564"/>
      <c r="K4" s="2"/>
      <c r="M4" s="627" t="s">
        <v>193</v>
      </c>
      <c r="N4" s="754">
        <f>MAX($BA15:$BA28)-1</f>
        <v>7.1655941106640864E-3</v>
      </c>
      <c r="O4" s="643">
        <f>MAX($BA29:$BA42)-1</f>
        <v>2.0059431011934414E-2</v>
      </c>
      <c r="P4" s="643">
        <f>MAX($BA43:$BA56)-1</f>
        <v>1.6825364425431255E-2</v>
      </c>
      <c r="Q4" s="643">
        <f>MAX(BA57:BA70)-1</f>
        <v>-4.3815121787521782E-2</v>
      </c>
      <c r="R4" s="643">
        <f>MAX(BA71:BA84)-1</f>
        <v>2.1940542618123837E-2</v>
      </c>
      <c r="S4" s="643">
        <f>MAX(BA85:BA98)-1</f>
        <v>-2.2086383458751691E-2</v>
      </c>
      <c r="T4" s="643">
        <f>MAX(BA99:BA112)-1</f>
        <v>4.831059293158857E-3</v>
      </c>
      <c r="U4" s="643">
        <f>MAX(BA113:BA126)-1</f>
        <v>4.1924718710880882E-2</v>
      </c>
      <c r="V4" s="643">
        <f>MAX(BA127:BA140)-1</f>
        <v>-6.6760323639211139E-3</v>
      </c>
      <c r="W4" s="643">
        <f>MAX(BA141:BA154)-1</f>
        <v>3.9943016367109951E-3</v>
      </c>
      <c r="X4" s="643">
        <f>MAX(BA155:BA168)-1</f>
        <v>1.9372554245358664E-2</v>
      </c>
      <c r="Y4" s="643">
        <f>MAX(BA169:BA182)-1</f>
        <v>2.5389515598470469E-2</v>
      </c>
      <c r="Z4" s="643">
        <f>MAX(BA183:BA196)-1</f>
        <v>4.4469433272544379E-2</v>
      </c>
      <c r="AA4" s="643">
        <f>MAX(BA197:BA210)-1</f>
        <v>2.9475737042223393E-2</v>
      </c>
      <c r="AB4" s="643">
        <f>MAX(BA211:BA224)-1</f>
        <v>5.8752442346579059E-3</v>
      </c>
      <c r="AC4" s="643">
        <f>MAX(BA225:BA238)-1</f>
        <v>3.728264484144983E-3</v>
      </c>
      <c r="AD4" s="643">
        <f>MAX(BA239:BA252)-1</f>
        <v>-8.1590229921837398E-3</v>
      </c>
      <c r="AE4" s="643">
        <f>MAX(BA253:BA266)-1</f>
        <v>-7.4337654424779798E-3</v>
      </c>
      <c r="AF4" s="643">
        <f>MAX(BA267:BA280)-1</f>
        <v>3.4703804355928236E-2</v>
      </c>
      <c r="AG4" s="643">
        <f>MAX(BA281:BA294)-1</f>
        <v>2.835617789694167E-2</v>
      </c>
      <c r="AH4" s="643">
        <f>MAX(BA295:BA308)-1</f>
        <v>-6.9232795768335853E-3</v>
      </c>
      <c r="AI4" s="643">
        <f>MAX(BA309:BA322)-1</f>
        <v>-7.4127980503453816E-2</v>
      </c>
      <c r="AJ4" s="643">
        <f>MAX(BA323:BA336)-1</f>
        <v>-8.4696843568520253E-3</v>
      </c>
      <c r="AK4" s="643">
        <f>MAX(BA337:BA350)-1</f>
        <v>-0.29169349011269963</v>
      </c>
      <c r="AL4" s="643">
        <f>MAX(BA351:BA364)-1</f>
        <v>1.44026581276957E-2</v>
      </c>
      <c r="AM4" s="643">
        <f>MAX(BA365:BA380)-1</f>
        <v>-4.1263922574881207E-3</v>
      </c>
      <c r="AN4" s="631"/>
      <c r="AP4" s="564"/>
      <c r="AU4" s="564"/>
      <c r="BC4" s="19"/>
      <c r="BD4" s="279"/>
      <c r="BE4" s="279"/>
      <c r="BF4" s="279"/>
      <c r="BI4" s="6"/>
      <c r="BJ4" s="6"/>
      <c r="BK4" s="6"/>
      <c r="BL4" s="6"/>
      <c r="BM4" s="6"/>
      <c r="BN4" s="6"/>
      <c r="BO4" s="351" t="s">
        <v>241</v>
      </c>
      <c r="BP4" s="793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19" t="s">
        <v>192</v>
      </c>
      <c r="B5" s="1220"/>
      <c r="C5" s="1220"/>
      <c r="D5" s="1220"/>
      <c r="E5" s="1220"/>
      <c r="F5" s="1220"/>
      <c r="G5" s="1220"/>
      <c r="H5" s="1220"/>
      <c r="I5" s="1220"/>
      <c r="J5" s="1221"/>
      <c r="K5" s="89"/>
      <c r="N5" s="88"/>
      <c r="O5" s="88"/>
      <c r="P5" s="19"/>
      <c r="Q5" s="70"/>
      <c r="R5" s="70"/>
      <c r="S5" s="70"/>
      <c r="T5" s="70"/>
      <c r="U5" s="70"/>
      <c r="V5" s="628"/>
      <c r="W5" s="70"/>
      <c r="X5" s="70"/>
      <c r="Y5" s="70"/>
      <c r="Z5" s="70"/>
      <c r="AA5" s="70"/>
      <c r="AB5" s="70"/>
      <c r="AC5" s="70"/>
      <c r="AD5" s="70"/>
      <c r="AE5" s="629"/>
      <c r="AF5" s="19"/>
      <c r="AG5" s="19"/>
      <c r="AH5" s="71"/>
      <c r="AI5" s="642"/>
      <c r="AJ5" s="642"/>
      <c r="AK5" s="642"/>
      <c r="AL5" s="642"/>
      <c r="AM5" s="88"/>
      <c r="AN5" s="641"/>
      <c r="AP5" s="750"/>
      <c r="AQ5" s="750"/>
      <c r="AR5" s="750"/>
      <c r="AS5" s="750"/>
      <c r="AT5" s="757"/>
      <c r="AU5" s="750"/>
      <c r="AV5" s="750"/>
      <c r="AW5" s="750"/>
      <c r="AX5" s="750"/>
      <c r="AY5" s="757"/>
      <c r="AZ5" s="750"/>
      <c r="BC5" s="19"/>
      <c r="BD5" s="279"/>
      <c r="BE5" s="279"/>
      <c r="BF5" s="279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4">
        <f>'2022'!An</f>
        <v>2022</v>
      </c>
      <c r="B6" s="264">
        <f>'2023'!An</f>
        <v>2023</v>
      </c>
      <c r="C6" s="264">
        <f>'2024'!An</f>
        <v>2024</v>
      </c>
      <c r="D6" s="264">
        <f>'2025'!An</f>
        <v>2025</v>
      </c>
      <c r="E6" s="264">
        <f>'2026'!An</f>
        <v>2026</v>
      </c>
      <c r="F6" s="266">
        <f>'2027'!An</f>
        <v>2027</v>
      </c>
      <c r="G6" s="266">
        <f>'2028'!An</f>
        <v>2028</v>
      </c>
      <c r="H6" s="266">
        <f>'2029'!An</f>
        <v>2029</v>
      </c>
      <c r="I6" s="266">
        <f>'2030'!An</f>
        <v>2030</v>
      </c>
      <c r="J6" s="266">
        <f>'2031'!An</f>
        <v>2031</v>
      </c>
      <c r="K6" s="2"/>
      <c r="BC6" s="37"/>
      <c r="BD6" s="280"/>
      <c r="BE6" s="280"/>
      <c r="BF6" s="280"/>
      <c r="BH6" s="160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5">
        <f>'2022'!Dépas_env</f>
        <v>4.4469433272544379E-2</v>
      </c>
      <c r="B7" s="265">
        <f>'2023'!Dépas_env</f>
        <v>4.4469433272544157E-2</v>
      </c>
      <c r="C7" s="265">
        <f>'2024'!Dépas_env</f>
        <v>4.4469433272544379E-2</v>
      </c>
      <c r="D7" s="265">
        <f>'2025'!Dépas_env</f>
        <v>4.4469433272544379E-2</v>
      </c>
      <c r="E7" s="265">
        <f>'2026'!Dépas_env</f>
        <v>4.4469433272544379E-2</v>
      </c>
      <c r="F7" s="594">
        <f>'2027'!Dépas_env</f>
        <v>4.4469433272544379E-2</v>
      </c>
      <c r="G7" s="594">
        <f>'2028'!Dépas_env</f>
        <v>4.4469433272544157E-2</v>
      </c>
      <c r="H7" s="594">
        <f>'2029'!Dépas_env</f>
        <v>4.4469433272544157E-2</v>
      </c>
      <c r="I7" s="594">
        <f>'2030'!Dépas_env</f>
        <v>4.4469433272544379E-2</v>
      </c>
      <c r="J7" s="594">
        <f>'2031'!Dépas_env</f>
        <v>4.4469433272544379E-2</v>
      </c>
      <c r="K7" s="2"/>
      <c r="BA7" s="632"/>
      <c r="BC7" s="19"/>
      <c r="BD7" s="279"/>
      <c r="BE7" s="279"/>
      <c r="BF7" s="279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6"/>
      <c r="B8" s="266"/>
      <c r="C8" s="266"/>
      <c r="D8" s="266"/>
      <c r="E8" s="266"/>
      <c r="F8" s="264"/>
      <c r="G8" s="264"/>
      <c r="H8" s="264"/>
      <c r="I8" s="264"/>
      <c r="J8" s="264"/>
      <c r="K8" s="2"/>
      <c r="BA8" s="632"/>
      <c r="BC8" s="6"/>
      <c r="BD8" s="278"/>
      <c r="BE8" s="278"/>
      <c r="BF8" s="278"/>
      <c r="BJ8" s="6"/>
      <c r="BK8" s="6"/>
      <c r="BL8" s="6"/>
      <c r="BM8" s="6"/>
      <c r="BN8" s="6"/>
      <c r="BO8" s="565"/>
      <c r="BP8" s="565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2"/>
      <c r="BB9" s="19"/>
      <c r="BC9" s="19"/>
      <c r="BD9" s="279"/>
      <c r="BE9" s="279"/>
      <c r="BF9" s="279"/>
      <c r="BH9" s="693">
        <f>PousHi*($A$6-BP13-INDEX(Croivg,MIN(MAX(BO13-DATE(BP13,1,1)+1,0),366)))</f>
        <v>-6.1831739233302249E-3</v>
      </c>
      <c r="BI9" s="955" t="s">
        <v>298</v>
      </c>
      <c r="BJ9" s="6"/>
      <c r="BK9" s="6"/>
      <c r="BL9" s="6"/>
      <c r="BM9" s="6"/>
      <c r="BN9" s="6"/>
      <c r="BO9" s="565"/>
      <c r="BP9" s="565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1"/>
      <c r="BD10" s="278"/>
      <c r="BE10" s="278"/>
      <c r="BF10" s="278"/>
      <c r="BH10" s="1035">
        <f>MIN(MATCH(H_i,Echel_vg),10)</f>
        <v>5</v>
      </c>
      <c r="BI10" s="556"/>
      <c r="BO10" s="725"/>
      <c r="BP10" s="725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56" t="s">
        <v>319</v>
      </c>
      <c r="D11" s="1074">
        <v>0.97</v>
      </c>
      <c r="E11" s="8"/>
      <c r="J11" s="9"/>
      <c r="K11" s="7"/>
      <c r="L11" s="751" t="s">
        <v>228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0" t="s">
        <v>231</v>
      </c>
      <c r="AT11" s="27"/>
      <c r="AU11" s="680" t="s">
        <v>232</v>
      </c>
      <c r="AY11" s="27"/>
      <c r="AZ11" s="762" t="s">
        <v>235</v>
      </c>
      <c r="BA11" s="632"/>
      <c r="BB11" s="19"/>
      <c r="BC11" s="15"/>
      <c r="BD11" s="1223" t="s">
        <v>251</v>
      </c>
      <c r="BE11" s="1224"/>
      <c r="BF11" s="1227" t="s">
        <v>246</v>
      </c>
      <c r="BH11" s="1036">
        <f>INDEX(Echel_vg,$BH$10)</f>
        <v>-1</v>
      </c>
      <c r="BI11" s="556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6">
        <f>+MIN(B15:B379)</f>
        <v>0</v>
      </c>
      <c r="C12" s="12">
        <f>+MIN(C15:C379)</f>
        <v>2022</v>
      </c>
      <c r="D12" s="1047">
        <f>+MIN(D15:D379)</f>
        <v>0.97043490362629747</v>
      </c>
      <c r="E12" s="12">
        <f t="shared" ref="E12:J12" si="1">+MIN(E15:E379)</f>
        <v>16.983000000000001</v>
      </c>
      <c r="F12" s="412">
        <f t="shared" si="1"/>
        <v>1</v>
      </c>
      <c r="G12" s="12">
        <f t="shared" si="1"/>
        <v>2</v>
      </c>
      <c r="H12" s="169">
        <f t="shared" si="1"/>
        <v>43093</v>
      </c>
      <c r="I12" s="386">
        <f t="shared" si="1"/>
        <v>0</v>
      </c>
      <c r="J12" s="386">
        <f t="shared" si="1"/>
        <v>16.948961488902569</v>
      </c>
      <c r="K12" s="6"/>
      <c r="L12" s="171">
        <f>L2</f>
        <v>43079</v>
      </c>
      <c r="M12" s="171">
        <f t="shared" ref="M12:AO12" si="2">M2</f>
        <v>43093</v>
      </c>
      <c r="N12" s="171">
        <f t="shared" si="2"/>
        <v>43108</v>
      </c>
      <c r="O12" s="171">
        <f t="shared" si="2"/>
        <v>43122</v>
      </c>
      <c r="P12" s="171">
        <f t="shared" si="2"/>
        <v>43136</v>
      </c>
      <c r="Q12" s="171">
        <f t="shared" si="2"/>
        <v>43150</v>
      </c>
      <c r="R12" s="171">
        <f t="shared" si="2"/>
        <v>43164</v>
      </c>
      <c r="S12" s="171">
        <f t="shared" si="2"/>
        <v>43178</v>
      </c>
      <c r="T12" s="171">
        <f t="shared" si="2"/>
        <v>43192</v>
      </c>
      <c r="U12" s="171">
        <f t="shared" si="2"/>
        <v>43206</v>
      </c>
      <c r="V12" s="171">
        <f t="shared" si="2"/>
        <v>43220</v>
      </c>
      <c r="W12" s="171">
        <f t="shared" si="2"/>
        <v>43234</v>
      </c>
      <c r="X12" s="171">
        <f t="shared" si="2"/>
        <v>43248</v>
      </c>
      <c r="Y12" s="171">
        <f t="shared" si="2"/>
        <v>43262</v>
      </c>
      <c r="Z12" s="171">
        <f t="shared" si="2"/>
        <v>43276</v>
      </c>
      <c r="AA12" s="171">
        <f t="shared" si="2"/>
        <v>43290</v>
      </c>
      <c r="AB12" s="171">
        <f t="shared" si="2"/>
        <v>43304</v>
      </c>
      <c r="AC12" s="171">
        <f t="shared" si="2"/>
        <v>43318</v>
      </c>
      <c r="AD12" s="171">
        <f t="shared" si="2"/>
        <v>43332</v>
      </c>
      <c r="AE12" s="171">
        <f t="shared" si="2"/>
        <v>43346</v>
      </c>
      <c r="AF12" s="171">
        <f t="shared" si="2"/>
        <v>43360</v>
      </c>
      <c r="AG12" s="171">
        <f t="shared" si="2"/>
        <v>43374</v>
      </c>
      <c r="AH12" s="171">
        <f t="shared" si="2"/>
        <v>43388</v>
      </c>
      <c r="AI12" s="171">
        <f t="shared" si="2"/>
        <v>43402</v>
      </c>
      <c r="AJ12" s="171">
        <f t="shared" si="2"/>
        <v>43416</v>
      </c>
      <c r="AK12" s="171">
        <f t="shared" si="2"/>
        <v>43430</v>
      </c>
      <c r="AL12" s="171">
        <f t="shared" si="2"/>
        <v>43444</v>
      </c>
      <c r="AM12" s="171">
        <f t="shared" si="2"/>
        <v>43458</v>
      </c>
      <c r="AN12" s="171">
        <f t="shared" si="2"/>
        <v>43473</v>
      </c>
      <c r="AO12" s="171">
        <f t="shared" si="2"/>
        <v>43487</v>
      </c>
      <c r="AP12" s="412">
        <f t="shared" ref="AP12:AZ12" si="3">+MIN(AP15:AP379)</f>
        <v>1</v>
      </c>
      <c r="AQ12" s="12">
        <f t="shared" si="3"/>
        <v>2</v>
      </c>
      <c r="AR12" s="169">
        <f t="shared" si="3"/>
        <v>43079</v>
      </c>
      <c r="AS12" s="386">
        <f t="shared" si="3"/>
        <v>0</v>
      </c>
      <c r="AT12" s="386">
        <f t="shared" si="3"/>
        <v>17.481283845932317</v>
      </c>
      <c r="AU12" s="412">
        <f t="shared" si="3"/>
        <v>1</v>
      </c>
      <c r="AV12" s="12">
        <f t="shared" si="3"/>
        <v>2</v>
      </c>
      <c r="AW12" s="169">
        <f t="shared" si="3"/>
        <v>43093</v>
      </c>
      <c r="AX12" s="386">
        <f t="shared" si="3"/>
        <v>0</v>
      </c>
      <c r="AY12" s="386">
        <f t="shared" si="3"/>
        <v>16.963528269582561</v>
      </c>
      <c r="AZ12" s="386">
        <f t="shared" si="3"/>
        <v>17.234349260140633</v>
      </c>
      <c r="BA12" s="630"/>
      <c r="BC12" s="15"/>
      <c r="BD12" s="1225"/>
      <c r="BE12" s="1226"/>
      <c r="BF12" s="1228"/>
      <c r="BH12" s="1037">
        <f>(H_i-BH11)/(INDEX(Echel_vg,$BH$10+1)-BH$11)</f>
        <v>0.99381682607666977</v>
      </c>
      <c r="BJ12" s="6"/>
      <c r="BK12" s="6"/>
      <c r="BL12" s="6"/>
      <c r="BN12" s="351" t="str">
        <f>Masques!B53</f>
        <v>Pas de calcul pousse en hauteur:</v>
      </c>
      <c r="BO12" s="1103">
        <f>+Masques!C53</f>
        <v>1</v>
      </c>
      <c r="BP12" s="565"/>
      <c r="BQ12" s="565"/>
      <c r="BR12" s="566"/>
      <c r="BS12" s="563"/>
      <c r="BT12" s="6"/>
    </row>
    <row r="13" spans="1:84" s="4" customFormat="1" ht="12.75" customHeight="1" thickBot="1" x14ac:dyDescent="0.3">
      <c r="A13" s="27" t="s">
        <v>5</v>
      </c>
      <c r="B13" s="386">
        <f>+MAX(B15:B379)</f>
        <v>67.727273228607245</v>
      </c>
      <c r="C13" s="12">
        <f>+MAX(C15:C379)</f>
        <v>2022</v>
      </c>
      <c r="D13" s="1047">
        <f>+MAX(D15:D379)</f>
        <v>1.0444694332725444</v>
      </c>
      <c r="E13" s="12">
        <f t="shared" ref="E13:J13" si="4">+MAX(E15:E379)</f>
        <v>65.234700000000004</v>
      </c>
      <c r="F13" s="412">
        <f t="shared" si="4"/>
        <v>27</v>
      </c>
      <c r="G13" s="12">
        <f t="shared" si="4"/>
        <v>28</v>
      </c>
      <c r="H13" s="169">
        <f t="shared" si="4"/>
        <v>43458</v>
      </c>
      <c r="I13" s="386">
        <f t="shared" si="4"/>
        <v>1</v>
      </c>
      <c r="J13" s="386">
        <f t="shared" si="4"/>
        <v>65.253340232744819</v>
      </c>
      <c r="K13" s="6"/>
      <c r="L13" s="765">
        <f>AL13</f>
        <v>179.82</v>
      </c>
      <c r="M13" s="765">
        <f>+AM13</f>
        <v>169.83</v>
      </c>
      <c r="N13" s="764">
        <f t="shared" ref="N13:AM13" si="5">Ajust_M*N3</f>
        <v>192.80699999999999</v>
      </c>
      <c r="O13" s="755">
        <f t="shared" si="5"/>
        <v>228.77099999999999</v>
      </c>
      <c r="P13" s="755">
        <f t="shared" si="5"/>
        <v>279.72000000000003</v>
      </c>
      <c r="Q13" s="755">
        <f t="shared" si="5"/>
        <v>336.66300000000001</v>
      </c>
      <c r="R13" s="755">
        <f t="shared" si="5"/>
        <v>396.60300000000001</v>
      </c>
      <c r="S13" s="755">
        <f t="shared" si="5"/>
        <v>461.53800000000001</v>
      </c>
      <c r="T13" s="755">
        <f t="shared" si="5"/>
        <v>526.47299999999996</v>
      </c>
      <c r="U13" s="755">
        <f t="shared" si="5"/>
        <v>578.42100000000005</v>
      </c>
      <c r="V13" s="755">
        <f t="shared" si="5"/>
        <v>614.38499999999999</v>
      </c>
      <c r="W13" s="755">
        <f t="shared" si="5"/>
        <v>636.36299999999994</v>
      </c>
      <c r="X13" s="755">
        <f t="shared" si="5"/>
        <v>648.351</v>
      </c>
      <c r="Y13" s="755">
        <f t="shared" si="5"/>
        <v>652.34699999999998</v>
      </c>
      <c r="Z13" s="755">
        <f t="shared" si="5"/>
        <v>650.34900000000005</v>
      </c>
      <c r="AA13" s="755">
        <f t="shared" si="5"/>
        <v>637.36199999999997</v>
      </c>
      <c r="AB13" s="755">
        <f t="shared" si="5"/>
        <v>616.38300000000004</v>
      </c>
      <c r="AC13" s="755">
        <f t="shared" si="5"/>
        <v>585.41399999999999</v>
      </c>
      <c r="AD13" s="755">
        <f t="shared" si="5"/>
        <v>549.45000000000005</v>
      </c>
      <c r="AE13" s="755">
        <f t="shared" si="5"/>
        <v>511.488</v>
      </c>
      <c r="AF13" s="755">
        <f t="shared" si="5"/>
        <v>466.53300000000002</v>
      </c>
      <c r="AG13" s="755">
        <f t="shared" si="5"/>
        <v>411.58800000000002</v>
      </c>
      <c r="AH13" s="755">
        <f t="shared" si="5"/>
        <v>354.64499999999998</v>
      </c>
      <c r="AI13" s="755">
        <f t="shared" si="5"/>
        <v>299.7</v>
      </c>
      <c r="AJ13" s="755">
        <f t="shared" si="5"/>
        <v>249.75</v>
      </c>
      <c r="AK13" s="755">
        <f t="shared" si="5"/>
        <v>209.79</v>
      </c>
      <c r="AL13" s="755">
        <f t="shared" si="5"/>
        <v>179.82</v>
      </c>
      <c r="AM13" s="755">
        <f t="shared" si="5"/>
        <v>169.83</v>
      </c>
      <c r="AN13" s="765">
        <f>+N13</f>
        <v>192.80699999999999</v>
      </c>
      <c r="AO13" s="765">
        <f>+O13</f>
        <v>228.77099999999999</v>
      </c>
      <c r="AP13" s="412">
        <f t="shared" ref="AP13:AZ13" si="6">+MAX(AP15:AP379)</f>
        <v>15</v>
      </c>
      <c r="AQ13" s="12">
        <f t="shared" si="6"/>
        <v>14</v>
      </c>
      <c r="AR13" s="169">
        <f t="shared" si="6"/>
        <v>43473</v>
      </c>
      <c r="AS13" s="386">
        <f t="shared" si="6"/>
        <v>1</v>
      </c>
      <c r="AT13" s="386">
        <f t="shared" si="6"/>
        <v>65.368676676494744</v>
      </c>
      <c r="AU13" s="412">
        <f t="shared" si="6"/>
        <v>15</v>
      </c>
      <c r="AV13" s="12">
        <f t="shared" si="6"/>
        <v>14</v>
      </c>
      <c r="AW13" s="169">
        <f t="shared" si="6"/>
        <v>43487</v>
      </c>
      <c r="AX13" s="386">
        <f t="shared" si="6"/>
        <v>1</v>
      </c>
      <c r="AY13" s="386">
        <f t="shared" si="6"/>
        <v>65.2348774817373</v>
      </c>
      <c r="AZ13" s="386">
        <f t="shared" si="6"/>
        <v>65.300598411953871</v>
      </c>
      <c r="BA13" s="630"/>
      <c r="BC13" s="37"/>
      <c r="BD13" s="281" t="s">
        <v>49</v>
      </c>
      <c r="BE13" s="281" t="s">
        <v>48</v>
      </c>
      <c r="BF13" s="281" t="s">
        <v>249</v>
      </c>
      <c r="BH13" s="1038" t="s">
        <v>89</v>
      </c>
      <c r="BJ13" s="6"/>
      <c r="BN13" s="33" t="str">
        <f>Masques!G53</f>
        <v>Date de relevés hauteurs (ref. 0m):</v>
      </c>
      <c r="BO13" s="1104">
        <f>+Masques!I1</f>
        <v>44618</v>
      </c>
      <c r="BP13" s="792">
        <f>YEAR(BO13)</f>
        <v>2022</v>
      </c>
      <c r="BW13" s="668" t="s">
        <v>365</v>
      </c>
      <c r="CD13" s="6"/>
    </row>
    <row r="14" spans="1:84" ht="37.5" customHeight="1" thickBot="1" x14ac:dyDescent="0.3">
      <c r="A14" s="351" t="s">
        <v>114</v>
      </c>
      <c r="B14" s="1046" t="s">
        <v>3</v>
      </c>
      <c r="C14" s="1046" t="s">
        <v>13</v>
      </c>
      <c r="D14" s="1048" t="s">
        <v>320</v>
      </c>
      <c r="E14" s="170" t="s">
        <v>225</v>
      </c>
      <c r="F14" s="170" t="s">
        <v>221</v>
      </c>
      <c r="G14" s="170" t="s">
        <v>222</v>
      </c>
      <c r="H14" s="170" t="s">
        <v>223</v>
      </c>
      <c r="I14" s="735" t="s">
        <v>224</v>
      </c>
      <c r="J14" s="78" t="s">
        <v>0</v>
      </c>
      <c r="L14" s="2"/>
      <c r="M14" s="4" t="s">
        <v>226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0" t="s">
        <v>221</v>
      </c>
      <c r="AQ14" s="170" t="s">
        <v>222</v>
      </c>
      <c r="AR14" s="170" t="s">
        <v>223</v>
      </c>
      <c r="AS14" s="735" t="s">
        <v>224</v>
      </c>
      <c r="AT14" s="758" t="s">
        <v>233</v>
      </c>
      <c r="AU14" s="170" t="s">
        <v>221</v>
      </c>
      <c r="AV14" s="170" t="s">
        <v>222</v>
      </c>
      <c r="AW14" s="170" t="s">
        <v>223</v>
      </c>
      <c r="AX14" s="735" t="s">
        <v>224</v>
      </c>
      <c r="AY14" s="758" t="s">
        <v>234</v>
      </c>
      <c r="AZ14" s="78" t="s">
        <v>236</v>
      </c>
      <c r="BA14" s="633" t="s">
        <v>194</v>
      </c>
      <c r="BB14" s="72"/>
      <c r="BC14" s="351" t="s">
        <v>114</v>
      </c>
      <c r="BD14" s="282" t="s">
        <v>19</v>
      </c>
      <c r="BE14" s="283" t="s">
        <v>21</v>
      </c>
      <c r="BF14" s="805" t="s">
        <v>250</v>
      </c>
      <c r="BH14" s="1039" t="s">
        <v>90</v>
      </c>
      <c r="BI14" s="1034" t="s">
        <v>299</v>
      </c>
      <c r="BJ14" s="712">
        <f>+Masques!C55</f>
        <v>-5</v>
      </c>
      <c r="BK14" s="712">
        <f>+Masques!D55</f>
        <v>-4</v>
      </c>
      <c r="BL14" s="712">
        <f>+Masques!E55</f>
        <v>-3</v>
      </c>
      <c r="BM14" s="713">
        <f>+Masques!F55</f>
        <v>-2</v>
      </c>
      <c r="BN14" s="713">
        <f>+Masques!G55</f>
        <v>-1</v>
      </c>
      <c r="BO14" s="714">
        <f>+Masques!H55</f>
        <v>0</v>
      </c>
      <c r="BP14" s="712">
        <f>+Masques!I55</f>
        <v>1</v>
      </c>
      <c r="BQ14" s="712">
        <f>+Masques!J55</f>
        <v>2</v>
      </c>
      <c r="BR14" s="712">
        <f>+Masques!K55</f>
        <v>3</v>
      </c>
      <c r="BS14" s="712">
        <f>+Masques!L55</f>
        <v>4</v>
      </c>
      <c r="BT14" s="712">
        <f>+Masques!M55</f>
        <v>5</v>
      </c>
      <c r="BU14" s="956" t="s">
        <v>200</v>
      </c>
      <c r="BW14" s="1158">
        <v>2022</v>
      </c>
      <c r="BX14" s="1158">
        <v>2023</v>
      </c>
      <c r="BY14" s="1158">
        <v>2024</v>
      </c>
      <c r="BZ14" s="1158">
        <v>2025</v>
      </c>
      <c r="CA14" s="1158">
        <v>2026</v>
      </c>
      <c r="CB14" s="1158">
        <v>2027</v>
      </c>
      <c r="CC14" s="1158">
        <v>2028</v>
      </c>
      <c r="CD14" s="1158">
        <v>2029</v>
      </c>
      <c r="CE14" s="1158">
        <v>2030</v>
      </c>
      <c r="CF14" s="1158">
        <v>2031</v>
      </c>
    </row>
    <row r="15" spans="1:84" s="6" customFormat="1" ht="11.25" x14ac:dyDescent="0.2">
      <c r="A15" s="11">
        <v>43101</v>
      </c>
      <c r="B15" s="374">
        <f>'2022'!Maxi_hp</f>
        <v>0</v>
      </c>
      <c r="C15" s="741">
        <f>'2022'!An_max</f>
        <v>2022</v>
      </c>
      <c r="D15" s="1049" t="str">
        <f t="shared" ref="D15:D78" si="7">IF($BA15&gt;$D$11,BA15,"")</f>
        <v/>
      </c>
      <c r="E15" s="1044"/>
      <c r="F15" s="741">
        <f>INT(MATCH($A15,x.2m)/2)*2+1</f>
        <v>1</v>
      </c>
      <c r="G15" s="741">
        <f>INT((MATCH($A15,x.2m)+1)/2)*2</f>
        <v>2</v>
      </c>
      <c r="H15" s="742">
        <f t="shared" ref="H15:H78" si="8">INDEX(x.2m,F15)</f>
        <v>43093</v>
      </c>
      <c r="I15" s="743">
        <f t="shared" ref="I15:I78" si="9">($A15-H15)/(INDEX(x.2m,G15)-H15)</f>
        <v>0.53333333333333333</v>
      </c>
      <c r="J15" s="736">
        <f>((1-I15)*(INDEX(a.m,F15)*$A15*$A15+INDEX(b.m,F15)*$A15+INDEX(c.m,F15))+I15*(INDEX(a.m,G15)*$A15*$A15+INDEX(b.m,G15)*$A15+INDEX(c.m,G15)))/10</f>
        <v>17.899293515880903</v>
      </c>
      <c r="L15" s="745" t="s">
        <v>210</v>
      </c>
      <c r="M15" s="775">
        <f t="shared" ref="M15:AN15" si="10">L12</f>
        <v>43079</v>
      </c>
      <c r="N15" s="776">
        <f t="shared" si="10"/>
        <v>43093</v>
      </c>
      <c r="O15" s="766">
        <f t="shared" si="10"/>
        <v>43108</v>
      </c>
      <c r="P15" s="766">
        <f t="shared" si="10"/>
        <v>43122</v>
      </c>
      <c r="Q15" s="766">
        <f t="shared" si="10"/>
        <v>43136</v>
      </c>
      <c r="R15" s="766">
        <f t="shared" si="10"/>
        <v>43150</v>
      </c>
      <c r="S15" s="766">
        <f t="shared" si="10"/>
        <v>43164</v>
      </c>
      <c r="T15" s="766">
        <f t="shared" si="10"/>
        <v>43178</v>
      </c>
      <c r="U15" s="766">
        <f t="shared" si="10"/>
        <v>43192</v>
      </c>
      <c r="V15" s="766">
        <f t="shared" si="10"/>
        <v>43206</v>
      </c>
      <c r="W15" s="766">
        <f t="shared" si="10"/>
        <v>43220</v>
      </c>
      <c r="X15" s="766">
        <f t="shared" si="10"/>
        <v>43234</v>
      </c>
      <c r="Y15" s="766">
        <f t="shared" si="10"/>
        <v>43248</v>
      </c>
      <c r="Z15" s="766">
        <f t="shared" si="10"/>
        <v>43262</v>
      </c>
      <c r="AA15" s="766">
        <f t="shared" si="10"/>
        <v>43276</v>
      </c>
      <c r="AB15" s="766">
        <f t="shared" si="10"/>
        <v>43290</v>
      </c>
      <c r="AC15" s="766">
        <f t="shared" si="10"/>
        <v>43304</v>
      </c>
      <c r="AD15" s="766">
        <f t="shared" si="10"/>
        <v>43318</v>
      </c>
      <c r="AE15" s="766">
        <f t="shared" si="10"/>
        <v>43332</v>
      </c>
      <c r="AF15" s="766">
        <f t="shared" si="10"/>
        <v>43346</v>
      </c>
      <c r="AG15" s="766">
        <f t="shared" si="10"/>
        <v>43360</v>
      </c>
      <c r="AH15" s="766">
        <f t="shared" si="10"/>
        <v>43374</v>
      </c>
      <c r="AI15" s="766">
        <f t="shared" si="10"/>
        <v>43388</v>
      </c>
      <c r="AJ15" s="766">
        <f t="shared" si="10"/>
        <v>43402</v>
      </c>
      <c r="AK15" s="766">
        <f t="shared" si="10"/>
        <v>43416</v>
      </c>
      <c r="AL15" s="766">
        <f t="shared" si="10"/>
        <v>43430</v>
      </c>
      <c r="AM15" s="766">
        <f t="shared" si="10"/>
        <v>43444</v>
      </c>
      <c r="AN15" s="768">
        <f t="shared" si="10"/>
        <v>43458</v>
      </c>
      <c r="AO15" s="1043">
        <v>43101</v>
      </c>
      <c r="AP15" s="741">
        <f t="shared" ref="AP15:AP78" si="11">INT(MATCH($A15,x.2lg)/2)*2+1</f>
        <v>1</v>
      </c>
      <c r="AQ15" s="741">
        <f t="shared" ref="AQ15:AQ78" si="12">INT((MATCH($A15,x.2lg)+1)/2)*2</f>
        <v>2</v>
      </c>
      <c r="AR15" s="742">
        <f t="shared" ref="AR15:AR78" si="13">INDEX(x.2lg,AP15)</f>
        <v>43079</v>
      </c>
      <c r="AS15" s="743">
        <f t="shared" ref="AS15:AS78" si="14">($A15-AR15)/(INDEX(x.2lg,AQ15)-AR15)</f>
        <v>0.75862068965517238</v>
      </c>
      <c r="AT15" s="759">
        <f t="shared" ref="AT15:AT78" si="15">((1-AS15)*(INDEX(a.lg,AP15)*$A15*$A15+INDEX(b.lg,AP15)*$A15+INDEX(c.lg,AP15))+AS15*(INDEX(a.lg,AQ15)*$A15*$A15+INDEX(b.lg,AQ15)*$A15+INDEX(c.lg,AQ15)))/10</f>
        <v>18.230723636006488</v>
      </c>
      <c r="AU15" s="741">
        <f t="shared" ref="AU15:AU78" si="16">INT(MATCH($A15,x.2ld)/2)*2+1</f>
        <v>1</v>
      </c>
      <c r="AV15" s="741">
        <f t="shared" ref="AV15:AV78" si="17">INT((MATCH($A15,x.2ld)+1)/2)*2</f>
        <v>2</v>
      </c>
      <c r="AW15" s="742">
        <f t="shared" ref="AW15:AW78" si="18">INDEX(x.2ld,AU15)</f>
        <v>43093</v>
      </c>
      <c r="AX15" s="743">
        <f t="shared" ref="AX15:AX78" si="19">($A15-AW15)/(INDEX(x.2ld,AV15)-AW15)</f>
        <v>0.27586206896551724</v>
      </c>
      <c r="AY15" s="759">
        <f t="shared" ref="AY15:AY78" si="20">((1-AX15)*(INDEX(a.ld,AU15)*$A15*$A15+INDEX(b.ld,AU15)*$A15+INDEX(c.ld,AU15))+AX15*(INDEX(a.ld,AV15)*$A15*$A15+INDEX(b.ld,AV15)*$A15+INDEX(c.ld,AV15)))/10</f>
        <v>17.722531334541994</v>
      </c>
      <c r="AZ15" s="736">
        <f>(AY15+AT15)/2</f>
        <v>17.976627485274243</v>
      </c>
      <c r="BA15" s="634">
        <f t="shared" ref="BA15:BA78" si="21">+B15/J15</f>
        <v>0</v>
      </c>
      <c r="BC15" s="11">
        <v>43101</v>
      </c>
      <c r="BD15" s="284">
        <f>[3]!FeuilCaduc*(1-Persistant)+Persistant</f>
        <v>0.60457829942861385</v>
      </c>
      <c r="BE15" s="285">
        <f>[3]!CroissVégét</f>
        <v>2.3909964587625958E-6</v>
      </c>
      <c r="BF15" s="806">
        <f>1+[3]!Salcycl*Ksac</f>
        <v>1.0005722874285767</v>
      </c>
      <c r="BH15" s="1040">
        <f t="shared" ref="BH15:BH78" si="22">INDEX($BJ15:$BT15,,$BH$10)*(1-Ratini)+INDEX($BJ15:$BT15,,$BH$10+1)*Ratini</f>
        <v>0.26481472647825299</v>
      </c>
      <c r="BI15" s="11">
        <v>44197</v>
      </c>
      <c r="BJ15" s="812">
        <v>8.3393959891786676E-2</v>
      </c>
      <c r="BK15" s="715">
        <v>0.12112832353850785</v>
      </c>
      <c r="BL15" s="715">
        <v>0.1568818132998695</v>
      </c>
      <c r="BM15" s="715">
        <v>0.19117953315024538</v>
      </c>
      <c r="BN15" s="715">
        <v>0.22714293691556375</v>
      </c>
      <c r="BO15" s="716">
        <v>0.26504910692015876</v>
      </c>
      <c r="BP15" s="715">
        <v>0.30234628542901959</v>
      </c>
      <c r="BQ15" s="715">
        <v>0.34323380639873236</v>
      </c>
      <c r="BR15" s="715">
        <v>0.38835499484754754</v>
      </c>
      <c r="BS15" s="715">
        <v>0.43538698176360818</v>
      </c>
      <c r="BT15" s="715">
        <v>0.47888219199237819</v>
      </c>
      <c r="BW15" s="1159">
        <f>'2022'!R\Max</f>
        <v>0</v>
      </c>
      <c r="BX15" s="1160">
        <f>'2023'!R\Max</f>
        <v>0</v>
      </c>
      <c r="BY15" s="1160">
        <f>'2024'!R\Max</f>
        <v>0</v>
      </c>
      <c r="BZ15" s="1160">
        <f>'2025'!R\Max</f>
        <v>0</v>
      </c>
      <c r="CA15" s="1160">
        <f>'2026'!R\Max</f>
        <v>0</v>
      </c>
      <c r="CB15" s="1160">
        <f>'2027'!R\Max</f>
        <v>0</v>
      </c>
      <c r="CC15" s="1160">
        <f>'2028'!R\Max</f>
        <v>0</v>
      </c>
      <c r="CD15" s="1160">
        <f>'2029'!R\Max</f>
        <v>0</v>
      </c>
      <c r="CE15" s="1160">
        <f>'2030'!R\Max</f>
        <v>0</v>
      </c>
      <c r="CF15" s="1161">
        <f>'2031'!R\Max</f>
        <v>0</v>
      </c>
    </row>
    <row r="16" spans="1:84" s="6" customFormat="1" ht="11.25" x14ac:dyDescent="0.2">
      <c r="A16" s="11">
        <v>43102</v>
      </c>
      <c r="B16" s="375">
        <f>'2022'!Maxi_hp</f>
        <v>0</v>
      </c>
      <c r="C16" s="13">
        <f>'2022'!An_max</f>
        <v>2022</v>
      </c>
      <c r="D16" s="1050" t="str">
        <f t="shared" si="7"/>
        <v/>
      </c>
      <c r="E16" s="1045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69">
        <f t="shared" si="8"/>
        <v>43093</v>
      </c>
      <c r="I16" s="744">
        <f t="shared" si="9"/>
        <v>0.6</v>
      </c>
      <c r="J16" s="737">
        <f>((1-I16)*(INDEX(a.m,F16)*$A16*$A16+INDEX(b.m,F16)*$A16+INDEX(c.m,F16))+I16*(INDEX(a.m,G16)*$A16*$A16+INDEX(b.m,G16)*$A16+INDEX(c.m,G16)))/10</f>
        <v>18.07851422742009</v>
      </c>
      <c r="L16" s="746" t="s">
        <v>211</v>
      </c>
      <c r="M16" s="732">
        <f t="shared" ref="M16:AN16" si="25">L13</f>
        <v>179.82</v>
      </c>
      <c r="N16" s="771">
        <f t="shared" si="25"/>
        <v>169.83</v>
      </c>
      <c r="O16" s="733">
        <f t="shared" si="25"/>
        <v>192.80699999999999</v>
      </c>
      <c r="P16" s="733">
        <f t="shared" si="25"/>
        <v>228.77099999999999</v>
      </c>
      <c r="Q16" s="733">
        <f t="shared" si="25"/>
        <v>279.72000000000003</v>
      </c>
      <c r="R16" s="733">
        <f t="shared" si="25"/>
        <v>336.66300000000001</v>
      </c>
      <c r="S16" s="733">
        <f t="shared" si="25"/>
        <v>396.60300000000001</v>
      </c>
      <c r="T16" s="733">
        <f t="shared" si="25"/>
        <v>461.53800000000001</v>
      </c>
      <c r="U16" s="733">
        <f t="shared" si="25"/>
        <v>526.47299999999996</v>
      </c>
      <c r="V16" s="733">
        <f t="shared" si="25"/>
        <v>578.42100000000005</v>
      </c>
      <c r="W16" s="733">
        <f t="shared" si="25"/>
        <v>614.38499999999999</v>
      </c>
      <c r="X16" s="733">
        <f t="shared" si="25"/>
        <v>636.36299999999994</v>
      </c>
      <c r="Y16" s="733">
        <f t="shared" si="25"/>
        <v>648.351</v>
      </c>
      <c r="Z16" s="733">
        <f t="shared" si="25"/>
        <v>652.34699999999998</v>
      </c>
      <c r="AA16" s="733">
        <f t="shared" si="25"/>
        <v>650.34900000000005</v>
      </c>
      <c r="AB16" s="733">
        <f t="shared" si="25"/>
        <v>637.36199999999997</v>
      </c>
      <c r="AC16" s="733">
        <f t="shared" si="25"/>
        <v>616.38300000000004</v>
      </c>
      <c r="AD16" s="733">
        <f t="shared" si="25"/>
        <v>585.41399999999999</v>
      </c>
      <c r="AE16" s="733">
        <f t="shared" si="25"/>
        <v>549.45000000000005</v>
      </c>
      <c r="AF16" s="733">
        <f t="shared" si="25"/>
        <v>511.488</v>
      </c>
      <c r="AG16" s="733">
        <f t="shared" si="25"/>
        <v>466.53300000000002</v>
      </c>
      <c r="AH16" s="733">
        <f t="shared" si="25"/>
        <v>411.58800000000002</v>
      </c>
      <c r="AI16" s="733">
        <f t="shared" si="25"/>
        <v>354.64499999999998</v>
      </c>
      <c r="AJ16" s="733">
        <f t="shared" si="25"/>
        <v>299.7</v>
      </c>
      <c r="AK16" s="733">
        <f t="shared" si="25"/>
        <v>249.75</v>
      </c>
      <c r="AL16" s="733">
        <f t="shared" si="25"/>
        <v>209.79</v>
      </c>
      <c r="AM16" s="733">
        <f t="shared" si="25"/>
        <v>179.82</v>
      </c>
      <c r="AN16" s="769">
        <f t="shared" si="25"/>
        <v>169.83</v>
      </c>
      <c r="AO16" s="1043">
        <v>43102</v>
      </c>
      <c r="AP16" s="13">
        <f t="shared" si="11"/>
        <v>1</v>
      </c>
      <c r="AQ16" s="13">
        <f t="shared" si="12"/>
        <v>2</v>
      </c>
      <c r="AR16" s="169">
        <f t="shared" si="13"/>
        <v>43079</v>
      </c>
      <c r="AS16" s="744">
        <f t="shared" si="14"/>
        <v>0.7931034482758621</v>
      </c>
      <c r="AT16" s="760">
        <f t="shared" si="15"/>
        <v>18.354439270599137</v>
      </c>
      <c r="AU16" s="13">
        <f t="shared" si="16"/>
        <v>1</v>
      </c>
      <c r="AV16" s="13">
        <f t="shared" si="17"/>
        <v>2</v>
      </c>
      <c r="AW16" s="169">
        <f t="shared" si="18"/>
        <v>43093</v>
      </c>
      <c r="AX16" s="744">
        <f t="shared" si="19"/>
        <v>0.31034482758620691</v>
      </c>
      <c r="AY16" s="760">
        <f t="shared" si="20"/>
        <v>17.880304795169629</v>
      </c>
      <c r="AZ16" s="737">
        <f t="shared" ref="AZ16:AZ79" si="26">(AY16+AT16)/2</f>
        <v>18.117372032884383</v>
      </c>
      <c r="BA16" s="634">
        <f>+B16/J16</f>
        <v>0</v>
      </c>
      <c r="BC16" s="11">
        <v>43102</v>
      </c>
      <c r="BD16" s="286">
        <f>[3]!FeuilCaduc*(1-Persistant)+Persistant</f>
        <v>0.60425825265103927</v>
      </c>
      <c r="BE16" s="287">
        <f>[3]!CroissVégét</f>
        <v>6.0820224447240291E-5</v>
      </c>
      <c r="BF16" s="807">
        <f>1+[3]!Salcycl*Ksac</f>
        <v>1.00053228158138</v>
      </c>
      <c r="BH16" s="1041">
        <f t="shared" si="22"/>
        <v>0.26316935046914591</v>
      </c>
      <c r="BI16" s="11">
        <v>44198</v>
      </c>
      <c r="BJ16" s="717">
        <v>8.0417677947837371E-2</v>
      </c>
      <c r="BK16" s="717">
        <v>0.11846674510038424</v>
      </c>
      <c r="BL16" s="717">
        <v>0.15458804640064627</v>
      </c>
      <c r="BM16" s="717">
        <v>0.18924377830812511</v>
      </c>
      <c r="BN16" s="717">
        <v>0.22541939211840034</v>
      </c>
      <c r="BO16" s="718">
        <v>0.26340421724937807</v>
      </c>
      <c r="BP16" s="717">
        <v>0.30075567088900362</v>
      </c>
      <c r="BQ16" s="717">
        <v>0.34157928060327053</v>
      </c>
      <c r="BR16" s="717">
        <v>0.38654496403120647</v>
      </c>
      <c r="BS16" s="717">
        <v>0.43357101581927227</v>
      </c>
      <c r="BT16" s="717">
        <v>0.47738020070623655</v>
      </c>
      <c r="BW16" s="1162">
        <f>'2022'!R\Max</f>
        <v>0</v>
      </c>
      <c r="BX16" s="1163">
        <f>'2023'!R\Max</f>
        <v>0</v>
      </c>
      <c r="BY16" s="1163">
        <f>'2024'!R\Max</f>
        <v>0</v>
      </c>
      <c r="BZ16" s="1163">
        <f>'2025'!R\Max</f>
        <v>0</v>
      </c>
      <c r="CA16" s="1163">
        <f>'2026'!R\Max</f>
        <v>0</v>
      </c>
      <c r="CB16" s="1163">
        <f>'2027'!R\Max</f>
        <v>0</v>
      </c>
      <c r="CC16" s="1164">
        <f>'2028'!R\Max</f>
        <v>0</v>
      </c>
      <c r="CD16" s="1163">
        <f>'2029'!R\Max</f>
        <v>0</v>
      </c>
      <c r="CE16" s="1163">
        <f>'2030'!R\Max</f>
        <v>0</v>
      </c>
      <c r="CF16" s="1165">
        <f>'2031'!R\Max</f>
        <v>0</v>
      </c>
    </row>
    <row r="17" spans="1:84" s="6" customFormat="1" ht="11.25" x14ac:dyDescent="0.2">
      <c r="A17" s="11">
        <v>43103</v>
      </c>
      <c r="B17" s="375">
        <f>'2022'!Maxi_hp</f>
        <v>0</v>
      </c>
      <c r="C17" s="13">
        <f>'2022'!An_max</f>
        <v>2022</v>
      </c>
      <c r="D17" s="1050" t="str">
        <f t="shared" si="7"/>
        <v/>
      </c>
      <c r="E17" s="1045"/>
      <c r="F17" s="13">
        <f t="shared" si="23"/>
        <v>1</v>
      </c>
      <c r="G17" s="13">
        <f t="shared" si="24"/>
        <v>2</v>
      </c>
      <c r="H17" s="169">
        <f t="shared" si="8"/>
        <v>43093</v>
      </c>
      <c r="I17" s="744">
        <f t="shared" si="9"/>
        <v>0.66666666666666663</v>
      </c>
      <c r="J17" s="737">
        <f t="shared" ref="J17:J78" si="27">((1-I17)*(INDEX(a.m,F17)*$A17*$A17+INDEX(b.m,F17)*$A17+INDEX(c.m,F17))+I17*(INDEX(a.m,G17)*$A17*$A17+INDEX(b.m,G17)*$A17+INDEX(c.m,G17)))/10</f>
        <v>18.266553695499898</v>
      </c>
      <c r="L17" s="746" t="s">
        <v>212</v>
      </c>
      <c r="M17" s="772">
        <f t="shared" ref="M17:AN17" si="28">M12</f>
        <v>43093</v>
      </c>
      <c r="N17" s="728">
        <f t="shared" si="28"/>
        <v>43108</v>
      </c>
      <c r="O17" s="728">
        <f t="shared" si="28"/>
        <v>43122</v>
      </c>
      <c r="P17" s="728">
        <f t="shared" si="28"/>
        <v>43136</v>
      </c>
      <c r="Q17" s="728">
        <f t="shared" si="28"/>
        <v>43150</v>
      </c>
      <c r="R17" s="728">
        <f t="shared" si="28"/>
        <v>43164</v>
      </c>
      <c r="S17" s="728">
        <f t="shared" si="28"/>
        <v>43178</v>
      </c>
      <c r="T17" s="728">
        <f t="shared" si="28"/>
        <v>43192</v>
      </c>
      <c r="U17" s="728">
        <f t="shared" si="28"/>
        <v>43206</v>
      </c>
      <c r="V17" s="728">
        <f t="shared" si="28"/>
        <v>43220</v>
      </c>
      <c r="W17" s="728">
        <f t="shared" si="28"/>
        <v>43234</v>
      </c>
      <c r="X17" s="728">
        <f t="shared" si="28"/>
        <v>43248</v>
      </c>
      <c r="Y17" s="728">
        <f t="shared" si="28"/>
        <v>43262</v>
      </c>
      <c r="Z17" s="728">
        <f t="shared" si="28"/>
        <v>43276</v>
      </c>
      <c r="AA17" s="728">
        <f t="shared" si="28"/>
        <v>43290</v>
      </c>
      <c r="AB17" s="728">
        <f t="shared" si="28"/>
        <v>43304</v>
      </c>
      <c r="AC17" s="728">
        <f t="shared" si="28"/>
        <v>43318</v>
      </c>
      <c r="AD17" s="728">
        <f t="shared" si="28"/>
        <v>43332</v>
      </c>
      <c r="AE17" s="728">
        <f t="shared" si="28"/>
        <v>43346</v>
      </c>
      <c r="AF17" s="728">
        <f t="shared" si="28"/>
        <v>43360</v>
      </c>
      <c r="AG17" s="728">
        <f t="shared" si="28"/>
        <v>43374</v>
      </c>
      <c r="AH17" s="728">
        <f t="shared" si="28"/>
        <v>43388</v>
      </c>
      <c r="AI17" s="728">
        <f t="shared" si="28"/>
        <v>43402</v>
      </c>
      <c r="AJ17" s="728">
        <f t="shared" si="28"/>
        <v>43416</v>
      </c>
      <c r="AK17" s="728">
        <f t="shared" si="28"/>
        <v>43430</v>
      </c>
      <c r="AL17" s="728">
        <f t="shared" si="28"/>
        <v>43444</v>
      </c>
      <c r="AM17" s="770">
        <f t="shared" si="28"/>
        <v>43458</v>
      </c>
      <c r="AN17" s="777">
        <f t="shared" si="28"/>
        <v>43473</v>
      </c>
      <c r="AO17" s="1043">
        <v>43103</v>
      </c>
      <c r="AP17" s="13">
        <f t="shared" si="11"/>
        <v>1</v>
      </c>
      <c r="AQ17" s="13">
        <f t="shared" si="12"/>
        <v>2</v>
      </c>
      <c r="AR17" s="169">
        <f t="shared" si="13"/>
        <v>43079</v>
      </c>
      <c r="AS17" s="744">
        <f t="shared" si="14"/>
        <v>0.82758620689655171</v>
      </c>
      <c r="AT17" s="760">
        <f t="shared" si="15"/>
        <v>18.487090140478365</v>
      </c>
      <c r="AU17" s="13">
        <f t="shared" si="16"/>
        <v>1</v>
      </c>
      <c r="AV17" s="13">
        <f t="shared" si="17"/>
        <v>2</v>
      </c>
      <c r="AW17" s="169">
        <f t="shared" si="18"/>
        <v>43093</v>
      </c>
      <c r="AX17" s="744">
        <f t="shared" si="19"/>
        <v>0.34482758620689657</v>
      </c>
      <c r="AY17" s="760">
        <f t="shared" si="20"/>
        <v>18.050613723438364</v>
      </c>
      <c r="AZ17" s="737">
        <f t="shared" si="26"/>
        <v>18.268851931958366</v>
      </c>
      <c r="BA17" s="634">
        <f t="shared" si="21"/>
        <v>0</v>
      </c>
      <c r="BC17" s="11">
        <v>43103</v>
      </c>
      <c r="BD17" s="286">
        <f>[3]!FeuilCaduc*(1-Persistant)+Persistant</f>
        <v>0.60395621458428694</v>
      </c>
      <c r="BE17" s="287">
        <f>[3]!CroissVégét</f>
        <v>1.216934154264056E-4</v>
      </c>
      <c r="BF17" s="807">
        <f>1+[3]!Salcycl*Ksac</f>
        <v>1.0004945268230359</v>
      </c>
      <c r="BH17" s="1041">
        <f t="shared" si="22"/>
        <v>0.26130072951840233</v>
      </c>
      <c r="BI17" s="11">
        <v>44199</v>
      </c>
      <c r="BJ17" s="717">
        <v>7.7189826707080675E-2</v>
      </c>
      <c r="BK17" s="717">
        <v>0.11551031818427897</v>
      </c>
      <c r="BL17" s="717">
        <v>0.15199884185462989</v>
      </c>
      <c r="BM17" s="717">
        <v>0.18702968138135453</v>
      </c>
      <c r="BN17" s="717">
        <v>0.22345368524636808</v>
      </c>
      <c r="BO17" s="718">
        <v>0.26153620033261843</v>
      </c>
      <c r="BP17" s="717">
        <v>0.29899204770259785</v>
      </c>
      <c r="BQ17" s="717">
        <v>0.33979083580414748</v>
      </c>
      <c r="BR17" s="717">
        <v>0.38459601448483199</v>
      </c>
      <c r="BS17" s="717">
        <v>0.4315730812475318</v>
      </c>
      <c r="BT17" s="717">
        <v>0.47565716747387038</v>
      </c>
      <c r="BW17" s="1162">
        <f>'2022'!R\Max</f>
        <v>0</v>
      </c>
      <c r="BX17" s="1163">
        <f>'2023'!R\Max</f>
        <v>0</v>
      </c>
      <c r="BY17" s="1163">
        <f>'2024'!R\Max</f>
        <v>0</v>
      </c>
      <c r="BZ17" s="1163">
        <f>'2025'!R\Max</f>
        <v>0</v>
      </c>
      <c r="CA17" s="1163">
        <f>'2026'!R\Max</f>
        <v>0</v>
      </c>
      <c r="CB17" s="1163">
        <f>'2027'!R\Max</f>
        <v>0</v>
      </c>
      <c r="CC17" s="1164">
        <f>'2028'!R\Max</f>
        <v>0</v>
      </c>
      <c r="CD17" s="1163">
        <f>'2029'!R\Max</f>
        <v>0</v>
      </c>
      <c r="CE17" s="1163">
        <f>'2030'!R\Max</f>
        <v>0</v>
      </c>
      <c r="CF17" s="1165">
        <f>'2031'!R\Max</f>
        <v>0</v>
      </c>
    </row>
    <row r="18" spans="1:84" s="6" customFormat="1" ht="11.25" x14ac:dyDescent="0.2">
      <c r="A18" s="11">
        <v>43104</v>
      </c>
      <c r="B18" s="375">
        <f>'2022'!Maxi_hp</f>
        <v>0</v>
      </c>
      <c r="C18" s="13">
        <f>'2022'!An_max</f>
        <v>2022</v>
      </c>
      <c r="D18" s="1050" t="str">
        <f t="shared" si="7"/>
        <v/>
      </c>
      <c r="E18" s="1045"/>
      <c r="F18" s="13">
        <f t="shared" si="23"/>
        <v>1</v>
      </c>
      <c r="G18" s="13">
        <f t="shared" si="24"/>
        <v>2</v>
      </c>
      <c r="H18" s="169">
        <f t="shared" si="8"/>
        <v>43093</v>
      </c>
      <c r="I18" s="744">
        <f t="shared" si="9"/>
        <v>0.73333333333333328</v>
      </c>
      <c r="J18" s="737">
        <f t="shared" si="27"/>
        <v>18.461745281269152</v>
      </c>
      <c r="L18" s="746" t="s">
        <v>213</v>
      </c>
      <c r="M18" s="771">
        <f t="shared" ref="M18:AN18" si="29">M13</f>
        <v>169.83</v>
      </c>
      <c r="N18" s="734">
        <f t="shared" si="29"/>
        <v>192.80699999999999</v>
      </c>
      <c r="O18" s="734">
        <f t="shared" si="29"/>
        <v>228.77099999999999</v>
      </c>
      <c r="P18" s="734">
        <f t="shared" si="29"/>
        <v>279.72000000000003</v>
      </c>
      <c r="Q18" s="734">
        <f t="shared" si="29"/>
        <v>336.66300000000001</v>
      </c>
      <c r="R18" s="734">
        <f t="shared" si="29"/>
        <v>396.60300000000001</v>
      </c>
      <c r="S18" s="734">
        <f t="shared" si="29"/>
        <v>461.53800000000001</v>
      </c>
      <c r="T18" s="734">
        <f t="shared" si="29"/>
        <v>526.47299999999996</v>
      </c>
      <c r="U18" s="734">
        <f t="shared" si="29"/>
        <v>578.42100000000005</v>
      </c>
      <c r="V18" s="734">
        <f t="shared" si="29"/>
        <v>614.38499999999999</v>
      </c>
      <c r="W18" s="734">
        <f t="shared" si="29"/>
        <v>636.36299999999994</v>
      </c>
      <c r="X18" s="734">
        <f t="shared" si="29"/>
        <v>648.351</v>
      </c>
      <c r="Y18" s="734">
        <f t="shared" si="29"/>
        <v>652.34699999999998</v>
      </c>
      <c r="Z18" s="734">
        <f t="shared" si="29"/>
        <v>650.34900000000005</v>
      </c>
      <c r="AA18" s="734">
        <f t="shared" si="29"/>
        <v>637.36199999999997</v>
      </c>
      <c r="AB18" s="734">
        <f t="shared" si="29"/>
        <v>616.38300000000004</v>
      </c>
      <c r="AC18" s="734">
        <f t="shared" si="29"/>
        <v>585.41399999999999</v>
      </c>
      <c r="AD18" s="734">
        <f t="shared" si="29"/>
        <v>549.45000000000005</v>
      </c>
      <c r="AE18" s="734">
        <f t="shared" si="29"/>
        <v>511.488</v>
      </c>
      <c r="AF18" s="734">
        <f t="shared" si="29"/>
        <v>466.53300000000002</v>
      </c>
      <c r="AG18" s="734">
        <f t="shared" si="29"/>
        <v>411.58800000000002</v>
      </c>
      <c r="AH18" s="734">
        <f t="shared" si="29"/>
        <v>354.64499999999998</v>
      </c>
      <c r="AI18" s="734">
        <f t="shared" si="29"/>
        <v>299.7</v>
      </c>
      <c r="AJ18" s="734">
        <f t="shared" si="29"/>
        <v>249.75</v>
      </c>
      <c r="AK18" s="734">
        <f t="shared" si="29"/>
        <v>209.79</v>
      </c>
      <c r="AL18" s="734">
        <f t="shared" si="29"/>
        <v>179.82</v>
      </c>
      <c r="AM18" s="769">
        <f t="shared" si="29"/>
        <v>169.83</v>
      </c>
      <c r="AN18" s="767">
        <f t="shared" si="29"/>
        <v>192.80699999999999</v>
      </c>
      <c r="AO18" s="1043">
        <v>43104</v>
      </c>
      <c r="AP18" s="13">
        <f t="shared" si="11"/>
        <v>1</v>
      </c>
      <c r="AQ18" s="13">
        <f t="shared" si="12"/>
        <v>2</v>
      </c>
      <c r="AR18" s="169">
        <f t="shared" si="13"/>
        <v>43079</v>
      </c>
      <c r="AS18" s="744">
        <f t="shared" si="14"/>
        <v>0.86206896551724133</v>
      </c>
      <c r="AT18" s="760">
        <f t="shared" si="15"/>
        <v>18.628571303342952</v>
      </c>
      <c r="AU18" s="13">
        <f t="shared" si="16"/>
        <v>1</v>
      </c>
      <c r="AV18" s="13">
        <f t="shared" si="17"/>
        <v>2</v>
      </c>
      <c r="AW18" s="169">
        <f t="shared" si="18"/>
        <v>43093</v>
      </c>
      <c r="AX18" s="744">
        <f t="shared" si="19"/>
        <v>0.37931034482758619</v>
      </c>
      <c r="AY18" s="760">
        <f t="shared" si="20"/>
        <v>18.232863294872743</v>
      </c>
      <c r="AZ18" s="737">
        <f t="shared" si="26"/>
        <v>18.430717299107847</v>
      </c>
      <c r="BA18" s="634">
        <f t="shared" si="21"/>
        <v>0</v>
      </c>
      <c r="BC18" s="11">
        <v>43104</v>
      </c>
      <c r="BD18" s="286">
        <f>[3]!FeuilCaduc*(1-Persistant)+Persistant</f>
        <v>0.60367031220166523</v>
      </c>
      <c r="BE18" s="287">
        <f>[3]!CroissVégét</f>
        <v>1.8511247801664469E-4</v>
      </c>
      <c r="BF18" s="807">
        <f>1+[3]!Salcycl*Ksac</f>
        <v>1.0004587890252081</v>
      </c>
      <c r="BH18" s="1041">
        <f t="shared" si="22"/>
        <v>0.25920801028094298</v>
      </c>
      <c r="BI18" s="11">
        <v>44200</v>
      </c>
      <c r="BJ18" s="717">
        <v>7.3709898828144799E-2</v>
      </c>
      <c r="BK18" s="717">
        <v>0.11225840420316839</v>
      </c>
      <c r="BL18" s="717">
        <v>0.14911348622512521</v>
      </c>
      <c r="BM18" s="717">
        <v>0.18453647856788702</v>
      </c>
      <c r="BN18" s="717">
        <v>0.22124502054036196</v>
      </c>
      <c r="BO18" s="718">
        <v>0.25944420246652133</v>
      </c>
      <c r="BP18" s="717">
        <v>0.29705454300411044</v>
      </c>
      <c r="BQ18" s="717">
        <v>0.33786755796766749</v>
      </c>
      <c r="BR18" s="717">
        <v>0.38250712776753759</v>
      </c>
      <c r="BS18" s="717">
        <v>0.42939200614311873</v>
      </c>
      <c r="BT18" s="717">
        <v>0.47371178183093632</v>
      </c>
      <c r="BW18" s="1162">
        <f>'2022'!R\Max</f>
        <v>0</v>
      </c>
      <c r="BX18" s="1163">
        <f>'2023'!R\Max</f>
        <v>0</v>
      </c>
      <c r="BY18" s="1163">
        <f>'2024'!R\Max</f>
        <v>0</v>
      </c>
      <c r="BZ18" s="1163">
        <f>'2025'!R\Max</f>
        <v>0</v>
      </c>
      <c r="CA18" s="1163">
        <f>'2026'!R\Max</f>
        <v>0</v>
      </c>
      <c r="CB18" s="1163">
        <f>'2027'!R\Max</f>
        <v>0</v>
      </c>
      <c r="CC18" s="1164">
        <f>'2028'!R\Max</f>
        <v>0</v>
      </c>
      <c r="CD18" s="1163">
        <f>'2029'!R\Max</f>
        <v>0</v>
      </c>
      <c r="CE18" s="1163">
        <f>'2030'!R\Max</f>
        <v>0</v>
      </c>
      <c r="CF18" s="1165">
        <f>'2031'!R\Max</f>
        <v>0</v>
      </c>
    </row>
    <row r="19" spans="1:84" s="6" customFormat="1" ht="11.25" x14ac:dyDescent="0.2">
      <c r="A19" s="11">
        <v>43105</v>
      </c>
      <c r="B19" s="375">
        <f>'2022'!Maxi_hp</f>
        <v>0</v>
      </c>
      <c r="C19" s="13">
        <f>'2022'!An_max</f>
        <v>2022</v>
      </c>
      <c r="D19" s="1050" t="str">
        <f t="shared" si="7"/>
        <v/>
      </c>
      <c r="E19" s="1045"/>
      <c r="F19" s="13">
        <f t="shared" si="23"/>
        <v>1</v>
      </c>
      <c r="G19" s="13">
        <f t="shared" si="24"/>
        <v>2</v>
      </c>
      <c r="H19" s="169">
        <f t="shared" si="8"/>
        <v>43093</v>
      </c>
      <c r="I19" s="744">
        <f t="shared" si="9"/>
        <v>0.8</v>
      </c>
      <c r="J19" s="737">
        <f t="shared" si="27"/>
        <v>18.6624223446846</v>
      </c>
      <c r="L19" s="746" t="s">
        <v>214</v>
      </c>
      <c r="M19" s="773">
        <f t="shared" ref="M19:AN19" si="30">N12</f>
        <v>43108</v>
      </c>
      <c r="N19" s="729">
        <f t="shared" si="30"/>
        <v>43122</v>
      </c>
      <c r="O19" s="729">
        <f t="shared" si="30"/>
        <v>43136</v>
      </c>
      <c r="P19" s="729">
        <f t="shared" si="30"/>
        <v>43150</v>
      </c>
      <c r="Q19" s="729">
        <f t="shared" si="30"/>
        <v>43164</v>
      </c>
      <c r="R19" s="729">
        <f t="shared" si="30"/>
        <v>43178</v>
      </c>
      <c r="S19" s="729">
        <f t="shared" si="30"/>
        <v>43192</v>
      </c>
      <c r="T19" s="729">
        <f t="shared" si="30"/>
        <v>43206</v>
      </c>
      <c r="U19" s="729">
        <f t="shared" si="30"/>
        <v>43220</v>
      </c>
      <c r="V19" s="729">
        <f t="shared" si="30"/>
        <v>43234</v>
      </c>
      <c r="W19" s="729">
        <f t="shared" si="30"/>
        <v>43248</v>
      </c>
      <c r="X19" s="729">
        <f t="shared" si="30"/>
        <v>43262</v>
      </c>
      <c r="Y19" s="729">
        <f t="shared" si="30"/>
        <v>43276</v>
      </c>
      <c r="Z19" s="729">
        <f t="shared" si="30"/>
        <v>43290</v>
      </c>
      <c r="AA19" s="729">
        <f t="shared" si="30"/>
        <v>43304</v>
      </c>
      <c r="AB19" s="729">
        <f t="shared" si="30"/>
        <v>43318</v>
      </c>
      <c r="AC19" s="729">
        <f t="shared" si="30"/>
        <v>43332</v>
      </c>
      <c r="AD19" s="729">
        <f t="shared" si="30"/>
        <v>43346</v>
      </c>
      <c r="AE19" s="729">
        <f t="shared" si="30"/>
        <v>43360</v>
      </c>
      <c r="AF19" s="729">
        <f t="shared" si="30"/>
        <v>43374</v>
      </c>
      <c r="AG19" s="729">
        <f t="shared" si="30"/>
        <v>43388</v>
      </c>
      <c r="AH19" s="729">
        <f t="shared" si="30"/>
        <v>43402</v>
      </c>
      <c r="AI19" s="729">
        <f t="shared" si="30"/>
        <v>43416</v>
      </c>
      <c r="AJ19" s="729">
        <f t="shared" si="30"/>
        <v>43430</v>
      </c>
      <c r="AK19" s="729">
        <f t="shared" si="30"/>
        <v>43444</v>
      </c>
      <c r="AL19" s="770">
        <f t="shared" si="30"/>
        <v>43458</v>
      </c>
      <c r="AM19" s="730">
        <f t="shared" si="30"/>
        <v>43473</v>
      </c>
      <c r="AN19" s="730">
        <f t="shared" si="30"/>
        <v>43487</v>
      </c>
      <c r="AO19" s="1043">
        <v>43105</v>
      </c>
      <c r="AP19" s="13">
        <f t="shared" si="11"/>
        <v>1</v>
      </c>
      <c r="AQ19" s="13">
        <f t="shared" si="12"/>
        <v>2</v>
      </c>
      <c r="AR19" s="169">
        <f t="shared" si="13"/>
        <v>43079</v>
      </c>
      <c r="AS19" s="744">
        <f t="shared" si="14"/>
        <v>0.89655172413793105</v>
      </c>
      <c r="AT19" s="760">
        <f t="shared" si="15"/>
        <v>18.778777813397603</v>
      </c>
      <c r="AU19" s="13">
        <f t="shared" si="16"/>
        <v>1</v>
      </c>
      <c r="AV19" s="13">
        <f t="shared" si="17"/>
        <v>2</v>
      </c>
      <c r="AW19" s="169">
        <f t="shared" si="18"/>
        <v>43093</v>
      </c>
      <c r="AX19" s="744">
        <f t="shared" si="19"/>
        <v>0.41379310344827586</v>
      </c>
      <c r="AY19" s="760">
        <f t="shared" si="20"/>
        <v>18.426458674566501</v>
      </c>
      <c r="AZ19" s="737">
        <f t="shared" si="26"/>
        <v>18.60261824398205</v>
      </c>
      <c r="BA19" s="634">
        <f t="shared" si="21"/>
        <v>0</v>
      </c>
      <c r="BC19" s="11">
        <v>43105</v>
      </c>
      <c r="BD19" s="286">
        <f>[3]!FeuilCaduc*(1-Persistant)+Persistant</f>
        <v>0.60339891408843827</v>
      </c>
      <c r="BE19" s="287">
        <f>[3]!CroissVégét</f>
        <v>2.5118354313997834E-4</v>
      </c>
      <c r="BF19" s="807">
        <f>1+[3]!Salcycl*Ksac</f>
        <v>1.0004248642610547</v>
      </c>
      <c r="BH19" s="1041">
        <f t="shared" si="22"/>
        <v>0.25689035340142841</v>
      </c>
      <c r="BI19" s="11">
        <v>44201</v>
      </c>
      <c r="BJ19" s="717">
        <v>6.9977411632045822E-2</v>
      </c>
      <c r="BK19" s="717">
        <v>0.10871038646433347</v>
      </c>
      <c r="BL19" s="717">
        <v>0.14593128493345833</v>
      </c>
      <c r="BM19" s="717">
        <v>0.1817634220468736</v>
      </c>
      <c r="BN19" s="717">
        <v>0.21879261668832228</v>
      </c>
      <c r="BO19" s="718">
        <v>0.25712738393462264</v>
      </c>
      <c r="BP19" s="717">
        <v>0.29494229780281511</v>
      </c>
      <c r="BQ19" s="717">
        <v>0.33580854779872021</v>
      </c>
      <c r="BR19" s="717">
        <v>0.38027730164013068</v>
      </c>
      <c r="BS19" s="717">
        <v>0.42702663481649844</v>
      </c>
      <c r="BT19" s="717">
        <v>0.47154274680553582</v>
      </c>
      <c r="BW19" s="1162">
        <f>'2022'!R\Max</f>
        <v>0</v>
      </c>
      <c r="BX19" s="1163">
        <f>'2023'!R\Max</f>
        <v>0</v>
      </c>
      <c r="BY19" s="1163">
        <f>'2024'!R\Max</f>
        <v>0</v>
      </c>
      <c r="BZ19" s="1163">
        <f>'2025'!R\Max</f>
        <v>0</v>
      </c>
      <c r="CA19" s="1163">
        <f>'2026'!R\Max</f>
        <v>0</v>
      </c>
      <c r="CB19" s="1163">
        <f>'2027'!R\Max</f>
        <v>0</v>
      </c>
      <c r="CC19" s="1164">
        <f>'2028'!R\Max</f>
        <v>0</v>
      </c>
      <c r="CD19" s="1163">
        <f>'2029'!R\Max</f>
        <v>0</v>
      </c>
      <c r="CE19" s="1163">
        <f>'2030'!R\Max</f>
        <v>0</v>
      </c>
      <c r="CF19" s="1165">
        <f>'2031'!R\Max</f>
        <v>0</v>
      </c>
    </row>
    <row r="20" spans="1:84" s="6" customFormat="1" ht="11.25" x14ac:dyDescent="0.2">
      <c r="A20" s="11">
        <v>43106</v>
      </c>
      <c r="B20" s="375">
        <f>'2022'!Maxi_hp</f>
        <v>0</v>
      </c>
      <c r="C20" s="13">
        <f>'2022'!An_max</f>
        <v>2022</v>
      </c>
      <c r="D20" s="1050" t="str">
        <f t="shared" si="7"/>
        <v/>
      </c>
      <c r="E20" s="1045"/>
      <c r="F20" s="13">
        <f t="shared" si="23"/>
        <v>1</v>
      </c>
      <c r="G20" s="13">
        <f t="shared" si="24"/>
        <v>2</v>
      </c>
      <c r="H20" s="169">
        <f t="shared" si="8"/>
        <v>43093</v>
      </c>
      <c r="I20" s="744">
        <f t="shared" si="9"/>
        <v>0.8666666666666667</v>
      </c>
      <c r="J20" s="737">
        <f t="shared" si="27"/>
        <v>18.866918246597052</v>
      </c>
      <c r="L20" s="746" t="s">
        <v>215</v>
      </c>
      <c r="M20" s="774">
        <f>N13</f>
        <v>192.80699999999999</v>
      </c>
      <c r="N20" s="734">
        <f t="shared" ref="N20:AN20" si="31">O13</f>
        <v>228.77099999999999</v>
      </c>
      <c r="O20" s="734">
        <f t="shared" si="31"/>
        <v>279.72000000000003</v>
      </c>
      <c r="P20" s="734">
        <f t="shared" si="31"/>
        <v>336.66300000000001</v>
      </c>
      <c r="Q20" s="734">
        <f t="shared" si="31"/>
        <v>396.60300000000001</v>
      </c>
      <c r="R20" s="734">
        <f t="shared" si="31"/>
        <v>461.53800000000001</v>
      </c>
      <c r="S20" s="734">
        <f t="shared" si="31"/>
        <v>526.47299999999996</v>
      </c>
      <c r="T20" s="734">
        <f t="shared" si="31"/>
        <v>578.42100000000005</v>
      </c>
      <c r="U20" s="734">
        <f t="shared" si="31"/>
        <v>614.38499999999999</v>
      </c>
      <c r="V20" s="734">
        <f t="shared" si="31"/>
        <v>636.36299999999994</v>
      </c>
      <c r="W20" s="734">
        <f t="shared" si="31"/>
        <v>648.351</v>
      </c>
      <c r="X20" s="734">
        <f t="shared" si="31"/>
        <v>652.34699999999998</v>
      </c>
      <c r="Y20" s="734">
        <f t="shared" si="31"/>
        <v>650.34900000000005</v>
      </c>
      <c r="Z20" s="734">
        <f t="shared" si="31"/>
        <v>637.36199999999997</v>
      </c>
      <c r="AA20" s="734">
        <f t="shared" si="31"/>
        <v>616.38300000000004</v>
      </c>
      <c r="AB20" s="734">
        <f t="shared" si="31"/>
        <v>585.41399999999999</v>
      </c>
      <c r="AC20" s="734">
        <f t="shared" si="31"/>
        <v>549.45000000000005</v>
      </c>
      <c r="AD20" s="734">
        <f t="shared" si="31"/>
        <v>511.488</v>
      </c>
      <c r="AE20" s="734">
        <f t="shared" si="31"/>
        <v>466.53300000000002</v>
      </c>
      <c r="AF20" s="734">
        <f t="shared" si="31"/>
        <v>411.58800000000002</v>
      </c>
      <c r="AG20" s="734">
        <f t="shared" si="31"/>
        <v>354.64499999999998</v>
      </c>
      <c r="AH20" s="734">
        <f t="shared" si="31"/>
        <v>299.7</v>
      </c>
      <c r="AI20" s="734">
        <f t="shared" si="31"/>
        <v>249.75</v>
      </c>
      <c r="AJ20" s="734">
        <f t="shared" si="31"/>
        <v>209.79</v>
      </c>
      <c r="AK20" s="734">
        <f t="shared" si="31"/>
        <v>179.82</v>
      </c>
      <c r="AL20" s="769">
        <f t="shared" si="31"/>
        <v>169.83</v>
      </c>
      <c r="AM20" s="767">
        <f t="shared" si="31"/>
        <v>192.80699999999999</v>
      </c>
      <c r="AN20" s="767">
        <f t="shared" si="31"/>
        <v>228.77099999999999</v>
      </c>
      <c r="AO20" s="1043">
        <v>43106</v>
      </c>
      <c r="AP20" s="13">
        <f t="shared" si="11"/>
        <v>1</v>
      </c>
      <c r="AQ20" s="13">
        <f t="shared" si="12"/>
        <v>2</v>
      </c>
      <c r="AR20" s="169">
        <f t="shared" si="13"/>
        <v>43079</v>
      </c>
      <c r="AS20" s="744">
        <f t="shared" si="14"/>
        <v>0.93103448275862066</v>
      </c>
      <c r="AT20" s="760">
        <f>((1-AS20)*(INDEX(a.lg,AP20)*$A20*$A20+INDEX(b.lg,AP20)*$A20+INDEX(c.lg,AP20))+AS20*(INDEX(a.lg,AQ20)*$A20*$A20+INDEX(b.lg,AQ20)*$A20+INDEX(c.lg,AQ20)))/10</f>
        <v>18.93760472875217</v>
      </c>
      <c r="AU20" s="13">
        <f t="shared" si="16"/>
        <v>1</v>
      </c>
      <c r="AV20" s="13">
        <f t="shared" si="17"/>
        <v>2</v>
      </c>
      <c r="AW20" s="169">
        <f t="shared" si="18"/>
        <v>43093</v>
      </c>
      <c r="AX20" s="744">
        <f t="shared" si="19"/>
        <v>0.44827586206896552</v>
      </c>
      <c r="AY20" s="760">
        <f t="shared" si="20"/>
        <v>18.630805038044166</v>
      </c>
      <c r="AZ20" s="737">
        <f t="shared" si="26"/>
        <v>18.784204883398168</v>
      </c>
      <c r="BA20" s="634">
        <f t="shared" si="21"/>
        <v>0</v>
      </c>
      <c r="BC20" s="11">
        <v>43106</v>
      </c>
      <c r="BD20" s="286">
        <f>[3]!FeuilCaduc*(1-Persistant)+Persistant</f>
        <v>0.6031406226112801</v>
      </c>
      <c r="BE20" s="287">
        <f>[3]!CroissVégét</f>
        <v>3.2001713664140156E-4</v>
      </c>
      <c r="BF20" s="807">
        <f>1+[3]!Salcycl*Ksac</f>
        <v>1.00039257782641</v>
      </c>
      <c r="BH20" s="1041">
        <f t="shared" si="22"/>
        <v>0.25434693829459032</v>
      </c>
      <c r="BI20" s="11">
        <v>44202</v>
      </c>
      <c r="BJ20" s="717">
        <v>6.5991912448390797E-2</v>
      </c>
      <c r="BK20" s="717">
        <v>0.10486567645182755</v>
      </c>
      <c r="BL20" s="717">
        <v>0.1424515685639339</v>
      </c>
      <c r="BM20" s="717">
        <v>0.17870978592696163</v>
      </c>
      <c r="BN20" s="717">
        <v>0.21609571200571598</v>
      </c>
      <c r="BO20" s="718">
        <v>0.25458492378519471</v>
      </c>
      <c r="BP20" s="717">
        <v>0.29265447069181016</v>
      </c>
      <c r="BQ20" s="717">
        <v>0.33361292361524203</v>
      </c>
      <c r="BR20" s="717">
        <v>0.37790555304848888</v>
      </c>
      <c r="BS20" s="717">
        <v>0.42447583170401654</v>
      </c>
      <c r="BT20" s="717">
        <v>0.46914878367509066</v>
      </c>
      <c r="BW20" s="1162">
        <f>'2022'!R\Max</f>
        <v>0</v>
      </c>
      <c r="BX20" s="1163">
        <f>'2023'!R\Max</f>
        <v>0</v>
      </c>
      <c r="BY20" s="1163">
        <f>'2024'!R\Max</f>
        <v>0</v>
      </c>
      <c r="BZ20" s="1163">
        <f>'2025'!R\Max</f>
        <v>0</v>
      </c>
      <c r="CA20" s="1163">
        <f>'2026'!R\Max</f>
        <v>0</v>
      </c>
      <c r="CB20" s="1163">
        <f>'2027'!R\Max</f>
        <v>0</v>
      </c>
      <c r="CC20" s="1164">
        <f>'2028'!R\Max</f>
        <v>0</v>
      </c>
      <c r="CD20" s="1163">
        <f>'2029'!R\Max</f>
        <v>0</v>
      </c>
      <c r="CE20" s="1163">
        <f>'2030'!R\Max</f>
        <v>0</v>
      </c>
      <c r="CF20" s="1165">
        <f>'2031'!R\Max</f>
        <v>0</v>
      </c>
    </row>
    <row r="21" spans="1:84" s="6" customFormat="1" ht="11.25" x14ac:dyDescent="0.2">
      <c r="A21" s="11">
        <v>43107</v>
      </c>
      <c r="B21" s="375">
        <f>'2022'!Maxi_hp</f>
        <v>6.1641621547056991</v>
      </c>
      <c r="C21" s="13">
        <f>'2022'!An_max</f>
        <v>2022</v>
      </c>
      <c r="D21" s="1050" t="str">
        <f t="shared" si="7"/>
        <v/>
      </c>
      <c r="E21" s="1045"/>
      <c r="F21" s="13">
        <f t="shared" si="23"/>
        <v>1</v>
      </c>
      <c r="G21" s="13">
        <f t="shared" si="24"/>
        <v>2</v>
      </c>
      <c r="H21" s="169">
        <f t="shared" si="8"/>
        <v>43093</v>
      </c>
      <c r="I21" s="744">
        <f t="shared" si="9"/>
        <v>0.93333333333333335</v>
      </c>
      <c r="J21" s="737">
        <f t="shared" si="27"/>
        <v>19.073566344380378</v>
      </c>
      <c r="L21" s="747" t="s">
        <v>216</v>
      </c>
      <c r="M21" s="731">
        <f>x.1m*x.1m-x.2m*x.2m</f>
        <v>-1206408</v>
      </c>
      <c r="N21" s="731">
        <f t="shared" ref="N21:AM21" si="32">x.1m*x.1m-x.2m*x.2m</f>
        <v>-1293015</v>
      </c>
      <c r="O21" s="731">
        <f t="shared" si="32"/>
        <v>-1207220</v>
      </c>
      <c r="P21" s="731">
        <f t="shared" si="32"/>
        <v>-1207612</v>
      </c>
      <c r="Q21" s="731">
        <f t="shared" si="32"/>
        <v>-1208004</v>
      </c>
      <c r="R21" s="731">
        <f t="shared" si="32"/>
        <v>-1208396</v>
      </c>
      <c r="S21" s="731">
        <f t="shared" si="32"/>
        <v>-1208788</v>
      </c>
      <c r="T21" s="731">
        <f t="shared" si="32"/>
        <v>-1209180</v>
      </c>
      <c r="U21" s="731">
        <f t="shared" si="32"/>
        <v>-1209572</v>
      </c>
      <c r="V21" s="731">
        <f t="shared" si="32"/>
        <v>-1209964</v>
      </c>
      <c r="W21" s="731">
        <f t="shared" si="32"/>
        <v>-1210356</v>
      </c>
      <c r="X21" s="731">
        <f t="shared" si="32"/>
        <v>-1210748</v>
      </c>
      <c r="Y21" s="731">
        <f t="shared" si="32"/>
        <v>-1211140</v>
      </c>
      <c r="Z21" s="731">
        <f t="shared" si="32"/>
        <v>-1211532</v>
      </c>
      <c r="AA21" s="731">
        <f t="shared" si="32"/>
        <v>-1211924</v>
      </c>
      <c r="AB21" s="731">
        <f t="shared" si="32"/>
        <v>-1212316</v>
      </c>
      <c r="AC21" s="731">
        <f t="shared" si="32"/>
        <v>-1212708</v>
      </c>
      <c r="AD21" s="731">
        <f t="shared" si="32"/>
        <v>-1213100</v>
      </c>
      <c r="AE21" s="731">
        <f t="shared" si="32"/>
        <v>-1213492</v>
      </c>
      <c r="AF21" s="731">
        <f t="shared" si="32"/>
        <v>-1213884</v>
      </c>
      <c r="AG21" s="731">
        <f t="shared" si="32"/>
        <v>-1214276</v>
      </c>
      <c r="AH21" s="731">
        <f t="shared" si="32"/>
        <v>-1214668</v>
      </c>
      <c r="AI21" s="731">
        <f t="shared" si="32"/>
        <v>-1215060</v>
      </c>
      <c r="AJ21" s="731">
        <f t="shared" si="32"/>
        <v>-1215452</v>
      </c>
      <c r="AK21" s="731">
        <f t="shared" si="32"/>
        <v>-1215844</v>
      </c>
      <c r="AL21" s="731">
        <f t="shared" si="32"/>
        <v>-1216236</v>
      </c>
      <c r="AM21" s="731">
        <f t="shared" si="32"/>
        <v>-1216628</v>
      </c>
      <c r="AN21" s="731">
        <f>x.1m*x.1m-x.2m*x.2m</f>
        <v>-1303965</v>
      </c>
      <c r="AO21" s="1043">
        <v>43107</v>
      </c>
      <c r="AP21" s="13">
        <f t="shared" si="11"/>
        <v>1</v>
      </c>
      <c r="AQ21" s="13">
        <f t="shared" si="12"/>
        <v>2</v>
      </c>
      <c r="AR21" s="169">
        <f t="shared" si="13"/>
        <v>43079</v>
      </c>
      <c r="AS21" s="744">
        <f t="shared" si="14"/>
        <v>0.96551724137931039</v>
      </c>
      <c r="AT21" s="760">
        <f t="shared" si="15"/>
        <v>19.10494710556392</v>
      </c>
      <c r="AU21" s="13">
        <f t="shared" si="16"/>
        <v>1</v>
      </c>
      <c r="AV21" s="13">
        <f t="shared" si="17"/>
        <v>2</v>
      </c>
      <c r="AW21" s="169">
        <f t="shared" si="18"/>
        <v>43093</v>
      </c>
      <c r="AX21" s="744">
        <f t="shared" si="19"/>
        <v>0.48275862068965519</v>
      </c>
      <c r="AY21" s="760">
        <f t="shared" si="20"/>
        <v>18.845307553379701</v>
      </c>
      <c r="AZ21" s="737">
        <f t="shared" si="26"/>
        <v>18.97512732947181</v>
      </c>
      <c r="BA21" s="634">
        <f t="shared" si="21"/>
        <v>0.32317826899329916</v>
      </c>
      <c r="BC21" s="11">
        <v>43107</v>
      </c>
      <c r="BD21" s="286">
        <f>[3]!FeuilCaduc*(1-Persistant)+Persistant</f>
        <v>0.60289426432719972</v>
      </c>
      <c r="BE21" s="287">
        <f>[3]!CroissVégét</f>
        <v>3.9172835876776901E-4</v>
      </c>
      <c r="BF21" s="807">
        <f>1+[3]!Salcycl*Ksac</f>
        <v>1.0003617830409</v>
      </c>
      <c r="BH21" s="1041">
        <f t="shared" si="22"/>
        <v>0.25157696792829876</v>
      </c>
      <c r="BI21" s="11">
        <v>44203</v>
      </c>
      <c r="BJ21" s="717">
        <v>6.1752983962294943E-2</v>
      </c>
      <c r="BK21" s="717">
        <v>0.10072372011007569</v>
      </c>
      <c r="BL21" s="717">
        <v>0.13867369917032793</v>
      </c>
      <c r="BM21" s="717">
        <v>0.17537487219651737</v>
      </c>
      <c r="BN21" s="717">
        <v>0.21315356961834339</v>
      </c>
      <c r="BO21" s="718">
        <v>0.25181602461182634</v>
      </c>
      <c r="BP21" s="717">
        <v>0.2901902415600221</v>
      </c>
      <c r="BQ21" s="717">
        <v>0.33127982422626007</v>
      </c>
      <c r="BR21" s="717">
        <v>0.37539092111099653</v>
      </c>
      <c r="BS21" s="717">
        <v>0.4217384852826071</v>
      </c>
      <c r="BT21" s="717">
        <v>0.46652863672825806</v>
      </c>
      <c r="BW21" s="1162">
        <f>'2022'!R\Max</f>
        <v>0.32317826899329916</v>
      </c>
      <c r="BX21" s="1163">
        <f>'2023'!R\Max</f>
        <v>0.32232530988740876</v>
      </c>
      <c r="BY21" s="1163">
        <f>'2024'!R\Max</f>
        <v>0.32147227330999012</v>
      </c>
      <c r="BZ21" s="1163">
        <f>'2025'!R\Max</f>
        <v>0.32055942777802399</v>
      </c>
      <c r="CA21" s="1163">
        <f>'2026'!R\Max</f>
        <v>0.31964568249508551</v>
      </c>
      <c r="CB21" s="1163">
        <f>'2027'!R\Max</f>
        <v>0.31866535311014926</v>
      </c>
      <c r="CC21" s="1164">
        <f>'2028'!R\Max</f>
        <v>0.31768401504840305</v>
      </c>
      <c r="CD21" s="1163">
        <f>'2029'!R\Max</f>
        <v>0.31665329860582508</v>
      </c>
      <c r="CE21" s="1163">
        <f>'2030'!R\Max</f>
        <v>0.3223679373907487</v>
      </c>
      <c r="CF21" s="1165">
        <f>'2031'!R\Max</f>
        <v>0.32151490851948161</v>
      </c>
    </row>
    <row r="22" spans="1:84" s="6" customFormat="1" ht="11.25" x14ac:dyDescent="0.2">
      <c r="A22" s="11">
        <v>43108</v>
      </c>
      <c r="B22" s="375">
        <f>'2022'!Maxi_hp</f>
        <v>8.052237097122509</v>
      </c>
      <c r="C22" s="13">
        <f>'2022'!An_max</f>
        <v>2022</v>
      </c>
      <c r="D22" s="1050" t="str">
        <f t="shared" si="7"/>
        <v/>
      </c>
      <c r="E22" s="1045">
        <f>N$13/10</f>
        <v>19.2807</v>
      </c>
      <c r="F22" s="13">
        <f t="shared" si="23"/>
        <v>3</v>
      </c>
      <c r="G22" s="13">
        <f t="shared" si="24"/>
        <v>2</v>
      </c>
      <c r="H22" s="169">
        <f t="shared" si="8"/>
        <v>43122</v>
      </c>
      <c r="I22" s="744">
        <f t="shared" si="9"/>
        <v>1</v>
      </c>
      <c r="J22" s="737">
        <f t="shared" si="27"/>
        <v>19.28069999963045</v>
      </c>
      <c r="L22" s="747" t="s">
        <v>217</v>
      </c>
      <c r="M22" s="731">
        <f t="shared" ref="M22:AM22" si="33">x.2m*x.2m-x.3m*x.3m</f>
        <v>-1293015</v>
      </c>
      <c r="N22" s="731">
        <f>x.2m*x.2m-x.3m*x.3m</f>
        <v>-1207220</v>
      </c>
      <c r="O22" s="731">
        <f t="shared" si="33"/>
        <v>-1207612</v>
      </c>
      <c r="P22" s="731">
        <f t="shared" si="33"/>
        <v>-1208004</v>
      </c>
      <c r="Q22" s="731">
        <f t="shared" si="33"/>
        <v>-1208396</v>
      </c>
      <c r="R22" s="731">
        <f t="shared" si="33"/>
        <v>-1208788</v>
      </c>
      <c r="S22" s="731">
        <f t="shared" si="33"/>
        <v>-1209180</v>
      </c>
      <c r="T22" s="731">
        <f t="shared" si="33"/>
        <v>-1209572</v>
      </c>
      <c r="U22" s="731">
        <f t="shared" si="33"/>
        <v>-1209964</v>
      </c>
      <c r="V22" s="731">
        <f t="shared" si="33"/>
        <v>-1210356</v>
      </c>
      <c r="W22" s="731">
        <f t="shared" si="33"/>
        <v>-1210748</v>
      </c>
      <c r="X22" s="731">
        <f t="shared" si="33"/>
        <v>-1211140</v>
      </c>
      <c r="Y22" s="731">
        <f t="shared" si="33"/>
        <v>-1211532</v>
      </c>
      <c r="Z22" s="731">
        <f t="shared" si="33"/>
        <v>-1211924</v>
      </c>
      <c r="AA22" s="731">
        <f t="shared" si="33"/>
        <v>-1212316</v>
      </c>
      <c r="AB22" s="731">
        <f t="shared" si="33"/>
        <v>-1212708</v>
      </c>
      <c r="AC22" s="731">
        <f t="shared" si="33"/>
        <v>-1213100</v>
      </c>
      <c r="AD22" s="731">
        <f t="shared" si="33"/>
        <v>-1213492</v>
      </c>
      <c r="AE22" s="731">
        <f t="shared" si="33"/>
        <v>-1213884</v>
      </c>
      <c r="AF22" s="731">
        <f t="shared" si="33"/>
        <v>-1214276</v>
      </c>
      <c r="AG22" s="731">
        <f t="shared" si="33"/>
        <v>-1214668</v>
      </c>
      <c r="AH22" s="731">
        <f t="shared" si="33"/>
        <v>-1215060</v>
      </c>
      <c r="AI22" s="731">
        <f t="shared" si="33"/>
        <v>-1215452</v>
      </c>
      <c r="AJ22" s="731">
        <f t="shared" si="33"/>
        <v>-1215844</v>
      </c>
      <c r="AK22" s="731">
        <f t="shared" si="33"/>
        <v>-1216236</v>
      </c>
      <c r="AL22" s="731">
        <f t="shared" si="33"/>
        <v>-1216628</v>
      </c>
      <c r="AM22" s="731">
        <f t="shared" si="33"/>
        <v>-1303965</v>
      </c>
      <c r="AN22" s="731">
        <f>x.2m*x.2m-x.3m*x.3m</f>
        <v>-1217440</v>
      </c>
      <c r="AO22" s="1043">
        <v>43108</v>
      </c>
      <c r="AP22" s="13">
        <f t="shared" si="11"/>
        <v>3</v>
      </c>
      <c r="AQ22" s="13">
        <f t="shared" si="12"/>
        <v>2</v>
      </c>
      <c r="AR22" s="169">
        <f t="shared" si="13"/>
        <v>43136</v>
      </c>
      <c r="AS22" s="744">
        <f t="shared" si="14"/>
        <v>1</v>
      </c>
      <c r="AT22" s="760">
        <f t="shared" si="15"/>
        <v>19.28069999963045</v>
      </c>
      <c r="AU22" s="13">
        <f t="shared" si="16"/>
        <v>1</v>
      </c>
      <c r="AV22" s="13">
        <f t="shared" si="17"/>
        <v>2</v>
      </c>
      <c r="AW22" s="169">
        <f t="shared" si="18"/>
        <v>43093</v>
      </c>
      <c r="AX22" s="744">
        <f t="shared" si="19"/>
        <v>0.51724137931034486</v>
      </c>
      <c r="AY22" s="760">
        <f t="shared" si="20"/>
        <v>19.069371394992903</v>
      </c>
      <c r="AZ22" s="737">
        <f t="shared" si="26"/>
        <v>19.175035697311678</v>
      </c>
      <c r="BA22" s="634">
        <f t="shared" si="21"/>
        <v>0.41763198936121848</v>
      </c>
      <c r="BC22" s="11">
        <v>43108</v>
      </c>
      <c r="BD22" s="286">
        <f>[3]!FeuilCaduc*(1-Persistant)+Persistant</f>
        <v>0.60265887878487523</v>
      </c>
      <c r="BE22" s="287">
        <f>[3]!CroissVégét</f>
        <v>4.664370707620742E-4</v>
      </c>
      <c r="BF22" s="807">
        <f>1+[3]!Salcycl*Ksac</f>
        <v>1.0003323598481093</v>
      </c>
      <c r="BH22" s="1041">
        <f t="shared" si="22"/>
        <v>0.24857967360177868</v>
      </c>
      <c r="BI22" s="11">
        <v>44204</v>
      </c>
      <c r="BJ22" s="717">
        <v>5.7260249559987757E-2</v>
      </c>
      <c r="BK22" s="717">
        <v>9.628400412542952E-2</v>
      </c>
      <c r="BL22" s="717">
        <v>0.13459707657963069</v>
      </c>
      <c r="BM22" s="717">
        <v>0.17175801667042012</v>
      </c>
      <c r="BN22" s="717">
        <v>0.20996548264101492</v>
      </c>
      <c r="BO22" s="718">
        <v>0.24881991732914807</v>
      </c>
      <c r="BP22" s="717">
        <v>0.28754881529863979</v>
      </c>
      <c r="BQ22" s="717">
        <v>0.32880841180359494</v>
      </c>
      <c r="BR22" s="717">
        <v>0.37273247009879823</v>
      </c>
      <c r="BS22" s="717">
        <v>0.41881351197643335</v>
      </c>
      <c r="BT22" s="717">
        <v>0.46368107801793762</v>
      </c>
      <c r="BW22" s="1162">
        <f>'2022'!R\Max</f>
        <v>0.41763198936121848</v>
      </c>
      <c r="BX22" s="1163">
        <f>'2023'!R\Max</f>
        <v>0.41668515178594434</v>
      </c>
      <c r="BY22" s="1163">
        <f>'2024'!R\Max</f>
        <v>0.41573748318962284</v>
      </c>
      <c r="BZ22" s="1163">
        <f>'2025'!R\Max</f>
        <v>0.41472767242187669</v>
      </c>
      <c r="CA22" s="1163">
        <f>'2026'!R\Max</f>
        <v>0.41371613700068594</v>
      </c>
      <c r="CB22" s="1163">
        <f>'2027'!R\Max</f>
        <v>0.4126389704894009</v>
      </c>
      <c r="CC22" s="1164">
        <f>'2028'!R\Max</f>
        <v>0.41155990378221974</v>
      </c>
      <c r="CD22" s="1163">
        <f>'2029'!R\Max</f>
        <v>0.41042727048081268</v>
      </c>
      <c r="CE22" s="1163">
        <f>'2030'!R\Max</f>
        <v>0.41673248991482631</v>
      </c>
      <c r="CF22" s="1165">
        <f>'2031'!R\Max</f>
        <v>0.41578486470242781</v>
      </c>
    </row>
    <row r="23" spans="1:84" s="6" customFormat="1" ht="11.25" x14ac:dyDescent="0.2">
      <c r="A23" s="11">
        <v>43109</v>
      </c>
      <c r="B23" s="375">
        <f>'2022'!Maxi_hp</f>
        <v>2.4188853930491918</v>
      </c>
      <c r="C23" s="13">
        <f>'2022'!An_max</f>
        <v>2022</v>
      </c>
      <c r="D23" s="1050" t="str">
        <f t="shared" si="7"/>
        <v/>
      </c>
      <c r="E23" s="1045"/>
      <c r="F23" s="13">
        <f t="shared" si="23"/>
        <v>3</v>
      </c>
      <c r="G23" s="13">
        <f t="shared" si="24"/>
        <v>2</v>
      </c>
      <c r="H23" s="169">
        <f t="shared" si="8"/>
        <v>43122</v>
      </c>
      <c r="I23" s="744">
        <f t="shared" si="9"/>
        <v>0.9285714285714286</v>
      </c>
      <c r="J23" s="737">
        <f t="shared" si="27"/>
        <v>19.490867916973578</v>
      </c>
      <c r="L23" s="747" t="s">
        <v>218</v>
      </c>
      <c r="M23" s="731">
        <f t="shared" ref="M23:AM23" si="34">(y.1m-y.2m-b.m*(x.1m-x.2m))/D2x12</f>
        <v>7.7426600985196645E-2</v>
      </c>
      <c r="N23" s="731">
        <f>(y.1m-y.2m-b.m*(x.1m-x.2m))/D2x12</f>
        <v>3.5760591132994381E-2</v>
      </c>
      <c r="O23" s="731">
        <f t="shared" si="34"/>
        <v>3.8227040816329681E-2</v>
      </c>
      <c r="P23" s="731">
        <f t="shared" si="34"/>
        <v>1.5290816326534246E-2</v>
      </c>
      <c r="Q23" s="731">
        <f t="shared" si="34"/>
        <v>7.6454081632664293E-3</v>
      </c>
      <c r="R23" s="731">
        <f t="shared" si="34"/>
        <v>1.2742346938773992E-2</v>
      </c>
      <c r="S23" s="731">
        <f t="shared" si="34"/>
        <v>-1.1410649002616724E-16</v>
      </c>
      <c r="T23" s="731">
        <f t="shared" si="34"/>
        <v>-3.3130102040816865E-2</v>
      </c>
      <c r="U23" s="731">
        <f t="shared" si="34"/>
        <v>-4.0775510204080274E-2</v>
      </c>
      <c r="V23" s="731">
        <f t="shared" si="34"/>
        <v>-3.5678571428576347E-2</v>
      </c>
      <c r="W23" s="731">
        <f t="shared" si="34"/>
        <v>-2.5484693877549924E-2</v>
      </c>
      <c r="X23" s="731">
        <f t="shared" si="34"/>
        <v>-2.0387755102036678E-2</v>
      </c>
      <c r="Y23" s="731">
        <f t="shared" si="34"/>
        <v>-1.5290816326533565E-2</v>
      </c>
      <c r="Z23" s="731">
        <f t="shared" si="34"/>
        <v>-2.8033163265307633E-2</v>
      </c>
      <c r="AA23" s="731">
        <f t="shared" si="34"/>
        <v>-2.0387755102035075E-2</v>
      </c>
      <c r="AB23" s="731">
        <f t="shared" si="34"/>
        <v>-2.5484693877551607E-2</v>
      </c>
      <c r="AC23" s="731">
        <f t="shared" si="34"/>
        <v>-1.2742346938772403E-2</v>
      </c>
      <c r="AD23" s="731">
        <f t="shared" si="34"/>
        <v>-5.0969387755118558E-3</v>
      </c>
      <c r="AE23" s="731">
        <f t="shared" si="34"/>
        <v>-1.783928571429012E-2</v>
      </c>
      <c r="AF23" s="731">
        <f t="shared" si="34"/>
        <v>-2.5484693877553893E-2</v>
      </c>
      <c r="AG23" s="731">
        <f t="shared" si="34"/>
        <v>-5.0969387755093274E-3</v>
      </c>
      <c r="AH23" s="731">
        <f t="shared" si="34"/>
        <v>5.0969387755115617E-3</v>
      </c>
      <c r="AI23" s="731">
        <f t="shared" si="34"/>
        <v>1.2742346938773611E-2</v>
      </c>
      <c r="AJ23" s="731">
        <f t="shared" si="34"/>
        <v>2.5484693877552471E-2</v>
      </c>
      <c r="AK23" s="731">
        <f t="shared" si="34"/>
        <v>2.5484693877546184E-2</v>
      </c>
      <c r="AL23" s="731">
        <f t="shared" si="34"/>
        <v>5.0969387755085749E-2</v>
      </c>
      <c r="AM23" s="731">
        <f t="shared" si="34"/>
        <v>7.7426600985225774E-2</v>
      </c>
      <c r="AN23" s="731">
        <f>(y.1m-y.2m-b.m*(x.1m-x.2m))/D2x12</f>
        <v>3.576059113300651E-2</v>
      </c>
      <c r="AO23" s="1043">
        <v>43109</v>
      </c>
      <c r="AP23" s="13">
        <f t="shared" si="11"/>
        <v>3</v>
      </c>
      <c r="AQ23" s="13">
        <f t="shared" si="12"/>
        <v>2</v>
      </c>
      <c r="AR23" s="169">
        <f t="shared" si="13"/>
        <v>43136</v>
      </c>
      <c r="AS23" s="744">
        <f t="shared" si="14"/>
        <v>0.9642857142857143</v>
      </c>
      <c r="AT23" s="760">
        <f t="shared" si="15"/>
        <v>19.467933682432133</v>
      </c>
      <c r="AU23" s="13">
        <f t="shared" si="16"/>
        <v>1</v>
      </c>
      <c r="AV23" s="13">
        <f t="shared" si="17"/>
        <v>2</v>
      </c>
      <c r="AW23" s="169">
        <f t="shared" si="18"/>
        <v>43093</v>
      </c>
      <c r="AX23" s="744">
        <f t="shared" si="19"/>
        <v>0.55172413793103448</v>
      </c>
      <c r="AY23" s="760">
        <f t="shared" si="20"/>
        <v>19.302401727797655</v>
      </c>
      <c r="AZ23" s="737">
        <f t="shared" si="26"/>
        <v>19.385167705114895</v>
      </c>
      <c r="BA23" s="634">
        <f t="shared" si="21"/>
        <v>0.12410352393505837</v>
      </c>
      <c r="BC23" s="11">
        <v>43109</v>
      </c>
      <c r="BD23" s="286">
        <f>[3]!FeuilCaduc*(1-Persistant)+Persistant</f>
        <v>0.60243370588267942</v>
      </c>
      <c r="BE23" s="287">
        <f>[3]!CroissVégét</f>
        <v>5.4426808883230738E-4</v>
      </c>
      <c r="BF23" s="807">
        <f>1+[3]!Salcycl*Ksac</f>
        <v>1.000304213235335</v>
      </c>
      <c r="BH23" s="1041">
        <f t="shared" si="22"/>
        <v>0.24535431972688407</v>
      </c>
      <c r="BI23" s="11">
        <v>44205</v>
      </c>
      <c r="BJ23" s="717">
        <v>5.2513378675299309E-2</v>
      </c>
      <c r="BK23" s="717">
        <v>9.1546062209056714E-2</v>
      </c>
      <c r="BL23" s="717">
        <v>0.13022114469755683</v>
      </c>
      <c r="BM23" s="717">
        <v>0.16785859493903868</v>
      </c>
      <c r="BN23" s="717">
        <v>0.20653077935884032</v>
      </c>
      <c r="BO23" s="718">
        <v>0.24559586595161717</v>
      </c>
      <c r="BP23" s="717">
        <v>0.28472942551104896</v>
      </c>
      <c r="BQ23" s="717">
        <v>0.32619787475754219</v>
      </c>
      <c r="BR23" s="717">
        <v>0.36992929242055705</v>
      </c>
      <c r="BS23" s="717">
        <v>0.415699860068587</v>
      </c>
      <c r="BT23" s="717">
        <v>0.46060491211985677</v>
      </c>
      <c r="BW23" s="1162">
        <f>'2022'!R\Max</f>
        <v>0.12410352393505837</v>
      </c>
      <c r="BX23" s="1163">
        <f>'2023'!R\Max</f>
        <v>0.1237657814771479</v>
      </c>
      <c r="BY23" s="1163">
        <f>'2024'!R\Max</f>
        <v>0.12342803203275798</v>
      </c>
      <c r="BZ23" s="1163">
        <f>'2025'!R\Max</f>
        <v>0.12307036913111562</v>
      </c>
      <c r="CA23" s="1163">
        <f>'2026'!R\Max</f>
        <v>0.12271246798819903</v>
      </c>
      <c r="CB23" s="1163">
        <f>'2027'!R\Max</f>
        <v>0.12233526678544152</v>
      </c>
      <c r="CC23" s="1164">
        <f>'2028'!R\Max</f>
        <v>0.12195783467386387</v>
      </c>
      <c r="CD23" s="1163">
        <f>'2029'!R\Max</f>
        <v>0.12156301137640139</v>
      </c>
      <c r="CE23" s="1163">
        <f>'2030'!R\Max</f>
        <v>0.123782660919722</v>
      </c>
      <c r="CF23" s="1165">
        <f>'2031'!R\Max</f>
        <v>0.12344491147533206</v>
      </c>
    </row>
    <row r="24" spans="1:84" s="6" customFormat="1" ht="11.25" x14ac:dyDescent="0.2">
      <c r="A24" s="11">
        <v>43110</v>
      </c>
      <c r="B24" s="375">
        <f>'2022'!Maxi_hp</f>
        <v>2.0003417507562942</v>
      </c>
      <c r="C24" s="13">
        <f>'2022'!An_max</f>
        <v>2022</v>
      </c>
      <c r="D24" s="1050" t="str">
        <f t="shared" si="7"/>
        <v/>
      </c>
      <c r="E24" s="1045"/>
      <c r="F24" s="13">
        <f t="shared" si="23"/>
        <v>3</v>
      </c>
      <c r="G24" s="13">
        <f t="shared" si="24"/>
        <v>2</v>
      </c>
      <c r="H24" s="169">
        <f t="shared" si="8"/>
        <v>43122</v>
      </c>
      <c r="I24" s="744">
        <f t="shared" si="9"/>
        <v>0.8571428571428571</v>
      </c>
      <c r="J24" s="737">
        <f t="shared" si="27"/>
        <v>19.707800370454787</v>
      </c>
      <c r="L24" s="747" t="s">
        <v>219</v>
      </c>
      <c r="M24" s="731">
        <f t="shared" ref="M24:AM24" si="35">(y.2m-y.3m-(y.1m-y.2m)*D2x23/D2x12)/(x.2m-x.3m)/(1-(x.2m+x.3m)/(x.1m+x.2m))</f>
        <v>-6672.7186315249364</v>
      </c>
      <c r="N24" s="731">
        <f>(y.2m-y.3m-(y.1m-y.2m)*D2x23/D2x12)/(x.2m-x.3m)/(1-(x.2m+x.3m)/(x.1m+x.2m))</f>
        <v>-3081.066916255249</v>
      </c>
      <c r="O24" s="731">
        <f t="shared" si="35"/>
        <v>-3293.7488724492514</v>
      </c>
      <c r="P24" s="731">
        <f t="shared" si="35"/>
        <v>-1315.3160204084766</v>
      </c>
      <c r="Q24" s="731">
        <f t="shared" si="35"/>
        <v>-655.62433163275</v>
      </c>
      <c r="R24" s="731">
        <f t="shared" si="35"/>
        <v>-1095.5615051019097</v>
      </c>
      <c r="S24" s="731">
        <f t="shared" si="35"/>
        <v>4.6382142857241382</v>
      </c>
      <c r="T24" s="731">
        <f t="shared" si="35"/>
        <v>2866.0851275510668</v>
      </c>
      <c r="U24" s="731">
        <f t="shared" si="35"/>
        <v>3526.6331020406988</v>
      </c>
      <c r="V24" s="731">
        <f t="shared" si="35"/>
        <v>3086.1250714289963</v>
      </c>
      <c r="W24" s="731">
        <f t="shared" si="35"/>
        <v>2204.8235816325582</v>
      </c>
      <c r="X24" s="731">
        <f t="shared" si="35"/>
        <v>1764.0301224486218</v>
      </c>
      <c r="Y24" s="731">
        <f t="shared" si="35"/>
        <v>1323.0939489798473</v>
      </c>
      <c r="Z24" s="731">
        <f t="shared" si="35"/>
        <v>2425.7911683674779</v>
      </c>
      <c r="AA24" s="731">
        <f t="shared" si="35"/>
        <v>1763.9587653056255</v>
      </c>
      <c r="AB24" s="731">
        <f t="shared" si="35"/>
        <v>2205.3230816327041</v>
      </c>
      <c r="AC24" s="731">
        <f t="shared" si="35"/>
        <v>1101.5555051017718</v>
      </c>
      <c r="AD24" s="731">
        <f t="shared" si="35"/>
        <v>439.08088775524521</v>
      </c>
      <c r="AE24" s="731">
        <f t="shared" si="35"/>
        <v>1543.5620357146677</v>
      </c>
      <c r="AF24" s="731">
        <f t="shared" si="35"/>
        <v>2206.4647959186163</v>
      </c>
      <c r="AG24" s="731">
        <f t="shared" si="35"/>
        <v>438.15324489788316</v>
      </c>
      <c r="AH24" s="731">
        <f t="shared" si="35"/>
        <v>-446.28795918379126</v>
      </c>
      <c r="AI24" s="731">
        <f t="shared" si="35"/>
        <v>-1109.8329336733045</v>
      </c>
      <c r="AJ24" s="731">
        <f t="shared" si="35"/>
        <v>-2216.0980102042076</v>
      </c>
      <c r="AK24" s="731">
        <f t="shared" si="35"/>
        <v>-2216.0980102036615</v>
      </c>
      <c r="AL24" s="731">
        <f t="shared" si="35"/>
        <v>-4430.0553061210339</v>
      </c>
      <c r="AM24" s="731">
        <f t="shared" si="35"/>
        <v>-6729.2400502466617</v>
      </c>
      <c r="AN24" s="731">
        <f>(y.2m-y.3m-(y.1m-y.2m)*D2x23/D2x12)/(x.2m-x.3m)/(1-(x.2m+x.3m)/(x.1m+x.2m))</f>
        <v>-3107.1721477833889</v>
      </c>
      <c r="AO24" s="1043">
        <v>43110</v>
      </c>
      <c r="AP24" s="13">
        <f t="shared" si="11"/>
        <v>3</v>
      </c>
      <c r="AQ24" s="13">
        <f t="shared" si="12"/>
        <v>2</v>
      </c>
      <c r="AR24" s="169">
        <f t="shared" si="13"/>
        <v>43136</v>
      </c>
      <c r="AS24" s="744">
        <f t="shared" si="14"/>
        <v>0.9285714285714286</v>
      </c>
      <c r="AT24" s="760">
        <f t="shared" si="15"/>
        <v>19.66939571733986</v>
      </c>
      <c r="AU24" s="13">
        <f t="shared" si="16"/>
        <v>1</v>
      </c>
      <c r="AV24" s="13">
        <f t="shared" si="17"/>
        <v>2</v>
      </c>
      <c r="AW24" s="169">
        <f t="shared" si="18"/>
        <v>43093</v>
      </c>
      <c r="AX24" s="744">
        <f t="shared" si="19"/>
        <v>0.58620689655172409</v>
      </c>
      <c r="AY24" s="760">
        <f t="shared" si="20"/>
        <v>19.5438037294766</v>
      </c>
      <c r="AZ24" s="737">
        <f t="shared" si="26"/>
        <v>19.60659972340823</v>
      </c>
      <c r="BA24" s="634">
        <f t="shared" si="21"/>
        <v>0.10150000066750896</v>
      </c>
      <c r="BC24" s="11">
        <v>43110</v>
      </c>
      <c r="BD24" s="286">
        <f>[3]!FeuilCaduc*(1-Persistant)+Persistant</f>
        <v>0.60221817195725846</v>
      </c>
      <c r="BE24" s="287">
        <f>[3]!CroissVégét</f>
        <v>6.2535138577142317E-4</v>
      </c>
      <c r="BF24" s="807">
        <f>1+[3]!Salcycl*Ksac</f>
        <v>1.0002772714946573</v>
      </c>
      <c r="BH24" s="1041">
        <f t="shared" si="22"/>
        <v>0.24165848869801548</v>
      </c>
      <c r="BI24" s="1043">
        <v>44206</v>
      </c>
      <c r="BJ24" s="717">
        <v>4.7724039725808722E-2</v>
      </c>
      <c r="BK24" s="717">
        <v>8.6538799172191039E-2</v>
      </c>
      <c r="BL24" s="717">
        <v>0.12542337134779935</v>
      </c>
      <c r="BM24" s="717">
        <v>0.16343417063740281</v>
      </c>
      <c r="BN24" s="717">
        <v>0.20258944093591538</v>
      </c>
      <c r="BO24" s="718">
        <v>0.24190156238221303</v>
      </c>
      <c r="BP24" s="717">
        <v>0.28152582169566925</v>
      </c>
      <c r="BQ24" s="717">
        <v>0.32325466745857201</v>
      </c>
      <c r="BR24" s="717">
        <v>0.36683222861951004</v>
      </c>
      <c r="BS24" s="717">
        <v>0.41230284468581385</v>
      </c>
      <c r="BT24" s="717">
        <v>0.45723635887033487</v>
      </c>
      <c r="BW24" s="1162">
        <f>'2022'!R\Max</f>
        <v>0.10150000066750896</v>
      </c>
      <c r="BX24" s="1163">
        <f>'2023'!R\Max</f>
        <v>0.10122350653503534</v>
      </c>
      <c r="BY24" s="1163">
        <f>'2024'!R\Max</f>
        <v>0.10094698682751629</v>
      </c>
      <c r="BZ24" s="1163">
        <f>'2025'!R\Max</f>
        <v>0.10065595261116074</v>
      </c>
      <c r="CA24" s="1163">
        <f>'2026'!R\Max</f>
        <v>0.10036474595076146</v>
      </c>
      <c r="CB24" s="1163">
        <f>'2027'!R\Max</f>
        <v>0.10006078942800004</v>
      </c>
      <c r="CC24" s="1164">
        <f>'2028'!R\Max</f>
        <v>9.9756681422565996E-2</v>
      </c>
      <c r="CD24" s="1163">
        <f>'2029'!R\Max</f>
        <v>9.9439517766739094E-2</v>
      </c>
      <c r="CE24" s="1163">
        <f>'2030'!R\Max</f>
        <v>0.10123732594643985</v>
      </c>
      <c r="CF24" s="1165">
        <f>'2031'!R\Max</f>
        <v>0.10096080623892079</v>
      </c>
    </row>
    <row r="25" spans="1:84" s="6" customFormat="1" ht="11.25" x14ac:dyDescent="0.2">
      <c r="A25" s="11">
        <v>43111</v>
      </c>
      <c r="B25" s="375">
        <f>'2022'!Maxi_hp</f>
        <v>20.074424837955927</v>
      </c>
      <c r="C25" s="13">
        <f>'2022'!An_max</f>
        <v>2022</v>
      </c>
      <c r="D25" s="1050">
        <f t="shared" si="7"/>
        <v>1.0071655941106641</v>
      </c>
      <c r="E25" s="1045"/>
      <c r="F25" s="13">
        <f t="shared" si="23"/>
        <v>3</v>
      </c>
      <c r="G25" s="13">
        <f t="shared" si="24"/>
        <v>2</v>
      </c>
      <c r="H25" s="169">
        <f t="shared" si="8"/>
        <v>43122</v>
      </c>
      <c r="I25" s="744">
        <f t="shared" si="9"/>
        <v>0.7857142857142857</v>
      </c>
      <c r="J25" s="737">
        <f t="shared" si="27"/>
        <v>19.931603060449874</v>
      </c>
      <c r="L25" s="747" t="s">
        <v>220</v>
      </c>
      <c r="M25" s="731">
        <f t="shared" ref="M25:AM25" si="36">(y.1m+y.2m+y.3m-a.m*(x.3m*x.3m+x.2m*x.2m+x.1m*x.1m)-b.m*(x.3m+x.2m+x.1m))/3</f>
        <v>143765920.97932398</v>
      </c>
      <c r="N25" s="731">
        <f>(y.1m+y.2m+y.3m-a.m*(x.3m*x.3m+x.2m*x.2m+x.1m*x.1m)-b.m*(x.3m+x.2m+x.1m))/3</f>
        <v>66364930.946046434</v>
      </c>
      <c r="O25" s="731">
        <f t="shared" si="36"/>
        <v>70949822.0958426</v>
      </c>
      <c r="P25" s="731">
        <f t="shared" si="36"/>
        <v>28285907.981884301</v>
      </c>
      <c r="Q25" s="731">
        <f t="shared" si="36"/>
        <v>14055369.092083724</v>
      </c>
      <c r="R25" s="731">
        <f t="shared" si="36"/>
        <v>23548553.140037987</v>
      </c>
      <c r="S25" s="731">
        <f t="shared" si="36"/>
        <v>-199807.27842878411</v>
      </c>
      <c r="T25" s="731">
        <f t="shared" si="36"/>
        <v>-61985598.129735701</v>
      </c>
      <c r="U25" s="731">
        <f t="shared" si="36"/>
        <v>-76253103.730099484</v>
      </c>
      <c r="V25" s="731">
        <f t="shared" si="36"/>
        <v>-66735267.21643775</v>
      </c>
      <c r="W25" s="731">
        <f t="shared" si="36"/>
        <v>-47687257.966222435</v>
      </c>
      <c r="X25" s="731">
        <f t="shared" si="36"/>
        <v>-38157083.231686145</v>
      </c>
      <c r="Y25" s="731">
        <f t="shared" si="36"/>
        <v>-28620736.389740217</v>
      </c>
      <c r="Z25" s="731">
        <f t="shared" si="36"/>
        <v>-52477038.758206926</v>
      </c>
      <c r="AA25" s="731">
        <f t="shared" si="36"/>
        <v>-38153993.181968845</v>
      </c>
      <c r="AB25" s="731">
        <f t="shared" si="36"/>
        <v>-47708868.334225588</v>
      </c>
      <c r="AC25" s="731">
        <f t="shared" si="36"/>
        <v>-23806230.205034997</v>
      </c>
      <c r="AD25" s="731">
        <f t="shared" si="36"/>
        <v>-9455374.1813908573</v>
      </c>
      <c r="AE25" s="731">
        <f t="shared" si="36"/>
        <v>-33388927.792722568</v>
      </c>
      <c r="AF25" s="731">
        <f t="shared" si="36"/>
        <v>-47758339.099658467</v>
      </c>
      <c r="AG25" s="731">
        <f t="shared" si="36"/>
        <v>-9415156.5821003933</v>
      </c>
      <c r="AH25" s="731">
        <f t="shared" si="36"/>
        <v>9768814.8555331659</v>
      </c>
      <c r="AI25" s="731">
        <f t="shared" si="36"/>
        <v>24166081.564894382</v>
      </c>
      <c r="AJ25" s="731">
        <f t="shared" si="36"/>
        <v>48177011.29408437</v>
      </c>
      <c r="AK25" s="731">
        <f t="shared" si="36"/>
        <v>48177011.294072516</v>
      </c>
      <c r="AL25" s="731">
        <f t="shared" si="36"/>
        <v>96260841.576703981</v>
      </c>
      <c r="AM25" s="731">
        <f t="shared" si="36"/>
        <v>146211778.43880185</v>
      </c>
      <c r="AN25" s="731">
        <f>(y.1m+y.2m+y.3m-a.m*(x.3m*x.3m+x.2m*x.2m+x.1m*x.1m)-b.m*(x.3m+x.2m+x.1m))/3</f>
        <v>67494284.575256184</v>
      </c>
      <c r="AO25" s="1043">
        <v>43111</v>
      </c>
      <c r="AP25" s="13">
        <f t="shared" si="11"/>
        <v>3</v>
      </c>
      <c r="AQ25" s="13">
        <f t="shared" si="12"/>
        <v>2</v>
      </c>
      <c r="AR25" s="169">
        <f t="shared" si="13"/>
        <v>43136</v>
      </c>
      <c r="AS25" s="744">
        <f t="shared" si="14"/>
        <v>0.8928571428571429</v>
      </c>
      <c r="AT25" s="760">
        <f>((1-AS25)*(INDEX(a.lg,AP25)*$A25*$A25+INDEX(b.lg,AP25)*$A25+INDEX(c.lg,AP25))+AS25*(INDEX(a.lg,AQ25)*$A25*$A25+INDEX(b.lg,AQ25)*$A25+INDEX(c.lg,AQ25)))/10</f>
        <v>19.884497109454657</v>
      </c>
      <c r="AU25" s="13">
        <f t="shared" si="16"/>
        <v>1</v>
      </c>
      <c r="AV25" s="13">
        <f t="shared" si="17"/>
        <v>2</v>
      </c>
      <c r="AW25" s="169">
        <f t="shared" si="18"/>
        <v>43093</v>
      </c>
      <c r="AX25" s="744">
        <f t="shared" si="19"/>
        <v>0.62068965517241381</v>
      </c>
      <c r="AY25" s="760">
        <f t="shared" si="20"/>
        <v>19.792982569079975</v>
      </c>
      <c r="AZ25" s="737">
        <f t="shared" si="26"/>
        <v>19.838739839267316</v>
      </c>
      <c r="BA25" s="634">
        <f t="shared" si="21"/>
        <v>1.0071655941106641</v>
      </c>
      <c r="BC25" s="11">
        <v>43111</v>
      </c>
      <c r="BD25" s="286">
        <f>[3]!FeuilCaduc*(1-Persistant)+Persistant</f>
        <v>0.60201187478427232</v>
      </c>
      <c r="BE25" s="287">
        <f>[3]!CroissVégét</f>
        <v>7.0982230050345072E-4</v>
      </c>
      <c r="BF25" s="807">
        <f>1+[3]!Salcycl*Ksac</f>
        <v>1.0002514843480341</v>
      </c>
      <c r="BH25" s="1041">
        <f t="shared" si="22"/>
        <v>0.23757254244680237</v>
      </c>
      <c r="BI25" s="11">
        <v>44207</v>
      </c>
      <c r="BJ25" s="717">
        <v>4.3076477044035257E-2</v>
      </c>
      <c r="BK25" s="717">
        <v>8.1403859386899688E-2</v>
      </c>
      <c r="BL25" s="717">
        <v>0.12031136781507794</v>
      </c>
      <c r="BM25" s="717">
        <v>0.158569160991514</v>
      </c>
      <c r="BN25" s="717">
        <v>0.1982228929329668</v>
      </c>
      <c r="BO25" s="718">
        <v>0.23781736193504413</v>
      </c>
      <c r="BP25" s="717">
        <v>0.27798485612922641</v>
      </c>
      <c r="BQ25" s="717">
        <v>0.32000350304086139</v>
      </c>
      <c r="BR25" s="717">
        <v>0.36348886402467162</v>
      </c>
      <c r="BS25" s="717">
        <v>0.40871877664953965</v>
      </c>
      <c r="BT25" s="717">
        <v>0.45369793589394747</v>
      </c>
      <c r="BW25" s="1162">
        <f>'2022'!R\Max</f>
        <v>1.0071655941106641</v>
      </c>
      <c r="BX25" s="1163">
        <f>'2023'!R\Max</f>
        <v>1.0071655941106645</v>
      </c>
      <c r="BY25" s="1163">
        <f>'2024'!R\Max</f>
        <v>1.0071655941106643</v>
      </c>
      <c r="BZ25" s="1163">
        <f>'2025'!R\Max</f>
        <v>1.0071655941106643</v>
      </c>
      <c r="CA25" s="1163">
        <f>'2026'!R\Max</f>
        <v>1.0071655941106645</v>
      </c>
      <c r="CB25" s="1163">
        <f>'2027'!R\Max</f>
        <v>1.0071655941106643</v>
      </c>
      <c r="CC25" s="1164">
        <f>'2028'!R\Max</f>
        <v>1.0071655941106643</v>
      </c>
      <c r="CD25" s="1163">
        <f>'2029'!R\Max</f>
        <v>1.0071655941106643</v>
      </c>
      <c r="CE25" s="1163">
        <f>'2030'!R\Max</f>
        <v>1.0071655941106643</v>
      </c>
      <c r="CF25" s="1165">
        <f>'2031'!R\Max</f>
        <v>1.0071655941106643</v>
      </c>
    </row>
    <row r="26" spans="1:84" s="6" customFormat="1" ht="11.25" x14ac:dyDescent="0.2">
      <c r="A26" s="11">
        <v>43112</v>
      </c>
      <c r="B26" s="375">
        <f>'2022'!Maxi_hp</f>
        <v>18.021186492350228</v>
      </c>
      <c r="C26" s="13">
        <f>'2022'!An_max</f>
        <v>2022</v>
      </c>
      <c r="D26" s="1050" t="str">
        <f t="shared" si="7"/>
        <v/>
      </c>
      <c r="E26" s="1045"/>
      <c r="F26" s="13">
        <f t="shared" si="23"/>
        <v>3</v>
      </c>
      <c r="G26" s="13">
        <f t="shared" si="24"/>
        <v>2</v>
      </c>
      <c r="H26" s="169">
        <f t="shared" si="8"/>
        <v>43122</v>
      </c>
      <c r="I26" s="744">
        <f t="shared" si="9"/>
        <v>0.7142857142857143</v>
      </c>
      <c r="J26" s="737">
        <f t="shared" si="27"/>
        <v>20.162381693295067</v>
      </c>
      <c r="L26" s="10"/>
      <c r="AO26" s="1043">
        <v>43112</v>
      </c>
      <c r="AP26" s="13">
        <f t="shared" si="11"/>
        <v>3</v>
      </c>
      <c r="AQ26" s="13">
        <f t="shared" si="12"/>
        <v>2</v>
      </c>
      <c r="AR26" s="169">
        <f t="shared" si="13"/>
        <v>43136</v>
      </c>
      <c r="AS26" s="744">
        <f t="shared" si="14"/>
        <v>0.8571428571428571</v>
      </c>
      <c r="AT26" s="760">
        <f>((1-AS26)*(INDEX(a.lg,AP26)*$A26*$A26+INDEX(b.lg,AP26)*$A26+INDEX(c.lg,AP26))+AS26*(INDEX(a.lg,AQ26)*$A26*$A26+INDEX(b.lg,AQ26)*$A26+INDEX(c.lg,AQ26)))/10</f>
        <v>20.112648855788368</v>
      </c>
      <c r="AU26" s="13">
        <f t="shared" si="16"/>
        <v>1</v>
      </c>
      <c r="AV26" s="13">
        <f t="shared" si="17"/>
        <v>2</v>
      </c>
      <c r="AW26" s="169">
        <f t="shared" si="18"/>
        <v>43093</v>
      </c>
      <c r="AX26" s="744">
        <f t="shared" si="19"/>
        <v>0.65517241379310343</v>
      </c>
      <c r="AY26" s="760">
        <f t="shared" si="20"/>
        <v>20.049343417559207</v>
      </c>
      <c r="AZ26" s="737">
        <f t="shared" si="26"/>
        <v>20.080996136673789</v>
      </c>
      <c r="BA26" s="634">
        <f t="shared" si="21"/>
        <v>0.89380246671667329</v>
      </c>
      <c r="BC26" s="11">
        <v>43112</v>
      </c>
      <c r="BD26" s="286">
        <f>[3]!FeuilCaduc*(1-Persistant)+Persistant</f>
        <v>0.6018145676787835</v>
      </c>
      <c r="BE26" s="287">
        <f>[3]!CroissVégét</f>
        <v>7.9782175584567966E-4</v>
      </c>
      <c r="BF26" s="807">
        <f>1+[3]!Salcycl*Ksac</f>
        <v>1.0002268209598479</v>
      </c>
      <c r="BH26" s="1041">
        <f t="shared" si="22"/>
        <v>0.23309571571606813</v>
      </c>
      <c r="BI26" s="11">
        <v>44208</v>
      </c>
      <c r="BJ26" s="717">
        <v>3.8570935939190719E-2</v>
      </c>
      <c r="BK26" s="717">
        <v>7.6141133344359985E-2</v>
      </c>
      <c r="BL26" s="717">
        <v>0.11488473874889647</v>
      </c>
      <c r="BM26" s="717">
        <v>0.15326294288921913</v>
      </c>
      <c r="BN26" s="717">
        <v>0.19343042585696332</v>
      </c>
      <c r="BO26" s="718">
        <v>0.23334249900598925</v>
      </c>
      <c r="BP26" s="717">
        <v>0.27410571441084858</v>
      </c>
      <c r="BQ26" s="717">
        <v>0.31644349916376074</v>
      </c>
      <c r="BR26" s="717">
        <v>0.35989829529645939</v>
      </c>
      <c r="BS26" s="717">
        <v>0.40494673113641516</v>
      </c>
      <c r="BT26" s="717">
        <v>0.44998864044862058</v>
      </c>
      <c r="BW26" s="1162">
        <f>'2022'!R\Max</f>
        <v>0.89380246671667329</v>
      </c>
      <c r="BX26" s="1163">
        <f>'2023'!R\Max</f>
        <v>0.89343047370013662</v>
      </c>
      <c r="BY26" s="1163">
        <f>'2024'!R\Max</f>
        <v>0.89305665478280216</v>
      </c>
      <c r="BZ26" s="1163">
        <f>'2025'!R\Max</f>
        <v>0.89266671334731285</v>
      </c>
      <c r="CA26" s="1163">
        <f>'2026'!R\Max</f>
        <v>0.8922747046057603</v>
      </c>
      <c r="CB26" s="1163">
        <f>'2027'!R\Max</f>
        <v>0.89187048360648757</v>
      </c>
      <c r="CC26" s="1164">
        <f>'2028'!R\Max</f>
        <v>0.89146411137776194</v>
      </c>
      <c r="CD26" s="1163">
        <f>'2029'!R\Max</f>
        <v>0.89104084902102776</v>
      </c>
      <c r="CE26" s="1163">
        <f>'2030'!R\Max</f>
        <v>0.89344911010473449</v>
      </c>
      <c r="CF26" s="1165">
        <f>'2031'!R\Max</f>
        <v>0.89307537824594274</v>
      </c>
    </row>
    <row r="27" spans="1:84" s="6" customFormat="1" ht="11.25" x14ac:dyDescent="0.2">
      <c r="A27" s="11">
        <v>43113</v>
      </c>
      <c r="B27" s="375">
        <f>'2022'!Maxi_hp</f>
        <v>6.1230639003066996</v>
      </c>
      <c r="C27" s="13">
        <f>'2022'!An_max</f>
        <v>2022</v>
      </c>
      <c r="D27" s="1050" t="str">
        <f t="shared" si="7"/>
        <v/>
      </c>
      <c r="E27" s="1045"/>
      <c r="F27" s="13">
        <f t="shared" si="23"/>
        <v>3</v>
      </c>
      <c r="G27" s="13">
        <f t="shared" si="24"/>
        <v>2</v>
      </c>
      <c r="H27" s="169">
        <f t="shared" si="8"/>
        <v>43122</v>
      </c>
      <c r="I27" s="744">
        <f t="shared" si="9"/>
        <v>0.6428571428571429</v>
      </c>
      <c r="J27" s="737">
        <f t="shared" si="27"/>
        <v>20.400241973676849</v>
      </c>
      <c r="L27" s="10"/>
      <c r="M27" s="6" t="s">
        <v>229</v>
      </c>
      <c r="AC27" s="69"/>
      <c r="AE27" s="69"/>
      <c r="AG27" s="69"/>
      <c r="AI27" s="69"/>
      <c r="AK27" s="69"/>
      <c r="AM27" s="69"/>
      <c r="AO27" s="1043">
        <v>43113</v>
      </c>
      <c r="AP27" s="13">
        <f t="shared" si="11"/>
        <v>3</v>
      </c>
      <c r="AQ27" s="13">
        <f t="shared" si="12"/>
        <v>2</v>
      </c>
      <c r="AR27" s="169">
        <f t="shared" si="13"/>
        <v>43136</v>
      </c>
      <c r="AS27" s="744">
        <f t="shared" si="14"/>
        <v>0.8214285714285714</v>
      </c>
      <c r="AT27" s="760">
        <f>((1-AS27)*(INDEX(a.lg,AP27)*$A27*$A27+INDEX(b.lg,AP27)*$A27+INDEX(c.lg,AP27))+AS27*(INDEX(a.lg,AQ27)*$A27*$A27+INDEX(b.lg,AQ27)*$A27+INDEX(c.lg,AQ27)))/10</f>
        <v>20.353261959792246</v>
      </c>
      <c r="AU27" s="13">
        <f t="shared" si="16"/>
        <v>1</v>
      </c>
      <c r="AV27" s="13">
        <f t="shared" si="17"/>
        <v>2</v>
      </c>
      <c r="AW27" s="169">
        <f t="shared" si="18"/>
        <v>43093</v>
      </c>
      <c r="AX27" s="744">
        <f t="shared" si="19"/>
        <v>0.68965517241379315</v>
      </c>
      <c r="AY27" s="760">
        <f t="shared" si="20"/>
        <v>20.312291444426979</v>
      </c>
      <c r="AZ27" s="737">
        <f t="shared" si="26"/>
        <v>20.332776702109612</v>
      </c>
      <c r="BA27" s="634">
        <f t="shared" si="21"/>
        <v>0.30014663101582345</v>
      </c>
      <c r="BC27" s="11">
        <v>43113</v>
      </c>
      <c r="BD27" s="286">
        <f>[3]!FeuilCaduc*(1-Persistant)+Persistant</f>
        <v>0.60162614288674821</v>
      </c>
      <c r="BE27" s="287">
        <f>[3]!CroissVégét</f>
        <v>8.8949648478391823E-4</v>
      </c>
      <c r="BF27" s="807">
        <f>1+[3]!Salcycl*Ksac</f>
        <v>1.0002032678608435</v>
      </c>
      <c r="BH27" s="1041">
        <f t="shared" si="22"/>
        <v>0.22822731327824039</v>
      </c>
      <c r="BI27" s="11">
        <v>44209</v>
      </c>
      <c r="BJ27" s="717">
        <v>3.4207688519083755E-2</v>
      </c>
      <c r="BK27" s="717">
        <v>7.0750566658489666E-2</v>
      </c>
      <c r="BL27" s="717">
        <v>0.10914316050107309</v>
      </c>
      <c r="BM27" s="717">
        <v>0.14751497421178231</v>
      </c>
      <c r="BN27" s="717">
        <v>0.18821140568559078</v>
      </c>
      <c r="BO27" s="718">
        <v>0.22847627798667869</v>
      </c>
      <c r="BP27" s="717">
        <v>0.26988764290845879</v>
      </c>
      <c r="BQ27" s="717">
        <v>0.31257382925086952</v>
      </c>
      <c r="BR27" s="717">
        <v>0.35605967020999135</v>
      </c>
      <c r="BS27" s="717">
        <v>0.40098583126624426</v>
      </c>
      <c r="BT27" s="717">
        <v>0.44610751590054271</v>
      </c>
      <c r="BW27" s="1162">
        <f>'2022'!R\Max</f>
        <v>0.30014663101582345</v>
      </c>
      <c r="BX27" s="1163">
        <f>'2023'!R\Max</f>
        <v>0.29932230559537371</v>
      </c>
      <c r="BY27" s="1163">
        <f>'2024'!R\Max</f>
        <v>0.29849771721518265</v>
      </c>
      <c r="BZ27" s="1163">
        <f>'2025'!R\Max</f>
        <v>0.29764803477137763</v>
      </c>
      <c r="CA27" s="1163">
        <f>'2026'!R\Max</f>
        <v>0.29679805997290215</v>
      </c>
      <c r="CB27" s="1163">
        <f>'2027'!R\Max</f>
        <v>0.29593234402440338</v>
      </c>
      <c r="CC27" s="1164">
        <f>'2028'!R\Max</f>
        <v>0.29506644426971168</v>
      </c>
      <c r="CD27" s="1163">
        <f>'2029'!R\Max</f>
        <v>0.29417219261877897</v>
      </c>
      <c r="CE27" s="1163">
        <f>'2030'!R\Max</f>
        <v>0.29936351538561617</v>
      </c>
      <c r="CF27" s="1165">
        <f>'2031'!R\Max</f>
        <v>0.29853892705309665</v>
      </c>
    </row>
    <row r="28" spans="1:84" s="6" customFormat="1" ht="11.25" x14ac:dyDescent="0.2">
      <c r="A28" s="11">
        <v>43114</v>
      </c>
      <c r="B28" s="375">
        <f>'2022'!Maxi_hp</f>
        <v>20.71634270725017</v>
      </c>
      <c r="C28" s="13">
        <f>'2022'!An_max</f>
        <v>2022</v>
      </c>
      <c r="D28" s="1050">
        <f t="shared" si="7"/>
        <v>1.0034416130426369</v>
      </c>
      <c r="E28" s="1045"/>
      <c r="F28" s="13">
        <f t="shared" si="23"/>
        <v>3</v>
      </c>
      <c r="G28" s="13">
        <f t="shared" si="24"/>
        <v>2</v>
      </c>
      <c r="H28" s="169">
        <f t="shared" si="8"/>
        <v>43122</v>
      </c>
      <c r="I28" s="744">
        <f t="shared" si="9"/>
        <v>0.5714285714285714</v>
      </c>
      <c r="J28" s="737">
        <f t="shared" si="27"/>
        <v>20.645289609261919</v>
      </c>
      <c r="L28" s="171">
        <f>M28-28</f>
        <v>43051</v>
      </c>
      <c r="M28" s="171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1">
        <f>AN12</f>
        <v>43473</v>
      </c>
      <c r="AB28" s="171">
        <f>AA28+28</f>
        <v>43501</v>
      </c>
      <c r="AO28" s="1043">
        <v>43114</v>
      </c>
      <c r="AP28" s="13">
        <f t="shared" si="11"/>
        <v>3</v>
      </c>
      <c r="AQ28" s="13">
        <f t="shared" si="12"/>
        <v>2</v>
      </c>
      <c r="AR28" s="169">
        <f t="shared" si="13"/>
        <v>43136</v>
      </c>
      <c r="AS28" s="744">
        <f t="shared" si="14"/>
        <v>0.7857142857142857</v>
      </c>
      <c r="AT28" s="760">
        <f t="shared" si="15"/>
        <v>20.605747419755371</v>
      </c>
      <c r="AU28" s="13">
        <f t="shared" si="16"/>
        <v>1</v>
      </c>
      <c r="AV28" s="13">
        <f t="shared" si="17"/>
        <v>2</v>
      </c>
      <c r="AW28" s="169">
        <f t="shared" si="18"/>
        <v>43093</v>
      </c>
      <c r="AX28" s="744">
        <f t="shared" si="19"/>
        <v>0.72413793103448276</v>
      </c>
      <c r="AY28" s="760">
        <f t="shared" si="20"/>
        <v>20.581231823126821</v>
      </c>
      <c r="AZ28" s="737">
        <f t="shared" si="26"/>
        <v>20.593489621441094</v>
      </c>
      <c r="BA28" s="634">
        <f t="shared" si="21"/>
        <v>1.0034416130426369</v>
      </c>
      <c r="BC28" s="11">
        <v>43114</v>
      </c>
      <c r="BD28" s="286">
        <f>[3]!FeuilCaduc*(1-Persistant)+Persistant</f>
        <v>0.60144661446112435</v>
      </c>
      <c r="BE28" s="287">
        <f>[3]!CroissVégét</f>
        <v>9.849992655628797E-4</v>
      </c>
      <c r="BF28" s="807">
        <f>1+[3]!Salcycl*Ksac</f>
        <v>1.0001808268076406</v>
      </c>
      <c r="BH28" s="1041">
        <f t="shared" si="22"/>
        <v>0.22296671814447983</v>
      </c>
      <c r="BI28" s="11">
        <v>44210</v>
      </c>
      <c r="BJ28" s="717">
        <v>2.9987030574433051E-2</v>
      </c>
      <c r="BK28" s="717">
        <v>6.5232162690734535E-2</v>
      </c>
      <c r="BL28" s="717">
        <v>0.10308638772743521</v>
      </c>
      <c r="BM28" s="717">
        <v>0.14132480312978687</v>
      </c>
      <c r="BN28" s="717">
        <v>0.18256528283217324</v>
      </c>
      <c r="BO28" s="718">
        <v>0.22321808146892097</v>
      </c>
      <c r="BP28" s="717">
        <v>0.26532995583869062</v>
      </c>
      <c r="BQ28" s="717">
        <v>0.30839372893519928</v>
      </c>
      <c r="BR28" s="717">
        <v>0.35197219276974906</v>
      </c>
      <c r="BS28" s="717">
        <v>0.39683525193477154</v>
      </c>
      <c r="BT28" s="717">
        <v>0.44205365517868911</v>
      </c>
      <c r="BW28" s="1162">
        <f>'2022'!R\Max</f>
        <v>1.0034416130426369</v>
      </c>
      <c r="BX28" s="1163">
        <f>'2023'!R\Max</f>
        <v>1.0034416130426371</v>
      </c>
      <c r="BY28" s="1163">
        <f>'2024'!R\Max</f>
        <v>1.0034416130426369</v>
      </c>
      <c r="BZ28" s="1163">
        <f>'2025'!R\Max</f>
        <v>1.0034416130426369</v>
      </c>
      <c r="CA28" s="1163">
        <f>'2026'!R\Max</f>
        <v>1.0034416130426371</v>
      </c>
      <c r="CB28" s="1163">
        <f>'2027'!R\Max</f>
        <v>1.0034416130426369</v>
      </c>
      <c r="CC28" s="1164">
        <f>'2028'!R\Max</f>
        <v>1.0034416130426371</v>
      </c>
      <c r="CD28" s="1163">
        <f>'2029'!R\Max</f>
        <v>1.0034416130426371</v>
      </c>
      <c r="CE28" s="1163">
        <f>'2030'!R\Max</f>
        <v>1.0034416130426369</v>
      </c>
      <c r="CF28" s="1165">
        <f>'2031'!R\Max</f>
        <v>1.0034416130426371</v>
      </c>
    </row>
    <row r="29" spans="1:84" s="6" customFormat="1" ht="11.25" x14ac:dyDescent="0.2">
      <c r="A29" s="11">
        <v>43115</v>
      </c>
      <c r="B29" s="375">
        <f>'2022'!Maxi_hp</f>
        <v>21.316824874836083</v>
      </c>
      <c r="C29" s="13">
        <f>'2022'!An_max</f>
        <v>2022</v>
      </c>
      <c r="D29" s="1050">
        <f t="shared" si="7"/>
        <v>1.0200594310119344</v>
      </c>
      <c r="E29" s="1045"/>
      <c r="F29" s="13">
        <f t="shared" si="23"/>
        <v>3</v>
      </c>
      <c r="G29" s="13">
        <f t="shared" si="24"/>
        <v>2</v>
      </c>
      <c r="H29" s="169">
        <f t="shared" si="8"/>
        <v>43122</v>
      </c>
      <c r="I29" s="744">
        <f t="shared" si="9"/>
        <v>0.5</v>
      </c>
      <c r="J29" s="737">
        <f t="shared" si="27"/>
        <v>20.897630301490427</v>
      </c>
      <c r="L29" s="765">
        <f>AJ13</f>
        <v>249.75</v>
      </c>
      <c r="M29" s="765">
        <f>L13</f>
        <v>179.82</v>
      </c>
      <c r="N29" s="755">
        <f>N13</f>
        <v>192.80699999999999</v>
      </c>
      <c r="O29" s="755">
        <f>P13</f>
        <v>279.72000000000003</v>
      </c>
      <c r="P29" s="755">
        <f>R13</f>
        <v>396.60300000000001</v>
      </c>
      <c r="Q29" s="755">
        <f>T13</f>
        <v>526.47299999999996</v>
      </c>
      <c r="R29" s="755">
        <f>V13</f>
        <v>614.38499999999999</v>
      </c>
      <c r="S29" s="755">
        <f>X13</f>
        <v>648.351</v>
      </c>
      <c r="T29" s="755">
        <f>Z13</f>
        <v>650.34900000000005</v>
      </c>
      <c r="U29" s="755">
        <f>AB13</f>
        <v>616.38300000000004</v>
      </c>
      <c r="V29" s="755">
        <f>AD13</f>
        <v>549.45000000000005</v>
      </c>
      <c r="W29" s="755">
        <f>AF13</f>
        <v>466.53300000000002</v>
      </c>
      <c r="X29" s="755">
        <f>AH13</f>
        <v>354.64499999999998</v>
      </c>
      <c r="Y29" s="755">
        <f>AJ13</f>
        <v>249.75</v>
      </c>
      <c r="Z29" s="755">
        <f>AL13</f>
        <v>179.82</v>
      </c>
      <c r="AA29" s="763">
        <f>AN13</f>
        <v>192.80699999999999</v>
      </c>
      <c r="AB29" s="763">
        <f>P13</f>
        <v>279.72000000000003</v>
      </c>
      <c r="AO29" s="1043">
        <v>43115</v>
      </c>
      <c r="AP29" s="13">
        <f t="shared" si="11"/>
        <v>3</v>
      </c>
      <c r="AQ29" s="13">
        <f t="shared" si="12"/>
        <v>2</v>
      </c>
      <c r="AR29" s="169">
        <f t="shared" si="13"/>
        <v>43136</v>
      </c>
      <c r="AS29" s="744">
        <f t="shared" si="14"/>
        <v>0.75</v>
      </c>
      <c r="AT29" s="760">
        <f t="shared" si="15"/>
        <v>20.869516240805389</v>
      </c>
      <c r="AU29" s="13">
        <f t="shared" si="16"/>
        <v>1</v>
      </c>
      <c r="AV29" s="13">
        <f t="shared" si="17"/>
        <v>2</v>
      </c>
      <c r="AW29" s="169">
        <f t="shared" si="18"/>
        <v>43093</v>
      </c>
      <c r="AX29" s="744">
        <f t="shared" si="19"/>
        <v>0.75862068965517238</v>
      </c>
      <c r="AY29" s="760">
        <f t="shared" si="20"/>
        <v>20.855569722066665</v>
      </c>
      <c r="AZ29" s="737">
        <f t="shared" si="26"/>
        <v>20.862542981436029</v>
      </c>
      <c r="BA29" s="634">
        <f t="shared" si="21"/>
        <v>1.0200594310119344</v>
      </c>
      <c r="BC29" s="11">
        <v>43115</v>
      </c>
      <c r="BD29" s="286">
        <f>[3]!FeuilCaduc*(1-Persistant)+Persistant</f>
        <v>0.60127610081626426</v>
      </c>
      <c r="BE29" s="287">
        <f>[3]!CroissVégét</f>
        <v>1.0844891659074879E-3</v>
      </c>
      <c r="BF29" s="807">
        <f>1+[3]!Salcycl*Ksac</f>
        <v>1.0001595126020331</v>
      </c>
      <c r="BH29" s="1041">
        <f t="shared" si="22"/>
        <v>0.2173133997706285</v>
      </c>
      <c r="BI29" s="11">
        <v>44211</v>
      </c>
      <c r="BJ29" s="717">
        <v>2.5909278462774032E-2</v>
      </c>
      <c r="BK29" s="717">
        <v>5.9585985173948336E-2</v>
      </c>
      <c r="BL29" s="717">
        <v>9.6714259988064002E-2</v>
      </c>
      <c r="BM29" s="717">
        <v>0.13469207739703673</v>
      </c>
      <c r="BN29" s="717">
        <v>0.17649160110799722</v>
      </c>
      <c r="BO29" s="718">
        <v>0.21756737844594501</v>
      </c>
      <c r="BP29" s="717">
        <v>0.26043204234301121</v>
      </c>
      <c r="BQ29" s="717">
        <v>0.30390250249992273</v>
      </c>
      <c r="BR29" s="717">
        <v>0.34763512831919935</v>
      </c>
      <c r="BS29" s="717">
        <v>0.3924942236407829</v>
      </c>
      <c r="BT29" s="717">
        <v>0.43782620422301072</v>
      </c>
      <c r="BW29" s="1162">
        <f>'2022'!R\Max</f>
        <v>1.0200594310119344</v>
      </c>
      <c r="BX29" s="1163">
        <f>'2023'!R\Max</f>
        <v>1.0200594310119342</v>
      </c>
      <c r="BY29" s="1163">
        <f>'2024'!R\Max</f>
        <v>1.0200594310119342</v>
      </c>
      <c r="BZ29" s="1163">
        <f>'2025'!R\Max</f>
        <v>1.0200594310119342</v>
      </c>
      <c r="CA29" s="1163">
        <f>'2026'!R\Max</f>
        <v>1.0200594310119342</v>
      </c>
      <c r="CB29" s="1163">
        <f>'2027'!R\Max</f>
        <v>1.0200594310119342</v>
      </c>
      <c r="CC29" s="1164">
        <f>'2028'!R\Max</f>
        <v>1.020059431011934</v>
      </c>
      <c r="CD29" s="1163">
        <f>'2029'!R\Max</f>
        <v>1.0200594310119342</v>
      </c>
      <c r="CE29" s="1163">
        <f>'2030'!R\Max</f>
        <v>1.0200594310119342</v>
      </c>
      <c r="CF29" s="1165">
        <f>'2031'!R\Max</f>
        <v>1.020059431011934</v>
      </c>
    </row>
    <row r="30" spans="1:84" s="6" customFormat="1" ht="11.25" x14ac:dyDescent="0.2">
      <c r="A30" s="11">
        <v>43116</v>
      </c>
      <c r="B30" s="375">
        <f>'2022'!Maxi_hp</f>
        <v>21.026241804609086</v>
      </c>
      <c r="C30" s="13">
        <f>'2022'!An_max</f>
        <v>2022</v>
      </c>
      <c r="D30" s="1050">
        <f t="shared" si="7"/>
        <v>0.99380225639315223</v>
      </c>
      <c r="E30" s="1045"/>
      <c r="F30" s="13">
        <f t="shared" si="23"/>
        <v>3</v>
      </c>
      <c r="G30" s="13">
        <f t="shared" si="24"/>
        <v>2</v>
      </c>
      <c r="H30" s="169">
        <f t="shared" si="8"/>
        <v>43122</v>
      </c>
      <c r="I30" s="744">
        <f t="shared" si="9"/>
        <v>0.42857142857142855</v>
      </c>
      <c r="J30" s="737">
        <f t="shared" si="27"/>
        <v>21.157369757762975</v>
      </c>
      <c r="L30" s="745" t="s">
        <v>210</v>
      </c>
      <c r="M30" s="775">
        <f t="shared" ref="M30:AA30" si="37">L28</f>
        <v>43051</v>
      </c>
      <c r="N30" s="776">
        <f t="shared" si="37"/>
        <v>43079</v>
      </c>
      <c r="O30" s="727">
        <f t="shared" si="37"/>
        <v>43108</v>
      </c>
      <c r="P30" s="727">
        <f t="shared" si="37"/>
        <v>43136</v>
      </c>
      <c r="Q30" s="727">
        <f t="shared" si="37"/>
        <v>43164</v>
      </c>
      <c r="R30" s="727">
        <f t="shared" si="37"/>
        <v>43192</v>
      </c>
      <c r="S30" s="727">
        <f t="shared" si="37"/>
        <v>43220</v>
      </c>
      <c r="T30" s="727">
        <f t="shared" si="37"/>
        <v>43248</v>
      </c>
      <c r="U30" s="727">
        <f t="shared" si="37"/>
        <v>43276</v>
      </c>
      <c r="V30" s="727">
        <f t="shared" si="37"/>
        <v>43304</v>
      </c>
      <c r="W30" s="727">
        <f t="shared" si="37"/>
        <v>43332</v>
      </c>
      <c r="X30" s="727">
        <f t="shared" si="37"/>
        <v>43360</v>
      </c>
      <c r="Y30" s="727">
        <f t="shared" si="37"/>
        <v>43388</v>
      </c>
      <c r="Z30" s="727">
        <f t="shared" si="37"/>
        <v>43416</v>
      </c>
      <c r="AA30" s="768">
        <f t="shared" si="37"/>
        <v>43444</v>
      </c>
      <c r="AO30" s="1043">
        <v>43116</v>
      </c>
      <c r="AP30" s="13">
        <f t="shared" si="11"/>
        <v>3</v>
      </c>
      <c r="AQ30" s="13">
        <f t="shared" si="12"/>
        <v>2</v>
      </c>
      <c r="AR30" s="169">
        <f t="shared" si="13"/>
        <v>43136</v>
      </c>
      <c r="AS30" s="744">
        <f t="shared" si="14"/>
        <v>0.7142857142857143</v>
      </c>
      <c r="AT30" s="760">
        <f t="shared" si="15"/>
        <v>21.143979420193606</v>
      </c>
      <c r="AU30" s="13">
        <f t="shared" si="16"/>
        <v>1</v>
      </c>
      <c r="AV30" s="13">
        <f t="shared" si="17"/>
        <v>2</v>
      </c>
      <c r="AW30" s="169">
        <f t="shared" si="18"/>
        <v>43093</v>
      </c>
      <c r="AX30" s="744">
        <f t="shared" si="19"/>
        <v>0.7931034482758621</v>
      </c>
      <c r="AY30" s="760">
        <f t="shared" si="20"/>
        <v>21.134710314715729</v>
      </c>
      <c r="AZ30" s="737">
        <f t="shared" si="26"/>
        <v>21.139344867454668</v>
      </c>
      <c r="BA30" s="634">
        <f t="shared" si="21"/>
        <v>0.99380225639315223</v>
      </c>
      <c r="BC30" s="11">
        <v>43116</v>
      </c>
      <c r="BD30" s="286">
        <f>[3]!FeuilCaduc*(1-Persistant)+Persistant</f>
        <v>0.60111480715254595</v>
      </c>
      <c r="BE30" s="287">
        <f>[3]!CroissVégét</f>
        <v>1.1881317966940647E-3</v>
      </c>
      <c r="BF30" s="807">
        <f>1+[3]!Salcycl*Ksac</f>
        <v>1.0001393508940681</v>
      </c>
      <c r="BH30" s="1041">
        <f t="shared" si="22"/>
        <v>0.21107206371675066</v>
      </c>
      <c r="BI30" s="11">
        <v>44212</v>
      </c>
      <c r="BJ30" s="717">
        <v>2.2122824504024023E-2</v>
      </c>
      <c r="BK30" s="717">
        <v>5.4047551278664639E-2</v>
      </c>
      <c r="BL30" s="717">
        <v>9.0229120056370113E-2</v>
      </c>
      <c r="BM30" s="717">
        <v>0.12771767330116182</v>
      </c>
      <c r="BN30" s="717">
        <v>0.16991936978209235</v>
      </c>
      <c r="BO30" s="718">
        <v>0.21132810110446132</v>
      </c>
      <c r="BP30" s="717">
        <v>0.25493448354085296</v>
      </c>
      <c r="BQ30" s="717">
        <v>0.29882400648255003</v>
      </c>
      <c r="BR30" s="717">
        <v>0.34280263808584288</v>
      </c>
      <c r="BS30" s="717">
        <v>0.38773254707746746</v>
      </c>
      <c r="BT30" s="717">
        <v>0.4332129467855898</v>
      </c>
      <c r="BW30" s="1162">
        <f>'2022'!R\Max</f>
        <v>0.99380225639315223</v>
      </c>
      <c r="BX30" s="1163">
        <f>'2023'!R\Max</f>
        <v>0.99377767419271157</v>
      </c>
      <c r="BY30" s="1163">
        <f>'2024'!R\Max</f>
        <v>0.9937529415059323</v>
      </c>
      <c r="BZ30" s="1163">
        <f>'2025'!R\Max</f>
        <v>0.99372791087941337</v>
      </c>
      <c r="CA30" s="1163">
        <f>'2026'!R\Max</f>
        <v>0.9937027376690114</v>
      </c>
      <c r="CB30" s="1163">
        <f>'2027'!R\Max</f>
        <v>0.99367737151755275</v>
      </c>
      <c r="CC30" s="1164">
        <f>'2028'!R\Max</f>
        <v>0.99365186102950709</v>
      </c>
      <c r="CD30" s="1163">
        <f>'2029'!R\Max</f>
        <v>0.99362565522372115</v>
      </c>
      <c r="CE30" s="1163">
        <f>'2030'!R\Max</f>
        <v>0.99377890664386226</v>
      </c>
      <c r="CF30" s="1165">
        <f>'2031'!R\Max</f>
        <v>0.99375418081426292</v>
      </c>
    </row>
    <row r="31" spans="1:84" s="6" customFormat="1" ht="11.25" x14ac:dyDescent="0.2">
      <c r="A31" s="11">
        <v>43117</v>
      </c>
      <c r="B31" s="375">
        <f>'2022'!Maxi_hp</f>
        <v>14.110078337543527</v>
      </c>
      <c r="C31" s="13">
        <f>'2022'!An_max</f>
        <v>2022</v>
      </c>
      <c r="D31" s="1050" t="str">
        <f t="shared" si="7"/>
        <v/>
      </c>
      <c r="E31" s="1045"/>
      <c r="F31" s="13">
        <f t="shared" si="23"/>
        <v>3</v>
      </c>
      <c r="G31" s="13">
        <f t="shared" si="24"/>
        <v>2</v>
      </c>
      <c r="H31" s="169">
        <f t="shared" si="8"/>
        <v>43122</v>
      </c>
      <c r="I31" s="744">
        <f t="shared" si="9"/>
        <v>0.35714285714285715</v>
      </c>
      <c r="J31" s="737">
        <f t="shared" si="27"/>
        <v>21.424613682180642</v>
      </c>
      <c r="L31" s="746" t="s">
        <v>211</v>
      </c>
      <c r="M31" s="767">
        <f t="shared" ref="M31:AA31" si="38">L29</f>
        <v>249.75</v>
      </c>
      <c r="N31" s="771">
        <f t="shared" si="38"/>
        <v>179.82</v>
      </c>
      <c r="O31" s="733">
        <f t="shared" si="38"/>
        <v>192.80699999999999</v>
      </c>
      <c r="P31" s="733">
        <f t="shared" si="38"/>
        <v>279.72000000000003</v>
      </c>
      <c r="Q31" s="733">
        <f t="shared" si="38"/>
        <v>396.60300000000001</v>
      </c>
      <c r="R31" s="733">
        <f t="shared" si="38"/>
        <v>526.47299999999996</v>
      </c>
      <c r="S31" s="733">
        <f t="shared" si="38"/>
        <v>614.38499999999999</v>
      </c>
      <c r="T31" s="733">
        <f t="shared" si="38"/>
        <v>648.351</v>
      </c>
      <c r="U31" s="733">
        <f t="shared" si="38"/>
        <v>650.34900000000005</v>
      </c>
      <c r="V31" s="733">
        <f t="shared" si="38"/>
        <v>616.38300000000004</v>
      </c>
      <c r="W31" s="733">
        <f t="shared" si="38"/>
        <v>549.45000000000005</v>
      </c>
      <c r="X31" s="733">
        <f t="shared" si="38"/>
        <v>466.53300000000002</v>
      </c>
      <c r="Y31" s="733">
        <f t="shared" si="38"/>
        <v>354.64499999999998</v>
      </c>
      <c r="Z31" s="733">
        <f t="shared" si="38"/>
        <v>249.75</v>
      </c>
      <c r="AA31" s="769">
        <f t="shared" si="38"/>
        <v>179.82</v>
      </c>
      <c r="AO31" s="1043">
        <v>43117</v>
      </c>
      <c r="AP31" s="13">
        <f t="shared" si="11"/>
        <v>3</v>
      </c>
      <c r="AQ31" s="13">
        <f t="shared" si="12"/>
        <v>2</v>
      </c>
      <c r="AR31" s="169">
        <f t="shared" si="13"/>
        <v>43136</v>
      </c>
      <c r="AS31" s="744">
        <f t="shared" si="14"/>
        <v>0.6785714285714286</v>
      </c>
      <c r="AT31" s="760">
        <f t="shared" si="15"/>
        <v>21.428547960173873</v>
      </c>
      <c r="AU31" s="13">
        <f t="shared" si="16"/>
        <v>1</v>
      </c>
      <c r="AV31" s="13">
        <f t="shared" si="17"/>
        <v>2</v>
      </c>
      <c r="AW31" s="169">
        <f t="shared" si="18"/>
        <v>43093</v>
      </c>
      <c r="AX31" s="744">
        <f t="shared" si="19"/>
        <v>0.82758620689655171</v>
      </c>
      <c r="AY31" s="760">
        <f t="shared" si="20"/>
        <v>21.418058771717135</v>
      </c>
      <c r="AZ31" s="737">
        <f t="shared" si="26"/>
        <v>21.423303365945504</v>
      </c>
      <c r="BA31" s="634">
        <f t="shared" si="21"/>
        <v>0.65859196094999894</v>
      </c>
      <c r="BC31" s="11">
        <v>43117</v>
      </c>
      <c r="BD31" s="286">
        <f>[3]!FeuilCaduc*(1-Persistant)+Persistant</f>
        <v>0.60096300793964963</v>
      </c>
      <c r="BE31" s="287">
        <f>[3]!CroissVégét</f>
        <v>1.2960995754023115E-3</v>
      </c>
      <c r="BF31" s="807">
        <f>1+[3]!Salcycl*Ksac</f>
        <v>1.0001203759924562</v>
      </c>
      <c r="BH31" s="1041">
        <f t="shared" si="22"/>
        <v>0.20438508653595025</v>
      </c>
      <c r="BI31" s="11">
        <v>44213</v>
      </c>
      <c r="BJ31" s="717">
        <v>1.8694366985257813E-2</v>
      </c>
      <c r="BK31" s="717">
        <v>4.8769740240878712E-2</v>
      </c>
      <c r="BL31" s="717">
        <v>8.3818551719991488E-2</v>
      </c>
      <c r="BM31" s="717">
        <v>0.1205952441950927</v>
      </c>
      <c r="BN31" s="717">
        <v>0.16300890053232772</v>
      </c>
      <c r="BO31" s="718">
        <v>0.20464251441162271</v>
      </c>
      <c r="BP31" s="717">
        <v>0.24896280670477169</v>
      </c>
      <c r="BQ31" s="717">
        <v>0.29326665675753993</v>
      </c>
      <c r="BR31" s="717">
        <v>0.33756525920282149</v>
      </c>
      <c r="BS31" s="717">
        <v>0.38263531412404239</v>
      </c>
      <c r="BT31" s="717">
        <v>0.42831226307611658</v>
      </c>
      <c r="BW31" s="1162">
        <f>'2022'!R\Max</f>
        <v>0.65859196094999894</v>
      </c>
      <c r="BX31" s="1163">
        <f>'2023'!R\Max</f>
        <v>0.65769278728312652</v>
      </c>
      <c r="BY31" s="1163">
        <f>'2024'!R\Max</f>
        <v>0.65679042462495818</v>
      </c>
      <c r="BZ31" s="1163">
        <f>'2025'!R\Max</f>
        <v>0.65588579725188279</v>
      </c>
      <c r="CA31" s="1163">
        <f>'2026'!R\Max</f>
        <v>0.65497856709621904</v>
      </c>
      <c r="CB31" s="1163">
        <f>'2027'!R\Max</f>
        <v>0.65406882589358839</v>
      </c>
      <c r="CC31" s="1164">
        <f>'2028'!R\Max</f>
        <v>0.65315645738449801</v>
      </c>
      <c r="CD31" s="1163">
        <f>'2029'!R\Max</f>
        <v>0.65222566748142474</v>
      </c>
      <c r="CE31" s="1163">
        <f>'2030'!R\Max</f>
        <v>0.65773781602108705</v>
      </c>
      <c r="CF31" s="1165">
        <f>'2031'!R\Max</f>
        <v>0.65683558286790666</v>
      </c>
    </row>
    <row r="32" spans="1:84" s="6" customFormat="1" ht="11.25" x14ac:dyDescent="0.2">
      <c r="A32" s="11">
        <v>43118</v>
      </c>
      <c r="B32" s="375">
        <f>'2022'!Maxi_hp</f>
        <v>4.4766449642017561</v>
      </c>
      <c r="C32" s="13">
        <f>'2022'!An_max</f>
        <v>2022</v>
      </c>
      <c r="D32" s="1050" t="str">
        <f t="shared" si="7"/>
        <v/>
      </c>
      <c r="E32" s="1045"/>
      <c r="F32" s="13">
        <f t="shared" si="23"/>
        <v>3</v>
      </c>
      <c r="G32" s="13">
        <f t="shared" si="24"/>
        <v>2</v>
      </c>
      <c r="H32" s="169">
        <f t="shared" si="8"/>
        <v>43122</v>
      </c>
      <c r="I32" s="744">
        <f t="shared" si="9"/>
        <v>0.2857142857142857</v>
      </c>
      <c r="J32" s="737">
        <f t="shared" si="27"/>
        <v>21.699467780121733</v>
      </c>
      <c r="L32" s="746" t="s">
        <v>212</v>
      </c>
      <c r="M32" s="778">
        <f t="shared" ref="M32:AA32" si="39">M28</f>
        <v>43079</v>
      </c>
      <c r="N32" s="728">
        <f t="shared" si="39"/>
        <v>43108</v>
      </c>
      <c r="O32" s="728">
        <f t="shared" si="39"/>
        <v>43136</v>
      </c>
      <c r="P32" s="728">
        <f t="shared" si="39"/>
        <v>43164</v>
      </c>
      <c r="Q32" s="728">
        <f t="shared" si="39"/>
        <v>43192</v>
      </c>
      <c r="R32" s="728">
        <f t="shared" si="39"/>
        <v>43220</v>
      </c>
      <c r="S32" s="728">
        <f t="shared" si="39"/>
        <v>43248</v>
      </c>
      <c r="T32" s="728">
        <f t="shared" si="39"/>
        <v>43276</v>
      </c>
      <c r="U32" s="728">
        <f t="shared" si="39"/>
        <v>43304</v>
      </c>
      <c r="V32" s="728">
        <f t="shared" si="39"/>
        <v>43332</v>
      </c>
      <c r="W32" s="728">
        <f t="shared" si="39"/>
        <v>43360</v>
      </c>
      <c r="X32" s="728">
        <f t="shared" si="39"/>
        <v>43388</v>
      </c>
      <c r="Y32" s="728">
        <f t="shared" si="39"/>
        <v>43416</v>
      </c>
      <c r="Z32" s="770">
        <f t="shared" si="39"/>
        <v>43444</v>
      </c>
      <c r="AA32" s="777">
        <f t="shared" si="39"/>
        <v>43473</v>
      </c>
      <c r="AO32" s="1043">
        <v>43118</v>
      </c>
      <c r="AP32" s="13">
        <f t="shared" si="11"/>
        <v>3</v>
      </c>
      <c r="AQ32" s="13">
        <f t="shared" si="12"/>
        <v>2</v>
      </c>
      <c r="AR32" s="169">
        <f t="shared" si="13"/>
        <v>43136</v>
      </c>
      <c r="AS32" s="744">
        <f t="shared" si="14"/>
        <v>0.6428571428571429</v>
      </c>
      <c r="AT32" s="760">
        <f t="shared" si="15"/>
        <v>21.72263286220176</v>
      </c>
      <c r="AU32" s="13">
        <f t="shared" si="16"/>
        <v>1</v>
      </c>
      <c r="AV32" s="13">
        <f t="shared" si="17"/>
        <v>2</v>
      </c>
      <c r="AW32" s="169">
        <f t="shared" si="18"/>
        <v>43093</v>
      </c>
      <c r="AX32" s="744">
        <f t="shared" si="19"/>
        <v>0.86206896551724133</v>
      </c>
      <c r="AY32" s="760">
        <f t="shared" si="20"/>
        <v>21.705020263559859</v>
      </c>
      <c r="AZ32" s="737">
        <f t="shared" si="26"/>
        <v>21.713826562880811</v>
      </c>
      <c r="BA32" s="634">
        <f t="shared" si="21"/>
        <v>0.20630206277698127</v>
      </c>
      <c r="BC32" s="11">
        <v>43118</v>
      </c>
      <c r="BD32" s="286">
        <f>[3]!FeuilCaduc*(1-Persistant)+Persistant</f>
        <v>0.60082102964158302</v>
      </c>
      <c r="BE32" s="287">
        <f>[3]!CroissVégét</f>
        <v>1.4085719996856784E-3</v>
      </c>
      <c r="BF32" s="807">
        <f>1+[3]!Salcycl*Ksac</f>
        <v>1.0001026287051979</v>
      </c>
      <c r="BH32" s="1041">
        <f t="shared" si="22"/>
        <v>0.1972522279339414</v>
      </c>
      <c r="BI32" s="11">
        <v>44214</v>
      </c>
      <c r="BJ32" s="717">
        <v>1.5624393746277993E-2</v>
      </c>
      <c r="BK32" s="717">
        <v>4.3753047843910903E-2</v>
      </c>
      <c r="BL32" s="717">
        <v>7.7482927967041981E-2</v>
      </c>
      <c r="BM32" s="717">
        <v>0.11332497739366358</v>
      </c>
      <c r="BN32" s="717">
        <v>0.15576013581858619</v>
      </c>
      <c r="BO32" s="718">
        <v>0.19751037693611204</v>
      </c>
      <c r="BP32" s="717">
        <v>0.24251660216293433</v>
      </c>
      <c r="BQ32" s="717">
        <v>0.28722991546756282</v>
      </c>
      <c r="BR32" s="717">
        <v>0.33192239070459045</v>
      </c>
      <c r="BS32" s="717">
        <v>0.37720186953973783</v>
      </c>
      <c r="BT32" s="717">
        <v>0.42312342239194067</v>
      </c>
      <c r="BW32" s="1162">
        <f>'2022'!R\Max</f>
        <v>0.20630206277698127</v>
      </c>
      <c r="BX32" s="1163">
        <f>'2023'!R\Max</f>
        <v>0.20572408408956347</v>
      </c>
      <c r="BY32" s="1163">
        <f>'2024'!R\Max</f>
        <v>0.20514564685033604</v>
      </c>
      <c r="BZ32" s="1163">
        <f>'2025'!R\Max</f>
        <v>0.20457093297429263</v>
      </c>
      <c r="CA32" s="1163">
        <f>'2026'!R\Max</f>
        <v>0.20399626035124352</v>
      </c>
      <c r="CB32" s="1163">
        <f>'2027'!R\Max</f>
        <v>0.2034218526121527</v>
      </c>
      <c r="CC32" s="1164">
        <f>'2028'!R\Max</f>
        <v>0.20284744780792716</v>
      </c>
      <c r="CD32" s="1163">
        <f>'2029'!R\Max</f>
        <v>0.2022655812855203</v>
      </c>
      <c r="CE32" s="1163">
        <f>'2030'!R\Max</f>
        <v>0.20575299219977486</v>
      </c>
      <c r="CF32" s="1165">
        <f>'2031'!R\Max</f>
        <v>0.20517455496054743</v>
      </c>
    </row>
    <row r="33" spans="1:84" s="6" customFormat="1" ht="11.25" x14ac:dyDescent="0.2">
      <c r="A33" s="11">
        <v>43119</v>
      </c>
      <c r="B33" s="375">
        <f>'2022'!Maxi_hp</f>
        <v>11.319682789711347</v>
      </c>
      <c r="C33" s="13">
        <f>'2022'!An_max</f>
        <v>2022</v>
      </c>
      <c r="D33" s="1050" t="str">
        <f t="shared" si="7"/>
        <v/>
      </c>
      <c r="E33" s="1045"/>
      <c r="F33" s="13">
        <f t="shared" si="23"/>
        <v>3</v>
      </c>
      <c r="G33" s="13">
        <f t="shared" si="24"/>
        <v>2</v>
      </c>
      <c r="H33" s="169">
        <f t="shared" si="8"/>
        <v>43122</v>
      </c>
      <c r="I33" s="744">
        <f t="shared" si="9"/>
        <v>0.21428571428571427</v>
      </c>
      <c r="J33" s="737">
        <f t="shared" si="27"/>
        <v>21.982037754889042</v>
      </c>
      <c r="L33" s="746" t="s">
        <v>213</v>
      </c>
      <c r="M33" s="771">
        <f t="shared" ref="M33:AA33" si="40">M29</f>
        <v>179.82</v>
      </c>
      <c r="N33" s="734">
        <f t="shared" si="40"/>
        <v>192.80699999999999</v>
      </c>
      <c r="O33" s="734">
        <f t="shared" si="40"/>
        <v>279.72000000000003</v>
      </c>
      <c r="P33" s="734">
        <f t="shared" si="40"/>
        <v>396.60300000000001</v>
      </c>
      <c r="Q33" s="734">
        <f t="shared" si="40"/>
        <v>526.47299999999996</v>
      </c>
      <c r="R33" s="734">
        <f t="shared" si="40"/>
        <v>614.38499999999999</v>
      </c>
      <c r="S33" s="734">
        <f t="shared" si="40"/>
        <v>648.351</v>
      </c>
      <c r="T33" s="734">
        <f t="shared" si="40"/>
        <v>650.34900000000005</v>
      </c>
      <c r="U33" s="734">
        <f t="shared" si="40"/>
        <v>616.38300000000004</v>
      </c>
      <c r="V33" s="734">
        <f t="shared" si="40"/>
        <v>549.45000000000005</v>
      </c>
      <c r="W33" s="734">
        <f t="shared" si="40"/>
        <v>466.53300000000002</v>
      </c>
      <c r="X33" s="734">
        <f t="shared" si="40"/>
        <v>354.64499999999998</v>
      </c>
      <c r="Y33" s="734">
        <f t="shared" si="40"/>
        <v>249.75</v>
      </c>
      <c r="Z33" s="769">
        <f t="shared" si="40"/>
        <v>179.82</v>
      </c>
      <c r="AA33" s="767">
        <f t="shared" si="40"/>
        <v>192.80699999999999</v>
      </c>
      <c r="AO33" s="1043">
        <v>43119</v>
      </c>
      <c r="AP33" s="13">
        <f t="shared" si="11"/>
        <v>3</v>
      </c>
      <c r="AQ33" s="13">
        <f t="shared" si="12"/>
        <v>2</v>
      </c>
      <c r="AR33" s="169">
        <f t="shared" si="13"/>
        <v>43136</v>
      </c>
      <c r="AS33" s="744">
        <f t="shared" si="14"/>
        <v>0.6071428571428571</v>
      </c>
      <c r="AT33" s="760">
        <f t="shared" si="15"/>
        <v>22.025645125790369</v>
      </c>
      <c r="AU33" s="13">
        <f t="shared" si="16"/>
        <v>1</v>
      </c>
      <c r="AV33" s="13">
        <f t="shared" si="17"/>
        <v>2</v>
      </c>
      <c r="AW33" s="169">
        <f t="shared" si="18"/>
        <v>43093</v>
      </c>
      <c r="AX33" s="744">
        <f t="shared" si="19"/>
        <v>0.89655172413793105</v>
      </c>
      <c r="AY33" s="760">
        <f t="shared" si="20"/>
        <v>21.994999959807974</v>
      </c>
      <c r="AZ33" s="737">
        <f t="shared" si="26"/>
        <v>22.010322542799173</v>
      </c>
      <c r="BA33" s="634">
        <f t="shared" si="21"/>
        <v>0.51495147610661018</v>
      </c>
      <c r="BC33" s="11">
        <v>43119</v>
      </c>
      <c r="BD33" s="286">
        <f>[3]!FeuilCaduc*(1-Persistant)+Persistant</f>
        <v>0.60068923385957229</v>
      </c>
      <c r="BE33" s="287">
        <f>[3]!CroissVégét</f>
        <v>1.5257359314074395E-3</v>
      </c>
      <c r="BF33" s="807">
        <f>1+[3]!Salcycl*Ksac</f>
        <v>1.0000861542324466</v>
      </c>
      <c r="BH33" s="1041">
        <f t="shared" si="22"/>
        <v>0.18967337764324979</v>
      </c>
      <c r="BI33" s="11">
        <v>44215</v>
      </c>
      <c r="BJ33" s="717">
        <v>1.2913362058838763E-2</v>
      </c>
      <c r="BK33" s="717">
        <v>3.8997971020538182E-2</v>
      </c>
      <c r="BL33" s="717">
        <v>7.1222663324051541E-2</v>
      </c>
      <c r="BM33" s="717">
        <v>0.10590714465366029</v>
      </c>
      <c r="BN33" s="717">
        <v>0.14817313225987122</v>
      </c>
      <c r="BO33" s="718">
        <v>0.18993157737214683</v>
      </c>
      <c r="BP33" s="717">
        <v>0.23559558887183596</v>
      </c>
      <c r="BQ33" s="717">
        <v>0.2807133705822476</v>
      </c>
      <c r="BR33" s="717">
        <v>0.32587354237563809</v>
      </c>
      <c r="BS33" s="717">
        <v>0.37143165604229128</v>
      </c>
      <c r="BT33" s="717">
        <v>0.41764578224174004</v>
      </c>
      <c r="BW33" s="1162">
        <f>'2022'!R\Max</f>
        <v>0.51495147610661018</v>
      </c>
      <c r="BX33" s="1163">
        <f>'2023'!R\Max</f>
        <v>0.51394971486778152</v>
      </c>
      <c r="BY33" s="1163">
        <f>'2024'!R\Max</f>
        <v>0.51294529282720902</v>
      </c>
      <c r="BZ33" s="1163">
        <f>'2025'!R\Max</f>
        <v>0.51195104965728067</v>
      </c>
      <c r="CA33" s="1163">
        <f>'2026'!R\Max</f>
        <v>0.51095523737777582</v>
      </c>
      <c r="CB33" s="1163">
        <f>'2027'!R\Max</f>
        <v>0.50995679342033229</v>
      </c>
      <c r="CC33" s="1164">
        <f>'2028'!R\Max</f>
        <v>0.5089566278833455</v>
      </c>
      <c r="CD33" s="1163">
        <f>'2029'!R\Max</f>
        <v>0.50794600630519426</v>
      </c>
      <c r="CE33" s="1163">
        <f>'2030'!R\Max</f>
        <v>0.5139998666129757</v>
      </c>
      <c r="CF33" s="1165">
        <f>'2031'!R\Max</f>
        <v>0.51299553123415642</v>
      </c>
    </row>
    <row r="34" spans="1:84" s="6" customFormat="1" ht="11.25" x14ac:dyDescent="0.2">
      <c r="A34" s="11">
        <v>43120</v>
      </c>
      <c r="B34" s="375">
        <f>'2022'!Maxi_hp</f>
        <v>6.552768311666</v>
      </c>
      <c r="C34" s="13">
        <f>'2022'!An_max</f>
        <v>2022</v>
      </c>
      <c r="D34" s="1050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69">
        <f t="shared" si="8"/>
        <v>43122</v>
      </c>
      <c r="I34" s="744">
        <f t="shared" si="9"/>
        <v>0.14285714285714285</v>
      </c>
      <c r="J34" s="737">
        <f t="shared" si="27"/>
        <v>22.272429314575028</v>
      </c>
      <c r="L34" s="746" t="s">
        <v>214</v>
      </c>
      <c r="M34" s="773">
        <f t="shared" ref="M34:AA34" si="41">N28</f>
        <v>43108</v>
      </c>
      <c r="N34" s="729">
        <f t="shared" si="41"/>
        <v>43136</v>
      </c>
      <c r="O34" s="729">
        <f t="shared" si="41"/>
        <v>43164</v>
      </c>
      <c r="P34" s="729">
        <f t="shared" si="41"/>
        <v>43192</v>
      </c>
      <c r="Q34" s="729">
        <f t="shared" si="41"/>
        <v>43220</v>
      </c>
      <c r="R34" s="729">
        <f t="shared" si="41"/>
        <v>43248</v>
      </c>
      <c r="S34" s="729">
        <f t="shared" si="41"/>
        <v>43276</v>
      </c>
      <c r="T34" s="729">
        <f t="shared" si="41"/>
        <v>43304</v>
      </c>
      <c r="U34" s="729">
        <f t="shared" si="41"/>
        <v>43332</v>
      </c>
      <c r="V34" s="729">
        <f t="shared" si="41"/>
        <v>43360</v>
      </c>
      <c r="W34" s="729">
        <f t="shared" si="41"/>
        <v>43388</v>
      </c>
      <c r="X34" s="729">
        <f t="shared" si="41"/>
        <v>43416</v>
      </c>
      <c r="Y34" s="729">
        <f t="shared" si="41"/>
        <v>43444</v>
      </c>
      <c r="Z34" s="779">
        <f t="shared" si="41"/>
        <v>43473</v>
      </c>
      <c r="AA34" s="777">
        <f t="shared" si="41"/>
        <v>43501</v>
      </c>
      <c r="AO34" s="1043">
        <v>43120</v>
      </c>
      <c r="AP34" s="13">
        <f t="shared" si="11"/>
        <v>3</v>
      </c>
      <c r="AQ34" s="13">
        <f t="shared" si="12"/>
        <v>2</v>
      </c>
      <c r="AR34" s="169">
        <f t="shared" si="13"/>
        <v>43136</v>
      </c>
      <c r="AS34" s="744">
        <f t="shared" si="14"/>
        <v>0.5714285714285714</v>
      </c>
      <c r="AT34" s="760">
        <f t="shared" si="15"/>
        <v>22.33699575300728</v>
      </c>
      <c r="AU34" s="13">
        <f t="shared" si="16"/>
        <v>1</v>
      </c>
      <c r="AV34" s="13">
        <f t="shared" si="17"/>
        <v>2</v>
      </c>
      <c r="AW34" s="169">
        <f t="shared" si="18"/>
        <v>43093</v>
      </c>
      <c r="AX34" s="744">
        <f t="shared" si="19"/>
        <v>0.93103448275862066</v>
      </c>
      <c r="AY34" s="760">
        <f t="shared" si="20"/>
        <v>22.287403034624354</v>
      </c>
      <c r="AZ34" s="737">
        <f t="shared" si="26"/>
        <v>22.312199393815817</v>
      </c>
      <c r="BA34" s="634">
        <f t="shared" si="21"/>
        <v>0.29420986005230615</v>
      </c>
      <c r="BC34" s="11">
        <v>43120</v>
      </c>
      <c r="BD34" s="286">
        <f>[3]!FeuilCaduc*(1-Persistant)+Persistant</f>
        <v>0.60056800106036667</v>
      </c>
      <c r="BE34" s="287">
        <f>[3]!CroissVégét</f>
        <v>1.6477858914927391E-3</v>
      </c>
      <c r="BF34" s="807">
        <f>1+[3]!Salcycl*Ksac</f>
        <v>1.0000710001325459</v>
      </c>
      <c r="BH34" s="1041">
        <f t="shared" si="22"/>
        <v>0.18164941642651974</v>
      </c>
      <c r="BI34" s="11">
        <v>44216</v>
      </c>
      <c r="BJ34" s="717">
        <v>1.0561740462216142E-2</v>
      </c>
      <c r="BK34" s="717">
        <v>3.4505163989601531E-2</v>
      </c>
      <c r="BL34" s="717">
        <v>6.5038517088091496E-2</v>
      </c>
      <c r="BM34" s="717">
        <v>9.8342566275515034E-2</v>
      </c>
      <c r="BN34" s="717">
        <v>0.14024872525449447</v>
      </c>
      <c r="BO34" s="718">
        <v>0.18190699676461211</v>
      </c>
      <c r="BP34" s="717">
        <v>0.22820069427249431</v>
      </c>
      <c r="BQ34" s="717">
        <v>0.27371802924985927</v>
      </c>
      <c r="BR34" s="717">
        <v>0.31941984078302821</v>
      </c>
      <c r="BS34" s="717">
        <v>0.36532593407548708</v>
      </c>
      <c r="BT34" s="717">
        <v>0.41188072534206077</v>
      </c>
      <c r="BW34" s="1162">
        <f>'2022'!R\Max</f>
        <v>0.29420986005230615</v>
      </c>
      <c r="BX34" s="1163">
        <f>'2023'!R\Max</f>
        <v>0.29338440849477093</v>
      </c>
      <c r="BY34" s="1163">
        <f>'2024'!R\Max</f>
        <v>0.29255807006241608</v>
      </c>
      <c r="BZ34" s="1163">
        <f>'2025'!R\Max</f>
        <v>0.29174544109082218</v>
      </c>
      <c r="CA34" s="1163">
        <f>'2026'!R\Max</f>
        <v>0.29093296066141244</v>
      </c>
      <c r="CB34" s="1163">
        <f>'2027'!R\Max</f>
        <v>0.29011722263878975</v>
      </c>
      <c r="CC34" s="1164">
        <f>'2028'!R\Max</f>
        <v>0.28930144931907026</v>
      </c>
      <c r="CD34" s="1163">
        <f>'2029'!R\Max</f>
        <v>0.28848206867558512</v>
      </c>
      <c r="CE34" s="1163">
        <f>'2030'!R\Max</f>
        <v>0.29342570577104293</v>
      </c>
      <c r="CF34" s="1165">
        <f>'2031'!R\Max</f>
        <v>0.29259936733868813</v>
      </c>
    </row>
    <row r="35" spans="1:84" s="6" customFormat="1" ht="11.25" x14ac:dyDescent="0.2">
      <c r="A35" s="11">
        <v>43121</v>
      </c>
      <c r="B35" s="375">
        <f>'2022'!Maxi_hp</f>
        <v>18.44683212449177</v>
      </c>
      <c r="C35" s="13">
        <f>'2022'!An_max</f>
        <v>2022</v>
      </c>
      <c r="D35" s="1050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69">
        <f t="shared" si="8"/>
        <v>43122</v>
      </c>
      <c r="I35" s="744">
        <f t="shared" si="9"/>
        <v>7.1428571428571425E-2</v>
      </c>
      <c r="J35" s="737">
        <f t="shared" si="27"/>
        <v>22.57074816035373</v>
      </c>
      <c r="L35" s="746" t="s">
        <v>215</v>
      </c>
      <c r="M35" s="774">
        <f t="shared" ref="M35:AA35" si="42">N29</f>
        <v>192.80699999999999</v>
      </c>
      <c r="N35" s="734">
        <f t="shared" si="42"/>
        <v>279.72000000000003</v>
      </c>
      <c r="O35" s="734">
        <f t="shared" si="42"/>
        <v>396.60300000000001</v>
      </c>
      <c r="P35" s="734">
        <f t="shared" si="42"/>
        <v>526.47299999999996</v>
      </c>
      <c r="Q35" s="734">
        <f t="shared" si="42"/>
        <v>614.38499999999999</v>
      </c>
      <c r="R35" s="734">
        <f t="shared" si="42"/>
        <v>648.351</v>
      </c>
      <c r="S35" s="734">
        <f t="shared" si="42"/>
        <v>650.34900000000005</v>
      </c>
      <c r="T35" s="734">
        <f t="shared" si="42"/>
        <v>616.38300000000004</v>
      </c>
      <c r="U35" s="734">
        <f t="shared" si="42"/>
        <v>549.45000000000005</v>
      </c>
      <c r="V35" s="734">
        <f t="shared" si="42"/>
        <v>466.53300000000002</v>
      </c>
      <c r="W35" s="734">
        <f t="shared" si="42"/>
        <v>354.64499999999998</v>
      </c>
      <c r="X35" s="734">
        <f t="shared" si="42"/>
        <v>249.75</v>
      </c>
      <c r="Y35" s="734">
        <f t="shared" si="42"/>
        <v>179.82</v>
      </c>
      <c r="Z35" s="780">
        <f t="shared" si="42"/>
        <v>192.80699999999999</v>
      </c>
      <c r="AA35" s="767">
        <f t="shared" si="42"/>
        <v>279.72000000000003</v>
      </c>
      <c r="AO35" s="1043">
        <v>43121</v>
      </c>
      <c r="AP35" s="13">
        <f t="shared" si="11"/>
        <v>3</v>
      </c>
      <c r="AQ35" s="13">
        <f t="shared" si="12"/>
        <v>2</v>
      </c>
      <c r="AR35" s="169">
        <f t="shared" si="13"/>
        <v>43136</v>
      </c>
      <c r="AS35" s="744">
        <f t="shared" si="14"/>
        <v>0.5357142857142857</v>
      </c>
      <c r="AT35" s="760">
        <f t="shared" si="15"/>
        <v>22.656095745414497</v>
      </c>
      <c r="AU35" s="13">
        <f t="shared" si="16"/>
        <v>1</v>
      </c>
      <c r="AV35" s="13">
        <f t="shared" si="17"/>
        <v>2</v>
      </c>
      <c r="AW35" s="169">
        <f t="shared" si="18"/>
        <v>43093</v>
      </c>
      <c r="AX35" s="744">
        <f t="shared" si="19"/>
        <v>0.96551724137931039</v>
      </c>
      <c r="AY35" s="760">
        <f t="shared" si="20"/>
        <v>22.581634658215375</v>
      </c>
      <c r="AZ35" s="737">
        <f t="shared" si="26"/>
        <v>22.618865201814934</v>
      </c>
      <c r="BA35" s="634">
        <f t="shared" si="21"/>
        <v>0.81728935139572578</v>
      </c>
      <c r="BC35" s="11">
        <v>43121</v>
      </c>
      <c r="BD35" s="286">
        <f>[3]!FeuilCaduc*(1-Persistant)+Persistant</f>
        <v>0.60045771504746426</v>
      </c>
      <c r="BE35" s="287">
        <f>[3]!CroissVégét</f>
        <v>1.7749243659651206E-3</v>
      </c>
      <c r="BF35" s="807">
        <f>1+[3]!Salcycl*Ksac</f>
        <v>1.000057214380933</v>
      </c>
      <c r="BH35" s="1041">
        <f t="shared" si="22"/>
        <v>0.1731815817688514</v>
      </c>
      <c r="BI35" s="11">
        <v>44217</v>
      </c>
      <c r="BJ35" s="717">
        <v>8.5699323580420688E-3</v>
      </c>
      <c r="BK35" s="717">
        <v>3.0275255634980885E-2</v>
      </c>
      <c r="BL35" s="717">
        <v>5.8931296979866384E-2</v>
      </c>
      <c r="BM35" s="717">
        <v>9.0632200415179276E-2</v>
      </c>
      <c r="BN35" s="717">
        <v>0.13198800313308257</v>
      </c>
      <c r="BO35" s="718">
        <v>0.17343787352659398</v>
      </c>
      <c r="BP35" s="717">
        <v>0.22033331346083493</v>
      </c>
      <c r="BQ35" s="717">
        <v>0.26624546830137424</v>
      </c>
      <c r="BR35" s="717">
        <v>0.31256307357280272</v>
      </c>
      <c r="BS35" s="717">
        <v>0.35888671533122601</v>
      </c>
      <c r="BT35" s="717">
        <v>0.40583048055384169</v>
      </c>
      <c r="BW35" s="1162">
        <f>'2022'!R\Max</f>
        <v>0.81728935139572578</v>
      </c>
      <c r="BX35" s="1163">
        <f>'2023'!R\Max</f>
        <v>0.81669003171041821</v>
      </c>
      <c r="BY35" s="1163">
        <f>'2024'!R\Max</f>
        <v>0.81608747570196438</v>
      </c>
      <c r="BZ35" s="1163">
        <f>'2025'!R\Max</f>
        <v>0.81549498237308626</v>
      </c>
      <c r="CA35" s="1163">
        <f>'2026'!R\Max</f>
        <v>0.81490019720631901</v>
      </c>
      <c r="CB35" s="1163">
        <f>'2027'!R\Max</f>
        <v>0.81429774212891914</v>
      </c>
      <c r="CC35" s="1164">
        <f>'2028'!R\Max</f>
        <v>0.81369273167599354</v>
      </c>
      <c r="CD35" s="1163">
        <f>'2029'!R\Max</f>
        <v>0.81308512750726891</v>
      </c>
      <c r="CE35" s="1163">
        <f>'2030'!R\Max</f>
        <v>0.81672007946786684</v>
      </c>
      <c r="CF35" s="1165">
        <f>'2031'!R\Max</f>
        <v>0.81611764876290438</v>
      </c>
    </row>
    <row r="36" spans="1:84" s="6" customFormat="1" ht="11.25" x14ac:dyDescent="0.2">
      <c r="A36" s="11">
        <v>43122</v>
      </c>
      <c r="B36" s="375">
        <f>'2022'!Maxi_hp</f>
        <v>22.750634528837967</v>
      </c>
      <c r="C36" s="13">
        <f>'2022'!An_max</f>
        <v>2022</v>
      </c>
      <c r="D36" s="1050">
        <f t="shared" si="7"/>
        <v>0.99447196231390167</v>
      </c>
      <c r="E36" s="1045">
        <f>O$13/10</f>
        <v>22.877099999999999</v>
      </c>
      <c r="F36" s="13">
        <f t="shared" si="23"/>
        <v>3</v>
      </c>
      <c r="G36" s="13">
        <f t="shared" si="24"/>
        <v>4</v>
      </c>
      <c r="H36" s="169">
        <f t="shared" si="8"/>
        <v>43122</v>
      </c>
      <c r="I36" s="744">
        <f t="shared" si="9"/>
        <v>0</v>
      </c>
      <c r="J36" s="737">
        <f t="shared" si="27"/>
        <v>22.877099999785422</v>
      </c>
      <c r="L36" s="747" t="s">
        <v>216</v>
      </c>
      <c r="M36" s="731">
        <f t="shared" ref="M36:AA36" si="43">x.1lg*x.1lg-x.2lg*x.2lg</f>
        <v>-2411640</v>
      </c>
      <c r="N36" s="731">
        <f t="shared" si="43"/>
        <v>-2499423</v>
      </c>
      <c r="O36" s="731">
        <f t="shared" si="43"/>
        <v>-2414832</v>
      </c>
      <c r="P36" s="731">
        <f t="shared" si="43"/>
        <v>-2416400</v>
      </c>
      <c r="Q36" s="731">
        <f t="shared" si="43"/>
        <v>-2417968</v>
      </c>
      <c r="R36" s="731">
        <f t="shared" si="43"/>
        <v>-2419536</v>
      </c>
      <c r="S36" s="731">
        <f t="shared" si="43"/>
        <v>-2421104</v>
      </c>
      <c r="T36" s="731">
        <f t="shared" si="43"/>
        <v>-2422672</v>
      </c>
      <c r="U36" s="731">
        <f t="shared" si="43"/>
        <v>-2424240</v>
      </c>
      <c r="V36" s="731">
        <f t="shared" si="43"/>
        <v>-2425808</v>
      </c>
      <c r="W36" s="731">
        <f t="shared" si="43"/>
        <v>-2427376</v>
      </c>
      <c r="X36" s="731">
        <f t="shared" si="43"/>
        <v>-2428944</v>
      </c>
      <c r="Y36" s="731">
        <f t="shared" si="43"/>
        <v>-2430512</v>
      </c>
      <c r="Z36" s="731">
        <f t="shared" si="43"/>
        <v>-2432080</v>
      </c>
      <c r="AA36" s="731">
        <f t="shared" si="43"/>
        <v>-2520593</v>
      </c>
      <c r="AO36" s="1043">
        <v>43122</v>
      </c>
      <c r="AP36" s="13">
        <f t="shared" si="11"/>
        <v>3</v>
      </c>
      <c r="AQ36" s="13">
        <f t="shared" si="12"/>
        <v>2</v>
      </c>
      <c r="AR36" s="169">
        <f t="shared" si="13"/>
        <v>43136</v>
      </c>
      <c r="AS36" s="744">
        <f t="shared" si="14"/>
        <v>0.5</v>
      </c>
      <c r="AT36" s="760">
        <f t="shared" si="15"/>
        <v>22.982356102392078</v>
      </c>
      <c r="AU36" s="13">
        <f t="shared" si="16"/>
        <v>3</v>
      </c>
      <c r="AV36" s="13">
        <f t="shared" si="17"/>
        <v>2</v>
      </c>
      <c r="AW36" s="169">
        <f t="shared" si="18"/>
        <v>43150</v>
      </c>
      <c r="AX36" s="744">
        <f t="shared" si="19"/>
        <v>1</v>
      </c>
      <c r="AY36" s="760">
        <f t="shared" si="20"/>
        <v>22.877099999785422</v>
      </c>
      <c r="AZ36" s="737">
        <f t="shared" si="26"/>
        <v>22.929728051088752</v>
      </c>
      <c r="BA36" s="634">
        <f t="shared" si="21"/>
        <v>0.99447196231390167</v>
      </c>
      <c r="BC36" s="11">
        <v>43122</v>
      </c>
      <c r="BD36" s="286">
        <f>[3]!FeuilCaduc*(1-Persistant)+Persistant</f>
        <v>0.60035874832137592</v>
      </c>
      <c r="BE36" s="287">
        <f>[3]!CroissVégét</f>
        <v>1.9073621235293117E-3</v>
      </c>
      <c r="BF36" s="807">
        <f>1+[3]!Salcycl*Ksac</f>
        <v>1.0000448435401721</v>
      </c>
      <c r="BH36" s="1041">
        <f t="shared" si="22"/>
        <v>0.16427041778487433</v>
      </c>
      <c r="BI36" s="11">
        <v>44218</v>
      </c>
      <c r="BJ36" s="717">
        <v>6.9382280452081196E-3</v>
      </c>
      <c r="BK36" s="717">
        <v>2.6308662968160087E-2</v>
      </c>
      <c r="BL36" s="717">
        <v>5.2901493115431741E-2</v>
      </c>
      <c r="BM36" s="717">
        <v>8.2776580272092407E-2</v>
      </c>
      <c r="BN36" s="717">
        <v>0.12339149814493362</v>
      </c>
      <c r="BO36" s="718">
        <v>0.16452475184654386</v>
      </c>
      <c r="BP36" s="717">
        <v>0.21199399008317174</v>
      </c>
      <c r="BQ36" s="717">
        <v>0.25829625299025</v>
      </c>
      <c r="BR36" s="717">
        <v>0.30530384719613468</v>
      </c>
      <c r="BS36" s="717">
        <v>0.35211465832678684</v>
      </c>
      <c r="BT36" s="717">
        <v>0.39949575196025561</v>
      </c>
      <c r="BW36" s="1162">
        <f>'2022'!R\Max</f>
        <v>0.99447196231390167</v>
      </c>
      <c r="BX36" s="1163">
        <f>'2023'!R\Max</f>
        <v>0.99444991923847526</v>
      </c>
      <c r="BY36" s="1163">
        <f>'2024'!R\Max</f>
        <v>0.99442772198322127</v>
      </c>
      <c r="BZ36" s="1163">
        <f>'2025'!R\Max</f>
        <v>0.99440594473927102</v>
      </c>
      <c r="CA36" s="1163">
        <f>'2026'!R\Max</f>
        <v>0.99438405380126571</v>
      </c>
      <c r="CB36" s="1163">
        <f>'2027'!R\Max</f>
        <v>0.99436170973834292</v>
      </c>
      <c r="CC36" s="1164">
        <f>'2028'!R\Max</f>
        <v>0.99433923703666549</v>
      </c>
      <c r="CD36" s="1163">
        <f>'2029'!R\Max</f>
        <v>0.99431673201531112</v>
      </c>
      <c r="CE36" s="1163">
        <f>'2030'!R\Max</f>
        <v>0.99445102532599505</v>
      </c>
      <c r="CF36" s="1165">
        <f>'2031'!R\Max</f>
        <v>0.99442883426486051</v>
      </c>
    </row>
    <row r="37" spans="1:84" s="6" customFormat="1" ht="11.25" x14ac:dyDescent="0.2">
      <c r="A37" s="11">
        <v>43123</v>
      </c>
      <c r="B37" s="375">
        <f>'2022'!Maxi_hp</f>
        <v>22.826917337644495</v>
      </c>
      <c r="C37" s="13">
        <f>'2022'!An_max</f>
        <v>2022</v>
      </c>
      <c r="D37" s="1050">
        <f t="shared" si="7"/>
        <v>0.9841964591056539</v>
      </c>
      <c r="E37" s="13"/>
      <c r="F37" s="13">
        <f t="shared" si="23"/>
        <v>3</v>
      </c>
      <c r="G37" s="13">
        <f t="shared" si="24"/>
        <v>4</v>
      </c>
      <c r="H37" s="169">
        <f t="shared" si="8"/>
        <v>43122</v>
      </c>
      <c r="I37" s="744">
        <f t="shared" si="9"/>
        <v>7.1428571428571425E-2</v>
      </c>
      <c r="J37" s="737">
        <f>((1-I37)*(INDEX(a.m,F37)*$A37*$A37+INDEX(b.m,F37)*$A37+INDEX(c.m,F37))+I37*(INDEX(a.m,G37)*$A37*$A37+INDEX(b.m,G37)*$A37+INDEX(c.m,G37)))/10</f>
        <v>23.193456069113957</v>
      </c>
      <c r="L37" s="747" t="s">
        <v>217</v>
      </c>
      <c r="M37" s="731">
        <f t="shared" ref="M37:AA37" si="44">x.2lg*x.2lg-x.3lg*x.3lg</f>
        <v>-2499423</v>
      </c>
      <c r="N37" s="731">
        <f t="shared" si="44"/>
        <v>-2414832</v>
      </c>
      <c r="O37" s="731">
        <f t="shared" si="44"/>
        <v>-2416400</v>
      </c>
      <c r="P37" s="731">
        <f t="shared" si="44"/>
        <v>-2417968</v>
      </c>
      <c r="Q37" s="731">
        <f t="shared" si="44"/>
        <v>-2419536</v>
      </c>
      <c r="R37" s="731">
        <f t="shared" si="44"/>
        <v>-2421104</v>
      </c>
      <c r="S37" s="731">
        <f t="shared" si="44"/>
        <v>-2422672</v>
      </c>
      <c r="T37" s="731">
        <f t="shared" si="44"/>
        <v>-2424240</v>
      </c>
      <c r="U37" s="731">
        <f t="shared" si="44"/>
        <v>-2425808</v>
      </c>
      <c r="V37" s="731">
        <f t="shared" si="44"/>
        <v>-2427376</v>
      </c>
      <c r="W37" s="731">
        <f t="shared" si="44"/>
        <v>-2428944</v>
      </c>
      <c r="X37" s="731">
        <f t="shared" si="44"/>
        <v>-2430512</v>
      </c>
      <c r="Y37" s="731">
        <f t="shared" si="44"/>
        <v>-2432080</v>
      </c>
      <c r="Z37" s="731">
        <f t="shared" si="44"/>
        <v>-2520593</v>
      </c>
      <c r="AA37" s="731">
        <f t="shared" si="44"/>
        <v>-2435272</v>
      </c>
      <c r="AO37" s="1043">
        <v>43123</v>
      </c>
      <c r="AP37" s="13">
        <f t="shared" si="11"/>
        <v>3</v>
      </c>
      <c r="AQ37" s="13">
        <f t="shared" si="12"/>
        <v>2</v>
      </c>
      <c r="AR37" s="169">
        <f t="shared" si="13"/>
        <v>43136</v>
      </c>
      <c r="AS37" s="744">
        <f t="shared" si="14"/>
        <v>0.4642857142857143</v>
      </c>
      <c r="AT37" s="760">
        <f t="shared" si="15"/>
        <v>23.315187826007605</v>
      </c>
      <c r="AU37" s="13">
        <f t="shared" si="16"/>
        <v>3</v>
      </c>
      <c r="AV37" s="13">
        <f t="shared" si="17"/>
        <v>2</v>
      </c>
      <c r="AW37" s="169">
        <f t="shared" si="18"/>
        <v>43150</v>
      </c>
      <c r="AX37" s="744">
        <f t="shared" si="19"/>
        <v>0.9642857142857143</v>
      </c>
      <c r="AY37" s="760">
        <f t="shared" si="20"/>
        <v>23.178214323121523</v>
      </c>
      <c r="AZ37" s="737">
        <f t="shared" si="26"/>
        <v>23.246701074564562</v>
      </c>
      <c r="BA37" s="634">
        <f t="shared" si="21"/>
        <v>0.9841964591056539</v>
      </c>
      <c r="BC37" s="11">
        <v>43123</v>
      </c>
      <c r="BD37" s="286">
        <f>[3]!FeuilCaduc*(1-Persistant)+Persistant</f>
        <v>0.60027144846244596</v>
      </c>
      <c r="BE37" s="287">
        <f>[3]!CroissVégét</f>
        <v>2.045318545083899E-3</v>
      </c>
      <c r="BF37" s="807">
        <f>1+[3]!Salcycl*Ksac</f>
        <v>1.0000339310578057</v>
      </c>
      <c r="BH37" s="1041">
        <f t="shared" si="22"/>
        <v>0.15491648649624098</v>
      </c>
      <c r="BI37" s="11">
        <v>44219</v>
      </c>
      <c r="BJ37" s="717">
        <v>5.6668652175747899E-3</v>
      </c>
      <c r="BK37" s="717">
        <v>2.2605752705036342E-2</v>
      </c>
      <c r="BL37" s="717">
        <v>4.6949560054110641E-2</v>
      </c>
      <c r="BM37" s="717">
        <v>7.4776223887169799E-2</v>
      </c>
      <c r="BN37" s="717">
        <v>0.11445974827135301</v>
      </c>
      <c r="BO37" s="718">
        <v>0.15516819389568465</v>
      </c>
      <c r="BP37" s="717">
        <v>0.20318329159739626</v>
      </c>
      <c r="BQ37" s="717">
        <v>0.24987097448891679</v>
      </c>
      <c r="BR37" s="717">
        <v>0.29764278739453559</v>
      </c>
      <c r="BS37" s="717">
        <v>0.3450104339615705</v>
      </c>
      <c r="BT37" s="717">
        <v>0.39287725160187958</v>
      </c>
      <c r="BW37" s="1162">
        <f>'2022'!R\Max</f>
        <v>0.9841964591056539</v>
      </c>
      <c r="BX37" s="1163">
        <f>'2023'!R\Max</f>
        <v>0.98413425975288926</v>
      </c>
      <c r="BY37" s="1163">
        <f>'2024'!R\Max</f>
        <v>0.98407162044865337</v>
      </c>
      <c r="BZ37" s="1163">
        <f>'2025'!R\Max</f>
        <v>0.98401036384087504</v>
      </c>
      <c r="CA37" s="1163">
        <f>'2026'!R\Max</f>
        <v>0.98394879614242692</v>
      </c>
      <c r="CB37" s="1163">
        <f>'2027'!R\Max</f>
        <v>0.9838854703288229</v>
      </c>
      <c r="CC37" s="1164">
        <f>'2028'!R\Max</f>
        <v>0.98382177958607264</v>
      </c>
      <c r="CD37" s="1163">
        <f>'2029'!R\Max</f>
        <v>0.98375827351291956</v>
      </c>
      <c r="CE37" s="1163">
        <f>'2030'!R\Max</f>
        <v>0.98413738122265715</v>
      </c>
      <c r="CF37" s="1165">
        <f>'2031'!R\Max</f>
        <v>0.98407475909597819</v>
      </c>
    </row>
    <row r="38" spans="1:84" s="6" customFormat="1" ht="11.25" x14ac:dyDescent="0.2">
      <c r="A38" s="11">
        <v>43124</v>
      </c>
      <c r="B38" s="375">
        <f>'2022'!Maxi_hp</f>
        <v>23.393832011186525</v>
      </c>
      <c r="C38" s="13">
        <f>'2022'!An_max</f>
        <v>2022</v>
      </c>
      <c r="D38" s="1050">
        <f t="shared" si="7"/>
        <v>0.99459081404797756</v>
      </c>
      <c r="E38" s="13"/>
      <c r="F38" s="13">
        <f t="shared" si="23"/>
        <v>3</v>
      </c>
      <c r="G38" s="13">
        <f t="shared" si="24"/>
        <v>4</v>
      </c>
      <c r="H38" s="169">
        <f t="shared" si="8"/>
        <v>43122</v>
      </c>
      <c r="I38" s="744">
        <f t="shared" si="9"/>
        <v>0.14285714285714285</v>
      </c>
      <c r="J38" s="737">
        <f t="shared" si="27"/>
        <v>23.521061808296615</v>
      </c>
      <c r="L38" s="747" t="s">
        <v>218</v>
      </c>
      <c r="M38" s="731">
        <f t="shared" ref="M38:AA38" si="45">(y.1lg-y.2lg-b.lg*(x.1lg-x.2lg))/D2x12Lg</f>
        <v>5.1672413793099232E-2</v>
      </c>
      <c r="N38" s="731">
        <f t="shared" si="45"/>
        <v>4.6600142597878334E-2</v>
      </c>
      <c r="O38" s="731">
        <f t="shared" si="45"/>
        <v>1.9113520408160424E-2</v>
      </c>
      <c r="P38" s="731">
        <f t="shared" si="45"/>
        <v>8.2825255102041521E-3</v>
      </c>
      <c r="Q38" s="731">
        <f t="shared" si="45"/>
        <v>-2.6758928571431733E-2</v>
      </c>
      <c r="R38" s="731">
        <f t="shared" si="45"/>
        <v>-3.4404336734691551E-2</v>
      </c>
      <c r="S38" s="731">
        <f t="shared" si="45"/>
        <v>-2.0387755102041171E-2</v>
      </c>
      <c r="T38" s="731">
        <f t="shared" si="45"/>
        <v>-2.293622448979702E-2</v>
      </c>
      <c r="U38" s="731">
        <f t="shared" si="45"/>
        <v>-2.1024872448982383E-2</v>
      </c>
      <c r="V38" s="731">
        <f t="shared" si="45"/>
        <v>-1.0193877551021937E-2</v>
      </c>
      <c r="W38" s="731">
        <f t="shared" si="45"/>
        <v>-1.847640306122518E-2</v>
      </c>
      <c r="X38" s="731">
        <f t="shared" si="45"/>
        <v>4.4598214285721995E-3</v>
      </c>
      <c r="Y38" s="731">
        <f t="shared" si="45"/>
        <v>2.2299107142855084E-2</v>
      </c>
      <c r="Z38" s="731">
        <f t="shared" si="45"/>
        <v>5.167241379310869E-2</v>
      </c>
      <c r="AA38" s="731">
        <f t="shared" si="45"/>
        <v>4.6600142597869938E-2</v>
      </c>
      <c r="AO38" s="1043">
        <v>43124</v>
      </c>
      <c r="AP38" s="13">
        <f t="shared" si="11"/>
        <v>3</v>
      </c>
      <c r="AQ38" s="13">
        <f t="shared" si="12"/>
        <v>2</v>
      </c>
      <c r="AR38" s="169">
        <f t="shared" si="13"/>
        <v>43136</v>
      </c>
      <c r="AS38" s="744">
        <f t="shared" si="14"/>
        <v>0.42857142857142855</v>
      </c>
      <c r="AT38" s="760">
        <f t="shared" si="15"/>
        <v>23.654001917583599</v>
      </c>
      <c r="AU38" s="13">
        <f t="shared" si="16"/>
        <v>3</v>
      </c>
      <c r="AV38" s="13">
        <f t="shared" si="17"/>
        <v>2</v>
      </c>
      <c r="AW38" s="169">
        <f t="shared" si="18"/>
        <v>43150</v>
      </c>
      <c r="AX38" s="744">
        <f t="shared" si="19"/>
        <v>0.9285714285714286</v>
      </c>
      <c r="AY38" s="760">
        <f t="shared" si="20"/>
        <v>23.489487821608783</v>
      </c>
      <c r="AZ38" s="737">
        <f t="shared" si="26"/>
        <v>23.571744869596191</v>
      </c>
      <c r="BA38" s="634">
        <f t="shared" si="21"/>
        <v>0.99459081404797756</v>
      </c>
      <c r="BC38" s="11">
        <v>43124</v>
      </c>
      <c r="BD38" s="286">
        <f>[3]!FeuilCaduc*(1-Persistant)+Persistant</f>
        <v>0.60019612565608527</v>
      </c>
      <c r="BE38" s="287">
        <f>[3]!CroissVégét</f>
        <v>2.1890219655428525E-3</v>
      </c>
      <c r="BF38" s="807">
        <f>1+[3]!Salcycl*Ksac</f>
        <v>1.0000245157070107</v>
      </c>
      <c r="BH38" s="1041">
        <f t="shared" si="22"/>
        <v>0.14528095878370259</v>
      </c>
      <c r="BI38" s="11">
        <v>44220</v>
      </c>
      <c r="BJ38" s="717">
        <v>4.7533749988184553E-3</v>
      </c>
      <c r="BK38" s="717">
        <v>1.9299476986374939E-2</v>
      </c>
      <c r="BL38" s="717">
        <v>4.1324550227764149E-2</v>
      </c>
      <c r="BM38" s="717">
        <v>6.6977865605285999E-2</v>
      </c>
      <c r="BN38" s="717">
        <v>0.1054821569886189</v>
      </c>
      <c r="BO38" s="718">
        <v>0.14552857273728256</v>
      </c>
      <c r="BP38" s="717">
        <v>0.19386002715078121</v>
      </c>
      <c r="BQ38" s="717">
        <v>0.24079173630726922</v>
      </c>
      <c r="BR38" s="717">
        <v>0.28930518934044053</v>
      </c>
      <c r="BS38" s="717">
        <v>0.3372497212763334</v>
      </c>
      <c r="BT38" s="717">
        <v>0.3856533847870825</v>
      </c>
      <c r="BW38" s="1162">
        <f>'2022'!R\Max</f>
        <v>0.99459081404797756</v>
      </c>
      <c r="BX38" s="1163">
        <f>'2023'!R\Max</f>
        <v>0.99456946565514215</v>
      </c>
      <c r="BY38" s="1163">
        <f>'2024'!R\Max</f>
        <v>0.99454796163414971</v>
      </c>
      <c r="BZ38" s="1163">
        <f>'2025'!R\Max</f>
        <v>0.99452695974765459</v>
      </c>
      <c r="CA38" s="1163">
        <f>'2026'!R\Max</f>
        <v>0.99450585071268349</v>
      </c>
      <c r="CB38" s="1163">
        <f>'2027'!R\Max</f>
        <v>0.99448391725093899</v>
      </c>
      <c r="CC38" s="1164">
        <f>'2028'!R\Max</f>
        <v>0.99446185322767955</v>
      </c>
      <c r="CD38" s="1163">
        <f>'2029'!R\Max</f>
        <v>0.99443992313475038</v>
      </c>
      <c r="CE38" s="1163">
        <f>'2030'!R\Max</f>
        <v>0.99457053722979938</v>
      </c>
      <c r="CF38" s="1165">
        <f>'2031'!R\Max</f>
        <v>0.99454903915037485</v>
      </c>
    </row>
    <row r="39" spans="1:84" s="6" customFormat="1" ht="11.25" x14ac:dyDescent="0.2">
      <c r="A39" s="11">
        <v>43125</v>
      </c>
      <c r="B39" s="375">
        <f>'2022'!Maxi_hp</f>
        <v>21.908704752489474</v>
      </c>
      <c r="C39" s="13">
        <f>'2022'!An_max</f>
        <v>2022</v>
      </c>
      <c r="D39" s="1050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69">
        <f t="shared" si="8"/>
        <v>43122</v>
      </c>
      <c r="I39" s="744">
        <f t="shared" si="9"/>
        <v>0.21428571428571427</v>
      </c>
      <c r="J39" s="737">
        <f t="shared" si="27"/>
        <v>23.858934237674941</v>
      </c>
      <c r="L39" s="747" t="s">
        <v>219</v>
      </c>
      <c r="M39" s="731">
        <f t="shared" ref="M39:AA39" si="46">(y.2lg-y.3lg-(y.1lg-y.2lg)*D2x23Lg/D2x12Lg)/(x.2lg-x.3lg)/(1-(x.2lg+x.3lg)/(x.1lg+x.2lg))</f>
        <v>-4453.0424999996367</v>
      </c>
      <c r="N39" s="731">
        <f t="shared" si="46"/>
        <v>-4015.8786624971335</v>
      </c>
      <c r="O39" s="731">
        <f t="shared" si="46"/>
        <v>-1645.322418367102</v>
      </c>
      <c r="P39" s="731">
        <f t="shared" si="46"/>
        <v>-710.60755867347541</v>
      </c>
      <c r="Q39" s="731">
        <f t="shared" si="46"/>
        <v>2315.4322500002731</v>
      </c>
      <c r="R39" s="731">
        <f t="shared" si="46"/>
        <v>2976.0872602038803</v>
      </c>
      <c r="S39" s="731">
        <f t="shared" si="46"/>
        <v>1764.1014795918675</v>
      </c>
      <c r="T39" s="731">
        <f t="shared" si="46"/>
        <v>1984.6052448980547</v>
      </c>
      <c r="U39" s="731">
        <f t="shared" si="46"/>
        <v>1819.1203852043234</v>
      </c>
      <c r="V39" s="731">
        <f t="shared" si="46"/>
        <v>880.7663112246222</v>
      </c>
      <c r="W39" s="731">
        <f t="shared" si="46"/>
        <v>1598.7950127551617</v>
      </c>
      <c r="X39" s="731">
        <f t="shared" si="46"/>
        <v>-390.87658928578117</v>
      </c>
      <c r="Y39" s="731">
        <f t="shared" si="46"/>
        <v>-1939.3979464283925</v>
      </c>
      <c r="Z39" s="731">
        <f t="shared" si="46"/>
        <v>-4490.7633620694205</v>
      </c>
      <c r="AA39" s="731">
        <f t="shared" si="46"/>
        <v>-4049.8967665928549</v>
      </c>
      <c r="AO39" s="1043">
        <v>43125</v>
      </c>
      <c r="AP39" s="13">
        <f t="shared" si="11"/>
        <v>3</v>
      </c>
      <c r="AQ39" s="13">
        <f t="shared" si="12"/>
        <v>2</v>
      </c>
      <c r="AR39" s="169">
        <f t="shared" si="13"/>
        <v>43136</v>
      </c>
      <c r="AS39" s="744">
        <f t="shared" si="14"/>
        <v>0.39285714285714285</v>
      </c>
      <c r="AT39" s="760">
        <f t="shared" si="15"/>
        <v>23.998209376047765</v>
      </c>
      <c r="AU39" s="13">
        <f t="shared" si="16"/>
        <v>3</v>
      </c>
      <c r="AV39" s="13">
        <f t="shared" si="17"/>
        <v>2</v>
      </c>
      <c r="AW39" s="169">
        <f t="shared" si="18"/>
        <v>43150</v>
      </c>
      <c r="AX39" s="744">
        <f t="shared" si="19"/>
        <v>0.8928571428571429</v>
      </c>
      <c r="AY39" s="760">
        <f t="shared" si="20"/>
        <v>23.810468063290632</v>
      </c>
      <c r="AZ39" s="737">
        <f t="shared" si="26"/>
        <v>23.904338719669198</v>
      </c>
      <c r="BA39" s="634">
        <f t="shared" si="21"/>
        <v>0.9182599915923354</v>
      </c>
      <c r="BC39" s="11">
        <v>43125</v>
      </c>
      <c r="BD39" s="286">
        <f>[3]!FeuilCaduc*(1-Persistant)+Persistant</f>
        <v>0.60013304146569446</v>
      </c>
      <c r="BE39" s="287">
        <f>[3]!CroissVégét</f>
        <v>2.3387100283593187E-3</v>
      </c>
      <c r="BF39" s="807">
        <f>1+[3]!Salcycl*Ksac</f>
        <v>1.0000166301832119</v>
      </c>
      <c r="BH39" s="1041">
        <f t="shared" si="22"/>
        <v>0.13560695489193056</v>
      </c>
      <c r="BI39" s="11">
        <v>44221</v>
      </c>
      <c r="BJ39" s="717">
        <v>3.9852644399738582E-3</v>
      </c>
      <c r="BK39" s="717">
        <v>1.6360722713454689E-2</v>
      </c>
      <c r="BL39" s="717">
        <v>3.614932035408893E-2</v>
      </c>
      <c r="BM39" s="717">
        <v>5.962469877811797E-2</v>
      </c>
      <c r="BN39" s="717">
        <v>9.6719549125555138E-2</v>
      </c>
      <c r="BO39" s="718">
        <v>0.13584889846439938</v>
      </c>
      <c r="BP39" s="717">
        <v>0.1842309734564935</v>
      </c>
      <c r="BQ39" s="717">
        <v>0.23125252188523437</v>
      </c>
      <c r="BR39" s="717">
        <v>0.28044041684574023</v>
      </c>
      <c r="BS39" s="717">
        <v>0.32892711658105217</v>
      </c>
      <c r="BT39" s="717">
        <v>0.37788763439347672</v>
      </c>
      <c r="BW39" s="1162">
        <f>'2022'!R\Max</f>
        <v>0.9182599915923354</v>
      </c>
      <c r="BX39" s="1163">
        <f>'2023'!R\Max</f>
        <v>0.91796623816002521</v>
      </c>
      <c r="BY39" s="1163">
        <f>'2024'!R\Max</f>
        <v>0.91767049117728994</v>
      </c>
      <c r="BZ39" s="1163">
        <f>'2025'!R\Max</f>
        <v>0.91738159609376457</v>
      </c>
      <c r="CA39" s="1163">
        <f>'2026'!R\Max</f>
        <v>0.91709141386740223</v>
      </c>
      <c r="CB39" s="1163">
        <f>'2027'!R\Max</f>
        <v>0.91678652005220862</v>
      </c>
      <c r="CC39" s="1164">
        <f>'2028'!R\Max</f>
        <v>0.91647996988725811</v>
      </c>
      <c r="CD39" s="1163">
        <f>'2029'!R\Max</f>
        <v>0.91617624488327865</v>
      </c>
      <c r="CE39" s="1163">
        <f>'2030'!R\Max</f>
        <v>0.91798098085978541</v>
      </c>
      <c r="CF39" s="1165">
        <f>'2031'!R\Max</f>
        <v>0.91768530561527817</v>
      </c>
    </row>
    <row r="40" spans="1:84" s="6" customFormat="1" ht="11.25" x14ac:dyDescent="0.2">
      <c r="A40" s="11">
        <v>43126</v>
      </c>
      <c r="B40" s="375">
        <f>'2022'!Maxi_hp</f>
        <v>23.575691488486939</v>
      </c>
      <c r="C40" s="13">
        <f>'2022'!An_max</f>
        <v>2022</v>
      </c>
      <c r="D40" s="1050">
        <f t="shared" si="7"/>
        <v>0.97395701323729167</v>
      </c>
      <c r="E40" s="13"/>
      <c r="F40" s="13">
        <f t="shared" si="23"/>
        <v>3</v>
      </c>
      <c r="G40" s="13">
        <f t="shared" si="24"/>
        <v>4</v>
      </c>
      <c r="H40" s="169">
        <f t="shared" si="8"/>
        <v>43122</v>
      </c>
      <c r="I40" s="744">
        <f t="shared" si="9"/>
        <v>0.2857142857142857</v>
      </c>
      <c r="J40" s="737">
        <f t="shared" si="27"/>
        <v>24.20609037982566</v>
      </c>
      <c r="L40" s="747" t="s">
        <v>220</v>
      </c>
      <c r="M40" s="731">
        <f t="shared" ref="M40:AA40" si="47">(y.1lg+y.2lg+y.3lg-a.lg*(x.3lg*x.3lg+x.2lg*x.2lg+x.1lg*x.1lg)-b.lg*(x.3lg+x.2lg+x.1lg))/3</f>
        <v>95939119.707199052</v>
      </c>
      <c r="N40" s="731">
        <f t="shared" si="47"/>
        <v>86519660.857937038</v>
      </c>
      <c r="O40" s="731">
        <f t="shared" si="47"/>
        <v>35408103.065627374</v>
      </c>
      <c r="P40" s="731">
        <f t="shared" si="47"/>
        <v>15241632.090612369</v>
      </c>
      <c r="Q40" s="731">
        <f t="shared" si="47"/>
        <v>-50087534.470720194</v>
      </c>
      <c r="R40" s="731">
        <f t="shared" si="47"/>
        <v>-64359663.157648705</v>
      </c>
      <c r="S40" s="731">
        <f t="shared" si="47"/>
        <v>-38160169.285408832</v>
      </c>
      <c r="T40" s="731">
        <f t="shared" si="47"/>
        <v>-42929885.733246967</v>
      </c>
      <c r="U40" s="731">
        <f t="shared" si="47"/>
        <v>-39347966.319801152</v>
      </c>
      <c r="V40" s="731">
        <f t="shared" si="47"/>
        <v>-19024157.554349806</v>
      </c>
      <c r="W40" s="731">
        <f t="shared" si="47"/>
        <v>-34585991.979246177</v>
      </c>
      <c r="X40" s="731">
        <f t="shared" si="47"/>
        <v>8564011.5587157346</v>
      </c>
      <c r="Y40" s="731">
        <f t="shared" si="47"/>
        <v>42168470.03356754</v>
      </c>
      <c r="Z40" s="731">
        <f t="shared" si="47"/>
        <v>97571364.277044356</v>
      </c>
      <c r="AA40" s="731">
        <f t="shared" si="47"/>
        <v>87991664.873730227</v>
      </c>
      <c r="AB40" s="7"/>
      <c r="AC40" s="7"/>
      <c r="AD40" s="7"/>
      <c r="AE40" s="7"/>
      <c r="AF40" s="7"/>
      <c r="AH40" s="7"/>
      <c r="AI40" s="74"/>
      <c r="AO40" s="1043">
        <v>43126</v>
      </c>
      <c r="AP40" s="13">
        <f t="shared" si="11"/>
        <v>3</v>
      </c>
      <c r="AQ40" s="13">
        <f t="shared" si="12"/>
        <v>2</v>
      </c>
      <c r="AR40" s="169">
        <f t="shared" si="13"/>
        <v>43136</v>
      </c>
      <c r="AS40" s="744">
        <f t="shared" si="14"/>
        <v>0.35714285714285715</v>
      </c>
      <c r="AT40" s="760">
        <f t="shared" si="15"/>
        <v>24.34722120458526</v>
      </c>
      <c r="AU40" s="13">
        <f t="shared" si="16"/>
        <v>3</v>
      </c>
      <c r="AV40" s="13">
        <f t="shared" si="17"/>
        <v>2</v>
      </c>
      <c r="AW40" s="169">
        <f t="shared" si="18"/>
        <v>43150</v>
      </c>
      <c r="AX40" s="744">
        <f t="shared" si="19"/>
        <v>0.8571428571428571</v>
      </c>
      <c r="AY40" s="760">
        <f t="shared" si="20"/>
        <v>24.140702614720379</v>
      </c>
      <c r="AZ40" s="737">
        <f t="shared" si="26"/>
        <v>24.243961909652818</v>
      </c>
      <c r="BA40" s="634">
        <f t="shared" si="21"/>
        <v>0.97395701323729167</v>
      </c>
      <c r="BC40" s="11">
        <v>43126</v>
      </c>
      <c r="BD40" s="286">
        <f>[3]!FeuilCaduc*(1-Persistant)+Persistant</f>
        <v>0.60008239894324023</v>
      </c>
      <c r="BE40" s="287">
        <f>[3]!CroissVégét</f>
        <v>2.4946300531446561E-3</v>
      </c>
      <c r="BF40" s="807">
        <f>1+[3]!Salcycl*Ksac</f>
        <v>1.000010299867905</v>
      </c>
      <c r="BH40" s="1041">
        <f t="shared" si="22"/>
        <v>0.12589511236183665</v>
      </c>
      <c r="BI40" s="11">
        <v>44222</v>
      </c>
      <c r="BJ40" s="717">
        <v>3.3626056586945831E-3</v>
      </c>
      <c r="BK40" s="717">
        <v>1.3789730535426661E-2</v>
      </c>
      <c r="BL40" s="717">
        <v>3.142426384890934E-2</v>
      </c>
      <c r="BM40" s="717">
        <v>5.2717253678154656E-2</v>
      </c>
      <c r="BN40" s="717">
        <v>8.8172522796561237E-2</v>
      </c>
      <c r="BO40" s="718">
        <v>0.12612980886324457</v>
      </c>
      <c r="BP40" s="717">
        <v>0.17429676552485174</v>
      </c>
      <c r="BQ40" s="717">
        <v>0.22125398153112297</v>
      </c>
      <c r="BR40" s="717">
        <v>0.27104912430270278</v>
      </c>
      <c r="BS40" s="717">
        <v>0.32004329074157795</v>
      </c>
      <c r="BT40" s="717">
        <v>0.36958069807085903</v>
      </c>
      <c r="BW40" s="1162">
        <f>'2022'!R\Max</f>
        <v>0.97395701323729167</v>
      </c>
      <c r="BX40" s="1163">
        <f>'2023'!R\Max</f>
        <v>0.97385961197979798</v>
      </c>
      <c r="BY40" s="1163">
        <f>'2024'!R\Max</f>
        <v>0.97376149943345813</v>
      </c>
      <c r="BZ40" s="1163">
        <f>'2025'!R\Max</f>
        <v>0.97366533411684808</v>
      </c>
      <c r="CA40" s="1163">
        <f>'2026'!R\Max</f>
        <v>0.9735687032938406</v>
      </c>
      <c r="CB40" s="1163">
        <f>'2027'!R\Max</f>
        <v>0.97346575117704814</v>
      </c>
      <c r="CC40" s="1164">
        <f>'2028'!R\Max</f>
        <v>0.97336218161511823</v>
      </c>
      <c r="CD40" s="1163">
        <f>'2029'!R\Max</f>
        <v>0.97325971078140894</v>
      </c>
      <c r="CE40" s="1163">
        <f>'2030'!R\Max</f>
        <v>0.97386450192438068</v>
      </c>
      <c r="CF40" s="1165">
        <f>'2031'!R\Max</f>
        <v>0.9737664148389914</v>
      </c>
    </row>
    <row r="41" spans="1:84" s="6" customFormat="1" ht="11.25" x14ac:dyDescent="0.2">
      <c r="A41" s="11">
        <v>43127</v>
      </c>
      <c r="B41" s="375">
        <f>'2022'!Maxi_hp</f>
        <v>19.735165141649773</v>
      </c>
      <c r="C41" s="13">
        <f>'2022'!An_max</f>
        <v>2022</v>
      </c>
      <c r="D41" s="1050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69">
        <f t="shared" si="8"/>
        <v>43122</v>
      </c>
      <c r="I41" s="744">
        <f t="shared" si="9"/>
        <v>0.35714285714285715</v>
      </c>
      <c r="J41" s="737">
        <f t="shared" si="27"/>
        <v>24.561547249209667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43">
        <v>43127</v>
      </c>
      <c r="AP41" s="13">
        <f t="shared" si="11"/>
        <v>3</v>
      </c>
      <c r="AQ41" s="13">
        <f t="shared" si="12"/>
        <v>2</v>
      </c>
      <c r="AR41" s="169">
        <f t="shared" si="13"/>
        <v>43136</v>
      </c>
      <c r="AS41" s="744">
        <f t="shared" si="14"/>
        <v>0.32142857142857145</v>
      </c>
      <c r="AT41" s="760">
        <f t="shared" si="15"/>
        <v>24.700448402868851</v>
      </c>
      <c r="AU41" s="13">
        <f t="shared" si="16"/>
        <v>3</v>
      </c>
      <c r="AV41" s="13">
        <f t="shared" si="17"/>
        <v>2</v>
      </c>
      <c r="AW41" s="169">
        <f t="shared" si="18"/>
        <v>43150</v>
      </c>
      <c r="AX41" s="744">
        <f t="shared" si="19"/>
        <v>0.8214285714285714</v>
      </c>
      <c r="AY41" s="760">
        <f t="shared" si="20"/>
        <v>24.479739041692977</v>
      </c>
      <c r="AZ41" s="737">
        <f t="shared" si="26"/>
        <v>24.590093722280912</v>
      </c>
      <c r="BA41" s="634">
        <f t="shared" si="21"/>
        <v>0.80349844989039954</v>
      </c>
      <c r="BC41" s="11">
        <v>43127</v>
      </c>
      <c r="BD41" s="286">
        <f>[3]!FeuilCaduc*(1-Persistant)+Persistant</f>
        <v>0.60004433415154113</v>
      </c>
      <c r="BE41" s="287">
        <f>[3]!CroissVégét</f>
        <v>2.6570394167881404E-3</v>
      </c>
      <c r="BF41" s="807">
        <f>1+[3]!Salcycl*Ksac</f>
        <v>1.0000055417689426</v>
      </c>
      <c r="BH41" s="1041">
        <f t="shared" si="22"/>
        <v>0.11614603138298096</v>
      </c>
      <c r="BI41" s="11">
        <v>44223</v>
      </c>
      <c r="BJ41" s="717">
        <v>2.8854533739893717E-3</v>
      </c>
      <c r="BK41" s="717">
        <v>1.1586692897518439E-2</v>
      </c>
      <c r="BL41" s="717">
        <v>2.7149708440471515E-2</v>
      </c>
      <c r="BM41" s="717">
        <v>4.6255986098785402E-2</v>
      </c>
      <c r="BN41" s="717">
        <v>7.9841618020153715E-2</v>
      </c>
      <c r="BO41" s="718">
        <v>0.11637190449774097</v>
      </c>
      <c r="BP41" s="717">
        <v>0.1640580271244356</v>
      </c>
      <c r="BQ41" s="717">
        <v>0.21079676960374241</v>
      </c>
      <c r="BR41" s="717">
        <v>0.2611319794430586</v>
      </c>
      <c r="BS41" s="717">
        <v>0.31059893353416229</v>
      </c>
      <c r="BT41" s="717">
        <v>0.36073329268519877</v>
      </c>
      <c r="BW41" s="1162">
        <f>'2022'!R\Max</f>
        <v>0.80349844989039954</v>
      </c>
      <c r="BX41" s="1163">
        <f>'2023'!R\Max</f>
        <v>0.80290745118569373</v>
      </c>
      <c r="BY41" s="1163">
        <f>'2024'!R\Max</f>
        <v>0.80231286749843644</v>
      </c>
      <c r="BZ41" s="1163">
        <f>'2025'!R\Max</f>
        <v>0.80172779308876152</v>
      </c>
      <c r="CA41" s="1163">
        <f>'2026'!R\Max</f>
        <v>0.80114065538629553</v>
      </c>
      <c r="CB41" s="1163">
        <f>'2027'!R\Max</f>
        <v>0.80050632964786761</v>
      </c>
      <c r="CC41" s="1164">
        <f>'2028'!R\Max</f>
        <v>0.79986900861330823</v>
      </c>
      <c r="CD41" s="1163">
        <f>'2029'!R\Max</f>
        <v>0.79924006861546049</v>
      </c>
      <c r="CE41" s="1163">
        <f>'2030'!R\Max</f>
        <v>0.8029371073042938</v>
      </c>
      <c r="CF41" s="1165">
        <f>'2031'!R\Max</f>
        <v>0.80234263596837929</v>
      </c>
    </row>
    <row r="42" spans="1:84" s="6" customFormat="1" ht="11.25" x14ac:dyDescent="0.2">
      <c r="A42" s="11">
        <v>43128</v>
      </c>
      <c r="B42" s="375">
        <f>'2022'!Maxi_hp</f>
        <v>4.7066426478923402</v>
      </c>
      <c r="C42" s="13">
        <f>'2022'!An_max</f>
        <v>2022</v>
      </c>
      <c r="D42" s="1050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69">
        <f t="shared" si="8"/>
        <v>43122</v>
      </c>
      <c r="I42" s="744">
        <f t="shared" si="9"/>
        <v>0.42857142857142855</v>
      </c>
      <c r="J42" s="737">
        <f t="shared" si="27"/>
        <v>24.924321866088679</v>
      </c>
      <c r="M42" s="6" t="s">
        <v>230</v>
      </c>
      <c r="AC42" s="7"/>
      <c r="AD42" s="7"/>
      <c r="AE42" s="7"/>
      <c r="AF42" s="7"/>
      <c r="AH42" s="7"/>
      <c r="AI42" s="74"/>
      <c r="AO42" s="1043">
        <v>43128</v>
      </c>
      <c r="AP42" s="13">
        <f t="shared" si="11"/>
        <v>3</v>
      </c>
      <c r="AQ42" s="13">
        <f t="shared" si="12"/>
        <v>2</v>
      </c>
      <c r="AR42" s="169">
        <f t="shared" si="13"/>
        <v>43136</v>
      </c>
      <c r="AS42" s="744">
        <f t="shared" si="14"/>
        <v>0.2857142857142857</v>
      </c>
      <c r="AT42" s="760">
        <f t="shared" si="15"/>
        <v>25.057301971316338</v>
      </c>
      <c r="AU42" s="13">
        <f t="shared" si="16"/>
        <v>3</v>
      </c>
      <c r="AV42" s="13">
        <f t="shared" si="17"/>
        <v>2</v>
      </c>
      <c r="AW42" s="169">
        <f t="shared" si="18"/>
        <v>43150</v>
      </c>
      <c r="AX42" s="744">
        <f t="shared" si="19"/>
        <v>0.7857142857142857</v>
      </c>
      <c r="AY42" s="760">
        <f t="shared" si="20"/>
        <v>24.827124914553547</v>
      </c>
      <c r="AZ42" s="737">
        <f t="shared" si="26"/>
        <v>24.942213442934943</v>
      </c>
      <c r="BA42" s="634">
        <f t="shared" si="21"/>
        <v>0.18883734021650811</v>
      </c>
      <c r="BC42" s="11">
        <v>43128</v>
      </c>
      <c r="BD42" s="286">
        <f>[3]!FeuilCaduc*(1-Persistant)+Persistant</f>
        <v>0.60001890915601352</v>
      </c>
      <c r="BE42" s="287">
        <f>[3]!CroissVégét</f>
        <v>2.826205948480045E-3</v>
      </c>
      <c r="BF42" s="807">
        <f>1+[3]!Salcycl*Ksac</f>
        <v>1.0000023636445017</v>
      </c>
      <c r="BH42" s="1041">
        <f t="shared" si="22"/>
        <v>0.10636027442976068</v>
      </c>
      <c r="BI42" s="11">
        <v>44224</v>
      </c>
      <c r="BJ42" s="717">
        <v>2.5538464364674696E-3</v>
      </c>
      <c r="BK42" s="717">
        <v>9.7517579123416308E-3</v>
      </c>
      <c r="BL42" s="717">
        <v>2.3325920912797393E-2</v>
      </c>
      <c r="BM42" s="717">
        <v>4.0241282057324322E-2</v>
      </c>
      <c r="BN42" s="717">
        <v>7.1727319011052407E-2</v>
      </c>
      <c r="BO42" s="718">
        <v>0.10657574832918959</v>
      </c>
      <c r="BP42" s="717">
        <v>0.15351536761682308</v>
      </c>
      <c r="BQ42" s="717">
        <v>0.1998815397344931</v>
      </c>
      <c r="BR42" s="717">
        <v>0.25068965786124792</v>
      </c>
      <c r="BS42" s="717">
        <v>0.3005947478113935</v>
      </c>
      <c r="BT42" s="717">
        <v>0.35134614870259495</v>
      </c>
      <c r="BW42" s="1162">
        <f>'2022'!R\Max</f>
        <v>0.18883734021650811</v>
      </c>
      <c r="BX42" s="1163">
        <f>'2023'!R\Max</f>
        <v>0.18835839568211515</v>
      </c>
      <c r="BY42" s="1163">
        <f>'2024'!R\Max</f>
        <v>0.18787827126681159</v>
      </c>
      <c r="BZ42" s="1163">
        <f>'2025'!R\Max</f>
        <v>0.18740395642679938</v>
      </c>
      <c r="CA42" s="1163">
        <f>'2026'!R\Max</f>
        <v>0.18692969754665276</v>
      </c>
      <c r="CB42" s="1163">
        <f>'2027'!R\Max</f>
        <v>0.18641043746491184</v>
      </c>
      <c r="CC42" s="1164">
        <f>'2028'!R\Max</f>
        <v>0.18589074390159582</v>
      </c>
      <c r="CD42" s="1163">
        <f>'2029'!R\Max</f>
        <v>0.18538019888268195</v>
      </c>
      <c r="CE42" s="1163">
        <f>'2030'!R\Max</f>
        <v>0.18838239048841657</v>
      </c>
      <c r="CF42" s="1165">
        <f>'2031'!R\Max</f>
        <v>0.18790226607311297</v>
      </c>
    </row>
    <row r="43" spans="1:84" s="6" customFormat="1" ht="11.25" x14ac:dyDescent="0.2">
      <c r="A43" s="11">
        <v>43129</v>
      </c>
      <c r="B43" s="375">
        <f>'2022'!Maxi_hp</f>
        <v>7.0726171921905499</v>
      </c>
      <c r="C43" s="13">
        <f>'2022'!An_max</f>
        <v>2022</v>
      </c>
      <c r="D43" s="1050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69">
        <f t="shared" si="8"/>
        <v>43122</v>
      </c>
      <c r="I43" s="744">
        <f t="shared" si="9"/>
        <v>0.5</v>
      </c>
      <c r="J43" s="737">
        <f t="shared" si="27"/>
        <v>25.293431250937282</v>
      </c>
      <c r="L43" s="171">
        <f>M43-28</f>
        <v>43065</v>
      </c>
      <c r="M43" s="171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1">
        <f>AO12</f>
        <v>43487</v>
      </c>
      <c r="AB43" s="171">
        <f>AA43+28</f>
        <v>43515</v>
      </c>
      <c r="AC43" s="7"/>
      <c r="AD43" s="7"/>
      <c r="AE43" s="7"/>
      <c r="AF43" s="7"/>
      <c r="AH43" s="7"/>
      <c r="AI43" s="74"/>
      <c r="AO43" s="1043">
        <v>43129</v>
      </c>
      <c r="AP43" s="13">
        <f t="shared" si="11"/>
        <v>3</v>
      </c>
      <c r="AQ43" s="13">
        <f t="shared" si="12"/>
        <v>2</v>
      </c>
      <c r="AR43" s="169">
        <f t="shared" si="13"/>
        <v>43136</v>
      </c>
      <c r="AS43" s="744">
        <f t="shared" si="14"/>
        <v>0.25</v>
      </c>
      <c r="AT43" s="760">
        <f t="shared" si="15"/>
        <v>25.417192913778127</v>
      </c>
      <c r="AU43" s="13">
        <f t="shared" si="16"/>
        <v>3</v>
      </c>
      <c r="AV43" s="13">
        <f t="shared" si="17"/>
        <v>2</v>
      </c>
      <c r="AW43" s="169">
        <f t="shared" si="18"/>
        <v>43150</v>
      </c>
      <c r="AX43" s="744">
        <f t="shared" si="19"/>
        <v>0.75</v>
      </c>
      <c r="AY43" s="760">
        <f t="shared" si="20"/>
        <v>25.182407799921929</v>
      </c>
      <c r="AZ43" s="737">
        <f t="shared" si="26"/>
        <v>25.299800356850028</v>
      </c>
      <c r="BA43" s="634">
        <f t="shared" si="21"/>
        <v>0.2796226863023365</v>
      </c>
      <c r="BC43" s="11">
        <v>43129</v>
      </c>
      <c r="BD43" s="286">
        <f>[3]!FeuilCaduc*(1-Persistant)+Persistant</f>
        <v>0.60000610652707764</v>
      </c>
      <c r="BE43" s="287">
        <f>[3]!CroissVégét</f>
        <v>3.0024083390505912E-3</v>
      </c>
      <c r="BF43" s="807">
        <f>1+[3]!Salcycl*Ksac</f>
        <v>1.0000007633158847</v>
      </c>
      <c r="BH43" s="1041">
        <f t="shared" si="22"/>
        <v>9.6538365899852457E-2</v>
      </c>
      <c r="BI43" s="11">
        <v>44225</v>
      </c>
      <c r="BJ43" s="717">
        <v>2.367809358644547E-3</v>
      </c>
      <c r="BK43" s="717">
        <v>8.2850332314453462E-3</v>
      </c>
      <c r="BL43" s="717">
        <v>1.9953111849598953E-2</v>
      </c>
      <c r="BM43" s="717">
        <v>3.4673462498974052E-2</v>
      </c>
      <c r="BN43" s="717">
        <v>6.383005647384242E-2</v>
      </c>
      <c r="BO43" s="718">
        <v>9.6741865338192137E-2</v>
      </c>
      <c r="BP43" s="717">
        <v>0.14266937879445632</v>
      </c>
      <c r="BQ43" s="717">
        <v>0.18850894005344165</v>
      </c>
      <c r="BR43" s="717">
        <v>0.23972283754254961</v>
      </c>
      <c r="BS43" s="717">
        <v>0.2900314436739031</v>
      </c>
      <c r="BT43" s="717">
        <v>0.34142000457990457</v>
      </c>
      <c r="BW43" s="1162">
        <f>'2022'!R\Max</f>
        <v>0.2796226863023365</v>
      </c>
      <c r="BX43" s="1163">
        <f>'2023'!R\Max</f>
        <v>0.27893905179488898</v>
      </c>
      <c r="BY43" s="1163">
        <f>'2024'!R\Max</f>
        <v>0.27825359829281343</v>
      </c>
      <c r="BZ43" s="1163">
        <f>'2025'!R\Max</f>
        <v>0.27756944515718945</v>
      </c>
      <c r="CA43" s="1163">
        <f>'2026'!R\Max</f>
        <v>0.27688530431362951</v>
      </c>
      <c r="CB43" s="1163">
        <f>'2027'!R\Max</f>
        <v>0.27612170434838956</v>
      </c>
      <c r="CC43" s="1164">
        <f>'2028'!R\Max</f>
        <v>0.27535735324929778</v>
      </c>
      <c r="CD43" s="1163">
        <f>'2029'!R\Max</f>
        <v>0.27460638680471028</v>
      </c>
      <c r="CE43" s="1163">
        <f>'2030'!R\Max</f>
        <v>0.27897330817404126</v>
      </c>
      <c r="CF43" s="1165">
        <f>'2031'!R\Max</f>
        <v>0.27828785467196571</v>
      </c>
    </row>
    <row r="44" spans="1:84" s="6" customFormat="1" ht="11.25" x14ac:dyDescent="0.2">
      <c r="A44" s="11">
        <v>43130</v>
      </c>
      <c r="B44" s="375">
        <f>'2022'!Maxi_hp</f>
        <v>5.0966884891748485</v>
      </c>
      <c r="C44" s="13">
        <f>'2022'!An_max</f>
        <v>2022</v>
      </c>
      <c r="D44" s="1050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69">
        <f t="shared" si="8"/>
        <v>43122</v>
      </c>
      <c r="I44" s="744">
        <f t="shared" si="9"/>
        <v>0.5714285714285714</v>
      </c>
      <c r="J44" s="737">
        <f t="shared" si="27"/>
        <v>25.667892420291899</v>
      </c>
      <c r="L44" s="765">
        <f>AK13</f>
        <v>209.79</v>
      </c>
      <c r="M44" s="765">
        <f>M13</f>
        <v>169.83</v>
      </c>
      <c r="N44" s="755">
        <f>O13</f>
        <v>228.77099999999999</v>
      </c>
      <c r="O44" s="755">
        <f>Q13</f>
        <v>336.66300000000001</v>
      </c>
      <c r="P44" s="755">
        <f>S13</f>
        <v>461.53800000000001</v>
      </c>
      <c r="Q44" s="755">
        <f>U13</f>
        <v>578.42100000000005</v>
      </c>
      <c r="R44" s="755">
        <f>W13</f>
        <v>636.36299999999994</v>
      </c>
      <c r="S44" s="755">
        <f>Y13</f>
        <v>652.34699999999998</v>
      </c>
      <c r="T44" s="755">
        <f>AA13</f>
        <v>637.36199999999997</v>
      </c>
      <c r="U44" s="755">
        <f>AC13</f>
        <v>585.41399999999999</v>
      </c>
      <c r="V44" s="755">
        <f>AE13</f>
        <v>511.488</v>
      </c>
      <c r="W44" s="755">
        <f>AG13</f>
        <v>411.58800000000002</v>
      </c>
      <c r="X44" s="755">
        <f>AI13</f>
        <v>299.7</v>
      </c>
      <c r="Y44" s="755">
        <f>AK13</f>
        <v>209.79</v>
      </c>
      <c r="Z44" s="755">
        <f>AM13</f>
        <v>169.83</v>
      </c>
      <c r="AA44" s="763">
        <f>AO13</f>
        <v>228.77099999999999</v>
      </c>
      <c r="AB44" s="763">
        <f>Q13</f>
        <v>336.66300000000001</v>
      </c>
      <c r="AD44" s="7"/>
      <c r="AE44" s="7"/>
      <c r="AF44" s="7"/>
      <c r="AH44" s="7"/>
      <c r="AI44" s="74"/>
      <c r="AO44" s="1043">
        <v>43130</v>
      </c>
      <c r="AP44" s="13">
        <f t="shared" si="11"/>
        <v>3</v>
      </c>
      <c r="AQ44" s="13">
        <f t="shared" si="12"/>
        <v>2</v>
      </c>
      <c r="AR44" s="169">
        <f t="shared" si="13"/>
        <v>43136</v>
      </c>
      <c r="AS44" s="744">
        <f t="shared" si="14"/>
        <v>0.21428571428571427</v>
      </c>
      <c r="AT44" s="760">
        <f t="shared" si="15"/>
        <v>25.779532228090932</v>
      </c>
      <c r="AU44" s="13">
        <f t="shared" si="16"/>
        <v>3</v>
      </c>
      <c r="AV44" s="13">
        <f t="shared" si="17"/>
        <v>2</v>
      </c>
      <c r="AW44" s="169">
        <f t="shared" si="18"/>
        <v>43150</v>
      </c>
      <c r="AX44" s="744">
        <f t="shared" si="19"/>
        <v>0.7142857142857143</v>
      </c>
      <c r="AY44" s="760">
        <f t="shared" si="20"/>
        <v>25.545135263672897</v>
      </c>
      <c r="AZ44" s="737">
        <f t="shared" si="26"/>
        <v>25.662333745881917</v>
      </c>
      <c r="BA44" s="634">
        <f t="shared" si="21"/>
        <v>0.19856279610809152</v>
      </c>
      <c r="BC44" s="11">
        <v>43130</v>
      </c>
      <c r="BD44" s="286">
        <f>[3]!FeuilCaduc*(1-Persistant)+Persistant</f>
        <v>0.60000582537781422</v>
      </c>
      <c r="BE44" s="287">
        <f>[3]!CroissVégét</f>
        <v>3.1859365650375344E-3</v>
      </c>
      <c r="BF44" s="807">
        <f>1+[3]!Salcycl*Ksac</f>
        <v>1.0000007281722267</v>
      </c>
      <c r="BH44" s="1041">
        <f t="shared" si="22"/>
        <v>8.7062413560490007E-2</v>
      </c>
      <c r="BI44" s="11">
        <v>44226</v>
      </c>
      <c r="BJ44" s="717">
        <v>2.3280826349821935E-3</v>
      </c>
      <c r="BK44" s="717">
        <v>7.1825326785061698E-3</v>
      </c>
      <c r="BL44" s="717">
        <v>1.7085072926941877E-2</v>
      </c>
      <c r="BM44" s="717">
        <v>2.9700167954485573E-2</v>
      </c>
      <c r="BN44" s="717">
        <v>5.6427050491217122E-2</v>
      </c>
      <c r="BO44" s="718">
        <v>8.7253015865755332E-2</v>
      </c>
      <c r="BP44" s="717">
        <v>0.1318866468739669</v>
      </c>
      <c r="BQ44" s="717">
        <v>0.1769460898761992</v>
      </c>
      <c r="BR44" s="717">
        <v>0.22831383090094923</v>
      </c>
      <c r="BS44" s="717">
        <v>0.27884630531109011</v>
      </c>
      <c r="BT44" s="717">
        <v>0.33074755043492304</v>
      </c>
      <c r="BW44" s="1162">
        <f>'2022'!R\Max</f>
        <v>0.19856279610809152</v>
      </c>
      <c r="BX44" s="1163">
        <f>'2023'!R\Max</f>
        <v>0.19809798671851311</v>
      </c>
      <c r="BY44" s="1163">
        <f>'2024'!R\Max</f>
        <v>0.19763185350479109</v>
      </c>
      <c r="BZ44" s="1163">
        <f>'2025'!R\Max</f>
        <v>0.19716131413203714</v>
      </c>
      <c r="CA44" s="1163">
        <f>'2026'!R\Max</f>
        <v>0.196690733932741</v>
      </c>
      <c r="CB44" s="1163">
        <f>'2027'!R\Max</f>
        <v>0.19615487761159256</v>
      </c>
      <c r="CC44" s="1164">
        <f>'2028'!R\Max</f>
        <v>0.19561841643501698</v>
      </c>
      <c r="CD44" s="1163">
        <f>'2029'!R\Max</f>
        <v>0.19509059831050599</v>
      </c>
      <c r="CE44" s="1163">
        <f>'2030'!R\Max</f>
        <v>0.19812128229736181</v>
      </c>
      <c r="CF44" s="1165">
        <f>'2031'!R\Max</f>
        <v>0.19765514908363974</v>
      </c>
    </row>
    <row r="45" spans="1:84" s="6" customFormat="1" ht="11.25" x14ac:dyDescent="0.2">
      <c r="A45" s="11">
        <v>43131</v>
      </c>
      <c r="B45" s="375">
        <f>'2022'!Maxi_hp</f>
        <v>11.815810990102225</v>
      </c>
      <c r="C45" s="13">
        <f>'2022'!An_max</f>
        <v>2022</v>
      </c>
      <c r="D45" s="1050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69">
        <f t="shared" si="8"/>
        <v>43122</v>
      </c>
      <c r="I45" s="744">
        <f t="shared" si="9"/>
        <v>0.6428571428571429</v>
      </c>
      <c r="J45" s="737">
        <f t="shared" si="27"/>
        <v>26.04672239390867</v>
      </c>
      <c r="L45" s="745" t="s">
        <v>210</v>
      </c>
      <c r="M45" s="775">
        <f t="shared" ref="M45:AA45" si="48">L43</f>
        <v>43065</v>
      </c>
      <c r="N45" s="776">
        <f t="shared" si="48"/>
        <v>43093</v>
      </c>
      <c r="O45" s="727">
        <f t="shared" si="48"/>
        <v>43122</v>
      </c>
      <c r="P45" s="727">
        <f t="shared" si="48"/>
        <v>43150</v>
      </c>
      <c r="Q45" s="727">
        <f t="shared" si="48"/>
        <v>43178</v>
      </c>
      <c r="R45" s="727">
        <f t="shared" si="48"/>
        <v>43206</v>
      </c>
      <c r="S45" s="727">
        <f t="shared" si="48"/>
        <v>43234</v>
      </c>
      <c r="T45" s="727">
        <f t="shared" si="48"/>
        <v>43262</v>
      </c>
      <c r="U45" s="727">
        <f t="shared" si="48"/>
        <v>43290</v>
      </c>
      <c r="V45" s="727">
        <f t="shared" si="48"/>
        <v>43318</v>
      </c>
      <c r="W45" s="727">
        <f t="shared" si="48"/>
        <v>43346</v>
      </c>
      <c r="X45" s="727">
        <f t="shared" si="48"/>
        <v>43374</v>
      </c>
      <c r="Y45" s="727">
        <f t="shared" si="48"/>
        <v>43402</v>
      </c>
      <c r="Z45" s="727">
        <f t="shared" si="48"/>
        <v>43430</v>
      </c>
      <c r="AA45" s="768">
        <f t="shared" si="48"/>
        <v>43458</v>
      </c>
      <c r="AD45" s="7"/>
      <c r="AE45" s="7"/>
      <c r="AF45" s="7"/>
      <c r="AH45" s="7"/>
      <c r="AI45" s="74"/>
      <c r="AO45" s="1043">
        <v>43131</v>
      </c>
      <c r="AP45" s="13">
        <f t="shared" si="11"/>
        <v>3</v>
      </c>
      <c r="AQ45" s="13">
        <f t="shared" si="12"/>
        <v>2</v>
      </c>
      <c r="AR45" s="169">
        <f t="shared" si="13"/>
        <v>43136</v>
      </c>
      <c r="AS45" s="744">
        <f t="shared" si="14"/>
        <v>0.17857142857142858</v>
      </c>
      <c r="AT45" s="760">
        <f t="shared" si="15"/>
        <v>26.143730915364408</v>
      </c>
      <c r="AU45" s="13">
        <f t="shared" si="16"/>
        <v>3</v>
      </c>
      <c r="AV45" s="13">
        <f t="shared" si="17"/>
        <v>2</v>
      </c>
      <c r="AW45" s="169">
        <f t="shared" si="18"/>
        <v>43150</v>
      </c>
      <c r="AX45" s="744">
        <f t="shared" si="19"/>
        <v>0.6785714285714286</v>
      </c>
      <c r="AY45" s="760">
        <f t="shared" si="20"/>
        <v>25.914854874395367</v>
      </c>
      <c r="AZ45" s="737">
        <f t="shared" si="26"/>
        <v>26.029292894879887</v>
      </c>
      <c r="BA45" s="634">
        <f t="shared" si="21"/>
        <v>0.45363907256390501</v>
      </c>
      <c r="BC45" s="11">
        <v>43131</v>
      </c>
      <c r="BD45" s="286">
        <f>[3]!FeuilCaduc*(1-Persistant)+Persistant</f>
        <v>0.60001787894495195</v>
      </c>
      <c r="BE45" s="287">
        <f>[3]!CroissVégét</f>
        <v>3.3770923278976551E-3</v>
      </c>
      <c r="BF45" s="807">
        <f>1+[3]!Salcycl*Ksac</f>
        <v>1.000002234868119</v>
      </c>
      <c r="BH45" s="1041">
        <f t="shared" si="22"/>
        <v>7.8127972829122525E-2</v>
      </c>
      <c r="BI45" s="11">
        <v>44227</v>
      </c>
      <c r="BJ45" s="717">
        <v>2.2864013369518609E-3</v>
      </c>
      <c r="BK45" s="717">
        <v>6.2085756120044341E-3</v>
      </c>
      <c r="BL45" s="717">
        <v>1.4519218976075632E-2</v>
      </c>
      <c r="BM45" s="717">
        <v>2.5220333768525366E-2</v>
      </c>
      <c r="BN45" s="717">
        <v>4.9589350902187079E-2</v>
      </c>
      <c r="BO45" s="718">
        <v>7.8305529958642081E-2</v>
      </c>
      <c r="BP45" s="717">
        <v>0.12142694911245834</v>
      </c>
      <c r="BQ45" s="717">
        <v>0.1654695040017333</v>
      </c>
      <c r="BR45" s="717">
        <v>0.21670881249401486</v>
      </c>
      <c r="BS45" s="717">
        <v>0.26726985334748643</v>
      </c>
      <c r="BT45" s="717">
        <v>0.31954125007397333</v>
      </c>
      <c r="BW45" s="1162">
        <f>'2022'!R\Max</f>
        <v>0.45363907256390501</v>
      </c>
      <c r="BX45" s="1163">
        <f>'2023'!R\Max</f>
        <v>0.45284969236853234</v>
      </c>
      <c r="BY45" s="1163">
        <f>'2024'!R\Max</f>
        <v>0.45205715813663283</v>
      </c>
      <c r="BZ45" s="1163">
        <f>'2025'!R\Max</f>
        <v>0.45124704278733807</v>
      </c>
      <c r="CA45" s="1163">
        <f>'2026'!R\Max</f>
        <v>0.45043596160243821</v>
      </c>
      <c r="CB45" s="1163">
        <f>'2027'!R\Max</f>
        <v>0.44949251405418195</v>
      </c>
      <c r="CC45" s="1164">
        <f>'2028'!R\Max</f>
        <v>0.4485467696736104</v>
      </c>
      <c r="CD45" s="1163">
        <f>'2029'!R\Max</f>
        <v>0.44761234678456563</v>
      </c>
      <c r="CE45" s="1163">
        <f>'2030'!R\Max</f>
        <v>0.45288927982771293</v>
      </c>
      <c r="CF45" s="1165">
        <f>'2031'!R\Max</f>
        <v>0.45209678448334079</v>
      </c>
    </row>
    <row r="46" spans="1:84" s="6" customFormat="1" ht="11.25" x14ac:dyDescent="0.2">
      <c r="A46" s="11">
        <v>43132</v>
      </c>
      <c r="B46" s="375">
        <f>'2022'!Maxi_hp</f>
        <v>15.230246512611631</v>
      </c>
      <c r="C46" s="13">
        <f>'2022'!An_max</f>
        <v>2022</v>
      </c>
      <c r="D46" s="1050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69">
        <f t="shared" si="8"/>
        <v>43122</v>
      </c>
      <c r="I46" s="744">
        <f t="shared" si="9"/>
        <v>0.7142857142857143</v>
      </c>
      <c r="J46" s="737">
        <f t="shared" si="27"/>
        <v>26.428938192182351</v>
      </c>
      <c r="L46" s="746" t="s">
        <v>211</v>
      </c>
      <c r="M46" s="767">
        <f t="shared" ref="M46:AA46" si="49">L44</f>
        <v>209.79</v>
      </c>
      <c r="N46" s="771">
        <f t="shared" si="49"/>
        <v>169.83</v>
      </c>
      <c r="O46" s="733">
        <f t="shared" si="49"/>
        <v>228.77099999999999</v>
      </c>
      <c r="P46" s="733">
        <f t="shared" si="49"/>
        <v>336.66300000000001</v>
      </c>
      <c r="Q46" s="733">
        <f t="shared" si="49"/>
        <v>461.53800000000001</v>
      </c>
      <c r="R46" s="733">
        <f t="shared" si="49"/>
        <v>578.42100000000005</v>
      </c>
      <c r="S46" s="733">
        <f t="shared" si="49"/>
        <v>636.36299999999994</v>
      </c>
      <c r="T46" s="733">
        <f t="shared" si="49"/>
        <v>652.34699999999998</v>
      </c>
      <c r="U46" s="733">
        <f t="shared" si="49"/>
        <v>637.36199999999997</v>
      </c>
      <c r="V46" s="733">
        <f t="shared" si="49"/>
        <v>585.41399999999999</v>
      </c>
      <c r="W46" s="733">
        <f t="shared" si="49"/>
        <v>511.488</v>
      </c>
      <c r="X46" s="733">
        <f t="shared" si="49"/>
        <v>411.58800000000002</v>
      </c>
      <c r="Y46" s="733">
        <f t="shared" si="49"/>
        <v>299.7</v>
      </c>
      <c r="Z46" s="733">
        <f t="shared" si="49"/>
        <v>209.79</v>
      </c>
      <c r="AA46" s="769">
        <f t="shared" si="49"/>
        <v>169.83</v>
      </c>
      <c r="AD46" s="7"/>
      <c r="AE46" s="7"/>
      <c r="AF46" s="7"/>
      <c r="AH46" s="7"/>
      <c r="AI46" s="74"/>
      <c r="AO46" s="1043">
        <v>43132</v>
      </c>
      <c r="AP46" s="13">
        <f t="shared" si="11"/>
        <v>3</v>
      </c>
      <c r="AQ46" s="13">
        <f t="shared" si="12"/>
        <v>2</v>
      </c>
      <c r="AR46" s="169">
        <f t="shared" si="13"/>
        <v>43136</v>
      </c>
      <c r="AS46" s="744">
        <f t="shared" si="14"/>
        <v>0.14285714285714285</v>
      </c>
      <c r="AT46" s="760">
        <f t="shared" si="15"/>
        <v>26.509199979262696</v>
      </c>
      <c r="AU46" s="13">
        <f t="shared" si="16"/>
        <v>3</v>
      </c>
      <c r="AV46" s="13">
        <f t="shared" si="17"/>
        <v>2</v>
      </c>
      <c r="AW46" s="169">
        <f t="shared" si="18"/>
        <v>43150</v>
      </c>
      <c r="AX46" s="744">
        <f t="shared" si="19"/>
        <v>0.6428571428571429</v>
      </c>
      <c r="AY46" s="760">
        <f t="shared" si="20"/>
        <v>26.291114199374402</v>
      </c>
      <c r="AZ46" s="737">
        <f t="shared" si="26"/>
        <v>26.400157089318547</v>
      </c>
      <c r="BA46" s="634">
        <f t="shared" si="21"/>
        <v>0.57627160054113413</v>
      </c>
      <c r="BC46" s="11">
        <v>43132</v>
      </c>
      <c r="BD46" s="286">
        <f>[3]!FeuilCaduc*(1-Persistant)+Persistant</f>
        <v>0.60004199370502986</v>
      </c>
      <c r="BE46" s="287">
        <f>[3]!CroissVégét</f>
        <v>3.5761895087786043E-3</v>
      </c>
      <c r="BF46" s="807">
        <f>1+[3]!Salcycl*Ksac</f>
        <v>1.0000052492131288</v>
      </c>
      <c r="BH46" s="1041">
        <f t="shared" si="22"/>
        <v>6.973538824294534E-2</v>
      </c>
      <c r="BI46" s="11">
        <v>44228</v>
      </c>
      <c r="BJ46" s="717">
        <v>2.2427693483030699E-3</v>
      </c>
      <c r="BK46" s="717">
        <v>5.3631931490530672E-3</v>
      </c>
      <c r="BL46" s="717">
        <v>1.2255632153244794E-2</v>
      </c>
      <c r="BM46" s="717">
        <v>2.1234105218849903E-2</v>
      </c>
      <c r="BN46" s="717">
        <v>4.3317201955296127E-2</v>
      </c>
      <c r="BO46" s="718">
        <v>6.9899752778007931E-2</v>
      </c>
      <c r="BP46" s="717">
        <v>0.11129073828890747</v>
      </c>
      <c r="BQ46" s="717">
        <v>0.15407972856966937</v>
      </c>
      <c r="BR46" s="717">
        <v>0.20490840278756903</v>
      </c>
      <c r="BS46" s="717">
        <v>0.25530277167184751</v>
      </c>
      <c r="BT46" s="717">
        <v>0.30780183831948704</v>
      </c>
      <c r="BW46" s="1162">
        <f>'2022'!R\Max</f>
        <v>0.57627160054113413</v>
      </c>
      <c r="BX46" s="1163">
        <f>'2023'!R\Max</f>
        <v>0.57553572970194833</v>
      </c>
      <c r="BY46" s="1163">
        <f>'2024'!R\Max</f>
        <v>0.57479630518279401</v>
      </c>
      <c r="BZ46" s="1163">
        <f>'2025'!R\Max</f>
        <v>0.57403082563585139</v>
      </c>
      <c r="CA46" s="1163">
        <f>'2026'!R\Max</f>
        <v>0.57326380073956507</v>
      </c>
      <c r="CB46" s="1163">
        <f>'2027'!R\Max</f>
        <v>0.57235220166330192</v>
      </c>
      <c r="CC46" s="1164">
        <f>'2028'!R\Max</f>
        <v>0.57143745336054508</v>
      </c>
      <c r="CD46" s="1163">
        <f>'2029'!R\Max</f>
        <v>0.57052858928127492</v>
      </c>
      <c r="CE46" s="1163">
        <f>'2030'!R\Max</f>
        <v>0.57557265094385668</v>
      </c>
      <c r="CF46" s="1165">
        <f>'2031'!R\Max</f>
        <v>0.57483328817440282</v>
      </c>
    </row>
    <row r="47" spans="1:84" s="6" customFormat="1" ht="11.25" x14ac:dyDescent="0.2">
      <c r="A47" s="11">
        <v>43133</v>
      </c>
      <c r="B47" s="375">
        <f>'2022'!Maxi_hp</f>
        <v>6.1412851991901132</v>
      </c>
      <c r="C47" s="13">
        <f>'2022'!An_max</f>
        <v>2022</v>
      </c>
      <c r="D47" s="1050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69">
        <f t="shared" si="8"/>
        <v>43122</v>
      </c>
      <c r="I47" s="744">
        <f t="shared" si="9"/>
        <v>0.7857142857142857</v>
      </c>
      <c r="J47" s="737">
        <f t="shared" si="27"/>
        <v>26.81355683276696</v>
      </c>
      <c r="L47" s="746" t="s">
        <v>212</v>
      </c>
      <c r="M47" s="778">
        <f t="shared" ref="M47:AA47" si="50">M43</f>
        <v>43093</v>
      </c>
      <c r="N47" s="728">
        <f t="shared" si="50"/>
        <v>43122</v>
      </c>
      <c r="O47" s="728">
        <f t="shared" si="50"/>
        <v>43150</v>
      </c>
      <c r="P47" s="728">
        <f t="shared" si="50"/>
        <v>43178</v>
      </c>
      <c r="Q47" s="728">
        <f t="shared" si="50"/>
        <v>43206</v>
      </c>
      <c r="R47" s="728">
        <f t="shared" si="50"/>
        <v>43234</v>
      </c>
      <c r="S47" s="728">
        <f t="shared" si="50"/>
        <v>43262</v>
      </c>
      <c r="T47" s="728">
        <f t="shared" si="50"/>
        <v>43290</v>
      </c>
      <c r="U47" s="728">
        <f t="shared" si="50"/>
        <v>43318</v>
      </c>
      <c r="V47" s="728">
        <f t="shared" si="50"/>
        <v>43346</v>
      </c>
      <c r="W47" s="728">
        <f t="shared" si="50"/>
        <v>43374</v>
      </c>
      <c r="X47" s="728">
        <f t="shared" si="50"/>
        <v>43402</v>
      </c>
      <c r="Y47" s="728">
        <f t="shared" si="50"/>
        <v>43430</v>
      </c>
      <c r="Z47" s="770">
        <f t="shared" si="50"/>
        <v>43458</v>
      </c>
      <c r="AA47" s="777">
        <f t="shared" si="50"/>
        <v>43487</v>
      </c>
      <c r="AD47" s="7"/>
      <c r="AE47" s="7"/>
      <c r="AF47" s="7"/>
      <c r="AH47" s="7"/>
      <c r="AI47" s="74"/>
      <c r="AO47" s="1043">
        <v>43133</v>
      </c>
      <c r="AP47" s="13">
        <f t="shared" si="11"/>
        <v>3</v>
      </c>
      <c r="AQ47" s="13">
        <f t="shared" si="12"/>
        <v>2</v>
      </c>
      <c r="AR47" s="169">
        <f t="shared" si="13"/>
        <v>43136</v>
      </c>
      <c r="AS47" s="744">
        <f t="shared" si="14"/>
        <v>0.10714285714285714</v>
      </c>
      <c r="AT47" s="760">
        <f t="shared" si="15"/>
        <v>26.875350418873133</v>
      </c>
      <c r="AU47" s="13">
        <f t="shared" si="16"/>
        <v>3</v>
      </c>
      <c r="AV47" s="13">
        <f t="shared" si="17"/>
        <v>2</v>
      </c>
      <c r="AW47" s="169">
        <f t="shared" si="18"/>
        <v>43150</v>
      </c>
      <c r="AX47" s="744">
        <f t="shared" si="19"/>
        <v>0.6071428571428571</v>
      </c>
      <c r="AY47" s="760">
        <f t="shared" si="20"/>
        <v>26.673460806147858</v>
      </c>
      <c r="AZ47" s="737">
        <f t="shared" si="26"/>
        <v>26.774405612510495</v>
      </c>
      <c r="BA47" s="634">
        <f t="shared" si="21"/>
        <v>0.22903657420358647</v>
      </c>
      <c r="BC47" s="11">
        <v>43133</v>
      </c>
      <c r="BD47" s="286">
        <f>[3]!FeuilCaduc*(1-Persistant)+Persistant</f>
        <v>0.60007781000177363</v>
      </c>
      <c r="BE47" s="287">
        <f>[3]!CroissVégét</f>
        <v>3.7835546392683654E-3</v>
      </c>
      <c r="BF47" s="807">
        <f>1+[3]!Salcycl*Ksac</f>
        <v>1.0000097262502217</v>
      </c>
      <c r="BH47" s="1041">
        <f t="shared" si="22"/>
        <v>6.1884934541219884E-2</v>
      </c>
      <c r="BI47" s="11">
        <v>44229</v>
      </c>
      <c r="BJ47" s="717">
        <v>2.1971904924916758E-3</v>
      </c>
      <c r="BK47" s="717">
        <v>4.6464046656166042E-3</v>
      </c>
      <c r="BL47" s="717">
        <v>1.02943658522277E-2</v>
      </c>
      <c r="BM47" s="717">
        <v>1.7741579395731583E-2</v>
      </c>
      <c r="BN47" s="717">
        <v>3.7610785515127212E-2</v>
      </c>
      <c r="BO47" s="718">
        <v>6.2035959640947456E-2</v>
      </c>
      <c r="BP47" s="717">
        <v>0.10147840394077684</v>
      </c>
      <c r="BQ47" s="717">
        <v>0.14277725625846452</v>
      </c>
      <c r="BR47" s="717">
        <v>0.19291318500248358</v>
      </c>
      <c r="BS47" s="717">
        <v>0.24294571863229017</v>
      </c>
      <c r="BT47" s="717">
        <v>0.29553003445411341</v>
      </c>
      <c r="BW47" s="1162">
        <f>'2022'!R\Max</f>
        <v>0.22903657420358647</v>
      </c>
      <c r="BX47" s="1163">
        <f>'2023'!R\Max</f>
        <v>0.22858317081738688</v>
      </c>
      <c r="BY47" s="1163">
        <f>'2024'!R\Max</f>
        <v>0.228128280940607</v>
      </c>
      <c r="BZ47" s="1163">
        <f>'2025'!R\Max</f>
        <v>0.22765216486625364</v>
      </c>
      <c r="CA47" s="1163">
        <f>'2026'!R\Max</f>
        <v>0.2271758650279592</v>
      </c>
      <c r="CB47" s="1163">
        <f>'2027'!R\Max</f>
        <v>0.22659852195471269</v>
      </c>
      <c r="CC47" s="1164">
        <f>'2028'!R\Max</f>
        <v>0.22602030407665105</v>
      </c>
      <c r="CD47" s="1163">
        <f>'2029'!R\Max</f>
        <v>0.22544326841916162</v>
      </c>
      <c r="CE47" s="1163">
        <f>'2030'!R\Max</f>
        <v>0.2286059044966873</v>
      </c>
      <c r="CF47" s="1165">
        <f>'2031'!R\Max</f>
        <v>0.22815101461990733</v>
      </c>
    </row>
    <row r="48" spans="1:84" s="6" customFormat="1" ht="11.25" x14ac:dyDescent="0.2">
      <c r="A48" s="11">
        <v>43134</v>
      </c>
      <c r="B48" s="375">
        <f>'2022'!Maxi_hp</f>
        <v>14.189329287709032</v>
      </c>
      <c r="C48" s="13">
        <f>'2022'!An_max</f>
        <v>2022</v>
      </c>
      <c r="D48" s="1050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69">
        <f t="shared" si="8"/>
        <v>43122</v>
      </c>
      <c r="I48" s="744">
        <f t="shared" si="9"/>
        <v>0.8571428571428571</v>
      </c>
      <c r="J48" s="737">
        <f t="shared" si="27"/>
        <v>27.199595335019485</v>
      </c>
      <c r="L48" s="746" t="s">
        <v>213</v>
      </c>
      <c r="M48" s="771">
        <f t="shared" ref="M48:AA48" si="51">M44</f>
        <v>169.83</v>
      </c>
      <c r="N48" s="734">
        <f t="shared" si="51"/>
        <v>228.77099999999999</v>
      </c>
      <c r="O48" s="734">
        <f t="shared" si="51"/>
        <v>336.66300000000001</v>
      </c>
      <c r="P48" s="734">
        <f t="shared" si="51"/>
        <v>461.53800000000001</v>
      </c>
      <c r="Q48" s="734">
        <f t="shared" si="51"/>
        <v>578.42100000000005</v>
      </c>
      <c r="R48" s="734">
        <f t="shared" si="51"/>
        <v>636.36299999999994</v>
      </c>
      <c r="S48" s="734">
        <f t="shared" si="51"/>
        <v>652.34699999999998</v>
      </c>
      <c r="T48" s="734">
        <f t="shared" si="51"/>
        <v>637.36199999999997</v>
      </c>
      <c r="U48" s="734">
        <f t="shared" si="51"/>
        <v>585.41399999999999</v>
      </c>
      <c r="V48" s="734">
        <f t="shared" si="51"/>
        <v>511.488</v>
      </c>
      <c r="W48" s="734">
        <f t="shared" si="51"/>
        <v>411.58800000000002</v>
      </c>
      <c r="X48" s="734">
        <f t="shared" si="51"/>
        <v>299.7</v>
      </c>
      <c r="Y48" s="734">
        <f t="shared" si="51"/>
        <v>209.79</v>
      </c>
      <c r="Z48" s="769">
        <f t="shared" si="51"/>
        <v>169.83</v>
      </c>
      <c r="AA48" s="767">
        <f t="shared" si="51"/>
        <v>228.77099999999999</v>
      </c>
      <c r="AD48" s="7"/>
      <c r="AE48" s="7"/>
      <c r="AF48" s="7"/>
      <c r="AH48" s="7"/>
      <c r="AI48" s="74"/>
      <c r="AO48" s="1043">
        <v>43134</v>
      </c>
      <c r="AP48" s="13">
        <f t="shared" si="11"/>
        <v>3</v>
      </c>
      <c r="AQ48" s="13">
        <f t="shared" si="12"/>
        <v>2</v>
      </c>
      <c r="AR48" s="169">
        <f t="shared" si="13"/>
        <v>43136</v>
      </c>
      <c r="AS48" s="744">
        <f t="shared" si="14"/>
        <v>7.1428571428571425E-2</v>
      </c>
      <c r="AT48" s="760">
        <f t="shared" si="15"/>
        <v>27.241593233495951</v>
      </c>
      <c r="AU48" s="13">
        <f t="shared" si="16"/>
        <v>3</v>
      </c>
      <c r="AV48" s="13">
        <f t="shared" si="17"/>
        <v>2</v>
      </c>
      <c r="AW48" s="169">
        <f t="shared" si="18"/>
        <v>43150</v>
      </c>
      <c r="AX48" s="744">
        <f t="shared" si="19"/>
        <v>0.5714285714285714</v>
      </c>
      <c r="AY48" s="760">
        <f t="shared" si="20"/>
        <v>27.061442261721407</v>
      </c>
      <c r="AZ48" s="737">
        <f t="shared" si="26"/>
        <v>27.151517747608679</v>
      </c>
      <c r="BA48" s="634">
        <f t="shared" si="21"/>
        <v>0.52167427908165487</v>
      </c>
      <c r="BC48" s="11">
        <v>43134</v>
      </c>
      <c r="BD48" s="286">
        <f>[3]!FeuilCaduc*(1-Persistant)+Persistant</f>
        <v>0.60012488414550325</v>
      </c>
      <c r="BE48" s="287">
        <f>[3]!CroissVégét</f>
        <v>3.9995273885343324E-3</v>
      </c>
      <c r="BF48" s="807">
        <f>1+[3]!Salcycl*Ksac</f>
        <v>1.0000156105181879</v>
      </c>
      <c r="BH48" s="1041">
        <f t="shared" si="22"/>
        <v>5.4576822363839088E-2</v>
      </c>
      <c r="BI48" s="11">
        <v>44230</v>
      </c>
      <c r="BJ48" s="717">
        <v>2.1496685123995195E-3</v>
      </c>
      <c r="BK48" s="717">
        <v>4.0582191479786546E-3</v>
      </c>
      <c r="BL48" s="717">
        <v>8.6354478813626557E-3</v>
      </c>
      <c r="BM48" s="717">
        <v>1.4742810390089718E-2</v>
      </c>
      <c r="BN48" s="717">
        <v>3.247022700794417E-2</v>
      </c>
      <c r="BO48" s="718">
        <v>5.4714361717522399E-2</v>
      </c>
      <c r="BP48" s="717">
        <v>9.1990275771348148E-2</v>
      </c>
      <c r="BQ48" s="717">
        <v>0.13156252720944053</v>
      </c>
      <c r="BR48" s="717">
        <v>0.18072370307816699</v>
      </c>
      <c r="BS48" s="717">
        <v>0.23019932295322029</v>
      </c>
      <c r="BT48" s="717">
        <v>0.28272653664591441</v>
      </c>
      <c r="BW48" s="1162">
        <f>'2022'!R\Max</f>
        <v>0.52167427908165487</v>
      </c>
      <c r="BX48" s="1163">
        <f>'2023'!R\Max</f>
        <v>0.5210164666130499</v>
      </c>
      <c r="BY48" s="1163">
        <f>'2024'!R\Max</f>
        <v>0.52035565399456885</v>
      </c>
      <c r="BZ48" s="1163">
        <f>'2025'!R\Max</f>
        <v>0.51965362500117529</v>
      </c>
      <c r="CA48" s="1163">
        <f>'2026'!R\Max</f>
        <v>0.51895037916444609</v>
      </c>
      <c r="CB48" s="1163">
        <f>'2027'!R\Max</f>
        <v>0.51807693310756076</v>
      </c>
      <c r="CC48" s="1164">
        <f>'2028'!R\Max</f>
        <v>0.51720070260092155</v>
      </c>
      <c r="CD48" s="1163">
        <f>'2029'!R\Max</f>
        <v>0.51631754061905044</v>
      </c>
      <c r="CE48" s="1163">
        <f>'2030'!R\Max</f>
        <v>0.52104947120216005</v>
      </c>
      <c r="CF48" s="1165">
        <f>'2031'!R\Max</f>
        <v>0.52038869732234716</v>
      </c>
    </row>
    <row r="49" spans="1:84" s="6" customFormat="1" ht="11.25" x14ac:dyDescent="0.2">
      <c r="A49" s="11">
        <v>43135</v>
      </c>
      <c r="B49" s="375">
        <f>'2022'!Maxi_hp</f>
        <v>12.946736780036268</v>
      </c>
      <c r="C49" s="13">
        <f>'2022'!An_max</f>
        <v>2022</v>
      </c>
      <c r="D49" s="1050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69">
        <f t="shared" si="8"/>
        <v>43122</v>
      </c>
      <c r="I49" s="744">
        <f t="shared" si="9"/>
        <v>0.9285714285714286</v>
      </c>
      <c r="J49" s="737">
        <f t="shared" si="27"/>
        <v>27.58607071723257</v>
      </c>
      <c r="L49" s="746" t="s">
        <v>214</v>
      </c>
      <c r="M49" s="773">
        <f t="shared" ref="M49:AA49" si="52">N43</f>
        <v>43122</v>
      </c>
      <c r="N49" s="729">
        <f t="shared" si="52"/>
        <v>43150</v>
      </c>
      <c r="O49" s="729">
        <f t="shared" si="52"/>
        <v>43178</v>
      </c>
      <c r="P49" s="729">
        <f t="shared" si="52"/>
        <v>43206</v>
      </c>
      <c r="Q49" s="729">
        <f t="shared" si="52"/>
        <v>43234</v>
      </c>
      <c r="R49" s="729">
        <f t="shared" si="52"/>
        <v>43262</v>
      </c>
      <c r="S49" s="729">
        <f t="shared" si="52"/>
        <v>43290</v>
      </c>
      <c r="T49" s="729">
        <f t="shared" si="52"/>
        <v>43318</v>
      </c>
      <c r="U49" s="729">
        <f t="shared" si="52"/>
        <v>43346</v>
      </c>
      <c r="V49" s="729">
        <f t="shared" si="52"/>
        <v>43374</v>
      </c>
      <c r="W49" s="729">
        <f t="shared" si="52"/>
        <v>43402</v>
      </c>
      <c r="X49" s="729">
        <f t="shared" si="52"/>
        <v>43430</v>
      </c>
      <c r="Y49" s="729">
        <f t="shared" si="52"/>
        <v>43458</v>
      </c>
      <c r="Z49" s="779">
        <f t="shared" si="52"/>
        <v>43487</v>
      </c>
      <c r="AA49" s="777">
        <f t="shared" si="52"/>
        <v>43515</v>
      </c>
      <c r="AD49" s="7"/>
      <c r="AE49" s="7"/>
      <c r="AF49" s="7"/>
      <c r="AH49" s="7"/>
      <c r="AI49" s="74"/>
      <c r="AO49" s="1043">
        <v>43135</v>
      </c>
      <c r="AP49" s="13">
        <f t="shared" si="11"/>
        <v>3</v>
      </c>
      <c r="AQ49" s="13">
        <f t="shared" si="12"/>
        <v>2</v>
      </c>
      <c r="AR49" s="169">
        <f t="shared" si="13"/>
        <v>43136</v>
      </c>
      <c r="AS49" s="744">
        <f t="shared" si="14"/>
        <v>3.5714285714285712E-2</v>
      </c>
      <c r="AT49" s="760">
        <f t="shared" si="15"/>
        <v>27.607339427566956</v>
      </c>
      <c r="AU49" s="13">
        <f t="shared" si="16"/>
        <v>3</v>
      </c>
      <c r="AV49" s="13">
        <f t="shared" si="17"/>
        <v>2</v>
      </c>
      <c r="AW49" s="169">
        <f t="shared" si="18"/>
        <v>43150</v>
      </c>
      <c r="AX49" s="744">
        <f t="shared" si="19"/>
        <v>0.5357142857142857</v>
      </c>
      <c r="AY49" s="760">
        <f t="shared" si="20"/>
        <v>27.454606132887839</v>
      </c>
      <c r="AZ49" s="737">
        <f t="shared" si="26"/>
        <v>27.530972780227398</v>
      </c>
      <c r="BA49" s="634">
        <f t="shared" si="21"/>
        <v>0.46932152508217317</v>
      </c>
      <c r="BC49" s="11">
        <v>43135</v>
      </c>
      <c r="BD49" s="286">
        <f>[3]!FeuilCaduc*(1-Persistant)+Persistant</f>
        <v>0.60018269193090101</v>
      </c>
      <c r="BE49" s="287">
        <f>[3]!CroissVégét</f>
        <v>4.2244610672662677E-3</v>
      </c>
      <c r="BF49" s="807">
        <f>1+[3]!Salcycl*Ksac</f>
        <v>1.0000228364913626</v>
      </c>
      <c r="BH49" s="1041">
        <f t="shared" si="22"/>
        <v>4.7811203950143592E-2</v>
      </c>
      <c r="BI49" s="11">
        <v>44231</v>
      </c>
      <c r="BJ49" s="717">
        <v>2.1002070500626023E-3</v>
      </c>
      <c r="BK49" s="717">
        <v>3.5986365442275173E-3</v>
      </c>
      <c r="BL49" s="717">
        <v>7.2788836406151372E-3</v>
      </c>
      <c r="BM49" s="717">
        <v>1.2237814481692763E-2</v>
      </c>
      <c r="BN49" s="717">
        <v>2.7895601367485482E-2</v>
      </c>
      <c r="BO49" s="718">
        <v>4.7935111728041289E-2</v>
      </c>
      <c r="BP49" s="717">
        <v>8.2826627057465005E-2</v>
      </c>
      <c r="BQ49" s="717">
        <v>0.12043592995139145</v>
      </c>
      <c r="BR49" s="717">
        <v>0.16834045963682195</v>
      </c>
      <c r="BS49" s="717">
        <v>0.21706417965322547</v>
      </c>
      <c r="BT49" s="717">
        <v>0.26939201637472615</v>
      </c>
      <c r="BW49" s="1162">
        <f>'2022'!R\Max</f>
        <v>0.46932152508217317</v>
      </c>
      <c r="BX49" s="1163">
        <f>'2023'!R\Max</f>
        <v>0.46871566556036992</v>
      </c>
      <c r="BY49" s="1163">
        <f>'2024'!R\Max</f>
        <v>0.46810719709797927</v>
      </c>
      <c r="BZ49" s="1163">
        <f>'2025'!R\Max</f>
        <v>0.4674511561355234</v>
      </c>
      <c r="CA49" s="1163">
        <f>'2026'!R\Max</f>
        <v>0.4667941434447091</v>
      </c>
      <c r="CB49" s="1163">
        <f>'2027'!R\Max</f>
        <v>0.46595789654598191</v>
      </c>
      <c r="CC49" s="1164">
        <f>'2028'!R\Max</f>
        <v>0.46511923146021744</v>
      </c>
      <c r="CD49" s="1163">
        <f>'2029'!R\Max</f>
        <v>0.46426536242604599</v>
      </c>
      <c r="CE49" s="1163">
        <f>'2030'!R\Max</f>
        <v>0.46874606132108482</v>
      </c>
      <c r="CF49" s="1165">
        <f>'2031'!R\Max</f>
        <v>0.46813761800075926</v>
      </c>
    </row>
    <row r="50" spans="1:84" s="6" customFormat="1" ht="11.25" x14ac:dyDescent="0.2">
      <c r="A50" s="11">
        <v>43136</v>
      </c>
      <c r="B50" s="375">
        <f>'2022'!Maxi_hp</f>
        <v>10.165216263192344</v>
      </c>
      <c r="C50" s="13">
        <f>'2022'!An_max</f>
        <v>2022</v>
      </c>
      <c r="D50" s="1050" t="str">
        <f t="shared" si="7"/>
        <v/>
      </c>
      <c r="E50" s="1045">
        <f>P$13/10</f>
        <v>27.972000000000001</v>
      </c>
      <c r="F50" s="13">
        <f t="shared" si="23"/>
        <v>5</v>
      </c>
      <c r="G50" s="13">
        <f t="shared" si="24"/>
        <v>4</v>
      </c>
      <c r="H50" s="169">
        <f t="shared" si="8"/>
        <v>43150</v>
      </c>
      <c r="I50" s="744">
        <f t="shared" si="9"/>
        <v>1</v>
      </c>
      <c r="J50" s="737">
        <f t="shared" si="27"/>
        <v>27.97199999988079</v>
      </c>
      <c r="L50" s="746" t="s">
        <v>215</v>
      </c>
      <c r="M50" s="774">
        <f t="shared" ref="M50:AA50" si="53">N44</f>
        <v>228.77099999999999</v>
      </c>
      <c r="N50" s="734">
        <f t="shared" si="53"/>
        <v>336.66300000000001</v>
      </c>
      <c r="O50" s="734">
        <f t="shared" si="53"/>
        <v>461.53800000000001</v>
      </c>
      <c r="P50" s="734">
        <f t="shared" si="53"/>
        <v>578.42100000000005</v>
      </c>
      <c r="Q50" s="734">
        <f t="shared" si="53"/>
        <v>636.36299999999994</v>
      </c>
      <c r="R50" s="734">
        <f t="shared" si="53"/>
        <v>652.34699999999998</v>
      </c>
      <c r="S50" s="734">
        <f t="shared" si="53"/>
        <v>637.36199999999997</v>
      </c>
      <c r="T50" s="734">
        <f t="shared" si="53"/>
        <v>585.41399999999999</v>
      </c>
      <c r="U50" s="734">
        <f t="shared" si="53"/>
        <v>511.488</v>
      </c>
      <c r="V50" s="734">
        <f t="shared" si="53"/>
        <v>411.58800000000002</v>
      </c>
      <c r="W50" s="734">
        <f t="shared" si="53"/>
        <v>299.7</v>
      </c>
      <c r="X50" s="734">
        <f t="shared" si="53"/>
        <v>209.79</v>
      </c>
      <c r="Y50" s="734">
        <f t="shared" si="53"/>
        <v>169.83</v>
      </c>
      <c r="Z50" s="780">
        <f t="shared" si="53"/>
        <v>228.77099999999999</v>
      </c>
      <c r="AA50" s="767">
        <f t="shared" si="53"/>
        <v>336.66300000000001</v>
      </c>
      <c r="AD50" s="7"/>
      <c r="AE50" s="7"/>
      <c r="AF50" s="7"/>
      <c r="AH50" s="7"/>
      <c r="AI50" s="74"/>
      <c r="AO50" s="1043">
        <v>43136</v>
      </c>
      <c r="AP50" s="13">
        <f t="shared" si="11"/>
        <v>3</v>
      </c>
      <c r="AQ50" s="13">
        <f t="shared" si="12"/>
        <v>4</v>
      </c>
      <c r="AR50" s="169">
        <f t="shared" si="13"/>
        <v>43136</v>
      </c>
      <c r="AS50" s="744">
        <f t="shared" si="14"/>
        <v>0</v>
      </c>
      <c r="AT50" s="760">
        <f t="shared" si="15"/>
        <v>27.972000000625847</v>
      </c>
      <c r="AU50" s="13">
        <f t="shared" si="16"/>
        <v>3</v>
      </c>
      <c r="AV50" s="13">
        <f t="shared" si="17"/>
        <v>2</v>
      </c>
      <c r="AW50" s="169">
        <f t="shared" si="18"/>
        <v>43150</v>
      </c>
      <c r="AX50" s="744">
        <f t="shared" si="19"/>
        <v>0.5</v>
      </c>
      <c r="AY50" s="760">
        <f t="shared" si="20"/>
        <v>27.852499988675117</v>
      </c>
      <c r="AZ50" s="737">
        <f t="shared" si="26"/>
        <v>27.91224999465048</v>
      </c>
      <c r="BA50" s="634">
        <f t="shared" si="21"/>
        <v>0.36340684481751984</v>
      </c>
      <c r="BC50" s="11">
        <v>43136</v>
      </c>
      <c r="BD50" s="286">
        <f>[3]!FeuilCaduc*(1-Persistant)+Persistant</f>
        <v>0.60025063350584451</v>
      </c>
      <c r="BE50" s="287">
        <f>[3]!CroissVégét</f>
        <v>4.4587231488279668E-3</v>
      </c>
      <c r="BF50" s="807">
        <f>1+[3]!Salcycl*Ksac</f>
        <v>1.0000313291882306</v>
      </c>
      <c r="BH50" s="1041">
        <f t="shared" si="22"/>
        <v>4.1588178837615383E-2</v>
      </c>
      <c r="BI50" s="11">
        <v>44232</v>
      </c>
      <c r="BJ50" s="717">
        <v>2.048809626397273E-3</v>
      </c>
      <c r="BK50" s="717">
        <v>3.2676491157317355E-3</v>
      </c>
      <c r="BL50" s="717">
        <v>6.2246592986188454E-3</v>
      </c>
      <c r="BM50" s="717">
        <v>1.0226575327314259E-2</v>
      </c>
      <c r="BN50" s="717">
        <v>2.388693898067519E-2</v>
      </c>
      <c r="BO50" s="718">
        <v>4.169830964021623E-2</v>
      </c>
      <c r="BP50" s="717">
        <v>7.3987678057104489E-2</v>
      </c>
      <c r="BQ50" s="717">
        <v>0.10939780232497394</v>
      </c>
      <c r="BR50" s="717">
        <v>0.1557639139474436</v>
      </c>
      <c r="BS50" s="717">
        <v>0.20354084596266922</v>
      </c>
      <c r="BT50" s="717">
        <v>0.2555271128581868</v>
      </c>
      <c r="BW50" s="1162">
        <f>'2022'!R\Max</f>
        <v>0.36340684481751984</v>
      </c>
      <c r="BX50" s="1163">
        <f>'2023'!R\Max</f>
        <v>0.36289335998924094</v>
      </c>
      <c r="BY50" s="1163">
        <f>'2024'!R\Max</f>
        <v>0.36237790272024301</v>
      </c>
      <c r="BZ50" s="1163">
        <f>'2025'!R\Max</f>
        <v>0.36181285338697639</v>
      </c>
      <c r="CA50" s="1163">
        <f>'2026'!R\Max</f>
        <v>0.3612472347909868</v>
      </c>
      <c r="CB50" s="1163">
        <f>'2027'!R\Max</f>
        <v>0.36050773193654367</v>
      </c>
      <c r="CC50" s="1164">
        <f>'2028'!R\Max</f>
        <v>0.35976654411047532</v>
      </c>
      <c r="CD50" s="1163">
        <f>'2029'!R\Max</f>
        <v>0.3590026671692112</v>
      </c>
      <c r="CE50" s="1163">
        <f>'2030'!R\Max</f>
        <v>0.36291911677797561</v>
      </c>
      <c r="CF50" s="1165">
        <f>'2031'!R\Max</f>
        <v>0.36240366678629587</v>
      </c>
    </row>
    <row r="51" spans="1:84" s="6" customFormat="1" ht="11.25" x14ac:dyDescent="0.2">
      <c r="A51" s="11">
        <v>43137</v>
      </c>
      <c r="B51" s="375">
        <f>'2022'!Maxi_hp</f>
        <v>22.322890993589862</v>
      </c>
      <c r="C51" s="13">
        <f>'2022'!An_max</f>
        <v>2022</v>
      </c>
      <c r="D51" s="1050" t="str">
        <f t="shared" si="7"/>
        <v/>
      </c>
      <c r="E51" s="13"/>
      <c r="F51" s="13">
        <f t="shared" si="23"/>
        <v>5</v>
      </c>
      <c r="G51" s="13">
        <f t="shared" si="24"/>
        <v>4</v>
      </c>
      <c r="H51" s="169">
        <f t="shared" si="8"/>
        <v>43150</v>
      </c>
      <c r="I51" s="744">
        <f t="shared" si="9"/>
        <v>0.9285714285714286</v>
      </c>
      <c r="J51" s="737">
        <f t="shared" si="27"/>
        <v>28.359567584030863</v>
      </c>
      <c r="L51" s="747" t="s">
        <v>216</v>
      </c>
      <c r="M51" s="731">
        <f t="shared" ref="M51:AA51" si="54">x.1ld*x.1ld-x.2ld*x.2ld</f>
        <v>-2412424</v>
      </c>
      <c r="N51" s="731">
        <f t="shared" si="54"/>
        <v>-2500235</v>
      </c>
      <c r="O51" s="731">
        <f t="shared" si="54"/>
        <v>-2415616</v>
      </c>
      <c r="P51" s="731">
        <f t="shared" si="54"/>
        <v>-2417184</v>
      </c>
      <c r="Q51" s="731">
        <f t="shared" si="54"/>
        <v>-2418752</v>
      </c>
      <c r="R51" s="731">
        <f t="shared" si="54"/>
        <v>-2420320</v>
      </c>
      <c r="S51" s="731">
        <f t="shared" si="54"/>
        <v>-2421888</v>
      </c>
      <c r="T51" s="731">
        <f t="shared" si="54"/>
        <v>-2423456</v>
      </c>
      <c r="U51" s="731">
        <f t="shared" si="54"/>
        <v>-2425024</v>
      </c>
      <c r="V51" s="731">
        <f t="shared" si="54"/>
        <v>-2426592</v>
      </c>
      <c r="W51" s="731">
        <f t="shared" si="54"/>
        <v>-2428160</v>
      </c>
      <c r="X51" s="731">
        <f t="shared" si="54"/>
        <v>-2429728</v>
      </c>
      <c r="Y51" s="731">
        <f t="shared" si="54"/>
        <v>-2431296</v>
      </c>
      <c r="Z51" s="731">
        <f t="shared" si="54"/>
        <v>-2432864</v>
      </c>
      <c r="AA51" s="731">
        <f t="shared" si="54"/>
        <v>-2521405</v>
      </c>
      <c r="AC51" s="7"/>
      <c r="AD51" s="7"/>
      <c r="AE51" s="7"/>
      <c r="AF51" s="7"/>
      <c r="AH51" s="7"/>
      <c r="AI51" s="74"/>
      <c r="AO51" s="1043">
        <v>43137</v>
      </c>
      <c r="AP51" s="13">
        <f t="shared" si="11"/>
        <v>3</v>
      </c>
      <c r="AQ51" s="13">
        <f t="shared" si="12"/>
        <v>4</v>
      </c>
      <c r="AR51" s="169">
        <f t="shared" si="13"/>
        <v>43136</v>
      </c>
      <c r="AS51" s="744">
        <f t="shared" si="14"/>
        <v>3.5714285714285712E-2</v>
      </c>
      <c r="AT51" s="760">
        <f t="shared" si="15"/>
        <v>28.338877197547948</v>
      </c>
      <c r="AU51" s="13">
        <f t="shared" si="16"/>
        <v>3</v>
      </c>
      <c r="AV51" s="13">
        <f t="shared" si="17"/>
        <v>2</v>
      </c>
      <c r="AW51" s="169">
        <f t="shared" si="18"/>
        <v>43150</v>
      </c>
      <c r="AX51" s="744">
        <f t="shared" si="19"/>
        <v>0.4642857142857143</v>
      </c>
      <c r="AY51" s="760">
        <f t="shared" si="20"/>
        <v>28.254671394718542</v>
      </c>
      <c r="AZ51" s="737">
        <f t="shared" si="26"/>
        <v>28.296774296133243</v>
      </c>
      <c r="BA51" s="634">
        <f t="shared" si="21"/>
        <v>0.787137918356688</v>
      </c>
      <c r="BC51" s="11">
        <v>43137</v>
      </c>
      <c r="BD51" s="286">
        <f>[3]!FeuilCaduc*(1-Persistant)+Persistant</f>
        <v>0.60032803951137059</v>
      </c>
      <c r="BE51" s="287">
        <f>[3]!CroissVégét</f>
        <v>4.7026958080162657E-3</v>
      </c>
      <c r="BF51" s="807">
        <f>1+[3]!Salcycl*Ksac</f>
        <v>1.0000410049389212</v>
      </c>
      <c r="BH51" s="1041">
        <f t="shared" si="22"/>
        <v>3.590779956046309E-2</v>
      </c>
      <c r="BI51" s="11">
        <v>44233</v>
      </c>
      <c r="BJ51" s="717">
        <v>1.9954796209225058E-3</v>
      </c>
      <c r="BK51" s="717">
        <v>3.0652427886090502E-3</v>
      </c>
      <c r="BL51" s="717">
        <v>5.4727449697018968E-3</v>
      </c>
      <c r="BM51" s="717">
        <v>8.7090491488623165E-3</v>
      </c>
      <c r="BN51" s="717">
        <v>2.0444231633270995E-2</v>
      </c>
      <c r="BO51" s="718">
        <v>3.6004008366211045E-2</v>
      </c>
      <c r="BP51" s="717">
        <v>6.5473599416764408E-2</v>
      </c>
      <c r="BQ51" s="717">
        <v>9.844843240683554E-2</v>
      </c>
      <c r="BR51" s="717">
        <v>0.14299447988946121</v>
      </c>
      <c r="BS51" s="717">
        <v>0.18962983724083729</v>
      </c>
      <c r="BT51" s="717">
        <v>0.24113242747722285</v>
      </c>
      <c r="BW51" s="1162">
        <f>'2022'!R\Max</f>
        <v>0.787137918356688</v>
      </c>
      <c r="BX51" s="1163">
        <f>'2023'!R\Max</f>
        <v>0.78680283981468557</v>
      </c>
      <c r="BY51" s="1163">
        <f>'2024'!R\Max</f>
        <v>0.78646588772439407</v>
      </c>
      <c r="BZ51" s="1163">
        <f>'2025'!R\Max</f>
        <v>0.78608838246908164</v>
      </c>
      <c r="CA51" s="1163">
        <f>'2026'!R\Max</f>
        <v>0.78570974044474029</v>
      </c>
      <c r="CB51" s="1163">
        <f>'2027'!R\Max</f>
        <v>0.78519792972038782</v>
      </c>
      <c r="CC51" s="1164">
        <f>'2028'!R\Max</f>
        <v>0.78468357432957303</v>
      </c>
      <c r="CD51" s="1163">
        <f>'2029'!R\Max</f>
        <v>0.78414363866927406</v>
      </c>
      <c r="CE51" s="1163">
        <f>'2030'!R\Max</f>
        <v>0.78681966212173449</v>
      </c>
      <c r="CF51" s="1165">
        <f>'2031'!R\Max</f>
        <v>0.78648274297468912</v>
      </c>
    </row>
    <row r="52" spans="1:84" s="6" customFormat="1" ht="11.25" x14ac:dyDescent="0.2">
      <c r="A52" s="11">
        <v>43138</v>
      </c>
      <c r="B52" s="375">
        <f>'2022'!Maxi_hp</f>
        <v>15.294127889599769</v>
      </c>
      <c r="C52" s="13">
        <f>'2022'!An_max</f>
        <v>2022</v>
      </c>
      <c r="D52" s="1050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69">
        <f t="shared" si="8"/>
        <v>43150</v>
      </c>
      <c r="I52" s="744">
        <f t="shared" si="9"/>
        <v>0.8571428571428571</v>
      </c>
      <c r="J52" s="737">
        <f t="shared" si="27"/>
        <v>28.751394751854242</v>
      </c>
      <c r="L52" s="747" t="s">
        <v>217</v>
      </c>
      <c r="M52" s="731">
        <f t="shared" ref="M52:AA52" si="55">x.2ld*x.2ld-x.3ld*x.3ld</f>
        <v>-2500235</v>
      </c>
      <c r="N52" s="731">
        <f t="shared" si="55"/>
        <v>-2415616</v>
      </c>
      <c r="O52" s="731">
        <f t="shared" si="55"/>
        <v>-2417184</v>
      </c>
      <c r="P52" s="731">
        <f t="shared" si="55"/>
        <v>-2418752</v>
      </c>
      <c r="Q52" s="731">
        <f t="shared" si="55"/>
        <v>-2420320</v>
      </c>
      <c r="R52" s="731">
        <f t="shared" si="55"/>
        <v>-2421888</v>
      </c>
      <c r="S52" s="731">
        <f t="shared" si="55"/>
        <v>-2423456</v>
      </c>
      <c r="T52" s="731">
        <f t="shared" si="55"/>
        <v>-2425024</v>
      </c>
      <c r="U52" s="731">
        <f t="shared" si="55"/>
        <v>-2426592</v>
      </c>
      <c r="V52" s="731">
        <f t="shared" si="55"/>
        <v>-2428160</v>
      </c>
      <c r="W52" s="731">
        <f t="shared" si="55"/>
        <v>-2429728</v>
      </c>
      <c r="X52" s="731">
        <f t="shared" si="55"/>
        <v>-2431296</v>
      </c>
      <c r="Y52" s="731">
        <f t="shared" si="55"/>
        <v>-2432864</v>
      </c>
      <c r="Z52" s="731">
        <f t="shared" si="55"/>
        <v>-2521405</v>
      </c>
      <c r="AA52" s="731">
        <f t="shared" si="55"/>
        <v>-2436056</v>
      </c>
      <c r="AC52" s="7"/>
      <c r="AD52" s="7"/>
      <c r="AE52" s="7"/>
      <c r="AF52" s="7"/>
      <c r="AH52" s="7"/>
      <c r="AI52" s="74"/>
      <c r="AO52" s="1043">
        <v>43138</v>
      </c>
      <c r="AP52" s="13">
        <f t="shared" si="11"/>
        <v>3</v>
      </c>
      <c r="AQ52" s="13">
        <f t="shared" si="12"/>
        <v>4</v>
      </c>
      <c r="AR52" s="169">
        <f t="shared" si="13"/>
        <v>43136</v>
      </c>
      <c r="AS52" s="744">
        <f t="shared" si="14"/>
        <v>7.1428571428571425E-2</v>
      </c>
      <c r="AT52" s="760">
        <f t="shared" si="15"/>
        <v>28.711511206533761</v>
      </c>
      <c r="AU52" s="13">
        <f t="shared" si="16"/>
        <v>3</v>
      </c>
      <c r="AV52" s="13">
        <f t="shared" si="17"/>
        <v>2</v>
      </c>
      <c r="AW52" s="169">
        <f t="shared" si="18"/>
        <v>43150</v>
      </c>
      <c r="AX52" s="744">
        <f t="shared" si="19"/>
        <v>0.42857142857142855</v>
      </c>
      <c r="AY52" s="760">
        <f t="shared" si="20"/>
        <v>28.660667920538355</v>
      </c>
      <c r="AZ52" s="737">
        <f t="shared" si="26"/>
        <v>28.686089563536058</v>
      </c>
      <c r="BA52" s="634">
        <f t="shared" si="21"/>
        <v>0.53194385947531875</v>
      </c>
      <c r="BC52" s="11">
        <v>43138</v>
      </c>
      <c r="BD52" s="286">
        <f>[3]!FeuilCaduc*(1-Persistant)+Persistant</f>
        <v>0.60041417840130806</v>
      </c>
      <c r="BE52" s="287">
        <f>[3]!CroissVégét</f>
        <v>4.9567764778191995E-3</v>
      </c>
      <c r="BF52" s="807">
        <f>1+[3]!Salcycl*Ksac</f>
        <v>1.0000517723001634</v>
      </c>
      <c r="BH52" s="1041">
        <f t="shared" si="22"/>
        <v>3.0946867629293974E-2</v>
      </c>
      <c r="BI52" s="11">
        <v>44234</v>
      </c>
      <c r="BJ52" s="717">
        <v>1.9409249191227056E-3</v>
      </c>
      <c r="BK52" s="717">
        <v>2.9924217078445858E-3</v>
      </c>
      <c r="BL52" s="717">
        <v>5.0235249403987776E-3</v>
      </c>
      <c r="BM52" s="717">
        <v>7.6845563403318213E-3</v>
      </c>
      <c r="BN52" s="717">
        <v>1.763682855695935E-2</v>
      </c>
      <c r="BO52" s="718">
        <v>3.1029677946397837E-2</v>
      </c>
      <c r="BP52" s="717">
        <v>5.7607521784186343E-2</v>
      </c>
      <c r="BQ52" s="717">
        <v>8.8024053623156129E-2</v>
      </c>
      <c r="BR52" s="717">
        <v>0.13049147722999935</v>
      </c>
      <c r="BS52" s="717">
        <v>0.17572232020850401</v>
      </c>
      <c r="BT52" s="717">
        <v>0.2264387285472193</v>
      </c>
      <c r="BW52" s="1162">
        <f>'2022'!R\Max</f>
        <v>0.53194385947531875</v>
      </c>
      <c r="BX52" s="1163">
        <f>'2023'!R\Max</f>
        <v>0.53150112794093407</v>
      </c>
      <c r="BY52" s="1163">
        <f>'2024'!R\Max</f>
        <v>0.53105639562785822</v>
      </c>
      <c r="BZ52" s="1163">
        <f>'2025'!R\Max</f>
        <v>0.53054745418395033</v>
      </c>
      <c r="CA52" s="1163">
        <f>'2026'!R\Max</f>
        <v>0.53003755324770496</v>
      </c>
      <c r="CB52" s="1163">
        <f>'2027'!R\Max</f>
        <v>0.52932632176903138</v>
      </c>
      <c r="CC52" s="1164">
        <f>'2028'!R\Max</f>
        <v>0.52861264716675627</v>
      </c>
      <c r="CD52" s="1163">
        <f>'2029'!R\Max</f>
        <v>0.52785183573854988</v>
      </c>
      <c r="CE52" s="1163">
        <f>'2030'!R\Max</f>
        <v>0.53152334432317538</v>
      </c>
      <c r="CF52" s="1165">
        <f>'2031'!R\Max</f>
        <v>0.53107863041482073</v>
      </c>
    </row>
    <row r="53" spans="1:84" s="6" customFormat="1" ht="11.25" x14ac:dyDescent="0.2">
      <c r="A53" s="11">
        <v>43139</v>
      </c>
      <c r="B53" s="375">
        <f>'2022'!Maxi_hp</f>
        <v>29.637565329868831</v>
      </c>
      <c r="C53" s="13">
        <f>'2022'!An_max</f>
        <v>2022</v>
      </c>
      <c r="D53" s="1050">
        <f t="shared" si="7"/>
        <v>1.0168253644254313</v>
      </c>
      <c r="E53" s="13"/>
      <c r="F53" s="13">
        <f t="shared" si="23"/>
        <v>5</v>
      </c>
      <c r="G53" s="13">
        <f t="shared" si="24"/>
        <v>4</v>
      </c>
      <c r="H53" s="169">
        <f t="shared" si="8"/>
        <v>43150</v>
      </c>
      <c r="I53" s="744">
        <f t="shared" si="9"/>
        <v>0.7857142857142857</v>
      </c>
      <c r="J53" s="737">
        <f t="shared" si="27"/>
        <v>29.147153844471489</v>
      </c>
      <c r="L53" s="747" t="s">
        <v>218</v>
      </c>
      <c r="M53" s="731">
        <f t="shared" ref="M53:AA53" si="56">(y.1ld-y.2ld-b.ld*(x.1ld-x.2ld))/D2x12Ld</f>
        <v>6.0694581280784705E-2</v>
      </c>
      <c r="N53" s="731">
        <f t="shared" si="56"/>
        <v>3.1944516463568939E-2</v>
      </c>
      <c r="O53" s="731">
        <f t="shared" si="56"/>
        <v>1.0830994897957932E-2</v>
      </c>
      <c r="P53" s="731">
        <f t="shared" si="56"/>
        <v>-5.096938775510919E-3</v>
      </c>
      <c r="Q53" s="731">
        <f t="shared" si="56"/>
        <v>-3.7589923469389407E-2</v>
      </c>
      <c r="R53" s="731">
        <f t="shared" si="56"/>
        <v>-2.6758928571430678E-2</v>
      </c>
      <c r="S53" s="731">
        <f t="shared" si="56"/>
        <v>-1.9750637755099592E-2</v>
      </c>
      <c r="T53" s="731">
        <f t="shared" si="56"/>
        <v>-2.3573341836738634E-2</v>
      </c>
      <c r="U53" s="731">
        <f t="shared" si="56"/>
        <v>-1.4016581632654478E-2</v>
      </c>
      <c r="V53" s="731">
        <f t="shared" si="56"/>
        <v>-1.6565051020406923E-2</v>
      </c>
      <c r="W53" s="731">
        <f t="shared" si="56"/>
        <v>-7.6454081632651117E-3</v>
      </c>
      <c r="X53" s="731">
        <f t="shared" si="56"/>
        <v>1.4016581632652217E-2</v>
      </c>
      <c r="Y53" s="731">
        <f t="shared" si="56"/>
        <v>3.1855867346936177E-2</v>
      </c>
      <c r="Z53" s="731">
        <f t="shared" si="56"/>
        <v>6.0694581280780306E-2</v>
      </c>
      <c r="AA53" s="731">
        <f t="shared" si="56"/>
        <v>3.1944516463576406E-2</v>
      </c>
      <c r="AC53" s="7"/>
      <c r="AD53" s="7"/>
      <c r="AE53" s="7"/>
      <c r="AF53" s="7"/>
      <c r="AH53" s="7"/>
      <c r="AI53" s="74"/>
      <c r="AO53" s="1043">
        <v>43139</v>
      </c>
      <c r="AP53" s="13">
        <f t="shared" si="11"/>
        <v>3</v>
      </c>
      <c r="AQ53" s="13">
        <f t="shared" si="12"/>
        <v>4</v>
      </c>
      <c r="AR53" s="169">
        <f t="shared" si="13"/>
        <v>43136</v>
      </c>
      <c r="AS53" s="744">
        <f t="shared" si="14"/>
        <v>0.10714285714285714</v>
      </c>
      <c r="AT53" s="760">
        <f t="shared" si="15"/>
        <v>29.089669932684462</v>
      </c>
      <c r="AU53" s="13">
        <f t="shared" si="16"/>
        <v>3</v>
      </c>
      <c r="AV53" s="13">
        <f t="shared" si="17"/>
        <v>2</v>
      </c>
      <c r="AW53" s="169">
        <f t="shared" si="18"/>
        <v>43150</v>
      </c>
      <c r="AX53" s="744">
        <f t="shared" si="19"/>
        <v>0.39285714285714285</v>
      </c>
      <c r="AY53" s="760">
        <f t="shared" si="20"/>
        <v>29.07003713155698</v>
      </c>
      <c r="AZ53" s="737">
        <f t="shared" si="26"/>
        <v>29.079853532120723</v>
      </c>
      <c r="BA53" s="634">
        <f t="shared" si="21"/>
        <v>1.0168253644254313</v>
      </c>
      <c r="BC53" s="11">
        <v>43139</v>
      </c>
      <c r="BD53" s="286">
        <f>[3]!FeuilCaduc*(1-Persistant)+Persistant</f>
        <v>0.60050826483977415</v>
      </c>
      <c r="BE53" s="287">
        <f>[3]!CroissVégét</f>
        <v>5.2213784245517241E-3</v>
      </c>
      <c r="BF53" s="807">
        <f>1+[3]!Salcycl*Ksac</f>
        <v>1.0000635331049719</v>
      </c>
      <c r="BH53" s="1041">
        <f t="shared" si="22"/>
        <v>2.654477312018132E-2</v>
      </c>
      <c r="BI53" s="11">
        <v>44235</v>
      </c>
      <c r="BJ53" s="717">
        <v>1.8878053616323697E-3</v>
      </c>
      <c r="BK53" s="717">
        <v>2.9165699685385336E-3</v>
      </c>
      <c r="BL53" s="717">
        <v>4.6283889422565712E-3</v>
      </c>
      <c r="BM53" s="717">
        <v>6.8068852671358789E-3</v>
      </c>
      <c r="BN53" s="717">
        <v>1.5175870863294688E-2</v>
      </c>
      <c r="BO53" s="718">
        <v>2.6615506376176979E-2</v>
      </c>
      <c r="BP53" s="717">
        <v>5.0431221373964302E-2</v>
      </c>
      <c r="BQ53" s="717">
        <v>7.8303217592998922E-2</v>
      </c>
      <c r="BR53" s="717">
        <v>0.11853038618044121</v>
      </c>
      <c r="BS53" s="717">
        <v>0.16214353242974319</v>
      </c>
      <c r="BT53" s="717">
        <v>0.21176868983939892</v>
      </c>
      <c r="BW53" s="1162">
        <f>'2022'!R\Max</f>
        <v>1.0168253644254313</v>
      </c>
      <c r="BX53" s="1163">
        <f>'2023'!R\Max</f>
        <v>1.0168253644254308</v>
      </c>
      <c r="BY53" s="1163">
        <f>'2024'!R\Max</f>
        <v>1.016825364425431</v>
      </c>
      <c r="BZ53" s="1163">
        <f>'2025'!R\Max</f>
        <v>1.016825364425431</v>
      </c>
      <c r="CA53" s="1163">
        <f>'2026'!R\Max</f>
        <v>1.016825364425431</v>
      </c>
      <c r="CB53" s="1163">
        <f>'2027'!R\Max</f>
        <v>1.016825364425431</v>
      </c>
      <c r="CC53" s="1164">
        <f>'2028'!R\Max</f>
        <v>1.0168253644254313</v>
      </c>
      <c r="CD53" s="1163">
        <f>'2029'!R\Max</f>
        <v>1.016825364425431</v>
      </c>
      <c r="CE53" s="1163">
        <f>'2030'!R\Max</f>
        <v>1.016825364425431</v>
      </c>
      <c r="CF53" s="1165">
        <f>'2031'!R\Max</f>
        <v>1.016825364425431</v>
      </c>
    </row>
    <row r="54" spans="1:84" s="6" customFormat="1" ht="11.25" x14ac:dyDescent="0.2">
      <c r="A54" s="11">
        <v>43140</v>
      </c>
      <c r="B54" s="375">
        <f>'2022'!Maxi_hp</f>
        <v>29.867502380139111</v>
      </c>
      <c r="C54" s="13">
        <f>'2022'!An_max</f>
        <v>2022</v>
      </c>
      <c r="D54" s="1050">
        <f t="shared" si="7"/>
        <v>1.0108637230245663</v>
      </c>
      <c r="E54" s="13"/>
      <c r="F54" s="13">
        <f t="shared" si="23"/>
        <v>5</v>
      </c>
      <c r="G54" s="13">
        <f t="shared" si="24"/>
        <v>4</v>
      </c>
      <c r="H54" s="169">
        <f t="shared" si="8"/>
        <v>43150</v>
      </c>
      <c r="I54" s="744">
        <f t="shared" si="9"/>
        <v>0.7142857142857143</v>
      </c>
      <c r="J54" s="737">
        <f t="shared" si="27"/>
        <v>29.546517200927649</v>
      </c>
      <c r="L54" s="747" t="s">
        <v>219</v>
      </c>
      <c r="M54" s="731">
        <f t="shared" ref="M54:AA54" si="57">(y.2ld-y.3ld-(y.1ld-y.2ld)*D2x23Ld/D2x12Ld)/(x.2ld-x.3ld)/(1-(x.2ld+x.3ld)/(x.1ld+x.2ld))</f>
        <v>-5230.7508768469916</v>
      </c>
      <c r="N54" s="731">
        <f t="shared" si="57"/>
        <v>-2752.0640386307341</v>
      </c>
      <c r="O54" s="731">
        <f t="shared" si="57"/>
        <v>-930.55830612234092</v>
      </c>
      <c r="P54" s="731">
        <f t="shared" si="57"/>
        <v>444.46835204087807</v>
      </c>
      <c r="Q54" s="731">
        <f t="shared" si="57"/>
        <v>3251.3423418368775</v>
      </c>
      <c r="R54" s="731">
        <f t="shared" si="57"/>
        <v>2315.1111428573249</v>
      </c>
      <c r="S54" s="731">
        <f t="shared" si="57"/>
        <v>1708.9220204079513</v>
      </c>
      <c r="T54" s="731">
        <f t="shared" si="57"/>
        <v>2039.7847040819738</v>
      </c>
      <c r="U54" s="731">
        <f t="shared" si="57"/>
        <v>1212.0928163266533</v>
      </c>
      <c r="V54" s="731">
        <f t="shared" si="57"/>
        <v>1432.9533673468316</v>
      </c>
      <c r="W54" s="731">
        <f t="shared" si="57"/>
        <v>659.44193877549333</v>
      </c>
      <c r="X54" s="731">
        <f t="shared" si="57"/>
        <v>-1220.2988877550288</v>
      </c>
      <c r="Y54" s="731">
        <f t="shared" si="57"/>
        <v>-2769.3197448977339</v>
      </c>
      <c r="Z54" s="731">
        <f t="shared" si="57"/>
        <v>-5275.0579211815812</v>
      </c>
      <c r="AA54" s="731">
        <f t="shared" si="57"/>
        <v>-2775.383535649788</v>
      </c>
      <c r="AC54" s="7"/>
      <c r="AD54" s="7"/>
      <c r="AE54" s="7"/>
      <c r="AF54" s="7"/>
      <c r="AH54" s="7"/>
      <c r="AI54" s="74"/>
      <c r="AO54" s="1043">
        <v>43140</v>
      </c>
      <c r="AP54" s="13">
        <f t="shared" si="11"/>
        <v>3</v>
      </c>
      <c r="AQ54" s="13">
        <f t="shared" si="12"/>
        <v>4</v>
      </c>
      <c r="AR54" s="169">
        <f t="shared" si="13"/>
        <v>43136</v>
      </c>
      <c r="AS54" s="744">
        <f t="shared" si="14"/>
        <v>0.14285714285714285</v>
      </c>
      <c r="AT54" s="760">
        <f t="shared" si="15"/>
        <v>29.473121282564744</v>
      </c>
      <c r="AU54" s="13">
        <f t="shared" si="16"/>
        <v>3</v>
      </c>
      <c r="AV54" s="13">
        <f t="shared" si="17"/>
        <v>2</v>
      </c>
      <c r="AW54" s="169">
        <f t="shared" si="18"/>
        <v>43150</v>
      </c>
      <c r="AX54" s="744">
        <f t="shared" si="19"/>
        <v>0.35714285714285715</v>
      </c>
      <c r="AY54" s="760">
        <f t="shared" si="20"/>
        <v>29.482326596256875</v>
      </c>
      <c r="AZ54" s="737">
        <f t="shared" si="26"/>
        <v>29.477723939410808</v>
      </c>
      <c r="BA54" s="634">
        <f t="shared" si="21"/>
        <v>1.0108637230245663</v>
      </c>
      <c r="BC54" s="11">
        <v>43140</v>
      </c>
      <c r="BD54" s="286">
        <f>[3]!FeuilCaduc*(1-Persistant)+Persistant</f>
        <v>0.6006094690656828</v>
      </c>
      <c r="BE54" s="287">
        <f>[3]!CroissVégét</f>
        <v>5.4969313417339892E-3</v>
      </c>
      <c r="BF54" s="807">
        <f>1+[3]!Salcycl*Ksac</f>
        <v>1.0000761836332104</v>
      </c>
      <c r="BH54" s="1041">
        <f t="shared" si="22"/>
        <v>2.2701457153855183E-2</v>
      </c>
      <c r="BI54" s="11">
        <v>44236</v>
      </c>
      <c r="BJ54" s="717">
        <v>1.8361230301502786E-3</v>
      </c>
      <c r="BK54" s="717">
        <v>2.8376918718842794E-3</v>
      </c>
      <c r="BL54" s="717">
        <v>4.2873332020094551E-3</v>
      </c>
      <c r="BM54" s="717">
        <v>6.0760181379804377E-3</v>
      </c>
      <c r="BN54" s="717">
        <v>1.3061318642679462E-2</v>
      </c>
      <c r="BO54" s="718">
        <v>2.2761434658255975E-2</v>
      </c>
      <c r="BP54" s="717">
        <v>4.3944657479656285E-2</v>
      </c>
      <c r="BQ54" s="717">
        <v>6.9285929496177109E-2</v>
      </c>
      <c r="BR54" s="717">
        <v>0.10711130630509187</v>
      </c>
      <c r="BS54" s="717">
        <v>0.14889367774633053</v>
      </c>
      <c r="BT54" s="717">
        <v>0.19712264157131909</v>
      </c>
      <c r="BW54" s="1162">
        <f>'2022'!R\Max</f>
        <v>1.0108637230245663</v>
      </c>
      <c r="BX54" s="1163">
        <f>'2023'!R\Max</f>
        <v>1.0108637230245661</v>
      </c>
      <c r="BY54" s="1163">
        <f>'2024'!R\Max</f>
        <v>1.0108637230245658</v>
      </c>
      <c r="BZ54" s="1163">
        <f>'2025'!R\Max</f>
        <v>1.0108637230245661</v>
      </c>
      <c r="CA54" s="1163">
        <f>'2026'!R\Max</f>
        <v>1.0108637230245661</v>
      </c>
      <c r="CB54" s="1163">
        <f>'2027'!R\Max</f>
        <v>1.0108637230245661</v>
      </c>
      <c r="CC54" s="1164">
        <f>'2028'!R\Max</f>
        <v>1.0108637230245661</v>
      </c>
      <c r="CD54" s="1163">
        <f>'2029'!R\Max</f>
        <v>1.0108637230245661</v>
      </c>
      <c r="CE54" s="1163">
        <f>'2030'!R\Max</f>
        <v>1.0108637230245661</v>
      </c>
      <c r="CF54" s="1165">
        <f>'2031'!R\Max</f>
        <v>1.0108637230245658</v>
      </c>
    </row>
    <row r="55" spans="1:84" s="6" customFormat="1" ht="11.25" x14ac:dyDescent="0.2">
      <c r="A55" s="11">
        <v>43141</v>
      </c>
      <c r="B55" s="375">
        <f>'2022'!Maxi_hp</f>
        <v>28.822898257849857</v>
      </c>
      <c r="C55" s="13">
        <f>'2022'!An_max</f>
        <v>2022</v>
      </c>
      <c r="D55" s="1050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69">
        <f t="shared" si="8"/>
        <v>43150</v>
      </c>
      <c r="I55" s="744">
        <f t="shared" si="9"/>
        <v>0.6428571428571429</v>
      </c>
      <c r="J55" s="737">
        <f t="shared" si="27"/>
        <v>29.949157161159178</v>
      </c>
      <c r="L55" s="747" t="s">
        <v>220</v>
      </c>
      <c r="M55" s="731">
        <f t="shared" ref="M55:AA55" si="58">(y.1ld+y.2ld+y.3ld-a.ld*(x.3ld*x.3ld+x.2ld*x.2ld+x.1ld*x.1ld)-b.ld*(x.3ld+x.2ld+x.1ld))/3</f>
        <v>112698676.36927927</v>
      </c>
      <c r="N55" s="731">
        <f t="shared" si="58"/>
        <v>59273685.974776737</v>
      </c>
      <c r="O55" s="731">
        <f t="shared" si="58"/>
        <v>19987454.474285934</v>
      </c>
      <c r="P55" s="731">
        <f t="shared" si="58"/>
        <v>-9688367.7403176595</v>
      </c>
      <c r="Q55" s="731">
        <f t="shared" si="58"/>
        <v>-70305612.055327073</v>
      </c>
      <c r="R55" s="731">
        <f t="shared" si="58"/>
        <v>-50073657.968253933</v>
      </c>
      <c r="S55" s="731">
        <f t="shared" si="58"/>
        <v>-36965425.758033685</v>
      </c>
      <c r="T55" s="731">
        <f t="shared" si="58"/>
        <v>-44124631.758122183</v>
      </c>
      <c r="U55" s="731">
        <f t="shared" si="58"/>
        <v>-26203448.87756899</v>
      </c>
      <c r="V55" s="731">
        <f t="shared" si="58"/>
        <v>-30988613.076472174</v>
      </c>
      <c r="W55" s="731">
        <f t="shared" si="58"/>
        <v>-14218887.053295551</v>
      </c>
      <c r="X55" s="731">
        <f t="shared" si="58"/>
        <v>26560206.191707585</v>
      </c>
      <c r="Y55" s="731">
        <f t="shared" si="58"/>
        <v>60186347.462061457</v>
      </c>
      <c r="Z55" s="731">
        <f t="shared" si="58"/>
        <v>114615986.4749112</v>
      </c>
      <c r="AA55" s="731">
        <f t="shared" si="58"/>
        <v>60282445.1570969</v>
      </c>
      <c r="AB55" s="7"/>
      <c r="AC55" s="7"/>
      <c r="AD55" s="7"/>
      <c r="AE55" s="7"/>
      <c r="AF55" s="7"/>
      <c r="AH55" s="7"/>
      <c r="AI55" s="74"/>
      <c r="AO55" s="1043">
        <v>43141</v>
      </c>
      <c r="AP55" s="13">
        <f t="shared" si="11"/>
        <v>3</v>
      </c>
      <c r="AQ55" s="13">
        <f t="shared" si="12"/>
        <v>4</v>
      </c>
      <c r="AR55" s="169">
        <f t="shared" si="13"/>
        <v>43136</v>
      </c>
      <c r="AS55" s="744">
        <f t="shared" si="14"/>
        <v>0.17857142857142858</v>
      </c>
      <c r="AT55" s="760">
        <f t="shared" si="15"/>
        <v>29.861633165493338</v>
      </c>
      <c r="AU55" s="13">
        <f t="shared" si="16"/>
        <v>3</v>
      </c>
      <c r="AV55" s="13">
        <f t="shared" si="17"/>
        <v>2</v>
      </c>
      <c r="AW55" s="169">
        <f t="shared" si="18"/>
        <v>43150</v>
      </c>
      <c r="AX55" s="744">
        <f t="shared" si="19"/>
        <v>0.32142857142857145</v>
      </c>
      <c r="AY55" s="760">
        <f t="shared" si="20"/>
        <v>29.897083880951897</v>
      </c>
      <c r="AZ55" s="737">
        <f t="shared" si="26"/>
        <v>29.879358523222617</v>
      </c>
      <c r="BA55" s="634">
        <f t="shared" si="21"/>
        <v>0.96239430387810854</v>
      </c>
      <c r="BC55" s="11">
        <v>43141</v>
      </c>
      <c r="BD55" s="286">
        <f>[3]!FeuilCaduc*(1-Persistant)+Persistant</f>
        <v>0.60071692710570546</v>
      </c>
      <c r="BE55" s="287">
        <f>[3]!CroissVégét</f>
        <v>5.7838819630590035E-3</v>
      </c>
      <c r="BF55" s="807">
        <f>1+[3]!Salcycl*Ksac</f>
        <v>1.0000896158882131</v>
      </c>
      <c r="BH55" s="1041">
        <f t="shared" si="22"/>
        <v>1.9416837307480322E-2</v>
      </c>
      <c r="BI55" s="11">
        <v>44237</v>
      </c>
      <c r="BJ55" s="717">
        <v>1.7858797706193205E-3</v>
      </c>
      <c r="BK55" s="717">
        <v>2.7557914283398645E-3</v>
      </c>
      <c r="BL55" s="717">
        <v>4.0003517983156793E-3</v>
      </c>
      <c r="BM55" s="717">
        <v>5.49193214843385E-3</v>
      </c>
      <c r="BN55" s="717">
        <v>1.1293118516598413E-2</v>
      </c>
      <c r="BO55" s="718">
        <v>1.9467380189096186E-2</v>
      </c>
      <c r="BP55" s="717">
        <v>3.8147753012878705E-2</v>
      </c>
      <c r="BQ55" s="717">
        <v>6.0972147316421636E-2</v>
      </c>
      <c r="BR55" s="717">
        <v>9.6234282023737336E-2</v>
      </c>
      <c r="BS55" s="717">
        <v>0.13597289999061588</v>
      </c>
      <c r="BT55" s="717">
        <v>0.18250085213044229</v>
      </c>
      <c r="BW55" s="1162">
        <f>'2022'!R\Max</f>
        <v>0.96239430387810854</v>
      </c>
      <c r="BX55" s="1163">
        <f>'2023'!R\Max</f>
        <v>0.96235084315329911</v>
      </c>
      <c r="BY55" s="1163">
        <f>'2024'!R\Max</f>
        <v>0.96230715135361511</v>
      </c>
      <c r="BZ55" s="1163">
        <f>'2025'!R\Max</f>
        <v>0.96225373615333909</v>
      </c>
      <c r="CA55" s="1163">
        <f>'2026'!R\Max</f>
        <v>0.96220015247224333</v>
      </c>
      <c r="CB55" s="1163">
        <f>'2027'!R\Max</f>
        <v>0.96211735593088132</v>
      </c>
      <c r="CC55" s="1164">
        <f>'2028'!R\Max</f>
        <v>0.96203411538592187</v>
      </c>
      <c r="CD55" s="1163">
        <f>'2029'!R\Max</f>
        <v>0.96194007451010199</v>
      </c>
      <c r="CE55" s="1163">
        <f>'2030'!R\Max</f>
        <v>0.96235302487416574</v>
      </c>
      <c r="CF55" s="1165">
        <f>'2031'!R\Max</f>
        <v>0.96230933656234108</v>
      </c>
    </row>
    <row r="56" spans="1:84" s="6" customFormat="1" ht="11.25" x14ac:dyDescent="0.2">
      <c r="A56" s="11">
        <v>43142</v>
      </c>
      <c r="B56" s="375">
        <f>'2022'!Maxi_hp</f>
        <v>15.066561571107581</v>
      </c>
      <c r="C56" s="13">
        <f>'2022'!An_max</f>
        <v>2022</v>
      </c>
      <c r="D56" s="1050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69">
        <f t="shared" si="8"/>
        <v>43150</v>
      </c>
      <c r="I56" s="744">
        <f t="shared" si="9"/>
        <v>0.5714285714285714</v>
      </c>
      <c r="J56" s="737">
        <f t="shared" si="27"/>
        <v>30.354746063665619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43">
        <v>43142</v>
      </c>
      <c r="AP56" s="13">
        <f t="shared" si="11"/>
        <v>3</v>
      </c>
      <c r="AQ56" s="13">
        <f t="shared" si="12"/>
        <v>4</v>
      </c>
      <c r="AR56" s="169">
        <f t="shared" si="13"/>
        <v>43136</v>
      </c>
      <c r="AS56" s="744">
        <f t="shared" si="14"/>
        <v>0.21428571428571427</v>
      </c>
      <c r="AT56" s="760">
        <f t="shared" si="15"/>
        <v>30.254973486850837</v>
      </c>
      <c r="AU56" s="13">
        <f t="shared" si="16"/>
        <v>3</v>
      </c>
      <c r="AV56" s="13">
        <f t="shared" si="17"/>
        <v>2</v>
      </c>
      <c r="AW56" s="169">
        <f t="shared" si="18"/>
        <v>43150</v>
      </c>
      <c r="AX56" s="744">
        <f t="shared" si="19"/>
        <v>0.2857142857142857</v>
      </c>
      <c r="AY56" s="760">
        <f t="shared" si="20"/>
        <v>30.313856554457118</v>
      </c>
      <c r="AZ56" s="737">
        <f t="shared" si="26"/>
        <v>30.284415020653977</v>
      </c>
      <c r="BA56" s="634">
        <f t="shared" si="21"/>
        <v>0.49634945189484325</v>
      </c>
      <c r="BC56" s="11">
        <v>43142</v>
      </c>
      <c r="BD56" s="286">
        <f>[3]!FeuilCaduc*(1-Persistant)+Persistant</f>
        <v>0.60082975171083119</v>
      </c>
      <c r="BE56" s="287">
        <f>[3]!CroissVégét</f>
        <v>6.0826946947814143E-3</v>
      </c>
      <c r="BF56" s="807">
        <f>1+[3]!Salcycl*Ksac</f>
        <v>1.000103718963854</v>
      </c>
      <c r="BH56" s="1041">
        <f t="shared" si="22"/>
        <v>1.6690813484084001E-2</v>
      </c>
      <c r="BI56" s="11">
        <v>44238</v>
      </c>
      <c r="BJ56" s="717">
        <v>1.737077208303653E-3</v>
      </c>
      <c r="BK56" s="717">
        <v>2.6708723257609572E-3</v>
      </c>
      <c r="BL56" s="717">
        <v>3.7674372299167421E-3</v>
      </c>
      <c r="BM56" s="717">
        <v>5.0546010233856456E-3</v>
      </c>
      <c r="BN56" s="717">
        <v>9.871207276654104E-3</v>
      </c>
      <c r="BO56" s="718">
        <v>1.673324264221732E-2</v>
      </c>
      <c r="BP56" s="717">
        <v>3.3040401746072721E-2</v>
      </c>
      <c r="BQ56" s="717">
        <v>5.3361789226142854E-2</v>
      </c>
      <c r="BR56" s="717">
        <v>8.5899308295389165E-2</v>
      </c>
      <c r="BS56" s="717">
        <v>0.1233812864273371</v>
      </c>
      <c r="BT56" s="717">
        <v>0.16790352830902217</v>
      </c>
      <c r="BW56" s="1162">
        <f>'2022'!R\Max</f>
        <v>0.49634945189484325</v>
      </c>
      <c r="BX56" s="1163">
        <f>'2023'!R\Max</f>
        <v>0.49609098226279991</v>
      </c>
      <c r="BY56" s="1163">
        <f>'2024'!R\Max</f>
        <v>0.4958314629520334</v>
      </c>
      <c r="BZ56" s="1163">
        <f>'2025'!R\Max</f>
        <v>0.49550831309646914</v>
      </c>
      <c r="CA56" s="1163">
        <f>'2026'!R\Max</f>
        <v>0.49518459728950515</v>
      </c>
      <c r="CB56" s="1163">
        <f>'2027'!R\Max</f>
        <v>0.49466716236671676</v>
      </c>
      <c r="CC56" s="1164">
        <f>'2028'!R\Max</f>
        <v>0.49414808184692549</v>
      </c>
      <c r="CD56" s="1163">
        <f>'2029'!R\Max</f>
        <v>0.49355009314190784</v>
      </c>
      <c r="CE56" s="1163">
        <f>'2030'!R\Max</f>
        <v>0.49610394928383872</v>
      </c>
      <c r="CF56" s="1165">
        <f>'2031'!R\Max</f>
        <v>0.49584443525883692</v>
      </c>
    </row>
    <row r="57" spans="1:84" s="6" customFormat="1" ht="11.25" x14ac:dyDescent="0.2">
      <c r="A57" s="11">
        <v>43143</v>
      </c>
      <c r="B57" s="375">
        <f>'2022'!Maxi_hp</f>
        <v>24.090968807798074</v>
      </c>
      <c r="C57" s="13">
        <f>'2022'!An_max</f>
        <v>2022</v>
      </c>
      <c r="D57" s="1050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69">
        <f t="shared" si="8"/>
        <v>43150</v>
      </c>
      <c r="I57" s="744">
        <f t="shared" si="9"/>
        <v>0.5</v>
      </c>
      <c r="J57" s="737">
        <f t="shared" si="27"/>
        <v>30.762956249713898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43">
        <v>43143</v>
      </c>
      <c r="AP57" s="13">
        <f t="shared" si="11"/>
        <v>3</v>
      </c>
      <c r="AQ57" s="13">
        <f t="shared" si="12"/>
        <v>4</v>
      </c>
      <c r="AR57" s="169">
        <f t="shared" si="13"/>
        <v>43136</v>
      </c>
      <c r="AS57" s="744">
        <f t="shared" si="14"/>
        <v>0.25</v>
      </c>
      <c r="AT57" s="760">
        <f t="shared" si="15"/>
        <v>30.652910156128929</v>
      </c>
      <c r="AU57" s="13">
        <f t="shared" si="16"/>
        <v>3</v>
      </c>
      <c r="AV57" s="13">
        <f t="shared" si="17"/>
        <v>2</v>
      </c>
      <c r="AW57" s="169">
        <f t="shared" si="18"/>
        <v>43150</v>
      </c>
      <c r="AX57" s="744">
        <f t="shared" si="19"/>
        <v>0.25</v>
      </c>
      <c r="AY57" s="760">
        <f t="shared" si="20"/>
        <v>30.732192183565349</v>
      </c>
      <c r="AZ57" s="737">
        <f t="shared" si="26"/>
        <v>30.692551169847139</v>
      </c>
      <c r="BA57" s="634">
        <f t="shared" si="21"/>
        <v>0.78311618078064671</v>
      </c>
      <c r="BC57" s="11">
        <v>43143</v>
      </c>
      <c r="BD57" s="286">
        <f>[3]!FeuilCaduc*(1-Persistant)+Persistant</f>
        <v>0.60094704388681452</v>
      </c>
      <c r="BE57" s="287">
        <f>[3]!CroissVégét</f>
        <v>6.3938522678270975E-3</v>
      </c>
      <c r="BF57" s="807">
        <f>1+[3]!Salcycl*Ksac</f>
        <v>1.0001183804858518</v>
      </c>
      <c r="BH57" s="1041">
        <f t="shared" si="22"/>
        <v>1.4523273781808418E-2</v>
      </c>
      <c r="BI57" s="11">
        <v>44239</v>
      </c>
      <c r="BJ57" s="717">
        <v>1.6897167628545416E-3</v>
      </c>
      <c r="BK57" s="717">
        <v>2.582937897516264E-3</v>
      </c>
      <c r="BL57" s="717">
        <v>3.5885809837678194E-3</v>
      </c>
      <c r="BM57" s="717">
        <v>4.7639965594621055E-3</v>
      </c>
      <c r="BN57" s="717">
        <v>8.7955155235030381E-3</v>
      </c>
      <c r="BO57" s="718">
        <v>1.4558909851326083E-2</v>
      </c>
      <c r="BP57" s="717">
        <v>2.8622475554939065E-2</v>
      </c>
      <c r="BQ57" s="717">
        <v>4.6454740970680641E-2</v>
      </c>
      <c r="BR57" s="717">
        <v>7.6106336301265731E-2</v>
      </c>
      <c r="BS57" s="717">
        <v>0.11111887119440152</v>
      </c>
      <c r="BT57" s="717">
        <v>0.15333081553765646</v>
      </c>
      <c r="BW57" s="1162">
        <f>'2022'!R\Max</f>
        <v>0.78311618078064671</v>
      </c>
      <c r="BX57" s="1163">
        <f>'2023'!R\Max</f>
        <v>0.78296666299471129</v>
      </c>
      <c r="BY57" s="1163">
        <f>'2024'!R\Max</f>
        <v>0.78281648839943319</v>
      </c>
      <c r="BZ57" s="1163">
        <f>'2025'!R\Max</f>
        <v>0.78262612682934396</v>
      </c>
      <c r="CA57" s="1163">
        <f>'2026'!R\Max</f>
        <v>0.78243531818287604</v>
      </c>
      <c r="CB57" s="1163">
        <f>'2027'!R\Max</f>
        <v>0.78211833932179908</v>
      </c>
      <c r="CC57" s="1164">
        <f>'2028'!R\Max</f>
        <v>0.78180003090440098</v>
      </c>
      <c r="CD57" s="1163">
        <f>'2029'!R\Max</f>
        <v>0.78142377704737442</v>
      </c>
      <c r="CE57" s="1163">
        <f>'2030'!R\Max</f>
        <v>0.78297416479100912</v>
      </c>
      <c r="CF57" s="1165">
        <f>'2031'!R\Max</f>
        <v>0.78282399660330793</v>
      </c>
    </row>
    <row r="58" spans="1:84" s="6" customFormat="1" ht="11.25" x14ac:dyDescent="0.2">
      <c r="A58" s="11">
        <v>43144</v>
      </c>
      <c r="B58" s="375">
        <f>'2022'!Maxi_hp</f>
        <v>26.541007451756311</v>
      </c>
      <c r="C58" s="13">
        <f>'2022'!An_max</f>
        <v>2022</v>
      </c>
      <c r="D58" s="1050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69">
        <f t="shared" si="8"/>
        <v>43150</v>
      </c>
      <c r="I58" s="744">
        <f t="shared" si="9"/>
        <v>0.42857142857142855</v>
      </c>
      <c r="J58" s="737">
        <f t="shared" si="27"/>
        <v>31.173460058282522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43">
        <v>43144</v>
      </c>
      <c r="AP58" s="13">
        <f t="shared" si="11"/>
        <v>3</v>
      </c>
      <c r="AQ58" s="13">
        <f t="shared" si="12"/>
        <v>4</v>
      </c>
      <c r="AR58" s="169">
        <f t="shared" si="13"/>
        <v>43136</v>
      </c>
      <c r="AS58" s="744">
        <f t="shared" si="14"/>
        <v>0.2857142857142857</v>
      </c>
      <c r="AT58" s="760">
        <f t="shared" si="15"/>
        <v>31.05521107896098</v>
      </c>
      <c r="AU58" s="13">
        <f t="shared" si="16"/>
        <v>3</v>
      </c>
      <c r="AV58" s="13">
        <f t="shared" si="17"/>
        <v>2</v>
      </c>
      <c r="AW58" s="169">
        <f t="shared" si="18"/>
        <v>43150</v>
      </c>
      <c r="AX58" s="744">
        <f t="shared" si="19"/>
        <v>0.21428571428571427</v>
      </c>
      <c r="AY58" s="760">
        <f t="shared" si="20"/>
        <v>31.151638334750068</v>
      </c>
      <c r="AZ58" s="737">
        <f t="shared" si="26"/>
        <v>31.103424706855524</v>
      </c>
      <c r="BA58" s="634">
        <f t="shared" si="21"/>
        <v>0.85139754785431954</v>
      </c>
      <c r="BC58" s="11">
        <v>43144</v>
      </c>
      <c r="BD58" s="286">
        <f>[3]!FeuilCaduc*(1-Persistant)+Persistant</f>
        <v>0.60106790488540773</v>
      </c>
      <c r="BE58" s="287">
        <f>[3]!CroissVégét</f>
        <v>6.7178564099054624E-3</v>
      </c>
      <c r="BF58" s="807">
        <f>1+[3]!Salcycl*Ksac</f>
        <v>1.000133488110676</v>
      </c>
      <c r="BH58" s="1041">
        <f t="shared" si="22"/>
        <v>1.2909800813266904E-2</v>
      </c>
      <c r="BI58" s="11">
        <v>44240</v>
      </c>
      <c r="BJ58" s="717">
        <v>1.6436693501451513E-3</v>
      </c>
      <c r="BK58" s="717">
        <v>2.493669166705815E-3</v>
      </c>
      <c r="BL58" s="717">
        <v>3.466140312939557E-3</v>
      </c>
      <c r="BM58" s="717">
        <v>4.6213866415192768E-3</v>
      </c>
      <c r="BN58" s="717">
        <v>8.06507180845587E-3</v>
      </c>
      <c r="BO58" s="718">
        <v>1.2939942989633959E-2</v>
      </c>
      <c r="BP58" s="717">
        <v>2.4951235910693027E-2</v>
      </c>
      <c r="BQ58" s="717">
        <v>4.0411601619060759E-2</v>
      </c>
      <c r="BR58" s="717">
        <v>6.7161194201342297E-2</v>
      </c>
      <c r="BS58" s="717">
        <v>9.9612696186511362E-2</v>
      </c>
      <c r="BT58" s="717">
        <v>0.13933066833204594</v>
      </c>
      <c r="BW58" s="1162">
        <f>'2022'!R\Max</f>
        <v>0.85139754785431954</v>
      </c>
      <c r="BX58" s="1163">
        <f>'2023'!R\Max</f>
        <v>0.85130364275507586</v>
      </c>
      <c r="BY58" s="1163">
        <f>'2024'!R\Max</f>
        <v>0.85120934416513716</v>
      </c>
      <c r="BZ58" s="1163">
        <f>'2025'!R\Max</f>
        <v>0.85108800658048644</v>
      </c>
      <c r="CA58" s="1163">
        <f>'2026'!R\Max</f>
        <v>0.85096638735803654</v>
      </c>
      <c r="CB58" s="1163">
        <f>'2027'!R\Max</f>
        <v>0.85075615973088969</v>
      </c>
      <c r="CC58" s="1164">
        <f>'2028'!R\Max</f>
        <v>0.85054504346137361</v>
      </c>
      <c r="CD58" s="1163">
        <f>'2029'!R\Max</f>
        <v>0.85028866028879202</v>
      </c>
      <c r="CE58" s="1163">
        <f>'2030'!R\Max</f>
        <v>0.85130835341085476</v>
      </c>
      <c r="CF58" s="1165">
        <f>'2031'!R\Max</f>
        <v>0.85121405869198052</v>
      </c>
    </row>
    <row r="59" spans="1:84" s="6" customFormat="1" ht="11.25" x14ac:dyDescent="0.2">
      <c r="A59" s="11">
        <v>43145</v>
      </c>
      <c r="B59" s="375">
        <f>'2022'!Maxi_hp</f>
        <v>17.04015432936102</v>
      </c>
      <c r="C59" s="13">
        <f>'2022'!An_max</f>
        <v>2022</v>
      </c>
      <c r="D59" s="1050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69">
        <f t="shared" si="8"/>
        <v>43150</v>
      </c>
      <c r="I59" s="744">
        <f t="shared" si="9"/>
        <v>0.35714285714285715</v>
      </c>
      <c r="J59" s="737">
        <f t="shared" si="27"/>
        <v>31.585929828722563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43">
        <v>43145</v>
      </c>
      <c r="AP59" s="13">
        <f t="shared" si="11"/>
        <v>3</v>
      </c>
      <c r="AQ59" s="13">
        <f t="shared" si="12"/>
        <v>4</v>
      </c>
      <c r="AR59" s="169">
        <f t="shared" si="13"/>
        <v>43136</v>
      </c>
      <c r="AS59" s="744">
        <f t="shared" si="14"/>
        <v>0.32142857142857145</v>
      </c>
      <c r="AT59" s="760">
        <f t="shared" si="15"/>
        <v>31.461644161432719</v>
      </c>
      <c r="AU59" s="13">
        <f t="shared" si="16"/>
        <v>3</v>
      </c>
      <c r="AV59" s="13">
        <f t="shared" si="17"/>
        <v>2</v>
      </c>
      <c r="AW59" s="169">
        <f t="shared" si="18"/>
        <v>43150</v>
      </c>
      <c r="AX59" s="744">
        <f t="shared" si="19"/>
        <v>0.17857142857142858</v>
      </c>
      <c r="AY59" s="760">
        <f t="shared" si="20"/>
        <v>31.57174257679975</v>
      </c>
      <c r="AZ59" s="737">
        <f t="shared" si="26"/>
        <v>31.516693369116233</v>
      </c>
      <c r="BA59" s="634">
        <f t="shared" si="21"/>
        <v>0.53948560076473073</v>
      </c>
      <c r="BC59" s="11">
        <v>43145</v>
      </c>
      <c r="BD59" s="286">
        <f>[3]!FeuilCaduc*(1-Persistant)+Persistant</f>
        <v>0.60119144852134865</v>
      </c>
      <c r="BE59" s="287">
        <f>[3]!CroissVégét</f>
        <v>7.0552285378688686E-3</v>
      </c>
      <c r="BF59" s="807">
        <f>1+[3]!Salcycl*Ksac</f>
        <v>1.0001489310651686</v>
      </c>
      <c r="BH59" s="1041">
        <f t="shared" si="22"/>
        <v>1.1468996755536497E-2</v>
      </c>
      <c r="BI59" s="11">
        <v>44241</v>
      </c>
      <c r="BJ59" s="717">
        <v>1.5982079117247308E-3</v>
      </c>
      <c r="BK59" s="717">
        <v>2.4071219338279767E-3</v>
      </c>
      <c r="BL59" s="717">
        <v>3.3465212814366685E-3</v>
      </c>
      <c r="BM59" s="717">
        <v>4.47949531787063E-3</v>
      </c>
      <c r="BN59" s="717">
        <v>7.4032122387423021E-3</v>
      </c>
      <c r="BO59" s="718">
        <v>1.1494292617049895E-2</v>
      </c>
      <c r="BP59" s="717">
        <v>2.1660832876537264E-2</v>
      </c>
      <c r="BQ59" s="717">
        <v>3.4965938231088851E-2</v>
      </c>
      <c r="BR59" s="717">
        <v>5.8982135972554507E-2</v>
      </c>
      <c r="BS59" s="717">
        <v>8.8925983517055149E-2</v>
      </c>
      <c r="BT59" s="717">
        <v>0.12611086362150523</v>
      </c>
      <c r="BW59" s="1162">
        <f>'2022'!R\Max</f>
        <v>0.53948560076473073</v>
      </c>
      <c r="BX59" s="1163">
        <f>'2023'!R\Max</f>
        <v>0.53933154285655627</v>
      </c>
      <c r="BY59" s="1163">
        <f>'2024'!R\Max</f>
        <v>0.53917694844606778</v>
      </c>
      <c r="BZ59" s="1163">
        <f>'2025'!R\Max</f>
        <v>0.53897481241415557</v>
      </c>
      <c r="CA59" s="1163">
        <f>'2026'!R\Max</f>
        <v>0.53877234389100803</v>
      </c>
      <c r="CB59" s="1163">
        <f>'2027'!R\Max</f>
        <v>0.53840754737736918</v>
      </c>
      <c r="CC59" s="1164">
        <f>'2028'!R\Max</f>
        <v>0.53804162721804705</v>
      </c>
      <c r="CD59" s="1163">
        <f>'2029'!R\Max</f>
        <v>0.53758551006675381</v>
      </c>
      <c r="CE59" s="1163">
        <f>'2030'!R\Max</f>
        <v>0.53933926769323459</v>
      </c>
      <c r="CF59" s="1165">
        <f>'2031'!R\Max</f>
        <v>0.53918467558491023</v>
      </c>
    </row>
    <row r="60" spans="1:84" s="6" customFormat="1" ht="11.25" x14ac:dyDescent="0.2">
      <c r="A60" s="11">
        <v>43146</v>
      </c>
      <c r="B60" s="375">
        <f>'2022'!Maxi_hp</f>
        <v>21.934451021953191</v>
      </c>
      <c r="C60" s="13">
        <f>'2022'!An_max</f>
        <v>2022</v>
      </c>
      <c r="D60" s="1050" t="str">
        <f t="shared" si="7"/>
        <v/>
      </c>
      <c r="E60" s="13"/>
      <c r="F60" s="13">
        <f t="shared" si="23"/>
        <v>5</v>
      </c>
      <c r="G60" s="13">
        <f t="shared" si="24"/>
        <v>4</v>
      </c>
      <c r="H60" s="169">
        <f t="shared" si="8"/>
        <v>43150</v>
      </c>
      <c r="I60" s="744">
        <f t="shared" si="9"/>
        <v>0.2857142857142857</v>
      </c>
      <c r="J60" s="737">
        <f t="shared" si="27"/>
        <v>32.000037900597917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43">
        <v>43146</v>
      </c>
      <c r="AP60" s="13">
        <f t="shared" si="11"/>
        <v>3</v>
      </c>
      <c r="AQ60" s="13">
        <f t="shared" si="12"/>
        <v>4</v>
      </c>
      <c r="AR60" s="169">
        <f t="shared" si="13"/>
        <v>43136</v>
      </c>
      <c r="AS60" s="744">
        <f t="shared" si="14"/>
        <v>0.35714285714285715</v>
      </c>
      <c r="AT60" s="760">
        <f t="shared" si="15"/>
        <v>31.871977313621233</v>
      </c>
      <c r="AU60" s="13">
        <f t="shared" si="16"/>
        <v>3</v>
      </c>
      <c r="AV60" s="13">
        <f t="shared" si="17"/>
        <v>2</v>
      </c>
      <c r="AW60" s="169">
        <f t="shared" si="18"/>
        <v>43150</v>
      </c>
      <c r="AX60" s="744">
        <f t="shared" si="19"/>
        <v>0.14285714285714285</v>
      </c>
      <c r="AY60" s="760">
        <f t="shared" si="20"/>
        <v>31.992052476640261</v>
      </c>
      <c r="AZ60" s="737">
        <f t="shared" si="26"/>
        <v>31.932014895130749</v>
      </c>
      <c r="BA60" s="634">
        <f t="shared" si="21"/>
        <v>0.68545078259245895</v>
      </c>
      <c r="BC60" s="11">
        <v>43146</v>
      </c>
      <c r="BD60" s="286">
        <f>[3]!FeuilCaduc*(1-Persistant)+Persistant</f>
        <v>0.60131681367960876</v>
      </c>
      <c r="BE60" s="287">
        <f>[3]!CroissVégét</f>
        <v>7.4065104705297478E-3</v>
      </c>
      <c r="BF60" s="807">
        <f>1+[3]!Salcycl*Ksac</f>
        <v>1.000164601709951</v>
      </c>
      <c r="BH60" s="1041">
        <f t="shared" si="22"/>
        <v>1.020082261742781E-2</v>
      </c>
      <c r="BI60" s="11">
        <v>44242</v>
      </c>
      <c r="BJ60" s="717">
        <v>1.5533335019602208E-3</v>
      </c>
      <c r="BK60" s="717">
        <v>2.323297212303635E-3</v>
      </c>
      <c r="BL60" s="717">
        <v>3.2297255004403122E-3</v>
      </c>
      <c r="BM60" s="717">
        <v>4.3383255678122283E-3</v>
      </c>
      <c r="BN60" s="717">
        <v>6.8099233204590853E-3</v>
      </c>
      <c r="BO60" s="718">
        <v>1.0221919583749487E-2</v>
      </c>
      <c r="BP60" s="717">
        <v>1.8751175360365843E-2</v>
      </c>
      <c r="BQ60" s="717">
        <v>3.0117605747811832E-2</v>
      </c>
      <c r="BR60" s="717">
        <v>5.1568977081595434E-2</v>
      </c>
      <c r="BS60" s="717">
        <v>7.9058541239481486E-2</v>
      </c>
      <c r="BT60" s="717">
        <v>0.11367122807651296</v>
      </c>
      <c r="BW60" s="1162">
        <f>'2022'!R\Max</f>
        <v>0.68545078259245895</v>
      </c>
      <c r="BX60" s="1163">
        <f>'2023'!R\Max</f>
        <v>0.68534001689802448</v>
      </c>
      <c r="BY60" s="1163">
        <f>'2024'!R\Max</f>
        <v>0.68522887653776865</v>
      </c>
      <c r="BZ60" s="1163">
        <f>'2025'!R\Max</f>
        <v>0.68508088126887567</v>
      </c>
      <c r="CA60" s="1163">
        <f>'2026'!R\Max</f>
        <v>0.68493262409186062</v>
      </c>
      <c r="CB60" s="1163">
        <f>'2027'!R\Max</f>
        <v>0.68465326400014082</v>
      </c>
      <c r="CC60" s="1164">
        <f>'2028'!R\Max</f>
        <v>0.68437297100263816</v>
      </c>
      <c r="CD60" s="1163">
        <f>'2029'!R\Max</f>
        <v>0.6840137621125546</v>
      </c>
      <c r="CE60" s="1163">
        <f>'2030'!R\Max</f>
        <v>0.68534557011550734</v>
      </c>
      <c r="CF60" s="1165">
        <f>'2031'!R\Max</f>
        <v>0.68523443196176137</v>
      </c>
    </row>
    <row r="61" spans="1:84" s="6" customFormat="1" ht="11.25" x14ac:dyDescent="0.2">
      <c r="A61" s="11">
        <v>43147</v>
      </c>
      <c r="B61" s="375">
        <f>'2022'!Maxi_hp</f>
        <v>10.417141926380237</v>
      </c>
      <c r="C61" s="13">
        <f>'2022'!An_max</f>
        <v>2022</v>
      </c>
      <c r="D61" s="1050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69">
        <f t="shared" si="8"/>
        <v>43150</v>
      </c>
      <c r="I61" s="744">
        <f t="shared" si="9"/>
        <v>0.21428571428571427</v>
      </c>
      <c r="J61" s="737">
        <f t="shared" si="27"/>
        <v>32.415456614190973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43">
        <v>43147</v>
      </c>
      <c r="AP61" s="13">
        <f t="shared" si="11"/>
        <v>3</v>
      </c>
      <c r="AQ61" s="13">
        <f t="shared" si="12"/>
        <v>4</v>
      </c>
      <c r="AR61" s="169">
        <f t="shared" si="13"/>
        <v>43136</v>
      </c>
      <c r="AS61" s="744">
        <f t="shared" si="14"/>
        <v>0.39285714285714285</v>
      </c>
      <c r="AT61" s="760">
        <f t="shared" si="15"/>
        <v>32.285978441425996</v>
      </c>
      <c r="AU61" s="13">
        <f t="shared" si="16"/>
        <v>3</v>
      </c>
      <c r="AV61" s="13">
        <f t="shared" si="17"/>
        <v>2</v>
      </c>
      <c r="AW61" s="169">
        <f t="shared" si="18"/>
        <v>43150</v>
      </c>
      <c r="AX61" s="744">
        <f t="shared" si="19"/>
        <v>0.10714285714285714</v>
      </c>
      <c r="AY61" s="760">
        <f t="shared" si="20"/>
        <v>32.412115601742904</v>
      </c>
      <c r="AZ61" s="737">
        <f t="shared" si="26"/>
        <v>32.349047021584454</v>
      </c>
      <c r="BA61" s="634">
        <f t="shared" si="21"/>
        <v>0.32136341777828847</v>
      </c>
      <c r="BC61" s="11">
        <v>43147</v>
      </c>
      <c r="BD61" s="286">
        <f>[3]!FeuilCaduc*(1-Persistant)+Persistant</f>
        <v>0.60144317687837145</v>
      </c>
      <c r="BE61" s="287">
        <f>[3]!CroissVégét</f>
        <v>7.7722651621059055E-3</v>
      </c>
      <c r="BF61" s="807">
        <f>1+[3]!Salcycl*Ksac</f>
        <v>1.0001803971097964</v>
      </c>
      <c r="BH61" s="1041">
        <f t="shared" si="22"/>
        <v>9.1052383206778522E-3</v>
      </c>
      <c r="BI61" s="11">
        <v>44243</v>
      </c>
      <c r="BJ61" s="717">
        <v>1.5090470009543131E-3</v>
      </c>
      <c r="BK61" s="717">
        <v>2.2421957299851893E-3</v>
      </c>
      <c r="BL61" s="717">
        <v>3.1157541593467846E-3</v>
      </c>
      <c r="BM61" s="717">
        <v>4.1978797946308185E-3</v>
      </c>
      <c r="BN61" s="717">
        <v>6.2851907512238778E-3</v>
      </c>
      <c r="BO61" s="718">
        <v>9.1227836511014026E-3</v>
      </c>
      <c r="BP61" s="717">
        <v>1.6222169397647267E-2</v>
      </c>
      <c r="BQ61" s="717">
        <v>2.5866453410090095E-2</v>
      </c>
      <c r="BR61" s="717">
        <v>4.4921520649580236E-2</v>
      </c>
      <c r="BS61" s="717">
        <v>7.0010156045641272E-2</v>
      </c>
      <c r="BT61" s="717">
        <v>0.10201155521714982</v>
      </c>
      <c r="BW61" s="1162">
        <f>'2022'!R\Max</f>
        <v>0.32136341777828847</v>
      </c>
      <c r="BX61" s="1163">
        <f>'2023'!R\Max</f>
        <v>0.32127133336590152</v>
      </c>
      <c r="BY61" s="1163">
        <f>'2024'!R\Max</f>
        <v>0.32117899262813093</v>
      </c>
      <c r="BZ61" s="1163">
        <f>'2025'!R\Max</f>
        <v>0.3210537001559165</v>
      </c>
      <c r="CA61" s="1163">
        <f>'2026'!R\Max</f>
        <v>0.32092825251964902</v>
      </c>
      <c r="CB61" s="1163">
        <f>'2027'!R\Max</f>
        <v>0.32068094790908086</v>
      </c>
      <c r="CC61" s="1164">
        <f>'2028'!R\Max</f>
        <v>0.320433068815629</v>
      </c>
      <c r="CD61" s="1163">
        <f>'2029'!R\Max</f>
        <v>0.32010704398188983</v>
      </c>
      <c r="CE61" s="1163">
        <f>'2030'!R\Max</f>
        <v>0.32127594816365485</v>
      </c>
      <c r="CF61" s="1165">
        <f>'2031'!R\Max</f>
        <v>0.32118360750937069</v>
      </c>
    </row>
    <row r="62" spans="1:84" s="6" customFormat="1" ht="11.25" x14ac:dyDescent="0.2">
      <c r="A62" s="11">
        <v>43148</v>
      </c>
      <c r="B62" s="375">
        <f>'2022'!Maxi_hp</f>
        <v>12.518314703244648</v>
      </c>
      <c r="C62" s="13">
        <f>'2022'!An_max</f>
        <v>2022</v>
      </c>
      <c r="D62" s="1050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69">
        <f t="shared" si="8"/>
        <v>43150</v>
      </c>
      <c r="I62" s="744">
        <f t="shared" si="9"/>
        <v>0.14285714285714285</v>
      </c>
      <c r="J62" s="737">
        <f t="shared" si="27"/>
        <v>32.831858309092269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43">
        <v>43148</v>
      </c>
      <c r="AP62" s="13">
        <f t="shared" si="11"/>
        <v>3</v>
      </c>
      <c r="AQ62" s="13">
        <f t="shared" si="12"/>
        <v>4</v>
      </c>
      <c r="AR62" s="169">
        <f t="shared" si="13"/>
        <v>43136</v>
      </c>
      <c r="AS62" s="744">
        <f t="shared" si="14"/>
        <v>0.42857142857142855</v>
      </c>
      <c r="AT62" s="760">
        <f t="shared" si="15"/>
        <v>32.703415451065766</v>
      </c>
      <c r="AU62" s="13">
        <f t="shared" si="16"/>
        <v>3</v>
      </c>
      <c r="AV62" s="13">
        <f t="shared" si="17"/>
        <v>2</v>
      </c>
      <c r="AW62" s="169">
        <f t="shared" si="18"/>
        <v>43150</v>
      </c>
      <c r="AX62" s="744">
        <f t="shared" si="19"/>
        <v>7.1428571428571425E-2</v>
      </c>
      <c r="AY62" s="760">
        <f t="shared" si="20"/>
        <v>32.831479518221961</v>
      </c>
      <c r="AZ62" s="737">
        <f t="shared" si="26"/>
        <v>32.767447484643867</v>
      </c>
      <c r="BA62" s="634">
        <f t="shared" si="21"/>
        <v>0.38128559722060867</v>
      </c>
      <c r="BC62" s="11">
        <v>43148</v>
      </c>
      <c r="BD62" s="286">
        <f>[3]!FeuilCaduc*(1-Persistant)+Persistant</f>
        <v>0.6015697647555619</v>
      </c>
      <c r="BE62" s="287">
        <f>[3]!CroissVégét</f>
        <v>8.1530774564185747E-3</v>
      </c>
      <c r="BF62" s="807">
        <f>1+[3]!Salcycl*Ksac</f>
        <v>1.0001962205944452</v>
      </c>
      <c r="BH62" s="1041">
        <f t="shared" si="22"/>
        <v>8.1822045134714218E-3</v>
      </c>
      <c r="BI62" s="11">
        <v>44244</v>
      </c>
      <c r="BJ62" s="717">
        <v>1.4653491205930459E-3</v>
      </c>
      <c r="BK62" s="717">
        <v>2.1638179575787534E-3</v>
      </c>
      <c r="BL62" s="717">
        <v>3.0046080551656522E-3</v>
      </c>
      <c r="BM62" s="717">
        <v>4.0581598328166824E-3</v>
      </c>
      <c r="BN62" s="717">
        <v>5.829000140288222E-3</v>
      </c>
      <c r="BO62" s="718">
        <v>8.1968453119915814E-3</v>
      </c>
      <c r="BP62" s="717">
        <v>1.4073722151245393E-2</v>
      </c>
      <c r="BQ62" s="717">
        <v>2.2212331033267394E-2</v>
      </c>
      <c r="BR62" s="717">
        <v>3.9039565495218982E-2</v>
      </c>
      <c r="BS62" s="717">
        <v>6.1780601865718154E-2</v>
      </c>
      <c r="BT62" s="717">
        <v>9.1131613596698399E-2</v>
      </c>
      <c r="BW62" s="1162">
        <f>'2022'!R\Max</f>
        <v>0.38128559722060867</v>
      </c>
      <c r="BX62" s="1163">
        <f>'2023'!R\Max</f>
        <v>0.3812041491852412</v>
      </c>
      <c r="BY62" s="1163">
        <f>'2024'!R\Max</f>
        <v>0.38112249114468655</v>
      </c>
      <c r="BZ62" s="1163">
        <f>'2025'!R\Max</f>
        <v>0.38100953162815976</v>
      </c>
      <c r="CA62" s="1163">
        <f>'2026'!R\Max</f>
        <v>0.38089643087682956</v>
      </c>
      <c r="CB62" s="1163">
        <f>'2027'!R\Max</f>
        <v>0.38066306684317797</v>
      </c>
      <c r="CC62" s="1164">
        <f>'2028'!R\Max</f>
        <v>0.3804291562954476</v>
      </c>
      <c r="CD62" s="1163">
        <f>'2029'!R\Max</f>
        <v>0.38011332631954103</v>
      </c>
      <c r="CE62" s="1163">
        <f>'2030'!R\Max</f>
        <v>0.38120823002537663</v>
      </c>
      <c r="CF62" s="1165">
        <f>'2031'!R\Max</f>
        <v>0.3811265722144615</v>
      </c>
    </row>
    <row r="63" spans="1:84" s="6" customFormat="1" ht="11.25" x14ac:dyDescent="0.2">
      <c r="A63" s="11">
        <v>43149</v>
      </c>
      <c r="B63" s="375">
        <f>'2022'!Maxi_hp</f>
        <v>29.334371482242279</v>
      </c>
      <c r="C63" s="13">
        <f>'2022'!An_max</f>
        <v>2022</v>
      </c>
      <c r="D63" s="1050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69">
        <f t="shared" si="8"/>
        <v>43150</v>
      </c>
      <c r="I63" s="744">
        <f t="shared" si="9"/>
        <v>7.1428571428571425E-2</v>
      </c>
      <c r="J63" s="737">
        <f t="shared" si="27"/>
        <v>33.248915324040823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43">
        <v>43149</v>
      </c>
      <c r="AP63" s="13">
        <f t="shared" si="11"/>
        <v>3</v>
      </c>
      <c r="AQ63" s="13">
        <f t="shared" si="12"/>
        <v>4</v>
      </c>
      <c r="AR63" s="169">
        <f t="shared" si="13"/>
        <v>43136</v>
      </c>
      <c r="AS63" s="744">
        <f t="shared" si="14"/>
        <v>0.4642857142857143</v>
      </c>
      <c r="AT63" s="760">
        <f t="shared" si="15"/>
        <v>33.124056251772814</v>
      </c>
      <c r="AU63" s="13">
        <f t="shared" si="16"/>
        <v>3</v>
      </c>
      <c r="AV63" s="13">
        <f t="shared" si="17"/>
        <v>2</v>
      </c>
      <c r="AW63" s="169">
        <f t="shared" si="18"/>
        <v>43150</v>
      </c>
      <c r="AX63" s="744">
        <f t="shared" si="19"/>
        <v>3.5714285714285712E-2</v>
      </c>
      <c r="AY63" s="760">
        <f t="shared" si="20"/>
        <v>33.249691795597656</v>
      </c>
      <c r="AZ63" s="737">
        <f t="shared" si="26"/>
        <v>33.186874023685235</v>
      </c>
      <c r="BA63" s="634">
        <f t="shared" si="21"/>
        <v>0.8822655174267261</v>
      </c>
      <c r="BC63" s="11">
        <v>43149</v>
      </c>
      <c r="BD63" s="286">
        <f>[3]!FeuilCaduc*(1-Persistant)+Persistant</f>
        <v>0.60169586635044547</v>
      </c>
      <c r="BE63" s="287">
        <f>[3]!CroissVégét</f>
        <v>8.5495548619151183E-3</v>
      </c>
      <c r="BF63" s="807">
        <f>1+[3]!Salcycl*Ksac</f>
        <v>1.0002119832938057</v>
      </c>
      <c r="BH63" s="1041">
        <f t="shared" si="22"/>
        <v>7.4316843838449108E-3</v>
      </c>
      <c r="BI63" s="11">
        <v>44245</v>
      </c>
      <c r="BJ63" s="717">
        <v>1.4222404105761544E-3</v>
      </c>
      <c r="BK63" s="717">
        <v>2.088164137040481E-3</v>
      </c>
      <c r="BL63" s="717">
        <v>2.8962876218819236E-3</v>
      </c>
      <c r="BM63" s="717">
        <v>3.9191669552282636E-3</v>
      </c>
      <c r="BN63" s="717">
        <v>5.4413377285731515E-3</v>
      </c>
      <c r="BO63" s="718">
        <v>7.4440676110295893E-3</v>
      </c>
      <c r="BP63" s="717">
        <v>1.230574591102176E-2</v>
      </c>
      <c r="BQ63" s="717">
        <v>1.9155095281488895E-2</v>
      </c>
      <c r="BR63" s="717">
        <v>3.3922914177391079E-2</v>
      </c>
      <c r="BS63" s="717">
        <v>5.4369648467249156E-2</v>
      </c>
      <c r="BT63" s="717">
        <v>8.1031154983942158E-2</v>
      </c>
      <c r="BW63" s="1162">
        <f>'2022'!R\Max</f>
        <v>0.8822655174267261</v>
      </c>
      <c r="BX63" s="1163">
        <f>'2023'!R\Max</f>
        <v>0.88223620384936974</v>
      </c>
      <c r="BY63" s="1163">
        <f>'2024'!R\Max</f>
        <v>0.88220681466214612</v>
      </c>
      <c r="BZ63" s="1163">
        <f>'2025'!R\Max</f>
        <v>0.88216543932502978</v>
      </c>
      <c r="CA63" s="1163">
        <f>'2026'!R\Max</f>
        <v>0.8821239988823234</v>
      </c>
      <c r="CB63" s="1163">
        <f>'2027'!R\Max</f>
        <v>0.88203476713794415</v>
      </c>
      <c r="CC63" s="1164">
        <f>'2028'!R\Max</f>
        <v>0.88194526285665364</v>
      </c>
      <c r="CD63" s="1163">
        <f>'2029'!R\Max</f>
        <v>0.88182132348246101</v>
      </c>
      <c r="CE63" s="1163">
        <f>'2030'!R\Max</f>
        <v>0.88223767235605888</v>
      </c>
      <c r="CF63" s="1165">
        <f>'2031'!R\Max</f>
        <v>0.88220828365264459</v>
      </c>
    </row>
    <row r="64" spans="1:84" s="6" customFormat="1" ht="11.25" x14ac:dyDescent="0.2">
      <c r="A64" s="11">
        <v>43150</v>
      </c>
      <c r="B64" s="375">
        <f>'2022'!Maxi_hp</f>
        <v>17.708043029969524</v>
      </c>
      <c r="C64" s="13">
        <f>'2022'!An_max</f>
        <v>2022</v>
      </c>
      <c r="D64" s="1050" t="str">
        <f t="shared" si="7"/>
        <v/>
      </c>
      <c r="E64" s="1045">
        <f>Q$13/10</f>
        <v>33.6663</v>
      </c>
      <c r="F64" s="13">
        <f t="shared" si="23"/>
        <v>5</v>
      </c>
      <c r="G64" s="13">
        <f t="shared" si="24"/>
        <v>6</v>
      </c>
      <c r="H64" s="169">
        <f t="shared" si="8"/>
        <v>43150</v>
      </c>
      <c r="I64" s="744">
        <f t="shared" si="9"/>
        <v>0</v>
      </c>
      <c r="J64" s="737">
        <f t="shared" si="27"/>
        <v>33.666300000064076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43">
        <v>43150</v>
      </c>
      <c r="AP64" s="13">
        <f t="shared" si="11"/>
        <v>3</v>
      </c>
      <c r="AQ64" s="13">
        <f t="shared" si="12"/>
        <v>4</v>
      </c>
      <c r="AR64" s="169">
        <f t="shared" si="13"/>
        <v>43136</v>
      </c>
      <c r="AS64" s="744">
        <f t="shared" si="14"/>
        <v>0.5</v>
      </c>
      <c r="AT64" s="760">
        <f t="shared" si="15"/>
        <v>33.547668749839069</v>
      </c>
      <c r="AU64" s="13">
        <f t="shared" si="16"/>
        <v>3</v>
      </c>
      <c r="AV64" s="13">
        <f t="shared" si="17"/>
        <v>4</v>
      </c>
      <c r="AW64" s="169">
        <f t="shared" si="18"/>
        <v>43150</v>
      </c>
      <c r="AX64" s="744">
        <f t="shared" si="19"/>
        <v>0</v>
      </c>
      <c r="AY64" s="760">
        <f t="shared" si="20"/>
        <v>33.666300000250338</v>
      </c>
      <c r="AZ64" s="737">
        <f t="shared" si="26"/>
        <v>33.606984375044703</v>
      </c>
      <c r="BA64" s="634">
        <f t="shared" si="21"/>
        <v>0.5259872047102242</v>
      </c>
      <c r="BC64" s="11">
        <v>43150</v>
      </c>
      <c r="BD64" s="286">
        <f>[3]!FeuilCaduc*(1-Persistant)+Persistant</f>
        <v>0.60182084505675992</v>
      </c>
      <c r="BE64" s="287">
        <f>[3]!CroissVégét</f>
        <v>8.9623283475330478E-3</v>
      </c>
      <c r="BF64" s="807">
        <f>1+[3]!Salcycl*Ksac</f>
        <v>1.0002276056320949</v>
      </c>
      <c r="BH64" s="1041">
        <f t="shared" si="22"/>
        <v>6.8536454731668271E-3</v>
      </c>
      <c r="BI64" s="11">
        <v>44246</v>
      </c>
      <c r="BJ64" s="717">
        <v>1.3797212644591614E-3</v>
      </c>
      <c r="BK64" s="717">
        <v>2.0152343099904394E-3</v>
      </c>
      <c r="BL64" s="717">
        <v>2.7907929598426015E-3</v>
      </c>
      <c r="BM64" s="717">
        <v>3.7809018802895506E-3</v>
      </c>
      <c r="BN64" s="717">
        <v>5.1221911087561169E-3</v>
      </c>
      <c r="BO64" s="718">
        <v>6.8644179648318406E-3</v>
      </c>
      <c r="BP64" s="717">
        <v>1.0918162093578444E-2</v>
      </c>
      <c r="BQ64" s="717">
        <v>1.6694615942244504E-2</v>
      </c>
      <c r="BR64" s="717">
        <v>2.9571381038105155E-2</v>
      </c>
      <c r="BS64" s="717">
        <v>4.7777070054735617E-2</v>
      </c>
      <c r="BT64" s="717">
        <v>7.170992254631367E-2</v>
      </c>
      <c r="BW64" s="1162">
        <f>'2022'!R\Max</f>
        <v>0.5259872047102242</v>
      </c>
      <c r="BX64" s="1163">
        <f>'2023'!R\Max</f>
        <v>0.52592924089034154</v>
      </c>
      <c r="BY64" s="1163">
        <f>'2024'!R\Max</f>
        <v>0.52587115823322128</v>
      </c>
      <c r="BZ64" s="1163">
        <f>'2025'!R\Max</f>
        <v>0.5257884658118811</v>
      </c>
      <c r="CA64" s="1163">
        <f>'2026'!R\Max</f>
        <v>0.52570567693541004</v>
      </c>
      <c r="CB64" s="1163">
        <f>'2027'!R\Max</f>
        <v>0.52552142737608953</v>
      </c>
      <c r="CC64" s="1164">
        <f>'2028'!R\Max</f>
        <v>0.52533676955904041</v>
      </c>
      <c r="CD64" s="1163">
        <f>'2029'!R\Max</f>
        <v>0.5250758478116978</v>
      </c>
      <c r="CE64" s="1163">
        <f>'2030'!R\Max</f>
        <v>0.52593214348190387</v>
      </c>
      <c r="CF64" s="1165">
        <f>'2031'!R\Max</f>
        <v>0.52587406113039492</v>
      </c>
    </row>
    <row r="65" spans="1:84" s="6" customFormat="1" ht="11.25" x14ac:dyDescent="0.2">
      <c r="A65" s="11">
        <v>43151</v>
      </c>
      <c r="B65" s="375">
        <f>'2022'!Maxi_hp</f>
        <v>22.299083982726547</v>
      </c>
      <c r="C65" s="13">
        <f>'2022'!An_max</f>
        <v>2022</v>
      </c>
      <c r="D65" s="1050" t="str">
        <f t="shared" si="7"/>
        <v/>
      </c>
      <c r="E65" s="13"/>
      <c r="F65" s="13">
        <f t="shared" si="23"/>
        <v>5</v>
      </c>
      <c r="G65" s="13">
        <f t="shared" si="24"/>
        <v>6</v>
      </c>
      <c r="H65" s="169">
        <f t="shared" si="8"/>
        <v>43150</v>
      </c>
      <c r="I65" s="744">
        <f t="shared" si="9"/>
        <v>7.1428571428571425E-2</v>
      </c>
      <c r="J65" s="737">
        <f t="shared" si="27"/>
        <v>34.084030539356171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43">
        <v>43151</v>
      </c>
      <c r="AP65" s="13">
        <f t="shared" si="11"/>
        <v>3</v>
      </c>
      <c r="AQ65" s="13">
        <f t="shared" si="12"/>
        <v>4</v>
      </c>
      <c r="AR65" s="169">
        <f t="shared" si="13"/>
        <v>43136</v>
      </c>
      <c r="AS65" s="744">
        <f t="shared" si="14"/>
        <v>0.5357142857142857</v>
      </c>
      <c r="AT65" s="760">
        <f t="shared" si="15"/>
        <v>33.974020851822573</v>
      </c>
      <c r="AU65" s="13">
        <f t="shared" si="16"/>
        <v>3</v>
      </c>
      <c r="AV65" s="13">
        <f t="shared" si="17"/>
        <v>4</v>
      </c>
      <c r="AW65" s="169">
        <f t="shared" si="18"/>
        <v>43150</v>
      </c>
      <c r="AX65" s="744">
        <f t="shared" si="19"/>
        <v>3.5714285714285712E-2</v>
      </c>
      <c r="AY65" s="760">
        <f t="shared" si="20"/>
        <v>34.084574364983879</v>
      </c>
      <c r="AZ65" s="737">
        <f t="shared" si="26"/>
        <v>34.029297608403226</v>
      </c>
      <c r="BA65" s="634">
        <f t="shared" si="21"/>
        <v>0.65423846974254485</v>
      </c>
      <c r="BC65" s="11">
        <v>43151</v>
      </c>
      <c r="BD65" s="286">
        <f>[3]!FeuilCaduc*(1-Persistant)+Persistant</f>
        <v>0.60194415012999103</v>
      </c>
      <c r="BE65" s="287">
        <f>[3]!CroissVégét</f>
        <v>9.3920531593536197E-3</v>
      </c>
      <c r="BF65" s="807">
        <f>1+[3]!Salcycl*Ksac</f>
        <v>1.0002430187662488</v>
      </c>
      <c r="BH65" s="1041">
        <f t="shared" si="22"/>
        <v>6.4480614895738326E-3</v>
      </c>
      <c r="BI65" s="11">
        <v>44247</v>
      </c>
      <c r="BJ65" s="717">
        <v>1.3377919256878667E-3</v>
      </c>
      <c r="BK65" s="717">
        <v>1.9450283461152323E-3</v>
      </c>
      <c r="BL65" s="717">
        <v>2.6881238651276103E-3</v>
      </c>
      <c r="BM65" s="717">
        <v>3.6433647791663804E-3</v>
      </c>
      <c r="BN65" s="717">
        <v>4.8715499453268083E-3</v>
      </c>
      <c r="BO65" s="718">
        <v>6.4578699822602564E-3</v>
      </c>
      <c r="BP65" s="717">
        <v>9.9109052419230279E-3</v>
      </c>
      <c r="BQ65" s="717">
        <v>1.4830782200788997E-2</v>
      </c>
      <c r="BR65" s="717">
        <v>2.5984800245244938E-2</v>
      </c>
      <c r="BS65" s="717">
        <v>4.2002653868919992E-2</v>
      </c>
      <c r="BT65" s="717">
        <v>6.3167659032554169E-2</v>
      </c>
      <c r="BW65" s="1162">
        <f>'2022'!R\Max</f>
        <v>0.65423846974254485</v>
      </c>
      <c r="BX65" s="1163">
        <f>'2023'!R\Max</f>
        <v>0.65419419716440785</v>
      </c>
      <c r="BY65" s="1163">
        <f>'2024'!R\Max</f>
        <v>0.65414984713135016</v>
      </c>
      <c r="BZ65" s="1163">
        <f>'2025'!R\Max</f>
        <v>0.65408670271707159</v>
      </c>
      <c r="CA65" s="1163">
        <f>'2026'!R\Max</f>
        <v>0.65402348974855307</v>
      </c>
      <c r="CB65" s="1163">
        <f>'2027'!R\Max</f>
        <v>0.65388036957847295</v>
      </c>
      <c r="CC65" s="1164">
        <f>'2028'!R\Max</f>
        <v>0.65373694673701899</v>
      </c>
      <c r="CD65" s="1163">
        <f>'2029'!R\Max</f>
        <v>0.6535310563190132</v>
      </c>
      <c r="CE65" s="1163">
        <f>'2030'!R\Max</f>
        <v>0.65419641345008028</v>
      </c>
      <c r="CF65" s="1165">
        <f>'2031'!R\Max</f>
        <v>0.65415206372485712</v>
      </c>
    </row>
    <row r="66" spans="1:84" s="6" customFormat="1" ht="11.25" x14ac:dyDescent="0.2">
      <c r="A66" s="11">
        <v>43152</v>
      </c>
      <c r="B66" s="375">
        <f>'2022'!Maxi_hp</f>
        <v>19.662801372105708</v>
      </c>
      <c r="C66" s="13">
        <f>'2022'!An_max</f>
        <v>2022</v>
      </c>
      <c r="D66" s="1050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69">
        <f t="shared" si="8"/>
        <v>43150</v>
      </c>
      <c r="I66" s="744">
        <f t="shared" si="9"/>
        <v>0.14285714285714285</v>
      </c>
      <c r="J66" s="737">
        <f t="shared" si="27"/>
        <v>34.502489212847181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43">
        <v>43152</v>
      </c>
      <c r="AP66" s="13">
        <f t="shared" si="11"/>
        <v>3</v>
      </c>
      <c r="AQ66" s="13">
        <f t="shared" si="12"/>
        <v>4</v>
      </c>
      <c r="AR66" s="169">
        <f t="shared" si="13"/>
        <v>43136</v>
      </c>
      <c r="AS66" s="744">
        <f t="shared" si="14"/>
        <v>0.5714285714285714</v>
      </c>
      <c r="AT66" s="760">
        <f t="shared" si="15"/>
        <v>34.402880465877914</v>
      </c>
      <c r="AU66" s="13">
        <f t="shared" si="16"/>
        <v>3</v>
      </c>
      <c r="AV66" s="13">
        <f t="shared" si="17"/>
        <v>4</v>
      </c>
      <c r="AW66" s="169">
        <f t="shared" si="18"/>
        <v>43150</v>
      </c>
      <c r="AX66" s="744">
        <f t="shared" si="19"/>
        <v>7.1428571428571425E-2</v>
      </c>
      <c r="AY66" s="760">
        <f t="shared" si="20"/>
        <v>34.507859201822427</v>
      </c>
      <c r="AZ66" s="737">
        <f t="shared" si="26"/>
        <v>34.45536983385017</v>
      </c>
      <c r="BA66" s="634">
        <f t="shared" si="21"/>
        <v>0.56989515309475591</v>
      </c>
      <c r="BC66" s="11">
        <v>43152</v>
      </c>
      <c r="BD66" s="286">
        <f>[3]!FeuilCaduc*(1-Persistant)+Persistant</f>
        <v>0.60206532763862897</v>
      </c>
      <c r="BE66" s="287">
        <f>[3]!CroissVégét</f>
        <v>9.8394096579268626E-3</v>
      </c>
      <c r="BF66" s="807">
        <f>1+[3]!Salcycl*Ksac</f>
        <v>1.0002581659548286</v>
      </c>
      <c r="BH66" s="1041">
        <f t="shared" si="22"/>
        <v>6.2122678892323575E-3</v>
      </c>
      <c r="BI66" s="11">
        <v>44248</v>
      </c>
      <c r="BJ66" s="717">
        <v>1.2971917507763426E-3</v>
      </c>
      <c r="BK66" s="717">
        <v>1.8776852792711581E-3</v>
      </c>
      <c r="BL66" s="717">
        <v>2.5881888345093747E-3</v>
      </c>
      <c r="BM66" s="717">
        <v>3.5061575072436991E-3</v>
      </c>
      <c r="BN66" s="717">
        <v>4.6883740452953902E-3</v>
      </c>
      <c r="BO66" s="718">
        <v>6.2217490133495172E-3</v>
      </c>
      <c r="BP66" s="717">
        <v>9.2787209928495724E-3</v>
      </c>
      <c r="BQ66" s="717">
        <v>1.3554638993783737E-2</v>
      </c>
      <c r="BR66" s="717">
        <v>2.319396919362372E-2</v>
      </c>
      <c r="BS66" s="717">
        <v>3.7160418565069457E-2</v>
      </c>
      <c r="BT66" s="717">
        <v>5.5645449355950595E-2</v>
      </c>
      <c r="BW66" s="1162">
        <f>'2022'!R\Max</f>
        <v>0.56989515309475591</v>
      </c>
      <c r="BX66" s="1163">
        <f>'2023'!R\Max</f>
        <v>0.56985317610706654</v>
      </c>
      <c r="BY66" s="1163">
        <f>'2024'!R\Max</f>
        <v>0.56981114229777674</v>
      </c>
      <c r="BZ66" s="1163">
        <f>'2025'!R\Max</f>
        <v>0.56975238364168967</v>
      </c>
      <c r="CA66" s="1163">
        <f>'2026'!R\Max</f>
        <v>0.56969357501120976</v>
      </c>
      <c r="CB66" s="1163">
        <f>'2027'!R\Max</f>
        <v>0.56956115952740372</v>
      </c>
      <c r="CC66" s="1164">
        <f>'2028'!R\Max</f>
        <v>0.56942851886620471</v>
      </c>
      <c r="CD66" s="1163">
        <f>'2029'!R\Max</f>
        <v>0.56923641735974928</v>
      </c>
      <c r="CE66" s="1163">
        <f>'2030'!R\Max</f>
        <v>0.56985527669614455</v>
      </c>
      <c r="CF66" s="1165">
        <f>'2031'!R\Max</f>
        <v>0.56981324308129422</v>
      </c>
    </row>
    <row r="67" spans="1:84" s="6" customFormat="1" ht="11.25" x14ac:dyDescent="0.2">
      <c r="A67" s="11">
        <v>43153</v>
      </c>
      <c r="B67" s="375">
        <f>'2022'!Maxi_hp</f>
        <v>32.133415210523701</v>
      </c>
      <c r="C67" s="13">
        <f>'2022'!An_max</f>
        <v>2022</v>
      </c>
      <c r="D67" s="1050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69">
        <f t="shared" si="8"/>
        <v>43150</v>
      </c>
      <c r="I67" s="744">
        <f t="shared" si="9"/>
        <v>0.21428571428571427</v>
      </c>
      <c r="J67" s="737">
        <f t="shared" si="27"/>
        <v>34.921894460650428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43">
        <v>43153</v>
      </c>
      <c r="AP67" s="13">
        <f t="shared" si="11"/>
        <v>3</v>
      </c>
      <c r="AQ67" s="13">
        <f t="shared" si="12"/>
        <v>4</v>
      </c>
      <c r="AR67" s="169">
        <f t="shared" si="13"/>
        <v>43136</v>
      </c>
      <c r="AS67" s="744">
        <f t="shared" si="14"/>
        <v>0.6071428571428571</v>
      </c>
      <c r="AT67" s="760">
        <f t="shared" si="15"/>
        <v>34.834015499354742</v>
      </c>
      <c r="AU67" s="13">
        <f t="shared" si="16"/>
        <v>3</v>
      </c>
      <c r="AV67" s="13">
        <f t="shared" si="17"/>
        <v>4</v>
      </c>
      <c r="AW67" s="169">
        <f t="shared" si="18"/>
        <v>43150</v>
      </c>
      <c r="AX67" s="744">
        <f t="shared" si="19"/>
        <v>0.10714285714285714</v>
      </c>
      <c r="AY67" s="760">
        <f t="shared" si="20"/>
        <v>34.935813199342896</v>
      </c>
      <c r="AZ67" s="737">
        <f t="shared" si="26"/>
        <v>34.884914349348819</v>
      </c>
      <c r="BA67" s="634">
        <f t="shared" si="21"/>
        <v>0.92015097424715164</v>
      </c>
      <c r="BC67" s="11">
        <v>43153</v>
      </c>
      <c r="BD67" s="286">
        <f>[3]!FeuilCaduc*(1-Persistant)+Persistant</f>
        <v>0.60218403075745885</v>
      </c>
      <c r="BE67" s="287">
        <f>[3]!CroissVégét</f>
        <v>1.0305104176065441E-2</v>
      </c>
      <c r="BF67" s="807">
        <f>1+[3]!Salcycl*Ksac</f>
        <v>1.0002730038446823</v>
      </c>
      <c r="BH67" s="1041">
        <f t="shared" si="22"/>
        <v>5.9695799435499457E-3</v>
      </c>
      <c r="BI67" s="11">
        <v>44249</v>
      </c>
      <c r="BJ67" s="717">
        <v>1.257210783595239E-3</v>
      </c>
      <c r="BK67" s="717">
        <v>1.8121739638732063E-3</v>
      </c>
      <c r="BL67" s="717">
        <v>2.4905489301898197E-3</v>
      </c>
      <c r="BM67" s="717">
        <v>3.3698766859759821E-3</v>
      </c>
      <c r="BN67" s="717">
        <v>4.503304067321654E-3</v>
      </c>
      <c r="BO67" s="718">
        <v>5.9787025892170491E-3</v>
      </c>
      <c r="BP67" s="717">
        <v>8.6987945534908583E-3</v>
      </c>
      <c r="BQ67" s="717">
        <v>1.2430430858308743E-2</v>
      </c>
      <c r="BR67" s="717">
        <v>2.074010412861341E-2</v>
      </c>
      <c r="BS67" s="717">
        <v>3.2859666221182783E-2</v>
      </c>
      <c r="BT67" s="717">
        <v>4.891280617805175E-2</v>
      </c>
      <c r="BW67" s="1162">
        <f>'2022'!R\Max</f>
        <v>0.92015097424715164</v>
      </c>
      <c r="BX67" s="1163">
        <f>'2023'!R\Max</f>
        <v>0.92013990650481192</v>
      </c>
      <c r="BY67" s="1163">
        <f>'2024'!R\Max</f>
        <v>0.92012882624245285</v>
      </c>
      <c r="BZ67" s="1163">
        <f>'2025'!R\Max</f>
        <v>0.92011363059181828</v>
      </c>
      <c r="CA67" s="1163">
        <f>'2026'!R\Max</f>
        <v>0.92009842254363572</v>
      </c>
      <c r="CB67" s="1163">
        <f>'2027'!R\Max</f>
        <v>0.92006458146405368</v>
      </c>
      <c r="CC67" s="1164">
        <f>'2028'!R\Max</f>
        <v>0.92003068253691078</v>
      </c>
      <c r="CD67" s="1163">
        <f>'2029'!R\Max</f>
        <v>0.91998123866385106</v>
      </c>
      <c r="CE67" s="1163">
        <f>'2030'!R\Max</f>
        <v>0.92014046020014195</v>
      </c>
      <c r="CF67" s="1165">
        <f>'2031'!R\Max</f>
        <v>0.92012938004134448</v>
      </c>
    </row>
    <row r="68" spans="1:84" s="6" customFormat="1" ht="11.25" x14ac:dyDescent="0.2">
      <c r="A68" s="11">
        <v>43154</v>
      </c>
      <c r="B68" s="375">
        <f>'2022'!Maxi_hp</f>
        <v>33.793930327105848</v>
      </c>
      <c r="C68" s="13">
        <f>'2022'!An_max</f>
        <v>2022</v>
      </c>
      <c r="D68" s="1050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69">
        <f t="shared" si="8"/>
        <v>43150</v>
      </c>
      <c r="I68" s="744">
        <f t="shared" si="9"/>
        <v>0.2857142857142857</v>
      </c>
      <c r="J68" s="737">
        <f t="shared" si="27"/>
        <v>35.342464723225149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43">
        <v>43154</v>
      </c>
      <c r="AP68" s="13">
        <f t="shared" si="11"/>
        <v>3</v>
      </c>
      <c r="AQ68" s="13">
        <f t="shared" si="12"/>
        <v>4</v>
      </c>
      <c r="AR68" s="169">
        <f t="shared" si="13"/>
        <v>43136</v>
      </c>
      <c r="AS68" s="744">
        <f t="shared" si="14"/>
        <v>0.6428571428571429</v>
      </c>
      <c r="AT68" s="760">
        <f t="shared" si="15"/>
        <v>35.267193858618185</v>
      </c>
      <c r="AU68" s="13">
        <f t="shared" si="16"/>
        <v>3</v>
      </c>
      <c r="AV68" s="13">
        <f t="shared" si="17"/>
        <v>4</v>
      </c>
      <c r="AW68" s="169">
        <f t="shared" si="18"/>
        <v>43150</v>
      </c>
      <c r="AX68" s="744">
        <f t="shared" si="19"/>
        <v>0.14285714285714285</v>
      </c>
      <c r="AY68" s="760">
        <f t="shared" si="20"/>
        <v>35.368095043860379</v>
      </c>
      <c r="AZ68" s="737">
        <f t="shared" si="26"/>
        <v>35.317644451239282</v>
      </c>
      <c r="BA68" s="634">
        <f t="shared" si="21"/>
        <v>0.95618487821247822</v>
      </c>
      <c r="BC68" s="11">
        <v>43154</v>
      </c>
      <c r="BD68" s="286">
        <f>[3]!FeuilCaduc*(1-Persistant)+Persistant</f>
        <v>0.60230002931003135</v>
      </c>
      <c r="BE68" s="287">
        <f>[3]!CroissVégét</f>
        <v>1.0789869896821172E-2</v>
      </c>
      <c r="BF68" s="807">
        <f>1+[3]!Salcycl*Ksac</f>
        <v>1.000287503663754</v>
      </c>
      <c r="BH68" s="1041">
        <f t="shared" si="22"/>
        <v>5.7199669536632273E-3</v>
      </c>
      <c r="BI68" s="11">
        <v>44250</v>
      </c>
      <c r="BJ68" s="717">
        <v>1.2178426953000927E-3</v>
      </c>
      <c r="BK68" s="717">
        <v>1.7484851177872955E-3</v>
      </c>
      <c r="BL68" s="717">
        <v>2.3951912708913468E-3</v>
      </c>
      <c r="BM68" s="717">
        <v>3.2345048717953573E-3</v>
      </c>
      <c r="BN68" s="717">
        <v>4.3163167322635707E-3</v>
      </c>
      <c r="BO68" s="718">
        <v>5.7286999648366215E-3</v>
      </c>
      <c r="BP68" s="717">
        <v>8.1710756832294538E-3</v>
      </c>
      <c r="BQ68" s="717">
        <v>1.1458078917699011E-2</v>
      </c>
      <c r="BR68" s="717">
        <v>1.8623061357956897E-2</v>
      </c>
      <c r="BS68" s="717">
        <v>2.9100161905332284E-2</v>
      </c>
      <c r="BT68" s="717">
        <v>4.2969374558368932E-2</v>
      </c>
      <c r="BW68" s="1162">
        <f>'2022'!R\Max</f>
        <v>0.95618487821247822</v>
      </c>
      <c r="BX68" s="1163">
        <f>'2023'!R\Max</f>
        <v>0.95617927640408285</v>
      </c>
      <c r="BY68" s="1163">
        <f>'2024'!R\Max</f>
        <v>0.95617366988491559</v>
      </c>
      <c r="BZ68" s="1163">
        <f>'2025'!R\Max</f>
        <v>0.95616612601131068</v>
      </c>
      <c r="CA68" s="1163">
        <f>'2026'!R\Max</f>
        <v>0.956158577296221</v>
      </c>
      <c r="CB68" s="1163">
        <f>'2027'!R\Max</f>
        <v>0.95614213053803232</v>
      </c>
      <c r="CC68" s="1164">
        <f>'2028'!R\Max</f>
        <v>0.95612566124624243</v>
      </c>
      <c r="CD68" s="1163">
        <f>'2029'!R\Max</f>
        <v>0.95610157551298058</v>
      </c>
      <c r="CE68" s="1163">
        <f>'2030'!R\Max</f>
        <v>0.95617955657092246</v>
      </c>
      <c r="CF68" s="1165">
        <f>'2031'!R\Max</f>
        <v>0.95617395010095763</v>
      </c>
    </row>
    <row r="69" spans="1:84" s="6" customFormat="1" ht="11.25" x14ac:dyDescent="0.2">
      <c r="A69" s="11">
        <v>43155</v>
      </c>
      <c r="B69" s="375">
        <f>'2022'!Maxi_hp</f>
        <v>24.064164791213923</v>
      </c>
      <c r="C69" s="13">
        <f>'2022'!An_max</f>
        <v>2022</v>
      </c>
      <c r="D69" s="1050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69">
        <f t="shared" si="8"/>
        <v>43150</v>
      </c>
      <c r="I69" s="744">
        <f t="shared" si="9"/>
        <v>0.35714285714285715</v>
      </c>
      <c r="J69" s="737">
        <f t="shared" si="27"/>
        <v>35.764418440365361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43">
        <v>43155</v>
      </c>
      <c r="AP69" s="13">
        <f t="shared" si="11"/>
        <v>3</v>
      </c>
      <c r="AQ69" s="13">
        <f t="shared" si="12"/>
        <v>4</v>
      </c>
      <c r="AR69" s="169">
        <f t="shared" si="13"/>
        <v>43136</v>
      </c>
      <c r="AS69" s="744">
        <f t="shared" si="14"/>
        <v>0.6785714285714286</v>
      </c>
      <c r="AT69" s="760">
        <f t="shared" si="15"/>
        <v>35.702183451995786</v>
      </c>
      <c r="AU69" s="13">
        <f t="shared" si="16"/>
        <v>3</v>
      </c>
      <c r="AV69" s="13">
        <f t="shared" si="17"/>
        <v>4</v>
      </c>
      <c r="AW69" s="169">
        <f t="shared" si="18"/>
        <v>43150</v>
      </c>
      <c r="AX69" s="744">
        <f t="shared" si="19"/>
        <v>0.17857142857142858</v>
      </c>
      <c r="AY69" s="760">
        <f t="shared" si="20"/>
        <v>35.804363422368525</v>
      </c>
      <c r="AZ69" s="737">
        <f t="shared" si="26"/>
        <v>35.753273437182159</v>
      </c>
      <c r="BA69" s="634">
        <f t="shared" si="21"/>
        <v>0.67285212064441136</v>
      </c>
      <c r="BC69" s="11">
        <v>43155</v>
      </c>
      <c r="BD69" s="286">
        <f>[3]!FeuilCaduc*(1-Persistant)+Persistant</f>
        <v>0.60241321847730278</v>
      </c>
      <c r="BE69" s="287">
        <f>[3]!CroissVégét</f>
        <v>1.1294467751257744E-2</v>
      </c>
      <c r="BF69" s="807">
        <f>1+[3]!Salcycl*Ksac</f>
        <v>1.0003016523096628</v>
      </c>
      <c r="BH69" s="1041">
        <f t="shared" si="22"/>
        <v>5.4634252740765185E-3</v>
      </c>
      <c r="BI69" s="11">
        <v>44251</v>
      </c>
      <c r="BJ69" s="717">
        <v>1.1790867892046688E-3</v>
      </c>
      <c r="BK69" s="717">
        <v>1.6866176713598235E-3</v>
      </c>
      <c r="BL69" s="717">
        <v>2.3021143304944505E-3</v>
      </c>
      <c r="BM69" s="717">
        <v>3.1000399819629478E-3</v>
      </c>
      <c r="BN69" s="717">
        <v>4.1274092542374916E-3</v>
      </c>
      <c r="BO69" s="718">
        <v>5.4717374893643519E-3</v>
      </c>
      <c r="BP69" s="717">
        <v>7.6955569694245008E-3</v>
      </c>
      <c r="BQ69" s="717">
        <v>1.0637569862191281E-2</v>
      </c>
      <c r="BR69" s="717">
        <v>1.6842813783354092E-2</v>
      </c>
      <c r="BS69" s="717">
        <v>2.588185951708355E-2</v>
      </c>
      <c r="BT69" s="717">
        <v>3.781508347915518E-2</v>
      </c>
      <c r="BW69" s="1162">
        <f>'2022'!R\Max</f>
        <v>0.67285212064441136</v>
      </c>
      <c r="BX69" s="1163">
        <f>'2023'!R\Max</f>
        <v>0.67282562792805956</v>
      </c>
      <c r="BY69" s="1163">
        <f>'2024'!R\Max</f>
        <v>0.67279912159698441</v>
      </c>
      <c r="BZ69" s="1163">
        <f>'2025'!R\Max</f>
        <v>0.6727640604387245</v>
      </c>
      <c r="CA69" s="1163">
        <f>'2026'!R\Max</f>
        <v>0.67272898593524322</v>
      </c>
      <c r="CB69" s="1163">
        <f>'2027'!R\Max</f>
        <v>0.67265503545733896</v>
      </c>
      <c r="CC69" s="1164">
        <f>'2028'!R\Max</f>
        <v>0.67258102470683145</v>
      </c>
      <c r="CD69" s="1163">
        <f>'2029'!R\Max</f>
        <v>0.67247321791396675</v>
      </c>
      <c r="CE69" s="1163">
        <f>'2030'!R\Max</f>
        <v>0.67282695255201097</v>
      </c>
      <c r="CF69" s="1165">
        <f>'2031'!R\Max</f>
        <v>0.67280044633987757</v>
      </c>
    </row>
    <row r="70" spans="1:84" s="6" customFormat="1" ht="11.25" x14ac:dyDescent="0.2">
      <c r="A70" s="11">
        <v>43156</v>
      </c>
      <c r="B70" s="375">
        <f>'2022'!Maxi_hp</f>
        <v>26.56899815763115</v>
      </c>
      <c r="C70" s="13">
        <f>'2022'!An_max</f>
        <v>2022</v>
      </c>
      <c r="D70" s="1050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69">
        <f t="shared" si="8"/>
        <v>43150</v>
      </c>
      <c r="I70" s="744">
        <f t="shared" si="9"/>
        <v>0.42857142857142855</v>
      </c>
      <c r="J70" s="737">
        <f t="shared" si="27"/>
        <v>36.187974052769796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43">
        <v>43156</v>
      </c>
      <c r="AP70" s="13">
        <f t="shared" si="11"/>
        <v>3</v>
      </c>
      <c r="AQ70" s="13">
        <f t="shared" si="12"/>
        <v>4</v>
      </c>
      <c r="AR70" s="169">
        <f t="shared" si="13"/>
        <v>43136</v>
      </c>
      <c r="AS70" s="744">
        <f t="shared" si="14"/>
        <v>0.7142857142857143</v>
      </c>
      <c r="AT70" s="760">
        <f t="shared" si="15"/>
        <v>36.13875218651124</v>
      </c>
      <c r="AU70" s="13">
        <f t="shared" si="16"/>
        <v>3</v>
      </c>
      <c r="AV70" s="13">
        <f t="shared" si="17"/>
        <v>4</v>
      </c>
      <c r="AW70" s="169">
        <f t="shared" si="18"/>
        <v>43150</v>
      </c>
      <c r="AX70" s="744">
        <f t="shared" si="19"/>
        <v>0.21428571428571427</v>
      </c>
      <c r="AY70" s="760">
        <f t="shared" si="20"/>
        <v>36.244277022539499</v>
      </c>
      <c r="AZ70" s="737">
        <f t="shared" si="26"/>
        <v>36.191514604525366</v>
      </c>
      <c r="BA70" s="634">
        <f t="shared" si="21"/>
        <v>0.73419413087032381</v>
      </c>
      <c r="BC70" s="11">
        <v>43156</v>
      </c>
      <c r="BD70" s="286">
        <f>[3]!FeuilCaduc*(1-Persistant)+Persistant</f>
        <v>0.60252362659990943</v>
      </c>
      <c r="BE70" s="287">
        <f>[3]!CroissVégét</f>
        <v>1.1819687335529849E-2</v>
      </c>
      <c r="BF70" s="807">
        <f>1+[3]!Salcycl*Ksac</f>
        <v>1.0003154533249887</v>
      </c>
      <c r="BH70" s="1041">
        <f t="shared" si="22"/>
        <v>5.1999514734516411E-3</v>
      </c>
      <c r="BI70" s="11">
        <v>44252</v>
      </c>
      <c r="BJ70" s="717">
        <v>1.1409424260240841E-3</v>
      </c>
      <c r="BK70" s="717">
        <v>1.6265706593298604E-3</v>
      </c>
      <c r="BL70" s="717">
        <v>2.2113167330011477E-3</v>
      </c>
      <c r="BM70" s="717">
        <v>2.9664801145473777E-3</v>
      </c>
      <c r="BN70" s="717">
        <v>3.936579053124019E-3</v>
      </c>
      <c r="BO70" s="718">
        <v>5.2078117261660801E-3</v>
      </c>
      <c r="BP70" s="717">
        <v>7.2722323791376275E-3</v>
      </c>
      <c r="BQ70" s="717">
        <v>9.9688936960304342E-3</v>
      </c>
      <c r="BR70" s="717">
        <v>1.5399341608054257E-2</v>
      </c>
      <c r="BS70" s="717">
        <v>2.3204725133750714E-2</v>
      </c>
      <c r="BT70" s="717">
        <v>3.3449880253419773E-2</v>
      </c>
      <c r="BW70" s="1162">
        <f>'2022'!R\Max</f>
        <v>0.73419413087032381</v>
      </c>
      <c r="BX70" s="1163">
        <f>'2023'!R\Max</f>
        <v>0.73417257340810926</v>
      </c>
      <c r="BY70" s="1163">
        <f>'2024'!R\Max</f>
        <v>0.73415100934840849</v>
      </c>
      <c r="BZ70" s="1163">
        <f>'2025'!R\Max</f>
        <v>0.73412284166782416</v>
      </c>
      <c r="CA70" s="1163">
        <f>'2026'!R\Max</f>
        <v>0.7340946668434819</v>
      </c>
      <c r="CB70" s="1163">
        <f>'2027'!R\Max</f>
        <v>0.73403793422662367</v>
      </c>
      <c r="CC70" s="1164">
        <f>'2028'!R\Max</f>
        <v>0.73398117164840726</v>
      </c>
      <c r="CD70" s="1163">
        <f>'2029'!R\Max</f>
        <v>0.73389957318738908</v>
      </c>
      <c r="CE70" s="1163">
        <f>'2030'!R\Max</f>
        <v>0.73417365104414756</v>
      </c>
      <c r="CF70" s="1165">
        <f>'2031'!R\Max</f>
        <v>0.73415208708784863</v>
      </c>
    </row>
    <row r="71" spans="1:84" s="6" customFormat="1" ht="11.25" x14ac:dyDescent="0.2">
      <c r="A71" s="11">
        <v>43157</v>
      </c>
      <c r="B71" s="375">
        <f>'2022'!Maxi_hp</f>
        <v>37.416666766304843</v>
      </c>
      <c r="C71" s="13">
        <f>'2022'!An_max</f>
        <v>2022</v>
      </c>
      <c r="D71" s="1050">
        <f t="shared" si="7"/>
        <v>1.0219405426181238</v>
      </c>
      <c r="E71" s="13"/>
      <c r="F71" s="13">
        <f t="shared" si="23"/>
        <v>5</v>
      </c>
      <c r="G71" s="13">
        <f t="shared" si="24"/>
        <v>6</v>
      </c>
      <c r="H71" s="169">
        <f t="shared" si="8"/>
        <v>43150</v>
      </c>
      <c r="I71" s="744">
        <f t="shared" si="9"/>
        <v>0.5</v>
      </c>
      <c r="J71" s="737">
        <f t="shared" si="27"/>
        <v>36.613350000232458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43">
        <v>43157</v>
      </c>
      <c r="AP71" s="13">
        <f t="shared" si="11"/>
        <v>3</v>
      </c>
      <c r="AQ71" s="13">
        <f t="shared" si="12"/>
        <v>4</v>
      </c>
      <c r="AR71" s="169">
        <f t="shared" si="13"/>
        <v>43136</v>
      </c>
      <c r="AS71" s="744">
        <f t="shared" si="14"/>
        <v>0.75</v>
      </c>
      <c r="AT71" s="760">
        <f t="shared" si="15"/>
        <v>36.576667968090625</v>
      </c>
      <c r="AU71" s="13">
        <f t="shared" si="16"/>
        <v>3</v>
      </c>
      <c r="AV71" s="13">
        <f t="shared" si="17"/>
        <v>4</v>
      </c>
      <c r="AW71" s="169">
        <f t="shared" si="18"/>
        <v>43150</v>
      </c>
      <c r="AX71" s="744">
        <f t="shared" si="19"/>
        <v>0.25</v>
      </c>
      <c r="AY71" s="760">
        <f t="shared" si="20"/>
        <v>36.687494531413542</v>
      </c>
      <c r="AZ71" s="737">
        <f t="shared" si="26"/>
        <v>36.632081249752083</v>
      </c>
      <c r="BA71" s="634">
        <f t="shared" si="21"/>
        <v>1.0219405426181238</v>
      </c>
      <c r="BC71" s="11">
        <v>43157</v>
      </c>
      <c r="BD71" s="286">
        <f>[3]!FeuilCaduc*(1-Persistant)+Persistant</f>
        <v>0.60263142201250741</v>
      </c>
      <c r="BE71" s="287">
        <f>[3]!CroissVégét</f>
        <v>1.236634784666045E-2</v>
      </c>
      <c r="BF71" s="807">
        <f>1+[3]!Salcycl*Ksac</f>
        <v>1.0003289277515635</v>
      </c>
      <c r="BH71" s="1041">
        <f t="shared" si="22"/>
        <v>4.9295423561988953E-3</v>
      </c>
      <c r="BI71" s="11">
        <v>44253</v>
      </c>
      <c r="BJ71" s="717">
        <v>1.1034090219808508E-3</v>
      </c>
      <c r="BK71" s="717">
        <v>1.5683432151795019E-3</v>
      </c>
      <c r="BL71" s="717">
        <v>2.1227972454624226E-3</v>
      </c>
      <c r="BM71" s="717">
        <v>2.8338235456308691E-3</v>
      </c>
      <c r="BN71" s="717">
        <v>3.7438237605736586E-3</v>
      </c>
      <c r="BO71" s="718">
        <v>4.9369194745053149E-3</v>
      </c>
      <c r="BP71" s="717">
        <v>6.9010970968883464E-3</v>
      </c>
      <c r="BQ71" s="717">
        <v>9.4520432654223319E-3</v>
      </c>
      <c r="BR71" s="717">
        <v>1.4292631289781726E-2</v>
      </c>
      <c r="BS71" s="717">
        <v>2.1068735327836558E-2</v>
      </c>
      <c r="BT71" s="717">
        <v>2.9873728071557602E-2</v>
      </c>
      <c r="BW71" s="1162">
        <f>'2022'!R\Max</f>
        <v>1.0219405426181238</v>
      </c>
      <c r="BX71" s="1163">
        <f>'2023'!R\Max</f>
        <v>1.0219405426181236</v>
      </c>
      <c r="BY71" s="1163">
        <f>'2024'!R\Max</f>
        <v>1.0219405426181238</v>
      </c>
      <c r="BZ71" s="1163">
        <f>'2025'!R\Max</f>
        <v>1.0219405426181236</v>
      </c>
      <c r="CA71" s="1163">
        <f>'2026'!R\Max</f>
        <v>1.0219405426181236</v>
      </c>
      <c r="CB71" s="1163">
        <f>'2027'!R\Max</f>
        <v>1.0219405426181236</v>
      </c>
      <c r="CC71" s="1164">
        <f>'2028'!R\Max</f>
        <v>1.0219405426181241</v>
      </c>
      <c r="CD71" s="1163">
        <f>'2029'!R\Max</f>
        <v>1.0219405426181241</v>
      </c>
      <c r="CE71" s="1163">
        <f>'2030'!R\Max</f>
        <v>1.0219405426181238</v>
      </c>
      <c r="CF71" s="1165">
        <f>'2031'!R\Max</f>
        <v>1.0219405426181238</v>
      </c>
    </row>
    <row r="72" spans="1:84" s="6" customFormat="1" ht="11.25" x14ac:dyDescent="0.2">
      <c r="A72" s="11">
        <v>43158</v>
      </c>
      <c r="B72" s="375">
        <f>'2022'!Maxi_hp</f>
        <v>23.933924564086386</v>
      </c>
      <c r="C72" s="13">
        <f>'2022'!An_max</f>
        <v>2022</v>
      </c>
      <c r="D72" s="1050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69">
        <f t="shared" si="8"/>
        <v>43150</v>
      </c>
      <c r="I72" s="744">
        <f t="shared" si="9"/>
        <v>0.5714285714285714</v>
      </c>
      <c r="J72" s="737">
        <f t="shared" si="27"/>
        <v>37.040764723452071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43">
        <v>43158</v>
      </c>
      <c r="AP72" s="13">
        <f t="shared" si="11"/>
        <v>3</v>
      </c>
      <c r="AQ72" s="13">
        <f t="shared" si="12"/>
        <v>4</v>
      </c>
      <c r="AR72" s="169">
        <f t="shared" si="13"/>
        <v>43136</v>
      </c>
      <c r="AS72" s="744">
        <f t="shared" si="14"/>
        <v>0.7857142857142857</v>
      </c>
      <c r="AT72" s="760">
        <f t="shared" si="15"/>
        <v>37.015698705919618</v>
      </c>
      <c r="AU72" s="13">
        <f t="shared" si="16"/>
        <v>3</v>
      </c>
      <c r="AV72" s="13">
        <f t="shared" si="17"/>
        <v>4</v>
      </c>
      <c r="AW72" s="169">
        <f t="shared" si="18"/>
        <v>43150</v>
      </c>
      <c r="AX72" s="744">
        <f t="shared" si="19"/>
        <v>0.2857142857142857</v>
      </c>
      <c r="AY72" s="760">
        <f t="shared" si="20"/>
        <v>37.133674635738132</v>
      </c>
      <c r="AZ72" s="737">
        <f t="shared" si="26"/>
        <v>37.074686670828875</v>
      </c>
      <c r="BA72" s="634">
        <f t="shared" si="21"/>
        <v>0.64615092973317612</v>
      </c>
      <c r="BC72" s="11">
        <v>43158</v>
      </c>
      <c r="BD72" s="286">
        <f>[3]!FeuilCaduc*(1-Persistant)+Persistant</f>
        <v>0.6027369188599403</v>
      </c>
      <c r="BE72" s="287">
        <f>[3]!CroissVégét</f>
        <v>1.2935299036280712E-2</v>
      </c>
      <c r="BF72" s="807">
        <f>1+[3]!Salcycl*Ksac</f>
        <v>1.0003421148574925</v>
      </c>
      <c r="BH72" s="1041">
        <f t="shared" si="22"/>
        <v>4.6632513455916102E-3</v>
      </c>
      <c r="BI72" s="11">
        <v>44254</v>
      </c>
      <c r="BJ72" s="717">
        <v>1.067359934325828E-3</v>
      </c>
      <c r="BK72" s="717">
        <v>1.5134613120330502E-3</v>
      </c>
      <c r="BL72" s="717">
        <v>2.0391299268817339E-3</v>
      </c>
      <c r="BM72" s="717">
        <v>2.7065153893401396E-3</v>
      </c>
      <c r="BN72" s="717">
        <v>3.5564076154930928E-3</v>
      </c>
      <c r="BO72" s="718">
        <v>4.6701377326093911E-3</v>
      </c>
      <c r="BP72" s="717">
        <v>6.5893170149878182E-3</v>
      </c>
      <c r="BQ72" s="717">
        <v>9.0881701976069321E-3</v>
      </c>
      <c r="BR72" s="717">
        <v>1.3515047498158975E-2</v>
      </c>
      <c r="BS72" s="717">
        <v>1.9462649836701814E-2</v>
      </c>
      <c r="BT72" s="717">
        <v>2.7071139892590038E-2</v>
      </c>
      <c r="BW72" s="1162">
        <f>'2022'!R\Max</f>
        <v>0.64615092973317612</v>
      </c>
      <c r="BX72" s="1163">
        <f>'2023'!R\Max</f>
        <v>0.64612797802227451</v>
      </c>
      <c r="BY72" s="1163">
        <f>'2024'!R\Max</f>
        <v>0.6461050207738136</v>
      </c>
      <c r="BZ72" s="1163">
        <f>'2025'!R\Max</f>
        <v>0.64607513220040613</v>
      </c>
      <c r="CA72" s="1163">
        <f>'2026'!R\Max</f>
        <v>0.64604522781412332</v>
      </c>
      <c r="CB72" s="1163">
        <f>'2027'!R\Max</f>
        <v>0.64599226687042555</v>
      </c>
      <c r="CC72" s="1164">
        <f>'2028'!R\Max</f>
        <v>0.64593928709792525</v>
      </c>
      <c r="CD72" s="1163">
        <f>'2029'!R\Max</f>
        <v>0.64586810817681473</v>
      </c>
      <c r="CE72" s="1163">
        <f>'2030'!R\Max</f>
        <v>0.64612912510003129</v>
      </c>
      <c r="CF72" s="1165">
        <f>'2031'!R\Max</f>
        <v>0.64610617187374753</v>
      </c>
    </row>
    <row r="73" spans="1:84" s="6" customFormat="1" ht="11.25" x14ac:dyDescent="0.2">
      <c r="A73" s="11">
        <v>43159</v>
      </c>
      <c r="B73" s="375">
        <f>'2022'!Maxi_hp</f>
        <v>34.905638121982101</v>
      </c>
      <c r="C73" s="13">
        <f>'2022'!An_max</f>
        <v>2022</v>
      </c>
      <c r="D73" s="1050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69">
        <f t="shared" si="8"/>
        <v>43150</v>
      </c>
      <c r="I73" s="744">
        <f t="shared" si="9"/>
        <v>0.6428571428571429</v>
      </c>
      <c r="J73" s="737">
        <f t="shared" si="27"/>
        <v>37.470436662142831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43">
        <v>43159</v>
      </c>
      <c r="AP73" s="13">
        <f t="shared" si="11"/>
        <v>3</v>
      </c>
      <c r="AQ73" s="13">
        <f t="shared" si="12"/>
        <v>4</v>
      </c>
      <c r="AR73" s="169">
        <f t="shared" si="13"/>
        <v>43136</v>
      </c>
      <c r="AS73" s="744">
        <f t="shared" si="14"/>
        <v>0.8214285714285714</v>
      </c>
      <c r="AT73" s="760">
        <f t="shared" si="15"/>
        <v>37.45561230608395</v>
      </c>
      <c r="AU73" s="13">
        <f t="shared" si="16"/>
        <v>3</v>
      </c>
      <c r="AV73" s="13">
        <f t="shared" si="17"/>
        <v>4</v>
      </c>
      <c r="AW73" s="169">
        <f t="shared" si="18"/>
        <v>43150</v>
      </c>
      <c r="AX73" s="744">
        <f t="shared" si="19"/>
        <v>0.32142857142857145</v>
      </c>
      <c r="AY73" s="760">
        <f t="shared" si="20"/>
        <v>37.582476022560151</v>
      </c>
      <c r="AZ73" s="737">
        <f t="shared" si="26"/>
        <v>37.519044164322054</v>
      </c>
      <c r="BA73" s="634">
        <f t="shared" si="21"/>
        <v>0.93155141042826439</v>
      </c>
      <c r="BC73" s="11">
        <v>43159</v>
      </c>
      <c r="BD73" s="286">
        <f>[3]!FeuilCaduc*(1-Persistant)+Persistant</f>
        <v>0.60284058185655764</v>
      </c>
      <c r="BE73" s="287">
        <f>[3]!CroissVégét</f>
        <v>1.352742218145603E-2</v>
      </c>
      <c r="BF73" s="807">
        <f>1+[3]!Salcycl*Ksac</f>
        <v>1.0003550727320698</v>
      </c>
      <c r="BH73" s="1041">
        <f t="shared" si="22"/>
        <v>4.4053739223926455E-3</v>
      </c>
      <c r="BI73" s="11">
        <v>44255</v>
      </c>
      <c r="BJ73" s="717">
        <v>1.0329249623133418E-3</v>
      </c>
      <c r="BK73" s="717">
        <v>1.4602468161085647E-3</v>
      </c>
      <c r="BL73" s="717">
        <v>1.9579484910161819E-3</v>
      </c>
      <c r="BM73" s="717">
        <v>2.5832583244096013E-3</v>
      </c>
      <c r="BN73" s="717">
        <v>3.3752279596750653E-3</v>
      </c>
      <c r="BO73" s="718">
        <v>4.4117831232501565E-3</v>
      </c>
      <c r="BP73" s="717">
        <v>6.2795059074842426E-3</v>
      </c>
      <c r="BQ73" s="717">
        <v>8.7165914848645453E-3</v>
      </c>
      <c r="BR73" s="717">
        <v>1.2760781704428478E-2</v>
      </c>
      <c r="BS73" s="717">
        <v>1.7959558289166112E-2</v>
      </c>
      <c r="BT73" s="717">
        <v>2.4494431353962676E-2</v>
      </c>
      <c r="BW73" s="1162">
        <f>'2022'!R\Max</f>
        <v>0.93155141042826439</v>
      </c>
      <c r="BX73" s="1163">
        <f>'2023'!R\Max</f>
        <v>0.93154525145226363</v>
      </c>
      <c r="BY73" s="1163">
        <f>'2024'!R\Max</f>
        <v>0.93153908954503384</v>
      </c>
      <c r="BZ73" s="1163">
        <f>'2025'!R\Max</f>
        <v>0.93153105093528143</v>
      </c>
      <c r="CA73" s="1163">
        <f>'2026'!R\Max</f>
        <v>0.93152300489253759</v>
      </c>
      <c r="CB73" s="1163">
        <f>'2027'!R\Max</f>
        <v>0.93150966037432548</v>
      </c>
      <c r="CC73" s="1164">
        <f>'2028'!R\Max</f>
        <v>0.93149630790746407</v>
      </c>
      <c r="CD73" s="1163">
        <f>'2029'!R\Max</f>
        <v>0.93147914390921538</v>
      </c>
      <c r="CE73" s="1163">
        <f>'2030'!R\Max</f>
        <v>0.93154555927247895</v>
      </c>
      <c r="CF73" s="1165">
        <f>'2031'!R\Max</f>
        <v>0.93153939958256782</v>
      </c>
    </row>
    <row r="74" spans="1:84" s="6" customFormat="1" ht="11.25" x14ac:dyDescent="0.2">
      <c r="A74" s="11">
        <v>43160</v>
      </c>
      <c r="B74" s="375">
        <f>'2022'!Maxi_hp</f>
        <v>36.831357903305943</v>
      </c>
      <c r="C74" s="13">
        <f>'2022'!An_max</f>
        <v>2022</v>
      </c>
      <c r="D74" s="1050">
        <f t="shared" si="7"/>
        <v>0.97173737952497052</v>
      </c>
      <c r="E74" s="13"/>
      <c r="F74" s="13">
        <f t="shared" si="23"/>
        <v>5</v>
      </c>
      <c r="G74" s="13">
        <f t="shared" si="24"/>
        <v>6</v>
      </c>
      <c r="H74" s="169">
        <f t="shared" si="8"/>
        <v>43150</v>
      </c>
      <c r="I74" s="744">
        <f t="shared" si="9"/>
        <v>0.7142857142857143</v>
      </c>
      <c r="J74" s="737">
        <f t="shared" si="27"/>
        <v>37.902584257189723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43">
        <v>43160</v>
      </c>
      <c r="AP74" s="13">
        <f t="shared" si="11"/>
        <v>3</v>
      </c>
      <c r="AQ74" s="13">
        <f t="shared" si="12"/>
        <v>4</v>
      </c>
      <c r="AR74" s="169">
        <f t="shared" si="13"/>
        <v>43136</v>
      </c>
      <c r="AS74" s="744">
        <f t="shared" si="14"/>
        <v>0.8571428571428571</v>
      </c>
      <c r="AT74" s="760">
        <f t="shared" si="15"/>
        <v>37.896176675919975</v>
      </c>
      <c r="AU74" s="13">
        <f t="shared" si="16"/>
        <v>3</v>
      </c>
      <c r="AV74" s="13">
        <f t="shared" si="17"/>
        <v>4</v>
      </c>
      <c r="AW74" s="169">
        <f t="shared" si="18"/>
        <v>43150</v>
      </c>
      <c r="AX74" s="744">
        <f t="shared" si="19"/>
        <v>0.35714285714285715</v>
      </c>
      <c r="AY74" s="760">
        <f t="shared" si="20"/>
        <v>38.033557379698117</v>
      </c>
      <c r="AZ74" s="737">
        <f t="shared" si="26"/>
        <v>37.964867027809049</v>
      </c>
      <c r="BA74" s="634">
        <f t="shared" si="21"/>
        <v>0.97173737952497052</v>
      </c>
      <c r="BC74" s="11">
        <v>43160</v>
      </c>
      <c r="BD74" s="286">
        <f>[3]!FeuilCaduc*(1-Persistant)+Persistant</f>
        <v>0.60294302996164917</v>
      </c>
      <c r="BE74" s="287">
        <f>[3]!CroissVégét</f>
        <v>1.4143631071573595E-2</v>
      </c>
      <c r="BF74" s="807">
        <f>1+[3]!Salcycl*Ksac</f>
        <v>1.0003678787452062</v>
      </c>
      <c r="BH74" s="1041">
        <f t="shared" si="22"/>
        <v>4.1559080011241752E-3</v>
      </c>
      <c r="BI74" s="11">
        <v>44256</v>
      </c>
      <c r="BJ74" s="717">
        <v>1.0001036955902044E-3</v>
      </c>
      <c r="BK74" s="717">
        <v>1.4086991247579974E-3</v>
      </c>
      <c r="BL74" s="717">
        <v>1.8792521016200373E-3</v>
      </c>
      <c r="BM74" s="717">
        <v>2.4640512059048961E-3</v>
      </c>
      <c r="BN74" s="717">
        <v>3.2002832450463681E-3</v>
      </c>
      <c r="BO74" s="718">
        <v>4.1618535576062434E-3</v>
      </c>
      <c r="BP74" s="717">
        <v>5.9716608557545264E-3</v>
      </c>
      <c r="BQ74" s="717">
        <v>8.3373031267268555E-3</v>
      </c>
      <c r="BR74" s="717">
        <v>1.2029827830640135E-2</v>
      </c>
      <c r="BS74" s="717">
        <v>1.6559451633982626E-2</v>
      </c>
      <c r="BT74" s="717">
        <v>2.2143589540163287E-2</v>
      </c>
      <c r="BW74" s="1162">
        <f>'2022'!R\Max</f>
        <v>0.97173737952497052</v>
      </c>
      <c r="BX74" s="1163">
        <f>'2023'!R\Max</f>
        <v>0.97173483789296788</v>
      </c>
      <c r="BY74" s="1163">
        <f>'2024'!R\Max</f>
        <v>0.9717322945575837</v>
      </c>
      <c r="BZ74" s="1163">
        <f>'2025'!R\Max</f>
        <v>0.97172897143986858</v>
      </c>
      <c r="CA74" s="1163">
        <f>'2026'!R\Max</f>
        <v>0.97172564446959064</v>
      </c>
      <c r="CB74" s="1163">
        <f>'2027'!R\Max</f>
        <v>0.97172045550006225</v>
      </c>
      <c r="CC74" s="1164">
        <f>'2028'!R\Max</f>
        <v>0.97171526312321055</v>
      </c>
      <c r="CD74" s="1163">
        <f>'2029'!R\Max</f>
        <v>0.97170889439357355</v>
      </c>
      <c r="CE74" s="1163">
        <f>'2030'!R\Max</f>
        <v>0.97173496492164524</v>
      </c>
      <c r="CF74" s="1165">
        <f>'2031'!R\Max</f>
        <v>0.97173242298941287</v>
      </c>
    </row>
    <row r="75" spans="1:84" s="6" customFormat="1" ht="11.25" x14ac:dyDescent="0.2">
      <c r="A75" s="11">
        <v>43161</v>
      </c>
      <c r="B75" s="375">
        <f>'2022'!Maxi_hp</f>
        <v>17.020005743772145</v>
      </c>
      <c r="C75" s="13">
        <f>'2022'!An_max</f>
        <v>2022</v>
      </c>
      <c r="D75" s="1050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69">
        <f t="shared" si="8"/>
        <v>43150</v>
      </c>
      <c r="I75" s="744">
        <f t="shared" si="9"/>
        <v>0.7857142857142857</v>
      </c>
      <c r="J75" s="737">
        <f t="shared" si="27"/>
        <v>38.337425948200483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43">
        <v>43161</v>
      </c>
      <c r="AP75" s="13">
        <f t="shared" si="11"/>
        <v>3</v>
      </c>
      <c r="AQ75" s="13">
        <f t="shared" si="12"/>
        <v>4</v>
      </c>
      <c r="AR75" s="169">
        <f t="shared" si="13"/>
        <v>43136</v>
      </c>
      <c r="AS75" s="744">
        <f t="shared" si="14"/>
        <v>0.8928571428571429</v>
      </c>
      <c r="AT75" s="760">
        <f t="shared" si="15"/>
        <v>38.337159722970263</v>
      </c>
      <c r="AU75" s="13">
        <f t="shared" si="16"/>
        <v>3</v>
      </c>
      <c r="AV75" s="13">
        <f t="shared" si="17"/>
        <v>4</v>
      </c>
      <c r="AW75" s="169">
        <f t="shared" si="18"/>
        <v>43150</v>
      </c>
      <c r="AX75" s="744">
        <f t="shared" si="19"/>
        <v>0.39285714285714285</v>
      </c>
      <c r="AY75" s="760">
        <f t="shared" si="20"/>
        <v>38.486577394019278</v>
      </c>
      <c r="AZ75" s="737">
        <f t="shared" si="26"/>
        <v>38.411868558494774</v>
      </c>
      <c r="BA75" s="634">
        <f t="shared" si="21"/>
        <v>0.4439527517253945</v>
      </c>
      <c r="BC75" s="11">
        <v>43161</v>
      </c>
      <c r="BD75" s="286">
        <f>[3]!FeuilCaduc*(1-Persistant)+Persistant</f>
        <v>0.60304503895556516</v>
      </c>
      <c r="BE75" s="287">
        <f>[3]!CroissVégét</f>
        <v>1.47848730100967E-2</v>
      </c>
      <c r="BF75" s="807">
        <f>1+[3]!Salcycl*Ksac</f>
        <v>1.0003806298694458</v>
      </c>
      <c r="BH75" s="1041">
        <f t="shared" si="22"/>
        <v>3.9148518552206499E-3</v>
      </c>
      <c r="BI75" s="11">
        <v>44257</v>
      </c>
      <c r="BJ75" s="717">
        <v>9.6889577395503797E-4</v>
      </c>
      <c r="BK75" s="717">
        <v>1.3588177090850661E-3</v>
      </c>
      <c r="BL75" s="717">
        <v>1.8030400346972927E-3</v>
      </c>
      <c r="BM75" s="717">
        <v>2.3488930605747977E-3</v>
      </c>
      <c r="BN75" s="717">
        <v>3.0315721771739198E-3</v>
      </c>
      <c r="BO75" s="718">
        <v>3.9203473064235309E-3</v>
      </c>
      <c r="BP75" s="717">
        <v>5.6657793354535036E-3</v>
      </c>
      <c r="BQ75" s="717">
        <v>7.9503015499506752E-3</v>
      </c>
      <c r="BR75" s="717">
        <v>1.1322180842771416E-2</v>
      </c>
      <c r="BS75" s="717">
        <v>1.5262323156610344E-2</v>
      </c>
      <c r="BT75" s="717">
        <v>2.0018605765125815E-2</v>
      </c>
      <c r="BW75" s="1162">
        <f>'2022'!R\Max</f>
        <v>0.4439527517253945</v>
      </c>
      <c r="BX75" s="1163">
        <f>'2023'!R\Max</f>
        <v>0.44393096618938827</v>
      </c>
      <c r="BY75" s="1163">
        <f>'2024'!R\Max</f>
        <v>0.44390916382794848</v>
      </c>
      <c r="BZ75" s="1163">
        <f>'2025'!R\Max</f>
        <v>0.44388064809915284</v>
      </c>
      <c r="CA75" s="1163">
        <f>'2026'!R\Max</f>
        <v>0.44385209860324626</v>
      </c>
      <c r="CB75" s="1163">
        <f>'2027'!R\Max</f>
        <v>0.44381000719561275</v>
      </c>
      <c r="CC75" s="1164">
        <f>'2028'!R\Max</f>
        <v>0.44376789657089244</v>
      </c>
      <c r="CD75" s="1163">
        <f>'2029'!R\Max</f>
        <v>0.44371870646229455</v>
      </c>
      <c r="CE75" s="1163">
        <f>'2030'!R\Max</f>
        <v>0.44393205496140031</v>
      </c>
      <c r="CF75" s="1165">
        <f>'2031'!R\Max</f>
        <v>0.44391026889952456</v>
      </c>
    </row>
    <row r="76" spans="1:84" s="6" customFormat="1" ht="11.25" x14ac:dyDescent="0.2">
      <c r="A76" s="11">
        <v>43162</v>
      </c>
      <c r="B76" s="375">
        <f>'2022'!Maxi_hp</f>
        <v>29.361338384403382</v>
      </c>
      <c r="C76" s="13">
        <f>'2022'!An_max</f>
        <v>2022</v>
      </c>
      <c r="D76" s="1050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69">
        <f t="shared" si="8"/>
        <v>43150</v>
      </c>
      <c r="I76" s="744">
        <f t="shared" si="9"/>
        <v>0.8571428571428571</v>
      </c>
      <c r="J76" s="737">
        <f t="shared" si="27"/>
        <v>38.775180174543387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43">
        <v>43162</v>
      </c>
      <c r="AP76" s="13">
        <f t="shared" si="11"/>
        <v>3</v>
      </c>
      <c r="AQ76" s="13">
        <f t="shared" si="12"/>
        <v>4</v>
      </c>
      <c r="AR76" s="169">
        <f t="shared" si="13"/>
        <v>43136</v>
      </c>
      <c r="AS76" s="744">
        <f t="shared" si="14"/>
        <v>0.9285714285714286</v>
      </c>
      <c r="AT76" s="760">
        <f t="shared" si="15"/>
        <v>38.778329354524615</v>
      </c>
      <c r="AU76" s="13">
        <f t="shared" si="16"/>
        <v>3</v>
      </c>
      <c r="AV76" s="13">
        <f t="shared" si="17"/>
        <v>4</v>
      </c>
      <c r="AW76" s="169">
        <f t="shared" si="18"/>
        <v>43150</v>
      </c>
      <c r="AX76" s="744">
        <f t="shared" si="19"/>
        <v>0.42857142857142855</v>
      </c>
      <c r="AY76" s="760">
        <f t="shared" si="20"/>
        <v>38.941194752390892</v>
      </c>
      <c r="AZ76" s="737">
        <f t="shared" si="26"/>
        <v>38.859762053457757</v>
      </c>
      <c r="BA76" s="634">
        <f t="shared" si="21"/>
        <v>0.75721990851456145</v>
      </c>
      <c r="BC76" s="11">
        <v>43162</v>
      </c>
      <c r="BD76" s="286">
        <f>[3]!FeuilCaduc*(1-Persistant)+Persistant</f>
        <v>0.60314754291252048</v>
      </c>
      <c r="BE76" s="287">
        <f>[3]!CroissVégét</f>
        <v>1.5452129829812465E-2</v>
      </c>
      <c r="BF76" s="807">
        <f>1+[3]!Salcycl*Ksac</f>
        <v>1.0003934428640651</v>
      </c>
      <c r="BH76" s="1041">
        <f t="shared" si="22"/>
        <v>3.6822040908789334E-3</v>
      </c>
      <c r="BI76" s="11">
        <v>44258</v>
      </c>
      <c r="BJ76" s="717">
        <v>9.3930088234257651E-4</v>
      </c>
      <c r="BK76" s="717">
        <v>1.3106021087651288E-3</v>
      </c>
      <c r="BL76" s="717">
        <v>1.7293116707778854E-3</v>
      </c>
      <c r="BM76" s="717">
        <v>2.2377830742620493E-3</v>
      </c>
      <c r="BN76" s="717">
        <v>2.8690936958820847E-3</v>
      </c>
      <c r="BO76" s="718">
        <v>3.6872629738231685E-3</v>
      </c>
      <c r="BP76" s="717">
        <v>5.3618592104095917E-3</v>
      </c>
      <c r="BQ76" s="717">
        <v>7.5555836325046687E-3</v>
      </c>
      <c r="BR76" s="717">
        <v>1.0637836678255149E-2</v>
      </c>
      <c r="BS76" s="717">
        <v>1.4068168158997385E-2</v>
      </c>
      <c r="BT76" s="717">
        <v>1.8119474869908669E-2</v>
      </c>
      <c r="BW76" s="1162">
        <f>'2022'!R\Max</f>
        <v>0.75721990851456145</v>
      </c>
      <c r="BX76" s="1163">
        <f>'2023'!R\Max</f>
        <v>0.75720451576820536</v>
      </c>
      <c r="BY76" s="1163">
        <f>'2024'!R\Max</f>
        <v>0.75718910711834853</v>
      </c>
      <c r="BZ76" s="1163">
        <f>'2025'!R\Max</f>
        <v>0.75716893926083273</v>
      </c>
      <c r="CA76" s="1163">
        <f>'2026'!R\Max</f>
        <v>0.75714874417483036</v>
      </c>
      <c r="CB76" s="1163">
        <f>'2027'!R\Max</f>
        <v>0.75712040142435055</v>
      </c>
      <c r="CC76" s="1164">
        <f>'2028'!R\Max</f>
        <v>0.75709204480258563</v>
      </c>
      <c r="CD76" s="1163">
        <f>'2029'!R\Max</f>
        <v>0.75706049216217797</v>
      </c>
      <c r="CE76" s="1163">
        <f>'2030'!R\Max</f>
        <v>0.75720528506755458</v>
      </c>
      <c r="CF76" s="1165">
        <f>'2031'!R\Max</f>
        <v>0.75718989120149671</v>
      </c>
    </row>
    <row r="77" spans="1:84" s="6" customFormat="1" ht="11.25" x14ac:dyDescent="0.2">
      <c r="A77" s="11">
        <v>43163</v>
      </c>
      <c r="B77" s="375">
        <f>'2022'!Maxi_hp</f>
        <v>5.7831789540560674</v>
      </c>
      <c r="C77" s="13">
        <f>'2022'!An_max</f>
        <v>2022</v>
      </c>
      <c r="D77" s="1050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69">
        <f t="shared" si="8"/>
        <v>43150</v>
      </c>
      <c r="I77" s="744">
        <f t="shared" si="9"/>
        <v>0.9285714285714286</v>
      </c>
      <c r="J77" s="737">
        <f t="shared" si="27"/>
        <v>39.216065379072511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43">
        <v>43163</v>
      </c>
      <c r="AP77" s="13">
        <f t="shared" si="11"/>
        <v>3</v>
      </c>
      <c r="AQ77" s="13">
        <f t="shared" si="12"/>
        <v>4</v>
      </c>
      <c r="AR77" s="169">
        <f t="shared" si="13"/>
        <v>43136</v>
      </c>
      <c r="AS77" s="744">
        <f t="shared" si="14"/>
        <v>0.9642857142857143</v>
      </c>
      <c r="AT77" s="760">
        <f t="shared" si="15"/>
        <v>39.219453477493616</v>
      </c>
      <c r="AU77" s="13">
        <f t="shared" si="16"/>
        <v>3</v>
      </c>
      <c r="AV77" s="13">
        <f t="shared" si="17"/>
        <v>4</v>
      </c>
      <c r="AW77" s="169">
        <f t="shared" si="18"/>
        <v>43150</v>
      </c>
      <c r="AX77" s="744">
        <f t="shared" si="19"/>
        <v>0.4642857142857143</v>
      </c>
      <c r="AY77" s="760">
        <f t="shared" si="20"/>
        <v>39.397068141893087</v>
      </c>
      <c r="AZ77" s="737">
        <f t="shared" si="26"/>
        <v>39.308260809693351</v>
      </c>
      <c r="BA77" s="634">
        <f t="shared" si="21"/>
        <v>0.14746963771491051</v>
      </c>
      <c r="BC77" s="11">
        <v>43163</v>
      </c>
      <c r="BD77" s="286">
        <f>[3]!FeuilCaduc*(1-Persistant)+Persistant</f>
        <v>0.60325163457719966</v>
      </c>
      <c r="BE77" s="287">
        <f>[3]!CroissVégét</f>
        <v>1.6146418920009037E-2</v>
      </c>
      <c r="BF77" s="807">
        <f>1+[3]!Salcycl*Ksac</f>
        <v>1.00040645432215</v>
      </c>
      <c r="BH77" s="1041">
        <f t="shared" si="22"/>
        <v>3.4579636209036732E-3</v>
      </c>
      <c r="BI77" s="11">
        <v>44259</v>
      </c>
      <c r="BJ77" s="717">
        <v>9.1131874580676882E-4</v>
      </c>
      <c r="BK77" s="717">
        <v>1.2640519268633805E-3</v>
      </c>
      <c r="BL77" s="717">
        <v>1.6580664871916988E-3</v>
      </c>
      <c r="BM77" s="717">
        <v>2.1307205793113155E-3</v>
      </c>
      <c r="BN77" s="717">
        <v>2.7128469558662786E-3</v>
      </c>
      <c r="BO77" s="718">
        <v>3.4625994711048476E-3</v>
      </c>
      <c r="BP77" s="717">
        <v>5.0598987265135058E-3</v>
      </c>
      <c r="BQ77" s="717">
        <v>7.1531467275463383E-3</v>
      </c>
      <c r="BR77" s="717">
        <v>9.9767921734935407E-3</v>
      </c>
      <c r="BS77" s="717">
        <v>1.2976983639346027E-2</v>
      </c>
      <c r="BT77" s="717">
        <v>1.6446194520349369E-2</v>
      </c>
      <c r="BW77" s="1162">
        <f>'2022'!R\Max</f>
        <v>0.14746963771491051</v>
      </c>
      <c r="BX77" s="1163">
        <f>'2023'!R\Max</f>
        <v>0.14746148492834682</v>
      </c>
      <c r="BY77" s="1163">
        <f>'2024'!R\Max</f>
        <v>0.14745332257378727</v>
      </c>
      <c r="BZ77" s="1163">
        <f>'2025'!R\Max</f>
        <v>0.14744263841168079</v>
      </c>
      <c r="CA77" s="1163">
        <f>'2026'!R\Max</f>
        <v>0.14743194015967828</v>
      </c>
      <c r="CB77" s="1163">
        <f>'2027'!R\Max</f>
        <v>0.14741752797074467</v>
      </c>
      <c r="CC77" s="1164">
        <f>'2028'!R\Max</f>
        <v>0.14740311237638998</v>
      </c>
      <c r="CD77" s="1163">
        <f>'2029'!R\Max</f>
        <v>0.1473877990776524</v>
      </c>
      <c r="CE77" s="1163">
        <f>'2030'!R\Max</f>
        <v>0.14746189237385091</v>
      </c>
      <c r="CF77" s="1165">
        <f>'2031'!R\Max</f>
        <v>0.14745373958728719</v>
      </c>
    </row>
    <row r="78" spans="1:84" s="6" customFormat="1" ht="11.25" x14ac:dyDescent="0.2">
      <c r="A78" s="11">
        <v>43164</v>
      </c>
      <c r="B78" s="375">
        <f>'2022'!Maxi_hp</f>
        <v>14.998749007725031</v>
      </c>
      <c r="C78" s="13">
        <f>'2022'!An_max</f>
        <v>2022</v>
      </c>
      <c r="D78" s="1050" t="str">
        <f t="shared" si="7"/>
        <v/>
      </c>
      <c r="E78" s="1045">
        <f>R$13/10</f>
        <v>39.660299999999999</v>
      </c>
      <c r="F78" s="13">
        <f t="shared" si="23"/>
        <v>7</v>
      </c>
      <c r="G78" s="13">
        <f t="shared" si="24"/>
        <v>6</v>
      </c>
      <c r="H78" s="169">
        <f t="shared" si="8"/>
        <v>43178</v>
      </c>
      <c r="I78" s="744">
        <f t="shared" si="9"/>
        <v>1</v>
      </c>
      <c r="J78" s="737">
        <f t="shared" si="27"/>
        <v>39.660300000011922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43">
        <v>43164</v>
      </c>
      <c r="AP78" s="13">
        <f t="shared" si="11"/>
        <v>5</v>
      </c>
      <c r="AQ78" s="13">
        <f t="shared" si="12"/>
        <v>4</v>
      </c>
      <c r="AR78" s="169">
        <f t="shared" si="13"/>
        <v>43192</v>
      </c>
      <c r="AS78" s="744">
        <f t="shared" si="14"/>
        <v>1</v>
      </c>
      <c r="AT78" s="760">
        <f t="shared" si="15"/>
        <v>39.660299999825654</v>
      </c>
      <c r="AU78" s="13">
        <f t="shared" si="16"/>
        <v>3</v>
      </c>
      <c r="AV78" s="13">
        <f t="shared" si="17"/>
        <v>4</v>
      </c>
      <c r="AW78" s="169">
        <f t="shared" si="18"/>
        <v>43150</v>
      </c>
      <c r="AX78" s="744">
        <f t="shared" si="19"/>
        <v>0.5</v>
      </c>
      <c r="AY78" s="760">
        <f t="shared" si="20"/>
        <v>39.853856250084938</v>
      </c>
      <c r="AZ78" s="737">
        <f t="shared" si="26"/>
        <v>39.757078124955299</v>
      </c>
      <c r="BA78" s="634">
        <f t="shared" si="21"/>
        <v>0.37818042243050415</v>
      </c>
      <c r="BC78" s="11">
        <v>43164</v>
      </c>
      <c r="BD78" s="286">
        <f>[3]!FeuilCaduc*(1-Persistant)+Persistant</f>
        <v>0.60335856466298265</v>
      </c>
      <c r="BE78" s="287">
        <f>[3]!CroissVégét</f>
        <v>1.6868794263800321E-2</v>
      </c>
      <c r="BF78" s="807">
        <f>1+[3]!Salcycl*Ksac</f>
        <v>1.0004198205828729</v>
      </c>
      <c r="BH78" s="1041">
        <f t="shared" si="22"/>
        <v>3.2421296385621574E-3</v>
      </c>
      <c r="BI78" s="11">
        <v>44260</v>
      </c>
      <c r="BJ78" s="717">
        <v>8.8494912450627595E-4</v>
      </c>
      <c r="BK78" s="717">
        <v>1.2191668246563966E-3</v>
      </c>
      <c r="BL78" s="717">
        <v>1.5893040503469867E-3</v>
      </c>
      <c r="BM78" s="717">
        <v>2.0277050419828736E-3</v>
      </c>
      <c r="BN78" s="717">
        <v>2.5628313073139566E-3</v>
      </c>
      <c r="BO78" s="718">
        <v>3.2463559905595539E-3</v>
      </c>
      <c r="BP78" s="717">
        <v>4.7598965056207592E-3</v>
      </c>
      <c r="BQ78" s="717">
        <v>6.7429886874183819E-3</v>
      </c>
      <c r="BR78" s="717">
        <v>9.3390449913995869E-3</v>
      </c>
      <c r="BS78" s="717">
        <v>1.198876797191418E-2</v>
      </c>
      <c r="BT78" s="717">
        <v>1.4998764504766419E-2</v>
      </c>
      <c r="BW78" s="1162">
        <f>'2022'!R\Max</f>
        <v>0.37818042243050415</v>
      </c>
      <c r="BX78" s="1163">
        <f>'2023'!R\Max</f>
        <v>0.37816301783136408</v>
      </c>
      <c r="BY78" s="1163">
        <f>'2024'!R\Max</f>
        <v>0.3781455887211066</v>
      </c>
      <c r="BZ78" s="1163">
        <f>'2025'!R\Max</f>
        <v>0.37812278405514599</v>
      </c>
      <c r="CA78" s="1163">
        <f>'2026'!R\Max</f>
        <v>0.3780999473101479</v>
      </c>
      <c r="CB78" s="1163">
        <f>'2027'!R\Max</f>
        <v>0.37807009285721005</v>
      </c>
      <c r="CC78" s="1164">
        <f>'2028'!R\Max</f>
        <v>0.37804023503340095</v>
      </c>
      <c r="CD78" s="1163">
        <f>'2029'!R\Max</f>
        <v>0.37800976220163635</v>
      </c>
      <c r="CE78" s="1163">
        <f>'2030'!R\Max</f>
        <v>0.37816388765232606</v>
      </c>
      <c r="CF78" s="1165">
        <f>'2031'!R\Max</f>
        <v>0.378146482861835</v>
      </c>
    </row>
    <row r="79" spans="1:84" s="6" customFormat="1" ht="11.25" x14ac:dyDescent="0.2">
      <c r="A79" s="11">
        <v>43165</v>
      </c>
      <c r="B79" s="375">
        <f>'2022'!Maxi_hp</f>
        <v>22.962955608308192</v>
      </c>
      <c r="C79" s="13">
        <f>'2022'!An_max</f>
        <v>2022</v>
      </c>
      <c r="D79" s="1050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69">
        <f t="shared" ref="H79:H142" si="61">INDEX(x.2m,F79)</f>
        <v>43178</v>
      </c>
      <c r="I79" s="744">
        <f t="shared" ref="I79:I142" si="62">($A79-H79)/(INDEX(x.2m,G79)-H79)</f>
        <v>0.9285714285714286</v>
      </c>
      <c r="J79" s="737">
        <f t="shared" ref="J79:J142" si="63">((1-I79)*(INDEX(a.m,F79)*$A79*$A79+INDEX(b.m,F79)*$A79+INDEX(c.m,F79))+I79*(INDEX(a.m,G79)*$A79*$A79+INDEX(b.m,G79)*$A79+INDEX(c.m,G79)))/10</f>
        <v>40.108739595641552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43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69">
        <f t="shared" ref="AR79:AR142" si="66">INDEX(x.2lg,AP79)</f>
        <v>43192</v>
      </c>
      <c r="AS79" s="744">
        <f t="shared" ref="AS79:AS142" si="67">($A79-AR79)/(INDEX(x.2lg,AQ79)-AR79)</f>
        <v>0.9642857142857143</v>
      </c>
      <c r="AT79" s="760">
        <f t="shared" ref="AT79:AT142" si="68">((1-AS79)*(INDEX(a.lg,AP79)*$A79*$A79+INDEX(b.lg,AP79)*$A79+INDEX(c.lg,AP79))+AS79*(INDEX(a.lg,AQ79)*$A79*$A79+INDEX(b.lg,AQ79)*$A79+INDEX(c.lg,AQ79)))/10</f>
        <v>40.105137606696886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69">
        <f t="shared" ref="AW79:AW142" si="71">INDEX(x.2ld,AU79)</f>
        <v>43150</v>
      </c>
      <c r="AX79" s="744">
        <f t="shared" ref="AX79:AX142" si="72">($A79-AW79)/(INDEX(x.2ld,AV79)-AW79)</f>
        <v>0.5357142857142857</v>
      </c>
      <c r="AY79" s="760">
        <f t="shared" ref="AY79:AY142" si="73">((1-AX79)*(INDEX(a.ld,AU79)*$A79*$A79+INDEX(b.ld,AU79)*$A79+INDEX(c.ld,AU79))+AX79*(INDEX(a.ld,AV79)*$A79*$A79+INDEX(b.ld,AV79)*$A79+INDEX(c.ld,AV79)))/10</f>
        <v>40.311217764000006</v>
      </c>
      <c r="AZ79" s="737">
        <f t="shared" si="26"/>
        <v>40.208177685348446</v>
      </c>
      <c r="BA79" s="634">
        <f t="shared" ref="BA79:BA142" si="74">+B79/J79</f>
        <v>0.57251750715206917</v>
      </c>
      <c r="BC79" s="11">
        <v>43165</v>
      </c>
      <c r="BD79" s="286">
        <f>[3]!FeuilCaduc*(1-Persistant)+Persistant</f>
        <v>0.60346974009977061</v>
      </c>
      <c r="BE79" s="287">
        <f>[3]!CroissVégét</f>
        <v>1.7620347483596571E-2</v>
      </c>
      <c r="BF79" s="807">
        <f>1+[3]!Salcycl*Ksac</f>
        <v>1.0004337175124713</v>
      </c>
      <c r="BH79" s="1041">
        <f t="shared" ref="BH79:BH142" si="75">INDEX($BJ79:$BT79,,$BH$10)*(1-Ratini)+INDEX($BJ79:$BT79,,$BH$10+1)*Ratini</f>
        <v>3.034701591426972E-3</v>
      </c>
      <c r="BI79" s="11">
        <v>44261</v>
      </c>
      <c r="BJ79" s="717">
        <v>8.601918086868375E-4</v>
      </c>
      <c r="BK79" s="717">
        <v>1.175946516449313E-3</v>
      </c>
      <c r="BL79" s="717">
        <v>1.5230240080030516E-3</v>
      </c>
      <c r="BM79" s="717">
        <v>1.9287360498588778E-3</v>
      </c>
      <c r="BN79" s="717">
        <v>2.4190462765160785E-3</v>
      </c>
      <c r="BO79" s="718">
        <v>3.0385319792701165E-3</v>
      </c>
      <c r="BP79" s="717">
        <v>4.4618515394364072E-3</v>
      </c>
      <c r="BQ79" s="717">
        <v>6.3251078876200434E-3</v>
      </c>
      <c r="BR79" s="717">
        <v>8.724593548903271E-3</v>
      </c>
      <c r="BS79" s="717">
        <v>1.1103520586770358E-2</v>
      </c>
      <c r="BT79" s="717">
        <v>1.3777186031601336E-2</v>
      </c>
      <c r="BW79" s="1162">
        <f>'2022'!R\Max</f>
        <v>0.57251750715206917</v>
      </c>
      <c r="BX79" s="1163">
        <f>'2023'!R\Max</f>
        <v>0.57250066030277569</v>
      </c>
      <c r="BY79" s="1163">
        <f>'2024'!R\Max</f>
        <v>0.57248378546271439</v>
      </c>
      <c r="BZ79" s="1163">
        <f>'2025'!R\Max</f>
        <v>0.57246172960176578</v>
      </c>
      <c r="CA79" s="1163">
        <f>'2026'!R\Max</f>
        <v>0.57243963930925845</v>
      </c>
      <c r="CB79" s="1163">
        <f>'2027'!R\Max</f>
        <v>0.57241123296612584</v>
      </c>
      <c r="CC79" s="1164">
        <f>'2028'!R\Max</f>
        <v>0.57238282610472391</v>
      </c>
      <c r="CD79" s="1163">
        <f>'2029'!R\Max</f>
        <v>0.57235465958966247</v>
      </c>
      <c r="CE79" s="1163">
        <f>'2030'!R\Max</f>
        <v>0.5725015022597284</v>
      </c>
      <c r="CF79" s="1165">
        <f>'2031'!R\Max</f>
        <v>0.57248465480995736</v>
      </c>
    </row>
    <row r="80" spans="1:84" s="6" customFormat="1" ht="11.25" x14ac:dyDescent="0.2">
      <c r="A80" s="11">
        <v>43166</v>
      </c>
      <c r="B80" s="375">
        <f>'2022'!Maxi_hp</f>
        <v>37.221481723491209</v>
      </c>
      <c r="C80" s="13">
        <f>'2022'!An_max</f>
        <v>2022</v>
      </c>
      <c r="D80" s="1050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69">
        <f t="shared" si="61"/>
        <v>43178</v>
      </c>
      <c r="I80" s="744">
        <f t="shared" si="62"/>
        <v>0.8571428571428571</v>
      </c>
      <c r="J80" s="737">
        <f t="shared" si="63"/>
        <v>40.561730028986595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43">
        <v>43166</v>
      </c>
      <c r="AP80" s="13">
        <f t="shared" si="64"/>
        <v>5</v>
      </c>
      <c r="AQ80" s="13">
        <f t="shared" si="65"/>
        <v>4</v>
      </c>
      <c r="AR80" s="169">
        <f t="shared" si="66"/>
        <v>43192</v>
      </c>
      <c r="AS80" s="744">
        <f t="shared" si="67"/>
        <v>0.9285714285714286</v>
      </c>
      <c r="AT80" s="760">
        <f t="shared" si="68"/>
        <v>40.557889121118933</v>
      </c>
      <c r="AU80" s="13">
        <f t="shared" si="69"/>
        <v>3</v>
      </c>
      <c r="AV80" s="13">
        <f t="shared" si="70"/>
        <v>4</v>
      </c>
      <c r="AW80" s="169">
        <f t="shared" si="71"/>
        <v>43150</v>
      </c>
      <c r="AX80" s="744">
        <f t="shared" si="72"/>
        <v>0.5714285714285714</v>
      </c>
      <c r="AY80" s="760">
        <f t="shared" si="73"/>
        <v>40.768811370432374</v>
      </c>
      <c r="AZ80" s="737">
        <f t="shared" ref="AZ80:AZ143" si="77">(AY80+AT80)/2</f>
        <v>40.663350245775653</v>
      </c>
      <c r="BA80" s="634">
        <f t="shared" si="74"/>
        <v>0.91765025054137617</v>
      </c>
      <c r="BC80" s="11">
        <v>43166</v>
      </c>
      <c r="BD80" s="286">
        <f>[3]!FeuilCaduc*(1-Persistant)+Persistant</f>
        <v>0.60358672126890556</v>
      </c>
      <c r="BE80" s="287">
        <f>[3]!CroissVégét</f>
        <v>1.8402208892467707E-2</v>
      </c>
      <c r="BF80" s="807">
        <f>1+[3]!Salcycl*Ksac</f>
        <v>1.0004483401586133</v>
      </c>
      <c r="BH80" s="1041">
        <f t="shared" si="75"/>
        <v>2.8434821512881843E-3</v>
      </c>
      <c r="BI80" s="11">
        <v>44262</v>
      </c>
      <c r="BJ80" s="717">
        <v>8.3785749809893906E-4</v>
      </c>
      <c r="BK80" s="717">
        <v>1.1359982670669309E-3</v>
      </c>
      <c r="BL80" s="717">
        <v>1.4616983907609175E-3</v>
      </c>
      <c r="BM80" s="717">
        <v>1.8374142180507199E-3</v>
      </c>
      <c r="BN80" s="717">
        <v>2.2866824633085126E-3</v>
      </c>
      <c r="BO80" s="718">
        <v>2.8469463604069065E-3</v>
      </c>
      <c r="BP80" s="717">
        <v>4.1776633123809656E-3</v>
      </c>
      <c r="BQ80" s="717">
        <v>5.9172400923868653E-3</v>
      </c>
      <c r="BR80" s="717">
        <v>8.1587635244341344E-3</v>
      </c>
      <c r="BS80" s="717">
        <v>1.0355703294058959E-2</v>
      </c>
      <c r="BT80" s="717">
        <v>1.2826023737850889E-2</v>
      </c>
      <c r="BW80" s="1162">
        <f>'2022'!R\Max</f>
        <v>0.91765025054137617</v>
      </c>
      <c r="BX80" s="1163">
        <f>'2023'!R\Max</f>
        <v>0.91764544048712537</v>
      </c>
      <c r="BY80" s="1163">
        <f>'2024'!R\Max</f>
        <v>0.91764062113378486</v>
      </c>
      <c r="BZ80" s="1163">
        <f>'2025'!R\Max</f>
        <v>0.91763433213523271</v>
      </c>
      <c r="CA80" s="1163">
        <f>'2026'!R\Max</f>
        <v>0.91762803153655115</v>
      </c>
      <c r="CB80" s="1163">
        <f>'2027'!R\Max</f>
        <v>0.91761992608926046</v>
      </c>
      <c r="CC80" s="1164">
        <f>'2028'!R\Max</f>
        <v>0.91761182054125945</v>
      </c>
      <c r="CD80" s="1163">
        <f>'2029'!R\Max</f>
        <v>0.91760387421588918</v>
      </c>
      <c r="CE80" s="1163">
        <f>'2030'!R\Max</f>
        <v>0.91764568088446219</v>
      </c>
      <c r="CF80" s="1165">
        <f>'2031'!R\Max</f>
        <v>0.91764087047088994</v>
      </c>
    </row>
    <row r="81" spans="1:84" s="6" customFormat="1" ht="11.25" x14ac:dyDescent="0.2">
      <c r="A81" s="11">
        <v>43167</v>
      </c>
      <c r="B81" s="375">
        <f>'2022'!Maxi_hp</f>
        <v>33.396703977303218</v>
      </c>
      <c r="C81" s="13">
        <f>'2022'!An_max</f>
        <v>2022</v>
      </c>
      <c r="D81" s="1050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69">
        <f t="shared" si="61"/>
        <v>43178</v>
      </c>
      <c r="I81" s="744">
        <f t="shared" si="62"/>
        <v>0.7857142857142857</v>
      </c>
      <c r="J81" s="737">
        <f t="shared" si="63"/>
        <v>41.01872520045498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43">
        <v>43167</v>
      </c>
      <c r="AP81" s="13">
        <f t="shared" si="64"/>
        <v>5</v>
      </c>
      <c r="AQ81" s="13">
        <f t="shared" si="65"/>
        <v>4</v>
      </c>
      <c r="AR81" s="169">
        <f t="shared" si="66"/>
        <v>43192</v>
      </c>
      <c r="AS81" s="744">
        <f t="shared" si="67"/>
        <v>0.8928571428571429</v>
      </c>
      <c r="AT81" s="760">
        <f t="shared" si="68"/>
        <v>41.017803655378522</v>
      </c>
      <c r="AU81" s="13">
        <f t="shared" si="69"/>
        <v>3</v>
      </c>
      <c r="AV81" s="13">
        <f t="shared" si="70"/>
        <v>4</v>
      </c>
      <c r="AW81" s="169">
        <f t="shared" si="71"/>
        <v>43150</v>
      </c>
      <c r="AX81" s="744">
        <f t="shared" si="72"/>
        <v>0.6071428571428571</v>
      </c>
      <c r="AY81" s="760">
        <f t="shared" si="73"/>
        <v>41.226295756761523</v>
      </c>
      <c r="AZ81" s="737">
        <f t="shared" si="77"/>
        <v>41.122049706070023</v>
      </c>
      <c r="BA81" s="634">
        <f t="shared" si="74"/>
        <v>0.81418190872818208</v>
      </c>
      <c r="BC81" s="11">
        <v>43167</v>
      </c>
      <c r="BD81" s="286">
        <f>[3]!FeuilCaduc*(1-Persistant)+Persistant</f>
        <v>0.6037112182714589</v>
      </c>
      <c r="BE81" s="287">
        <f>[3]!CroissVégét</f>
        <v>1.9215548548887868E-2</v>
      </c>
      <c r="BF81" s="807">
        <f>1+[3]!Salcycl*Ksac</f>
        <v>1.0004639022839323</v>
      </c>
      <c r="BH81" s="1041">
        <f t="shared" si="75"/>
        <v>2.6711175852886719E-3</v>
      </c>
      <c r="BI81" s="11">
        <v>44263</v>
      </c>
      <c r="BJ81" s="717">
        <v>8.1720675061741556E-4</v>
      </c>
      <c r="BK81" s="717">
        <v>1.0991825812607288E-3</v>
      </c>
      <c r="BL81" s="717">
        <v>1.4054180331007048E-3</v>
      </c>
      <c r="BM81" s="717">
        <v>1.75413715748667E-3</v>
      </c>
      <c r="BN81" s="717">
        <v>2.166772415659976E-3</v>
      </c>
      <c r="BO81" s="718">
        <v>2.6742554410980938E-3</v>
      </c>
      <c r="BP81" s="717">
        <v>3.9125378519743953E-3</v>
      </c>
      <c r="BQ81" s="717">
        <v>5.5282551769821843E-3</v>
      </c>
      <c r="BR81" s="717">
        <v>7.610618347524134E-3</v>
      </c>
      <c r="BS81" s="717">
        <v>9.6311030350532678E-3</v>
      </c>
      <c r="BT81" s="717">
        <v>1.1903936783868507E-2</v>
      </c>
      <c r="BW81" s="1162">
        <f>'2022'!R\Max</f>
        <v>0.81418190872818208</v>
      </c>
      <c r="BX81" s="1163">
        <f>'2023'!R\Max</f>
        <v>0.81417304586903394</v>
      </c>
      <c r="BY81" s="1163">
        <f>'2024'!R\Max</f>
        <v>0.81416416397235769</v>
      </c>
      <c r="BZ81" s="1163">
        <f>'2025'!R\Max</f>
        <v>0.81415259816657481</v>
      </c>
      <c r="CA81" s="1163">
        <f>'2026'!R\Max</f>
        <v>0.81414100857187632</v>
      </c>
      <c r="CB81" s="1163">
        <f>'2027'!R\Max</f>
        <v>0.81412609985497253</v>
      </c>
      <c r="CC81" s="1164">
        <f>'2028'!R\Max</f>
        <v>0.81411119266174692</v>
      </c>
      <c r="CD81" s="1163">
        <f>'2029'!R\Max</f>
        <v>0.8140967240551974</v>
      </c>
      <c r="CE81" s="1163">
        <f>'2030'!R\Max</f>
        <v>0.81417348881396112</v>
      </c>
      <c r="CF81" s="1165">
        <f>'2031'!R\Max</f>
        <v>0.81416462544755175</v>
      </c>
    </row>
    <row r="82" spans="1:84" s="6" customFormat="1" ht="11.25" x14ac:dyDescent="0.2">
      <c r="A82" s="11">
        <v>43168</v>
      </c>
      <c r="B82" s="375">
        <f>'2022'!Maxi_hp</f>
        <v>29.811446608214982</v>
      </c>
      <c r="C82" s="13">
        <f>'2022'!An_max</f>
        <v>2022</v>
      </c>
      <c r="D82" s="1050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69">
        <f t="shared" si="61"/>
        <v>43178</v>
      </c>
      <c r="I82" s="744">
        <f t="shared" si="62"/>
        <v>0.7142857142857143</v>
      </c>
      <c r="J82" s="737">
        <f t="shared" si="63"/>
        <v>41.479179009072581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43">
        <v>43168</v>
      </c>
      <c r="AP82" s="13">
        <f t="shared" si="64"/>
        <v>5</v>
      </c>
      <c r="AQ82" s="13">
        <f t="shared" si="65"/>
        <v>4</v>
      </c>
      <c r="AR82" s="169">
        <f t="shared" si="66"/>
        <v>43192</v>
      </c>
      <c r="AS82" s="744">
        <f t="shared" si="67"/>
        <v>0.8571428571428571</v>
      </c>
      <c r="AT82" s="760">
        <f t="shared" si="68"/>
        <v>41.484130320006187</v>
      </c>
      <c r="AU82" s="13">
        <f t="shared" si="69"/>
        <v>3</v>
      </c>
      <c r="AV82" s="13">
        <f t="shared" si="70"/>
        <v>4</v>
      </c>
      <c r="AW82" s="169">
        <f t="shared" si="71"/>
        <v>43150</v>
      </c>
      <c r="AX82" s="744">
        <f t="shared" si="72"/>
        <v>0.6428571428571429</v>
      </c>
      <c r="AY82" s="760">
        <f t="shared" si="73"/>
        <v>41.683329610193951</v>
      </c>
      <c r="AZ82" s="737">
        <f t="shared" si="77"/>
        <v>41.583729965100069</v>
      </c>
      <c r="BA82" s="634">
        <f t="shared" si="74"/>
        <v>0.71870869482962618</v>
      </c>
      <c r="BC82" s="11">
        <v>43168</v>
      </c>
      <c r="BD82" s="286">
        <f>[3]!FeuilCaduc*(1-Persistant)+Persistant</f>
        <v>0.60384508628411104</v>
      </c>
      <c r="BE82" s="287">
        <f>[3]!CroissVégét</f>
        <v>2.0061577312061717E-2</v>
      </c>
      <c r="BF82" s="807">
        <f>1+[3]!Salcycl*Ksac</f>
        <v>1.0004806357855138</v>
      </c>
      <c r="BH82" s="1041">
        <f t="shared" si="75"/>
        <v>2.5176079401654687E-3</v>
      </c>
      <c r="BI82" s="11">
        <v>44264</v>
      </c>
      <c r="BJ82" s="717">
        <v>7.9823941290972796E-4</v>
      </c>
      <c r="BK82" s="717">
        <v>1.0654992978822945E-3</v>
      </c>
      <c r="BL82" s="717">
        <v>1.3541827760859936E-3</v>
      </c>
      <c r="BM82" s="717">
        <v>1.678904738554904E-3</v>
      </c>
      <c r="BN82" s="717">
        <v>2.059316065140974E-3</v>
      </c>
      <c r="BO82" s="718">
        <v>2.5204592687972371E-3</v>
      </c>
      <c r="BP82" s="717">
        <v>3.6664752158944033E-3</v>
      </c>
      <c r="BQ82" s="717">
        <v>5.1581532232577963E-3</v>
      </c>
      <c r="BR82" s="717">
        <v>7.0801581218620582E-3</v>
      </c>
      <c r="BS82" s="717">
        <v>8.9297200791322081E-3</v>
      </c>
      <c r="BT82" s="717">
        <v>1.1010925618366857E-2</v>
      </c>
      <c r="BW82" s="1162">
        <f>'2022'!R\Max</f>
        <v>0.71870869482962618</v>
      </c>
      <c r="BX82" s="1163">
        <f>'2023'!R\Max</f>
        <v>0.71869785332565794</v>
      </c>
      <c r="BY82" s="1163">
        <f>'2024'!R\Max</f>
        <v>0.71868698617055904</v>
      </c>
      <c r="BZ82" s="1163">
        <f>'2025'!R\Max</f>
        <v>0.71867287328069085</v>
      </c>
      <c r="CA82" s="1163">
        <f>'2026'!R\Max</f>
        <v>0.71865872823554822</v>
      </c>
      <c r="CB82" s="1163">
        <f>'2027'!R\Max</f>
        <v>0.71864054170529201</v>
      </c>
      <c r="CC82" s="1164">
        <f>'2028'!R\Max</f>
        <v>0.71862235907993199</v>
      </c>
      <c r="CD82" s="1163">
        <f>'2029'!R\Max</f>
        <v>0.71860485541284003</v>
      </c>
      <c r="CE82" s="1163">
        <f>'2030'!R\Max</f>
        <v>0.7186983951546686</v>
      </c>
      <c r="CF82" s="1165">
        <f>'2031'!R\Max</f>
        <v>0.71868755318815358</v>
      </c>
    </row>
    <row r="83" spans="1:84" s="6" customFormat="1" ht="11.25" x14ac:dyDescent="0.2">
      <c r="A83" s="11">
        <v>43169</v>
      </c>
      <c r="B83" s="375">
        <f>'2022'!Maxi_hp</f>
        <v>25.189299753187651</v>
      </c>
      <c r="C83" s="13">
        <f>'2022'!An_max</f>
        <v>2022</v>
      </c>
      <c r="D83" s="1050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69">
        <f t="shared" si="61"/>
        <v>43178</v>
      </c>
      <c r="I83" s="744">
        <f t="shared" si="62"/>
        <v>0.6428571428571429</v>
      </c>
      <c r="J83" s="737">
        <f t="shared" si="63"/>
        <v>41.942545353492356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43">
        <v>43169</v>
      </c>
      <c r="AP83" s="13">
        <f t="shared" si="64"/>
        <v>5</v>
      </c>
      <c r="AQ83" s="13">
        <f t="shared" si="65"/>
        <v>4</v>
      </c>
      <c r="AR83" s="169">
        <f t="shared" si="66"/>
        <v>43192</v>
      </c>
      <c r="AS83" s="744">
        <f t="shared" si="67"/>
        <v>0.8214285714285714</v>
      </c>
      <c r="AT83" s="760">
        <f t="shared" si="68"/>
        <v>41.956118227980497</v>
      </c>
      <c r="AU83" s="13">
        <f t="shared" si="69"/>
        <v>3</v>
      </c>
      <c r="AV83" s="13">
        <f t="shared" si="70"/>
        <v>4</v>
      </c>
      <c r="AW83" s="169">
        <f t="shared" si="71"/>
        <v>43150</v>
      </c>
      <c r="AX83" s="744">
        <f t="shared" si="72"/>
        <v>0.6785714285714286</v>
      </c>
      <c r="AY83" s="760">
        <f t="shared" si="73"/>
        <v>42.139571617690045</v>
      </c>
      <c r="AZ83" s="737">
        <f t="shared" si="77"/>
        <v>42.047844922835267</v>
      </c>
      <c r="BA83" s="634">
        <f t="shared" si="74"/>
        <v>0.60056678823118348</v>
      </c>
      <c r="BC83" s="11">
        <v>43169</v>
      </c>
      <c r="BD83" s="286">
        <f>[3]!FeuilCaduc*(1-Persistant)+Persistant</f>
        <v>0.60399032006389874</v>
      </c>
      <c r="BE83" s="287">
        <f>[3]!CroissVégét</f>
        <v>2.0941547894735235E-2</v>
      </c>
      <c r="BF83" s="807">
        <f>1+[3]!Salcycl*Ksac</f>
        <v>1.0004987900079874</v>
      </c>
      <c r="BH83" s="1041">
        <f t="shared" si="75"/>
        <v>2.3829532811028968E-3</v>
      </c>
      <c r="BI83" s="11">
        <v>44265</v>
      </c>
      <c r="BJ83" s="717">
        <v>7.8095533982728595E-4</v>
      </c>
      <c r="BK83" s="717">
        <v>1.0349482690139844E-3</v>
      </c>
      <c r="BL83" s="717">
        <v>1.3079924783439484E-3</v>
      </c>
      <c r="BM83" s="717">
        <v>1.6117168516155049E-3</v>
      </c>
      <c r="BN83" s="717">
        <v>1.9643133630422019E-3</v>
      </c>
      <c r="BO83" s="718">
        <v>2.3855579093972645E-3</v>
      </c>
      <c r="BP83" s="717">
        <v>3.4394755934568874E-3</v>
      </c>
      <c r="BQ83" s="717">
        <v>4.8069346005956614E-3</v>
      </c>
      <c r="BR83" s="717">
        <v>6.5673834490342746E-3</v>
      </c>
      <c r="BS83" s="717">
        <v>8.2515553555263486E-3</v>
      </c>
      <c r="BT83" s="717">
        <v>1.0146991534629789E-2</v>
      </c>
      <c r="BW83" s="1162">
        <f>'2022'!R\Max</f>
        <v>0.60056678823118348</v>
      </c>
      <c r="BX83" s="1163">
        <f>'2023'!R\Max</f>
        <v>0.6005550857415608</v>
      </c>
      <c r="BY83" s="1163">
        <f>'2024'!R\Max</f>
        <v>0.60054335305395767</v>
      </c>
      <c r="BZ83" s="1163">
        <f>'2025'!R\Max</f>
        <v>0.60052816810669218</v>
      </c>
      <c r="CA83" s="1163">
        <f>'2026'!R\Max</f>
        <v>0.60051294516038689</v>
      </c>
      <c r="CB83" s="1163">
        <f>'2027'!R\Max</f>
        <v>0.60049339466128138</v>
      </c>
      <c r="CC83" s="1164">
        <f>'2028'!R\Max</f>
        <v>0.60047385046808432</v>
      </c>
      <c r="CD83" s="1163">
        <f>'2029'!R\Max</f>
        <v>0.60045514524295962</v>
      </c>
      <c r="CE83" s="1163">
        <f>'2030'!R\Max</f>
        <v>0.60055567059597414</v>
      </c>
      <c r="CF83" s="1165">
        <f>'2031'!R\Max</f>
        <v>0.60054396778031782</v>
      </c>
    </row>
    <row r="84" spans="1:84" s="6" customFormat="1" ht="11.25" x14ac:dyDescent="0.2">
      <c r="A84" s="11">
        <v>43170</v>
      </c>
      <c r="B84" s="375">
        <f>'2022'!Maxi_hp</f>
        <v>18.179775420005882</v>
      </c>
      <c r="C84" s="13">
        <f>'2022'!An_max</f>
        <v>2022</v>
      </c>
      <c r="D84" s="1050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69">
        <f t="shared" si="61"/>
        <v>43178</v>
      </c>
      <c r="I84" s="744">
        <f t="shared" si="62"/>
        <v>0.5714285714285714</v>
      </c>
      <c r="J84" s="737">
        <f t="shared" si="63"/>
        <v>42.408278134172932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43">
        <v>43170</v>
      </c>
      <c r="AP84" s="13">
        <f t="shared" si="64"/>
        <v>5</v>
      </c>
      <c r="AQ84" s="13">
        <f t="shared" si="65"/>
        <v>4</v>
      </c>
      <c r="AR84" s="169">
        <f t="shared" si="66"/>
        <v>43192</v>
      </c>
      <c r="AS84" s="744">
        <f t="shared" si="67"/>
        <v>0.7857142857142857</v>
      </c>
      <c r="AT84" s="760">
        <f t="shared" si="68"/>
        <v>42.43301648967234</v>
      </c>
      <c r="AU84" s="13">
        <f t="shared" si="69"/>
        <v>3</v>
      </c>
      <c r="AV84" s="13">
        <f t="shared" si="70"/>
        <v>4</v>
      </c>
      <c r="AW84" s="169">
        <f t="shared" si="71"/>
        <v>43150</v>
      </c>
      <c r="AX84" s="744">
        <f t="shared" si="72"/>
        <v>0.7142857142857143</v>
      </c>
      <c r="AY84" s="760">
        <f t="shared" si="73"/>
        <v>42.59468046652951</v>
      </c>
      <c r="AZ84" s="737">
        <f t="shared" si="77"/>
        <v>42.513848478100925</v>
      </c>
      <c r="BA84" s="634">
        <f t="shared" si="74"/>
        <v>0.42868459225078681</v>
      </c>
      <c r="BC84" s="11">
        <v>43170</v>
      </c>
      <c r="BD84" s="286">
        <f>[3]!FeuilCaduc*(1-Persistant)+Persistant</f>
        <v>0.60414904766919597</v>
      </c>
      <c r="BE84" s="287">
        <f>[3]!CroissVégét</f>
        <v>2.1856755910064932E-2</v>
      </c>
      <c r="BF84" s="807">
        <f>1+[3]!Salcycl*Ksac</f>
        <v>1.0005186309586496</v>
      </c>
      <c r="BH84" s="1041">
        <f t="shared" si="75"/>
        <v>2.2671536330841607E-3</v>
      </c>
      <c r="BI84" s="11">
        <v>44266</v>
      </c>
      <c r="BJ84" s="717">
        <v>7.6535438916463714E-4</v>
      </c>
      <c r="BK84" s="717">
        <v>1.0075293502203825E-3</v>
      </c>
      <c r="BL84" s="717">
        <v>1.2668470003670167E-3</v>
      </c>
      <c r="BM84" s="717">
        <v>1.5525733819726532E-3</v>
      </c>
      <c r="BN84" s="717">
        <v>1.8817642416340142E-3</v>
      </c>
      <c r="BO84" s="718">
        <v>2.2695513884582069E-3</v>
      </c>
      <c r="BP84" s="717">
        <v>3.2315392463104012E-3</v>
      </c>
      <c r="BQ84" s="717">
        <v>4.4745999071476514E-3</v>
      </c>
      <c r="BR84" s="717">
        <v>6.0722953734714856E-3</v>
      </c>
      <c r="BS84" s="717">
        <v>7.5966103810451548E-3</v>
      </c>
      <c r="BT84" s="717">
        <v>9.3121365800038561E-3</v>
      </c>
      <c r="BW84" s="1162">
        <f>'2022'!R\Max</f>
        <v>0.42868459225078681</v>
      </c>
      <c r="BX84" s="1163">
        <f>'2023'!R\Max</f>
        <v>0.42867380368186014</v>
      </c>
      <c r="BY84" s="1163">
        <f>'2024'!R\Max</f>
        <v>0.42866298507546713</v>
      </c>
      <c r="BZ84" s="1163">
        <f>'2025'!R\Max</f>
        <v>0.42864904397191556</v>
      </c>
      <c r="CA84" s="1163">
        <f>'2026'!R\Max</f>
        <v>0.42863506491974551</v>
      </c>
      <c r="CB84" s="1163">
        <f>'2027'!R\Max</f>
        <v>0.42861714597282702</v>
      </c>
      <c r="CC84" s="1164">
        <f>'2028'!R\Max</f>
        <v>0.42859923449854109</v>
      </c>
      <c r="CD84" s="1163">
        <f>'2029'!R\Max</f>
        <v>0.42858213791354866</v>
      </c>
      <c r="CE84" s="1163">
        <f>'2030'!R\Max</f>
        <v>0.42867434285672307</v>
      </c>
      <c r="CF84" s="1165">
        <f>'2031'!R\Max</f>
        <v>0.42866355417159607</v>
      </c>
    </row>
    <row r="85" spans="1:84" s="6" customFormat="1" ht="11.25" x14ac:dyDescent="0.2">
      <c r="A85" s="11">
        <v>43171</v>
      </c>
      <c r="B85" s="375">
        <f>'2022'!Maxi_hp</f>
        <v>14.228092826357823</v>
      </c>
      <c r="C85" s="13">
        <f>'2022'!An_max</f>
        <v>2022</v>
      </c>
      <c r="D85" s="1050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69">
        <f t="shared" si="61"/>
        <v>43178</v>
      </c>
      <c r="I85" s="744">
        <f t="shared" si="62"/>
        <v>0.5</v>
      </c>
      <c r="J85" s="737">
        <f t="shared" si="63"/>
        <v>42.875831250222106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43">
        <v>43171</v>
      </c>
      <c r="AP85" s="13">
        <f t="shared" si="64"/>
        <v>5</v>
      </c>
      <c r="AQ85" s="13">
        <f t="shared" si="65"/>
        <v>4</v>
      </c>
      <c r="AR85" s="169">
        <f t="shared" si="66"/>
        <v>43192</v>
      </c>
      <c r="AS85" s="744">
        <f t="shared" si="67"/>
        <v>0.75</v>
      </c>
      <c r="AT85" s="760">
        <f t="shared" si="68"/>
        <v>42.914074218552557</v>
      </c>
      <c r="AU85" s="13">
        <f t="shared" si="69"/>
        <v>3</v>
      </c>
      <c r="AV85" s="13">
        <f t="shared" si="70"/>
        <v>4</v>
      </c>
      <c r="AW85" s="169">
        <f t="shared" si="71"/>
        <v>43150</v>
      </c>
      <c r="AX85" s="744">
        <f t="shared" si="72"/>
        <v>0.75</v>
      </c>
      <c r="AY85" s="760">
        <f t="shared" si="73"/>
        <v>43.048314843792468</v>
      </c>
      <c r="AZ85" s="737">
        <f t="shared" si="77"/>
        <v>42.981194531172513</v>
      </c>
      <c r="BA85" s="634">
        <f t="shared" si="74"/>
        <v>0.3318441278333028</v>
      </c>
      <c r="BC85" s="11">
        <v>43171</v>
      </c>
      <c r="BD85" s="286">
        <f>[3]!FeuilCaduc*(1-Persistant)+Persistant</f>
        <v>0.60432352346937124</v>
      </c>
      <c r="BE85" s="287">
        <f>[3]!CroissVégét</f>
        <v>2.2808540908775418E-2</v>
      </c>
      <c r="BF85" s="807">
        <f>1+[3]!Salcycl*Ksac</f>
        <v>1.0005404404336715</v>
      </c>
      <c r="BH85" s="1041">
        <f t="shared" si="75"/>
        <v>2.1702089222534974E-3</v>
      </c>
      <c r="BI85" s="11">
        <v>44267</v>
      </c>
      <c r="BJ85" s="717">
        <v>7.5143641642187666E-4</v>
      </c>
      <c r="BK85" s="717">
        <v>9.832423908040875E-4</v>
      </c>
      <c r="BL85" s="717">
        <v>1.2307461888201624E-3</v>
      </c>
      <c r="BM85" s="717">
        <v>1.5014741848537383E-3</v>
      </c>
      <c r="BN85" s="717">
        <v>1.8116685754344501E-3</v>
      </c>
      <c r="BO85" s="718">
        <v>2.1724396324455E-3</v>
      </c>
      <c r="BP85" s="717">
        <v>3.0426664491460761E-3</v>
      </c>
      <c r="BQ85" s="717">
        <v>4.1611499110971633E-3</v>
      </c>
      <c r="BR85" s="717">
        <v>5.5948953274255753E-3</v>
      </c>
      <c r="BS85" s="717">
        <v>6.9648871878423895E-3</v>
      </c>
      <c r="BT85" s="717">
        <v>8.5063634654370113E-3</v>
      </c>
      <c r="BW85" s="1162">
        <f>'2022'!R\Max</f>
        <v>0.3318441278333028</v>
      </c>
      <c r="BX85" s="1163">
        <f>'2023'!R\Max</f>
        <v>0.33183538632452275</v>
      </c>
      <c r="BY85" s="1163">
        <f>'2024'!R\Max</f>
        <v>0.33182661875413111</v>
      </c>
      <c r="BZ85" s="1163">
        <f>'2025'!R\Max</f>
        <v>0.33181538342388101</v>
      </c>
      <c r="CA85" s="1163">
        <f>'2026'!R\Max</f>
        <v>0.33180411499028489</v>
      </c>
      <c r="CB85" s="1163">
        <f>'2027'!R\Max</f>
        <v>0.33178971270786539</v>
      </c>
      <c r="CC85" s="1164">
        <f>'2028'!R\Max</f>
        <v>0.33177531705268221</v>
      </c>
      <c r="CD85" s="1163">
        <f>'2029'!R\Max</f>
        <v>0.33176155507593147</v>
      </c>
      <c r="CE85" s="1163">
        <f>'2030'!R\Max</f>
        <v>0.3318358231926623</v>
      </c>
      <c r="CF85" s="1165">
        <f>'2031'!R\Max</f>
        <v>0.33182708166302971</v>
      </c>
    </row>
    <row r="86" spans="1:84" s="6" customFormat="1" ht="11.25" x14ac:dyDescent="0.2">
      <c r="A86" s="11">
        <v>43172</v>
      </c>
      <c r="B86" s="375">
        <f>'2022'!Maxi_hp</f>
        <v>9.0625850333182196</v>
      </c>
      <c r="C86" s="13">
        <f>'2022'!An_max</f>
        <v>2022</v>
      </c>
      <c r="D86" s="1050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69">
        <f t="shared" si="61"/>
        <v>43178</v>
      </c>
      <c r="I86" s="744">
        <f t="shared" si="62"/>
        <v>0.42857142857142855</v>
      </c>
      <c r="J86" s="737">
        <f t="shared" si="63"/>
        <v>43.344658600849961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43">
        <v>43172</v>
      </c>
      <c r="AP86" s="13">
        <f t="shared" si="64"/>
        <v>5</v>
      </c>
      <c r="AQ86" s="13">
        <f t="shared" si="65"/>
        <v>4</v>
      </c>
      <c r="AR86" s="169">
        <f t="shared" si="66"/>
        <v>43192</v>
      </c>
      <c r="AS86" s="744">
        <f t="shared" si="67"/>
        <v>0.7142857142857143</v>
      </c>
      <c r="AT86" s="760">
        <f t="shared" si="68"/>
        <v>43.398540524153837</v>
      </c>
      <c r="AU86" s="13">
        <f t="shared" si="69"/>
        <v>3</v>
      </c>
      <c r="AV86" s="13">
        <f t="shared" si="70"/>
        <v>4</v>
      </c>
      <c r="AW86" s="169">
        <f t="shared" si="71"/>
        <v>43150</v>
      </c>
      <c r="AX86" s="744">
        <f t="shared" si="72"/>
        <v>0.7857142857142857</v>
      </c>
      <c r="AY86" s="760">
        <f t="shared" si="73"/>
        <v>43.500133436718691</v>
      </c>
      <c r="AZ86" s="737">
        <f t="shared" si="77"/>
        <v>43.449336980436264</v>
      </c>
      <c r="BA86" s="634">
        <f t="shared" si="74"/>
        <v>0.20908193364200378</v>
      </c>
      <c r="BC86" s="11">
        <v>43172</v>
      </c>
      <c r="BD86" s="286">
        <f>[3]!FeuilCaduc*(1-Persistant)+Persistant</f>
        <v>0.60451612051959969</v>
      </c>
      <c r="BE86" s="287">
        <f>[3]!CroissVégét</f>
        <v>2.3798287402466985E-2</v>
      </c>
      <c r="BF86" s="807">
        <f>1+[3]!Salcycl*Ksac</f>
        <v>1.00056451506495</v>
      </c>
      <c r="BH86" s="1041">
        <f t="shared" si="75"/>
        <v>2.0964511534917857E-3</v>
      </c>
      <c r="BI86" s="11">
        <v>44268</v>
      </c>
      <c r="BJ86" s="717">
        <v>7.3795131861619922E-4</v>
      </c>
      <c r="BK86" s="717">
        <v>9.6143271215967457E-4</v>
      </c>
      <c r="BL86" s="717">
        <v>1.199588419927811E-3</v>
      </c>
      <c r="BM86" s="717">
        <v>1.4589847402207746E-3</v>
      </c>
      <c r="BN86" s="717">
        <v>1.755653604018243E-3</v>
      </c>
      <c r="BO86" s="718">
        <v>2.0985714743253126E-3</v>
      </c>
      <c r="BP86" s="717">
        <v>2.8841048493672161E-3</v>
      </c>
      <c r="BQ86" s="717">
        <v>3.8861025614001597E-3</v>
      </c>
      <c r="BR86" s="717">
        <v>5.1634965152203768E-3</v>
      </c>
      <c r="BS86" s="717">
        <v>6.3918740789340803E-3</v>
      </c>
      <c r="BT86" s="717">
        <v>7.7733435401289644E-3</v>
      </c>
      <c r="BW86" s="1162">
        <f>'2022'!R\Max</f>
        <v>0.20908193364200378</v>
      </c>
      <c r="BX86" s="1163">
        <f>'2023'!R\Max</f>
        <v>0.20907677974090336</v>
      </c>
      <c r="BY86" s="1163">
        <f>'2024'!R\Max</f>
        <v>0.20907160960429064</v>
      </c>
      <c r="BZ86" s="1163">
        <f>'2025'!R\Max</f>
        <v>0.20906503547609342</v>
      </c>
      <c r="CA86" s="1163">
        <f>'2026'!R\Max</f>
        <v>0.2090584406928645</v>
      </c>
      <c r="CB86" s="1163">
        <f>'2027'!R\Max</f>
        <v>0.20905005968409587</v>
      </c>
      <c r="CC86" s="1164">
        <f>'2028'!R\Max</f>
        <v>0.20904168235151258</v>
      </c>
      <c r="CD86" s="1163">
        <f>'2029'!R\Max</f>
        <v>0.20903362294031694</v>
      </c>
      <c r="CE86" s="1163">
        <f>'2030'!R\Max</f>
        <v>0.2090770373134298</v>
      </c>
      <c r="CF86" s="1165">
        <f>'2031'!R\Max</f>
        <v>0.20907188341232938</v>
      </c>
    </row>
    <row r="87" spans="1:84" s="6" customFormat="1" ht="11.25" x14ac:dyDescent="0.2">
      <c r="A87" s="11">
        <v>43173</v>
      </c>
      <c r="B87" s="375">
        <f>'2022'!Maxi_hp</f>
        <v>13.495546182179719</v>
      </c>
      <c r="C87" s="13">
        <f>'2022'!An_max</f>
        <v>2022</v>
      </c>
      <c r="D87" s="1050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69">
        <f t="shared" si="61"/>
        <v>43178</v>
      </c>
      <c r="I87" s="744">
        <f t="shared" si="62"/>
        <v>0.35714285714285715</v>
      </c>
      <c r="J87" s="737">
        <f t="shared" si="63"/>
        <v>43.814214085372178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43">
        <v>43173</v>
      </c>
      <c r="AP87" s="13">
        <f t="shared" si="64"/>
        <v>5</v>
      </c>
      <c r="AQ87" s="13">
        <f t="shared" si="65"/>
        <v>4</v>
      </c>
      <c r="AR87" s="169">
        <f t="shared" si="66"/>
        <v>43192</v>
      </c>
      <c r="AS87" s="744">
        <f t="shared" si="67"/>
        <v>0.6785714285714286</v>
      </c>
      <c r="AT87" s="760">
        <f t="shared" si="68"/>
        <v>43.885664519734149</v>
      </c>
      <c r="AU87" s="13">
        <f t="shared" si="69"/>
        <v>3</v>
      </c>
      <c r="AV87" s="13">
        <f t="shared" si="70"/>
        <v>4</v>
      </c>
      <c r="AW87" s="169">
        <f t="shared" si="71"/>
        <v>43150</v>
      </c>
      <c r="AX87" s="744">
        <f t="shared" si="72"/>
        <v>0.8214285714285714</v>
      </c>
      <c r="AY87" s="760">
        <f t="shared" si="73"/>
        <v>43.949794932281861</v>
      </c>
      <c r="AZ87" s="737">
        <f t="shared" si="77"/>
        <v>43.917729726008005</v>
      </c>
      <c r="BA87" s="634">
        <f t="shared" si="74"/>
        <v>0.30801753412451016</v>
      </c>
      <c r="BC87" s="11">
        <v>43173</v>
      </c>
      <c r="BD87" s="286">
        <f>[3]!FeuilCaduc*(1-Persistant)+Persistant</f>
        <v>0.60472932238026522</v>
      </c>
      <c r="BE87" s="287">
        <f>[3]!CroissVégét</f>
        <v>2.4827425868542252E-2</v>
      </c>
      <c r="BF87" s="807">
        <f>1+[3]!Salcycl*Ksac</f>
        <v>1.0005911652975332</v>
      </c>
      <c r="BH87" s="1041">
        <f t="shared" si="75"/>
        <v>2.034823191918052E-3</v>
      </c>
      <c r="BI87" s="11">
        <v>44269</v>
      </c>
      <c r="BJ87" s="717">
        <v>7.2402507417154108E-4</v>
      </c>
      <c r="BK87" s="717">
        <v>9.4057337465031901E-4</v>
      </c>
      <c r="BL87" s="717">
        <v>1.1707982730681089E-3</v>
      </c>
      <c r="BM87" s="717">
        <v>1.4206580158608502E-3</v>
      </c>
      <c r="BN87" s="717">
        <v>1.7064524097319914E-3</v>
      </c>
      <c r="BO87" s="718">
        <v>2.0368661978365688E-3</v>
      </c>
      <c r="BP87" s="717">
        <v>2.7486844070762147E-3</v>
      </c>
      <c r="BQ87" s="717">
        <v>3.6483016696203137E-3</v>
      </c>
      <c r="BR87" s="717">
        <v>4.7857270913381168E-3</v>
      </c>
      <c r="BS87" s="717">
        <v>5.8887984663977188E-3</v>
      </c>
      <c r="BT87" s="717">
        <v>7.1285429206925767E-3</v>
      </c>
      <c r="BW87" s="1162">
        <f>'2022'!R\Max</f>
        <v>0.30801753412451016</v>
      </c>
      <c r="BX87" s="1163">
        <f>'2023'!R\Max</f>
        <v>0.30801080326934716</v>
      </c>
      <c r="BY87" s="1163">
        <f>'2024'!R\Max</f>
        <v>0.30800405028289851</v>
      </c>
      <c r="BZ87" s="1163">
        <f>'2025'!R\Max</f>
        <v>0.30799554361649861</v>
      </c>
      <c r="CA87" s="1163">
        <f>'2026'!R\Max</f>
        <v>0.30798700892499509</v>
      </c>
      <c r="CB87" s="1163">
        <f>'2027'!R\Max</f>
        <v>0.30797625356019331</v>
      </c>
      <c r="CC87" s="1164">
        <f>'2028'!R\Max</f>
        <v>0.30796550223434754</v>
      </c>
      <c r="CD87" s="1163">
        <f>'2029'!R\Max</f>
        <v>0.30795507170073566</v>
      </c>
      <c r="CE87" s="1163">
        <f>'2030'!R\Max</f>
        <v>0.30801113965216698</v>
      </c>
      <c r="CF87" s="1165">
        <f>'2031'!R\Max</f>
        <v>0.30800440879376606</v>
      </c>
    </row>
    <row r="88" spans="1:84" s="6" customFormat="1" ht="11.25" x14ac:dyDescent="0.2">
      <c r="A88" s="11">
        <v>43174</v>
      </c>
      <c r="B88" s="375">
        <f>'2022'!Maxi_hp</f>
        <v>15.994063855850605</v>
      </c>
      <c r="C88" s="13">
        <f>'2022'!An_max</f>
        <v>2022</v>
      </c>
      <c r="D88" s="1050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69">
        <f t="shared" si="61"/>
        <v>43178</v>
      </c>
      <c r="I88" s="744">
        <f t="shared" si="62"/>
        <v>0.2857142857142857</v>
      </c>
      <c r="J88" s="737">
        <f t="shared" si="63"/>
        <v>44.283951603644113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43">
        <v>43174</v>
      </c>
      <c r="AP88" s="13">
        <f t="shared" si="64"/>
        <v>5</v>
      </c>
      <c r="AQ88" s="13">
        <f t="shared" si="65"/>
        <v>4</v>
      </c>
      <c r="AR88" s="169">
        <f t="shared" si="66"/>
        <v>43192</v>
      </c>
      <c r="AS88" s="744">
        <f t="shared" si="67"/>
        <v>0.6428571428571429</v>
      </c>
      <c r="AT88" s="760">
        <f t="shared" si="68"/>
        <v>44.37469531607681</v>
      </c>
      <c r="AU88" s="13">
        <f t="shared" si="69"/>
        <v>3</v>
      </c>
      <c r="AV88" s="13">
        <f t="shared" si="70"/>
        <v>4</v>
      </c>
      <c r="AW88" s="169">
        <f t="shared" si="71"/>
        <v>43150</v>
      </c>
      <c r="AX88" s="744">
        <f t="shared" si="72"/>
        <v>0.8571428571428571</v>
      </c>
      <c r="AY88" s="760">
        <f t="shared" si="73"/>
        <v>44.396958017296029</v>
      </c>
      <c r="AZ88" s="737">
        <f t="shared" si="77"/>
        <v>44.38582666668642</v>
      </c>
      <c r="BA88" s="634">
        <f t="shared" si="74"/>
        <v>0.36117065611042848</v>
      </c>
      <c r="BC88" s="11">
        <v>43174</v>
      </c>
      <c r="BD88" s="286">
        <f>[3]!FeuilCaduc*(1-Persistant)+Persistant</f>
        <v>0.60496571446227188</v>
      </c>
      <c r="BE88" s="287">
        <f>[3]!CroissVégét</f>
        <v>2.5897433731805454E-2</v>
      </c>
      <c r="BF88" s="807">
        <f>1+[3]!Salcycl*Ksac</f>
        <v>1.0006207143077839</v>
      </c>
      <c r="BH88" s="1041">
        <f t="shared" si="75"/>
        <v>1.9853245785632604E-3</v>
      </c>
      <c r="BI88" s="11">
        <v>44270</v>
      </c>
      <c r="BJ88" s="717">
        <v>7.0965761085988713E-4</v>
      </c>
      <c r="BK88" s="717">
        <v>9.2066425730182326E-4</v>
      </c>
      <c r="BL88" s="717">
        <v>1.1443755831801958E-3</v>
      </c>
      <c r="BM88" s="717">
        <v>1.3864937988488557E-3</v>
      </c>
      <c r="BN88" s="717">
        <v>1.6640647032112939E-3</v>
      </c>
      <c r="BO88" s="718">
        <v>1.9873233429550147E-3</v>
      </c>
      <c r="BP88" s="717">
        <v>2.6364047752765948E-3</v>
      </c>
      <c r="BQ88" s="717">
        <v>3.4477471142426741E-3</v>
      </c>
      <c r="BR88" s="717">
        <v>4.4615873749606601E-3</v>
      </c>
      <c r="BS88" s="717">
        <v>5.4556609789136526E-3</v>
      </c>
      <c r="BT88" s="717">
        <v>6.5719625941357577E-3</v>
      </c>
      <c r="BW88" s="1162">
        <f>'2022'!R\Max</f>
        <v>0.36117065611042848</v>
      </c>
      <c r="BX88" s="1163">
        <f>'2023'!R\Max</f>
        <v>0.36116408004446338</v>
      </c>
      <c r="BY88" s="1163">
        <f>'2024'!R\Max</f>
        <v>0.36115748171192524</v>
      </c>
      <c r="BZ88" s="1163">
        <f>'2025'!R\Max</f>
        <v>0.36114926166421973</v>
      </c>
      <c r="CA88" s="1163">
        <f>'2026'!R\Max</f>
        <v>0.3611410138215197</v>
      </c>
      <c r="CB88" s="1163">
        <f>'2027'!R\Max</f>
        <v>0.36113074208761331</v>
      </c>
      <c r="CC88" s="1164">
        <f>'2028'!R\Max</f>
        <v>0.3611204730074159</v>
      </c>
      <c r="CD88" s="1163">
        <f>'2029'!R\Max</f>
        <v>0.36111040143045298</v>
      </c>
      <c r="CE88" s="1163">
        <f>'2030'!R\Max</f>
        <v>0.36116440869196675</v>
      </c>
      <c r="CF88" s="1165">
        <f>'2031'!R\Max</f>
        <v>0.36115783260421735</v>
      </c>
    </row>
    <row r="89" spans="1:84" s="6" customFormat="1" ht="11.25" x14ac:dyDescent="0.2">
      <c r="A89" s="11">
        <v>43175</v>
      </c>
      <c r="B89" s="375">
        <f>'2022'!Maxi_hp</f>
        <v>13.431085760338645</v>
      </c>
      <c r="C89" s="13">
        <f>'2022'!An_max</f>
        <v>2022</v>
      </c>
      <c r="D89" s="1050" t="str">
        <f t="shared" si="59"/>
        <v/>
      </c>
      <c r="E89" s="13"/>
      <c r="F89" s="13">
        <f t="shared" si="76"/>
        <v>7</v>
      </c>
      <c r="G89" s="13">
        <f t="shared" si="60"/>
        <v>6</v>
      </c>
      <c r="H89" s="169">
        <f t="shared" si="61"/>
        <v>43178</v>
      </c>
      <c r="I89" s="744">
        <f t="shared" si="62"/>
        <v>0.21428571428571427</v>
      </c>
      <c r="J89" s="737">
        <f t="shared" si="63"/>
        <v>44.753325054791432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43">
        <v>43175</v>
      </c>
      <c r="AP89" s="13">
        <f t="shared" si="64"/>
        <v>5</v>
      </c>
      <c r="AQ89" s="13">
        <f t="shared" si="65"/>
        <v>4</v>
      </c>
      <c r="AR89" s="169">
        <f t="shared" si="66"/>
        <v>43192</v>
      </c>
      <c r="AS89" s="744">
        <f t="shared" si="67"/>
        <v>0.6071428571428571</v>
      </c>
      <c r="AT89" s="760">
        <f t="shared" si="68"/>
        <v>44.864882026326711</v>
      </c>
      <c r="AU89" s="13">
        <f t="shared" si="69"/>
        <v>3</v>
      </c>
      <c r="AV89" s="13">
        <f t="shared" si="70"/>
        <v>4</v>
      </c>
      <c r="AW89" s="169">
        <f t="shared" si="71"/>
        <v>43150</v>
      </c>
      <c r="AX89" s="744">
        <f t="shared" si="72"/>
        <v>0.8928571428571429</v>
      </c>
      <c r="AY89" s="760">
        <f t="shared" si="73"/>
        <v>44.841281379812536</v>
      </c>
      <c r="AZ89" s="737">
        <f t="shared" si="77"/>
        <v>44.85308170306962</v>
      </c>
      <c r="BA89" s="634">
        <f t="shared" si="74"/>
        <v>0.30011369532643634</v>
      </c>
      <c r="BC89" s="11">
        <v>43175</v>
      </c>
      <c r="BD89" s="286">
        <f>[3]!FeuilCaduc*(1-Persistant)+Persistant</f>
        <v>0.60522797498038727</v>
      </c>
      <c r="BE89" s="287">
        <f>[3]!CroissVégét</f>
        <v>2.7009836317349309E-2</v>
      </c>
      <c r="BF89" s="807">
        <f>1+[3]!Salcycl*Ksac</f>
        <v>1.0006534968725485</v>
      </c>
      <c r="BH89" s="1041">
        <f t="shared" si="75"/>
        <v>1.9479546691625875E-3</v>
      </c>
      <c r="BI89" s="11">
        <v>44271</v>
      </c>
      <c r="BJ89" s="717">
        <v>6.9484888323956165E-4</v>
      </c>
      <c r="BK89" s="717">
        <v>9.0170524450128037E-4</v>
      </c>
      <c r="BL89" s="717">
        <v>1.1203201698228879E-3</v>
      </c>
      <c r="BM89" s="717">
        <v>1.356491833979437E-3</v>
      </c>
      <c r="BN89" s="717">
        <v>1.6284901090989267E-3</v>
      </c>
      <c r="BO89" s="718">
        <v>1.9499422637427797E-3</v>
      </c>
      <c r="BP89" s="717">
        <v>2.5472652757649651E-3</v>
      </c>
      <c r="BQ89" s="717">
        <v>3.2844382654087976E-3</v>
      </c>
      <c r="BR89" s="717">
        <v>4.1910769973757915E-3</v>
      </c>
      <c r="BS89" s="717">
        <v>5.0924613610936571E-3</v>
      </c>
      <c r="BT89" s="717">
        <v>6.1036024450404694E-3</v>
      </c>
      <c r="BW89" s="1162">
        <f>'2022'!R\Max</f>
        <v>0.30011369532643634</v>
      </c>
      <c r="BX89" s="1163">
        <f>'2023'!R\Max</f>
        <v>0.30010824150706322</v>
      </c>
      <c r="BY89" s="1163">
        <f>'2024'!R\Max</f>
        <v>0.30010276898990895</v>
      </c>
      <c r="BZ89" s="1163">
        <f>'2025'!R\Max</f>
        <v>0.30009603827921882</v>
      </c>
      <c r="CA89" s="1163">
        <f>'2026'!R\Max</f>
        <v>0.30008928491162307</v>
      </c>
      <c r="CB89" s="1163">
        <f>'2027'!R\Max</f>
        <v>0.30008100690471634</v>
      </c>
      <c r="CC89" s="1164">
        <f>'2028'!R\Max</f>
        <v>0.30007272960020737</v>
      </c>
      <c r="CD89" s="1163">
        <f>'2029'!R\Max</f>
        <v>0.30006449956782616</v>
      </c>
      <c r="CE89" s="1163">
        <f>'2030'!R\Max</f>
        <v>0.3001085140683738</v>
      </c>
      <c r="CF89" s="1165">
        <f>'2031'!R\Max</f>
        <v>0.30010306024897021</v>
      </c>
    </row>
    <row r="90" spans="1:84" s="6" customFormat="1" ht="11.25" x14ac:dyDescent="0.2">
      <c r="A90" s="11">
        <v>43176</v>
      </c>
      <c r="B90" s="375">
        <f>'2022'!Maxi_hp</f>
        <v>12.900088201183433</v>
      </c>
      <c r="C90" s="13">
        <f>'2022'!An_max</f>
        <v>2022</v>
      </c>
      <c r="D90" s="1050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69">
        <f t="shared" si="61"/>
        <v>43178</v>
      </c>
      <c r="I90" s="744">
        <f t="shared" si="62"/>
        <v>0.14285714285714285</v>
      </c>
      <c r="J90" s="737">
        <f t="shared" si="63"/>
        <v>45.221788338210899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43">
        <v>43176</v>
      </c>
      <c r="AP90" s="13">
        <f t="shared" si="64"/>
        <v>5</v>
      </c>
      <c r="AQ90" s="13">
        <f t="shared" si="65"/>
        <v>4</v>
      </c>
      <c r="AR90" s="169">
        <f t="shared" si="66"/>
        <v>43192</v>
      </c>
      <c r="AS90" s="744">
        <f t="shared" si="67"/>
        <v>0.5714285714285714</v>
      </c>
      <c r="AT90" s="760">
        <f t="shared" si="68"/>
        <v>45.35547375987683</v>
      </c>
      <c r="AU90" s="13">
        <f t="shared" si="69"/>
        <v>3</v>
      </c>
      <c r="AV90" s="13">
        <f t="shared" si="70"/>
        <v>4</v>
      </c>
      <c r="AW90" s="169">
        <f t="shared" si="71"/>
        <v>43150</v>
      </c>
      <c r="AX90" s="744">
        <f t="shared" si="72"/>
        <v>0.9285714285714286</v>
      </c>
      <c r="AY90" s="760">
        <f t="shared" si="73"/>
        <v>45.282423706272887</v>
      </c>
      <c r="AZ90" s="737">
        <f t="shared" si="77"/>
        <v>45.318948733074862</v>
      </c>
      <c r="BA90" s="634">
        <f t="shared" si="74"/>
        <v>0.28526267260163368</v>
      </c>
      <c r="BC90" s="11">
        <v>43176</v>
      </c>
      <c r="BD90" s="286">
        <f>[3]!FeuilCaduc*(1-Persistant)+Persistant</f>
        <v>0.60551886559649126</v>
      </c>
      <c r="BE90" s="287">
        <f>[3]!CroissVégét</f>
        <v>2.8166207768877807E-2</v>
      </c>
      <c r="BF90" s="807">
        <f>1+[3]!Salcycl*Ksac</f>
        <v>1.0006898581995614</v>
      </c>
      <c r="BH90" s="1041">
        <f t="shared" si="75"/>
        <v>1.9227125964254778E-3</v>
      </c>
      <c r="BI90" s="11">
        <v>44272</v>
      </c>
      <c r="BJ90" s="717">
        <v>6.795988740213862E-4</v>
      </c>
      <c r="BK90" s="717">
        <v>8.8369622303512629E-4</v>
      </c>
      <c r="BL90" s="717">
        <v>1.0986318298043601E-3</v>
      </c>
      <c r="BM90" s="717">
        <v>1.3306518108134626E-3</v>
      </c>
      <c r="BN90" s="717">
        <v>1.5997281448463941E-3</v>
      </c>
      <c r="BO90" s="718">
        <v>1.9247220905155799E-3</v>
      </c>
      <c r="BP90" s="717">
        <v>2.4812648271608268E-3</v>
      </c>
      <c r="BQ90" s="717">
        <v>3.1583738690860821E-3</v>
      </c>
      <c r="BR90" s="717">
        <v>3.9741947352041037E-3</v>
      </c>
      <c r="BS90" s="717">
        <v>4.7991982559975411E-3</v>
      </c>
      <c r="BT90" s="717">
        <v>5.7234609812318307E-3</v>
      </c>
      <c r="BW90" s="1162">
        <f>'2022'!R\Max</f>
        <v>0.28526267260163368</v>
      </c>
      <c r="BX90" s="1163">
        <f>'2023'!R\Max</f>
        <v>0.2852578895394175</v>
      </c>
      <c r="BY90" s="1163">
        <f>'2024'!R\Max</f>
        <v>0.28525309010608701</v>
      </c>
      <c r="BZ90" s="1163">
        <f>'2025'!R\Max</f>
        <v>0.28524727086802776</v>
      </c>
      <c r="CA90" s="1163">
        <f>'2026'!R\Max</f>
        <v>0.28524143279533171</v>
      </c>
      <c r="CB90" s="1163">
        <f>'2027'!R\Max</f>
        <v>0.28523442143447297</v>
      </c>
      <c r="CC90" s="1164">
        <f>'2028'!R\Max</f>
        <v>0.28522740882679504</v>
      </c>
      <c r="CD90" s="1163">
        <f>'2029'!R\Max</f>
        <v>0.28522031854799201</v>
      </c>
      <c r="CE90" s="1163">
        <f>'2030'!R\Max</f>
        <v>0.28525812857881588</v>
      </c>
      <c r="CF90" s="1165">
        <f>'2031'!R\Max</f>
        <v>0.2852533455165997</v>
      </c>
    </row>
    <row r="91" spans="1:84" s="6" customFormat="1" ht="11.25" x14ac:dyDescent="0.2">
      <c r="A91" s="11">
        <v>43177</v>
      </c>
      <c r="B91" s="375">
        <f>'2022'!Maxi_hp</f>
        <v>15.227507547270084</v>
      </c>
      <c r="C91" s="13">
        <f>'2022'!An_max</f>
        <v>2022</v>
      </c>
      <c r="D91" s="1050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69">
        <f t="shared" si="61"/>
        <v>43178</v>
      </c>
      <c r="I91" s="744">
        <f t="shared" si="62"/>
        <v>7.1428571428571425E-2</v>
      </c>
      <c r="J91" s="737">
        <f t="shared" si="63"/>
        <v>45.688795353517555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43">
        <v>43177</v>
      </c>
      <c r="AP91" s="13">
        <f t="shared" si="64"/>
        <v>5</v>
      </c>
      <c r="AQ91" s="13">
        <f t="shared" si="65"/>
        <v>4</v>
      </c>
      <c r="AR91" s="169">
        <f t="shared" si="66"/>
        <v>43192</v>
      </c>
      <c r="AS91" s="744">
        <f t="shared" si="67"/>
        <v>0.5357142857142857</v>
      </c>
      <c r="AT91" s="760">
        <f t="shared" si="68"/>
        <v>45.845719630936422</v>
      </c>
      <c r="AU91" s="13">
        <f t="shared" si="69"/>
        <v>3</v>
      </c>
      <c r="AV91" s="13">
        <f t="shared" si="70"/>
        <v>4</v>
      </c>
      <c r="AW91" s="169">
        <f t="shared" si="71"/>
        <v>43150</v>
      </c>
      <c r="AX91" s="744">
        <f t="shared" si="72"/>
        <v>0.9642857142857143</v>
      </c>
      <c r="AY91" s="760">
        <f t="shared" si="73"/>
        <v>45.720043683870301</v>
      </c>
      <c r="AZ91" s="737">
        <f t="shared" si="77"/>
        <v>45.782881657403365</v>
      </c>
      <c r="BA91" s="634">
        <f t="shared" si="74"/>
        <v>0.33328756929236319</v>
      </c>
      <c r="BC91" s="11">
        <v>43177</v>
      </c>
      <c r="BD91" s="286">
        <f>[3]!FeuilCaduc*(1-Persistant)+Persistant</f>
        <v>0.60584122183331646</v>
      </c>
      <c r="BE91" s="287">
        <f>[3]!CroissVégét</f>
        <v>2.9368171926128662E-2</v>
      </c>
      <c r="BF91" s="807">
        <f>1+[3]!Salcycl*Ksac</f>
        <v>1.0007301527291645</v>
      </c>
      <c r="BH91" s="1041">
        <f t="shared" si="75"/>
        <v>1.9095972323004955E-3</v>
      </c>
      <c r="BI91" s="11">
        <v>44273</v>
      </c>
      <c r="BJ91" s="717">
        <v>6.6390759543298811E-4</v>
      </c>
      <c r="BK91" s="717">
        <v>8.6663707912478969E-4</v>
      </c>
      <c r="BL91" s="717">
        <v>1.0793103298088406E-3</v>
      </c>
      <c r="BM91" s="717">
        <v>1.3089733507208685E-3</v>
      </c>
      <c r="BN91" s="717">
        <v>1.5777781995111285E-3</v>
      </c>
      <c r="BO91" s="718">
        <v>1.9116616920047123E-3</v>
      </c>
      <c r="BP91" s="717">
        <v>2.4384018729294841E-3</v>
      </c>
      <c r="BQ91" s="717">
        <v>3.0695519312280988E-3</v>
      </c>
      <c r="BR91" s="717">
        <v>3.8109383436142363E-3</v>
      </c>
      <c r="BS91" s="717">
        <v>4.5758689876355153E-3</v>
      </c>
      <c r="BT91" s="717">
        <v>5.4315350594300905E-3</v>
      </c>
      <c r="BW91" s="1162">
        <f>'2022'!R\Max</f>
        <v>0.33328756929236319</v>
      </c>
      <c r="BX91" s="1163">
        <f>'2023'!R\Max</f>
        <v>0.33328258058462712</v>
      </c>
      <c r="BY91" s="1163">
        <f>'2024'!R\Max</f>
        <v>0.33327757505733946</v>
      </c>
      <c r="BZ91" s="1163">
        <f>'2025'!R\Max</f>
        <v>0.3332715974744872</v>
      </c>
      <c r="CA91" s="1163">
        <f>'2026'!R\Max</f>
        <v>0.33326560213091427</v>
      </c>
      <c r="CB91" s="1163">
        <f>'2027'!R\Max</f>
        <v>0.33325858048013912</v>
      </c>
      <c r="CC91" s="1164">
        <f>'2028'!R\Max</f>
        <v>0.33325155502360498</v>
      </c>
      <c r="CD91" s="1163">
        <f>'2029'!R\Max</f>
        <v>0.33324431035531304</v>
      </c>
      <c r="CE91" s="1163">
        <f>'2030'!R\Max</f>
        <v>0.33328282990158958</v>
      </c>
      <c r="CF91" s="1165">
        <f>'2031'!R\Max</f>
        <v>0.33327784118676951</v>
      </c>
    </row>
    <row r="92" spans="1:84" s="6" customFormat="1" ht="11.25" x14ac:dyDescent="0.2">
      <c r="A92" s="11">
        <v>43178</v>
      </c>
      <c r="B92" s="375">
        <f>'2022'!Maxi_hp</f>
        <v>27.981446472007683</v>
      </c>
      <c r="C92" s="13">
        <f>'2022'!An_max</f>
        <v>2022</v>
      </c>
      <c r="D92" s="1050" t="str">
        <f t="shared" si="59"/>
        <v/>
      </c>
      <c r="E92" s="1045">
        <f>S$13/10</f>
        <v>46.153800000000004</v>
      </c>
      <c r="F92" s="13">
        <f t="shared" si="76"/>
        <v>7</v>
      </c>
      <c r="G92" s="13">
        <f t="shared" si="60"/>
        <v>8</v>
      </c>
      <c r="H92" s="169">
        <f t="shared" si="61"/>
        <v>43178</v>
      </c>
      <c r="I92" s="744">
        <f t="shared" si="62"/>
        <v>0</v>
      </c>
      <c r="J92" s="737">
        <f t="shared" si="63"/>
        <v>46.153800000000047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43">
        <v>43178</v>
      </c>
      <c r="AP92" s="13">
        <f t="shared" si="64"/>
        <v>5</v>
      </c>
      <c r="AQ92" s="13">
        <f t="shared" si="65"/>
        <v>4</v>
      </c>
      <c r="AR92" s="169">
        <f t="shared" si="66"/>
        <v>43192</v>
      </c>
      <c r="AS92" s="744">
        <f t="shared" si="67"/>
        <v>0.5</v>
      </c>
      <c r="AT92" s="760">
        <f t="shared" si="68"/>
        <v>46.334868749137968</v>
      </c>
      <c r="AU92" s="13">
        <f t="shared" si="69"/>
        <v>5</v>
      </c>
      <c r="AV92" s="13">
        <f t="shared" si="70"/>
        <v>4</v>
      </c>
      <c r="AW92" s="169">
        <f t="shared" si="71"/>
        <v>43206</v>
      </c>
      <c r="AX92" s="744">
        <f t="shared" si="72"/>
        <v>1</v>
      </c>
      <c r="AY92" s="760">
        <f t="shared" si="73"/>
        <v>46.153799999877812</v>
      </c>
      <c r="AZ92" s="737">
        <f t="shared" si="77"/>
        <v>46.244334374507886</v>
      </c>
      <c r="BA92" s="634">
        <f t="shared" si="74"/>
        <v>0.60626527982544565</v>
      </c>
      <c r="BC92" s="11">
        <v>43178</v>
      </c>
      <c r="BD92" s="286">
        <f>[3]!FeuilCaduc*(1-Persistant)+Persistant</f>
        <v>0.60619794333700627</v>
      </c>
      <c r="BE92" s="287">
        <f>[3]!CroissVégét</f>
        <v>3.0617403154541836E-2</v>
      </c>
      <c r="BF92" s="807">
        <f>1+[3]!Salcycl*Ksac</f>
        <v>1.0007747429171259</v>
      </c>
      <c r="BH92" s="1041">
        <f t="shared" si="75"/>
        <v>1.9086071502455182E-3</v>
      </c>
      <c r="BI92" s="11">
        <v>44274</v>
      </c>
      <c r="BJ92" s="717">
        <v>6.4777509058500332E-4</v>
      </c>
      <c r="BK92" s="717">
        <v>8.5052769546480566E-4</v>
      </c>
      <c r="BL92" s="717">
        <v>1.0623553990263695E-3</v>
      </c>
      <c r="BM92" s="717">
        <v>1.2914559939272159E-3</v>
      </c>
      <c r="BN92" s="717">
        <v>1.5626395125581487E-3</v>
      </c>
      <c r="BO92" s="718">
        <v>1.9107596375243958E-3</v>
      </c>
      <c r="BP92" s="717">
        <v>2.4186743094119383E-3</v>
      </c>
      <c r="BQ92" s="717">
        <v>3.0179696019439297E-3</v>
      </c>
      <c r="BR92" s="717">
        <v>3.7013043895496151E-3</v>
      </c>
      <c r="BS92" s="717">
        <v>4.4224693434845403E-3</v>
      </c>
      <c r="BT92" s="717">
        <v>5.2278196109193566E-3</v>
      </c>
      <c r="BW92" s="1162">
        <f>'2022'!R\Max</f>
        <v>0.60626527982544565</v>
      </c>
      <c r="BX92" s="1163">
        <f>'2023'!R\Max</f>
        <v>0.60626016122151161</v>
      </c>
      <c r="BY92" s="1163">
        <f>'2024'!R\Max</f>
        <v>0.60625502574280887</v>
      </c>
      <c r="BZ92" s="1163">
        <f>'2025'!R\Max</f>
        <v>0.60624898606773836</v>
      </c>
      <c r="CA92" s="1163">
        <f>'2026'!R\Max</f>
        <v>0.60624293084155567</v>
      </c>
      <c r="CB92" s="1163">
        <f>'2027'!R\Max</f>
        <v>0.60623604399844788</v>
      </c>
      <c r="CC92" s="1164">
        <f>'2028'!R\Max</f>
        <v>0.6062291500753525</v>
      </c>
      <c r="CD92" s="1163">
        <f>'2029'!R\Max</f>
        <v>0.60622188170846136</v>
      </c>
      <c r="CE92" s="1163">
        <f>'2030'!R\Max</f>
        <v>0.60626041703161482</v>
      </c>
      <c r="CF92" s="1165">
        <f>'2031'!R\Max</f>
        <v>0.60625529836381009</v>
      </c>
    </row>
    <row r="93" spans="1:84" s="6" customFormat="1" ht="11.25" x14ac:dyDescent="0.2">
      <c r="A93" s="11">
        <v>43179</v>
      </c>
      <c r="B93" s="375">
        <f>'2022'!Maxi_hp</f>
        <v>33.543069625939346</v>
      </c>
      <c r="C93" s="13">
        <f>'2022'!An_max</f>
        <v>2022</v>
      </c>
      <c r="D93" s="1050" t="str">
        <f t="shared" si="59"/>
        <v/>
      </c>
      <c r="E93" s="13"/>
      <c r="F93" s="13">
        <f t="shared" si="76"/>
        <v>7</v>
      </c>
      <c r="G93" s="13">
        <f t="shared" si="60"/>
        <v>8</v>
      </c>
      <c r="H93" s="169">
        <f t="shared" si="61"/>
        <v>43178</v>
      </c>
      <c r="I93" s="744">
        <f t="shared" si="62"/>
        <v>7.1428571428571425E-2</v>
      </c>
      <c r="J93" s="737">
        <f t="shared" si="63"/>
        <v>46.620697795222597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43">
        <v>43179</v>
      </c>
      <c r="AP93" s="13">
        <f t="shared" si="64"/>
        <v>5</v>
      </c>
      <c r="AQ93" s="13">
        <f t="shared" si="65"/>
        <v>4</v>
      </c>
      <c r="AR93" s="169">
        <f t="shared" si="66"/>
        <v>43192</v>
      </c>
      <c r="AS93" s="744">
        <f t="shared" si="67"/>
        <v>0.4642857142857143</v>
      </c>
      <c r="AT93" s="760">
        <f t="shared" si="68"/>
        <v>46.822170227845866</v>
      </c>
      <c r="AU93" s="13">
        <f t="shared" si="69"/>
        <v>5</v>
      </c>
      <c r="AV93" s="13">
        <f t="shared" si="70"/>
        <v>4</v>
      </c>
      <c r="AW93" s="169">
        <f t="shared" si="71"/>
        <v>43206</v>
      </c>
      <c r="AX93" s="744">
        <f t="shared" si="72"/>
        <v>0.9642857142857143</v>
      </c>
      <c r="AY93" s="760">
        <f t="shared" si="73"/>
        <v>46.588134272596136</v>
      </c>
      <c r="AZ93" s="737">
        <f t="shared" si="77"/>
        <v>46.705152250221005</v>
      </c>
      <c r="BA93" s="634">
        <f t="shared" si="74"/>
        <v>0.71948879386735898</v>
      </c>
      <c r="BC93" s="11">
        <v>43179</v>
      </c>
      <c r="BD93" s="286">
        <f>[3]!FeuilCaduc*(1-Persistant)+Persistant</f>
        <v>0.60659198406361292</v>
      </c>
      <c r="BE93" s="287">
        <f>[3]!CroissVégét</f>
        <v>3.1915627119784788E-2</v>
      </c>
      <c r="BF93" s="807">
        <f>1+[3]!Salcycl*Ksac</f>
        <v>1.0008239980079516</v>
      </c>
      <c r="BH93" s="1041">
        <f t="shared" si="75"/>
        <v>1.9197406410609808E-3</v>
      </c>
      <c r="BI93" s="11">
        <v>44275</v>
      </c>
      <c r="BJ93" s="717">
        <v>6.3120145244842981E-4</v>
      </c>
      <c r="BK93" s="717">
        <v>8.3536797156856741E-4</v>
      </c>
      <c r="BL93" s="717">
        <v>1.0477667510163647E-3</v>
      </c>
      <c r="BM93" s="717">
        <v>1.2780992222206E-3</v>
      </c>
      <c r="BN93" s="717">
        <v>1.5543111960287339E-3</v>
      </c>
      <c r="BO93" s="718">
        <v>1.9220142127655982E-3</v>
      </c>
      <c r="BP93" s="717">
        <v>2.4220794814335217E-3</v>
      </c>
      <c r="BQ93" s="717">
        <v>3.0036231434717223E-3</v>
      </c>
      <c r="BR93" s="717">
        <v>3.6452881866621315E-3</v>
      </c>
      <c r="BS93" s="717">
        <v>4.3389934780664356E-3</v>
      </c>
      <c r="BT93" s="717">
        <v>5.112307509854014E-3</v>
      </c>
      <c r="BW93" s="1162">
        <f>'2022'!R\Max</f>
        <v>0.71948879386735898</v>
      </c>
      <c r="BX93" s="1163">
        <f>'2023'!R\Max</f>
        <v>0.71948457294693779</v>
      </c>
      <c r="BY93" s="1163">
        <f>'2024'!R\Max</f>
        <v>0.71948033850753235</v>
      </c>
      <c r="BZ93" s="1163">
        <f>'2025'!R\Max</f>
        <v>0.7194754296697059</v>
      </c>
      <c r="CA93" s="1163">
        <f>'2026'!R\Max</f>
        <v>0.71947051081070679</v>
      </c>
      <c r="CB93" s="1163">
        <f>'2027'!R\Max</f>
        <v>0.71946509425844263</v>
      </c>
      <c r="CC93" s="1164">
        <f>'2028'!R\Max</f>
        <v>0.71945966899648317</v>
      </c>
      <c r="CD93" s="1163">
        <f>'2029'!R\Max</f>
        <v>0.71945381288233057</v>
      </c>
      <c r="CE93" s="1163">
        <f>'2030'!R\Max</f>
        <v>0.71948478389436865</v>
      </c>
      <c r="CF93" s="1165">
        <f>'2031'!R\Max</f>
        <v>0.71948056290358731</v>
      </c>
    </row>
    <row r="94" spans="1:84" s="6" customFormat="1" ht="11.25" x14ac:dyDescent="0.2">
      <c r="A94" s="11">
        <v>43180</v>
      </c>
      <c r="B94" s="375">
        <f>'2022'!Maxi_hp</f>
        <v>45.118882566979195</v>
      </c>
      <c r="C94" s="13">
        <f>'2022'!An_max</f>
        <v>2022</v>
      </c>
      <c r="D94" s="1050" t="str">
        <f t="shared" si="59"/>
        <v/>
      </c>
      <c r="E94" s="13"/>
      <c r="F94" s="13">
        <f t="shared" si="76"/>
        <v>7</v>
      </c>
      <c r="G94" s="13">
        <f t="shared" si="60"/>
        <v>8</v>
      </c>
      <c r="H94" s="169">
        <f t="shared" si="61"/>
        <v>43178</v>
      </c>
      <c r="I94" s="744">
        <f t="shared" si="62"/>
        <v>0.14285714285714285</v>
      </c>
      <c r="J94" s="737">
        <f t="shared" si="63"/>
        <v>47.092801749159122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43">
        <v>43180</v>
      </c>
      <c r="AP94" s="13">
        <f t="shared" si="64"/>
        <v>5</v>
      </c>
      <c r="AQ94" s="13">
        <f t="shared" si="65"/>
        <v>4</v>
      </c>
      <c r="AR94" s="169">
        <f t="shared" si="66"/>
        <v>43192</v>
      </c>
      <c r="AS94" s="744">
        <f t="shared" si="67"/>
        <v>0.42857142857142855</v>
      </c>
      <c r="AT94" s="760">
        <f t="shared" si="68"/>
        <v>47.306873177311246</v>
      </c>
      <c r="AU94" s="13">
        <f t="shared" si="69"/>
        <v>5</v>
      </c>
      <c r="AV94" s="13">
        <f t="shared" si="70"/>
        <v>4</v>
      </c>
      <c r="AW94" s="169">
        <f t="shared" si="71"/>
        <v>43206</v>
      </c>
      <c r="AX94" s="744">
        <f t="shared" si="72"/>
        <v>0.9285714285714286</v>
      </c>
      <c r="AY94" s="760">
        <f t="shared" si="73"/>
        <v>47.027251475770029</v>
      </c>
      <c r="AZ94" s="737">
        <f t="shared" si="77"/>
        <v>47.167062326540638</v>
      </c>
      <c r="BA94" s="634">
        <f t="shared" si="74"/>
        <v>0.95808448194069973</v>
      </c>
      <c r="BC94" s="11">
        <v>43180</v>
      </c>
      <c r="BD94" s="286">
        <f>[3]!FeuilCaduc*(1-Persistant)+Persistant</f>
        <v>0.60702634246059539</v>
      </c>
      <c r="BE94" s="287">
        <f>[3]!CroissVégét</f>
        <v>3.3264621499185201E-2</v>
      </c>
      <c r="BF94" s="807">
        <f>1+[3]!Salcycl*Ksac</f>
        <v>1.0008782928075743</v>
      </c>
      <c r="BH94" s="1041">
        <f t="shared" si="75"/>
        <v>1.9433719391547487E-3</v>
      </c>
      <c r="BI94" s="11">
        <v>44276</v>
      </c>
      <c r="BJ94" s="717">
        <v>6.1340618427811928E-4</v>
      </c>
      <c r="BK94" s="717">
        <v>8.2040430637575978E-4</v>
      </c>
      <c r="BL94" s="717">
        <v>1.0348784835299285E-3</v>
      </c>
      <c r="BM94" s="717">
        <v>1.2684340327547754E-3</v>
      </c>
      <c r="BN94" s="717">
        <v>1.552682361780104E-3</v>
      </c>
      <c r="BO94" s="718">
        <v>1.9458026703957122E-3</v>
      </c>
      <c r="BP94" s="717">
        <v>2.4496325495180081E-3</v>
      </c>
      <c r="BQ94" s="717">
        <v>3.0325947358881534E-3</v>
      </c>
      <c r="BR94" s="717">
        <v>3.65399306239469E-3</v>
      </c>
      <c r="BS94" s="717">
        <v>4.3413637012538718E-3</v>
      </c>
      <c r="BT94" s="717">
        <v>5.1011830152210289E-3</v>
      </c>
      <c r="BW94" s="1162">
        <f>'2022'!R\Max</f>
        <v>0.95808448194069973</v>
      </c>
      <c r="BX94" s="1163">
        <f>'2023'!R\Max</f>
        <v>0.95808364362797183</v>
      </c>
      <c r="BY94" s="1163">
        <f>'2024'!R\Max</f>
        <v>0.95808280254053102</v>
      </c>
      <c r="BZ94" s="1163">
        <f>'2025'!R\Max</f>
        <v>0.95808183250561463</v>
      </c>
      <c r="CA94" s="1163">
        <f>'2026'!R\Max</f>
        <v>0.95808086110324797</v>
      </c>
      <c r="CB94" s="1163">
        <f>'2027'!R\Max</f>
        <v>0.95807982704465267</v>
      </c>
      <c r="CC94" s="1164">
        <f>'2028'!R\Max</f>
        <v>0.95807879065671464</v>
      </c>
      <c r="CD94" s="1163">
        <f>'2029'!R\Max</f>
        <v>0.95807764673502083</v>
      </c>
      <c r="CE94" s="1163">
        <f>'2030'!R\Max</f>
        <v>0.9580836855242254</v>
      </c>
      <c r="CF94" s="1165">
        <f>'2031'!R\Max</f>
        <v>0.95808284718961567</v>
      </c>
    </row>
    <row r="95" spans="1:84" s="6" customFormat="1" ht="11.25" x14ac:dyDescent="0.2">
      <c r="A95" s="11">
        <v>43181</v>
      </c>
      <c r="B95" s="375">
        <f>'2022'!Maxi_hp</f>
        <v>44.0397438016956</v>
      </c>
      <c r="C95" s="13">
        <f>'2022'!An_max</f>
        <v>2022</v>
      </c>
      <c r="D95" s="1050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69">
        <f t="shared" si="61"/>
        <v>43178</v>
      </c>
      <c r="I95" s="744">
        <f t="shared" si="62"/>
        <v>0.21428571428571427</v>
      </c>
      <c r="J95" s="737">
        <f t="shared" si="63"/>
        <v>47.568692000460992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43">
        <v>43181</v>
      </c>
      <c r="AP95" s="13">
        <f t="shared" si="64"/>
        <v>5</v>
      </c>
      <c r="AQ95" s="13">
        <f t="shared" si="65"/>
        <v>4</v>
      </c>
      <c r="AR95" s="169">
        <f t="shared" si="66"/>
        <v>43192</v>
      </c>
      <c r="AS95" s="744">
        <f t="shared" si="67"/>
        <v>0.39285714285714285</v>
      </c>
      <c r="AT95" s="760">
        <f t="shared" si="68"/>
        <v>47.7882267102067</v>
      </c>
      <c r="AU95" s="13">
        <f t="shared" si="69"/>
        <v>5</v>
      </c>
      <c r="AV95" s="13">
        <f t="shared" si="70"/>
        <v>4</v>
      </c>
      <c r="AW95" s="169">
        <f t="shared" si="71"/>
        <v>43206</v>
      </c>
      <c r="AX95" s="744">
        <f t="shared" si="72"/>
        <v>0.8928571428571429</v>
      </c>
      <c r="AY95" s="760">
        <f t="shared" si="73"/>
        <v>47.470455332060475</v>
      </c>
      <c r="AZ95" s="737">
        <f t="shared" si="77"/>
        <v>47.629341021133584</v>
      </c>
      <c r="BA95" s="634">
        <f t="shared" si="74"/>
        <v>0.9258136381229235</v>
      </c>
      <c r="BC95" s="11">
        <v>43181</v>
      </c>
      <c r="BD95" s="286">
        <f>[3]!FeuilCaduc*(1-Persistant)+Persistant</f>
        <v>0.60750405170952115</v>
      </c>
      <c r="BE95" s="287">
        <f>[3]!CroissVégét</f>
        <v>3.4666216621534622E-2</v>
      </c>
      <c r="BF95" s="807">
        <f>1+[3]!Salcycl*Ksac</f>
        <v>1.0009380064636901</v>
      </c>
      <c r="BH95" s="1041">
        <f t="shared" si="75"/>
        <v>1.9717023889238815E-3</v>
      </c>
      <c r="BI95" s="11">
        <v>44277</v>
      </c>
      <c r="BJ95" s="717">
        <v>5.9358004602456927E-4</v>
      </c>
      <c r="BK95" s="717">
        <v>8.0403128356919056E-4</v>
      </c>
      <c r="BL95" s="717">
        <v>1.0212208413260778E-3</v>
      </c>
      <c r="BM95" s="717">
        <v>1.2588625736027026E-3</v>
      </c>
      <c r="BN95" s="717">
        <v>1.5525657555585163E-3</v>
      </c>
      <c r="BO95" s="718">
        <v>1.9743101076037596E-3</v>
      </c>
      <c r="BP95" s="717">
        <v>2.4894384266381762E-3</v>
      </c>
      <c r="BQ95" s="717">
        <v>3.08715302219404E-3</v>
      </c>
      <c r="BR95" s="717">
        <v>3.7020987267973294E-3</v>
      </c>
      <c r="BS95" s="717">
        <v>4.3951259727446988E-3</v>
      </c>
      <c r="BT95" s="717">
        <v>5.1498930602639978E-3</v>
      </c>
      <c r="BW95" s="1162">
        <f>'2022'!R\Max</f>
        <v>0.9258136381229235</v>
      </c>
      <c r="BX95" s="1163">
        <f>'2023'!R\Max</f>
        <v>0.92581218573937918</v>
      </c>
      <c r="BY95" s="1163">
        <f>'2024'!R\Max</f>
        <v>0.92581072812476395</v>
      </c>
      <c r="BZ95" s="1163">
        <f>'2025'!R\Max</f>
        <v>0.92580904279959497</v>
      </c>
      <c r="CA95" s="1163">
        <f>'2026'!R\Max</f>
        <v>0.92580735633920519</v>
      </c>
      <c r="CB95" s="1163">
        <f>'2027'!R\Max</f>
        <v>0.92580562232163122</v>
      </c>
      <c r="CC95" s="1164">
        <f>'2028'!R\Max</f>
        <v>0.92580388333939601</v>
      </c>
      <c r="CD95" s="1163">
        <f>'2029'!R\Max</f>
        <v>0.92580192902069836</v>
      </c>
      <c r="CE95" s="1163">
        <f>'2030'!R\Max</f>
        <v>0.92581225832494018</v>
      </c>
      <c r="CF95" s="1165">
        <f>'2031'!R\Max</f>
        <v>0.92581080590487586</v>
      </c>
    </row>
    <row r="96" spans="1:84" s="6" customFormat="1" ht="11.25" x14ac:dyDescent="0.2">
      <c r="A96" s="11">
        <v>43182</v>
      </c>
      <c r="B96" s="375">
        <f>'2022'!Maxi_hp</f>
        <v>46.985765354828146</v>
      </c>
      <c r="C96" s="13">
        <f>'2022'!An_max</f>
        <v>2022</v>
      </c>
      <c r="D96" s="1050">
        <f t="shared" si="59"/>
        <v>0.97791361654124831</v>
      </c>
      <c r="E96" s="13"/>
      <c r="F96" s="13">
        <f t="shared" si="76"/>
        <v>7</v>
      </c>
      <c r="G96" s="13">
        <f t="shared" si="60"/>
        <v>8</v>
      </c>
      <c r="H96" s="169">
        <f t="shared" si="61"/>
        <v>43178</v>
      </c>
      <c r="I96" s="744">
        <f t="shared" si="62"/>
        <v>0.2857142857142857</v>
      </c>
      <c r="J96" s="737">
        <f t="shared" si="63"/>
        <v>48.046948687564665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43">
        <v>43182</v>
      </c>
      <c r="AP96" s="13">
        <f t="shared" si="64"/>
        <v>5</v>
      </c>
      <c r="AQ96" s="13">
        <f t="shared" si="65"/>
        <v>4</v>
      </c>
      <c r="AR96" s="169">
        <f t="shared" si="66"/>
        <v>43192</v>
      </c>
      <c r="AS96" s="744">
        <f t="shared" si="67"/>
        <v>0.35714285714285715</v>
      </c>
      <c r="AT96" s="760">
        <f t="shared" si="68"/>
        <v>48.26547993747517</v>
      </c>
      <c r="AU96" s="13">
        <f t="shared" si="69"/>
        <v>5</v>
      </c>
      <c r="AV96" s="13">
        <f t="shared" si="70"/>
        <v>4</v>
      </c>
      <c r="AW96" s="169">
        <f t="shared" si="71"/>
        <v>43206</v>
      </c>
      <c r="AX96" s="744">
        <f t="shared" si="72"/>
        <v>0.8571428571428571</v>
      </c>
      <c r="AY96" s="760">
        <f t="shared" si="73"/>
        <v>47.917049563090714</v>
      </c>
      <c r="AZ96" s="737">
        <f t="shared" si="77"/>
        <v>48.091264750282946</v>
      </c>
      <c r="BA96" s="634">
        <f t="shared" si="74"/>
        <v>0.97791361654124831</v>
      </c>
      <c r="BC96" s="11">
        <v>43182</v>
      </c>
      <c r="BD96" s="286">
        <f>[3]!FeuilCaduc*(1-Persistant)+Persistant</f>
        <v>0.60802817009061338</v>
      </c>
      <c r="BE96" s="287">
        <f>[3]!CroissVégét</f>
        <v>3.6122296026123907E-2</v>
      </c>
      <c r="BF96" s="807">
        <f>1+[3]!Salcycl*Ksac</f>
        <v>1.0010035212613266</v>
      </c>
      <c r="BH96" s="1041">
        <f t="shared" si="75"/>
        <v>2.0047308897582E-3</v>
      </c>
      <c r="BI96" s="11">
        <v>44278</v>
      </c>
      <c r="BJ96" s="717">
        <v>5.7172312722842289E-4</v>
      </c>
      <c r="BK96" s="717">
        <v>7.8624886079544428E-4</v>
      </c>
      <c r="BL96" s="717">
        <v>1.0067936464566367E-3</v>
      </c>
      <c r="BM96" s="717">
        <v>1.2493844986532388E-3</v>
      </c>
      <c r="BN96" s="717">
        <v>1.553960779820959E-3</v>
      </c>
      <c r="BO96" s="718">
        <v>2.0075354206496557E-3</v>
      </c>
      <c r="BP96" s="717">
        <v>2.5414949711574271E-3</v>
      </c>
      <c r="BQ96" s="717">
        <v>3.1672941105389215E-3</v>
      </c>
      <c r="BR96" s="717">
        <v>3.7895994849649907E-3</v>
      </c>
      <c r="BS96" s="717">
        <v>4.5002729849478694E-3</v>
      </c>
      <c r="BT96" s="717">
        <v>5.2584291338809118E-3</v>
      </c>
      <c r="BW96" s="1162">
        <f>'2022'!R\Max</f>
        <v>0.97791361654124831</v>
      </c>
      <c r="BX96" s="1163">
        <f>'2023'!R\Max</f>
        <v>0.97791314742304725</v>
      </c>
      <c r="BY96" s="1163">
        <f>'2024'!R\Max</f>
        <v>0.97791267637417356</v>
      </c>
      <c r="BZ96" s="1163">
        <f>'2025'!R\Max</f>
        <v>0.97791212653507742</v>
      </c>
      <c r="CA96" s="1163">
        <f>'2026'!R\Max</f>
        <v>0.97791157674992901</v>
      </c>
      <c r="CB96" s="1163">
        <f>'2027'!R\Max</f>
        <v>0.97791102994283208</v>
      </c>
      <c r="CC96" s="1164">
        <f>'2028'!R\Max</f>
        <v>0.97791048127235913</v>
      </c>
      <c r="CD96" s="1163">
        <f>'2029'!R\Max</f>
        <v>0.97790985677352238</v>
      </c>
      <c r="CE96" s="1163">
        <f>'2030'!R\Max</f>
        <v>0.97791317086813201</v>
      </c>
      <c r="CF96" s="1165">
        <f>'2031'!R\Max</f>
        <v>0.97791270173680656</v>
      </c>
    </row>
    <row r="97" spans="1:84" s="6" customFormat="1" ht="11.25" x14ac:dyDescent="0.2">
      <c r="A97" s="11">
        <v>43183</v>
      </c>
      <c r="B97" s="375">
        <f>'2022'!Maxi_hp</f>
        <v>46.68041860984021</v>
      </c>
      <c r="C97" s="13">
        <f>'2022'!An_max</f>
        <v>2022</v>
      </c>
      <c r="D97" s="1050" t="str">
        <f t="shared" si="59"/>
        <v/>
      </c>
      <c r="E97" s="13"/>
      <c r="F97" s="13">
        <f t="shared" si="76"/>
        <v>7</v>
      </c>
      <c r="G97" s="13">
        <f t="shared" si="60"/>
        <v>8</v>
      </c>
      <c r="H97" s="169">
        <f t="shared" si="61"/>
        <v>43178</v>
      </c>
      <c r="I97" s="744">
        <f t="shared" si="62"/>
        <v>0.35714285714285715</v>
      </c>
      <c r="J97" s="737">
        <f t="shared" si="63"/>
        <v>48.526151949498413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43">
        <v>43183</v>
      </c>
      <c r="AP97" s="13">
        <f t="shared" si="64"/>
        <v>5</v>
      </c>
      <c r="AQ97" s="13">
        <f t="shared" si="65"/>
        <v>4</v>
      </c>
      <c r="AR97" s="169">
        <f t="shared" si="66"/>
        <v>43192</v>
      </c>
      <c r="AS97" s="744">
        <f t="shared" si="67"/>
        <v>0.32142857142857145</v>
      </c>
      <c r="AT97" s="760">
        <f t="shared" si="68"/>
        <v>48.73788197050537</v>
      </c>
      <c r="AU97" s="13">
        <f t="shared" si="69"/>
        <v>5</v>
      </c>
      <c r="AV97" s="13">
        <f t="shared" si="70"/>
        <v>4</v>
      </c>
      <c r="AW97" s="169">
        <f t="shared" si="71"/>
        <v>43206</v>
      </c>
      <c r="AX97" s="744">
        <f t="shared" si="72"/>
        <v>0.8214285714285714</v>
      </c>
      <c r="AY97" s="760">
        <f t="shared" si="73"/>
        <v>48.366337889113595</v>
      </c>
      <c r="AZ97" s="737">
        <f t="shared" si="77"/>
        <v>48.552109929809482</v>
      </c>
      <c r="BA97" s="634">
        <f t="shared" si="74"/>
        <v>0.96196415199830654</v>
      </c>
      <c r="BC97" s="11">
        <v>43183</v>
      </c>
      <c r="BD97" s="286">
        <f>[3]!FeuilCaduc*(1-Persistant)+Persistant</f>
        <v>0.6086017715236085</v>
      </c>
      <c r="BE97" s="287">
        <f>[3]!CroissVégét</f>
        <v>3.7634796931243539E-2</v>
      </c>
      <c r="BF97" s="807">
        <f>1+[3]!Salcycl*Ksac</f>
        <v>1.001075221440451</v>
      </c>
      <c r="BH97" s="1041">
        <f t="shared" si="75"/>
        <v>2.0424562990401843E-3</v>
      </c>
      <c r="BI97" s="11">
        <v>44279</v>
      </c>
      <c r="BJ97" s="717">
        <v>5.4783554369067092E-4</v>
      </c>
      <c r="BK97" s="717">
        <v>7.6705701672421557E-4</v>
      </c>
      <c r="BL97" s="717">
        <v>9.91596737508786E-4</v>
      </c>
      <c r="BM97" s="717">
        <v>1.2399994718237676E-3</v>
      </c>
      <c r="BN97" s="717">
        <v>1.5568668334127085E-3</v>
      </c>
      <c r="BO97" s="718">
        <v>2.0454774635470935E-3</v>
      </c>
      <c r="BP97" s="717">
        <v>2.6057999687101791E-3</v>
      </c>
      <c r="BQ97" s="717">
        <v>3.2730139880548692E-3</v>
      </c>
      <c r="BR97" s="717">
        <v>3.9164894943599813E-3</v>
      </c>
      <c r="BS97" s="717">
        <v>4.6567972474040329E-3</v>
      </c>
      <c r="BT97" s="717">
        <v>5.4267825270137102E-3</v>
      </c>
      <c r="BW97" s="1162">
        <f>'2022'!R\Max</f>
        <v>0.96196415199830654</v>
      </c>
      <c r="BX97" s="1163">
        <f>'2023'!R\Max</f>
        <v>0.9619633255066723</v>
      </c>
      <c r="BY97" s="1163">
        <f>'2024'!R\Max</f>
        <v>0.96196249500616404</v>
      </c>
      <c r="BZ97" s="1163">
        <f>'2025'!R\Max</f>
        <v>0.96196151078469061</v>
      </c>
      <c r="CA97" s="1163">
        <f>'2026'!R\Max</f>
        <v>0.96196052741302229</v>
      </c>
      <c r="CB97" s="1163">
        <f>'2027'!R\Max</f>
        <v>0.96195957814175348</v>
      </c>
      <c r="CC97" s="1164">
        <f>'2028'!R\Max</f>
        <v>0.96195862522824471</v>
      </c>
      <c r="CD97" s="1163">
        <f>'2029'!R\Max</f>
        <v>0.96195753302961895</v>
      </c>
      <c r="CE97" s="1163">
        <f>'2030'!R\Max</f>
        <v>0.96196336681219174</v>
      </c>
      <c r="CF97" s="1165">
        <f>'2031'!R\Max</f>
        <v>0.96196254029707584</v>
      </c>
    </row>
    <row r="98" spans="1:84" s="6" customFormat="1" ht="11.25" x14ac:dyDescent="0.2">
      <c r="A98" s="11">
        <v>43184</v>
      </c>
      <c r="B98" s="375">
        <f>'2022'!Maxi_hp</f>
        <v>38.887810174833888</v>
      </c>
      <c r="C98" s="13">
        <f>'2022'!An_max</f>
        <v>2022</v>
      </c>
      <c r="D98" s="1050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69">
        <f t="shared" si="61"/>
        <v>43178</v>
      </c>
      <c r="I98" s="744">
        <f t="shared" si="62"/>
        <v>0.42857142857142855</v>
      </c>
      <c r="J98" s="737">
        <f t="shared" si="63"/>
        <v>49.004881923795402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43">
        <v>43184</v>
      </c>
      <c r="AP98" s="13">
        <f t="shared" si="64"/>
        <v>5</v>
      </c>
      <c r="AQ98" s="13">
        <f t="shared" si="65"/>
        <v>4</v>
      </c>
      <c r="AR98" s="169">
        <f t="shared" si="66"/>
        <v>43192</v>
      </c>
      <c r="AS98" s="744">
        <f t="shared" si="67"/>
        <v>0.2857142857142857</v>
      </c>
      <c r="AT98" s="760">
        <f t="shared" si="68"/>
        <v>49.204681923719384</v>
      </c>
      <c r="AU98" s="13">
        <f t="shared" si="69"/>
        <v>5</v>
      </c>
      <c r="AV98" s="13">
        <f t="shared" si="70"/>
        <v>4</v>
      </c>
      <c r="AW98" s="169">
        <f t="shared" si="71"/>
        <v>43206</v>
      </c>
      <c r="AX98" s="744">
        <f t="shared" si="72"/>
        <v>0.7857142857142857</v>
      </c>
      <c r="AY98" s="760">
        <f t="shared" si="73"/>
        <v>48.81762403394761</v>
      </c>
      <c r="AZ98" s="737">
        <f t="shared" si="77"/>
        <v>49.011152978833493</v>
      </c>
      <c r="BA98" s="634">
        <f t="shared" si="74"/>
        <v>0.7935497168487422</v>
      </c>
      <c r="BC98" s="11">
        <v>43184</v>
      </c>
      <c r="BD98" s="286">
        <f>[3]!FeuilCaduc*(1-Persistant)+Persistant</f>
        <v>0.60922793633269923</v>
      </c>
      <c r="BE98" s="287">
        <f>[3]!CroissVégét</f>
        <v>3.9205710601738018E-2</v>
      </c>
      <c r="BF98" s="807">
        <f>1+[3]!Salcycl*Ksac</f>
        <v>1.0011534920415874</v>
      </c>
      <c r="BH98" s="1041">
        <f t="shared" si="75"/>
        <v>2.0848774194863785E-3</v>
      </c>
      <c r="BI98" s="11">
        <v>44280</v>
      </c>
      <c r="BJ98" s="717">
        <v>5.2191744294381975E-4</v>
      </c>
      <c r="BK98" s="717">
        <v>7.4645575484534783E-4</v>
      </c>
      <c r="BL98" s="717">
        <v>9.7562997167840125E-4</v>
      </c>
      <c r="BM98" s="717">
        <v>1.2307071668088436E-3</v>
      </c>
      <c r="BN98" s="717">
        <v>1.5612833074948758E-3</v>
      </c>
      <c r="BO98" s="718">
        <v>2.088135035351523E-3</v>
      </c>
      <c r="BP98" s="717">
        <v>2.6823510992046748E-3</v>
      </c>
      <c r="BQ98" s="717">
        <v>3.4043084519585903E-3</v>
      </c>
      <c r="BR98" s="717">
        <v>4.0827626587250756E-3</v>
      </c>
      <c r="BS98" s="717">
        <v>4.8646909484143666E-3</v>
      </c>
      <c r="BT98" s="717">
        <v>5.6549441715489602E-3</v>
      </c>
      <c r="BW98" s="1162">
        <f>'2022'!R\Max</f>
        <v>0.7935497168487422</v>
      </c>
      <c r="BX98" s="1163">
        <f>'2023'!R\Max</f>
        <v>0.79354582671859564</v>
      </c>
      <c r="BY98" s="1163">
        <f>'2024'!R\Max</f>
        <v>0.79354191405154584</v>
      </c>
      <c r="BZ98" s="1163">
        <f>'2025'!R\Max</f>
        <v>0.79353718740857992</v>
      </c>
      <c r="CA98" s="1163">
        <f>'2026'!R\Max</f>
        <v>0.79353246827539292</v>
      </c>
      <c r="CB98" s="1163">
        <f>'2027'!R\Max</f>
        <v>0.79352802619782692</v>
      </c>
      <c r="CC98" s="1164">
        <f>'2028'!R\Max</f>
        <v>0.79352356581811168</v>
      </c>
      <c r="CD98" s="1163">
        <f>'2029'!R\Max</f>
        <v>0.79351844597439658</v>
      </c>
      <c r="CE98" s="1163">
        <f>'2030'!R\Max</f>
        <v>0.79354602113478356</v>
      </c>
      <c r="CF98" s="1165">
        <f>'2031'!R\Max</f>
        <v>0.79354213091801318</v>
      </c>
    </row>
    <row r="99" spans="1:84" s="6" customFormat="1" ht="11.25" x14ac:dyDescent="0.2">
      <c r="A99" s="11">
        <v>43185</v>
      </c>
      <c r="B99" s="375">
        <f>'2022'!Maxi_hp</f>
        <v>42.715167261365842</v>
      </c>
      <c r="C99" s="13">
        <f>'2022'!An_max</f>
        <v>2022</v>
      </c>
      <c r="D99" s="1050" t="str">
        <f t="shared" si="59"/>
        <v/>
      </c>
      <c r="E99" s="13"/>
      <c r="F99" s="13">
        <f t="shared" si="76"/>
        <v>7</v>
      </c>
      <c r="G99" s="13">
        <f t="shared" si="60"/>
        <v>8</v>
      </c>
      <c r="H99" s="169">
        <f t="shared" si="61"/>
        <v>43178</v>
      </c>
      <c r="I99" s="744">
        <f t="shared" si="62"/>
        <v>0.5</v>
      </c>
      <c r="J99" s="737">
        <f t="shared" si="63"/>
        <v>49.481718749740686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43">
        <v>43185</v>
      </c>
      <c r="AP99" s="13">
        <f t="shared" si="64"/>
        <v>5</v>
      </c>
      <c r="AQ99" s="13">
        <f t="shared" si="65"/>
        <v>4</v>
      </c>
      <c r="AR99" s="169">
        <f t="shared" si="66"/>
        <v>43192</v>
      </c>
      <c r="AS99" s="744">
        <f t="shared" si="67"/>
        <v>0.25</v>
      </c>
      <c r="AT99" s="760">
        <f t="shared" si="68"/>
        <v>49.665128904907036</v>
      </c>
      <c r="AU99" s="13">
        <f t="shared" si="69"/>
        <v>5</v>
      </c>
      <c r="AV99" s="13">
        <f t="shared" si="70"/>
        <v>4</v>
      </c>
      <c r="AW99" s="169">
        <f t="shared" si="71"/>
        <v>43206</v>
      </c>
      <c r="AX99" s="744">
        <f t="shared" si="72"/>
        <v>0.75</v>
      </c>
      <c r="AY99" s="760">
        <f t="shared" si="73"/>
        <v>49.270211718603967</v>
      </c>
      <c r="AZ99" s="737">
        <f t="shared" si="77"/>
        <v>49.467670311755498</v>
      </c>
      <c r="BA99" s="634">
        <f t="shared" si="74"/>
        <v>0.86325148642072369</v>
      </c>
      <c r="BC99" s="11">
        <v>43185</v>
      </c>
      <c r="BD99" s="286">
        <f>[3]!FeuilCaduc*(1-Persistant)+Persistant</f>
        <v>0.60990974227623396</v>
      </c>
      <c r="BE99" s="287">
        <f>[3]!CroissVégét</f>
        <v>4.0837082604545251E-2</v>
      </c>
      <c r="BF99" s="807">
        <f>1+[3]!Salcycl*Ksac</f>
        <v>1.0012387177845292</v>
      </c>
      <c r="BH99" s="1041">
        <f t="shared" si="75"/>
        <v>2.1319929864945914E-3</v>
      </c>
      <c r="BI99" s="11">
        <v>44281</v>
      </c>
      <c r="BJ99" s="717">
        <v>4.9396900972455712E-4</v>
      </c>
      <c r="BK99" s="717">
        <v>7.2444510726799591E-4</v>
      </c>
      <c r="BL99" s="717">
        <v>9.5889322684614749E-4</v>
      </c>
      <c r="BM99" s="717">
        <v>1.2215072668323021E-3</v>
      </c>
      <c r="BN99" s="717">
        <v>1.5672095814763358E-3</v>
      </c>
      <c r="BO99" s="718">
        <v>2.1355068674539473E-3</v>
      </c>
      <c r="BP99" s="717">
        <v>2.7711459038332383E-3</v>
      </c>
      <c r="BQ99" s="717">
        <v>3.5611730406629725E-3</v>
      </c>
      <c r="BR99" s="717">
        <v>4.2884125220079491E-3</v>
      </c>
      <c r="BS99" s="717">
        <v>5.123945816682904E-3</v>
      </c>
      <c r="BT99" s="717">
        <v>5.9429044792342327E-3</v>
      </c>
      <c r="BW99" s="1162">
        <f>'2022'!R\Max</f>
        <v>0.86325148642072369</v>
      </c>
      <c r="BX99" s="1163">
        <f>'2023'!R\Max</f>
        <v>0.86324851350876564</v>
      </c>
      <c r="BY99" s="1163">
        <f>'2024'!R\Max</f>
        <v>0.86324551995366183</v>
      </c>
      <c r="BZ99" s="1163">
        <f>'2025'!R\Max</f>
        <v>0.86324182473859656</v>
      </c>
      <c r="CA99" s="1163">
        <f>'2026'!R\Max</f>
        <v>0.86323813775473102</v>
      </c>
      <c r="CB99" s="1163">
        <f>'2027'!R\Max</f>
        <v>0.86323473598318845</v>
      </c>
      <c r="CC99" s="1164">
        <f>'2028'!R\Max</f>
        <v>0.86323131967883793</v>
      </c>
      <c r="CD99" s="1163">
        <f>'2029'!R\Max</f>
        <v>0.8632274110830469</v>
      </c>
      <c r="CE99" s="1163">
        <f>'2030'!R\Max</f>
        <v>0.86324866208568785</v>
      </c>
      <c r="CF99" s="1165">
        <f>'2031'!R\Max</f>
        <v>0.863245689093603</v>
      </c>
    </row>
    <row r="100" spans="1:84" s="6" customFormat="1" ht="11.25" x14ac:dyDescent="0.2">
      <c r="A100" s="11">
        <v>43186</v>
      </c>
      <c r="B100" s="375">
        <f>'2022'!Maxi_hp</f>
        <v>44.703118513444139</v>
      </c>
      <c r="C100" s="13">
        <f>'2022'!An_max</f>
        <v>2022</v>
      </c>
      <c r="D100" s="1050" t="str">
        <f t="shared" si="59"/>
        <v/>
      </c>
      <c r="E100" s="13"/>
      <c r="F100" s="13">
        <f t="shared" si="76"/>
        <v>7</v>
      </c>
      <c r="G100" s="13">
        <f t="shared" si="60"/>
        <v>8</v>
      </c>
      <c r="H100" s="169">
        <f t="shared" si="61"/>
        <v>43178</v>
      </c>
      <c r="I100" s="744">
        <f t="shared" si="62"/>
        <v>0.5714285714285714</v>
      </c>
      <c r="J100" s="737">
        <f t="shared" si="63"/>
        <v>49.955242565139109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43">
        <v>43186</v>
      </c>
      <c r="AP100" s="13">
        <f t="shared" si="64"/>
        <v>5</v>
      </c>
      <c r="AQ100" s="13">
        <f t="shared" si="65"/>
        <v>4</v>
      </c>
      <c r="AR100" s="169">
        <f t="shared" si="66"/>
        <v>43192</v>
      </c>
      <c r="AS100" s="744">
        <f t="shared" si="67"/>
        <v>0.21428571428571427</v>
      </c>
      <c r="AT100" s="760">
        <f t="shared" si="68"/>
        <v>50.118472029401786</v>
      </c>
      <c r="AU100" s="13">
        <f t="shared" si="69"/>
        <v>5</v>
      </c>
      <c r="AV100" s="13">
        <f t="shared" si="70"/>
        <v>4</v>
      </c>
      <c r="AW100" s="169">
        <f t="shared" si="71"/>
        <v>43206</v>
      </c>
      <c r="AX100" s="744">
        <f t="shared" si="72"/>
        <v>0.7142857142857143</v>
      </c>
      <c r="AY100" s="760">
        <f t="shared" si="73"/>
        <v>49.723404664626081</v>
      </c>
      <c r="AZ100" s="737">
        <f t="shared" si="77"/>
        <v>49.92093834701393</v>
      </c>
      <c r="BA100" s="634">
        <f t="shared" si="74"/>
        <v>0.8948634060810241</v>
      </c>
      <c r="BC100" s="11">
        <v>43186</v>
      </c>
      <c r="BD100" s="286">
        <f>[3]!FeuilCaduc*(1-Persistant)+Persistant</f>
        <v>0.61065025587443977</v>
      </c>
      <c r="BE100" s="287">
        <f>[3]!CroissVégét</f>
        <v>4.2531012940474407E-2</v>
      </c>
      <c r="BF100" s="807">
        <f>1+[3]!Salcycl*Ksac</f>
        <v>1.001331281984305</v>
      </c>
      <c r="BH100" s="1041">
        <f t="shared" si="75"/>
        <v>2.1753945936628903E-3</v>
      </c>
      <c r="BI100" s="11">
        <v>44282</v>
      </c>
      <c r="BJ100" s="717">
        <v>4.6592351302466065E-4</v>
      </c>
      <c r="BK100" s="717">
        <v>7.0186432580682928E-4</v>
      </c>
      <c r="BL100" s="717">
        <v>9.4127248427914451E-4</v>
      </c>
      <c r="BM100" s="717">
        <v>1.2111818308024665E-3</v>
      </c>
      <c r="BN100" s="717">
        <v>1.571435558642307E-3</v>
      </c>
      <c r="BO100" s="718">
        <v>2.1791522114231383E-3</v>
      </c>
      <c r="BP100" s="717">
        <v>2.8586246248500286E-3</v>
      </c>
      <c r="BQ100" s="717">
        <v>3.7253859937611271E-3</v>
      </c>
      <c r="BR100" s="717">
        <v>4.5136871537236846E-3</v>
      </c>
      <c r="BS100" s="717">
        <v>5.4134399982192572E-3</v>
      </c>
      <c r="BT100" s="717">
        <v>6.2683109916066753E-3</v>
      </c>
      <c r="BW100" s="1162">
        <f>'2022'!R\Max</f>
        <v>0.8948634060810241</v>
      </c>
      <c r="BX100" s="1163">
        <f>'2023'!R\Max</f>
        <v>0.89486089427873761</v>
      </c>
      <c r="BY100" s="1163">
        <f>'2024'!R\Max</f>
        <v>0.89485836151137066</v>
      </c>
      <c r="BZ100" s="1163">
        <f>'2025'!R\Max</f>
        <v>0.89485515714050556</v>
      </c>
      <c r="CA100" s="1163">
        <f>'2026'!R\Max</f>
        <v>0.89485196138981149</v>
      </c>
      <c r="CB100" s="1163">
        <f>'2027'!R\Max</f>
        <v>0.89484904685166511</v>
      </c>
      <c r="CC100" s="1164">
        <f>'2028'!R\Max</f>
        <v>0.89484611977604056</v>
      </c>
      <c r="CD100" s="1163">
        <f>'2029'!R\Max</f>
        <v>0.89484279291993618</v>
      </c>
      <c r="CE100" s="1163">
        <f>'2030'!R\Max</f>
        <v>0.8948610198110305</v>
      </c>
      <c r="CF100" s="1165">
        <f>'2031'!R\Max</f>
        <v>0.89485850793294752</v>
      </c>
    </row>
    <row r="101" spans="1:84" s="6" customFormat="1" ht="11.25" x14ac:dyDescent="0.2">
      <c r="A101" s="11">
        <v>43187</v>
      </c>
      <c r="B101" s="375">
        <f>'2022'!Maxi_hp</f>
        <v>38.404052832194026</v>
      </c>
      <c r="C101" s="13">
        <f>'2022'!An_max</f>
        <v>2022</v>
      </c>
      <c r="D101" s="1050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69">
        <f t="shared" si="61"/>
        <v>43178</v>
      </c>
      <c r="I101" s="744">
        <f t="shared" si="62"/>
        <v>0.6428571428571429</v>
      </c>
      <c r="J101" s="737">
        <f t="shared" si="63"/>
        <v>50.424033508799042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43">
        <v>43187</v>
      </c>
      <c r="AP101" s="13">
        <f t="shared" si="64"/>
        <v>5</v>
      </c>
      <c r="AQ101" s="13">
        <f t="shared" si="65"/>
        <v>4</v>
      </c>
      <c r="AR101" s="169">
        <f t="shared" si="66"/>
        <v>43192</v>
      </c>
      <c r="AS101" s="744">
        <f t="shared" si="67"/>
        <v>0.17857142857142858</v>
      </c>
      <c r="AT101" s="760">
        <f t="shared" si="68"/>
        <v>50.563960405572189</v>
      </c>
      <c r="AU101" s="13">
        <f t="shared" si="69"/>
        <v>5</v>
      </c>
      <c r="AV101" s="13">
        <f t="shared" si="70"/>
        <v>4</v>
      </c>
      <c r="AW101" s="169">
        <f t="shared" si="71"/>
        <v>43206</v>
      </c>
      <c r="AX101" s="744">
        <f t="shared" si="72"/>
        <v>0.6785714285714286</v>
      </c>
      <c r="AY101" s="760">
        <f t="shared" si="73"/>
        <v>50.176506593850036</v>
      </c>
      <c r="AZ101" s="737">
        <f t="shared" si="77"/>
        <v>50.370233499711112</v>
      </c>
      <c r="BA101" s="634">
        <f t="shared" si="74"/>
        <v>0.76162199173321754</v>
      </c>
      <c r="BC101" s="11">
        <v>43187</v>
      </c>
      <c r="BD101" s="286">
        <f>[3]!FeuilCaduc*(1-Persistant)+Persistant</f>
        <v>0.6114525240608456</v>
      </c>
      <c r="BE101" s="287">
        <f>[3]!CroissVégét</f>
        <v>4.4289656039802887E-2</v>
      </c>
      <c r="BF101" s="807">
        <f>1+[3]!Salcycl*Ksac</f>
        <v>1.0014315655076058</v>
      </c>
      <c r="BH101" s="1041">
        <f t="shared" si="75"/>
        <v>2.2107518737741459E-3</v>
      </c>
      <c r="BI101" s="11">
        <v>44283</v>
      </c>
      <c r="BJ101" s="717">
        <v>4.3903029256025876E-4</v>
      </c>
      <c r="BK101" s="717">
        <v>6.7936758232687298E-4</v>
      </c>
      <c r="BL101" s="717">
        <v>9.2286907529930205E-4</v>
      </c>
      <c r="BM101" s="717">
        <v>1.1991653284553741E-3</v>
      </c>
      <c r="BN101" s="717">
        <v>1.5723343701390391E-3</v>
      </c>
      <c r="BO101" s="718">
        <v>2.2147238798391447E-3</v>
      </c>
      <c r="BP101" s="717">
        <v>2.9335444647308716E-3</v>
      </c>
      <c r="BQ101" s="717">
        <v>3.8774372716669655E-3</v>
      </c>
      <c r="BR101" s="717">
        <v>4.7302844304541831E-3</v>
      </c>
      <c r="BS101" s="717">
        <v>5.6976986337075701E-3</v>
      </c>
      <c r="BT101" s="717">
        <v>6.5875093537478375E-3</v>
      </c>
      <c r="BW101" s="1162">
        <f>'2022'!R\Max</f>
        <v>0.76162199173321754</v>
      </c>
      <c r="BX101" s="1163">
        <f>'2023'!R\Max</f>
        <v>0.76161690496950707</v>
      </c>
      <c r="BY101" s="1163">
        <f>'2024'!R\Max</f>
        <v>0.76161176722741586</v>
      </c>
      <c r="BZ101" s="1163">
        <f>'2025'!R\Max</f>
        <v>0.76160508735642962</v>
      </c>
      <c r="CA101" s="1163">
        <f>'2026'!R\Max</f>
        <v>0.7615984278281559</v>
      </c>
      <c r="CB101" s="1163">
        <f>'2027'!R\Max</f>
        <v>0.7615923918820614</v>
      </c>
      <c r="CC101" s="1164">
        <f>'2028'!R\Max</f>
        <v>0.76158632986564612</v>
      </c>
      <c r="CD101" s="1163">
        <f>'2029'!R\Max</f>
        <v>0.76157948264667552</v>
      </c>
      <c r="CE101" s="1163">
        <f>'2030'!R\Max</f>
        <v>0.76161715918988326</v>
      </c>
      <c r="CF101" s="1165">
        <f>'2031'!R\Max</f>
        <v>0.76161207230116601</v>
      </c>
    </row>
    <row r="102" spans="1:84" s="6" customFormat="1" ht="11.25" x14ac:dyDescent="0.2">
      <c r="A102" s="11">
        <v>43188</v>
      </c>
      <c r="B102" s="375">
        <f>'2022'!Maxi_hp</f>
        <v>29.247996056103595</v>
      </c>
      <c r="C102" s="13">
        <f>'2022'!An_max</f>
        <v>2022</v>
      </c>
      <c r="D102" s="1050" t="str">
        <f t="shared" si="59"/>
        <v/>
      </c>
      <c r="E102" s="13"/>
      <c r="F102" s="13">
        <f t="shared" si="76"/>
        <v>7</v>
      </c>
      <c r="G102" s="13">
        <f t="shared" si="60"/>
        <v>8</v>
      </c>
      <c r="H102" s="169">
        <f t="shared" si="61"/>
        <v>43178</v>
      </c>
      <c r="I102" s="744">
        <f t="shared" si="62"/>
        <v>0.7142857142857143</v>
      </c>
      <c r="J102" s="737">
        <f t="shared" si="63"/>
        <v>50.886671719214476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43">
        <v>43188</v>
      </c>
      <c r="AP102" s="13">
        <f t="shared" si="64"/>
        <v>5</v>
      </c>
      <c r="AQ102" s="13">
        <f t="shared" si="65"/>
        <v>4</v>
      </c>
      <c r="AR102" s="169">
        <f t="shared" si="66"/>
        <v>43192</v>
      </c>
      <c r="AS102" s="744">
        <f t="shared" si="67"/>
        <v>0.14285714285714285</v>
      </c>
      <c r="AT102" s="760">
        <f t="shared" si="68"/>
        <v>51.000843147986707</v>
      </c>
      <c r="AU102" s="13">
        <f t="shared" si="69"/>
        <v>5</v>
      </c>
      <c r="AV102" s="13">
        <f t="shared" si="70"/>
        <v>4</v>
      </c>
      <c r="AW102" s="169">
        <f t="shared" si="71"/>
        <v>43206</v>
      </c>
      <c r="AX102" s="744">
        <f t="shared" si="72"/>
        <v>0.6428571428571429</v>
      </c>
      <c r="AY102" s="760">
        <f t="shared" si="73"/>
        <v>50.628821228018829</v>
      </c>
      <c r="AZ102" s="737">
        <f t="shared" si="77"/>
        <v>50.814832188002768</v>
      </c>
      <c r="BA102" s="634">
        <f t="shared" si="74"/>
        <v>0.57476732252189611</v>
      </c>
      <c r="BC102" s="11">
        <v>43188</v>
      </c>
      <c r="BD102" s="286">
        <f>[3]!FeuilCaduc*(1-Persistant)+Persistant</f>
        <v>0.61231956617540229</v>
      </c>
      <c r="BE102" s="287">
        <f>[3]!CroissVégét</f>
        <v>4.6115220608575654E-2</v>
      </c>
      <c r="BF102" s="807">
        <f>1+[3]!Salcycl*Ksac</f>
        <v>1.0015399457719254</v>
      </c>
      <c r="BH102" s="1041">
        <f t="shared" si="75"/>
        <v>2.2380651426793744E-3</v>
      </c>
      <c r="BI102" s="11">
        <v>44284</v>
      </c>
      <c r="BJ102" s="717">
        <v>4.1328921416407992E-4</v>
      </c>
      <c r="BK102" s="717">
        <v>6.5695480053902424E-4</v>
      </c>
      <c r="BL102" s="717">
        <v>9.0368295471948419E-4</v>
      </c>
      <c r="BM102" s="717">
        <v>1.1854577304749956E-3</v>
      </c>
      <c r="BN102" s="717">
        <v>1.5699060413768811E-3</v>
      </c>
      <c r="BO102" s="718">
        <v>2.2422221903600006E-3</v>
      </c>
      <c r="BP102" s="717">
        <v>2.9959059524636549E-3</v>
      </c>
      <c r="BQ102" s="717">
        <v>4.0173266883480946E-3</v>
      </c>
      <c r="BR102" s="717">
        <v>4.9382031204428549E-3</v>
      </c>
      <c r="BS102" s="717">
        <v>5.9767194041604977E-3</v>
      </c>
      <c r="BT102" s="717">
        <v>6.9004969554503021E-3</v>
      </c>
      <c r="BW102" s="1162">
        <f>'2022'!R\Max</f>
        <v>0.57476732252189611</v>
      </c>
      <c r="BX102" s="1163">
        <f>'2023'!R\Max</f>
        <v>0.5747601977647524</v>
      </c>
      <c r="BY102" s="1163">
        <f>'2024'!R\Max</f>
        <v>0.57475298747435566</v>
      </c>
      <c r="BZ102" s="1163">
        <f>'2025'!R\Max</f>
        <v>0.57474333139534806</v>
      </c>
      <c r="CA102" s="1163">
        <f>'2026'!R\Max</f>
        <v>0.57473370718557204</v>
      </c>
      <c r="CB102" s="1163">
        <f>'2027'!R\Max</f>
        <v>0.57472500124174153</v>
      </c>
      <c r="CC102" s="1164">
        <f>'2028'!R\Max</f>
        <v>0.57471625759313261</v>
      </c>
      <c r="CD102" s="1163">
        <f>'2029'!R\Max</f>
        <v>0.57470643908747965</v>
      </c>
      <c r="CE102" s="1163">
        <f>'2030'!R\Max</f>
        <v>0.57476055383593538</v>
      </c>
      <c r="CF102" s="1165">
        <f>'2031'!R\Max</f>
        <v>0.57475342897036041</v>
      </c>
    </row>
    <row r="103" spans="1:84" s="6" customFormat="1" ht="11.25" x14ac:dyDescent="0.2">
      <c r="A103" s="11">
        <v>43189</v>
      </c>
      <c r="B103" s="375">
        <f>'2022'!Maxi_hp</f>
        <v>8.146149983745957</v>
      </c>
      <c r="C103" s="13">
        <f>'2022'!An_max</f>
        <v>2022</v>
      </c>
      <c r="D103" s="1050" t="str">
        <f t="shared" si="59"/>
        <v/>
      </c>
      <c r="E103" s="13"/>
      <c r="F103" s="13">
        <f t="shared" si="76"/>
        <v>7</v>
      </c>
      <c r="G103" s="13">
        <f t="shared" si="60"/>
        <v>8</v>
      </c>
      <c r="H103" s="169">
        <f t="shared" si="61"/>
        <v>43178</v>
      </c>
      <c r="I103" s="744">
        <f t="shared" si="62"/>
        <v>0.7857142857142857</v>
      </c>
      <c r="J103" s="737">
        <f t="shared" si="63"/>
        <v>51.341737334876541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43">
        <v>43189</v>
      </c>
      <c r="AP103" s="13">
        <f t="shared" si="64"/>
        <v>5</v>
      </c>
      <c r="AQ103" s="13">
        <f t="shared" si="65"/>
        <v>4</v>
      </c>
      <c r="AR103" s="169">
        <f t="shared" si="66"/>
        <v>43192</v>
      </c>
      <c r="AS103" s="744">
        <f t="shared" si="67"/>
        <v>0.10714285714285714</v>
      </c>
      <c r="AT103" s="760">
        <f t="shared" si="68"/>
        <v>51.428369365273305</v>
      </c>
      <c r="AU103" s="13">
        <f t="shared" si="69"/>
        <v>5</v>
      </c>
      <c r="AV103" s="13">
        <f t="shared" si="70"/>
        <v>4</v>
      </c>
      <c r="AW103" s="169">
        <f t="shared" si="71"/>
        <v>43206</v>
      </c>
      <c r="AX103" s="744">
        <f t="shared" si="72"/>
        <v>0.6071428571428571</v>
      </c>
      <c r="AY103" s="760">
        <f t="shared" si="73"/>
        <v>51.07965228880888</v>
      </c>
      <c r="AZ103" s="737">
        <f t="shared" si="77"/>
        <v>51.254010827041093</v>
      </c>
      <c r="BA103" s="634">
        <f t="shared" si="74"/>
        <v>0.15866525767549869</v>
      </c>
      <c r="BC103" s="11">
        <v>43189</v>
      </c>
      <c r="BD103" s="286">
        <f>[3]!FeuilCaduc*(1-Persistant)+Persistant</f>
        <v>0.61325436630966779</v>
      </c>
      <c r="BE103" s="287">
        <f>[3]!CroissVégét</f>
        <v>4.8009969311812332E-2</v>
      </c>
      <c r="BF103" s="807">
        <f>1+[3]!Salcycl*Ksac</f>
        <v>1.0016567957887086</v>
      </c>
      <c r="BH103" s="1041">
        <f t="shared" si="75"/>
        <v>2.2573347754712798E-3</v>
      </c>
      <c r="BI103" s="11">
        <v>44285</v>
      </c>
      <c r="BJ103" s="717">
        <v>3.887001586669818E-4</v>
      </c>
      <c r="BK103" s="717">
        <v>6.3462592734507149E-4</v>
      </c>
      <c r="BL103" s="717">
        <v>8.8371410661972625E-4</v>
      </c>
      <c r="BM103" s="717">
        <v>1.1700590409189297E-3</v>
      </c>
      <c r="BN103" s="717">
        <v>1.5641506370220274E-3</v>
      </c>
      <c r="BO103" s="718">
        <v>2.2616475200097738E-3</v>
      </c>
      <c r="BP103" s="717">
        <v>3.0457096882984037E-3</v>
      </c>
      <c r="BQ103" s="717">
        <v>4.1450540409878299E-3</v>
      </c>
      <c r="BR103" s="717">
        <v>5.1374418632548014E-3</v>
      </c>
      <c r="BS103" s="717">
        <v>6.2504997471666815E-3</v>
      </c>
      <c r="BT103" s="717">
        <v>7.2072709171382343E-3</v>
      </c>
      <c r="BW103" s="1162">
        <f>'2022'!R\Max</f>
        <v>0.15866525767549869</v>
      </c>
      <c r="BX103" s="1163">
        <f>'2023'!R\Max</f>
        <v>0.15866191429883553</v>
      </c>
      <c r="BY103" s="1163">
        <f>'2024'!R\Max</f>
        <v>0.1586585230026645</v>
      </c>
      <c r="BZ103" s="1163">
        <f>'2025'!R\Max</f>
        <v>0.15865383520824941</v>
      </c>
      <c r="CA103" s="1163">
        <f>'2026'!R\Max</f>
        <v>0.1586491636699375</v>
      </c>
      <c r="CB103" s="1163">
        <f>'2027'!R\Max</f>
        <v>0.15864493195666277</v>
      </c>
      <c r="CC103" s="1164">
        <f>'2028'!R\Max</f>
        <v>0.15864068190315309</v>
      </c>
      <c r="CD103" s="1163">
        <f>'2029'!R\Max</f>
        <v>0.15863593563186956</v>
      </c>
      <c r="CE103" s="1163">
        <f>'2030'!R\Max</f>
        <v>0.15866208138818333</v>
      </c>
      <c r="CF103" s="1165">
        <f>'2031'!R\Max</f>
        <v>0.15865873801152022</v>
      </c>
    </row>
    <row r="104" spans="1:84" s="6" customFormat="1" ht="11.25" x14ac:dyDescent="0.2">
      <c r="A104" s="11">
        <v>43190</v>
      </c>
      <c r="B104" s="375">
        <f>'2022'!Maxi_hp</f>
        <v>28.452173225194628</v>
      </c>
      <c r="C104" s="13">
        <f>'2022'!An_max</f>
        <v>2022</v>
      </c>
      <c r="D104" s="1050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69">
        <f t="shared" si="61"/>
        <v>43178</v>
      </c>
      <c r="I104" s="744">
        <f t="shared" si="62"/>
        <v>0.8571428571428571</v>
      </c>
      <c r="J104" s="737">
        <f t="shared" si="63"/>
        <v>51.787810494275092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43">
        <v>43190</v>
      </c>
      <c r="AP104" s="13">
        <f t="shared" si="64"/>
        <v>5</v>
      </c>
      <c r="AQ104" s="13">
        <f t="shared" si="65"/>
        <v>4</v>
      </c>
      <c r="AR104" s="169">
        <f t="shared" si="66"/>
        <v>43192</v>
      </c>
      <c r="AS104" s="744">
        <f t="shared" si="67"/>
        <v>7.1428571428571425E-2</v>
      </c>
      <c r="AT104" s="760">
        <f t="shared" si="68"/>
        <v>51.845788173776654</v>
      </c>
      <c r="AU104" s="13">
        <f t="shared" si="69"/>
        <v>5</v>
      </c>
      <c r="AV104" s="13">
        <f t="shared" si="70"/>
        <v>4</v>
      </c>
      <c r="AW104" s="169">
        <f t="shared" si="71"/>
        <v>43206</v>
      </c>
      <c r="AX104" s="744">
        <f t="shared" si="72"/>
        <v>0.5714285714285714</v>
      </c>
      <c r="AY104" s="760">
        <f t="shared" si="73"/>
        <v>51.528303498455458</v>
      </c>
      <c r="AZ104" s="737">
        <f t="shared" si="77"/>
        <v>51.687045836116056</v>
      </c>
      <c r="BA104" s="634">
        <f t="shared" si="74"/>
        <v>0.54939903721822503</v>
      </c>
      <c r="BC104" s="11">
        <v>43190</v>
      </c>
      <c r="BD104" s="286">
        <f>[3]!FeuilCaduc*(1-Persistant)+Persistant</f>
        <v>0.6142598660069285</v>
      </c>
      <c r="BE104" s="287">
        <f>[3]!CroissVégét</f>
        <v>4.9976218279140845E-2</v>
      </c>
      <c r="BF104" s="807">
        <f>1+[3]!Salcycl*Ksac</f>
        <v>1.0017824832508662</v>
      </c>
      <c r="BH104" s="1041">
        <f t="shared" si="75"/>
        <v>2.2685612281288219E-3</v>
      </c>
      <c r="BI104" s="11">
        <v>44286</v>
      </c>
      <c r="BJ104" s="717">
        <v>3.6526301879963362E-4</v>
      </c>
      <c r="BK104" s="717">
        <v>6.1238093261393198E-4</v>
      </c>
      <c r="BL104" s="717">
        <v>8.6296254645539319E-4</v>
      </c>
      <c r="BM104" s="717">
        <v>1.1529693017700863E-3</v>
      </c>
      <c r="BN104" s="717">
        <v>1.5550682699493571E-3</v>
      </c>
      <c r="BO104" s="718">
        <v>2.2730003269020951E-3</v>
      </c>
      <c r="BP104" s="717">
        <v>3.0829563775364496E-3</v>
      </c>
      <c r="BQ104" s="717">
        <v>4.2606191426827608E-3</v>
      </c>
      <c r="BR104" s="717">
        <v>5.3279991930730774E-3</v>
      </c>
      <c r="BS104" s="717">
        <v>6.5190368708989838E-3</v>
      </c>
      <c r="BT104" s="717">
        <v>7.5078281064828089E-3</v>
      </c>
      <c r="BW104" s="1162">
        <f>'2022'!R\Max</f>
        <v>0.54939903721822503</v>
      </c>
      <c r="BX104" s="1163">
        <f>'2023'!R\Max</f>
        <v>0.5493913926304792</v>
      </c>
      <c r="BY104" s="1163">
        <f>'2024'!R\Max</f>
        <v>0.54938361739731267</v>
      </c>
      <c r="BZ104" s="1163">
        <f>'2025'!R\Max</f>
        <v>0.54937250190836473</v>
      </c>
      <c r="CA104" s="1163">
        <f>'2026'!R\Max</f>
        <v>0.54936142531980836</v>
      </c>
      <c r="CB104" s="1163">
        <f>'2027'!R\Max</f>
        <v>0.54935135030549209</v>
      </c>
      <c r="CC104" s="1164">
        <f>'2028'!R\Max</f>
        <v>0.54934123118793643</v>
      </c>
      <c r="CD104" s="1163">
        <f>'2029'!R\Max</f>
        <v>0.54939940852210667</v>
      </c>
      <c r="CE104" s="1163">
        <f>'2030'!R\Max</f>
        <v>0.54939177468091949</v>
      </c>
      <c r="CF104" s="1165">
        <f>'2031'!R\Max</f>
        <v>0.54938412998130925</v>
      </c>
    </row>
    <row r="105" spans="1:84" s="6" customFormat="1" ht="11.25" x14ac:dyDescent="0.2">
      <c r="A105" s="11">
        <v>43191</v>
      </c>
      <c r="B105" s="375">
        <f>'2022'!Maxi_hp</f>
        <v>31.296982474541696</v>
      </c>
      <c r="C105" s="13">
        <f>'2022'!An_max</f>
        <v>2022</v>
      </c>
      <c r="D105" s="1050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69">
        <f t="shared" si="61"/>
        <v>43178</v>
      </c>
      <c r="I105" s="744">
        <f t="shared" si="62"/>
        <v>0.9285714285714286</v>
      </c>
      <c r="J105" s="737">
        <f t="shared" si="63"/>
        <v>52.223471335903739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43">
        <v>43191</v>
      </c>
      <c r="AP105" s="13">
        <f t="shared" si="64"/>
        <v>5</v>
      </c>
      <c r="AQ105" s="13">
        <f t="shared" si="65"/>
        <v>4</v>
      </c>
      <c r="AR105" s="169">
        <f t="shared" si="66"/>
        <v>43192</v>
      </c>
      <c r="AS105" s="744">
        <f t="shared" si="67"/>
        <v>3.5714285714285712E-2</v>
      </c>
      <c r="AT105" s="760">
        <f t="shared" si="68"/>
        <v>52.252348679716569</v>
      </c>
      <c r="AU105" s="13">
        <f t="shared" si="69"/>
        <v>5</v>
      </c>
      <c r="AV105" s="13">
        <f t="shared" si="70"/>
        <v>4</v>
      </c>
      <c r="AW105" s="169">
        <f t="shared" si="71"/>
        <v>43206</v>
      </c>
      <c r="AX105" s="744">
        <f t="shared" si="72"/>
        <v>0.5357142857142857</v>
      </c>
      <c r="AY105" s="760">
        <f t="shared" si="73"/>
        <v>51.974078577796796</v>
      </c>
      <c r="AZ105" s="737">
        <f t="shared" si="77"/>
        <v>52.113213628756682</v>
      </c>
      <c r="BA105" s="634">
        <f t="shared" si="74"/>
        <v>0.59928958519892495</v>
      </c>
      <c r="BC105" s="11">
        <v>43191</v>
      </c>
      <c r="BD105" s="286">
        <f>[3]!FeuilCaduc*(1-Persistant)+Persistant</f>
        <v>0.61533895731289323</v>
      </c>
      <c r="BE105" s="287">
        <f>[3]!CroissVégét</f>
        <v>5.201633641771132E-2</v>
      </c>
      <c r="BF105" s="807">
        <f>1+[3]!Salcycl*Ksac</f>
        <v>1.0019173696641117</v>
      </c>
      <c r="BH105" s="1041">
        <f t="shared" si="75"/>
        <v>2.2717450591578561E-3</v>
      </c>
      <c r="BI105" s="11">
        <v>44287</v>
      </c>
      <c r="BJ105" s="717">
        <v>3.4297769609353953E-4</v>
      </c>
      <c r="BK105" s="717">
        <v>5.9021980895680422E-4</v>
      </c>
      <c r="BL105" s="717">
        <v>8.4142832316381675E-4</v>
      </c>
      <c r="BM105" s="717">
        <v>1.134188597486347E-3</v>
      </c>
      <c r="BN105" s="717">
        <v>1.5426591101925541E-3</v>
      </c>
      <c r="BO105" s="718">
        <v>2.2762811719597548E-3</v>
      </c>
      <c r="BP105" s="717">
        <v>3.1076468643142768E-3</v>
      </c>
      <c r="BQ105" s="717">
        <v>4.3640218551329801E-3</v>
      </c>
      <c r="BR105" s="717">
        <v>5.5098735619857966E-3</v>
      </c>
      <c r="BS105" s="717">
        <v>6.7823277681115348E-3</v>
      </c>
      <c r="BT105" s="717">
        <v>7.802165155004758E-3</v>
      </c>
      <c r="BW105" s="1162">
        <f>'2022'!R\Max</f>
        <v>0.59928958519892495</v>
      </c>
      <c r="BX105" s="1163">
        <f>'2023'!R\Max</f>
        <v>0.59928202389118013</v>
      </c>
      <c r="BY105" s="1163">
        <f>'2024'!R\Max</f>
        <v>0.59927430917156288</v>
      </c>
      <c r="BZ105" s="1163">
        <f>'2025'!R\Max</f>
        <v>0.59926288189529076</v>
      </c>
      <c r="CA105" s="1163">
        <f>'2026'!R\Max</f>
        <v>0.59925149415305135</v>
      </c>
      <c r="CB105" s="1163">
        <f>'2027'!R\Max</f>
        <v>0.59924107155442186</v>
      </c>
      <c r="CC105" s="1164">
        <f>'2028'!R\Max</f>
        <v>0.59923060302462194</v>
      </c>
      <c r="CD105" s="1163">
        <f>'2029'!R\Max</f>
        <v>0.59928995390106543</v>
      </c>
      <c r="CE105" s="1163">
        <f>'2030'!R\Max</f>
        <v>0.59928240178018821</v>
      </c>
      <c r="CF105" s="1165">
        <f>'2031'!R\Max</f>
        <v>0.59927484033705358</v>
      </c>
    </row>
    <row r="106" spans="1:84" s="6" customFormat="1" ht="11.25" x14ac:dyDescent="0.2">
      <c r="A106" s="11">
        <v>43192</v>
      </c>
      <c r="B106" s="375">
        <f>'2022'!Maxi_hp</f>
        <v>21.329674123347726</v>
      </c>
      <c r="C106" s="13">
        <f>'2022'!An_max</f>
        <v>2022</v>
      </c>
      <c r="D106" s="1050" t="str">
        <f t="shared" si="59"/>
        <v/>
      </c>
      <c r="E106" s="1045">
        <f>T$13/10</f>
        <v>52.647299999999994</v>
      </c>
      <c r="F106" s="13">
        <f t="shared" si="76"/>
        <v>9</v>
      </c>
      <c r="G106" s="13">
        <f t="shared" si="60"/>
        <v>8</v>
      </c>
      <c r="H106" s="169">
        <f t="shared" si="61"/>
        <v>43206</v>
      </c>
      <c r="I106" s="744">
        <f t="shared" si="62"/>
        <v>1</v>
      </c>
      <c r="J106" s="737">
        <f t="shared" si="63"/>
        <v>52.647299999743701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43">
        <v>43192</v>
      </c>
      <c r="AP106" s="13">
        <f t="shared" si="64"/>
        <v>5</v>
      </c>
      <c r="AQ106" s="13">
        <f t="shared" si="65"/>
        <v>6</v>
      </c>
      <c r="AR106" s="169">
        <f t="shared" si="66"/>
        <v>43192</v>
      </c>
      <c r="AS106" s="744">
        <f t="shared" si="67"/>
        <v>0</v>
      </c>
      <c r="AT106" s="760">
        <f t="shared" si="68"/>
        <v>52.647299999743701</v>
      </c>
      <c r="AU106" s="13">
        <f t="shared" si="69"/>
        <v>5</v>
      </c>
      <c r="AV106" s="13">
        <f t="shared" si="70"/>
        <v>4</v>
      </c>
      <c r="AW106" s="169">
        <f t="shared" si="71"/>
        <v>43206</v>
      </c>
      <c r="AX106" s="744">
        <f t="shared" si="72"/>
        <v>0.5</v>
      </c>
      <c r="AY106" s="760">
        <f t="shared" si="73"/>
        <v>52.41628124890849</v>
      </c>
      <c r="AZ106" s="737">
        <f t="shared" si="77"/>
        <v>52.531790624326092</v>
      </c>
      <c r="BA106" s="634">
        <f t="shared" si="74"/>
        <v>0.40514279219355148</v>
      </c>
      <c r="BC106" s="11">
        <v>43192</v>
      </c>
      <c r="BD106" s="286">
        <f>[3]!FeuilCaduc*(1-Persistant)+Persistant</f>
        <v>0.61649447616572062</v>
      </c>
      <c r="BE106" s="287">
        <f>[3]!CroissVégét</f>
        <v>5.4132744516590045E-2</v>
      </c>
      <c r="BF106" s="807">
        <f>1+[3]!Salcycl*Ksac</f>
        <v>1.002061809520715</v>
      </c>
      <c r="BH106" s="1041">
        <f t="shared" si="75"/>
        <v>2.2668869512390173E-3</v>
      </c>
      <c r="BI106" s="11">
        <v>44288</v>
      </c>
      <c r="BJ106" s="717">
        <v>3.2184409778326294E-4</v>
      </c>
      <c r="BK106" s="717">
        <v>5.6814257150430839E-4</v>
      </c>
      <c r="BL106" s="717">
        <v>8.1911152127372544E-4</v>
      </c>
      <c r="BM106" s="717">
        <v>1.1137170595539425E-3</v>
      </c>
      <c r="BN106" s="717">
        <v>1.5269233938992261E-3</v>
      </c>
      <c r="BO106" s="718">
        <v>2.2714907406415578E-3</v>
      </c>
      <c r="BP106" s="717">
        <v>3.1197821653972013E-3</v>
      </c>
      <c r="BQ106" s="717">
        <v>4.4552621213457969E-3</v>
      </c>
      <c r="BR106" s="717">
        <v>5.6830633632900017E-3</v>
      </c>
      <c r="BS106" s="717">
        <v>7.040369230157213E-3</v>
      </c>
      <c r="BT106" s="717">
        <v>8.090278474700445E-3</v>
      </c>
      <c r="BW106" s="1162">
        <f>'2022'!R\Max</f>
        <v>0.40514279219355148</v>
      </c>
      <c r="BX106" s="1163">
        <f>'2023'!R\Max</f>
        <v>0.40513509725477631</v>
      </c>
      <c r="BY106" s="1163">
        <f>'2024'!R\Max</f>
        <v>0.40512721768400989</v>
      </c>
      <c r="BZ106" s="1163">
        <f>'2025'!R\Max</f>
        <v>0.40511510321996702</v>
      </c>
      <c r="CA106" s="1163">
        <f>'2026'!R\Max</f>
        <v>0.40510302942448989</v>
      </c>
      <c r="CB106" s="1163">
        <f>'2027'!R\Max</f>
        <v>0.40509189150997577</v>
      </c>
      <c r="CC106" s="1164">
        <f>'2028'!R\Max</f>
        <v>0.40508070442074851</v>
      </c>
      <c r="CD106" s="1163">
        <f>'2029'!R\Max</f>
        <v>0.40514316903166914</v>
      </c>
      <c r="CE106" s="1163">
        <f>'2030'!R\Max</f>
        <v>0.40513548182000242</v>
      </c>
      <c r="CF106" s="1165">
        <f>'2031'!R\Max</f>
        <v>0.40512778683214357</v>
      </c>
    </row>
    <row r="107" spans="1:84" s="6" customFormat="1" ht="11.25" x14ac:dyDescent="0.2">
      <c r="A107" s="11">
        <v>43193</v>
      </c>
      <c r="B107" s="375">
        <f>'2022'!Maxi_hp</f>
        <v>29.123289882556353</v>
      </c>
      <c r="C107" s="13">
        <f>'2022'!An_max</f>
        <v>2022</v>
      </c>
      <c r="D107" s="1050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69">
        <f t="shared" si="61"/>
        <v>43206</v>
      </c>
      <c r="I107" s="744">
        <f t="shared" si="62"/>
        <v>0.9285714285714286</v>
      </c>
      <c r="J107" s="737">
        <f t="shared" si="63"/>
        <v>53.062136205498668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43">
        <v>43193</v>
      </c>
      <c r="AP107" s="13">
        <f t="shared" si="64"/>
        <v>5</v>
      </c>
      <c r="AQ107" s="13">
        <f t="shared" si="65"/>
        <v>6</v>
      </c>
      <c r="AR107" s="169">
        <f t="shared" si="66"/>
        <v>43192</v>
      </c>
      <c r="AS107" s="744">
        <f t="shared" si="67"/>
        <v>3.5714285714285712E-2</v>
      </c>
      <c r="AT107" s="760">
        <f t="shared" si="68"/>
        <v>53.034257769744308</v>
      </c>
      <c r="AU107" s="13">
        <f t="shared" si="69"/>
        <v>5</v>
      </c>
      <c r="AV107" s="13">
        <f t="shared" si="70"/>
        <v>4</v>
      </c>
      <c r="AW107" s="169">
        <f t="shared" si="71"/>
        <v>43206</v>
      </c>
      <c r="AX107" s="744">
        <f t="shared" si="72"/>
        <v>0.4642857142857143</v>
      </c>
      <c r="AY107" s="760">
        <f t="shared" si="73"/>
        <v>52.854215234850663</v>
      </c>
      <c r="AZ107" s="737">
        <f t="shared" si="77"/>
        <v>52.944236502297485</v>
      </c>
      <c r="BA107" s="634">
        <f t="shared" si="74"/>
        <v>0.54885257106438157</v>
      </c>
      <c r="BC107" s="11">
        <v>43193</v>
      </c>
      <c r="BD107" s="286">
        <f>[3]!FeuilCaduc*(1-Persistant)+Persistant</f>
        <v>0.61772919610771782</v>
      </c>
      <c r="BE107" s="287">
        <f>[3]!CroissVégét</f>
        <v>5.6327914126217182E-2</v>
      </c>
      <c r="BF107" s="807">
        <f>1+[3]!Salcycl*Ksac</f>
        <v>1.0022161495134647</v>
      </c>
      <c r="BH107" s="1041">
        <f t="shared" si="75"/>
        <v>2.253987732870557E-3</v>
      </c>
      <c r="BI107" s="11">
        <v>44289</v>
      </c>
      <c r="BJ107" s="717">
        <v>3.0186213370772872E-4</v>
      </c>
      <c r="BK107" s="717">
        <v>5.4614925768215665E-4</v>
      </c>
      <c r="BL107" s="717">
        <v>7.9601226301264153E-4</v>
      </c>
      <c r="BM107" s="717">
        <v>1.0915548710381604E-3</v>
      </c>
      <c r="BN107" s="717">
        <v>1.5078614322824771E-3</v>
      </c>
      <c r="BO107" s="718">
        <v>2.2586298646641184E-3</v>
      </c>
      <c r="BP107" s="717">
        <v>3.1193635039662628E-3</v>
      </c>
      <c r="BQ107" s="717">
        <v>4.5343399983303577E-3</v>
      </c>
      <c r="BR107" s="717">
        <v>5.8475669547843985E-3</v>
      </c>
      <c r="BS107" s="717">
        <v>7.2931578609916684E-3</v>
      </c>
      <c r="BT107" s="717">
        <v>8.3721642746524272E-3</v>
      </c>
      <c r="BW107" s="1162">
        <f>'2022'!R\Max</f>
        <v>0.54885257106438157</v>
      </c>
      <c r="BX107" s="1163">
        <f>'2023'!R\Max</f>
        <v>0.54884459580967282</v>
      </c>
      <c r="BY107" s="1163">
        <f>'2024'!R\Max</f>
        <v>0.54883639466212897</v>
      </c>
      <c r="BZ107" s="1163">
        <f>'2025'!R\Max</f>
        <v>0.54882328349439169</v>
      </c>
      <c r="CA107" s="1163">
        <f>'2026'!R\Max</f>
        <v>0.54881021342963088</v>
      </c>
      <c r="CB107" s="1163">
        <f>'2027'!R\Max</f>
        <v>0.54879804444396474</v>
      </c>
      <c r="CC107" s="1164">
        <f>'2028'!R\Max</f>
        <v>0.54878582123886688</v>
      </c>
      <c r="CD107" s="1163">
        <f>'2029'!R\Max</f>
        <v>0.54885296350589041</v>
      </c>
      <c r="CE107" s="1163">
        <f>'2030'!R\Max</f>
        <v>0.54884499438583967</v>
      </c>
      <c r="CF107" s="1165">
        <f>'2031'!R\Max</f>
        <v>0.54883701900967286</v>
      </c>
    </row>
    <row r="108" spans="1:84" s="6" customFormat="1" ht="11.25" x14ac:dyDescent="0.2">
      <c r="A108" s="11">
        <v>43194</v>
      </c>
      <c r="B108" s="375">
        <f>'2022'!Maxi_hp</f>
        <v>45.231418078824802</v>
      </c>
      <c r="C108" s="13">
        <f>'2022'!An_max</f>
        <v>2022</v>
      </c>
      <c r="D108" s="1050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69">
        <f t="shared" si="61"/>
        <v>43206</v>
      </c>
      <c r="I108" s="744">
        <f t="shared" si="62"/>
        <v>0.8571428571428571</v>
      </c>
      <c r="J108" s="737">
        <f t="shared" si="63"/>
        <v>53.471547812649177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43">
        <v>43194</v>
      </c>
      <c r="AP108" s="13">
        <f t="shared" si="64"/>
        <v>5</v>
      </c>
      <c r="AQ108" s="13">
        <f t="shared" si="65"/>
        <v>6</v>
      </c>
      <c r="AR108" s="169">
        <f t="shared" si="66"/>
        <v>43192</v>
      </c>
      <c r="AS108" s="744">
        <f t="shared" si="67"/>
        <v>7.1428571428571425E-2</v>
      </c>
      <c r="AT108" s="760">
        <f t="shared" si="68"/>
        <v>53.417229008461753</v>
      </c>
      <c r="AU108" s="13">
        <f t="shared" si="69"/>
        <v>5</v>
      </c>
      <c r="AV108" s="13">
        <f t="shared" si="70"/>
        <v>4</v>
      </c>
      <c r="AW108" s="169">
        <f t="shared" si="71"/>
        <v>43206</v>
      </c>
      <c r="AX108" s="744">
        <f t="shared" si="72"/>
        <v>0.42857142857142855</v>
      </c>
      <c r="AY108" s="760">
        <f t="shared" si="73"/>
        <v>53.287184255570175</v>
      </c>
      <c r="AZ108" s="737">
        <f t="shared" si="77"/>
        <v>53.352206632015964</v>
      </c>
      <c r="BA108" s="634">
        <f t="shared" si="74"/>
        <v>0.84589692891075996</v>
      </c>
      <c r="BC108" s="11">
        <v>43194</v>
      </c>
      <c r="BD108" s="286">
        <f>[3]!FeuilCaduc*(1-Persistant)+Persistant</f>
        <v>0.6190458222951799</v>
      </c>
      <c r="BE108" s="287">
        <f>[3]!CroissVégét</f>
        <v>5.8604366195922526E-2</v>
      </c>
      <c r="BF108" s="807">
        <f>1+[3]!Salcycl*Ksac</f>
        <v>1.0023807277868975</v>
      </c>
      <c r="BH108" s="1041">
        <f t="shared" si="75"/>
        <v>2.2314021790915202E-3</v>
      </c>
      <c r="BI108" s="11">
        <v>44290</v>
      </c>
      <c r="BJ108" s="717">
        <v>2.8348653106243801E-4</v>
      </c>
      <c r="BK108" s="717">
        <v>5.2458292220540926E-4</v>
      </c>
      <c r="BL108" s="717">
        <v>7.7224549547755868E-4</v>
      </c>
      <c r="BM108" s="717">
        <v>1.0675747444944123E-3</v>
      </c>
      <c r="BN108" s="717">
        <v>1.484800529333195E-3</v>
      </c>
      <c r="BO108" s="718">
        <v>2.2360472683381222E-3</v>
      </c>
      <c r="BP108" s="717">
        <v>3.1028702626491032E-3</v>
      </c>
      <c r="BQ108" s="717">
        <v>4.5863659477686598E-3</v>
      </c>
      <c r="BR108" s="717">
        <v>5.9765910816342626E-3</v>
      </c>
      <c r="BS108" s="717">
        <v>7.5018262637994099E-3</v>
      </c>
      <c r="BT108" s="717">
        <v>8.6056539697867869E-3</v>
      </c>
      <c r="BW108" s="1162">
        <f>'2022'!R\Max</f>
        <v>0.84589692891075996</v>
      </c>
      <c r="BX108" s="1163">
        <f>'2023'!R\Max</f>
        <v>0.84589272405033866</v>
      </c>
      <c r="BY108" s="1163">
        <f>'2024'!R\Max</f>
        <v>0.84588838071849692</v>
      </c>
      <c r="BZ108" s="1163">
        <f>'2025'!R\Max</f>
        <v>0.84588118384312105</v>
      </c>
      <c r="CA108" s="1163">
        <f>'2026'!R\Max</f>
        <v>0.8458740074574651</v>
      </c>
      <c r="CB108" s="1163">
        <f>'2027'!R\Max</f>
        <v>0.8458672622659188</v>
      </c>
      <c r="CC108" s="1164">
        <f>'2028'!R\Max</f>
        <v>0.84586048640309663</v>
      </c>
      <c r="CD108" s="1163">
        <f>'2029'!R\Max</f>
        <v>0.84589713695415802</v>
      </c>
      <c r="CE108" s="1163">
        <f>'2030'!R\Max</f>
        <v>0.84589293419690903</v>
      </c>
      <c r="CF108" s="1165">
        <f>'2031'!R\Max</f>
        <v>0.84588872919579938</v>
      </c>
    </row>
    <row r="109" spans="1:84" s="6" customFormat="1" ht="11.25" x14ac:dyDescent="0.2">
      <c r="A109" s="11">
        <v>43195</v>
      </c>
      <c r="B109" s="375">
        <f>'2022'!Maxi_hp</f>
        <v>54.135481479246074</v>
      </c>
      <c r="C109" s="13">
        <f>'2022'!An_max</f>
        <v>2022</v>
      </c>
      <c r="D109" s="1050">
        <f t="shared" si="59"/>
        <v>1.0048310592931589</v>
      </c>
      <c r="E109" s="13"/>
      <c r="F109" s="13">
        <f t="shared" si="76"/>
        <v>9</v>
      </c>
      <c r="G109" s="13">
        <f t="shared" si="60"/>
        <v>8</v>
      </c>
      <c r="H109" s="169">
        <f t="shared" si="61"/>
        <v>43206</v>
      </c>
      <c r="I109" s="744">
        <f t="shared" si="62"/>
        <v>0.7857142857142857</v>
      </c>
      <c r="J109" s="737">
        <f t="shared" si="63"/>
        <v>53.875207159029586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43">
        <v>43195</v>
      </c>
      <c r="AP109" s="13">
        <f t="shared" si="64"/>
        <v>5</v>
      </c>
      <c r="AQ109" s="13">
        <f t="shared" si="65"/>
        <v>6</v>
      </c>
      <c r="AR109" s="169">
        <f t="shared" si="66"/>
        <v>43192</v>
      </c>
      <c r="AS109" s="744">
        <f t="shared" si="67"/>
        <v>0.10714285714285714</v>
      </c>
      <c r="AT109" s="760">
        <f t="shared" si="68"/>
        <v>53.796049880795181</v>
      </c>
      <c r="AU109" s="13">
        <f t="shared" si="69"/>
        <v>5</v>
      </c>
      <c r="AV109" s="13">
        <f t="shared" si="70"/>
        <v>4</v>
      </c>
      <c r="AW109" s="169">
        <f t="shared" si="71"/>
        <v>43206</v>
      </c>
      <c r="AX109" s="744">
        <f t="shared" si="72"/>
        <v>0.39285714285714285</v>
      </c>
      <c r="AY109" s="760">
        <f t="shared" si="73"/>
        <v>53.71449203443315</v>
      </c>
      <c r="AZ109" s="737">
        <f t="shared" si="77"/>
        <v>53.755270957614165</v>
      </c>
      <c r="BA109" s="634">
        <f t="shared" si="74"/>
        <v>1.0048310592931589</v>
      </c>
      <c r="BC109" s="11">
        <v>43195</v>
      </c>
      <c r="BD109" s="286">
        <f>[3]!FeuilCaduc*(1-Persistant)+Persistant</f>
        <v>0.62044698577760438</v>
      </c>
      <c r="BE109" s="287">
        <f>[3]!CroissVégét</f>
        <v>6.0964669451959982E-2</v>
      </c>
      <c r="BF109" s="807">
        <f>1+[3]!Salcycl*Ksac</f>
        <v>1.0025558732222006</v>
      </c>
      <c r="BH109" s="1041">
        <f t="shared" si="75"/>
        <v>2.1987621347754455E-3</v>
      </c>
      <c r="BI109" s="11">
        <v>44291</v>
      </c>
      <c r="BJ109" s="717">
        <v>2.6749914875274838E-4</v>
      </c>
      <c r="BK109" s="717">
        <v>5.0419918790537376E-4</v>
      </c>
      <c r="BL109" s="717">
        <v>7.484798506278206E-4</v>
      </c>
      <c r="BM109" s="717">
        <v>1.0422491826734398E-3</v>
      </c>
      <c r="BN109" s="717">
        <v>1.4578561163572732E-3</v>
      </c>
      <c r="BO109" s="718">
        <v>2.2033717878347588E-3</v>
      </c>
      <c r="BP109" s="717">
        <v>3.069295169071415E-3</v>
      </c>
      <c r="BQ109" s="717">
        <v>4.6052708590875787E-3</v>
      </c>
      <c r="BR109" s="717">
        <v>6.0590502900554873E-3</v>
      </c>
      <c r="BS109" s="717">
        <v>7.6504746234018961E-3</v>
      </c>
      <c r="BT109" s="717">
        <v>8.7745869526368453E-3</v>
      </c>
      <c r="BW109" s="1162">
        <f>'2022'!R\Max</f>
        <v>1.0048310592931589</v>
      </c>
      <c r="BX109" s="1163">
        <f>'2023'!R\Max</f>
        <v>1.0048310592931584</v>
      </c>
      <c r="BY109" s="1163">
        <f>'2024'!R\Max</f>
        <v>1.0048310592931586</v>
      </c>
      <c r="BZ109" s="1163">
        <f>'2025'!R\Max</f>
        <v>1.0048310592931586</v>
      </c>
      <c r="CA109" s="1163">
        <f>'2026'!R\Max</f>
        <v>1.0048310592931584</v>
      </c>
      <c r="CB109" s="1163">
        <f>'2027'!R\Max</f>
        <v>1.0048310592931586</v>
      </c>
      <c r="CC109" s="1164">
        <f>'2028'!R\Max</f>
        <v>1.0048310592931584</v>
      </c>
      <c r="CD109" s="1163">
        <f>'2029'!R\Max</f>
        <v>1.0048310592931584</v>
      </c>
      <c r="CE109" s="1163">
        <f>'2030'!R\Max</f>
        <v>1.0048310592931586</v>
      </c>
      <c r="CF109" s="1165">
        <f>'2031'!R\Max</f>
        <v>1.0048310592931586</v>
      </c>
    </row>
    <row r="110" spans="1:84" s="6" customFormat="1" ht="11.25" x14ac:dyDescent="0.2">
      <c r="A110" s="11">
        <v>43196</v>
      </c>
      <c r="B110" s="375">
        <f>'2022'!Maxi_hp</f>
        <v>13.206034136650299</v>
      </c>
      <c r="C110" s="13">
        <f>'2022'!An_max</f>
        <v>2022</v>
      </c>
      <c r="D110" s="1050" t="str">
        <f t="shared" si="59"/>
        <v/>
      </c>
      <c r="E110" s="13"/>
      <c r="F110" s="13">
        <f t="shared" si="76"/>
        <v>9</v>
      </c>
      <c r="G110" s="13">
        <f t="shared" si="60"/>
        <v>8</v>
      </c>
      <c r="H110" s="169">
        <f t="shared" si="61"/>
        <v>43206</v>
      </c>
      <c r="I110" s="744">
        <f t="shared" si="62"/>
        <v>0.7142857142857143</v>
      </c>
      <c r="J110" s="737">
        <f t="shared" si="63"/>
        <v>54.272786588753966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43">
        <v>43196</v>
      </c>
      <c r="AP110" s="13">
        <f t="shared" si="64"/>
        <v>5</v>
      </c>
      <c r="AQ110" s="13">
        <f t="shared" si="65"/>
        <v>6</v>
      </c>
      <c r="AR110" s="169">
        <f t="shared" si="66"/>
        <v>43192</v>
      </c>
      <c r="AS110" s="744">
        <f t="shared" si="67"/>
        <v>0.14285714285714285</v>
      </c>
      <c r="AT110" s="760">
        <f t="shared" si="68"/>
        <v>54.170556559200804</v>
      </c>
      <c r="AU110" s="13">
        <f t="shared" si="69"/>
        <v>5</v>
      </c>
      <c r="AV110" s="13">
        <f t="shared" si="70"/>
        <v>4</v>
      </c>
      <c r="AW110" s="169">
        <f t="shared" si="71"/>
        <v>43206</v>
      </c>
      <c r="AX110" s="744">
        <f t="shared" si="72"/>
        <v>0.35714285714285715</v>
      </c>
      <c r="AY110" s="760">
        <f t="shared" si="73"/>
        <v>54.135442291758956</v>
      </c>
      <c r="AZ110" s="737">
        <f t="shared" si="77"/>
        <v>54.152999425479877</v>
      </c>
      <c r="BA110" s="634">
        <f t="shared" si="74"/>
        <v>0.24332699621115017</v>
      </c>
      <c r="BC110" s="11">
        <v>43196</v>
      </c>
      <c r="BD110" s="286">
        <f>[3]!FeuilCaduc*(1-Persistant)+Persistant</f>
        <v>0.621935238012983</v>
      </c>
      <c r="BE110" s="287">
        <f>[3]!CroissVégét</f>
        <v>6.3411438498040387E-2</v>
      </c>
      <c r="BF110" s="807">
        <f>1+[3]!Salcycl*Ksac</f>
        <v>1.0027419047516228</v>
      </c>
      <c r="BH110" s="1041">
        <f t="shared" si="75"/>
        <v>2.156069454568896E-3</v>
      </c>
      <c r="BI110" s="11">
        <v>44292</v>
      </c>
      <c r="BJ110" s="717">
        <v>2.5389961111982139E-4</v>
      </c>
      <c r="BK110" s="717">
        <v>4.8499791448408978E-4</v>
      </c>
      <c r="BL110" s="717">
        <v>7.2471540459079643E-4</v>
      </c>
      <c r="BM110" s="717">
        <v>1.0155784772485083E-3</v>
      </c>
      <c r="BN110" s="717">
        <v>1.427028913207338E-3</v>
      </c>
      <c r="BO110" s="718">
        <v>2.1606052848608752E-3</v>
      </c>
      <c r="BP110" s="717">
        <v>3.01864129767483E-3</v>
      </c>
      <c r="BQ110" s="717">
        <v>4.5910600713559803E-3</v>
      </c>
      <c r="BR110" s="717">
        <v>6.0949515423530084E-3</v>
      </c>
      <c r="BS110" s="717">
        <v>7.7391114593925864E-3</v>
      </c>
      <c r="BT110" s="717">
        <v>8.8789721325146214E-3</v>
      </c>
      <c r="BW110" s="1162">
        <f>'2022'!R\Max</f>
        <v>0.24332699621115017</v>
      </c>
      <c r="BX110" s="1163">
        <f>'2023'!R\Max</f>
        <v>0.24332161299402044</v>
      </c>
      <c r="BY110" s="1163">
        <f>'2024'!R\Max</f>
        <v>0.24331600099652223</v>
      </c>
      <c r="BZ110" s="1163">
        <f>'2025'!R\Max</f>
        <v>0.24330613582588695</v>
      </c>
      <c r="CA110" s="1163">
        <f>'2026'!R\Max</f>
        <v>0.24329629260091878</v>
      </c>
      <c r="CB110" s="1163">
        <f>'2027'!R\Max</f>
        <v>0.24328685736252889</v>
      </c>
      <c r="CC110" s="1164">
        <f>'2028'!R\Max</f>
        <v>0.24327737720385464</v>
      </c>
      <c r="CD110" s="1163">
        <f>'2029'!R\Max</f>
        <v>0.24332726524402623</v>
      </c>
      <c r="CE110" s="1163">
        <f>'2030'!R\Max</f>
        <v>0.24332188202689647</v>
      </c>
      <c r="CF110" s="1165">
        <f>'2031'!R\Max</f>
        <v>0.24331649402051977</v>
      </c>
    </row>
    <row r="111" spans="1:84" s="6" customFormat="1" ht="11.25" x14ac:dyDescent="0.2">
      <c r="A111" s="11">
        <v>43197</v>
      </c>
      <c r="B111" s="375">
        <f>'2022'!Maxi_hp</f>
        <v>44.766045147251283</v>
      </c>
      <c r="C111" s="13">
        <f>'2022'!An_max</f>
        <v>2022</v>
      </c>
      <c r="D111" s="1050" t="str">
        <f t="shared" si="59"/>
        <v/>
      </c>
      <c r="E111" s="13"/>
      <c r="F111" s="13">
        <f t="shared" si="76"/>
        <v>9</v>
      </c>
      <c r="G111" s="13">
        <f t="shared" si="60"/>
        <v>8</v>
      </c>
      <c r="H111" s="169">
        <f t="shared" si="61"/>
        <v>43206</v>
      </c>
      <c r="I111" s="744">
        <f t="shared" si="62"/>
        <v>0.6428571428571429</v>
      </c>
      <c r="J111" s="737">
        <f t="shared" si="63"/>
        <v>54.663958436569999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43">
        <v>43197</v>
      </c>
      <c r="AP111" s="13">
        <f t="shared" si="64"/>
        <v>5</v>
      </c>
      <c r="AQ111" s="13">
        <f t="shared" si="65"/>
        <v>6</v>
      </c>
      <c r="AR111" s="169">
        <f t="shared" si="66"/>
        <v>43192</v>
      </c>
      <c r="AS111" s="744">
        <f t="shared" si="67"/>
        <v>0.17857142857142858</v>
      </c>
      <c r="AT111" s="760">
        <f t="shared" si="68"/>
        <v>54.54058521275541</v>
      </c>
      <c r="AU111" s="13">
        <f t="shared" si="69"/>
        <v>5</v>
      </c>
      <c r="AV111" s="13">
        <f t="shared" si="70"/>
        <v>4</v>
      </c>
      <c r="AW111" s="169">
        <f t="shared" si="71"/>
        <v>43206</v>
      </c>
      <c r="AX111" s="744">
        <f t="shared" si="72"/>
        <v>0.32142857142857145</v>
      </c>
      <c r="AY111" s="760">
        <f t="shared" si="73"/>
        <v>54.549338750960302</v>
      </c>
      <c r="AZ111" s="737">
        <f t="shared" si="77"/>
        <v>54.544961981857853</v>
      </c>
      <c r="BA111" s="634">
        <f t="shared" si="74"/>
        <v>0.81893164029085308</v>
      </c>
      <c r="BC111" s="11">
        <v>43197</v>
      </c>
      <c r="BD111" s="286">
        <f>[3]!FeuilCaduc*(1-Persistant)+Persistant</f>
        <v>0.62351304558212872</v>
      </c>
      <c r="BE111" s="287">
        <f>[3]!CroissVégét</f>
        <v>6.5947331619938404E-2</v>
      </c>
      <c r="BF111" s="807">
        <f>1+[3]!Salcycl*Ksac</f>
        <v>1.0029391306977662</v>
      </c>
      <c r="BH111" s="1041">
        <f t="shared" si="75"/>
        <v>2.1033262799696577E-3</v>
      </c>
      <c r="BI111" s="11">
        <v>44293</v>
      </c>
      <c r="BJ111" s="717">
        <v>2.4268749989395024E-4</v>
      </c>
      <c r="BK111" s="717">
        <v>4.6697895395484047E-4</v>
      </c>
      <c r="BL111" s="717">
        <v>7.0095225902448753E-4</v>
      </c>
      <c r="BM111" s="717">
        <v>9.8756298080166231E-4</v>
      </c>
      <c r="BN111" s="717">
        <v>1.3923197659232473E-3</v>
      </c>
      <c r="BO111" s="718">
        <v>2.1077499089741346E-3</v>
      </c>
      <c r="BP111" s="717">
        <v>2.9509121867078571E-3</v>
      </c>
      <c r="BQ111" s="717">
        <v>4.5437397323780391E-3</v>
      </c>
      <c r="BR111" s="717">
        <v>6.0843028775052878E-3</v>
      </c>
      <c r="BS111" s="717">
        <v>7.7677466333867786E-3</v>
      </c>
      <c r="BT111" s="717">
        <v>8.9188198523170586E-3</v>
      </c>
      <c r="BW111" s="1162">
        <f>'2022'!R\Max</f>
        <v>0.81893164029085308</v>
      </c>
      <c r="BX111" s="1163">
        <f>'2023'!R\Max</f>
        <v>0.81892705636509266</v>
      </c>
      <c r="BY111" s="1163">
        <f>'2024'!R\Max</f>
        <v>0.81892225390702711</v>
      </c>
      <c r="BZ111" s="1163">
        <f>'2025'!R\Max</f>
        <v>0.81891359366775962</v>
      </c>
      <c r="CA111" s="1163">
        <f>'2026'!R\Max</f>
        <v>0.81890494813048098</v>
      </c>
      <c r="CB111" s="1163">
        <f>'2027'!R\Max</f>
        <v>0.81889657104768565</v>
      </c>
      <c r="CC111" s="1164">
        <f>'2028'!R\Max</f>
        <v>0.81888815184167085</v>
      </c>
      <c r="CD111" s="1163">
        <f>'2029'!R\Max</f>
        <v>0.8189318693743044</v>
      </c>
      <c r="CE111" s="1163">
        <f>'2030'!R\Max</f>
        <v>0.81892728545589377</v>
      </c>
      <c r="CF111" s="1165">
        <f>'2031'!R\Max</f>
        <v>0.8189226866993301</v>
      </c>
    </row>
    <row r="112" spans="1:84" s="6" customFormat="1" ht="11.25" x14ac:dyDescent="0.2">
      <c r="A112" s="11">
        <v>43198</v>
      </c>
      <c r="B112" s="375">
        <f>'2022'!Maxi_hp</f>
        <v>38.135731064829805</v>
      </c>
      <c r="C112" s="13">
        <f>'2022'!An_max</f>
        <v>2022</v>
      </c>
      <c r="D112" s="1050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69">
        <f t="shared" si="61"/>
        <v>43206</v>
      </c>
      <c r="I112" s="744">
        <f t="shared" si="62"/>
        <v>0.5714285714285714</v>
      </c>
      <c r="J112" s="737">
        <f t="shared" si="63"/>
        <v>55.048395043611528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43">
        <v>43198</v>
      </c>
      <c r="AP112" s="13">
        <f t="shared" si="64"/>
        <v>5</v>
      </c>
      <c r="AQ112" s="13">
        <f t="shared" si="65"/>
        <v>6</v>
      </c>
      <c r="AR112" s="169">
        <f t="shared" si="66"/>
        <v>43192</v>
      </c>
      <c r="AS112" s="744">
        <f t="shared" si="67"/>
        <v>0.21428571428571427</v>
      </c>
      <c r="AT112" s="760">
        <f t="shared" si="68"/>
        <v>54.90597201112125</v>
      </c>
      <c r="AU112" s="13">
        <f t="shared" si="69"/>
        <v>5</v>
      </c>
      <c r="AV112" s="13">
        <f t="shared" si="70"/>
        <v>4</v>
      </c>
      <c r="AW112" s="169">
        <f t="shared" si="71"/>
        <v>43206</v>
      </c>
      <c r="AX112" s="744">
        <f t="shared" si="72"/>
        <v>0.2857142857142857</v>
      </c>
      <c r="AY112" s="760">
        <f t="shared" si="73"/>
        <v>54.955485130740065</v>
      </c>
      <c r="AZ112" s="737">
        <f t="shared" si="77"/>
        <v>54.930728570930654</v>
      </c>
      <c r="BA112" s="634">
        <f t="shared" si="74"/>
        <v>0.6927673556080457</v>
      </c>
      <c r="BC112" s="11">
        <v>43198</v>
      </c>
      <c r="BD112" s="286">
        <f>[3]!FeuilCaduc*(1-Persistant)+Persistant</f>
        <v>0.6251827850620636</v>
      </c>
      <c r="BE112" s="287">
        <f>[3]!CroissVégét</f>
        <v>6.8575048275425571E-2</v>
      </c>
      <c r="BF112" s="807">
        <f>1+[3]!Salcycl*Ksac</f>
        <v>1.003147848132758</v>
      </c>
      <c r="BH112" s="1041">
        <f t="shared" si="75"/>
        <v>2.040535066411922E-3</v>
      </c>
      <c r="BI112" s="11">
        <v>44294</v>
      </c>
      <c r="BJ112" s="717">
        <v>2.3386234776495176E-4</v>
      </c>
      <c r="BK112" s="717">
        <v>4.501421474606046E-4</v>
      </c>
      <c r="BL112" s="717">
        <v>6.7719054111861382E-4</v>
      </c>
      <c r="BM112" s="717">
        <v>9.5820311045125039E-4</v>
      </c>
      <c r="BN112" s="717">
        <v>1.353729657195251E-3</v>
      </c>
      <c r="BO112" s="718">
        <v>2.0448081247716153E-3</v>
      </c>
      <c r="BP112" s="717">
        <v>2.8661118842377375E-3</v>
      </c>
      <c r="BQ112" s="717">
        <v>4.4633168878866827E-3</v>
      </c>
      <c r="BR112" s="717">
        <v>6.0271135365444111E-3</v>
      </c>
      <c r="BS112" s="717">
        <v>7.7363915106169563E-3</v>
      </c>
      <c r="BT112" s="717">
        <v>8.8941420623295433E-3</v>
      </c>
      <c r="BW112" s="1162">
        <f>'2022'!R\Max</f>
        <v>0.6927673556080457</v>
      </c>
      <c r="BX112" s="1163">
        <f>'2023'!R\Max</f>
        <v>0.6927609742838986</v>
      </c>
      <c r="BY112" s="1163">
        <f>'2024'!R\Max</f>
        <v>0.69275425394168266</v>
      </c>
      <c r="BZ112" s="1163">
        <f>'2025'!R\Max</f>
        <v>0.69274184332138555</v>
      </c>
      <c r="CA112" s="1163">
        <f>'2026'!R\Max</f>
        <v>0.69272944672469039</v>
      </c>
      <c r="CB112" s="1163">
        <f>'2027'!R\Max</f>
        <v>0.69271729458767384</v>
      </c>
      <c r="CC112" s="1164">
        <f>'2028'!R\Max</f>
        <v>0.69270507835715622</v>
      </c>
      <c r="CD112" s="1163">
        <f>'2029'!R\Max</f>
        <v>0.69276767451860055</v>
      </c>
      <c r="CE112" s="1163">
        <f>'2030'!R\Max</f>
        <v>0.69276129320196433</v>
      </c>
      <c r="CF112" s="1165">
        <f>'2031'!R\Max</f>
        <v>0.69275487416273385</v>
      </c>
    </row>
    <row r="113" spans="1:84" s="6" customFormat="1" ht="11.25" x14ac:dyDescent="0.2">
      <c r="A113" s="11">
        <v>43199</v>
      </c>
      <c r="B113" s="375">
        <f>'2022'!Maxi_hp</f>
        <v>35.480581616370678</v>
      </c>
      <c r="C113" s="13">
        <f>'2022'!An_max</f>
        <v>2022</v>
      </c>
      <c r="D113" s="1050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69">
        <f t="shared" si="61"/>
        <v>43206</v>
      </c>
      <c r="I113" s="744">
        <f t="shared" si="62"/>
        <v>0.5</v>
      </c>
      <c r="J113" s="737">
        <f t="shared" si="63"/>
        <v>55.425768750160934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43">
        <v>43199</v>
      </c>
      <c r="AP113" s="13">
        <f t="shared" si="64"/>
        <v>5</v>
      </c>
      <c r="AQ113" s="13">
        <f t="shared" si="65"/>
        <v>6</v>
      </c>
      <c r="AR113" s="169">
        <f t="shared" si="66"/>
        <v>43192</v>
      </c>
      <c r="AS113" s="744">
        <f t="shared" si="67"/>
        <v>0.25</v>
      </c>
      <c r="AT113" s="760">
        <f t="shared" si="68"/>
        <v>55.266553124599156</v>
      </c>
      <c r="AU113" s="13">
        <f t="shared" si="69"/>
        <v>5</v>
      </c>
      <c r="AV113" s="13">
        <f t="shared" si="70"/>
        <v>4</v>
      </c>
      <c r="AW113" s="169">
        <f t="shared" si="71"/>
        <v>43206</v>
      </c>
      <c r="AX113" s="744">
        <f t="shared" si="72"/>
        <v>0.25</v>
      </c>
      <c r="AY113" s="760">
        <f t="shared" si="73"/>
        <v>55.353185156127438</v>
      </c>
      <c r="AZ113" s="737">
        <f t="shared" si="77"/>
        <v>55.309869140363297</v>
      </c>
      <c r="BA113" s="634">
        <f t="shared" si="74"/>
        <v>0.64014595406523178</v>
      </c>
      <c r="BC113" s="11">
        <v>43199</v>
      </c>
      <c r="BD113" s="286">
        <f>[3]!FeuilCaduc*(1-Persistant)+Persistant</f>
        <v>0.62694673801645262</v>
      </c>
      <c r="BE113" s="287">
        <f>[3]!CroissVégét</f>
        <v>7.1297326250557638E-2</v>
      </c>
      <c r="BF113" s="807">
        <f>1+[3]!Salcycl*Ksac</f>
        <v>1.0033683422520565</v>
      </c>
      <c r="BH113" s="1041">
        <f t="shared" si="75"/>
        <v>1.9676986103350875E-3</v>
      </c>
      <c r="BI113" s="11">
        <v>44295</v>
      </c>
      <c r="BJ113" s="717">
        <v>2.2742363195057817E-4</v>
      </c>
      <c r="BK113" s="717">
        <v>4.3448732208876853E-4</v>
      </c>
      <c r="BL113" s="717">
        <v>6.5343040359013916E-4</v>
      </c>
      <c r="BM113" s="717">
        <v>9.2749935147169564E-4</v>
      </c>
      <c r="BN113" s="717">
        <v>1.3112597168162994E-3</v>
      </c>
      <c r="BO113" s="718">
        <v>1.9717827390619961E-3</v>
      </c>
      <c r="BP113" s="717">
        <v>2.7642449941394239E-3</v>
      </c>
      <c r="BQ113" s="717">
        <v>4.3497995707026281E-3</v>
      </c>
      <c r="BR113" s="717">
        <v>5.9233940878908242E-3</v>
      </c>
      <c r="BS113" s="717">
        <v>7.6450591214708317E-3</v>
      </c>
      <c r="BT113" s="717">
        <v>8.8049524939636907E-3</v>
      </c>
      <c r="BW113" s="1162">
        <f>'2022'!R\Max</f>
        <v>0.64014595406523178</v>
      </c>
      <c r="BX113" s="1163">
        <f>'2023'!R\Max</f>
        <v>0.64013931675807445</v>
      </c>
      <c r="BY113" s="1163">
        <f>'2024'!R\Max</f>
        <v>0.64013228785708765</v>
      </c>
      <c r="BZ113" s="1163">
        <f>'2025'!R\Max</f>
        <v>0.64011900729938787</v>
      </c>
      <c r="CA113" s="1163">
        <f>'2026'!R\Max</f>
        <v>0.6401057321246465</v>
      </c>
      <c r="CB113" s="1163">
        <f>'2027'!R\Max</f>
        <v>0.64009255071232907</v>
      </c>
      <c r="CC113" s="1164">
        <f>'2028'!R\Max</f>
        <v>0.64007929568984778</v>
      </c>
      <c r="CD113" s="1163">
        <f>'2029'!R\Max</f>
        <v>0.64014628576938115</v>
      </c>
      <c r="CE113" s="1163">
        <f>'2030'!R\Max</f>
        <v>0.64013964846872573</v>
      </c>
      <c r="CF113" s="1165">
        <f>'2031'!R\Max</f>
        <v>0.64013295155557581</v>
      </c>
    </row>
    <row r="114" spans="1:84" s="6" customFormat="1" ht="11.25" x14ac:dyDescent="0.2">
      <c r="A114" s="11">
        <v>43200</v>
      </c>
      <c r="B114" s="375">
        <f>'2022'!Maxi_hp</f>
        <v>58.134973098692676</v>
      </c>
      <c r="C114" s="13">
        <f>'2022'!An_max</f>
        <v>2022</v>
      </c>
      <c r="D114" s="1050">
        <f t="shared" si="59"/>
        <v>1.0419247187108809</v>
      </c>
      <c r="E114" s="13"/>
      <c r="F114" s="13">
        <f t="shared" si="76"/>
        <v>9</v>
      </c>
      <c r="G114" s="13">
        <f t="shared" si="60"/>
        <v>8</v>
      </c>
      <c r="H114" s="169">
        <f t="shared" si="61"/>
        <v>43206</v>
      </c>
      <c r="I114" s="744">
        <f t="shared" si="62"/>
        <v>0.42857142857142855</v>
      </c>
      <c r="J114" s="737">
        <f t="shared" si="63"/>
        <v>55.79575189522334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43">
        <v>43200</v>
      </c>
      <c r="AP114" s="13">
        <f t="shared" si="64"/>
        <v>5</v>
      </c>
      <c r="AQ114" s="13">
        <f t="shared" si="65"/>
        <v>6</v>
      </c>
      <c r="AR114" s="169">
        <f t="shared" si="66"/>
        <v>43192</v>
      </c>
      <c r="AS114" s="744">
        <f t="shared" si="67"/>
        <v>0.2857142857142857</v>
      </c>
      <c r="AT114" s="760">
        <f t="shared" si="68"/>
        <v>55.622164722638466</v>
      </c>
      <c r="AU114" s="13">
        <f t="shared" si="69"/>
        <v>5</v>
      </c>
      <c r="AV114" s="13">
        <f t="shared" si="70"/>
        <v>4</v>
      </c>
      <c r="AW114" s="169">
        <f t="shared" si="71"/>
        <v>43206</v>
      </c>
      <c r="AX114" s="744">
        <f t="shared" si="72"/>
        <v>0.21428571428571427</v>
      </c>
      <c r="AY114" s="760">
        <f t="shared" si="73"/>
        <v>55.741742545419505</v>
      </c>
      <c r="AZ114" s="737">
        <f t="shared" si="77"/>
        <v>55.681953634028986</v>
      </c>
      <c r="BA114" s="634">
        <f t="shared" si="74"/>
        <v>1.0419247187108809</v>
      </c>
      <c r="BC114" s="11">
        <v>43200</v>
      </c>
      <c r="BD114" s="286">
        <f>[3]!FeuilCaduc*(1-Persistant)+Persistant</f>
        <v>0.62880708605991731</v>
      </c>
      <c r="BE114" s="287">
        <f>[3]!CroissVégét</f>
        <v>7.4116938463242688E-2</v>
      </c>
      <c r="BF114" s="807">
        <f>1+[3]!Salcycl*Ksac</f>
        <v>1.0036008857574896</v>
      </c>
      <c r="BH114" s="1041">
        <f t="shared" si="75"/>
        <v>1.888449503893078E-3</v>
      </c>
      <c r="BI114" s="11">
        <v>44296</v>
      </c>
      <c r="BJ114" s="717">
        <v>2.2258446222116272E-4</v>
      </c>
      <c r="BK114" s="717">
        <v>4.1957910711123216E-4</v>
      </c>
      <c r="BL114" s="717">
        <v>6.2957482045753941E-4</v>
      </c>
      <c r="BM114" s="717">
        <v>8.9577905875422011E-4</v>
      </c>
      <c r="BN114" s="717">
        <v>1.2661536736692104E-3</v>
      </c>
      <c r="BO114" s="718">
        <v>1.8923212066546697E-3</v>
      </c>
      <c r="BP114" s="717">
        <v>2.6511507532784809E-3</v>
      </c>
      <c r="BQ114" s="717">
        <v>4.2107749249270044E-3</v>
      </c>
      <c r="BR114" s="717">
        <v>5.780622449303806E-3</v>
      </c>
      <c r="BS114" s="717">
        <v>7.5006495218751411E-3</v>
      </c>
      <c r="BT114" s="717">
        <v>8.6572094535311769E-3</v>
      </c>
      <c r="BW114" s="1162">
        <f>'2022'!R\Max</f>
        <v>1.0419247187108809</v>
      </c>
      <c r="BX114" s="1163">
        <f>'2023'!R\Max</f>
        <v>1.0419247187108807</v>
      </c>
      <c r="BY114" s="1163">
        <f>'2024'!R\Max</f>
        <v>1.0419247187108809</v>
      </c>
      <c r="BZ114" s="1163">
        <f>'2025'!R\Max</f>
        <v>1.0419247187108809</v>
      </c>
      <c r="CA114" s="1163">
        <f>'2026'!R\Max</f>
        <v>1.0419247187108809</v>
      </c>
      <c r="CB114" s="1163">
        <f>'2027'!R\Max</f>
        <v>1.0419247187108809</v>
      </c>
      <c r="CC114" s="1164">
        <f>'2028'!R\Max</f>
        <v>1.0419247187108807</v>
      </c>
      <c r="CD114" s="1163">
        <f>'2029'!R\Max</f>
        <v>1.0419247187108809</v>
      </c>
      <c r="CE114" s="1163">
        <f>'2030'!R\Max</f>
        <v>1.0419247187108809</v>
      </c>
      <c r="CF114" s="1165">
        <f>'2031'!R\Max</f>
        <v>1.0419247187108809</v>
      </c>
    </row>
    <row r="115" spans="1:84" s="6" customFormat="1" ht="11.25" x14ac:dyDescent="0.2">
      <c r="A115" s="11">
        <v>43201</v>
      </c>
      <c r="B115" s="375">
        <f>'2022'!Maxi_hp</f>
        <v>46.904067064445634</v>
      </c>
      <c r="C115" s="13">
        <f>'2022'!An_max</f>
        <v>2022</v>
      </c>
      <c r="D115" s="1050" t="str">
        <f t="shared" si="59"/>
        <v/>
      </c>
      <c r="E115" s="13"/>
      <c r="F115" s="13">
        <f t="shared" si="76"/>
        <v>9</v>
      </c>
      <c r="G115" s="13">
        <f t="shared" si="60"/>
        <v>8</v>
      </c>
      <c r="H115" s="169">
        <f t="shared" si="61"/>
        <v>43206</v>
      </c>
      <c r="I115" s="744">
        <f t="shared" si="62"/>
        <v>0.35714285714285715</v>
      </c>
      <c r="J115" s="737">
        <f t="shared" si="63"/>
        <v>56.158016819666535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43">
        <v>43201</v>
      </c>
      <c r="AP115" s="13">
        <f t="shared" si="64"/>
        <v>5</v>
      </c>
      <c r="AQ115" s="13">
        <f t="shared" si="65"/>
        <v>6</v>
      </c>
      <c r="AR115" s="169">
        <f t="shared" si="66"/>
        <v>43192</v>
      </c>
      <c r="AS115" s="744">
        <f t="shared" si="67"/>
        <v>0.32142857142857145</v>
      </c>
      <c r="AT115" s="760">
        <f t="shared" si="68"/>
        <v>55.97264297468854</v>
      </c>
      <c r="AU115" s="13">
        <f t="shared" si="69"/>
        <v>5</v>
      </c>
      <c r="AV115" s="13">
        <f t="shared" si="70"/>
        <v>4</v>
      </c>
      <c r="AW115" s="169">
        <f t="shared" si="71"/>
        <v>43206</v>
      </c>
      <c r="AX115" s="744">
        <f t="shared" si="72"/>
        <v>0.17857142857142858</v>
      </c>
      <c r="AY115" s="760">
        <f t="shared" si="73"/>
        <v>56.120461024829581</v>
      </c>
      <c r="AZ115" s="737">
        <f t="shared" si="77"/>
        <v>56.04655199975906</v>
      </c>
      <c r="BA115" s="634">
        <f t="shared" si="74"/>
        <v>0.83521587336431424</v>
      </c>
      <c r="BC115" s="11">
        <v>43201</v>
      </c>
      <c r="BD115" s="286">
        <f>[3]!FeuilCaduc*(1-Persistant)+Persistant</f>
        <v>0.63076590595284798</v>
      </c>
      <c r="BE115" s="287">
        <f>[3]!CroissVégét</f>
        <v>7.7036689395036897E-2</v>
      </c>
      <c r="BF115" s="807">
        <f>1+[3]!Salcycl*Ksac</f>
        <v>1.0038457382441059</v>
      </c>
      <c r="BH115" s="1041">
        <f t="shared" si="75"/>
        <v>1.8111888486531181E-3</v>
      </c>
      <c r="BI115" s="11">
        <v>44297</v>
      </c>
      <c r="BJ115" s="717">
        <v>2.1741331886451234E-4</v>
      </c>
      <c r="BK115" s="717">
        <v>4.0457907615935618E-4</v>
      </c>
      <c r="BL115" s="717">
        <v>6.0573782847798659E-4</v>
      </c>
      <c r="BM115" s="717">
        <v>8.6425917743319306E-4</v>
      </c>
      <c r="BN115" s="717">
        <v>1.2216188507844776E-3</v>
      </c>
      <c r="BO115" s="718">
        <v>1.8148569429549527E-3</v>
      </c>
      <c r="BP115" s="717">
        <v>2.5403767960950952E-3</v>
      </c>
      <c r="BQ115" s="717">
        <v>4.0644496511875149E-3</v>
      </c>
      <c r="BR115" s="717">
        <v>5.6185351779964492E-3</v>
      </c>
      <c r="BS115" s="717">
        <v>7.3242692833100885E-3</v>
      </c>
      <c r="BT115" s="717">
        <v>8.4732487233615018E-3</v>
      </c>
      <c r="BW115" s="1162">
        <f>'2022'!R\Max</f>
        <v>0.83521587336431424</v>
      </c>
      <c r="BX115" s="1163">
        <f>'2023'!R\Max</f>
        <v>0.83521226831920892</v>
      </c>
      <c r="BY115" s="1163">
        <f>'2024'!R\Max</f>
        <v>0.83520840655509854</v>
      </c>
      <c r="BZ115" s="1163">
        <f>'2025'!R\Max</f>
        <v>0.83520083301284931</v>
      </c>
      <c r="CA115" s="1163">
        <f>'2026'!R\Max</f>
        <v>0.83519324937870654</v>
      </c>
      <c r="CB115" s="1163">
        <f>'2027'!R\Max</f>
        <v>0.83518552578024507</v>
      </c>
      <c r="CC115" s="1164">
        <f>'2028'!R\Max</f>
        <v>0.83517775297383112</v>
      </c>
      <c r="CD115" s="1163">
        <f>'2029'!R\Max</f>
        <v>0.83521605352821127</v>
      </c>
      <c r="CE115" s="1163">
        <f>'2030'!R\Max</f>
        <v>0.83521244848815757</v>
      </c>
      <c r="CF115" s="1165">
        <f>'2031'!R\Max</f>
        <v>0.83520878504045415</v>
      </c>
    </row>
    <row r="116" spans="1:84" s="6" customFormat="1" ht="11.25" x14ac:dyDescent="0.2">
      <c r="A116" s="11">
        <v>43202</v>
      </c>
      <c r="B116" s="375">
        <f>'2022'!Maxi_hp</f>
        <v>39.138623490789477</v>
      </c>
      <c r="C116" s="13">
        <f>'2022'!An_max</f>
        <v>2022</v>
      </c>
      <c r="D116" s="1050" t="str">
        <f t="shared" si="59"/>
        <v/>
      </c>
      <c r="E116" s="13"/>
      <c r="F116" s="13">
        <f t="shared" si="76"/>
        <v>9</v>
      </c>
      <c r="G116" s="13">
        <f t="shared" si="60"/>
        <v>8</v>
      </c>
      <c r="H116" s="169">
        <f t="shared" si="61"/>
        <v>43206</v>
      </c>
      <c r="I116" s="744">
        <f t="shared" si="62"/>
        <v>0.2857142857142857</v>
      </c>
      <c r="J116" s="737">
        <f t="shared" si="63"/>
        <v>56.51223586073943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43">
        <v>43202</v>
      </c>
      <c r="AP116" s="13">
        <f t="shared" si="64"/>
        <v>5</v>
      </c>
      <c r="AQ116" s="13">
        <f t="shared" si="65"/>
        <v>6</v>
      </c>
      <c r="AR116" s="169">
        <f t="shared" si="66"/>
        <v>43192</v>
      </c>
      <c r="AS116" s="744">
        <f t="shared" si="67"/>
        <v>0.35714285714285715</v>
      </c>
      <c r="AT116" s="760">
        <f t="shared" si="68"/>
        <v>56.317824051848469</v>
      </c>
      <c r="AU116" s="13">
        <f t="shared" si="69"/>
        <v>5</v>
      </c>
      <c r="AV116" s="13">
        <f t="shared" si="70"/>
        <v>4</v>
      </c>
      <c r="AW116" s="169">
        <f t="shared" si="71"/>
        <v>43206</v>
      </c>
      <c r="AX116" s="744">
        <f t="shared" si="72"/>
        <v>0.14285714285714285</v>
      </c>
      <c r="AY116" s="760">
        <f t="shared" si="73"/>
        <v>56.488644312880936</v>
      </c>
      <c r="AZ116" s="737">
        <f t="shared" si="77"/>
        <v>56.403234182364699</v>
      </c>
      <c r="BA116" s="634">
        <f t="shared" si="74"/>
        <v>0.69256901438543383</v>
      </c>
      <c r="BC116" s="11">
        <v>43202</v>
      </c>
      <c r="BD116" s="286">
        <f>[3]!FeuilCaduc*(1-Persistant)+Persistant</f>
        <v>0.63282516468404204</v>
      </c>
      <c r="BE116" s="287">
        <f>[3]!CroissVégét</f>
        <v>8.0059411132293548E-2</v>
      </c>
      <c r="BF116" s="807">
        <f>1+[3]!Salcycl*Ksac</f>
        <v>1.0041031455855052</v>
      </c>
      <c r="BH116" s="1041">
        <f t="shared" si="75"/>
        <v>1.7359168561905151E-3</v>
      </c>
      <c r="BI116" s="11">
        <v>44298</v>
      </c>
      <c r="BJ116" s="717">
        <v>2.1191032532444216E-4</v>
      </c>
      <c r="BK116" s="717">
        <v>3.8948739512183038E-4</v>
      </c>
      <c r="BL116" s="717">
        <v>5.8191965347940283E-4</v>
      </c>
      <c r="BM116" s="717">
        <v>8.3293993762437342E-4</v>
      </c>
      <c r="BN116" s="717">
        <v>1.1776554892201612E-3</v>
      </c>
      <c r="BO116" s="718">
        <v>1.7393901593547214E-3</v>
      </c>
      <c r="BP116" s="717">
        <v>2.4319235959823476E-3</v>
      </c>
      <c r="BQ116" s="717">
        <v>3.9108272020112718E-3</v>
      </c>
      <c r="BR116" s="717">
        <v>5.4371390659375312E-3</v>
      </c>
      <c r="BS116" s="717">
        <v>7.1159286578849337E-3</v>
      </c>
      <c r="BT116" s="717">
        <v>8.2530816058389786E-3</v>
      </c>
      <c r="BW116" s="1162">
        <f>'2022'!R\Max</f>
        <v>0.69256901438543383</v>
      </c>
      <c r="BX116" s="1163">
        <f>'2023'!R\Max</f>
        <v>0.69256370698703407</v>
      </c>
      <c r="BY116" s="1163">
        <f>'2024'!R\Max</f>
        <v>0.69255799151939668</v>
      </c>
      <c r="BZ116" s="1163">
        <f>'2025'!R\Max</f>
        <v>0.69254665699533102</v>
      </c>
      <c r="CA116" s="1163">
        <f>'2026'!R\Max</f>
        <v>0.69253529740036524</v>
      </c>
      <c r="CB116" s="1163">
        <f>'2027'!R\Max</f>
        <v>0.69252359854599332</v>
      </c>
      <c r="CC116" s="1164">
        <f>'2028'!R\Max</f>
        <v>0.69251182006939205</v>
      </c>
      <c r="CD116" s="1163">
        <f>'2029'!R\Max</f>
        <v>0.69256927962645054</v>
      </c>
      <c r="CE116" s="1163">
        <f>'2030'!R\Max</f>
        <v>0.69256397223324184</v>
      </c>
      <c r="CF116" s="1165">
        <f>'2031'!R\Max</f>
        <v>0.69255855796370425</v>
      </c>
    </row>
    <row r="117" spans="1:84" s="6" customFormat="1" ht="11.25" x14ac:dyDescent="0.2">
      <c r="A117" s="11">
        <v>43203</v>
      </c>
      <c r="B117" s="375">
        <f>'2022'!Maxi_hp</f>
        <v>9.0508539778178534</v>
      </c>
      <c r="C117" s="13">
        <f>'2022'!An_max</f>
        <v>2022</v>
      </c>
      <c r="D117" s="1050" t="str">
        <f t="shared" si="59"/>
        <v/>
      </c>
      <c r="E117" s="13"/>
      <c r="F117" s="13">
        <f t="shared" si="76"/>
        <v>9</v>
      </c>
      <c r="G117" s="13">
        <f t="shared" si="60"/>
        <v>8</v>
      </c>
      <c r="H117" s="169">
        <f t="shared" si="61"/>
        <v>43206</v>
      </c>
      <c r="I117" s="744">
        <f t="shared" si="62"/>
        <v>0.21428571428571427</v>
      </c>
      <c r="J117" s="737">
        <f t="shared" si="63"/>
        <v>56.858081358564746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43">
        <v>43203</v>
      </c>
      <c r="AP117" s="13">
        <f t="shared" si="64"/>
        <v>5</v>
      </c>
      <c r="AQ117" s="13">
        <f t="shared" si="65"/>
        <v>6</v>
      </c>
      <c r="AR117" s="169">
        <f t="shared" si="66"/>
        <v>43192</v>
      </c>
      <c r="AS117" s="744">
        <f t="shared" si="67"/>
        <v>0.39285714285714285</v>
      </c>
      <c r="AT117" s="760">
        <f t="shared" si="68"/>
        <v>56.657544123301548</v>
      </c>
      <c r="AU117" s="13">
        <f t="shared" si="69"/>
        <v>5</v>
      </c>
      <c r="AV117" s="13">
        <f t="shared" si="70"/>
        <v>4</v>
      </c>
      <c r="AW117" s="169">
        <f t="shared" si="71"/>
        <v>43206</v>
      </c>
      <c r="AX117" s="744">
        <f t="shared" si="72"/>
        <v>0.10714285714285714</v>
      </c>
      <c r="AY117" s="760">
        <f t="shared" si="73"/>
        <v>56.845596133724655</v>
      </c>
      <c r="AZ117" s="737">
        <f t="shared" si="77"/>
        <v>56.751570128513102</v>
      </c>
      <c r="BA117" s="634">
        <f t="shared" si="74"/>
        <v>0.15918324645427892</v>
      </c>
      <c r="BC117" s="11">
        <v>43203</v>
      </c>
      <c r="BD117" s="286">
        <f>[3]!FeuilCaduc*(1-Persistant)+Persistant</f>
        <v>0.63498671450013544</v>
      </c>
      <c r="BE117" s="287">
        <f>[3]!CroissVégét</f>
        <v>8.3187958998136649E-2</v>
      </c>
      <c r="BF117" s="807">
        <f>1+[3]!Salcycl*Ksac</f>
        <v>1.0043733393125169</v>
      </c>
      <c r="BH117" s="1041">
        <f t="shared" si="75"/>
        <v>1.6626337522002853E-3</v>
      </c>
      <c r="BI117" s="11">
        <v>44299</v>
      </c>
      <c r="BJ117" s="717">
        <v>2.0607562213305361E-4</v>
      </c>
      <c r="BK117" s="717">
        <v>3.7430424922986683E-4</v>
      </c>
      <c r="BL117" s="717">
        <v>5.5812054631834012E-4</v>
      </c>
      <c r="BM117" s="717">
        <v>8.0182159640671197E-4</v>
      </c>
      <c r="BN117" s="717">
        <v>1.1342638581144145E-3</v>
      </c>
      <c r="BO117" s="718">
        <v>1.665921081278705E-3</v>
      </c>
      <c r="BP117" s="717">
        <v>2.3257916650477202E-3</v>
      </c>
      <c r="BQ117" s="717">
        <v>3.7499114412924499E-3</v>
      </c>
      <c r="BR117" s="717">
        <v>5.2364417508928675E-3</v>
      </c>
      <c r="BS117" s="717">
        <v>6.8756391985528272E-3</v>
      </c>
      <c r="BT117" s="717">
        <v>7.9967208597574863E-3</v>
      </c>
      <c r="BW117" s="1162">
        <f>'2022'!R\Max</f>
        <v>0.15918324645427892</v>
      </c>
      <c r="BX117" s="1163">
        <f>'2023'!R\Max</f>
        <v>0.15918060701547695</v>
      </c>
      <c r="BY117" s="1163">
        <f>'2024'!R\Max</f>
        <v>0.15917775107972379</v>
      </c>
      <c r="BZ117" s="1163">
        <f>'2025'!R\Max</f>
        <v>0.15917205469457119</v>
      </c>
      <c r="CA117" s="1163">
        <f>'2026'!R\Max</f>
        <v>0.15916634062980414</v>
      </c>
      <c r="CB117" s="1163">
        <f>'2027'!R\Max</f>
        <v>0.15916039460663545</v>
      </c>
      <c r="CC117" s="1164">
        <f>'2028'!R\Max</f>
        <v>0.15915440533621078</v>
      </c>
      <c r="CD117" s="1163">
        <f>'2029'!R\Max</f>
        <v>0.15918337836346905</v>
      </c>
      <c r="CE117" s="1163">
        <f>'2030'!R\Max</f>
        <v>0.15918073892466708</v>
      </c>
      <c r="CF117" s="1165">
        <f>'2031'!R\Max</f>
        <v>0.15917803576355574</v>
      </c>
    </row>
    <row r="118" spans="1:84" s="6" customFormat="1" ht="11.25" x14ac:dyDescent="0.2">
      <c r="A118" s="11">
        <v>43204</v>
      </c>
      <c r="B118" s="375">
        <f>'2022'!Maxi_hp</f>
        <v>41.785097562255523</v>
      </c>
      <c r="C118" s="13">
        <f>'2022'!An_max</f>
        <v>2022</v>
      </c>
      <c r="D118" s="1050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69">
        <f t="shared" si="61"/>
        <v>43206</v>
      </c>
      <c r="I118" s="744">
        <f t="shared" si="62"/>
        <v>0.14285714285714285</v>
      </c>
      <c r="J118" s="737">
        <f t="shared" si="63"/>
        <v>57.195225657096934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43">
        <v>43204</v>
      </c>
      <c r="AP118" s="13">
        <f t="shared" si="64"/>
        <v>5</v>
      </c>
      <c r="AQ118" s="13">
        <f t="shared" si="65"/>
        <v>6</v>
      </c>
      <c r="AR118" s="169">
        <f t="shared" si="66"/>
        <v>43192</v>
      </c>
      <c r="AS118" s="744">
        <f t="shared" si="67"/>
        <v>0.42857142857142855</v>
      </c>
      <c r="AT118" s="760">
        <f t="shared" si="68"/>
        <v>56.991639358550309</v>
      </c>
      <c r="AU118" s="13">
        <f t="shared" si="69"/>
        <v>5</v>
      </c>
      <c r="AV118" s="13">
        <f t="shared" si="70"/>
        <v>4</v>
      </c>
      <c r="AW118" s="169">
        <f t="shared" si="71"/>
        <v>43206</v>
      </c>
      <c r="AX118" s="744">
        <f t="shared" si="72"/>
        <v>7.1428571428571425E-2</v>
      </c>
      <c r="AY118" s="760">
        <f t="shared" si="73"/>
        <v>57.190620206469404</v>
      </c>
      <c r="AZ118" s="737">
        <f t="shared" si="77"/>
        <v>57.091129782509853</v>
      </c>
      <c r="BA118" s="634">
        <f t="shared" si="74"/>
        <v>0.73056967748969304</v>
      </c>
      <c r="BC118" s="11">
        <v>43204</v>
      </c>
      <c r="BD118" s="286">
        <f>[3]!FeuilCaduc*(1-Persistant)+Persistant</f>
        <v>0.63725228784333743</v>
      </c>
      <c r="BE118" s="287">
        <f>[3]!CroissVégét</f>
        <v>8.6425206757263798E-2</v>
      </c>
      <c r="BF118" s="807">
        <f>1+[3]!Salcycl*Ksac</f>
        <v>1.0046565359804172</v>
      </c>
      <c r="BH118" s="1041">
        <f t="shared" si="75"/>
        <v>1.5913397711351189E-3</v>
      </c>
      <c r="BI118" s="11">
        <v>44300</v>
      </c>
      <c r="BJ118" s="717">
        <v>1.9990936780303742E-4</v>
      </c>
      <c r="BK118" s="717">
        <v>3.590298433028797E-4</v>
      </c>
      <c r="BL118" s="717">
        <v>5.3434078282790928E-4</v>
      </c>
      <c r="BM118" s="717">
        <v>7.7090443727814652E-4</v>
      </c>
      <c r="BN118" s="717">
        <v>1.091444253140202E-3</v>
      </c>
      <c r="BO118" s="718">
        <v>1.5944499427987021E-3</v>
      </c>
      <c r="BP118" s="717">
        <v>2.2219815478567908E-3</v>
      </c>
      <c r="BQ118" s="717">
        <v>3.5817066639485368E-3</v>
      </c>
      <c r="BR118" s="717">
        <v>5.0164517684358912E-3</v>
      </c>
      <c r="BS118" s="717">
        <v>6.6034138451963693E-3</v>
      </c>
      <c r="BT118" s="717">
        <v>7.704180797829749E-3</v>
      </c>
      <c r="BW118" s="1162">
        <f>'2022'!R\Max</f>
        <v>0.73056967748969304</v>
      </c>
      <c r="BX118" s="1163">
        <f>'2023'!R\Max</f>
        <v>0.7305652538037819</v>
      </c>
      <c r="BY118" s="1163">
        <f>'2024'!R\Max</f>
        <v>0.73056044776879348</v>
      </c>
      <c r="BZ118" s="1163">
        <f>'2025'!R\Max</f>
        <v>0.73055086210395948</v>
      </c>
      <c r="CA118" s="1163">
        <f>'2026'!R\Max</f>
        <v>0.73054123686755978</v>
      </c>
      <c r="CB118" s="1163">
        <f>'2027'!R\Max</f>
        <v>0.73053112147193344</v>
      </c>
      <c r="CC118" s="1164">
        <f>'2028'!R\Max</f>
        <v>0.73052092614614339</v>
      </c>
      <c r="CD118" s="1163">
        <f>'2029'!R\Max</f>
        <v>0.73056989856657406</v>
      </c>
      <c r="CE118" s="1163">
        <f>'2030'!R\Max</f>
        <v>0.73056547488494106</v>
      </c>
      <c r="CF118" s="1165">
        <f>'2031'!R\Max</f>
        <v>0.7305609268135993</v>
      </c>
    </row>
    <row r="119" spans="1:84" s="6" customFormat="1" ht="11.25" x14ac:dyDescent="0.2">
      <c r="A119" s="11">
        <v>43205</v>
      </c>
      <c r="B119" s="375">
        <f>'2022'!Maxi_hp</f>
        <v>45.790974578011351</v>
      </c>
      <c r="C119" s="13">
        <f>'2022'!An_max</f>
        <v>2022</v>
      </c>
      <c r="D119" s="1050" t="str">
        <f t="shared" si="59"/>
        <v/>
      </c>
      <c r="E119" s="13"/>
      <c r="F119" s="13">
        <f t="shared" si="76"/>
        <v>9</v>
      </c>
      <c r="G119" s="13">
        <f t="shared" si="60"/>
        <v>8</v>
      </c>
      <c r="H119" s="169">
        <f t="shared" si="61"/>
        <v>43206</v>
      </c>
      <c r="I119" s="744">
        <f t="shared" si="62"/>
        <v>7.1428571428571425E-2</v>
      </c>
      <c r="J119" s="737">
        <f t="shared" si="63"/>
        <v>57.523341090178917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43">
        <v>43205</v>
      </c>
      <c r="AP119" s="13">
        <f t="shared" si="64"/>
        <v>5</v>
      </c>
      <c r="AQ119" s="13">
        <f t="shared" si="65"/>
        <v>6</v>
      </c>
      <c r="AR119" s="169">
        <f t="shared" si="66"/>
        <v>43192</v>
      </c>
      <c r="AS119" s="744">
        <f t="shared" si="67"/>
        <v>0.4642857142857143</v>
      </c>
      <c r="AT119" s="760">
        <f t="shared" si="68"/>
        <v>57.319945927256981</v>
      </c>
      <c r="AU119" s="13">
        <f t="shared" si="69"/>
        <v>5</v>
      </c>
      <c r="AV119" s="13">
        <f t="shared" si="70"/>
        <v>4</v>
      </c>
      <c r="AW119" s="169">
        <f t="shared" si="71"/>
        <v>43206</v>
      </c>
      <c r="AX119" s="744">
        <f t="shared" si="72"/>
        <v>3.5714285714285712E-2</v>
      </c>
      <c r="AY119" s="760">
        <f t="shared" si="73"/>
        <v>57.523020255731957</v>
      </c>
      <c r="AZ119" s="737">
        <f t="shared" si="77"/>
        <v>57.421483091494466</v>
      </c>
      <c r="BA119" s="634">
        <f t="shared" si="74"/>
        <v>0.79604163649370052</v>
      </c>
      <c r="BC119" s="11">
        <v>43205</v>
      </c>
      <c r="BD119" s="286">
        <f>[3]!FeuilCaduc*(1-Persistant)+Persistant</f>
        <v>0.63962349216240544</v>
      </c>
      <c r="BE119" s="287">
        <f>[3]!CroissVégét</f>
        <v>8.9774041376326802E-2</v>
      </c>
      <c r="BF119" s="807">
        <f>1+[3]!Salcycl*Ksac</f>
        <v>1.0049529365203007</v>
      </c>
      <c r="BH119" s="1041">
        <f t="shared" si="75"/>
        <v>1.5220351508768121E-3</v>
      </c>
      <c r="BI119" s="11">
        <v>44301</v>
      </c>
      <c r="BJ119" s="717">
        <v>1.9341173972409011E-4</v>
      </c>
      <c r="BK119" s="717">
        <v>3.436644020016874E-4</v>
      </c>
      <c r="BL119" s="717">
        <v>5.1058066377693745E-4</v>
      </c>
      <c r="BM119" s="717">
        <v>7.4018876962749175E-4</v>
      </c>
      <c r="BN119" s="717">
        <v>1.0491969949827766E-3</v>
      </c>
      <c r="BO119" s="718">
        <v>1.5249769812813359E-3</v>
      </c>
      <c r="BP119" s="717">
        <v>2.1204938152237954E-3</v>
      </c>
      <c r="BQ119" s="717">
        <v>3.4062176156520862E-3</v>
      </c>
      <c r="BR119" s="717">
        <v>4.7771786040633939E-3</v>
      </c>
      <c r="BS119" s="717">
        <v>6.2992670108509745E-3</v>
      </c>
      <c r="BT119" s="717">
        <v>7.3754773843565883E-3</v>
      </c>
      <c r="BW119" s="1162">
        <f>'2022'!R\Max</f>
        <v>0.79604163649370052</v>
      </c>
      <c r="BX119" s="1163">
        <f>'2023'!R\Max</f>
        <v>0.79603818075443955</v>
      </c>
      <c r="BY119" s="1163">
        <f>'2024'!R\Max</f>
        <v>0.79603441489852556</v>
      </c>
      <c r="BZ119" s="1163">
        <f>'2025'!R\Max</f>
        <v>0.79602695351976838</v>
      </c>
      <c r="CA119" s="1163">
        <f>'2026'!R\Max</f>
        <v>0.79601945350857173</v>
      </c>
      <c r="CB119" s="1163">
        <f>'2027'!R\Max</f>
        <v>0.79601149673758553</v>
      </c>
      <c r="CC119" s="1164">
        <f>'2028'!R\Max</f>
        <v>0.79600347168039209</v>
      </c>
      <c r="CD119" s="1163">
        <f>'2029'!R\Max</f>
        <v>0.79604180919659229</v>
      </c>
      <c r="CE119" s="1163">
        <f>'2030'!R\Max</f>
        <v>0.79603835346097851</v>
      </c>
      <c r="CF119" s="1165">
        <f>'2031'!R\Max</f>
        <v>0.796034787781152</v>
      </c>
    </row>
    <row r="120" spans="1:84" s="6" customFormat="1" ht="11.25" x14ac:dyDescent="0.2">
      <c r="A120" s="11">
        <v>43206</v>
      </c>
      <c r="B120" s="375">
        <f>'2022'!Maxi_hp</f>
        <v>41.668451970182822</v>
      </c>
      <c r="C120" s="13">
        <f>'2022'!An_max</f>
        <v>2022</v>
      </c>
      <c r="D120" s="1050" t="str">
        <f t="shared" si="59"/>
        <v/>
      </c>
      <c r="E120" s="1045">
        <f>U$13/10</f>
        <v>57.842100000000002</v>
      </c>
      <c r="F120" s="13">
        <f t="shared" si="76"/>
        <v>9</v>
      </c>
      <c r="G120" s="13">
        <f t="shared" si="60"/>
        <v>10</v>
      </c>
      <c r="H120" s="169">
        <f t="shared" si="61"/>
        <v>43206</v>
      </c>
      <c r="I120" s="744">
        <f t="shared" si="62"/>
        <v>0</v>
      </c>
      <c r="J120" s="737">
        <f t="shared" si="63"/>
        <v>57.842100001871586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43">
        <v>43206</v>
      </c>
      <c r="AP120" s="13">
        <f t="shared" si="64"/>
        <v>5</v>
      </c>
      <c r="AQ120" s="13">
        <f t="shared" si="65"/>
        <v>6</v>
      </c>
      <c r="AR120" s="169">
        <f t="shared" si="66"/>
        <v>43192</v>
      </c>
      <c r="AS120" s="744">
        <f t="shared" si="67"/>
        <v>0.5</v>
      </c>
      <c r="AT120" s="760">
        <f t="shared" si="68"/>
        <v>57.642299999669191</v>
      </c>
      <c r="AU120" s="13">
        <f t="shared" si="69"/>
        <v>5</v>
      </c>
      <c r="AV120" s="13">
        <f t="shared" si="70"/>
        <v>6</v>
      </c>
      <c r="AW120" s="169">
        <f t="shared" si="71"/>
        <v>43206</v>
      </c>
      <c r="AX120" s="744">
        <f t="shared" si="72"/>
        <v>0</v>
      </c>
      <c r="AY120" s="760">
        <f t="shared" si="73"/>
        <v>57.842100000381471</v>
      </c>
      <c r="AZ120" s="737">
        <f t="shared" si="77"/>
        <v>57.742200000025335</v>
      </c>
      <c r="BA120" s="634">
        <f t="shared" si="74"/>
        <v>0.72038276564707304</v>
      </c>
      <c r="BC120" s="11">
        <v>43206</v>
      </c>
      <c r="BD120" s="286">
        <f>[3]!FeuilCaduc*(1-Persistant)+Persistant</f>
        <v>0.64210180456604782</v>
      </c>
      <c r="BE120" s="287">
        <f>[3]!CroissVégét</f>
        <v>9.3237357323611589E-2</v>
      </c>
      <c r="BF120" s="807">
        <f>1+[3]!Salcycl*Ksac</f>
        <v>1.005262725570756</v>
      </c>
      <c r="BH120" s="1041">
        <f t="shared" si="75"/>
        <v>1.4547201273766022E-3</v>
      </c>
      <c r="BI120" s="11">
        <v>44302</v>
      </c>
      <c r="BJ120" s="717">
        <v>1.8658293505551294E-4</v>
      </c>
      <c r="BK120" s="717">
        <v>3.2820817007472538E-4</v>
      </c>
      <c r="BL120" s="717">
        <v>4.8684051481869038E-4</v>
      </c>
      <c r="BM120" s="717">
        <v>7.0967492819138181E-4</v>
      </c>
      <c r="BN120" s="717">
        <v>1.0075224277960196E-3</v>
      </c>
      <c r="BO120" s="718">
        <v>1.457502432004645E-3</v>
      </c>
      <c r="BP120" s="717">
        <v>2.0213290579586276E-3</v>
      </c>
      <c r="BQ120" s="717">
        <v>3.2234495124923018E-3</v>
      </c>
      <c r="BR120" s="717">
        <v>4.5186327452135444E-3</v>
      </c>
      <c r="BS120" s="717">
        <v>5.963214667800215E-3</v>
      </c>
      <c r="BT120" s="717">
        <v>7.0106283327475904E-3</v>
      </c>
      <c r="BW120" s="1162">
        <f>'2022'!R\Max</f>
        <v>0.72038276564707304</v>
      </c>
      <c r="BX120" s="1163">
        <f>'2023'!R\Max</f>
        <v>0.72037871316529734</v>
      </c>
      <c r="BY120" s="1163">
        <f>'2024'!R\Max</f>
        <v>0.7203742895937475</v>
      </c>
      <c r="BZ120" s="1163">
        <f>'2025'!R\Max</f>
        <v>0.72036564901168243</v>
      </c>
      <c r="CA120" s="1163">
        <f>'2026'!R\Max</f>
        <v>0.72035695401962219</v>
      </c>
      <c r="CB120" s="1163">
        <f>'2027'!R\Max</f>
        <v>0.72034764383579708</v>
      </c>
      <c r="CC120" s="1164">
        <f>'2028'!R\Max</f>
        <v>0.72033824643672095</v>
      </c>
      <c r="CD120" s="1163">
        <f>'2029'!R\Max</f>
        <v>0.72038296817301994</v>
      </c>
      <c r="CE120" s="1163">
        <f>'2030'!R\Max</f>
        <v>0.72037891569466994</v>
      </c>
      <c r="CF120" s="1165">
        <f>'2031'!R\Max</f>
        <v>0.72037472140925396</v>
      </c>
    </row>
    <row r="121" spans="1:84" s="6" customFormat="1" ht="11.25" x14ac:dyDescent="0.2">
      <c r="A121" s="11">
        <v>43207</v>
      </c>
      <c r="B121" s="375">
        <f>'2022'!Maxi_hp</f>
        <v>57.713702978018006</v>
      </c>
      <c r="C121" s="13">
        <f>'2022'!An_max</f>
        <v>2022</v>
      </c>
      <c r="D121" s="1050">
        <f t="shared" si="59"/>
        <v>0.99247108915005056</v>
      </c>
      <c r="E121" s="13"/>
      <c r="F121" s="13">
        <f t="shared" si="76"/>
        <v>9</v>
      </c>
      <c r="G121" s="13">
        <f t="shared" si="60"/>
        <v>10</v>
      </c>
      <c r="H121" s="169">
        <f t="shared" si="61"/>
        <v>43206</v>
      </c>
      <c r="I121" s="744">
        <f t="shared" si="62"/>
        <v>7.1428571428571425E-2</v>
      </c>
      <c r="J121" s="737">
        <f t="shared" si="63"/>
        <v>58.151520592346785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43">
        <v>43207</v>
      </c>
      <c r="AP121" s="13">
        <f t="shared" si="64"/>
        <v>5</v>
      </c>
      <c r="AQ121" s="13">
        <f t="shared" si="65"/>
        <v>6</v>
      </c>
      <c r="AR121" s="169">
        <f t="shared" si="66"/>
        <v>43192</v>
      </c>
      <c r="AS121" s="744">
        <f t="shared" si="67"/>
        <v>0.5357142857142857</v>
      </c>
      <c r="AT121" s="760">
        <f t="shared" si="68"/>
        <v>57.958537745528986</v>
      </c>
      <c r="AU121" s="13">
        <f t="shared" si="69"/>
        <v>5</v>
      </c>
      <c r="AV121" s="13">
        <f t="shared" si="70"/>
        <v>6</v>
      </c>
      <c r="AW121" s="169">
        <f t="shared" si="71"/>
        <v>43206</v>
      </c>
      <c r="AX121" s="744">
        <f t="shared" si="72"/>
        <v>3.5714285714285712E-2</v>
      </c>
      <c r="AY121" s="760">
        <f t="shared" si="73"/>
        <v>58.149484089602325</v>
      </c>
      <c r="AZ121" s="737">
        <f t="shared" si="77"/>
        <v>58.054010917565655</v>
      </c>
      <c r="BA121" s="634">
        <f t="shared" si="74"/>
        <v>0.99247108915005056</v>
      </c>
      <c r="BC121" s="11">
        <v>43207</v>
      </c>
      <c r="BD121" s="286">
        <f>[3]!FeuilCaduc*(1-Persistant)+Persistant</f>
        <v>0.64468856629298599</v>
      </c>
      <c r="BE121" s="287">
        <f>[3]!CroissVégét</f>
        <v>9.6818050392965163E-2</v>
      </c>
      <c r="BF121" s="807">
        <f>1+[3]!Salcycl*Ksac</f>
        <v>1.0055860707866233</v>
      </c>
      <c r="BH121" s="1041">
        <f t="shared" si="75"/>
        <v>1.3893949293123967E-3</v>
      </c>
      <c r="BI121" s="11">
        <v>44303</v>
      </c>
      <c r="BJ121" s="717">
        <v>1.7942317162089291E-4</v>
      </c>
      <c r="BK121" s="717">
        <v>3.1266141260805563E-4</v>
      </c>
      <c r="BL121" s="717">
        <v>4.631206864452603E-4</v>
      </c>
      <c r="BM121" s="717">
        <v>6.793632725193427E-4</v>
      </c>
      <c r="BN121" s="717">
        <v>9.6642091767028661E-4</v>
      </c>
      <c r="BO121" s="718">
        <v>1.3920265227916062E-3</v>
      </c>
      <c r="BP121" s="717">
        <v>1.9244878806374875E-3</v>
      </c>
      <c r="BQ121" s="717">
        <v>3.033408060674583E-3</v>
      </c>
      <c r="BR121" s="717">
        <v>4.2408257333367639E-3</v>
      </c>
      <c r="BS121" s="717">
        <v>5.5952744337404098E-3</v>
      </c>
      <c r="BT121" s="717">
        <v>6.6096532031222942E-3</v>
      </c>
      <c r="BW121" s="1162">
        <f>'2022'!R\Max</f>
        <v>0.99247108915005056</v>
      </c>
      <c r="BX121" s="1163">
        <f>'2023'!R\Max</f>
        <v>0.99247094736924646</v>
      </c>
      <c r="BY121" s="1163">
        <f>'2024'!R\Max</f>
        <v>0.99247079262122018</v>
      </c>
      <c r="BZ121" s="1163">
        <f>'2025'!R\Max</f>
        <v>0.99247049732378634</v>
      </c>
      <c r="CA121" s="1163">
        <f>'2026'!R\Max</f>
        <v>0.99247019979492546</v>
      </c>
      <c r="CB121" s="1163">
        <f>'2027'!R\Max</f>
        <v>0.99246987823221</v>
      </c>
      <c r="CC121" s="1164">
        <f>'2028'!R\Max</f>
        <v>0.99246955334313514</v>
      </c>
      <c r="CD121" s="1163">
        <f>'2029'!R\Max</f>
        <v>0.99247109623562224</v>
      </c>
      <c r="CE121" s="1163">
        <f>'2030'!R\Max</f>
        <v>0.99247095445500444</v>
      </c>
      <c r="CF121" s="1165">
        <f>'2031'!R\Max</f>
        <v>0.99247080737864757</v>
      </c>
    </row>
    <row r="122" spans="1:84" s="6" customFormat="1" ht="11.25" x14ac:dyDescent="0.2">
      <c r="A122" s="11">
        <v>43208</v>
      </c>
      <c r="B122" s="375">
        <f>'2022'!Maxi_hp</f>
        <v>36.821545007941346</v>
      </c>
      <c r="C122" s="13">
        <f>'2022'!An_max</f>
        <v>2022</v>
      </c>
      <c r="D122" s="1050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69">
        <f t="shared" si="61"/>
        <v>43206</v>
      </c>
      <c r="I122" s="744">
        <f t="shared" si="62"/>
        <v>0.14285714285714285</v>
      </c>
      <c r="J122" s="737">
        <f t="shared" si="63"/>
        <v>58.451985130991261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43">
        <v>43208</v>
      </c>
      <c r="AP122" s="13">
        <f t="shared" si="64"/>
        <v>5</v>
      </c>
      <c r="AQ122" s="13">
        <f t="shared" si="65"/>
        <v>6</v>
      </c>
      <c r="AR122" s="169">
        <f t="shared" si="66"/>
        <v>43192</v>
      </c>
      <c r="AS122" s="744">
        <f t="shared" si="67"/>
        <v>0.5714285714285714</v>
      </c>
      <c r="AT122" s="760">
        <f t="shared" si="68"/>
        <v>58.268495334578418</v>
      </c>
      <c r="AU122" s="13">
        <f t="shared" si="69"/>
        <v>5</v>
      </c>
      <c r="AV122" s="13">
        <f t="shared" si="70"/>
        <v>6</v>
      </c>
      <c r="AW122" s="169">
        <f t="shared" si="71"/>
        <v>43206</v>
      </c>
      <c r="AX122" s="744">
        <f t="shared" si="72"/>
        <v>7.1428571428571425E-2</v>
      </c>
      <c r="AY122" s="760">
        <f t="shared" si="73"/>
        <v>58.447416089475155</v>
      </c>
      <c r="AZ122" s="737">
        <f t="shared" si="77"/>
        <v>58.357955712026786</v>
      </c>
      <c r="BA122" s="634">
        <f t="shared" si="74"/>
        <v>0.62994515798606388</v>
      </c>
      <c r="BC122" s="11">
        <v>43208</v>
      </c>
      <c r="BD122" s="286">
        <f>[3]!FeuilCaduc*(1-Persistant)+Persistant</f>
        <v>0.64738497697865482</v>
      </c>
      <c r="BE122" s="287">
        <f>[3]!CroissVégét</f>
        <v>0.10051901103841099</v>
      </c>
      <c r="BF122" s="807">
        <f>1+[3]!Salcycl*Ksac</f>
        <v>1.0059231221223319</v>
      </c>
      <c r="BH122" s="1041">
        <f t="shared" si="75"/>
        <v>1.3261245607820386E-3</v>
      </c>
      <c r="BI122" s="11">
        <v>44304</v>
      </c>
      <c r="BJ122" s="717">
        <v>1.7246263984473426E-4</v>
      </c>
      <c r="BK122" s="717">
        <v>2.9771170631441921E-4</v>
      </c>
      <c r="BL122" s="717">
        <v>4.4030319075721961E-4</v>
      </c>
      <c r="BM122" s="717">
        <v>6.4992438577325402E-4</v>
      </c>
      <c r="BN122" s="717">
        <v>9.2629311214409915E-4</v>
      </c>
      <c r="BO122" s="718">
        <v>1.3286121694862554E-3</v>
      </c>
      <c r="BP122" s="717">
        <v>1.830265636278934E-3</v>
      </c>
      <c r="BQ122" s="717">
        <v>2.8415053015516945E-3</v>
      </c>
      <c r="BR122" s="717">
        <v>3.9547316410875688E-3</v>
      </c>
      <c r="BS122" s="717">
        <v>5.212158741546939E-3</v>
      </c>
      <c r="BT122" s="717">
        <v>6.190502264937019E-3</v>
      </c>
      <c r="BW122" s="1162">
        <f>'2022'!R\Max</f>
        <v>0.62994515798606388</v>
      </c>
      <c r="BX122" s="1163">
        <f>'2023'!R\Max</f>
        <v>0.62994099482438648</v>
      </c>
      <c r="BY122" s="1163">
        <f>'2024'!R\Max</f>
        <v>0.62993645881098892</v>
      </c>
      <c r="BZ122" s="1163">
        <f>'2025'!R\Max</f>
        <v>0.62992806639795418</v>
      </c>
      <c r="CA122" s="1163">
        <f>'2026'!R\Max</f>
        <v>0.62991959917088314</v>
      </c>
      <c r="CB122" s="1163">
        <f>'2027'!R\Max</f>
        <v>0.6299103599048187</v>
      </c>
      <c r="CC122" s="1164">
        <f>'2028'!R\Max</f>
        <v>0.62990101489295647</v>
      </c>
      <c r="CD122" s="1163">
        <f>'2029'!R\Max</f>
        <v>0.62994536604388551</v>
      </c>
      <c r="CE122" s="1163">
        <f>'2030'!R\Max</f>
        <v>0.62994120288466038</v>
      </c>
      <c r="CF122" s="1165">
        <f>'2031'!R\Max</f>
        <v>0.62993687822688882</v>
      </c>
    </row>
    <row r="123" spans="1:84" s="6" customFormat="1" ht="11.25" x14ac:dyDescent="0.2">
      <c r="A123" s="11">
        <v>43209</v>
      </c>
      <c r="B123" s="375">
        <f>'2022'!Maxi_hp</f>
        <v>12.115576343034617</v>
      </c>
      <c r="C123" s="13">
        <f>'2022'!An_max</f>
        <v>2022</v>
      </c>
      <c r="D123" s="1050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69">
        <f t="shared" si="61"/>
        <v>43206</v>
      </c>
      <c r="I123" s="744">
        <f t="shared" si="62"/>
        <v>0.21428571428571427</v>
      </c>
      <c r="J123" s="737">
        <f t="shared" si="63"/>
        <v>58.743712063665896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43">
        <v>43209</v>
      </c>
      <c r="AP123" s="13">
        <f t="shared" si="64"/>
        <v>5</v>
      </c>
      <c r="AQ123" s="13">
        <f t="shared" si="65"/>
        <v>6</v>
      </c>
      <c r="AR123" s="169">
        <f t="shared" si="66"/>
        <v>43192</v>
      </c>
      <c r="AS123" s="744">
        <f t="shared" si="67"/>
        <v>0.6071428571428571</v>
      </c>
      <c r="AT123" s="760">
        <f t="shared" si="68"/>
        <v>58.572008936772384</v>
      </c>
      <c r="AU123" s="13">
        <f t="shared" si="69"/>
        <v>5</v>
      </c>
      <c r="AV123" s="13">
        <f t="shared" si="70"/>
        <v>6</v>
      </c>
      <c r="AW123" s="169">
        <f t="shared" si="71"/>
        <v>43206</v>
      </c>
      <c r="AX123" s="744">
        <f t="shared" si="72"/>
        <v>0.10714285714285714</v>
      </c>
      <c r="AY123" s="760">
        <f t="shared" si="73"/>
        <v>58.736128088592423</v>
      </c>
      <c r="AZ123" s="737">
        <f t="shared" si="77"/>
        <v>58.6540685126824</v>
      </c>
      <c r="BA123" s="634">
        <f t="shared" si="74"/>
        <v>0.20624465014917454</v>
      </c>
      <c r="BC123" s="11">
        <v>43209</v>
      </c>
      <c r="BD123" s="286">
        <f>[3]!FeuilCaduc*(1-Persistant)+Persistant</f>
        <v>0.65019208870491529</v>
      </c>
      <c r="BE123" s="287">
        <f>[3]!CroissVégét</f>
        <v>0.1043431172076847</v>
      </c>
      <c r="BF123" s="807">
        <f>1+[3]!Salcycl*Ksac</f>
        <v>1.0062740110881143</v>
      </c>
      <c r="BH123" s="1041">
        <f t="shared" si="75"/>
        <v>1.2665528132304055E-3</v>
      </c>
      <c r="BI123" s="11">
        <v>44305</v>
      </c>
      <c r="BJ123" s="717">
        <v>1.6524726247723158E-4</v>
      </c>
      <c r="BK123" s="717">
        <v>2.8301659376576141E-4</v>
      </c>
      <c r="BL123" s="717">
        <v>4.1827342611989901E-4</v>
      </c>
      <c r="BM123" s="717">
        <v>6.2148569849619639E-4</v>
      </c>
      <c r="BN123" s="717">
        <v>8.8781126484430031E-4</v>
      </c>
      <c r="BO123" s="718">
        <v>1.2689092080953503E-3</v>
      </c>
      <c r="BP123" s="717">
        <v>1.7421793269427263E-3</v>
      </c>
      <c r="BQ123" s="717">
        <v>2.6626117822911356E-3</v>
      </c>
      <c r="BR123" s="717">
        <v>3.6871086422024927E-3</v>
      </c>
      <c r="BS123" s="717">
        <v>4.8526837129104572E-3</v>
      </c>
      <c r="BT123" s="717">
        <v>5.7952890323426983E-3</v>
      </c>
      <c r="BW123" s="1162">
        <f>'2022'!R\Max</f>
        <v>0.20624465014917454</v>
      </c>
      <c r="BX123" s="1163">
        <f>'2023'!R\Max</f>
        <v>0.20624221931661971</v>
      </c>
      <c r="BY123" s="1163">
        <f>'2024'!R\Max</f>
        <v>0.20623957723833961</v>
      </c>
      <c r="BZ123" s="1163">
        <f>'2025'!R\Max</f>
        <v>0.20623484966926686</v>
      </c>
      <c r="CA123" s="1163">
        <f>'2026'!R\Max</f>
        <v>0.20623007293888351</v>
      </c>
      <c r="CB123" s="1163">
        <f>'2027'!R\Max</f>
        <v>0.20622481086925321</v>
      </c>
      <c r="CC123" s="1164">
        <f>'2028'!R\Max</f>
        <v>0.20621948215275762</v>
      </c>
      <c r="CD123" s="1163">
        <f>'2029'!R\Max</f>
        <v>0.20624477163301175</v>
      </c>
      <c r="CE123" s="1163">
        <f>'2030'!R\Max</f>
        <v>0.20624234080045703</v>
      </c>
      <c r="CF123" s="1165">
        <f>'2031'!R\Max</f>
        <v>0.20623981350440018</v>
      </c>
    </row>
    <row r="124" spans="1:84" s="6" customFormat="1" ht="11.25" x14ac:dyDescent="0.2">
      <c r="A124" s="11">
        <v>43210</v>
      </c>
      <c r="B124" s="375">
        <f>'2022'!Maxi_hp</f>
        <v>12.141883816288592</v>
      </c>
      <c r="C124" s="13">
        <f>'2022'!An_max</f>
        <v>2022</v>
      </c>
      <c r="D124" s="1050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69">
        <f t="shared" si="61"/>
        <v>43206</v>
      </c>
      <c r="I124" s="744">
        <f t="shared" si="62"/>
        <v>0.2857142857142857</v>
      </c>
      <c r="J124" s="737">
        <f t="shared" si="63"/>
        <v>59.026919825800825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43">
        <v>43210</v>
      </c>
      <c r="AP124" s="13">
        <f t="shared" si="64"/>
        <v>5</v>
      </c>
      <c r="AQ124" s="13">
        <f t="shared" si="65"/>
        <v>6</v>
      </c>
      <c r="AR124" s="169">
        <f t="shared" si="66"/>
        <v>43192</v>
      </c>
      <c r="AS124" s="744">
        <f t="shared" si="67"/>
        <v>0.6428571428571429</v>
      </c>
      <c r="AT124" s="760">
        <f t="shared" si="68"/>
        <v>58.868914722544808</v>
      </c>
      <c r="AU124" s="13">
        <f t="shared" si="69"/>
        <v>5</v>
      </c>
      <c r="AV124" s="13">
        <f t="shared" si="70"/>
        <v>6</v>
      </c>
      <c r="AW124" s="169">
        <f t="shared" si="71"/>
        <v>43206</v>
      </c>
      <c r="AX124" s="744">
        <f t="shared" si="72"/>
        <v>0.14285714285714285</v>
      </c>
      <c r="AY124" s="760">
        <f t="shared" si="73"/>
        <v>59.015852185338737</v>
      </c>
      <c r="AZ124" s="737">
        <f t="shared" si="77"/>
        <v>58.942383453941773</v>
      </c>
      <c r="BA124" s="634">
        <f t="shared" si="74"/>
        <v>0.20570078621960114</v>
      </c>
      <c r="BC124" s="11">
        <v>43210</v>
      </c>
      <c r="BD124" s="286">
        <f>[3]!FeuilCaduc*(1-Persistant)+Persistant</f>
        <v>0.65311079982610099</v>
      </c>
      <c r="BE124" s="287">
        <f>[3]!CroissVégét</f>
        <v>0.10829322666502313</v>
      </c>
      <c r="BF124" s="807">
        <f>1+[3]!Salcycl*Ksac</f>
        <v>1.0066388499782626</v>
      </c>
      <c r="BH124" s="1041">
        <f t="shared" si="75"/>
        <v>1.2106790486497445E-3</v>
      </c>
      <c r="BI124" s="11">
        <v>44306</v>
      </c>
      <c r="BJ124" s="717">
        <v>1.5777727620591605E-4</v>
      </c>
      <c r="BK124" s="717">
        <v>2.6857622262756723E-4</v>
      </c>
      <c r="BL124" s="717">
        <v>3.9703143227442215E-4</v>
      </c>
      <c r="BM124" s="717">
        <v>5.9404724696513866E-4</v>
      </c>
      <c r="BN124" s="717">
        <v>8.5097527984881374E-4</v>
      </c>
      <c r="BO124" s="718">
        <v>1.2129169972384735E-3</v>
      </c>
      <c r="BP124" s="717">
        <v>1.6602277443423345E-3</v>
      </c>
      <c r="BQ124" s="717">
        <v>2.4967250440322449E-3</v>
      </c>
      <c r="BR124" s="717">
        <v>3.4379535873447636E-3</v>
      </c>
      <c r="BS124" s="717">
        <v>4.5168456733440639E-3</v>
      </c>
      <c r="BT124" s="717">
        <v>5.42401026498876E-3</v>
      </c>
      <c r="BW124" s="1162">
        <f>'2022'!R\Max</f>
        <v>0.20570078621960114</v>
      </c>
      <c r="BX124" s="1163">
        <f>'2023'!R\Max</f>
        <v>0.20569849553660807</v>
      </c>
      <c r="BY124" s="1163">
        <f>'2024'!R\Max</f>
        <v>0.20569601366921081</v>
      </c>
      <c r="BZ124" s="1163">
        <f>'2025'!R\Max</f>
        <v>0.20569172995782983</v>
      </c>
      <c r="CA124" s="1163">
        <f>'2026'!R\Max</f>
        <v>0.20568739479833092</v>
      </c>
      <c r="CB124" s="1163">
        <f>'2027'!R\Max</f>
        <v>0.20568257475716095</v>
      </c>
      <c r="CC124" s="1164">
        <f>'2028'!R\Max</f>
        <v>0.20567768709044729</v>
      </c>
      <c r="CD124" s="1163">
        <f>'2029'!R\Max</f>
        <v>0.2057009006992922</v>
      </c>
      <c r="CE124" s="1163">
        <f>'2030'!R\Max</f>
        <v>0.20569861001629899</v>
      </c>
      <c r="CF124" s="1165">
        <f>'2031'!R\Max</f>
        <v>0.20569622775293897</v>
      </c>
    </row>
    <row r="125" spans="1:84" s="6" customFormat="1" ht="11.25" x14ac:dyDescent="0.2">
      <c r="A125" s="11">
        <v>43211</v>
      </c>
      <c r="B125" s="375">
        <f>'2022'!Maxi_hp</f>
        <v>11.654860886678643</v>
      </c>
      <c r="C125" s="13">
        <f>'2022'!An_max</f>
        <v>2022</v>
      </c>
      <c r="D125" s="1050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69">
        <f t="shared" si="61"/>
        <v>43206</v>
      </c>
      <c r="I125" s="744">
        <f t="shared" si="62"/>
        <v>0.35714285714285715</v>
      </c>
      <c r="J125" s="737">
        <f t="shared" si="63"/>
        <v>59.301826857935097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43">
        <v>43211</v>
      </c>
      <c r="AP125" s="13">
        <f t="shared" si="64"/>
        <v>5</v>
      </c>
      <c r="AQ125" s="13">
        <f t="shared" si="65"/>
        <v>6</v>
      </c>
      <c r="AR125" s="169">
        <f t="shared" si="66"/>
        <v>43192</v>
      </c>
      <c r="AS125" s="744">
        <f t="shared" si="67"/>
        <v>0.6785714285714286</v>
      </c>
      <c r="AT125" s="760">
        <f t="shared" si="68"/>
        <v>59.159048861398233</v>
      </c>
      <c r="AU125" s="13">
        <f t="shared" si="69"/>
        <v>5</v>
      </c>
      <c r="AV125" s="13">
        <f t="shared" si="70"/>
        <v>6</v>
      </c>
      <c r="AW125" s="169">
        <f t="shared" si="71"/>
        <v>43206</v>
      </c>
      <c r="AX125" s="744">
        <f t="shared" si="72"/>
        <v>0.17857142857142858</v>
      </c>
      <c r="AY125" s="760">
        <f t="shared" si="73"/>
        <v>59.286820469450731</v>
      </c>
      <c r="AZ125" s="737">
        <f t="shared" si="77"/>
        <v>59.222934665424482</v>
      </c>
      <c r="BA125" s="634">
        <f t="shared" si="74"/>
        <v>0.19653460111101317</v>
      </c>
      <c r="BC125" s="11">
        <v>43211</v>
      </c>
      <c r="BD125" s="286">
        <f>[3]!FeuilCaduc*(1-Persistant)+Persistant</f>
        <v>0.65614184857212821</v>
      </c>
      <c r="BE125" s="287">
        <f>[3]!CroissVégét</f>
        <v>0.11237216879596926</v>
      </c>
      <c r="BF125" s="807">
        <f>1+[3]!Salcycl*Ksac</f>
        <v>1.007017731071516</v>
      </c>
      <c r="BH125" s="1041">
        <f t="shared" si="75"/>
        <v>1.1585052885241963E-3</v>
      </c>
      <c r="BI125" s="11">
        <v>44307</v>
      </c>
      <c r="BJ125" s="717">
        <v>1.5005329668182931E-4</v>
      </c>
      <c r="BK125" s="717">
        <v>2.5439135293840151E-4</v>
      </c>
      <c r="BL125" s="717">
        <v>3.7657813614749212E-4</v>
      </c>
      <c r="BM125" s="717">
        <v>5.6761040843012736E-4</v>
      </c>
      <c r="BN125" s="717">
        <v>8.157869759592792E-4</v>
      </c>
      <c r="BO125" s="718">
        <v>1.1606375596607845E-3</v>
      </c>
      <c r="BP125" s="717">
        <v>1.5844132731739518E-3</v>
      </c>
      <c r="BQ125" s="717">
        <v>2.343847808348946E-3</v>
      </c>
      <c r="BR125" s="717">
        <v>3.2072704089252022E-3</v>
      </c>
      <c r="BS125" s="717">
        <v>4.2046502692036306E-3</v>
      </c>
      <c r="BT125" s="717">
        <v>5.0766741540217222E-3</v>
      </c>
      <c r="BW125" s="1162">
        <f>'2022'!R\Max</f>
        <v>0.19653460111101317</v>
      </c>
      <c r="BX125" s="1163">
        <f>'2023'!R\Max</f>
        <v>0.19653252768899632</v>
      </c>
      <c r="BY125" s="1163">
        <f>'2024'!R\Max</f>
        <v>0.19653029002895694</v>
      </c>
      <c r="BZ125" s="1163">
        <f>'2025'!R\Max</f>
        <v>0.19652657431747234</v>
      </c>
      <c r="CA125" s="1163">
        <f>'2026'!R\Max</f>
        <v>0.19652280772473527</v>
      </c>
      <c r="CB125" s="1163">
        <f>'2027'!R\Max</f>
        <v>0.19651858322726456</v>
      </c>
      <c r="CC125" s="1164">
        <f>'2028'!R\Max</f>
        <v>0.19651429318484898</v>
      </c>
      <c r="CD125" s="1163">
        <f>'2029'!R\Max</f>
        <v>0.1965347047328205</v>
      </c>
      <c r="CE125" s="1163">
        <f>'2030'!R\Max</f>
        <v>0.19653263131080367</v>
      </c>
      <c r="CF125" s="1165">
        <f>'2031'!R\Max</f>
        <v>0.19653047572619395</v>
      </c>
    </row>
    <row r="126" spans="1:84" s="6" customFormat="1" ht="11.25" x14ac:dyDescent="0.2">
      <c r="A126" s="11">
        <v>43212</v>
      </c>
      <c r="B126" s="375">
        <f>'2022'!Maxi_hp</f>
        <v>31.003225427552021</v>
      </c>
      <c r="C126" s="13">
        <f>'2022'!An_max</f>
        <v>2022</v>
      </c>
      <c r="D126" s="1050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69">
        <f t="shared" si="61"/>
        <v>43206</v>
      </c>
      <c r="I126" s="744">
        <f t="shared" si="62"/>
        <v>0.42857142857142855</v>
      </c>
      <c r="J126" s="737">
        <f t="shared" si="63"/>
        <v>59.568651604226645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43">
        <v>43212</v>
      </c>
      <c r="AP126" s="13">
        <f t="shared" si="64"/>
        <v>5</v>
      </c>
      <c r="AQ126" s="13">
        <f t="shared" si="65"/>
        <v>6</v>
      </c>
      <c r="AR126" s="169">
        <f t="shared" si="66"/>
        <v>43192</v>
      </c>
      <c r="AS126" s="744">
        <f t="shared" si="67"/>
        <v>0.7142857142857143</v>
      </c>
      <c r="AT126" s="760">
        <f t="shared" si="68"/>
        <v>59.442247521557974</v>
      </c>
      <c r="AU126" s="13">
        <f t="shared" si="69"/>
        <v>5</v>
      </c>
      <c r="AV126" s="13">
        <f t="shared" si="70"/>
        <v>6</v>
      </c>
      <c r="AW126" s="169">
        <f t="shared" si="71"/>
        <v>43206</v>
      </c>
      <c r="AX126" s="744">
        <f t="shared" si="72"/>
        <v>0.21428571428571427</v>
      </c>
      <c r="AY126" s="760">
        <f t="shared" si="73"/>
        <v>59.549265031250457</v>
      </c>
      <c r="AZ126" s="737">
        <f t="shared" si="77"/>
        <v>59.495756276404215</v>
      </c>
      <c r="BA126" s="634">
        <f t="shared" si="74"/>
        <v>0.52046209864774262</v>
      </c>
      <c r="BC126" s="11">
        <v>43212</v>
      </c>
      <c r="BD126" s="286">
        <f>[3]!FeuilCaduc*(1-Persistant)+Persistant</f>
        <v>0.65928580643717583</v>
      </c>
      <c r="BE126" s="287">
        <f>[3]!CroissVégét</f>
        <v>0.11658273588973417</v>
      </c>
      <c r="BF126" s="807">
        <f>1+[3]!Salcycl*Ksac</f>
        <v>1.007410725804647</v>
      </c>
      <c r="BH126" s="1041">
        <f t="shared" si="75"/>
        <v>1.1100330340333535E-3</v>
      </c>
      <c r="BI126" s="11">
        <v>44308</v>
      </c>
      <c r="BJ126" s="717">
        <v>1.4207589228059603E-4</v>
      </c>
      <c r="BK126" s="717">
        <v>2.4046262874645612E-4</v>
      </c>
      <c r="BL126" s="717">
        <v>3.5691428173492196E-4</v>
      </c>
      <c r="BM126" s="717">
        <v>5.4217632913510329E-4</v>
      </c>
      <c r="BN126" s="717">
        <v>7.8224785587711031E-4</v>
      </c>
      <c r="BO126" s="718">
        <v>1.1120723965324078E-3</v>
      </c>
      <c r="BP126" s="717">
        <v>1.5147375068325884E-3</v>
      </c>
      <c r="BQ126" s="717">
        <v>2.2039811266444565E-3</v>
      </c>
      <c r="BR126" s="717">
        <v>2.99506054462346E-3</v>
      </c>
      <c r="BS126" s="717">
        <v>3.9160998150747717E-3</v>
      </c>
      <c r="BT126" s="717">
        <v>4.7532852985574196E-3</v>
      </c>
      <c r="BW126" s="1162">
        <f>'2022'!R\Max</f>
        <v>0.52046209864774262</v>
      </c>
      <c r="BX126" s="1163">
        <f>'2023'!R\Max</f>
        <v>0.52045852346643362</v>
      </c>
      <c r="BY126" s="1163">
        <f>'2024'!R\Max</f>
        <v>0.52045468308502707</v>
      </c>
      <c r="BZ126" s="1163">
        <f>'2025'!R\Max</f>
        <v>0.52044856333771039</v>
      </c>
      <c r="CA126" s="1163">
        <f>'2026'!R\Max</f>
        <v>0.52044234929149724</v>
      </c>
      <c r="CB126" s="1163">
        <f>'2027'!R\Max</f>
        <v>0.52043532519238178</v>
      </c>
      <c r="CC126" s="1164">
        <f>'2028'!R\Max</f>
        <v>0.52042818074641051</v>
      </c>
      <c r="CD126" s="1163">
        <f>'2029'!R\Max</f>
        <v>0.5204622773212193</v>
      </c>
      <c r="CE126" s="1163">
        <f>'2030'!R\Max</f>
        <v>0.52045870214103873</v>
      </c>
      <c r="CF126" s="1165">
        <f>'2031'!R\Max</f>
        <v>0.52045498892516617</v>
      </c>
    </row>
    <row r="127" spans="1:84" s="6" customFormat="1" ht="11.25" x14ac:dyDescent="0.2">
      <c r="A127" s="11">
        <v>43213</v>
      </c>
      <c r="B127" s="375">
        <f>'2022'!Maxi_hp</f>
        <v>10.179309228480937</v>
      </c>
      <c r="C127" s="13">
        <f>'2022'!An_max</f>
        <v>2022</v>
      </c>
      <c r="D127" s="1050" t="str">
        <f t="shared" si="59"/>
        <v/>
      </c>
      <c r="E127" s="13"/>
      <c r="F127" s="13">
        <f t="shared" si="76"/>
        <v>9</v>
      </c>
      <c r="G127" s="13">
        <f t="shared" si="60"/>
        <v>10</v>
      </c>
      <c r="H127" s="169">
        <f t="shared" si="61"/>
        <v>43206</v>
      </c>
      <c r="I127" s="744">
        <f t="shared" si="62"/>
        <v>0.5</v>
      </c>
      <c r="J127" s="737">
        <f t="shared" si="63"/>
        <v>59.827612500265239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43">
        <v>43213</v>
      </c>
      <c r="AP127" s="13">
        <f t="shared" si="64"/>
        <v>5</v>
      </c>
      <c r="AQ127" s="13">
        <f t="shared" si="65"/>
        <v>6</v>
      </c>
      <c r="AR127" s="169">
        <f t="shared" si="66"/>
        <v>43192</v>
      </c>
      <c r="AS127" s="744">
        <f t="shared" si="67"/>
        <v>0.75</v>
      </c>
      <c r="AT127" s="760">
        <f t="shared" si="68"/>
        <v>59.718346874788402</v>
      </c>
      <c r="AU127" s="13">
        <f t="shared" si="69"/>
        <v>5</v>
      </c>
      <c r="AV127" s="13">
        <f t="shared" si="70"/>
        <v>6</v>
      </c>
      <c r="AW127" s="169">
        <f t="shared" si="71"/>
        <v>43206</v>
      </c>
      <c r="AX127" s="744">
        <f t="shared" si="72"/>
        <v>0.25</v>
      </c>
      <c r="AY127" s="760">
        <f t="shared" si="73"/>
        <v>59.803417968563735</v>
      </c>
      <c r="AZ127" s="737">
        <f t="shared" si="77"/>
        <v>59.760882421676072</v>
      </c>
      <c r="BA127" s="634">
        <f t="shared" si="74"/>
        <v>0.1701439987837691</v>
      </c>
      <c r="BC127" s="11">
        <v>43213</v>
      </c>
      <c r="BD127" s="286">
        <f>[3]!FeuilCaduc*(1-Persistant)+Persistant</f>
        <v>0.66254307137046731</v>
      </c>
      <c r="BE127" s="287">
        <f>[3]!CroissVégét</f>
        <v>0.12092767389780094</v>
      </c>
      <c r="BF127" s="807">
        <f>1+[3]!Salcycl*Ksac</f>
        <v>1.0078178839213083</v>
      </c>
      <c r="BH127" s="1041">
        <f t="shared" si="75"/>
        <v>1.0652607513734361E-3</v>
      </c>
      <c r="BI127" s="11">
        <v>44309</v>
      </c>
      <c r="BJ127" s="717">
        <v>1.3384525213320286E-4</v>
      </c>
      <c r="BK127" s="717">
        <v>2.2679003023897578E-4</v>
      </c>
      <c r="BL127" s="717">
        <v>3.3803962257048171E-4</v>
      </c>
      <c r="BM127" s="717">
        <v>5.1774468443766171E-4</v>
      </c>
      <c r="BN127" s="717">
        <v>7.5035731446239514E-4</v>
      </c>
      <c r="BO127" s="718">
        <v>1.0672199682717472E-3</v>
      </c>
      <c r="BP127" s="717">
        <v>1.4511978441855819E-3</v>
      </c>
      <c r="BQ127" s="717">
        <v>2.0771195880914077E-3</v>
      </c>
      <c r="BR127" s="717">
        <v>2.8013164875340148E-3</v>
      </c>
      <c r="BS127" s="717">
        <v>3.6511848743144477E-3</v>
      </c>
      <c r="BT127" s="717">
        <v>4.4538343384787999E-3</v>
      </c>
      <c r="BW127" s="1162">
        <f>'2022'!R\Max</f>
        <v>0.1701439987837691</v>
      </c>
      <c r="BX127" s="1163">
        <f>'2023'!R\Max</f>
        <v>0.17014237091936696</v>
      </c>
      <c r="BY127" s="1163">
        <f>'2024'!R\Max</f>
        <v>0.1701406317023012</v>
      </c>
      <c r="BZ127" s="1163">
        <f>'2025'!R\Max</f>
        <v>0.17013797812304751</v>
      </c>
      <c r="CA127" s="1163">
        <f>'2026'!R\Max</f>
        <v>0.17013527931359573</v>
      </c>
      <c r="CB127" s="1163">
        <f>'2027'!R\Max</f>
        <v>0.17013220909932902</v>
      </c>
      <c r="CC127" s="1164">
        <f>'2028'!R\Max</f>
        <v>0.17012908104613048</v>
      </c>
      <c r="CD127" s="1163">
        <f>'2029'!R\Max</f>
        <v>0.17014408013828836</v>
      </c>
      <c r="CE127" s="1163">
        <f>'2030'!R\Max</f>
        <v>0.17014245227388627</v>
      </c>
      <c r="CF127" s="1165">
        <f>'2031'!R\Max</f>
        <v>0.17014076431817785</v>
      </c>
    </row>
    <row r="128" spans="1:84" s="6" customFormat="1" ht="11.25" x14ac:dyDescent="0.2">
      <c r="A128" s="11">
        <v>43214</v>
      </c>
      <c r="B128" s="375">
        <f>'2022'!Maxi_hp</f>
        <v>36.501517073169801</v>
      </c>
      <c r="C128" s="13">
        <f>'2022'!An_max</f>
        <v>2022</v>
      </c>
      <c r="D128" s="1050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69">
        <f t="shared" si="61"/>
        <v>43206</v>
      </c>
      <c r="I128" s="744">
        <f t="shared" si="62"/>
        <v>0.5714285714285714</v>
      </c>
      <c r="J128" s="737">
        <f t="shared" si="63"/>
        <v>60.078927989304063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43">
        <v>43214</v>
      </c>
      <c r="AP128" s="13">
        <f t="shared" si="64"/>
        <v>5</v>
      </c>
      <c r="AQ128" s="13">
        <f t="shared" si="65"/>
        <v>6</v>
      </c>
      <c r="AR128" s="169">
        <f t="shared" si="66"/>
        <v>43192</v>
      </c>
      <c r="AS128" s="744">
        <f t="shared" si="67"/>
        <v>0.7857142857142857</v>
      </c>
      <c r="AT128" s="760">
        <f t="shared" si="68"/>
        <v>59.987183089820405</v>
      </c>
      <c r="AU128" s="13">
        <f t="shared" si="69"/>
        <v>5</v>
      </c>
      <c r="AV128" s="13">
        <f t="shared" si="70"/>
        <v>6</v>
      </c>
      <c r="AW128" s="169">
        <f t="shared" si="71"/>
        <v>43206</v>
      </c>
      <c r="AX128" s="744">
        <f t="shared" si="72"/>
        <v>0.2857142857142857</v>
      </c>
      <c r="AY128" s="760">
        <f t="shared" si="73"/>
        <v>60.049511370062831</v>
      </c>
      <c r="AZ128" s="737">
        <f t="shared" si="77"/>
        <v>60.018347229941618</v>
      </c>
      <c r="BA128" s="634">
        <f t="shared" si="74"/>
        <v>0.60755939386382218</v>
      </c>
      <c r="BC128" s="11">
        <v>43214</v>
      </c>
      <c r="BD128" s="286">
        <f>[3]!FeuilCaduc*(1-Persistant)+Persistant</f>
        <v>0.66591386079386361</v>
      </c>
      <c r="BE128" s="287">
        <f>[3]!CroissVégét</f>
        <v>0.12540967267096395</v>
      </c>
      <c r="BF128" s="807">
        <f>1+[3]!Salcycl*Ksac</f>
        <v>1.0082392325992329</v>
      </c>
      <c r="BH128" s="1041">
        <f t="shared" si="75"/>
        <v>1.0248502380772928E-3</v>
      </c>
      <c r="BI128" s="11">
        <v>44310</v>
      </c>
      <c r="BJ128" s="717">
        <v>1.2569051887557686E-4</v>
      </c>
      <c r="BK128" s="717">
        <v>2.1394110694228602E-4</v>
      </c>
      <c r="BL128" s="717">
        <v>3.2069311170849547E-4</v>
      </c>
      <c r="BM128" s="717">
        <v>4.9516030008264528E-4</v>
      </c>
      <c r="BN128" s="717">
        <v>7.2090922042546319E-4</v>
      </c>
      <c r="BO128" s="718">
        <v>1.0267412507118788E-3</v>
      </c>
      <c r="BP128" s="717">
        <v>1.394229113153511E-3</v>
      </c>
      <c r="BQ128" s="717">
        <v>1.9634296453039796E-3</v>
      </c>
      <c r="BR128" s="717">
        <v>2.6259096686635573E-3</v>
      </c>
      <c r="BS128" s="717">
        <v>3.4094818108690423E-3</v>
      </c>
      <c r="BT128" s="717">
        <v>4.1776134606504528E-3</v>
      </c>
      <c r="BW128" s="1162">
        <f>'2022'!R\Max</f>
        <v>0.60755939386382218</v>
      </c>
      <c r="BX128" s="1163">
        <f>'2023'!R\Max</f>
        <v>0.6075562721865857</v>
      </c>
      <c r="BY128" s="1163">
        <f>'2024'!R\Max</f>
        <v>0.60755295678523091</v>
      </c>
      <c r="BZ128" s="1163">
        <f>'2025'!R\Max</f>
        <v>0.60754812154042004</v>
      </c>
      <c r="CA128" s="1163">
        <f>'2026'!R\Max</f>
        <v>0.60754319665961143</v>
      </c>
      <c r="CB128" s="1163">
        <f>'2027'!R\Max</f>
        <v>0.60753756887670241</v>
      </c>
      <c r="CC128" s="1164">
        <f>'2028'!R\Max</f>
        <v>0.60753182472503142</v>
      </c>
      <c r="CD128" s="1163">
        <f>'2029'!R\Max</f>
        <v>0.60755954987280991</v>
      </c>
      <c r="CE128" s="1163">
        <f>'2030'!R\Max</f>
        <v>0.60755642819682976</v>
      </c>
      <c r="CF128" s="1165">
        <f>'2031'!R\Max</f>
        <v>0.60755319843093603</v>
      </c>
    </row>
    <row r="129" spans="1:84" s="6" customFormat="1" ht="11.25" x14ac:dyDescent="0.2">
      <c r="A129" s="11">
        <v>43215</v>
      </c>
      <c r="B129" s="375">
        <f>'2022'!Maxi_hp</f>
        <v>48.17544330333763</v>
      </c>
      <c r="C129" s="13">
        <f>'2022'!An_max</f>
        <v>2022</v>
      </c>
      <c r="D129" s="1050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69">
        <f t="shared" si="61"/>
        <v>43206</v>
      </c>
      <c r="I129" s="744">
        <f t="shared" si="62"/>
        <v>0.6428571428571429</v>
      </c>
      <c r="J129" s="737">
        <f t="shared" si="63"/>
        <v>60.322816509380935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43">
        <v>43215</v>
      </c>
      <c r="AP129" s="13">
        <f t="shared" si="64"/>
        <v>5</v>
      </c>
      <c r="AQ129" s="13">
        <f t="shared" si="65"/>
        <v>6</v>
      </c>
      <c r="AR129" s="169">
        <f t="shared" si="66"/>
        <v>43192</v>
      </c>
      <c r="AS129" s="744">
        <f t="shared" si="67"/>
        <v>0.8214285714285714</v>
      </c>
      <c r="AT129" s="760">
        <f t="shared" si="68"/>
        <v>60.248592337141076</v>
      </c>
      <c r="AU129" s="13">
        <f t="shared" si="69"/>
        <v>5</v>
      </c>
      <c r="AV129" s="13">
        <f t="shared" si="70"/>
        <v>6</v>
      </c>
      <c r="AW129" s="169">
        <f t="shared" si="71"/>
        <v>43206</v>
      </c>
      <c r="AX129" s="744">
        <f t="shared" si="72"/>
        <v>0.32142857142857145</v>
      </c>
      <c r="AY129" s="760">
        <f t="shared" si="73"/>
        <v>60.287777330460287</v>
      </c>
      <c r="AZ129" s="737">
        <f t="shared" si="77"/>
        <v>60.268184833800682</v>
      </c>
      <c r="BA129" s="634">
        <f t="shared" si="74"/>
        <v>0.79862722086004989</v>
      </c>
      <c r="BC129" s="11">
        <v>43215</v>
      </c>
      <c r="BD129" s="286">
        <f>[3]!FeuilCaduc*(1-Persistant)+Persistant</f>
        <v>0.66939820447918286</v>
      </c>
      <c r="BE129" s="287">
        <f>[3]!CroissVégét</f>
        <v>0.13003135568089563</v>
      </c>
      <c r="BF129" s="807">
        <f>1+[3]!Salcycl*Ksac</f>
        <v>1.0086747755598979</v>
      </c>
      <c r="BH129" s="1041">
        <f t="shared" si="75"/>
        <v>9.8517775189154084E-4</v>
      </c>
      <c r="BI129" s="11">
        <v>44311</v>
      </c>
      <c r="BJ129" s="717">
        <v>1.1839636969200396E-4</v>
      </c>
      <c r="BK129" s="717">
        <v>2.0234980123212516E-4</v>
      </c>
      <c r="BL129" s="717">
        <v>3.0497109442066765E-4</v>
      </c>
      <c r="BM129" s="717">
        <v>4.7409627971538656E-4</v>
      </c>
      <c r="BN129" s="717">
        <v>6.9266269953258532E-4</v>
      </c>
      <c r="BO129" s="718">
        <v>9.8699767624426857E-4</v>
      </c>
      <c r="BP129" s="717">
        <v>1.3380066033472178E-3</v>
      </c>
      <c r="BQ129" s="717">
        <v>1.8553433850441419E-3</v>
      </c>
      <c r="BR129" s="717">
        <v>2.4613819844594223E-3</v>
      </c>
      <c r="BS129" s="717">
        <v>3.1841100847635061E-3</v>
      </c>
      <c r="BT129" s="717">
        <v>3.9186829756506954E-3</v>
      </c>
      <c r="BW129" s="1162">
        <f>'2022'!R\Max</f>
        <v>0.79862722086004989</v>
      </c>
      <c r="BX129" s="1163">
        <f>'2023'!R\Max</f>
        <v>0.79862520735201392</v>
      </c>
      <c r="BY129" s="1163">
        <f>'2024'!R\Max</f>
        <v>0.79862308155116257</v>
      </c>
      <c r="BZ129" s="1163">
        <f>'2025'!R\Max</f>
        <v>0.79862011384434373</v>
      </c>
      <c r="CA129" s="1163">
        <f>'2026'!R\Max</f>
        <v>0.79861708620904093</v>
      </c>
      <c r="CB129" s="1163">
        <f>'2027'!R\Max</f>
        <v>0.79861360952876204</v>
      </c>
      <c r="CC129" s="1164">
        <f>'2028'!R\Max</f>
        <v>0.79861005400470775</v>
      </c>
      <c r="CD129" s="1163">
        <f>'2029'!R\Max</f>
        <v>0.79862732148692317</v>
      </c>
      <c r="CE129" s="1163">
        <f>'2030'!R\Max</f>
        <v>0.79862530798014331</v>
      </c>
      <c r="CF129" s="1165">
        <f>'2031'!R\Max</f>
        <v>0.7986232298645165</v>
      </c>
    </row>
    <row r="130" spans="1:84" s="6" customFormat="1" ht="11.25" x14ac:dyDescent="0.2">
      <c r="A130" s="11">
        <v>43216</v>
      </c>
      <c r="B130" s="375">
        <f>'2022'!Maxi_hp</f>
        <v>60.155199341869753</v>
      </c>
      <c r="C130" s="13">
        <f>'2022'!An_max</f>
        <v>2022</v>
      </c>
      <c r="D130" s="1050">
        <f t="shared" si="59"/>
        <v>0.99332396763607889</v>
      </c>
      <c r="E130" s="13"/>
      <c r="F130" s="13">
        <f t="shared" si="76"/>
        <v>9</v>
      </c>
      <c r="G130" s="13">
        <f t="shared" si="60"/>
        <v>10</v>
      </c>
      <c r="H130" s="169">
        <f t="shared" si="61"/>
        <v>43206</v>
      </c>
      <c r="I130" s="744">
        <f t="shared" si="62"/>
        <v>0.7142857142857143</v>
      </c>
      <c r="J130" s="737">
        <f t="shared" si="63"/>
        <v>60.559496500449519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43">
        <v>43216</v>
      </c>
      <c r="AP130" s="13">
        <f t="shared" si="64"/>
        <v>5</v>
      </c>
      <c r="AQ130" s="13">
        <f t="shared" si="65"/>
        <v>6</v>
      </c>
      <c r="AR130" s="169">
        <f t="shared" si="66"/>
        <v>43192</v>
      </c>
      <c r="AS130" s="744">
        <f t="shared" si="67"/>
        <v>0.8571428571428571</v>
      </c>
      <c r="AT130" s="760">
        <f t="shared" si="68"/>
        <v>60.502410787237544</v>
      </c>
      <c r="AU130" s="13">
        <f t="shared" si="69"/>
        <v>5</v>
      </c>
      <c r="AV130" s="13">
        <f t="shared" si="70"/>
        <v>6</v>
      </c>
      <c r="AW130" s="169">
        <f t="shared" si="71"/>
        <v>43206</v>
      </c>
      <c r="AX130" s="744">
        <f t="shared" si="72"/>
        <v>0.35714285714285715</v>
      </c>
      <c r="AY130" s="760">
        <f t="shared" si="73"/>
        <v>60.518447941594886</v>
      </c>
      <c r="AZ130" s="737">
        <f t="shared" si="77"/>
        <v>60.510429364416211</v>
      </c>
      <c r="BA130" s="634">
        <f t="shared" si="74"/>
        <v>0.99332396763607889</v>
      </c>
      <c r="BC130" s="11">
        <v>43216</v>
      </c>
      <c r="BD130" s="286">
        <f>[3]!FeuilCaduc*(1-Persistant)+Persistant</f>
        <v>0.67299593732628415</v>
      </c>
      <c r="BE130" s="287">
        <f>[3]!CroissVégét</f>
        <v>0.13479526923661356</v>
      </c>
      <c r="BF130" s="807">
        <f>1+[3]!Salcycl*Ksac</f>
        <v>1.0091244921657856</v>
      </c>
      <c r="BH130" s="1041">
        <f t="shared" si="75"/>
        <v>9.4624321535928849E-4</v>
      </c>
      <c r="BI130" s="11">
        <v>44312</v>
      </c>
      <c r="BJ130" s="717">
        <v>1.1196241158942905E-4</v>
      </c>
      <c r="BK130" s="717">
        <v>1.9201554516385752E-4</v>
      </c>
      <c r="BL130" s="717">
        <v>2.9087283842484492E-4</v>
      </c>
      <c r="BM130" s="717">
        <v>4.5455198340683262E-4</v>
      </c>
      <c r="BN130" s="717">
        <v>6.6561733401417458E-4</v>
      </c>
      <c r="BO130" s="718">
        <v>9.4798916952932872E-4</v>
      </c>
      <c r="BP130" s="717">
        <v>1.2825303774070046E-3</v>
      </c>
      <c r="BQ130" s="717">
        <v>1.7528588164240112E-3</v>
      </c>
      <c r="BR130" s="717">
        <v>2.3077292069437886E-3</v>
      </c>
      <c r="BS130" s="717">
        <v>2.9750631698464429E-3</v>
      </c>
      <c r="BT130" s="717">
        <v>3.6770361300341339E-3</v>
      </c>
      <c r="BW130" s="1162">
        <f>'2022'!R\Max</f>
        <v>0.99332396763607889</v>
      </c>
      <c r="BX130" s="1163">
        <f>'2023'!R\Max</f>
        <v>0.99332388839006236</v>
      </c>
      <c r="BY130" s="1163">
        <f>'2024'!R\Max</f>
        <v>0.99332380520468766</v>
      </c>
      <c r="BZ130" s="1163">
        <f>'2025'!R\Max</f>
        <v>0.99332369378927532</v>
      </c>
      <c r="CA130" s="1163">
        <f>'2026'!R\Max</f>
        <v>0.99332357991930731</v>
      </c>
      <c r="CB130" s="1163">
        <f>'2027'!R\Max</f>
        <v>0.99332344847040976</v>
      </c>
      <c r="CC130" s="1164">
        <f>'2028'!R\Max</f>
        <v>0.99332331375595817</v>
      </c>
      <c r="CD130" s="1163">
        <f>'2029'!R\Max</f>
        <v>0.99332397159646113</v>
      </c>
      <c r="CE130" s="1163">
        <f>'2030'!R\Max</f>
        <v>0.99332389235051033</v>
      </c>
      <c r="CF130" s="1165">
        <f>'2031'!R\Max</f>
        <v>0.99332381077274101</v>
      </c>
    </row>
    <row r="131" spans="1:84" s="6" customFormat="1" ht="11.25" x14ac:dyDescent="0.2">
      <c r="A131" s="11">
        <v>43217</v>
      </c>
      <c r="B131" s="375">
        <f>'2022'!Maxi_hp</f>
        <v>47.818782462690812</v>
      </c>
      <c r="C131" s="13">
        <f>'2022'!An_max</f>
        <v>2022</v>
      </c>
      <c r="D131" s="1050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69">
        <f t="shared" si="61"/>
        <v>43206</v>
      </c>
      <c r="I131" s="744">
        <f t="shared" si="62"/>
        <v>0.7857142857142857</v>
      </c>
      <c r="J131" s="737">
        <f t="shared" si="63"/>
        <v>60.789186407412799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43">
        <v>43217</v>
      </c>
      <c r="AP131" s="13">
        <f t="shared" si="64"/>
        <v>5</v>
      </c>
      <c r="AQ131" s="13">
        <f t="shared" si="65"/>
        <v>6</v>
      </c>
      <c r="AR131" s="169">
        <f t="shared" si="66"/>
        <v>43192</v>
      </c>
      <c r="AS131" s="744">
        <f t="shared" si="67"/>
        <v>0.8928571428571429</v>
      </c>
      <c r="AT131" s="760">
        <f t="shared" si="68"/>
        <v>60.748474608468157</v>
      </c>
      <c r="AU131" s="13">
        <f t="shared" si="69"/>
        <v>5</v>
      </c>
      <c r="AV131" s="13">
        <f t="shared" si="70"/>
        <v>6</v>
      </c>
      <c r="AW131" s="169">
        <f t="shared" si="71"/>
        <v>43206</v>
      </c>
      <c r="AX131" s="744">
        <f t="shared" si="72"/>
        <v>0.39285714285714285</v>
      </c>
      <c r="AY131" s="760">
        <f t="shared" si="73"/>
        <v>60.74175529602384</v>
      </c>
      <c r="AZ131" s="737">
        <f t="shared" si="77"/>
        <v>60.745114952245999</v>
      </c>
      <c r="BA131" s="634">
        <f t="shared" si="74"/>
        <v>0.78663303934035966</v>
      </c>
      <c r="BC131" s="11">
        <v>43217</v>
      </c>
      <c r="BD131" s="286">
        <f>[3]!FeuilCaduc*(1-Persistant)+Persistant</f>
        <v>0.67670669209087531</v>
      </c>
      <c r="BE131" s="287">
        <f>[3]!CroissVégét</f>
        <v>0.13970387121088346</v>
      </c>
      <c r="BF131" s="807">
        <f>1+[3]!Salcycl*Ksac</f>
        <v>1.0095883365113594</v>
      </c>
      <c r="BH131" s="1041">
        <f t="shared" si="75"/>
        <v>9.0804656094830736E-4</v>
      </c>
      <c r="BI131" s="11">
        <v>44313</v>
      </c>
      <c r="BJ131" s="717">
        <v>1.0638823441777213E-4</v>
      </c>
      <c r="BK131" s="717">
        <v>1.8293774640635923E-4</v>
      </c>
      <c r="BL131" s="717">
        <v>2.7839758048487268E-4</v>
      </c>
      <c r="BM131" s="717">
        <v>4.3652674693464409E-4</v>
      </c>
      <c r="BN131" s="717">
        <v>6.3977269545049031E-4</v>
      </c>
      <c r="BO131" s="718">
        <v>9.0971566528014441E-4</v>
      </c>
      <c r="BP131" s="717">
        <v>1.227800519906208E-3</v>
      </c>
      <c r="BQ131" s="717">
        <v>1.6559738816383362E-3</v>
      </c>
      <c r="BR131" s="717">
        <v>2.1649469447998552E-3</v>
      </c>
      <c r="BS131" s="717">
        <v>2.7823342788197425E-3</v>
      </c>
      <c r="BT131" s="717">
        <v>3.4526659088550656E-3</v>
      </c>
      <c r="BW131" s="1162">
        <f>'2022'!R\Max</f>
        <v>0.78663303934035966</v>
      </c>
      <c r="BX131" s="1163">
        <f>'2023'!R\Max</f>
        <v>0.78663112903156907</v>
      </c>
      <c r="BY131" s="1163">
        <f>'2024'!R\Max</f>
        <v>0.78662913451068905</v>
      </c>
      <c r="BZ131" s="1163">
        <f>'2025'!R\Max</f>
        <v>0.78662656298484002</v>
      </c>
      <c r="CA131" s="1163">
        <f>'2026'!R\Max</f>
        <v>0.78662392962681105</v>
      </c>
      <c r="CB131" s="1163">
        <f>'2027'!R\Max</f>
        <v>0.78662087273712622</v>
      </c>
      <c r="CC131" s="1164">
        <f>'2028'!R\Max</f>
        <v>0.78661773287763348</v>
      </c>
      <c r="CD131" s="1163">
        <f>'2029'!R\Max</f>
        <v>0.78663313480982855</v>
      </c>
      <c r="CE131" s="1163">
        <f>'2030'!R\Max</f>
        <v>0.78663122450209522</v>
      </c>
      <c r="CF131" s="1165">
        <f>'2031'!R\Max</f>
        <v>0.78662926302483982</v>
      </c>
    </row>
    <row r="132" spans="1:84" s="6" customFormat="1" ht="11.25" x14ac:dyDescent="0.2">
      <c r="A132" s="11">
        <v>43218</v>
      </c>
      <c r="B132" s="375">
        <f>'2022'!Maxi_hp</f>
        <v>25.495334159248106</v>
      </c>
      <c r="C132" s="13">
        <f>'2022'!An_max</f>
        <v>2022</v>
      </c>
      <c r="D132" s="1050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69">
        <f t="shared" si="61"/>
        <v>43206</v>
      </c>
      <c r="I132" s="744">
        <f t="shared" si="62"/>
        <v>0.8571428571428571</v>
      </c>
      <c r="J132" s="737">
        <f t="shared" si="63"/>
        <v>61.012104663678578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43">
        <v>43218</v>
      </c>
      <c r="AP132" s="13">
        <f t="shared" si="64"/>
        <v>5</v>
      </c>
      <c r="AQ132" s="13">
        <f t="shared" si="65"/>
        <v>6</v>
      </c>
      <c r="AR132" s="169">
        <f t="shared" si="66"/>
        <v>43192</v>
      </c>
      <c r="AS132" s="744">
        <f t="shared" si="67"/>
        <v>0.9285714285714286</v>
      </c>
      <c r="AT132" s="760">
        <f t="shared" si="68"/>
        <v>60.986619971745782</v>
      </c>
      <c r="AU132" s="13">
        <f t="shared" si="69"/>
        <v>5</v>
      </c>
      <c r="AV132" s="13">
        <f t="shared" si="70"/>
        <v>6</v>
      </c>
      <c r="AW132" s="169">
        <f t="shared" si="71"/>
        <v>43206</v>
      </c>
      <c r="AX132" s="744">
        <f t="shared" si="72"/>
        <v>0.42857142857142855</v>
      </c>
      <c r="AY132" s="760">
        <f t="shared" si="73"/>
        <v>60.957931485133507</v>
      </c>
      <c r="AZ132" s="737">
        <f t="shared" si="77"/>
        <v>60.972275728439641</v>
      </c>
      <c r="BA132" s="634">
        <f t="shared" si="74"/>
        <v>0.41787337610770642</v>
      </c>
      <c r="BC132" s="11">
        <v>43218</v>
      </c>
      <c r="BD132" s="286">
        <f>[3]!FeuilCaduc*(1-Persistant)+Persistant</f>
        <v>0.68052989211860793</v>
      </c>
      <c r="BE132" s="287">
        <f>[3]!CroissVégét</f>
        <v>0.14475951929663808</v>
      </c>
      <c r="BF132" s="807">
        <f>1+[3]!Salcycl*Ksac</f>
        <v>1.0100662365148261</v>
      </c>
      <c r="BH132" s="1041">
        <f t="shared" si="75"/>
        <v>8.7058772971997903E-4</v>
      </c>
      <c r="BI132" s="11">
        <v>44314</v>
      </c>
      <c r="BJ132" s="717">
        <v>1.0167340929427298E-4</v>
      </c>
      <c r="BK132" s="717">
        <v>1.7511578593998526E-4</v>
      </c>
      <c r="BL132" s="717">
        <v>2.6754452343742186E-4</v>
      </c>
      <c r="BM132" s="717">
        <v>4.2001987900440956E-4</v>
      </c>
      <c r="BN132" s="717">
        <v>6.1512834258250864E-4</v>
      </c>
      <c r="BO132" s="718">
        <v>8.7217710693675841E-4</v>
      </c>
      <c r="BP132" s="717">
        <v>1.1738171360152424E-3</v>
      </c>
      <c r="BQ132" s="717">
        <v>1.5646864457420898E-3</v>
      </c>
      <c r="BR132" s="717">
        <v>2.0330306234982941E-3</v>
      </c>
      <c r="BS132" s="717">
        <v>2.6059163333920134E-3</v>
      </c>
      <c r="BT132" s="717">
        <v>3.2455650040804471E-3</v>
      </c>
      <c r="BW132" s="1162">
        <f>'2022'!R\Max</f>
        <v>0.41787337610770642</v>
      </c>
      <c r="BX132" s="1163">
        <f>'2023'!R\Max</f>
        <v>0.41787074543044561</v>
      </c>
      <c r="BY132" s="1163">
        <f>'2024'!R\Max</f>
        <v>0.41786801171918059</v>
      </c>
      <c r="BZ132" s="1163">
        <f>'2025'!R\Max</f>
        <v>0.41786460283229748</v>
      </c>
      <c r="CA132" s="1163">
        <f>'2026'!R\Max</f>
        <v>0.41786110447852798</v>
      </c>
      <c r="CB132" s="1163">
        <f>'2027'!R\Max</f>
        <v>0.41785701988172147</v>
      </c>
      <c r="CC132" s="1164">
        <f>'2028'!R\Max</f>
        <v>0.41785281456016793</v>
      </c>
      <c r="CD132" s="1163">
        <f>'2029'!R\Max</f>
        <v>0.41787350757885183</v>
      </c>
      <c r="CE132" s="1163">
        <f>'2030'!R\Max</f>
        <v>0.41787087690192626</v>
      </c>
      <c r="CF132" s="1165">
        <f>'2031'!R\Max</f>
        <v>0.41786818208218662</v>
      </c>
    </row>
    <row r="133" spans="1:84" s="6" customFormat="1" ht="11.25" x14ac:dyDescent="0.2">
      <c r="A133" s="11">
        <v>43219</v>
      </c>
      <c r="B133" s="375">
        <f>'2022'!Maxi_hp</f>
        <v>46.211775667555173</v>
      </c>
      <c r="C133" s="13">
        <f>'2022'!An_max</f>
        <v>2022</v>
      </c>
      <c r="D133" s="1050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69">
        <f t="shared" si="61"/>
        <v>43206</v>
      </c>
      <c r="I133" s="744">
        <f t="shared" si="62"/>
        <v>0.9285714285714286</v>
      </c>
      <c r="J133" s="737">
        <f t="shared" si="63"/>
        <v>61.22846971478846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43">
        <v>43219</v>
      </c>
      <c r="AP133" s="13">
        <f t="shared" si="64"/>
        <v>5</v>
      </c>
      <c r="AQ133" s="13">
        <f t="shared" si="65"/>
        <v>6</v>
      </c>
      <c r="AR133" s="169">
        <f t="shared" si="66"/>
        <v>43192</v>
      </c>
      <c r="AS133" s="744">
        <f t="shared" si="67"/>
        <v>0.9642857142857143</v>
      </c>
      <c r="AT133" s="760">
        <f t="shared" si="68"/>
        <v>61.216683044896591</v>
      </c>
      <c r="AU133" s="13">
        <f t="shared" si="69"/>
        <v>5</v>
      </c>
      <c r="AV133" s="13">
        <f t="shared" si="70"/>
        <v>6</v>
      </c>
      <c r="AW133" s="169">
        <f t="shared" si="71"/>
        <v>43206</v>
      </c>
      <c r="AX133" s="744">
        <f t="shared" si="72"/>
        <v>0.4642857142857143</v>
      </c>
      <c r="AY133" s="760">
        <f t="shared" si="73"/>
        <v>61.167208606669945</v>
      </c>
      <c r="AZ133" s="737">
        <f t="shared" si="77"/>
        <v>61.191945825783264</v>
      </c>
      <c r="BA133" s="634">
        <f t="shared" si="74"/>
        <v>0.75474327355912474</v>
      </c>
      <c r="BC133" s="11">
        <v>43219</v>
      </c>
      <c r="BD133" s="286">
        <f>[3]!FeuilCaduc*(1-Persistant)+Persistant</f>
        <v>0.68446474414919523</v>
      </c>
      <c r="BE133" s="287">
        <f>[3]!CroissVégét</f>
        <v>0.14996445881890225</v>
      </c>
      <c r="BF133" s="807">
        <f>1+[3]!Salcycl*Ksac</f>
        <v>1.0105580930186495</v>
      </c>
      <c r="BH133" s="1041">
        <f t="shared" si="75"/>
        <v>8.3386666998974722E-4</v>
      </c>
      <c r="BI133" s="11">
        <v>44315</v>
      </c>
      <c r="BJ133" s="717">
        <v>9.7817487026809807E-5</v>
      </c>
      <c r="BK133" s="717">
        <v>1.685490157527844E-4</v>
      </c>
      <c r="BL133" s="717">
        <v>2.5831283321618058E-4</v>
      </c>
      <c r="BM133" s="717">
        <v>4.0503065846677055E-4</v>
      </c>
      <c r="BN133" s="717">
        <v>5.9168381911682045E-4</v>
      </c>
      <c r="BO133" s="718">
        <v>8.3537344533194671E-4</v>
      </c>
      <c r="BP133" s="717">
        <v>1.1205803501540964E-3</v>
      </c>
      <c r="BQ133" s="717">
        <v>1.4789942864119707E-3</v>
      </c>
      <c r="BR133" s="717">
        <v>1.9119754654023096E-3</v>
      </c>
      <c r="BS133" s="717">
        <v>2.4458019344043144E-3</v>
      </c>
      <c r="BT133" s="717">
        <v>3.0557257829688222E-3</v>
      </c>
      <c r="BW133" s="1162">
        <f>'2022'!R\Max</f>
        <v>0.75474327355912474</v>
      </c>
      <c r="BX133" s="1163">
        <f>'2023'!R\Max</f>
        <v>0.75474137657109563</v>
      </c>
      <c r="BY133" s="1163">
        <f>'2024'!R\Max</f>
        <v>0.75473941256534705</v>
      </c>
      <c r="BZ133" s="1163">
        <f>'2025'!R\Max</f>
        <v>0.75473702860953629</v>
      </c>
      <c r="CA133" s="1163">
        <f>'2026'!R\Max</f>
        <v>0.75473457637941199</v>
      </c>
      <c r="CB133" s="1163">
        <f>'2027'!R\Max</f>
        <v>0.75473169637481963</v>
      </c>
      <c r="CC133" s="1164">
        <f>'2028'!R\Max</f>
        <v>0.75472872403011249</v>
      </c>
      <c r="CD133" s="1163">
        <f>'2029'!R\Max</f>
        <v>0.75474336836296352</v>
      </c>
      <c r="CE133" s="1163">
        <f>'2030'!R\Max</f>
        <v>0.75474147137581804</v>
      </c>
      <c r="CF133" s="1165">
        <f>'2031'!R\Max</f>
        <v>0.75473953170572872</v>
      </c>
    </row>
    <row r="134" spans="1:84" s="6" customFormat="1" ht="11.25" x14ac:dyDescent="0.2">
      <c r="A134" s="11">
        <v>43220</v>
      </c>
      <c r="B134" s="375">
        <f>'2022'!Maxi_hp</f>
        <v>45.582361552210081</v>
      </c>
      <c r="C134" s="13">
        <f>'2022'!An_max</f>
        <v>2022</v>
      </c>
      <c r="D134" s="1050" t="str">
        <f t="shared" si="59"/>
        <v/>
      </c>
      <c r="E134" s="1045">
        <f>V$13/10</f>
        <v>61.438499999999998</v>
      </c>
      <c r="F134" s="13">
        <f t="shared" si="76"/>
        <v>11</v>
      </c>
      <c r="G134" s="13">
        <f t="shared" si="60"/>
        <v>10</v>
      </c>
      <c r="H134" s="169">
        <f t="shared" si="61"/>
        <v>43234</v>
      </c>
      <c r="I134" s="744">
        <f t="shared" si="62"/>
        <v>1</v>
      </c>
      <c r="J134" s="737">
        <f t="shared" si="63"/>
        <v>61.438499999046329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43">
        <v>43220</v>
      </c>
      <c r="AP134" s="13">
        <f t="shared" si="64"/>
        <v>7</v>
      </c>
      <c r="AQ134" s="13">
        <f t="shared" si="65"/>
        <v>6</v>
      </c>
      <c r="AR134" s="169">
        <f t="shared" si="66"/>
        <v>43248</v>
      </c>
      <c r="AS134" s="744">
        <f t="shared" si="67"/>
        <v>1</v>
      </c>
      <c r="AT134" s="760">
        <f t="shared" si="68"/>
        <v>61.438499999791382</v>
      </c>
      <c r="AU134" s="13">
        <f t="shared" si="69"/>
        <v>5</v>
      </c>
      <c r="AV134" s="13">
        <f t="shared" si="70"/>
        <v>6</v>
      </c>
      <c r="AW134" s="169">
        <f t="shared" si="71"/>
        <v>43206</v>
      </c>
      <c r="AX134" s="744">
        <f t="shared" si="72"/>
        <v>0.5</v>
      </c>
      <c r="AY134" s="760">
        <f t="shared" si="73"/>
        <v>61.369818748906255</v>
      </c>
      <c r="AZ134" s="737">
        <f t="shared" si="77"/>
        <v>61.404159374348822</v>
      </c>
      <c r="BA134" s="634">
        <f t="shared" si="74"/>
        <v>0.74191852914569245</v>
      </c>
      <c r="BC134" s="11">
        <v>43220</v>
      </c>
      <c r="BD134" s="286">
        <f>[3]!FeuilCaduc*(1-Persistant)+Persistant</f>
        <v>0.68851023126092314</v>
      </c>
      <c r="BE134" s="287">
        <f>[3]!CroissVégét</f>
        <v>0.1553208101334605</v>
      </c>
      <c r="BF134" s="807">
        <f>1+[3]!Salcycl*Ksac</f>
        <v>1.0110637789076153</v>
      </c>
      <c r="BH134" s="1041">
        <f t="shared" si="75"/>
        <v>7.9788333599001933E-4</v>
      </c>
      <c r="BI134" s="11">
        <v>44316</v>
      </c>
      <c r="BJ134" s="717">
        <v>9.4819996537515473E-5</v>
      </c>
      <c r="BK134" s="717">
        <v>1.6323675653722214E-4</v>
      </c>
      <c r="BL134" s="717">
        <v>2.5070163587680725E-4</v>
      </c>
      <c r="BM134" s="717">
        <v>3.9155833153572543E-4</v>
      </c>
      <c r="BN134" s="717">
        <v>5.6943865153225102E-4</v>
      </c>
      <c r="BO134" s="718">
        <v>7.9930463735944661E-4</v>
      </c>
      <c r="BP134" s="717">
        <v>1.0680903046481653E-3</v>
      </c>
      <c r="BQ134" s="717">
        <v>1.3988950837125938E-3</v>
      </c>
      <c r="BR134" s="717">
        <v>1.8017764698789495E-3</v>
      </c>
      <c r="BS134" s="717">
        <v>2.3019833319639833E-3</v>
      </c>
      <c r="BT134" s="717">
        <v>2.8831402564591852E-3</v>
      </c>
      <c r="BW134" s="1162">
        <f>'2022'!R\Max</f>
        <v>0.74191852914569245</v>
      </c>
      <c r="BX134" s="1163">
        <f>'2023'!R\Max</f>
        <v>0.74191667529193794</v>
      </c>
      <c r="BY134" s="1163">
        <f>'2024'!R\Max</f>
        <v>0.7419147602721895</v>
      </c>
      <c r="BZ134" s="1163">
        <f>'2025'!R\Max</f>
        <v>0.74191247862167498</v>
      </c>
      <c r="CA134" s="1163">
        <f>'2026'!R\Max</f>
        <v>0.74191012587906136</v>
      </c>
      <c r="CB134" s="1163">
        <f>'2027'!R\Max</f>
        <v>0.741907347033956</v>
      </c>
      <c r="CC134" s="1164">
        <f>'2028'!R\Max</f>
        <v>0.74190447218727584</v>
      </c>
      <c r="CD134" s="1163">
        <f>'2029'!R\Max</f>
        <v>0.74191862179389056</v>
      </c>
      <c r="CE134" s="1163">
        <f>'2030'!R\Max</f>
        <v>0.74191676794092876</v>
      </c>
      <c r="CF134" s="1165">
        <f>'2031'!R\Max</f>
        <v>0.74191487429984082</v>
      </c>
    </row>
    <row r="135" spans="1:84" s="6" customFormat="1" ht="11.25" x14ac:dyDescent="0.2">
      <c r="A135" s="11">
        <v>43221</v>
      </c>
      <c r="B135" s="375">
        <f>'2022'!Maxi_hp</f>
        <v>51.715899228512008</v>
      </c>
      <c r="C135" s="13">
        <f>'2022'!An_max</f>
        <v>2022</v>
      </c>
      <c r="D135" s="1050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69">
        <f t="shared" si="61"/>
        <v>43234</v>
      </c>
      <c r="I135" s="744">
        <f t="shared" si="62"/>
        <v>0.9285714285714286</v>
      </c>
      <c r="J135" s="737">
        <f t="shared" si="63"/>
        <v>61.640921282342504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43">
        <v>43221</v>
      </c>
      <c r="AP135" s="13">
        <f t="shared" si="64"/>
        <v>7</v>
      </c>
      <c r="AQ135" s="13">
        <f t="shared" si="65"/>
        <v>6</v>
      </c>
      <c r="AR135" s="169">
        <f t="shared" si="66"/>
        <v>43248</v>
      </c>
      <c r="AS135" s="744">
        <f t="shared" si="67"/>
        <v>0.9642857142857143</v>
      </c>
      <c r="AT135" s="760">
        <f t="shared" si="68"/>
        <v>61.651347252433858</v>
      </c>
      <c r="AU135" s="13">
        <f t="shared" si="69"/>
        <v>5</v>
      </c>
      <c r="AV135" s="13">
        <f t="shared" si="70"/>
        <v>6</v>
      </c>
      <c r="AW135" s="169">
        <f t="shared" si="71"/>
        <v>43206</v>
      </c>
      <c r="AX135" s="744">
        <f t="shared" si="72"/>
        <v>0.5357142857142857</v>
      </c>
      <c r="AY135" s="760">
        <f t="shared" si="73"/>
        <v>61.565994006874305</v>
      </c>
      <c r="AZ135" s="737">
        <f t="shared" si="77"/>
        <v>61.608670629654085</v>
      </c>
      <c r="BA135" s="634">
        <f t="shared" si="74"/>
        <v>0.83898647444982966</v>
      </c>
      <c r="BC135" s="11">
        <v>43221</v>
      </c>
      <c r="BD135" s="286">
        <f>[3]!FeuilCaduc*(1-Persistant)+Persistant</f>
        <v>0.69266510603190956</v>
      </c>
      <c r="BE135" s="287">
        <f>[3]!CroissVégét</f>
        <v>0.16083055564958049</v>
      </c>
      <c r="BF135" s="807">
        <f>1+[3]!Salcycl*Ksac</f>
        <v>1.0115831382539886</v>
      </c>
      <c r="BH135" s="1041">
        <f t="shared" si="75"/>
        <v>7.6263768653203232E-4</v>
      </c>
      <c r="BI135" s="11">
        <v>44317</v>
      </c>
      <c r="BJ135" s="717">
        <v>9.268044328626593E-5</v>
      </c>
      <c r="BK135" s="717">
        <v>1.5917829538668421E-4</v>
      </c>
      <c r="BL135" s="717">
        <v>2.4471001462154739E-4</v>
      </c>
      <c r="BM135" s="717">
        <v>3.7960210900641472E-4</v>
      </c>
      <c r="BN135" s="717">
        <v>5.4839234688573203E-4</v>
      </c>
      <c r="BO135" s="718">
        <v>7.6397064464114959E-4</v>
      </c>
      <c r="BP135" s="717">
        <v>1.0163471583826994E-3</v>
      </c>
      <c r="BQ135" s="717">
        <v>1.3243864098608507E-3</v>
      </c>
      <c r="BR135" s="717">
        <v>1.7024283934080591E-3</v>
      </c>
      <c r="BS135" s="717">
        <v>2.1744523955754629E-3</v>
      </c>
      <c r="BT135" s="717">
        <v>2.7278000475560809E-3</v>
      </c>
      <c r="BW135" s="1162">
        <f>'2022'!R\Max</f>
        <v>0.83898647444982966</v>
      </c>
      <c r="BX135" s="1163">
        <f>'2023'!R\Max</f>
        <v>0.83898524302688582</v>
      </c>
      <c r="BY135" s="1163">
        <f>'2024'!R\Max</f>
        <v>0.83898397126908031</v>
      </c>
      <c r="BZ135" s="1163">
        <f>'2025'!R\Max</f>
        <v>0.83898246821879885</v>
      </c>
      <c r="CA135" s="1163">
        <f>'2026'!R\Max</f>
        <v>0.83898091443853462</v>
      </c>
      <c r="CB135" s="1163">
        <f>'2027'!R\Max</f>
        <v>0.83897906976860459</v>
      </c>
      <c r="CC135" s="1164">
        <f>'2028'!R\Max</f>
        <v>0.83897715698639896</v>
      </c>
      <c r="CD135" s="1163">
        <f>'2029'!R\Max</f>
        <v>0.83898653599138351</v>
      </c>
      <c r="CE135" s="1163">
        <f>'2030'!R\Max</f>
        <v>0.83898530456904441</v>
      </c>
      <c r="CF135" s="1165">
        <f>'2031'!R\Max</f>
        <v>0.83898404638538804</v>
      </c>
    </row>
    <row r="136" spans="1:84" s="6" customFormat="1" ht="11.25" x14ac:dyDescent="0.2">
      <c r="A136" s="11">
        <v>43222</v>
      </c>
      <c r="B136" s="375">
        <f>'2022'!Maxi_hp</f>
        <v>33.243433014495245</v>
      </c>
      <c r="C136" s="13">
        <f>'2022'!An_max</f>
        <v>2022</v>
      </c>
      <c r="D136" s="1050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69">
        <f t="shared" si="61"/>
        <v>43234</v>
      </c>
      <c r="I136" s="744">
        <f t="shared" si="62"/>
        <v>0.8571428571428571</v>
      </c>
      <c r="J136" s="737">
        <f t="shared" si="63"/>
        <v>61.834604956741849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43">
        <v>43222</v>
      </c>
      <c r="AP136" s="13">
        <f t="shared" si="64"/>
        <v>7</v>
      </c>
      <c r="AQ136" s="13">
        <f t="shared" si="65"/>
        <v>6</v>
      </c>
      <c r="AR136" s="169">
        <f t="shared" si="66"/>
        <v>43248</v>
      </c>
      <c r="AS136" s="744">
        <f t="shared" si="67"/>
        <v>0.9285714285714286</v>
      </c>
      <c r="AT136" s="760">
        <f t="shared" si="68"/>
        <v>61.854810677309125</v>
      </c>
      <c r="AU136" s="13">
        <f t="shared" si="69"/>
        <v>5</v>
      </c>
      <c r="AV136" s="13">
        <f t="shared" si="70"/>
        <v>6</v>
      </c>
      <c r="AW136" s="169">
        <f t="shared" si="71"/>
        <v>43206</v>
      </c>
      <c r="AX136" s="744">
        <f t="shared" si="72"/>
        <v>0.5714285714285714</v>
      </c>
      <c r="AY136" s="760">
        <f t="shared" si="73"/>
        <v>61.755966471774244</v>
      </c>
      <c r="AZ136" s="737">
        <f t="shared" si="77"/>
        <v>61.805388574541681</v>
      </c>
      <c r="BA136" s="634">
        <f t="shared" si="74"/>
        <v>0.53761858813121932</v>
      </c>
      <c r="BC136" s="11">
        <v>43222</v>
      </c>
      <c r="BD136" s="286">
        <f>[3]!FeuilCaduc*(1-Persistant)+Persistant</f>
        <v>0.69692788399970962</v>
      </c>
      <c r="BE136" s="287">
        <f>[3]!CroissVégét</f>
        <v>0.16649552652045066</v>
      </c>
      <c r="BF136" s="807">
        <f>1+[3]!Salcycl*Ksac</f>
        <v>1.0121159854999637</v>
      </c>
      <c r="BH136" s="1041">
        <f t="shared" si="75"/>
        <v>7.286159506430279E-4</v>
      </c>
      <c r="BI136" s="11">
        <v>44318</v>
      </c>
      <c r="BJ136" s="717">
        <v>9.1029588429317166E-5</v>
      </c>
      <c r="BK136" s="717">
        <v>1.5585714695256535E-4</v>
      </c>
      <c r="BL136" s="717">
        <v>2.3965705487961471E-4</v>
      </c>
      <c r="BM136" s="717">
        <v>3.6862490132030221E-4</v>
      </c>
      <c r="BN136" s="717">
        <v>5.2837403538621064E-4</v>
      </c>
      <c r="BO136" s="718">
        <v>7.2986178443884065E-4</v>
      </c>
      <c r="BP136" s="717">
        <v>9.6646321470927974E-4</v>
      </c>
      <c r="BQ136" s="717">
        <v>1.2572177335358247E-3</v>
      </c>
      <c r="BR136" s="717">
        <v>1.6162025179121229E-3</v>
      </c>
      <c r="BS136" s="717">
        <v>2.0659301305025069E-3</v>
      </c>
      <c r="BT136" s="717">
        <v>2.5928439044108445E-3</v>
      </c>
      <c r="BW136" s="1162">
        <f>'2022'!R\Max</f>
        <v>0.53761858813121932</v>
      </c>
      <c r="BX136" s="1163">
        <f>'2023'!R\Max</f>
        <v>0.53761645737483055</v>
      </c>
      <c r="BY136" s="1163">
        <f>'2024'!R\Max</f>
        <v>0.53761425144290254</v>
      </c>
      <c r="BZ136" s="1163">
        <f>'2025'!R\Max</f>
        <v>0.53761163297828451</v>
      </c>
      <c r="CA136" s="1163">
        <f>'2026'!R\Max</f>
        <v>0.53760891979318759</v>
      </c>
      <c r="CB136" s="1163">
        <f>'2027'!R\Max</f>
        <v>0.53760568682850896</v>
      </c>
      <c r="CC136" s="1164">
        <f>'2028'!R\Max</f>
        <v>0.53760232788646833</v>
      </c>
      <c r="CD136" s="1163">
        <f>'2029'!R\Max</f>
        <v>0.53761869461815459</v>
      </c>
      <c r="CE136" s="1163">
        <f>'2030'!R\Max</f>
        <v>0.5376165638621998</v>
      </c>
      <c r="CF136" s="1165">
        <f>'2031'!R\Max</f>
        <v>0.53761438230353842</v>
      </c>
    </row>
    <row r="137" spans="1:84" s="6" customFormat="1" ht="11.25" x14ac:dyDescent="0.2">
      <c r="A137" s="11">
        <v>43223</v>
      </c>
      <c r="B137" s="375">
        <f>'2022'!Maxi_hp</f>
        <v>37.054002471299164</v>
      </c>
      <c r="C137" s="13">
        <f>'2022'!An_max</f>
        <v>2022</v>
      </c>
      <c r="D137" s="1050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69">
        <f t="shared" si="61"/>
        <v>43234</v>
      </c>
      <c r="I137" s="744">
        <f t="shared" si="62"/>
        <v>0.7857142857142857</v>
      </c>
      <c r="J137" s="737">
        <f t="shared" si="63"/>
        <v>62.019987900768001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43">
        <v>43223</v>
      </c>
      <c r="AP137" s="13">
        <f t="shared" si="64"/>
        <v>7</v>
      </c>
      <c r="AQ137" s="13">
        <f t="shared" si="65"/>
        <v>6</v>
      </c>
      <c r="AR137" s="169">
        <f t="shared" si="66"/>
        <v>43248</v>
      </c>
      <c r="AS137" s="744">
        <f t="shared" si="67"/>
        <v>0.8928571428571429</v>
      </c>
      <c r="AT137" s="760">
        <f t="shared" si="68"/>
        <v>62.049190629699396</v>
      </c>
      <c r="AU137" s="13">
        <f t="shared" si="69"/>
        <v>5</v>
      </c>
      <c r="AV137" s="13">
        <f t="shared" si="70"/>
        <v>6</v>
      </c>
      <c r="AW137" s="169">
        <f t="shared" si="71"/>
        <v>43206</v>
      </c>
      <c r="AX137" s="744">
        <f t="shared" si="72"/>
        <v>0.6071428571428571</v>
      </c>
      <c r="AY137" s="760">
        <f t="shared" si="73"/>
        <v>61.939968237546942</v>
      </c>
      <c r="AZ137" s="737">
        <f t="shared" si="77"/>
        <v>61.994579433623173</v>
      </c>
      <c r="BA137" s="634">
        <f t="shared" si="74"/>
        <v>0.59745259109991411</v>
      </c>
      <c r="BC137" s="11">
        <v>43223</v>
      </c>
      <c r="BD137" s="286">
        <f>[3]!FeuilCaduc*(1-Persistant)+Persistant</f>
        <v>0.70129683750527161</v>
      </c>
      <c r="BE137" s="287">
        <f>[3]!CroissVégét</f>
        <v>0.1723173890515782</v>
      </c>
      <c r="BF137" s="807">
        <f>1+[3]!Salcycl*Ksac</f>
        <v>1.012662104688159</v>
      </c>
      <c r="BH137" s="1041">
        <f t="shared" si="75"/>
        <v>6.957531635839783E-4</v>
      </c>
      <c r="BI137" s="11">
        <v>44319</v>
      </c>
      <c r="BJ137" s="717">
        <v>8.933864637993912E-5</v>
      </c>
      <c r="BK137" s="717">
        <v>1.525874777355459E-4</v>
      </c>
      <c r="BL137" s="717">
        <v>2.346629997580865E-4</v>
      </c>
      <c r="BM137" s="717">
        <v>3.579578514518358E-4</v>
      </c>
      <c r="BN137" s="717">
        <v>5.0898413918317646E-4</v>
      </c>
      <c r="BO137" s="718">
        <v>6.9691517385695768E-4</v>
      </c>
      <c r="BP137" s="717">
        <v>9.1814400523053256E-4</v>
      </c>
      <c r="BQ137" s="717">
        <v>1.1919943844977182E-3</v>
      </c>
      <c r="BR137" s="717">
        <v>1.5321605111617287E-3</v>
      </c>
      <c r="BS137" s="717">
        <v>1.9597589416724247E-3</v>
      </c>
      <c r="BT137" s="717">
        <v>2.4603814337325175E-3</v>
      </c>
      <c r="BW137" s="1162">
        <f>'2022'!R\Max</f>
        <v>0.59745259109991411</v>
      </c>
      <c r="BX137" s="1163">
        <f>'2023'!R\Max</f>
        <v>0.59745065727077207</v>
      </c>
      <c r="BY137" s="1163">
        <f>'2024'!R\Max</f>
        <v>0.59744864985751922</v>
      </c>
      <c r="BZ137" s="1163">
        <f>'2025'!R\Max</f>
        <v>0.59744625602257095</v>
      </c>
      <c r="CA137" s="1163">
        <f>'2026'!R\Max</f>
        <v>0.5974437694505732</v>
      </c>
      <c r="CB137" s="1163">
        <f>'2027'!R\Max</f>
        <v>0.59744079588530519</v>
      </c>
      <c r="CC137" s="1164">
        <f>'2028'!R\Max</f>
        <v>0.5974377000484653</v>
      </c>
      <c r="CD137" s="1163">
        <f>'2029'!R\Max</f>
        <v>0.59745268774515359</v>
      </c>
      <c r="CE137" s="1163">
        <f>'2030'!R\Max</f>
        <v>0.59745075391647384</v>
      </c>
      <c r="CF137" s="1165">
        <f>'2031'!R\Max</f>
        <v>0.59744876949198378</v>
      </c>
    </row>
    <row r="138" spans="1:84" s="6" customFormat="1" ht="11.25" x14ac:dyDescent="0.2">
      <c r="A138" s="11">
        <v>43224</v>
      </c>
      <c r="B138" s="375">
        <f>'2022'!Maxi_hp</f>
        <v>20.855778646437024</v>
      </c>
      <c r="C138" s="13">
        <f>'2022'!An_max</f>
        <v>2022</v>
      </c>
      <c r="D138" s="1050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69">
        <f t="shared" si="61"/>
        <v>43234</v>
      </c>
      <c r="I138" s="744">
        <f t="shared" si="62"/>
        <v>0.7142857142857143</v>
      </c>
      <c r="J138" s="737">
        <f t="shared" si="63"/>
        <v>62.197506997308565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43">
        <v>43224</v>
      </c>
      <c r="AP138" s="13">
        <f t="shared" si="64"/>
        <v>7</v>
      </c>
      <c r="AQ138" s="13">
        <f t="shared" si="65"/>
        <v>6</v>
      </c>
      <c r="AR138" s="169">
        <f t="shared" si="66"/>
        <v>43248</v>
      </c>
      <c r="AS138" s="744">
        <f t="shared" si="67"/>
        <v>0.8571428571428571</v>
      </c>
      <c r="AT138" s="760">
        <f t="shared" si="68"/>
        <v>62.234787463716103</v>
      </c>
      <c r="AU138" s="13">
        <f t="shared" si="69"/>
        <v>5</v>
      </c>
      <c r="AV138" s="13">
        <f t="shared" si="70"/>
        <v>6</v>
      </c>
      <c r="AW138" s="169">
        <f t="shared" si="71"/>
        <v>43206</v>
      </c>
      <c r="AX138" s="744">
        <f t="shared" si="72"/>
        <v>0.6428571428571429</v>
      </c>
      <c r="AY138" s="760">
        <f t="shared" si="73"/>
        <v>62.118231396057773</v>
      </c>
      <c r="AZ138" s="737">
        <f t="shared" si="77"/>
        <v>62.176509429886934</v>
      </c>
      <c r="BA138" s="634">
        <f t="shared" si="74"/>
        <v>0.33531534708199001</v>
      </c>
      <c r="BC138" s="11">
        <v>43224</v>
      </c>
      <c r="BD138" s="286">
        <f>[3]!FeuilCaduc*(1-Persistant)+Persistant</f>
        <v>0.70576999001073237</v>
      </c>
      <c r="BE138" s="287">
        <f>[3]!CroissVégét</f>
        <v>0.17829763088415901</v>
      </c>
      <c r="BF138" s="807">
        <f>1+[3]!Salcycl*Ksac</f>
        <v>1.0132212487513415</v>
      </c>
      <c r="BH138" s="1041">
        <f t="shared" si="75"/>
        <v>6.6404899646175001E-4</v>
      </c>
      <c r="BI138" s="11">
        <v>44320</v>
      </c>
      <c r="BJ138" s="717">
        <v>8.7607655637671585E-5</v>
      </c>
      <c r="BK138" s="717">
        <v>1.4936928108840307E-4</v>
      </c>
      <c r="BL138" s="717">
        <v>2.2972785178700114E-4</v>
      </c>
      <c r="BM138" s="717">
        <v>3.4760087083392574E-4</v>
      </c>
      <c r="BN138" s="717">
        <v>4.902224818491809E-4</v>
      </c>
      <c r="BO138" s="718">
        <v>6.6513048305378013E-4</v>
      </c>
      <c r="BP138" s="717">
        <v>8.7138915818034803E-4</v>
      </c>
      <c r="BQ138" s="717">
        <v>1.1287159798492087E-3</v>
      </c>
      <c r="BR138" s="717">
        <v>1.4503020930480897E-3</v>
      </c>
      <c r="BS138" s="717">
        <v>1.8559387391792071E-3</v>
      </c>
      <c r="BT138" s="717">
        <v>2.3304128099278175E-3</v>
      </c>
      <c r="BW138" s="1162">
        <f>'2022'!R\Max</f>
        <v>0.33531534708199001</v>
      </c>
      <c r="BX138" s="1163">
        <f>'2023'!R\Max</f>
        <v>0.33531367037848125</v>
      </c>
      <c r="BY138" s="1163">
        <f>'2024'!R\Max</f>
        <v>0.33531192478950028</v>
      </c>
      <c r="BZ138" s="1163">
        <f>'2025'!R\Max</f>
        <v>0.33530983294400168</v>
      </c>
      <c r="CA138" s="1163">
        <f>'2026'!R\Max</f>
        <v>0.33530765441936516</v>
      </c>
      <c r="CB138" s="1163">
        <f>'2027'!R\Max</f>
        <v>0.33530504019740043</v>
      </c>
      <c r="CC138" s="1164">
        <f>'2028'!R\Max</f>
        <v>0.3353023125996285</v>
      </c>
      <c r="CD138" s="1163">
        <f>'2029'!R\Max</f>
        <v>0.33531543087728016</v>
      </c>
      <c r="CE138" s="1163">
        <f>'2030'!R\Max</f>
        <v>0.33531375417381593</v>
      </c>
      <c r="CF138" s="1165">
        <f>'2031'!R\Max</f>
        <v>0.33531202933200727</v>
      </c>
    </row>
    <row r="139" spans="1:84" s="6" customFormat="1" ht="11.25" x14ac:dyDescent="0.2">
      <c r="A139" s="11">
        <v>43225</v>
      </c>
      <c r="B139" s="375">
        <f>'2022'!Maxi_hp</f>
        <v>41.982717028924689</v>
      </c>
      <c r="C139" s="13">
        <f>'2022'!An_max</f>
        <v>2022</v>
      </c>
      <c r="D139" s="1050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69">
        <f t="shared" si="61"/>
        <v>43234</v>
      </c>
      <c r="I139" s="744">
        <f t="shared" si="62"/>
        <v>0.6428571428571429</v>
      </c>
      <c r="J139" s="737">
        <f t="shared" si="63"/>
        <v>62.367599125525786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43">
        <v>43225</v>
      </c>
      <c r="AP139" s="13">
        <f t="shared" si="64"/>
        <v>7</v>
      </c>
      <c r="AQ139" s="13">
        <f t="shared" si="65"/>
        <v>6</v>
      </c>
      <c r="AR139" s="169">
        <f t="shared" si="66"/>
        <v>43248</v>
      </c>
      <c r="AS139" s="744">
        <f t="shared" si="67"/>
        <v>0.8214285714285714</v>
      </c>
      <c r="AT139" s="760">
        <f t="shared" si="68"/>
        <v>62.411901535705809</v>
      </c>
      <c r="AU139" s="13">
        <f t="shared" si="69"/>
        <v>5</v>
      </c>
      <c r="AV139" s="13">
        <f t="shared" si="70"/>
        <v>6</v>
      </c>
      <c r="AW139" s="169">
        <f t="shared" si="71"/>
        <v>43206</v>
      </c>
      <c r="AX139" s="744">
        <f t="shared" si="72"/>
        <v>0.6785714285714286</v>
      </c>
      <c r="AY139" s="760">
        <f t="shared" si="73"/>
        <v>62.290988040475973</v>
      </c>
      <c r="AZ139" s="737">
        <f t="shared" si="77"/>
        <v>62.351444788090888</v>
      </c>
      <c r="BA139" s="634">
        <f t="shared" si="74"/>
        <v>0.67314948174334999</v>
      </c>
      <c r="BC139" s="11">
        <v>43225</v>
      </c>
      <c r="BD139" s="286">
        <f>[3]!FeuilCaduc*(1-Persistant)+Persistant</f>
        <v>0.71034511098304465</v>
      </c>
      <c r="BE139" s="287">
        <f>[3]!CroissVégét</f>
        <v>0.1844375470173118</v>
      </c>
      <c r="BF139" s="807">
        <f>1+[3]!Salcycl*Ksac</f>
        <v>1.0137931388728807</v>
      </c>
      <c r="BH139" s="1041">
        <f t="shared" si="75"/>
        <v>6.3350310415205069E-4</v>
      </c>
      <c r="BI139" s="11">
        <v>44321</v>
      </c>
      <c r="BJ139" s="717">
        <v>8.5836657344959602E-5</v>
      </c>
      <c r="BK139" s="717">
        <v>1.4620255095735546E-4</v>
      </c>
      <c r="BL139" s="717">
        <v>2.2485161509403664E-4</v>
      </c>
      <c r="BM139" s="717">
        <v>3.3755386789865858E-4</v>
      </c>
      <c r="BN139" s="717">
        <v>4.7208887928694557E-4</v>
      </c>
      <c r="BO139" s="718">
        <v>6.3450736590316289E-4</v>
      </c>
      <c r="BP139" s="717">
        <v>8.2619828285172305E-4</v>
      </c>
      <c r="BQ139" s="717">
        <v>1.0673821169940477E-3</v>
      </c>
      <c r="BR139" s="717">
        <v>1.3706269694009436E-3</v>
      </c>
      <c r="BS139" s="717">
        <v>1.7544694296482925E-3</v>
      </c>
      <c r="BT139" s="717">
        <v>2.2029382184891311E-3</v>
      </c>
      <c r="BW139" s="1162">
        <f>'2022'!R\Max</f>
        <v>0.67314948174334999</v>
      </c>
      <c r="BX139" s="1163">
        <f>'2023'!R\Max</f>
        <v>0.6731479377039834</v>
      </c>
      <c r="BY139" s="1163">
        <f>'2024'!R\Max</f>
        <v>0.67314632505863048</v>
      </c>
      <c r="BZ139" s="1163">
        <f>'2025'!R\Max</f>
        <v>0.6731443823396972</v>
      </c>
      <c r="CA139" s="1163">
        <f>'2026'!R\Max</f>
        <v>0.67314235358949082</v>
      </c>
      <c r="CB139" s="1163">
        <f>'2027'!R\Max</f>
        <v>0.67313991093841574</v>
      </c>
      <c r="CC139" s="1164">
        <f>'2028'!R\Max</f>
        <v>0.67313735655466389</v>
      </c>
      <c r="CD139" s="1163">
        <f>'2029'!R\Max</f>
        <v>0.67314955890839812</v>
      </c>
      <c r="CE139" s="1163">
        <f>'2030'!R\Max</f>
        <v>0.67314801486943576</v>
      </c>
      <c r="CF139" s="1165">
        <f>'2031'!R\Max</f>
        <v>0.67314642214805509</v>
      </c>
    </row>
    <row r="140" spans="1:84" s="6" customFormat="1" ht="11.25" x14ac:dyDescent="0.2">
      <c r="A140" s="11">
        <v>43226</v>
      </c>
      <c r="B140" s="375">
        <f>'2022'!Maxi_hp</f>
        <v>44.0138157587295</v>
      </c>
      <c r="C140" s="13">
        <f>'2022'!An_max</f>
        <v>2022</v>
      </c>
      <c r="D140" s="1050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69">
        <f t="shared" si="61"/>
        <v>43234</v>
      </c>
      <c r="I140" s="744">
        <f t="shared" si="62"/>
        <v>0.5714285714285714</v>
      </c>
      <c r="J140" s="737">
        <f t="shared" si="63"/>
        <v>62.530701166604238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43">
        <v>43226</v>
      </c>
      <c r="AP140" s="13">
        <f t="shared" si="64"/>
        <v>7</v>
      </c>
      <c r="AQ140" s="13">
        <f t="shared" si="65"/>
        <v>6</v>
      </c>
      <c r="AR140" s="169">
        <f t="shared" si="66"/>
        <v>43248</v>
      </c>
      <c r="AS140" s="744">
        <f t="shared" si="67"/>
        <v>0.7857142857142857</v>
      </c>
      <c r="AT140" s="760">
        <f t="shared" si="68"/>
        <v>62.580833199939562</v>
      </c>
      <c r="AU140" s="13">
        <f t="shared" si="69"/>
        <v>5</v>
      </c>
      <c r="AV140" s="13">
        <f t="shared" si="70"/>
        <v>6</v>
      </c>
      <c r="AW140" s="169">
        <f t="shared" si="71"/>
        <v>43206</v>
      </c>
      <c r="AX140" s="744">
        <f t="shared" si="72"/>
        <v>0.7142857142857143</v>
      </c>
      <c r="AY140" s="760">
        <f t="shared" si="73"/>
        <v>62.45847026311926</v>
      </c>
      <c r="AZ140" s="737">
        <f t="shared" si="77"/>
        <v>62.519651731529407</v>
      </c>
      <c r="BA140" s="634">
        <f t="shared" si="74"/>
        <v>0.70387529545624139</v>
      </c>
      <c r="BC140" s="11">
        <v>43226</v>
      </c>
      <c r="BD140" s="286">
        <f>[3]!FeuilCaduc*(1-Persistant)+Persistant</f>
        <v>0.71501971143686638</v>
      </c>
      <c r="BE140" s="287">
        <f>[3]!CroissVégét</f>
        <v>0.19073822573999455</v>
      </c>
      <c r="BF140" s="807">
        <f>1+[3]!Salcycl*Ksac</f>
        <v>1.0143774639296084</v>
      </c>
      <c r="BH140" s="1041">
        <f t="shared" si="75"/>
        <v>6.0411512319143601E-4</v>
      </c>
      <c r="BI140" s="11">
        <v>44322</v>
      </c>
      <c r="BJ140" s="717">
        <v>8.4025695361881082E-5</v>
      </c>
      <c r="BK140" s="717">
        <v>1.4308728178941406E-4</v>
      </c>
      <c r="BL140" s="717">
        <v>2.2003429529926573E-4</v>
      </c>
      <c r="BM140" s="717">
        <v>3.2781674751401209E-4</v>
      </c>
      <c r="BN140" s="717">
        <v>4.5458313858711156E-4</v>
      </c>
      <c r="BO140" s="718">
        <v>6.0504545788053494E-4</v>
      </c>
      <c r="BP140" s="717">
        <v>7.8257096675386469E-4</v>
      </c>
      <c r="BQ140" s="717">
        <v>1.007992370106541E-3</v>
      </c>
      <c r="BR140" s="717">
        <v>1.2931348280329064E-3</v>
      </c>
      <c r="BS140" s="717">
        <v>1.6553509119892611E-3</v>
      </c>
      <c r="BT140" s="717">
        <v>2.0779578515038128E-3</v>
      </c>
      <c r="BW140" s="1162">
        <f>'2022'!R\Max</f>
        <v>0.70387529545624139</v>
      </c>
      <c r="BX140" s="1163">
        <f>'2023'!R\Max</f>
        <v>0.70387393544776711</v>
      </c>
      <c r="BY140" s="1163">
        <f>'2024'!R\Max</f>
        <v>0.70387250998232542</v>
      </c>
      <c r="BZ140" s="1163">
        <f>'2025'!R\Max</f>
        <v>0.70387078302743211</v>
      </c>
      <c r="CA140" s="1163">
        <f>'2026'!R\Max</f>
        <v>0.70386897445111207</v>
      </c>
      <c r="CB140" s="1163">
        <f>'2027'!R\Max</f>
        <v>0.70386678994094998</v>
      </c>
      <c r="CC140" s="1164">
        <f>'2028'!R\Max</f>
        <v>0.70386450008819357</v>
      </c>
      <c r="CD140" s="1163">
        <f>'2029'!R\Max</f>
        <v>0.70387536342414425</v>
      </c>
      <c r="CE140" s="1163">
        <f>'2030'!R\Max</f>
        <v>0.70387400341602824</v>
      </c>
      <c r="CF140" s="1165">
        <f>'2031'!R\Max</f>
        <v>0.70387259628871002</v>
      </c>
    </row>
    <row r="141" spans="1:84" s="6" customFormat="1" ht="11.25" x14ac:dyDescent="0.2">
      <c r="A141" s="11">
        <v>43227</v>
      </c>
      <c r="B141" s="375">
        <f>'2022'!Maxi_hp</f>
        <v>50.627897365958461</v>
      </c>
      <c r="C141" s="13">
        <f>'2022'!An_max</f>
        <v>2022</v>
      </c>
      <c r="D141" s="1050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69">
        <f t="shared" si="61"/>
        <v>43234</v>
      </c>
      <c r="I141" s="744">
        <f t="shared" si="62"/>
        <v>0.5</v>
      </c>
      <c r="J141" s="737">
        <f t="shared" si="63"/>
        <v>62.687249999865891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43">
        <v>43227</v>
      </c>
      <c r="AP141" s="13">
        <f t="shared" si="64"/>
        <v>7</v>
      </c>
      <c r="AQ141" s="13">
        <f t="shared" si="65"/>
        <v>6</v>
      </c>
      <c r="AR141" s="169">
        <f t="shared" si="66"/>
        <v>43248</v>
      </c>
      <c r="AS141" s="744">
        <f t="shared" si="67"/>
        <v>0.75</v>
      </c>
      <c r="AT141" s="760">
        <f t="shared" si="68"/>
        <v>62.741882812231779</v>
      </c>
      <c r="AU141" s="13">
        <f t="shared" si="69"/>
        <v>5</v>
      </c>
      <c r="AV141" s="13">
        <f t="shared" si="70"/>
        <v>6</v>
      </c>
      <c r="AW141" s="169">
        <f t="shared" si="71"/>
        <v>43206</v>
      </c>
      <c r="AX141" s="744">
        <f t="shared" si="72"/>
        <v>0.75</v>
      </c>
      <c r="AY141" s="760">
        <f t="shared" si="73"/>
        <v>62.620910156331959</v>
      </c>
      <c r="AZ141" s="737">
        <f t="shared" si="77"/>
        <v>62.681396484281869</v>
      </c>
      <c r="BA141" s="634">
        <f t="shared" si="74"/>
        <v>0.8076267082391837</v>
      </c>
      <c r="BC141" s="11">
        <v>43227</v>
      </c>
      <c r="BD141" s="286">
        <f>[3]!FeuilCaduc*(1-Persistant)+Persistant</f>
        <v>0.71979104023048723</v>
      </c>
      <c r="BE141" s="287">
        <f>[3]!CroissVégét</f>
        <v>0.19720053455029921</v>
      </c>
      <c r="BF141" s="807">
        <f>1+[3]!Salcycl*Ksac</f>
        <v>1.0149738800288108</v>
      </c>
      <c r="BH141" s="1041">
        <f t="shared" si="75"/>
        <v>5.7588466966132144E-4</v>
      </c>
      <c r="BI141" s="11">
        <v>44323</v>
      </c>
      <c r="BJ141" s="717">
        <v>8.2174816339835319E-5</v>
      </c>
      <c r="BK141" s="717">
        <v>1.4002346843795991E-4</v>
      </c>
      <c r="BL141" s="717">
        <v>2.1527589940718473E-4</v>
      </c>
      <c r="BM141" s="717">
        <v>3.1838941041642511E-4</v>
      </c>
      <c r="BN141" s="717">
        <v>4.377050568801141E-4</v>
      </c>
      <c r="BO141" s="718">
        <v>5.7674437394088923E-4</v>
      </c>
      <c r="BP141" s="717">
        <v>7.4050677275877205E-4</v>
      </c>
      <c r="BQ141" s="717">
        <v>9.5054628658738504E-4</v>
      </c>
      <c r="BR141" s="717">
        <v>1.2178253347662905E-3</v>
      </c>
      <c r="BS141" s="717">
        <v>1.5585830731260971E-3</v>
      </c>
      <c r="BT141" s="717">
        <v>1.9554719031353199E-3</v>
      </c>
      <c r="BW141" s="1162">
        <f>'2022'!R\Max</f>
        <v>0.8076267082391837</v>
      </c>
      <c r="BX141" s="1163">
        <f>'2023'!R\Max</f>
        <v>0.80762576920196338</v>
      </c>
      <c r="BY141" s="1163">
        <f>'2024'!R\Max</f>
        <v>0.8076247811110604</v>
      </c>
      <c r="BZ141" s="1163">
        <f>'2025'!R\Max</f>
        <v>0.80762357669797502</v>
      </c>
      <c r="CA141" s="1163">
        <f>'2026'!R\Max</f>
        <v>0.8076223116078296</v>
      </c>
      <c r="CB141" s="1163">
        <f>'2027'!R\Max</f>
        <v>0.80762077894420226</v>
      </c>
      <c r="CC141" s="1164">
        <f>'2028'!R\Max</f>
        <v>0.80761916838446912</v>
      </c>
      <c r="CD141" s="1163">
        <f>'2029'!R\Max</f>
        <v>0.80762675516856919</v>
      </c>
      <c r="CE141" s="1163">
        <f>'2030'!R\Max</f>
        <v>0.80762581613163675</v>
      </c>
      <c r="CF141" s="1165">
        <f>'2031'!R\Max</f>
        <v>0.8076248413028323</v>
      </c>
    </row>
    <row r="142" spans="1:84" s="6" customFormat="1" ht="11.25" x14ac:dyDescent="0.2">
      <c r="A142" s="11">
        <v>43228</v>
      </c>
      <c r="B142" s="375">
        <f>'2022'!Maxi_hp</f>
        <v>57.428663358551631</v>
      </c>
      <c r="C142" s="13">
        <f>'2022'!An_max</f>
        <v>2022</v>
      </c>
      <c r="D142" s="1050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69">
        <f t="shared" si="61"/>
        <v>43234</v>
      </c>
      <c r="I142" s="744">
        <f t="shared" si="62"/>
        <v>0.42857142857142855</v>
      </c>
      <c r="J142" s="737">
        <f t="shared" si="63"/>
        <v>62.837682507719308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43">
        <v>43228</v>
      </c>
      <c r="AP142" s="13">
        <f t="shared" si="64"/>
        <v>7</v>
      </c>
      <c r="AQ142" s="13">
        <f t="shared" si="65"/>
        <v>6</v>
      </c>
      <c r="AR142" s="169">
        <f t="shared" si="66"/>
        <v>43248</v>
      </c>
      <c r="AS142" s="744">
        <f t="shared" si="67"/>
        <v>0.7142857142857143</v>
      </c>
      <c r="AT142" s="760">
        <f t="shared" si="68"/>
        <v>62.895350728609728</v>
      </c>
      <c r="AU142" s="13">
        <f t="shared" si="69"/>
        <v>5</v>
      </c>
      <c r="AV142" s="13">
        <f t="shared" si="70"/>
        <v>6</v>
      </c>
      <c r="AW142" s="169">
        <f t="shared" si="71"/>
        <v>43206</v>
      </c>
      <c r="AX142" s="744">
        <f t="shared" si="72"/>
        <v>0.7857142857142857</v>
      </c>
      <c r="AY142" s="760">
        <f t="shared" si="73"/>
        <v>62.778539813576003</v>
      </c>
      <c r="AZ142" s="737">
        <f t="shared" si="77"/>
        <v>62.836945271092866</v>
      </c>
      <c r="BA142" s="634">
        <f t="shared" si="74"/>
        <v>0.91392077280216044</v>
      </c>
      <c r="BC142" s="11">
        <v>43228</v>
      </c>
      <c r="BD142" s="286">
        <f>[3]!FeuilCaduc*(1-Persistant)+Persistant</f>
        <v>0.72465608120776859</v>
      </c>
      <c r="BE142" s="287">
        <f>[3]!CroissVégét</f>
        <v>0.2038251061465651</v>
      </c>
      <c r="BF142" s="807">
        <f>1+[3]!Salcycl*Ksac</f>
        <v>1.0155820101509712</v>
      </c>
      <c r="BH142" s="1041">
        <f t="shared" si="75"/>
        <v>5.4883638386181736E-4</v>
      </c>
      <c r="BI142" s="11">
        <v>44324</v>
      </c>
      <c r="BJ142" s="717">
        <v>8.0275404089268814E-5</v>
      </c>
      <c r="BK142" s="717">
        <v>1.3694088683440661E-4</v>
      </c>
      <c r="BL142" s="717">
        <v>2.1043565038430571E-4</v>
      </c>
      <c r="BM142" s="717">
        <v>3.0904690682695911E-4</v>
      </c>
      <c r="BN142" s="717">
        <v>4.2126493071583765E-4</v>
      </c>
      <c r="BO142" s="718">
        <v>5.4963008795472104E-4</v>
      </c>
      <c r="BP142" s="717">
        <v>7.0048056570464346E-4</v>
      </c>
      <c r="BQ142" s="717">
        <v>8.9613105214730957E-4</v>
      </c>
      <c r="BR142" s="717">
        <v>1.1465759917181943E-3</v>
      </c>
      <c r="BS142" s="717">
        <v>1.4670363362307315E-3</v>
      </c>
      <c r="BT142" s="717">
        <v>1.8394875358836485E-3</v>
      </c>
      <c r="BW142" s="1162">
        <f>'2022'!R\Max</f>
        <v>0.91392077280216044</v>
      </c>
      <c r="BX142" s="1163">
        <f>'2023'!R\Max</f>
        <v>0.91392033290467722</v>
      </c>
      <c r="BY142" s="1163">
        <f>'2024'!R\Max</f>
        <v>0.91391986799138902</v>
      </c>
      <c r="BZ142" s="1163">
        <f>'2025'!R\Max</f>
        <v>0.91391929744324762</v>
      </c>
      <c r="CA142" s="1163">
        <f>'2026'!R\Max</f>
        <v>0.91391869629662392</v>
      </c>
      <c r="CB142" s="1163">
        <f>'2027'!R\Max</f>
        <v>0.91391796594481778</v>
      </c>
      <c r="CC142" s="1164">
        <f>'2028'!R\Max</f>
        <v>0.91391719649211833</v>
      </c>
      <c r="CD142" s="1163">
        <f>'2029'!R\Max</f>
        <v>0.91392079478649713</v>
      </c>
      <c r="CE142" s="1163">
        <f>'2030'!R\Max</f>
        <v>0.91392035488916501</v>
      </c>
      <c r="CF142" s="1165">
        <f>'2031'!R\Max</f>
        <v>0.91391989650509875</v>
      </c>
    </row>
    <row r="143" spans="1:84" s="6" customFormat="1" ht="11.25" x14ac:dyDescent="0.2">
      <c r="A143" s="11">
        <v>43229</v>
      </c>
      <c r="B143" s="375">
        <f>'2022'!Maxi_hp</f>
        <v>60.769713742557045</v>
      </c>
      <c r="C143" s="13">
        <f>'2022'!An_max</f>
        <v>2022</v>
      </c>
      <c r="D143" s="1050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69">
        <f t="shared" ref="H143:H206" si="80">INDEX(x.2m,F143)</f>
        <v>43234</v>
      </c>
      <c r="I143" s="744">
        <f t="shared" ref="I143:I206" si="81">($A143-H143)/(INDEX(x.2m,G143)-H143)</f>
        <v>0.35714285714285715</v>
      </c>
      <c r="J143" s="737">
        <f t="shared" ref="J143:J206" si="82">((1-I143)*(INDEX(a.m,F143)*$A143*$A143+INDEX(b.m,F143)*$A143+INDEX(c.m,F143))+I143*(INDEX(a.m,G143)*$A143*$A143+INDEX(b.m,G143)*$A143+INDEX(c.m,G143)))/10</f>
        <v>62.982435568102758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43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69">
        <f t="shared" ref="AR143:AR206" si="85">INDEX(x.2lg,AP143)</f>
        <v>43248</v>
      </c>
      <c r="AS143" s="744">
        <f t="shared" ref="AS143:AS206" si="86">($A143-AR143)/(INDEX(x.2lg,AQ143)-AR143)</f>
        <v>0.6785714285714286</v>
      </c>
      <c r="AT143" s="760">
        <f t="shared" ref="AT143:AT206" si="87">((1-AS143)*(INDEX(a.lg,AP143)*$A143*$A143+INDEX(b.lg,AP143)*$A143+INDEX(c.lg,AP143))+AS143*(INDEX(a.lg,AQ143)*$A143*$A143+INDEX(b.lg,AQ143)*$A143+INDEX(c.lg,AQ143)))/10</f>
        <v>63.041537304355629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69">
        <f t="shared" ref="AW143:AW206" si="90">INDEX(x.2ld,AU143)</f>
        <v>43206</v>
      </c>
      <c r="AX143" s="744">
        <f t="shared" ref="AX143:AX206" si="91">($A143-AW143)/(INDEX(x.2ld,AV143)-AW143)</f>
        <v>0.8214285714285714</v>
      </c>
      <c r="AY143" s="760">
        <f t="shared" ref="AY143:AY206" si="92">((1-AX143)*(INDEX(a.ld,AU143)*$A143*$A143+INDEX(b.ld,AU143)*$A143+INDEX(c.ld,AU143))+AX143*(INDEX(a.ld,AV143)*$A143*$A143+INDEX(b.ld,AV143)*$A143+INDEX(c.ld,AV143)))/10</f>
        <v>62.931591327967396</v>
      </c>
      <c r="AZ143" s="737">
        <f t="shared" si="77"/>
        <v>62.986564316161513</v>
      </c>
      <c r="BA143" s="634">
        <f t="shared" ref="BA143:BA206" si="93">+B143/J143</f>
        <v>0.96486763641979034</v>
      </c>
      <c r="BC143" s="11">
        <v>43229</v>
      </c>
      <c r="BD143" s="286">
        <f>[3]!FeuilCaduc*(1-Persistant)+Persistant</f>
        <v>0.72961155127710708</v>
      </c>
      <c r="BE143" s="287">
        <f>[3]!CroissVégét</f>
        <v>0.21061232458125589</v>
      </c>
      <c r="BF143" s="807">
        <f>1+[3]!Salcycl*Ksac</f>
        <v>1.0162014439096383</v>
      </c>
      <c r="BH143" s="1041">
        <f t="shared" ref="BH143:BH206" si="94">INDEX($BJ143:$BT143,,$BH$10)*(1-Ratini)+INDEX($BJ143:$BT143,,$BH$10+1)*Ratini</f>
        <v>5.2230857721389666E-4</v>
      </c>
      <c r="BI143" s="11">
        <v>44325</v>
      </c>
      <c r="BJ143" s="717">
        <v>7.7999638194275905E-5</v>
      </c>
      <c r="BK143" s="717">
        <v>1.3327385449547183E-4</v>
      </c>
      <c r="BL143" s="717">
        <v>2.0477685040820809E-4</v>
      </c>
      <c r="BM143" s="717">
        <v>2.9894687578749897E-4</v>
      </c>
      <c r="BN143" s="717">
        <v>4.0447075891995545E-4</v>
      </c>
      <c r="BO143" s="718">
        <v>5.2304172210150492E-4</v>
      </c>
      <c r="BP143" s="717">
        <v>6.6205537836173088E-4</v>
      </c>
      <c r="BQ143" s="717">
        <v>8.4457380798549019E-4</v>
      </c>
      <c r="BR143" s="717">
        <v>1.0795053650112659E-3</v>
      </c>
      <c r="BS143" s="717">
        <v>1.3811208702183039E-3</v>
      </c>
      <c r="BT143" s="717">
        <v>1.7306977302951605E-3</v>
      </c>
      <c r="BW143" s="1162">
        <f>'2022'!R\Max</f>
        <v>0.96486763641979034</v>
      </c>
      <c r="BX143" s="1163">
        <f>'2023'!R\Max</f>
        <v>0.96486746095462195</v>
      </c>
      <c r="BY143" s="1163">
        <f>'2024'!R\Max</f>
        <v>0.96486727460198563</v>
      </c>
      <c r="BZ143" s="1163">
        <f>'2025'!R\Max</f>
        <v>0.96486704422090763</v>
      </c>
      <c r="CA143" s="1163">
        <f>'2026'!R\Max</f>
        <v>0.9648668007221145</v>
      </c>
      <c r="CB143" s="1163">
        <f>'2027'!R\Max</f>
        <v>0.96486650417747566</v>
      </c>
      <c r="CC143" s="1164">
        <f>'2028'!R\Max</f>
        <v>0.96486619094231463</v>
      </c>
      <c r="CD143" s="1163">
        <f>'2029'!R\Max</f>
        <v>0.9648676451888456</v>
      </c>
      <c r="CE143" s="1163">
        <f>'2030'!R\Max</f>
        <v>0.9648674697237376</v>
      </c>
      <c r="CF143" s="1165">
        <f>'2031'!R\Max</f>
        <v>0.96486728611550787</v>
      </c>
    </row>
    <row r="144" spans="1:84" s="6" customFormat="1" ht="11.25" x14ac:dyDescent="0.2">
      <c r="A144" s="11">
        <v>43230</v>
      </c>
      <c r="B144" s="375">
        <f>'2022'!Maxi_hp</f>
        <v>59.530580514371692</v>
      </c>
      <c r="C144" s="13">
        <f>'2022'!An_max</f>
        <v>2022</v>
      </c>
      <c r="D144" s="1050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69">
        <f t="shared" si="80"/>
        <v>43234</v>
      </c>
      <c r="I144" s="744">
        <f t="shared" si="81"/>
        <v>0.2857142857142857</v>
      </c>
      <c r="J144" s="737">
        <f t="shared" si="82"/>
        <v>63.121946064489222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43">
        <v>43230</v>
      </c>
      <c r="AP144" s="13">
        <f t="shared" si="83"/>
        <v>7</v>
      </c>
      <c r="AQ144" s="13">
        <f t="shared" si="84"/>
        <v>6</v>
      </c>
      <c r="AR144" s="169">
        <f t="shared" si="85"/>
        <v>43248</v>
      </c>
      <c r="AS144" s="744">
        <f t="shared" si="86"/>
        <v>0.6428571428571429</v>
      </c>
      <c r="AT144" s="760">
        <f t="shared" si="87"/>
        <v>63.180742893527665</v>
      </c>
      <c r="AU144" s="13">
        <f t="shared" si="88"/>
        <v>5</v>
      </c>
      <c r="AV144" s="13">
        <f t="shared" si="89"/>
        <v>6</v>
      </c>
      <c r="AW144" s="169">
        <f t="shared" si="90"/>
        <v>43206</v>
      </c>
      <c r="AX144" s="744">
        <f t="shared" si="91"/>
        <v>0.8571428571428571</v>
      </c>
      <c r="AY144" s="760">
        <f t="shared" si="92"/>
        <v>63.080296792728561</v>
      </c>
      <c r="AZ144" s="737">
        <f t="shared" ref="AZ144:AZ207" si="96">(AY144+AT144)/2</f>
        <v>63.130519843128113</v>
      </c>
      <c r="BA144" s="634">
        <f t="shared" si="93"/>
        <v>0.94310432782841691</v>
      </c>
      <c r="BC144" s="11">
        <v>43230</v>
      </c>
      <c r="BD144" s="286">
        <f>[3]!FeuilCaduc*(1-Persistant)+Persistant</f>
        <v>0.7346538995152907</v>
      </c>
      <c r="BE144" s="287">
        <f>[3]!CroissVégét</f>
        <v>0.21756231167469237</v>
      </c>
      <c r="BF144" s="807">
        <f>1+[3]!Salcycl*Ksac</f>
        <v>1.0168317374394114</v>
      </c>
      <c r="BH144" s="1041">
        <f t="shared" si="94"/>
        <v>4.9630129570371422E-4</v>
      </c>
      <c r="BI144" s="11">
        <v>44326</v>
      </c>
      <c r="BJ144" s="717">
        <v>7.5347841161276194E-5</v>
      </c>
      <c r="BK144" s="717">
        <v>1.2902287263899409E-4</v>
      </c>
      <c r="BL144" s="717">
        <v>1.9830020876208834E-4</v>
      </c>
      <c r="BM144" s="717">
        <v>2.8809005313081329E-4</v>
      </c>
      <c r="BN144" s="717">
        <v>3.87323083947243E-4</v>
      </c>
      <c r="BO144" s="718">
        <v>4.9697931927854537E-4</v>
      </c>
      <c r="BP144" s="717">
        <v>6.2523064175420767E-4</v>
      </c>
      <c r="BQ144" s="717">
        <v>7.9587325120219663E-4</v>
      </c>
      <c r="BR144" s="717">
        <v>1.01661140772311E-3</v>
      </c>
      <c r="BS144" s="717">
        <v>1.3008338383939202E-3</v>
      </c>
      <c r="BT144" s="717">
        <v>1.6290988485432463E-3</v>
      </c>
      <c r="BW144" s="1162">
        <f>'2022'!R\Max</f>
        <v>0.94310432782841691</v>
      </c>
      <c r="BX144" s="1163">
        <f>'2023'!R\Max</f>
        <v>0.94310407038063071</v>
      </c>
      <c r="BY144" s="1163">
        <f>'2024'!R\Max</f>
        <v>0.94310379546996903</v>
      </c>
      <c r="BZ144" s="1163">
        <f>'2025'!R\Max</f>
        <v>0.94310345292248821</v>
      </c>
      <c r="CA144" s="1163">
        <f>'2026'!R\Max</f>
        <v>0.94310308973714874</v>
      </c>
      <c r="CB144" s="1163">
        <f>'2027'!R\Max</f>
        <v>0.94310264661998178</v>
      </c>
      <c r="CC144" s="1164">
        <f>'2028'!R\Max</f>
        <v>0.9431021773475301</v>
      </c>
      <c r="CD144" s="1163">
        <f>'2029'!R\Max</f>
        <v>0.94310434069464377</v>
      </c>
      <c r="CE144" s="1163">
        <f>'2030'!R\Max</f>
        <v>0.94310408324693706</v>
      </c>
      <c r="CF144" s="1165">
        <f>'2031'!R\Max</f>
        <v>0.94310381258912546</v>
      </c>
    </row>
    <row r="145" spans="1:84" s="6" customFormat="1" ht="11.25" x14ac:dyDescent="0.2">
      <c r="A145" s="11">
        <v>43231</v>
      </c>
      <c r="B145" s="375">
        <f>'2022'!Maxi_hp</f>
        <v>63.50931701883222</v>
      </c>
      <c r="C145" s="13">
        <f>'2022'!An_max</f>
        <v>2022</v>
      </c>
      <c r="D145" s="1050">
        <f t="shared" si="78"/>
        <v>1.003994301636711</v>
      </c>
      <c r="E145" s="13"/>
      <c r="F145" s="13">
        <f t="shared" si="95"/>
        <v>11</v>
      </c>
      <c r="G145" s="13">
        <f t="shared" si="79"/>
        <v>10</v>
      </c>
      <c r="H145" s="169">
        <f t="shared" si="80"/>
        <v>43234</v>
      </c>
      <c r="I145" s="744">
        <f t="shared" si="81"/>
        <v>0.21428571428571427</v>
      </c>
      <c r="J145" s="737">
        <f t="shared" si="82"/>
        <v>63.256650874710509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43">
        <v>43231</v>
      </c>
      <c r="AP145" s="13">
        <f t="shared" si="83"/>
        <v>7</v>
      </c>
      <c r="AQ145" s="13">
        <f t="shared" si="84"/>
        <v>6</v>
      </c>
      <c r="AR145" s="169">
        <f t="shared" si="85"/>
        <v>43248</v>
      </c>
      <c r="AS145" s="744">
        <f t="shared" si="86"/>
        <v>0.6071428571428571</v>
      </c>
      <c r="AT145" s="760">
        <f t="shared" si="87"/>
        <v>63.313267852818328</v>
      </c>
      <c r="AU145" s="13">
        <f t="shared" si="88"/>
        <v>5</v>
      </c>
      <c r="AV145" s="13">
        <f t="shared" si="89"/>
        <v>6</v>
      </c>
      <c r="AW145" s="169">
        <f t="shared" si="90"/>
        <v>43206</v>
      </c>
      <c r="AX145" s="744">
        <f t="shared" si="91"/>
        <v>0.8928571428571429</v>
      </c>
      <c r="AY145" s="760">
        <f t="shared" si="92"/>
        <v>63.22488829905965</v>
      </c>
      <c r="AZ145" s="737">
        <f t="shared" si="96"/>
        <v>63.269078075938992</v>
      </c>
      <c r="BA145" s="634">
        <f t="shared" si="93"/>
        <v>1.003994301636711</v>
      </c>
      <c r="BC145" s="11">
        <v>43231</v>
      </c>
      <c r="BD145" s="286">
        <f>[3]!FeuilCaduc*(1-Persistant)+Persistant</f>
        <v>0.73977930737980246</v>
      </c>
      <c r="BE145" s="287">
        <f>[3]!CroissVégét</f>
        <v>0.22467491379142088</v>
      </c>
      <c r="BF145" s="807">
        <f>1+[3]!Salcycl*Ksac</f>
        <v>1.0174724134224753</v>
      </c>
      <c r="BH145" s="1041">
        <f t="shared" si="94"/>
        <v>4.708145834423938E-4</v>
      </c>
      <c r="BI145" s="11">
        <v>44327</v>
      </c>
      <c r="BJ145" s="717">
        <v>7.2320352897976384E-5</v>
      </c>
      <c r="BK145" s="717">
        <v>1.2418846960081742E-4</v>
      </c>
      <c r="BL145" s="717">
        <v>1.9100647309695109E-4</v>
      </c>
      <c r="BM145" s="717">
        <v>2.7647721383072175E-4</v>
      </c>
      <c r="BN145" s="717">
        <v>3.6982247557027268E-4</v>
      </c>
      <c r="BO145" s="718">
        <v>4.7144292032648763E-4</v>
      </c>
      <c r="BP145" s="717">
        <v>5.90005748866104E-4</v>
      </c>
      <c r="BQ145" s="717">
        <v>7.5002799824166935E-4</v>
      </c>
      <c r="BR145" s="717">
        <v>9.5789194877732515E-4</v>
      </c>
      <c r="BS145" s="717">
        <v>1.2261722333996941E-3</v>
      </c>
      <c r="BT145" s="717">
        <v>1.5346870340366419E-3</v>
      </c>
      <c r="BW145" s="1162">
        <f>'2022'!R\Max</f>
        <v>1.003994301636711</v>
      </c>
      <c r="BX145" s="1163">
        <f>'2023'!R\Max</f>
        <v>1.0039943016367112</v>
      </c>
      <c r="BY145" s="1163">
        <f>'2024'!R\Max</f>
        <v>1.0039943016367112</v>
      </c>
      <c r="BZ145" s="1163">
        <f>'2025'!R\Max</f>
        <v>1.0039943016367112</v>
      </c>
      <c r="CA145" s="1163">
        <f>'2026'!R\Max</f>
        <v>1.0039943016367112</v>
      </c>
      <c r="CB145" s="1163">
        <f>'2027'!R\Max</f>
        <v>1.0039943016367112</v>
      </c>
      <c r="CC145" s="1164">
        <f>'2028'!R\Max</f>
        <v>1.0039943016367112</v>
      </c>
      <c r="CD145" s="1163">
        <f>'2029'!R\Max</f>
        <v>1.0039943016367112</v>
      </c>
      <c r="CE145" s="1163">
        <f>'2030'!R\Max</f>
        <v>1.0039943016367112</v>
      </c>
      <c r="CF145" s="1165">
        <f>'2031'!R\Max</f>
        <v>1.0039943016367112</v>
      </c>
    </row>
    <row r="146" spans="1:84" s="6" customFormat="1" ht="11.25" x14ac:dyDescent="0.2">
      <c r="A146" s="11">
        <v>43232</v>
      </c>
      <c r="B146" s="375">
        <f>'2022'!Maxi_hp</f>
        <v>48.363301649060638</v>
      </c>
      <c r="C146" s="13">
        <f>'2022'!An_max</f>
        <v>2022</v>
      </c>
      <c r="D146" s="1050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69">
        <f t="shared" si="80"/>
        <v>43234</v>
      </c>
      <c r="I146" s="744">
        <f t="shared" si="81"/>
        <v>0.14285714285714285</v>
      </c>
      <c r="J146" s="737">
        <f t="shared" si="82"/>
        <v>63.386986881494522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43">
        <v>43232</v>
      </c>
      <c r="AP146" s="13">
        <f t="shared" si="83"/>
        <v>7</v>
      </c>
      <c r="AQ146" s="13">
        <f t="shared" si="84"/>
        <v>6</v>
      </c>
      <c r="AR146" s="169">
        <f t="shared" si="85"/>
        <v>43248</v>
      </c>
      <c r="AS146" s="744">
        <f t="shared" si="86"/>
        <v>0.5714285714285714</v>
      </c>
      <c r="AT146" s="760">
        <f t="shared" si="87"/>
        <v>63.439412536897827</v>
      </c>
      <c r="AU146" s="13">
        <f t="shared" si="88"/>
        <v>5</v>
      </c>
      <c r="AV146" s="13">
        <f t="shared" si="89"/>
        <v>6</v>
      </c>
      <c r="AW146" s="169">
        <f t="shared" si="90"/>
        <v>43206</v>
      </c>
      <c r="AX146" s="744">
        <f t="shared" si="91"/>
        <v>0.9285714285714286</v>
      </c>
      <c r="AY146" s="760">
        <f t="shared" si="92"/>
        <v>63.365597940981388</v>
      </c>
      <c r="AZ146" s="737">
        <f t="shared" si="96"/>
        <v>63.402505238939611</v>
      </c>
      <c r="BA146" s="634">
        <f t="shared" si="93"/>
        <v>0.76298470756274483</v>
      </c>
      <c r="BC146" s="11">
        <v>43232</v>
      </c>
      <c r="BD146" s="286">
        <f>[3]!FeuilCaduc*(1-Persistant)+Persistant</f>
        <v>0.74498369010764909</v>
      </c>
      <c r="BE146" s="287">
        <f>[3]!CroissVégét</f>
        <v>0.23194968908707836</v>
      </c>
      <c r="BF146" s="807">
        <f>1+[3]!Salcycl*Ksac</f>
        <v>1.0181229612634561</v>
      </c>
      <c r="BH146" s="1041">
        <f t="shared" si="94"/>
        <v>4.458484817206582E-4</v>
      </c>
      <c r="BI146" s="11">
        <v>44328</v>
      </c>
      <c r="BJ146" s="717">
        <v>6.8917531406840438E-5</v>
      </c>
      <c r="BK146" s="717">
        <v>1.1877120191156275E-4</v>
      </c>
      <c r="BL146" s="717">
        <v>1.8289643093976962E-4</v>
      </c>
      <c r="BM146" s="717">
        <v>2.6410917339992859E-4</v>
      </c>
      <c r="BN146" s="717">
        <v>3.519695315381021E-4</v>
      </c>
      <c r="BO146" s="718">
        <v>4.4643256307396947E-4</v>
      </c>
      <c r="BP146" s="717">
        <v>5.5638005171401576E-4</v>
      </c>
      <c r="BQ146" s="717">
        <v>7.0703657965822276E-4</v>
      </c>
      <c r="BR146" s="717">
        <v>9.0334468528665646E-4</v>
      </c>
      <c r="BS146" s="717">
        <v>1.1571328668938041E-3</v>
      </c>
      <c r="BT146" s="717">
        <v>1.4474581982331296E-3</v>
      </c>
      <c r="BW146" s="1162">
        <f>'2022'!R\Max</f>
        <v>0.76298470756274483</v>
      </c>
      <c r="BX146" s="1163">
        <f>'2023'!R\Max</f>
        <v>0.76298395644229811</v>
      </c>
      <c r="BY146" s="1163">
        <f>'2024'!R\Max</f>
        <v>0.76298314425056279</v>
      </c>
      <c r="BZ146" s="1163">
        <f>'2025'!R\Max</f>
        <v>0.7629821150120929</v>
      </c>
      <c r="CA146" s="1163">
        <f>'2026'!R\Max</f>
        <v>0.76298101728475587</v>
      </c>
      <c r="CB146" s="1163">
        <f>'2027'!R\Max</f>
        <v>0.76297967615325069</v>
      </c>
      <c r="CC146" s="1164">
        <f>'2028'!R\Max</f>
        <v>0.76297824878367448</v>
      </c>
      <c r="CD146" s="1163">
        <f>'2029'!R\Max</f>
        <v>0.76298474510083414</v>
      </c>
      <c r="CE146" s="1163">
        <f>'2030'!R\Max</f>
        <v>0.76298399398053185</v>
      </c>
      <c r="CF146" s="1165">
        <f>'2031'!R\Max</f>
        <v>0.76298319568787487</v>
      </c>
    </row>
    <row r="147" spans="1:84" s="6" customFormat="1" ht="11.25" x14ac:dyDescent="0.2">
      <c r="A147" s="11">
        <v>43233</v>
      </c>
      <c r="B147" s="375">
        <f>'2022'!Maxi_hp</f>
        <v>51.253351704584936</v>
      </c>
      <c r="C147" s="13">
        <f>'2022'!An_max</f>
        <v>2022</v>
      </c>
      <c r="D147" s="1050" t="str">
        <f t="shared" si="78"/>
        <v/>
      </c>
      <c r="E147" s="13"/>
      <c r="F147" s="13">
        <f t="shared" si="95"/>
        <v>11</v>
      </c>
      <c r="G147" s="13">
        <f t="shared" si="79"/>
        <v>10</v>
      </c>
      <c r="H147" s="169">
        <f t="shared" si="80"/>
        <v>43234</v>
      </c>
      <c r="I147" s="744">
        <f t="shared" si="81"/>
        <v>7.1428571428571425E-2</v>
      </c>
      <c r="J147" s="737">
        <f t="shared" si="82"/>
        <v>63.513390963098836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43">
        <v>43233</v>
      </c>
      <c r="AP147" s="13">
        <f t="shared" si="83"/>
        <v>7</v>
      </c>
      <c r="AQ147" s="13">
        <f t="shared" si="84"/>
        <v>6</v>
      </c>
      <c r="AR147" s="169">
        <f t="shared" si="85"/>
        <v>43248</v>
      </c>
      <c r="AS147" s="744">
        <f t="shared" si="86"/>
        <v>0.5357142857142857</v>
      </c>
      <c r="AT147" s="760">
        <f t="shared" si="87"/>
        <v>63.55947730043637</v>
      </c>
      <c r="AU147" s="13">
        <f t="shared" si="88"/>
        <v>5</v>
      </c>
      <c r="AV147" s="13">
        <f t="shared" si="89"/>
        <v>6</v>
      </c>
      <c r="AW147" s="169">
        <f t="shared" si="90"/>
        <v>43206</v>
      </c>
      <c r="AX147" s="744">
        <f t="shared" si="91"/>
        <v>0.9642857142857143</v>
      </c>
      <c r="AY147" s="760">
        <f t="shared" si="92"/>
        <v>63.502657810039821</v>
      </c>
      <c r="AZ147" s="737">
        <f t="shared" si="96"/>
        <v>63.531067555238096</v>
      </c>
      <c r="BA147" s="634">
        <f t="shared" si="93"/>
        <v>0.80696922219698586</v>
      </c>
      <c r="BC147" s="11">
        <v>43233</v>
      </c>
      <c r="BD147" s="286">
        <f>[3]!FeuilCaduc*(1-Persistant)+Persistant</f>
        <v>0.75026269937219203</v>
      </c>
      <c r="BE147" s="287">
        <f>[3]!CroissVégét</f>
        <v>0.23938589533798257</v>
      </c>
      <c r="BF147" s="807">
        <f>1+[3]!Salcycl*Ksac</f>
        <v>1.018782837421524</v>
      </c>
      <c r="BH147" s="1041">
        <f t="shared" si="94"/>
        <v>4.2140302806821712E-4</v>
      </c>
      <c r="BI147" s="11">
        <v>44329</v>
      </c>
      <c r="BJ147" s="717">
        <v>6.5139753479247082E-5</v>
      </c>
      <c r="BK147" s="717">
        <v>1.1277165537456879E-4</v>
      </c>
      <c r="BL147" s="717">
        <v>1.7397091120344087E-4</v>
      </c>
      <c r="BM147" s="717">
        <v>2.5098678929050283E-4</v>
      </c>
      <c r="BN147" s="717">
        <v>3.3376487823858755E-4</v>
      </c>
      <c r="BO147" s="718">
        <v>4.2194828138703515E-4</v>
      </c>
      <c r="BP147" s="717">
        <v>5.2435285842591191E-4</v>
      </c>
      <c r="BQ147" s="717">
        <v>6.6689743489015737E-4</v>
      </c>
      <c r="BR147" s="717">
        <v>8.5296717490613346E-4</v>
      </c>
      <c r="BS147" s="717">
        <v>1.0937123592423212E-3</v>
      </c>
      <c r="BT147" s="717">
        <v>1.3674080074692634E-3</v>
      </c>
      <c r="BW147" s="1162">
        <f>'2022'!R\Max</f>
        <v>0.80696922219698586</v>
      </c>
      <c r="BX147" s="1163">
        <f>'2023'!R\Max</f>
        <v>0.80696861652654028</v>
      </c>
      <c r="BY147" s="1163">
        <f>'2024'!R\Max</f>
        <v>0.80696795695730805</v>
      </c>
      <c r="BZ147" s="1163">
        <f>'2025'!R\Max</f>
        <v>0.80696711387179965</v>
      </c>
      <c r="CA147" s="1163">
        <f>'2026'!R\Max</f>
        <v>0.8069662123393877</v>
      </c>
      <c r="CB147" s="1163">
        <f>'2027'!R\Max</f>
        <v>0.80696511180916652</v>
      </c>
      <c r="CC147" s="1164">
        <f>'2028'!R\Max</f>
        <v>0.80696393785605336</v>
      </c>
      <c r="CD147" s="1163">
        <f>'2029'!R\Max</f>
        <v>0.80696925246604612</v>
      </c>
      <c r="CE147" s="1163">
        <f>'2030'!R\Max</f>
        <v>0.80696864679572</v>
      </c>
      <c r="CF147" s="1165">
        <f>'2031'!R\Max</f>
        <v>0.80696799909141859</v>
      </c>
    </row>
    <row r="148" spans="1:84" s="6" customFormat="1" ht="11.25" x14ac:dyDescent="0.2">
      <c r="A148" s="11">
        <v>43234</v>
      </c>
      <c r="B148" s="375">
        <f>'2022'!Maxi_hp</f>
        <v>57.384101419419501</v>
      </c>
      <c r="C148" s="13">
        <f>'2022'!An_max</f>
        <v>2022</v>
      </c>
      <c r="D148" s="1050" t="str">
        <f t="shared" si="78"/>
        <v/>
      </c>
      <c r="E148" s="1045">
        <f>W$13/10</f>
        <v>63.636299999999991</v>
      </c>
      <c r="F148" s="13">
        <f t="shared" si="95"/>
        <v>11</v>
      </c>
      <c r="G148" s="13">
        <f t="shared" si="79"/>
        <v>12</v>
      </c>
      <c r="H148" s="169">
        <f t="shared" si="80"/>
        <v>43234</v>
      </c>
      <c r="I148" s="744">
        <f t="shared" si="81"/>
        <v>0</v>
      </c>
      <c r="J148" s="737">
        <f t="shared" si="82"/>
        <v>63.636299999803306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43">
        <v>43234</v>
      </c>
      <c r="AP148" s="13">
        <f t="shared" si="83"/>
        <v>7</v>
      </c>
      <c r="AQ148" s="13">
        <f t="shared" si="84"/>
        <v>6</v>
      </c>
      <c r="AR148" s="169">
        <f t="shared" si="85"/>
        <v>43248</v>
      </c>
      <c r="AS148" s="744">
        <f t="shared" si="86"/>
        <v>0.5</v>
      </c>
      <c r="AT148" s="760">
        <f t="shared" si="87"/>
        <v>63.673762499913572</v>
      </c>
      <c r="AU148" s="13">
        <f t="shared" si="88"/>
        <v>7</v>
      </c>
      <c r="AV148" s="13">
        <f t="shared" si="89"/>
        <v>6</v>
      </c>
      <c r="AW148" s="169">
        <f t="shared" si="90"/>
        <v>43262</v>
      </c>
      <c r="AX148" s="744">
        <f t="shared" si="91"/>
        <v>1</v>
      </c>
      <c r="AY148" s="760">
        <f t="shared" si="92"/>
        <v>63.63630000054836</v>
      </c>
      <c r="AZ148" s="737">
        <f t="shared" si="96"/>
        <v>63.655031250230962</v>
      </c>
      <c r="BA148" s="634">
        <f t="shared" si="93"/>
        <v>0.90175106691616058</v>
      </c>
      <c r="BC148" s="11">
        <v>43234</v>
      </c>
      <c r="BD148" s="286">
        <f>[3]!FeuilCaduc*(1-Persistant)+Persistant</f>
        <v>0.75561172726176895</v>
      </c>
      <c r="BE148" s="287">
        <f>[3]!CroissVégét</f>
        <v>0.24698247846918731</v>
      </c>
      <c r="BF148" s="807">
        <f>1+[3]!Salcycl*Ksac</f>
        <v>1.0194514659077212</v>
      </c>
      <c r="BH148" s="1041">
        <f t="shared" si="94"/>
        <v>3.9747825531533007E-4</v>
      </c>
      <c r="BI148" s="11">
        <v>44330</v>
      </c>
      <c r="BJ148" s="717">
        <v>6.0987415389997319E-5</v>
      </c>
      <c r="BK148" s="717">
        <v>1.0619044614443655E-4</v>
      </c>
      <c r="BL148" s="717">
        <v>1.6423078569766981E-4</v>
      </c>
      <c r="BM148" s="717">
        <v>2.3711096229568599E-4</v>
      </c>
      <c r="BN148" s="717">
        <v>3.1520917136244355E-4</v>
      </c>
      <c r="BO148" s="718">
        <v>3.9799010422072832E-4</v>
      </c>
      <c r="BP148" s="717">
        <v>4.9392343032262211E-4</v>
      </c>
      <c r="BQ148" s="717">
        <v>6.2960890703705899E-4</v>
      </c>
      <c r="BR148" s="717">
        <v>8.0675682819052706E-4</v>
      </c>
      <c r="BS148" s="717">
        <v>1.035907129216568E-3</v>
      </c>
      <c r="BT148" s="717">
        <v>1.2945318697970035E-3</v>
      </c>
      <c r="BW148" s="1162">
        <f>'2022'!R\Max</f>
        <v>0.90175106691616058</v>
      </c>
      <c r="BX148" s="1163">
        <f>'2023'!R\Max</f>
        <v>0.90175074252926435</v>
      </c>
      <c r="BY148" s="1163">
        <f>'2024'!R\Max</f>
        <v>0.90175038660434692</v>
      </c>
      <c r="BZ148" s="1163">
        <f>'2025'!R\Max</f>
        <v>0.90174992779571983</v>
      </c>
      <c r="CA148" s="1163">
        <f>'2026'!R\Max</f>
        <v>0.90174943609043268</v>
      </c>
      <c r="CB148" s="1163">
        <f>'2027'!R\Max</f>
        <v>0.90174883707185471</v>
      </c>
      <c r="CC148" s="1164">
        <f>'2028'!R\Max</f>
        <v>0.90174819679221541</v>
      </c>
      <c r="CD148" s="1163">
        <f>'2029'!R\Max</f>
        <v>0.9017510831277562</v>
      </c>
      <c r="CE148" s="1163">
        <f>'2030'!R\Max</f>
        <v>0.90175075874093102</v>
      </c>
      <c r="CF148" s="1165">
        <f>'2031'!R\Max</f>
        <v>0.90175040953379559</v>
      </c>
    </row>
    <row r="149" spans="1:84" s="6" customFormat="1" ht="11.25" x14ac:dyDescent="0.2">
      <c r="A149" s="11">
        <v>43235</v>
      </c>
      <c r="B149" s="375">
        <f>'2022'!Maxi_hp</f>
        <v>59.241610255931469</v>
      </c>
      <c r="C149" s="13">
        <f>'2022'!An_max</f>
        <v>2022</v>
      </c>
      <c r="D149" s="1050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69">
        <f t="shared" si="80"/>
        <v>43234</v>
      </c>
      <c r="I149" s="744">
        <f t="shared" si="81"/>
        <v>7.1428571428571425E-2</v>
      </c>
      <c r="J149" s="737">
        <f t="shared" si="82"/>
        <v>63.75458538585476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43">
        <v>43235</v>
      </c>
      <c r="AP149" s="13">
        <f t="shared" si="83"/>
        <v>7</v>
      </c>
      <c r="AQ149" s="13">
        <f t="shared" si="84"/>
        <v>6</v>
      </c>
      <c r="AR149" s="169">
        <f t="shared" si="85"/>
        <v>43248</v>
      </c>
      <c r="AS149" s="744">
        <f t="shared" si="86"/>
        <v>0.4642857142857143</v>
      </c>
      <c r="AT149" s="760">
        <f t="shared" si="87"/>
        <v>63.782568489520678</v>
      </c>
      <c r="AU149" s="13">
        <f t="shared" si="88"/>
        <v>7</v>
      </c>
      <c r="AV149" s="13">
        <f t="shared" si="89"/>
        <v>6</v>
      </c>
      <c r="AW149" s="169">
        <f t="shared" si="90"/>
        <v>43262</v>
      </c>
      <c r="AX149" s="744">
        <f t="shared" si="91"/>
        <v>0.9642857142857143</v>
      </c>
      <c r="AY149" s="760">
        <f t="shared" si="92"/>
        <v>63.764959021870581</v>
      </c>
      <c r="AZ149" s="737">
        <f t="shared" si="96"/>
        <v>63.773763755695626</v>
      </c>
      <c r="BA149" s="634">
        <f t="shared" si="93"/>
        <v>0.92921332477327057</v>
      </c>
      <c r="BC149" s="11">
        <v>43235</v>
      </c>
      <c r="BD149" s="286">
        <f>[3]!FeuilCaduc*(1-Persistant)+Persistant</f>
        <v>0.76102591163517674</v>
      </c>
      <c r="BE149" s="287">
        <f>[3]!CroissVégét</f>
        <v>0.25473806189926657</v>
      </c>
      <c r="BF149" s="807">
        <f>1+[3]!Salcycl*Ksac</f>
        <v>1.0201282389543971</v>
      </c>
      <c r="BH149" s="1041">
        <f t="shared" si="94"/>
        <v>3.7407419065208506E-4</v>
      </c>
      <c r="BI149" s="11">
        <v>44331</v>
      </c>
      <c r="BJ149" s="717">
        <v>5.6460933591468054E-5</v>
      </c>
      <c r="BK149" s="717">
        <v>9.9028221804971824E-5</v>
      </c>
      <c r="BL149" s="717">
        <v>1.5367697063893159E-4</v>
      </c>
      <c r="BM149" s="717">
        <v>2.2248263795036579E-4</v>
      </c>
      <c r="BN149" s="717">
        <v>2.9630309656551642E-4</v>
      </c>
      <c r="BO149" s="718">
        <v>3.7455805466839811E-4</v>
      </c>
      <c r="BP149" s="717">
        <v>4.6509097899645376E-4</v>
      </c>
      <c r="BQ149" s="717">
        <v>5.9516923763345783E-4</v>
      </c>
      <c r="BR149" s="717">
        <v>7.647109009471714E-4</v>
      </c>
      <c r="BS149" s="717">
        <v>9.8371338368455547E-4</v>
      </c>
      <c r="BT149" s="717">
        <v>1.2288249218129347E-3</v>
      </c>
      <c r="BW149" s="1162">
        <f>'2022'!R\Max</f>
        <v>0.92921332477327057</v>
      </c>
      <c r="BX149" s="1163">
        <f>'2023'!R\Max</f>
        <v>0.92921309629388438</v>
      </c>
      <c r="BY149" s="1163">
        <f>'2024'!R\Max</f>
        <v>0.92921284362437695</v>
      </c>
      <c r="BZ149" s="1163">
        <f>'2025'!R\Max</f>
        <v>0.9292125153404639</v>
      </c>
      <c r="CA149" s="1163">
        <f>'2026'!R\Max</f>
        <v>0.92921216291519759</v>
      </c>
      <c r="CB149" s="1163">
        <f>'2027'!R\Max</f>
        <v>0.92921173502986876</v>
      </c>
      <c r="CC149" s="1164">
        <f>'2028'!R\Max</f>
        <v>0.92921127688597438</v>
      </c>
      <c r="CD149" s="1163">
        <f>'2029'!R\Max</f>
        <v>0.9292133361917817</v>
      </c>
      <c r="CE149" s="1163">
        <f>'2030'!R\Max</f>
        <v>0.92921310771244547</v>
      </c>
      <c r="CF149" s="1165">
        <f>'2031'!R\Max</f>
        <v>0.92921286003071379</v>
      </c>
    </row>
    <row r="150" spans="1:84" s="6" customFormat="1" ht="11.25" x14ac:dyDescent="0.2">
      <c r="A150" s="11">
        <v>43236</v>
      </c>
      <c r="B150" s="375">
        <f>'2022'!Maxi_hp</f>
        <v>57.905364539166378</v>
      </c>
      <c r="C150" s="13">
        <f>'2022'!An_max</f>
        <v>2022</v>
      </c>
      <c r="D150" s="1050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69">
        <f t="shared" si="80"/>
        <v>43234</v>
      </c>
      <c r="I150" s="744">
        <f t="shared" si="81"/>
        <v>0.14285714285714285</v>
      </c>
      <c r="J150" s="737">
        <f t="shared" si="82"/>
        <v>63.866972887303156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43">
        <v>43236</v>
      </c>
      <c r="AP150" s="13">
        <f t="shared" si="83"/>
        <v>7</v>
      </c>
      <c r="AQ150" s="13">
        <f t="shared" si="84"/>
        <v>6</v>
      </c>
      <c r="AR150" s="169">
        <f t="shared" si="85"/>
        <v>43248</v>
      </c>
      <c r="AS150" s="744">
        <f t="shared" si="86"/>
        <v>0.42857142857142855</v>
      </c>
      <c r="AT150" s="760">
        <f t="shared" si="87"/>
        <v>63.88619562674846</v>
      </c>
      <c r="AU150" s="13">
        <f t="shared" si="88"/>
        <v>7</v>
      </c>
      <c r="AV150" s="13">
        <f t="shared" si="89"/>
        <v>6</v>
      </c>
      <c r="AW150" s="169">
        <f t="shared" si="90"/>
        <v>43262</v>
      </c>
      <c r="AX150" s="744">
        <f t="shared" si="91"/>
        <v>0.9285714285714286</v>
      </c>
      <c r="AY150" s="760">
        <f t="shared" si="92"/>
        <v>63.887014778543801</v>
      </c>
      <c r="AZ150" s="737">
        <f t="shared" si="96"/>
        <v>63.88660520264613</v>
      </c>
      <c r="BA150" s="634">
        <f t="shared" si="93"/>
        <v>0.90665584920305575</v>
      </c>
      <c r="BC150" s="11">
        <v>43236</v>
      </c>
      <c r="BD150" s="286">
        <f>[3]!FeuilCaduc*(1-Persistant)+Persistant</f>
        <v>0.76650014289941526</v>
      </c>
      <c r="BE150" s="287">
        <f>[3]!CroissVégét</f>
        <v>0.2626509368215188</v>
      </c>
      <c r="BF150" s="807">
        <f>1+[3]!Salcycl*Ksac</f>
        <v>1.020812517862427</v>
      </c>
      <c r="BH150" s="1041">
        <f t="shared" si="94"/>
        <v>3.5196020193633117E-4</v>
      </c>
      <c r="BI150" s="11">
        <v>44332</v>
      </c>
      <c r="BJ150" s="717">
        <v>5.1859835203697719E-5</v>
      </c>
      <c r="BK150" s="717">
        <v>9.1721273614716115E-5</v>
      </c>
      <c r="BL150" s="717">
        <v>1.4289718004847381E-4</v>
      </c>
      <c r="BM150" s="717">
        <v>2.0781020604891253E-4</v>
      </c>
      <c r="BN150" s="717">
        <v>2.7782148079731871E-4</v>
      </c>
      <c r="BO150" s="718">
        <v>3.5242146662337162E-4</v>
      </c>
      <c r="BP150" s="717">
        <v>4.3859127547414355E-4</v>
      </c>
      <c r="BQ150" s="717">
        <v>5.6407362309213996E-4</v>
      </c>
      <c r="BR150" s="717">
        <v>7.2706830850676493E-4</v>
      </c>
      <c r="BS150" s="717">
        <v>9.3709965503069195E-4</v>
      </c>
      <c r="BT150" s="717">
        <v>1.1701743180188887E-3</v>
      </c>
      <c r="BW150" s="1162">
        <f>'2022'!R\Max</f>
        <v>0.90665584920305575</v>
      </c>
      <c r="BX150" s="1163">
        <f>'2023'!R\Max</f>
        <v>0.90665556787952983</v>
      </c>
      <c r="BY150" s="1163">
        <f>'2024'!R\Max</f>
        <v>0.90665525443170114</v>
      </c>
      <c r="BZ150" s="1163">
        <f>'2025'!R\Max</f>
        <v>0.90665484475840152</v>
      </c>
      <c r="CA150" s="1163">
        <f>'2026'!R\Max</f>
        <v>0.90665440443017642</v>
      </c>
      <c r="CB150" s="1163">
        <f>'2027'!R\Max</f>
        <v>0.90665387228008343</v>
      </c>
      <c r="CC150" s="1164">
        <f>'2028'!R\Max</f>
        <v>0.90665330169022706</v>
      </c>
      <c r="CD150" s="1163">
        <f>'2029'!R\Max</f>
        <v>0.90665586326251402</v>
      </c>
      <c r="CE150" s="1163">
        <f>'2030'!R\Max</f>
        <v>0.90665558193904505</v>
      </c>
      <c r="CF150" s="1165">
        <f>'2031'!R\Max</f>
        <v>0.90665527490556352</v>
      </c>
    </row>
    <row r="151" spans="1:84" s="6" customFormat="1" ht="11.25" x14ac:dyDescent="0.2">
      <c r="A151" s="11">
        <v>43237</v>
      </c>
      <c r="B151" s="375">
        <f>'2022'!Maxi_hp</f>
        <v>61.845469570151174</v>
      </c>
      <c r="C151" s="13">
        <f>'2022'!An_max</f>
        <v>2022</v>
      </c>
      <c r="D151" s="1050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69">
        <f t="shared" si="80"/>
        <v>43234</v>
      </c>
      <c r="I151" s="744">
        <f t="shared" si="81"/>
        <v>0.21428571428571427</v>
      </c>
      <c r="J151" s="737">
        <f t="shared" si="82"/>
        <v>63.973680940802602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43">
        <v>43237</v>
      </c>
      <c r="AP151" s="13">
        <f t="shared" si="83"/>
        <v>7</v>
      </c>
      <c r="AQ151" s="13">
        <f t="shared" si="84"/>
        <v>6</v>
      </c>
      <c r="AR151" s="169">
        <f t="shared" si="85"/>
        <v>43248</v>
      </c>
      <c r="AS151" s="744">
        <f t="shared" si="86"/>
        <v>0.39285714285714285</v>
      </c>
      <c r="AT151" s="760">
        <f t="shared" si="87"/>
        <v>63.984944264431093</v>
      </c>
      <c r="AU151" s="13">
        <f t="shared" si="88"/>
        <v>7</v>
      </c>
      <c r="AV151" s="13">
        <f t="shared" si="89"/>
        <v>6</v>
      </c>
      <c r="AW151" s="169">
        <f t="shared" si="90"/>
        <v>43262</v>
      </c>
      <c r="AX151" s="744">
        <f t="shared" si="91"/>
        <v>0.8928571428571429</v>
      </c>
      <c r="AY151" s="760">
        <f t="shared" si="92"/>
        <v>64.002617444683395</v>
      </c>
      <c r="AZ151" s="737">
        <f t="shared" si="96"/>
        <v>63.993780854557244</v>
      </c>
      <c r="BA151" s="634">
        <f t="shared" si="93"/>
        <v>0.96673301677574652</v>
      </c>
      <c r="BC151" s="11">
        <v>43237</v>
      </c>
      <c r="BD151" s="286">
        <f>[3]!FeuilCaduc*(1-Persistant)+Persistant</f>
        <v>0.77202907224453754</v>
      </c>
      <c r="BE151" s="287">
        <f>[3]!CroissVégét</f>
        <v>0.27071905354146641</v>
      </c>
      <c r="BF151" s="807">
        <f>1+[3]!Salcycl*Ksac</f>
        <v>1.0215036340305672</v>
      </c>
      <c r="BH151" s="1041">
        <f t="shared" si="94"/>
        <v>3.3065123757242381E-4</v>
      </c>
      <c r="BI151" s="11">
        <v>44333</v>
      </c>
      <c r="BJ151" s="717">
        <v>4.7551543763496706E-5</v>
      </c>
      <c r="BK151" s="717">
        <v>8.4783581068293462E-5</v>
      </c>
      <c r="BL151" s="717">
        <v>1.3256910612736444E-4</v>
      </c>
      <c r="BM151" s="717">
        <v>1.9362815584975679E-4</v>
      </c>
      <c r="BN151" s="717">
        <v>2.5993400873328842E-4</v>
      </c>
      <c r="BO151" s="718">
        <v>3.3109121495438713E-4</v>
      </c>
      <c r="BP151" s="717">
        <v>4.1331502076603693E-4</v>
      </c>
      <c r="BQ151" s="717">
        <v>5.3457457650759135E-4</v>
      </c>
      <c r="BR151" s="717">
        <v>6.9155802535956308E-4</v>
      </c>
      <c r="BS151" s="717">
        <v>8.9334304943343814E-4</v>
      </c>
      <c r="BT151" s="717">
        <v>1.1154397100557772E-3</v>
      </c>
      <c r="BW151" s="1162">
        <f>'2022'!R\Max</f>
        <v>0.96673301677574652</v>
      </c>
      <c r="BX151" s="1163">
        <f>'2023'!R\Max</f>
        <v>0.96673291420220675</v>
      </c>
      <c r="BY151" s="1163">
        <f>'2024'!R\Max</f>
        <v>0.96673279904721388</v>
      </c>
      <c r="BZ151" s="1163">
        <f>'2025'!R\Max</f>
        <v>0.96673264777536994</v>
      </c>
      <c r="CA151" s="1163">
        <f>'2026'!R\Max</f>
        <v>0.96673248498881814</v>
      </c>
      <c r="CB151" s="1163">
        <f>'2027'!R\Max</f>
        <v>0.96673228914852516</v>
      </c>
      <c r="CC151" s="1164">
        <f>'2028'!R\Max</f>
        <v>0.96673207886693402</v>
      </c>
      <c r="CD151" s="1163">
        <f>'2029'!R\Max</f>
        <v>0.9667330219019733</v>
      </c>
      <c r="CE151" s="1163">
        <f>'2030'!R\Max</f>
        <v>0.9667329193284554</v>
      </c>
      <c r="CF151" s="1165">
        <f>'2031'!R\Max</f>
        <v>0.96673280660718486</v>
      </c>
    </row>
    <row r="152" spans="1:84" s="6" customFormat="1" ht="11.25" x14ac:dyDescent="0.2">
      <c r="A152" s="11">
        <v>43238</v>
      </c>
      <c r="B152" s="375">
        <f>'2022'!Maxi_hp</f>
        <v>59.055002518702814</v>
      </c>
      <c r="C152" s="13">
        <f>'2022'!An_max</f>
        <v>2022</v>
      </c>
      <c r="D152" s="1050" t="str">
        <f t="shared" si="78"/>
        <v/>
      </c>
      <c r="E152" s="13"/>
      <c r="F152" s="13">
        <f t="shared" si="95"/>
        <v>11</v>
      </c>
      <c r="G152" s="13">
        <f t="shared" si="79"/>
        <v>12</v>
      </c>
      <c r="H152" s="169">
        <f t="shared" si="80"/>
        <v>43234</v>
      </c>
      <c r="I152" s="744">
        <f t="shared" si="81"/>
        <v>0.2857142857142857</v>
      </c>
      <c r="J152" s="737">
        <f t="shared" si="82"/>
        <v>64.074927987477608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43">
        <v>43238</v>
      </c>
      <c r="AP152" s="13">
        <f t="shared" si="83"/>
        <v>7</v>
      </c>
      <c r="AQ152" s="13">
        <f t="shared" si="84"/>
        <v>6</v>
      </c>
      <c r="AR152" s="169">
        <f t="shared" si="85"/>
        <v>43248</v>
      </c>
      <c r="AS152" s="744">
        <f t="shared" si="86"/>
        <v>0.35714285714285715</v>
      </c>
      <c r="AT152" s="760">
        <f t="shared" si="87"/>
        <v>64.079114758542602</v>
      </c>
      <c r="AU152" s="13">
        <f t="shared" si="88"/>
        <v>7</v>
      </c>
      <c r="AV152" s="13">
        <f t="shared" si="89"/>
        <v>6</v>
      </c>
      <c r="AW152" s="169">
        <f t="shared" si="90"/>
        <v>43262</v>
      </c>
      <c r="AX152" s="744">
        <f t="shared" si="91"/>
        <v>0.8571428571428571</v>
      </c>
      <c r="AY152" s="760">
        <f t="shared" si="92"/>
        <v>64.111917200790984</v>
      </c>
      <c r="AZ152" s="737">
        <f t="shared" si="96"/>
        <v>64.0955159796668</v>
      </c>
      <c r="BA152" s="634">
        <f t="shared" si="93"/>
        <v>0.92165538649133005</v>
      </c>
      <c r="BC152" s="11">
        <v>43238</v>
      </c>
      <c r="BD152" s="286">
        <f>[3]!FeuilCaduc*(1-Persistant)+Persistant</f>
        <v>0.77760712135912158</v>
      </c>
      <c r="BE152" s="287">
        <f>[3]!CroissVégét</f>
        <v>0.27894001398938062</v>
      </c>
      <c r="BF152" s="807">
        <f>1+[3]!Salcycl*Ksac</f>
        <v>1.0222008901698902</v>
      </c>
      <c r="BH152" s="1041">
        <f t="shared" si="94"/>
        <v>3.1014700353066636E-4</v>
      </c>
      <c r="BI152" s="11">
        <v>44334</v>
      </c>
      <c r="BJ152" s="717">
        <v>4.3535879484493813E-5</v>
      </c>
      <c r="BK152" s="717">
        <v>7.821495067332822E-5</v>
      </c>
      <c r="BL152" s="717">
        <v>1.2269255314494498E-4</v>
      </c>
      <c r="BM152" s="717">
        <v>1.7993634032655655E-4</v>
      </c>
      <c r="BN152" s="717">
        <v>2.4264051504970581E-4</v>
      </c>
      <c r="BO152" s="718">
        <v>3.1056700483098531E-4</v>
      </c>
      <c r="BP152" s="717">
        <v>3.892616053704041E-4</v>
      </c>
      <c r="BQ152" s="717">
        <v>5.0667121492537024E-4</v>
      </c>
      <c r="BR152" s="717">
        <v>6.5817877802931007E-4</v>
      </c>
      <c r="BS152" s="717">
        <v>8.5244177008492921E-4</v>
      </c>
      <c r="BT152" s="717">
        <v>1.0646185240182826E-3</v>
      </c>
      <c r="BW152" s="1162">
        <f>'2022'!R\Max</f>
        <v>0.92165538649133005</v>
      </c>
      <c r="BX152" s="1163">
        <f>'2023'!R\Max</f>
        <v>0.92165516483500254</v>
      </c>
      <c r="BY152" s="1163">
        <f>'2024'!R\Max</f>
        <v>0.92165491410857003</v>
      </c>
      <c r="BZ152" s="1163">
        <f>'2025'!R\Max</f>
        <v>0.92165458340203121</v>
      </c>
      <c r="CA152" s="1163">
        <f>'2026'!R\Max</f>
        <v>0.92165422709080369</v>
      </c>
      <c r="CB152" s="1163">
        <f>'2027'!R\Max</f>
        <v>0.92165380033548017</v>
      </c>
      <c r="CC152" s="1164">
        <f>'2028'!R\Max</f>
        <v>0.92165334147320832</v>
      </c>
      <c r="CD152" s="1163">
        <f>'2029'!R\Max</f>
        <v>0.92165539756885451</v>
      </c>
      <c r="CE152" s="1163">
        <f>'2030'!R\Max</f>
        <v>0.9216551759125694</v>
      </c>
      <c r="CF152" s="1165">
        <f>'2031'!R\Max</f>
        <v>0.92165493063598547</v>
      </c>
    </row>
    <row r="153" spans="1:84" s="6" customFormat="1" ht="11.25" x14ac:dyDescent="0.2">
      <c r="A153" s="11">
        <v>43239</v>
      </c>
      <c r="B153" s="375">
        <f>'2022'!Maxi_hp</f>
        <v>57.798589542149266</v>
      </c>
      <c r="C153" s="13">
        <f>'2022'!An_max</f>
        <v>2022</v>
      </c>
      <c r="D153" s="1050" t="str">
        <f t="shared" si="78"/>
        <v/>
      </c>
      <c r="E153" s="13"/>
      <c r="F153" s="13">
        <f t="shared" si="95"/>
        <v>11</v>
      </c>
      <c r="G153" s="13">
        <f t="shared" si="79"/>
        <v>12</v>
      </c>
      <c r="H153" s="169">
        <f t="shared" si="80"/>
        <v>43234</v>
      </c>
      <c r="I153" s="744">
        <f t="shared" si="81"/>
        <v>0.35714285714285715</v>
      </c>
      <c r="J153" s="737">
        <f t="shared" si="82"/>
        <v>64.170932471166765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43">
        <v>43239</v>
      </c>
      <c r="AP153" s="13">
        <f t="shared" si="83"/>
        <v>7</v>
      </c>
      <c r="AQ153" s="13">
        <f t="shared" si="84"/>
        <v>6</v>
      </c>
      <c r="AR153" s="169">
        <f t="shared" si="85"/>
        <v>43248</v>
      </c>
      <c r="AS153" s="744">
        <f t="shared" si="86"/>
        <v>0.32142857142857145</v>
      </c>
      <c r="AT153" s="760">
        <f t="shared" si="87"/>
        <v>64.169007466360924</v>
      </c>
      <c r="AU153" s="13">
        <f t="shared" si="88"/>
        <v>7</v>
      </c>
      <c r="AV153" s="13">
        <f t="shared" si="89"/>
        <v>6</v>
      </c>
      <c r="AW153" s="169">
        <f t="shared" si="90"/>
        <v>43262</v>
      </c>
      <c r="AX153" s="744">
        <f t="shared" si="91"/>
        <v>0.8214285714285714</v>
      </c>
      <c r="AY153" s="760">
        <f t="shared" si="92"/>
        <v>64.215064224334711</v>
      </c>
      <c r="AZ153" s="737">
        <f t="shared" si="96"/>
        <v>64.192035845347817</v>
      </c>
      <c r="BA153" s="634">
        <f t="shared" si="93"/>
        <v>0.90069736119417132</v>
      </c>
      <c r="BC153" s="11">
        <v>43239</v>
      </c>
      <c r="BD153" s="286">
        <f>[3]!FeuilCaduc*(1-Persistant)+Persistant</f>
        <v>0.78322849363786029</v>
      </c>
      <c r="BE153" s="287">
        <f>[3]!CroissVégét</f>
        <v>0.28731106552397356</v>
      </c>
      <c r="BF153" s="807">
        <f>1+[3]!Salcycl*Ksac</f>
        <v>1.0229035617047326</v>
      </c>
      <c r="BH153" s="1041">
        <f t="shared" si="94"/>
        <v>2.9044718114982479E-4</v>
      </c>
      <c r="BI153" s="11">
        <v>44335</v>
      </c>
      <c r="BJ153" s="717">
        <v>3.9812651019492978E-5</v>
      </c>
      <c r="BK153" s="717">
        <v>7.2015175500029623E-5</v>
      </c>
      <c r="BL153" s="717">
        <v>1.1326731033055764E-4</v>
      </c>
      <c r="BM153" s="717">
        <v>1.6673459837903041E-4</v>
      </c>
      <c r="BN153" s="717">
        <v>2.2594081789649434E-4</v>
      </c>
      <c r="BO153" s="718">
        <v>2.908485167407419E-4</v>
      </c>
      <c r="BP153" s="717">
        <v>3.6643037693799411E-4</v>
      </c>
      <c r="BQ153" s="717">
        <v>4.803625967955685E-4</v>
      </c>
      <c r="BR153" s="717">
        <v>6.269292118040472E-4</v>
      </c>
      <c r="BS153" s="717">
        <v>8.1439390840578414E-4</v>
      </c>
      <c r="BT153" s="717">
        <v>1.0177080288456665E-3</v>
      </c>
      <c r="BW153" s="1162">
        <f>'2022'!R\Max</f>
        <v>0.90069736119417132</v>
      </c>
      <c r="BX153" s="1163">
        <f>'2023'!R\Max</f>
        <v>0.90069709598244896</v>
      </c>
      <c r="BY153" s="1163">
        <f>'2024'!R\Max</f>
        <v>0.90069679377061296</v>
      </c>
      <c r="BZ153" s="1163">
        <f>'2025'!R\Max</f>
        <v>0.90069639398661994</v>
      </c>
      <c r="CA153" s="1163">
        <f>'2026'!R\Max</f>
        <v>0.90069596271556918</v>
      </c>
      <c r="CB153" s="1163">
        <f>'2027'!R\Max</f>
        <v>0.90069544841254046</v>
      </c>
      <c r="CC153" s="1164">
        <f>'2028'!R\Max</f>
        <v>0.90069489464791463</v>
      </c>
      <c r="CD153" s="1163">
        <f>'2029'!R\Max</f>
        <v>0.90069737444842746</v>
      </c>
      <c r="CE153" s="1163">
        <f>'2030'!R\Max</f>
        <v>0.90069710923675239</v>
      </c>
      <c r="CF153" s="1165">
        <f>'2031'!R\Max</f>
        <v>0.90069681375025201</v>
      </c>
    </row>
    <row r="154" spans="1:84" s="6" customFormat="1" ht="11.25" x14ac:dyDescent="0.2">
      <c r="A154" s="11">
        <v>43240</v>
      </c>
      <c r="B154" s="375">
        <f>'2022'!Maxi_hp</f>
        <v>54.936251111183481</v>
      </c>
      <c r="C154" s="13">
        <f>'2022'!An_max</f>
        <v>2022</v>
      </c>
      <c r="D154" s="1050" t="str">
        <f t="shared" si="78"/>
        <v/>
      </c>
      <c r="E154" s="13"/>
      <c r="F154" s="13">
        <f t="shared" si="95"/>
        <v>11</v>
      </c>
      <c r="G154" s="13">
        <f t="shared" si="79"/>
        <v>12</v>
      </c>
      <c r="H154" s="169">
        <f t="shared" si="80"/>
        <v>43234</v>
      </c>
      <c r="I154" s="744">
        <f t="shared" si="81"/>
        <v>0.42857142857142855</v>
      </c>
      <c r="J154" s="737">
        <f t="shared" si="82"/>
        <v>64.261912828470969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43">
        <v>43240</v>
      </c>
      <c r="AP154" s="13">
        <f t="shared" si="83"/>
        <v>7</v>
      </c>
      <c r="AQ154" s="13">
        <f t="shared" si="84"/>
        <v>6</v>
      </c>
      <c r="AR154" s="169">
        <f t="shared" si="85"/>
        <v>43248</v>
      </c>
      <c r="AS154" s="744">
        <f t="shared" si="86"/>
        <v>0.2857142857142857</v>
      </c>
      <c r="AT154" s="760">
        <f t="shared" si="87"/>
        <v>64.254922740480737</v>
      </c>
      <c r="AU154" s="13">
        <f t="shared" si="88"/>
        <v>7</v>
      </c>
      <c r="AV154" s="13">
        <f t="shared" si="89"/>
        <v>6</v>
      </c>
      <c r="AW154" s="169">
        <f t="shared" si="90"/>
        <v>43262</v>
      </c>
      <c r="AX154" s="744">
        <f t="shared" si="91"/>
        <v>0.7857142857142857</v>
      </c>
      <c r="AY154" s="760">
        <f t="shared" si="92"/>
        <v>64.31220869107969</v>
      </c>
      <c r="AZ154" s="737">
        <f t="shared" si="96"/>
        <v>64.283565715780213</v>
      </c>
      <c r="BA154" s="634">
        <f t="shared" si="93"/>
        <v>0.85488042128189201</v>
      </c>
      <c r="BC154" s="11">
        <v>43240</v>
      </c>
      <c r="BD154" s="286">
        <f>[3]!FeuilCaduc*(1-Persistant)+Persistant</f>
        <v>0.78888718688019166</v>
      </c>
      <c r="BE154" s="287">
        <f>[3]!CroissVégét</f>
        <v>0.29582909613929492</v>
      </c>
      <c r="BF154" s="807">
        <f>1+[3]!Salcycl*Ksac</f>
        <v>1.0236108983600241</v>
      </c>
      <c r="BH154" s="1041">
        <f t="shared" si="94"/>
        <v>2.7155142567689025E-4</v>
      </c>
      <c r="BI154" s="11">
        <v>44336</v>
      </c>
      <c r="BJ154" s="717">
        <v>3.6381654925136709E-5</v>
      </c>
      <c r="BK154" s="717">
        <v>6.6184034507890552E-5</v>
      </c>
      <c r="BL154" s="717">
        <v>1.0429315105208673E-4</v>
      </c>
      <c r="BM154" s="717">
        <v>1.5402275394475368E-4</v>
      </c>
      <c r="BN154" s="717">
        <v>2.0983471782199325E-4</v>
      </c>
      <c r="BO154" s="718">
        <v>2.7193540502663485E-4</v>
      </c>
      <c r="BP154" s="717">
        <v>3.4482063804442808E-4</v>
      </c>
      <c r="BQ154" s="717">
        <v>4.5564771906192865E-4</v>
      </c>
      <c r="BR154" s="717">
        <v>5.978078868440059E-4</v>
      </c>
      <c r="BS154" s="717">
        <v>7.7919743882556012E-4</v>
      </c>
      <c r="BT154" s="717">
        <v>9.7470532916141305E-4</v>
      </c>
      <c r="BW154" s="1162">
        <f>'2022'!R\Max</f>
        <v>0.85488042128189201</v>
      </c>
      <c r="BX154" s="1163">
        <f>'2023'!R\Max</f>
        <v>0.85488006448798382</v>
      </c>
      <c r="BY154" s="1163">
        <f>'2024'!R\Max</f>
        <v>0.85487965504345143</v>
      </c>
      <c r="BZ154" s="1163">
        <f>'2025'!R\Max</f>
        <v>0.85487911250925597</v>
      </c>
      <c r="CA154" s="1163">
        <f>'2026'!R\Max</f>
        <v>0.85487852649310603</v>
      </c>
      <c r="CB154" s="1163">
        <f>'2027'!R\Max</f>
        <v>0.85487783056587352</v>
      </c>
      <c r="CC154" s="1164">
        <f>'2028'!R\Max</f>
        <v>0.85487708019705688</v>
      </c>
      <c r="CD154" s="1163">
        <f>'2029'!R\Max</f>
        <v>0.85488043911307521</v>
      </c>
      <c r="CE154" s="1163">
        <f>'2030'!R\Max</f>
        <v>0.85488008231922386</v>
      </c>
      <c r="CF154" s="1165">
        <f>'2031'!R\Max</f>
        <v>0.85487968215719401</v>
      </c>
    </row>
    <row r="155" spans="1:84" s="6" customFormat="1" ht="11.25" x14ac:dyDescent="0.2">
      <c r="A155" s="11">
        <v>43241</v>
      </c>
      <c r="B155" s="375">
        <f>'2022'!Maxi_hp</f>
        <v>57.535551497709676</v>
      </c>
      <c r="C155" s="13">
        <f>'2022'!An_max</f>
        <v>2022</v>
      </c>
      <c r="D155" s="1050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69">
        <f t="shared" si="80"/>
        <v>43234</v>
      </c>
      <c r="I155" s="744">
        <f t="shared" si="81"/>
        <v>0.5</v>
      </c>
      <c r="J155" s="737">
        <f t="shared" si="82"/>
        <v>64.34808750003576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43">
        <v>43241</v>
      </c>
      <c r="AP155" s="13">
        <f t="shared" si="83"/>
        <v>7</v>
      </c>
      <c r="AQ155" s="13">
        <f t="shared" si="84"/>
        <v>6</v>
      </c>
      <c r="AR155" s="169">
        <f t="shared" si="85"/>
        <v>43248</v>
      </c>
      <c r="AS155" s="744">
        <f t="shared" si="86"/>
        <v>0.25</v>
      </c>
      <c r="AT155" s="760">
        <f t="shared" si="87"/>
        <v>64.337160937301817</v>
      </c>
      <c r="AU155" s="13">
        <f t="shared" si="88"/>
        <v>7</v>
      </c>
      <c r="AV155" s="13">
        <f t="shared" si="89"/>
        <v>6</v>
      </c>
      <c r="AW155" s="169">
        <f t="shared" si="90"/>
        <v>43262</v>
      </c>
      <c r="AX155" s="744">
        <f t="shared" si="91"/>
        <v>0.75</v>
      </c>
      <c r="AY155" s="760">
        <f t="shared" si="92"/>
        <v>64.40350078120828</v>
      </c>
      <c r="AZ155" s="737">
        <f t="shared" si="96"/>
        <v>64.370330859255048</v>
      </c>
      <c r="BA155" s="634">
        <f t="shared" si="93"/>
        <v>0.89412993816914454</v>
      </c>
      <c r="BC155" s="11">
        <v>43241</v>
      </c>
      <c r="BD155" s="286">
        <f>[3]!FeuilCaduc*(1-Persistant)+Persistant</f>
        <v>0.79457700746586535</v>
      </c>
      <c r="BE155" s="287">
        <f>[3]!CroissVégét</f>
        <v>0.30449063118118064</v>
      </c>
      <c r="BF155" s="807">
        <f>1+[3]!Salcycl*Ksac</f>
        <v>1.0243221259332331</v>
      </c>
      <c r="BH155" s="1041">
        <f t="shared" si="94"/>
        <v>2.5345936479255422E-4</v>
      </c>
      <c r="BI155" s="11">
        <v>44337</v>
      </c>
      <c r="BJ155" s="717">
        <v>3.3242675124582451E-5</v>
      </c>
      <c r="BK155" s="717">
        <v>6.0721291868806484E-5</v>
      </c>
      <c r="BL155" s="717">
        <v>9.5769831988877895E-5</v>
      </c>
      <c r="BM155" s="717">
        <v>1.4180061510269738E-4</v>
      </c>
      <c r="BN155" s="717">
        <v>1.9432199668657527E-4</v>
      </c>
      <c r="BO155" s="718">
        <v>2.5382729641010472E-4</v>
      </c>
      <c r="BP155" s="717">
        <v>3.2443164394462562E-4</v>
      </c>
      <c r="BQ155" s="717">
        <v>4.3252551422751448E-4</v>
      </c>
      <c r="BR155" s="717">
        <v>5.7081327425899213E-4</v>
      </c>
      <c r="BS155" s="717">
        <v>7.468502135236448E-4</v>
      </c>
      <c r="BT155" s="717">
        <v>9.3560735806345809E-4</v>
      </c>
      <c r="BW155" s="1162">
        <f>'2022'!R\Max</f>
        <v>0.89412993816914454</v>
      </c>
      <c r="BX155" s="1163">
        <f>'2023'!R\Max</f>
        <v>0.89412967289747014</v>
      </c>
      <c r="BY155" s="1163">
        <f>'2024'!R\Max</f>
        <v>0.89412936647784469</v>
      </c>
      <c r="BZ155" s="1163">
        <f>'2025'!R\Max</f>
        <v>0.89412896034884437</v>
      </c>
      <c r="CA155" s="1163">
        <f>'2026'!R\Max</f>
        <v>0.89412852107779572</v>
      </c>
      <c r="CB155" s="1163">
        <f>'2027'!R\Max</f>
        <v>0.89412800149878924</v>
      </c>
      <c r="CC155" s="1164">
        <f>'2028'!R\Max</f>
        <v>0.89412744048342352</v>
      </c>
      <c r="CD155" s="1163">
        <f>'2029'!R\Max</f>
        <v>0.89412995142639851</v>
      </c>
      <c r="CE155" s="1163">
        <f>'2030'!R\Max</f>
        <v>0.8941296861547684</v>
      </c>
      <c r="CF155" s="1165">
        <f>'2031'!R\Max</f>
        <v>0.89412938677458487</v>
      </c>
    </row>
    <row r="156" spans="1:84" s="6" customFormat="1" ht="11.25" x14ac:dyDescent="0.2">
      <c r="A156" s="11">
        <v>43242</v>
      </c>
      <c r="B156" s="375">
        <f>'2022'!Maxi_hp</f>
        <v>44.49262600996402</v>
      </c>
      <c r="C156" s="13">
        <f>'2022'!An_max</f>
        <v>2022</v>
      </c>
      <c r="D156" s="1050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69">
        <f t="shared" si="80"/>
        <v>43234</v>
      </c>
      <c r="I156" s="744">
        <f t="shared" si="81"/>
        <v>0.5714285714285714</v>
      </c>
      <c r="J156" s="737">
        <f t="shared" si="82"/>
        <v>64.429674927783864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43">
        <v>43242</v>
      </c>
      <c r="AP156" s="13">
        <f t="shared" si="83"/>
        <v>7</v>
      </c>
      <c r="AQ156" s="13">
        <f t="shared" si="84"/>
        <v>6</v>
      </c>
      <c r="AR156" s="169">
        <f t="shared" si="85"/>
        <v>43248</v>
      </c>
      <c r="AS156" s="744">
        <f t="shared" si="86"/>
        <v>0.21428571428571427</v>
      </c>
      <c r="AT156" s="760">
        <f t="shared" si="87"/>
        <v>64.416022412319265</v>
      </c>
      <c r="AU156" s="13">
        <f t="shared" si="88"/>
        <v>7</v>
      </c>
      <c r="AV156" s="13">
        <f t="shared" si="89"/>
        <v>6</v>
      </c>
      <c r="AW156" s="169">
        <f t="shared" si="90"/>
        <v>43262</v>
      </c>
      <c r="AX156" s="744">
        <f t="shared" si="91"/>
        <v>0.7142857142857143</v>
      </c>
      <c r="AY156" s="760">
        <f t="shared" si="92"/>
        <v>64.489090670219497</v>
      </c>
      <c r="AZ156" s="737">
        <f t="shared" si="96"/>
        <v>64.452556541269388</v>
      </c>
      <c r="BA156" s="634">
        <f t="shared" si="93"/>
        <v>0.6905610816729042</v>
      </c>
      <c r="BC156" s="11">
        <v>43242</v>
      </c>
      <c r="BD156" s="286">
        <f>[3]!FeuilCaduc*(1-Persistant)+Persistant</f>
        <v>0.80029158597999939</v>
      </c>
      <c r="BE156" s="287">
        <f>[3]!CroissVégét</f>
        <v>0.3132918316722918</v>
      </c>
      <c r="BF156" s="807">
        <f>1+[3]!Salcycl*Ksac</f>
        <v>1.0250364482474998</v>
      </c>
      <c r="BH156" s="1041">
        <f t="shared" si="94"/>
        <v>2.3653718817340081E-4</v>
      </c>
      <c r="BI156" s="11">
        <v>44338</v>
      </c>
      <c r="BJ156" s="717">
        <v>3.050369351682119E-5</v>
      </c>
      <c r="BK156" s="717">
        <v>5.5785940564981086E-5</v>
      </c>
      <c r="BL156" s="717">
        <v>8.7921375147746053E-5</v>
      </c>
      <c r="BM156" s="717">
        <v>1.3038155794462905E-4</v>
      </c>
      <c r="BN156" s="717">
        <v>1.7977055921252088E-4</v>
      </c>
      <c r="BO156" s="718">
        <v>2.368903698973327E-4</v>
      </c>
      <c r="BP156" s="717">
        <v>3.0555650629869639E-4</v>
      </c>
      <c r="BQ156" s="717">
        <v>4.1119317092973994E-4</v>
      </c>
      <c r="BR156" s="717">
        <v>5.4603237713627079E-4</v>
      </c>
      <c r="BS156" s="717">
        <v>7.1731500571853974E-4</v>
      </c>
      <c r="BT156" s="717">
        <v>9.0024319618003566E-4</v>
      </c>
      <c r="BW156" s="1162">
        <f>'2022'!R\Max</f>
        <v>0.6905610816729042</v>
      </c>
      <c r="BX156" s="1163">
        <f>'2023'!R\Max</f>
        <v>0.69056049584914692</v>
      </c>
      <c r="BY156" s="1163">
        <f>'2024'!R\Max</f>
        <v>0.69055981510799258</v>
      </c>
      <c r="BZ156" s="1163">
        <f>'2025'!R\Max</f>
        <v>0.6905589138662277</v>
      </c>
      <c r="CA156" s="1163">
        <f>'2026'!R\Max</f>
        <v>0.69055793764802142</v>
      </c>
      <c r="CB156" s="1163">
        <f>'2027'!R\Max</f>
        <v>0.6905567872556464</v>
      </c>
      <c r="CC156" s="1164">
        <f>'2028'!R\Max</f>
        <v>0.6905555432942857</v>
      </c>
      <c r="CD156" s="1163">
        <f>'2029'!R\Max</f>
        <v>0.69056111095013162</v>
      </c>
      <c r="CE156" s="1163">
        <f>'2030'!R\Max</f>
        <v>0.69056052512643717</v>
      </c>
      <c r="CF156" s="1165">
        <f>'2031'!R\Max</f>
        <v>0.69055986014857684</v>
      </c>
    </row>
    <row r="157" spans="1:84" s="6" customFormat="1" ht="11.25" x14ac:dyDescent="0.2">
      <c r="A157" s="11">
        <v>43243</v>
      </c>
      <c r="B157" s="375">
        <f>'2022'!Maxi_hp</f>
        <v>21.172070560817748</v>
      </c>
      <c r="C157" s="13">
        <f>'2022'!An_max</f>
        <v>2022</v>
      </c>
      <c r="D157" s="1050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69">
        <f t="shared" si="80"/>
        <v>43234</v>
      </c>
      <c r="I157" s="744">
        <f t="shared" si="81"/>
        <v>0.6428571428571429</v>
      </c>
      <c r="J157" s="737">
        <f t="shared" si="82"/>
        <v>64.506893549699868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43">
        <v>43243</v>
      </c>
      <c r="AP157" s="13">
        <f t="shared" si="83"/>
        <v>7</v>
      </c>
      <c r="AQ157" s="13">
        <f t="shared" si="84"/>
        <v>6</v>
      </c>
      <c r="AR157" s="169">
        <f t="shared" si="85"/>
        <v>43248</v>
      </c>
      <c r="AS157" s="744">
        <f t="shared" si="86"/>
        <v>0.17857142857142858</v>
      </c>
      <c r="AT157" s="760">
        <f t="shared" si="87"/>
        <v>64.491807520522599</v>
      </c>
      <c r="AU157" s="13">
        <f t="shared" si="88"/>
        <v>7</v>
      </c>
      <c r="AV157" s="13">
        <f t="shared" si="89"/>
        <v>6</v>
      </c>
      <c r="AW157" s="169">
        <f t="shared" si="90"/>
        <v>43262</v>
      </c>
      <c r="AX157" s="744">
        <f t="shared" si="91"/>
        <v>0.6785714285714286</v>
      </c>
      <c r="AY157" s="760">
        <f t="shared" si="92"/>
        <v>64.569128537124826</v>
      </c>
      <c r="AZ157" s="737">
        <f t="shared" si="96"/>
        <v>64.530468028823719</v>
      </c>
      <c r="BA157" s="634">
        <f t="shared" si="93"/>
        <v>0.32821407753119519</v>
      </c>
      <c r="BC157" s="11">
        <v>43243</v>
      </c>
      <c r="BD157" s="286">
        <f>[3]!FeuilCaduc*(1-Persistant)+Persistant</f>
        <v>0.80602439424666517</v>
      </c>
      <c r="BE157" s="287">
        <f>[3]!CroissVégét</f>
        <v>0.3222284943358365</v>
      </c>
      <c r="BF157" s="807">
        <f>1+[3]!Salcycl*Ksac</f>
        <v>1.0257530492808331</v>
      </c>
      <c r="BH157" s="1041">
        <f t="shared" si="94"/>
        <v>2.2075810538816119E-4</v>
      </c>
      <c r="BI157" s="11">
        <v>44339</v>
      </c>
      <c r="BJ157" s="717">
        <v>2.8172841462986059E-5</v>
      </c>
      <c r="BK157" s="717">
        <v>5.1447189195419433E-5</v>
      </c>
      <c r="BL157" s="717">
        <v>8.0887005468624455E-5</v>
      </c>
      <c r="BM157" s="717">
        <v>1.1998824806550023E-4</v>
      </c>
      <c r="BN157" s="717">
        <v>1.6636757218872785E-4</v>
      </c>
      <c r="BO157" s="718">
        <v>2.2109650389151762E-4</v>
      </c>
      <c r="BP157" s="717">
        <v>2.8771961186143627E-4</v>
      </c>
      <c r="BQ157" s="717">
        <v>3.905648682296578E-4</v>
      </c>
      <c r="BR157" s="717">
        <v>5.2159187380341717E-4</v>
      </c>
      <c r="BS157" s="717">
        <v>6.8772911935055016E-4</v>
      </c>
      <c r="BT157" s="717">
        <v>8.6461734244191644E-4</v>
      </c>
      <c r="BW157" s="1162">
        <f>'2022'!R\Max</f>
        <v>0.32821407753119519</v>
      </c>
      <c r="BX157" s="1163">
        <f>'2023'!R\Max</f>
        <v>0.32821348754799934</v>
      </c>
      <c r="BY157" s="1163">
        <f>'2024'!R\Max</f>
        <v>0.3282127981713891</v>
      </c>
      <c r="BZ157" s="1163">
        <f>'2025'!R\Max</f>
        <v>0.32821188742139201</v>
      </c>
      <c r="CA157" s="1163">
        <f>'2026'!R\Max</f>
        <v>0.32821089934069686</v>
      </c>
      <c r="CB157" s="1163">
        <f>'2027'!R\Max</f>
        <v>0.32820973902556938</v>
      </c>
      <c r="CC157" s="1164">
        <f>'2028'!R\Max</f>
        <v>0.32820848236792766</v>
      </c>
      <c r="CD157" s="1163">
        <f>'2029'!R\Max</f>
        <v>0.32821410701632647</v>
      </c>
      <c r="CE157" s="1163">
        <f>'2030'!R\Max</f>
        <v>0.328213517033135</v>
      </c>
      <c r="CF157" s="1165">
        <f>'2031'!R\Max</f>
        <v>0.32821284368723119</v>
      </c>
    </row>
    <row r="158" spans="1:84" s="6" customFormat="1" ht="11.25" x14ac:dyDescent="0.2">
      <c r="A158" s="11">
        <v>43244</v>
      </c>
      <c r="B158" s="375">
        <f>'2022'!Maxi_hp</f>
        <v>18.1877934787436</v>
      </c>
      <c r="C158" s="13">
        <f>'2022'!An_max</f>
        <v>2022</v>
      </c>
      <c r="D158" s="1050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69">
        <f t="shared" si="80"/>
        <v>43234</v>
      </c>
      <c r="I158" s="744">
        <f t="shared" si="81"/>
        <v>0.7142857142857143</v>
      </c>
      <c r="J158" s="737">
        <f t="shared" si="82"/>
        <v>64.579961807174342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43">
        <v>43244</v>
      </c>
      <c r="AP158" s="13">
        <f t="shared" si="83"/>
        <v>7</v>
      </c>
      <c r="AQ158" s="13">
        <f t="shared" si="84"/>
        <v>6</v>
      </c>
      <c r="AR158" s="169">
        <f t="shared" si="85"/>
        <v>43248</v>
      </c>
      <c r="AS158" s="744">
        <f t="shared" si="86"/>
        <v>0.14285714285714285</v>
      </c>
      <c r="AT158" s="760">
        <f t="shared" si="87"/>
        <v>64.564816617752825</v>
      </c>
      <c r="AU158" s="13">
        <f t="shared" si="88"/>
        <v>7</v>
      </c>
      <c r="AV158" s="13">
        <f t="shared" si="89"/>
        <v>6</v>
      </c>
      <c r="AW158" s="169">
        <f t="shared" si="90"/>
        <v>43262</v>
      </c>
      <c r="AX158" s="744">
        <f t="shared" si="91"/>
        <v>0.6428571428571429</v>
      </c>
      <c r="AY158" s="760">
        <f t="shared" si="92"/>
        <v>64.643764558753801</v>
      </c>
      <c r="AZ158" s="737">
        <f t="shared" si="96"/>
        <v>64.60429058825332</v>
      </c>
      <c r="BA158" s="634">
        <f t="shared" si="93"/>
        <v>0.28163214981528645</v>
      </c>
      <c r="BC158" s="11">
        <v>43244</v>
      </c>
      <c r="BD158" s="286">
        <f>[3]!FeuilCaduc*(1-Persistant)+Persistant</f>
        <v>0.81176876371646534</v>
      </c>
      <c r="BE158" s="287">
        <f>[3]!CroissVégét</f>
        <v>0.33129605339749552</v>
      </c>
      <c r="BF158" s="807">
        <f>1+[3]!Salcycl*Ksac</f>
        <v>1.0264710954645582</v>
      </c>
      <c r="BH158" s="1041">
        <f t="shared" si="94"/>
        <v>2.0612068073333709E-4</v>
      </c>
      <c r="BI158" s="11">
        <v>44340</v>
      </c>
      <c r="BJ158" s="717">
        <v>2.6249653065256742E-5</v>
      </c>
      <c r="BK158" s="717">
        <v>4.7704359464590373E-5</v>
      </c>
      <c r="BL158" s="717">
        <v>7.4665806970525319E-5</v>
      </c>
      <c r="BM158" s="717">
        <v>1.1061953104820079E-4</v>
      </c>
      <c r="BN158" s="717">
        <v>1.5411169855736098E-4</v>
      </c>
      <c r="BO158" s="718">
        <v>2.0644426207542299E-4</v>
      </c>
      <c r="BP158" s="717">
        <v>2.7091947450907298E-4</v>
      </c>
      <c r="BQ158" s="717">
        <v>3.7063922177135153E-4</v>
      </c>
      <c r="BR158" s="717">
        <v>4.9749045100739295E-4</v>
      </c>
      <c r="BS158" s="717">
        <v>6.5809126642767243E-4</v>
      </c>
      <c r="BT158" s="717">
        <v>8.2872832898867098E-4</v>
      </c>
      <c r="BW158" s="1162">
        <f>'2022'!R\Max</f>
        <v>0.28163214981528645</v>
      </c>
      <c r="BX158" s="1163">
        <f>'2023'!R\Max</f>
        <v>0.28163163625400306</v>
      </c>
      <c r="BY158" s="1163">
        <f>'2024'!R\Max</f>
        <v>0.28163103315915133</v>
      </c>
      <c r="BZ158" s="1163">
        <f>'2025'!R\Max</f>
        <v>0.28163023886628358</v>
      </c>
      <c r="CA158" s="1163">
        <f>'2026'!R\Max</f>
        <v>0.28162937564993468</v>
      </c>
      <c r="CB158" s="1163">
        <f>'2027'!R\Max</f>
        <v>0.28162836524798912</v>
      </c>
      <c r="CC158" s="1164">
        <f>'2028'!R\Max</f>
        <v>0.28162726911033953</v>
      </c>
      <c r="CD158" s="1163">
        <f>'2029'!R\Max</f>
        <v>0.28163217548114117</v>
      </c>
      <c r="CE158" s="1163">
        <f>'2030'!R\Max</f>
        <v>0.28163166191985783</v>
      </c>
      <c r="CF158" s="1165">
        <f>'2031'!R\Max</f>
        <v>0.28163107285491118</v>
      </c>
    </row>
    <row r="159" spans="1:84" s="6" customFormat="1" ht="11.25" x14ac:dyDescent="0.2">
      <c r="A159" s="11">
        <v>43245</v>
      </c>
      <c r="B159" s="375">
        <f>'2022'!Maxi_hp</f>
        <v>44.330586248471548</v>
      </c>
      <c r="C159" s="13">
        <f>'2022'!An_max</f>
        <v>2022</v>
      </c>
      <c r="D159" s="1050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69">
        <f t="shared" si="80"/>
        <v>43234</v>
      </c>
      <c r="I159" s="744">
        <f t="shared" si="81"/>
        <v>0.7857142857142857</v>
      </c>
      <c r="J159" s="737">
        <f t="shared" si="82"/>
        <v>64.649098140959225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43">
        <v>43245</v>
      </c>
      <c r="AP159" s="13">
        <f t="shared" si="83"/>
        <v>7</v>
      </c>
      <c r="AQ159" s="13">
        <f t="shared" si="84"/>
        <v>6</v>
      </c>
      <c r="AR159" s="169">
        <f t="shared" si="85"/>
        <v>43248</v>
      </c>
      <c r="AS159" s="744">
        <f t="shared" si="86"/>
        <v>0.10714285714285714</v>
      </c>
      <c r="AT159" s="760">
        <f t="shared" si="87"/>
        <v>64.635350058467267</v>
      </c>
      <c r="AU159" s="13">
        <f t="shared" si="88"/>
        <v>7</v>
      </c>
      <c r="AV159" s="13">
        <f t="shared" si="89"/>
        <v>6</v>
      </c>
      <c r="AW159" s="169">
        <f t="shared" si="90"/>
        <v>43262</v>
      </c>
      <c r="AX159" s="744">
        <f t="shared" si="91"/>
        <v>0.6071428571428571</v>
      </c>
      <c r="AY159" s="760">
        <f t="shared" si="92"/>
        <v>64.713148913479273</v>
      </c>
      <c r="AZ159" s="737">
        <f t="shared" si="96"/>
        <v>64.674249485973263</v>
      </c>
      <c r="BA159" s="634">
        <f t="shared" si="93"/>
        <v>0.68571082231981462</v>
      </c>
      <c r="BC159" s="11">
        <v>43245</v>
      </c>
      <c r="BD159" s="286">
        <f>[3]!FeuilCaduc*(1-Persistant)+Persistant</f>
        <v>0.81751790514011213</v>
      </c>
      <c r="BE159" s="287">
        <f>[3]!CroissVégét</f>
        <v>0.34048958423292969</v>
      </c>
      <c r="BF159" s="807">
        <f>1+[3]!Salcycl*Ksac</f>
        <v>1.0271897381425139</v>
      </c>
      <c r="BH159" s="1041">
        <f t="shared" si="94"/>
        <v>1.9262456885692905E-4</v>
      </c>
      <c r="BI159" s="11">
        <v>44341</v>
      </c>
      <c r="BJ159" s="717">
        <v>2.4733777172458748E-5</v>
      </c>
      <c r="BK159" s="717">
        <v>4.4556997941991608E-5</v>
      </c>
      <c r="BL159" s="717">
        <v>6.9257230799488778E-5</v>
      </c>
      <c r="BM159" s="717">
        <v>1.0227481500947473E-4</v>
      </c>
      <c r="BN159" s="717">
        <v>1.4300240287016405E-4</v>
      </c>
      <c r="BO159" s="718">
        <v>1.9293330027976056E-4</v>
      </c>
      <c r="BP159" s="717">
        <v>2.5515605884338734E-4</v>
      </c>
      <c r="BQ159" s="717">
        <v>3.5141686662503851E-4</v>
      </c>
      <c r="BR159" s="717">
        <v>4.7372953470119737E-4</v>
      </c>
      <c r="BS159" s="717">
        <v>6.2840380558953684E-4</v>
      </c>
      <c r="BT159" s="717">
        <v>7.9257928340515954E-4</v>
      </c>
      <c r="BW159" s="1162">
        <f>'2022'!R\Max</f>
        <v>0.68571082231981462</v>
      </c>
      <c r="BX159" s="1163">
        <f>'2023'!R\Max</f>
        <v>0.68571027726588285</v>
      </c>
      <c r="BY159" s="1163">
        <f>'2024'!R\Max</f>
        <v>0.68570963437619836</v>
      </c>
      <c r="BZ159" s="1163">
        <f>'2025'!R\Max</f>
        <v>0.68570879115445638</v>
      </c>
      <c r="CA159" s="1163">
        <f>'2026'!R\Max</f>
        <v>0.68570787304957315</v>
      </c>
      <c r="CB159" s="1163">
        <f>'2027'!R\Max</f>
        <v>0.68570680161254893</v>
      </c>
      <c r="CC159" s="1164">
        <f>'2028'!R\Max</f>
        <v>0.68570563715413779</v>
      </c>
      <c r="CD159" s="1163">
        <f>'2029'!R\Max</f>
        <v>0.68571084955952522</v>
      </c>
      <c r="CE159" s="1163">
        <f>'2030'!R\Max</f>
        <v>0.68571030450564652</v>
      </c>
      <c r="CF159" s="1165">
        <f>'2031'!R\Max</f>
        <v>0.68570967651717207</v>
      </c>
    </row>
    <row r="160" spans="1:84" s="6" customFormat="1" ht="11.25" x14ac:dyDescent="0.2">
      <c r="A160" s="11">
        <v>43246</v>
      </c>
      <c r="B160" s="375">
        <f>'2022'!Maxi_hp</f>
        <v>29.580999563850057</v>
      </c>
      <c r="C160" s="13">
        <f>'2022'!An_max</f>
        <v>2022</v>
      </c>
      <c r="D160" s="1050" t="str">
        <f t="shared" si="78"/>
        <v/>
      </c>
      <c r="E160" s="13"/>
      <c r="F160" s="13">
        <f t="shared" si="95"/>
        <v>11</v>
      </c>
      <c r="G160" s="13">
        <f t="shared" si="79"/>
        <v>12</v>
      </c>
      <c r="H160" s="169">
        <f t="shared" si="80"/>
        <v>43234</v>
      </c>
      <c r="I160" s="744">
        <f t="shared" si="81"/>
        <v>0.8571428571428571</v>
      </c>
      <c r="J160" s="737">
        <f t="shared" si="82"/>
        <v>64.714520991806481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43">
        <v>43246</v>
      </c>
      <c r="AP160" s="13">
        <f t="shared" si="83"/>
        <v>7</v>
      </c>
      <c r="AQ160" s="13">
        <f t="shared" si="84"/>
        <v>6</v>
      </c>
      <c r="AR160" s="169">
        <f t="shared" si="85"/>
        <v>43248</v>
      </c>
      <c r="AS160" s="744">
        <f t="shared" si="86"/>
        <v>7.1428571428571425E-2</v>
      </c>
      <c r="AT160" s="760">
        <f t="shared" si="87"/>
        <v>64.703708198879454</v>
      </c>
      <c r="AU160" s="13">
        <f t="shared" si="88"/>
        <v>7</v>
      </c>
      <c r="AV160" s="13">
        <f t="shared" si="89"/>
        <v>6</v>
      </c>
      <c r="AW160" s="169">
        <f t="shared" si="90"/>
        <v>43262</v>
      </c>
      <c r="AX160" s="744">
        <f t="shared" si="91"/>
        <v>0.5714285714285714</v>
      </c>
      <c r="AY160" s="760">
        <f t="shared" si="92"/>
        <v>64.77743177818401</v>
      </c>
      <c r="AZ160" s="737">
        <f t="shared" si="96"/>
        <v>64.740569988531732</v>
      </c>
      <c r="BA160" s="634">
        <f t="shared" si="93"/>
        <v>0.45709987666593893</v>
      </c>
      <c r="BC160" s="11">
        <v>43246</v>
      </c>
      <c r="BD160" s="286">
        <f>[3]!FeuilCaduc*(1-Persistant)+Persistant</f>
        <v>0.82326492944677909</v>
      </c>
      <c r="BE160" s="287">
        <f>[3]!CroissVégét</f>
        <v>0.34980380891459434</v>
      </c>
      <c r="BF160" s="807">
        <f>1+[3]!Salcycl*Ksac</f>
        <v>1.0279081161808474</v>
      </c>
      <c r="BH160" s="1041">
        <f t="shared" si="94"/>
        <v>1.8026924734946875E-4</v>
      </c>
      <c r="BI160" s="11">
        <v>44342</v>
      </c>
      <c r="BJ160" s="717">
        <v>2.3624814057590427E-5</v>
      </c>
      <c r="BK160" s="717">
        <v>4.2004576058761476E-5</v>
      </c>
      <c r="BL160" s="717">
        <v>6.4660620631771596E-5</v>
      </c>
      <c r="BM160" s="717">
        <v>9.495336587037524E-5</v>
      </c>
      <c r="BN160" s="717">
        <v>1.3303898264527543E-4</v>
      </c>
      <c r="BO160" s="718">
        <v>1.8056309721540815E-4</v>
      </c>
      <c r="BP160" s="717">
        <v>2.4042915312459806E-4</v>
      </c>
      <c r="BQ160" s="717">
        <v>3.3289828048258023E-4</v>
      </c>
      <c r="BR160" s="717">
        <v>4.5031041066137821E-4</v>
      </c>
      <c r="BS160" s="717">
        <v>5.9866896916685507E-4</v>
      </c>
      <c r="BT160" s="717">
        <v>7.5617319999709675E-4</v>
      </c>
      <c r="BW160" s="1162">
        <f>'2022'!R\Max</f>
        <v>0.45709987666593893</v>
      </c>
      <c r="BX160" s="1163">
        <f>'2023'!R\Max</f>
        <v>0.45709926918271243</v>
      </c>
      <c r="BY160" s="1163">
        <f>'2024'!R\Max</f>
        <v>0.45709855006266192</v>
      </c>
      <c r="BZ160" s="1163">
        <f>'2025'!R\Max</f>
        <v>0.45709761174212094</v>
      </c>
      <c r="CA160" s="1163">
        <f>'2026'!R\Max</f>
        <v>0.45709658801285669</v>
      </c>
      <c r="CB160" s="1163">
        <f>'2027'!R\Max</f>
        <v>0.45709539658272236</v>
      </c>
      <c r="CC160" s="1164">
        <f>'2028'!R\Max</f>
        <v>0.45709409918655197</v>
      </c>
      <c r="CD160" s="1163">
        <f>'2029'!R\Max</f>
        <v>0.45709990702564585</v>
      </c>
      <c r="CE160" s="1163">
        <f>'2030'!R\Max</f>
        <v>0.45709929954244249</v>
      </c>
      <c r="CF160" s="1165">
        <f>'2031'!R\Max</f>
        <v>0.45709859695635213</v>
      </c>
    </row>
    <row r="161" spans="1:84" s="6" customFormat="1" ht="11.25" x14ac:dyDescent="0.2">
      <c r="A161" s="11">
        <v>43247</v>
      </c>
      <c r="B161" s="375">
        <f>'2022'!Maxi_hp</f>
        <v>46.32279287527755</v>
      </c>
      <c r="C161" s="13">
        <f>'2022'!An_max</f>
        <v>2022</v>
      </c>
      <c r="D161" s="1050" t="str">
        <f t="shared" si="78"/>
        <v/>
      </c>
      <c r="E161" s="13"/>
      <c r="F161" s="13">
        <f t="shared" si="95"/>
        <v>11</v>
      </c>
      <c r="G161" s="13">
        <f t="shared" si="79"/>
        <v>12</v>
      </c>
      <c r="H161" s="169">
        <f t="shared" si="80"/>
        <v>43234</v>
      </c>
      <c r="I161" s="744">
        <f t="shared" si="81"/>
        <v>0.9285714285714286</v>
      </c>
      <c r="J161" s="737">
        <f t="shared" si="82"/>
        <v>64.776448796902386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43">
        <v>43247</v>
      </c>
      <c r="AP161" s="13">
        <f t="shared" si="83"/>
        <v>7</v>
      </c>
      <c r="AQ161" s="13">
        <f t="shared" si="84"/>
        <v>6</v>
      </c>
      <c r="AR161" s="169">
        <f t="shared" si="85"/>
        <v>43248</v>
      </c>
      <c r="AS161" s="744">
        <f t="shared" si="86"/>
        <v>3.5714285714285712E-2</v>
      </c>
      <c r="AT161" s="760">
        <f t="shared" si="87"/>
        <v>64.770191395548835</v>
      </c>
      <c r="AU161" s="13">
        <f t="shared" si="88"/>
        <v>7</v>
      </c>
      <c r="AV161" s="13">
        <f t="shared" si="89"/>
        <v>6</v>
      </c>
      <c r="AW161" s="169">
        <f t="shared" si="90"/>
        <v>43262</v>
      </c>
      <c r="AX161" s="744">
        <f t="shared" si="91"/>
        <v>0.5357142857142857</v>
      </c>
      <c r="AY161" s="760">
        <f t="shared" si="92"/>
        <v>64.836763330841706</v>
      </c>
      <c r="AZ161" s="737">
        <f t="shared" si="96"/>
        <v>64.80347736319527</v>
      </c>
      <c r="BA161" s="634">
        <f t="shared" si="93"/>
        <v>0.71511782037506055</v>
      </c>
      <c r="BC161" s="11">
        <v>43247</v>
      </c>
      <c r="BD161" s="286">
        <f>[3]!FeuilCaduc*(1-Persistant)+Persistant</f>
        <v>0.82900286973316695</v>
      </c>
      <c r="BE161" s="287">
        <f>[3]!CroissVégét</f>
        <v>0.35923310369654604</v>
      </c>
      <c r="BF161" s="807">
        <f>1+[3]!Salcycl*Ksac</f>
        <v>1.0286253587166458</v>
      </c>
      <c r="BH161" s="1041">
        <f t="shared" si="94"/>
        <v>1.6905402952101793E-4</v>
      </c>
      <c r="BI161" s="11">
        <v>44343</v>
      </c>
      <c r="BJ161" s="717">
        <v>2.2922319999222953E-5</v>
      </c>
      <c r="BK161" s="717">
        <v>4.0046496798637075E-5</v>
      </c>
      <c r="BL161" s="717">
        <v>6.087522179644341E-5</v>
      </c>
      <c r="BM161" s="717">
        <v>8.8654318840883459E-5</v>
      </c>
      <c r="BN161" s="717">
        <v>1.2422058121596267E-4</v>
      </c>
      <c r="BO161" s="718">
        <v>1.6933296724996256E-4</v>
      </c>
      <c r="BP161" s="717">
        <v>2.2673838086057372E-4</v>
      </c>
      <c r="BQ161" s="717">
        <v>3.150837914752571E-4</v>
      </c>
      <c r="BR161" s="717">
        <v>4.27234228198578E-4</v>
      </c>
      <c r="BS161" s="717">
        <v>5.6888886247014481E-4</v>
      </c>
      <c r="BT161" s="717">
        <v>7.1951293668002711E-4</v>
      </c>
      <c r="BW161" s="1162">
        <f>'2022'!R\Max</f>
        <v>0.71511782037506055</v>
      </c>
      <c r="BX161" s="1163">
        <f>'2023'!R\Max</f>
        <v>0.71511733929249777</v>
      </c>
      <c r="BY161" s="1163">
        <f>'2024'!R\Max</f>
        <v>0.71511676826943427</v>
      </c>
      <c r="BZ161" s="1163">
        <f>'2025'!R\Max</f>
        <v>0.71511602789255024</v>
      </c>
      <c r="CA161" s="1163">
        <f>'2026'!R\Max</f>
        <v>0.71511521831416225</v>
      </c>
      <c r="CB161" s="1163">
        <f>'2027'!R\Max</f>
        <v>0.71511427843343156</v>
      </c>
      <c r="CC161" s="1164">
        <f>'2028'!R\Max</f>
        <v>0.71511325278219617</v>
      </c>
      <c r="CD161" s="1163">
        <f>'2029'!R\Max</f>
        <v>0.71511784441772686</v>
      </c>
      <c r="CE161" s="1163">
        <f>'2030'!R\Max</f>
        <v>0.71511736333521092</v>
      </c>
      <c r="CF161" s="1165">
        <f>'2031'!R\Max</f>
        <v>0.71511680527061816</v>
      </c>
    </row>
    <row r="162" spans="1:84" s="6" customFormat="1" ht="11.25" x14ac:dyDescent="0.2">
      <c r="A162" s="11">
        <v>43248</v>
      </c>
      <c r="B162" s="375">
        <f>'2022'!Maxi_hp</f>
        <v>60.819773004939982</v>
      </c>
      <c r="C162" s="13">
        <f>'2022'!An_max</f>
        <v>2022</v>
      </c>
      <c r="D162" s="1050" t="str">
        <f t="shared" si="78"/>
        <v/>
      </c>
      <c r="E162" s="1045">
        <f>X$13/10</f>
        <v>64.835099999999997</v>
      </c>
      <c r="F162" s="13">
        <f t="shared" si="95"/>
        <v>13</v>
      </c>
      <c r="G162" s="13">
        <f t="shared" si="79"/>
        <v>12</v>
      </c>
      <c r="H162" s="169">
        <f t="shared" si="80"/>
        <v>43262</v>
      </c>
      <c r="I162" s="744">
        <f t="shared" si="81"/>
        <v>1</v>
      </c>
      <c r="J162" s="737">
        <f t="shared" si="82"/>
        <v>64.835099998861551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43">
        <v>43248</v>
      </c>
      <c r="AP162" s="13">
        <f t="shared" si="83"/>
        <v>7</v>
      </c>
      <c r="AQ162" s="13">
        <f t="shared" si="84"/>
        <v>8</v>
      </c>
      <c r="AR162" s="169">
        <f t="shared" si="85"/>
        <v>43248</v>
      </c>
      <c r="AS162" s="744">
        <f t="shared" si="86"/>
        <v>0</v>
      </c>
      <c r="AT162" s="760">
        <f t="shared" si="87"/>
        <v>64.835100000351673</v>
      </c>
      <c r="AU162" s="13">
        <f t="shared" si="88"/>
        <v>7</v>
      </c>
      <c r="AV162" s="13">
        <f t="shared" si="89"/>
        <v>6</v>
      </c>
      <c r="AW162" s="169">
        <f t="shared" si="90"/>
        <v>43262</v>
      </c>
      <c r="AX162" s="744">
        <f t="shared" si="91"/>
        <v>0.5</v>
      </c>
      <c r="AY162" s="760">
        <f t="shared" si="92"/>
        <v>64.891293749213219</v>
      </c>
      <c r="AZ162" s="737">
        <f t="shared" si="96"/>
        <v>64.863196874782446</v>
      </c>
      <c r="BA162" s="634">
        <f t="shared" si="93"/>
        <v>0.93806862341552533</v>
      </c>
      <c r="BC162" s="11">
        <v>43248</v>
      </c>
      <c r="BD162" s="286">
        <f>[3]!FeuilCaduc*(1-Persistant)+Persistant</f>
        <v>0.83472470425689438</v>
      </c>
      <c r="BE162" s="287">
        <f>[3]!CroissVégét</f>
        <v>0.3687715084596308</v>
      </c>
      <c r="BF162" s="807">
        <f>1+[3]!Salcycl*Ksac</f>
        <v>1.0293405880321118</v>
      </c>
      <c r="BH162" s="1041">
        <f t="shared" si="94"/>
        <v>1.5897807718362515E-4</v>
      </c>
      <c r="BI162" s="11">
        <v>44344</v>
      </c>
      <c r="BJ162" s="717">
        <v>2.2625811863601121E-5</v>
      </c>
      <c r="BK162" s="717">
        <v>3.8682101390174814E-5</v>
      </c>
      <c r="BL162" s="717">
        <v>5.7900190399945245E-5</v>
      </c>
      <c r="BM162" s="717">
        <v>8.3376689907424141E-5</v>
      </c>
      <c r="BN162" s="717">
        <v>1.1654620058340819E-4</v>
      </c>
      <c r="BO162" s="718">
        <v>1.5924207318975857E-4</v>
      </c>
      <c r="BP162" s="717">
        <v>2.1408321240327501E-4</v>
      </c>
      <c r="BQ162" s="717">
        <v>2.9797358600150344E-4</v>
      </c>
      <c r="BR162" s="717">
        <v>4.0450200388150612E-4</v>
      </c>
      <c r="BS162" s="717">
        <v>5.3906546309626536E-4</v>
      </c>
      <c r="BT162" s="717">
        <v>6.8260121189076396E-4</v>
      </c>
      <c r="BW162" s="1162">
        <f>'2022'!R\Max</f>
        <v>0.93806862341552533</v>
      </c>
      <c r="BX162" s="1163">
        <f>'2023'!R\Max</f>
        <v>0.93806849156857841</v>
      </c>
      <c r="BY162" s="1163">
        <f>'2024'!R\Max</f>
        <v>0.93806833483015639</v>
      </c>
      <c r="BZ162" s="1163">
        <f>'2025'!R\Max</f>
        <v>0.93806813314272997</v>
      </c>
      <c r="CA162" s="1163">
        <f>'2026'!R\Max</f>
        <v>0.93806791205663731</v>
      </c>
      <c r="CB162" s="1163">
        <f>'2027'!R\Max</f>
        <v>0.93806765594078201</v>
      </c>
      <c r="CC162" s="1164">
        <f>'2028'!R\Max</f>
        <v>0.93806737580094779</v>
      </c>
      <c r="CD162" s="1163">
        <f>'2029'!R\Max</f>
        <v>0.93806863000472818</v>
      </c>
      <c r="CE162" s="1163">
        <f>'2030'!R\Max</f>
        <v>0.93806849815780036</v>
      </c>
      <c r="CF162" s="1165">
        <f>'2031'!R\Max</f>
        <v>0.93806834490970936</v>
      </c>
    </row>
    <row r="163" spans="1:84" s="6" customFormat="1" ht="11.25" x14ac:dyDescent="0.2">
      <c r="A163" s="11">
        <v>43249</v>
      </c>
      <c r="B163" s="375">
        <f>'2022'!Maxi_hp</f>
        <v>66.146752375052458</v>
      </c>
      <c r="C163" s="13">
        <f>'2022'!An_max</f>
        <v>2022</v>
      </c>
      <c r="D163" s="1050">
        <f t="shared" si="78"/>
        <v>1.0193725542453587</v>
      </c>
      <c r="E163" s="13"/>
      <c r="F163" s="13">
        <f t="shared" si="95"/>
        <v>13</v>
      </c>
      <c r="G163" s="13">
        <f t="shared" si="79"/>
        <v>12</v>
      </c>
      <c r="H163" s="169">
        <f t="shared" si="80"/>
        <v>43262</v>
      </c>
      <c r="I163" s="744">
        <f t="shared" si="81"/>
        <v>0.9285714285714286</v>
      </c>
      <c r="J163" s="737">
        <f t="shared" si="82"/>
        <v>64.889673652260427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43">
        <v>43249</v>
      </c>
      <c r="AP163" s="13">
        <f t="shared" si="83"/>
        <v>7</v>
      </c>
      <c r="AQ163" s="13">
        <f t="shared" si="84"/>
        <v>8</v>
      </c>
      <c r="AR163" s="169">
        <f t="shared" si="85"/>
        <v>43248</v>
      </c>
      <c r="AS163" s="744">
        <f t="shared" si="86"/>
        <v>3.5714285714285712E-2</v>
      </c>
      <c r="AT163" s="760">
        <f t="shared" si="87"/>
        <v>64.897528398569136</v>
      </c>
      <c r="AU163" s="13">
        <f t="shared" si="88"/>
        <v>7</v>
      </c>
      <c r="AV163" s="13">
        <f t="shared" si="89"/>
        <v>6</v>
      </c>
      <c r="AW163" s="169">
        <f t="shared" si="90"/>
        <v>43262</v>
      </c>
      <c r="AX163" s="744">
        <f t="shared" si="91"/>
        <v>0.4642857142857143</v>
      </c>
      <c r="AY163" s="760">
        <f t="shared" si="92"/>
        <v>64.94117321153837</v>
      </c>
      <c r="AZ163" s="737">
        <f t="shared" si="96"/>
        <v>64.919350805053753</v>
      </c>
      <c r="BA163" s="634">
        <f t="shared" si="93"/>
        <v>1.0193725542453587</v>
      </c>
      <c r="BC163" s="11">
        <v>43249</v>
      </c>
      <c r="BD163" s="286">
        <f>[3]!FeuilCaduc*(1-Persistant)+Persistant</f>
        <v>0.84042338031617936</v>
      </c>
      <c r="BE163" s="287">
        <f>[3]!CroissVégét</f>
        <v>0.37841273812207477</v>
      </c>
      <c r="BF163" s="807">
        <f>1+[3]!Salcycl*Ksac</f>
        <v>1.0300529225395225</v>
      </c>
      <c r="BH163" s="1041">
        <f t="shared" si="94"/>
        <v>1.5004041342985266E-4</v>
      </c>
      <c r="BI163" s="11">
        <v>44345</v>
      </c>
      <c r="BJ163" s="717">
        <v>2.2734771686243812E-5</v>
      </c>
      <c r="BK163" s="717">
        <v>3.7910675998065807E-5</v>
      </c>
      <c r="BL163" s="717">
        <v>5.573460244923717E-5</v>
      </c>
      <c r="BM163" s="717">
        <v>7.9119387318294773E-5</v>
      </c>
      <c r="BN163" s="717">
        <v>1.1001471426657608E-4</v>
      </c>
      <c r="BO163" s="718">
        <v>1.5028943905795201E-4</v>
      </c>
      <c r="BP163" s="717">
        <v>2.0246297653999547E-4</v>
      </c>
      <c r="BQ163" s="717">
        <v>2.8156771654748176E-4</v>
      </c>
      <c r="BR163" s="717">
        <v>3.821146252512623E-4</v>
      </c>
      <c r="BS163" s="717">
        <v>5.0920062022215577E-4</v>
      </c>
      <c r="BT163" s="717">
        <v>6.4544060148269292E-4</v>
      </c>
      <c r="BW163" s="1162">
        <f>'2022'!R\Max</f>
        <v>1.0193725542453587</v>
      </c>
      <c r="BX163" s="1163">
        <f>'2023'!R\Max</f>
        <v>1.0193725542453584</v>
      </c>
      <c r="BY163" s="1163">
        <f>'2024'!R\Max</f>
        <v>1.0193725542453587</v>
      </c>
      <c r="BZ163" s="1163">
        <f>'2025'!R\Max</f>
        <v>1.0193725542453584</v>
      </c>
      <c r="CA163" s="1163">
        <f>'2026'!R\Max</f>
        <v>1.0193725542453584</v>
      </c>
      <c r="CB163" s="1163">
        <f>'2027'!R\Max</f>
        <v>1.0193725542453584</v>
      </c>
      <c r="CC163" s="1164">
        <f>'2028'!R\Max</f>
        <v>1.0193725542453589</v>
      </c>
      <c r="CD163" s="1163">
        <f>'2029'!R\Max</f>
        <v>1.0193725542453584</v>
      </c>
      <c r="CE163" s="1163">
        <f>'2030'!R\Max</f>
        <v>1.0193725542453584</v>
      </c>
      <c r="CF163" s="1165">
        <f>'2031'!R\Max</f>
        <v>1.0193725542453582</v>
      </c>
    </row>
    <row r="164" spans="1:84" s="6" customFormat="1" ht="11.25" x14ac:dyDescent="0.2">
      <c r="A164" s="11">
        <v>43250</v>
      </c>
      <c r="B164" s="375">
        <f>'2022'!Maxi_hp</f>
        <v>53.20217402589779</v>
      </c>
      <c r="C164" s="13">
        <f>'2022'!An_max</f>
        <v>2022</v>
      </c>
      <c r="D164" s="1050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69">
        <f t="shared" si="80"/>
        <v>43262</v>
      </c>
      <c r="I164" s="744">
        <f t="shared" si="81"/>
        <v>0.8571428571428571</v>
      </c>
      <c r="J164" s="737">
        <f t="shared" si="82"/>
        <v>64.939368804384543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43">
        <v>43250</v>
      </c>
      <c r="AP164" s="13">
        <f t="shared" si="83"/>
        <v>7</v>
      </c>
      <c r="AQ164" s="13">
        <f t="shared" si="84"/>
        <v>8</v>
      </c>
      <c r="AR164" s="169">
        <f t="shared" si="85"/>
        <v>43248</v>
      </c>
      <c r="AS164" s="744">
        <f t="shared" si="86"/>
        <v>7.1428571428571425E-2</v>
      </c>
      <c r="AT164" s="760">
        <f t="shared" si="87"/>
        <v>64.95633432907718</v>
      </c>
      <c r="AU164" s="13">
        <f t="shared" si="88"/>
        <v>7</v>
      </c>
      <c r="AV164" s="13">
        <f t="shared" si="89"/>
        <v>6</v>
      </c>
      <c r="AW164" s="169">
        <f t="shared" si="90"/>
        <v>43262</v>
      </c>
      <c r="AX164" s="744">
        <f t="shared" si="91"/>
        <v>0.42857142857142855</v>
      </c>
      <c r="AY164" s="760">
        <f t="shared" si="92"/>
        <v>64.986551895099026</v>
      </c>
      <c r="AZ164" s="737">
        <f t="shared" si="96"/>
        <v>64.97144311208811</v>
      </c>
      <c r="BA164" s="634">
        <f t="shared" si="93"/>
        <v>0.81925917983831276</v>
      </c>
      <c r="BC164" s="11">
        <v>43250</v>
      </c>
      <c r="BD164" s="286">
        <f>[3]!FeuilCaduc*(1-Persistant)+Persistant</f>
        <v>0.84609183888690254</v>
      </c>
      <c r="BE164" s="287">
        <f>[3]!CroissVégét</f>
        <v>0.38815019600224987</v>
      </c>
      <c r="BF164" s="807">
        <f>1+[3]!Salcycl*Ksac</f>
        <v>1.0307614798608629</v>
      </c>
      <c r="BH164" s="1041">
        <f t="shared" si="94"/>
        <v>1.424980122845385E-4</v>
      </c>
      <c r="BI164" s="11">
        <v>44346</v>
      </c>
      <c r="BJ164" s="717">
        <v>2.3165451575610187E-5</v>
      </c>
      <c r="BK164" s="717">
        <v>3.7668529786734907E-5</v>
      </c>
      <c r="BL164" s="717">
        <v>5.4374394972036886E-5</v>
      </c>
      <c r="BM164" s="717">
        <v>7.5967143658314926E-5</v>
      </c>
      <c r="BN164" s="717">
        <v>1.0479799710803865E-4</v>
      </c>
      <c r="BO164" s="718">
        <v>1.4273256833614888E-4</v>
      </c>
      <c r="BP164" s="717">
        <v>1.9224013175094426E-4</v>
      </c>
      <c r="BQ164" s="717">
        <v>2.6646640969631787E-4</v>
      </c>
      <c r="BR164" s="717">
        <v>3.6095681052919081E-4</v>
      </c>
      <c r="BS164" s="717">
        <v>4.8052056954559635E-4</v>
      </c>
      <c r="BT164" s="717">
        <v>6.0954180727543694E-4</v>
      </c>
      <c r="BW164" s="1162">
        <f>'2022'!R\Max</f>
        <v>0.81925917983831276</v>
      </c>
      <c r="BX164" s="1163">
        <f>'2023'!R\Max</f>
        <v>0.81925887283463528</v>
      </c>
      <c r="BY164" s="1163">
        <f>'2024'!R\Max</f>
        <v>0.81925850822834323</v>
      </c>
      <c r="BZ164" s="1163">
        <f>'2025'!R\Max</f>
        <v>0.81925804793786838</v>
      </c>
      <c r="CA164" s="1163">
        <f>'2026'!R\Max</f>
        <v>0.8192575404241933</v>
      </c>
      <c r="CB164" s="1163">
        <f>'2027'!R\Max</f>
        <v>0.81925695446801916</v>
      </c>
      <c r="CC164" s="1164">
        <f>'2028'!R\Max</f>
        <v>0.81925631008025368</v>
      </c>
      <c r="CD164" s="1163">
        <f>'2029'!R\Max</f>
        <v>0.81925919518118029</v>
      </c>
      <c r="CE164" s="1163">
        <f>'2030'!R\Max</f>
        <v>0.819258888177536</v>
      </c>
      <c r="CF164" s="1165">
        <f>'2031'!R\Max</f>
        <v>0.81925853123188475</v>
      </c>
    </row>
    <row r="165" spans="1:84" s="6" customFormat="1" ht="11.25" x14ac:dyDescent="0.2">
      <c r="A165" s="11">
        <v>43251</v>
      </c>
      <c r="B165" s="375">
        <f>'2022'!Maxi_hp</f>
        <v>62.893978575156851</v>
      </c>
      <c r="C165" s="13">
        <f>'2022'!An_max</f>
        <v>2022</v>
      </c>
      <c r="D165" s="1050" t="str">
        <f t="shared" si="78"/>
        <v/>
      </c>
      <c r="E165" s="13"/>
      <c r="F165" s="13">
        <f t="shared" si="95"/>
        <v>13</v>
      </c>
      <c r="G165" s="13">
        <f t="shared" si="79"/>
        <v>12</v>
      </c>
      <c r="H165" s="169">
        <f t="shared" si="80"/>
        <v>43262</v>
      </c>
      <c r="I165" s="744">
        <f t="shared" si="81"/>
        <v>0.7857142857142857</v>
      </c>
      <c r="J165" s="737">
        <f t="shared" si="82"/>
        <v>64.984403899338631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43">
        <v>43251</v>
      </c>
      <c r="AP165" s="13">
        <f t="shared" si="83"/>
        <v>7</v>
      </c>
      <c r="AQ165" s="13">
        <f t="shared" si="84"/>
        <v>8</v>
      </c>
      <c r="AR165" s="169">
        <f t="shared" si="85"/>
        <v>43248</v>
      </c>
      <c r="AS165" s="744">
        <f t="shared" si="86"/>
        <v>0.10714285714285714</v>
      </c>
      <c r="AT165" s="760">
        <f t="shared" si="87"/>
        <v>65.011463182685631</v>
      </c>
      <c r="AU165" s="13">
        <f t="shared" si="88"/>
        <v>7</v>
      </c>
      <c r="AV165" s="13">
        <f t="shared" si="89"/>
        <v>6</v>
      </c>
      <c r="AW165" s="169">
        <f t="shared" si="90"/>
        <v>43262</v>
      </c>
      <c r="AX165" s="744">
        <f t="shared" si="91"/>
        <v>0.39285714285714285</v>
      </c>
      <c r="AY165" s="760">
        <f t="shared" si="92"/>
        <v>65.027579976086116</v>
      </c>
      <c r="AZ165" s="737">
        <f t="shared" si="96"/>
        <v>65.019521579385867</v>
      </c>
      <c r="BA165" s="634">
        <f t="shared" si="93"/>
        <v>0.96783189198103803</v>
      </c>
      <c r="BC165" s="11">
        <v>43251</v>
      </c>
      <c r="BD165" s="286">
        <f>[3]!FeuilCaduc*(1-Persistant)+Persistant</f>
        <v>0.85172303987820552</v>
      </c>
      <c r="BE165" s="287">
        <f>[3]!CroissVégét</f>
        <v>0.3979769891015032</v>
      </c>
      <c r="BF165" s="807">
        <f>1+[3]!Salcycl*Ksac</f>
        <v>1.0314653799847757</v>
      </c>
      <c r="BH165" s="1041">
        <f t="shared" si="94"/>
        <v>1.3558452642984794E-4</v>
      </c>
      <c r="BI165" s="11">
        <v>44347</v>
      </c>
      <c r="BJ165" s="717">
        <v>2.3620096654038276E-5</v>
      </c>
      <c r="BK165" s="717">
        <v>3.7521942147486955E-5</v>
      </c>
      <c r="BL165" s="717">
        <v>5.3235268473095258E-5</v>
      </c>
      <c r="BM165" s="717">
        <v>7.3215387052691556E-5</v>
      </c>
      <c r="BN165" s="717">
        <v>1.0012496284467311E-4</v>
      </c>
      <c r="BO165" s="718">
        <v>1.3580514319054223E-4</v>
      </c>
      <c r="BP165" s="717">
        <v>1.8268101215987106E-4</v>
      </c>
      <c r="BQ165" s="717">
        <v>2.5217449833972965E-4</v>
      </c>
      <c r="BR165" s="717">
        <v>3.4078752328023289E-4</v>
      </c>
      <c r="BS165" s="717">
        <v>4.5305238934007999E-4</v>
      </c>
      <c r="BT165" s="717">
        <v>5.7501194741561823E-4</v>
      </c>
      <c r="BW165" s="1162">
        <f>'2022'!R\Max</f>
        <v>0.96783189198103803</v>
      </c>
      <c r="BX165" s="1163">
        <f>'2023'!R\Max</f>
        <v>0.96783183049887256</v>
      </c>
      <c r="BY165" s="1163">
        <f>'2024'!R\Max</f>
        <v>0.96783175757730378</v>
      </c>
      <c r="BZ165" s="1163">
        <f>'2025'!R\Max</f>
        <v>0.96783166642939666</v>
      </c>
      <c r="CA165" s="1163">
        <f>'2026'!R\Max</f>
        <v>0.96783156561103145</v>
      </c>
      <c r="CB165" s="1163">
        <f>'2027'!R\Max</f>
        <v>0.96783144938484844</v>
      </c>
      <c r="CC165" s="1164">
        <f>'2028'!R\Max</f>
        <v>0.96783132119556392</v>
      </c>
      <c r="CD165" s="1163">
        <f>'2029'!R\Max</f>
        <v>0.96783189505368017</v>
      </c>
      <c r="CE165" s="1163">
        <f>'2030'!R\Max</f>
        <v>0.96783183357152314</v>
      </c>
      <c r="CF165" s="1165">
        <f>'2031'!R\Max</f>
        <v>0.96783176213252287</v>
      </c>
    </row>
    <row r="166" spans="1:84" s="6" customFormat="1" ht="11.25" x14ac:dyDescent="0.2">
      <c r="A166" s="11">
        <v>43252</v>
      </c>
      <c r="B166" s="375">
        <f>'2022'!Maxi_hp</f>
        <v>65.579780102115706</v>
      </c>
      <c r="C166" s="13">
        <f>'2022'!An_max</f>
        <v>2022</v>
      </c>
      <c r="D166" s="1050">
        <f t="shared" si="78"/>
        <v>1.008531837726554</v>
      </c>
      <c r="E166" s="13"/>
      <c r="F166" s="13">
        <f t="shared" si="95"/>
        <v>13</v>
      </c>
      <c r="G166" s="13">
        <f t="shared" si="79"/>
        <v>12</v>
      </c>
      <c r="H166" s="169">
        <f t="shared" si="80"/>
        <v>43262</v>
      </c>
      <c r="I166" s="744">
        <f t="shared" si="81"/>
        <v>0.7142857142857143</v>
      </c>
      <c r="J166" s="737">
        <f t="shared" si="82"/>
        <v>65.024997376331257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43">
        <v>43252</v>
      </c>
      <c r="AP166" s="13">
        <f t="shared" si="83"/>
        <v>7</v>
      </c>
      <c r="AQ166" s="13">
        <f t="shared" si="84"/>
        <v>8</v>
      </c>
      <c r="AR166" s="169">
        <f t="shared" si="85"/>
        <v>43248</v>
      </c>
      <c r="AS166" s="744">
        <f t="shared" si="86"/>
        <v>0.14285714285714285</v>
      </c>
      <c r="AT166" s="760">
        <f t="shared" si="87"/>
        <v>65.06286034914001</v>
      </c>
      <c r="AU166" s="13">
        <f t="shared" si="88"/>
        <v>7</v>
      </c>
      <c r="AV166" s="13">
        <f t="shared" si="89"/>
        <v>6</v>
      </c>
      <c r="AW166" s="169">
        <f t="shared" si="90"/>
        <v>43262</v>
      </c>
      <c r="AX166" s="744">
        <f t="shared" si="91"/>
        <v>0.35714285714285715</v>
      </c>
      <c r="AY166" s="760">
        <f t="shared" si="92"/>
        <v>65.064407633936838</v>
      </c>
      <c r="AZ166" s="737">
        <f t="shared" si="96"/>
        <v>65.063633991538424</v>
      </c>
      <c r="BA166" s="634">
        <f t="shared" si="93"/>
        <v>1.008531837726554</v>
      </c>
      <c r="BC166" s="11">
        <v>43252</v>
      </c>
      <c r="BD166" s="286">
        <f>[3]!FeuilCaduc*(1-Persistant)+Persistant</f>
        <v>0.85730998785886836</v>
      </c>
      <c r="BE166" s="287">
        <f>[3]!CroissVégét</f>
        <v>0.4078859452556679</v>
      </c>
      <c r="BF166" s="807">
        <f>1+[3]!Salcycl*Ksac</f>
        <v>1.0321637484823585</v>
      </c>
      <c r="BH166" s="1041">
        <f t="shared" si="94"/>
        <v>1.2929939157173975E-4</v>
      </c>
      <c r="BI166" s="11">
        <v>44348</v>
      </c>
      <c r="BJ166" s="717">
        <v>2.4098683950088895E-5</v>
      </c>
      <c r="BK166" s="717">
        <v>3.7470818545396922E-5</v>
      </c>
      <c r="BL166" s="717">
        <v>5.231699153954536E-5</v>
      </c>
      <c r="BM166" s="717">
        <v>7.0863693610859804E-5</v>
      </c>
      <c r="BN166" s="717">
        <v>9.5995065277038811E-5</v>
      </c>
      <c r="BO166" s="718">
        <v>1.2950659921451274E-4</v>
      </c>
      <c r="BP166" s="717">
        <v>1.7378513453020781E-4</v>
      </c>
      <c r="BQ166" s="717">
        <v>2.3869150553328558E-4</v>
      </c>
      <c r="BR166" s="717">
        <v>3.2160629951673427E-4</v>
      </c>
      <c r="BS166" s="717">
        <v>4.2679563285281767E-4</v>
      </c>
      <c r="BT166" s="717">
        <v>5.4185069318405819E-4</v>
      </c>
      <c r="BW166" s="1162">
        <f>'2022'!R\Max</f>
        <v>1.008531837726554</v>
      </c>
      <c r="BX166" s="1163">
        <f>'2023'!R\Max</f>
        <v>1.0085318377265537</v>
      </c>
      <c r="BY166" s="1163">
        <f>'2024'!R\Max</f>
        <v>1.0085318377265537</v>
      </c>
      <c r="BZ166" s="1163">
        <f>'2025'!R\Max</f>
        <v>1.008531837726554</v>
      </c>
      <c r="CA166" s="1163">
        <f>'2026'!R\Max</f>
        <v>1.0085318377265537</v>
      </c>
      <c r="CB166" s="1163">
        <f>'2027'!R\Max</f>
        <v>1.0085318377265537</v>
      </c>
      <c r="CC166" s="1164">
        <f>'2028'!R\Max</f>
        <v>1.008531837726554</v>
      </c>
      <c r="CD166" s="1163">
        <f>'2029'!R\Max</f>
        <v>1.008531837726554</v>
      </c>
      <c r="CE166" s="1163">
        <f>'2030'!R\Max</f>
        <v>1.008531837726554</v>
      </c>
      <c r="CF166" s="1165">
        <f>'2031'!R\Max</f>
        <v>1.0085318377265537</v>
      </c>
    </row>
    <row r="167" spans="1:84" s="6" customFormat="1" ht="11.25" x14ac:dyDescent="0.2">
      <c r="A167" s="11">
        <v>43253</v>
      </c>
      <c r="B167" s="375">
        <f>'2022'!Maxi_hp</f>
        <v>47.241165214979837</v>
      </c>
      <c r="C167" s="13">
        <f>'2022'!An_max</f>
        <v>2022</v>
      </c>
      <c r="D167" s="1050" t="str">
        <f t="shared" si="78"/>
        <v/>
      </c>
      <c r="E167" s="13"/>
      <c r="F167" s="13">
        <f t="shared" si="95"/>
        <v>13</v>
      </c>
      <c r="G167" s="13">
        <f t="shared" si="79"/>
        <v>12</v>
      </c>
      <c r="H167" s="169">
        <f t="shared" si="80"/>
        <v>43262</v>
      </c>
      <c r="I167" s="744">
        <f t="shared" si="81"/>
        <v>0.6428571428571429</v>
      </c>
      <c r="J167" s="737">
        <f t="shared" si="82"/>
        <v>65.061367674810555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43">
        <v>43253</v>
      </c>
      <c r="AP167" s="13">
        <f t="shared" si="83"/>
        <v>7</v>
      </c>
      <c r="AQ167" s="13">
        <f t="shared" si="84"/>
        <v>8</v>
      </c>
      <c r="AR167" s="169">
        <f t="shared" si="85"/>
        <v>43248</v>
      </c>
      <c r="AS167" s="744">
        <f t="shared" si="86"/>
        <v>0.17857142857142858</v>
      </c>
      <c r="AT167" s="760">
        <f t="shared" si="87"/>
        <v>65.110471218531686</v>
      </c>
      <c r="AU167" s="13">
        <f t="shared" si="88"/>
        <v>7</v>
      </c>
      <c r="AV167" s="13">
        <f t="shared" si="89"/>
        <v>6</v>
      </c>
      <c r="AW167" s="169">
        <f t="shared" si="90"/>
        <v>43262</v>
      </c>
      <c r="AX167" s="744">
        <f t="shared" si="91"/>
        <v>0.32142857142857145</v>
      </c>
      <c r="AY167" s="760">
        <f t="shared" si="92"/>
        <v>65.097185046784574</v>
      </c>
      <c r="AZ167" s="737">
        <f t="shared" si="96"/>
        <v>65.103828132658123</v>
      </c>
      <c r="BA167" s="634">
        <f t="shared" si="93"/>
        <v>0.72610163147968887</v>
      </c>
      <c r="BC167" s="11">
        <v>43253</v>
      </c>
      <c r="BD167" s="286">
        <f>[3]!FeuilCaduc*(1-Persistant)+Persistant</f>
        <v>0.86284575809894726</v>
      </c>
      <c r="BE167" s="287">
        <f>[3]!CroissVégét</f>
        <v>0.41786963208449301</v>
      </c>
      <c r="BF167" s="807">
        <f>1+[3]!Salcycl*Ksac</f>
        <v>1.0328557197623685</v>
      </c>
      <c r="BH167" s="1041">
        <f t="shared" si="94"/>
        <v>1.2364198059945026E-4</v>
      </c>
      <c r="BI167" s="11">
        <v>44349</v>
      </c>
      <c r="BJ167" s="717">
        <v>2.4601191341671308E-5</v>
      </c>
      <c r="BK167" s="717">
        <v>3.751505897243989E-5</v>
      </c>
      <c r="BL167" s="717">
        <v>5.1619316461361404E-5</v>
      </c>
      <c r="BM167" s="717">
        <v>6.8911606802529114E-5</v>
      </c>
      <c r="BN167" s="717">
        <v>9.240770970389366E-5</v>
      </c>
      <c r="BO167" s="718">
        <v>1.2383630909565621E-4</v>
      </c>
      <c r="BP167" s="717">
        <v>1.6555193927623456E-4</v>
      </c>
      <c r="BQ167" s="717">
        <v>2.2601684949082805E-4</v>
      </c>
      <c r="BR167" s="717">
        <v>3.0341253512022144E-4</v>
      </c>
      <c r="BS167" s="717">
        <v>4.0174966933449583E-4</v>
      </c>
      <c r="BT167" s="717">
        <v>5.1005749246183537E-4</v>
      </c>
      <c r="BW167" s="1162">
        <f>'2022'!R\Max</f>
        <v>0.72610163147968887</v>
      </c>
      <c r="BX167" s="1163">
        <f>'2023'!R\Max</f>
        <v>0.72610127782410916</v>
      </c>
      <c r="BY167" s="1163">
        <f>'2024'!R\Max</f>
        <v>0.72610085971227412</v>
      </c>
      <c r="BZ167" s="1163">
        <f>'2025'!R\Max</f>
        <v>0.7261003471027131</v>
      </c>
      <c r="CA167" s="1163">
        <f>'2026'!R\Max</f>
        <v>0.72609977628768152</v>
      </c>
      <c r="CB167" s="1163">
        <f>'2027'!R\Max</f>
        <v>0.72609912013910405</v>
      </c>
      <c r="CC167" s="1164">
        <f>'2028'!R\Max</f>
        <v>0.72609839199614024</v>
      </c>
      <c r="CD167" s="1163">
        <f>'2029'!R\Max</f>
        <v>0.72610164915404618</v>
      </c>
      <c r="CE167" s="1163">
        <f>'2030'!R\Max</f>
        <v>0.72610129549849323</v>
      </c>
      <c r="CF167" s="1165">
        <f>'2031'!R\Max</f>
        <v>0.72610088533053618</v>
      </c>
    </row>
    <row r="168" spans="1:84" s="6" customFormat="1" ht="11.25" x14ac:dyDescent="0.2">
      <c r="A168" s="11">
        <v>43254</v>
      </c>
      <c r="B168" s="375">
        <f>'2022'!Maxi_hp</f>
        <v>62.554689658440559</v>
      </c>
      <c r="C168" s="13">
        <f>'2022'!An_max</f>
        <v>2022</v>
      </c>
      <c r="D168" s="1050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69">
        <f t="shared" si="80"/>
        <v>43262</v>
      </c>
      <c r="I168" s="744">
        <f t="shared" si="81"/>
        <v>0.5714285714285714</v>
      </c>
      <c r="J168" s="737">
        <f t="shared" si="82"/>
        <v>65.093733235874353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43">
        <v>43254</v>
      </c>
      <c r="AP168" s="13">
        <f t="shared" si="83"/>
        <v>7</v>
      </c>
      <c r="AQ168" s="13">
        <f t="shared" si="84"/>
        <v>8</v>
      </c>
      <c r="AR168" s="169">
        <f t="shared" si="85"/>
        <v>43248</v>
      </c>
      <c r="AS168" s="744">
        <f t="shared" si="86"/>
        <v>0.21428571428571427</v>
      </c>
      <c r="AT168" s="760">
        <f t="shared" si="87"/>
        <v>65.154241179781295</v>
      </c>
      <c r="AU168" s="13">
        <f t="shared" si="88"/>
        <v>7</v>
      </c>
      <c r="AV168" s="13">
        <f t="shared" si="89"/>
        <v>6</v>
      </c>
      <c r="AW168" s="169">
        <f t="shared" si="90"/>
        <v>43262</v>
      </c>
      <c r="AX168" s="744">
        <f t="shared" si="91"/>
        <v>0.2857142857142857</v>
      </c>
      <c r="AY168" s="760">
        <f t="shared" si="92"/>
        <v>65.126062390314672</v>
      </c>
      <c r="AZ168" s="737">
        <f t="shared" si="96"/>
        <v>65.140151785047976</v>
      </c>
      <c r="BA168" s="634">
        <f t="shared" si="93"/>
        <v>0.96099403965304475</v>
      </c>
      <c r="BC168" s="11">
        <v>43254</v>
      </c>
      <c r="BD168" s="286">
        <f>[3]!FeuilCaduc*(1-Persistant)+Persistant</f>
        <v>0.86832352276463809</v>
      </c>
      <c r="BE168" s="287">
        <f>[3]!CroissVégét</f>
        <v>0.42792037764903684</v>
      </c>
      <c r="BF168" s="807">
        <f>1+[3]!Salcycl*Ksac</f>
        <v>1.0335404403455797</v>
      </c>
      <c r="BH168" s="1041">
        <f t="shared" si="94"/>
        <v>1.1861161063258422E-4</v>
      </c>
      <c r="BI168" s="11">
        <v>44350</v>
      </c>
      <c r="BJ168" s="717">
        <v>2.5127597834491711E-5</v>
      </c>
      <c r="BK168" s="717">
        <v>3.7654559029992527E-5</v>
      </c>
      <c r="BL168" s="717">
        <v>5.1141981723250514E-5</v>
      </c>
      <c r="BM168" s="717">
        <v>6.7358641961591891E-5</v>
      </c>
      <c r="BN168" s="717">
        <v>8.9362259026411935E-5</v>
      </c>
      <c r="BO168" s="718">
        <v>1.1879358966874077E-4</v>
      </c>
      <c r="BP168" s="717">
        <v>1.579807978802395E-4</v>
      </c>
      <c r="BQ168" s="717">
        <v>2.1414985260431667E-4</v>
      </c>
      <c r="BR168" s="717">
        <v>2.8620549683181851E-4</v>
      </c>
      <c r="BS168" s="717">
        <v>3.7791369748713935E-4</v>
      </c>
      <c r="BT168" s="717">
        <v>4.7963158489036195E-4</v>
      </c>
      <c r="BW168" s="1162">
        <f>'2022'!R\Max</f>
        <v>0.96099403965304475</v>
      </c>
      <c r="BX168" s="1163">
        <f>'2023'!R\Max</f>
        <v>0.96099397667003694</v>
      </c>
      <c r="BY168" s="1163">
        <f>'2024'!R\Max</f>
        <v>0.96099390234480775</v>
      </c>
      <c r="BZ168" s="1163">
        <f>'2025'!R\Max</f>
        <v>0.96099381206752088</v>
      </c>
      <c r="CA168" s="1163">
        <f>'2026'!R\Max</f>
        <v>0.96099371117931709</v>
      </c>
      <c r="CB168" s="1163">
        <f>'2027'!R\Max</f>
        <v>0.96099359536759665</v>
      </c>
      <c r="CC168" s="1164">
        <f>'2028'!R\Max</f>
        <v>0.96099346642938765</v>
      </c>
      <c r="CD168" s="1163">
        <f>'2029'!R\Max</f>
        <v>0.96099404280069423</v>
      </c>
      <c r="CE168" s="1163">
        <f>'2030'!R\Max</f>
        <v>0.9609939798176933</v>
      </c>
      <c r="CF168" s="1165">
        <f>'2031'!R\Max</f>
        <v>0.96099390685651853</v>
      </c>
    </row>
    <row r="169" spans="1:84" s="6" customFormat="1" ht="11.25" x14ac:dyDescent="0.2">
      <c r="A169" s="11">
        <v>43255</v>
      </c>
      <c r="B169" s="375">
        <f>'2022'!Maxi_hp</f>
        <v>31.79633352939906</v>
      </c>
      <c r="C169" s="13">
        <f>'2022'!An_max</f>
        <v>2022</v>
      </c>
      <c r="D169" s="1050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69">
        <f t="shared" si="80"/>
        <v>43262</v>
      </c>
      <c r="I169" s="744">
        <f t="shared" si="81"/>
        <v>0.5</v>
      </c>
      <c r="J169" s="737">
        <f t="shared" si="82"/>
        <v>65.122312500514084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43">
        <v>43255</v>
      </c>
      <c r="AP169" s="13">
        <f t="shared" si="83"/>
        <v>7</v>
      </c>
      <c r="AQ169" s="13">
        <f t="shared" si="84"/>
        <v>8</v>
      </c>
      <c r="AR169" s="169">
        <f t="shared" si="85"/>
        <v>43248</v>
      </c>
      <c r="AS169" s="744">
        <f t="shared" si="86"/>
        <v>0.25</v>
      </c>
      <c r="AT169" s="760">
        <f t="shared" si="87"/>
        <v>65.194115625321871</v>
      </c>
      <c r="AU169" s="13">
        <f t="shared" si="88"/>
        <v>7</v>
      </c>
      <c r="AV169" s="13">
        <f t="shared" si="89"/>
        <v>6</v>
      </c>
      <c r="AW169" s="169">
        <f t="shared" si="90"/>
        <v>43262</v>
      </c>
      <c r="AX169" s="744">
        <f t="shared" si="91"/>
        <v>0.25</v>
      </c>
      <c r="AY169" s="760">
        <f t="shared" si="92"/>
        <v>65.151189843751496</v>
      </c>
      <c r="AZ169" s="737">
        <f t="shared" si="96"/>
        <v>65.172652734536683</v>
      </c>
      <c r="BA169" s="634">
        <f t="shared" si="93"/>
        <v>0.48825559640788335</v>
      </c>
      <c r="BC169" s="11">
        <v>43255</v>
      </c>
      <c r="BD169" s="286">
        <f>[3]!FeuilCaduc*(1-Persistant)+Persistant</f>
        <v>0.87373657709914276</v>
      </c>
      <c r="BE169" s="287">
        <f>[3]!CroissVégét</f>
        <v>0.43803029270835642</v>
      </c>
      <c r="BF169" s="807">
        <f>1+[3]!Salcycl*Ksac</f>
        <v>1.0342170721373929</v>
      </c>
      <c r="BH169" s="1041">
        <f t="shared" si="94"/>
        <v>1.1420755006883748E-4</v>
      </c>
      <c r="BI169" s="11">
        <v>44351</v>
      </c>
      <c r="BJ169" s="717">
        <v>2.5677883840609721E-5</v>
      </c>
      <c r="BK169" s="717">
        <v>3.7889211011506942E-5</v>
      </c>
      <c r="BL169" s="717">
        <v>5.0884714496790051E-5</v>
      </c>
      <c r="BM169" s="717">
        <v>6.6204290790371171E-5</v>
      </c>
      <c r="BN169" s="717">
        <v>8.6858039852867358E-5</v>
      </c>
      <c r="BO169" s="718">
        <v>1.1437770896929686E-4</v>
      </c>
      <c r="BP169" s="717">
        <v>1.510710203105326E-4</v>
      </c>
      <c r="BQ169" s="717">
        <v>2.0308975046485358E-4</v>
      </c>
      <c r="BR169" s="717">
        <v>2.6998433324426548E-4</v>
      </c>
      <c r="BS169" s="717">
        <v>3.552867589141061E-4</v>
      </c>
      <c r="BT169" s="717">
        <v>4.5057201703416563E-4</v>
      </c>
      <c r="BW169" s="1162">
        <f>'2022'!R\Max</f>
        <v>0.48825559640788335</v>
      </c>
      <c r="BX169" s="1163">
        <f>'2023'!R\Max</f>
        <v>0.48825520102068831</v>
      </c>
      <c r="BY169" s="1163">
        <f>'2024'!R\Max</f>
        <v>0.48825473533977287</v>
      </c>
      <c r="BZ169" s="1163">
        <f>'2025'!R\Max</f>
        <v>0.48825417481339067</v>
      </c>
      <c r="CA169" s="1163">
        <f>'2026'!R\Max</f>
        <v>0.48825354605501414</v>
      </c>
      <c r="CB169" s="1163">
        <f>'2027'!R\Max</f>
        <v>0.48825282523291635</v>
      </c>
      <c r="CC169" s="1164">
        <f>'2028'!R\Max</f>
        <v>0.48825201997809703</v>
      </c>
      <c r="CD169" s="1163">
        <f>'2029'!R\Max</f>
        <v>0.48825561616783703</v>
      </c>
      <c r="CE169" s="1163">
        <f>'2030'!R\Max</f>
        <v>0.4882552207806537</v>
      </c>
      <c r="CF169" s="1165">
        <f>'2031'!R\Max</f>
        <v>0.48825476335275358</v>
      </c>
    </row>
    <row r="170" spans="1:84" s="6" customFormat="1" ht="11.25" x14ac:dyDescent="0.2">
      <c r="A170" s="11">
        <v>43256</v>
      </c>
      <c r="B170" s="375">
        <f>'2022'!Maxi_hp</f>
        <v>35.141012790309702</v>
      </c>
      <c r="C170" s="13">
        <f>'2022'!An_max</f>
        <v>2022</v>
      </c>
      <c r="D170" s="1050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69">
        <f t="shared" si="80"/>
        <v>43262</v>
      </c>
      <c r="I170" s="744">
        <f t="shared" si="81"/>
        <v>0.42857142857142855</v>
      </c>
      <c r="J170" s="737">
        <f t="shared" si="82"/>
        <v>65.147323906847404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43">
        <v>43256</v>
      </c>
      <c r="AP170" s="13">
        <f t="shared" si="83"/>
        <v>7</v>
      </c>
      <c r="AQ170" s="13">
        <f t="shared" si="84"/>
        <v>8</v>
      </c>
      <c r="AR170" s="169">
        <f t="shared" si="85"/>
        <v>43248</v>
      </c>
      <c r="AS170" s="744">
        <f t="shared" si="86"/>
        <v>0.2857142857142857</v>
      </c>
      <c r="AT170" s="760">
        <f t="shared" si="87"/>
        <v>65.23003994194525</v>
      </c>
      <c r="AU170" s="13">
        <f t="shared" si="88"/>
        <v>7</v>
      </c>
      <c r="AV170" s="13">
        <f t="shared" si="89"/>
        <v>6</v>
      </c>
      <c r="AW170" s="169">
        <f t="shared" si="90"/>
        <v>43262</v>
      </c>
      <c r="AX170" s="744">
        <f t="shared" si="91"/>
        <v>0.21428571428571427</v>
      </c>
      <c r="AY170" s="760">
        <f t="shared" si="92"/>
        <v>65.172717583339121</v>
      </c>
      <c r="AZ170" s="737">
        <f t="shared" si="96"/>
        <v>65.201378762642179</v>
      </c>
      <c r="BA170" s="634">
        <f t="shared" si="93"/>
        <v>0.53940838522480206</v>
      </c>
      <c r="BC170" s="11">
        <v>43256</v>
      </c>
      <c r="BD170" s="286">
        <f>[3]!FeuilCaduc*(1-Persistant)+Persistant</f>
        <v>0.8790783654185379</v>
      </c>
      <c r="BE170" s="287">
        <f>[3]!CroissVégét</f>
        <v>0.44819129444890032</v>
      </c>
      <c r="BF170" s="807">
        <f>1+[3]!Salcycl*Ksac</f>
        <v>1.0348847956773173</v>
      </c>
      <c r="BH170" s="1041">
        <f t="shared" si="94"/>
        <v>1.1078751332028974E-4</v>
      </c>
      <c r="BI170" s="11">
        <v>44352</v>
      </c>
      <c r="BJ170" s="717">
        <v>2.6249564900085719E-5</v>
      </c>
      <c r="BK170" s="717">
        <v>3.8283696956399602E-5</v>
      </c>
      <c r="BL170" s="717">
        <v>5.0991567807693977E-5</v>
      </c>
      <c r="BM170" s="717">
        <v>6.5671899220443117E-5</v>
      </c>
      <c r="BN170" s="717">
        <v>8.5190285460608198E-5</v>
      </c>
      <c r="BO170" s="718">
        <v>1.1094677014474536E-4</v>
      </c>
      <c r="BP170" s="717">
        <v>1.4525323693898907E-4</v>
      </c>
      <c r="BQ170" s="717">
        <v>1.9335902490534961E-4</v>
      </c>
      <c r="BR170" s="717">
        <v>2.5538752930884544E-4</v>
      </c>
      <c r="BS170" s="717">
        <v>3.3465316798939726E-4</v>
      </c>
      <c r="BT170" s="717">
        <v>4.238309503111762E-4</v>
      </c>
      <c r="BW170" s="1162">
        <f>'2022'!R\Max</f>
        <v>0.53940838522480206</v>
      </c>
      <c r="BX170" s="1163">
        <f>'2023'!R\Max</f>
        <v>0.53940801554527062</v>
      </c>
      <c r="BY170" s="1163">
        <f>'2024'!R\Max</f>
        <v>0.53940758105884101</v>
      </c>
      <c r="BZ170" s="1163">
        <f>'2025'!R\Max</f>
        <v>0.53940706267974448</v>
      </c>
      <c r="CA170" s="1163">
        <f>'2026'!R\Max</f>
        <v>0.53940647891389393</v>
      </c>
      <c r="CB170" s="1163">
        <f>'2027'!R\Max</f>
        <v>0.53940581050465719</v>
      </c>
      <c r="CC170" s="1164">
        <f>'2028'!R\Max</f>
        <v>0.53940506114242637</v>
      </c>
      <c r="CD170" s="1163">
        <f>'2029'!R\Max</f>
        <v>0.53940840369998289</v>
      </c>
      <c r="CE170" s="1163">
        <f>'2030'!R\Max</f>
        <v>0.53940803402046456</v>
      </c>
      <c r="CF170" s="1165">
        <f>'2031'!R\Max</f>
        <v>0.53940760696545831</v>
      </c>
    </row>
    <row r="171" spans="1:84" s="6" customFormat="1" ht="11.25" x14ac:dyDescent="0.2">
      <c r="A171" s="11">
        <v>43257</v>
      </c>
      <c r="B171" s="375">
        <f>'2022'!Maxi_hp</f>
        <v>56.200613424709161</v>
      </c>
      <c r="C171" s="13">
        <f>'2022'!An_max</f>
        <v>2022</v>
      </c>
      <c r="D171" s="1050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69">
        <f t="shared" si="80"/>
        <v>43262</v>
      </c>
      <c r="I171" s="744">
        <f t="shared" si="81"/>
        <v>0.35714285714285715</v>
      </c>
      <c r="J171" s="737">
        <f t="shared" si="82"/>
        <v>65.168985896637395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43">
        <v>43257</v>
      </c>
      <c r="AP171" s="13">
        <f t="shared" si="83"/>
        <v>7</v>
      </c>
      <c r="AQ171" s="13">
        <f t="shared" si="84"/>
        <v>8</v>
      </c>
      <c r="AR171" s="169">
        <f t="shared" si="85"/>
        <v>43248</v>
      </c>
      <c r="AS171" s="744">
        <f t="shared" si="86"/>
        <v>0.32142857142857145</v>
      </c>
      <c r="AT171" s="760">
        <f t="shared" si="87"/>
        <v>65.261959520275042</v>
      </c>
      <c r="AU171" s="13">
        <f t="shared" si="88"/>
        <v>7</v>
      </c>
      <c r="AV171" s="13">
        <f t="shared" si="89"/>
        <v>6</v>
      </c>
      <c r="AW171" s="169">
        <f t="shared" si="90"/>
        <v>43262</v>
      </c>
      <c r="AX171" s="744">
        <f t="shared" si="91"/>
        <v>0.17857142857142858</v>
      </c>
      <c r="AY171" s="760">
        <f t="shared" si="92"/>
        <v>65.190795787423852</v>
      </c>
      <c r="AZ171" s="737">
        <f t="shared" si="96"/>
        <v>65.226377653849454</v>
      </c>
      <c r="BA171" s="634">
        <f t="shared" si="93"/>
        <v>0.86238281371828152</v>
      </c>
      <c r="BC171" s="11">
        <v>43257</v>
      </c>
      <c r="BD171" s="286">
        <f>[3]!FeuilCaduc*(1-Persistant)+Persistant</f>
        <v>0.88434250674933024</v>
      </c>
      <c r="BE171" s="287">
        <f>[3]!CroissVégét</f>
        <v>0.45839513154318023</v>
      </c>
      <c r="BF171" s="807">
        <f>1+[3]!Salcycl*Ksac</f>
        <v>1.0355428133436664</v>
      </c>
      <c r="BH171" s="1041">
        <f t="shared" si="94"/>
        <v>1.0798610624726011E-4</v>
      </c>
      <c r="BI171" s="11">
        <v>44353</v>
      </c>
      <c r="BJ171" s="717">
        <v>2.6735177253618061E-5</v>
      </c>
      <c r="BK171" s="717">
        <v>3.8679676438644214E-5</v>
      </c>
      <c r="BL171" s="717">
        <v>5.1239316182734503E-5</v>
      </c>
      <c r="BM171" s="717">
        <v>6.5449186494268138E-5</v>
      </c>
      <c r="BN171" s="717">
        <v>8.3992240329926456E-5</v>
      </c>
      <c r="BO171" s="718">
        <v>1.0813538752542646E-4</v>
      </c>
      <c r="BP171" s="717">
        <v>1.4023413022536327E-4</v>
      </c>
      <c r="BQ171" s="717">
        <v>1.8475900425257293E-4</v>
      </c>
      <c r="BR171" s="717">
        <v>2.4232501432292628E-4</v>
      </c>
      <c r="BS171" s="717">
        <v>3.1604515440262061E-4</v>
      </c>
      <c r="BT171" s="717">
        <v>3.9957207745896324E-4</v>
      </c>
      <c r="BW171" s="1162">
        <f>'2022'!R\Max</f>
        <v>0.86238281371828152</v>
      </c>
      <c r="BX171" s="1163">
        <f>'2023'!R\Max</f>
        <v>0.86238264755877658</v>
      </c>
      <c r="BY171" s="1163">
        <f>'2024'!R\Max</f>
        <v>0.86238245270859448</v>
      </c>
      <c r="BZ171" s="1163">
        <f>'2025'!R\Max</f>
        <v>0.86238222222422123</v>
      </c>
      <c r="CA171" s="1163">
        <f>'2026'!R\Max</f>
        <v>0.86238196162883907</v>
      </c>
      <c r="CB171" s="1163">
        <f>'2027'!R\Max</f>
        <v>0.86238166363514401</v>
      </c>
      <c r="CC171" s="1164">
        <f>'2028'!R\Max</f>
        <v>0.86238132834235459</v>
      </c>
      <c r="CD171" s="1163">
        <f>'2029'!R\Max</f>
        <v>0.86238282202229954</v>
      </c>
      <c r="CE171" s="1163">
        <f>'2030'!R\Max</f>
        <v>0.86238265586280782</v>
      </c>
      <c r="CF171" s="1165">
        <f>'2031'!R\Max</f>
        <v>0.86238246422732012</v>
      </c>
    </row>
    <row r="172" spans="1:84" s="6" customFormat="1" ht="11.25" x14ac:dyDescent="0.2">
      <c r="A172" s="11">
        <v>43258</v>
      </c>
      <c r="B172" s="375">
        <f>'2022'!Maxi_hp</f>
        <v>29.349558396562763</v>
      </c>
      <c r="C172" s="13">
        <f>'2022'!An_max</f>
        <v>2022</v>
      </c>
      <c r="D172" s="1050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69">
        <f t="shared" si="80"/>
        <v>43262</v>
      </c>
      <c r="I172" s="744">
        <f t="shared" si="81"/>
        <v>0.2857142857142857</v>
      </c>
      <c r="J172" s="737">
        <f t="shared" si="82"/>
        <v>65.187516909305529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43">
        <v>43258</v>
      </c>
      <c r="AP172" s="13">
        <f t="shared" si="83"/>
        <v>7</v>
      </c>
      <c r="AQ172" s="13">
        <f t="shared" si="84"/>
        <v>8</v>
      </c>
      <c r="AR172" s="169">
        <f t="shared" si="85"/>
        <v>43248</v>
      </c>
      <c r="AS172" s="744">
        <f t="shared" si="86"/>
        <v>0.35714285714285715</v>
      </c>
      <c r="AT172" s="760">
        <f t="shared" si="87"/>
        <v>65.289819752637825</v>
      </c>
      <c r="AU172" s="13">
        <f t="shared" si="88"/>
        <v>7</v>
      </c>
      <c r="AV172" s="13">
        <f t="shared" si="89"/>
        <v>6</v>
      </c>
      <c r="AW172" s="169">
        <f t="shared" si="90"/>
        <v>43262</v>
      </c>
      <c r="AX172" s="744">
        <f t="shared" si="91"/>
        <v>0.14285714285714285</v>
      </c>
      <c r="AY172" s="760">
        <f t="shared" si="92"/>
        <v>65.205574634671208</v>
      </c>
      <c r="AZ172" s="737">
        <f t="shared" si="96"/>
        <v>65.247697193654517</v>
      </c>
      <c r="BA172" s="634">
        <f t="shared" si="93"/>
        <v>0.45023280204699911</v>
      </c>
      <c r="BC172" s="11">
        <v>43258</v>
      </c>
      <c r="BD172" s="286">
        <f>[3]!FeuilCaduc*(1-Persistant)+Persistant</f>
        <v>0.88952281993357363</v>
      </c>
      <c r="BE172" s="287">
        <f>[3]!CroissVégét</f>
        <v>0.46863341037883222</v>
      </c>
      <c r="BF172" s="807">
        <f>1+[3]!Salcycl*Ksac</f>
        <v>1.0361903524916967</v>
      </c>
      <c r="BH172" s="1041">
        <f t="shared" si="94"/>
        <v>1.058025001934278E-4</v>
      </c>
      <c r="BI172" s="11">
        <v>44354</v>
      </c>
      <c r="BJ172" s="717">
        <v>2.7134882141425219E-5</v>
      </c>
      <c r="BK172" s="717">
        <v>3.9077186499953561E-5</v>
      </c>
      <c r="BL172" s="717">
        <v>5.1627791736249226E-5</v>
      </c>
      <c r="BM172" s="717">
        <v>6.5535738475777519E-5</v>
      </c>
      <c r="BN172" s="717">
        <v>8.3263267984231884E-5</v>
      </c>
      <c r="BO172" s="718">
        <v>1.0594273125934561E-4</v>
      </c>
      <c r="BP172" s="717">
        <v>1.3601264567582864E-4</v>
      </c>
      <c r="BQ172" s="717">
        <v>1.7728819551433294E-4</v>
      </c>
      <c r="BR172" s="717">
        <v>2.3079476729652424E-4</v>
      </c>
      <c r="BS172" s="717">
        <v>2.9946005968489855E-4</v>
      </c>
      <c r="BT172" s="717">
        <v>3.7779216949481218E-4</v>
      </c>
      <c r="BW172" s="1162">
        <f>'2022'!R\Max</f>
        <v>0.45023280204699911</v>
      </c>
      <c r="BX172" s="1163">
        <f>'2023'!R\Max</f>
        <v>0.45023247559043328</v>
      </c>
      <c r="BY172" s="1163">
        <f>'2024'!R\Max</f>
        <v>0.45023209362659594</v>
      </c>
      <c r="BZ172" s="1163">
        <f>'2025'!R\Max</f>
        <v>0.45023164551468431</v>
      </c>
      <c r="CA172" s="1163">
        <f>'2026'!R\Max</f>
        <v>0.45023113681610288</v>
      </c>
      <c r="CB172" s="1163">
        <f>'2027'!R\Max</f>
        <v>0.45023055591622296</v>
      </c>
      <c r="CC172" s="1164">
        <f>'2028'!R\Max</f>
        <v>0.45022989992707707</v>
      </c>
      <c r="CD172" s="1163">
        <f>'2029'!R\Max</f>
        <v>0.45023281836206286</v>
      </c>
      <c r="CE172" s="1163">
        <f>'2030'!R\Max</f>
        <v>0.45023249190550352</v>
      </c>
      <c r="CF172" s="1165">
        <f>'2031'!R\Max</f>
        <v>0.45023211602153174</v>
      </c>
    </row>
    <row r="173" spans="1:84" s="6" customFormat="1" ht="11.25" x14ac:dyDescent="0.2">
      <c r="A173" s="11">
        <v>43259</v>
      </c>
      <c r="B173" s="375">
        <f>'2022'!Maxi_hp</f>
        <v>26.449516701435005</v>
      </c>
      <c r="C173" s="13">
        <f>'2022'!An_max</f>
        <v>2022</v>
      </c>
      <c r="D173" s="1050" t="str">
        <f t="shared" si="78"/>
        <v/>
      </c>
      <c r="E173" s="13"/>
      <c r="F173" s="13">
        <f t="shared" si="95"/>
        <v>13</v>
      </c>
      <c r="G173" s="13">
        <f t="shared" si="79"/>
        <v>12</v>
      </c>
      <c r="H173" s="169">
        <f t="shared" si="80"/>
        <v>43262</v>
      </c>
      <c r="I173" s="744">
        <f t="shared" si="81"/>
        <v>0.21428571428571427</v>
      </c>
      <c r="J173" s="737">
        <f t="shared" si="82"/>
        <v>65.203135386322231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43">
        <v>43259</v>
      </c>
      <c r="AP173" s="13">
        <f t="shared" si="83"/>
        <v>7</v>
      </c>
      <c r="AQ173" s="13">
        <f t="shared" si="84"/>
        <v>8</v>
      </c>
      <c r="AR173" s="169">
        <f t="shared" si="85"/>
        <v>43248</v>
      </c>
      <c r="AS173" s="744">
        <f t="shared" si="86"/>
        <v>0.39285714285714285</v>
      </c>
      <c r="AT173" s="760">
        <f t="shared" si="87"/>
        <v>65.313566025373134</v>
      </c>
      <c r="AU173" s="13">
        <f t="shared" si="88"/>
        <v>7</v>
      </c>
      <c r="AV173" s="13">
        <f t="shared" si="89"/>
        <v>6</v>
      </c>
      <c r="AW173" s="169">
        <f t="shared" si="90"/>
        <v>43262</v>
      </c>
      <c r="AX173" s="744">
        <f t="shared" si="91"/>
        <v>0.10714285714285714</v>
      </c>
      <c r="AY173" s="760">
        <f t="shared" si="92"/>
        <v>65.217204302549362</v>
      </c>
      <c r="AZ173" s="737">
        <f t="shared" si="96"/>
        <v>65.265385163961241</v>
      </c>
      <c r="BA173" s="634">
        <f t="shared" si="93"/>
        <v>0.40564792697044694</v>
      </c>
      <c r="BC173" s="11">
        <v>43259</v>
      </c>
      <c r="BD173" s="286">
        <f>[3]!FeuilCaduc*(1-Persistant)+Persistant</f>
        <v>0.8946133480281715</v>
      </c>
      <c r="BE173" s="287">
        <f>[3]!CroissVégét</f>
        <v>0.4788976222853652</v>
      </c>
      <c r="BF173" s="807">
        <f>1+[3]!Salcycl*Ksac</f>
        <v>1.0368266685035215</v>
      </c>
      <c r="BH173" s="1041">
        <f t="shared" si="94"/>
        <v>1.0423584763073071E-4</v>
      </c>
      <c r="BI173" s="11">
        <v>44355</v>
      </c>
      <c r="BJ173" s="717">
        <v>2.7448843961548561E-5</v>
      </c>
      <c r="BK173" s="717">
        <v>3.9476266049452467E-5</v>
      </c>
      <c r="BL173" s="717">
        <v>5.2156826355354024E-5</v>
      </c>
      <c r="BM173" s="717">
        <v>6.5931136946521224E-5</v>
      </c>
      <c r="BN173" s="717">
        <v>8.3002721826402242E-5</v>
      </c>
      <c r="BO173" s="718">
        <v>1.0436795256832007E-4</v>
      </c>
      <c r="BP173" s="717">
        <v>1.3258769808871765E-4</v>
      </c>
      <c r="BQ173" s="717">
        <v>1.7094505543037818E-4</v>
      </c>
      <c r="BR173" s="717">
        <v>2.2079469270698147E-4</v>
      </c>
      <c r="BS173" s="717">
        <v>2.8489512079321735E-4</v>
      </c>
      <c r="BT173" s="717">
        <v>3.5848786272831554E-4</v>
      </c>
      <c r="BW173" s="1162">
        <f>'2022'!R\Max</f>
        <v>0.40564792697044694</v>
      </c>
      <c r="BX173" s="1163">
        <f>'2023'!R\Max</f>
        <v>0.40564762691770473</v>
      </c>
      <c r="BY173" s="1163">
        <f>'2024'!R\Max</f>
        <v>0.405647276577286</v>
      </c>
      <c r="BZ173" s="1163">
        <f>'2025'!R\Max</f>
        <v>0.4056468687338719</v>
      </c>
      <c r="CA173" s="1163">
        <f>'2026'!R\Max</f>
        <v>0.40564640388288126</v>
      </c>
      <c r="CB173" s="1163">
        <f>'2027'!R\Max</f>
        <v>0.40564587384472645</v>
      </c>
      <c r="CC173" s="1164">
        <f>'2028'!R\Max</f>
        <v>0.40564527311528475</v>
      </c>
      <c r="CD173" s="1163">
        <f>'2029'!R\Max</f>
        <v>0.40564794196594872</v>
      </c>
      <c r="CE173" s="1163">
        <f>'2030'!R\Max</f>
        <v>0.40564764191321023</v>
      </c>
      <c r="CF173" s="1165">
        <f>'2031'!R\Max</f>
        <v>0.40564729695975693</v>
      </c>
    </row>
    <row r="174" spans="1:84" s="6" customFormat="1" ht="11.25" x14ac:dyDescent="0.2">
      <c r="A174" s="11">
        <v>43260</v>
      </c>
      <c r="B174" s="375">
        <f>'2022'!Maxi_hp</f>
        <v>54.356542817414159</v>
      </c>
      <c r="C174" s="13">
        <f>'2022'!An_max</f>
        <v>2022</v>
      </c>
      <c r="D174" s="1050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69">
        <f t="shared" si="80"/>
        <v>43262</v>
      </c>
      <c r="I174" s="744">
        <f t="shared" si="81"/>
        <v>0.14285714285714285</v>
      </c>
      <c r="J174" s="737">
        <f t="shared" si="82"/>
        <v>65.216059766816244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43">
        <v>43260</v>
      </c>
      <c r="AP174" s="13">
        <f t="shared" si="83"/>
        <v>7</v>
      </c>
      <c r="AQ174" s="13">
        <f t="shared" si="84"/>
        <v>8</v>
      </c>
      <c r="AR174" s="169">
        <f t="shared" si="85"/>
        <v>43248</v>
      </c>
      <c r="AS174" s="744">
        <f t="shared" si="86"/>
        <v>0.42857142857142855</v>
      </c>
      <c r="AT174" s="760">
        <f t="shared" si="87"/>
        <v>65.33314373163239</v>
      </c>
      <c r="AU174" s="13">
        <f t="shared" si="88"/>
        <v>7</v>
      </c>
      <c r="AV174" s="13">
        <f t="shared" si="89"/>
        <v>6</v>
      </c>
      <c r="AW174" s="169">
        <f t="shared" si="90"/>
        <v>43262</v>
      </c>
      <c r="AX174" s="744">
        <f t="shared" si="91"/>
        <v>7.1428571428571425E-2</v>
      </c>
      <c r="AY174" s="760">
        <f t="shared" si="92"/>
        <v>65.225834967249199</v>
      </c>
      <c r="AZ174" s="737">
        <f t="shared" si="96"/>
        <v>65.279489349440794</v>
      </c>
      <c r="BA174" s="634">
        <f t="shared" si="93"/>
        <v>0.83348400703398962</v>
      </c>
      <c r="BC174" s="11">
        <v>43260</v>
      </c>
      <c r="BD174" s="286">
        <f>[3]!FeuilCaduc*(1-Persistant)+Persistant</f>
        <v>0.89960838182728109</v>
      </c>
      <c r="BE174" s="287">
        <f>[3]!CroissVégét</f>
        <v>0.48917917157397695</v>
      </c>
      <c r="BF174" s="807">
        <f>1+[3]!Salcycl*Ksac</f>
        <v>1.0374510477284102</v>
      </c>
      <c r="BH174" s="1041">
        <f t="shared" si="94"/>
        <v>1.0328528914152139E-4</v>
      </c>
      <c r="BI174" s="11">
        <v>44356</v>
      </c>
      <c r="BJ174" s="717">
        <v>2.7677229301190109E-5</v>
      </c>
      <c r="BK174" s="717">
        <v>3.9876955886805957E-5</v>
      </c>
      <c r="BL174" s="717">
        <v>5.2826253301714333E-5</v>
      </c>
      <c r="BM174" s="717">
        <v>6.6634963115320934E-5</v>
      </c>
      <c r="BN174" s="717">
        <v>8.3209950451274903E-5</v>
      </c>
      <c r="BO174" s="718">
        <v>1.0341019074052288E-4</v>
      </c>
      <c r="BP174" s="717">
        <v>1.2995818055213187E-4</v>
      </c>
      <c r="BQ174" s="717">
        <v>1.65728003192219E-4</v>
      </c>
      <c r="BR174" s="717">
        <v>2.1232263774200694E-4</v>
      </c>
      <c r="BS174" s="717">
        <v>2.7234749285843683E-4</v>
      </c>
      <c r="BT174" s="717">
        <v>3.4165568662052021E-4</v>
      </c>
      <c r="BW174" s="1162">
        <f>'2022'!R\Max</f>
        <v>0.83348400703398962</v>
      </c>
      <c r="BX174" s="1163">
        <f>'2023'!R\Max</f>
        <v>0.8334838436653903</v>
      </c>
      <c r="BY174" s="1163">
        <f>'2024'!R\Max</f>
        <v>0.83348365323814555</v>
      </c>
      <c r="BZ174" s="1163">
        <f>'2025'!R\Max</f>
        <v>0.83348343312042594</v>
      </c>
      <c r="CA174" s="1163">
        <f>'2026'!R\Max</f>
        <v>0.83348318124038334</v>
      </c>
      <c r="CB174" s="1163">
        <f>'2027'!R\Max</f>
        <v>0.83348289450861335</v>
      </c>
      <c r="CC174" s="1164">
        <f>'2028'!R\Max</f>
        <v>0.8334825683693633</v>
      </c>
      <c r="CD174" s="1163">
        <f>'2029'!R\Max</f>
        <v>0.83348401519852999</v>
      </c>
      <c r="CE174" s="1163">
        <f>'2030'!R\Max</f>
        <v>0.83348385182994134</v>
      </c>
      <c r="CF174" s="1165">
        <f>'2031'!R\Max</f>
        <v>0.83348366423878895</v>
      </c>
    </row>
    <row r="175" spans="1:84" s="6" customFormat="1" ht="11.25" x14ac:dyDescent="0.2">
      <c r="A175" s="11">
        <v>43261</v>
      </c>
      <c r="B175" s="375">
        <f>'2022'!Maxi_hp</f>
        <v>66.882577946073681</v>
      </c>
      <c r="C175" s="13">
        <f>'2022'!An_max</f>
        <v>2022</v>
      </c>
      <c r="D175" s="1050">
        <f t="shared" si="78"/>
        <v>1.0253895155984705</v>
      </c>
      <c r="E175" s="13"/>
      <c r="F175" s="13">
        <f t="shared" si="95"/>
        <v>13</v>
      </c>
      <c r="G175" s="13">
        <f t="shared" si="79"/>
        <v>12</v>
      </c>
      <c r="H175" s="169">
        <f t="shared" si="80"/>
        <v>43262</v>
      </c>
      <c r="I175" s="744">
        <f t="shared" si="81"/>
        <v>7.1428571428571425E-2</v>
      </c>
      <c r="J175" s="737">
        <f t="shared" si="82"/>
        <v>65.226508491300052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43">
        <v>43261</v>
      </c>
      <c r="AP175" s="13">
        <f t="shared" si="83"/>
        <v>7</v>
      </c>
      <c r="AQ175" s="13">
        <f t="shared" si="84"/>
        <v>8</v>
      </c>
      <c r="AR175" s="169">
        <f t="shared" si="85"/>
        <v>43248</v>
      </c>
      <c r="AS175" s="744">
        <f t="shared" si="86"/>
        <v>0.4642857142857143</v>
      </c>
      <c r="AT175" s="760">
        <f t="shared" si="87"/>
        <v>65.348498259218673</v>
      </c>
      <c r="AU175" s="13">
        <f t="shared" si="88"/>
        <v>7</v>
      </c>
      <c r="AV175" s="13">
        <f t="shared" si="89"/>
        <v>6</v>
      </c>
      <c r="AW175" s="169">
        <f t="shared" si="90"/>
        <v>43262</v>
      </c>
      <c r="AX175" s="744">
        <f t="shared" si="91"/>
        <v>3.5714285714285712E-2</v>
      </c>
      <c r="AY175" s="760">
        <f t="shared" si="92"/>
        <v>65.231616806744469</v>
      </c>
      <c r="AZ175" s="737">
        <f t="shared" si="96"/>
        <v>65.290057532981564</v>
      </c>
      <c r="BA175" s="634">
        <f t="shared" si="93"/>
        <v>1.0253895155984705</v>
      </c>
      <c r="BC175" s="11">
        <v>43261</v>
      </c>
      <c r="BD175" s="286">
        <f>[3]!FeuilCaduc*(1-Persistant)+Persistant</f>
        <v>0.90450248234059194</v>
      </c>
      <c r="BE175" s="287">
        <f>[3]!CroissVégét</f>
        <v>0.499469404196</v>
      </c>
      <c r="BF175" s="807">
        <f>1+[3]!Salcycl*Ksac</f>
        <v>1.038062810292574</v>
      </c>
      <c r="BH175" s="1041">
        <f t="shared" si="94"/>
        <v>1.0294996040181158E-4</v>
      </c>
      <c r="BI175" s="11">
        <v>44357</v>
      </c>
      <c r="BJ175" s="717">
        <v>2.782020596833153E-5</v>
      </c>
      <c r="BK175" s="717">
        <v>4.0279298725752588E-5</v>
      </c>
      <c r="BL175" s="717">
        <v>5.3635908813851768E-5</v>
      </c>
      <c r="BM175" s="717">
        <v>6.7646801128602024E-5</v>
      </c>
      <c r="BN175" s="717">
        <v>8.3884302958998124E-5</v>
      </c>
      <c r="BO175" s="718">
        <v>1.0306858012411687E-4</v>
      </c>
      <c r="BP175" s="717">
        <v>1.2812297344294609E-4</v>
      </c>
      <c r="BQ175" s="717">
        <v>1.6163543316476058E-4</v>
      </c>
      <c r="BR175" s="717">
        <v>2.0537640954506695E-4</v>
      </c>
      <c r="BS175" s="717">
        <v>2.618142719363431E-4</v>
      </c>
      <c r="BT175" s="717">
        <v>3.2729209164691062E-4</v>
      </c>
      <c r="BW175" s="1162">
        <f>'2022'!R\Max</f>
        <v>1.0253895155984705</v>
      </c>
      <c r="BX175" s="1163">
        <f>'2023'!R\Max</f>
        <v>1.0253895155984707</v>
      </c>
      <c r="BY175" s="1163">
        <f>'2024'!R\Max</f>
        <v>1.0253895155984705</v>
      </c>
      <c r="BZ175" s="1163">
        <f>'2025'!R\Max</f>
        <v>1.0253895155984702</v>
      </c>
      <c r="CA175" s="1163">
        <f>'2026'!R\Max</f>
        <v>1.0253895155984707</v>
      </c>
      <c r="CB175" s="1163">
        <f>'2027'!R\Max</f>
        <v>1.0253895155984705</v>
      </c>
      <c r="CC175" s="1164">
        <f>'2028'!R\Max</f>
        <v>1.0253895155984705</v>
      </c>
      <c r="CD175" s="1163">
        <f>'2029'!R\Max</f>
        <v>1.0253895155984705</v>
      </c>
      <c r="CE175" s="1163">
        <f>'2030'!R\Max</f>
        <v>1.0253895155984707</v>
      </c>
      <c r="CF175" s="1165">
        <f>'2031'!R\Max</f>
        <v>1.0253895155984707</v>
      </c>
    </row>
    <row r="176" spans="1:84" s="6" customFormat="1" ht="11.25" x14ac:dyDescent="0.2">
      <c r="A176" s="11">
        <v>43262</v>
      </c>
      <c r="B176" s="375">
        <f>'2022'!Maxi_hp</f>
        <v>64.04296071880799</v>
      </c>
      <c r="C176" s="13">
        <f>'2022'!An_max</f>
        <v>2022</v>
      </c>
      <c r="D176" s="1050">
        <f t="shared" si="78"/>
        <v>0.98173151281285631</v>
      </c>
      <c r="E176" s="1045">
        <f>Y$13/10</f>
        <v>65.234700000000004</v>
      </c>
      <c r="F176" s="13">
        <f t="shared" si="95"/>
        <v>13</v>
      </c>
      <c r="G176" s="13">
        <f t="shared" si="79"/>
        <v>14</v>
      </c>
      <c r="H176" s="169">
        <f t="shared" si="80"/>
        <v>43262</v>
      </c>
      <c r="I176" s="744">
        <f t="shared" si="81"/>
        <v>0</v>
      </c>
      <c r="J176" s="737">
        <f t="shared" si="82"/>
        <v>65.234699999913573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43">
        <v>43262</v>
      </c>
      <c r="AP176" s="13">
        <f t="shared" si="83"/>
        <v>7</v>
      </c>
      <c r="AQ176" s="13">
        <f t="shared" si="84"/>
        <v>8</v>
      </c>
      <c r="AR176" s="169">
        <f t="shared" si="85"/>
        <v>43248</v>
      </c>
      <c r="AS176" s="744">
        <f t="shared" si="86"/>
        <v>0.5</v>
      </c>
      <c r="AT176" s="760">
        <f t="shared" si="87"/>
        <v>65.359575000405314</v>
      </c>
      <c r="AU176" s="13">
        <f t="shared" si="88"/>
        <v>7</v>
      </c>
      <c r="AV176" s="13">
        <f t="shared" si="89"/>
        <v>8</v>
      </c>
      <c r="AW176" s="169">
        <f t="shared" si="90"/>
        <v>43262</v>
      </c>
      <c r="AX176" s="744">
        <f t="shared" si="91"/>
        <v>0</v>
      </c>
      <c r="AY176" s="760">
        <f t="shared" si="92"/>
        <v>65.23469999954105</v>
      </c>
      <c r="AZ176" s="737">
        <f t="shared" si="96"/>
        <v>65.297137499973189</v>
      </c>
      <c r="BA176" s="634">
        <f t="shared" si="93"/>
        <v>0.98173151281285631</v>
      </c>
      <c r="BC176" s="11">
        <v>43262</v>
      </c>
      <c r="BD176" s="286">
        <f>[3]!FeuilCaduc*(1-Persistant)+Persistant</f>
        <v>0.90929050206565898</v>
      </c>
      <c r="BE176" s="287">
        <f>[3]!CroissVégét</f>
        <v>0.50975963681802305</v>
      </c>
      <c r="BF176" s="807">
        <f>1+[3]!Salcycl*Ksac</f>
        <v>1.0386613127582074</v>
      </c>
      <c r="BH176" s="1041">
        <f t="shared" si="94"/>
        <v>1.0322899916352067E-4</v>
      </c>
      <c r="BI176" s="11">
        <v>44358</v>
      </c>
      <c r="BJ176" s="717">
        <v>2.7877942023094439E-5</v>
      </c>
      <c r="BK176" s="717">
        <v>4.0683339217265737E-5</v>
      </c>
      <c r="BL176" s="717">
        <v>5.4585633708960022E-5</v>
      </c>
      <c r="BM176" s="717">
        <v>6.8966241580103839E-5</v>
      </c>
      <c r="BN176" s="717">
        <v>8.5025134267595746E-5</v>
      </c>
      <c r="BO176" s="718">
        <v>1.0334225711989143E-4</v>
      </c>
      <c r="BP176" s="717">
        <v>1.2708095342453695E-4</v>
      </c>
      <c r="BQ176" s="717">
        <v>1.5866572760628043E-4</v>
      </c>
      <c r="BR176" s="717">
        <v>1.9995379245862636E-4</v>
      </c>
      <c r="BS176" s="717">
        <v>2.5329251775591872E-4</v>
      </c>
      <c r="BT176" s="717">
        <v>3.1539347715688347E-4</v>
      </c>
      <c r="BW176" s="1162">
        <f>'2022'!R\Max</f>
        <v>0.98173151281285631</v>
      </c>
      <c r="BX176" s="1163">
        <f>'2023'!R\Max</f>
        <v>0.98173149373801305</v>
      </c>
      <c r="BY176" s="1163">
        <f>'2024'!R\Max</f>
        <v>0.98173147152727591</v>
      </c>
      <c r="BZ176" s="1163">
        <f>'2025'!R\Max</f>
        <v>0.98173144614775831</v>
      </c>
      <c r="CA176" s="1163">
        <f>'2026'!R\Max</f>
        <v>0.98173141689003462</v>
      </c>
      <c r="CB176" s="1163">
        <f>'2027'!R\Max</f>
        <v>0.98173138371342128</v>
      </c>
      <c r="CC176" s="1164">
        <f>'2028'!R\Max</f>
        <v>0.9817313457203608</v>
      </c>
      <c r="CD176" s="1163">
        <f>'2029'!R\Max</f>
        <v>0.98173151376614465</v>
      </c>
      <c r="CE176" s="1163">
        <f>'2030'!R\Max</f>
        <v>0.98173149469130216</v>
      </c>
      <c r="CF176" s="1165">
        <f>'2031'!R\Max</f>
        <v>0.98173147279564721</v>
      </c>
    </row>
    <row r="177" spans="1:84" s="6" customFormat="1" ht="11.25" x14ac:dyDescent="0.2">
      <c r="A177" s="11">
        <v>43263</v>
      </c>
      <c r="B177" s="375">
        <f>'2022'!Maxi_hp</f>
        <v>51.646983281304863</v>
      </c>
      <c r="C177" s="13">
        <f>'2022'!An_max</f>
        <v>2022</v>
      </c>
      <c r="D177" s="1050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69">
        <f t="shared" si="80"/>
        <v>43262</v>
      </c>
      <c r="I177" s="744">
        <f t="shared" si="81"/>
        <v>7.1428571428571425E-2</v>
      </c>
      <c r="J177" s="737">
        <f t="shared" si="82"/>
        <v>65.241489850782926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43">
        <v>43263</v>
      </c>
      <c r="AP177" s="13">
        <f t="shared" si="83"/>
        <v>7</v>
      </c>
      <c r="AQ177" s="13">
        <f t="shared" si="84"/>
        <v>8</v>
      </c>
      <c r="AR177" s="169">
        <f t="shared" si="85"/>
        <v>43248</v>
      </c>
      <c r="AS177" s="744">
        <f t="shared" si="86"/>
        <v>0.5357142857142857</v>
      </c>
      <c r="AT177" s="760">
        <f t="shared" si="87"/>
        <v>65.366319342170442</v>
      </c>
      <c r="AU177" s="13">
        <f t="shared" si="88"/>
        <v>7</v>
      </c>
      <c r="AV177" s="13">
        <f t="shared" si="89"/>
        <v>8</v>
      </c>
      <c r="AW177" s="169">
        <f t="shared" si="90"/>
        <v>43262</v>
      </c>
      <c r="AX177" s="744">
        <f t="shared" si="91"/>
        <v>3.5714285714285712E-2</v>
      </c>
      <c r="AY177" s="760">
        <f t="shared" si="92"/>
        <v>65.2348774817373</v>
      </c>
      <c r="AZ177" s="737">
        <f t="shared" si="96"/>
        <v>65.300598411953871</v>
      </c>
      <c r="BA177" s="634">
        <f t="shared" si="93"/>
        <v>0.7916278950623179</v>
      </c>
      <c r="BC177" s="11">
        <v>43263</v>
      </c>
      <c r="BD177" s="286">
        <f>[3]!FeuilCaduc*(1-Persistant)+Persistant</f>
        <v>0.91396760489936879</v>
      </c>
      <c r="BE177" s="287">
        <f>[3]!CroissVégét</f>
        <v>0.52004118610663486</v>
      </c>
      <c r="BF177" s="807">
        <f>1+[3]!Salcycl*Ksac</f>
        <v>1.0392459506124212</v>
      </c>
      <c r="BH177" s="1041">
        <f t="shared" si="94"/>
        <v>1.0412155223720083E-4</v>
      </c>
      <c r="BI177" s="11">
        <v>44359</v>
      </c>
      <c r="BJ177" s="717">
        <v>2.7850604809223241E-5</v>
      </c>
      <c r="BK177" s="717">
        <v>4.108912397289138E-5</v>
      </c>
      <c r="BL177" s="717">
        <v>5.5675274984953649E-5</v>
      </c>
      <c r="BM177" s="717">
        <v>7.0592885020885588E-5</v>
      </c>
      <c r="BN177" s="717">
        <v>8.6631810425906659E-5</v>
      </c>
      <c r="BO177" s="718">
        <v>1.0423036717437621E-4</v>
      </c>
      <c r="BP177" s="717">
        <v>1.2683100244512363E-4</v>
      </c>
      <c r="BQ177" s="717">
        <v>1.5681726938920234E-4</v>
      </c>
      <c r="BR177" s="717">
        <v>1.960525652684275E-4</v>
      </c>
      <c r="BS177" s="717">
        <v>2.4677927646895773E-4</v>
      </c>
      <c r="BT177" s="717">
        <v>3.0595621923492001E-4</v>
      </c>
      <c r="BW177" s="1162">
        <f>'2022'!R\Max</f>
        <v>0.7916278950623179</v>
      </c>
      <c r="BX177" s="1163">
        <f>'2023'!R\Max</f>
        <v>0.7916277271923654</v>
      </c>
      <c r="BY177" s="1163">
        <f>'2024'!R\Max</f>
        <v>0.79162753147218778</v>
      </c>
      <c r="BZ177" s="1163">
        <f>'2025'!R\Max</f>
        <v>0.79162730874371678</v>
      </c>
      <c r="CA177" s="1163">
        <f>'2026'!R\Max</f>
        <v>0.7916270511382365</v>
      </c>
      <c r="CB177" s="1163">
        <f>'2027'!R\Max</f>
        <v>0.79162675971002094</v>
      </c>
      <c r="CC177" s="1164">
        <f>'2028'!R\Max</f>
        <v>0.79162642494874547</v>
      </c>
      <c r="CD177" s="1163">
        <f>'2029'!R\Max</f>
        <v>0.79162790345181999</v>
      </c>
      <c r="CE177" s="1163">
        <f>'2030'!R\Max</f>
        <v>0.79162773558187616</v>
      </c>
      <c r="CF177" s="1165">
        <f>'2031'!R\Max</f>
        <v>0.79162754260330837</v>
      </c>
    </row>
    <row r="178" spans="1:84" s="6" customFormat="1" ht="11.25" x14ac:dyDescent="0.2">
      <c r="A178" s="11">
        <v>43264</v>
      </c>
      <c r="B178" s="375">
        <f>'2022'!Maxi_hp</f>
        <v>57.744850509610608</v>
      </c>
      <c r="C178" s="13">
        <f>'2022'!An_max</f>
        <v>2022</v>
      </c>
      <c r="D178" s="1050" t="str">
        <f t="shared" si="78"/>
        <v/>
      </c>
      <c r="E178" s="13"/>
      <c r="F178" s="13">
        <f t="shared" si="95"/>
        <v>13</v>
      </c>
      <c r="G178" s="13">
        <f t="shared" si="79"/>
        <v>14</v>
      </c>
      <c r="H178" s="169">
        <f t="shared" si="80"/>
        <v>43262</v>
      </c>
      <c r="I178" s="744">
        <f t="shared" si="81"/>
        <v>0.14285714285714285</v>
      </c>
      <c r="J178" s="737">
        <f t="shared" si="82"/>
        <v>65.247223906644763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43">
        <v>43264</v>
      </c>
      <c r="AP178" s="13">
        <f t="shared" si="83"/>
        <v>7</v>
      </c>
      <c r="AQ178" s="13">
        <f t="shared" si="84"/>
        <v>8</v>
      </c>
      <c r="AR178" s="169">
        <f t="shared" si="85"/>
        <v>43248</v>
      </c>
      <c r="AS178" s="744">
        <f t="shared" si="86"/>
        <v>0.5714285714285714</v>
      </c>
      <c r="AT178" s="760">
        <f t="shared" si="87"/>
        <v>65.368676676494744</v>
      </c>
      <c r="AU178" s="13">
        <f t="shared" si="88"/>
        <v>7</v>
      </c>
      <c r="AV178" s="13">
        <f t="shared" si="89"/>
        <v>8</v>
      </c>
      <c r="AW178" s="169">
        <f t="shared" si="90"/>
        <v>43262</v>
      </c>
      <c r="AX178" s="744">
        <f t="shared" si="91"/>
        <v>7.1428571428571425E-2</v>
      </c>
      <c r="AY178" s="760">
        <f t="shared" si="92"/>
        <v>65.231787462532523</v>
      </c>
      <c r="AZ178" s="737">
        <f t="shared" si="96"/>
        <v>65.30023206951364</v>
      </c>
      <c r="BA178" s="634">
        <f t="shared" si="93"/>
        <v>0.88501620532134062</v>
      </c>
      <c r="BC178" s="11">
        <v>43264</v>
      </c>
      <c r="BD178" s="286">
        <f>[3]!FeuilCaduc*(1-Persistant)+Persistant</f>
        <v>0.91852928454200511</v>
      </c>
      <c r="BE178" s="287">
        <f>[3]!CroissVégét</f>
        <v>0.53030539801316789</v>
      </c>
      <c r="BF178" s="807">
        <f>1+[3]!Salcycl*Ksac</f>
        <v>1.0398161605677507</v>
      </c>
      <c r="BH178" s="1041">
        <f t="shared" si="94"/>
        <v>1.0538002738202442E-4</v>
      </c>
      <c r="BI178" s="11">
        <v>44360</v>
      </c>
      <c r="BJ178" s="717">
        <v>2.7745858082712628E-5</v>
      </c>
      <c r="BK178" s="717">
        <v>4.1442295165479861E-5</v>
      </c>
      <c r="BL178" s="717">
        <v>5.6763302580244841E-5</v>
      </c>
      <c r="BM178" s="717">
        <v>7.2305824750945496E-5</v>
      </c>
      <c r="BN178" s="717">
        <v>8.8444702835217091E-5</v>
      </c>
      <c r="BO178" s="718">
        <v>1.0548539293267054E-4</v>
      </c>
      <c r="BP178" s="717">
        <v>1.271597222452162E-4</v>
      </c>
      <c r="BQ178" s="717">
        <v>1.5592314937902689E-4</v>
      </c>
      <c r="BR178" s="717">
        <v>1.9356781403002279E-4</v>
      </c>
      <c r="BS178" s="717">
        <v>2.4225070274037038E-4</v>
      </c>
      <c r="BT178" s="717">
        <v>2.990516651765595E-4</v>
      </c>
      <c r="BW178" s="1162">
        <f>'2022'!R\Max</f>
        <v>0.88501620532134062</v>
      </c>
      <c r="BX178" s="1163">
        <f>'2023'!R\Max</f>
        <v>0.88501610551704224</v>
      </c>
      <c r="BY178" s="1163">
        <f>'2024'!R\Max</f>
        <v>0.88501598880534704</v>
      </c>
      <c r="BZ178" s="1163">
        <f>'2025'!R\Max</f>
        <v>0.88501585635735713</v>
      </c>
      <c r="CA178" s="1163">
        <f>'2026'!R\Max</f>
        <v>0.88501570272762842</v>
      </c>
      <c r="CB178" s="1163">
        <f>'2027'!R\Max</f>
        <v>0.88501552938327266</v>
      </c>
      <c r="CC178" s="1164">
        <f>'2028'!R\Max</f>
        <v>0.88501532971257746</v>
      </c>
      <c r="CD178" s="1163">
        <f>'2029'!R\Max</f>
        <v>0.88501621030917987</v>
      </c>
      <c r="CE178" s="1163">
        <f>'2030'!R\Max</f>
        <v>0.88501611050488715</v>
      </c>
      <c r="CF178" s="1165">
        <f>'2031'!R\Max</f>
        <v>0.88501599542459253</v>
      </c>
    </row>
    <row r="179" spans="1:84" s="6" customFormat="1" ht="11.25" x14ac:dyDescent="0.2">
      <c r="A179" s="11">
        <v>43265</v>
      </c>
      <c r="B179" s="375">
        <f>'2022'!Maxi_hp</f>
        <v>58.706951596633296</v>
      </c>
      <c r="C179" s="13">
        <f>'2022'!An_max</f>
        <v>2022</v>
      </c>
      <c r="D179" s="1050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69">
        <f t="shared" si="80"/>
        <v>43262</v>
      </c>
      <c r="I179" s="744">
        <f t="shared" si="81"/>
        <v>0.21428571428571427</v>
      </c>
      <c r="J179" s="737">
        <f t="shared" si="82"/>
        <v>65.251356067934211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43">
        <v>43265</v>
      </c>
      <c r="AP179" s="13">
        <f t="shared" si="83"/>
        <v>7</v>
      </c>
      <c r="AQ179" s="13">
        <f t="shared" si="84"/>
        <v>8</v>
      </c>
      <c r="AR179" s="169">
        <f t="shared" si="85"/>
        <v>43248</v>
      </c>
      <c r="AS179" s="744">
        <f t="shared" si="86"/>
        <v>0.6071428571428571</v>
      </c>
      <c r="AT179" s="760">
        <f t="shared" si="87"/>
        <v>65.366592391846439</v>
      </c>
      <c r="AU179" s="13">
        <f t="shared" si="88"/>
        <v>7</v>
      </c>
      <c r="AV179" s="13">
        <f t="shared" si="89"/>
        <v>8</v>
      </c>
      <c r="AW179" s="169">
        <f t="shared" si="90"/>
        <v>43262</v>
      </c>
      <c r="AX179" s="744">
        <f t="shared" si="91"/>
        <v>0.10714285714285714</v>
      </c>
      <c r="AY179" s="760">
        <f t="shared" si="92"/>
        <v>65.225348027875384</v>
      </c>
      <c r="AZ179" s="737">
        <f t="shared" si="96"/>
        <v>65.295970209860911</v>
      </c>
      <c r="BA179" s="634">
        <f t="shared" si="93"/>
        <v>0.89970469786884688</v>
      </c>
      <c r="BC179" s="11">
        <v>43265</v>
      </c>
      <c r="BD179" s="286">
        <f>[3]!FeuilCaduc*(1-Persistant)+Persistant</f>
        <v>0.92297138125713984</v>
      </c>
      <c r="BE179" s="287">
        <f>[3]!CroissVégét</f>
        <v>0.54054367684881977</v>
      </c>
      <c r="BF179" s="807">
        <f>1+[3]!Salcycl*Ksac</f>
        <v>1.0403714226571426</v>
      </c>
      <c r="BH179" s="1041">
        <f t="shared" si="94"/>
        <v>1.0674792048445866E-4</v>
      </c>
      <c r="BI179" s="11">
        <v>44361</v>
      </c>
      <c r="BJ179" s="717">
        <v>2.7646406448190882E-5</v>
      </c>
      <c r="BK179" s="717">
        <v>4.1805427180609154E-5</v>
      </c>
      <c r="BL179" s="717">
        <v>5.7852843445750235E-5</v>
      </c>
      <c r="BM179" s="717">
        <v>7.401977979223111E-5</v>
      </c>
      <c r="BN179" s="717">
        <v>9.0291844461571233E-5</v>
      </c>
      <c r="BO179" s="718">
        <v>1.0685030432167617E-4</v>
      </c>
      <c r="BP179" s="717">
        <v>1.2770592356879697E-4</v>
      </c>
      <c r="BQ179" s="717">
        <v>1.5538640975973762E-4</v>
      </c>
      <c r="BR179" s="717">
        <v>1.916204295502969E-4</v>
      </c>
      <c r="BS179" s="717">
        <v>2.3848891531605605E-4</v>
      </c>
      <c r="BT179" s="717">
        <v>2.9317956023733842E-4</v>
      </c>
      <c r="BW179" s="1162">
        <f>'2022'!R\Max</f>
        <v>0.89970469786884688</v>
      </c>
      <c r="BX179" s="1163">
        <f>'2023'!R\Max</f>
        <v>0.89970461230562926</v>
      </c>
      <c r="BY179" s="1163">
        <f>'2024'!R\Max</f>
        <v>0.89970451195332246</v>
      </c>
      <c r="BZ179" s="1163">
        <f>'2025'!R\Max</f>
        <v>0.89970439838979177</v>
      </c>
      <c r="CA179" s="1163">
        <f>'2026'!R\Max</f>
        <v>0.8997042662911533</v>
      </c>
      <c r="CB179" s="1163">
        <f>'2027'!R\Max</f>
        <v>0.89970411763489111</v>
      </c>
      <c r="CC179" s="1164">
        <f>'2028'!R\Max</f>
        <v>0.89970394593407355</v>
      </c>
      <c r="CD179" s="1163">
        <f>'2029'!R\Max</f>
        <v>0.89970470214497089</v>
      </c>
      <c r="CE179" s="1163">
        <f>'2030'!R\Max</f>
        <v>0.89970461658175804</v>
      </c>
      <c r="CF179" s="1165">
        <f>'2031'!R\Max</f>
        <v>0.89970451762879466</v>
      </c>
    </row>
    <row r="180" spans="1:84" s="6" customFormat="1" ht="11.25" x14ac:dyDescent="0.2">
      <c r="A180" s="11">
        <v>43266</v>
      </c>
      <c r="B180" s="375">
        <f>'2022'!Maxi_hp</f>
        <v>62.280547455261207</v>
      </c>
      <c r="C180" s="13">
        <f>'2022'!An_max</f>
        <v>2022</v>
      </c>
      <c r="D180" s="1050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69">
        <f t="shared" si="80"/>
        <v>43262</v>
      </c>
      <c r="I180" s="744">
        <f t="shared" si="81"/>
        <v>0.2857142857142857</v>
      </c>
      <c r="J180" s="737">
        <f t="shared" si="82"/>
        <v>65.253340232744819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43">
        <v>43266</v>
      </c>
      <c r="AP180" s="13">
        <f t="shared" si="83"/>
        <v>7</v>
      </c>
      <c r="AQ180" s="13">
        <f t="shared" si="84"/>
        <v>8</v>
      </c>
      <c r="AR180" s="169">
        <f t="shared" si="85"/>
        <v>43248</v>
      </c>
      <c r="AS180" s="744">
        <f t="shared" si="86"/>
        <v>0.6428571428571429</v>
      </c>
      <c r="AT180" s="760">
        <f t="shared" si="87"/>
        <v>65.360011880152996</v>
      </c>
      <c r="AU180" s="13">
        <f t="shared" si="88"/>
        <v>7</v>
      </c>
      <c r="AV180" s="13">
        <f t="shared" si="89"/>
        <v>8</v>
      </c>
      <c r="AW180" s="169">
        <f t="shared" si="90"/>
        <v>43262</v>
      </c>
      <c r="AX180" s="744">
        <f t="shared" si="91"/>
        <v>0.14285714285714285</v>
      </c>
      <c r="AY180" s="760">
        <f t="shared" si="92"/>
        <v>65.21547725903136</v>
      </c>
      <c r="AZ180" s="737">
        <f t="shared" si="96"/>
        <v>65.287744569592178</v>
      </c>
      <c r="BA180" s="634">
        <f t="shared" si="93"/>
        <v>0.95444228959191524</v>
      </c>
      <c r="BC180" s="11">
        <v>43266</v>
      </c>
      <c r="BD180" s="286">
        <f>[3]!FeuilCaduc*(1-Persistant)+Persistant</f>
        <v>0.9272900968616854</v>
      </c>
      <c r="BE180" s="287">
        <f>[3]!CroissVégét</f>
        <v>0.55074751394309984</v>
      </c>
      <c r="BF180" s="807">
        <f>1+[3]!Salcycl*Ksac</f>
        <v>1.0409112621077106</v>
      </c>
      <c r="BH180" s="1041">
        <f t="shared" si="94"/>
        <v>1.0822520943618568E-4</v>
      </c>
      <c r="BI180" s="11">
        <v>44362</v>
      </c>
      <c r="BJ180" s="717">
        <v>2.7552272022889677E-5</v>
      </c>
      <c r="BK180" s="717">
        <v>4.2178559208847463E-5</v>
      </c>
      <c r="BL180" s="717">
        <v>5.8943980784343838E-5</v>
      </c>
      <c r="BM180" s="717">
        <v>7.5734863480723681E-5</v>
      </c>
      <c r="BN180" s="717">
        <v>9.2173318419020616E-5</v>
      </c>
      <c r="BO180" s="718">
        <v>1.0832507857841917E-4</v>
      </c>
      <c r="BP180" s="717">
        <v>1.2846942764980677E-4</v>
      </c>
      <c r="BQ180" s="717">
        <v>1.5520666926364336E-4</v>
      </c>
      <c r="BR180" s="717">
        <v>1.9020977045657137E-4</v>
      </c>
      <c r="BS180" s="717">
        <v>2.3549294179216133E-4</v>
      </c>
      <c r="BT180" s="717">
        <v>2.8833854901185862E-4</v>
      </c>
      <c r="BW180" s="1162">
        <f>'2022'!R\Max</f>
        <v>0.95444228959191524</v>
      </c>
      <c r="BX180" s="1163">
        <f>'2023'!R\Max</f>
        <v>0.95444224958247881</v>
      </c>
      <c r="BY180" s="1163">
        <f>'2024'!R\Max</f>
        <v>0.95444220252321177</v>
      </c>
      <c r="BZ180" s="1163">
        <f>'2025'!R\Max</f>
        <v>0.95444214941923777</v>
      </c>
      <c r="CA180" s="1163">
        <f>'2026'!R\Max</f>
        <v>0.9544420874764673</v>
      </c>
      <c r="CB180" s="1163">
        <f>'2027'!R\Max</f>
        <v>0.95444201795505978</v>
      </c>
      <c r="CC180" s="1164">
        <f>'2028'!R\Max</f>
        <v>0.95444193744094985</v>
      </c>
      <c r="CD180" s="1163">
        <f>'2029'!R\Max</f>
        <v>0.95444229159143479</v>
      </c>
      <c r="CE180" s="1163">
        <f>'2030'!R\Max</f>
        <v>0.95444225158200069</v>
      </c>
      <c r="CF180" s="1165">
        <f>'2031'!R\Max</f>
        <v>0.95444220517714595</v>
      </c>
    </row>
    <row r="181" spans="1:84" s="6" customFormat="1" ht="11.25" x14ac:dyDescent="0.2">
      <c r="A181" s="11">
        <v>43267</v>
      </c>
      <c r="B181" s="375">
        <f>'2022'!Maxi_hp</f>
        <v>59.022144290710564</v>
      </c>
      <c r="C181" s="13">
        <f>'2022'!An_max</f>
        <v>2022</v>
      </c>
      <c r="D181" s="1050" t="str">
        <f t="shared" si="78"/>
        <v/>
      </c>
      <c r="E181" s="13"/>
      <c r="F181" s="13">
        <f t="shared" si="95"/>
        <v>13</v>
      </c>
      <c r="G181" s="13">
        <f t="shared" si="79"/>
        <v>14</v>
      </c>
      <c r="H181" s="169">
        <f t="shared" si="80"/>
        <v>43262</v>
      </c>
      <c r="I181" s="744">
        <f t="shared" si="81"/>
        <v>0.35714285714285715</v>
      </c>
      <c r="J181" s="737">
        <f t="shared" si="82"/>
        <v>65.252630302150322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43">
        <v>43267</v>
      </c>
      <c r="AP181" s="13">
        <f t="shared" si="83"/>
        <v>7</v>
      </c>
      <c r="AQ181" s="13">
        <f t="shared" si="84"/>
        <v>8</v>
      </c>
      <c r="AR181" s="169">
        <f t="shared" si="85"/>
        <v>43248</v>
      </c>
      <c r="AS181" s="744">
        <f t="shared" si="86"/>
        <v>0.6785714285714286</v>
      </c>
      <c r="AT181" s="760">
        <f t="shared" si="87"/>
        <v>65.348880530361612</v>
      </c>
      <c r="AU181" s="13">
        <f t="shared" si="88"/>
        <v>7</v>
      </c>
      <c r="AV181" s="13">
        <f t="shared" si="89"/>
        <v>8</v>
      </c>
      <c r="AW181" s="169">
        <f t="shared" si="90"/>
        <v>43262</v>
      </c>
      <c r="AX181" s="744">
        <f t="shared" si="91"/>
        <v>0.17857142857142858</v>
      </c>
      <c r="AY181" s="760">
        <f t="shared" si="92"/>
        <v>65.202093243944859</v>
      </c>
      <c r="AZ181" s="737">
        <f t="shared" si="96"/>
        <v>65.275486887153235</v>
      </c>
      <c r="BA181" s="634">
        <f t="shared" si="93"/>
        <v>0.90451747335563815</v>
      </c>
      <c r="BC181" s="11">
        <v>43267</v>
      </c>
      <c r="BD181" s="286">
        <f>[3]!FeuilCaduc*(1-Persistant)+Persistant</f>
        <v>0.93148200783276369</v>
      </c>
      <c r="BE181" s="287">
        <f>[3]!CroissVégét</f>
        <v>0.56090851568364364</v>
      </c>
      <c r="BF181" s="807">
        <f>1+[3]!Salcycl*Ksac</f>
        <v>1.0414352509790954</v>
      </c>
      <c r="BH181" s="1041">
        <f t="shared" si="94"/>
        <v>1.0981188348098937E-4</v>
      </c>
      <c r="BI181" s="11">
        <v>44363</v>
      </c>
      <c r="BJ181" s="717">
        <v>2.7463476758899979E-5</v>
      </c>
      <c r="BK181" s="717">
        <v>4.2561732640071313E-5</v>
      </c>
      <c r="BL181" s="717">
        <v>6.003680300144912E-5</v>
      </c>
      <c r="BM181" s="717">
        <v>7.7451197240223246E-5</v>
      </c>
      <c r="BN181" s="717">
        <v>9.4089218024375951E-5</v>
      </c>
      <c r="BO181" s="718">
        <v>1.0990970429917812E-4</v>
      </c>
      <c r="BP181" s="717">
        <v>1.2945006811022851E-4</v>
      </c>
      <c r="BQ181" s="717">
        <v>1.5538356026513253E-4</v>
      </c>
      <c r="BR181" s="717">
        <v>1.8933521055292419E-4</v>
      </c>
      <c r="BS181" s="717">
        <v>2.3326182682409849E-4</v>
      </c>
      <c r="BT181" s="717">
        <v>2.8452729529208687E-4</v>
      </c>
      <c r="BW181" s="1162">
        <f>'2022'!R\Max</f>
        <v>0.90451747335563815</v>
      </c>
      <c r="BX181" s="1163">
        <f>'2023'!R\Max</f>
        <v>0.90451739592110392</v>
      </c>
      <c r="BY181" s="1163">
        <f>'2024'!R\Max</f>
        <v>0.90451730458932578</v>
      </c>
      <c r="BZ181" s="1163">
        <f>'2025'!R\Max</f>
        <v>0.90451720181984818</v>
      </c>
      <c r="CA181" s="1163">
        <f>'2026'!R\Max</f>
        <v>0.90451708162058497</v>
      </c>
      <c r="CB181" s="1163">
        <f>'2027'!R\Max</f>
        <v>0.90451694707622776</v>
      </c>
      <c r="CC181" s="1164">
        <f>'2028'!R\Max</f>
        <v>0.90451679084825265</v>
      </c>
      <c r="CD181" s="1163">
        <f>'2029'!R\Max</f>
        <v>0.90451747722552178</v>
      </c>
      <c r="CE181" s="1163">
        <f>'2030'!R\Max</f>
        <v>0.90451739979099155</v>
      </c>
      <c r="CF181" s="1165">
        <f>'2031'!R\Max</f>
        <v>0.90451730972535271</v>
      </c>
    </row>
    <row r="182" spans="1:84" s="6" customFormat="1" ht="11.25" x14ac:dyDescent="0.2">
      <c r="A182" s="11">
        <v>43268</v>
      </c>
      <c r="B182" s="375">
        <f>'2022'!Maxi_hp</f>
        <v>59.20011033031976</v>
      </c>
      <c r="C182" s="13">
        <f>'2022'!An_max</f>
        <v>2022</v>
      </c>
      <c r="D182" s="1050" t="str">
        <f t="shared" si="78"/>
        <v/>
      </c>
      <c r="E182" s="13"/>
      <c r="F182" s="13">
        <f t="shared" si="95"/>
        <v>13</v>
      </c>
      <c r="G182" s="13">
        <f t="shared" si="79"/>
        <v>14</v>
      </c>
      <c r="H182" s="169">
        <f t="shared" si="80"/>
        <v>43262</v>
      </c>
      <c r="I182" s="744">
        <f t="shared" si="81"/>
        <v>0.42857142857142855</v>
      </c>
      <c r="J182" s="737">
        <f t="shared" si="82"/>
        <v>65.248680174563603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43">
        <v>43268</v>
      </c>
      <c r="AP182" s="13">
        <f t="shared" si="83"/>
        <v>7</v>
      </c>
      <c r="AQ182" s="13">
        <f t="shared" si="84"/>
        <v>8</v>
      </c>
      <c r="AR182" s="169">
        <f t="shared" si="85"/>
        <v>43248</v>
      </c>
      <c r="AS182" s="744">
        <f t="shared" si="86"/>
        <v>0.7142857142857143</v>
      </c>
      <c r="AT182" s="760">
        <f t="shared" si="87"/>
        <v>65.333143731632404</v>
      </c>
      <c r="AU182" s="13">
        <f t="shared" si="88"/>
        <v>7</v>
      </c>
      <c r="AV182" s="13">
        <f t="shared" si="89"/>
        <v>8</v>
      </c>
      <c r="AW182" s="169">
        <f t="shared" si="90"/>
        <v>43262</v>
      </c>
      <c r="AX182" s="744">
        <f t="shared" si="91"/>
        <v>0.21428571428571427</v>
      </c>
      <c r="AY182" s="760">
        <f t="shared" si="92"/>
        <v>65.185114066462432</v>
      </c>
      <c r="AZ182" s="737">
        <f t="shared" si="96"/>
        <v>65.259128899047425</v>
      </c>
      <c r="BA182" s="634">
        <f t="shared" si="93"/>
        <v>0.90729973651479612</v>
      </c>
      <c r="BC182" s="11">
        <v>43268</v>
      </c>
      <c r="BD182" s="286">
        <f>[3]!FeuilCaduc*(1-Persistant)+Persistant</f>
        <v>0.93554407643150084</v>
      </c>
      <c r="BE182" s="287">
        <f>[3]!CroissVégét</f>
        <v>0.57101843074296321</v>
      </c>
      <c r="BF182" s="807">
        <f>1+[3]!Salcycl*Ksac</f>
        <v>1.0419430095539377</v>
      </c>
      <c r="BH182" s="1041">
        <f t="shared" si="94"/>
        <v>1.1150794446845607E-4</v>
      </c>
      <c r="BI182" s="11">
        <v>44364</v>
      </c>
      <c r="BJ182" s="717">
        <v>2.7380042500221342E-5</v>
      </c>
      <c r="BK182" s="717">
        <v>4.2954991178057682E-5</v>
      </c>
      <c r="BL182" s="717">
        <v>6.1131403730910961E-5</v>
      </c>
      <c r="BM182" s="717">
        <v>7.9168910608762126E-5</v>
      </c>
      <c r="BN182" s="717">
        <v>9.6039647202256489E-5</v>
      </c>
      <c r="BO182" s="718">
        <v>1.1160418269846497E-4</v>
      </c>
      <c r="BP182" s="717">
        <v>1.3064769343244635E-4</v>
      </c>
      <c r="BQ182" s="717">
        <v>1.5591673283043702E-4</v>
      </c>
      <c r="BR182" s="717">
        <v>1.889961448991059E-4</v>
      </c>
      <c r="BS182" s="717">
        <v>2.3179464079167638E-4</v>
      </c>
      <c r="BT182" s="717">
        <v>2.8174449372712451E-4</v>
      </c>
      <c r="BW182" s="1162">
        <f>'2022'!R\Max</f>
        <v>0.90729973651479612</v>
      </c>
      <c r="BX182" s="1163">
        <f>'2023'!R\Max</f>
        <v>0.90729966269785967</v>
      </c>
      <c r="BY182" s="1163">
        <f>'2024'!R\Max</f>
        <v>0.90729957539968487</v>
      </c>
      <c r="BZ182" s="1163">
        <f>'2025'!R\Max</f>
        <v>0.90729947745095219</v>
      </c>
      <c r="CA182" s="1163">
        <f>'2026'!R\Max</f>
        <v>0.9072993625889566</v>
      </c>
      <c r="CB182" s="1163">
        <f>'2027'!R\Max</f>
        <v>0.90729923436496229</v>
      </c>
      <c r="CC182" s="1164">
        <f>'2028'!R\Max</f>
        <v>0.90729908509427859</v>
      </c>
      <c r="CD182" s="1163">
        <f>'2029'!R\Max</f>
        <v>0.90729974020388626</v>
      </c>
      <c r="CE182" s="1163">
        <f>'2030'!R\Max</f>
        <v>0.90729966638695325</v>
      </c>
      <c r="CF182" s="1165">
        <f>'2031'!R\Max</f>
        <v>0.90729958029478974</v>
      </c>
    </row>
    <row r="183" spans="1:84" s="6" customFormat="1" ht="11.25" x14ac:dyDescent="0.2">
      <c r="A183" s="11">
        <v>43269</v>
      </c>
      <c r="B183" s="375">
        <f>'2022'!Maxi_hp</f>
        <v>63.041210680811361</v>
      </c>
      <c r="C183" s="13">
        <f>'2022'!An_max</f>
        <v>2022</v>
      </c>
      <c r="D183" s="1050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69">
        <f t="shared" si="80"/>
        <v>43262</v>
      </c>
      <c r="I183" s="744">
        <f t="shared" si="81"/>
        <v>0.5</v>
      </c>
      <c r="J183" s="737">
        <f t="shared" si="82"/>
        <v>65.240943749062723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43">
        <v>43269</v>
      </c>
      <c r="AP183" s="13">
        <f t="shared" si="83"/>
        <v>7</v>
      </c>
      <c r="AQ183" s="13">
        <f t="shared" si="84"/>
        <v>8</v>
      </c>
      <c r="AR183" s="169">
        <f t="shared" si="85"/>
        <v>43248</v>
      </c>
      <c r="AS183" s="744">
        <f t="shared" si="86"/>
        <v>0.75</v>
      </c>
      <c r="AT183" s="760">
        <f t="shared" si="87"/>
        <v>65.312746875360602</v>
      </c>
      <c r="AU183" s="13">
        <f t="shared" si="88"/>
        <v>7</v>
      </c>
      <c r="AV183" s="13">
        <f t="shared" si="89"/>
        <v>8</v>
      </c>
      <c r="AW183" s="169">
        <f t="shared" si="90"/>
        <v>43262</v>
      </c>
      <c r="AX183" s="744">
        <f t="shared" si="91"/>
        <v>0.25</v>
      </c>
      <c r="AY183" s="760">
        <f t="shared" si="92"/>
        <v>65.164457811787727</v>
      </c>
      <c r="AZ183" s="737">
        <f t="shared" si="96"/>
        <v>65.238602343574172</v>
      </c>
      <c r="BA183" s="634">
        <f t="shared" si="93"/>
        <v>0.96628293611581972</v>
      </c>
      <c r="BC183" s="11">
        <v>43269</v>
      </c>
      <c r="BD183" s="286">
        <f>[3]!FeuilCaduc*(1-Persistant)+Persistant</f>
        <v>0.93947365975832464</v>
      </c>
      <c r="BE183" s="287">
        <f>[3]!CroissVégét</f>
        <v>0.5810691763075071</v>
      </c>
      <c r="BF183" s="807">
        <f>1+[3]!Salcycl*Ksac</f>
        <v>1.0424342074697905</v>
      </c>
      <c r="BH183" s="1041">
        <f t="shared" si="94"/>
        <v>1.133134081105694E-4</v>
      </c>
      <c r="BI183" s="11">
        <v>44365</v>
      </c>
      <c r="BJ183" s="717">
        <v>2.7301991040547639E-5</v>
      </c>
      <c r="BK183" s="717">
        <v>4.3358380956203697E-5</v>
      </c>
      <c r="BL183" s="717">
        <v>6.2227881862443393E-5</v>
      </c>
      <c r="BM183" s="717">
        <v>8.0888141267043313E-5</v>
      </c>
      <c r="BN183" s="717">
        <v>9.8024720892604124E-5</v>
      </c>
      <c r="BO183" s="718">
        <v>1.1340852887090234E-4</v>
      </c>
      <c r="BP183" s="717">
        <v>1.3206216943503993E-4</v>
      </c>
      <c r="BQ183" s="717">
        <v>1.5680585877154591E-4</v>
      </c>
      <c r="BR183" s="717">
        <v>1.8919199589454143E-4</v>
      </c>
      <c r="BS183" s="717">
        <v>2.310904884705263E-4</v>
      </c>
      <c r="BT183" s="717">
        <v>2.7998888149068421E-4</v>
      </c>
      <c r="BW183" s="1162">
        <f>'2022'!R\Max</f>
        <v>0.96628293611581972</v>
      </c>
      <c r="BX183" s="1163">
        <f>'2023'!R\Max</f>
        <v>0.96628290798601069</v>
      </c>
      <c r="BY183" s="1163">
        <f>'2024'!R\Max</f>
        <v>0.96628287463329021</v>
      </c>
      <c r="BZ183" s="1163">
        <f>'2025'!R\Max</f>
        <v>0.966282837319548</v>
      </c>
      <c r="CA183" s="1163">
        <f>'2026'!R\Max</f>
        <v>0.9662827934515007</v>
      </c>
      <c r="CB183" s="1163">
        <f>'2027'!R\Max</f>
        <v>0.96628274461269348</v>
      </c>
      <c r="CC183" s="1164">
        <f>'2028'!R\Max</f>
        <v>0.96628268761585645</v>
      </c>
      <c r="CD183" s="1163">
        <f>'2029'!R\Max</f>
        <v>0.96628293752164041</v>
      </c>
      <c r="CE183" s="1163">
        <f>'2030'!R\Max</f>
        <v>0.96628290939183292</v>
      </c>
      <c r="CF183" s="1165">
        <f>'2031'!R\Max</f>
        <v>0.96628287649808864</v>
      </c>
    </row>
    <row r="184" spans="1:84" s="6" customFormat="1" ht="11.25" x14ac:dyDescent="0.2">
      <c r="A184" s="11">
        <v>43270</v>
      </c>
      <c r="B184" s="375">
        <f>'2022'!Maxi_hp</f>
        <v>63.551261625570454</v>
      </c>
      <c r="C184" s="13">
        <f>'2022'!An_max</f>
        <v>2022</v>
      </c>
      <c r="D184" s="1050">
        <f t="shared" si="78"/>
        <v>0.97428112468024908</v>
      </c>
      <c r="E184" s="13"/>
      <c r="F184" s="13">
        <f t="shared" si="95"/>
        <v>13</v>
      </c>
      <c r="G184" s="13">
        <f t="shared" si="79"/>
        <v>14</v>
      </c>
      <c r="H184" s="169">
        <f t="shared" si="80"/>
        <v>43262</v>
      </c>
      <c r="I184" s="744">
        <f t="shared" si="81"/>
        <v>0.5714285714285714</v>
      </c>
      <c r="J184" s="737">
        <f t="shared" si="82"/>
        <v>65.228874927067324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43">
        <v>43270</v>
      </c>
      <c r="AP184" s="13">
        <f t="shared" si="83"/>
        <v>7</v>
      </c>
      <c r="AQ184" s="13">
        <f t="shared" si="84"/>
        <v>8</v>
      </c>
      <c r="AR184" s="169">
        <f t="shared" si="85"/>
        <v>43248</v>
      </c>
      <c r="AS184" s="744">
        <f t="shared" si="86"/>
        <v>0.7857142857142857</v>
      </c>
      <c r="AT184" s="760">
        <f t="shared" si="87"/>
        <v>65.28763534953552</v>
      </c>
      <c r="AU184" s="13">
        <f t="shared" si="88"/>
        <v>7</v>
      </c>
      <c r="AV184" s="13">
        <f t="shared" si="89"/>
        <v>8</v>
      </c>
      <c r="AW184" s="169">
        <f t="shared" si="90"/>
        <v>43262</v>
      </c>
      <c r="AX184" s="744">
        <f t="shared" si="91"/>
        <v>0.2857142857142857</v>
      </c>
      <c r="AY184" s="760">
        <f t="shared" si="92"/>
        <v>65.140042564805071</v>
      </c>
      <c r="AZ184" s="737">
        <f t="shared" si="96"/>
        <v>65.213838957170296</v>
      </c>
      <c r="BA184" s="634">
        <f t="shared" si="93"/>
        <v>0.97428112468024908</v>
      </c>
      <c r="BC184" s="11">
        <v>43270</v>
      </c>
      <c r="BD184" s="286">
        <f>[3]!FeuilCaduc*(1-Persistant)+Persistant</f>
        <v>0.94326851666967559</v>
      </c>
      <c r="BE184" s="287">
        <f>[3]!CroissVégét</f>
        <v>0.5910528631363321</v>
      </c>
      <c r="BF184" s="807">
        <f>1+[3]!Salcycl*Ksac</f>
        <v>1.0429085645837095</v>
      </c>
      <c r="BH184" s="1041">
        <f t="shared" si="94"/>
        <v>1.1498228178028397E-4</v>
      </c>
      <c r="BI184" s="11">
        <v>44366</v>
      </c>
      <c r="BJ184" s="717">
        <v>2.7236820045536984E-5</v>
      </c>
      <c r="BK184" s="717">
        <v>4.3717705546604405E-5</v>
      </c>
      <c r="BL184" s="717">
        <v>6.3185375936281453E-5</v>
      </c>
      <c r="BM184" s="717">
        <v>8.2389168198083228E-5</v>
      </c>
      <c r="BN184" s="717">
        <v>9.9786322341361688E-5</v>
      </c>
      <c r="BO184" s="718">
        <v>1.1507682562143994E-4</v>
      </c>
      <c r="BP184" s="717">
        <v>1.3348171671519134E-4</v>
      </c>
      <c r="BQ184" s="717">
        <v>1.5788582049089023E-4</v>
      </c>
      <c r="BR184" s="717">
        <v>1.8981981946272387E-4</v>
      </c>
      <c r="BS184" s="717">
        <v>2.3112767901064464E-4</v>
      </c>
      <c r="BT184" s="717">
        <v>2.7933399427915076E-4</v>
      </c>
      <c r="BW184" s="1162">
        <f>'2022'!R\Max</f>
        <v>0.97428112468024908</v>
      </c>
      <c r="BX184" s="1163">
        <f>'2023'!R\Max</f>
        <v>0.97428110324395478</v>
      </c>
      <c r="BY184" s="1163">
        <f>'2024'!R\Max</f>
        <v>0.97428107776416062</v>
      </c>
      <c r="BZ184" s="1163">
        <f>'2025'!R\Max</f>
        <v>0.97428104934046778</v>
      </c>
      <c r="CA184" s="1163">
        <f>'2026'!R\Max</f>
        <v>0.97428101584156157</v>
      </c>
      <c r="CB184" s="1163">
        <f>'2027'!R\Max</f>
        <v>0.97428097864759478</v>
      </c>
      <c r="CC184" s="1164">
        <f>'2028'!R\Max</f>
        <v>0.97428093513552227</v>
      </c>
      <c r="CD184" s="1163">
        <f>'2029'!R\Max</f>
        <v>0.97428112575155368</v>
      </c>
      <c r="CE184" s="1163">
        <f>'2030'!R\Max</f>
        <v>0.97428110431526049</v>
      </c>
      <c r="CF184" s="1165">
        <f>'2031'!R\Max</f>
        <v>0.97428107918466855</v>
      </c>
    </row>
    <row r="185" spans="1:84" s="6" customFormat="1" ht="11.25" x14ac:dyDescent="0.2">
      <c r="A185" s="11">
        <v>43271</v>
      </c>
      <c r="B185" s="375">
        <f>'2022'!Maxi_hp</f>
        <v>34.366821926226663</v>
      </c>
      <c r="C185" s="13">
        <f>'2022'!An_max</f>
        <v>2022</v>
      </c>
      <c r="D185" s="1050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69">
        <f t="shared" si="80"/>
        <v>43262</v>
      </c>
      <c r="I185" s="744">
        <f t="shared" si="81"/>
        <v>0.6428571428571429</v>
      </c>
      <c r="J185" s="737">
        <f t="shared" si="82"/>
        <v>65.211927605580016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43">
        <v>43271</v>
      </c>
      <c r="AP185" s="13">
        <f t="shared" si="83"/>
        <v>7</v>
      </c>
      <c r="AQ185" s="13">
        <f t="shared" si="84"/>
        <v>8</v>
      </c>
      <c r="AR185" s="169">
        <f t="shared" si="85"/>
        <v>43248</v>
      </c>
      <c r="AS185" s="744">
        <f t="shared" si="86"/>
        <v>0.8214285714285714</v>
      </c>
      <c r="AT185" s="760">
        <f t="shared" si="87"/>
        <v>65.257754546696589</v>
      </c>
      <c r="AU185" s="13">
        <f t="shared" si="88"/>
        <v>7</v>
      </c>
      <c r="AV185" s="13">
        <f t="shared" si="89"/>
        <v>8</v>
      </c>
      <c r="AW185" s="169">
        <f t="shared" si="90"/>
        <v>43262</v>
      </c>
      <c r="AX185" s="744">
        <f t="shared" si="91"/>
        <v>0.32142857142857145</v>
      </c>
      <c r="AY185" s="760">
        <f t="shared" si="92"/>
        <v>65.111786411649419</v>
      </c>
      <c r="AZ185" s="737">
        <f t="shared" si="96"/>
        <v>65.184770479173011</v>
      </c>
      <c r="BA185" s="634">
        <f t="shared" si="93"/>
        <v>0.52700208670546922</v>
      </c>
      <c r="BC185" s="11">
        <v>43271</v>
      </c>
      <c r="BD185" s="286">
        <f>[3]!FeuilCaduc*(1-Persistant)+Persistant</f>
        <v>0.94692681250213284</v>
      </c>
      <c r="BE185" s="287">
        <f>[3]!CroissVégét</f>
        <v>0.60096181929049675</v>
      </c>
      <c r="BF185" s="807">
        <f>1+[3]!Salcycl*Ksac</f>
        <v>1.0433658515627666</v>
      </c>
      <c r="BH185" s="1041">
        <f t="shared" si="94"/>
        <v>1.1615919719473231E-4</v>
      </c>
      <c r="BI185" s="11">
        <v>44367</v>
      </c>
      <c r="BJ185" s="717">
        <v>2.7186988856525743E-5</v>
      </c>
      <c r="BK185" s="717">
        <v>4.3968793007847996E-5</v>
      </c>
      <c r="BL185" s="717">
        <v>6.3860955253193727E-5</v>
      </c>
      <c r="BM185" s="717">
        <v>8.3450281621205152E-5</v>
      </c>
      <c r="BN185" s="717">
        <v>1.0103126476859212E-4</v>
      </c>
      <c r="BO185" s="718">
        <v>1.1625331779607137E-4</v>
      </c>
      <c r="BP185" s="717">
        <v>1.3447844963660662E-4</v>
      </c>
      <c r="BQ185" s="717">
        <v>1.5863723936503931E-4</v>
      </c>
      <c r="BR185" s="717">
        <v>1.9024468531583273E-4</v>
      </c>
      <c r="BS185" s="717">
        <v>2.3112601484144902E-4</v>
      </c>
      <c r="BT185" s="717">
        <v>2.78832564996165E-4</v>
      </c>
      <c r="BW185" s="1162">
        <f>'2022'!R\Max</f>
        <v>0.52700208670546922</v>
      </c>
      <c r="BX185" s="1163">
        <f>'2023'!R\Max</f>
        <v>0.5270018746662497</v>
      </c>
      <c r="BY185" s="1163">
        <f>'2024'!R\Max</f>
        <v>0.52700162199337197</v>
      </c>
      <c r="BZ185" s="1163">
        <f>'2025'!R\Max</f>
        <v>0.52700134091910433</v>
      </c>
      <c r="CA185" s="1163">
        <f>'2026'!R\Max</f>
        <v>0.52700100883640755</v>
      </c>
      <c r="CB185" s="1163">
        <f>'2027'!R\Max</f>
        <v>0.5270006411006708</v>
      </c>
      <c r="CC185" s="1164">
        <f>'2028'!R\Max</f>
        <v>0.52700020985721485</v>
      </c>
      <c r="CD185" s="1163">
        <f>'2029'!R\Max</f>
        <v>0.52700209730238712</v>
      </c>
      <c r="CE185" s="1163">
        <f>'2030'!R\Max</f>
        <v>0.5270018852631716</v>
      </c>
      <c r="CF185" s="1165">
        <f>'2031'!R\Max</f>
        <v>0.52700163604039929</v>
      </c>
    </row>
    <row r="186" spans="1:84" s="6" customFormat="1" ht="11.25" x14ac:dyDescent="0.2">
      <c r="A186" s="11">
        <v>43272</v>
      </c>
      <c r="B186" s="375">
        <f>'2022'!Maxi_hp</f>
        <v>23.128224796765007</v>
      </c>
      <c r="C186" s="13">
        <f>'2022'!An_max</f>
        <v>2022</v>
      </c>
      <c r="D186" s="1050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69">
        <f t="shared" si="80"/>
        <v>43262</v>
      </c>
      <c r="I186" s="744">
        <f t="shared" si="81"/>
        <v>0.7142857142857143</v>
      </c>
      <c r="J186" s="737">
        <f t="shared" si="82"/>
        <v>65.189555684477085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43">
        <v>43272</v>
      </c>
      <c r="AP186" s="13">
        <f t="shared" si="83"/>
        <v>7</v>
      </c>
      <c r="AQ186" s="13">
        <f t="shared" si="84"/>
        <v>8</v>
      </c>
      <c r="AR186" s="169">
        <f t="shared" si="85"/>
        <v>43248</v>
      </c>
      <c r="AS186" s="744">
        <f t="shared" si="86"/>
        <v>0.8571428571428571</v>
      </c>
      <c r="AT186" s="760">
        <f t="shared" si="87"/>
        <v>65.223049853635686</v>
      </c>
      <c r="AU186" s="13">
        <f t="shared" si="88"/>
        <v>7</v>
      </c>
      <c r="AV186" s="13">
        <f t="shared" si="89"/>
        <v>8</v>
      </c>
      <c r="AW186" s="169">
        <f t="shared" si="90"/>
        <v>43262</v>
      </c>
      <c r="AX186" s="744">
        <f t="shared" si="91"/>
        <v>0.35714285714285715</v>
      </c>
      <c r="AY186" s="760">
        <f t="shared" si="92"/>
        <v>65.079607434091812</v>
      </c>
      <c r="AZ186" s="737">
        <f t="shared" si="96"/>
        <v>65.151328643863749</v>
      </c>
      <c r="BA186" s="634">
        <f t="shared" si="93"/>
        <v>0.35478420667119676</v>
      </c>
      <c r="BC186" s="11">
        <v>43272</v>
      </c>
      <c r="BD186" s="286">
        <f>[3]!FeuilCaduc*(1-Persistant)+Persistant</f>
        <v>0.95044712156663069</v>
      </c>
      <c r="BE186" s="287">
        <f>[3]!CroissVégét</f>
        <v>0.61078861238975013</v>
      </c>
      <c r="BF186" s="807">
        <f>1+[3]!Salcycl*Ksac</f>
        <v>1.0438058901958289</v>
      </c>
      <c r="BH186" s="1041">
        <f t="shared" si="94"/>
        <v>1.1684501062985138E-4</v>
      </c>
      <c r="BI186" s="11">
        <v>44368</v>
      </c>
      <c r="BJ186" s="717">
        <v>2.7152506553092211E-5</v>
      </c>
      <c r="BK186" s="717">
        <v>4.4111853114267074E-5</v>
      </c>
      <c r="BL186" s="717">
        <v>6.4255107358981664E-5</v>
      </c>
      <c r="BM186" s="717">
        <v>8.4072223511446727E-5</v>
      </c>
      <c r="BN186" s="717">
        <v>1.017604231014739E-4</v>
      </c>
      <c r="BO186" s="718">
        <v>1.169388615546922E-4</v>
      </c>
      <c r="BP186" s="717">
        <v>1.3505314436146427E-4</v>
      </c>
      <c r="BQ186" s="717">
        <v>1.5906078137841936E-4</v>
      </c>
      <c r="BR186" s="717">
        <v>1.9046711199448803E-4</v>
      </c>
      <c r="BS186" s="717">
        <v>2.3108582134949838E-4</v>
      </c>
      <c r="BT186" s="717">
        <v>2.7848469243565185E-4</v>
      </c>
      <c r="BW186" s="1162">
        <f>'2022'!R\Max</f>
        <v>0.35478420667119676</v>
      </c>
      <c r="BX186" s="1163">
        <f>'2023'!R\Max</f>
        <v>0.35478401234789919</v>
      </c>
      <c r="BY186" s="1163">
        <f>'2024'!R\Max</f>
        <v>0.35478378019130996</v>
      </c>
      <c r="BZ186" s="1163">
        <f>'2025'!R\Max</f>
        <v>0.35478352264624097</v>
      </c>
      <c r="CA186" s="1163">
        <f>'2026'!R\Max</f>
        <v>0.35478321760412607</v>
      </c>
      <c r="CB186" s="1163">
        <f>'2027'!R\Max</f>
        <v>0.35478288068850594</v>
      </c>
      <c r="CC186" s="1164">
        <f>'2028'!R\Max</f>
        <v>0.35478248463260559</v>
      </c>
      <c r="CD186" s="1163">
        <f>'2029'!R\Max</f>
        <v>0.35478421638274132</v>
      </c>
      <c r="CE186" s="1163">
        <f>'2030'!R\Max</f>
        <v>0.35478402205944465</v>
      </c>
      <c r="CF186" s="1165">
        <f>'2031'!R\Max</f>
        <v>0.35478379306243968</v>
      </c>
    </row>
    <row r="187" spans="1:84" s="6" customFormat="1" ht="11.25" x14ac:dyDescent="0.2">
      <c r="A187" s="11">
        <v>43273</v>
      </c>
      <c r="B187" s="375">
        <f>'2022'!Maxi_hp</f>
        <v>47.983583041866694</v>
      </c>
      <c r="C187" s="13">
        <f>'2022'!An_max</f>
        <v>2022</v>
      </c>
      <c r="D187" s="1050" t="str">
        <f t="shared" si="78"/>
        <v/>
      </c>
      <c r="E187" s="13"/>
      <c r="F187" s="13">
        <f t="shared" si="95"/>
        <v>13</v>
      </c>
      <c r="G187" s="13">
        <f t="shared" si="79"/>
        <v>14</v>
      </c>
      <c r="H187" s="169">
        <f t="shared" si="80"/>
        <v>43262</v>
      </c>
      <c r="I187" s="744">
        <f t="shared" si="81"/>
        <v>0.7857142857142857</v>
      </c>
      <c r="J187" s="737">
        <f t="shared" si="82"/>
        <v>65.161213064672694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43">
        <v>43273</v>
      </c>
      <c r="AP187" s="13">
        <f t="shared" si="83"/>
        <v>7</v>
      </c>
      <c r="AQ187" s="13">
        <f t="shared" si="84"/>
        <v>8</v>
      </c>
      <c r="AR187" s="169">
        <f t="shared" si="85"/>
        <v>43248</v>
      </c>
      <c r="AS187" s="744">
        <f t="shared" si="86"/>
        <v>0.8928571428571429</v>
      </c>
      <c r="AT187" s="760">
        <f t="shared" si="87"/>
        <v>65.183466663690552</v>
      </c>
      <c r="AU187" s="13">
        <f t="shared" si="88"/>
        <v>7</v>
      </c>
      <c r="AV187" s="13">
        <f t="shared" si="89"/>
        <v>8</v>
      </c>
      <c r="AW187" s="169">
        <f t="shared" si="90"/>
        <v>43262</v>
      </c>
      <c r="AX187" s="744">
        <f t="shared" si="91"/>
        <v>0.39285714285714285</v>
      </c>
      <c r="AY187" s="760">
        <f t="shared" si="92"/>
        <v>65.043423719438067</v>
      </c>
      <c r="AZ187" s="737">
        <f t="shared" si="96"/>
        <v>65.11344519156431</v>
      </c>
      <c r="BA187" s="634">
        <f t="shared" si="93"/>
        <v>0.73638259303495235</v>
      </c>
      <c r="BC187" s="11">
        <v>43273</v>
      </c>
      <c r="BD187" s="286">
        <f>[3]!FeuilCaduc*(1-Persistant)+Persistant</f>
        <v>0.95382842739256313</v>
      </c>
      <c r="BE187" s="287">
        <f>[3]!CroissVégét</f>
        <v>0.62052607026992535</v>
      </c>
      <c r="BF187" s="807">
        <f>1+[3]!Salcycl*Ksac</f>
        <v>1.0442285534240705</v>
      </c>
      <c r="BH187" s="1041">
        <f t="shared" si="94"/>
        <v>1.1704054194481741E-4</v>
      </c>
      <c r="BI187" s="11">
        <v>44369</v>
      </c>
      <c r="BJ187" s="717">
        <v>2.7133383321463634E-5</v>
      </c>
      <c r="BK187" s="717">
        <v>4.4147087610788351E-5</v>
      </c>
      <c r="BL187" s="717">
        <v>6.4368298933497345E-5</v>
      </c>
      <c r="BM187" s="717">
        <v>8.4255703298782438E-5</v>
      </c>
      <c r="BN187" s="717">
        <v>1.0197463404161158E-4</v>
      </c>
      <c r="BO187" s="718">
        <v>1.1713427665169106E-4</v>
      </c>
      <c r="BP187" s="717">
        <v>1.3520654572103536E-4</v>
      </c>
      <c r="BQ187" s="717">
        <v>1.5915708811942107E-4</v>
      </c>
      <c r="BR187" s="717">
        <v>1.9048760288220163E-4</v>
      </c>
      <c r="BS187" s="717">
        <v>2.3100742083721144E-4</v>
      </c>
      <c r="BT187" s="717">
        <v>2.7829048645592073E-4</v>
      </c>
      <c r="BW187" s="1162">
        <f>'2022'!R\Max</f>
        <v>0.73638259303495235</v>
      </c>
      <c r="BX187" s="1163">
        <f>'2023'!R\Max</f>
        <v>0.73638242796955344</v>
      </c>
      <c r="BY187" s="1163">
        <f>'2024'!R\Max</f>
        <v>0.73638223025192939</v>
      </c>
      <c r="BZ187" s="1163">
        <f>'2025'!R\Max</f>
        <v>0.7363820114961801</v>
      </c>
      <c r="CA187" s="1163">
        <f>'2026'!R\Max</f>
        <v>0.73638175174654397</v>
      </c>
      <c r="CB187" s="1163">
        <f>'2027'!R\Max</f>
        <v>0.73638146558408857</v>
      </c>
      <c r="CC187" s="1164">
        <f>'2028'!R\Max</f>
        <v>0.73638112837715375</v>
      </c>
      <c r="CD187" s="1163">
        <f>'2029'!R\Max</f>
        <v>0.73638260128429489</v>
      </c>
      <c r="CE187" s="1163">
        <f>'2030'!R\Max</f>
        <v>0.7363824362189022</v>
      </c>
      <c r="CF187" s="1165">
        <f>'2031'!R\Max</f>
        <v>0.73638224118451057</v>
      </c>
    </row>
    <row r="188" spans="1:84" s="6" customFormat="1" ht="11.25" x14ac:dyDescent="0.2">
      <c r="A188" s="11">
        <v>43274</v>
      </c>
      <c r="B188" s="375">
        <f>'2022'!Maxi_hp</f>
        <v>47.44907922821023</v>
      </c>
      <c r="C188" s="13">
        <f>'2022'!An_max</f>
        <v>2022</v>
      </c>
      <c r="D188" s="1050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69">
        <f t="shared" si="80"/>
        <v>43262</v>
      </c>
      <c r="I188" s="744">
        <f t="shared" si="81"/>
        <v>0.8571428571428571</v>
      </c>
      <c r="J188" s="737">
        <f t="shared" si="82"/>
        <v>65.126353643674932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43">
        <v>43274</v>
      </c>
      <c r="AP188" s="13">
        <f t="shared" si="83"/>
        <v>7</v>
      </c>
      <c r="AQ188" s="13">
        <f t="shared" si="84"/>
        <v>8</v>
      </c>
      <c r="AR188" s="169">
        <f t="shared" si="85"/>
        <v>43248</v>
      </c>
      <c r="AS188" s="744">
        <f t="shared" si="86"/>
        <v>0.9285714285714286</v>
      </c>
      <c r="AT188" s="760">
        <f t="shared" si="87"/>
        <v>65.138950363865916</v>
      </c>
      <c r="AU188" s="13">
        <f t="shared" si="88"/>
        <v>7</v>
      </c>
      <c r="AV188" s="13">
        <f t="shared" si="89"/>
        <v>8</v>
      </c>
      <c r="AW188" s="169">
        <f t="shared" si="90"/>
        <v>43262</v>
      </c>
      <c r="AX188" s="744">
        <f t="shared" si="91"/>
        <v>0.42857142857142855</v>
      </c>
      <c r="AY188" s="760">
        <f t="shared" si="92"/>
        <v>65.00315335212008</v>
      </c>
      <c r="AZ188" s="737">
        <f t="shared" si="96"/>
        <v>65.071051857992998</v>
      </c>
      <c r="BA188" s="634">
        <f t="shared" si="93"/>
        <v>0.72856956628982839</v>
      </c>
      <c r="BC188" s="11">
        <v>43274</v>
      </c>
      <c r="BD188" s="286">
        <f>[3]!FeuilCaduc*(1-Persistant)+Persistant</f>
        <v>0.95707012071897468</v>
      </c>
      <c r="BE188" s="287">
        <f>[3]!CroissVégét</f>
        <v>0.6301672999323692</v>
      </c>
      <c r="BF188" s="807">
        <f>1+[3]!Salcycl*Ksac</f>
        <v>1.0446337650898718</v>
      </c>
      <c r="BH188" s="1041">
        <f t="shared" si="94"/>
        <v>1.1674557057439789E-4</v>
      </c>
      <c r="BI188" s="11">
        <v>44370</v>
      </c>
      <c r="BJ188" s="717">
        <v>2.7129398619404789E-5</v>
      </c>
      <c r="BK188" s="717">
        <v>4.4074312057989236E-5</v>
      </c>
      <c r="BL188" s="717">
        <v>6.4200423539753916E-5</v>
      </c>
      <c r="BM188" s="717">
        <v>8.4000674486605967E-5</v>
      </c>
      <c r="BN188" s="717">
        <v>1.0167382066922939E-4</v>
      </c>
      <c r="BO188" s="718">
        <v>1.1683934162812464E-4</v>
      </c>
      <c r="BP188" s="717">
        <v>1.349382084126199E-4</v>
      </c>
      <c r="BQ188" s="717">
        <v>1.5892541391312936E-4</v>
      </c>
      <c r="BR188" s="717">
        <v>1.9030501641097356E-4</v>
      </c>
      <c r="BS188" s="717">
        <v>2.3088915752307018E-4</v>
      </c>
      <c r="BT188" s="717">
        <v>2.7824769016136157E-4</v>
      </c>
      <c r="BW188" s="1162">
        <f>'2022'!R\Max</f>
        <v>0.72856956628982839</v>
      </c>
      <c r="BX188" s="1163">
        <f>'2023'!R\Max</f>
        <v>0.72856939722525704</v>
      </c>
      <c r="BY188" s="1163">
        <f>'2024'!R\Max</f>
        <v>0.72856919417903065</v>
      </c>
      <c r="BZ188" s="1163">
        <f>'2025'!R\Max</f>
        <v>0.7285689701101048</v>
      </c>
      <c r="CA188" s="1163">
        <f>'2026'!R\Max</f>
        <v>0.72856870337945956</v>
      </c>
      <c r="CB188" s="1163">
        <f>'2027'!R\Max</f>
        <v>0.72856841025611752</v>
      </c>
      <c r="CC188" s="1164">
        <f>'2028'!R\Max</f>
        <v>0.72856806401291851</v>
      </c>
      <c r="CD188" s="1163">
        <f>'2029'!R\Max</f>
        <v>0.7285695747390345</v>
      </c>
      <c r="CE188" s="1163">
        <f>'2030'!R\Max</f>
        <v>0.72856940567446904</v>
      </c>
      <c r="CF188" s="1165">
        <f>'2031'!R\Max</f>
        <v>0.72856920537714431</v>
      </c>
    </row>
    <row r="189" spans="1:84" s="6" customFormat="1" ht="11.25" x14ac:dyDescent="0.2">
      <c r="A189" s="11">
        <v>43275</v>
      </c>
      <c r="B189" s="375">
        <f>'2022'!Maxi_hp</f>
        <v>51.044676183708283</v>
      </c>
      <c r="C189" s="13">
        <f>'2022'!An_max</f>
        <v>2022</v>
      </c>
      <c r="D189" s="1050" t="str">
        <f t="shared" si="78"/>
        <v/>
      </c>
      <c r="E189" s="13"/>
      <c r="F189" s="13">
        <f t="shared" si="95"/>
        <v>13</v>
      </c>
      <c r="G189" s="13">
        <f t="shared" si="79"/>
        <v>14</v>
      </c>
      <c r="H189" s="169">
        <f t="shared" si="80"/>
        <v>43262</v>
      </c>
      <c r="I189" s="744">
        <f t="shared" si="81"/>
        <v>0.9285714285714286</v>
      </c>
      <c r="J189" s="737">
        <f t="shared" si="82"/>
        <v>65.084431321839148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43">
        <v>43275</v>
      </c>
      <c r="AP189" s="13">
        <f t="shared" si="83"/>
        <v>7</v>
      </c>
      <c r="AQ189" s="13">
        <f t="shared" si="84"/>
        <v>8</v>
      </c>
      <c r="AR189" s="169">
        <f t="shared" si="85"/>
        <v>43248</v>
      </c>
      <c r="AS189" s="744">
        <f t="shared" si="86"/>
        <v>0.9642857142857143</v>
      </c>
      <c r="AT189" s="760">
        <f t="shared" si="87"/>
        <v>65.089446346648032</v>
      </c>
      <c r="AU189" s="13">
        <f t="shared" si="88"/>
        <v>7</v>
      </c>
      <c r="AV189" s="13">
        <f t="shared" si="89"/>
        <v>8</v>
      </c>
      <c r="AW189" s="169">
        <f t="shared" si="90"/>
        <v>43262</v>
      </c>
      <c r="AX189" s="744">
        <f t="shared" si="91"/>
        <v>0.4642857142857143</v>
      </c>
      <c r="AY189" s="760">
        <f t="shared" si="92"/>
        <v>64.958714417687489</v>
      </c>
      <c r="AZ189" s="737">
        <f t="shared" si="96"/>
        <v>65.024080382167767</v>
      </c>
      <c r="BA189" s="634">
        <f t="shared" si="93"/>
        <v>0.78428397002187822</v>
      </c>
      <c r="BC189" s="11">
        <v>43275</v>
      </c>
      <c r="BD189" s="286">
        <f>[3]!FeuilCaduc*(1-Persistant)+Persistant</f>
        <v>0.96017199524755636</v>
      </c>
      <c r="BE189" s="287">
        <f>[3]!CroissVégét</f>
        <v>0.63970570469545396</v>
      </c>
      <c r="BF189" s="807">
        <f>1+[3]!Salcycl*Ksac</f>
        <v>1.0450214994059446</v>
      </c>
      <c r="BH189" s="1041">
        <f t="shared" si="94"/>
        <v>1.1595980290349486E-4</v>
      </c>
      <c r="BI189" s="11">
        <v>44371</v>
      </c>
      <c r="BJ189" s="717">
        <v>2.7140320744961235E-5</v>
      </c>
      <c r="BK189" s="717">
        <v>4.3893317913924367E-5</v>
      </c>
      <c r="BL189" s="717">
        <v>6.3751334059022516E-5</v>
      </c>
      <c r="BM189" s="717">
        <v>8.330703416289561E-5</v>
      </c>
      <c r="BN189" s="717">
        <v>1.008578384888152E-4</v>
      </c>
      <c r="BO189" s="718">
        <v>1.1605376194112611E-4</v>
      </c>
      <c r="BP189" s="717">
        <v>1.3424760923998224E-4</v>
      </c>
      <c r="BQ189" s="717">
        <v>1.5836492894390214E-4</v>
      </c>
      <c r="BR189" s="717">
        <v>1.8991811880102942E-4</v>
      </c>
      <c r="BS189" s="717">
        <v>2.3072927305062393E-4</v>
      </c>
      <c r="BT189" s="717">
        <v>2.7835393202508716E-4</v>
      </c>
      <c r="BW189" s="1162">
        <f>'2022'!R\Max</f>
        <v>0.78428397002187822</v>
      </c>
      <c r="BX189" s="1163">
        <f>'2023'!R\Max</f>
        <v>0.78428382406085118</v>
      </c>
      <c r="BY189" s="1163">
        <f>'2024'!R\Max</f>
        <v>0.78428364828766095</v>
      </c>
      <c r="BZ189" s="1163">
        <f>'2025'!R\Max</f>
        <v>0.78428345480490491</v>
      </c>
      <c r="CA189" s="1163">
        <f>'2026'!R\Max</f>
        <v>0.78428322389812766</v>
      </c>
      <c r="CB189" s="1163">
        <f>'2027'!R\Max</f>
        <v>0.78428297075996423</v>
      </c>
      <c r="CC189" s="1164">
        <f>'2028'!R\Max</f>
        <v>0.78428267102713112</v>
      </c>
      <c r="CD189" s="1163">
        <f>'2029'!R\Max</f>
        <v>0.78428397731645616</v>
      </c>
      <c r="CE189" s="1163">
        <f>'2030'!R\Max</f>
        <v>0.784283831355435</v>
      </c>
      <c r="CF189" s="1165">
        <f>'2031'!R\Max</f>
        <v>0.78428365795719357</v>
      </c>
    </row>
    <row r="190" spans="1:84" s="6" customFormat="1" ht="11.25" x14ac:dyDescent="0.2">
      <c r="A190" s="11">
        <v>43276</v>
      </c>
      <c r="B190" s="375">
        <f>'2022'!Maxi_hp</f>
        <v>42.525136744519635</v>
      </c>
      <c r="C190" s="13">
        <f>'2022'!An_max</f>
        <v>2022</v>
      </c>
      <c r="D190" s="1050" t="str">
        <f t="shared" si="78"/>
        <v/>
      </c>
      <c r="E190" s="1045">
        <f>Z$13/10</f>
        <v>65.034900000000007</v>
      </c>
      <c r="F190" s="13">
        <f t="shared" si="95"/>
        <v>15</v>
      </c>
      <c r="G190" s="13">
        <f t="shared" si="79"/>
        <v>14</v>
      </c>
      <c r="H190" s="169">
        <f t="shared" si="80"/>
        <v>43290</v>
      </c>
      <c r="I190" s="744">
        <f t="shared" si="81"/>
        <v>1</v>
      </c>
      <c r="J190" s="737">
        <f t="shared" si="82"/>
        <v>65.034899999946362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43">
        <v>43276</v>
      </c>
      <c r="AP190" s="13">
        <f t="shared" si="83"/>
        <v>9</v>
      </c>
      <c r="AQ190" s="13">
        <f t="shared" si="84"/>
        <v>8</v>
      </c>
      <c r="AR190" s="169">
        <f t="shared" si="85"/>
        <v>43304</v>
      </c>
      <c r="AS190" s="744">
        <f t="shared" si="86"/>
        <v>1</v>
      </c>
      <c r="AT190" s="760">
        <f t="shared" si="87"/>
        <v>65.034899999201301</v>
      </c>
      <c r="AU190" s="13">
        <f t="shared" si="88"/>
        <v>7</v>
      </c>
      <c r="AV190" s="13">
        <f t="shared" si="89"/>
        <v>8</v>
      </c>
      <c r="AW190" s="169">
        <f t="shared" si="90"/>
        <v>43262</v>
      </c>
      <c r="AX190" s="744">
        <f t="shared" si="91"/>
        <v>0.5</v>
      </c>
      <c r="AY190" s="760">
        <f t="shared" si="92"/>
        <v>64.910024999082083</v>
      </c>
      <c r="AZ190" s="737">
        <f t="shared" si="96"/>
        <v>64.972462499141699</v>
      </c>
      <c r="BA190" s="634">
        <f t="shared" si="93"/>
        <v>0.65388178877117842</v>
      </c>
      <c r="BC190" s="11">
        <v>43276</v>
      </c>
      <c r="BD190" s="286">
        <f>[3]!FeuilCaduc*(1-Persistant)+Persistant</f>
        <v>0.96313424118963542</v>
      </c>
      <c r="BE190" s="287">
        <f>[3]!CroissVégét</f>
        <v>0.64913499947740572</v>
      </c>
      <c r="BF190" s="807">
        <f>1+[3]!Salcycl*Ksac</f>
        <v>1.0453917801487045</v>
      </c>
      <c r="BH190" s="1041">
        <f t="shared" si="94"/>
        <v>1.1468391794467284E-4</v>
      </c>
      <c r="BI190" s="11">
        <v>44372</v>
      </c>
      <c r="BJ190" s="717">
        <v>2.7166144094661659E-5</v>
      </c>
      <c r="BK190" s="717">
        <v>4.3604263874469839E-5</v>
      </c>
      <c r="BL190" s="717">
        <v>6.3021418230563793E-5</v>
      </c>
      <c r="BM190" s="717">
        <v>8.2175379187674117E-5</v>
      </c>
      <c r="BN190" s="717">
        <v>9.952739001357757E-5</v>
      </c>
      <c r="BO190" s="718">
        <v>1.1477821645704733E-4</v>
      </c>
      <c r="BP190" s="717">
        <v>1.3313534928912824E-4</v>
      </c>
      <c r="BQ190" s="717">
        <v>1.5747612763855772E-4</v>
      </c>
      <c r="BR190" s="717">
        <v>1.8932726210055457E-4</v>
      </c>
      <c r="BS190" s="717">
        <v>2.3052793320844109E-4</v>
      </c>
      <c r="BT190" s="717">
        <v>2.7860915945539103E-4</v>
      </c>
      <c r="BW190" s="1162">
        <f>'2022'!R\Max</f>
        <v>0.65388178877117842</v>
      </c>
      <c r="BX190" s="1163">
        <f>'2023'!R\Max</f>
        <v>0.65388159100431176</v>
      </c>
      <c r="BY190" s="1163">
        <f>'2024'!R\Max</f>
        <v>0.65388135218889754</v>
      </c>
      <c r="BZ190" s="1163">
        <f>'2025'!R\Max</f>
        <v>0.65388108995804894</v>
      </c>
      <c r="CA190" s="1163">
        <f>'2026'!R\Max</f>
        <v>0.65388077620510099</v>
      </c>
      <c r="CB190" s="1163">
        <f>'2027'!R\Max</f>
        <v>0.65388043306216592</v>
      </c>
      <c r="CC190" s="1164">
        <f>'2028'!R\Max</f>
        <v>0.65388002577987603</v>
      </c>
      <c r="CD190" s="1163">
        <f>'2029'!R\Max</f>
        <v>0.65388179865481666</v>
      </c>
      <c r="CE190" s="1163">
        <f>'2030'!R\Max</f>
        <v>0.65388160088795633</v>
      </c>
      <c r="CF190" s="1165">
        <f>'2031'!R\Max</f>
        <v>0.65388136529420005</v>
      </c>
    </row>
    <row r="191" spans="1:84" s="6" customFormat="1" ht="11.25" x14ac:dyDescent="0.2">
      <c r="A191" s="11">
        <v>43277</v>
      </c>
      <c r="B191" s="375">
        <f>'2022'!Maxi_hp</f>
        <v>13.300890225268683</v>
      </c>
      <c r="C191" s="13">
        <f>'2022'!An_max</f>
        <v>2022</v>
      </c>
      <c r="D191" s="1050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69">
        <f t="shared" si="80"/>
        <v>43290</v>
      </c>
      <c r="I191" s="744">
        <f t="shared" si="81"/>
        <v>0.9285714285714286</v>
      </c>
      <c r="J191" s="737">
        <f t="shared" si="82"/>
        <v>64.977868895339114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43">
        <v>43277</v>
      </c>
      <c r="AP191" s="13">
        <f t="shared" si="83"/>
        <v>9</v>
      </c>
      <c r="AQ191" s="13">
        <f t="shared" si="84"/>
        <v>8</v>
      </c>
      <c r="AR191" s="169">
        <f t="shared" si="85"/>
        <v>43304</v>
      </c>
      <c r="AS191" s="744">
        <f t="shared" si="86"/>
        <v>0.9642857142857143</v>
      </c>
      <c r="AT191" s="760">
        <f t="shared" si="87"/>
        <v>64.975336354039612</v>
      </c>
      <c r="AU191" s="13">
        <f t="shared" si="88"/>
        <v>7</v>
      </c>
      <c r="AV191" s="13">
        <f t="shared" si="89"/>
        <v>8</v>
      </c>
      <c r="AW191" s="169">
        <f t="shared" si="90"/>
        <v>43262</v>
      </c>
      <c r="AX191" s="744">
        <f t="shared" si="91"/>
        <v>0.5357142857142857</v>
      </c>
      <c r="AY191" s="760">
        <f t="shared" si="92"/>
        <v>64.857003183343579</v>
      </c>
      <c r="AZ191" s="737">
        <f t="shared" si="96"/>
        <v>64.916169768691589</v>
      </c>
      <c r="BA191" s="634">
        <f t="shared" si="93"/>
        <v>0.20469877592773375</v>
      </c>
      <c r="BC191" s="11">
        <v>43277</v>
      </c>
      <c r="BD191" s="286">
        <f>[3]!FeuilCaduc*(1-Persistant)+Persistant</f>
        <v>0.96595743665661438</v>
      </c>
      <c r="BE191" s="287">
        <f>[3]!CroissVégét</f>
        <v>0.65844922415907026</v>
      </c>
      <c r="BF191" s="807">
        <f>1+[3]!Salcycl*Ksac</f>
        <v>1.0457446795820768</v>
      </c>
      <c r="BH191" s="1041">
        <f t="shared" si="94"/>
        <v>1.1291859200522557E-4</v>
      </c>
      <c r="BI191" s="11">
        <v>44373</v>
      </c>
      <c r="BJ191" s="717">
        <v>2.720686314747214E-5</v>
      </c>
      <c r="BK191" s="717">
        <v>4.3207308039162505E-5</v>
      </c>
      <c r="BL191" s="717">
        <v>6.201106224356165E-5</v>
      </c>
      <c r="BM191" s="717">
        <v>8.0606304003156667E-5</v>
      </c>
      <c r="BN191" s="717">
        <v>9.7683174916928685E-5</v>
      </c>
      <c r="BO191" s="718">
        <v>1.1301338133780641E-4</v>
      </c>
      <c r="BP191" s="717">
        <v>1.3160202731885961E-4</v>
      </c>
      <c r="BQ191" s="717">
        <v>1.5625950261222125E-4</v>
      </c>
      <c r="BR191" s="717">
        <v>1.8853279723282242E-4</v>
      </c>
      <c r="BS191" s="717">
        <v>2.30285303557626E-4</v>
      </c>
      <c r="BT191" s="717">
        <v>2.7901332068483621E-4</v>
      </c>
      <c r="BW191" s="1162">
        <f>'2022'!R\Max</f>
        <v>0.20469877592773375</v>
      </c>
      <c r="BX191" s="1163">
        <f>'2023'!R\Max</f>
        <v>0.20469864865418413</v>
      </c>
      <c r="BY191" s="1163">
        <f>'2024'!R\Max</f>
        <v>0.20469849453439781</v>
      </c>
      <c r="BZ191" s="1163">
        <f>'2025'!R\Max</f>
        <v>0.20469832570852364</v>
      </c>
      <c r="CA191" s="1163">
        <f>'2026'!R\Max</f>
        <v>0.20469812319312247</v>
      </c>
      <c r="CB191" s="1163">
        <f>'2027'!R\Max</f>
        <v>0.20469790222292536</v>
      </c>
      <c r="CC191" s="1164">
        <f>'2028'!R\Max</f>
        <v>0.20469763932027263</v>
      </c>
      <c r="CD191" s="1163">
        <f>'2029'!R\Max</f>
        <v>0.20469878228838545</v>
      </c>
      <c r="CE191" s="1163">
        <f>'2030'!R\Max</f>
        <v>0.20469865501483581</v>
      </c>
      <c r="CF191" s="1165">
        <f>'2031'!R\Max</f>
        <v>0.20469850297167788</v>
      </c>
    </row>
    <row r="192" spans="1:84" s="6" customFormat="1" ht="11.25" x14ac:dyDescent="0.2">
      <c r="A192" s="11">
        <v>43278</v>
      </c>
      <c r="B192" s="375">
        <f>'2022'!Maxi_hp</f>
        <v>19.569588262631058</v>
      </c>
      <c r="C192" s="13">
        <f>'2022'!An_max</f>
        <v>2022</v>
      </c>
      <c r="D192" s="1050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69">
        <f t="shared" si="80"/>
        <v>43290</v>
      </c>
      <c r="I192" s="744">
        <f t="shared" si="81"/>
        <v>0.8571428571428571</v>
      </c>
      <c r="J192" s="737">
        <f t="shared" si="82"/>
        <v>64.914029737349068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43">
        <v>43278</v>
      </c>
      <c r="AP192" s="13">
        <f t="shared" si="83"/>
        <v>9</v>
      </c>
      <c r="AQ192" s="13">
        <f t="shared" si="84"/>
        <v>8</v>
      </c>
      <c r="AR192" s="169">
        <f t="shared" si="85"/>
        <v>43304</v>
      </c>
      <c r="AS192" s="744">
        <f t="shared" si="86"/>
        <v>0.9285714285714286</v>
      </c>
      <c r="AT192" s="760">
        <f t="shared" si="87"/>
        <v>64.910844151675704</v>
      </c>
      <c r="AU192" s="13">
        <f t="shared" si="88"/>
        <v>7</v>
      </c>
      <c r="AV192" s="13">
        <f t="shared" si="89"/>
        <v>8</v>
      </c>
      <c r="AW192" s="169">
        <f t="shared" si="90"/>
        <v>43262</v>
      </c>
      <c r="AX192" s="744">
        <f t="shared" si="91"/>
        <v>0.5714285714285714</v>
      </c>
      <c r="AY192" s="760">
        <f t="shared" si="92"/>
        <v>64.799567055276455</v>
      </c>
      <c r="AZ192" s="737">
        <f t="shared" si="96"/>
        <v>64.85520560347608</v>
      </c>
      <c r="BA192" s="634">
        <f t="shared" si="93"/>
        <v>0.30146931783178854</v>
      </c>
      <c r="BC192" s="11">
        <v>43278</v>
      </c>
      <c r="BD192" s="286">
        <f>[3]!FeuilCaduc*(1-Persistant)+Persistant</f>
        <v>0.96864253696018876</v>
      </c>
      <c r="BE192" s="287">
        <f>[3]!CroissVégét</f>
        <v>0.66764275499450454</v>
      </c>
      <c r="BF192" s="807">
        <f>1+[3]!Salcycl*Ksac</f>
        <v>1.0460803171200237</v>
      </c>
      <c r="BH192" s="1041">
        <f t="shared" si="94"/>
        <v>1.1101919012007202E-4</v>
      </c>
      <c r="BI192" s="11">
        <v>44374</v>
      </c>
      <c r="BJ192" s="717">
        <v>2.7260032083970595E-5</v>
      </c>
      <c r="BK192" s="717">
        <v>4.2766713662736678E-5</v>
      </c>
      <c r="BL192" s="717">
        <v>6.0863456549759637E-5</v>
      </c>
      <c r="BM192" s="717">
        <v>7.8821902604074134E-5</v>
      </c>
      <c r="BN192" s="717">
        <v>9.5618692485432269E-5</v>
      </c>
      <c r="BO192" s="718">
        <v>1.111150065249489E-4</v>
      </c>
      <c r="BP192" s="717">
        <v>1.3007504698491442E-4</v>
      </c>
      <c r="BQ192" s="717">
        <v>1.552333287777485E-4</v>
      </c>
      <c r="BR192" s="717">
        <v>1.8816774932525166E-4</v>
      </c>
      <c r="BS192" s="717">
        <v>2.3077865364242808E-4</v>
      </c>
      <c r="BT192" s="717">
        <v>2.8050956964078422E-4</v>
      </c>
      <c r="BW192" s="1162">
        <f>'2022'!R\Max</f>
        <v>0.30146931783178854</v>
      </c>
      <c r="BX192" s="1163">
        <f>'2023'!R\Max</f>
        <v>0.30146912632800971</v>
      </c>
      <c r="BY192" s="1163">
        <f>'2024'!R\Max</f>
        <v>0.30146889380089531</v>
      </c>
      <c r="BZ192" s="1163">
        <f>'2025'!R\Max</f>
        <v>0.30146863969246823</v>
      </c>
      <c r="CA192" s="1163">
        <f>'2026'!R\Max</f>
        <v>0.30146833411734486</v>
      </c>
      <c r="CB192" s="1163">
        <f>'2027'!R\Max</f>
        <v>0.30146800146689035</v>
      </c>
      <c r="CC192" s="1164">
        <f>'2028'!R\Max</f>
        <v>0.30146760477225681</v>
      </c>
      <c r="CD192" s="1163">
        <f>'2029'!R\Max</f>
        <v>0.3014693274024246</v>
      </c>
      <c r="CE192" s="1163">
        <f>'2030'!R\Max</f>
        <v>0.30146913589864582</v>
      </c>
      <c r="CF192" s="1165">
        <f>'2031'!R\Max</f>
        <v>0.30146890650027552</v>
      </c>
    </row>
    <row r="193" spans="1:84" s="6" customFormat="1" ht="11.25" x14ac:dyDescent="0.2">
      <c r="A193" s="11">
        <v>43279</v>
      </c>
      <c r="B193" s="375">
        <f>'2022'!Maxi_hp</f>
        <v>67.727273228607245</v>
      </c>
      <c r="C193" s="13">
        <f>'2022'!An_max</f>
        <v>2022</v>
      </c>
      <c r="D193" s="1050">
        <f t="shared" si="78"/>
        <v>1.0444694332725444</v>
      </c>
      <c r="E193" s="13"/>
      <c r="F193" s="13">
        <f t="shared" si="95"/>
        <v>15</v>
      </c>
      <c r="G193" s="13">
        <f t="shared" si="79"/>
        <v>14</v>
      </c>
      <c r="H193" s="169">
        <f t="shared" si="80"/>
        <v>43290</v>
      </c>
      <c r="I193" s="744">
        <f t="shared" si="81"/>
        <v>0.7857142857142857</v>
      </c>
      <c r="J193" s="737">
        <f t="shared" si="82"/>
        <v>64.843710185374533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43">
        <v>43279</v>
      </c>
      <c r="AP193" s="13">
        <f t="shared" si="83"/>
        <v>9</v>
      </c>
      <c r="AQ193" s="13">
        <f t="shared" si="84"/>
        <v>8</v>
      </c>
      <c r="AR193" s="169">
        <f t="shared" si="85"/>
        <v>43304</v>
      </c>
      <c r="AS193" s="744">
        <f t="shared" si="86"/>
        <v>0.8928571428571429</v>
      </c>
      <c r="AT193" s="760">
        <f t="shared" si="87"/>
        <v>64.841464347019794</v>
      </c>
      <c r="AU193" s="13">
        <f t="shared" si="88"/>
        <v>7</v>
      </c>
      <c r="AV193" s="13">
        <f t="shared" si="89"/>
        <v>8</v>
      </c>
      <c r="AW193" s="169">
        <f t="shared" si="90"/>
        <v>43262</v>
      </c>
      <c r="AX193" s="744">
        <f t="shared" si="91"/>
        <v>0.6071428571428571</v>
      </c>
      <c r="AY193" s="760">
        <f t="shared" si="92"/>
        <v>64.737634698567646</v>
      </c>
      <c r="AZ193" s="737">
        <f t="shared" si="96"/>
        <v>64.78954952279372</v>
      </c>
      <c r="BA193" s="634">
        <f t="shared" si="93"/>
        <v>1.0444694332725444</v>
      </c>
      <c r="BC193" s="11">
        <v>43279</v>
      </c>
      <c r="BD193" s="286">
        <f>[3]!FeuilCaduc*(1-Persistant)+Persistant</f>
        <v>0.97119086190502157</v>
      </c>
      <c r="BE193" s="287">
        <f>[3]!CroissVégét</f>
        <v>0.67671031405616355</v>
      </c>
      <c r="BF193" s="807">
        <f>1+[3]!Salcycl*Ksac</f>
        <v>1.0463988577381278</v>
      </c>
      <c r="BH193" s="1041">
        <f t="shared" si="94"/>
        <v>1.0923100581414093E-4</v>
      </c>
      <c r="BI193" s="11">
        <v>44375</v>
      </c>
      <c r="BJ193" s="717">
        <v>2.7318201768638843E-5</v>
      </c>
      <c r="BK193" s="717">
        <v>4.233659161553664E-5</v>
      </c>
      <c r="BL193" s="717">
        <v>5.9719223182698825E-5</v>
      </c>
      <c r="BM193" s="717">
        <v>7.7041499588918435E-5</v>
      </c>
      <c r="BN193" s="717">
        <v>9.3591509363809573E-5</v>
      </c>
      <c r="BO193" s="718">
        <v>1.0932830918442845E-4</v>
      </c>
      <c r="BP193" s="717">
        <v>1.2876530931041919E-4</v>
      </c>
      <c r="BQ193" s="717">
        <v>1.5456161971469072E-4</v>
      </c>
      <c r="BR193" s="717">
        <v>1.8833367418115906E-4</v>
      </c>
      <c r="BS193" s="717">
        <v>2.3202792953142662E-4</v>
      </c>
      <c r="BT193" s="717">
        <v>2.8302221636797764E-4</v>
      </c>
      <c r="BW193" s="1162">
        <f>'2022'!R\Max</f>
        <v>1.0444694332725444</v>
      </c>
      <c r="BX193" s="1163">
        <f>'2023'!R\Max</f>
        <v>1.0444694332725442</v>
      </c>
      <c r="BY193" s="1163">
        <f>'2024'!R\Max</f>
        <v>1.0444694332725444</v>
      </c>
      <c r="BZ193" s="1163">
        <f>'2025'!R\Max</f>
        <v>1.0444694332725444</v>
      </c>
      <c r="CA193" s="1163">
        <f>'2026'!R\Max</f>
        <v>1.0444694332725444</v>
      </c>
      <c r="CB193" s="1163">
        <f>'2027'!R\Max</f>
        <v>1.0444694332725444</v>
      </c>
      <c r="CC193" s="1164">
        <f>'2028'!R\Max</f>
        <v>1.0444694332725442</v>
      </c>
      <c r="CD193" s="1163">
        <f>'2029'!R\Max</f>
        <v>1.0444694332725442</v>
      </c>
      <c r="CE193" s="1163">
        <f>'2030'!R\Max</f>
        <v>1.0444694332725444</v>
      </c>
      <c r="CF193" s="1165">
        <f>'2031'!R\Max</f>
        <v>1.0444694332725444</v>
      </c>
    </row>
    <row r="194" spans="1:84" s="6" customFormat="1" ht="11.25" x14ac:dyDescent="0.2">
      <c r="A194" s="11">
        <v>43280</v>
      </c>
      <c r="B194" s="375">
        <f>'2022'!Maxi_hp</f>
        <v>65.72440224563708</v>
      </c>
      <c r="C194" s="13">
        <f>'2022'!An_max</f>
        <v>2022</v>
      </c>
      <c r="D194" s="1050">
        <f t="shared" si="78"/>
        <v>1.0147785265653377</v>
      </c>
      <c r="E194" s="13"/>
      <c r="F194" s="13">
        <f t="shared" si="95"/>
        <v>15</v>
      </c>
      <c r="G194" s="13">
        <f t="shared" si="79"/>
        <v>14</v>
      </c>
      <c r="H194" s="169">
        <f t="shared" si="80"/>
        <v>43290</v>
      </c>
      <c r="I194" s="744">
        <f t="shared" si="81"/>
        <v>0.7142857142857143</v>
      </c>
      <c r="J194" s="737">
        <f t="shared" si="82"/>
        <v>64.767237899771757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43">
        <v>43280</v>
      </c>
      <c r="AP194" s="13">
        <f t="shared" si="83"/>
        <v>9</v>
      </c>
      <c r="AQ194" s="13">
        <f t="shared" si="84"/>
        <v>8</v>
      </c>
      <c r="AR194" s="169">
        <f t="shared" si="85"/>
        <v>43304</v>
      </c>
      <c r="AS194" s="744">
        <f t="shared" si="86"/>
        <v>0.8571428571428571</v>
      </c>
      <c r="AT194" s="760">
        <f t="shared" si="87"/>
        <v>64.767237901474743</v>
      </c>
      <c r="AU194" s="13">
        <f t="shared" si="88"/>
        <v>7</v>
      </c>
      <c r="AV194" s="13">
        <f t="shared" si="89"/>
        <v>8</v>
      </c>
      <c r="AW194" s="169">
        <f t="shared" si="90"/>
        <v>43262</v>
      </c>
      <c r="AX194" s="744">
        <f t="shared" si="91"/>
        <v>0.6428571428571429</v>
      </c>
      <c r="AY194" s="760">
        <f t="shared" si="92"/>
        <v>64.671124197755532</v>
      </c>
      <c r="AZ194" s="737">
        <f t="shared" si="96"/>
        <v>64.719181049615145</v>
      </c>
      <c r="BA194" s="634">
        <f t="shared" si="93"/>
        <v>1.0147785265653377</v>
      </c>
      <c r="BC194" s="11">
        <v>43280</v>
      </c>
      <c r="BD194" s="286">
        <f>[3]!FeuilCaduc*(1-Persistant)+Persistant</f>
        <v>0.97360408117219543</v>
      </c>
      <c r="BE194" s="287">
        <f>[3]!CroissVégét</f>
        <v>0.6856469767197082</v>
      </c>
      <c r="BF194" s="807">
        <f>1+[3]!Salcycl*Ksac</f>
        <v>1.0467005101465245</v>
      </c>
      <c r="BH194" s="1041">
        <f t="shared" si="94"/>
        <v>1.0755394516858389E-4</v>
      </c>
      <c r="BI194" s="11">
        <v>44376</v>
      </c>
      <c r="BJ194" s="717">
        <v>2.7381379716036559E-5</v>
      </c>
      <c r="BK194" s="717">
        <v>4.1916947706284186E-5</v>
      </c>
      <c r="BL194" s="717">
        <v>5.8578382156289734E-5</v>
      </c>
      <c r="BM194" s="717">
        <v>7.5265119805186746E-5</v>
      </c>
      <c r="BN194" s="717">
        <v>9.1601615620723404E-5</v>
      </c>
      <c r="BO194" s="718">
        <v>1.0765319487485632E-4</v>
      </c>
      <c r="BP194" s="717">
        <v>1.2767259910394547E-4</v>
      </c>
      <c r="BQ194" s="717">
        <v>1.542440036175066E-4</v>
      </c>
      <c r="BR194" s="717">
        <v>1.890299989142347E-4</v>
      </c>
      <c r="BS194" s="717">
        <v>2.3403230246495611E-4</v>
      </c>
      <c r="BT194" s="717">
        <v>2.865501360724691E-4</v>
      </c>
      <c r="BW194" s="1162">
        <f>'2022'!R\Max</f>
        <v>1.0147785265653377</v>
      </c>
      <c r="BX194" s="1163">
        <f>'2023'!R\Max</f>
        <v>1.0147785265653375</v>
      </c>
      <c r="BY194" s="1163">
        <f>'2024'!R\Max</f>
        <v>1.0147785265653373</v>
      </c>
      <c r="BZ194" s="1163">
        <f>'2025'!R\Max</f>
        <v>1.0147785265653373</v>
      </c>
      <c r="CA194" s="1163">
        <f>'2026'!R\Max</f>
        <v>1.0147785265653375</v>
      </c>
      <c r="CB194" s="1163">
        <f>'2027'!R\Max</f>
        <v>1.0147785265653373</v>
      </c>
      <c r="CC194" s="1164">
        <f>'2028'!R\Max</f>
        <v>1.0147785265653373</v>
      </c>
      <c r="CD194" s="1163">
        <f>'2029'!R\Max</f>
        <v>1.0147785265653373</v>
      </c>
      <c r="CE194" s="1163">
        <f>'2030'!R\Max</f>
        <v>1.0147785265653373</v>
      </c>
      <c r="CF194" s="1165">
        <f>'2031'!R\Max</f>
        <v>1.0147785265653373</v>
      </c>
    </row>
    <row r="195" spans="1:84" s="6" customFormat="1" ht="11.25" x14ac:dyDescent="0.2">
      <c r="A195" s="11">
        <v>43281</v>
      </c>
      <c r="B195" s="375">
        <f>'2022'!Maxi_hp</f>
        <v>16.145965733793666</v>
      </c>
      <c r="C195" s="13">
        <f>'2022'!An_max</f>
        <v>2022</v>
      </c>
      <c r="D195" s="1050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69">
        <f t="shared" si="80"/>
        <v>43290</v>
      </c>
      <c r="I195" s="744">
        <f t="shared" si="81"/>
        <v>0.6428571428571429</v>
      </c>
      <c r="J195" s="737">
        <f t="shared" si="82"/>
        <v>64.684940543025732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43">
        <v>43281</v>
      </c>
      <c r="AP195" s="13">
        <f t="shared" si="83"/>
        <v>9</v>
      </c>
      <c r="AQ195" s="13">
        <f t="shared" si="84"/>
        <v>8</v>
      </c>
      <c r="AR195" s="169">
        <f t="shared" si="85"/>
        <v>43304</v>
      </c>
      <c r="AS195" s="744">
        <f t="shared" si="86"/>
        <v>0.8214285714285714</v>
      </c>
      <c r="AT195" s="760">
        <f t="shared" si="87"/>
        <v>64.688205768806597</v>
      </c>
      <c r="AU195" s="13">
        <f t="shared" si="88"/>
        <v>7</v>
      </c>
      <c r="AV195" s="13">
        <f t="shared" si="89"/>
        <v>8</v>
      </c>
      <c r="AW195" s="169">
        <f t="shared" si="90"/>
        <v>43262</v>
      </c>
      <c r="AX195" s="744">
        <f t="shared" si="91"/>
        <v>0.6785714285714286</v>
      </c>
      <c r="AY195" s="760">
        <f t="shared" si="92"/>
        <v>64.599953639321029</v>
      </c>
      <c r="AZ195" s="737">
        <f t="shared" si="96"/>
        <v>64.644079704063813</v>
      </c>
      <c r="BA195" s="634">
        <f t="shared" si="93"/>
        <v>0.249609346445237</v>
      </c>
      <c r="BC195" s="11">
        <v>43281</v>
      </c>
      <c r="BD195" s="286">
        <f>[3]!FeuilCaduc*(1-Persistant)+Persistant</f>
        <v>0.97588419790656256</v>
      </c>
      <c r="BE195" s="287">
        <f>[3]!CroissVégét</f>
        <v>0.69444817721081942</v>
      </c>
      <c r="BF195" s="807">
        <f>1+[3]!Salcycl*Ksac</f>
        <v>1.0469855247383204</v>
      </c>
      <c r="BH195" s="1041">
        <f t="shared" si="94"/>
        <v>1.0598791241625515E-4</v>
      </c>
      <c r="BI195" s="11">
        <v>44377</v>
      </c>
      <c r="BJ195" s="717">
        <v>2.7449573649368182E-5</v>
      </c>
      <c r="BK195" s="717">
        <v>4.1507787078509153E-5</v>
      </c>
      <c r="BL195" s="717">
        <v>5.7440951320941252E-5</v>
      </c>
      <c r="BM195" s="717">
        <v>7.3492784703301666E-5</v>
      </c>
      <c r="BN195" s="717">
        <v>8.9648997931424893E-5</v>
      </c>
      <c r="BO195" s="718">
        <v>1.0608956731615955E-4</v>
      </c>
      <c r="BP195" s="717">
        <v>1.2679670180757496E-4</v>
      </c>
      <c r="BQ195" s="717">
        <v>1.5428011256377703E-4</v>
      </c>
      <c r="BR195" s="717">
        <v>1.9025615873518483E-4</v>
      </c>
      <c r="BS195" s="717">
        <v>2.3679095718258879E-4</v>
      </c>
      <c r="BT195" s="717">
        <v>2.9109222373278166E-4</v>
      </c>
      <c r="BW195" s="1162">
        <f>'2022'!R\Max</f>
        <v>0.249609346445237</v>
      </c>
      <c r="BX195" s="1163">
        <f>'2023'!R\Max</f>
        <v>0.24960917099312038</v>
      </c>
      <c r="BY195" s="1163">
        <f>'2024'!R\Max</f>
        <v>0.24960895637889577</v>
      </c>
      <c r="BZ195" s="1163">
        <f>'2025'!R\Max</f>
        <v>0.24960872351120514</v>
      </c>
      <c r="CA195" s="1163">
        <f>'2026'!R\Max</f>
        <v>0.24960844156208079</v>
      </c>
      <c r="CB195" s="1163">
        <f>'2027'!R\Max</f>
        <v>0.24960813673605811</v>
      </c>
      <c r="CC195" s="1164">
        <f>'2028'!R\Max</f>
        <v>0.24960777088793346</v>
      </c>
      <c r="CD195" s="1163">
        <f>'2029'!R\Max</f>
        <v>0.24960935521367167</v>
      </c>
      <c r="CE195" s="1163">
        <f>'2030'!R\Max</f>
        <v>0.24960917976155508</v>
      </c>
      <c r="CF195" s="1165">
        <f>'2031'!R\Max</f>
        <v>0.24960896801674409</v>
      </c>
    </row>
    <row r="196" spans="1:84" s="6" customFormat="1" ht="11.25" x14ac:dyDescent="0.2">
      <c r="A196" s="11">
        <v>43282</v>
      </c>
      <c r="B196" s="375">
        <f>'2022'!Maxi_hp</f>
        <v>54.779749779399616</v>
      </c>
      <c r="C196" s="13">
        <f>'2022'!An_max</f>
        <v>2022</v>
      </c>
      <c r="D196" s="1050" t="str">
        <f t="shared" si="78"/>
        <v/>
      </c>
      <c r="E196" s="13"/>
      <c r="F196" s="13">
        <f t="shared" si="95"/>
        <v>15</v>
      </c>
      <c r="G196" s="13">
        <f t="shared" si="79"/>
        <v>14</v>
      </c>
      <c r="H196" s="169">
        <f t="shared" si="80"/>
        <v>43290</v>
      </c>
      <c r="I196" s="744">
        <f t="shared" si="81"/>
        <v>0.5714285714285714</v>
      </c>
      <c r="J196" s="737">
        <f t="shared" si="82"/>
        <v>64.597145771767416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43">
        <v>43282</v>
      </c>
      <c r="AP196" s="13">
        <f t="shared" si="83"/>
        <v>9</v>
      </c>
      <c r="AQ196" s="13">
        <f t="shared" si="84"/>
        <v>8</v>
      </c>
      <c r="AR196" s="169">
        <f t="shared" si="85"/>
        <v>43304</v>
      </c>
      <c r="AS196" s="744">
        <f t="shared" si="86"/>
        <v>0.7857142857142857</v>
      </c>
      <c r="AT196" s="760">
        <f t="shared" si="87"/>
        <v>64.604408910657682</v>
      </c>
      <c r="AU196" s="13">
        <f t="shared" si="88"/>
        <v>7</v>
      </c>
      <c r="AV196" s="13">
        <f t="shared" si="89"/>
        <v>8</v>
      </c>
      <c r="AW196" s="169">
        <f t="shared" si="90"/>
        <v>43262</v>
      </c>
      <c r="AX196" s="744">
        <f t="shared" si="91"/>
        <v>0.7142857142857143</v>
      </c>
      <c r="AY196" s="760">
        <f t="shared" si="92"/>
        <v>64.524041106977634</v>
      </c>
      <c r="AZ196" s="737">
        <f t="shared" si="96"/>
        <v>64.564225008817658</v>
      </c>
      <c r="BA196" s="634">
        <f t="shared" si="93"/>
        <v>0.84802121092076865</v>
      </c>
      <c r="BC196" s="11">
        <v>43282</v>
      </c>
      <c r="BD196" s="286">
        <f>[3]!FeuilCaduc*(1-Persistant)+Persistant</f>
        <v>0.97803353063491905</v>
      </c>
      <c r="BE196" s="287">
        <f>[3]!CroissVégét</f>
        <v>0.70310971225270513</v>
      </c>
      <c r="BF196" s="807">
        <f>1+[3]!Salcycl*Ksac</f>
        <v>1.0472541913293649</v>
      </c>
      <c r="BH196" s="1041">
        <f t="shared" si="94"/>
        <v>1.045328104786629E-4</v>
      </c>
      <c r="BI196" s="11">
        <v>44378</v>
      </c>
      <c r="BJ196" s="717">
        <v>2.7522791524941414E-5</v>
      </c>
      <c r="BK196" s="717">
        <v>4.1109114259661651E-5</v>
      </c>
      <c r="BL196" s="717">
        <v>5.6306946374696836E-5</v>
      </c>
      <c r="BM196" s="717">
        <v>7.1724512347994427E-5</v>
      </c>
      <c r="BN196" s="717">
        <v>8.7733639751288141E-5</v>
      </c>
      <c r="BO196" s="718">
        <v>1.0463732892879332E-4</v>
      </c>
      <c r="BP196" s="717">
        <v>1.2613740455571371E-4</v>
      </c>
      <c r="BQ196" s="717">
        <v>1.5466958424850758E-4</v>
      </c>
      <c r="BR196" s="717">
        <v>1.9201159955497366E-4</v>
      </c>
      <c r="BS196" s="717">
        <v>2.4030309563386607E-4</v>
      </c>
      <c r="BT196" s="717">
        <v>2.966473990930302E-4</v>
      </c>
      <c r="BW196" s="1162">
        <f>'2022'!R\Max</f>
        <v>0.84802121092076865</v>
      </c>
      <c r="BX196" s="1163">
        <f>'2023'!R\Max</f>
        <v>0.84802107606954713</v>
      </c>
      <c r="BY196" s="1163">
        <f>'2024'!R\Max</f>
        <v>0.84802091075202035</v>
      </c>
      <c r="BZ196" s="1163">
        <f>'2025'!R\Max</f>
        <v>0.84802073179405313</v>
      </c>
      <c r="CA196" s="1163">
        <f>'2026'!R\Max</f>
        <v>0.84802051466764206</v>
      </c>
      <c r="CB196" s="1163">
        <f>'2027'!R\Max</f>
        <v>0.84802028045226518</v>
      </c>
      <c r="CC196" s="1164">
        <f>'2028'!R\Max</f>
        <v>0.84801999879815981</v>
      </c>
      <c r="CD196" s="1163">
        <f>'2029'!R\Max</f>
        <v>0.84802121766011962</v>
      </c>
      <c r="CE196" s="1163">
        <f>'2030'!R\Max</f>
        <v>0.84802108280890598</v>
      </c>
      <c r="CF196" s="1165">
        <f>'2031'!R\Max</f>
        <v>0.84802091969565707</v>
      </c>
    </row>
    <row r="197" spans="1:84" s="6" customFormat="1" ht="11.25" x14ac:dyDescent="0.2">
      <c r="A197" s="11">
        <v>43283</v>
      </c>
      <c r="B197" s="375">
        <f>'2022'!Maxi_hp</f>
        <v>60.826157831959122</v>
      </c>
      <c r="C197" s="13">
        <f>'2022'!An_max</f>
        <v>2022</v>
      </c>
      <c r="D197" s="1050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69">
        <f t="shared" si="80"/>
        <v>43290</v>
      </c>
      <c r="I197" s="744">
        <f t="shared" si="81"/>
        <v>0.5</v>
      </c>
      <c r="J197" s="737">
        <f t="shared" si="82"/>
        <v>64.504181249812248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43">
        <v>43283</v>
      </c>
      <c r="AP197" s="13">
        <f t="shared" si="83"/>
        <v>9</v>
      </c>
      <c r="AQ197" s="13">
        <f t="shared" si="84"/>
        <v>8</v>
      </c>
      <c r="AR197" s="169">
        <f t="shared" si="85"/>
        <v>43304</v>
      </c>
      <c r="AS197" s="744">
        <f t="shared" si="86"/>
        <v>0.75</v>
      </c>
      <c r="AT197" s="760">
        <f t="shared" si="87"/>
        <v>64.51588828079403</v>
      </c>
      <c r="AU197" s="13">
        <f t="shared" si="88"/>
        <v>7</v>
      </c>
      <c r="AV197" s="13">
        <f t="shared" si="89"/>
        <v>8</v>
      </c>
      <c r="AW197" s="169">
        <f t="shared" si="90"/>
        <v>43262</v>
      </c>
      <c r="AX197" s="744">
        <f t="shared" si="91"/>
        <v>0.75</v>
      </c>
      <c r="AY197" s="760">
        <f t="shared" si="92"/>
        <v>64.443304687552157</v>
      </c>
      <c r="AZ197" s="737">
        <f t="shared" si="96"/>
        <v>64.479596484173101</v>
      </c>
      <c r="BA197" s="634">
        <f t="shared" si="93"/>
        <v>0.94298007746801948</v>
      </c>
      <c r="BC197" s="11">
        <v>43283</v>
      </c>
      <c r="BD197" s="286">
        <f>[3]!FeuilCaduc*(1-Persistant)+Persistant</f>
        <v>0.98005469365460984</v>
      </c>
      <c r="BE197" s="287">
        <f>[3]!CroissVégét</f>
        <v>0.71162774286802644</v>
      </c>
      <c r="BF197" s="807">
        <f>1+[3]!Salcycl*Ksac</f>
        <v>1.0475068367068263</v>
      </c>
      <c r="BH197" s="1041">
        <f t="shared" si="94"/>
        <v>1.0318854150371631E-4</v>
      </c>
      <c r="BI197" s="11">
        <v>44379</v>
      </c>
      <c r="BJ197" s="717">
        <v>2.7601041556825271E-5</v>
      </c>
      <c r="BK197" s="717">
        <v>4.0720933210532704E-5</v>
      </c>
      <c r="BL197" s="717">
        <v>5.5176380874805099E-5</v>
      </c>
      <c r="BM197" s="717">
        <v>6.9960317430248076E-5</v>
      </c>
      <c r="BN197" s="717">
        <v>8.5855521490024974E-5</v>
      </c>
      <c r="BO197" s="718">
        <v>1.0329638137374982E-4</v>
      </c>
      <c r="BP197" s="717">
        <v>1.2569449723484478E-4</v>
      </c>
      <c r="BQ197" s="717">
        <v>1.5541206371955823E-4</v>
      </c>
      <c r="BR197" s="717">
        <v>1.9429578058944089E-4</v>
      </c>
      <c r="BS197" s="717">
        <v>2.4456794069072665E-4</v>
      </c>
      <c r="BT197" s="717">
        <v>3.0321461165811191E-4</v>
      </c>
      <c r="BW197" s="1162">
        <f>'2022'!R\Max</f>
        <v>0.94298007746801948</v>
      </c>
      <c r="BX197" s="1163">
        <f>'2023'!R\Max</f>
        <v>0.94298001865304382</v>
      </c>
      <c r="BY197" s="1163">
        <f>'2024'!R\Max</f>
        <v>0.94297994639810667</v>
      </c>
      <c r="BZ197" s="1163">
        <f>'2025'!R\Max</f>
        <v>0.94297986836280001</v>
      </c>
      <c r="CA197" s="1163">
        <f>'2026'!R\Max</f>
        <v>0.9429797734965224</v>
      </c>
      <c r="CB197" s="1163">
        <f>'2027'!R\Max</f>
        <v>0.94297967139138561</v>
      </c>
      <c r="CC197" s="1164">
        <f>'2028'!R\Max</f>
        <v>0.94297954837451226</v>
      </c>
      <c r="CD197" s="1163">
        <f>'2029'!R\Max</f>
        <v>0.94298008040736803</v>
      </c>
      <c r="CE197" s="1163">
        <f>'2030'!R\Max</f>
        <v>0.94298002159239636</v>
      </c>
      <c r="CF197" s="1165">
        <f>'2031'!R\Max</f>
        <v>0.94297995029801296</v>
      </c>
    </row>
    <row r="198" spans="1:84" s="6" customFormat="1" ht="11.25" x14ac:dyDescent="0.2">
      <c r="A198" s="11">
        <v>43284</v>
      </c>
      <c r="B198" s="375">
        <f>'2022'!Maxi_hp</f>
        <v>56.572512342917904</v>
      </c>
      <c r="C198" s="13">
        <f>'2022'!An_max</f>
        <v>2022</v>
      </c>
      <c r="D198" s="1050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69">
        <f t="shared" si="80"/>
        <v>43290</v>
      </c>
      <c r="I198" s="744">
        <f t="shared" si="81"/>
        <v>0.42857142857142855</v>
      </c>
      <c r="J198" s="737">
        <f t="shared" si="82"/>
        <v>64.406374635015212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43">
        <v>43284</v>
      </c>
      <c r="AP198" s="13">
        <f t="shared" si="83"/>
        <v>9</v>
      </c>
      <c r="AQ198" s="13">
        <f t="shared" si="84"/>
        <v>8</v>
      </c>
      <c r="AR198" s="169">
        <f t="shared" si="85"/>
        <v>43304</v>
      </c>
      <c r="AS198" s="744">
        <f t="shared" si="86"/>
        <v>0.7142857142857143</v>
      </c>
      <c r="AT198" s="760">
        <f t="shared" si="87"/>
        <v>64.422684839687179</v>
      </c>
      <c r="AU198" s="13">
        <f t="shared" si="88"/>
        <v>7</v>
      </c>
      <c r="AV198" s="13">
        <f t="shared" si="89"/>
        <v>8</v>
      </c>
      <c r="AW198" s="169">
        <f t="shared" si="90"/>
        <v>43262</v>
      </c>
      <c r="AX198" s="744">
        <f t="shared" si="91"/>
        <v>0.7857142857142857</v>
      </c>
      <c r="AY198" s="760">
        <f t="shared" si="92"/>
        <v>64.357662463188177</v>
      </c>
      <c r="AZ198" s="737">
        <f t="shared" si="96"/>
        <v>64.390173651437678</v>
      </c>
      <c r="BA198" s="634">
        <f t="shared" si="93"/>
        <v>0.87836821531267584</v>
      </c>
      <c r="BC198" s="11">
        <v>43284</v>
      </c>
      <c r="BD198" s="286">
        <f>[3]!FeuilCaduc*(1-Persistant)+Persistant</f>
        <v>0.98195057604360725</v>
      </c>
      <c r="BE198" s="287">
        <f>[3]!CroissVégét</f>
        <v>0.71999879440261938</v>
      </c>
      <c r="BF198" s="807">
        <f>1+[3]!Salcycl*Ksac</f>
        <v>1.0477438220054509</v>
      </c>
      <c r="BH198" s="1041">
        <f t="shared" si="94"/>
        <v>1.0220894499292413E-4</v>
      </c>
      <c r="BI198" s="11">
        <v>44380</v>
      </c>
      <c r="BJ198" s="717">
        <v>2.7602466999033988E-5</v>
      </c>
      <c r="BK198" s="717">
        <v>4.0281328055880458E-5</v>
      </c>
      <c r="BL198" s="717">
        <v>5.404624745344397E-5</v>
      </c>
      <c r="BM198" s="717">
        <v>6.8284753791554063E-5</v>
      </c>
      <c r="BN198" s="717">
        <v>8.4184961026374927E-5</v>
      </c>
      <c r="BO198" s="718">
        <v>1.0232108379429305E-4</v>
      </c>
      <c r="BP198" s="717">
        <v>1.2582520690374827E-4</v>
      </c>
      <c r="BQ198" s="717">
        <v>1.5709787711381225E-4</v>
      </c>
      <c r="BR198" s="717">
        <v>1.9797795522706577E-4</v>
      </c>
      <c r="BS198" s="717">
        <v>2.5078961555584459E-4</v>
      </c>
      <c r="BT198" s="717">
        <v>3.1227692624231722E-4</v>
      </c>
      <c r="BW198" s="1162">
        <f>'2022'!R\Max</f>
        <v>0.87836821531267584</v>
      </c>
      <c r="BX198" s="1163">
        <f>'2023'!R\Max</f>
        <v>0.87836809225368129</v>
      </c>
      <c r="BY198" s="1163">
        <f>'2024'!R\Max</f>
        <v>0.87836794041274147</v>
      </c>
      <c r="BZ198" s="1163">
        <f>'2025'!R\Max</f>
        <v>0.87836777667995103</v>
      </c>
      <c r="CA198" s="1163">
        <f>'2026'!R\Max</f>
        <v>0.87836757735214965</v>
      </c>
      <c r="CB198" s="1163">
        <f>'2027'!R\Max</f>
        <v>0.87836736331742371</v>
      </c>
      <c r="CC198" s="1164">
        <f>'2028'!R\Max</f>
        <v>0.87836710507638605</v>
      </c>
      <c r="CD198" s="1163">
        <f>'2029'!R\Max</f>
        <v>0.87836822146269578</v>
      </c>
      <c r="CE198" s="1163">
        <f>'2030'!R\Max</f>
        <v>0.87836809840370944</v>
      </c>
      <c r="CF198" s="1165">
        <f>'2031'!R\Max</f>
        <v>0.87836794859548095</v>
      </c>
    </row>
    <row r="199" spans="1:84" s="6" customFormat="1" ht="11.25" x14ac:dyDescent="0.2">
      <c r="A199" s="11">
        <v>43285</v>
      </c>
      <c r="B199" s="375">
        <f>'2022'!Maxi_hp</f>
        <v>52.666622044945932</v>
      </c>
      <c r="C199" s="13">
        <f>'2022'!An_max</f>
        <v>2022</v>
      </c>
      <c r="D199" s="1050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69">
        <f t="shared" si="80"/>
        <v>43290</v>
      </c>
      <c r="I199" s="744">
        <f t="shared" si="81"/>
        <v>0.35714285714285715</v>
      </c>
      <c r="J199" s="737">
        <f t="shared" si="82"/>
        <v>64.304053589435554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43">
        <v>43285</v>
      </c>
      <c r="AP199" s="13">
        <f t="shared" si="83"/>
        <v>9</v>
      </c>
      <c r="AQ199" s="13">
        <f t="shared" si="84"/>
        <v>8</v>
      </c>
      <c r="AR199" s="169">
        <f t="shared" si="85"/>
        <v>43304</v>
      </c>
      <c r="AS199" s="744">
        <f t="shared" si="86"/>
        <v>0.6785714285714286</v>
      </c>
      <c r="AT199" s="760">
        <f t="shared" si="87"/>
        <v>64.324839542327183</v>
      </c>
      <c r="AU199" s="13">
        <f t="shared" si="88"/>
        <v>7</v>
      </c>
      <c r="AV199" s="13">
        <f t="shared" si="89"/>
        <v>8</v>
      </c>
      <c r="AW199" s="169">
        <f t="shared" si="90"/>
        <v>43262</v>
      </c>
      <c r="AX199" s="744">
        <f t="shared" si="91"/>
        <v>0.8214285714285714</v>
      </c>
      <c r="AY199" s="760">
        <f t="shared" si="92"/>
        <v>64.267032520739093</v>
      </c>
      <c r="AZ199" s="737">
        <f t="shared" si="96"/>
        <v>64.295936031533131</v>
      </c>
      <c r="BA199" s="634">
        <f t="shared" si="93"/>
        <v>0.8190249153064042</v>
      </c>
      <c r="BC199" s="11">
        <v>43285</v>
      </c>
      <c r="BD199" s="286">
        <f>[3]!FeuilCaduc*(1-Persistant)+Persistant</f>
        <v>0.98372431945317584</v>
      </c>
      <c r="BE199" s="287">
        <f>[3]!CroissVégét</f>
        <v>0.72821975485053358</v>
      </c>
      <c r="BF199" s="807">
        <f>1+[3]!Salcycl*Ksac</f>
        <v>1.047965539931647</v>
      </c>
      <c r="BH199" s="1041">
        <f t="shared" si="94"/>
        <v>1.018380940017145E-4</v>
      </c>
      <c r="BI199" s="11">
        <v>44381</v>
      </c>
      <c r="BJ199" s="717">
        <v>2.7519745898806105E-5</v>
      </c>
      <c r="BK199" s="717">
        <v>3.9844279628145929E-5</v>
      </c>
      <c r="BL199" s="717">
        <v>5.3056637441468189E-5</v>
      </c>
      <c r="BM199" s="717">
        <v>6.691621119000096E-5</v>
      </c>
      <c r="BN199" s="717">
        <v>8.2978346923739347E-5</v>
      </c>
      <c r="BO199" s="718">
        <v>1.0195543262315192E-4</v>
      </c>
      <c r="BP199" s="717">
        <v>1.2673923683250216E-4</v>
      </c>
      <c r="BQ199" s="717">
        <v>1.5988975976673694E-4</v>
      </c>
      <c r="BR199" s="717">
        <v>2.031583307011851E-4</v>
      </c>
      <c r="BS199" s="717">
        <v>2.5898666043561278E-4</v>
      </c>
      <c r="BT199" s="717">
        <v>3.2375731535074328E-4</v>
      </c>
      <c r="BW199" s="1162">
        <f>'2022'!R\Max</f>
        <v>0.8190249153064042</v>
      </c>
      <c r="BX199" s="1163">
        <f>'2023'!R\Max</f>
        <v>0.81902473467062875</v>
      </c>
      <c r="BY199" s="1163">
        <f>'2024'!R\Max</f>
        <v>0.81902451038145019</v>
      </c>
      <c r="BZ199" s="1163">
        <f>'2025'!R\Max</f>
        <v>0.81902426876443979</v>
      </c>
      <c r="CA199" s="1163">
        <f>'2026'!R\Max</f>
        <v>0.81902397435614949</v>
      </c>
      <c r="CB199" s="1163">
        <f>'2027'!R\Max</f>
        <v>0.81902365899265694</v>
      </c>
      <c r="CC199" s="1164">
        <f>'2028'!R\Max</f>
        <v>0.81902327809769326</v>
      </c>
      <c r="CD199" s="1163">
        <f>'2029'!R\Max</f>
        <v>0.81902492433389251</v>
      </c>
      <c r="CE199" s="1163">
        <f>'2030'!R\Max</f>
        <v>0.81902474369812861</v>
      </c>
      <c r="CF199" s="1165">
        <f>'2031'!R\Max</f>
        <v>0.81902452245654556</v>
      </c>
    </row>
    <row r="200" spans="1:84" s="6" customFormat="1" ht="11.25" x14ac:dyDescent="0.2">
      <c r="A200" s="11">
        <v>43286</v>
      </c>
      <c r="B200" s="375">
        <f>'2022'!Maxi_hp</f>
        <v>63.156930543219005</v>
      </c>
      <c r="C200" s="13">
        <f>'2022'!An_max</f>
        <v>2022</v>
      </c>
      <c r="D200" s="1050">
        <f t="shared" si="78"/>
        <v>0.98379042039042131</v>
      </c>
      <c r="E200" s="13"/>
      <c r="F200" s="13">
        <f t="shared" si="95"/>
        <v>15</v>
      </c>
      <c r="G200" s="13">
        <f t="shared" si="79"/>
        <v>14</v>
      </c>
      <c r="H200" s="169">
        <f t="shared" si="80"/>
        <v>43290</v>
      </c>
      <c r="I200" s="744">
        <f t="shared" si="81"/>
        <v>0.2857142857142857</v>
      </c>
      <c r="J200" s="737">
        <f t="shared" si="82"/>
        <v>64.197545772152282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43">
        <v>43286</v>
      </c>
      <c r="AP200" s="13">
        <f t="shared" si="83"/>
        <v>9</v>
      </c>
      <c r="AQ200" s="13">
        <f t="shared" si="84"/>
        <v>8</v>
      </c>
      <c r="AR200" s="169">
        <f t="shared" si="85"/>
        <v>43304</v>
      </c>
      <c r="AS200" s="744">
        <f t="shared" si="86"/>
        <v>0.6428571428571429</v>
      </c>
      <c r="AT200" s="760">
        <f t="shared" si="87"/>
        <v>64.22239334929202</v>
      </c>
      <c r="AU200" s="13">
        <f t="shared" si="88"/>
        <v>7</v>
      </c>
      <c r="AV200" s="13">
        <f t="shared" si="89"/>
        <v>8</v>
      </c>
      <c r="AW200" s="169">
        <f t="shared" si="90"/>
        <v>43262</v>
      </c>
      <c r="AX200" s="744">
        <f t="shared" si="91"/>
        <v>0.8571428571428571</v>
      </c>
      <c r="AY200" s="760">
        <f t="shared" si="92"/>
        <v>64.171332943865224</v>
      </c>
      <c r="AZ200" s="737">
        <f t="shared" si="96"/>
        <v>64.196863146578622</v>
      </c>
      <c r="BA200" s="634">
        <f t="shared" si="93"/>
        <v>0.98379042039042131</v>
      </c>
      <c r="BC200" s="11">
        <v>43286</v>
      </c>
      <c r="BD200" s="286">
        <f>[3]!FeuilCaduc*(1-Persistant)+Persistant</f>
        <v>0.9853792948528588</v>
      </c>
      <c r="BE200" s="287">
        <f>[3]!CroissVégét</f>
        <v>0.73628787157048126</v>
      </c>
      <c r="BF200" s="807">
        <f>1+[3]!Salcycl*Ksac</f>
        <v>1.0481724118566074</v>
      </c>
      <c r="BH200" s="1041">
        <f t="shared" si="94"/>
        <v>1.0207530618279831E-4</v>
      </c>
      <c r="BI200" s="11">
        <v>44382</v>
      </c>
      <c r="BJ200" s="717">
        <v>2.7352991686351996E-5</v>
      </c>
      <c r="BK200" s="717">
        <v>3.9409798971529522E-5</v>
      </c>
      <c r="BL200" s="717">
        <v>5.2207395894240916E-5</v>
      </c>
      <c r="BM200" s="717">
        <v>6.5854337234376692E-5</v>
      </c>
      <c r="BN200" s="717">
        <v>8.2235149268269241E-5</v>
      </c>
      <c r="BO200" s="718">
        <v>1.0219874456465082E-4</v>
      </c>
      <c r="BP200" s="717">
        <v>1.2843572575608361E-4</v>
      </c>
      <c r="BQ200" s="717">
        <v>1.6378650637972482E-4</v>
      </c>
      <c r="BR200" s="717">
        <v>2.0983528668209995E-4</v>
      </c>
      <c r="BS200" s="717">
        <v>2.6915695306377021E-4</v>
      </c>
      <c r="BT200" s="717">
        <v>3.376532041566794E-4</v>
      </c>
      <c r="BW200" s="1162">
        <f>'2022'!R\Max</f>
        <v>0.98379042039042131</v>
      </c>
      <c r="BX200" s="1163">
        <f>'2023'!R\Max</f>
        <v>0.98379039974811711</v>
      </c>
      <c r="BY200" s="1163">
        <f>'2024'!R\Max</f>
        <v>0.9837903739149515</v>
      </c>
      <c r="BZ200" s="1163">
        <f>'2025'!R\Max</f>
        <v>0.98379034610212146</v>
      </c>
      <c r="CA200" s="1163">
        <f>'2026'!R\Max</f>
        <v>0.98379031219607882</v>
      </c>
      <c r="CB200" s="1163">
        <f>'2027'!R\Max</f>
        <v>0.98379027596621016</v>
      </c>
      <c r="CC200" s="1164">
        <f>'2028'!R\Max</f>
        <v>0.98379023217648376</v>
      </c>
      <c r="CD200" s="1163">
        <f>'2029'!R\Max</f>
        <v>0.98379042142204476</v>
      </c>
      <c r="CE200" s="1163">
        <f>'2030'!R\Max</f>
        <v>0.98379040077974234</v>
      </c>
      <c r="CF200" s="1165">
        <f>'2031'!R\Max</f>
        <v>0.98379037530492996</v>
      </c>
    </row>
    <row r="201" spans="1:84" s="6" customFormat="1" ht="11.25" x14ac:dyDescent="0.2">
      <c r="A201" s="11">
        <v>43287</v>
      </c>
      <c r="B201" s="375">
        <f>'2022'!Maxi_hp</f>
        <v>46.499687245486641</v>
      </c>
      <c r="C201" s="13">
        <f>'2022'!An_max</f>
        <v>2022</v>
      </c>
      <c r="D201" s="1050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69">
        <f t="shared" si="80"/>
        <v>43290</v>
      </c>
      <c r="I201" s="744">
        <f t="shared" si="81"/>
        <v>0.21428571428571427</v>
      </c>
      <c r="J201" s="737">
        <f t="shared" si="82"/>
        <v>64.08717884458602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43">
        <v>43287</v>
      </c>
      <c r="AP201" s="13">
        <f t="shared" si="83"/>
        <v>9</v>
      </c>
      <c r="AQ201" s="13">
        <f t="shared" si="84"/>
        <v>8</v>
      </c>
      <c r="AR201" s="169">
        <f t="shared" si="85"/>
        <v>43304</v>
      </c>
      <c r="AS201" s="744">
        <f t="shared" si="86"/>
        <v>0.6071428571428571</v>
      </c>
      <c r="AT201" s="760">
        <f t="shared" si="87"/>
        <v>64.115387215598361</v>
      </c>
      <c r="AU201" s="13">
        <f t="shared" si="88"/>
        <v>7</v>
      </c>
      <c r="AV201" s="13">
        <f t="shared" si="89"/>
        <v>8</v>
      </c>
      <c r="AW201" s="169">
        <f t="shared" si="90"/>
        <v>43262</v>
      </c>
      <c r="AX201" s="744">
        <f t="shared" si="91"/>
        <v>0.8928571428571429</v>
      </c>
      <c r="AY201" s="760">
        <f t="shared" si="92"/>
        <v>64.070481819340159</v>
      </c>
      <c r="AZ201" s="737">
        <f t="shared" si="96"/>
        <v>64.09293451746926</v>
      </c>
      <c r="BA201" s="634">
        <f t="shared" si="93"/>
        <v>0.72556926492661267</v>
      </c>
      <c r="BC201" s="11">
        <v>43287</v>
      </c>
      <c r="BD201" s="286">
        <f>[3]!FeuilCaduc*(1-Persistant)+Persistant</f>
        <v>0.98691907840459148</v>
      </c>
      <c r="BE201" s="287">
        <f>[3]!CroissVégét</f>
        <v>0.74420074649273349</v>
      </c>
      <c r="BF201" s="807">
        <f>1+[3]!Salcycl*Ksac</f>
        <v>1.048364884800574</v>
      </c>
      <c r="BH201" s="1041">
        <f t="shared" si="94"/>
        <v>1.0291991804709097E-4</v>
      </c>
      <c r="BI201" s="11">
        <v>44383</v>
      </c>
      <c r="BJ201" s="717">
        <v>2.7102314944643785E-5</v>
      </c>
      <c r="BK201" s="717">
        <v>3.8977896366403109E-5</v>
      </c>
      <c r="BL201" s="717">
        <v>5.1498370436878465E-5</v>
      </c>
      <c r="BM201" s="717">
        <v>6.509878669885697E-5</v>
      </c>
      <c r="BN201" s="717">
        <v>8.1954850679798923E-5</v>
      </c>
      <c r="BO201" s="718">
        <v>1.0305035522066755E-4</v>
      </c>
      <c r="BP201" s="717">
        <v>1.3091383944692156E-4</v>
      </c>
      <c r="BQ201" s="717">
        <v>1.6878695281279601E-4</v>
      </c>
      <c r="BR201" s="717">
        <v>2.1800726137075752E-4</v>
      </c>
      <c r="BS201" s="717">
        <v>2.8129845106578778E-4</v>
      </c>
      <c r="BT201" s="717">
        <v>3.5396211851782867E-4</v>
      </c>
      <c r="BW201" s="1162">
        <f>'2022'!R\Max</f>
        <v>0.72556926492661267</v>
      </c>
      <c r="BX201" s="1163">
        <f>'2023'!R\Max</f>
        <v>0.72556899030021338</v>
      </c>
      <c r="BY201" s="1163">
        <f>'2024'!R\Max</f>
        <v>0.72556864347329497</v>
      </c>
      <c r="BZ201" s="1163">
        <f>'2025'!R\Max</f>
        <v>0.72556827018952008</v>
      </c>
      <c r="CA201" s="1163">
        <f>'2026'!R\Max</f>
        <v>0.72556781505673607</v>
      </c>
      <c r="CB201" s="1163">
        <f>'2027'!R\Max</f>
        <v>0.72556732993126327</v>
      </c>
      <c r="CC201" s="1164">
        <f>'2028'!R\Max</f>
        <v>0.7255667433097438</v>
      </c>
      <c r="CD201" s="1163">
        <f>'2029'!R\Max</f>
        <v>0.7255692786513952</v>
      </c>
      <c r="CE201" s="1163">
        <f>'2030'!R\Max</f>
        <v>0.72556900402501201</v>
      </c>
      <c r="CF201" s="1165">
        <f>'2031'!R\Max</f>
        <v>0.72556866212859361</v>
      </c>
    </row>
    <row r="202" spans="1:84" s="6" customFormat="1" ht="11.25" x14ac:dyDescent="0.2">
      <c r="A202" s="11">
        <v>43288</v>
      </c>
      <c r="B202" s="375">
        <f>'2022'!Maxi_hp</f>
        <v>62.68701261444199</v>
      </c>
      <c r="C202" s="13">
        <f>'2022'!An_max</f>
        <v>2022</v>
      </c>
      <c r="D202" s="1050">
        <f t="shared" si="78"/>
        <v>0.97989367057772225</v>
      </c>
      <c r="E202" s="13"/>
      <c r="F202" s="13">
        <f t="shared" si="95"/>
        <v>15</v>
      </c>
      <c r="G202" s="13">
        <f t="shared" si="79"/>
        <v>14</v>
      </c>
      <c r="H202" s="169">
        <f t="shared" si="80"/>
        <v>43290</v>
      </c>
      <c r="I202" s="744">
        <f t="shared" si="81"/>
        <v>0.14285714285714285</v>
      </c>
      <c r="J202" s="737">
        <f t="shared" si="82"/>
        <v>63.973280465709308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43">
        <v>43288</v>
      </c>
      <c r="AP202" s="13">
        <f t="shared" si="83"/>
        <v>9</v>
      </c>
      <c r="AQ202" s="13">
        <f t="shared" si="84"/>
        <v>8</v>
      </c>
      <c r="AR202" s="169">
        <f t="shared" si="85"/>
        <v>43304</v>
      </c>
      <c r="AS202" s="744">
        <f t="shared" si="86"/>
        <v>0.5714285714285714</v>
      </c>
      <c r="AT202" s="760">
        <f t="shared" si="87"/>
        <v>64.003862099136626</v>
      </c>
      <c r="AU202" s="13">
        <f t="shared" si="88"/>
        <v>7</v>
      </c>
      <c r="AV202" s="13">
        <f t="shared" si="89"/>
        <v>8</v>
      </c>
      <c r="AW202" s="169">
        <f t="shared" si="90"/>
        <v>43262</v>
      </c>
      <c r="AX202" s="744">
        <f t="shared" si="91"/>
        <v>0.9285714285714286</v>
      </c>
      <c r="AY202" s="760">
        <f t="shared" si="92"/>
        <v>63.964397229360678</v>
      </c>
      <c r="AZ202" s="737">
        <f t="shared" si="96"/>
        <v>63.984129664248655</v>
      </c>
      <c r="BA202" s="634">
        <f t="shared" si="93"/>
        <v>0.97989367057772225</v>
      </c>
      <c r="BC202" s="11">
        <v>43288</v>
      </c>
      <c r="BD202" s="286">
        <f>[3]!FeuilCaduc*(1-Persistant)+Persistant</f>
        <v>0.98834742664822151</v>
      </c>
      <c r="BE202" s="287">
        <f>[3]!CroissVégét</f>
        <v>0.75195632992281269</v>
      </c>
      <c r="BF202" s="807">
        <f>1+[3]!Salcycl*Ksac</f>
        <v>1.0485434283310278</v>
      </c>
      <c r="BH202" s="1041">
        <f t="shared" si="94"/>
        <v>1.0437128795409681E-4</v>
      </c>
      <c r="BI202" s="11">
        <v>44384</v>
      </c>
      <c r="BJ202" s="717">
        <v>2.676782299478301E-5</v>
      </c>
      <c r="BK202" s="717">
        <v>3.854858133944123E-5</v>
      </c>
      <c r="BL202" s="717">
        <v>5.0929411950445822E-5</v>
      </c>
      <c r="BM202" s="717">
        <v>6.464922302624985E-5</v>
      </c>
      <c r="BN202" s="717">
        <v>8.2136948587167855E-5</v>
      </c>
      <c r="BO202" s="718">
        <v>1.0450962208546667E-4</v>
      </c>
      <c r="BP202" s="717">
        <v>1.3417277456844316E-4</v>
      </c>
      <c r="BQ202" s="717">
        <v>1.7488998153219513E-4</v>
      </c>
      <c r="BR202" s="717">
        <v>2.2767275888344843E-4</v>
      </c>
      <c r="BS202" s="717">
        <v>2.9540920170112434E-4</v>
      </c>
      <c r="BT202" s="717">
        <v>3.7268169690753041E-4</v>
      </c>
      <c r="BW202" s="1162">
        <f>'2022'!R\Max</f>
        <v>0.97989367057772225</v>
      </c>
      <c r="BX202" s="1163">
        <f>'2023'!R\Max</f>
        <v>0.97989364155587155</v>
      </c>
      <c r="BY202" s="1163">
        <f>'2024'!R\Max</f>
        <v>0.97989360453522001</v>
      </c>
      <c r="BZ202" s="1163">
        <f>'2025'!R\Max</f>
        <v>0.9798935646981014</v>
      </c>
      <c r="CA202" s="1163">
        <f>'2026'!R\Max</f>
        <v>0.97989351613014564</v>
      </c>
      <c r="CB202" s="1163">
        <f>'2027'!R\Max</f>
        <v>0.9798934644879137</v>
      </c>
      <c r="CC202" s="1164">
        <f>'2028'!R\Max</f>
        <v>0.97989340202484498</v>
      </c>
      <c r="CD202" s="1163">
        <f>'2029'!R\Max</f>
        <v>0.97989367202812327</v>
      </c>
      <c r="CE202" s="1163">
        <f>'2030'!R\Max</f>
        <v>0.97989364300627568</v>
      </c>
      <c r="CF202" s="1165">
        <f>'2031'!R\Max</f>
        <v>0.97989360652612612</v>
      </c>
    </row>
    <row r="203" spans="1:84" s="6" customFormat="1" ht="11.25" x14ac:dyDescent="0.2">
      <c r="A203" s="11">
        <v>43289</v>
      </c>
      <c r="B203" s="375">
        <f>'2022'!Maxi_hp</f>
        <v>65.738386218533648</v>
      </c>
      <c r="C203" s="13">
        <f>'2022'!An_max</f>
        <v>2022</v>
      </c>
      <c r="D203" s="1050">
        <f t="shared" si="78"/>
        <v>1.0294757370422234</v>
      </c>
      <c r="E203" s="13"/>
      <c r="F203" s="13">
        <f t="shared" si="95"/>
        <v>15</v>
      </c>
      <c r="G203" s="13">
        <f t="shared" si="79"/>
        <v>14</v>
      </c>
      <c r="H203" s="169">
        <f t="shared" si="80"/>
        <v>43290</v>
      </c>
      <c r="I203" s="744">
        <f t="shared" si="81"/>
        <v>7.1428571428571425E-2</v>
      </c>
      <c r="J203" s="737">
        <f t="shared" si="82"/>
        <v>63.856178298486135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43">
        <v>43289</v>
      </c>
      <c r="AP203" s="13">
        <f t="shared" si="83"/>
        <v>9</v>
      </c>
      <c r="AQ203" s="13">
        <f t="shared" si="84"/>
        <v>8</v>
      </c>
      <c r="AR203" s="169">
        <f t="shared" si="85"/>
        <v>43304</v>
      </c>
      <c r="AS203" s="744">
        <f t="shared" si="86"/>
        <v>0.5357142857142857</v>
      </c>
      <c r="AT203" s="760">
        <f t="shared" si="87"/>
        <v>63.887858958356084</v>
      </c>
      <c r="AU203" s="13">
        <f t="shared" si="88"/>
        <v>7</v>
      </c>
      <c r="AV203" s="13">
        <f t="shared" si="89"/>
        <v>8</v>
      </c>
      <c r="AW203" s="169">
        <f t="shared" si="90"/>
        <v>43262</v>
      </c>
      <c r="AX203" s="744">
        <f t="shared" si="91"/>
        <v>0.9642857142857143</v>
      </c>
      <c r="AY203" s="760">
        <f t="shared" si="92"/>
        <v>63.852997262323541</v>
      </c>
      <c r="AZ203" s="737">
        <f t="shared" si="96"/>
        <v>63.870428110339816</v>
      </c>
      <c r="BA203" s="634">
        <f t="shared" si="93"/>
        <v>1.0294757370422234</v>
      </c>
      <c r="BC203" s="11">
        <v>43289</v>
      </c>
      <c r="BD203" s="286">
        <f>[3]!FeuilCaduc*(1-Persistant)+Persistant</f>
        <v>0.98966825118451485</v>
      </c>
      <c r="BE203" s="287">
        <f>[3]!CroissVégét</f>
        <v>0.75955291305401751</v>
      </c>
      <c r="BF203" s="807">
        <f>1+[3]!Salcycl*Ksac</f>
        <v>1.0487085313980644</v>
      </c>
      <c r="BH203" s="1041">
        <f t="shared" si="94"/>
        <v>1.0642879910280764E-4</v>
      </c>
      <c r="BI203" s="11">
        <v>44385</v>
      </c>
      <c r="BJ203" s="717">
        <v>2.6349619481491991E-5</v>
      </c>
      <c r="BK203" s="717">
        <v>3.8121862673926322E-5</v>
      </c>
      <c r="BL203" s="717">
        <v>5.0500375258375949E-5</v>
      </c>
      <c r="BM203" s="717">
        <v>6.4505319831525935E-5</v>
      </c>
      <c r="BN203" s="717">
        <v>8.2780957503922318E-5</v>
      </c>
      <c r="BO203" s="718">
        <v>1.0657592754104762E-4</v>
      </c>
      <c r="BP203" s="717">
        <v>1.3821176252931924E-4</v>
      </c>
      <c r="BQ203" s="717">
        <v>1.8209452705894545E-4</v>
      </c>
      <c r="BR203" s="717">
        <v>2.3883035663779272E-4</v>
      </c>
      <c r="BS203" s="717">
        <v>3.1148735160719594E-4</v>
      </c>
      <c r="BT203" s="717">
        <v>3.9380970234817117E-4</v>
      </c>
      <c r="BW203" s="1162">
        <f>'2022'!R\Max</f>
        <v>1.0294757370422234</v>
      </c>
      <c r="BX203" s="1163">
        <f>'2023'!R\Max</f>
        <v>1.0294757370422234</v>
      </c>
      <c r="BY203" s="1163">
        <f>'2024'!R\Max</f>
        <v>1.0294757370422232</v>
      </c>
      <c r="BZ203" s="1163">
        <f>'2025'!R\Max</f>
        <v>1.0294757370422234</v>
      </c>
      <c r="CA203" s="1163">
        <f>'2026'!R\Max</f>
        <v>1.0294757370422234</v>
      </c>
      <c r="CB203" s="1163">
        <f>'2027'!R\Max</f>
        <v>1.0294757370422234</v>
      </c>
      <c r="CC203" s="1164">
        <f>'2028'!R\Max</f>
        <v>1.0294757370422234</v>
      </c>
      <c r="CD203" s="1163">
        <f>'2029'!R\Max</f>
        <v>1.0294757370422234</v>
      </c>
      <c r="CE203" s="1163">
        <f>'2030'!R\Max</f>
        <v>1.0294757370422234</v>
      </c>
      <c r="CF203" s="1165">
        <f>'2031'!R\Max</f>
        <v>1.0294757370422232</v>
      </c>
    </row>
    <row r="204" spans="1:84" s="6" customFormat="1" ht="11.25" x14ac:dyDescent="0.2">
      <c r="A204" s="11">
        <v>43290</v>
      </c>
      <c r="B204" s="375">
        <f>'2022'!Maxi_hp</f>
        <v>64.728394543927067</v>
      </c>
      <c r="C204" s="13">
        <f>'2022'!An_max</f>
        <v>2022</v>
      </c>
      <c r="D204" s="1050">
        <f t="shared" si="78"/>
        <v>1.0155672058317351</v>
      </c>
      <c r="E204" s="1045">
        <f>AA$13/10</f>
        <v>63.736199999999997</v>
      </c>
      <c r="F204" s="13">
        <f t="shared" si="95"/>
        <v>15</v>
      </c>
      <c r="G204" s="13">
        <f t="shared" si="79"/>
        <v>16</v>
      </c>
      <c r="H204" s="169">
        <f t="shared" si="80"/>
        <v>43290</v>
      </c>
      <c r="I204" s="744">
        <f t="shared" si="81"/>
        <v>0</v>
      </c>
      <c r="J204" s="737">
        <f t="shared" si="82"/>
        <v>63.73619999960065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43">
        <v>43290</v>
      </c>
      <c r="AP204" s="13">
        <f t="shared" si="83"/>
        <v>9</v>
      </c>
      <c r="AQ204" s="13">
        <f t="shared" si="84"/>
        <v>8</v>
      </c>
      <c r="AR204" s="169">
        <f t="shared" si="85"/>
        <v>43304</v>
      </c>
      <c r="AS204" s="744">
        <f t="shared" si="86"/>
        <v>0.5</v>
      </c>
      <c r="AT204" s="760">
        <f t="shared" si="87"/>
        <v>63.767418750002982</v>
      </c>
      <c r="AU204" s="13">
        <f t="shared" si="88"/>
        <v>9</v>
      </c>
      <c r="AV204" s="13">
        <f t="shared" si="89"/>
        <v>8</v>
      </c>
      <c r="AW204" s="169">
        <f t="shared" si="90"/>
        <v>43318</v>
      </c>
      <c r="AX204" s="744">
        <f t="shared" si="91"/>
        <v>1</v>
      </c>
      <c r="AY204" s="760">
        <f t="shared" si="92"/>
        <v>63.73619999960065</v>
      </c>
      <c r="AZ204" s="737">
        <f t="shared" si="96"/>
        <v>63.751809374801816</v>
      </c>
      <c r="BA204" s="634">
        <f t="shared" si="93"/>
        <v>1.0155672058317351</v>
      </c>
      <c r="BC204" s="11">
        <v>43290</v>
      </c>
      <c r="BD204" s="286">
        <f>[3]!FeuilCaduc*(1-Persistant)+Persistant</f>
        <v>0.99088559304384516</v>
      </c>
      <c r="BE204" s="287">
        <f>[3]!CroissVégét</f>
        <v>0.76698911930492164</v>
      </c>
      <c r="BF204" s="807">
        <f>1+[3]!Salcycl*Ksac</f>
        <v>1.0488606991304807</v>
      </c>
      <c r="BH204" s="1041">
        <f t="shared" si="94"/>
        <v>1.0909186251994406E-4</v>
      </c>
      <c r="BI204" s="11">
        <v>44386</v>
      </c>
      <c r="BJ204" s="717">
        <v>2.5847803957921803E-5</v>
      </c>
      <c r="BK204" s="717">
        <v>3.7697748419070866E-5</v>
      </c>
      <c r="BL204" s="717">
        <v>5.0211119811591493E-5</v>
      </c>
      <c r="BM204" s="717">
        <v>6.4666762403702501E-5</v>
      </c>
      <c r="BN204" s="717">
        <v>8.3886411301926263E-5</v>
      </c>
      <c r="BO204" s="718">
        <v>1.0924868184983233E-4</v>
      </c>
      <c r="BP204" s="717">
        <v>1.4303007333429346E-4</v>
      </c>
      <c r="BQ204" s="717">
        <v>1.9039958141295042E-4</v>
      </c>
      <c r="BR204" s="717">
        <v>2.5147871273292955E-4</v>
      </c>
      <c r="BS204" s="717">
        <v>3.2953115653582389E-4</v>
      </c>
      <c r="BT204" s="717">
        <v>4.1734403433510658E-4</v>
      </c>
      <c r="BW204" s="1162">
        <f>'2022'!R\Max</f>
        <v>1.0155672058317351</v>
      </c>
      <c r="BX204" s="1163">
        <f>'2023'!R\Max</f>
        <v>1.0155672058317351</v>
      </c>
      <c r="BY204" s="1163">
        <f>'2024'!R\Max</f>
        <v>1.0155672058317351</v>
      </c>
      <c r="BZ204" s="1163">
        <f>'2025'!R\Max</f>
        <v>1.0155672058317351</v>
      </c>
      <c r="CA204" s="1163">
        <f>'2026'!R\Max</f>
        <v>1.0155672058317353</v>
      </c>
      <c r="CB204" s="1163">
        <f>'2027'!R\Max</f>
        <v>1.0155672058317349</v>
      </c>
      <c r="CC204" s="1164">
        <f>'2028'!R\Max</f>
        <v>1.0155672058317351</v>
      </c>
      <c r="CD204" s="1163">
        <f>'2029'!R\Max</f>
        <v>1.0155672058317349</v>
      </c>
      <c r="CE204" s="1163">
        <f>'2030'!R\Max</f>
        <v>1.0155672058317351</v>
      </c>
      <c r="CF204" s="1165">
        <f>'2031'!R\Max</f>
        <v>1.0155672058317351</v>
      </c>
    </row>
    <row r="205" spans="1:84" s="6" customFormat="1" ht="11.25" x14ac:dyDescent="0.2">
      <c r="A205" s="11">
        <v>43291</v>
      </c>
      <c r="B205" s="375">
        <f>'2022'!Maxi_hp</f>
        <v>64.052578735294119</v>
      </c>
      <c r="C205" s="13">
        <f>'2022'!An_max</f>
        <v>2022</v>
      </c>
      <c r="D205" s="1050">
        <f t="shared" si="78"/>
        <v>1.0069050210726642</v>
      </c>
      <c r="E205" s="13"/>
      <c r="F205" s="13">
        <f t="shared" si="95"/>
        <v>15</v>
      </c>
      <c r="G205" s="13">
        <f t="shared" si="79"/>
        <v>16</v>
      </c>
      <c r="H205" s="169">
        <f t="shared" si="80"/>
        <v>43290</v>
      </c>
      <c r="I205" s="744">
        <f t="shared" si="81"/>
        <v>7.1428571428571425E-2</v>
      </c>
      <c r="J205" s="737">
        <f t="shared" si="82"/>
        <v>63.613327369306774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43">
        <v>43291</v>
      </c>
      <c r="AP205" s="13">
        <f t="shared" si="83"/>
        <v>9</v>
      </c>
      <c r="AQ205" s="13">
        <f t="shared" si="84"/>
        <v>8</v>
      </c>
      <c r="AR205" s="169">
        <f t="shared" si="85"/>
        <v>43304</v>
      </c>
      <c r="AS205" s="744">
        <f t="shared" si="86"/>
        <v>0.4642857142857143</v>
      </c>
      <c r="AT205" s="760">
        <f t="shared" si="87"/>
        <v>63.642582432366908</v>
      </c>
      <c r="AU205" s="13">
        <f t="shared" si="88"/>
        <v>9</v>
      </c>
      <c r="AV205" s="13">
        <f t="shared" si="89"/>
        <v>8</v>
      </c>
      <c r="AW205" s="169">
        <f t="shared" si="90"/>
        <v>43318</v>
      </c>
      <c r="AX205" s="744">
        <f t="shared" si="91"/>
        <v>0.9642857142857143</v>
      </c>
      <c r="AY205" s="760">
        <f t="shared" si="92"/>
        <v>63.61339790641464</v>
      </c>
      <c r="AZ205" s="737">
        <f t="shared" si="96"/>
        <v>63.62799016939077</v>
      </c>
      <c r="BA205" s="634">
        <f t="shared" si="93"/>
        <v>1.0069050210726642</v>
      </c>
      <c r="BC205" s="11">
        <v>43291</v>
      </c>
      <c r="BD205" s="286">
        <f>[3]!FeuilCaduc*(1-Persistant)+Persistant</f>
        <v>0.9920035969291523</v>
      </c>
      <c r="BE205" s="287">
        <f>[3]!CroissVégét</f>
        <v>0.77426389460057909</v>
      </c>
      <c r="BF205" s="807">
        <f>1+[3]!Salcycl*Ksac</f>
        <v>1.049000449616144</v>
      </c>
      <c r="BH205" s="1041">
        <f t="shared" si="94"/>
        <v>1.1235992005193419E-4</v>
      </c>
      <c r="BI205" s="11">
        <v>44387</v>
      </c>
      <c r="BJ205" s="717">
        <v>2.5262471471411089E-5</v>
      </c>
      <c r="BK205" s="717">
        <v>3.7276245900711299E-5</v>
      </c>
      <c r="BL205" s="717">
        <v>5.0061510375441183E-5</v>
      </c>
      <c r="BM205" s="717">
        <v>6.5133249210034703E-5</v>
      </c>
      <c r="BN205" s="717">
        <v>8.5452865487908034E-5</v>
      </c>
      <c r="BO205" s="718">
        <v>1.1252732615109502E-4</v>
      </c>
      <c r="BP205" s="717">
        <v>1.4862701943982215E-4</v>
      </c>
      <c r="BQ205" s="717">
        <v>1.9980419956337555E-4</v>
      </c>
      <c r="BR205" s="717">
        <v>2.6561657333789272E-4</v>
      </c>
      <c r="BS205" s="717">
        <v>3.4953899110031156E-4</v>
      </c>
      <c r="BT205" s="717">
        <v>4.4328274077399534E-4</v>
      </c>
      <c r="BW205" s="1162">
        <f>'2022'!R\Max</f>
        <v>1.0069050210726642</v>
      </c>
      <c r="BX205" s="1163">
        <f>'2023'!R\Max</f>
        <v>1.0069050210726642</v>
      </c>
      <c r="BY205" s="1163">
        <f>'2024'!R\Max</f>
        <v>1.0069050210726644</v>
      </c>
      <c r="BZ205" s="1163">
        <f>'2025'!R\Max</f>
        <v>1.0069050210726644</v>
      </c>
      <c r="CA205" s="1163">
        <f>'2026'!R\Max</f>
        <v>1.006905021072664</v>
      </c>
      <c r="CB205" s="1163">
        <f>'2027'!R\Max</f>
        <v>1.0069050210726642</v>
      </c>
      <c r="CC205" s="1164">
        <f>'2028'!R\Max</f>
        <v>1.0069050210726642</v>
      </c>
      <c r="CD205" s="1163">
        <f>'2029'!R\Max</f>
        <v>1.0069050210726642</v>
      </c>
      <c r="CE205" s="1163">
        <f>'2030'!R\Max</f>
        <v>1.0069050210726644</v>
      </c>
      <c r="CF205" s="1165">
        <f>'2031'!R\Max</f>
        <v>1.0069050210726644</v>
      </c>
    </row>
    <row r="206" spans="1:84" s="6" customFormat="1" ht="11.25" x14ac:dyDescent="0.2">
      <c r="A206" s="11">
        <v>43292</v>
      </c>
      <c r="B206" s="375">
        <f>'2022'!Maxi_hp</f>
        <v>62.955611805473744</v>
      </c>
      <c r="C206" s="13">
        <f>'2022'!An_max</f>
        <v>2022</v>
      </c>
      <c r="D206" s="1050">
        <f t="shared" si="78"/>
        <v>0.99162718608860145</v>
      </c>
      <c r="E206" s="13"/>
      <c r="F206" s="13">
        <f t="shared" si="95"/>
        <v>15</v>
      </c>
      <c r="G206" s="13">
        <f t="shared" si="79"/>
        <v>16</v>
      </c>
      <c r="H206" s="169">
        <f t="shared" si="80"/>
        <v>43290</v>
      </c>
      <c r="I206" s="744">
        <f t="shared" si="81"/>
        <v>0.14285714285714285</v>
      </c>
      <c r="J206" s="737">
        <f t="shared" si="82"/>
        <v>63.48717813374742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43">
        <v>43292</v>
      </c>
      <c r="AP206" s="13">
        <f t="shared" si="83"/>
        <v>9</v>
      </c>
      <c r="AQ206" s="13">
        <f t="shared" si="84"/>
        <v>8</v>
      </c>
      <c r="AR206" s="169">
        <f t="shared" si="85"/>
        <v>43304</v>
      </c>
      <c r="AS206" s="744">
        <f t="shared" si="86"/>
        <v>0.42857142857142855</v>
      </c>
      <c r="AT206" s="760">
        <f t="shared" si="87"/>
        <v>63.513390962353768</v>
      </c>
      <c r="AU206" s="13">
        <f t="shared" si="88"/>
        <v>9</v>
      </c>
      <c r="AV206" s="13">
        <f t="shared" si="89"/>
        <v>8</v>
      </c>
      <c r="AW206" s="169">
        <f t="shared" si="90"/>
        <v>43318</v>
      </c>
      <c r="AX206" s="744">
        <f t="shared" si="91"/>
        <v>0.9285714285714286</v>
      </c>
      <c r="AY206" s="760">
        <f t="shared" si="92"/>
        <v>63.484174579674644</v>
      </c>
      <c r="AZ206" s="737">
        <f t="shared" si="96"/>
        <v>63.498782771014206</v>
      </c>
      <c r="BA206" s="634">
        <f t="shared" si="93"/>
        <v>0.99162718608860145</v>
      </c>
      <c r="BC206" s="11">
        <v>43292</v>
      </c>
      <c r="BD206" s="286">
        <f>[3]!FeuilCaduc*(1-Persistant)+Persistant</f>
        <v>0.99302648552044026</v>
      </c>
      <c r="BE206" s="287">
        <f>[3]!CroissVégét</f>
        <v>0.78137649671730769</v>
      </c>
      <c r="BF206" s="807">
        <f>1+[3]!Salcycl*Ksac</f>
        <v>1.0491283106900551</v>
      </c>
      <c r="BH206" s="1041">
        <f t="shared" si="94"/>
        <v>1.1659082715662963E-4</v>
      </c>
      <c r="BI206" s="11">
        <v>44388</v>
      </c>
      <c r="BJ206" s="717">
        <v>2.4699499487090762E-5</v>
      </c>
      <c r="BK206" s="717">
        <v>3.7013039112369349E-5</v>
      </c>
      <c r="BL206" s="717">
        <v>5.0270676873390174E-5</v>
      </c>
      <c r="BM206" s="717">
        <v>6.6211054217754845E-5</v>
      </c>
      <c r="BN206" s="717">
        <v>8.783979612879624E-5</v>
      </c>
      <c r="BO206" s="718">
        <v>1.1676970581983555E-4</v>
      </c>
      <c r="BP206" s="717">
        <v>1.5528928240235413E-4</v>
      </c>
      <c r="BQ206" s="717">
        <v>2.1050138614127009E-4</v>
      </c>
      <c r="BR206" s="717">
        <v>2.8132941989769217E-4</v>
      </c>
      <c r="BS206" s="717">
        <v>3.7147518989799172E-4</v>
      </c>
      <c r="BT206" s="717">
        <v>4.7146011182694754E-4</v>
      </c>
      <c r="BW206" s="1162">
        <f>'2022'!R\Max</f>
        <v>0.99162718608860145</v>
      </c>
      <c r="BX206" s="1163">
        <f>'2023'!R\Max</f>
        <v>0.99162717000951273</v>
      </c>
      <c r="BY206" s="1163">
        <f>'2024'!R\Max</f>
        <v>0.99162714857197143</v>
      </c>
      <c r="BZ206" s="1163">
        <f>'2025'!R\Max</f>
        <v>0.99162712552482346</v>
      </c>
      <c r="CA206" s="1163">
        <f>'2026'!R\Max</f>
        <v>0.99162709746473099</v>
      </c>
      <c r="CB206" s="1163">
        <f>'2027'!R\Max</f>
        <v>0.99162706789876942</v>
      </c>
      <c r="CC206" s="1164">
        <f>'2028'!R\Max</f>
        <v>0.99162703213142811</v>
      </c>
      <c r="CD206" s="1163">
        <f>'2029'!R\Max</f>
        <v>0.99162718689217255</v>
      </c>
      <c r="CE206" s="1163">
        <f>'2030'!R\Max</f>
        <v>0.99162717081308593</v>
      </c>
      <c r="CF206" s="1165">
        <f>'2031'!R\Max</f>
        <v>0.99162714972377841</v>
      </c>
    </row>
    <row r="207" spans="1:84" s="6" customFormat="1" ht="11.25" x14ac:dyDescent="0.2">
      <c r="A207" s="11">
        <v>43293</v>
      </c>
      <c r="B207" s="375">
        <f>'2022'!Maxi_hp</f>
        <v>61.973663730586807</v>
      </c>
      <c r="C207" s="13">
        <f>'2022'!An_max</f>
        <v>2022</v>
      </c>
      <c r="D207" s="1050">
        <f t="shared" ref="D207:D270" si="97">IF($BA207&gt;$D$11,BA207,"")</f>
        <v>0.97815776528630827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69">
        <f t="shared" ref="H207:H270" si="99">INDEX(x.2m,F207)</f>
        <v>43290</v>
      </c>
      <c r="I207" s="744">
        <f t="shared" ref="I207:I270" si="100">($A207-H207)/(INDEX(x.2m,G207)-H207)</f>
        <v>0.21428571428571427</v>
      </c>
      <c r="J207" s="737">
        <f t="shared" ref="J207:J270" si="101">((1-I207)*(INDEX(a.m,F207)*$A207*$A207+INDEX(b.m,F207)*$A207+INDEX(c.m,F207))+I207*(INDEX(a.m,G207)*$A207*$A207+INDEX(b.m,G207)*$A207+INDEX(c.m,G207)))/10</f>
        <v>63.357533855949121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43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69">
        <f t="shared" ref="AR207:AR270" si="104">INDEX(x.2lg,AP207)</f>
        <v>43304</v>
      </c>
      <c r="AS207" s="744">
        <f t="shared" ref="AS207:AS270" si="105">($A207-AR207)/(INDEX(x.2lg,AQ207)-AR207)</f>
        <v>0.39285714285714285</v>
      </c>
      <c r="AT207" s="760">
        <f t="shared" ref="AT207:AT270" si="106">((1-AS207)*(INDEX(a.lg,AP207)*$A207*$A207+INDEX(b.lg,AP207)*$A207+INDEX(c.lg,AP207))+AS207*(INDEX(a.lg,AQ207)*$A207*$A207+INDEX(b.lg,AQ207)*$A207+INDEX(c.lg,AQ207)))/10</f>
        <v>63.379885297587954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69">
        <f t="shared" ref="AW207:AW270" si="109">INDEX(x.2ld,AU207)</f>
        <v>43318</v>
      </c>
      <c r="AX207" s="744">
        <f t="shared" ref="AX207:AX270" si="110">($A207-AW207)/(INDEX(x.2ld,AV207)-AW207)</f>
        <v>0.8928571428571429</v>
      </c>
      <c r="AY207" s="760">
        <f t="shared" ref="AY207:AY270" si="111">((1-AX207)*(INDEX(a.ld,AU207)*$A207*$A207+INDEX(b.ld,AU207)*$A207+INDEX(c.ld,AU207))+AX207*(INDEX(a.ld,AV207)*$A207*$A207+INDEX(b.ld,AV207)*$A207+INDEX(c.ld,AV207)))/10</f>
        <v>63.348734809897316</v>
      </c>
      <c r="AZ207" s="737">
        <f t="shared" si="96"/>
        <v>63.364310053742635</v>
      </c>
      <c r="BA207" s="634">
        <f t="shared" ref="BA207:BA270" si="112">+B207/J207</f>
        <v>0.97815776528630827</v>
      </c>
      <c r="BC207" s="11">
        <v>43293</v>
      </c>
      <c r="BD207" s="286">
        <f>[3]!FeuilCaduc*(1-Persistant)+Persistant</f>
        <v>0.99395853402505574</v>
      </c>
      <c r="BE207" s="287">
        <f>[3]!CroissVégét</f>
        <v>0.78832648381074411</v>
      </c>
      <c r="BF207" s="807">
        <f>1+[3]!Salcycl*Ksac</f>
        <v>1.0492448167531321</v>
      </c>
      <c r="BH207" s="1041">
        <f t="shared" ref="BH207:BH270" si="113">INDEX($BJ207:$BT207,,$BH$10)*(1-Ratini)+INDEX($BJ207:$BT207,,$BH$10+1)*Ratini</f>
        <v>1.214310985648145E-4</v>
      </c>
      <c r="BI207" s="11">
        <v>44389</v>
      </c>
      <c r="BJ207" s="717">
        <v>2.4161289524309283E-5</v>
      </c>
      <c r="BK207" s="717">
        <v>3.6844240133172293E-5</v>
      </c>
      <c r="BL207" s="717">
        <v>5.0696294856148534E-5</v>
      </c>
      <c r="BM207" s="717">
        <v>6.7679376190248901E-5</v>
      </c>
      <c r="BN207" s="717">
        <v>9.0755337716194495E-5</v>
      </c>
      <c r="BO207" s="718">
        <v>1.2162195221065816E-4</v>
      </c>
      <c r="BP207" s="717">
        <v>1.6259165178673951E-4</v>
      </c>
      <c r="BQ207" s="717">
        <v>2.2197536948831125E-4</v>
      </c>
      <c r="BR207" s="717">
        <v>2.9798711796232474E-4</v>
      </c>
      <c r="BS207" s="717">
        <v>3.9456585424154636E-4</v>
      </c>
      <c r="BT207" s="717">
        <v>5.0093699033749257E-4</v>
      </c>
      <c r="BW207" s="1162">
        <f>'2022'!R\Max</f>
        <v>0.97815776528630827</v>
      </c>
      <c r="BX207" s="1163">
        <f>'2023'!R\Max</f>
        <v>0.97815772114714872</v>
      </c>
      <c r="BY207" s="1163">
        <f>'2024'!R\Max</f>
        <v>0.97815766161387574</v>
      </c>
      <c r="BZ207" s="1163">
        <f>'2025'!R\Max</f>
        <v>0.97815759763570853</v>
      </c>
      <c r="CA207" s="1163">
        <f>'2026'!R\Max</f>
        <v>0.97815751975624432</v>
      </c>
      <c r="CB207" s="1163">
        <f>'2027'!R\Max</f>
        <v>0.97815743786277076</v>
      </c>
      <c r="CC207" s="1164">
        <f>'2028'!R\Max</f>
        <v>0.97815733877467681</v>
      </c>
      <c r="CD207" s="1163">
        <f>'2029'!R\Max</f>
        <v>0.97815776749221339</v>
      </c>
      <c r="CE207" s="1163">
        <f>'2030'!R\Max</f>
        <v>0.97815772335306006</v>
      </c>
      <c r="CF207" s="1165">
        <f>'2031'!R\Max</f>
        <v>0.97815766481125643</v>
      </c>
    </row>
    <row r="208" spans="1:84" s="6" customFormat="1" ht="11.25" x14ac:dyDescent="0.2">
      <c r="A208" s="11">
        <v>43294</v>
      </c>
      <c r="B208" s="375">
        <f>'2022'!Maxi_hp</f>
        <v>60.749902162317959</v>
      </c>
      <c r="C208" s="13">
        <f>'2022'!An_max</f>
        <v>2022</v>
      </c>
      <c r="D208" s="1050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69">
        <f t="shared" si="99"/>
        <v>43290</v>
      </c>
      <c r="I208" s="744">
        <f t="shared" si="100"/>
        <v>0.2857142857142857</v>
      </c>
      <c r="J208" s="737">
        <f t="shared" si="101"/>
        <v>63.224176093084473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43">
        <v>43294</v>
      </c>
      <c r="AP208" s="13">
        <f t="shared" si="102"/>
        <v>9</v>
      </c>
      <c r="AQ208" s="13">
        <f t="shared" si="103"/>
        <v>8</v>
      </c>
      <c r="AR208" s="169">
        <f t="shared" si="104"/>
        <v>43304</v>
      </c>
      <c r="AS208" s="744">
        <f t="shared" si="105"/>
        <v>0.35714285714285715</v>
      </c>
      <c r="AT208" s="760">
        <f t="shared" si="106"/>
        <v>63.242106395480889</v>
      </c>
      <c r="AU208" s="13">
        <f t="shared" si="107"/>
        <v>9</v>
      </c>
      <c r="AV208" s="13">
        <f t="shared" si="108"/>
        <v>8</v>
      </c>
      <c r="AW208" s="169">
        <f t="shared" si="109"/>
        <v>43318</v>
      </c>
      <c r="AX208" s="744">
        <f t="shared" si="110"/>
        <v>0.8571428571428571</v>
      </c>
      <c r="AY208" s="760">
        <f t="shared" si="111"/>
        <v>63.207283381319463</v>
      </c>
      <c r="AZ208" s="737">
        <f t="shared" ref="AZ208:AZ271" si="115">(AY208+AT208)/2</f>
        <v>63.22469488840018</v>
      </c>
      <c r="BA208" s="634">
        <f t="shared" si="112"/>
        <v>0.9608650664403493</v>
      </c>
      <c r="BC208" s="11">
        <v>43294</v>
      </c>
      <c r="BD208" s="286">
        <f>[3]!FeuilCaduc*(1-Persistant)+Persistant</f>
        <v>0.99480404515330823</v>
      </c>
      <c r="BE208" s="287">
        <f>[3]!CroissVégét</f>
        <v>0.79511370224543498</v>
      </c>
      <c r="BF208" s="807">
        <f>1+[3]!Salcycl*Ksac</f>
        <v>1.0493505056441634</v>
      </c>
      <c r="BH208" s="1041">
        <f t="shared" si="113"/>
        <v>1.268802906817327E-4</v>
      </c>
      <c r="BI208" s="11">
        <v>44390</v>
      </c>
      <c r="BJ208" s="717">
        <v>2.3647814482854671E-5</v>
      </c>
      <c r="BK208" s="717">
        <v>3.676976582279249E-5</v>
      </c>
      <c r="BL208" s="717">
        <v>5.1338177337426023E-5</v>
      </c>
      <c r="BM208" s="717">
        <v>6.9537883626764812E-5</v>
      </c>
      <c r="BN208" s="717">
        <v>9.4199064963153926E-5</v>
      </c>
      <c r="BO208" s="718">
        <v>1.2708362161490205E-4</v>
      </c>
      <c r="BP208" s="717">
        <v>1.705337366040329E-4</v>
      </c>
      <c r="BQ208" s="717">
        <v>2.3422575494889608E-4</v>
      </c>
      <c r="BR208" s="717">
        <v>3.1558927131624851E-4</v>
      </c>
      <c r="BS208" s="717">
        <v>4.188105860344609E-4</v>
      </c>
      <c r="BT208" s="717">
        <v>5.3171304691829646E-4</v>
      </c>
      <c r="BW208" s="1162">
        <f>'2022'!R\Max</f>
        <v>0.9608650664403493</v>
      </c>
      <c r="BX208" s="1163">
        <f>'2023'!R\Max</f>
        <v>0.96086498380656493</v>
      </c>
      <c r="BY208" s="1163">
        <f>'2024'!R\Max</f>
        <v>0.96086487103958806</v>
      </c>
      <c r="BZ208" s="1163">
        <f>'2025'!R\Max</f>
        <v>0.9608647499086721</v>
      </c>
      <c r="CA208" s="1163">
        <f>'2026'!R\Max</f>
        <v>0.96086460247046224</v>
      </c>
      <c r="CB208" s="1163">
        <f>'2027'!R\Max</f>
        <v>0.96086444772994106</v>
      </c>
      <c r="CC208" s="1164">
        <f>'2028'!R\Max</f>
        <v>0.96086426044946494</v>
      </c>
      <c r="CD208" s="1163">
        <f>'2029'!R\Max</f>
        <v>0.96086507057006787</v>
      </c>
      <c r="CE208" s="1163">
        <f>'2030'!R\Max</f>
        <v>0.96086498793629549</v>
      </c>
      <c r="CF208" s="1165">
        <f>'2031'!R\Max</f>
        <v>0.96086487709324053</v>
      </c>
    </row>
    <row r="209" spans="1:84" s="6" customFormat="1" ht="11.25" x14ac:dyDescent="0.2">
      <c r="A209" s="11">
        <v>43295</v>
      </c>
      <c r="B209" s="375">
        <f>'2022'!Maxi_hp</f>
        <v>60.591505110474671</v>
      </c>
      <c r="C209" s="13">
        <f>'2022'!An_max</f>
        <v>2022</v>
      </c>
      <c r="D209" s="1050" t="str">
        <f t="shared" si="97"/>
        <v/>
      </c>
      <c r="E209" s="13"/>
      <c r="F209" s="13">
        <f t="shared" si="114"/>
        <v>15</v>
      </c>
      <c r="G209" s="13">
        <f t="shared" si="98"/>
        <v>16</v>
      </c>
      <c r="H209" s="169">
        <f t="shared" si="99"/>
        <v>43290</v>
      </c>
      <c r="I209" s="744">
        <f t="shared" si="100"/>
        <v>0.35714285714285715</v>
      </c>
      <c r="J209" s="737">
        <f t="shared" si="101"/>
        <v>63.086886407062408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43">
        <v>43295</v>
      </c>
      <c r="AP209" s="13">
        <f t="shared" si="102"/>
        <v>9</v>
      </c>
      <c r="AQ209" s="13">
        <f t="shared" si="103"/>
        <v>8</v>
      </c>
      <c r="AR209" s="169">
        <f t="shared" si="104"/>
        <v>43304</v>
      </c>
      <c r="AS209" s="744">
        <f t="shared" si="105"/>
        <v>0.32142857142857145</v>
      </c>
      <c r="AT209" s="760">
        <f t="shared" si="106"/>
        <v>63.100095214162558</v>
      </c>
      <c r="AU209" s="13">
        <f t="shared" si="107"/>
        <v>9</v>
      </c>
      <c r="AV209" s="13">
        <f t="shared" si="108"/>
        <v>8</v>
      </c>
      <c r="AW209" s="169">
        <f t="shared" si="109"/>
        <v>43318</v>
      </c>
      <c r="AX209" s="744">
        <f t="shared" si="110"/>
        <v>0.8214285714285714</v>
      </c>
      <c r="AY209" s="760">
        <f t="shared" si="111"/>
        <v>63.060025083699394</v>
      </c>
      <c r="AZ209" s="737">
        <f t="shared" si="115"/>
        <v>63.080060148930976</v>
      </c>
      <c r="BA209" s="634">
        <f t="shared" si="112"/>
        <v>0.96044532487327849</v>
      </c>
      <c r="BC209" s="11">
        <v>43295</v>
      </c>
      <c r="BD209" s="286">
        <f>[3]!FeuilCaduc*(1-Persistant)+Persistant</f>
        <v>0.99556732469267872</v>
      </c>
      <c r="BE209" s="287">
        <f>[3]!CroissVégét</f>
        <v>0.80173827384170082</v>
      </c>
      <c r="BF209" s="807">
        <f>1+[3]!Salcycl*Ksac</f>
        <v>1.0494459155865847</v>
      </c>
      <c r="BH209" s="1041">
        <f t="shared" si="113"/>
        <v>1.3293800372345875E-4</v>
      </c>
      <c r="BI209" s="11">
        <v>44391</v>
      </c>
      <c r="BJ209" s="717">
        <v>2.3159047567036715E-5</v>
      </c>
      <c r="BK209" s="717">
        <v>3.6789537982380944E-5</v>
      </c>
      <c r="BL209" s="717">
        <v>5.2196150289740681E-5</v>
      </c>
      <c r="BM209" s="717">
        <v>7.1786269811999044E-5</v>
      </c>
      <c r="BN209" s="717">
        <v>9.8170588001007548E-5</v>
      </c>
      <c r="BO209" s="718">
        <v>1.331543141869526E-4</v>
      </c>
      <c r="BP209" s="717">
        <v>1.791151963589256E-4</v>
      </c>
      <c r="BQ209" s="717">
        <v>2.4725221440806199E-4</v>
      </c>
      <c r="BR209" s="717">
        <v>3.3413557012478245E-4</v>
      </c>
      <c r="BS209" s="717">
        <v>4.4420909824231022E-4</v>
      </c>
      <c r="BT209" s="717">
        <v>5.6378808422597989E-4</v>
      </c>
      <c r="BW209" s="1162">
        <f>'2022'!R\Max</f>
        <v>0.96044532487327849</v>
      </c>
      <c r="BX209" s="1163">
        <f>'2023'!R\Max</f>
        <v>0.96044523630549661</v>
      </c>
      <c r="BY209" s="1163">
        <f>'2024'!R\Max</f>
        <v>0.96044511400427457</v>
      </c>
      <c r="BZ209" s="1163">
        <f>'2025'!R\Max</f>
        <v>0.96044498270145795</v>
      </c>
      <c r="CA209" s="1163">
        <f>'2026'!R\Max</f>
        <v>0.96044482288182276</v>
      </c>
      <c r="CB209" s="1163">
        <f>'2027'!R\Max</f>
        <v>0.960444655452248</v>
      </c>
      <c r="CC209" s="1164">
        <f>'2028'!R\Max</f>
        <v>0.96044445274525025</v>
      </c>
      <c r="CD209" s="1163">
        <f>'2029'!R\Max</f>
        <v>0.96044532929955484</v>
      </c>
      <c r="CE209" s="1163">
        <f>'2030'!R\Max</f>
        <v>0.9604452407317865</v>
      </c>
      <c r="CF209" s="1165">
        <f>'2031'!R\Max</f>
        <v>0.96044512056627807</v>
      </c>
    </row>
    <row r="210" spans="1:84" s="6" customFormat="1" ht="11.25" x14ac:dyDescent="0.2">
      <c r="A210" s="11">
        <v>43296</v>
      </c>
      <c r="B210" s="375">
        <f>'2022'!Maxi_hp</f>
        <v>57.922415298819374</v>
      </c>
      <c r="C210" s="13">
        <f>'2022'!An_max</f>
        <v>2022</v>
      </c>
      <c r="D210" s="1050" t="str">
        <f t="shared" si="97"/>
        <v/>
      </c>
      <c r="E210" s="13"/>
      <c r="F210" s="13">
        <f t="shared" si="114"/>
        <v>15</v>
      </c>
      <c r="G210" s="13">
        <f t="shared" si="98"/>
        <v>16</v>
      </c>
      <c r="H210" s="169">
        <f t="shared" si="99"/>
        <v>43290</v>
      </c>
      <c r="I210" s="744">
        <f t="shared" si="100"/>
        <v>0.42857142857142855</v>
      </c>
      <c r="J210" s="737">
        <f t="shared" si="101"/>
        <v>62.945446355747322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43">
        <v>43296</v>
      </c>
      <c r="AP210" s="13">
        <f t="shared" si="102"/>
        <v>9</v>
      </c>
      <c r="AQ210" s="13">
        <f t="shared" si="103"/>
        <v>8</v>
      </c>
      <c r="AR210" s="169">
        <f t="shared" si="104"/>
        <v>43304</v>
      </c>
      <c r="AS210" s="744">
        <f t="shared" si="105"/>
        <v>0.2857142857142857</v>
      </c>
      <c r="AT210" s="760">
        <f t="shared" si="106"/>
        <v>62.953892712188619</v>
      </c>
      <c r="AU210" s="13">
        <f t="shared" si="107"/>
        <v>9</v>
      </c>
      <c r="AV210" s="13">
        <f t="shared" si="108"/>
        <v>8</v>
      </c>
      <c r="AW210" s="169">
        <f t="shared" si="109"/>
        <v>43318</v>
      </c>
      <c r="AX210" s="744">
        <f t="shared" si="110"/>
        <v>0.7857142857142857</v>
      </c>
      <c r="AY210" s="760">
        <f t="shared" si="111"/>
        <v>62.907164703522405</v>
      </c>
      <c r="AZ210" s="737">
        <f t="shared" si="115"/>
        <v>62.930528707855515</v>
      </c>
      <c r="BA210" s="634">
        <f t="shared" si="112"/>
        <v>0.92020024723409855</v>
      </c>
      <c r="BC210" s="11">
        <v>43296</v>
      </c>
      <c r="BD210" s="286">
        <f>[3]!FeuilCaduc*(1-Persistant)+Persistant</f>
        <v>0.9962526578460128</v>
      </c>
      <c r="BE210" s="287">
        <f>[3]!CroissVégét</f>
        <v>0.80820058265200556</v>
      </c>
      <c r="BF210" s="807">
        <f>1+[3]!Salcycl*Ksac</f>
        <v>1.0495315822307516</v>
      </c>
      <c r="BH210" s="1041">
        <f t="shared" si="113"/>
        <v>1.3960388473702518E-4</v>
      </c>
      <c r="BI210" s="11">
        <v>44392</v>
      </c>
      <c r="BJ210" s="717">
        <v>2.2694962405405572E-5</v>
      </c>
      <c r="BK210" s="717">
        <v>3.6903483818848492E-5</v>
      </c>
      <c r="BL210" s="717">
        <v>5.3270053712499078E-5</v>
      </c>
      <c r="BM210" s="717">
        <v>7.4424254746093338E-5</v>
      </c>
      <c r="BN210" s="717">
        <v>1.0266955499511307E-4</v>
      </c>
      <c r="BO210" s="718">
        <v>1.398336769668845E-4</v>
      </c>
      <c r="BP210" s="717">
        <v>1.8833574422919379E-4</v>
      </c>
      <c r="BQ210" s="717">
        <v>2.6105449015845656E-4</v>
      </c>
      <c r="BR210" s="717">
        <v>3.5362579564647702E-4</v>
      </c>
      <c r="BS210" s="717">
        <v>4.7076122065943933E-4</v>
      </c>
      <c r="BT210" s="717">
        <v>5.971620434631924E-4</v>
      </c>
      <c r="BW210" s="1162">
        <f>'2022'!R\Max</f>
        <v>0.92020024723409855</v>
      </c>
      <c r="BX210" s="1163">
        <f>'2023'!R\Max</f>
        <v>0.92020006604388471</v>
      </c>
      <c r="BY210" s="1163">
        <f>'2024'!R\Max</f>
        <v>0.92019981285620944</v>
      </c>
      <c r="BZ210" s="1163">
        <f>'2025'!R\Max</f>
        <v>0.92019954119702874</v>
      </c>
      <c r="CA210" s="1163">
        <f>'2026'!R\Max</f>
        <v>0.92019921051376652</v>
      </c>
      <c r="CB210" s="1163">
        <f>'2027'!R\Max</f>
        <v>0.92019886468661671</v>
      </c>
      <c r="CC210" s="1164">
        <f>'2028'!R\Max</f>
        <v>0.92019844582595911</v>
      </c>
      <c r="CD210" s="1163">
        <f>'2029'!R\Max</f>
        <v>0.92020025628928692</v>
      </c>
      <c r="CE210" s="1163">
        <f>'2030'!R\Max</f>
        <v>0.92020007509910118</v>
      </c>
      <c r="CF210" s="1165">
        <f>'2031'!R\Max</f>
        <v>0.9201998264326775</v>
      </c>
    </row>
    <row r="211" spans="1:84" s="6" customFormat="1" ht="11.25" x14ac:dyDescent="0.2">
      <c r="A211" s="11">
        <v>43297</v>
      </c>
      <c r="B211" s="375">
        <f>'2022'!Maxi_hp</f>
        <v>59.11809989916042</v>
      </c>
      <c r="C211" s="13">
        <f>'2022'!An_max</f>
        <v>2022</v>
      </c>
      <c r="D211" s="1050" t="str">
        <f t="shared" si="97"/>
        <v/>
      </c>
      <c r="E211" s="13"/>
      <c r="F211" s="13">
        <f t="shared" si="114"/>
        <v>15</v>
      </c>
      <c r="G211" s="13">
        <f t="shared" si="98"/>
        <v>16</v>
      </c>
      <c r="H211" s="169">
        <f t="shared" si="99"/>
        <v>43290</v>
      </c>
      <c r="I211" s="744">
        <f t="shared" si="100"/>
        <v>0.5</v>
      </c>
      <c r="J211" s="737">
        <f t="shared" si="101"/>
        <v>62.799637500941756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43">
        <v>43297</v>
      </c>
      <c r="AP211" s="13">
        <f t="shared" si="102"/>
        <v>9</v>
      </c>
      <c r="AQ211" s="13">
        <f t="shared" si="103"/>
        <v>8</v>
      </c>
      <c r="AR211" s="169">
        <f t="shared" si="104"/>
        <v>43304</v>
      </c>
      <c r="AS211" s="744">
        <f t="shared" si="105"/>
        <v>0.25</v>
      </c>
      <c r="AT211" s="760">
        <f t="shared" si="106"/>
        <v>62.803539843671025</v>
      </c>
      <c r="AU211" s="13">
        <f t="shared" si="107"/>
        <v>9</v>
      </c>
      <c r="AV211" s="13">
        <f t="shared" si="108"/>
        <v>8</v>
      </c>
      <c r="AW211" s="169">
        <f t="shared" si="109"/>
        <v>43318</v>
      </c>
      <c r="AX211" s="744">
        <f t="shared" si="110"/>
        <v>0.75</v>
      </c>
      <c r="AY211" s="760">
        <f t="shared" si="111"/>
        <v>62.748907031025738</v>
      </c>
      <c r="AZ211" s="737">
        <f t="shared" si="115"/>
        <v>62.776223437348378</v>
      </c>
      <c r="BA211" s="634">
        <f t="shared" si="112"/>
        <v>0.94137645138913217</v>
      </c>
      <c r="BC211" s="11">
        <v>43297</v>
      </c>
      <c r="BD211" s="286">
        <f>[3]!FeuilCaduc*(1-Persistant)+Persistant</f>
        <v>0.99686428648976422</v>
      </c>
      <c r="BE211" s="287">
        <f>[3]!CroissVégét</f>
        <v>0.81450126137468837</v>
      </c>
      <c r="BF211" s="807">
        <f>1+[3]!Salcycl*Ksac</f>
        <v>1.0496080358112205</v>
      </c>
      <c r="BH211" s="1041">
        <f t="shared" si="113"/>
        <v>1.4687763061654974E-4</v>
      </c>
      <c r="BI211" s="11">
        <v>44393</v>
      </c>
      <c r="BJ211" s="717">
        <v>2.2255533169700829E-5</v>
      </c>
      <c r="BK211" s="717">
        <v>3.711153640796172E-5</v>
      </c>
      <c r="BL211" s="717">
        <v>5.4559742698433214E-5</v>
      </c>
      <c r="BM211" s="717">
        <v>7.7451587072420666E-5</v>
      </c>
      <c r="BN211" s="717">
        <v>1.0769565475761624E-4</v>
      </c>
      <c r="BO211" s="718">
        <v>1.4712140689909862E-4</v>
      </c>
      <c r="BP211" s="717">
        <v>1.9819515023978177E-4</v>
      </c>
      <c r="BQ211" s="717">
        <v>2.7563239875995983E-4</v>
      </c>
      <c r="BR211" s="717">
        <v>3.7405982493560311E-4</v>
      </c>
      <c r="BS211" s="717">
        <v>4.9846690566254619E-4</v>
      </c>
      <c r="BT211" s="717">
        <v>6.3183501086405745E-4</v>
      </c>
      <c r="BW211" s="1162">
        <f>'2022'!R\Max</f>
        <v>0.94137645138913217</v>
      </c>
      <c r="BX211" s="1163">
        <f>'2023'!R\Max</f>
        <v>0.94137630757633672</v>
      </c>
      <c r="BY211" s="1163">
        <f>'2024'!R\Max</f>
        <v>0.94137610421703399</v>
      </c>
      <c r="BZ211" s="1163">
        <f>'2025'!R\Max</f>
        <v>0.94137588616826906</v>
      </c>
      <c r="CA211" s="1163">
        <f>'2026'!R\Max</f>
        <v>0.94137562070833691</v>
      </c>
      <c r="CB211" s="1163">
        <f>'2027'!R\Max</f>
        <v>0.94137534355186425</v>
      </c>
      <c r="CC211" s="1164">
        <f>'2028'!R\Max</f>
        <v>0.94137500771311422</v>
      </c>
      <c r="CD211" s="1163">
        <f>'2029'!R\Max</f>
        <v>0.94137645857634011</v>
      </c>
      <c r="CE211" s="1163">
        <f>'2030'!R\Max</f>
        <v>0.94137631476356898</v>
      </c>
      <c r="CF211" s="1165">
        <f>'2031'!R\Max</f>
        <v>0.94137611511425934</v>
      </c>
    </row>
    <row r="212" spans="1:84" s="6" customFormat="1" ht="11.25" x14ac:dyDescent="0.2">
      <c r="A212" s="11">
        <v>43298</v>
      </c>
      <c r="B212" s="375">
        <f>'2022'!Maxi_hp</f>
        <v>59.549018604675425</v>
      </c>
      <c r="C212" s="13">
        <f>'2022'!An_max</f>
        <v>2022</v>
      </c>
      <c r="D212" s="1050" t="str">
        <f t="shared" si="97"/>
        <v/>
      </c>
      <c r="E212" s="13"/>
      <c r="F212" s="13">
        <f t="shared" si="114"/>
        <v>15</v>
      </c>
      <c r="G212" s="13">
        <f t="shared" si="98"/>
        <v>16</v>
      </c>
      <c r="H212" s="169">
        <f t="shared" si="99"/>
        <v>43290</v>
      </c>
      <c r="I212" s="744">
        <f t="shared" si="100"/>
        <v>0.5714285714285714</v>
      </c>
      <c r="J212" s="737">
        <f t="shared" si="101"/>
        <v>62.649241399658578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43">
        <v>43298</v>
      </c>
      <c r="AP212" s="13">
        <f t="shared" si="102"/>
        <v>9</v>
      </c>
      <c r="AQ212" s="13">
        <f t="shared" si="103"/>
        <v>8</v>
      </c>
      <c r="AR212" s="169">
        <f t="shared" si="104"/>
        <v>43304</v>
      </c>
      <c r="AS212" s="744">
        <f t="shared" si="105"/>
        <v>0.21428571428571427</v>
      </c>
      <c r="AT212" s="760">
        <f t="shared" si="106"/>
        <v>62.649077569480447</v>
      </c>
      <c r="AU212" s="13">
        <f t="shared" si="107"/>
        <v>9</v>
      </c>
      <c r="AV212" s="13">
        <f t="shared" si="108"/>
        <v>8</v>
      </c>
      <c r="AW212" s="169">
        <f t="shared" si="109"/>
        <v>43318</v>
      </c>
      <c r="AX212" s="744">
        <f t="shared" si="110"/>
        <v>0.7142857142857143</v>
      </c>
      <c r="AY212" s="760">
        <f t="shared" si="111"/>
        <v>62.585456850699018</v>
      </c>
      <c r="AZ212" s="737">
        <f t="shared" si="115"/>
        <v>62.617267210089736</v>
      </c>
      <c r="BA212" s="634">
        <f t="shared" si="112"/>
        <v>0.95051459960694673</v>
      </c>
      <c r="BC212" s="11">
        <v>43298</v>
      </c>
      <c r="BD212" s="286">
        <f>[3]!FeuilCaduc*(1-Persistant)+Persistant</f>
        <v>0.99740638749766264</v>
      </c>
      <c r="BE212" s="287">
        <f>[3]!CroissVégét</f>
        <v>0.82064117750784105</v>
      </c>
      <c r="BF212" s="807">
        <f>1+[3]!Salcycl*Ksac</f>
        <v>1.0496757984372078</v>
      </c>
      <c r="BH212" s="1041">
        <f t="shared" si="113"/>
        <v>1.5550812805304219E-4</v>
      </c>
      <c r="BI212" s="11">
        <v>44394</v>
      </c>
      <c r="BJ212" s="717">
        <v>2.213196757012565E-5</v>
      </c>
      <c r="BK212" s="717">
        <v>3.7837803066369287E-5</v>
      </c>
      <c r="BL212" s="717">
        <v>5.6636426748389567E-5</v>
      </c>
      <c r="BM212" s="717">
        <v>8.1556861175183386E-5</v>
      </c>
      <c r="BN212" s="717">
        <v>1.1400239457850826E-4</v>
      </c>
      <c r="BO212" s="718">
        <v>1.5576636192688549E-4</v>
      </c>
      <c r="BP212" s="717">
        <v>2.0941050614143534E-4</v>
      </c>
      <c r="BQ212" s="717">
        <v>2.9146983904469281E-4</v>
      </c>
      <c r="BR212" s="717">
        <v>3.9567310494428664E-4</v>
      </c>
      <c r="BS212" s="717">
        <v>5.2729950285737234E-4</v>
      </c>
      <c r="BT212" s="717">
        <v>6.677023558742868E-4</v>
      </c>
      <c r="BW212" s="1162">
        <f>'2022'!R\Max</f>
        <v>0.95051459960694673</v>
      </c>
      <c r="BX212" s="1163">
        <f>'2023'!R\Max</f>
        <v>0.95051447048498783</v>
      </c>
      <c r="BY212" s="1163">
        <f>'2024'!R\Max</f>
        <v>0.95051428607977861</v>
      </c>
      <c r="BZ212" s="1163">
        <f>'2025'!R\Max</f>
        <v>0.95051408856029374</v>
      </c>
      <c r="CA212" s="1163">
        <f>'2026'!R\Max</f>
        <v>0.95051384795738536</v>
      </c>
      <c r="CB212" s="1163">
        <f>'2027'!R\Max</f>
        <v>0.95051359713350869</v>
      </c>
      <c r="CC212" s="1164">
        <f>'2028'!R\Max</f>
        <v>0.95051329295375919</v>
      </c>
      <c r="CD212" s="1163">
        <f>'2029'!R\Max</f>
        <v>0.95051460605996285</v>
      </c>
      <c r="CE212" s="1163">
        <f>'2030'!R\Max</f>
        <v>0.95051447693802671</v>
      </c>
      <c r="CF212" s="1165">
        <f>'2031'!R\Max</f>
        <v>0.95051429595102876</v>
      </c>
    </row>
    <row r="213" spans="1:84" s="6" customFormat="1" ht="11.25" x14ac:dyDescent="0.2">
      <c r="A213" s="11">
        <v>43299</v>
      </c>
      <c r="B213" s="375">
        <f>'2022'!Maxi_hp</f>
        <v>61.371274698126008</v>
      </c>
      <c r="C213" s="13">
        <f>'2022'!An_max</f>
        <v>2022</v>
      </c>
      <c r="D213" s="1050">
        <f t="shared" si="97"/>
        <v>0.98203404800323957</v>
      </c>
      <c r="E213" s="13"/>
      <c r="F213" s="13">
        <f t="shared" si="114"/>
        <v>15</v>
      </c>
      <c r="G213" s="13">
        <f t="shared" si="98"/>
        <v>16</v>
      </c>
      <c r="H213" s="169">
        <f t="shared" si="99"/>
        <v>43290</v>
      </c>
      <c r="I213" s="744">
        <f t="shared" si="100"/>
        <v>0.6428571428571429</v>
      </c>
      <c r="J213" s="737">
        <f t="shared" si="101"/>
        <v>62.494039613913216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43">
        <v>43299</v>
      </c>
      <c r="AP213" s="13">
        <f t="shared" si="102"/>
        <v>9</v>
      </c>
      <c r="AQ213" s="13">
        <f t="shared" si="103"/>
        <v>8</v>
      </c>
      <c r="AR213" s="169">
        <f t="shared" si="104"/>
        <v>43304</v>
      </c>
      <c r="AS213" s="744">
        <f t="shared" si="105"/>
        <v>0.17857142857142858</v>
      </c>
      <c r="AT213" s="760">
        <f t="shared" si="106"/>
        <v>62.490546845751147</v>
      </c>
      <c r="AU213" s="13">
        <f t="shared" si="107"/>
        <v>9</v>
      </c>
      <c r="AV213" s="13">
        <f t="shared" si="108"/>
        <v>8</v>
      </c>
      <c r="AW213" s="169">
        <f t="shared" si="109"/>
        <v>43318</v>
      </c>
      <c r="AX213" s="744">
        <f t="shared" si="110"/>
        <v>0.6785714285714286</v>
      </c>
      <c r="AY213" s="760">
        <f t="shared" si="111"/>
        <v>62.417018952114248</v>
      </c>
      <c r="AZ213" s="737">
        <f t="shared" si="115"/>
        <v>62.453782898932701</v>
      </c>
      <c r="BA213" s="634">
        <f t="shared" si="112"/>
        <v>0.98203404800323957</v>
      </c>
      <c r="BC213" s="11">
        <v>43299</v>
      </c>
      <c r="BD213" s="286">
        <f>[3]!FeuilCaduc*(1-Persistant)+Persistant</f>
        <v>0.99788305226322138</v>
      </c>
      <c r="BE213" s="287">
        <f>[3]!CroissVégét</f>
        <v>0.82662141934042188</v>
      </c>
      <c r="BF213" s="807">
        <f>1+[3]!Salcycl*Ksac</f>
        <v>1.0497353815329027</v>
      </c>
      <c r="BH213" s="1041">
        <f t="shared" si="113"/>
        <v>1.6524193412817873E-4</v>
      </c>
      <c r="BI213" s="11">
        <v>44395</v>
      </c>
      <c r="BJ213" s="717">
        <v>2.2405431577753176E-5</v>
      </c>
      <c r="BK213" s="717">
        <v>3.9143465582061112E-5</v>
      </c>
      <c r="BL213" s="717">
        <v>5.9502511821970813E-5</v>
      </c>
      <c r="BM213" s="717">
        <v>8.6655202219019026E-5</v>
      </c>
      <c r="BN213" s="717">
        <v>1.214194607298621E-4</v>
      </c>
      <c r="BO213" s="718">
        <v>1.6551458193174028E-4</v>
      </c>
      <c r="BP213" s="717">
        <v>2.2162552824471255E-4</v>
      </c>
      <c r="BQ213" s="717">
        <v>3.0797878798469077E-4</v>
      </c>
      <c r="BR213" s="717">
        <v>4.1760028077009328E-4</v>
      </c>
      <c r="BS213" s="717">
        <v>5.560606641846355E-4</v>
      </c>
      <c r="BT213" s="717">
        <v>7.0328823053857948E-4</v>
      </c>
      <c r="BW213" s="1162">
        <f>'2022'!R\Max</f>
        <v>0.98203404800323957</v>
      </c>
      <c r="BX213" s="1163">
        <f>'2023'!R\Max</f>
        <v>0.98203399719301698</v>
      </c>
      <c r="BY213" s="1163">
        <f>'2024'!R\Max</f>
        <v>0.98203392408377788</v>
      </c>
      <c r="BZ213" s="1163">
        <f>'2025'!R\Max</f>
        <v>0.98203384588735942</v>
      </c>
      <c r="CA213" s="1163">
        <f>'2026'!R\Max</f>
        <v>0.9820337505336808</v>
      </c>
      <c r="CB213" s="1163">
        <f>'2027'!R\Max</f>
        <v>0.98203365126551034</v>
      </c>
      <c r="CC213" s="1164">
        <f>'2028'!R\Max</f>
        <v>0.98203353073192712</v>
      </c>
      <c r="CD213" s="1163">
        <f>'2029'!R\Max</f>
        <v>0.98203405054253767</v>
      </c>
      <c r="CE213" s="1163">
        <f>'2030'!R\Max</f>
        <v>0.98203399973232486</v>
      </c>
      <c r="CF213" s="1165">
        <f>'2031'!R\Max</f>
        <v>0.98203392799172717</v>
      </c>
    </row>
    <row r="214" spans="1:84" s="6" customFormat="1" ht="11.25" x14ac:dyDescent="0.2">
      <c r="A214" s="11">
        <v>43300</v>
      </c>
      <c r="B214" s="375">
        <f>'2022'!Maxi_hp</f>
        <v>45.082293640742087</v>
      </c>
      <c r="C214" s="13">
        <f>'2022'!An_max</f>
        <v>2022</v>
      </c>
      <c r="D214" s="1050" t="str">
        <f t="shared" si="97"/>
        <v/>
      </c>
      <c r="E214" s="13"/>
      <c r="F214" s="13">
        <f t="shared" si="114"/>
        <v>15</v>
      </c>
      <c r="G214" s="13">
        <f t="shared" si="98"/>
        <v>16</v>
      </c>
      <c r="H214" s="169">
        <f t="shared" si="99"/>
        <v>43290</v>
      </c>
      <c r="I214" s="744">
        <f t="shared" si="100"/>
        <v>0.7142857142857143</v>
      </c>
      <c r="J214" s="737">
        <f t="shared" si="101"/>
        <v>62.333813704018077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43">
        <v>43300</v>
      </c>
      <c r="AP214" s="13">
        <f t="shared" si="102"/>
        <v>9</v>
      </c>
      <c r="AQ214" s="13">
        <f t="shared" si="103"/>
        <v>8</v>
      </c>
      <c r="AR214" s="169">
        <f t="shared" si="104"/>
        <v>43304</v>
      </c>
      <c r="AS214" s="744">
        <f t="shared" si="105"/>
        <v>0.14285714285714285</v>
      </c>
      <c r="AT214" s="760">
        <f t="shared" si="106"/>
        <v>62.327988630001038</v>
      </c>
      <c r="AU214" s="13">
        <f t="shared" si="107"/>
        <v>9</v>
      </c>
      <c r="AV214" s="13">
        <f t="shared" si="108"/>
        <v>8</v>
      </c>
      <c r="AW214" s="169">
        <f t="shared" si="109"/>
        <v>43318</v>
      </c>
      <c r="AX214" s="744">
        <f t="shared" si="110"/>
        <v>0.6428571428571429</v>
      </c>
      <c r="AY214" s="760">
        <f t="shared" si="111"/>
        <v>62.243798122927544</v>
      </c>
      <c r="AZ214" s="737">
        <f t="shared" si="115"/>
        <v>62.285893376464287</v>
      </c>
      <c r="BA214" s="634">
        <f t="shared" si="112"/>
        <v>0.72323977889124491</v>
      </c>
      <c r="BC214" s="11">
        <v>43300</v>
      </c>
      <c r="BD214" s="286">
        <f>[3]!FeuilCaduc*(1-Persistant)+Persistant</f>
        <v>0.99829826754140993</v>
      </c>
      <c r="BE214" s="287">
        <f>[3]!CroissVégét</f>
        <v>0.83244328187154937</v>
      </c>
      <c r="BF214" s="807">
        <f>1+[3]!Salcycl*Ksac</f>
        <v>1.0497872834426762</v>
      </c>
      <c r="BH214" s="1041">
        <f t="shared" si="113"/>
        <v>1.7607853680902058E-4</v>
      </c>
      <c r="BI214" s="11">
        <v>44396</v>
      </c>
      <c r="BJ214" s="717">
        <v>2.3075609139153382E-5</v>
      </c>
      <c r="BK214" s="717">
        <v>4.1028097695287414E-5</v>
      </c>
      <c r="BL214" s="717">
        <v>6.3157458287568883E-5</v>
      </c>
      <c r="BM214" s="717">
        <v>9.2745989531622353E-5</v>
      </c>
      <c r="BN214" s="717">
        <v>1.2994623180141555E-4</v>
      </c>
      <c r="BO214" s="718">
        <v>1.7636555556123089E-4</v>
      </c>
      <c r="BP214" s="717">
        <v>2.3483990814219115E-4</v>
      </c>
      <c r="BQ214" s="717">
        <v>3.2515941013487793E-4</v>
      </c>
      <c r="BR214" s="717">
        <v>4.3984206615903606E-4</v>
      </c>
      <c r="BS214" s="717">
        <v>5.8475174037595022E-4</v>
      </c>
      <c r="BT214" s="717">
        <v>7.3859447791207566E-4</v>
      </c>
      <c r="BW214" s="1162">
        <f>'2022'!R\Max</f>
        <v>0.72323977889124491</v>
      </c>
      <c r="BX214" s="1163">
        <f>'2023'!R\Max</f>
        <v>0.7232391763685464</v>
      </c>
      <c r="BY214" s="1163">
        <f>'2024'!R\Max</f>
        <v>0.72323830474803641</v>
      </c>
      <c r="BZ214" s="1163">
        <f>'2025'!R\Max</f>
        <v>0.72323737408485356</v>
      </c>
      <c r="CA214" s="1163">
        <f>'2026'!R\Max</f>
        <v>0.72323623754396271</v>
      </c>
      <c r="CB214" s="1163">
        <f>'2027'!R\Max</f>
        <v>0.72323505582890657</v>
      </c>
      <c r="CC214" s="1164">
        <f>'2028'!R\Max</f>
        <v>0.72323361868024361</v>
      </c>
      <c r="CD214" s="1163">
        <f>'2029'!R\Max</f>
        <v>0.72323980900301521</v>
      </c>
      <c r="CE214" s="1163">
        <f>'2030'!R\Max</f>
        <v>0.72323920648039342</v>
      </c>
      <c r="CF214" s="1165">
        <f>'2031'!R\Max</f>
        <v>0.72323835125897384</v>
      </c>
    </row>
    <row r="215" spans="1:84" s="6" customFormat="1" ht="11.25" x14ac:dyDescent="0.2">
      <c r="A215" s="11">
        <v>43301</v>
      </c>
      <c r="B215" s="375">
        <f>'2022'!Maxi_hp</f>
        <v>42.337467031367346</v>
      </c>
      <c r="C215" s="13">
        <f>'2022'!An_max</f>
        <v>2022</v>
      </c>
      <c r="D215" s="1050" t="str">
        <f t="shared" si="97"/>
        <v/>
      </c>
      <c r="E215" s="13"/>
      <c r="F215" s="13">
        <f t="shared" si="114"/>
        <v>15</v>
      </c>
      <c r="G215" s="13">
        <f t="shared" si="98"/>
        <v>16</v>
      </c>
      <c r="H215" s="169">
        <f t="shared" si="99"/>
        <v>43290</v>
      </c>
      <c r="I215" s="744">
        <f t="shared" si="100"/>
        <v>0.7857142857142857</v>
      </c>
      <c r="J215" s="737">
        <f t="shared" si="101"/>
        <v>62.168345226879637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43">
        <v>43301</v>
      </c>
      <c r="AP215" s="13">
        <f t="shared" si="102"/>
        <v>9</v>
      </c>
      <c r="AQ215" s="13">
        <f t="shared" si="103"/>
        <v>8</v>
      </c>
      <c r="AR215" s="169">
        <f t="shared" si="104"/>
        <v>43304</v>
      </c>
      <c r="AS215" s="744">
        <f t="shared" si="105"/>
        <v>0.10714285714285714</v>
      </c>
      <c r="AT215" s="760">
        <f t="shared" si="106"/>
        <v>62.161443879907686</v>
      </c>
      <c r="AU215" s="13">
        <f t="shared" si="107"/>
        <v>9</v>
      </c>
      <c r="AV215" s="13">
        <f t="shared" si="108"/>
        <v>8</v>
      </c>
      <c r="AW215" s="169">
        <f t="shared" si="109"/>
        <v>43318</v>
      </c>
      <c r="AX215" s="744">
        <f t="shared" si="110"/>
        <v>0.6071428571428571</v>
      </c>
      <c r="AY215" s="760">
        <f t="shared" si="111"/>
        <v>62.065999149890352</v>
      </c>
      <c r="AZ215" s="737">
        <f t="shared" si="115"/>
        <v>62.113721514899019</v>
      </c>
      <c r="BA215" s="634">
        <f t="shared" si="112"/>
        <v>0.68101325323779016</v>
      </c>
      <c r="BC215" s="11">
        <v>43301</v>
      </c>
      <c r="BD215" s="286">
        <f>[3]!FeuilCaduc*(1-Persistant)+Persistant</f>
        <v>0.99865589771572472</v>
      </c>
      <c r="BE215" s="287">
        <f>[3]!CroissVégét</f>
        <v>0.83810825274241962</v>
      </c>
      <c r="BF215" s="807">
        <f>1+[3]!Salcycl*Ksac</f>
        <v>1.0498319872144657</v>
      </c>
      <c r="BH215" s="1041">
        <f t="shared" si="113"/>
        <v>1.8801752507898611E-4</v>
      </c>
      <c r="BI215" s="11">
        <v>44397</v>
      </c>
      <c r="BJ215" s="717">
        <v>2.4142214035400992E-5</v>
      </c>
      <c r="BK215" s="717">
        <v>4.3491318515163478E-5</v>
      </c>
      <c r="BL215" s="717">
        <v>6.76007905222917E-5</v>
      </c>
      <c r="BM215" s="717">
        <v>9.9828685977618791E-5</v>
      </c>
      <c r="BN215" s="717">
        <v>1.3958218324665791E-4</v>
      </c>
      <c r="BO215" s="718">
        <v>1.8831887250511846E-4</v>
      </c>
      <c r="BP215" s="717">
        <v>2.4905343579652165E-4</v>
      </c>
      <c r="BQ215" s="717">
        <v>3.4301195286737777E-4</v>
      </c>
      <c r="BR215" s="717">
        <v>4.6239924221450025E-4</v>
      </c>
      <c r="BS215" s="717">
        <v>6.1337413486914588E-4</v>
      </c>
      <c r="BT215" s="717">
        <v>7.7362299201509145E-4</v>
      </c>
      <c r="BW215" s="1162">
        <f>'2022'!R\Max</f>
        <v>0.68101325323779016</v>
      </c>
      <c r="BX215" s="1163">
        <f>'2023'!R\Max</f>
        <v>0.68101257200418308</v>
      </c>
      <c r="BY215" s="1163">
        <f>'2024'!R\Max</f>
        <v>0.68101158304769982</v>
      </c>
      <c r="BZ215" s="1163">
        <f>'2025'!R\Max</f>
        <v>0.68101052914835702</v>
      </c>
      <c r="CA215" s="1163">
        <f>'2026'!R\Max</f>
        <v>0.68100923972119509</v>
      </c>
      <c r="CB215" s="1163">
        <f>'2027'!R\Max</f>
        <v>0.68100790058465999</v>
      </c>
      <c r="CC215" s="1164">
        <f>'2028'!R\Max</f>
        <v>0.6810062688712708</v>
      </c>
      <c r="CD215" s="1163">
        <f>'2029'!R\Max</f>
        <v>0.6810132872832324</v>
      </c>
      <c r="CE215" s="1163">
        <f>'2030'!R\Max</f>
        <v>0.68101260604970659</v>
      </c>
      <c r="CF215" s="1165">
        <f>'2031'!R\Max</f>
        <v>0.68101163571750933</v>
      </c>
    </row>
    <row r="216" spans="1:84" s="6" customFormat="1" ht="11.25" x14ac:dyDescent="0.2">
      <c r="A216" s="11">
        <v>43302</v>
      </c>
      <c r="B216" s="375">
        <f>'2022'!Maxi_hp</f>
        <v>58.424753973984458</v>
      </c>
      <c r="C216" s="13">
        <f>'2022'!An_max</f>
        <v>2022</v>
      </c>
      <c r="D216" s="1050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69">
        <f t="shared" si="99"/>
        <v>43290</v>
      </c>
      <c r="I216" s="744">
        <f t="shared" si="100"/>
        <v>0.8571428571428571</v>
      </c>
      <c r="J216" s="737">
        <f t="shared" si="101"/>
        <v>61.997415743555351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43">
        <v>43302</v>
      </c>
      <c r="AP216" s="13">
        <f t="shared" si="102"/>
        <v>9</v>
      </c>
      <c r="AQ216" s="13">
        <f t="shared" si="103"/>
        <v>8</v>
      </c>
      <c r="AR216" s="169">
        <f t="shared" si="104"/>
        <v>43304</v>
      </c>
      <c r="AS216" s="744">
        <f t="shared" si="105"/>
        <v>7.1428571428571425E-2</v>
      </c>
      <c r="AT216" s="760">
        <f t="shared" si="106"/>
        <v>61.990953553414769</v>
      </c>
      <c r="AU216" s="13">
        <f t="shared" si="107"/>
        <v>9</v>
      </c>
      <c r="AV216" s="13">
        <f t="shared" si="108"/>
        <v>8</v>
      </c>
      <c r="AW216" s="169">
        <f t="shared" si="109"/>
        <v>43318</v>
      </c>
      <c r="AX216" s="744">
        <f t="shared" si="110"/>
        <v>0.5714285714285714</v>
      </c>
      <c r="AY216" s="760">
        <f t="shared" si="111"/>
        <v>61.883826821989246</v>
      </c>
      <c r="AZ216" s="737">
        <f t="shared" si="115"/>
        <v>61.937390187702007</v>
      </c>
      <c r="BA216" s="634">
        <f t="shared" si="112"/>
        <v>0.94237402113099733</v>
      </c>
      <c r="BC216" s="11">
        <v>43302</v>
      </c>
      <c r="BD216" s="286">
        <f>[3]!FeuilCaduc*(1-Persistant)+Persistant</f>
        <v>0.99895966858194629</v>
      </c>
      <c r="BE216" s="287">
        <f>[3]!CroissVégét</f>
        <v>0.84361799825853956</v>
      </c>
      <c r="BF216" s="807">
        <f>1+[3]!Salcycl*Ksac</f>
        <v>1.0498699585727433</v>
      </c>
      <c r="BH216" s="1041">
        <f t="shared" si="113"/>
        <v>2.0105859440898468E-4</v>
      </c>
      <c r="BI216" s="11">
        <v>44398</v>
      </c>
      <c r="BJ216" s="717">
        <v>2.5604991843840831E-5</v>
      </c>
      <c r="BK216" s="717">
        <v>4.653279538475839E-5</v>
      </c>
      <c r="BL216" s="717">
        <v>7.2832100818296891E-5</v>
      </c>
      <c r="BM216" s="717">
        <v>1.0790284287633405E-4</v>
      </c>
      <c r="BN216" s="717">
        <v>1.5032689288471134E-4</v>
      </c>
      <c r="BO216" s="718">
        <v>2.0137422896629982E-4</v>
      </c>
      <c r="BP216" s="717">
        <v>2.6426600450289082E-4</v>
      </c>
      <c r="BQ216" s="717">
        <v>3.6153674971894906E-4</v>
      </c>
      <c r="BR216" s="717">
        <v>4.8527265898584189E-4</v>
      </c>
      <c r="BS216" s="717">
        <v>6.4192930350329667E-4</v>
      </c>
      <c r="BT216" s="717">
        <v>8.0837571650043533E-4</v>
      </c>
      <c r="BW216" s="1162">
        <f>'2022'!R\Max</f>
        <v>0.94237402113099733</v>
      </c>
      <c r="BX216" s="1163">
        <f>'2023'!R\Max</f>
        <v>0.94237384424411008</v>
      </c>
      <c r="BY216" s="1163">
        <f>'2024'!R\Max</f>
        <v>0.94237358697977636</v>
      </c>
      <c r="BZ216" s="1163">
        <f>'2025'!R\Max</f>
        <v>0.94237331339685371</v>
      </c>
      <c r="CA216" s="1163">
        <f>'2026'!R\Max</f>
        <v>0.94237297793674479</v>
      </c>
      <c r="CB216" s="1163">
        <f>'2027'!R\Max</f>
        <v>0.94237262991279214</v>
      </c>
      <c r="CC216" s="1164">
        <f>'2028'!R\Max</f>
        <v>0.94237220491610119</v>
      </c>
      <c r="CD216" s="1163">
        <f>'2029'!R\Max</f>
        <v>0.94237402997111708</v>
      </c>
      <c r="CE216" s="1163">
        <f>'2030'!R\Max</f>
        <v>0.9423738530842668</v>
      </c>
      <c r="CF216" s="1165">
        <f>'2031'!R\Max</f>
        <v>0.94237360065237163</v>
      </c>
    </row>
    <row r="217" spans="1:84" s="6" customFormat="1" ht="11.25" x14ac:dyDescent="0.2">
      <c r="A217" s="11">
        <v>43303</v>
      </c>
      <c r="B217" s="375">
        <f>'2022'!Maxi_hp</f>
        <v>50.183055073170451</v>
      </c>
      <c r="C217" s="13">
        <f>'2022'!An_max</f>
        <v>2022</v>
      </c>
      <c r="D217" s="1050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69">
        <f t="shared" si="99"/>
        <v>43290</v>
      </c>
      <c r="I217" s="744">
        <f t="shared" si="100"/>
        <v>0.9285714285714286</v>
      </c>
      <c r="J217" s="737">
        <f t="shared" si="101"/>
        <v>61.820806816646027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43">
        <v>43303</v>
      </c>
      <c r="AP217" s="13">
        <f t="shared" si="102"/>
        <v>9</v>
      </c>
      <c r="AQ217" s="13">
        <f t="shared" si="103"/>
        <v>8</v>
      </c>
      <c r="AR217" s="169">
        <f t="shared" si="104"/>
        <v>43304</v>
      </c>
      <c r="AS217" s="744">
        <f t="shared" si="105"/>
        <v>3.5714285714285712E-2</v>
      </c>
      <c r="AT217" s="760">
        <f t="shared" si="106"/>
        <v>61.816558607827332</v>
      </c>
      <c r="AU217" s="13">
        <f t="shared" si="107"/>
        <v>9</v>
      </c>
      <c r="AV217" s="13">
        <f t="shared" si="108"/>
        <v>8</v>
      </c>
      <c r="AW217" s="169">
        <f t="shared" si="109"/>
        <v>43318</v>
      </c>
      <c r="AX217" s="744">
        <f t="shared" si="110"/>
        <v>0.5357142857142857</v>
      </c>
      <c r="AY217" s="760">
        <f t="shared" si="111"/>
        <v>61.697485925470083</v>
      </c>
      <c r="AZ217" s="737">
        <f t="shared" si="115"/>
        <v>61.757022266648704</v>
      </c>
      <c r="BA217" s="634">
        <f t="shared" si="112"/>
        <v>0.81175024489745151</v>
      </c>
      <c r="BC217" s="11">
        <v>43303</v>
      </c>
      <c r="BD217" s="286">
        <f>[3]!FeuilCaduc*(1-Persistant)+Persistant</f>
        <v>0.99921315272422606</v>
      </c>
      <c r="BE217" s="287">
        <f>[3]!CroissVégét</f>
        <v>0.84897434957309781</v>
      </c>
      <c r="BF217" s="807">
        <f>1+[3]!Salcycl*Ksac</f>
        <v>1.0499016440905282</v>
      </c>
      <c r="BH217" s="1041">
        <f t="shared" si="113"/>
        <v>2.1520155222901774E-4</v>
      </c>
      <c r="BI217" s="11">
        <v>44399</v>
      </c>
      <c r="BJ217" s="717">
        <v>2.7463721899933326E-5</v>
      </c>
      <c r="BK217" s="717">
        <v>5.0152246746306598E-5</v>
      </c>
      <c r="BL217" s="717">
        <v>7.8851053289291973E-5</v>
      </c>
      <c r="BM217" s="717">
        <v>1.1696810491978814E-4</v>
      </c>
      <c r="BN217" s="717">
        <v>1.6218004640253364E-4</v>
      </c>
      <c r="BO217" s="718">
        <v>2.1553143313221825E-4</v>
      </c>
      <c r="BP217" s="717">
        <v>2.8047761585216126E-4</v>
      </c>
      <c r="BQ217" s="717">
        <v>3.8073422373940887E-4</v>
      </c>
      <c r="BR217" s="717">
        <v>5.0846323705837045E-4</v>
      </c>
      <c r="BS217" s="717">
        <v>6.7041875421563026E-4</v>
      </c>
      <c r="BT217" s="717">
        <v>8.4285464332313031E-4</v>
      </c>
      <c r="BW217" s="1162">
        <f>'2022'!R\Max</f>
        <v>0.81175024489745151</v>
      </c>
      <c r="BX217" s="1163">
        <f>'2023'!R\Max</f>
        <v>0.81174972928949696</v>
      </c>
      <c r="BY217" s="1163">
        <f>'2024'!R\Max</f>
        <v>0.81174897915244471</v>
      </c>
      <c r="BZ217" s="1163">
        <f>'2025'!R\Max</f>
        <v>0.81174818320741604</v>
      </c>
      <c r="CA217" s="1163">
        <f>'2026'!R\Max</f>
        <v>0.81174720478781603</v>
      </c>
      <c r="CB217" s="1163">
        <f>'2027'!R\Max</f>
        <v>0.811746190724426</v>
      </c>
      <c r="CC217" s="1164">
        <f>'2028'!R\Max</f>
        <v>0.81174494932012486</v>
      </c>
      <c r="CD217" s="1163">
        <f>'2029'!R\Max</f>
        <v>0.8117502706655445</v>
      </c>
      <c r="CE217" s="1163">
        <f>'2030'!R\Max</f>
        <v>0.81174975505767932</v>
      </c>
      <c r="CF217" s="1165">
        <f>'2031'!R\Max</f>
        <v>0.81174901893066198</v>
      </c>
    </row>
    <row r="218" spans="1:84" s="6" customFormat="1" ht="11.25" x14ac:dyDescent="0.2">
      <c r="A218" s="11">
        <v>43304</v>
      </c>
      <c r="B218" s="375">
        <f>'2022'!Maxi_hp</f>
        <v>47.487963460820495</v>
      </c>
      <c r="C218" s="13">
        <f>'2022'!An_max</f>
        <v>2022</v>
      </c>
      <c r="D218" s="1050" t="str">
        <f t="shared" si="97"/>
        <v/>
      </c>
      <c r="E218" s="1045">
        <f>AB$13/10</f>
        <v>61.638300000000001</v>
      </c>
      <c r="F218" s="13">
        <f t="shared" si="114"/>
        <v>17</v>
      </c>
      <c r="G218" s="13">
        <f t="shared" si="98"/>
        <v>16</v>
      </c>
      <c r="H218" s="169">
        <f t="shared" si="99"/>
        <v>43318</v>
      </c>
      <c r="I218" s="744">
        <f t="shared" si="100"/>
        <v>1</v>
      </c>
      <c r="J218" s="737">
        <f t="shared" si="101"/>
        <v>61.638300001621246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43">
        <v>43304</v>
      </c>
      <c r="AP218" s="13">
        <f t="shared" si="102"/>
        <v>9</v>
      </c>
      <c r="AQ218" s="13">
        <f t="shared" si="103"/>
        <v>10</v>
      </c>
      <c r="AR218" s="169">
        <f t="shared" si="104"/>
        <v>43304</v>
      </c>
      <c r="AS218" s="744">
        <f t="shared" si="105"/>
        <v>0</v>
      </c>
      <c r="AT218" s="760">
        <f t="shared" si="106"/>
        <v>61.638300000131132</v>
      </c>
      <c r="AU218" s="13">
        <f t="shared" si="107"/>
        <v>9</v>
      </c>
      <c r="AV218" s="13">
        <f t="shared" si="108"/>
        <v>8</v>
      </c>
      <c r="AW218" s="169">
        <f t="shared" si="109"/>
        <v>43318</v>
      </c>
      <c r="AX218" s="744">
        <f t="shared" si="110"/>
        <v>0.5</v>
      </c>
      <c r="AY218" s="760">
        <f t="shared" si="111"/>
        <v>61.507181249931456</v>
      </c>
      <c r="AZ218" s="737">
        <f t="shared" si="115"/>
        <v>61.572740625031294</v>
      </c>
      <c r="BA218" s="634">
        <f t="shared" si="112"/>
        <v>0.77042948068930261</v>
      </c>
      <c r="BC218" s="11">
        <v>43304</v>
      </c>
      <c r="BD218" s="286">
        <f>[3]!FeuilCaduc*(1-Persistant)+Persistant</f>
        <v>0.99941975654296478</v>
      </c>
      <c r="BE218" s="287">
        <f>[3]!CroissVégét</f>
        <v>0.854179289095362</v>
      </c>
      <c r="BF218" s="807">
        <f>1+[3]!Salcycl*Ksac</f>
        <v>1.0499274695678706</v>
      </c>
      <c r="BH218" s="1041">
        <f t="shared" si="113"/>
        <v>2.3044632340375143E-4</v>
      </c>
      <c r="BI218" s="11">
        <v>44400</v>
      </c>
      <c r="BJ218" s="717">
        <v>2.9718219259599588E-5</v>
      </c>
      <c r="BK218" s="717">
        <v>5.4349445007335808E-5</v>
      </c>
      <c r="BL218" s="717">
        <v>8.5657387778478975E-5</v>
      </c>
      <c r="BM218" s="717">
        <v>1.2702421509283706E-4</v>
      </c>
      <c r="BN218" s="717">
        <v>1.75141442860106E-4</v>
      </c>
      <c r="BO218" s="718">
        <v>2.3079041065025171E-4</v>
      </c>
      <c r="BP218" s="717">
        <v>2.9768838469919752E-4</v>
      </c>
      <c r="BQ218" s="717">
        <v>4.0060489084711568E-4</v>
      </c>
      <c r="BR218" s="717">
        <v>5.3197196915277388E-4</v>
      </c>
      <c r="BS218" s="717">
        <v>6.9884404675089938E-4</v>
      </c>
      <c r="BT218" s="717">
        <v>8.770618114258132E-4</v>
      </c>
      <c r="BW218" s="1162">
        <f>'2022'!R\Max</f>
        <v>0.77042948068930261</v>
      </c>
      <c r="BX218" s="1163">
        <f>'2023'!R\Max</f>
        <v>0.77042886403056099</v>
      </c>
      <c r="BY218" s="1163">
        <f>'2024'!R\Max</f>
        <v>0.77042796787360046</v>
      </c>
      <c r="BZ218" s="1163">
        <f>'2025'!R\Max</f>
        <v>0.77042701919120982</v>
      </c>
      <c r="CA218" s="1163">
        <f>'2026'!R\Max</f>
        <v>0.77042584973116413</v>
      </c>
      <c r="CB218" s="1163">
        <f>'2027'!R\Max</f>
        <v>0.77042463877745282</v>
      </c>
      <c r="CC218" s="1164">
        <f>'2028'!R\Max</f>
        <v>0.77042315229779323</v>
      </c>
      <c r="CD218" s="1163">
        <f>'2029'!R\Max</f>
        <v>0.77042951150752614</v>
      </c>
      <c r="CE218" s="1163">
        <f>'2030'!R\Max</f>
        <v>0.77042889484888555</v>
      </c>
      <c r="CF218" s="1165">
        <f>'2031'!R\Max</f>
        <v>0.77042801528504046</v>
      </c>
    </row>
    <row r="219" spans="1:84" s="6" customFormat="1" ht="11.25" x14ac:dyDescent="0.2">
      <c r="A219" s="11">
        <v>43305</v>
      </c>
      <c r="B219" s="375">
        <f>'2022'!Maxi_hp</f>
        <v>57.820813582801875</v>
      </c>
      <c r="C219" s="13">
        <f>'2022'!An_max</f>
        <v>2022</v>
      </c>
      <c r="D219" s="1050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69">
        <f t="shared" si="99"/>
        <v>43318</v>
      </c>
      <c r="I219" s="744">
        <f t="shared" si="100"/>
        <v>0.9285714285714286</v>
      </c>
      <c r="J219" s="737">
        <f t="shared" si="101"/>
        <v>61.449039742057877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43">
        <v>43305</v>
      </c>
      <c r="AP219" s="13">
        <f t="shared" si="102"/>
        <v>9</v>
      </c>
      <c r="AQ219" s="13">
        <f t="shared" si="103"/>
        <v>10</v>
      </c>
      <c r="AR219" s="169">
        <f t="shared" si="104"/>
        <v>43304</v>
      </c>
      <c r="AS219" s="744">
        <f t="shared" si="105"/>
        <v>3.5714285714285712E-2</v>
      </c>
      <c r="AT219" s="760">
        <f t="shared" si="106"/>
        <v>61.454976310354787</v>
      </c>
      <c r="AU219" s="13">
        <f t="shared" si="107"/>
        <v>9</v>
      </c>
      <c r="AV219" s="13">
        <f t="shared" si="108"/>
        <v>8</v>
      </c>
      <c r="AW219" s="169">
        <f t="shared" si="109"/>
        <v>43318</v>
      </c>
      <c r="AX219" s="744">
        <f t="shared" si="110"/>
        <v>0.4642857142857143</v>
      </c>
      <c r="AY219" s="760">
        <f t="shared" si="111"/>
        <v>61.313117580647983</v>
      </c>
      <c r="AZ219" s="737">
        <f t="shared" si="115"/>
        <v>61.384046945501382</v>
      </c>
      <c r="BA219" s="634">
        <f t="shared" si="112"/>
        <v>0.94095552714109032</v>
      </c>
      <c r="BC219" s="11">
        <v>43305</v>
      </c>
      <c r="BD219" s="286">
        <f>[3]!FeuilCaduc*(1-Persistant)+Persistant</f>
        <v>0.99958270897738566</v>
      </c>
      <c r="BE219" s="287">
        <f>[3]!CroissVégét</f>
        <v>0.85923493718111654</v>
      </c>
      <c r="BF219" s="807">
        <f>1+[3]!Salcycl*Ksac</f>
        <v>1.0499478386221732</v>
      </c>
      <c r="BH219" s="1041">
        <f t="shared" si="113"/>
        <v>2.4679262313382873E-4</v>
      </c>
      <c r="BI219" s="11">
        <v>44401</v>
      </c>
      <c r="BJ219" s="717">
        <v>3.236829304253975E-5</v>
      </c>
      <c r="BK219" s="717">
        <v>5.912413973199463E-5</v>
      </c>
      <c r="BL219" s="717">
        <v>9.3250798103142551E-5</v>
      </c>
      <c r="BM219" s="717">
        <v>1.3807083353115516E-4</v>
      </c>
      <c r="BN219" s="717">
        <v>1.8921074521801172E-4</v>
      </c>
      <c r="BO219" s="718">
        <v>2.471508770460622E-4</v>
      </c>
      <c r="BP219" s="717">
        <v>3.1589811843111903E-4</v>
      </c>
      <c r="BQ219" s="717">
        <v>4.2114879564967731E-4</v>
      </c>
      <c r="BR219" s="717">
        <v>5.557991727363653E-4</v>
      </c>
      <c r="BS219" s="717">
        <v>7.2720581239685549E-4</v>
      </c>
      <c r="BT219" s="717">
        <v>9.1099807777382709E-4</v>
      </c>
      <c r="BW219" s="1162">
        <f>'2022'!R\Max</f>
        <v>0.94095552714109032</v>
      </c>
      <c r="BX219" s="1163">
        <f>'2023'!R\Max</f>
        <v>0.9409553274341288</v>
      </c>
      <c r="BY219" s="1163">
        <f>'2024'!R\Max</f>
        <v>0.94095503792320312</v>
      </c>
      <c r="BZ219" s="1163">
        <f>'2025'!R\Max</f>
        <v>0.94095473217193926</v>
      </c>
      <c r="CA219" s="1163">
        <f>'2026'!R\Max</f>
        <v>0.9409543540904296</v>
      </c>
      <c r="CB219" s="1163">
        <f>'2027'!R\Max</f>
        <v>0.94095396292702616</v>
      </c>
      <c r="CC219" s="1164">
        <f>'2028'!R\Max</f>
        <v>0.94095348133188195</v>
      </c>
      <c r="CD219" s="1163">
        <f>'2029'!R\Max</f>
        <v>0.94095553712166635</v>
      </c>
      <c r="CE219" s="1163">
        <f>'2030'!R\Max</f>
        <v>0.94095533741475079</v>
      </c>
      <c r="CF219" s="1165">
        <f>'2031'!R\Max</f>
        <v>0.94095505320344075</v>
      </c>
    </row>
    <row r="220" spans="1:84" s="6" customFormat="1" ht="11.25" x14ac:dyDescent="0.2">
      <c r="A220" s="11">
        <v>43306</v>
      </c>
      <c r="B220" s="375">
        <f>'2022'!Maxi_hp</f>
        <v>30.505137185195856</v>
      </c>
      <c r="C220" s="13">
        <f>'2022'!An_max</f>
        <v>2022</v>
      </c>
      <c r="D220" s="1050" t="str">
        <f t="shared" si="97"/>
        <v/>
      </c>
      <c r="E220" s="13"/>
      <c r="F220" s="13">
        <f t="shared" si="114"/>
        <v>17</v>
      </c>
      <c r="G220" s="13">
        <f t="shared" si="98"/>
        <v>16</v>
      </c>
      <c r="H220" s="169">
        <f t="shared" si="99"/>
        <v>43318</v>
      </c>
      <c r="I220" s="744">
        <f t="shared" si="100"/>
        <v>0.8571428571428571</v>
      </c>
      <c r="J220" s="737">
        <f t="shared" si="101"/>
        <v>61.252680176017542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43">
        <v>43306</v>
      </c>
      <c r="AP220" s="13">
        <f t="shared" si="102"/>
        <v>9</v>
      </c>
      <c r="AQ220" s="13">
        <f t="shared" si="103"/>
        <v>10</v>
      </c>
      <c r="AR220" s="169">
        <f t="shared" si="104"/>
        <v>43304</v>
      </c>
      <c r="AS220" s="744">
        <f t="shared" si="105"/>
        <v>7.1428571428571425E-2</v>
      </c>
      <c r="AT220" s="760">
        <f t="shared" si="106"/>
        <v>61.26551353931427</v>
      </c>
      <c r="AU220" s="13">
        <f t="shared" si="107"/>
        <v>9</v>
      </c>
      <c r="AV220" s="13">
        <f t="shared" si="108"/>
        <v>8</v>
      </c>
      <c r="AW220" s="169">
        <f t="shared" si="109"/>
        <v>43318</v>
      </c>
      <c r="AX220" s="744">
        <f t="shared" si="110"/>
        <v>0.42857142857142855</v>
      </c>
      <c r="AY220" s="760">
        <f t="shared" si="111"/>
        <v>61.115499708269319</v>
      </c>
      <c r="AZ220" s="737">
        <f t="shared" si="115"/>
        <v>61.190506623791791</v>
      </c>
      <c r="BA220" s="634">
        <f t="shared" si="112"/>
        <v>0.49802126368242788</v>
      </c>
      <c r="BC220" s="11">
        <v>43306</v>
      </c>
      <c r="BD220" s="286">
        <f>[3]!FeuilCaduc*(1-Persistant)+Persistant</f>
        <v>0.99970505194896342</v>
      </c>
      <c r="BE220" s="287">
        <f>[3]!CroissVégét</f>
        <v>0.86414353915538655</v>
      </c>
      <c r="BF220" s="807">
        <f>1+[3]!Salcycl*Ksac</f>
        <v>1.0499631314936204</v>
      </c>
      <c r="BH220" s="1041">
        <f t="shared" si="113"/>
        <v>2.6426435511970426E-4</v>
      </c>
      <c r="BI220" s="11">
        <v>44402</v>
      </c>
      <c r="BJ220" s="717">
        <v>3.5405354816360569E-5</v>
      </c>
      <c r="BK220" s="717">
        <v>6.4407988854600236E-5</v>
      </c>
      <c r="BL220" s="717">
        <v>1.0149444893349758E-4</v>
      </c>
      <c r="BM220" s="717">
        <v>1.4988956012111678E-4</v>
      </c>
      <c r="BN220" s="717">
        <v>2.0420381240396951E-4</v>
      </c>
      <c r="BO220" s="718">
        <v>2.6463803040049726E-4</v>
      </c>
      <c r="BP220" s="717">
        <v>3.3556739139790361E-4</v>
      </c>
      <c r="BQ220" s="717">
        <v>4.4342043257374839E-4</v>
      </c>
      <c r="BR220" s="717">
        <v>5.817657385097973E-4</v>
      </c>
      <c r="BS220" s="717">
        <v>7.5828770984679719E-4</v>
      </c>
      <c r="BT220" s="717">
        <v>9.4854915454969989E-4</v>
      </c>
      <c r="BW220" s="1162">
        <f>'2022'!R\Max</f>
        <v>0.49802126368242788</v>
      </c>
      <c r="BX220" s="1163">
        <f>'2023'!R\Max</f>
        <v>0.49802033345030472</v>
      </c>
      <c r="BY220" s="1163">
        <f>'2024'!R\Max</f>
        <v>0.49801899074214112</v>
      </c>
      <c r="BZ220" s="1163">
        <f>'2025'!R\Max</f>
        <v>0.49801757625367232</v>
      </c>
      <c r="CA220" s="1163">
        <f>'2026'!R\Max</f>
        <v>0.49801582113114151</v>
      </c>
      <c r="CB220" s="1163">
        <f>'2027'!R\Max</f>
        <v>0.49801400672811302</v>
      </c>
      <c r="CC220" s="1164">
        <f>'2028'!R\Max</f>
        <v>0.49801176584352747</v>
      </c>
      <c r="CD220" s="1163">
        <f>'2029'!R\Max</f>
        <v>0.49802131017188284</v>
      </c>
      <c r="CE220" s="1163">
        <f>'2030'!R\Max</f>
        <v>0.49802037993982812</v>
      </c>
      <c r="CF220" s="1165">
        <f>'2031'!R\Max</f>
        <v>0.49801906143285329</v>
      </c>
    </row>
    <row r="221" spans="1:84" s="6" customFormat="1" ht="11.25" x14ac:dyDescent="0.2">
      <c r="A221" s="11">
        <v>43307</v>
      </c>
      <c r="B221" s="375">
        <f>'2022'!Maxi_hp</f>
        <v>54.066590490635548</v>
      </c>
      <c r="C221" s="13">
        <f>'2022'!An_max</f>
        <v>2022</v>
      </c>
      <c r="D221" s="1050" t="str">
        <f t="shared" si="97"/>
        <v/>
      </c>
      <c r="E221" s="13"/>
      <c r="F221" s="13">
        <f t="shared" si="114"/>
        <v>17</v>
      </c>
      <c r="G221" s="13">
        <f t="shared" si="98"/>
        <v>16</v>
      </c>
      <c r="H221" s="169">
        <f t="shared" si="99"/>
        <v>43318</v>
      </c>
      <c r="I221" s="744">
        <f t="shared" si="100"/>
        <v>0.7857142857142857</v>
      </c>
      <c r="J221" s="737">
        <f t="shared" si="101"/>
        <v>61.049767402559517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43">
        <v>43307</v>
      </c>
      <c r="AP221" s="13">
        <f t="shared" si="102"/>
        <v>9</v>
      </c>
      <c r="AQ221" s="13">
        <f t="shared" si="103"/>
        <v>10</v>
      </c>
      <c r="AR221" s="169">
        <f t="shared" si="104"/>
        <v>43304</v>
      </c>
      <c r="AS221" s="744">
        <f t="shared" si="105"/>
        <v>0.10714285714285714</v>
      </c>
      <c r="AT221" s="760">
        <f t="shared" si="106"/>
        <v>61.070143779713135</v>
      </c>
      <c r="AU221" s="13">
        <f t="shared" si="107"/>
        <v>9</v>
      </c>
      <c r="AV221" s="13">
        <f t="shared" si="108"/>
        <v>8</v>
      </c>
      <c r="AW221" s="169">
        <f t="shared" si="109"/>
        <v>43318</v>
      </c>
      <c r="AX221" s="744">
        <f t="shared" si="110"/>
        <v>0.39285714285714285</v>
      </c>
      <c r="AY221" s="760">
        <f t="shared" si="111"/>
        <v>60.914532417524605</v>
      </c>
      <c r="AZ221" s="737">
        <f t="shared" si="115"/>
        <v>60.992338098618873</v>
      </c>
      <c r="BA221" s="634">
        <f t="shared" si="112"/>
        <v>0.88561501199706127</v>
      </c>
      <c r="BC221" s="11">
        <v>43307</v>
      </c>
      <c r="BD221" s="286">
        <f>[3]!FeuilCaduc*(1-Persistant)+Persistant</f>
        <v>0.99978963253507569</v>
      </c>
      <c r="BE221" s="287">
        <f>[3]!CroissVégét</f>
        <v>0.86890745271110437</v>
      </c>
      <c r="BF221" s="807">
        <f>1+[3]!Salcycl*Ksac</f>
        <v>1.0499737040668844</v>
      </c>
      <c r="BH221" s="1041">
        <f t="shared" si="113"/>
        <v>2.8250447531434549E-4</v>
      </c>
      <c r="BI221" s="11">
        <v>44403</v>
      </c>
      <c r="BJ221" s="717">
        <v>3.8723915455503099E-5</v>
      </c>
      <c r="BK221" s="717">
        <v>7.004581448773565E-5</v>
      </c>
      <c r="BL221" s="717">
        <v>1.1016984894990309E-4</v>
      </c>
      <c r="BM221" s="717">
        <v>1.6217499527915297E-4</v>
      </c>
      <c r="BN221" s="717">
        <v>2.1976213354612463E-4</v>
      </c>
      <c r="BO221" s="718">
        <v>2.8289483579258521E-4</v>
      </c>
      <c r="BP221" s="717">
        <v>3.5640979873275775E-4</v>
      </c>
      <c r="BQ221" s="717">
        <v>4.6722637427961989E-4</v>
      </c>
      <c r="BR221" s="717">
        <v>6.0978490938969618E-4</v>
      </c>
      <c r="BS221" s="717">
        <v>7.9212310783176657E-4</v>
      </c>
      <c r="BT221" s="717">
        <v>9.8987730427975407E-4</v>
      </c>
      <c r="BW221" s="1162">
        <f>'2022'!R\Max</f>
        <v>0.88561501199706127</v>
      </c>
      <c r="BX221" s="1163">
        <f>'2023'!R\Max</f>
        <v>0.88561461998418123</v>
      </c>
      <c r="BY221" s="1163">
        <f>'2024'!R\Max</f>
        <v>0.88561405759537493</v>
      </c>
      <c r="BZ221" s="1163">
        <f>'2025'!R\Max</f>
        <v>0.88561346666731744</v>
      </c>
      <c r="CA221" s="1163">
        <f>'2026'!R\Max</f>
        <v>0.8856127307524515</v>
      </c>
      <c r="CB221" s="1163">
        <f>'2027'!R\Max</f>
        <v>0.88561197054837004</v>
      </c>
      <c r="CC221" s="1164">
        <f>'2028'!R\Max</f>
        <v>0.88561102863880581</v>
      </c>
      <c r="CD221" s="1163">
        <f>'2029'!R\Max</f>
        <v>0.88561503158833899</v>
      </c>
      <c r="CE221" s="1163">
        <f>'2030'!R\Max</f>
        <v>0.88561463957554776</v>
      </c>
      <c r="CF221" s="1165">
        <f>'2031'!R\Max</f>
        <v>0.88561408712762324</v>
      </c>
    </row>
    <row r="222" spans="1:84" s="6" customFormat="1" ht="11.25" x14ac:dyDescent="0.2">
      <c r="A222" s="11">
        <v>43308</v>
      </c>
      <c r="B222" s="375">
        <f>'2022'!Maxi_hp</f>
        <v>61.198302360762852</v>
      </c>
      <c r="C222" s="13">
        <f>'2022'!An_max</f>
        <v>2022</v>
      </c>
      <c r="D222" s="1050">
        <f t="shared" si="97"/>
        <v>1.0058752442346579</v>
      </c>
      <c r="E222" s="13"/>
      <c r="F222" s="13">
        <f t="shared" si="114"/>
        <v>17</v>
      </c>
      <c r="G222" s="13">
        <f t="shared" si="98"/>
        <v>16</v>
      </c>
      <c r="H222" s="169">
        <f t="shared" si="99"/>
        <v>43318</v>
      </c>
      <c r="I222" s="744">
        <f t="shared" si="100"/>
        <v>0.7142857142857143</v>
      </c>
      <c r="J222" s="737">
        <f t="shared" si="101"/>
        <v>60.840847522126772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43">
        <v>43308</v>
      </c>
      <c r="AP222" s="13">
        <f t="shared" si="102"/>
        <v>9</v>
      </c>
      <c r="AQ222" s="13">
        <f t="shared" si="103"/>
        <v>10</v>
      </c>
      <c r="AR222" s="169">
        <f t="shared" si="104"/>
        <v>43304</v>
      </c>
      <c r="AS222" s="744">
        <f t="shared" si="105"/>
        <v>0.14285714285714285</v>
      </c>
      <c r="AT222" s="760">
        <f t="shared" si="106"/>
        <v>60.869099125159643</v>
      </c>
      <c r="AU222" s="13">
        <f t="shared" si="107"/>
        <v>9</v>
      </c>
      <c r="AV222" s="13">
        <f t="shared" si="108"/>
        <v>8</v>
      </c>
      <c r="AW222" s="169">
        <f t="shared" si="109"/>
        <v>43318</v>
      </c>
      <c r="AX222" s="744">
        <f t="shared" si="110"/>
        <v>0.35714285714285715</v>
      </c>
      <c r="AY222" s="760">
        <f t="shared" si="111"/>
        <v>60.710420498863911</v>
      </c>
      <c r="AZ222" s="737">
        <f t="shared" si="115"/>
        <v>60.789759812011781</v>
      </c>
      <c r="BA222" s="634">
        <f t="shared" si="112"/>
        <v>1.0058752442346579</v>
      </c>
      <c r="BC222" s="11">
        <v>43308</v>
      </c>
      <c r="BD222" s="286">
        <f>[3]!FeuilCaduc*(1-Persistant)+Persistant</f>
        <v>0.99983909686562189</v>
      </c>
      <c r="BE222" s="287">
        <f>[3]!CroissVégét</f>
        <v>0.87352913572103608</v>
      </c>
      <c r="BF222" s="807">
        <f>1+[3]!Salcycl*Ksac</f>
        <v>1.0499798871082027</v>
      </c>
      <c r="BH222" s="1041">
        <f t="shared" si="113"/>
        <v>3.0151312645110116E-4</v>
      </c>
      <c r="BI222" s="11">
        <v>44404</v>
      </c>
      <c r="BJ222" s="717">
        <v>4.232392699828281E-5</v>
      </c>
      <c r="BK222" s="717">
        <v>7.6037601667178621E-5</v>
      </c>
      <c r="BL222" s="717">
        <v>1.1927703595350859E-4</v>
      </c>
      <c r="BM222" s="717">
        <v>1.7492726970249465E-4</v>
      </c>
      <c r="BN222" s="717">
        <v>2.3588588464021226E-4</v>
      </c>
      <c r="BO222" s="718">
        <v>3.0192143574872809E-4</v>
      </c>
      <c r="BP222" s="717">
        <v>3.7842533478160901E-4</v>
      </c>
      <c r="BQ222" s="717">
        <v>4.9256649381047781E-4</v>
      </c>
      <c r="BR222" s="717">
        <v>6.398563870302251E-4</v>
      </c>
      <c r="BS222" s="717">
        <v>8.2871148290943975E-4</v>
      </c>
      <c r="BT222" s="717">
        <v>1.0349816570862662E-3</v>
      </c>
      <c r="BW222" s="1162">
        <f>'2022'!R\Max</f>
        <v>1.0058752442346579</v>
      </c>
      <c r="BX222" s="1163">
        <f>'2023'!R\Max</f>
        <v>1.0058752442346581</v>
      </c>
      <c r="BY222" s="1163">
        <f>'2024'!R\Max</f>
        <v>1.0058752442346581</v>
      </c>
      <c r="BZ222" s="1163">
        <f>'2025'!R\Max</f>
        <v>1.0058752442346579</v>
      </c>
      <c r="CA222" s="1163">
        <f>'2026'!R\Max</f>
        <v>1.0058752442346581</v>
      </c>
      <c r="CB222" s="1163">
        <f>'2027'!R\Max</f>
        <v>1.0058752442346579</v>
      </c>
      <c r="CC222" s="1164">
        <f>'2028'!R\Max</f>
        <v>1.0058752442346581</v>
      </c>
      <c r="CD222" s="1163">
        <f>'2029'!R\Max</f>
        <v>1.0058752442346581</v>
      </c>
      <c r="CE222" s="1163">
        <f>'2030'!R\Max</f>
        <v>1.0058752442346583</v>
      </c>
      <c r="CF222" s="1165">
        <f>'2031'!R\Max</f>
        <v>1.0058752442346583</v>
      </c>
    </row>
    <row r="223" spans="1:84" s="6" customFormat="1" ht="11.25" x14ac:dyDescent="0.2">
      <c r="A223" s="11">
        <v>43309</v>
      </c>
      <c r="B223" s="375">
        <f>'2022'!Maxi_hp</f>
        <v>48.086909443668787</v>
      </c>
      <c r="C223" s="13">
        <f>'2022'!An_max</f>
        <v>2022</v>
      </c>
      <c r="D223" s="1050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69">
        <f t="shared" si="99"/>
        <v>43318</v>
      </c>
      <c r="I223" s="744">
        <f t="shared" si="100"/>
        <v>0.6428571428571429</v>
      </c>
      <c r="J223" s="737">
        <f t="shared" si="101"/>
        <v>60.626466636945089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43">
        <v>43309</v>
      </c>
      <c r="AP223" s="13">
        <f t="shared" si="102"/>
        <v>9</v>
      </c>
      <c r="AQ223" s="13">
        <f t="shared" si="103"/>
        <v>10</v>
      </c>
      <c r="AR223" s="169">
        <f t="shared" si="104"/>
        <v>43304</v>
      </c>
      <c r="AS223" s="744">
        <f t="shared" si="105"/>
        <v>0.17857142857142858</v>
      </c>
      <c r="AT223" s="760">
        <f t="shared" si="106"/>
        <v>60.662611668823025</v>
      </c>
      <c r="AU223" s="13">
        <f t="shared" si="107"/>
        <v>9</v>
      </c>
      <c r="AV223" s="13">
        <f t="shared" si="108"/>
        <v>8</v>
      </c>
      <c r="AW223" s="169">
        <f t="shared" si="109"/>
        <v>43318</v>
      </c>
      <c r="AX223" s="744">
        <f t="shared" si="110"/>
        <v>0.32142857142857145</v>
      </c>
      <c r="AY223" s="760">
        <f t="shared" si="111"/>
        <v>60.50336873790782</v>
      </c>
      <c r="AZ223" s="737">
        <f t="shared" si="115"/>
        <v>60.582990203365426</v>
      </c>
      <c r="BA223" s="634">
        <f t="shared" si="112"/>
        <v>0.7931669468984881</v>
      </c>
      <c r="BC223" s="11">
        <v>43309</v>
      </c>
      <c r="BD223" s="286">
        <f>[3]!FeuilCaduc*(1-Persistant)+Persistant</f>
        <v>0.99985588571902273</v>
      </c>
      <c r="BE223" s="287">
        <f>[3]!CroissVégét</f>
        <v>0.8780111344941991</v>
      </c>
      <c r="BF223" s="807">
        <f>1+[3]!Salcycl*Ksac</f>
        <v>1.0499819857148778</v>
      </c>
      <c r="BH223" s="1041">
        <f t="shared" si="113"/>
        <v>3.2129048479158091E-4</v>
      </c>
      <c r="BI223" s="11">
        <v>44405</v>
      </c>
      <c r="BJ223" s="717">
        <v>4.6205357223305626E-5</v>
      </c>
      <c r="BK223" s="717">
        <v>8.2383353722762954E-5</v>
      </c>
      <c r="BL223" s="717">
        <v>1.2881606821966944E-4</v>
      </c>
      <c r="BM223" s="717">
        <v>1.8814653324453946E-4</v>
      </c>
      <c r="BN223" s="717">
        <v>2.5257526417527709E-4</v>
      </c>
      <c r="BO223" s="718">
        <v>3.2171800639224445E-4</v>
      </c>
      <c r="BP223" s="717">
        <v>4.016140522216432E-4</v>
      </c>
      <c r="BQ223" s="717">
        <v>5.1944074398257241E-4</v>
      </c>
      <c r="BR223" s="717">
        <v>6.7197998368481867E-4</v>
      </c>
      <c r="BS223" s="717">
        <v>8.6805246381329822E-4</v>
      </c>
      <c r="BT223" s="717">
        <v>1.0838615570616271E-3</v>
      </c>
      <c r="BW223" s="1162">
        <f>'2022'!R\Max</f>
        <v>0.7931669468984881</v>
      </c>
      <c r="BX223" s="1163">
        <f>'2023'!R\Max</f>
        <v>0.79316625208066738</v>
      </c>
      <c r="BY223" s="1163">
        <f>'2024'!R\Max</f>
        <v>0.79316527171227147</v>
      </c>
      <c r="BZ223" s="1163">
        <f>'2025'!R\Max</f>
        <v>0.79316424701836963</v>
      </c>
      <c r="CA223" s="1163">
        <f>'2026'!R\Max</f>
        <v>0.79316296099325767</v>
      </c>
      <c r="CB223" s="1163">
        <f>'2027'!R\Max</f>
        <v>0.7931616343979021</v>
      </c>
      <c r="CC223" s="1164">
        <f>'2028'!R\Max</f>
        <v>0.7931599800569592</v>
      </c>
      <c r="CD223" s="1163">
        <f>'2029'!R\Max</f>
        <v>0.79316698162278443</v>
      </c>
      <c r="CE223" s="1163">
        <f>'2030'!R\Max</f>
        <v>0.7931662868051087</v>
      </c>
      <c r="CF223" s="1165">
        <f>'2031'!R\Max</f>
        <v>0.79316532292243958</v>
      </c>
    </row>
    <row r="224" spans="1:84" s="6" customFormat="1" ht="11.25" x14ac:dyDescent="0.2">
      <c r="A224" s="11">
        <v>43310</v>
      </c>
      <c r="B224" s="375">
        <f>'2022'!Maxi_hp</f>
        <v>29.87434338366489</v>
      </c>
      <c r="C224" s="13">
        <f>'2022'!An_max</f>
        <v>2022</v>
      </c>
      <c r="D224" s="1050" t="str">
        <f t="shared" si="97"/>
        <v/>
      </c>
      <c r="E224" s="13"/>
      <c r="F224" s="13">
        <f t="shared" si="114"/>
        <v>17</v>
      </c>
      <c r="G224" s="13">
        <f t="shared" si="98"/>
        <v>16</v>
      </c>
      <c r="H224" s="169">
        <f t="shared" si="99"/>
        <v>43318</v>
      </c>
      <c r="I224" s="744">
        <f t="shared" si="100"/>
        <v>0.5714285714285714</v>
      </c>
      <c r="J224" s="737">
        <f t="shared" si="101"/>
        <v>60.407170845887492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43">
        <v>43310</v>
      </c>
      <c r="AP224" s="13">
        <f t="shared" si="102"/>
        <v>9</v>
      </c>
      <c r="AQ224" s="13">
        <f t="shared" si="103"/>
        <v>10</v>
      </c>
      <c r="AR224" s="169">
        <f t="shared" si="104"/>
        <v>43304</v>
      </c>
      <c r="AS224" s="744">
        <f t="shared" si="105"/>
        <v>0.21428571428571427</v>
      </c>
      <c r="AT224" s="760">
        <f t="shared" si="106"/>
        <v>60.450913502355775</v>
      </c>
      <c r="AU224" s="13">
        <f t="shared" si="107"/>
        <v>9</v>
      </c>
      <c r="AV224" s="13">
        <f t="shared" si="108"/>
        <v>8</v>
      </c>
      <c r="AW224" s="169">
        <f t="shared" si="109"/>
        <v>43318</v>
      </c>
      <c r="AX224" s="744">
        <f t="shared" si="110"/>
        <v>0.2857142857142857</v>
      </c>
      <c r="AY224" s="760">
        <f t="shared" si="111"/>
        <v>60.293581923842432</v>
      </c>
      <c r="AZ224" s="737">
        <f t="shared" si="115"/>
        <v>60.3722477130991</v>
      </c>
      <c r="BA224" s="634">
        <f t="shared" si="112"/>
        <v>0.4945496199429894</v>
      </c>
      <c r="BC224" s="11">
        <v>43310</v>
      </c>
      <c r="BD224" s="286">
        <f>[3]!FeuilCaduc*(1-Persistant)+Persistant</f>
        <v>0.99984223177819298</v>
      </c>
      <c r="BE224" s="287">
        <f>[3]!CroissVégét</f>
        <v>0.88235607250226589</v>
      </c>
      <c r="BF224" s="807">
        <f>1+[3]!Salcycl*Ksac</f>
        <v>1.0499802789722741</v>
      </c>
      <c r="BH224" s="1041">
        <f t="shared" si="113"/>
        <v>3.418367581243293E-4</v>
      </c>
      <c r="BI224" s="11">
        <v>44406</v>
      </c>
      <c r="BJ224" s="717">
        <v>5.0368188918418902E-5</v>
      </c>
      <c r="BK224" s="717">
        <v>8.9083091358042077E-5</v>
      </c>
      <c r="BL224" s="717">
        <v>1.3878702337406681E-4</v>
      </c>
      <c r="BM224" s="717">
        <v>2.0183295369787178E-4</v>
      </c>
      <c r="BN224" s="717">
        <v>2.6983049165949679E-4</v>
      </c>
      <c r="BO224" s="718">
        <v>3.4228475543876335E-4</v>
      </c>
      <c r="BP224" s="717">
        <v>4.2597605901140275E-4</v>
      </c>
      <c r="BQ224" s="717">
        <v>5.4784915339985748E-4</v>
      </c>
      <c r="BR224" s="717">
        <v>7.0615561687810456E-4</v>
      </c>
      <c r="BS224" s="717">
        <v>9.1014582430847381E-4</v>
      </c>
      <c r="BT224" s="717">
        <v>1.136516552471707E-3</v>
      </c>
      <c r="BW224" s="1162">
        <f>'2022'!R\Max</f>
        <v>0.4945496199429894</v>
      </c>
      <c r="BX224" s="1163">
        <f>'2023'!R\Max</f>
        <v>0.49454850693782082</v>
      </c>
      <c r="BY224" s="1163">
        <f>'2024'!R\Max</f>
        <v>0.49454695216862132</v>
      </c>
      <c r="BZ224" s="1163">
        <f>'2025'!R\Max</f>
        <v>0.4945453313789448</v>
      </c>
      <c r="CA224" s="1163">
        <f>'2026'!R\Max</f>
        <v>0.49454328905000017</v>
      </c>
      <c r="CB224" s="1163">
        <f>'2027'!R\Max</f>
        <v>0.4945411837203309</v>
      </c>
      <c r="CC224" s="1164">
        <f>'2028'!R\Max</f>
        <v>0.49453854981780032</v>
      </c>
      <c r="CD224" s="1163">
        <f>'2029'!R\Max</f>
        <v>0.49454967556673657</v>
      </c>
      <c r="CE224" s="1163">
        <f>'2030'!R\Max</f>
        <v>0.49454856256166435</v>
      </c>
      <c r="CF224" s="1165">
        <f>'2031'!R\Max</f>
        <v>0.49454703316946547</v>
      </c>
    </row>
    <row r="225" spans="1:84" s="6" customFormat="1" ht="11.25" x14ac:dyDescent="0.2">
      <c r="A225" s="11">
        <v>43311</v>
      </c>
      <c r="B225" s="375">
        <f>'2022'!Maxi_hp</f>
        <v>49.138631982876142</v>
      </c>
      <c r="C225" s="13">
        <f>'2022'!An_max</f>
        <v>2022</v>
      </c>
      <c r="D225" s="1050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69">
        <f t="shared" si="99"/>
        <v>43318</v>
      </c>
      <c r="I225" s="744">
        <f t="shared" si="100"/>
        <v>0.5</v>
      </c>
      <c r="J225" s="737">
        <f t="shared" si="101"/>
        <v>60.183506249822678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43">
        <v>43311</v>
      </c>
      <c r="AP225" s="13">
        <f t="shared" si="102"/>
        <v>9</v>
      </c>
      <c r="AQ225" s="13">
        <f t="shared" si="103"/>
        <v>10</v>
      </c>
      <c r="AR225" s="169">
        <f t="shared" si="104"/>
        <v>43304</v>
      </c>
      <c r="AS225" s="744">
        <f t="shared" si="105"/>
        <v>0.25</v>
      </c>
      <c r="AT225" s="760">
        <f t="shared" si="106"/>
        <v>60.234236718341705</v>
      </c>
      <c r="AU225" s="13">
        <f t="shared" si="107"/>
        <v>9</v>
      </c>
      <c r="AV225" s="13">
        <f t="shared" si="108"/>
        <v>8</v>
      </c>
      <c r="AW225" s="169">
        <f t="shared" si="109"/>
        <v>43318</v>
      </c>
      <c r="AX225" s="744">
        <f t="shared" si="110"/>
        <v>0.25</v>
      </c>
      <c r="AY225" s="760">
        <f t="shared" si="111"/>
        <v>60.081264842767268</v>
      </c>
      <c r="AZ225" s="737">
        <f t="shared" si="115"/>
        <v>60.157750780554487</v>
      </c>
      <c r="BA225" s="634">
        <f t="shared" si="112"/>
        <v>0.81648004652472239</v>
      </c>
      <c r="BC225" s="11">
        <v>43311</v>
      </c>
      <c r="BD225" s="286">
        <f>[3]!FeuilCaduc*(1-Persistant)+Persistant</f>
        <v>0.99980015849187565</v>
      </c>
      <c r="BE225" s="287">
        <f>[3]!CroissVégét</f>
        <v>0.88656663959603077</v>
      </c>
      <c r="BF225" s="807">
        <f>1+[3]!Salcycl*Ksac</f>
        <v>1.0499750198114846</v>
      </c>
      <c r="BH225" s="1041">
        <f t="shared" si="113"/>
        <v>3.6315218377235237E-4</v>
      </c>
      <c r="BI225" s="11">
        <v>44407</v>
      </c>
      <c r="BJ225" s="717">
        <v>5.4812419150931082E-5</v>
      </c>
      <c r="BK225" s="717">
        <v>9.6136851732216537E-5</v>
      </c>
      <c r="BL225" s="717">
        <v>1.4918999727236762E-4</v>
      </c>
      <c r="BM225" s="717">
        <v>2.159867155824551E-4</v>
      </c>
      <c r="BN225" s="717">
        <v>2.8765180615295606E-4</v>
      </c>
      <c r="BO225" s="718">
        <v>3.6362192020048347E-4</v>
      </c>
      <c r="BP225" s="717">
        <v>4.5151151535196676E-4</v>
      </c>
      <c r="BQ225" s="717">
        <v>5.7779182248298637E-4</v>
      </c>
      <c r="BR225" s="717">
        <v>7.4238330409641797E-4</v>
      </c>
      <c r="BS225" s="717">
        <v>9.5499147607163327E-4</v>
      </c>
      <c r="BT225" s="717">
        <v>1.1929463859892469E-3</v>
      </c>
      <c r="BW225" s="1162">
        <f>'2022'!R\Max</f>
        <v>0.81648004652472239</v>
      </c>
      <c r="BX225" s="1163">
        <f>'2023'!R\Max</f>
        <v>0.81647934330955307</v>
      </c>
      <c r="BY225" s="1163">
        <f>'2024'!R\Max</f>
        <v>0.81647837156187664</v>
      </c>
      <c r="BZ225" s="1163">
        <f>'2025'!R\Max</f>
        <v>0.81647736116528979</v>
      </c>
      <c r="CA225" s="1163">
        <f>'2026'!R\Max</f>
        <v>0.81647608278476924</v>
      </c>
      <c r="CB225" s="1163">
        <f>'2027'!R\Max</f>
        <v>0.81647476582985612</v>
      </c>
      <c r="CC225" s="1164">
        <f>'2028'!R\Max</f>
        <v>0.81647311299180403</v>
      </c>
      <c r="CD225" s="1163">
        <f>'2029'!R\Max</f>
        <v>0.81648008166867325</v>
      </c>
      <c r="CE225" s="1163">
        <f>'2030'!R\Max</f>
        <v>0.81647937845367435</v>
      </c>
      <c r="CF225" s="1165">
        <f>'2031'!R\Max</f>
        <v>0.81647842205750032</v>
      </c>
    </row>
    <row r="226" spans="1:84" s="6" customFormat="1" ht="11.25" x14ac:dyDescent="0.2">
      <c r="A226" s="11">
        <v>43312</v>
      </c>
      <c r="B226" s="375">
        <f>'2022'!Maxi_hp</f>
        <v>60.179550846641447</v>
      </c>
      <c r="C226" s="13">
        <f>'2022'!An_max</f>
        <v>2022</v>
      </c>
      <c r="D226" s="1050">
        <f t="shared" si="97"/>
        <v>1.003728264484145</v>
      </c>
      <c r="E226" s="13"/>
      <c r="F226" s="13">
        <f t="shared" si="114"/>
        <v>17</v>
      </c>
      <c r="G226" s="13">
        <f t="shared" si="98"/>
        <v>16</v>
      </c>
      <c r="H226" s="169">
        <f t="shared" si="99"/>
        <v>43318</v>
      </c>
      <c r="I226" s="744">
        <f t="shared" si="100"/>
        <v>0.42857142857142855</v>
      </c>
      <c r="J226" s="737">
        <f t="shared" si="101"/>
        <v>59.956018950577288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43">
        <v>43312</v>
      </c>
      <c r="AP226" s="13">
        <f t="shared" si="102"/>
        <v>9</v>
      </c>
      <c r="AQ226" s="13">
        <f t="shared" si="103"/>
        <v>10</v>
      </c>
      <c r="AR226" s="169">
        <f t="shared" si="104"/>
        <v>43304</v>
      </c>
      <c r="AS226" s="744">
        <f t="shared" si="105"/>
        <v>0.2857142857142857</v>
      </c>
      <c r="AT226" s="760">
        <f t="shared" si="106"/>
        <v>60.012813411440177</v>
      </c>
      <c r="AU226" s="13">
        <f t="shared" si="107"/>
        <v>9</v>
      </c>
      <c r="AV226" s="13">
        <f t="shared" si="108"/>
        <v>8</v>
      </c>
      <c r="AW226" s="169">
        <f t="shared" si="109"/>
        <v>43318</v>
      </c>
      <c r="AX226" s="744">
        <f t="shared" si="110"/>
        <v>0.21428571428571427</v>
      </c>
      <c r="AY226" s="760">
        <f t="shared" si="111"/>
        <v>59.866622284453896</v>
      </c>
      <c r="AZ226" s="737">
        <f t="shared" si="115"/>
        <v>59.939717847947037</v>
      </c>
      <c r="BA226" s="634">
        <f t="shared" si="112"/>
        <v>1.003728264484145</v>
      </c>
      <c r="BC226" s="11">
        <v>43312</v>
      </c>
      <c r="BD226" s="286">
        <f>[3]!FeuilCaduc*(1-Persistant)+Persistant</f>
        <v>0.99973148047235272</v>
      </c>
      <c r="BE226" s="287">
        <f>[3]!CroissVégét</f>
        <v>0.89064558172697694</v>
      </c>
      <c r="BF226" s="807">
        <f>1+[3]!Salcycl*Ksac</f>
        <v>1.0499664350590441</v>
      </c>
      <c r="BH226" s="1041">
        <f t="shared" si="113"/>
        <v>3.8570745116189739E-4</v>
      </c>
      <c r="BI226" s="11">
        <v>44408</v>
      </c>
      <c r="BJ226" s="717">
        <v>5.9181352007208743E-5</v>
      </c>
      <c r="BK226" s="717">
        <v>1.0304575350322479E-4</v>
      </c>
      <c r="BL226" s="717">
        <v>1.5936730351075613E-4</v>
      </c>
      <c r="BM226" s="717">
        <v>2.3008922799326408E-4</v>
      </c>
      <c r="BN226" s="717">
        <v>3.0587465966562213E-4</v>
      </c>
      <c r="BO226" s="718">
        <v>3.8620414232434742E-4</v>
      </c>
      <c r="BP226" s="717">
        <v>4.792965271213214E-4</v>
      </c>
      <c r="BQ226" s="717">
        <v>6.1096385403381812E-4</v>
      </c>
      <c r="BR226" s="717">
        <v>7.8286576874995063E-4</v>
      </c>
      <c r="BS226" s="717">
        <v>1.0052300801551557E-3</v>
      </c>
      <c r="BT226" s="717">
        <v>1.2561959837303076E-3</v>
      </c>
      <c r="BW226" s="1162">
        <f>'2022'!R\Max</f>
        <v>1.003728264484145</v>
      </c>
      <c r="BX226" s="1163">
        <f>'2023'!R\Max</f>
        <v>1.003728264484145</v>
      </c>
      <c r="BY226" s="1163">
        <f>'2024'!R\Max</f>
        <v>1.0037282644841452</v>
      </c>
      <c r="BZ226" s="1163">
        <f>'2025'!R\Max</f>
        <v>1.003728264484145</v>
      </c>
      <c r="CA226" s="1163">
        <f>'2026'!R\Max</f>
        <v>1.003728264484145</v>
      </c>
      <c r="CB226" s="1163">
        <f>'2027'!R\Max</f>
        <v>1.003728264484145</v>
      </c>
      <c r="CC226" s="1164">
        <f>'2028'!R\Max</f>
        <v>1.003728264484145</v>
      </c>
      <c r="CD226" s="1163">
        <f>'2029'!R\Max</f>
        <v>1.003728264484145</v>
      </c>
      <c r="CE226" s="1163">
        <f>'2030'!R\Max</f>
        <v>1.003728264484145</v>
      </c>
      <c r="CF226" s="1165">
        <f>'2031'!R\Max</f>
        <v>1.003728264484145</v>
      </c>
    </row>
    <row r="227" spans="1:84" s="6" customFormat="1" ht="11.25" x14ac:dyDescent="0.2">
      <c r="A227" s="11">
        <v>43313</v>
      </c>
      <c r="B227" s="375">
        <f>'2022'!Maxi_hp</f>
        <v>59.656206328517612</v>
      </c>
      <c r="C227" s="13">
        <f>'2022'!An_max</f>
        <v>2022</v>
      </c>
      <c r="D227" s="1050">
        <f t="shared" si="97"/>
        <v>0.99884389410994978</v>
      </c>
      <c r="E227" s="13"/>
      <c r="F227" s="13">
        <f t="shared" si="114"/>
        <v>17</v>
      </c>
      <c r="G227" s="13">
        <f t="shared" si="98"/>
        <v>16</v>
      </c>
      <c r="H227" s="169">
        <f t="shared" si="99"/>
        <v>43318</v>
      </c>
      <c r="I227" s="744">
        <f t="shared" si="100"/>
        <v>0.35714285714285715</v>
      </c>
      <c r="J227" s="737">
        <f t="shared" si="101"/>
        <v>59.725255047662969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43">
        <v>43313</v>
      </c>
      <c r="AP227" s="13">
        <f t="shared" si="102"/>
        <v>9</v>
      </c>
      <c r="AQ227" s="13">
        <f t="shared" si="103"/>
        <v>10</v>
      </c>
      <c r="AR227" s="169">
        <f t="shared" si="104"/>
        <v>43304</v>
      </c>
      <c r="AS227" s="744">
        <f t="shared" si="105"/>
        <v>0.32142857142857145</v>
      </c>
      <c r="AT227" s="760">
        <f t="shared" si="106"/>
        <v>59.786875672013103</v>
      </c>
      <c r="AU227" s="13">
        <f t="shared" si="107"/>
        <v>9</v>
      </c>
      <c r="AV227" s="13">
        <f t="shared" si="108"/>
        <v>8</v>
      </c>
      <c r="AW227" s="169">
        <f t="shared" si="109"/>
        <v>43318</v>
      </c>
      <c r="AX227" s="744">
        <f t="shared" si="110"/>
        <v>0.17857142857142858</v>
      </c>
      <c r="AY227" s="760">
        <f t="shared" si="111"/>
        <v>59.649859034895357</v>
      </c>
      <c r="AZ227" s="737">
        <f t="shared" si="115"/>
        <v>59.718367353454227</v>
      </c>
      <c r="BA227" s="634">
        <f t="shared" si="112"/>
        <v>0.99884389410994978</v>
      </c>
      <c r="BC227" s="11">
        <v>43313</v>
      </c>
      <c r="BD227" s="286">
        <f>[3]!FeuilCaduc*(1-Persistant)+Persistant</f>
        <v>0.99963780534709201</v>
      </c>
      <c r="BE227" s="287">
        <f>[3]!CroissVégét</f>
        <v>0.89459569118431537</v>
      </c>
      <c r="BF227" s="807">
        <f>1+[3]!Salcycl*Ksac</f>
        <v>1.0499547256683865</v>
      </c>
      <c r="BH227" s="1041">
        <f t="shared" si="113"/>
        <v>4.0875575193373556E-4</v>
      </c>
      <c r="BI227" s="11">
        <v>44409</v>
      </c>
      <c r="BJ227" s="717">
        <v>6.3184759341305719E-5</v>
      </c>
      <c r="BK227" s="717">
        <v>1.093871180773335E-4</v>
      </c>
      <c r="BL227" s="717">
        <v>1.6874964318492743E-4</v>
      </c>
      <c r="BM227" s="717">
        <v>2.4345409726212451E-4</v>
      </c>
      <c r="BN227" s="717">
        <v>3.2374782497149112E-4</v>
      </c>
      <c r="BO227" s="718">
        <v>4.0928464094373986E-4</v>
      </c>
      <c r="BP227" s="717">
        <v>5.0861582060058403E-4</v>
      </c>
      <c r="BQ227" s="717">
        <v>6.4688230578418442E-4</v>
      </c>
      <c r="BR227" s="717">
        <v>8.2736766404324473E-4</v>
      </c>
      <c r="BS227" s="717">
        <v>1.0608875305208869E-3</v>
      </c>
      <c r="BT227" s="717">
        <v>1.3263689415227188E-3</v>
      </c>
      <c r="BW227" s="1162">
        <f>'2022'!R\Max</f>
        <v>0.99884389410994978</v>
      </c>
      <c r="BX227" s="1163">
        <f>'2023'!R\Max</f>
        <v>0.99884388793899515</v>
      </c>
      <c r="BY227" s="1163">
        <f>'2024'!R\Max</f>
        <v>0.99884387963398102</v>
      </c>
      <c r="BZ227" s="1163">
        <f>'2025'!R\Max</f>
        <v>0.9988438710440054</v>
      </c>
      <c r="CA227" s="1163">
        <f>'2026'!R\Max</f>
        <v>0.99884386013990389</v>
      </c>
      <c r="CB227" s="1163">
        <f>'2027'!R\Max</f>
        <v>0.99884384892674671</v>
      </c>
      <c r="CC227" s="1164">
        <f>'2028'!R\Max</f>
        <v>0.99884383480650329</v>
      </c>
      <c r="CD227" s="1163">
        <f>'2029'!R\Max</f>
        <v>0.99884389441834931</v>
      </c>
      <c r="CE227" s="1163">
        <f>'2030'!R\Max</f>
        <v>0.99884388824739745</v>
      </c>
      <c r="CF227" s="1165">
        <f>'2031'!R\Max</f>
        <v>0.99884388006327329</v>
      </c>
    </row>
    <row r="228" spans="1:84" s="6" customFormat="1" ht="11.25" x14ac:dyDescent="0.2">
      <c r="A228" s="11">
        <v>43314</v>
      </c>
      <c r="B228" s="375">
        <f>'2022'!Maxi_hp</f>
        <v>59.671955685390998</v>
      </c>
      <c r="C228" s="13">
        <f>'2022'!An_max</f>
        <v>2022</v>
      </c>
      <c r="D228" s="1050">
        <f t="shared" si="97"/>
        <v>1.0030289075718304</v>
      </c>
      <c r="E228" s="13"/>
      <c r="F228" s="13">
        <f t="shared" si="114"/>
        <v>17</v>
      </c>
      <c r="G228" s="13">
        <f t="shared" si="98"/>
        <v>16</v>
      </c>
      <c r="H228" s="169">
        <f t="shared" si="99"/>
        <v>43318</v>
      </c>
      <c r="I228" s="744">
        <f t="shared" si="100"/>
        <v>0.2857142857142857</v>
      </c>
      <c r="J228" s="737">
        <f t="shared" si="101"/>
        <v>59.491760641123577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43">
        <v>43314</v>
      </c>
      <c r="AP228" s="13">
        <f t="shared" si="102"/>
        <v>9</v>
      </c>
      <c r="AQ228" s="13">
        <f t="shared" si="103"/>
        <v>10</v>
      </c>
      <c r="AR228" s="169">
        <f t="shared" si="104"/>
        <v>43304</v>
      </c>
      <c r="AS228" s="744">
        <f t="shared" si="105"/>
        <v>0.35714285714285715</v>
      </c>
      <c r="AT228" s="760">
        <f t="shared" si="106"/>
        <v>59.556655594147742</v>
      </c>
      <c r="AU228" s="13">
        <f t="shared" si="107"/>
        <v>9</v>
      </c>
      <c r="AV228" s="13">
        <f t="shared" si="108"/>
        <v>8</v>
      </c>
      <c r="AW228" s="169">
        <f t="shared" si="109"/>
        <v>43318</v>
      </c>
      <c r="AX228" s="744">
        <f t="shared" si="110"/>
        <v>0.14285714285714285</v>
      </c>
      <c r="AY228" s="760">
        <f t="shared" si="111"/>
        <v>59.43117988311819</v>
      </c>
      <c r="AZ228" s="737">
        <f t="shared" si="115"/>
        <v>59.493917738632966</v>
      </c>
      <c r="BA228" s="634">
        <f t="shared" si="112"/>
        <v>1.0030289075718304</v>
      </c>
      <c r="BC228" s="11">
        <v>43314</v>
      </c>
      <c r="BD228" s="286">
        <f>[3]!FeuilCaduc*(1-Persistant)+Persistant</f>
        <v>0.9995205369695489</v>
      </c>
      <c r="BE228" s="287">
        <f>[3]!CroissVégét</f>
        <v>0.89841979735358901</v>
      </c>
      <c r="BF228" s="807">
        <f>1+[3]!Salcycl*Ksac</f>
        <v>1.0499400671211936</v>
      </c>
      <c r="BH228" s="1041">
        <f t="shared" si="113"/>
        <v>4.3229750260225528E-4</v>
      </c>
      <c r="BI228" s="11">
        <v>44410</v>
      </c>
      <c r="BJ228" s="717">
        <v>6.6822873541500655E-5</v>
      </c>
      <c r="BK228" s="717">
        <v>1.1516130719854319E-4</v>
      </c>
      <c r="BL228" s="717">
        <v>1.7733753409900822E-4</v>
      </c>
      <c r="BM228" s="717">
        <v>2.5608192189980255E-4</v>
      </c>
      <c r="BN228" s="717">
        <v>3.4127187982965659E-4</v>
      </c>
      <c r="BO228" s="718">
        <v>4.3286383156984214E-4</v>
      </c>
      <c r="BP228" s="717">
        <v>5.3946961067454998E-4</v>
      </c>
      <c r="BQ228" s="717">
        <v>6.8554713129244697E-4</v>
      </c>
      <c r="BR228" s="717">
        <v>8.7588870984002629E-4</v>
      </c>
      <c r="BS228" s="717">
        <v>1.1219633329391725E-3</v>
      </c>
      <c r="BT228" s="717">
        <v>1.4034646070845845E-3</v>
      </c>
      <c r="BW228" s="1162">
        <f>'2022'!R\Max</f>
        <v>1.0030289075718304</v>
      </c>
      <c r="BX228" s="1163">
        <f>'2023'!R\Max</f>
        <v>1.0030289075718304</v>
      </c>
      <c r="BY228" s="1163">
        <f>'2024'!R\Max</f>
        <v>1.0030289075718304</v>
      </c>
      <c r="BZ228" s="1163">
        <f>'2025'!R\Max</f>
        <v>1.0030289075718304</v>
      </c>
      <c r="CA228" s="1163">
        <f>'2026'!R\Max</f>
        <v>1.0030289075718304</v>
      </c>
      <c r="CB228" s="1163">
        <f>'2027'!R\Max</f>
        <v>1.0030289075718304</v>
      </c>
      <c r="CC228" s="1164">
        <f>'2028'!R\Max</f>
        <v>1.0030289075718304</v>
      </c>
      <c r="CD228" s="1163">
        <f>'2029'!R\Max</f>
        <v>1.0030289075718304</v>
      </c>
      <c r="CE228" s="1163">
        <f>'2030'!R\Max</f>
        <v>1.0030289075718304</v>
      </c>
      <c r="CF228" s="1165">
        <f>'2031'!R\Max</f>
        <v>1.0030289075718304</v>
      </c>
    </row>
    <row r="229" spans="1:84" s="6" customFormat="1" ht="11.25" x14ac:dyDescent="0.2">
      <c r="A229" s="11">
        <v>43315</v>
      </c>
      <c r="B229" s="375">
        <f>'2022'!Maxi_hp</f>
        <v>59.252652502044675</v>
      </c>
      <c r="C229" s="13">
        <f>'2022'!An_max</f>
        <v>2022</v>
      </c>
      <c r="D229" s="1050">
        <f t="shared" si="97"/>
        <v>0.9999421269352573</v>
      </c>
      <c r="E229" s="13"/>
      <c r="F229" s="13">
        <f t="shared" si="114"/>
        <v>17</v>
      </c>
      <c r="G229" s="13">
        <f t="shared" si="98"/>
        <v>16</v>
      </c>
      <c r="H229" s="169">
        <f t="shared" si="99"/>
        <v>43318</v>
      </c>
      <c r="I229" s="744">
        <f t="shared" si="100"/>
        <v>0.21428571428571427</v>
      </c>
      <c r="J229" s="737">
        <f t="shared" si="101"/>
        <v>59.256081833105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43">
        <v>43315</v>
      </c>
      <c r="AP229" s="13">
        <f t="shared" si="102"/>
        <v>9</v>
      </c>
      <c r="AQ229" s="13">
        <f t="shared" si="103"/>
        <v>10</v>
      </c>
      <c r="AR229" s="169">
        <f t="shared" si="104"/>
        <v>43304</v>
      </c>
      <c r="AS229" s="744">
        <f t="shared" si="105"/>
        <v>0.39285714285714285</v>
      </c>
      <c r="AT229" s="760">
        <f t="shared" si="106"/>
        <v>59.322385270640794</v>
      </c>
      <c r="AU229" s="13">
        <f t="shared" si="107"/>
        <v>9</v>
      </c>
      <c r="AV229" s="13">
        <f t="shared" si="108"/>
        <v>8</v>
      </c>
      <c r="AW229" s="169">
        <f t="shared" si="109"/>
        <v>43318</v>
      </c>
      <c r="AX229" s="744">
        <f t="shared" si="110"/>
        <v>0.10714285714285714</v>
      </c>
      <c r="AY229" s="760">
        <f t="shared" si="111"/>
        <v>59.210789614849332</v>
      </c>
      <c r="AZ229" s="737">
        <f t="shared" si="115"/>
        <v>59.266587442745063</v>
      </c>
      <c r="BA229" s="634">
        <f t="shared" si="112"/>
        <v>0.9999421269352573</v>
      </c>
      <c r="BC229" s="11">
        <v>43315</v>
      </c>
      <c r="BD229" s="286">
        <f>[3]!FeuilCaduc*(1-Persistant)+Persistant</f>
        <v>0.99938087988317947</v>
      </c>
      <c r="BE229" s="287">
        <f>[3]!CroissVégét</f>
        <v>0.90212075799903491</v>
      </c>
      <c r="BF229" s="807">
        <f>1+[3]!Salcycl*Ksac</f>
        <v>1.0499226099853973</v>
      </c>
      <c r="BH229" s="1041">
        <f t="shared" si="113"/>
        <v>4.5633312478333705E-4</v>
      </c>
      <c r="BI229" s="11">
        <v>44411</v>
      </c>
      <c r="BJ229" s="717">
        <v>7.0095901409997818E-5</v>
      </c>
      <c r="BK229" s="717">
        <v>1.2036864274816046E-4</v>
      </c>
      <c r="BL229" s="717">
        <v>1.8513143769863881E-4</v>
      </c>
      <c r="BM229" s="717">
        <v>2.6797324330162989E-4</v>
      </c>
      <c r="BN229" s="717">
        <v>3.5844736298985239E-4</v>
      </c>
      <c r="BO229" s="718">
        <v>4.5694213508976962E-4</v>
      </c>
      <c r="BP229" s="717">
        <v>5.7185817196154186E-4</v>
      </c>
      <c r="BQ229" s="717">
        <v>7.2695840814898975E-4</v>
      </c>
      <c r="BR229" s="717">
        <v>9.2842881585005214E-4</v>
      </c>
      <c r="BS229" s="717">
        <v>1.1884572535937777E-3</v>
      </c>
      <c r="BT229" s="717">
        <v>1.4874826618281691E-3</v>
      </c>
      <c r="BW229" s="1162">
        <f>'2022'!R\Max</f>
        <v>0.9999421269352573</v>
      </c>
      <c r="BX229" s="1163">
        <f>'2023'!R\Max</f>
        <v>0.99994212657474713</v>
      </c>
      <c r="BY229" s="1163">
        <f>'2024'!R\Max</f>
        <v>0.99994212610206601</v>
      </c>
      <c r="BZ229" s="1163">
        <f>'2025'!R\Max</f>
        <v>0.99994212561548113</v>
      </c>
      <c r="CA229" s="1163">
        <f>'2026'!R\Max</f>
        <v>0.99994212499945234</v>
      </c>
      <c r="CB229" s="1163">
        <f>'2027'!R\Max</f>
        <v>0.99994212436737562</v>
      </c>
      <c r="CC229" s="1164">
        <f>'2028'!R\Max</f>
        <v>0.99994212357182377</v>
      </c>
      <c r="CD229" s="1163">
        <f>'2029'!R\Max</f>
        <v>0.999942126953274</v>
      </c>
      <c r="CE229" s="1163">
        <f>'2030'!R\Max</f>
        <v>0.99994212659276427</v>
      </c>
      <c r="CF229" s="1165">
        <f>'2031'!R\Max</f>
        <v>0.99994212612638367</v>
      </c>
    </row>
    <row r="230" spans="1:84" s="6" customFormat="1" ht="11.25" x14ac:dyDescent="0.2">
      <c r="A230" s="11">
        <v>43316</v>
      </c>
      <c r="B230" s="375">
        <f>'2022'!Maxi_hp</f>
        <v>56.531206587752195</v>
      </c>
      <c r="C230" s="13">
        <f>'2022'!An_max</f>
        <v>2022</v>
      </c>
      <c r="D230" s="1050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69">
        <f t="shared" si="99"/>
        <v>43318</v>
      </c>
      <c r="I230" s="744">
        <f t="shared" si="100"/>
        <v>0.14285714285714285</v>
      </c>
      <c r="J230" s="737">
        <f t="shared" si="101"/>
        <v>59.018764723092318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43">
        <v>43316</v>
      </c>
      <c r="AP230" s="13">
        <f t="shared" si="102"/>
        <v>9</v>
      </c>
      <c r="AQ230" s="13">
        <f t="shared" si="103"/>
        <v>10</v>
      </c>
      <c r="AR230" s="169">
        <f t="shared" si="104"/>
        <v>43304</v>
      </c>
      <c r="AS230" s="744">
        <f t="shared" si="105"/>
        <v>0.42857142857142855</v>
      </c>
      <c r="AT230" s="760">
        <f t="shared" si="106"/>
        <v>59.084296793277773</v>
      </c>
      <c r="AU230" s="13">
        <f t="shared" si="107"/>
        <v>9</v>
      </c>
      <c r="AV230" s="13">
        <f t="shared" si="108"/>
        <v>8</v>
      </c>
      <c r="AW230" s="169">
        <f t="shared" si="109"/>
        <v>43318</v>
      </c>
      <c r="AX230" s="744">
        <f t="shared" si="110"/>
        <v>7.1428571428571425E-2</v>
      </c>
      <c r="AY230" s="760">
        <f t="shared" si="111"/>
        <v>58.988893020685239</v>
      </c>
      <c r="AZ230" s="737">
        <f t="shared" si="115"/>
        <v>59.036594906981506</v>
      </c>
      <c r="BA230" s="634">
        <f t="shared" si="112"/>
        <v>0.95785140290530657</v>
      </c>
      <c r="BC230" s="11">
        <v>43316</v>
      </c>
      <c r="BD230" s="286">
        <f>[3]!FeuilCaduc*(1-Persistant)+Persistant</f>
        <v>0.99921984492289773</v>
      </c>
      <c r="BE230" s="287">
        <f>[3]!CroissVégét</f>
        <v>0.90570145106838851</v>
      </c>
      <c r="BF230" s="807">
        <f>1+[3]!Salcycl*Ksac</f>
        <v>1.0499024806153623</v>
      </c>
      <c r="BH230" s="1041">
        <f t="shared" si="113"/>
        <v>4.8086304391375571E-4</v>
      </c>
      <c r="BI230" s="11">
        <v>44412</v>
      </c>
      <c r="BJ230" s="717">
        <v>7.3004025108915836E-5</v>
      </c>
      <c r="BK230" s="717">
        <v>1.2500940821384034E-4</v>
      </c>
      <c r="BL230" s="717">
        <v>1.9213176112882217E-4</v>
      </c>
      <c r="BM230" s="717">
        <v>2.7912854765638212E-4</v>
      </c>
      <c r="BN230" s="717">
        <v>3.7527477509573709E-4</v>
      </c>
      <c r="BO230" s="718">
        <v>4.8151997647238675E-4</v>
      </c>
      <c r="BP230" s="717">
        <v>6.0578183483438598E-4</v>
      </c>
      <c r="BQ230" s="717">
        <v>7.711163308570043E-4</v>
      </c>
      <c r="BR230" s="717">
        <v>9.8498807121192872E-4</v>
      </c>
      <c r="BS230" s="717">
        <v>1.2603693050391395E-3</v>
      </c>
      <c r="BT230" s="717">
        <v>1.5784231029180387E-3</v>
      </c>
      <c r="BW230" s="1162">
        <f>'2022'!R\Max</f>
        <v>0.95785140290530657</v>
      </c>
      <c r="BX230" s="1163">
        <f>'2023'!R\Max</f>
        <v>0.95785112989600263</v>
      </c>
      <c r="BY230" s="1163">
        <f>'2024'!R\Max</f>
        <v>0.9578507762698224</v>
      </c>
      <c r="BZ230" s="1163">
        <f>'2025'!R\Max</f>
        <v>0.95785041301399765</v>
      </c>
      <c r="CA230" s="1163">
        <f>'2026'!R\Max</f>
        <v>0.95784995448593158</v>
      </c>
      <c r="CB230" s="1163">
        <f>'2027'!R\Max</f>
        <v>0.95784948457570129</v>
      </c>
      <c r="CC230" s="1164">
        <f>'2028'!R\Max</f>
        <v>0.95784889392457973</v>
      </c>
      <c r="CD230" s="1163">
        <f>'2029'!R\Max</f>
        <v>0.95785141654921757</v>
      </c>
      <c r="CE230" s="1163">
        <f>'2030'!R\Max</f>
        <v>0.95785114354003487</v>
      </c>
      <c r="CF230" s="1165">
        <f>'2031'!R\Max</f>
        <v>0.95785079442386467</v>
      </c>
    </row>
    <row r="231" spans="1:84" s="6" customFormat="1" ht="11.25" x14ac:dyDescent="0.2">
      <c r="A231" s="11">
        <v>43317</v>
      </c>
      <c r="B231" s="375">
        <f>'2022'!Maxi_hp</f>
        <v>45.128429594310724</v>
      </c>
      <c r="C231" s="13">
        <f>'2022'!An_max</f>
        <v>2022</v>
      </c>
      <c r="D231" s="1050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69">
        <f t="shared" si="99"/>
        <v>43318</v>
      </c>
      <c r="I231" s="744">
        <f t="shared" si="100"/>
        <v>7.1428571428571425E-2</v>
      </c>
      <c r="J231" s="737">
        <f t="shared" si="101"/>
        <v>58.780355411342214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43">
        <v>43317</v>
      </c>
      <c r="AP231" s="13">
        <f t="shared" si="102"/>
        <v>9</v>
      </c>
      <c r="AQ231" s="13">
        <f t="shared" si="103"/>
        <v>10</v>
      </c>
      <c r="AR231" s="169">
        <f t="shared" si="104"/>
        <v>43304</v>
      </c>
      <c r="AS231" s="744">
        <f t="shared" si="105"/>
        <v>0.4642857142857143</v>
      </c>
      <c r="AT231" s="760">
        <f t="shared" si="106"/>
        <v>58.842622255108189</v>
      </c>
      <c r="AU231" s="13">
        <f t="shared" si="107"/>
        <v>9</v>
      </c>
      <c r="AV231" s="13">
        <f t="shared" si="108"/>
        <v>8</v>
      </c>
      <c r="AW231" s="169">
        <f t="shared" si="109"/>
        <v>43318</v>
      </c>
      <c r="AX231" s="744">
        <f t="shared" si="110"/>
        <v>3.5714285714285712E-2</v>
      </c>
      <c r="AY231" s="760">
        <f t="shared" si="111"/>
        <v>58.765694885634424</v>
      </c>
      <c r="AZ231" s="737">
        <f t="shared" si="115"/>
        <v>58.804158570371307</v>
      </c>
      <c r="BA231" s="634">
        <f t="shared" si="112"/>
        <v>0.7677467970124382</v>
      </c>
      <c r="BC231" s="11">
        <v>43317</v>
      </c>
      <c r="BD231" s="286">
        <f>[3]!FeuilCaduc*(1-Persistant)+Persistant</f>
        <v>0.99903825582980099</v>
      </c>
      <c r="BE231" s="287">
        <f>[3]!CroissVégét</f>
        <v>0.90916476701567317</v>
      </c>
      <c r="BF231" s="807">
        <f>1+[3]!Salcycl*Ksac</f>
        <v>1.0498797819787251</v>
      </c>
      <c r="BH231" s="1041">
        <f t="shared" si="113"/>
        <v>5.0588768796943609E-4</v>
      </c>
      <c r="BI231" s="11">
        <v>44413</v>
      </c>
      <c r="BJ231" s="717">
        <v>7.5547403106105665E-5</v>
      </c>
      <c r="BK231" s="717">
        <v>1.2908385015833021E-4</v>
      </c>
      <c r="BL231" s="717">
        <v>1.9833885929131017E-4</v>
      </c>
      <c r="BM231" s="717">
        <v>2.8954826785448446E-4</v>
      </c>
      <c r="BN231" s="717">
        <v>3.9175457958727798E-4</v>
      </c>
      <c r="BO231" s="718">
        <v>5.065977834729738E-4</v>
      </c>
      <c r="BP231" s="717">
        <v>6.4124098143995617E-4</v>
      </c>
      <c r="BQ231" s="717">
        <v>8.1802120371144132E-4</v>
      </c>
      <c r="BR231" s="717">
        <v>1.0455667340735786E-3</v>
      </c>
      <c r="BS231" s="717">
        <v>1.337699732154588E-3</v>
      </c>
      <c r="BT231" s="717">
        <v>1.6762862253254123E-3</v>
      </c>
      <c r="BW231" s="1162">
        <f>'2022'!R\Max</f>
        <v>0.7677467970124382</v>
      </c>
      <c r="BX231" s="1163">
        <f>'2023'!R\Max</f>
        <v>0.767745485413311</v>
      </c>
      <c r="BY231" s="1163">
        <f>'2024'!R\Max</f>
        <v>0.76774380569295331</v>
      </c>
      <c r="BZ231" s="1163">
        <f>'2025'!R\Max</f>
        <v>0.76774208359575646</v>
      </c>
      <c r="CA231" s="1163">
        <f>'2026'!R\Max</f>
        <v>0.76773991798465757</v>
      </c>
      <c r="CB231" s="1163">
        <f>'2027'!R\Max</f>
        <v>0.76773770131123242</v>
      </c>
      <c r="CC231" s="1164">
        <f>'2028'!R\Max</f>
        <v>0.76773492034544399</v>
      </c>
      <c r="CD231" s="1163">
        <f>'2029'!R\Max</f>
        <v>0.76774686256097591</v>
      </c>
      <c r="CE231" s="1163">
        <f>'2030'!R\Max</f>
        <v>0.76774555096229957</v>
      </c>
      <c r="CF231" s="1165">
        <f>'2031'!R\Max</f>
        <v>0.76774389175646385</v>
      </c>
    </row>
    <row r="232" spans="1:84" s="6" customFormat="1" ht="11.25" x14ac:dyDescent="0.2">
      <c r="A232" s="11">
        <v>43318</v>
      </c>
      <c r="B232" s="375">
        <f>'2022'!Maxi_hp</f>
        <v>53.85119889796897</v>
      </c>
      <c r="C232" s="13">
        <f>'2022'!An_max</f>
        <v>2022</v>
      </c>
      <c r="D232" s="1050" t="str">
        <f t="shared" si="97"/>
        <v/>
      </c>
      <c r="E232" s="1045">
        <f>AC$13/10</f>
        <v>58.541399999999996</v>
      </c>
      <c r="F232" s="13">
        <f t="shared" si="114"/>
        <v>17</v>
      </c>
      <c r="G232" s="13">
        <f t="shared" si="98"/>
        <v>18</v>
      </c>
      <c r="H232" s="169">
        <f t="shared" si="99"/>
        <v>43318</v>
      </c>
      <c r="I232" s="744">
        <f t="shared" si="100"/>
        <v>0</v>
      </c>
      <c r="J232" s="737">
        <f t="shared" si="101"/>
        <v>58.541399999707934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43">
        <v>43318</v>
      </c>
      <c r="AP232" s="13">
        <f t="shared" si="102"/>
        <v>9</v>
      </c>
      <c r="AQ232" s="13">
        <f t="shared" si="103"/>
        <v>10</v>
      </c>
      <c r="AR232" s="169">
        <f t="shared" si="104"/>
        <v>43304</v>
      </c>
      <c r="AS232" s="744">
        <f t="shared" si="105"/>
        <v>0.5</v>
      </c>
      <c r="AT232" s="760">
        <f t="shared" si="106"/>
        <v>58.597593750618401</v>
      </c>
      <c r="AU232" s="13">
        <f t="shared" si="107"/>
        <v>9</v>
      </c>
      <c r="AV232" s="13">
        <f t="shared" si="108"/>
        <v>10</v>
      </c>
      <c r="AW232" s="169">
        <f t="shared" si="109"/>
        <v>43318</v>
      </c>
      <c r="AX232" s="744">
        <f t="shared" si="110"/>
        <v>0</v>
      </c>
      <c r="AY232" s="760">
        <f t="shared" si="111"/>
        <v>58.541399999707934</v>
      </c>
      <c r="AZ232" s="737">
        <f t="shared" si="115"/>
        <v>58.569496875163168</v>
      </c>
      <c r="BA232" s="634">
        <f t="shared" si="112"/>
        <v>0.91988232085733579</v>
      </c>
      <c r="BC232" s="11">
        <v>43318</v>
      </c>
      <c r="BD232" s="286">
        <f>[3]!FeuilCaduc*(1-Persistant)+Persistant</f>
        <v>0.99883675674807082</v>
      </c>
      <c r="BE232" s="287">
        <f>[3]!CroissVégét</f>
        <v>0.91251360163473627</v>
      </c>
      <c r="BF232" s="807">
        <f>1+[3]!Salcycl*Ksac</f>
        <v>1.0498545945935089</v>
      </c>
      <c r="BH232" s="1041">
        <f t="shared" si="113"/>
        <v>5.3140748618536022E-4</v>
      </c>
      <c r="BI232" s="11">
        <v>44414</v>
      </c>
      <c r="BJ232" s="717">
        <v>7.7726171121214767E-5</v>
      </c>
      <c r="BK232" s="717">
        <v>1.3259217968863347E-4</v>
      </c>
      <c r="BL232" s="717">
        <v>2.0375303690263425E-4</v>
      </c>
      <c r="BM232" s="717">
        <v>2.9923278539715825E-4</v>
      </c>
      <c r="BN232" s="717">
        <v>4.0788720360440998E-4</v>
      </c>
      <c r="BO232" s="718">
        <v>5.3217598533954744E-4</v>
      </c>
      <c r="BP232" s="717">
        <v>6.7823604172081271E-4</v>
      </c>
      <c r="BQ232" s="717">
        <v>8.676734336806307E-4</v>
      </c>
      <c r="BR232" s="717">
        <v>1.1101652211761119E-3</v>
      </c>
      <c r="BS232" s="717">
        <v>1.4204489981029305E-3</v>
      </c>
      <c r="BT232" s="717">
        <v>1.781072603887984E-3</v>
      </c>
      <c r="BW232" s="1162">
        <f>'2022'!R\Max</f>
        <v>0.91988232085733579</v>
      </c>
      <c r="BX232" s="1163">
        <f>'2023'!R\Max</f>
        <v>0.91988173050492306</v>
      </c>
      <c r="BY232" s="1163">
        <f>'2024'!R\Max</f>
        <v>0.91988098232619842</v>
      </c>
      <c r="BZ232" s="1163">
        <f>'2025'!R\Max</f>
        <v>0.91988021663085895</v>
      </c>
      <c r="CA232" s="1163">
        <f>'2026'!R\Max</f>
        <v>0.91987925789153058</v>
      </c>
      <c r="CB232" s="1163">
        <f>'2027'!R\Max</f>
        <v>0.91987827772309216</v>
      </c>
      <c r="CC232" s="1164">
        <f>'2028'!R\Max</f>
        <v>0.91987705087386262</v>
      </c>
      <c r="CD232" s="1163">
        <f>'2029'!R\Max</f>
        <v>0.91988235036076738</v>
      </c>
      <c r="CE232" s="1163">
        <f>'2030'!R\Max</f>
        <v>0.91988176000864785</v>
      </c>
      <c r="CF232" s="1165">
        <f>'2031'!R\Max</f>
        <v>0.9198810205925031</v>
      </c>
    </row>
    <row r="233" spans="1:84" s="6" customFormat="1" ht="11.25" x14ac:dyDescent="0.2">
      <c r="A233" s="11">
        <v>43319</v>
      </c>
      <c r="B233" s="375">
        <f>'2022'!Maxi_hp</f>
        <v>56.783052579043542</v>
      </c>
      <c r="C233" s="13">
        <f>'2022'!An_max</f>
        <v>2022</v>
      </c>
      <c r="D233" s="1050">
        <f t="shared" si="97"/>
        <v>0.9739741472897927</v>
      </c>
      <c r="E233" s="13"/>
      <c r="F233" s="13">
        <f t="shared" si="114"/>
        <v>17</v>
      </c>
      <c r="G233" s="13">
        <f t="shared" si="98"/>
        <v>18</v>
      </c>
      <c r="H233" s="169">
        <f t="shared" si="99"/>
        <v>43318</v>
      </c>
      <c r="I233" s="744">
        <f t="shared" si="100"/>
        <v>7.1428571428571425E-2</v>
      </c>
      <c r="J233" s="737">
        <f t="shared" si="101"/>
        <v>58.300369406158907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43">
        <v>43319</v>
      </c>
      <c r="AP233" s="13">
        <f t="shared" si="102"/>
        <v>9</v>
      </c>
      <c r="AQ233" s="13">
        <f t="shared" si="103"/>
        <v>10</v>
      </c>
      <c r="AR233" s="169">
        <f t="shared" si="104"/>
        <v>43304</v>
      </c>
      <c r="AS233" s="744">
        <f t="shared" si="105"/>
        <v>0.5357142857142857</v>
      </c>
      <c r="AT233" s="760">
        <f t="shared" si="106"/>
        <v>58.349443369584961</v>
      </c>
      <c r="AU233" s="13">
        <f t="shared" si="107"/>
        <v>9</v>
      </c>
      <c r="AV233" s="13">
        <f t="shared" si="108"/>
        <v>10</v>
      </c>
      <c r="AW233" s="169">
        <f t="shared" si="109"/>
        <v>43318</v>
      </c>
      <c r="AX233" s="744">
        <f t="shared" si="110"/>
        <v>3.5714285714285712E-2</v>
      </c>
      <c r="AY233" s="760">
        <f t="shared" si="111"/>
        <v>58.315469086343157</v>
      </c>
      <c r="AZ233" s="737">
        <f t="shared" si="115"/>
        <v>58.332456227964059</v>
      </c>
      <c r="BA233" s="634">
        <f t="shared" si="112"/>
        <v>0.9739741472897927</v>
      </c>
      <c r="BC233" s="11">
        <v>43319</v>
      </c>
      <c r="BD233" s="286">
        <f>[3]!FeuilCaduc*(1-Persistant)+Persistant</f>
        <v>0.99861582046760844</v>
      </c>
      <c r="BE233" s="287">
        <f>[3]!CroissVégét</f>
        <v>0.91575084939386342</v>
      </c>
      <c r="BF233" s="807">
        <f>1+[3]!Salcycl*Ksac</f>
        <v>1.049826977558451</v>
      </c>
      <c r="BH233" s="1041">
        <f t="shared" si="113"/>
        <v>5.5742286777331308E-4</v>
      </c>
      <c r="BI233" s="11">
        <v>44415</v>
      </c>
      <c r="BJ233" s="717">
        <v>7.9540443071413869E-5</v>
      </c>
      <c r="BK233" s="717">
        <v>1.3553457392459552E-4</v>
      </c>
      <c r="BL233" s="717">
        <v>2.0837455055124876E-4</v>
      </c>
      <c r="BM233" s="717">
        <v>3.081824323042891E-4</v>
      </c>
      <c r="BN233" s="717">
        <v>4.2367303888899023E-4</v>
      </c>
      <c r="BO233" s="718">
        <v>5.5825501151701706E-4</v>
      </c>
      <c r="BP233" s="717">
        <v>7.1676748943414251E-4</v>
      </c>
      <c r="BQ233" s="717">
        <v>9.2007352328448506E-4</v>
      </c>
      <c r="BR233" s="717">
        <v>1.178784097433345E-3</v>
      </c>
      <c r="BS233" s="717">
        <v>1.5086177702834651E-3</v>
      </c>
      <c r="BT233" s="717">
        <v>1.8927830753627693E-3</v>
      </c>
      <c r="BW233" s="1162">
        <f>'2022'!R\Max</f>
        <v>0.9739741472897927</v>
      </c>
      <c r="BX233" s="1163">
        <f>'2023'!R\Max</f>
        <v>0.97397392606625244</v>
      </c>
      <c r="BY233" s="1163">
        <f>'2024'!R\Max</f>
        <v>0.97397364836406242</v>
      </c>
      <c r="BZ233" s="1163">
        <f>'2025'!R\Max</f>
        <v>0.97397336461763928</v>
      </c>
      <c r="CA233" s="1163">
        <f>'2026'!R\Max</f>
        <v>0.9739730110101612</v>
      </c>
      <c r="CB233" s="1163">
        <f>'2027'!R\Max</f>
        <v>0.97397264992476917</v>
      </c>
      <c r="CC233" s="1164">
        <f>'2028'!R\Max</f>
        <v>0.97397219915314426</v>
      </c>
      <c r="CD233" s="1163">
        <f>'2029'!R\Max</f>
        <v>0.97397415834564238</v>
      </c>
      <c r="CE233" s="1163">
        <f>'2030'!R\Max</f>
        <v>0.97397393712223201</v>
      </c>
      <c r="CF233" s="1165">
        <f>'2031'!R\Max</f>
        <v>0.97397366254452544</v>
      </c>
    </row>
    <row r="234" spans="1:84" s="6" customFormat="1" ht="11.25" x14ac:dyDescent="0.2">
      <c r="A234" s="11">
        <v>43320</v>
      </c>
      <c r="B234" s="375">
        <f>'2022'!Maxi_hp</f>
        <v>58.259512816427666</v>
      </c>
      <c r="C234" s="13">
        <f>'2022'!An_max</f>
        <v>2022</v>
      </c>
      <c r="D234" s="1050">
        <f t="shared" si="97"/>
        <v>1.0035125626922681</v>
      </c>
      <c r="E234" s="13"/>
      <c r="F234" s="13">
        <f t="shared" si="114"/>
        <v>17</v>
      </c>
      <c r="G234" s="13">
        <f t="shared" si="98"/>
        <v>18</v>
      </c>
      <c r="H234" s="169">
        <f t="shared" si="99"/>
        <v>43318</v>
      </c>
      <c r="I234" s="744">
        <f t="shared" si="100"/>
        <v>0.14285714285714285</v>
      </c>
      <c r="J234" s="737">
        <f t="shared" si="101"/>
        <v>58.055588920707144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43">
        <v>43320</v>
      </c>
      <c r="AP234" s="13">
        <f t="shared" si="102"/>
        <v>9</v>
      </c>
      <c r="AQ234" s="13">
        <f t="shared" si="103"/>
        <v>10</v>
      </c>
      <c r="AR234" s="169">
        <f t="shared" si="104"/>
        <v>43304</v>
      </c>
      <c r="AS234" s="744">
        <f t="shared" si="105"/>
        <v>0.5714285714285714</v>
      </c>
      <c r="AT234" s="760">
        <f t="shared" si="106"/>
        <v>58.098403207212684</v>
      </c>
      <c r="AU234" s="13">
        <f t="shared" si="107"/>
        <v>9</v>
      </c>
      <c r="AV234" s="13">
        <f t="shared" si="108"/>
        <v>10</v>
      </c>
      <c r="AW234" s="169">
        <f t="shared" si="109"/>
        <v>43318</v>
      </c>
      <c r="AX234" s="744">
        <f t="shared" si="110"/>
        <v>7.1428571428571425E-2</v>
      </c>
      <c r="AY234" s="760">
        <f t="shared" si="111"/>
        <v>58.087189941188058</v>
      </c>
      <c r="AZ234" s="737">
        <f t="shared" si="115"/>
        <v>58.092796574200371</v>
      </c>
      <c r="BA234" s="634">
        <f t="shared" si="112"/>
        <v>1.0035125626922681</v>
      </c>
      <c r="BC234" s="11">
        <v>43320</v>
      </c>
      <c r="BD234" s="286">
        <f>[3]!FeuilCaduc*(1-Persistant)+Persistant</f>
        <v>0.99837575727223327</v>
      </c>
      <c r="BE234" s="287">
        <f>[3]!CroissVégét</f>
        <v>0.91887939725970647</v>
      </c>
      <c r="BF234" s="807">
        <f>1+[3]!Salcycl*Ksac</f>
        <v>1.0497969696590292</v>
      </c>
      <c r="BH234" s="1041">
        <f t="shared" si="113"/>
        <v>5.84574591841804E-4</v>
      </c>
      <c r="BI234" s="11">
        <v>44416</v>
      </c>
      <c r="BJ234" s="717">
        <v>8.1307824758477618E-5</v>
      </c>
      <c r="BK234" s="717">
        <v>1.3845902235970652E-4</v>
      </c>
      <c r="BL234" s="717">
        <v>2.1291713024208995E-4</v>
      </c>
      <c r="BM234" s="717">
        <v>3.172132827341674E-4</v>
      </c>
      <c r="BN234" s="717">
        <v>4.3987932514233413E-4</v>
      </c>
      <c r="BO234" s="718">
        <v>5.8547483419674315E-4</v>
      </c>
      <c r="BP234" s="717">
        <v>7.5725815480441117E-4</v>
      </c>
      <c r="BQ234" s="717">
        <v>9.7538814327606147E-4</v>
      </c>
      <c r="BR234" s="717">
        <v>1.2513074665310312E-3</v>
      </c>
      <c r="BS234" s="717">
        <v>1.6018074148169217E-3</v>
      </c>
      <c r="BT234" s="717">
        <v>2.0107448336836027E-3</v>
      </c>
      <c r="BW234" s="1162">
        <f>'2022'!R\Max</f>
        <v>1.0035125626922681</v>
      </c>
      <c r="BX234" s="1163">
        <f>'2023'!R\Max</f>
        <v>1.0035125626922679</v>
      </c>
      <c r="BY234" s="1163">
        <f>'2024'!R\Max</f>
        <v>1.0035125626922676</v>
      </c>
      <c r="BZ234" s="1163">
        <f>'2025'!R\Max</f>
        <v>1.0035125626922681</v>
      </c>
      <c r="CA234" s="1163">
        <f>'2026'!R\Max</f>
        <v>1.0035125626922676</v>
      </c>
      <c r="CB234" s="1163">
        <f>'2027'!R\Max</f>
        <v>1.0035125626922681</v>
      </c>
      <c r="CC234" s="1164">
        <f>'2028'!R\Max</f>
        <v>1.0035125626922676</v>
      </c>
      <c r="CD234" s="1163">
        <f>'2029'!R\Max</f>
        <v>1.0035125626922679</v>
      </c>
      <c r="CE234" s="1163">
        <f>'2030'!R\Max</f>
        <v>1.0035125626922679</v>
      </c>
      <c r="CF234" s="1165">
        <f>'2031'!R\Max</f>
        <v>1.0035125626922676</v>
      </c>
    </row>
    <row r="235" spans="1:84" s="6" customFormat="1" ht="11.25" x14ac:dyDescent="0.2">
      <c r="A235" s="11">
        <v>43321</v>
      </c>
      <c r="B235" s="375">
        <f>'2022'!Maxi_hp</f>
        <v>55.54920055473837</v>
      </c>
      <c r="C235" s="13">
        <f>'2022'!An_max</f>
        <v>2022</v>
      </c>
      <c r="D235" s="1050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69">
        <f t="shared" si="99"/>
        <v>43318</v>
      </c>
      <c r="I235" s="744">
        <f t="shared" si="100"/>
        <v>0.21428571428571427</v>
      </c>
      <c r="J235" s="737">
        <f t="shared" si="101"/>
        <v>57.807386206130353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43">
        <v>43321</v>
      </c>
      <c r="AP235" s="13">
        <f t="shared" si="102"/>
        <v>9</v>
      </c>
      <c r="AQ235" s="13">
        <f t="shared" si="103"/>
        <v>10</v>
      </c>
      <c r="AR235" s="169">
        <f t="shared" si="104"/>
        <v>43304</v>
      </c>
      <c r="AS235" s="744">
        <f t="shared" si="105"/>
        <v>0.6071428571428571</v>
      </c>
      <c r="AT235" s="760">
        <f t="shared" si="106"/>
        <v>57.844705354754943</v>
      </c>
      <c r="AU235" s="13">
        <f t="shared" si="107"/>
        <v>9</v>
      </c>
      <c r="AV235" s="13">
        <f t="shared" si="108"/>
        <v>10</v>
      </c>
      <c r="AW235" s="169">
        <f t="shared" si="109"/>
        <v>43318</v>
      </c>
      <c r="AX235" s="744">
        <f t="shared" si="110"/>
        <v>0.10714285714285714</v>
      </c>
      <c r="AY235" s="760">
        <f t="shared" si="111"/>
        <v>57.856507952817324</v>
      </c>
      <c r="AZ235" s="737">
        <f t="shared" si="115"/>
        <v>57.85060665378613</v>
      </c>
      <c r="BA235" s="634">
        <f t="shared" si="112"/>
        <v>0.96093603603975941</v>
      </c>
      <c r="BC235" s="11">
        <v>43321</v>
      </c>
      <c r="BD235" s="286">
        <f>[3]!FeuilCaduc*(1-Persistant)+Persistant</f>
        <v>0.99811672425118192</v>
      </c>
      <c r="BE235" s="287">
        <f>[3]!CroissVégét</f>
        <v>0.92190211899696306</v>
      </c>
      <c r="BF235" s="807">
        <f>1+[3]!Salcycl*Ksac</f>
        <v>1.0497645905313977</v>
      </c>
      <c r="BH235" s="1041">
        <f t="shared" si="113"/>
        <v>6.1283874964071982E-4</v>
      </c>
      <c r="BI235" s="11">
        <v>44417</v>
      </c>
      <c r="BJ235" s="717">
        <v>8.3036735599006887E-5</v>
      </c>
      <c r="BK235" s="717">
        <v>1.4143354300199967E-4</v>
      </c>
      <c r="BL235" s="717">
        <v>2.1751713882028933E-4</v>
      </c>
      <c r="BM235" s="717">
        <v>3.2654313606922999E-4</v>
      </c>
      <c r="BN235" s="717">
        <v>4.5668972512573586E-4</v>
      </c>
      <c r="BO235" s="718">
        <v>6.138102531926833E-4</v>
      </c>
      <c r="BP235" s="717">
        <v>7.9924836879194426E-4</v>
      </c>
      <c r="BQ235" s="717">
        <v>1.0325649829972963E-3</v>
      </c>
      <c r="BR235" s="717">
        <v>1.3259182356743697E-3</v>
      </c>
      <c r="BS235" s="717">
        <v>1.6972400679673069E-3</v>
      </c>
      <c r="BT235" s="717">
        <v>2.1310801707304684E-3</v>
      </c>
      <c r="BW235" s="1162">
        <f>'2022'!R\Max</f>
        <v>0.96093603603975941</v>
      </c>
      <c r="BX235" s="1163">
        <f>'2023'!R\Max</f>
        <v>0.96093564971120815</v>
      </c>
      <c r="BY235" s="1163">
        <f>'2024'!R\Max</f>
        <v>0.96093517265227424</v>
      </c>
      <c r="BZ235" s="1163">
        <f>'2025'!R\Max</f>
        <v>0.96093468656143965</v>
      </c>
      <c r="CA235" s="1163">
        <f>'2026'!R\Max</f>
        <v>0.96093408669439262</v>
      </c>
      <c r="CB235" s="1163">
        <f>'2027'!R\Max</f>
        <v>0.96093347549876451</v>
      </c>
      <c r="CC235" s="1164">
        <f>'2028'!R\Max</f>
        <v>0.96093271653453149</v>
      </c>
      <c r="CD235" s="1163">
        <f>'2029'!R\Max</f>
        <v>0.96093605534686444</v>
      </c>
      <c r="CE235" s="1163">
        <f>'2030'!R\Max</f>
        <v>0.96093566901857563</v>
      </c>
      <c r="CF235" s="1165">
        <f>'2031'!R\Max</f>
        <v>0.96093519694504159</v>
      </c>
    </row>
    <row r="236" spans="1:84" s="6" customFormat="1" ht="11.25" x14ac:dyDescent="0.2">
      <c r="A236" s="11">
        <v>43322</v>
      </c>
      <c r="B236" s="375">
        <f>'2022'!Maxi_hp</f>
        <v>53.951205583725304</v>
      </c>
      <c r="C236" s="13">
        <f>'2022'!An_max</f>
        <v>2022</v>
      </c>
      <c r="D236" s="1050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69">
        <f t="shared" si="99"/>
        <v>43318</v>
      </c>
      <c r="I236" s="744">
        <f t="shared" si="100"/>
        <v>0.2857142857142857</v>
      </c>
      <c r="J236" s="737">
        <f t="shared" si="101"/>
        <v>57.556088921001979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43">
        <v>43322</v>
      </c>
      <c r="AP236" s="13">
        <f t="shared" si="102"/>
        <v>9</v>
      </c>
      <c r="AQ236" s="13">
        <f t="shared" si="103"/>
        <v>10</v>
      </c>
      <c r="AR236" s="169">
        <f t="shared" si="104"/>
        <v>43304</v>
      </c>
      <c r="AS236" s="744">
        <f t="shared" si="105"/>
        <v>0.6428571428571429</v>
      </c>
      <c r="AT236" s="760">
        <f t="shared" si="106"/>
        <v>57.588581905966365</v>
      </c>
      <c r="AU236" s="13">
        <f t="shared" si="107"/>
        <v>9</v>
      </c>
      <c r="AV236" s="13">
        <f t="shared" si="108"/>
        <v>10</v>
      </c>
      <c r="AW236" s="169">
        <f t="shared" si="109"/>
        <v>43318</v>
      </c>
      <c r="AX236" s="744">
        <f t="shared" si="110"/>
        <v>0.14285714285714285</v>
      </c>
      <c r="AY236" s="760">
        <f t="shared" si="111"/>
        <v>57.623368512785859</v>
      </c>
      <c r="AZ236" s="737">
        <f t="shared" si="115"/>
        <v>57.605975209376112</v>
      </c>
      <c r="BA236" s="634">
        <f t="shared" si="112"/>
        <v>0.93736747223695971</v>
      </c>
      <c r="BC236" s="11">
        <v>43322</v>
      </c>
      <c r="BD236" s="286">
        <f>[3]!FeuilCaduc*(1-Persistant)+Persistant</f>
        <v>0.99783873493122033</v>
      </c>
      <c r="BE236" s="287">
        <f>[3]!CroissVégét</f>
        <v>0.92482186992875737</v>
      </c>
      <c r="BF236" s="807">
        <f>1+[3]!Salcycl*Ksac</f>
        <v>1.0497298418664025</v>
      </c>
      <c r="BH236" s="1041">
        <f t="shared" si="113"/>
        <v>6.422157087678515E-4</v>
      </c>
      <c r="BI236" s="11">
        <v>44418</v>
      </c>
      <c r="BJ236" s="717">
        <v>8.4727200791843863E-5</v>
      </c>
      <c r="BK236" s="717">
        <v>1.4445816383047377E-4</v>
      </c>
      <c r="BL236" s="717">
        <v>2.2217462257335561E-4</v>
      </c>
      <c r="BM236" s="717">
        <v>3.3617209094568759E-4</v>
      </c>
      <c r="BN236" s="717">
        <v>4.7410444155808815E-4</v>
      </c>
      <c r="BO236" s="718">
        <v>6.4326163712844582E-4</v>
      </c>
      <c r="BP236" s="717">
        <v>8.4273872683376363E-4</v>
      </c>
      <c r="BQ236" s="717">
        <v>1.0916048918962762E-3</v>
      </c>
      <c r="BR236" s="717">
        <v>1.4026175652356813E-3</v>
      </c>
      <c r="BS236" s="717">
        <v>1.794917271410021E-3</v>
      </c>
      <c r="BT236" s="717">
        <v>2.2537910943679607E-3</v>
      </c>
      <c r="BW236" s="1162">
        <f>'2022'!R\Max</f>
        <v>0.93736747223695971</v>
      </c>
      <c r="BX236" s="1163">
        <f>'2023'!R\Max</f>
        <v>0.93736681961573209</v>
      </c>
      <c r="BY236" s="1163">
        <f>'2024'!R\Max</f>
        <v>0.93736601954345944</v>
      </c>
      <c r="BZ236" s="1163">
        <f>'2025'!R\Max</f>
        <v>0.93736520531085643</v>
      </c>
      <c r="CA236" s="1163">
        <f>'2026'!R\Max</f>
        <v>0.93736420552997635</v>
      </c>
      <c r="CB236" s="1163">
        <f>'2027'!R\Max</f>
        <v>0.93736318792602991</v>
      </c>
      <c r="CC236" s="1164">
        <f>'2028'!R\Max</f>
        <v>0.93736192761130366</v>
      </c>
      <c r="CD236" s="1163">
        <f>'2029'!R\Max</f>
        <v>0.93736750485226317</v>
      </c>
      <c r="CE236" s="1163">
        <f>'2030'!R\Max</f>
        <v>0.93736685223149785</v>
      </c>
      <c r="CF236" s="1165">
        <f>'2031'!R\Max</f>
        <v>0.9373660602353544</v>
      </c>
    </row>
    <row r="237" spans="1:84" s="6" customFormat="1" ht="11.25" x14ac:dyDescent="0.2">
      <c r="A237" s="11">
        <v>43323</v>
      </c>
      <c r="B237" s="375">
        <f>'2022'!Maxi_hp</f>
        <v>50.920302507199573</v>
      </c>
      <c r="C237" s="13">
        <f>'2022'!An_max</f>
        <v>2022</v>
      </c>
      <c r="D237" s="1050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69">
        <f t="shared" si="99"/>
        <v>43318</v>
      </c>
      <c r="I237" s="744">
        <f t="shared" si="100"/>
        <v>0.35714285714285715</v>
      </c>
      <c r="J237" s="737">
        <f t="shared" si="101"/>
        <v>57.302024726436606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43">
        <v>43323</v>
      </c>
      <c r="AP237" s="13">
        <f t="shared" si="102"/>
        <v>9</v>
      </c>
      <c r="AQ237" s="13">
        <f t="shared" si="103"/>
        <v>10</v>
      </c>
      <c r="AR237" s="169">
        <f t="shared" si="104"/>
        <v>43304</v>
      </c>
      <c r="AS237" s="744">
        <f t="shared" si="105"/>
        <v>0.6785714285714286</v>
      </c>
      <c r="AT237" s="760">
        <f t="shared" si="106"/>
        <v>57.330264953031602</v>
      </c>
      <c r="AU237" s="13">
        <f t="shared" si="107"/>
        <v>9</v>
      </c>
      <c r="AV237" s="13">
        <f t="shared" si="108"/>
        <v>10</v>
      </c>
      <c r="AW237" s="169">
        <f t="shared" si="109"/>
        <v>43318</v>
      </c>
      <c r="AX237" s="744">
        <f t="shared" si="110"/>
        <v>0.17857142857142858</v>
      </c>
      <c r="AY237" s="760">
        <f t="shared" si="111"/>
        <v>57.387717009282539</v>
      </c>
      <c r="AZ237" s="737">
        <f t="shared" si="115"/>
        <v>57.358990981157071</v>
      </c>
      <c r="BA237" s="634">
        <f t="shared" si="112"/>
        <v>0.88863007459677434</v>
      </c>
      <c r="BC237" s="11">
        <v>43323</v>
      </c>
      <c r="BD237" s="286">
        <f>[3]!FeuilCaduc*(1-Persistant)+Persistant</f>
        <v>0.99754166908790198</v>
      </c>
      <c r="BE237" s="287">
        <f>[3]!CroissVégét</f>
        <v>0.92764148214144238</v>
      </c>
      <c r="BF237" s="807">
        <f>1+[3]!Salcycl*Ksac</f>
        <v>1.0496927086359877</v>
      </c>
      <c r="BH237" s="1041">
        <f t="shared" si="113"/>
        <v>6.7270585888179327E-4</v>
      </c>
      <c r="BI237" s="11">
        <v>44419</v>
      </c>
      <c r="BJ237" s="717">
        <v>8.6379241935131767E-5</v>
      </c>
      <c r="BK237" s="717">
        <v>1.475329120114124E-4</v>
      </c>
      <c r="BL237" s="717">
        <v>2.2688962560640628E-4</v>
      </c>
      <c r="BM237" s="717">
        <v>3.4610025007140869E-4</v>
      </c>
      <c r="BN237" s="717">
        <v>4.9212368757716948E-4</v>
      </c>
      <c r="BO237" s="718">
        <v>6.738293767608747E-4</v>
      </c>
      <c r="BP237" s="717">
        <v>8.8772985010110558E-4</v>
      </c>
      <c r="BQ237" s="717">
        <v>1.152508746169756E-3</v>
      </c>
      <c r="BR237" s="717">
        <v>1.4814066346410682E-3</v>
      </c>
      <c r="BS237" s="717">
        <v>1.894840571429032E-3</v>
      </c>
      <c r="BT237" s="717">
        <v>2.3788795972266917E-3</v>
      </c>
      <c r="BW237" s="1162">
        <f>'2022'!R\Max</f>
        <v>0.88863007459677434</v>
      </c>
      <c r="BX237" s="1163">
        <f>'2023'!R\Max</f>
        <v>0.88862889005288848</v>
      </c>
      <c r="BY237" s="1163">
        <f>'2024'!R\Max</f>
        <v>0.88862744760232537</v>
      </c>
      <c r="BZ237" s="1163">
        <f>'2025'!R\Max</f>
        <v>0.88862598125424086</v>
      </c>
      <c r="CA237" s="1163">
        <f>'2026'!R\Max</f>
        <v>0.88862418986510538</v>
      </c>
      <c r="CB237" s="1163">
        <f>'2027'!R\Max</f>
        <v>0.88862236835098896</v>
      </c>
      <c r="CC237" s="1164">
        <f>'2028'!R\Max</f>
        <v>0.88862011826870813</v>
      </c>
      <c r="CD237" s="1163">
        <f>'2029'!R\Max</f>
        <v>0.88863013379536959</v>
      </c>
      <c r="CE237" s="1163">
        <f>'2030'!R\Max</f>
        <v>0.88862894925231783</v>
      </c>
      <c r="CF237" s="1165">
        <f>'2031'!R\Max</f>
        <v>0.88862752088419761</v>
      </c>
    </row>
    <row r="238" spans="1:84" s="6" customFormat="1" ht="11.25" x14ac:dyDescent="0.2">
      <c r="A238" s="11">
        <v>43324</v>
      </c>
      <c r="B238" s="375">
        <f>'2022'!Maxi_hp</f>
        <v>0</v>
      </c>
      <c r="C238" s="13">
        <f>'2022'!An_max</f>
        <v>2022</v>
      </c>
      <c r="D238" s="1050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69">
        <f t="shared" si="99"/>
        <v>43318</v>
      </c>
      <c r="I238" s="744">
        <f t="shared" si="100"/>
        <v>0.42857142857142855</v>
      </c>
      <c r="J238" s="737">
        <f t="shared" si="101"/>
        <v>57.045521282644145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43">
        <v>43324</v>
      </c>
      <c r="AP238" s="13">
        <f t="shared" si="102"/>
        <v>9</v>
      </c>
      <c r="AQ238" s="13">
        <f t="shared" si="103"/>
        <v>10</v>
      </c>
      <c r="AR238" s="169">
        <f t="shared" si="104"/>
        <v>43304</v>
      </c>
      <c r="AS238" s="744">
        <f t="shared" si="105"/>
        <v>0.7142857142857143</v>
      </c>
      <c r="AT238" s="760">
        <f t="shared" si="106"/>
        <v>57.069986588986851</v>
      </c>
      <c r="AU238" s="13">
        <f t="shared" si="107"/>
        <v>9</v>
      </c>
      <c r="AV238" s="13">
        <f t="shared" si="108"/>
        <v>10</v>
      </c>
      <c r="AW238" s="169">
        <f t="shared" si="109"/>
        <v>43318</v>
      </c>
      <c r="AX238" s="744">
        <f t="shared" si="110"/>
        <v>0.21428571428571427</v>
      </c>
      <c r="AY238" s="760">
        <f t="shared" si="111"/>
        <v>57.149498833370004</v>
      </c>
      <c r="AZ238" s="737">
        <f t="shared" si="115"/>
        <v>57.109742711178427</v>
      </c>
      <c r="BA238" s="634">
        <f t="shared" si="112"/>
        <v>0</v>
      </c>
      <c r="BC238" s="11">
        <v>43324</v>
      </c>
      <c r="BD238" s="286">
        <f>[3]!FeuilCaduc*(1-Persistant)+Persistant</f>
        <v>0.99722528259737375</v>
      </c>
      <c r="BE238" s="287">
        <f>[3]!CroissVégét</f>
        <v>0.93036376011657451</v>
      </c>
      <c r="BF238" s="807">
        <f>1+[3]!Salcycl*Ksac</f>
        <v>1.0496531603246717</v>
      </c>
      <c r="BH238" s="1041">
        <f t="shared" si="113"/>
        <v>7.0430960883224273E-4</v>
      </c>
      <c r="BI238" s="11">
        <v>44420</v>
      </c>
      <c r="BJ238" s="717">
        <v>8.7992877128520946E-5</v>
      </c>
      <c r="BK238" s="717">
        <v>1.5065781377280238E-4</v>
      </c>
      <c r="BL238" s="717">
        <v>2.3166218969977734E-4</v>
      </c>
      <c r="BM238" s="717">
        <v>3.5632771945988488E-4</v>
      </c>
      <c r="BN238" s="717">
        <v>5.1074768518524825E-4</v>
      </c>
      <c r="BO238" s="718">
        <v>7.0551388210216557E-4</v>
      </c>
      <c r="BP238" s="717">
        <v>9.3422238162905091E-4</v>
      </c>
      <c r="BQ238" s="717">
        <v>1.2152774439567486E-3</v>
      </c>
      <c r="BR238" s="717">
        <v>1.5622866369858896E-3</v>
      </c>
      <c r="BS238" s="717">
        <v>1.9970115131364204E-3</v>
      </c>
      <c r="BT238" s="717">
        <v>2.5063476505929015E-3</v>
      </c>
      <c r="BW238" s="1162">
        <f>'2022'!R\Max</f>
        <v>0</v>
      </c>
      <c r="BX238" s="1163">
        <f>'2023'!R\Max</f>
        <v>0</v>
      </c>
      <c r="BY238" s="1163">
        <f>'2024'!R\Max</f>
        <v>0</v>
      </c>
      <c r="BZ238" s="1163">
        <f>'2025'!R\Max</f>
        <v>0</v>
      </c>
      <c r="CA238" s="1163">
        <f>'2026'!R\Max</f>
        <v>0</v>
      </c>
      <c r="CB238" s="1163">
        <f>'2027'!R\Max</f>
        <v>0</v>
      </c>
      <c r="CC238" s="1164">
        <f>'2028'!R\Max</f>
        <v>0</v>
      </c>
      <c r="CD238" s="1163">
        <f>'2029'!R\Max</f>
        <v>0</v>
      </c>
      <c r="CE238" s="1163">
        <f>'2030'!R\Max</f>
        <v>0</v>
      </c>
      <c r="CF238" s="1165">
        <f>'2031'!R\Max</f>
        <v>0</v>
      </c>
    </row>
    <row r="239" spans="1:84" s="6" customFormat="1" ht="11.25" x14ac:dyDescent="0.2">
      <c r="A239" s="11">
        <v>43325</v>
      </c>
      <c r="B239" s="375">
        <f>'2022'!Maxi_hp</f>
        <v>37.850144925351806</v>
      </c>
      <c r="C239" s="13">
        <f>'2022'!An_max</f>
        <v>2022</v>
      </c>
      <c r="D239" s="1050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69">
        <f t="shared" si="99"/>
        <v>43318</v>
      </c>
      <c r="I239" s="744">
        <f t="shared" si="100"/>
        <v>0.5</v>
      </c>
      <c r="J239" s="737">
        <f t="shared" si="101"/>
        <v>56.786906249914317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43">
        <v>43325</v>
      </c>
      <c r="AP239" s="13">
        <f t="shared" si="102"/>
        <v>9</v>
      </c>
      <c r="AQ239" s="13">
        <f t="shared" si="103"/>
        <v>10</v>
      </c>
      <c r="AR239" s="169">
        <f t="shared" si="104"/>
        <v>43304</v>
      </c>
      <c r="AS239" s="744">
        <f t="shared" si="105"/>
        <v>0.75</v>
      </c>
      <c r="AT239" s="760">
        <f t="shared" si="106"/>
        <v>56.807978906296192</v>
      </c>
      <c r="AU239" s="13">
        <f t="shared" si="107"/>
        <v>9</v>
      </c>
      <c r="AV239" s="13">
        <f t="shared" si="108"/>
        <v>10</v>
      </c>
      <c r="AW239" s="169">
        <f t="shared" si="109"/>
        <v>43318</v>
      </c>
      <c r="AX239" s="744">
        <f t="shared" si="110"/>
        <v>0.25</v>
      </c>
      <c r="AY239" s="760">
        <f t="shared" si="111"/>
        <v>56.908659374061969</v>
      </c>
      <c r="AZ239" s="737">
        <f t="shared" si="115"/>
        <v>56.858319140179077</v>
      </c>
      <c r="BA239" s="634">
        <f t="shared" si="112"/>
        <v>0.66652944181844587</v>
      </c>
      <c r="BC239" s="11">
        <v>43325</v>
      </c>
      <c r="BD239" s="286">
        <f>[3]!FeuilCaduc*(1-Persistant)+Persistant</f>
        <v>0.9968892171945738</v>
      </c>
      <c r="BE239" s="287">
        <f>[3]!CroissVégét</f>
        <v>0.93299147677206173</v>
      </c>
      <c r="BF239" s="807">
        <f>1+[3]!Salcycl*Ksac</f>
        <v>1.0496111521493217</v>
      </c>
      <c r="BH239" s="1041">
        <f t="shared" si="113"/>
        <v>7.3702738377804538E-4</v>
      </c>
      <c r="BI239" s="11">
        <v>44421</v>
      </c>
      <c r="BJ239" s="717">
        <v>8.9568121073698085E-5</v>
      </c>
      <c r="BK239" s="717">
        <v>1.5383289427589695E-4</v>
      </c>
      <c r="BL239" s="717">
        <v>2.3649235416224197E-4</v>
      </c>
      <c r="BM239" s="717">
        <v>3.6685460765762328E-4</v>
      </c>
      <c r="BN239" s="717">
        <v>5.2997666368552454E-4</v>
      </c>
      <c r="BO239" s="718">
        <v>7.3831557952970799E-4</v>
      </c>
      <c r="BP239" s="717">
        <v>9.8221698243021308E-4</v>
      </c>
      <c r="BQ239" s="717">
        <v>1.2799119005115444E-3</v>
      </c>
      <c r="BR239" s="717">
        <v>1.6452587736238255E-3</v>
      </c>
      <c r="BS239" s="717">
        <v>2.1014316346581081E-3</v>
      </c>
      <c r="BT239" s="717">
        <v>2.6361971982556127E-3</v>
      </c>
      <c r="BW239" s="1162">
        <f>'2022'!R\Max</f>
        <v>0.66652944181844587</v>
      </c>
      <c r="BX239" s="1163">
        <f>'2023'!R\Max</f>
        <v>0.66652638282427146</v>
      </c>
      <c r="BY239" s="1163">
        <f>'2024'!R\Max</f>
        <v>0.66652270266704161</v>
      </c>
      <c r="BZ239" s="1163">
        <f>'2025'!R\Max</f>
        <v>0.66651896891125673</v>
      </c>
      <c r="CA239" s="1163">
        <f>'2026'!R\Max</f>
        <v>0.66651445393865894</v>
      </c>
      <c r="CB239" s="1163">
        <f>'2027'!R\Max</f>
        <v>0.66650987154595465</v>
      </c>
      <c r="CC239" s="1164">
        <f>'2028'!R\Max</f>
        <v>0.66650424029024768</v>
      </c>
      <c r="CD239" s="1163">
        <f>'2029'!R\Max</f>
        <v>0.66652959469462036</v>
      </c>
      <c r="CE239" s="1163">
        <f>'2030'!R\Max</f>
        <v>0.66652653570198839</v>
      </c>
      <c r="CF239" s="1165">
        <f>'2031'!R\Max</f>
        <v>0.66652288926485836</v>
      </c>
    </row>
    <row r="240" spans="1:84" s="6" customFormat="1" ht="11.25" x14ac:dyDescent="0.2">
      <c r="A240" s="11">
        <v>43326</v>
      </c>
      <c r="B240" s="375">
        <f>'2022'!Maxi_hp</f>
        <v>37.922472113762595</v>
      </c>
      <c r="C240" s="13">
        <f>'2022'!An_max</f>
        <v>2022</v>
      </c>
      <c r="D240" s="1050" t="str">
        <f t="shared" si="97"/>
        <v/>
      </c>
      <c r="E240" s="13"/>
      <c r="F240" s="13">
        <f t="shared" si="114"/>
        <v>17</v>
      </c>
      <c r="G240" s="13">
        <f t="shared" si="98"/>
        <v>18</v>
      </c>
      <c r="H240" s="169">
        <f t="shared" si="99"/>
        <v>43318</v>
      </c>
      <c r="I240" s="744">
        <f t="shared" si="100"/>
        <v>0.5714285714285714</v>
      </c>
      <c r="J240" s="737">
        <f t="shared" si="101"/>
        <v>56.526507288536855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43">
        <v>43326</v>
      </c>
      <c r="AP240" s="13">
        <f t="shared" si="102"/>
        <v>9</v>
      </c>
      <c r="AQ240" s="13">
        <f t="shared" si="103"/>
        <v>10</v>
      </c>
      <c r="AR240" s="169">
        <f t="shared" si="104"/>
        <v>43304</v>
      </c>
      <c r="AS240" s="744">
        <f t="shared" si="105"/>
        <v>0.7857142857142857</v>
      </c>
      <c r="AT240" s="760">
        <f t="shared" si="106"/>
        <v>56.544473997796217</v>
      </c>
      <c r="AU240" s="13">
        <f t="shared" si="107"/>
        <v>9</v>
      </c>
      <c r="AV240" s="13">
        <f t="shared" si="108"/>
        <v>10</v>
      </c>
      <c r="AW240" s="169">
        <f t="shared" si="109"/>
        <v>43318</v>
      </c>
      <c r="AX240" s="744">
        <f t="shared" si="110"/>
        <v>0.2857142857142857</v>
      </c>
      <c r="AY240" s="760">
        <f t="shared" si="111"/>
        <v>56.665144023033122</v>
      </c>
      <c r="AZ240" s="737">
        <f t="shared" si="115"/>
        <v>56.60480901041467</v>
      </c>
      <c r="BA240" s="634">
        <f t="shared" si="112"/>
        <v>0.67087944988692028</v>
      </c>
      <c r="BC240" s="11">
        <v>43326</v>
      </c>
      <c r="BD240" s="286">
        <f>[3]!FeuilCaduc*(1-Persistant)+Persistant</f>
        <v>0.99653301000966721</v>
      </c>
      <c r="BE240" s="287">
        <f>[3]!CroissVégét</f>
        <v>0.93552736989395957</v>
      </c>
      <c r="BF240" s="807">
        <f>1+[3]!Salcycl*Ksac</f>
        <v>1.0495666262512084</v>
      </c>
      <c r="BH240" s="1041">
        <f t="shared" si="113"/>
        <v>7.7092208768337516E-4</v>
      </c>
      <c r="BI240" s="11">
        <v>44422</v>
      </c>
      <c r="BJ240" s="717">
        <v>9.1615937302576072E-5</v>
      </c>
      <c r="BK240" s="717">
        <v>1.5772082892318023E-4</v>
      </c>
      <c r="BL240" s="717">
        <v>2.4223018553956024E-4</v>
      </c>
      <c r="BM240" s="717">
        <v>3.7832719745022552E-4</v>
      </c>
      <c r="BN240" s="717">
        <v>5.5019676968455988E-4</v>
      </c>
      <c r="BO240" s="718">
        <v>7.7229536190721469E-4</v>
      </c>
      <c r="BP240" s="717">
        <v>1.0319985019765293E-3</v>
      </c>
      <c r="BQ240" s="717">
        <v>1.3516250681530877E-3</v>
      </c>
      <c r="BR240" s="717">
        <v>1.7408927032851792E-3</v>
      </c>
      <c r="BS240" s="717">
        <v>2.2241970925335947E-3</v>
      </c>
      <c r="BT240" s="717">
        <v>2.7857161634232959E-3</v>
      </c>
      <c r="BW240" s="1162">
        <f>'2022'!R\Max</f>
        <v>0.67087944988692028</v>
      </c>
      <c r="BX240" s="1163">
        <f>'2023'!R\Max</f>
        <v>0.67087620047031316</v>
      </c>
      <c r="BY240" s="1163">
        <f>'2024'!R\Max</f>
        <v>0.67087225885292701</v>
      </c>
      <c r="BZ240" s="1163">
        <f>'2025'!R\Max</f>
        <v>0.67086825957024421</v>
      </c>
      <c r="CA240" s="1163">
        <f>'2026'!R\Max</f>
        <v>0.67086345579831463</v>
      </c>
      <c r="CB240" s="1163">
        <f>'2027'!R\Max</f>
        <v>0.67085858499033102</v>
      </c>
      <c r="CC240" s="1164">
        <f>'2028'!R\Max</f>
        <v>0.67085262782990129</v>
      </c>
      <c r="CD240" s="1163">
        <f>'2029'!R\Max</f>
        <v>0.67087961227956838</v>
      </c>
      <c r="CE240" s="1163">
        <f>'2030'!R\Max</f>
        <v>0.67087636286473418</v>
      </c>
      <c r="CF240" s="1165">
        <f>'2031'!R\Max</f>
        <v>0.67087245872057266</v>
      </c>
    </row>
    <row r="241" spans="1:84" s="6" customFormat="1" ht="11.25" x14ac:dyDescent="0.2">
      <c r="A241" s="11">
        <v>43327</v>
      </c>
      <c r="B241" s="375">
        <f>'2022'!Maxi_hp</f>
        <v>38.356655660783957</v>
      </c>
      <c r="C241" s="13">
        <f>'2022'!An_max</f>
        <v>2022</v>
      </c>
      <c r="D241" s="1050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69">
        <f t="shared" si="99"/>
        <v>43318</v>
      </c>
      <c r="I241" s="744">
        <f t="shared" si="100"/>
        <v>0.6428571428571429</v>
      </c>
      <c r="J241" s="737">
        <f t="shared" si="101"/>
        <v>56.264652059107483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43">
        <v>43327</v>
      </c>
      <c r="AP241" s="13">
        <f t="shared" si="102"/>
        <v>9</v>
      </c>
      <c r="AQ241" s="13">
        <f t="shared" si="103"/>
        <v>10</v>
      </c>
      <c r="AR241" s="169">
        <f t="shared" si="104"/>
        <v>43304</v>
      </c>
      <c r="AS241" s="744">
        <f t="shared" si="105"/>
        <v>0.8214285714285714</v>
      </c>
      <c r="AT241" s="760">
        <f t="shared" si="106"/>
        <v>56.279703956137283</v>
      </c>
      <c r="AU241" s="13">
        <f t="shared" si="107"/>
        <v>9</v>
      </c>
      <c r="AV241" s="13">
        <f t="shared" si="108"/>
        <v>10</v>
      </c>
      <c r="AW241" s="169">
        <f t="shared" si="109"/>
        <v>43318</v>
      </c>
      <c r="AX241" s="744">
        <f t="shared" si="110"/>
        <v>0.32142857142857145</v>
      </c>
      <c r="AY241" s="760">
        <f t="shared" si="111"/>
        <v>56.41889816824613</v>
      </c>
      <c r="AZ241" s="737">
        <f t="shared" si="115"/>
        <v>56.349301062191707</v>
      </c>
      <c r="BA241" s="634">
        <f t="shared" si="112"/>
        <v>0.68171852587818882</v>
      </c>
      <c r="BC241" s="11">
        <v>43327</v>
      </c>
      <c r="BD241" s="286">
        <f>[3]!FeuilCaduc*(1-Persistant)+Persistant</f>
        <v>0.99615610276200495</v>
      </c>
      <c r="BE241" s="287">
        <f>[3]!CroissVégét</f>
        <v>0.93797413894004</v>
      </c>
      <c r="BF241" s="807">
        <f>1+[3]!Salcycl*Ksac</f>
        <v>1.0495195128452506</v>
      </c>
      <c r="BH241" s="1041">
        <f t="shared" si="113"/>
        <v>8.0552413629164828E-4</v>
      </c>
      <c r="BI241" s="11">
        <v>44423</v>
      </c>
      <c r="BJ241" s="717">
        <v>9.4492740371142665E-5</v>
      </c>
      <c r="BK241" s="717">
        <v>1.6282015485609758E-4</v>
      </c>
      <c r="BL241" s="717">
        <v>2.4953296415129641E-4</v>
      </c>
      <c r="BM241" s="717">
        <v>3.9126395510818832E-4</v>
      </c>
      <c r="BN241" s="717">
        <v>5.7157290788188101E-4</v>
      </c>
      <c r="BO241" s="718">
        <v>8.0697969741405846E-4</v>
      </c>
      <c r="BP241" s="717">
        <v>1.0824926228486503E-3</v>
      </c>
      <c r="BQ241" s="717">
        <v>1.428724324905484E-3</v>
      </c>
      <c r="BR241" s="717">
        <v>1.8469887822689381E-3</v>
      </c>
      <c r="BS241" s="717">
        <v>2.3626708701232797E-3</v>
      </c>
      <c r="BT241" s="717">
        <v>2.9518638418541726E-3</v>
      </c>
      <c r="BW241" s="1162">
        <f>'2022'!R\Max</f>
        <v>0.68171852587818882</v>
      </c>
      <c r="BX241" s="1163">
        <f>'2023'!R\Max</f>
        <v>0.68171512383551014</v>
      </c>
      <c r="BY241" s="1163">
        <f>'2024'!R\Max</f>
        <v>0.68171091346089541</v>
      </c>
      <c r="BZ241" s="1163">
        <f>'2025'!R\Max</f>
        <v>0.68170663805935305</v>
      </c>
      <c r="CA241" s="1163">
        <f>'2026'!R\Max</f>
        <v>0.68170153925710231</v>
      </c>
      <c r="CB241" s="1163">
        <f>'2027'!R\Max</f>
        <v>0.68169637418909645</v>
      </c>
      <c r="CC241" s="1164">
        <f>'2028'!R\Max</f>
        <v>0.68169009549711201</v>
      </c>
      <c r="CD241" s="1163">
        <f>'2029'!R\Max</f>
        <v>0.68171869589837419</v>
      </c>
      <c r="CE241" s="1163">
        <f>'2030'!R\Max</f>
        <v>0.68171529385773055</v>
      </c>
      <c r="CF241" s="1165">
        <f>'2031'!R\Max</f>
        <v>0.68171112712764192</v>
      </c>
    </row>
    <row r="242" spans="1:84" s="6" customFormat="1" ht="11.25" x14ac:dyDescent="0.2">
      <c r="A242" s="11">
        <v>43328</v>
      </c>
      <c r="B242" s="375">
        <f>'2022'!Maxi_hp</f>
        <v>39.731371026563743</v>
      </c>
      <c r="C242" s="13">
        <f>'2022'!An_max</f>
        <v>2022</v>
      </c>
      <c r="D242" s="1050" t="str">
        <f t="shared" si="97"/>
        <v/>
      </c>
      <c r="E242" s="13"/>
      <c r="F242" s="13">
        <f t="shared" si="114"/>
        <v>17</v>
      </c>
      <c r="G242" s="13">
        <f t="shared" si="98"/>
        <v>18</v>
      </c>
      <c r="H242" s="169">
        <f t="shared" si="99"/>
        <v>43318</v>
      </c>
      <c r="I242" s="744">
        <f t="shared" si="100"/>
        <v>0.7142857142857143</v>
      </c>
      <c r="J242" s="737">
        <f t="shared" si="101"/>
        <v>56.001668221210799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43">
        <v>43328</v>
      </c>
      <c r="AP242" s="13">
        <f t="shared" si="102"/>
        <v>9</v>
      </c>
      <c r="AQ242" s="13">
        <f t="shared" si="103"/>
        <v>10</v>
      </c>
      <c r="AR242" s="169">
        <f t="shared" si="104"/>
        <v>43304</v>
      </c>
      <c r="AS242" s="744">
        <f t="shared" si="105"/>
        <v>0.8571428571428571</v>
      </c>
      <c r="AT242" s="760">
        <f t="shared" si="106"/>
        <v>56.013900874767991</v>
      </c>
      <c r="AU242" s="13">
        <f t="shared" si="107"/>
        <v>9</v>
      </c>
      <c r="AV242" s="13">
        <f t="shared" si="108"/>
        <v>10</v>
      </c>
      <c r="AW242" s="169">
        <f t="shared" si="109"/>
        <v>43318</v>
      </c>
      <c r="AX242" s="744">
        <f t="shared" si="110"/>
        <v>0.35714285714285715</v>
      </c>
      <c r="AY242" s="760">
        <f t="shared" si="111"/>
        <v>56.169867200963196</v>
      </c>
      <c r="AZ242" s="737">
        <f t="shared" si="115"/>
        <v>56.091884037865597</v>
      </c>
      <c r="BA242" s="634">
        <f t="shared" si="112"/>
        <v>0.70946763352873421</v>
      </c>
      <c r="BC242" s="11">
        <v>43328</v>
      </c>
      <c r="BD242" s="286">
        <f>[3]!FeuilCaduc*(1-Persistant)+Persistant</f>
        <v>0.99575785049972632</v>
      </c>
      <c r="BE242" s="287">
        <f>[3]!CroissVégét</f>
        <v>0.94033444219607754</v>
      </c>
      <c r="BF242" s="807">
        <f>1+[3]!Salcycl*Ksac</f>
        <v>1.0494697313124659</v>
      </c>
      <c r="BH242" s="1041">
        <f t="shared" si="113"/>
        <v>8.4083398255059344E-4</v>
      </c>
      <c r="BI242" s="11">
        <v>44424</v>
      </c>
      <c r="BJ242" s="717">
        <v>9.8198555685936146E-5</v>
      </c>
      <c r="BK242" s="717">
        <v>1.691309200357731E-4</v>
      </c>
      <c r="BL242" s="717">
        <v>2.5840075557215318E-4</v>
      </c>
      <c r="BM242" s="717">
        <v>4.0566501865043595E-4</v>
      </c>
      <c r="BN242" s="717">
        <v>5.9410533415139952E-4</v>
      </c>
      <c r="BO242" s="718">
        <v>8.4236904022409135E-4</v>
      </c>
      <c r="BP242" s="717">
        <v>1.1337000322521058E-3</v>
      </c>
      <c r="BQ242" s="717">
        <v>1.5112107495926055E-3</v>
      </c>
      <c r="BR242" s="717">
        <v>1.9635485057355692E-3</v>
      </c>
      <c r="BS242" s="717">
        <v>2.5168549176593827E-3</v>
      </c>
      <c r="BT242" s="717">
        <v>3.134642557948251E-3</v>
      </c>
      <c r="BW242" s="1162">
        <f>'2022'!R\Max</f>
        <v>0.70946763352873421</v>
      </c>
      <c r="BX242" s="1163">
        <f>'2023'!R\Max</f>
        <v>0.70946420145461919</v>
      </c>
      <c r="BY242" s="1163">
        <f>'2024'!R\Max</f>
        <v>0.70945982718872602</v>
      </c>
      <c r="BZ242" s="1163">
        <f>'2025'!R\Max</f>
        <v>0.70945537971284889</v>
      </c>
      <c r="CA242" s="1163">
        <f>'2026'!R\Max</f>
        <v>0.70945011409319603</v>
      </c>
      <c r="CB242" s="1163">
        <f>'2027'!R\Max</f>
        <v>0.70944478486060802</v>
      </c>
      <c r="CC242" s="1164">
        <f>'2028'!R\Max</f>
        <v>0.70943835159968405</v>
      </c>
      <c r="CD242" s="1163">
        <f>'2029'!R\Max</f>
        <v>0.70946780504961804</v>
      </c>
      <c r="CE242" s="1163">
        <f>'2030'!R\Max</f>
        <v>0.70946437297784193</v>
      </c>
      <c r="CF242" s="1165">
        <f>'2031'!R\Max</f>
        <v>0.70946004945472374</v>
      </c>
    </row>
    <row r="243" spans="1:84" s="6" customFormat="1" ht="11.25" x14ac:dyDescent="0.2">
      <c r="A243" s="11">
        <v>43329</v>
      </c>
      <c r="B243" s="375">
        <f>'2022'!Maxi_hp</f>
        <v>27.638192909314213</v>
      </c>
      <c r="C243" s="13">
        <f>'2022'!An_max</f>
        <v>2022</v>
      </c>
      <c r="D243" s="1050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69">
        <f t="shared" si="99"/>
        <v>43318</v>
      </c>
      <c r="I243" s="744">
        <f t="shared" si="100"/>
        <v>0.7857142857142857</v>
      </c>
      <c r="J243" s="737">
        <f t="shared" si="101"/>
        <v>55.737883436453657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43">
        <v>43329</v>
      </c>
      <c r="AP243" s="13">
        <f t="shared" si="102"/>
        <v>9</v>
      </c>
      <c r="AQ243" s="13">
        <f t="shared" si="103"/>
        <v>10</v>
      </c>
      <c r="AR243" s="169">
        <f t="shared" si="104"/>
        <v>43304</v>
      </c>
      <c r="AS243" s="744">
        <f t="shared" si="105"/>
        <v>0.8928571428571429</v>
      </c>
      <c r="AT243" s="760">
        <f t="shared" si="106"/>
        <v>55.747296845234402</v>
      </c>
      <c r="AU243" s="13">
        <f t="shared" si="107"/>
        <v>9</v>
      </c>
      <c r="AV243" s="13">
        <f t="shared" si="108"/>
        <v>10</v>
      </c>
      <c r="AW243" s="169">
        <f t="shared" si="109"/>
        <v>43318</v>
      </c>
      <c r="AX243" s="744">
        <f t="shared" si="110"/>
        <v>0.39285714285714285</v>
      </c>
      <c r="AY243" s="760">
        <f t="shared" si="111"/>
        <v>55.917996510144846</v>
      </c>
      <c r="AZ243" s="737">
        <f t="shared" si="115"/>
        <v>55.832646677689624</v>
      </c>
      <c r="BA243" s="634">
        <f t="shared" si="112"/>
        <v>0.49586010815829257</v>
      </c>
      <c r="BC243" s="11">
        <v>43329</v>
      </c>
      <c r="BD243" s="286">
        <f>[3]!FeuilCaduc*(1-Persistant)+Persistant</f>
        <v>0.99533752978320933</v>
      </c>
      <c r="BE243" s="287">
        <f>[3]!CroissVégét</f>
        <v>0.94261089426578282</v>
      </c>
      <c r="BF243" s="807">
        <f>1+[3]!Salcycl*Ksac</f>
        <v>1.0494171912229011</v>
      </c>
      <c r="BH243" s="1041">
        <f t="shared" si="113"/>
        <v>8.768520694988005E-4</v>
      </c>
      <c r="BI243" s="11">
        <v>44425</v>
      </c>
      <c r="BJ243" s="717">
        <v>1.027334362922141E-4</v>
      </c>
      <c r="BK243" s="717">
        <v>1.7665321187752901E-4</v>
      </c>
      <c r="BL243" s="717">
        <v>2.6883367559553623E-4</v>
      </c>
      <c r="BM243" s="717">
        <v>4.2153056671618395E-4</v>
      </c>
      <c r="BN243" s="717">
        <v>6.1779432480723185E-4</v>
      </c>
      <c r="BO243" s="718">
        <v>8.7846383441320347E-4</v>
      </c>
      <c r="BP243" s="717">
        <v>1.1856213911400407E-3</v>
      </c>
      <c r="BQ243" s="717">
        <v>1.5990855398803703E-3</v>
      </c>
      <c r="BR243" s="717">
        <v>2.0905736451667773E-3</v>
      </c>
      <c r="BS243" s="717">
        <v>2.6867516219351993E-3</v>
      </c>
      <c r="BT243" s="717">
        <v>3.3340550778649647E-3</v>
      </c>
      <c r="BW243" s="1162">
        <f>'2022'!R\Max</f>
        <v>0.49586010815829257</v>
      </c>
      <c r="BX243" s="1163">
        <f>'2023'!R\Max</f>
        <v>0.49585570078193686</v>
      </c>
      <c r="BY243" s="1163">
        <f>'2024'!R\Max</f>
        <v>0.49584987437915901</v>
      </c>
      <c r="BZ243" s="1163">
        <f>'2025'!R\Max</f>
        <v>0.49584394151677469</v>
      </c>
      <c r="CA243" s="1163">
        <f>'2026'!R\Max</f>
        <v>0.49583696710299158</v>
      </c>
      <c r="CB243" s="1163">
        <f>'2027'!R\Max</f>
        <v>0.49582991451370101</v>
      </c>
      <c r="CC243" s="1164">
        <f>'2028'!R\Max</f>
        <v>0.49582146436940611</v>
      </c>
      <c r="CD243" s="1163">
        <f>'2029'!R\Max</f>
        <v>0.49586032842153088</v>
      </c>
      <c r="CE243" s="1163">
        <f>'2030'!R\Max</f>
        <v>0.4958559210466964</v>
      </c>
      <c r="CF243" s="1165">
        <f>'2031'!R\Max</f>
        <v>0.49585017087978339</v>
      </c>
    </row>
    <row r="244" spans="1:84" s="6" customFormat="1" ht="11.25" x14ac:dyDescent="0.2">
      <c r="A244" s="11">
        <v>43330</v>
      </c>
      <c r="B244" s="375">
        <f>'2022'!Maxi_hp</f>
        <v>42.174690936516853</v>
      </c>
      <c r="C244" s="13">
        <f>'2022'!An_max</f>
        <v>2022</v>
      </c>
      <c r="D244" s="1050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69">
        <f t="shared" si="99"/>
        <v>43318</v>
      </c>
      <c r="I244" s="744">
        <f t="shared" si="100"/>
        <v>0.8571428571428571</v>
      </c>
      <c r="J244" s="737">
        <f t="shared" si="101"/>
        <v>55.473625364473889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43">
        <v>43330</v>
      </c>
      <c r="AP244" s="13">
        <f t="shared" si="102"/>
        <v>9</v>
      </c>
      <c r="AQ244" s="13">
        <f t="shared" si="103"/>
        <v>10</v>
      </c>
      <c r="AR244" s="169">
        <f t="shared" si="104"/>
        <v>43304</v>
      </c>
      <c r="AS244" s="744">
        <f t="shared" si="105"/>
        <v>0.9285714285714286</v>
      </c>
      <c r="AT244" s="760">
        <f t="shared" si="106"/>
        <v>55.480123961317744</v>
      </c>
      <c r="AU244" s="13">
        <f t="shared" si="107"/>
        <v>9</v>
      </c>
      <c r="AV244" s="13">
        <f t="shared" si="108"/>
        <v>10</v>
      </c>
      <c r="AW244" s="169">
        <f t="shared" si="109"/>
        <v>43318</v>
      </c>
      <c r="AX244" s="744">
        <f t="shared" si="110"/>
        <v>0.42857142857142855</v>
      </c>
      <c r="AY244" s="760">
        <f t="shared" si="111"/>
        <v>55.663231486561038</v>
      </c>
      <c r="AZ244" s="737">
        <f t="shared" si="115"/>
        <v>55.571677723939388</v>
      </c>
      <c r="BA244" s="634">
        <f t="shared" si="112"/>
        <v>0.76026563361272825</v>
      </c>
      <c r="BC244" s="11">
        <v>43330</v>
      </c>
      <c r="BD244" s="286">
        <f>[3]!FeuilCaduc*(1-Persistant)+Persistant</f>
        <v>0.99489434622181661</v>
      </c>
      <c r="BE244" s="287">
        <f>[3]!CroissVégét</f>
        <v>0.94480606387541</v>
      </c>
      <c r="BF244" s="807">
        <f>1+[3]!Salcycl*Ksac</f>
        <v>1.0493617932777271</v>
      </c>
      <c r="BH244" s="1041">
        <f t="shared" si="113"/>
        <v>9.1357882843590447E-4</v>
      </c>
      <c r="BI244" s="11">
        <v>44426</v>
      </c>
      <c r="BJ244" s="717">
        <v>1.0809746072513817E-4</v>
      </c>
      <c r="BK244" s="717">
        <v>1.8538715411097663E-4</v>
      </c>
      <c r="BL244" s="717">
        <v>2.8083188617748382E-4</v>
      </c>
      <c r="BM244" s="717">
        <v>4.3886081477091833E-4</v>
      </c>
      <c r="BN244" s="717">
        <v>6.4264017360949482E-4</v>
      </c>
      <c r="BO244" s="718">
        <v>9.1526451213675135E-4</v>
      </c>
      <c r="BP244" s="717">
        <v>1.2382573323709994E-3</v>
      </c>
      <c r="BQ244" s="717">
        <v>1.6923499983185111E-3</v>
      </c>
      <c r="BR244" s="717">
        <v>2.2280662212478923E-3</v>
      </c>
      <c r="BS244" s="717">
        <v>2.8723637655875974E-3</v>
      </c>
      <c r="BT244" s="717">
        <v>3.5501045664222443E-3</v>
      </c>
      <c r="BW244" s="1162">
        <f>'2022'!R\Max</f>
        <v>0.76026563361272825</v>
      </c>
      <c r="BX244" s="1163">
        <f>'2023'!R\Max</f>
        <v>0.76026223993874043</v>
      </c>
      <c r="BY244" s="1163">
        <f>'2024'!R\Max</f>
        <v>0.76025756176992398</v>
      </c>
      <c r="BZ244" s="1163">
        <f>'2025'!R\Max</f>
        <v>0.76025279042344562</v>
      </c>
      <c r="CA244" s="1163">
        <f>'2026'!R\Max</f>
        <v>0.7602472192214661</v>
      </c>
      <c r="CB244" s="1163">
        <f>'2027'!R\Max</f>
        <v>0.76024158991502122</v>
      </c>
      <c r="CC244" s="1164">
        <f>'2028'!R\Max</f>
        <v>0.76023489651303022</v>
      </c>
      <c r="CD244" s="1163">
        <f>'2029'!R\Max</f>
        <v>0.76026580321422021</v>
      </c>
      <c r="CE244" s="1163">
        <f>'2030'!R\Max</f>
        <v>0.76026240954313951</v>
      </c>
      <c r="CF244" s="1165">
        <f>'2031'!R\Max</f>
        <v>0.7602578002207977</v>
      </c>
    </row>
    <row r="245" spans="1:84" s="6" customFormat="1" ht="11.25" x14ac:dyDescent="0.2">
      <c r="A245" s="11">
        <v>43331</v>
      </c>
      <c r="B245" s="375">
        <f>'2022'!Maxi_hp</f>
        <v>41.754513954757151</v>
      </c>
      <c r="C245" s="13">
        <f>'2022'!An_max</f>
        <v>2022</v>
      </c>
      <c r="D245" s="1050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69">
        <f t="shared" si="99"/>
        <v>43318</v>
      </c>
      <c r="I245" s="744">
        <f t="shared" si="100"/>
        <v>0.9285714285714286</v>
      </c>
      <c r="J245" s="737">
        <f t="shared" si="101"/>
        <v>55.209221665281802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43">
        <v>43331</v>
      </c>
      <c r="AP245" s="13">
        <f t="shared" si="102"/>
        <v>9</v>
      </c>
      <c r="AQ245" s="13">
        <f t="shared" si="103"/>
        <v>10</v>
      </c>
      <c r="AR245" s="169">
        <f t="shared" si="104"/>
        <v>43304</v>
      </c>
      <c r="AS245" s="744">
        <f t="shared" si="105"/>
        <v>0.9642857142857143</v>
      </c>
      <c r="AT245" s="760">
        <f t="shared" si="106"/>
        <v>55.212614314803588</v>
      </c>
      <c r="AU245" s="13">
        <f t="shared" si="107"/>
        <v>9</v>
      </c>
      <c r="AV245" s="13">
        <f t="shared" si="108"/>
        <v>10</v>
      </c>
      <c r="AW245" s="169">
        <f t="shared" si="109"/>
        <v>43318</v>
      </c>
      <c r="AX245" s="744">
        <f t="shared" si="110"/>
        <v>0.4642857142857143</v>
      </c>
      <c r="AY245" s="760">
        <f t="shared" si="111"/>
        <v>55.405517519371848</v>
      </c>
      <c r="AZ245" s="737">
        <f t="shared" si="115"/>
        <v>55.309065917087722</v>
      </c>
      <c r="BA245" s="634">
        <f t="shared" si="112"/>
        <v>0.75629600808182351</v>
      </c>
      <c r="BC245" s="11">
        <v>43331</v>
      </c>
      <c r="BD245" s="286">
        <f>[3]!FeuilCaduc*(1-Persistant)+Persistant</f>
        <v>0.99442744128564253</v>
      </c>
      <c r="BE245" s="287">
        <f>[3]!CroissVégét</f>
        <v>0.94692247197428869</v>
      </c>
      <c r="BF245" s="807">
        <f>1+[3]!Salcycl*Ksac</f>
        <v>1.0493034301607054</v>
      </c>
      <c r="BH245" s="1041">
        <f t="shared" si="113"/>
        <v>9.5101467710330628E-4</v>
      </c>
      <c r="BI245" s="11">
        <v>44427</v>
      </c>
      <c r="BJ245" s="717">
        <v>1.1429073086218122E-4</v>
      </c>
      <c r="BK245" s="717">
        <v>1.9533290364221845E-4</v>
      </c>
      <c r="BL245" s="717">
        <v>2.9439559138384107E-4</v>
      </c>
      <c r="BM245" s="717">
        <v>4.5765601131748267E-4</v>
      </c>
      <c r="BN245" s="717">
        <v>6.6864318877757876E-4</v>
      </c>
      <c r="BO245" s="718">
        <v>9.5277149181754311E-4</v>
      </c>
      <c r="BP245" s="717">
        <v>1.2916084588808629E-3</v>
      </c>
      <c r="BQ245" s="717">
        <v>1.7910055184008676E-3</v>
      </c>
      <c r="BR245" s="717">
        <v>2.3760284767740834E-3</v>
      </c>
      <c r="BS245" s="717">
        <v>3.0736944864099189E-3</v>
      </c>
      <c r="BT245" s="717">
        <v>3.7827945440336622E-3</v>
      </c>
      <c r="BW245" s="1162">
        <f>'2022'!R\Max</f>
        <v>0.75629600808182351</v>
      </c>
      <c r="BX245" s="1163">
        <f>'2023'!R\Max</f>
        <v>0.75629239233318724</v>
      </c>
      <c r="BY245" s="1163">
        <f>'2024'!R\Max</f>
        <v>0.75628717525283051</v>
      </c>
      <c r="BZ245" s="1163">
        <f>'2025'!R\Max</f>
        <v>0.75628184590259828</v>
      </c>
      <c r="CA245" s="1163">
        <f>'2026'!R\Max</f>
        <v>0.75627566241404209</v>
      </c>
      <c r="CB245" s="1163">
        <f>'2027'!R\Max</f>
        <v>0.75626941893110411</v>
      </c>
      <c r="CC245" s="1164">
        <f>'2028'!R\Max</f>
        <v>0.75626205172485117</v>
      </c>
      <c r="CD245" s="1163">
        <f>'2029'!R\Max</f>
        <v>0.75629618878159588</v>
      </c>
      <c r="CE245" s="1163">
        <f>'2030'!R\Max</f>
        <v>0.7562925730361949</v>
      </c>
      <c r="CF245" s="1165">
        <f>'2031'!R\Max</f>
        <v>0.75628744158995276</v>
      </c>
    </row>
    <row r="246" spans="1:84" s="6" customFormat="1" ht="11.25" x14ac:dyDescent="0.2">
      <c r="A246" s="11">
        <v>43332</v>
      </c>
      <c r="B246" s="375">
        <f>'2022'!Maxi_hp</f>
        <v>54.496702481805315</v>
      </c>
      <c r="C246" s="13">
        <f>'2022'!An_max</f>
        <v>2022</v>
      </c>
      <c r="D246" s="1050">
        <f t="shared" si="97"/>
        <v>0.99184097700781626</v>
      </c>
      <c r="E246" s="1045">
        <f>AD$13/10</f>
        <v>54.945000000000007</v>
      </c>
      <c r="F246" s="13">
        <f t="shared" si="114"/>
        <v>19</v>
      </c>
      <c r="G246" s="13">
        <f t="shared" si="98"/>
        <v>18</v>
      </c>
      <c r="H246" s="169">
        <f t="shared" si="99"/>
        <v>43346</v>
      </c>
      <c r="I246" s="744">
        <f t="shared" si="100"/>
        <v>1</v>
      </c>
      <c r="J246" s="737">
        <f t="shared" si="101"/>
        <v>54.945000000111762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43">
        <v>43332</v>
      </c>
      <c r="AP246" s="13">
        <f t="shared" si="102"/>
        <v>11</v>
      </c>
      <c r="AQ246" s="13">
        <f t="shared" si="103"/>
        <v>10</v>
      </c>
      <c r="AR246" s="169">
        <f t="shared" si="104"/>
        <v>43360</v>
      </c>
      <c r="AS246" s="744">
        <f t="shared" si="105"/>
        <v>1</v>
      </c>
      <c r="AT246" s="760">
        <f t="shared" si="106"/>
        <v>54.945000000298023</v>
      </c>
      <c r="AU246" s="13">
        <f t="shared" si="107"/>
        <v>9</v>
      </c>
      <c r="AV246" s="13">
        <f t="shared" si="108"/>
        <v>10</v>
      </c>
      <c r="AW246" s="169">
        <f t="shared" si="109"/>
        <v>43318</v>
      </c>
      <c r="AX246" s="744">
        <f t="shared" si="110"/>
        <v>0.5</v>
      </c>
      <c r="AY246" s="760">
        <f t="shared" si="111"/>
        <v>55.144799999147651</v>
      </c>
      <c r="AZ246" s="737">
        <f t="shared" si="115"/>
        <v>55.044899999722837</v>
      </c>
      <c r="BA246" s="634">
        <f t="shared" si="112"/>
        <v>0.99184097700781626</v>
      </c>
      <c r="BC246" s="11">
        <v>43332</v>
      </c>
      <c r="BD246" s="286">
        <f>[3]!FeuilCaduc*(1-Persistant)+Persistant</f>
        <v>0.99393589832709273</v>
      </c>
      <c r="BE246" s="287">
        <f>[3]!CroissVégét</f>
        <v>0.94896259011285922</v>
      </c>
      <c r="BF246" s="807">
        <f>1+[3]!Salcycl*Ksac</f>
        <v>1.0492419872908867</v>
      </c>
      <c r="BH246" s="1041">
        <f t="shared" si="113"/>
        <v>9.8916001786848859E-4</v>
      </c>
      <c r="BI246" s="11">
        <v>44428</v>
      </c>
      <c r="BJ246" s="717">
        <v>1.213133697759736E-4</v>
      </c>
      <c r="BK246" s="717">
        <v>2.0649064741679423E-4</v>
      </c>
      <c r="BL246" s="717">
        <v>3.0952503333853208E-4</v>
      </c>
      <c r="BM246" s="717">
        <v>4.7791643410885959E-4</v>
      </c>
      <c r="BN246" s="717">
        <v>6.9580369000590391E-4</v>
      </c>
      <c r="BO246" s="718">
        <v>9.9098517633742361E-4</v>
      </c>
      <c r="BP246" s="717">
        <v>1.3456753418597371E-3</v>
      </c>
      <c r="BQ246" s="717">
        <v>1.895053570632952E-3</v>
      </c>
      <c r="BR246" s="717">
        <v>2.5344628495665E-3</v>
      </c>
      <c r="BS246" s="717">
        <v>3.2907472366778706E-3</v>
      </c>
      <c r="BT246" s="717">
        <v>4.0321288436613372E-3</v>
      </c>
      <c r="BW246" s="1162">
        <f>'2022'!R\Max</f>
        <v>0.99184097700781626</v>
      </c>
      <c r="BX246" s="1163">
        <f>'2023'!R\Max</f>
        <v>0.99184081010888725</v>
      </c>
      <c r="BY246" s="1163">
        <f>'2024'!R\Max</f>
        <v>0.99184055739915977</v>
      </c>
      <c r="BZ246" s="1163">
        <f>'2025'!R\Max</f>
        <v>0.99184029886948033</v>
      </c>
      <c r="CA246" s="1163">
        <f>'2026'!R\Max</f>
        <v>0.99184000064452826</v>
      </c>
      <c r="CB246" s="1163">
        <f>'2027'!R\Max</f>
        <v>0.99183969971776631</v>
      </c>
      <c r="CC246" s="1164">
        <f>'2028'!R\Max</f>
        <v>0.99183934725367973</v>
      </c>
      <c r="CD246" s="1163">
        <f>'2029'!R\Max</f>
        <v>0.99184098534866971</v>
      </c>
      <c r="CE246" s="1163">
        <f>'2030'!R\Max</f>
        <v>0.99184081844997873</v>
      </c>
      <c r="CF246" s="1165">
        <f>'2031'!R\Max</f>
        <v>0.99184057031919759</v>
      </c>
    </row>
    <row r="247" spans="1:84" s="6" customFormat="1" ht="11.25" x14ac:dyDescent="0.2">
      <c r="A247" s="11">
        <v>43333</v>
      </c>
      <c r="B247" s="375">
        <f>'2022'!Maxi_hp</f>
        <v>39.328875280006322</v>
      </c>
      <c r="C247" s="13">
        <f>'2022'!An_max</f>
        <v>2022</v>
      </c>
      <c r="D247" s="1050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69">
        <f t="shared" si="99"/>
        <v>43346</v>
      </c>
      <c r="I247" s="744">
        <f t="shared" si="100"/>
        <v>0.9285714285714286</v>
      </c>
      <c r="J247" s="737">
        <f t="shared" si="101"/>
        <v>54.681652095301878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43">
        <v>43333</v>
      </c>
      <c r="AP247" s="13">
        <f t="shared" si="102"/>
        <v>11</v>
      </c>
      <c r="AQ247" s="13">
        <f t="shared" si="103"/>
        <v>10</v>
      </c>
      <c r="AR247" s="169">
        <f t="shared" si="104"/>
        <v>43360</v>
      </c>
      <c r="AS247" s="744">
        <f t="shared" si="105"/>
        <v>0.9642857142857143</v>
      </c>
      <c r="AT247" s="760">
        <f t="shared" si="106"/>
        <v>54.677189998395207</v>
      </c>
      <c r="AU247" s="13">
        <f t="shared" si="107"/>
        <v>9</v>
      </c>
      <c r="AV247" s="13">
        <f t="shared" si="108"/>
        <v>10</v>
      </c>
      <c r="AW247" s="169">
        <f t="shared" si="109"/>
        <v>43318</v>
      </c>
      <c r="AX247" s="744">
        <f t="shared" si="110"/>
        <v>0.5357142857142857</v>
      </c>
      <c r="AY247" s="760">
        <f t="shared" si="111"/>
        <v>54.881024316019783</v>
      </c>
      <c r="AZ247" s="737">
        <f t="shared" si="115"/>
        <v>54.779107157207491</v>
      </c>
      <c r="BA247" s="634">
        <f t="shared" si="112"/>
        <v>0.71923348642542873</v>
      </c>
      <c r="BC247" s="11">
        <v>43333</v>
      </c>
      <c r="BD247" s="286">
        <f>[3]!FeuilCaduc*(1-Persistant)+Persistant</f>
        <v>0.99341874776098615</v>
      </c>
      <c r="BE247" s="287">
        <f>[3]!CroissVégét</f>
        <v>0.95092883908018766</v>
      </c>
      <c r="BF247" s="807">
        <f>1+[3]!Salcycl*Ksac</f>
        <v>1.0491773434701233</v>
      </c>
      <c r="BH247" s="1041">
        <f t="shared" si="113"/>
        <v>1.0280152358924518E-3</v>
      </c>
      <c r="BI247" s="11">
        <v>44429</v>
      </c>
      <c r="BJ247" s="717">
        <v>1.2916551958513318E-4</v>
      </c>
      <c r="BK247" s="717">
        <v>2.1886059927917739E-4</v>
      </c>
      <c r="BL247" s="717">
        <v>3.26220488166626E-4</v>
      </c>
      <c r="BM247" s="717">
        <v>4.9964238635284274E-4</v>
      </c>
      <c r="BN247" s="717">
        <v>7.2412200546781685E-4</v>
      </c>
      <c r="BO247" s="718">
        <v>1.0299059512119499E-3</v>
      </c>
      <c r="BP247" s="717">
        <v>1.4004585189059283E-3</v>
      </c>
      <c r="BQ247" s="717">
        <v>2.0044956885678692E-3</v>
      </c>
      <c r="BR247" s="717">
        <v>2.7033719453465146E-3</v>
      </c>
      <c r="BS247" s="717">
        <v>3.5235257424212629E-3</v>
      </c>
      <c r="BT247" s="717">
        <v>4.2981115677020896E-3</v>
      </c>
      <c r="BW247" s="1162">
        <f>'2022'!R\Max</f>
        <v>0.71923348642542873</v>
      </c>
      <c r="BX247" s="1163">
        <f>'2023'!R\Max</f>
        <v>0.71922911676512058</v>
      </c>
      <c r="BY247" s="1163">
        <f>'2024'!R\Max</f>
        <v>0.71922216278245199</v>
      </c>
      <c r="BZ247" s="1163">
        <f>'2025'!R\Max</f>
        <v>0.7192150394302862</v>
      </c>
      <c r="CA247" s="1163">
        <f>'2026'!R\Max</f>
        <v>0.71920686610432716</v>
      </c>
      <c r="CB247" s="1163">
        <f>'2027'!R\Max</f>
        <v>0.71919862378133093</v>
      </c>
      <c r="CC247" s="1164">
        <f>'2028'!R\Max</f>
        <v>0.7191890386708123</v>
      </c>
      <c r="CD247" s="1163">
        <f>'2029'!R\Max</f>
        <v>0.71923370480247961</v>
      </c>
      <c r="CE247" s="1163">
        <f>'2030'!R\Max</f>
        <v>0.71922933514613385</v>
      </c>
      <c r="CF247" s="1165">
        <f>'2031'!R\Max</f>
        <v>0.71922251877518228</v>
      </c>
    </row>
    <row r="248" spans="1:84" s="6" customFormat="1" ht="11.25" x14ac:dyDescent="0.2">
      <c r="A248" s="11">
        <v>43334</v>
      </c>
      <c r="B248" s="375">
        <f>'2022'!Maxi_hp</f>
        <v>28.770301944261828</v>
      </c>
      <c r="C248" s="13">
        <f>'2022'!An_max</f>
        <v>2022</v>
      </c>
      <c r="D248" s="1050" t="str">
        <f t="shared" si="97"/>
        <v/>
      </c>
      <c r="E248" s="13"/>
      <c r="F248" s="13">
        <f t="shared" si="114"/>
        <v>19</v>
      </c>
      <c r="G248" s="13">
        <f t="shared" si="98"/>
        <v>18</v>
      </c>
      <c r="H248" s="169">
        <f t="shared" si="99"/>
        <v>43346</v>
      </c>
      <c r="I248" s="744">
        <f t="shared" si="100"/>
        <v>0.8571428571428571</v>
      </c>
      <c r="J248" s="737">
        <f t="shared" si="101"/>
        <v>54.419287172172758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43">
        <v>43334</v>
      </c>
      <c r="AP248" s="13">
        <f t="shared" si="102"/>
        <v>11</v>
      </c>
      <c r="AQ248" s="13">
        <f t="shared" si="103"/>
        <v>10</v>
      </c>
      <c r="AR248" s="169">
        <f t="shared" si="104"/>
        <v>43360</v>
      </c>
      <c r="AS248" s="744">
        <f t="shared" si="105"/>
        <v>0.9285714285714286</v>
      </c>
      <c r="AT248" s="760">
        <f t="shared" si="106"/>
        <v>54.408820244244168</v>
      </c>
      <c r="AU248" s="13">
        <f t="shared" si="107"/>
        <v>9</v>
      </c>
      <c r="AV248" s="13">
        <f t="shared" si="108"/>
        <v>10</v>
      </c>
      <c r="AW248" s="169">
        <f t="shared" si="109"/>
        <v>43318</v>
      </c>
      <c r="AX248" s="744">
        <f t="shared" si="110"/>
        <v>0.5714285714285714</v>
      </c>
      <c r="AY248" s="760">
        <f t="shared" si="111"/>
        <v>54.614135859640577</v>
      </c>
      <c r="AZ248" s="737">
        <f t="shared" si="115"/>
        <v>54.511478051942376</v>
      </c>
      <c r="BA248" s="634">
        <f t="shared" si="112"/>
        <v>0.52867840501544627</v>
      </c>
      <c r="BC248" s="11">
        <v>43334</v>
      </c>
      <c r="BD248" s="286">
        <f>[3]!FeuilCaduc*(1-Persistant)+Persistant</f>
        <v>0.99287497136627267</v>
      </c>
      <c r="BE248" s="287">
        <f>[3]!CroissVégét</f>
        <v>0.95282358778342446</v>
      </c>
      <c r="BF248" s="807">
        <f>1+[3]!Salcycl*Ksac</f>
        <v>1.049109371420784</v>
      </c>
      <c r="BH248" s="1041">
        <f t="shared" si="113"/>
        <v>1.0710771811946224E-3</v>
      </c>
      <c r="BI248" s="11">
        <v>44430</v>
      </c>
      <c r="BJ248" s="717">
        <v>1.3708983566613315E-4</v>
      </c>
      <c r="BK248" s="717">
        <v>2.3202375666656454E-4</v>
      </c>
      <c r="BL248" s="717">
        <v>3.4438861825553287E-4</v>
      </c>
      <c r="BM248" s="717">
        <v>5.2314902035881694E-4</v>
      </c>
      <c r="BN248" s="717">
        <v>7.547954004792414E-4</v>
      </c>
      <c r="BO248" s="718">
        <v>1.0730449736566037E-3</v>
      </c>
      <c r="BP248" s="717">
        <v>1.4615788263282168E-3</v>
      </c>
      <c r="BQ248" s="717">
        <v>2.1266339110242744E-3</v>
      </c>
      <c r="BR248" s="717">
        <v>2.8899509359521778E-3</v>
      </c>
      <c r="BS248" s="717">
        <v>3.7786669608978825E-3</v>
      </c>
      <c r="BT248" s="717">
        <v>4.5864719903819951E-3</v>
      </c>
      <c r="BW248" s="1162">
        <f>'2022'!R\Max</f>
        <v>0.52867840501544627</v>
      </c>
      <c r="BX248" s="1163">
        <f>'2023'!R\Max</f>
        <v>0.52867272734834392</v>
      </c>
      <c r="BY248" s="1163">
        <f>'2024'!R\Max</f>
        <v>0.52866324933131392</v>
      </c>
      <c r="BZ248" s="1163">
        <f>'2025'!R\Max</f>
        <v>0.52865353053745556</v>
      </c>
      <c r="CA248" s="1163">
        <f>'2026'!R\Max</f>
        <v>0.52864246108113078</v>
      </c>
      <c r="CB248" s="1163">
        <f>'2027'!R\Max</f>
        <v>0.52863130589439644</v>
      </c>
      <c r="CC248" s="1164">
        <f>'2028'!R\Max</f>
        <v>0.52861842694990158</v>
      </c>
      <c r="CD248" s="1163">
        <f>'2029'!R\Max</f>
        <v>0.52867868876226831</v>
      </c>
      <c r="CE248" s="1163">
        <f>'2030'!R\Max</f>
        <v>0.52867301109812292</v>
      </c>
      <c r="CF248" s="1165">
        <f>'2031'!R\Max</f>
        <v>0.52866373503540387</v>
      </c>
    </row>
    <row r="249" spans="1:84" s="6" customFormat="1" ht="11.25" x14ac:dyDescent="0.2">
      <c r="A249" s="11">
        <v>43335</v>
      </c>
      <c r="B249" s="375">
        <f>'2022'!Maxi_hp</f>
        <v>48.673786569897885</v>
      </c>
      <c r="C249" s="13">
        <f>'2022'!An_max</f>
        <v>2022</v>
      </c>
      <c r="D249" s="1050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69">
        <f t="shared" si="99"/>
        <v>43346</v>
      </c>
      <c r="I249" s="744">
        <f t="shared" si="100"/>
        <v>0.7857142857142857</v>
      </c>
      <c r="J249" s="737">
        <f t="shared" si="101"/>
        <v>54.157359128871136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43">
        <v>43335</v>
      </c>
      <c r="AP249" s="13">
        <f t="shared" si="102"/>
        <v>11</v>
      </c>
      <c r="AQ249" s="13">
        <f t="shared" si="103"/>
        <v>10</v>
      </c>
      <c r="AR249" s="169">
        <f t="shared" si="104"/>
        <v>43360</v>
      </c>
      <c r="AS249" s="744">
        <f t="shared" si="105"/>
        <v>0.8928571428571429</v>
      </c>
      <c r="AT249" s="760">
        <f t="shared" si="106"/>
        <v>54.139713253706169</v>
      </c>
      <c r="AU249" s="13">
        <f t="shared" si="107"/>
        <v>9</v>
      </c>
      <c r="AV249" s="13">
        <f t="shared" si="108"/>
        <v>10</v>
      </c>
      <c r="AW249" s="169">
        <f t="shared" si="109"/>
        <v>43318</v>
      </c>
      <c r="AX249" s="744">
        <f t="shared" si="110"/>
        <v>0.6071428571428571</v>
      </c>
      <c r="AY249" s="760">
        <f t="shared" si="111"/>
        <v>54.34408001964912</v>
      </c>
      <c r="AZ249" s="737">
        <f t="shared" si="115"/>
        <v>54.241896636677644</v>
      </c>
      <c r="BA249" s="634">
        <f t="shared" si="112"/>
        <v>0.8987474159158183</v>
      </c>
      <c r="BC249" s="11">
        <v>43335</v>
      </c>
      <c r="BD249" s="286">
        <f>[3]!FeuilCaduc*(1-Persistant)+Persistant</f>
        <v>0.9923035056872701</v>
      </c>
      <c r="BE249" s="287">
        <f>[3]!CroissVégét</f>
        <v>0.95464915235219705</v>
      </c>
      <c r="BF249" s="807">
        <f>1+[3]!Salcycl*Ksac</f>
        <v>1.0490379382109087</v>
      </c>
      <c r="BH249" s="1041">
        <f t="shared" si="113"/>
        <v>1.1177062772467061E-3</v>
      </c>
      <c r="BI249" s="11">
        <v>44431</v>
      </c>
      <c r="BJ249" s="717">
        <v>1.4476887873036252E-4</v>
      </c>
      <c r="BK249" s="717">
        <v>2.4543246791626115E-4</v>
      </c>
      <c r="BL249" s="717">
        <v>3.6331620650787024E-4</v>
      </c>
      <c r="BM249" s="717">
        <v>5.4762090671256318E-4</v>
      </c>
      <c r="BN249" s="717">
        <v>7.8705745494466958E-4</v>
      </c>
      <c r="BO249" s="718">
        <v>1.1197634563185363E-3</v>
      </c>
      <c r="BP249" s="717">
        <v>1.5286150859401446E-3</v>
      </c>
      <c r="BQ249" s="717">
        <v>2.2613046606285193E-3</v>
      </c>
      <c r="BR249" s="717">
        <v>3.0943201592544462E-3</v>
      </c>
      <c r="BS249" s="717">
        <v>4.0565753528002107E-3</v>
      </c>
      <c r="BT249" s="717">
        <v>4.8978892247565943E-3</v>
      </c>
      <c r="BW249" s="1162">
        <f>'2022'!R\Max</f>
        <v>0.8987474159158183</v>
      </c>
      <c r="BX249" s="1163">
        <f>'2023'!R\Max</f>
        <v>0.89874522466946472</v>
      </c>
      <c r="BY249" s="1163">
        <f>'2024'!R\Max</f>
        <v>0.89874139783240392</v>
      </c>
      <c r="BZ249" s="1163">
        <f>'2025'!R\Max</f>
        <v>0.89873747061595466</v>
      </c>
      <c r="CA249" s="1163">
        <f>'2026'!R\Max</f>
        <v>0.89873303644608893</v>
      </c>
      <c r="CB249" s="1163">
        <f>'2027'!R\Max</f>
        <v>0.89872857097556158</v>
      </c>
      <c r="CC249" s="1164">
        <f>'2028'!R\Max</f>
        <v>0.89872345236602935</v>
      </c>
      <c r="CD249" s="1163">
        <f>'2029'!R\Max</f>
        <v>0.89874752542438374</v>
      </c>
      <c r="CE249" s="1163">
        <f>'2030'!R\Max</f>
        <v>0.89874533418118774</v>
      </c>
      <c r="CF249" s="1165">
        <f>'2031'!R\Max</f>
        <v>0.89874159409453636</v>
      </c>
    </row>
    <row r="250" spans="1:84" s="6" customFormat="1" ht="11.25" x14ac:dyDescent="0.2">
      <c r="A250" s="11">
        <v>43336</v>
      </c>
      <c r="B250" s="375">
        <f>'2022'!Maxi_hp</f>
        <v>52.870150667804495</v>
      </c>
      <c r="C250" s="13">
        <f>'2022'!An_max</f>
        <v>2022</v>
      </c>
      <c r="D250" s="1050">
        <f t="shared" si="97"/>
        <v>0.98097847526493054</v>
      </c>
      <c r="E250" s="13"/>
      <c r="F250" s="13">
        <f t="shared" si="114"/>
        <v>19</v>
      </c>
      <c r="G250" s="13">
        <f t="shared" si="98"/>
        <v>18</v>
      </c>
      <c r="H250" s="169">
        <f t="shared" si="99"/>
        <v>43346</v>
      </c>
      <c r="I250" s="744">
        <f t="shared" si="100"/>
        <v>0.7142857142857143</v>
      </c>
      <c r="J250" s="737">
        <f t="shared" si="101"/>
        <v>53.895321865778939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43">
        <v>43336</v>
      </c>
      <c r="AP250" s="13">
        <f t="shared" si="102"/>
        <v>11</v>
      </c>
      <c r="AQ250" s="13">
        <f t="shared" si="103"/>
        <v>10</v>
      </c>
      <c r="AR250" s="169">
        <f t="shared" si="104"/>
        <v>43360</v>
      </c>
      <c r="AS250" s="744">
        <f t="shared" si="105"/>
        <v>0.8571428571428571</v>
      </c>
      <c r="AT250" s="760">
        <f t="shared" si="106"/>
        <v>53.869691545196943</v>
      </c>
      <c r="AU250" s="13">
        <f t="shared" si="107"/>
        <v>9</v>
      </c>
      <c r="AV250" s="13">
        <f t="shared" si="108"/>
        <v>10</v>
      </c>
      <c r="AW250" s="169">
        <f t="shared" si="109"/>
        <v>43318</v>
      </c>
      <c r="AX250" s="744">
        <f t="shared" si="110"/>
        <v>0.6428571428571429</v>
      </c>
      <c r="AY250" s="760">
        <f t="shared" si="111"/>
        <v>54.070802185977143</v>
      </c>
      <c r="AZ250" s="737">
        <f t="shared" si="115"/>
        <v>53.970246865587043</v>
      </c>
      <c r="BA250" s="634">
        <f t="shared" si="112"/>
        <v>0.98097847526493054</v>
      </c>
      <c r="BC250" s="11">
        <v>43336</v>
      </c>
      <c r="BD250" s="286">
        <f>[3]!FeuilCaduc*(1-Persistant)+Persistant</f>
        <v>0.99170324452734449</v>
      </c>
      <c r="BE250" s="287">
        <f>[3]!CroissVégét</f>
        <v>0.95640779545152554</v>
      </c>
      <c r="BF250" s="807">
        <f>1+[3]!Salcycl*Ksac</f>
        <v>1.048962905565918</v>
      </c>
      <c r="BH250" s="1041">
        <f t="shared" si="113"/>
        <v>1.1679040601586185E-3</v>
      </c>
      <c r="BI250" s="11">
        <v>44432</v>
      </c>
      <c r="BJ250" s="717">
        <v>1.5220278379077405E-4</v>
      </c>
      <c r="BK250" s="717">
        <v>2.5908704806499667E-4</v>
      </c>
      <c r="BL250" s="717">
        <v>3.8300375502577831E-4</v>
      </c>
      <c r="BM250" s="717">
        <v>5.7305872471354871E-4</v>
      </c>
      <c r="BN250" s="717">
        <v>8.2090912991224479E-4</v>
      </c>
      <c r="BO250" s="718">
        <v>1.1700629388854934E-3</v>
      </c>
      <c r="BP250" s="717">
        <v>1.6015695700424693E-3</v>
      </c>
      <c r="BQ250" s="717">
        <v>2.4085122471369028E-3</v>
      </c>
      <c r="BR250" s="717">
        <v>3.3164858661549816E-3</v>
      </c>
      <c r="BS250" s="717">
        <v>4.3572591818548719E-3</v>
      </c>
      <c r="BT250" s="717">
        <v>5.2323723763845042E-3</v>
      </c>
      <c r="BW250" s="1162">
        <f>'2022'!R\Max</f>
        <v>0.98097847526493054</v>
      </c>
      <c r="BX250" s="1163">
        <f>'2023'!R\Max</f>
        <v>0.98097799903231941</v>
      </c>
      <c r="BY250" s="1163">
        <f>'2024'!R\Max</f>
        <v>0.98097713159341449</v>
      </c>
      <c r="BZ250" s="1163">
        <f>'2025'!R\Max</f>
        <v>0.98097624090971924</v>
      </c>
      <c r="CA250" s="1163">
        <f>'2026'!R\Max</f>
        <v>0.98097524488225329</v>
      </c>
      <c r="CB250" s="1163">
        <f>'2027'!R\Max</f>
        <v>0.98097424254096954</v>
      </c>
      <c r="CC250" s="1164">
        <f>'2028'!R\Max</f>
        <v>0.98097310171235963</v>
      </c>
      <c r="CD250" s="1163">
        <f>'2029'!R\Max</f>
        <v>0.98097849906480472</v>
      </c>
      <c r="CE250" s="1163">
        <f>'2030'!R\Max</f>
        <v>0.98097802283302094</v>
      </c>
      <c r="CF250" s="1165">
        <f>'2031'!R\Max</f>
        <v>0.98097717610490476</v>
      </c>
    </row>
    <row r="251" spans="1:84" s="6" customFormat="1" ht="11.25" x14ac:dyDescent="0.2">
      <c r="A251" s="11">
        <v>43337</v>
      </c>
      <c r="B251" s="375">
        <f>'2022'!Maxi_hp</f>
        <v>33.91278728080961</v>
      </c>
      <c r="C251" s="13">
        <f>'2022'!An_max</f>
        <v>2022</v>
      </c>
      <c r="D251" s="1050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69">
        <f t="shared" si="99"/>
        <v>43346</v>
      </c>
      <c r="I251" s="744">
        <f t="shared" si="100"/>
        <v>0.6428571428571429</v>
      </c>
      <c r="J251" s="737">
        <f t="shared" si="101"/>
        <v>53.632629282014179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43">
        <v>43337</v>
      </c>
      <c r="AP251" s="13">
        <f t="shared" si="102"/>
        <v>11</v>
      </c>
      <c r="AQ251" s="13">
        <f t="shared" si="103"/>
        <v>10</v>
      </c>
      <c r="AR251" s="169">
        <f t="shared" si="104"/>
        <v>43360</v>
      </c>
      <c r="AS251" s="744">
        <f t="shared" si="105"/>
        <v>0.8214285714285714</v>
      </c>
      <c r="AT251" s="760">
        <f t="shared" si="106"/>
        <v>53.598577635282915</v>
      </c>
      <c r="AU251" s="13">
        <f t="shared" si="107"/>
        <v>9</v>
      </c>
      <c r="AV251" s="13">
        <f t="shared" si="108"/>
        <v>10</v>
      </c>
      <c r="AW251" s="169">
        <f t="shared" si="109"/>
        <v>43318</v>
      </c>
      <c r="AX251" s="744">
        <f t="shared" si="110"/>
        <v>0.6785714285714286</v>
      </c>
      <c r="AY251" s="760">
        <f t="shared" si="111"/>
        <v>53.794247749155126</v>
      </c>
      <c r="AZ251" s="737">
        <f t="shared" si="115"/>
        <v>53.69641269221902</v>
      </c>
      <c r="BA251" s="634">
        <f t="shared" si="112"/>
        <v>0.63231632934658932</v>
      </c>
      <c r="BC251" s="11">
        <v>43337</v>
      </c>
      <c r="BD251" s="286">
        <f>[3]!FeuilCaduc*(1-Persistant)+Persistant</f>
        <v>0.99107304054302559</v>
      </c>
      <c r="BE251" s="287">
        <f>[3]!CroissVégét</f>
        <v>0.95810172578745478</v>
      </c>
      <c r="BF251" s="807">
        <f>1+[3]!Salcycl*Ksac</f>
        <v>1.0488841300678782</v>
      </c>
      <c r="BH251" s="1041">
        <f t="shared" si="113"/>
        <v>1.2216725806352784E-3</v>
      </c>
      <c r="BI251" s="11">
        <v>44433</v>
      </c>
      <c r="BJ251" s="717">
        <v>1.5939173438695762E-4</v>
      </c>
      <c r="BK251" s="717">
        <v>2.7298791559000391E-4</v>
      </c>
      <c r="BL251" s="717">
        <v>4.0345192917438873E-4</v>
      </c>
      <c r="BM251" s="717">
        <v>5.9946338532323572E-4</v>
      </c>
      <c r="BN251" s="717">
        <v>8.5635171917785538E-4</v>
      </c>
      <c r="BO251" s="718">
        <v>1.2239454767716111E-3</v>
      </c>
      <c r="BP251" s="717">
        <v>1.680445293747391E-3</v>
      </c>
      <c r="BQ251" s="717">
        <v>2.5682622732525321E-3</v>
      </c>
      <c r="BR251" s="717">
        <v>3.5564561405957971E-3</v>
      </c>
      <c r="BS251" s="717">
        <v>4.68072911972573E-3</v>
      </c>
      <c r="BT251" s="717">
        <v>5.5899332690372986E-3</v>
      </c>
      <c r="BW251" s="1162">
        <f>'2022'!R\Max</f>
        <v>0.63231632934658932</v>
      </c>
      <c r="BX251" s="1163">
        <f>'2023'!R\Max</f>
        <v>0.63231002530967106</v>
      </c>
      <c r="BY251" s="1163">
        <f>'2024'!R\Max</f>
        <v>0.63229808790068942</v>
      </c>
      <c r="BZ251" s="1163">
        <f>'2025'!R\Max</f>
        <v>0.63228582684311208</v>
      </c>
      <c r="CA251" s="1163">
        <f>'2026'!R\Max</f>
        <v>0.63227225426947642</v>
      </c>
      <c r="CB251" s="1163">
        <f>'2027'!R\Max</f>
        <v>0.63225860593765149</v>
      </c>
      <c r="CC251" s="1164">
        <f>'2028'!R\Max</f>
        <v>0.63224317951164655</v>
      </c>
      <c r="CD251" s="1163">
        <f>'2029'!R\Max</f>
        <v>0.63231664439558233</v>
      </c>
      <c r="CE251" s="1163">
        <f>'2030'!R\Max</f>
        <v>0.63231034036434175</v>
      </c>
      <c r="CF251" s="1165">
        <f>'2031'!R\Max</f>
        <v>0.63229870065079852</v>
      </c>
    </row>
    <row r="252" spans="1:84" s="6" customFormat="1" ht="11.25" x14ac:dyDescent="0.2">
      <c r="A252" s="11">
        <v>43338</v>
      </c>
      <c r="B252" s="375">
        <f>'2022'!Maxi_hp</f>
        <v>39.08865945369719</v>
      </c>
      <c r="C252" s="13">
        <f>'2022'!An_max</f>
        <v>2022</v>
      </c>
      <c r="D252" s="1050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69">
        <f t="shared" si="99"/>
        <v>43346</v>
      </c>
      <c r="I252" s="744">
        <f t="shared" si="100"/>
        <v>0.5714285714285714</v>
      </c>
      <c r="J252" s="737">
        <f t="shared" si="101"/>
        <v>53.368735276854466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43">
        <v>43338</v>
      </c>
      <c r="AP252" s="13">
        <f t="shared" si="102"/>
        <v>11</v>
      </c>
      <c r="AQ252" s="13">
        <f t="shared" si="103"/>
        <v>10</v>
      </c>
      <c r="AR252" s="169">
        <f t="shared" si="104"/>
        <v>43360</v>
      </c>
      <c r="AS252" s="744">
        <f t="shared" si="105"/>
        <v>0.7857142857142857</v>
      </c>
      <c r="AT252" s="760">
        <f t="shared" si="106"/>
        <v>53.326194041727909</v>
      </c>
      <c r="AU252" s="13">
        <f t="shared" si="107"/>
        <v>9</v>
      </c>
      <c r="AV252" s="13">
        <f t="shared" si="108"/>
        <v>10</v>
      </c>
      <c r="AW252" s="169">
        <f t="shared" si="109"/>
        <v>43318</v>
      </c>
      <c r="AX252" s="744">
        <f t="shared" si="110"/>
        <v>0.7142857142857143</v>
      </c>
      <c r="AY252" s="760">
        <f t="shared" si="111"/>
        <v>53.514362099074887</v>
      </c>
      <c r="AZ252" s="737">
        <f t="shared" si="115"/>
        <v>53.420278070401395</v>
      </c>
      <c r="BA252" s="634">
        <f t="shared" si="112"/>
        <v>0.73242619018273014</v>
      </c>
      <c r="BC252" s="11">
        <v>43338</v>
      </c>
      <c r="BD252" s="286">
        <f>[3]!FeuilCaduc*(1-Persistant)+Persistant</f>
        <v>0.99041170596149275</v>
      </c>
      <c r="BE252" s="287">
        <f>[3]!CroissVégét</f>
        <v>0.95973309779026206</v>
      </c>
      <c r="BF252" s="807">
        <f>1+[3]!Salcycl*Ksac</f>
        <v>1.0488014632451865</v>
      </c>
      <c r="BH252" s="1041">
        <f t="shared" si="113"/>
        <v>1.279013462113749E-3</v>
      </c>
      <c r="BI252" s="11">
        <v>44434</v>
      </c>
      <c r="BJ252" s="717">
        <v>1.6633583646396627E-4</v>
      </c>
      <c r="BK252" s="717">
        <v>2.871353803902449E-4</v>
      </c>
      <c r="BL252" s="717">
        <v>4.2466124604314745E-4</v>
      </c>
      <c r="BM252" s="717">
        <v>6.2683556533316305E-4</v>
      </c>
      <c r="BN252" s="717">
        <v>8.9338618357002705E-4</v>
      </c>
      <c r="BO252" s="718">
        <v>1.281412697536467E-3</v>
      </c>
      <c r="BP252" s="717">
        <v>1.7652447268335441E-3</v>
      </c>
      <c r="BQ252" s="717">
        <v>2.7405597036895108E-3</v>
      </c>
      <c r="BR252" s="717">
        <v>3.8142382379339388E-3</v>
      </c>
      <c r="BS252" s="717">
        <v>5.0269947441295322E-3</v>
      </c>
      <c r="BT252" s="717">
        <v>5.9705822275328913E-3</v>
      </c>
      <c r="BW252" s="1162">
        <f>'2022'!R\Max</f>
        <v>0.73242619018273014</v>
      </c>
      <c r="BX252" s="1163">
        <f>'2023'!R\Max</f>
        <v>0.73242053397218798</v>
      </c>
      <c r="BY252" s="1163">
        <f>'2024'!R\Max</f>
        <v>0.7324094341114421</v>
      </c>
      <c r="BZ252" s="1163">
        <f>'2025'!R\Max</f>
        <v>0.73239803126002745</v>
      </c>
      <c r="CA252" s="1163">
        <f>'2026'!R\Max</f>
        <v>0.73238553826629704</v>
      </c>
      <c r="CB252" s="1163">
        <f>'2027'!R\Max</f>
        <v>0.73237298404614326</v>
      </c>
      <c r="CC252" s="1164">
        <f>'2028'!R\Max</f>
        <v>0.73235888839118879</v>
      </c>
      <c r="CD252" s="1163">
        <f>'2029'!R\Max</f>
        <v>0.73242647285508244</v>
      </c>
      <c r="CE252" s="1163">
        <f>'2030'!R\Max</f>
        <v>0.7324208166515962</v>
      </c>
      <c r="CF252" s="1165">
        <f>'2031'!R\Max</f>
        <v>0.73241000396786771</v>
      </c>
    </row>
    <row r="253" spans="1:84" s="6" customFormat="1" ht="11.25" x14ac:dyDescent="0.2">
      <c r="A253" s="11">
        <v>43339</v>
      </c>
      <c r="B253" s="375">
        <f>'2022'!Maxi_hp</f>
        <v>49.281602441092893</v>
      </c>
      <c r="C253" s="13">
        <f>'2022'!An_max</f>
        <v>2022</v>
      </c>
      <c r="D253" s="1050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69">
        <f t="shared" si="99"/>
        <v>43346</v>
      </c>
      <c r="I253" s="744">
        <f t="shared" si="100"/>
        <v>0.5</v>
      </c>
      <c r="J253" s="737">
        <f t="shared" si="101"/>
        <v>53.103093749843538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43">
        <v>43339</v>
      </c>
      <c r="AP253" s="13">
        <f t="shared" si="102"/>
        <v>11</v>
      </c>
      <c r="AQ253" s="13">
        <f t="shared" si="103"/>
        <v>10</v>
      </c>
      <c r="AR253" s="169">
        <f t="shared" si="104"/>
        <v>43360</v>
      </c>
      <c r="AS253" s="744">
        <f t="shared" si="105"/>
        <v>0.75</v>
      </c>
      <c r="AT253" s="760">
        <f t="shared" si="106"/>
        <v>53.052363281417641</v>
      </c>
      <c r="AU253" s="13">
        <f t="shared" si="107"/>
        <v>9</v>
      </c>
      <c r="AV253" s="13">
        <f t="shared" si="108"/>
        <v>10</v>
      </c>
      <c r="AW253" s="169">
        <f t="shared" si="109"/>
        <v>43318</v>
      </c>
      <c r="AX253" s="744">
        <f t="shared" si="110"/>
        <v>0.75</v>
      </c>
      <c r="AY253" s="760">
        <f t="shared" si="111"/>
        <v>53.231090624537316</v>
      </c>
      <c r="AZ253" s="737">
        <f t="shared" si="115"/>
        <v>53.141726952977479</v>
      </c>
      <c r="BA253" s="634">
        <f t="shared" si="112"/>
        <v>0.92803637153886342</v>
      </c>
      <c r="BC253" s="11">
        <v>43339</v>
      </c>
      <c r="BD253" s="286">
        <f>[3]!FeuilCaduc*(1-Persistant)+Persistant</f>
        <v>0.98971801245898994</v>
      </c>
      <c r="BE253" s="287">
        <f>[3]!CroissVégét</f>
        <v>0.9613040114607565</v>
      </c>
      <c r="BF253" s="807">
        <f>1+[3]!Salcycl*Ksac</f>
        <v>1.0487147515573738</v>
      </c>
      <c r="BH253" s="1041">
        <f t="shared" si="113"/>
        <v>1.3399284819486908E-3</v>
      </c>
      <c r="BI253" s="11">
        <v>44435</v>
      </c>
      <c r="BJ253" s="717">
        <v>1.7303519172578381E-4</v>
      </c>
      <c r="BK253" s="717">
        <v>3.0152976890967777E-4</v>
      </c>
      <c r="BL253" s="717">
        <v>4.46632260745862E-4</v>
      </c>
      <c r="BM253" s="717">
        <v>6.5517599009018868E-4</v>
      </c>
      <c r="BN253" s="717">
        <v>9.3201355915287752E-4</v>
      </c>
      <c r="BO253" s="718">
        <v>1.3424663831467672E-3</v>
      </c>
      <c r="BP253" s="717">
        <v>1.8559705883678535E-3</v>
      </c>
      <c r="BQ253" s="717">
        <v>2.9254100271419131E-3</v>
      </c>
      <c r="BR253" s="717">
        <v>4.0898401650933469E-3</v>
      </c>
      <c r="BS253" s="717">
        <v>5.3960666041860802E-3</v>
      </c>
      <c r="BT253" s="717">
        <v>6.374330577879654E-3</v>
      </c>
      <c r="BW253" s="1162">
        <f>'2022'!R\Max</f>
        <v>0.92803637153886342</v>
      </c>
      <c r="BX253" s="1163">
        <f>'2023'!R\Max</f>
        <v>0.92803431701291383</v>
      </c>
      <c r="BY253" s="1163">
        <f>'2024'!R\Max</f>
        <v>0.92803015152911117</v>
      </c>
      <c r="BZ253" s="1163">
        <f>'2025'!R\Max</f>
        <v>0.92802587212093202</v>
      </c>
      <c r="CA253" s="1163">
        <f>'2026'!R\Max</f>
        <v>0.92802123162361294</v>
      </c>
      <c r="CB253" s="1163">
        <f>'2027'!R\Max</f>
        <v>0.92801657130767601</v>
      </c>
      <c r="CC253" s="1164">
        <f>'2028'!R\Max</f>
        <v>0.92801137198690442</v>
      </c>
      <c r="CD253" s="1163">
        <f>'2029'!R\Max</f>
        <v>0.92803647421423363</v>
      </c>
      <c r="CE253" s="1163">
        <f>'2030'!R\Max</f>
        <v>0.92803441969225176</v>
      </c>
      <c r="CF253" s="1165">
        <f>'2031'!R\Max</f>
        <v>0.92803036538874573</v>
      </c>
    </row>
    <row r="254" spans="1:84" s="6" customFormat="1" ht="11.25" x14ac:dyDescent="0.2">
      <c r="A254" s="11">
        <v>43340</v>
      </c>
      <c r="B254" s="375">
        <f>'2022'!Maxi_hp</f>
        <v>51.812510018223612</v>
      </c>
      <c r="C254" s="13">
        <f>'2022'!An_max</f>
        <v>2022</v>
      </c>
      <c r="D254" s="1050">
        <f t="shared" si="97"/>
        <v>0.98064454410122714</v>
      </c>
      <c r="E254" s="13"/>
      <c r="F254" s="13">
        <f t="shared" si="114"/>
        <v>19</v>
      </c>
      <c r="G254" s="13">
        <f t="shared" si="98"/>
        <v>18</v>
      </c>
      <c r="H254" s="169">
        <f t="shared" si="99"/>
        <v>43346</v>
      </c>
      <c r="I254" s="744">
        <f t="shared" si="100"/>
        <v>0.42857142857142855</v>
      </c>
      <c r="J254" s="737">
        <f t="shared" si="101"/>
        <v>52.835158600418687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43">
        <v>43340</v>
      </c>
      <c r="AP254" s="13">
        <f t="shared" si="102"/>
        <v>11</v>
      </c>
      <c r="AQ254" s="13">
        <f t="shared" si="103"/>
        <v>10</v>
      </c>
      <c r="AR254" s="169">
        <f t="shared" si="104"/>
        <v>43360</v>
      </c>
      <c r="AS254" s="744">
        <f t="shared" si="105"/>
        <v>0.7142857142857143</v>
      </c>
      <c r="AT254" s="760">
        <f t="shared" si="106"/>
        <v>52.77690787219575</v>
      </c>
      <c r="AU254" s="13">
        <f t="shared" si="107"/>
        <v>9</v>
      </c>
      <c r="AV254" s="13">
        <f t="shared" si="108"/>
        <v>10</v>
      </c>
      <c r="AW254" s="169">
        <f t="shared" si="109"/>
        <v>43318</v>
      </c>
      <c r="AX254" s="744">
        <f t="shared" si="110"/>
        <v>0.7857142857142857</v>
      </c>
      <c r="AY254" s="760">
        <f t="shared" si="111"/>
        <v>52.944378716605044</v>
      </c>
      <c r="AZ254" s="737">
        <f t="shared" si="115"/>
        <v>52.860643294400397</v>
      </c>
      <c r="BA254" s="634">
        <f t="shared" si="112"/>
        <v>0.98064454410122714</v>
      </c>
      <c r="BC254" s="11">
        <v>43340</v>
      </c>
      <c r="BD254" s="286">
        <f>[3]!FeuilCaduc*(1-Persistant)+Persistant</f>
        <v>0.98899069025189179</v>
      </c>
      <c r="BE254" s="287">
        <f>[3]!CroissVégét</f>
        <v>0.96281651236587618</v>
      </c>
      <c r="BF254" s="807">
        <f>1+[3]!Salcycl*Ksac</f>
        <v>1.0486238362814864</v>
      </c>
      <c r="BH254" s="1041">
        <f t="shared" si="113"/>
        <v>1.4028338984872991E-3</v>
      </c>
      <c r="BI254" s="11">
        <v>44436</v>
      </c>
      <c r="BJ254" s="717">
        <v>1.7992798838024644E-4</v>
      </c>
      <c r="BK254" s="717">
        <v>3.1650180545148552E-4</v>
      </c>
      <c r="BL254" s="717">
        <v>4.6947613117602889E-4</v>
      </c>
      <c r="BM254" s="717">
        <v>6.843625983018229E-4</v>
      </c>
      <c r="BN254" s="717">
        <v>9.7158662247104311E-4</v>
      </c>
      <c r="BO254" s="718">
        <v>1.4055169652674195E-3</v>
      </c>
      <c r="BP254" s="717">
        <v>1.9492333055261813E-3</v>
      </c>
      <c r="BQ254" s="717">
        <v>3.1084771297839493E-3</v>
      </c>
      <c r="BR254" s="717">
        <v>4.3574644156684945E-3</v>
      </c>
      <c r="BS254" s="717">
        <v>5.7505217137764674E-3</v>
      </c>
      <c r="BT254" s="717">
        <v>6.7605767527321552E-3</v>
      </c>
      <c r="BW254" s="1162">
        <f>'2022'!R\Max</f>
        <v>0.98064454410122714</v>
      </c>
      <c r="BX254" s="1163">
        <f>'2023'!R\Max</f>
        <v>0.98064392315193927</v>
      </c>
      <c r="BY254" s="1163">
        <f>'2024'!R\Max</f>
        <v>0.98064263398512175</v>
      </c>
      <c r="BZ254" s="1163">
        <f>'2025'!R\Max</f>
        <v>0.98064130986013187</v>
      </c>
      <c r="CA254" s="1163">
        <f>'2026'!R\Max</f>
        <v>0.98063988816665026</v>
      </c>
      <c r="CB254" s="1163">
        <f>'2027'!R\Max</f>
        <v>0.98063846124764475</v>
      </c>
      <c r="CC254" s="1164">
        <f>'2028'!R\Max</f>
        <v>0.98063687771914831</v>
      </c>
      <c r="CD254" s="1163">
        <f>'2029'!R\Max</f>
        <v>0.98064457513320313</v>
      </c>
      <c r="CE254" s="1163">
        <f>'2030'!R\Max</f>
        <v>0.98064395418529748</v>
      </c>
      <c r="CF254" s="1165">
        <f>'2031'!R\Max</f>
        <v>0.9806427001565925</v>
      </c>
    </row>
    <row r="255" spans="1:84" s="6" customFormat="1" ht="11.25" x14ac:dyDescent="0.2">
      <c r="A255" s="11">
        <v>43341</v>
      </c>
      <c r="B255" s="375">
        <f>'2022'!Maxi_hp</f>
        <v>36.213779119220973</v>
      </c>
      <c r="C255" s="13">
        <f>'2022'!An_max</f>
        <v>2022</v>
      </c>
      <c r="D255" s="1050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69">
        <f t="shared" si="99"/>
        <v>43346</v>
      </c>
      <c r="I255" s="744">
        <f t="shared" si="100"/>
        <v>0.35714285714285715</v>
      </c>
      <c r="J255" s="737">
        <f t="shared" si="101"/>
        <v>52.564383727950698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43">
        <v>43341</v>
      </c>
      <c r="AP255" s="13">
        <f t="shared" si="102"/>
        <v>11</v>
      </c>
      <c r="AQ255" s="13">
        <f t="shared" si="103"/>
        <v>10</v>
      </c>
      <c r="AR255" s="169">
        <f t="shared" si="104"/>
        <v>43360</v>
      </c>
      <c r="AS255" s="744">
        <f t="shared" si="105"/>
        <v>0.6785714285714286</v>
      </c>
      <c r="AT255" s="760">
        <f t="shared" si="106"/>
        <v>52.499650330296049</v>
      </c>
      <c r="AU255" s="13">
        <f t="shared" si="107"/>
        <v>9</v>
      </c>
      <c r="AV255" s="13">
        <f t="shared" si="108"/>
        <v>10</v>
      </c>
      <c r="AW255" s="169">
        <f t="shared" si="109"/>
        <v>43318</v>
      </c>
      <c r="AX255" s="744">
        <f t="shared" si="110"/>
        <v>0.8214285714285714</v>
      </c>
      <c r="AY255" s="760">
        <f t="shared" si="111"/>
        <v>52.654171764970364</v>
      </c>
      <c r="AZ255" s="737">
        <f t="shared" si="115"/>
        <v>52.576911047633203</v>
      </c>
      <c r="BA255" s="634">
        <f t="shared" si="112"/>
        <v>0.68894138104323632</v>
      </c>
      <c r="BC255" s="11">
        <v>43341</v>
      </c>
      <c r="BD255" s="286">
        <f>[3]!FeuilCaduc*(1-Persistant)+Persistant</f>
        <v>0.98822842646563969</v>
      </c>
      <c r="BE255" s="287">
        <f>[3]!CroissVégét</f>
        <v>0.96427259177046543</v>
      </c>
      <c r="BF255" s="807">
        <f>1+[3]!Salcycl*Ksac</f>
        <v>1.0485285533082049</v>
      </c>
      <c r="BH255" s="1041">
        <f t="shared" si="113"/>
        <v>1.4676689588609866E-3</v>
      </c>
      <c r="BI255" s="11">
        <v>44437</v>
      </c>
      <c r="BJ255" s="717">
        <v>1.8650318720222678E-4</v>
      </c>
      <c r="BK255" s="717">
        <v>3.3138891358247156E-4</v>
      </c>
      <c r="BL255" s="717">
        <v>4.9234302557884851E-4</v>
      </c>
      <c r="BM255" s="717">
        <v>7.1374966619788696E-4</v>
      </c>
      <c r="BN255" s="717">
        <v>1.0117203011897316E-3</v>
      </c>
      <c r="BO255" s="718">
        <v>1.4705057088299116E-3</v>
      </c>
      <c r="BP255" s="717">
        <v>2.0447510349992939E-3</v>
      </c>
      <c r="BQ255" s="717">
        <v>3.2845495445608572E-3</v>
      </c>
      <c r="BR255" s="717">
        <v>4.6065406203527094E-3</v>
      </c>
      <c r="BS255" s="717">
        <v>6.0742609328549484E-3</v>
      </c>
      <c r="BT255" s="717">
        <v>7.1120297107234807E-3</v>
      </c>
      <c r="BW255" s="1162">
        <f>'2022'!R\Max</f>
        <v>0.68894138104323632</v>
      </c>
      <c r="BX255" s="1163">
        <f>'2023'!R\Max</f>
        <v>0.68893394428238719</v>
      </c>
      <c r="BY255" s="1163">
        <f>'2024'!R\Max</f>
        <v>0.68891830215677996</v>
      </c>
      <c r="BZ255" s="1163">
        <f>'2025'!R\Max</f>
        <v>0.68890224455686133</v>
      </c>
      <c r="CA255" s="1163">
        <f>'2026'!R\Max</f>
        <v>0.68888517258857562</v>
      </c>
      <c r="CB255" s="1163">
        <f>'2027'!R\Max</f>
        <v>0.68886804835630155</v>
      </c>
      <c r="CC255" s="1164">
        <f>'2028'!R\Max</f>
        <v>0.68884912598963888</v>
      </c>
      <c r="CD255" s="1163">
        <f>'2029'!R\Max</f>
        <v>0.68894175269921032</v>
      </c>
      <c r="CE255" s="1163">
        <f>'2030'!R\Max</f>
        <v>0.68893431594839405</v>
      </c>
      <c r="CF255" s="1165">
        <f>'2031'!R\Max</f>
        <v>0.68891910463046824</v>
      </c>
    </row>
    <row r="256" spans="1:84" s="6" customFormat="1" ht="11.25" x14ac:dyDescent="0.2">
      <c r="A256" s="11">
        <v>43342</v>
      </c>
      <c r="B256" s="375">
        <f>'2022'!Maxi_hp</f>
        <v>50.826504126845201</v>
      </c>
      <c r="C256" s="13">
        <f>'2022'!An_max</f>
        <v>2022</v>
      </c>
      <c r="D256" s="1050">
        <f t="shared" si="97"/>
        <v>0.972007789981572</v>
      </c>
      <c r="E256" s="13"/>
      <c r="F256" s="13">
        <f t="shared" si="114"/>
        <v>19</v>
      </c>
      <c r="G256" s="13">
        <f t="shared" si="98"/>
        <v>18</v>
      </c>
      <c r="H256" s="169">
        <f t="shared" si="99"/>
        <v>43346</v>
      </c>
      <c r="I256" s="744">
        <f t="shared" si="100"/>
        <v>0.2857142857142857</v>
      </c>
      <c r="J256" s="737">
        <f t="shared" si="101"/>
        <v>52.290223031863569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43">
        <v>43342</v>
      </c>
      <c r="AP256" s="13">
        <f t="shared" si="102"/>
        <v>11</v>
      </c>
      <c r="AQ256" s="13">
        <f t="shared" si="103"/>
        <v>10</v>
      </c>
      <c r="AR256" s="169">
        <f t="shared" si="104"/>
        <v>43360</v>
      </c>
      <c r="AS256" s="744">
        <f t="shared" si="105"/>
        <v>0.6428571428571429</v>
      </c>
      <c r="AT256" s="760">
        <f t="shared" si="106"/>
        <v>52.220413174240718</v>
      </c>
      <c r="AU256" s="13">
        <f t="shared" si="107"/>
        <v>9</v>
      </c>
      <c r="AV256" s="13">
        <f t="shared" si="108"/>
        <v>10</v>
      </c>
      <c r="AW256" s="169">
        <f t="shared" si="109"/>
        <v>43318</v>
      </c>
      <c r="AX256" s="744">
        <f t="shared" si="110"/>
        <v>0.8571428571428571</v>
      </c>
      <c r="AY256" s="760">
        <f t="shared" si="111"/>
        <v>52.360415160283445</v>
      </c>
      <c r="AZ256" s="737">
        <f t="shared" si="115"/>
        <v>52.290414167262085</v>
      </c>
      <c r="BA256" s="634">
        <f t="shared" si="112"/>
        <v>0.972007789981572</v>
      </c>
      <c r="BC256" s="11">
        <v>43342</v>
      </c>
      <c r="BD256" s="286">
        <f>[3]!FeuilCaduc*(1-Persistant)+Persistant</f>
        <v>0.98742986285947887</v>
      </c>
      <c r="BE256" s="287">
        <f>[3]!CroissVégét</f>
        <v>0.96567418689281481</v>
      </c>
      <c r="BF256" s="807">
        <f>1+[3]!Salcycl*Ksac</f>
        <v>1.0484287328574349</v>
      </c>
      <c r="BH256" s="1041">
        <f t="shared" si="113"/>
        <v>1.5344355043703309E-3</v>
      </c>
      <c r="BI256" s="11">
        <v>44438</v>
      </c>
      <c r="BJ256" s="717">
        <v>1.9276086551547777E-4</v>
      </c>
      <c r="BK256" s="717">
        <v>3.4619139713920849E-4</v>
      </c>
      <c r="BL256" s="717">
        <v>5.1523344258487883E-4</v>
      </c>
      <c r="BM256" s="717">
        <v>7.4333788452508908E-4</v>
      </c>
      <c r="BN256" s="717">
        <v>1.0524156081794323E-3</v>
      </c>
      <c r="BO256" s="718">
        <v>1.5374344602890183E-3</v>
      </c>
      <c r="BP256" s="717">
        <v>2.1425263409681396E-3</v>
      </c>
      <c r="BQ256" s="717">
        <v>3.4536294329413808E-3</v>
      </c>
      <c r="BR256" s="717">
        <v>4.8370698948589181E-3</v>
      </c>
      <c r="BS256" s="717">
        <v>6.3672842455840166E-3</v>
      </c>
      <c r="BT256" s="717">
        <v>7.4286891854940963E-3</v>
      </c>
      <c r="BW256" s="1162">
        <f>'2022'!R\Max</f>
        <v>0.972007789981572</v>
      </c>
      <c r="BX256" s="1163">
        <f>'2023'!R\Max</f>
        <v>0.97200679063690776</v>
      </c>
      <c r="BY256" s="1163">
        <f>'2024'!R\Max</f>
        <v>0.97200467955535896</v>
      </c>
      <c r="BZ256" s="1163">
        <f>'2025'!R\Max</f>
        <v>0.97200251379675517</v>
      </c>
      <c r="CA256" s="1163">
        <f>'2026'!R\Max</f>
        <v>0.97200023387601742</v>
      </c>
      <c r="CB256" s="1163">
        <f>'2027'!R\Max</f>
        <v>0.97199794811761486</v>
      </c>
      <c r="CC256" s="1164">
        <f>'2028'!R\Max</f>
        <v>0.97199543088005169</v>
      </c>
      <c r="CD256" s="1163">
        <f>'2029'!R\Max</f>
        <v>0.97200783992375261</v>
      </c>
      <c r="CE256" s="1163">
        <f>'2030'!R\Max</f>
        <v>0.97200684058155407</v>
      </c>
      <c r="CF256" s="1165">
        <f>'2031'!R\Max</f>
        <v>0.97200478778572219</v>
      </c>
    </row>
    <row r="257" spans="1:84" s="6" customFormat="1" ht="11.25" x14ac:dyDescent="0.2">
      <c r="A257" s="11">
        <v>43343</v>
      </c>
      <c r="B257" s="375">
        <f>'2022'!Maxi_hp</f>
        <v>25.734466772860397</v>
      </c>
      <c r="C257" s="13">
        <f>'2022'!An_max</f>
        <v>2022</v>
      </c>
      <c r="D257" s="1050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69">
        <f t="shared" si="99"/>
        <v>43346</v>
      </c>
      <c r="I257" s="744">
        <f t="shared" si="100"/>
        <v>0.21428571428571427</v>
      </c>
      <c r="J257" s="737">
        <f t="shared" si="101"/>
        <v>52.012130411368389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43">
        <v>43343</v>
      </c>
      <c r="AP257" s="13">
        <f t="shared" si="102"/>
        <v>11</v>
      </c>
      <c r="AQ257" s="13">
        <f t="shared" si="103"/>
        <v>10</v>
      </c>
      <c r="AR257" s="169">
        <f t="shared" si="104"/>
        <v>43360</v>
      </c>
      <c r="AS257" s="744">
        <f t="shared" si="105"/>
        <v>0.6071428571428571</v>
      </c>
      <c r="AT257" s="760">
        <f t="shared" si="106"/>
        <v>51.939018920662683</v>
      </c>
      <c r="AU257" s="13">
        <f t="shared" si="107"/>
        <v>9</v>
      </c>
      <c r="AV257" s="13">
        <f t="shared" si="108"/>
        <v>10</v>
      </c>
      <c r="AW257" s="169">
        <f t="shared" si="109"/>
        <v>43318</v>
      </c>
      <c r="AX257" s="744">
        <f t="shared" si="110"/>
        <v>0.8928571428571429</v>
      </c>
      <c r="AY257" s="760">
        <f t="shared" si="111"/>
        <v>52.063054290972651</v>
      </c>
      <c r="AZ257" s="737">
        <f t="shared" si="115"/>
        <v>52.001036605817667</v>
      </c>
      <c r="BA257" s="634">
        <f t="shared" si="112"/>
        <v>0.4947781713481893</v>
      </c>
      <c r="BC257" s="11">
        <v>43343</v>
      </c>
      <c r="BD257" s="286">
        <f>[3]!FeuilCaduc*(1-Persistant)+Persistant</f>
        <v>0.98659359299665617</v>
      </c>
      <c r="BE257" s="287">
        <f>[3]!CroissVégét</f>
        <v>0.9670231812722152</v>
      </c>
      <c r="BF257" s="807">
        <f>1+[3]!Salcycl*Ksac</f>
        <v>1.048324199124582</v>
      </c>
      <c r="BH257" s="1041">
        <f t="shared" si="113"/>
        <v>1.6031354868565105E-3</v>
      </c>
      <c r="BI257" s="11">
        <v>44439</v>
      </c>
      <c r="BJ257" s="717">
        <v>1.9870109239652575E-4</v>
      </c>
      <c r="BK257" s="717">
        <v>3.6090956533721218E-4</v>
      </c>
      <c r="BL257" s="717">
        <v>5.381478949062563E-4</v>
      </c>
      <c r="BM257" s="717">
        <v>7.7312796857782794E-4</v>
      </c>
      <c r="BN257" s="717">
        <v>1.0936736006926372E-3</v>
      </c>
      <c r="BO257" s="718">
        <v>1.6063051770517298E-3</v>
      </c>
      <c r="BP257" s="717">
        <v>2.2425619282291209E-3</v>
      </c>
      <c r="BQ257" s="717">
        <v>3.6157187932396757E-3</v>
      </c>
      <c r="BR257" s="717">
        <v>5.0490527962661867E-3</v>
      </c>
      <c r="BS257" s="717">
        <v>6.6295906596595322E-3</v>
      </c>
      <c r="BT257" s="717">
        <v>7.7105537956254694E-3</v>
      </c>
      <c r="BW257" s="1162">
        <f>'2022'!R\Max</f>
        <v>0.4947781713481893</v>
      </c>
      <c r="BX257" s="1163">
        <f>'2023'!R\Max</f>
        <v>0.49476847400239188</v>
      </c>
      <c r="BY257" s="1163">
        <f>'2024'!R\Max</f>
        <v>0.49474805416476447</v>
      </c>
      <c r="BZ257" s="1163">
        <f>'2025'!R\Max</f>
        <v>0.49472712437739508</v>
      </c>
      <c r="CA257" s="1163">
        <f>'2026'!R\Max</f>
        <v>0.49470531822859343</v>
      </c>
      <c r="CB257" s="1163">
        <f>'2027'!R\Max</f>
        <v>0.49468346974489397</v>
      </c>
      <c r="CC257" s="1164">
        <f>'2028'!R\Max</f>
        <v>0.49465947830289331</v>
      </c>
      <c r="CD257" s="1163">
        <f>'2029'!R\Max</f>
        <v>0.4947786559810895</v>
      </c>
      <c r="CE257" s="1163">
        <f>'2030'!R\Max</f>
        <v>0.49476895864261633</v>
      </c>
      <c r="CF257" s="1165">
        <f>'2031'!R\Max</f>
        <v>0.49474910013863771</v>
      </c>
    </row>
    <row r="258" spans="1:84" s="6" customFormat="1" ht="11.25" x14ac:dyDescent="0.2">
      <c r="A258" s="11">
        <v>43344</v>
      </c>
      <c r="B258" s="375">
        <f>'2022'!Maxi_hp</f>
        <v>44.255000274929195</v>
      </c>
      <c r="C258" s="13">
        <f>'2022'!An_max</f>
        <v>2022</v>
      </c>
      <c r="D258" s="1050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69">
        <f t="shared" si="99"/>
        <v>43346</v>
      </c>
      <c r="I258" s="744">
        <f t="shared" si="100"/>
        <v>0.14285714285714285</v>
      </c>
      <c r="J258" s="737">
        <f t="shared" si="101"/>
        <v>51.729559766607636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43">
        <v>43344</v>
      </c>
      <c r="AP258" s="13">
        <f t="shared" si="102"/>
        <v>11</v>
      </c>
      <c r="AQ258" s="13">
        <f t="shared" si="103"/>
        <v>10</v>
      </c>
      <c r="AR258" s="169">
        <f t="shared" si="104"/>
        <v>43360</v>
      </c>
      <c r="AS258" s="744">
        <f t="shared" si="105"/>
        <v>0.5714285714285714</v>
      </c>
      <c r="AT258" s="760">
        <f t="shared" si="106"/>
        <v>51.655290087844641</v>
      </c>
      <c r="AU258" s="13">
        <f t="shared" si="107"/>
        <v>9</v>
      </c>
      <c r="AV258" s="13">
        <f t="shared" si="108"/>
        <v>10</v>
      </c>
      <c r="AW258" s="169">
        <f t="shared" si="109"/>
        <v>43318</v>
      </c>
      <c r="AX258" s="744">
        <f t="shared" si="110"/>
        <v>0.9285714285714286</v>
      </c>
      <c r="AY258" s="760">
        <f t="shared" si="111"/>
        <v>51.762034547967573</v>
      </c>
      <c r="AZ258" s="737">
        <f t="shared" si="115"/>
        <v>51.708662317906104</v>
      </c>
      <c r="BA258" s="634">
        <f t="shared" si="112"/>
        <v>0.85550699589553814</v>
      </c>
      <c r="BC258" s="11">
        <v>43344</v>
      </c>
      <c r="BD258" s="286">
        <f>[3]!FeuilCaduc*(1-Persistant)+Persistant</f>
        <v>0.9857181589603855</v>
      </c>
      <c r="BE258" s="287">
        <f>[3]!CroissVégét</f>
        <v>0.96832140523745813</v>
      </c>
      <c r="BF258" s="807">
        <f>1+[3]!Salcycl*Ksac</f>
        <v>1.0482147698700481</v>
      </c>
      <c r="BH258" s="1041">
        <f t="shared" si="113"/>
        <v>1.6737709715272363E-3</v>
      </c>
      <c r="BI258" s="11">
        <v>44440</v>
      </c>
      <c r="BJ258" s="717">
        <v>2.0432392820547485E-4</v>
      </c>
      <c r="BK258" s="717">
        <v>3.7554373264241868E-4</v>
      </c>
      <c r="BL258" s="717">
        <v>5.6108690936527061E-4</v>
      </c>
      <c r="BM258" s="717">
        <v>8.0312065848640879E-4</v>
      </c>
      <c r="BN258" s="717">
        <v>1.1354953811797558E-3</v>
      </c>
      <c r="BO258" s="718">
        <v>1.6771199303156892E-3</v>
      </c>
      <c r="BP258" s="717">
        <v>2.3448606454920286E-3</v>
      </c>
      <c r="BQ258" s="717">
        <v>3.7708194502762255E-3</v>
      </c>
      <c r="BR258" s="717">
        <v>5.2424892956533277E-3</v>
      </c>
      <c r="BS258" s="717">
        <v>6.861178161011768E-3</v>
      </c>
      <c r="BT258" s="717">
        <v>7.9576209933309282E-3</v>
      </c>
      <c r="BW258" s="1162">
        <f>'2022'!R\Max</f>
        <v>0.85550699589553814</v>
      </c>
      <c r="BX258" s="1163">
        <f>'2023'!R\Max</f>
        <v>0.85550194005509272</v>
      </c>
      <c r="BY258" s="1163">
        <f>'2024'!R\Max</f>
        <v>0.85549139543826247</v>
      </c>
      <c r="BZ258" s="1163">
        <f>'2025'!R\Max</f>
        <v>0.85548059690974954</v>
      </c>
      <c r="CA258" s="1163">
        <f>'2026'!R\Max</f>
        <v>0.85546946636990362</v>
      </c>
      <c r="CB258" s="1163">
        <f>'2027'!R\Max</f>
        <v>0.85545831946602335</v>
      </c>
      <c r="CC258" s="1164">
        <f>'2028'!R\Max</f>
        <v>0.85544610675877486</v>
      </c>
      <c r="CD258" s="1163">
        <f>'2029'!R\Max</f>
        <v>0.8555072485613352</v>
      </c>
      <c r="CE258" s="1163">
        <f>'2030'!R\Max</f>
        <v>0.85550219273237105</v>
      </c>
      <c r="CF258" s="1165">
        <f>'2031'!R\Max</f>
        <v>0.8554919350804695</v>
      </c>
    </row>
    <row r="259" spans="1:84" s="6" customFormat="1" ht="11.25" x14ac:dyDescent="0.2">
      <c r="A259" s="11">
        <v>43345</v>
      </c>
      <c r="B259" s="375">
        <f>'2022'!Maxi_hp</f>
        <v>41.8354747145045</v>
      </c>
      <c r="C259" s="13">
        <f>'2022'!An_max</f>
        <v>2022</v>
      </c>
      <c r="D259" s="1050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69">
        <f t="shared" si="99"/>
        <v>43346</v>
      </c>
      <c r="I259" s="744">
        <f t="shared" si="100"/>
        <v>7.1428571428571425E-2</v>
      </c>
      <c r="J259" s="737">
        <f t="shared" si="101"/>
        <v>51.441964995741316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43">
        <v>43345</v>
      </c>
      <c r="AP259" s="13">
        <f t="shared" si="102"/>
        <v>11</v>
      </c>
      <c r="AQ259" s="13">
        <f t="shared" si="103"/>
        <v>10</v>
      </c>
      <c r="AR259" s="169">
        <f t="shared" si="104"/>
        <v>43360</v>
      </c>
      <c r="AS259" s="744">
        <f t="shared" si="105"/>
        <v>0.5357142857142857</v>
      </c>
      <c r="AT259" s="760">
        <f t="shared" si="106"/>
        <v>51.369049191368482</v>
      </c>
      <c r="AU259" s="13">
        <f t="shared" si="107"/>
        <v>9</v>
      </c>
      <c r="AV259" s="13">
        <f t="shared" si="108"/>
        <v>10</v>
      </c>
      <c r="AW259" s="169">
        <f t="shared" si="109"/>
        <v>43318</v>
      </c>
      <c r="AX259" s="744">
        <f t="shared" si="110"/>
        <v>0.9642857142857143</v>
      </c>
      <c r="AY259" s="760">
        <f t="shared" si="111"/>
        <v>51.457301320707685</v>
      </c>
      <c r="AZ259" s="737">
        <f t="shared" si="115"/>
        <v>51.413175256038087</v>
      </c>
      <c r="BA259" s="634">
        <f t="shared" si="112"/>
        <v>0.8132557673091978</v>
      </c>
      <c r="BC259" s="11">
        <v>43345</v>
      </c>
      <c r="BD259" s="286">
        <f>[3]!FeuilCaduc*(1-Persistant)+Persistant</f>
        <v>0.98480204772528879</v>
      </c>
      <c r="BE259" s="287">
        <f>[3]!CroissVégét</f>
        <v>0.96957063646587138</v>
      </c>
      <c r="BF259" s="807">
        <f>1+[3]!Salcycl*Ksac</f>
        <v>1.0481002559656611</v>
      </c>
      <c r="BH259" s="1041">
        <f t="shared" si="113"/>
        <v>1.7463441397773283E-3</v>
      </c>
      <c r="BI259" s="11">
        <v>44441</v>
      </c>
      <c r="BJ259" s="717">
        <v>2.0962942411605892E-4</v>
      </c>
      <c r="BK259" s="717">
        <v>3.9009421864143434E-4</v>
      </c>
      <c r="BL259" s="717">
        <v>5.8405102692114319E-4</v>
      </c>
      <c r="BM259" s="717">
        <v>8.3331671950255765E-4</v>
      </c>
      <c r="BN259" s="717">
        <v>1.1778820981011757E-3</v>
      </c>
      <c r="BO259" s="718">
        <v>1.7498809079022663E-3</v>
      </c>
      <c r="BP259" s="717">
        <v>2.4494254886706381E-3</v>
      </c>
      <c r="BQ259" s="717">
        <v>3.9189330450271178E-3</v>
      </c>
      <c r="BR259" s="717">
        <v>5.4173787507158294E-3</v>
      </c>
      <c r="BS259" s="717">
        <v>7.0620436684840499E-3</v>
      </c>
      <c r="BT259" s="717">
        <v>8.1698870131195686E-3</v>
      </c>
      <c r="BW259" s="1162">
        <f>'2022'!R\Max</f>
        <v>0.8132557673091978</v>
      </c>
      <c r="BX259" s="1163">
        <f>'2023'!R\Max</f>
        <v>0.81324922964845847</v>
      </c>
      <c r="BY259" s="1163">
        <f>'2024'!R\Max</f>
        <v>0.81323580326825573</v>
      </c>
      <c r="BZ259" s="1163">
        <f>'2025'!R\Max</f>
        <v>0.8132220676575892</v>
      </c>
      <c r="CA259" s="1163">
        <f>'2026'!R\Max</f>
        <v>0.81320807182393329</v>
      </c>
      <c r="CB259" s="1163">
        <f>'2027'!R\Max</f>
        <v>0.81319406308779307</v>
      </c>
      <c r="CC259" s="1164">
        <f>'2028'!R\Max</f>
        <v>0.81317874435500481</v>
      </c>
      <c r="CD259" s="1163">
        <f>'2029'!R\Max</f>
        <v>0.81325609402922916</v>
      </c>
      <c r="CE259" s="1163">
        <f>'2030'!R\Max</f>
        <v>0.81324955638292729</v>
      </c>
      <c r="CF259" s="1165">
        <f>'2031'!R\Max</f>
        <v>0.81323648968878437</v>
      </c>
    </row>
    <row r="260" spans="1:84" s="6" customFormat="1" ht="11.25" x14ac:dyDescent="0.2">
      <c r="A260" s="11">
        <v>43346</v>
      </c>
      <c r="B260" s="375">
        <f>'2022'!Maxi_hp</f>
        <v>38.490229957550994</v>
      </c>
      <c r="C260" s="13">
        <f>'2022'!An_max</f>
        <v>2022</v>
      </c>
      <c r="D260" s="1050" t="str">
        <f t="shared" si="97"/>
        <v/>
      </c>
      <c r="E260" s="1045">
        <f>AE$13/10</f>
        <v>51.148800000000001</v>
      </c>
      <c r="F260" s="13">
        <f t="shared" si="114"/>
        <v>19</v>
      </c>
      <c r="G260" s="13">
        <f t="shared" si="98"/>
        <v>20</v>
      </c>
      <c r="H260" s="169">
        <f t="shared" si="99"/>
        <v>43346</v>
      </c>
      <c r="I260" s="744">
        <f t="shared" si="100"/>
        <v>0</v>
      </c>
      <c r="J260" s="737">
        <f t="shared" si="101"/>
        <v>51.148799999430778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43">
        <v>43346</v>
      </c>
      <c r="AP260" s="13">
        <f t="shared" si="102"/>
        <v>11</v>
      </c>
      <c r="AQ260" s="13">
        <f t="shared" si="103"/>
        <v>10</v>
      </c>
      <c r="AR260" s="169">
        <f t="shared" si="104"/>
        <v>43360</v>
      </c>
      <c r="AS260" s="744">
        <f t="shared" si="105"/>
        <v>0.5</v>
      </c>
      <c r="AT260" s="760">
        <f t="shared" si="106"/>
        <v>51.080118750780819</v>
      </c>
      <c r="AU260" s="13">
        <f t="shared" si="107"/>
        <v>11</v>
      </c>
      <c r="AV260" s="13">
        <f t="shared" si="108"/>
        <v>10</v>
      </c>
      <c r="AW260" s="169">
        <f t="shared" si="109"/>
        <v>43374</v>
      </c>
      <c r="AX260" s="744">
        <f t="shared" si="110"/>
        <v>1</v>
      </c>
      <c r="AY260" s="760">
        <f t="shared" si="111"/>
        <v>51.148800000175832</v>
      </c>
      <c r="AZ260" s="737">
        <f t="shared" si="115"/>
        <v>51.114459375478326</v>
      </c>
      <c r="BA260" s="634">
        <f t="shared" si="112"/>
        <v>0.75251481868546954</v>
      </c>
      <c r="BC260" s="11">
        <v>43346</v>
      </c>
      <c r="BD260" s="286">
        <f>[3]!FeuilCaduc*(1-Persistant)+Persistant</f>
        <v>0.98384368730206961</v>
      </c>
      <c r="BE260" s="287">
        <f>[3]!CroissVégét</f>
        <v>0.97077260062312232</v>
      </c>
      <c r="BF260" s="807">
        <f>1+[3]!Salcycl*Ksac</f>
        <v>1.0479804609127588</v>
      </c>
      <c r="BH260" s="1041">
        <f t="shared" si="113"/>
        <v>1.8208572919946142E-3</v>
      </c>
      <c r="BI260" s="11">
        <v>44442</v>
      </c>
      <c r="BJ260" s="717">
        <v>2.1461762164388338E-4</v>
      </c>
      <c r="BK260" s="717">
        <v>4.0456134790847596E-4</v>
      </c>
      <c r="BL260" s="717">
        <v>6.0704080269186609E-4</v>
      </c>
      <c r="BM260" s="717">
        <v>8.6371694227787199E-4</v>
      </c>
      <c r="BN260" s="717">
        <v>1.220834946729338E-3</v>
      </c>
      <c r="BO260" s="718">
        <v>1.8245904170749231E-3</v>
      </c>
      <c r="BP260" s="717">
        <v>2.5562596041527282E-3</v>
      </c>
      <c r="BQ260" s="717">
        <v>4.0600610242398734E-3</v>
      </c>
      <c r="BR260" s="717">
        <v>5.5737198783359981E-3</v>
      </c>
      <c r="BS260" s="717">
        <v>7.2321829884499506E-3</v>
      </c>
      <c r="BT260" s="717">
        <v>8.3473468203889376E-3</v>
      </c>
      <c r="BW260" s="1162">
        <f>'2022'!R\Max</f>
        <v>0.75251481868546954</v>
      </c>
      <c r="BX260" s="1163">
        <f>'2023'!R\Max</f>
        <v>0.75250639367227568</v>
      </c>
      <c r="BY260" s="1163">
        <f>'2024'!R\Max</f>
        <v>0.75248944648668781</v>
      </c>
      <c r="BZ260" s="1163">
        <f>'2025'!R\Max</f>
        <v>0.75247212802771679</v>
      </c>
      <c r="CA260" s="1163">
        <f>'2026'!R\Max</f>
        <v>0.75245469929665965</v>
      </c>
      <c r="CB260" s="1163">
        <f>'2027'!R\Max</f>
        <v>0.75243726436662883</v>
      </c>
      <c r="CC260" s="1164">
        <f>'2028'!R\Max</f>
        <v>0.75241822921272106</v>
      </c>
      <c r="CD260" s="1163">
        <f>'2029'!R\Max</f>
        <v>0.75251523972678291</v>
      </c>
      <c r="CE260" s="1163">
        <f>'2030'!R\Max</f>
        <v>0.75250681473082792</v>
      </c>
      <c r="CF260" s="1165">
        <f>'2031'!R\Max</f>
        <v>0.75249031195966998</v>
      </c>
    </row>
    <row r="261" spans="1:84" s="6" customFormat="1" ht="11.25" x14ac:dyDescent="0.2">
      <c r="A261" s="11">
        <v>43347</v>
      </c>
      <c r="B261" s="375">
        <f>'2022'!Maxi_hp</f>
        <v>50.473575037917115</v>
      </c>
      <c r="C261" s="13">
        <f>'2022'!An_max</f>
        <v>2022</v>
      </c>
      <c r="D261" s="1050">
        <f t="shared" si="97"/>
        <v>0.99256623455752202</v>
      </c>
      <c r="E261" s="13"/>
      <c r="F261" s="13">
        <f t="shared" si="114"/>
        <v>19</v>
      </c>
      <c r="G261" s="13">
        <f t="shared" si="98"/>
        <v>20</v>
      </c>
      <c r="H261" s="169">
        <f t="shared" si="99"/>
        <v>43346</v>
      </c>
      <c r="I261" s="744">
        <f t="shared" si="100"/>
        <v>7.1428571428571425E-2</v>
      </c>
      <c r="J261" s="737">
        <f t="shared" si="101"/>
        <v>50.85159385904138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43">
        <v>43347</v>
      </c>
      <c r="AP261" s="13">
        <f t="shared" si="102"/>
        <v>11</v>
      </c>
      <c r="AQ261" s="13">
        <f t="shared" si="103"/>
        <v>10</v>
      </c>
      <c r="AR261" s="169">
        <f t="shared" si="104"/>
        <v>43360</v>
      </c>
      <c r="AS261" s="744">
        <f t="shared" si="105"/>
        <v>0.4642857142857143</v>
      </c>
      <c r="AT261" s="760">
        <f t="shared" si="106"/>
        <v>50.78832128133093</v>
      </c>
      <c r="AU261" s="13">
        <f t="shared" si="107"/>
        <v>11</v>
      </c>
      <c r="AV261" s="13">
        <f t="shared" si="108"/>
        <v>10</v>
      </c>
      <c r="AW261" s="169">
        <f t="shared" si="109"/>
        <v>43374</v>
      </c>
      <c r="AX261" s="744">
        <f t="shared" si="110"/>
        <v>0.9642857142857143</v>
      </c>
      <c r="AY261" s="760">
        <f t="shared" si="111"/>
        <v>50.835879815017265</v>
      </c>
      <c r="AZ261" s="737">
        <f t="shared" si="115"/>
        <v>50.812100548174101</v>
      </c>
      <c r="BA261" s="634">
        <f t="shared" si="112"/>
        <v>0.99256623455752202</v>
      </c>
      <c r="BC261" s="11">
        <v>43347</v>
      </c>
      <c r="BD261" s="286">
        <f>[3]!FeuilCaduc*(1-Persistant)+Persistant</f>
        <v>0.98284144277977403</v>
      </c>
      <c r="BE261" s="287">
        <f>[3]!CroissVégét</f>
        <v>0.97192897207465079</v>
      </c>
      <c r="BF261" s="807">
        <f>1+[3]!Salcycl*Ksac</f>
        <v>1.0478551803474718</v>
      </c>
      <c r="BH261" s="1041">
        <f t="shared" si="113"/>
        <v>1.8973128503608704E-3</v>
      </c>
      <c r="BI261" s="11">
        <v>44443</v>
      </c>
      <c r="BJ261" s="717">
        <v>2.1928855217420322E-4</v>
      </c>
      <c r="BK261" s="717">
        <v>4.1894544987126843E-4</v>
      </c>
      <c r="BL261" s="717">
        <v>6.3005680597443556E-4</v>
      </c>
      <c r="BM261" s="717">
        <v>8.9432214314007447E-4</v>
      </c>
      <c r="BN261" s="717">
        <v>1.2643551699477245E-3</v>
      </c>
      <c r="BO261" s="718">
        <v>1.9012508873526089E-3</v>
      </c>
      <c r="BP261" s="717">
        <v>2.6653662920630449E-3</v>
      </c>
      <c r="BQ261" s="717">
        <v>4.1942046300387781E-3</v>
      </c>
      <c r="BR261" s="717">
        <v>5.711510727139768E-3</v>
      </c>
      <c r="BS261" s="717">
        <v>7.3715907694141582E-3</v>
      </c>
      <c r="BT261" s="717">
        <v>8.489994059999572E-3</v>
      </c>
      <c r="BW261" s="1162">
        <f>'2022'!R\Max</f>
        <v>0.99256623455752202</v>
      </c>
      <c r="BX261" s="1163">
        <f>'2023'!R\Max</f>
        <v>0.9925658842795031</v>
      </c>
      <c r="BY261" s="1163">
        <f>'2024'!R\Max</f>
        <v>0.9925651975537727</v>
      </c>
      <c r="BZ261" s="1163">
        <f>'2025'!R\Max</f>
        <v>0.99256449655972612</v>
      </c>
      <c r="CA261" s="1163">
        <f>'2026'!R\Max</f>
        <v>0.99256380054830617</v>
      </c>
      <c r="CB261" s="1163">
        <f>'2027'!R\Max</f>
        <v>0.99256310465984643</v>
      </c>
      <c r="CC261" s="1164">
        <f>'2028'!R\Max</f>
        <v>0.99256234583472891</v>
      </c>
      <c r="CD261" s="1163">
        <f>'2029'!R\Max</f>
        <v>0.99256625206249138</v>
      </c>
      <c r="CE261" s="1163">
        <f>'2030'!R\Max</f>
        <v>0.99256590178562321</v>
      </c>
      <c r="CF261" s="1165">
        <f>'2031'!R\Max</f>
        <v>0.99256523258438967</v>
      </c>
    </row>
    <row r="262" spans="1:84" s="6" customFormat="1" ht="11.25" x14ac:dyDescent="0.2">
      <c r="A262" s="11">
        <v>43348</v>
      </c>
      <c r="B262" s="375">
        <f>'2022'!Maxi_hp</f>
        <v>42.238772053964766</v>
      </c>
      <c r="C262" s="13">
        <f>'2022'!An_max</f>
        <v>2022</v>
      </c>
      <c r="D262" s="1050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69">
        <f t="shared" si="99"/>
        <v>43346</v>
      </c>
      <c r="I262" s="744">
        <f t="shared" si="100"/>
        <v>0.14285714285714285</v>
      </c>
      <c r="J262" s="737">
        <f t="shared" si="101"/>
        <v>50.552021282166244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43">
        <v>43348</v>
      </c>
      <c r="AP262" s="13">
        <f t="shared" si="102"/>
        <v>11</v>
      </c>
      <c r="AQ262" s="13">
        <f t="shared" si="103"/>
        <v>10</v>
      </c>
      <c r="AR262" s="169">
        <f t="shared" si="104"/>
        <v>43360</v>
      </c>
      <c r="AS262" s="744">
        <f t="shared" si="105"/>
        <v>0.42857142857142855</v>
      </c>
      <c r="AT262" s="760">
        <f t="shared" si="106"/>
        <v>50.493479300449998</v>
      </c>
      <c r="AU262" s="13">
        <f t="shared" si="107"/>
        <v>11</v>
      </c>
      <c r="AV262" s="13">
        <f t="shared" si="108"/>
        <v>10</v>
      </c>
      <c r="AW262" s="169">
        <f t="shared" si="109"/>
        <v>43374</v>
      </c>
      <c r="AX262" s="744">
        <f t="shared" si="110"/>
        <v>0.9285714285714286</v>
      </c>
      <c r="AY262" s="760">
        <f t="shared" si="111"/>
        <v>50.518053825971272</v>
      </c>
      <c r="AZ262" s="737">
        <f t="shared" si="115"/>
        <v>50.505766563210635</v>
      </c>
      <c r="BA262" s="634">
        <f t="shared" si="112"/>
        <v>0.83555060673440906</v>
      </c>
      <c r="BC262" s="11">
        <v>43348</v>
      </c>
      <c r="BD262" s="286">
        <f>[3]!FeuilCaduc*(1-Persistant)+Persistant</f>
        <v>0.98179361239504859</v>
      </c>
      <c r="BE262" s="287">
        <f>[3]!CroissVégét</f>
        <v>0.97304137466019458</v>
      </c>
      <c r="BF262" s="807">
        <f>1+[3]!Salcycl*Ksac</f>
        <v>1.0477242015493811</v>
      </c>
      <c r="BH262" s="1041">
        <f t="shared" si="113"/>
        <v>1.9676126746891402E-3</v>
      </c>
      <c r="BI262" s="11">
        <v>44444</v>
      </c>
      <c r="BJ262" s="717">
        <v>2.2550483310439134E-4</v>
      </c>
      <c r="BK262" s="717">
        <v>4.3405546385081152E-4</v>
      </c>
      <c r="BL262" s="717">
        <v>6.5298985242510943E-4</v>
      </c>
      <c r="BM262" s="717">
        <v>9.239599044801902E-4</v>
      </c>
      <c r="BN262" s="717">
        <v>1.3053515597179436E-3</v>
      </c>
      <c r="BO262" s="718">
        <v>1.9717330272018773E-3</v>
      </c>
      <c r="BP262" s="717">
        <v>2.7636859387178609E-3</v>
      </c>
      <c r="BQ262" s="717">
        <v>4.3038117914838562E-3</v>
      </c>
      <c r="BR262" s="717">
        <v>5.8117232002036535E-3</v>
      </c>
      <c r="BS262" s="717">
        <v>7.4599168831801293E-3</v>
      </c>
      <c r="BT262" s="717">
        <v>8.5762930225442395E-3</v>
      </c>
      <c r="BW262" s="1162">
        <f>'2022'!R\Max</f>
        <v>0.83555060673440906</v>
      </c>
      <c r="BX262" s="1163">
        <f>'2023'!R\Max</f>
        <v>0.8355438132853753</v>
      </c>
      <c r="BY262" s="1163">
        <f>'2024'!R\Max</f>
        <v>0.83553085332319721</v>
      </c>
      <c r="BZ262" s="1163">
        <f>'2025'!R\Max</f>
        <v>0.83551763960896275</v>
      </c>
      <c r="CA262" s="1163">
        <f>'2026'!R\Max</f>
        <v>0.83550469009344874</v>
      </c>
      <c r="CB262" s="1163">
        <f>'2027'!R\Max</f>
        <v>0.83549175014267918</v>
      </c>
      <c r="CC262" s="1164">
        <f>'2028'!R\Max</f>
        <v>0.83547765223298076</v>
      </c>
      <c r="CD262" s="1163">
        <f>'2029'!R\Max</f>
        <v>0.83555094623591464</v>
      </c>
      <c r="CE262" s="1163">
        <f>'2030'!R\Max</f>
        <v>0.83554415280485994</v>
      </c>
      <c r="CF262" s="1165">
        <f>'2031'!R\Max</f>
        <v>0.83553151365906064</v>
      </c>
    </row>
    <row r="263" spans="1:84" s="6" customFormat="1" ht="11.25" x14ac:dyDescent="0.2">
      <c r="A263" s="11">
        <v>43349</v>
      </c>
      <c r="B263" s="375">
        <f>'2022'!Maxi_hp</f>
        <v>46.043442826632116</v>
      </c>
      <c r="C263" s="13">
        <f>'2022'!An_max</f>
        <v>2022</v>
      </c>
      <c r="D263" s="1050" t="str">
        <f t="shared" si="97"/>
        <v/>
      </c>
      <c r="E263" s="13"/>
      <c r="F263" s="13">
        <f t="shared" si="114"/>
        <v>19</v>
      </c>
      <c r="G263" s="13">
        <f t="shared" si="98"/>
        <v>20</v>
      </c>
      <c r="H263" s="169">
        <f t="shared" si="99"/>
        <v>43346</v>
      </c>
      <c r="I263" s="744">
        <f t="shared" si="100"/>
        <v>0.21428571428571427</v>
      </c>
      <c r="J263" s="737">
        <f t="shared" si="101"/>
        <v>50.249754609540105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43">
        <v>43349</v>
      </c>
      <c r="AP263" s="13">
        <f t="shared" si="102"/>
        <v>11</v>
      </c>
      <c r="AQ263" s="13">
        <f t="shared" si="103"/>
        <v>10</v>
      </c>
      <c r="AR263" s="169">
        <f t="shared" si="104"/>
        <v>43360</v>
      </c>
      <c r="AS263" s="744">
        <f t="shared" si="105"/>
        <v>0.39285714285714285</v>
      </c>
      <c r="AT263" s="760">
        <f t="shared" si="106"/>
        <v>50.195415327019461</v>
      </c>
      <c r="AU263" s="13">
        <f t="shared" si="107"/>
        <v>11</v>
      </c>
      <c r="AV263" s="13">
        <f t="shared" si="108"/>
        <v>10</v>
      </c>
      <c r="AW263" s="169">
        <f t="shared" si="109"/>
        <v>43374</v>
      </c>
      <c r="AX263" s="744">
        <f t="shared" si="110"/>
        <v>0.8928571428571429</v>
      </c>
      <c r="AY263" s="760">
        <f t="shared" si="111"/>
        <v>50.195513168955223</v>
      </c>
      <c r="AZ263" s="737">
        <f t="shared" si="115"/>
        <v>50.195464247987346</v>
      </c>
      <c r="BA263" s="634">
        <f t="shared" si="112"/>
        <v>0.91629189404818701</v>
      </c>
      <c r="BC263" s="11">
        <v>43349</v>
      </c>
      <c r="BD263" s="286">
        <f>[3]!FeuilCaduc*(1-Persistant)+Persistant</f>
        <v>0.98069842376122951</v>
      </c>
      <c r="BE263" s="287">
        <f>[3]!CroissVégét</f>
        <v>0.97411138252345786</v>
      </c>
      <c r="BF263" s="807">
        <f>1+[3]!Salcycl*Ksac</f>
        <v>1.0475873029701537</v>
      </c>
      <c r="BH263" s="1041">
        <f t="shared" si="113"/>
        <v>2.0282555154926829E-3</v>
      </c>
      <c r="BI263" s="11">
        <v>44445</v>
      </c>
      <c r="BJ263" s="717">
        <v>2.3402563115796537E-4</v>
      </c>
      <c r="BK263" s="717">
        <v>4.503117980304854E-4</v>
      </c>
      <c r="BL263" s="717">
        <v>6.7593425661185676E-4</v>
      </c>
      <c r="BM263" s="717">
        <v>9.5231542618117327E-4</v>
      </c>
      <c r="BN263" s="717">
        <v>1.3426258547979755E-3</v>
      </c>
      <c r="BO263" s="718">
        <v>2.0325212587643132E-3</v>
      </c>
      <c r="BP263" s="717">
        <v>2.845589852331958E-3</v>
      </c>
      <c r="BQ263" s="717">
        <v>4.3815670735079457E-3</v>
      </c>
      <c r="BR263" s="717">
        <v>5.8671452863728437E-3</v>
      </c>
      <c r="BS263" s="717">
        <v>7.4905044938361797E-3</v>
      </c>
      <c r="BT263" s="717">
        <v>8.6004942406789457E-3</v>
      </c>
      <c r="BW263" s="1162">
        <f>'2022'!R\Max</f>
        <v>0.91629189404818701</v>
      </c>
      <c r="BX263" s="1163">
        <f>'2023'!R\Max</f>
        <v>0.9162879817066929</v>
      </c>
      <c r="BY263" s="1163">
        <f>'2024'!R\Max</f>
        <v>0.91628072327673638</v>
      </c>
      <c r="BZ263" s="1163">
        <f>'2025'!R\Max</f>
        <v>0.91627333089397212</v>
      </c>
      <c r="CA263" s="1163">
        <f>'2026'!R\Max</f>
        <v>0.91626617095626406</v>
      </c>
      <c r="CB263" s="1163">
        <f>'2027'!R\Max</f>
        <v>0.91625901947677235</v>
      </c>
      <c r="CC263" s="1164">
        <f>'2028'!R\Max</f>
        <v>0.91625122916715163</v>
      </c>
      <c r="CD263" s="1163">
        <f>'2029'!R\Max</f>
        <v>0.91629208956579622</v>
      </c>
      <c r="CE263" s="1163">
        <f>'2030'!R\Max</f>
        <v>0.91628817723659506</v>
      </c>
      <c r="CF263" s="1165">
        <f>'2031'!R\Max</f>
        <v>0.9162810926970909</v>
      </c>
    </row>
    <row r="264" spans="1:84" s="6" customFormat="1" ht="11.25" x14ac:dyDescent="0.2">
      <c r="A264" s="11">
        <v>43350</v>
      </c>
      <c r="B264" s="375">
        <f>'2022'!Maxi_hp</f>
        <v>37.756957549064502</v>
      </c>
      <c r="C264" s="13">
        <f>'2022'!An_max</f>
        <v>2022</v>
      </c>
      <c r="D264" s="1050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69">
        <f t="shared" si="99"/>
        <v>43346</v>
      </c>
      <c r="I264" s="744">
        <f t="shared" si="100"/>
        <v>0.2857142857142857</v>
      </c>
      <c r="J264" s="737">
        <f t="shared" si="101"/>
        <v>49.944466180035043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43">
        <v>43350</v>
      </c>
      <c r="AP264" s="13">
        <f t="shared" si="102"/>
        <v>11</v>
      </c>
      <c r="AQ264" s="13">
        <f t="shared" si="103"/>
        <v>10</v>
      </c>
      <c r="AR264" s="169">
        <f t="shared" si="104"/>
        <v>43360</v>
      </c>
      <c r="AS264" s="744">
        <f t="shared" si="105"/>
        <v>0.35714285714285715</v>
      </c>
      <c r="AT264" s="760">
        <f t="shared" si="106"/>
        <v>49.89395187741944</v>
      </c>
      <c r="AU264" s="13">
        <f t="shared" si="107"/>
        <v>11</v>
      </c>
      <c r="AV264" s="13">
        <f t="shared" si="108"/>
        <v>10</v>
      </c>
      <c r="AW264" s="169">
        <f t="shared" si="109"/>
        <v>43374</v>
      </c>
      <c r="AX264" s="744">
        <f t="shared" si="110"/>
        <v>0.8571428571428571</v>
      </c>
      <c r="AY264" s="760">
        <f t="shared" si="111"/>
        <v>49.868448979753467</v>
      </c>
      <c r="AZ264" s="737">
        <f t="shared" si="115"/>
        <v>49.881200428586453</v>
      </c>
      <c r="BA264" s="634">
        <f t="shared" si="112"/>
        <v>0.75597879879147822</v>
      </c>
      <c r="BC264" s="11">
        <v>43350</v>
      </c>
      <c r="BD264" s="286">
        <f>[3]!FeuilCaduc*(1-Persistant)+Persistant</f>
        <v>0.97955403039187494</v>
      </c>
      <c r="BE264" s="287">
        <f>[3]!CroissVégét</f>
        <v>0.97514052098953308</v>
      </c>
      <c r="BF264" s="807">
        <f>1+[3]!Salcycl*Ksac</f>
        <v>1.0474442537989843</v>
      </c>
      <c r="BH264" s="1041">
        <f t="shared" si="113"/>
        <v>2.0792392595247781E-3</v>
      </c>
      <c r="BI264" s="11">
        <v>44446</v>
      </c>
      <c r="BJ264" s="717">
        <v>2.4485205627291042E-4</v>
      </c>
      <c r="BK264" s="717">
        <v>4.6771531522141739E-4</v>
      </c>
      <c r="BL264" s="717">
        <v>6.9889062154950953E-4</v>
      </c>
      <c r="BM264" s="717">
        <v>9.7938896938072357E-4</v>
      </c>
      <c r="BN264" s="717">
        <v>1.3761776247653167E-3</v>
      </c>
      <c r="BO264" s="718">
        <v>2.0836134583232628E-3</v>
      </c>
      <c r="BP264" s="717">
        <v>2.9110738910789421E-3</v>
      </c>
      <c r="BQ264" s="717">
        <v>4.4274604989980168E-3</v>
      </c>
      <c r="BR264" s="717">
        <v>5.8777617320752784E-3</v>
      </c>
      <c r="BS264" s="717">
        <v>7.4633330322954007E-3</v>
      </c>
      <c r="BT264" s="717">
        <v>8.5625754787394849E-3</v>
      </c>
      <c r="BW264" s="1162">
        <f>'2022'!R\Max</f>
        <v>0.75597879879147822</v>
      </c>
      <c r="BX264" s="1163">
        <f>'2023'!R\Max</f>
        <v>0.75596917538134956</v>
      </c>
      <c r="BY264" s="1163">
        <f>'2024'!R\Max</f>
        <v>0.75595183683052425</v>
      </c>
      <c r="BZ264" s="1163">
        <f>'2025'!R\Max</f>
        <v>0.75593419847114529</v>
      </c>
      <c r="CA264" s="1163">
        <f>'2026'!R\Max</f>
        <v>0.75591729874778257</v>
      </c>
      <c r="CB264" s="1163">
        <f>'2027'!R\Max</f>
        <v>0.75590042623427356</v>
      </c>
      <c r="CC264" s="1164">
        <f>'2028'!R\Max</f>
        <v>0.75588203699720269</v>
      </c>
      <c r="CD264" s="1163">
        <f>'2029'!R\Max</f>
        <v>0.75597927972118617</v>
      </c>
      <c r="CE264" s="1163">
        <f>'2030'!R\Max</f>
        <v>0.75596965633393787</v>
      </c>
      <c r="CF264" s="1165">
        <f>'2031'!R\Max</f>
        <v>0.75595271828881061</v>
      </c>
    </row>
    <row r="265" spans="1:84" s="6" customFormat="1" ht="11.25" x14ac:dyDescent="0.2">
      <c r="A265" s="11">
        <v>43351</v>
      </c>
      <c r="B265" s="375">
        <f>'2022'!Maxi_hp</f>
        <v>41.996995184866542</v>
      </c>
      <c r="C265" s="13">
        <f>'2022'!An_max</f>
        <v>2022</v>
      </c>
      <c r="D265" s="1050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69">
        <f t="shared" si="99"/>
        <v>43346</v>
      </c>
      <c r="I265" s="744">
        <f t="shared" si="100"/>
        <v>0.35714285714285715</v>
      </c>
      <c r="J265" s="737">
        <f t="shared" si="101"/>
        <v>49.635828334066488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43">
        <v>43351</v>
      </c>
      <c r="AP265" s="13">
        <f t="shared" si="102"/>
        <v>11</v>
      </c>
      <c r="AQ265" s="13">
        <f t="shared" si="103"/>
        <v>10</v>
      </c>
      <c r="AR265" s="169">
        <f t="shared" si="104"/>
        <v>43360</v>
      </c>
      <c r="AS265" s="744">
        <f t="shared" si="105"/>
        <v>0.32142857142857145</v>
      </c>
      <c r="AT265" s="760">
        <f t="shared" si="106"/>
        <v>49.588911468828364</v>
      </c>
      <c r="AU265" s="13">
        <f t="shared" si="107"/>
        <v>11</v>
      </c>
      <c r="AV265" s="13">
        <f t="shared" si="108"/>
        <v>10</v>
      </c>
      <c r="AW265" s="169">
        <f t="shared" si="109"/>
        <v>43374</v>
      </c>
      <c r="AX265" s="744">
        <f t="shared" si="110"/>
        <v>0.8214285714285714</v>
      </c>
      <c r="AY265" s="760">
        <f t="shared" si="111"/>
        <v>49.537052391602529</v>
      </c>
      <c r="AZ265" s="737">
        <f t="shared" si="115"/>
        <v>49.562981930215443</v>
      </c>
      <c r="BA265" s="634">
        <f t="shared" si="112"/>
        <v>0.84610243435874732</v>
      </c>
      <c r="BC265" s="11">
        <v>43351</v>
      </c>
      <c r="BD265" s="286">
        <f>[3]!FeuilCaduc*(1-Persistant)+Persistant</f>
        <v>0.97835850865339413</v>
      </c>
      <c r="BE265" s="287">
        <f>[3]!CroissVégét</f>
        <v>0.97613026748322473</v>
      </c>
      <c r="BF265" s="807">
        <f>1+[3]!Salcycl*Ksac</f>
        <v>1.0472948135816742</v>
      </c>
      <c r="BH265" s="1041">
        <f t="shared" si="113"/>
        <v>2.1205613939168501E-3</v>
      </c>
      <c r="BI265" s="11">
        <v>44447</v>
      </c>
      <c r="BJ265" s="717">
        <v>2.5798532673414025E-4</v>
      </c>
      <c r="BK265" s="717">
        <v>4.8626693893178059E-4</v>
      </c>
      <c r="BL265" s="717">
        <v>7.2185956373498484E-4</v>
      </c>
      <c r="BM265" s="717">
        <v>1.0051807535990725E-3</v>
      </c>
      <c r="BN265" s="717">
        <v>1.406006292967434E-3</v>
      </c>
      <c r="BO265" s="718">
        <v>2.1250071009637061E-3</v>
      </c>
      <c r="BP265" s="717">
        <v>2.9601332218380447E-3</v>
      </c>
      <c r="BQ265" s="717">
        <v>4.4414807030996846E-3</v>
      </c>
      <c r="BR265" s="717">
        <v>5.8435553012670749E-3</v>
      </c>
      <c r="BS265" s="717">
        <v>7.3783793503354412E-3</v>
      </c>
      <c r="BT265" s="717">
        <v>8.4625117219550884E-3</v>
      </c>
      <c r="BW265" s="1162">
        <f>'2022'!R\Max</f>
        <v>0.84610243435874732</v>
      </c>
      <c r="BX265" s="1163">
        <f>'2023'!R\Max</f>
        <v>0.84609554441887969</v>
      </c>
      <c r="BY265" s="1163">
        <f>'2024'!R\Max</f>
        <v>0.84608351527422077</v>
      </c>
      <c r="BZ265" s="1163">
        <f>'2025'!R\Max</f>
        <v>0.84607129167965078</v>
      </c>
      <c r="CA265" s="1163">
        <f>'2026'!R\Max</f>
        <v>0.8460596973574348</v>
      </c>
      <c r="CB265" s="1163">
        <f>'2027'!R\Max</f>
        <v>0.84604812561710685</v>
      </c>
      <c r="CC265" s="1164">
        <f>'2028'!R\Max</f>
        <v>0.84603549667633471</v>
      </c>
      <c r="CD265" s="1163">
        <f>'2029'!R\Max</f>
        <v>0.84610277868149231</v>
      </c>
      <c r="CE265" s="1163">
        <f>'2030'!R\Max</f>
        <v>0.84609588876152431</v>
      </c>
      <c r="CF265" s="1165">
        <f>'2031'!R\Max</f>
        <v>0.84608412613046746</v>
      </c>
    </row>
    <row r="266" spans="1:84" s="6" customFormat="1" ht="11.25" x14ac:dyDescent="0.2">
      <c r="A266" s="11">
        <v>43352</v>
      </c>
      <c r="B266" s="375">
        <f>'2022'!Maxi_hp</f>
        <v>20.009279692511022</v>
      </c>
      <c r="C266" s="13">
        <f>'2022'!An_max</f>
        <v>2022</v>
      </c>
      <c r="D266" s="1050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69">
        <f t="shared" si="99"/>
        <v>43346</v>
      </c>
      <c r="I266" s="744">
        <f t="shared" si="100"/>
        <v>0.42857142857142855</v>
      </c>
      <c r="J266" s="737">
        <f t="shared" si="101"/>
        <v>49.323513409814659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43">
        <v>43352</v>
      </c>
      <c r="AP266" s="13">
        <f t="shared" si="102"/>
        <v>11</v>
      </c>
      <c r="AQ266" s="13">
        <f t="shared" si="103"/>
        <v>10</v>
      </c>
      <c r="AR266" s="169">
        <f t="shared" si="104"/>
        <v>43360</v>
      </c>
      <c r="AS266" s="744">
        <f t="shared" si="105"/>
        <v>0.2857142857142857</v>
      </c>
      <c r="AT266" s="760">
        <f t="shared" si="106"/>
        <v>49.280116618743968</v>
      </c>
      <c r="AU266" s="13">
        <f t="shared" si="107"/>
        <v>11</v>
      </c>
      <c r="AV266" s="13">
        <f t="shared" si="108"/>
        <v>10</v>
      </c>
      <c r="AW266" s="169">
        <f t="shared" si="109"/>
        <v>43374</v>
      </c>
      <c r="AX266" s="744">
        <f t="shared" si="110"/>
        <v>0.7857142857142857</v>
      </c>
      <c r="AY266" s="760">
        <f t="shared" si="111"/>
        <v>49.201514540772351</v>
      </c>
      <c r="AZ266" s="737">
        <f t="shared" si="115"/>
        <v>49.240815579758163</v>
      </c>
      <c r="BA266" s="634">
        <f t="shared" si="112"/>
        <v>0.40567425775734517</v>
      </c>
      <c r="BC266" s="11">
        <v>43352</v>
      </c>
      <c r="BD266" s="286">
        <f>[3]!FeuilCaduc*(1-Persistant)+Persistant</f>
        <v>0.97710985527977512</v>
      </c>
      <c r="BE266" s="287">
        <f>[3]!CroissVégét</f>
        <v>0.97708205248193514</v>
      </c>
      <c r="BF266" s="807">
        <f>1+[3]!Salcycl*Ksac</f>
        <v>1.0471387319099719</v>
      </c>
      <c r="BH266" s="1041">
        <f t="shared" si="113"/>
        <v>2.1522189919726247E-3</v>
      </c>
      <c r="BI266" s="11">
        <v>44448</v>
      </c>
      <c r="BJ266" s="717">
        <v>2.7342677256388586E-4</v>
      </c>
      <c r="BK266" s="717">
        <v>5.059676550529501E-4</v>
      </c>
      <c r="BL266" s="717">
        <v>7.4484171316386595E-4</v>
      </c>
      <c r="BM266" s="717">
        <v>1.0296909548536204E-3</v>
      </c>
      <c r="BN266" s="717">
        <v>1.4321111310480808E-3</v>
      </c>
      <c r="BO266" s="718">
        <v>2.1566992463120799E-3</v>
      </c>
      <c r="BP266" s="717">
        <v>2.9927622960462248E-3</v>
      </c>
      <c r="BQ266" s="717">
        <v>4.4236148863774083E-3</v>
      </c>
      <c r="BR266" s="717">
        <v>5.7645067095813312E-3</v>
      </c>
      <c r="BS266" s="717">
        <v>7.2356176357242508E-3</v>
      </c>
      <c r="BT266" s="717">
        <v>8.3002750851755291E-3</v>
      </c>
      <c r="BW266" s="1162">
        <f>'2022'!R\Max</f>
        <v>0.40567425775734517</v>
      </c>
      <c r="BX266" s="1163">
        <f>'2023'!R\Max</f>
        <v>0.40566142185849025</v>
      </c>
      <c r="BY266" s="1163">
        <f>'2024'!R\Max</f>
        <v>0.40563977616096358</v>
      </c>
      <c r="BZ266" s="1163">
        <f>'2025'!R\Max</f>
        <v>0.40561780783230844</v>
      </c>
      <c r="CA266" s="1163">
        <f>'2026'!R\Max</f>
        <v>0.40559717157898095</v>
      </c>
      <c r="CB266" s="1163">
        <f>'2027'!R\Max</f>
        <v>0.40557658368972516</v>
      </c>
      <c r="CC266" s="1164">
        <f>'2028'!R\Max</f>
        <v>0.40555406655469695</v>
      </c>
      <c r="CD266" s="1163">
        <f>'2029'!R\Max</f>
        <v>0.40567489924333794</v>
      </c>
      <c r="CE266" s="1163">
        <f>'2030'!R\Max</f>
        <v>0.40566206335170168</v>
      </c>
      <c r="CF266" s="1165">
        <f>'2031'!R\Max</f>
        <v>0.40564087404402155</v>
      </c>
    </row>
    <row r="267" spans="1:84" s="6" customFormat="1" ht="11.25" x14ac:dyDescent="0.2">
      <c r="A267" s="11">
        <v>43353</v>
      </c>
      <c r="B267" s="375">
        <f>'2022'!Maxi_hp</f>
        <v>46.650597773955901</v>
      </c>
      <c r="C267" s="13">
        <f>'2022'!An_max</f>
        <v>2022</v>
      </c>
      <c r="D267" s="1050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69">
        <f t="shared" si="99"/>
        <v>43346</v>
      </c>
      <c r="I267" s="744">
        <f t="shared" si="100"/>
        <v>0.5</v>
      </c>
      <c r="J267" s="737">
        <f t="shared" si="101"/>
        <v>49.007193749956784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43">
        <v>43353</v>
      </c>
      <c r="AP267" s="13">
        <f t="shared" si="102"/>
        <v>11</v>
      </c>
      <c r="AQ267" s="13">
        <f t="shared" si="103"/>
        <v>10</v>
      </c>
      <c r="AR267" s="169">
        <f t="shared" si="104"/>
        <v>43360</v>
      </c>
      <c r="AS267" s="744">
        <f t="shared" si="105"/>
        <v>0.25</v>
      </c>
      <c r="AT267" s="760">
        <f t="shared" si="106"/>
        <v>48.967389845103028</v>
      </c>
      <c r="AU267" s="13">
        <f t="shared" si="107"/>
        <v>11</v>
      </c>
      <c r="AV267" s="13">
        <f t="shared" si="108"/>
        <v>10</v>
      </c>
      <c r="AW267" s="169">
        <f t="shared" si="109"/>
        <v>43374</v>
      </c>
      <c r="AX267" s="744">
        <f t="shared" si="110"/>
        <v>0.75</v>
      </c>
      <c r="AY267" s="760">
        <f t="shared" si="111"/>
        <v>48.862026562448591</v>
      </c>
      <c r="AZ267" s="737">
        <f t="shared" si="115"/>
        <v>48.91470820377581</v>
      </c>
      <c r="BA267" s="634">
        <f t="shared" si="112"/>
        <v>0.95191326424392619</v>
      </c>
      <c r="BC267" s="11">
        <v>43353</v>
      </c>
      <c r="BD267" s="286">
        <f>[3]!FeuilCaduc*(1-Persistant)+Persistant</f>
        <v>0.97580598557900677</v>
      </c>
      <c r="BE267" s="287">
        <f>[3]!CroissVégét</f>
        <v>0.97799726049726488</v>
      </c>
      <c r="BF267" s="807">
        <f>1+[3]!Salcycl*Ksac</f>
        <v>1.0469757481973758</v>
      </c>
      <c r="BH267" s="1041">
        <f t="shared" si="113"/>
        <v>2.1742086988893188E-3</v>
      </c>
      <c r="BI267" s="11">
        <v>44449</v>
      </c>
      <c r="BJ267" s="717">
        <v>2.9117783890367146E-4</v>
      </c>
      <c r="BK267" s="717">
        <v>5.2681851352945331E-4</v>
      </c>
      <c r="BL267" s="717">
        <v>7.6783771332266119E-4</v>
      </c>
      <c r="BM267" s="717">
        <v>1.0529197037393416E-3</v>
      </c>
      <c r="BN267" s="717">
        <v>1.4544912534253543E-3</v>
      </c>
      <c r="BO267" s="718">
        <v>2.17868652420299E-3</v>
      </c>
      <c r="BP267" s="717">
        <v>3.0089548254479356E-3</v>
      </c>
      <c r="BQ267" s="717">
        <v>4.3738487678174984E-3</v>
      </c>
      <c r="BR267" s="717">
        <v>5.6405945582668785E-3</v>
      </c>
      <c r="BS267" s="717">
        <v>7.0350193270780044E-3</v>
      </c>
      <c r="BT267" s="717">
        <v>8.0758347212908504E-3</v>
      </c>
      <c r="BW267" s="1162">
        <f>'2022'!R\Max</f>
        <v>0.95191326424392619</v>
      </c>
      <c r="BX267" s="1163">
        <f>'2023'!R\Max</f>
        <v>0.9519108317417031</v>
      </c>
      <c r="BY267" s="1163">
        <f>'2024'!R\Max</f>
        <v>0.95190688638017229</v>
      </c>
      <c r="BZ267" s="1163">
        <f>'2025'!R\Max</f>
        <v>0.95190288672749657</v>
      </c>
      <c r="CA267" s="1163">
        <f>'2026'!R\Max</f>
        <v>0.95189916439147204</v>
      </c>
      <c r="CB267" s="1163">
        <f>'2027'!R\Max</f>
        <v>0.95189545154853461</v>
      </c>
      <c r="CC267" s="1164">
        <f>'2028'!R\Max</f>
        <v>0.95189137688779246</v>
      </c>
      <c r="CD267" s="1163">
        <f>'2029'!R\Max</f>
        <v>0.95191338580678519</v>
      </c>
      <c r="CE267" s="1163">
        <f>'2030'!R\Max</f>
        <v>0.95191095331298525</v>
      </c>
      <c r="CF267" s="1165">
        <f>'2031'!R\Max</f>
        <v>0.95190708625576481</v>
      </c>
    </row>
    <row r="268" spans="1:84" s="6" customFormat="1" ht="11.25" x14ac:dyDescent="0.2">
      <c r="A268" s="11">
        <v>43354</v>
      </c>
      <c r="B268" s="375">
        <f>'2022'!Maxi_hp</f>
        <v>48.265005171653357</v>
      </c>
      <c r="C268" s="13">
        <f>'2022'!An_max</f>
        <v>2022</v>
      </c>
      <c r="D268" s="1050">
        <f t="shared" si="97"/>
        <v>0.99134182662532366</v>
      </c>
      <c r="E268" s="13"/>
      <c r="F268" s="13">
        <f t="shared" si="114"/>
        <v>19</v>
      </c>
      <c r="G268" s="13">
        <f t="shared" si="98"/>
        <v>20</v>
      </c>
      <c r="H268" s="169">
        <f t="shared" si="99"/>
        <v>43346</v>
      </c>
      <c r="I268" s="744">
        <f t="shared" si="100"/>
        <v>0.5714285714285714</v>
      </c>
      <c r="J268" s="737">
        <f t="shared" si="101"/>
        <v>48.686541690624189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43">
        <v>43354</v>
      </c>
      <c r="AP268" s="13">
        <f t="shared" si="102"/>
        <v>11</v>
      </c>
      <c r="AQ268" s="13">
        <f t="shared" si="103"/>
        <v>10</v>
      </c>
      <c r="AR268" s="169">
        <f t="shared" si="104"/>
        <v>43360</v>
      </c>
      <c r="AS268" s="744">
        <f t="shared" si="105"/>
        <v>0.21428571428571427</v>
      </c>
      <c r="AT268" s="760">
        <f t="shared" si="106"/>
        <v>48.650553663607148</v>
      </c>
      <c r="AU268" s="13">
        <f t="shared" si="107"/>
        <v>11</v>
      </c>
      <c r="AV268" s="13">
        <f t="shared" si="108"/>
        <v>10</v>
      </c>
      <c r="AW268" s="169">
        <f t="shared" si="109"/>
        <v>43374</v>
      </c>
      <c r="AX268" s="744">
        <f t="shared" si="110"/>
        <v>0.7142857142857143</v>
      </c>
      <c r="AY268" s="760">
        <f t="shared" si="111"/>
        <v>48.51877959136452</v>
      </c>
      <c r="AZ268" s="737">
        <f t="shared" si="115"/>
        <v>48.584666627485831</v>
      </c>
      <c r="BA268" s="634">
        <f t="shared" si="112"/>
        <v>0.99134182662532366</v>
      </c>
      <c r="BC268" s="11">
        <v>43354</v>
      </c>
      <c r="BD268" s="286">
        <f>[3]!FeuilCaduc*(1-Persistant)+Persistant</f>
        <v>0.97444473245570595</v>
      </c>
      <c r="BE268" s="287">
        <f>[3]!CroissVégét</f>
        <v>0.97887723107993829</v>
      </c>
      <c r="BF268" s="807">
        <f>1+[3]!Salcycl*Ksac</f>
        <v>1.0468055915569632</v>
      </c>
      <c r="BH268" s="1041">
        <f t="shared" si="113"/>
        <v>2.1868834181804362E-3</v>
      </c>
      <c r="BI268" s="11">
        <v>44450</v>
      </c>
      <c r="BJ268" s="717">
        <v>3.1048549655145511E-4</v>
      </c>
      <c r="BK268" s="717">
        <v>5.4809154382668703E-4</v>
      </c>
      <c r="BL268" s="717">
        <v>7.9020323555834395E-4</v>
      </c>
      <c r="BM268" s="717">
        <v>1.0744114825628934E-3</v>
      </c>
      <c r="BN268" s="717">
        <v>1.4730348371033222E-3</v>
      </c>
      <c r="BO268" s="718">
        <v>2.1913247295125729E-3</v>
      </c>
      <c r="BP268" s="717">
        <v>3.0096780442064618E-3</v>
      </c>
      <c r="BQ268" s="717">
        <v>4.2980259123610856E-3</v>
      </c>
      <c r="BR268" s="717">
        <v>5.4824952902281857E-3</v>
      </c>
      <c r="BS268" s="717">
        <v>6.7918987838733146E-3</v>
      </c>
      <c r="BT268" s="717">
        <v>7.8047543725611396E-3</v>
      </c>
      <c r="BW268" s="1162">
        <f>'2022'!R\Max</f>
        <v>0.99134182662532366</v>
      </c>
      <c r="BX268" s="1163">
        <f>'2023'!R\Max</f>
        <v>0.99134137471943806</v>
      </c>
      <c r="BY268" s="1163">
        <f>'2024'!R\Max</f>
        <v>0.9913406719024942</v>
      </c>
      <c r="BZ268" s="1163">
        <f>'2025'!R\Max</f>
        <v>0.9913399603119647</v>
      </c>
      <c r="CA268" s="1163">
        <f>'2026'!R\Max</f>
        <v>0.99133930410268223</v>
      </c>
      <c r="CB268" s="1163">
        <f>'2027'!R\Max</f>
        <v>0.99133864974601849</v>
      </c>
      <c r="CC268" s="1164">
        <f>'2028'!R\Max</f>
        <v>0.99133792860144898</v>
      </c>
      <c r="CD268" s="1163">
        <f>'2029'!R\Max</f>
        <v>0.99134184920901092</v>
      </c>
      <c r="CE268" s="1163">
        <f>'2030'!R\Max</f>
        <v>0.99134139730476944</v>
      </c>
      <c r="CF268" s="1165">
        <f>'2031'!R\Max</f>
        <v>0.99134070746296343</v>
      </c>
    </row>
    <row r="269" spans="1:84" s="6" customFormat="1" ht="11.25" x14ac:dyDescent="0.2">
      <c r="A269" s="11">
        <v>43355</v>
      </c>
      <c r="B269" s="375">
        <f>'2022'!Maxi_hp</f>
        <v>37.492707900154691</v>
      </c>
      <c r="C269" s="13">
        <f>'2022'!An_max</f>
        <v>2022</v>
      </c>
      <c r="D269" s="1050" t="str">
        <f t="shared" si="97"/>
        <v/>
      </c>
      <c r="E269" s="13"/>
      <c r="F269" s="13">
        <f t="shared" si="114"/>
        <v>19</v>
      </c>
      <c r="G269" s="13">
        <f t="shared" si="98"/>
        <v>20</v>
      </c>
      <c r="H269" s="169">
        <f t="shared" si="99"/>
        <v>43346</v>
      </c>
      <c r="I269" s="744">
        <f t="shared" si="100"/>
        <v>0.6428571428571429</v>
      </c>
      <c r="J269" s="737">
        <f t="shared" si="101"/>
        <v>48.361229572924124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43">
        <v>43355</v>
      </c>
      <c r="AP269" s="13">
        <f t="shared" si="102"/>
        <v>11</v>
      </c>
      <c r="AQ269" s="13">
        <f t="shared" si="103"/>
        <v>10</v>
      </c>
      <c r="AR269" s="169">
        <f t="shared" si="104"/>
        <v>43360</v>
      </c>
      <c r="AS269" s="744">
        <f t="shared" si="105"/>
        <v>0.17857142857142858</v>
      </c>
      <c r="AT269" s="760">
        <f t="shared" si="106"/>
        <v>48.329430593190978</v>
      </c>
      <c r="AU269" s="13">
        <f t="shared" si="107"/>
        <v>11</v>
      </c>
      <c r="AV269" s="13">
        <f t="shared" si="108"/>
        <v>10</v>
      </c>
      <c r="AW269" s="169">
        <f t="shared" si="109"/>
        <v>43374</v>
      </c>
      <c r="AX269" s="744">
        <f t="shared" si="110"/>
        <v>0.6785714285714286</v>
      </c>
      <c r="AY269" s="760">
        <f t="shared" si="111"/>
        <v>48.171964764062849</v>
      </c>
      <c r="AZ269" s="737">
        <f t="shared" si="115"/>
        <v>48.250697678626914</v>
      </c>
      <c r="BA269" s="634">
        <f t="shared" si="112"/>
        <v>0.77526374393809117</v>
      </c>
      <c r="BC269" s="11">
        <v>43355</v>
      </c>
      <c r="BD269" s="286">
        <f>[3]!FeuilCaduc*(1-Persistant)+Persistant</f>
        <v>0.9730238463676989</v>
      </c>
      <c r="BE269" s="287">
        <f>[3]!CroissVégét</f>
        <v>0.97972325984311226</v>
      </c>
      <c r="BF269" s="807">
        <f>1+[3]!Salcycl*Ksac</f>
        <v>1.0466279807959624</v>
      </c>
      <c r="BH269" s="1041">
        <f t="shared" si="113"/>
        <v>2.1918276839466878E-3</v>
      </c>
      <c r="BI269" s="11">
        <v>44451</v>
      </c>
      <c r="BJ269" s="717">
        <v>3.3091213569217548E-4</v>
      </c>
      <c r="BK269" s="717">
        <v>5.6945655573025129E-4</v>
      </c>
      <c r="BL269" s="717">
        <v>8.118278436802101E-4</v>
      </c>
      <c r="BM269" s="717">
        <v>1.0942891486726912E-3</v>
      </c>
      <c r="BN269" s="717">
        <v>1.488390139105681E-3</v>
      </c>
      <c r="BO269" s="718">
        <v>2.1962042215236603E-3</v>
      </c>
      <c r="BP269" s="717">
        <v>2.9983234261590813E-3</v>
      </c>
      <c r="BQ269" s="717">
        <v>4.210500591547317E-3</v>
      </c>
      <c r="BR269" s="717">
        <v>5.3160425548293188E-3</v>
      </c>
      <c r="BS269" s="717">
        <v>6.5437332872456981E-3</v>
      </c>
      <c r="BT269" s="717">
        <v>7.5276939692357162E-3</v>
      </c>
      <c r="BW269" s="1162">
        <f>'2022'!R\Max</f>
        <v>0.77526374393809117</v>
      </c>
      <c r="BX269" s="1163">
        <f>'2023'!R\Max</f>
        <v>0.77525470553690812</v>
      </c>
      <c r="BY269" s="1163">
        <f>'2024'!R\Max</f>
        <v>0.77524119654067158</v>
      </c>
      <c r="BZ269" s="1163">
        <f>'2025'!R\Max</f>
        <v>0.77522753569153335</v>
      </c>
      <c r="CA269" s="1163">
        <f>'2026'!R\Max</f>
        <v>0.77521503646597356</v>
      </c>
      <c r="CB269" s="1163">
        <f>'2027'!R\Max</f>
        <v>0.77520257562414774</v>
      </c>
      <c r="CC269" s="1164">
        <f>'2028'!R\Max</f>
        <v>0.77518878196819374</v>
      </c>
      <c r="CD269" s="1163">
        <f>'2029'!R\Max</f>
        <v>0.77526419563157845</v>
      </c>
      <c r="CE269" s="1163">
        <f>'2030'!R\Max</f>
        <v>0.77525515725266902</v>
      </c>
      <c r="CF269" s="1165">
        <f>'2031'!R\Max</f>
        <v>0.77524187923164545</v>
      </c>
    </row>
    <row r="270" spans="1:84" s="6" customFormat="1" ht="11.25" x14ac:dyDescent="0.2">
      <c r="A270" s="11">
        <v>43356</v>
      </c>
      <c r="B270" s="375">
        <f>'2022'!Maxi_hp</f>
        <v>14.371921268140474</v>
      </c>
      <c r="C270" s="13">
        <f>'2022'!An_max</f>
        <v>2022</v>
      </c>
      <c r="D270" s="1050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69">
        <f t="shared" si="99"/>
        <v>43346</v>
      </c>
      <c r="I270" s="744">
        <f t="shared" si="100"/>
        <v>0.7142857142857143</v>
      </c>
      <c r="J270" s="737">
        <f t="shared" si="101"/>
        <v>48.030929736580163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43">
        <v>43356</v>
      </c>
      <c r="AP270" s="13">
        <f t="shared" si="102"/>
        <v>11</v>
      </c>
      <c r="AQ270" s="13">
        <f t="shared" si="103"/>
        <v>10</v>
      </c>
      <c r="AR270" s="169">
        <f t="shared" si="104"/>
        <v>43360</v>
      </c>
      <c r="AS270" s="744">
        <f t="shared" si="105"/>
        <v>0.14285714285714285</v>
      </c>
      <c r="AT270" s="760">
        <f t="shared" si="106"/>
        <v>48.003843149436378</v>
      </c>
      <c r="AU270" s="13">
        <f t="shared" si="107"/>
        <v>11</v>
      </c>
      <c r="AV270" s="13">
        <f t="shared" si="108"/>
        <v>10</v>
      </c>
      <c r="AW270" s="169">
        <f t="shared" si="109"/>
        <v>43374</v>
      </c>
      <c r="AX270" s="744">
        <f t="shared" si="110"/>
        <v>0.6428571428571429</v>
      </c>
      <c r="AY270" s="760">
        <f t="shared" si="111"/>
        <v>47.821773214106052</v>
      </c>
      <c r="AZ270" s="737">
        <f t="shared" si="115"/>
        <v>47.912808181771211</v>
      </c>
      <c r="BA270" s="634">
        <f t="shared" si="112"/>
        <v>0.2992222167457832</v>
      </c>
      <c r="BC270" s="11">
        <v>43356</v>
      </c>
      <c r="BD270" s="286">
        <f>[3]!FeuilCaduc*(1-Persistant)+Persistant</f>
        <v>0.97154099632593671</v>
      </c>
      <c r="BE270" s="287">
        <f>[3]!CroissVégét</f>
        <v>0.98053659949953242</v>
      </c>
      <c r="BF270" s="807">
        <f>1+[3]!Salcycl*Ksac</f>
        <v>1.0464426245407421</v>
      </c>
      <c r="BH270" s="1041">
        <f t="shared" si="113"/>
        <v>2.1890378521206093E-3</v>
      </c>
      <c r="BI270" s="11">
        <v>44452</v>
      </c>
      <c r="BJ270" s="717">
        <v>3.5245889077975317E-4</v>
      </c>
      <c r="BK270" s="717">
        <v>5.9091419917924048E-4</v>
      </c>
      <c r="BL270" s="717">
        <v>8.3271178918604581E-4</v>
      </c>
      <c r="BM270" s="717">
        <v>1.1125524903683431E-3</v>
      </c>
      <c r="BN270" s="717">
        <v>1.5005560631743051E-3</v>
      </c>
      <c r="BO270" s="718">
        <v>2.1933213403172278E-3</v>
      </c>
      <c r="BP270" s="717">
        <v>2.9748847521433048E-3</v>
      </c>
      <c r="BQ270" s="717">
        <v>4.1112650878262292E-3</v>
      </c>
      <c r="BR270" s="717">
        <v>5.141228618865702E-3</v>
      </c>
      <c r="BS270" s="717">
        <v>6.2905150157831257E-3</v>
      </c>
      <c r="BT270" s="717">
        <v>7.2446446269655617E-3</v>
      </c>
      <c r="BW270" s="1162">
        <f>'2022'!R\Max</f>
        <v>0.2992222167457832</v>
      </c>
      <c r="BX270" s="1163">
        <f>'2023'!R\Max</f>
        <v>0.29921157296869233</v>
      </c>
      <c r="BY270" s="1163">
        <f>'2024'!R\Max</f>
        <v>0.29919625089729379</v>
      </c>
      <c r="BZ270" s="1163">
        <f>'2025'!R\Max</f>
        <v>0.29918077502060808</v>
      </c>
      <c r="CA270" s="1163">
        <f>'2026'!R\Max</f>
        <v>0.29916670225898923</v>
      </c>
      <c r="CB270" s="1163">
        <f>'2027'!R\Max</f>
        <v>0.29915267562715064</v>
      </c>
      <c r="CC270" s="1164">
        <f>'2028'!R\Max</f>
        <v>0.29913707571317977</v>
      </c>
      <c r="CD270" s="1163">
        <f>'2029'!R\Max</f>
        <v>0.29922274868159293</v>
      </c>
      <c r="CE270" s="1163">
        <f>'2030'!R\Max</f>
        <v>0.29921210490450201</v>
      </c>
      <c r="CF270" s="1165">
        <f>'2031'!R\Max</f>
        <v>0.29919702432320505</v>
      </c>
    </row>
    <row r="271" spans="1:84" s="6" customFormat="1" ht="11.25" x14ac:dyDescent="0.2">
      <c r="A271" s="11">
        <v>43357</v>
      </c>
      <c r="B271" s="375">
        <f>'2022'!Maxi_hp</f>
        <v>38.621710894977937</v>
      </c>
      <c r="C271" s="13">
        <f>'2022'!An_max</f>
        <v>2022</v>
      </c>
      <c r="D271" s="1050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69">
        <f t="shared" ref="H271:H334" si="118">INDEX(x.2m,F271)</f>
        <v>43346</v>
      </c>
      <c r="I271" s="744">
        <f t="shared" ref="I271:I334" si="119">($A271-H271)/(INDEX(x.2m,G271)-H271)</f>
        <v>0.7857142857142857</v>
      </c>
      <c r="J271" s="737">
        <f t="shared" ref="J271:J334" si="120">((1-I271)*(INDEX(a.m,F271)*$A271*$A271+INDEX(b.m,F271)*$A271+INDEX(c.m,F271))+I271*(INDEX(a.m,G271)*$A271*$A271+INDEX(b.m,G271)*$A271+INDEX(c.m,G271)))/10</f>
        <v>47.695314521874693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43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69">
        <f t="shared" ref="AR271:AR334" si="123">INDEX(x.2lg,AP271)</f>
        <v>43360</v>
      </c>
      <c r="AS271" s="744">
        <f t="shared" ref="AS271:AS334" si="124">($A271-AR271)/(INDEX(x.2lg,AQ271)-AR271)</f>
        <v>0.10714285714285714</v>
      </c>
      <c r="AT271" s="760">
        <f t="shared" ref="AT271:AT334" si="125">((1-AS271)*(INDEX(a.lg,AP271)*$A271*$A271+INDEX(b.lg,AP271)*$A271+INDEX(c.lg,AP271))+AS271*(INDEX(a.lg,AQ271)*$A271*$A271+INDEX(b.lg,AQ271)*$A271+INDEX(c.lg,AQ271)))/10</f>
        <v>47.673613851264655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69">
        <f t="shared" ref="AW271:AW334" si="128">INDEX(x.2ld,AU271)</f>
        <v>43374</v>
      </c>
      <c r="AX271" s="744">
        <f t="shared" ref="AX271:AX334" si="129">($A271-AW271)/(INDEX(x.2ld,AV271)-AW271)</f>
        <v>0.6071428571428571</v>
      </c>
      <c r="AY271" s="760">
        <f t="shared" ref="AY271:AY334" si="130">((1-AX271)*(INDEX(a.ld,AU271)*$A271*$A271+INDEX(b.ld,AU271)*$A271+INDEX(c.ld,AU271))+AX271*(INDEX(a.ld,AV271)*$A271*$A271+INDEX(b.ld,AV271)*$A271+INDEX(c.ld,AV271)))/10</f>
        <v>47.468396077657651</v>
      </c>
      <c r="AZ271" s="737">
        <f t="shared" si="115"/>
        <v>47.571004964461153</v>
      </c>
      <c r="BA271" s="634">
        <f t="shared" ref="BA271:BA334" si="131">+B271/J271</f>
        <v>0.80975901474063472</v>
      </c>
      <c r="BC271" s="11">
        <v>43357</v>
      </c>
      <c r="BD271" s="286">
        <f>[3]!FeuilCaduc*(1-Persistant)+Persistant</f>
        <v>0.96999377203723292</v>
      </c>
      <c r="BE271" s="287">
        <f>[3]!CroissVégét</f>
        <v>0.98131846090840358</v>
      </c>
      <c r="BF271" s="807">
        <f>1+[3]!Salcycl*Ksac</f>
        <v>1.0462492215046542</v>
      </c>
      <c r="BH271" s="1041">
        <f t="shared" ref="BH271:BH334" si="132">INDEX($BJ271:$BT271,,$BH$10)*(1-Ratini)+INDEX($BJ271:$BT271,,$BH$10+1)*Ratini</f>
        <v>2.1785098924641502E-3</v>
      </c>
      <c r="BI271" s="11">
        <v>44453</v>
      </c>
      <c r="BJ271" s="717">
        <v>3.7512696391327915E-4</v>
      </c>
      <c r="BK271" s="717">
        <v>6.124651406421677E-4</v>
      </c>
      <c r="BL271" s="717">
        <v>8.5285529833706612E-4</v>
      </c>
      <c r="BM271" s="717">
        <v>1.1292012257582995E-3</v>
      </c>
      <c r="BN271" s="717">
        <v>1.5095313610916123E-3</v>
      </c>
      <c r="BO271" s="718">
        <v>2.1826720383464854E-3</v>
      </c>
      <c r="BP271" s="717">
        <v>2.9393551889735623E-3</v>
      </c>
      <c r="BQ271" s="717">
        <v>4.0003110443399886E-3</v>
      </c>
      <c r="BR271" s="717">
        <v>4.9580452322245446E-3</v>
      </c>
      <c r="BS271" s="717">
        <v>6.032235749880926E-3</v>
      </c>
      <c r="BT271" s="717">
        <v>6.9555969992872611E-3</v>
      </c>
      <c r="BW271" s="1162">
        <f>'2022'!R\Max</f>
        <v>0.80975901474063472</v>
      </c>
      <c r="BX271" s="1163">
        <f>'2023'!R\Max</f>
        <v>0.80975139446021771</v>
      </c>
      <c r="BY271" s="1163">
        <f>'2024'!R\Max</f>
        <v>0.80974080446012708</v>
      </c>
      <c r="BZ271" s="1163">
        <f>'2025'!R\Max</f>
        <v>0.80973011856400512</v>
      </c>
      <c r="CA271" s="1163">
        <f>'2026'!R\Max</f>
        <v>0.80972043938010096</v>
      </c>
      <c r="CB271" s="1163">
        <f>'2027'!R\Max</f>
        <v>0.80971079186069472</v>
      </c>
      <c r="CC271" s="1164">
        <f>'2028'!R\Max</f>
        <v>0.80970000693872735</v>
      </c>
      <c r="CD271" s="1163">
        <f>'2029'!R\Max</f>
        <v>0.80975939556340837</v>
      </c>
      <c r="CE271" s="1163">
        <f>'2030'!R\Max</f>
        <v>0.80975177530219744</v>
      </c>
      <c r="CF271" s="1165">
        <f>'2031'!R\Max</f>
        <v>0.80974133848106111</v>
      </c>
    </row>
    <row r="272" spans="1:84" s="6" customFormat="1" ht="11.25" x14ac:dyDescent="0.2">
      <c r="A272" s="11">
        <v>43358</v>
      </c>
      <c r="B272" s="375">
        <f>'2022'!Maxi_hp</f>
        <v>43.877024170324354</v>
      </c>
      <c r="C272" s="13">
        <f>'2022'!An_max</f>
        <v>2022</v>
      </c>
      <c r="D272" s="1050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69">
        <f t="shared" si="118"/>
        <v>43346</v>
      </c>
      <c r="I272" s="744">
        <f t="shared" si="119"/>
        <v>0.8571428571428571</v>
      </c>
      <c r="J272" s="737">
        <f t="shared" si="120"/>
        <v>47.354056267333888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43">
        <v>43358</v>
      </c>
      <c r="AP272" s="13">
        <f t="shared" si="121"/>
        <v>11</v>
      </c>
      <c r="AQ272" s="13">
        <f t="shared" si="122"/>
        <v>10</v>
      </c>
      <c r="AR272" s="169">
        <f t="shared" si="123"/>
        <v>43360</v>
      </c>
      <c r="AS272" s="744">
        <f t="shared" si="124"/>
        <v>7.1428571428571425E-2</v>
      </c>
      <c r="AT272" s="760">
        <f t="shared" si="125"/>
        <v>47.338565215867547</v>
      </c>
      <c r="AU272" s="13">
        <f t="shared" si="126"/>
        <v>11</v>
      </c>
      <c r="AV272" s="13">
        <f t="shared" si="127"/>
        <v>10</v>
      </c>
      <c r="AW272" s="169">
        <f t="shared" si="128"/>
        <v>43374</v>
      </c>
      <c r="AX272" s="744">
        <f t="shared" si="129"/>
        <v>0.5714285714285714</v>
      </c>
      <c r="AY272" s="760">
        <f t="shared" si="130"/>
        <v>47.112024489284622</v>
      </c>
      <c r="AZ272" s="737">
        <f t="shared" ref="AZ272:AZ335" si="134">(AY272+AT272)/2</f>
        <v>47.225294852576084</v>
      </c>
      <c r="BA272" s="634">
        <f t="shared" si="131"/>
        <v>0.92657372206131183</v>
      </c>
      <c r="BC272" s="11">
        <v>43358</v>
      </c>
      <c r="BD272" s="286">
        <f>[3]!FeuilCaduc*(1-Persistant)+Persistant</f>
        <v>0.9683796872779693</v>
      </c>
      <c r="BE272" s="287">
        <f>[3]!CroissVégét</f>
        <v>0.98207001412819972</v>
      </c>
      <c r="BF272" s="807">
        <f>1+[3]!Salcycl*Ksac</f>
        <v>1.0460474609097461</v>
      </c>
      <c r="BH272" s="1041">
        <f t="shared" si="132"/>
        <v>2.1602393771603398E-3</v>
      </c>
      <c r="BI272" s="11">
        <v>44454</v>
      </c>
      <c r="BJ272" s="717">
        <v>3.98917626465532E-4</v>
      </c>
      <c r="BK272" s="717">
        <v>6.3411006323073262E-4</v>
      </c>
      <c r="BL272" s="717">
        <v>8.7225857104254181E-4</v>
      </c>
      <c r="BM272" s="717">
        <v>1.1442350003563256E-3</v>
      </c>
      <c r="BN272" s="717">
        <v>1.51531462795768E-3</v>
      </c>
      <c r="BO272" s="718">
        <v>2.1642518689869495E-3</v>
      </c>
      <c r="BP272" s="717">
        <v>2.8917272716347392E-3</v>
      </c>
      <c r="BQ272" s="717">
        <v>3.8776294476831341E-3</v>
      </c>
      <c r="BR272" s="717">
        <v>4.7664836155865966E-3</v>
      </c>
      <c r="BS272" s="717">
        <v>5.7688868643245928E-3</v>
      </c>
      <c r="BT272" s="717">
        <v>6.6605412688268304E-3</v>
      </c>
      <c r="BW272" s="1162">
        <f>'2022'!R\Max</f>
        <v>0.92657372206131183</v>
      </c>
      <c r="BX272" s="1163">
        <f>'2023'!R\Max</f>
        <v>0.92657046861336601</v>
      </c>
      <c r="BY272" s="1163">
        <f>'2024'!R\Max</f>
        <v>0.92656609412548785</v>
      </c>
      <c r="BZ272" s="1163">
        <f>'2025'!R\Max</f>
        <v>0.92656168426332086</v>
      </c>
      <c r="CA272" s="1163">
        <f>'2026'!R\Max</f>
        <v>0.92655769502917429</v>
      </c>
      <c r="CB272" s="1163">
        <f>'2027'!R\Max</f>
        <v>0.92655371865586689</v>
      </c>
      <c r="CC272" s="1164">
        <f>'2028'!R\Max</f>
        <v>0.92654924935253968</v>
      </c>
      <c r="CD272" s="1163">
        <f>'2029'!R\Max</f>
        <v>0.9265738846512469</v>
      </c>
      <c r="CE272" s="1163">
        <f>'2030'!R\Max</f>
        <v>0.92657063121304428</v>
      </c>
      <c r="CF272" s="1165">
        <f>'2031'!R\Max</f>
        <v>0.92656631450435967</v>
      </c>
    </row>
    <row r="273" spans="1:84" s="6" customFormat="1" ht="11.25" x14ac:dyDescent="0.2">
      <c r="A273" s="11">
        <v>43359</v>
      </c>
      <c r="B273" s="375">
        <f>'2022'!Maxi_hp</f>
        <v>29.485848749759754</v>
      </c>
      <c r="C273" s="13">
        <f>'2022'!An_max</f>
        <v>2022</v>
      </c>
      <c r="D273" s="1050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69">
        <f t="shared" si="118"/>
        <v>43346</v>
      </c>
      <c r="I273" s="744">
        <f t="shared" si="119"/>
        <v>0.9285714285714286</v>
      </c>
      <c r="J273" s="737">
        <f t="shared" si="120"/>
        <v>47.006827312840947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43">
        <v>43359</v>
      </c>
      <c r="AP273" s="13">
        <f t="shared" si="121"/>
        <v>11</v>
      </c>
      <c r="AQ273" s="13">
        <f t="shared" si="122"/>
        <v>10</v>
      </c>
      <c r="AR273" s="169">
        <f t="shared" si="123"/>
        <v>43360</v>
      </c>
      <c r="AS273" s="744">
        <f t="shared" si="124"/>
        <v>3.5714285714285712E-2</v>
      </c>
      <c r="AT273" s="760">
        <f t="shared" si="125"/>
        <v>46.998519759931206</v>
      </c>
      <c r="AU273" s="13">
        <f t="shared" si="126"/>
        <v>11</v>
      </c>
      <c r="AV273" s="13">
        <f t="shared" si="127"/>
        <v>10</v>
      </c>
      <c r="AW273" s="169">
        <f t="shared" si="128"/>
        <v>43374</v>
      </c>
      <c r="AX273" s="744">
        <f t="shared" si="129"/>
        <v>0.5357142857142857</v>
      </c>
      <c r="AY273" s="760">
        <f t="shared" si="130"/>
        <v>46.752849585496421</v>
      </c>
      <c r="AZ273" s="737">
        <f t="shared" si="134"/>
        <v>46.875684672713817</v>
      </c>
      <c r="BA273" s="634">
        <f t="shared" si="131"/>
        <v>0.62726736594079913</v>
      </c>
      <c r="BC273" s="11">
        <v>43359</v>
      </c>
      <c r="BD273" s="286">
        <f>[3]!FeuilCaduc*(1-Persistant)+Persistant</f>
        <v>0.9666961845742561</v>
      </c>
      <c r="BE273" s="287">
        <f>[3]!CroissVégét</f>
        <v>0.98279238947199099</v>
      </c>
      <c r="BF273" s="807">
        <f>1+[3]!Salcycl*Ksac</f>
        <v>1.0458370230717819</v>
      </c>
      <c r="BH273" s="1041">
        <f t="shared" si="132"/>
        <v>2.1342214694228586E-3</v>
      </c>
      <c r="BI273" s="11">
        <v>44455</v>
      </c>
      <c r="BJ273" s="717">
        <v>4.2383222071389607E-4</v>
      </c>
      <c r="BK273" s="717">
        <v>6.558496668179417E-4</v>
      </c>
      <c r="BL273" s="717">
        <v>8.9092177975076106E-4</v>
      </c>
      <c r="BM273" s="717">
        <v>1.1576533846866409E-3</v>
      </c>
      <c r="BN273" s="717">
        <v>1.5179042974793066E-3</v>
      </c>
      <c r="BO273" s="718">
        <v>2.1380559751044601E-3</v>
      </c>
      <c r="BP273" s="717">
        <v>2.83199288550047E-3</v>
      </c>
      <c r="BQ273" s="717">
        <v>3.7432106106980744E-3</v>
      </c>
      <c r="BR273" s="717">
        <v>4.5665344481727078E-3</v>
      </c>
      <c r="BS273" s="717">
        <v>5.5004593209279744E-3</v>
      </c>
      <c r="BT273" s="717">
        <v>6.3594671385671974E-3</v>
      </c>
      <c r="BW273" s="1162">
        <f>'2022'!R\Max</f>
        <v>0.62726736594079913</v>
      </c>
      <c r="BX273" s="1163">
        <f>'2023'!R\Max</f>
        <v>0.62725664092558919</v>
      </c>
      <c r="BY273" s="1163">
        <f>'2024'!R\Max</f>
        <v>0.62724265659689193</v>
      </c>
      <c r="BZ273" s="1163">
        <f>'2025'!R\Max</f>
        <v>0.62722857239727203</v>
      </c>
      <c r="CA273" s="1163">
        <f>'2026'!R\Max</f>
        <v>0.62721580606845528</v>
      </c>
      <c r="CB273" s="1163">
        <f>'2027'!R\Max</f>
        <v>0.62720307946473886</v>
      </c>
      <c r="CC273" s="1164">
        <f>'2028'!R\Max</f>
        <v>0.62718869325117665</v>
      </c>
      <c r="CD273" s="1163">
        <f>'2029'!R\Max</f>
        <v>0.62726790192813464</v>
      </c>
      <c r="CE273" s="1163">
        <f>'2030'!R\Max</f>
        <v>0.62725717692901828</v>
      </c>
      <c r="CF273" s="1165">
        <f>'2031'!R\Max</f>
        <v>0.62724336045746598</v>
      </c>
    </row>
    <row r="274" spans="1:84" s="6" customFormat="1" ht="11.25" x14ac:dyDescent="0.2">
      <c r="A274" s="11">
        <v>43360</v>
      </c>
      <c r="B274" s="375">
        <f>'2022'!Maxi_hp</f>
        <v>47.349358526733653</v>
      </c>
      <c r="C274" s="13">
        <f>'2022'!An_max</f>
        <v>2022</v>
      </c>
      <c r="D274" s="1050">
        <f t="shared" si="116"/>
        <v>1.0149198133359907</v>
      </c>
      <c r="E274" s="1045">
        <f>AF$13/10</f>
        <v>46.653300000000002</v>
      </c>
      <c r="F274" s="13">
        <f t="shared" si="133"/>
        <v>21</v>
      </c>
      <c r="G274" s="13">
        <f t="shared" si="117"/>
        <v>20</v>
      </c>
      <c r="H274" s="169">
        <f t="shared" si="118"/>
        <v>43374</v>
      </c>
      <c r="I274" s="744">
        <f t="shared" si="119"/>
        <v>1</v>
      </c>
      <c r="J274" s="737">
        <f t="shared" si="120"/>
        <v>46.653299999237063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43">
        <v>43360</v>
      </c>
      <c r="AP274" s="13">
        <f t="shared" si="121"/>
        <v>11</v>
      </c>
      <c r="AQ274" s="13">
        <f t="shared" si="122"/>
        <v>12</v>
      </c>
      <c r="AR274" s="169">
        <f t="shared" si="123"/>
        <v>43360</v>
      </c>
      <c r="AS274" s="744">
        <f t="shared" si="124"/>
        <v>0</v>
      </c>
      <c r="AT274" s="760">
        <f t="shared" si="125"/>
        <v>46.653300000727178</v>
      </c>
      <c r="AU274" s="13">
        <f t="shared" si="126"/>
        <v>11</v>
      </c>
      <c r="AV274" s="13">
        <f t="shared" si="127"/>
        <v>10</v>
      </c>
      <c r="AW274" s="169">
        <f t="shared" si="128"/>
        <v>43374</v>
      </c>
      <c r="AX274" s="744">
        <f t="shared" si="129"/>
        <v>0.5</v>
      </c>
      <c r="AY274" s="760">
        <f t="shared" si="130"/>
        <v>46.391062500048427</v>
      </c>
      <c r="AZ274" s="737">
        <f t="shared" si="134"/>
        <v>46.522181250387803</v>
      </c>
      <c r="BA274" s="634">
        <f t="shared" si="131"/>
        <v>1.0149198133359907</v>
      </c>
      <c r="BC274" s="11">
        <v>43360</v>
      </c>
      <c r="BD274" s="286">
        <f>[3]!FeuilCaduc*(1-Persistant)+Persistant</f>
        <v>0.96494064125016266</v>
      </c>
      <c r="BE274" s="287">
        <f>[3]!CroissVégét</f>
        <v>0.98348667856218763</v>
      </c>
      <c r="BF274" s="807">
        <f>1+[3]!Salcycl*Ksac</f>
        <v>1.0456175801562704</v>
      </c>
      <c r="BH274" s="1041">
        <f t="shared" si="132"/>
        <v>2.1004509121300766E-3</v>
      </c>
      <c r="BI274" s="11">
        <v>44456</v>
      </c>
      <c r="BJ274" s="717">
        <v>4.4987216147653736E-4</v>
      </c>
      <c r="BK274" s="717">
        <v>6.7768466816414739E-4</v>
      </c>
      <c r="BL274" s="717">
        <v>9.0884506835059908E-4</v>
      </c>
      <c r="BM274" s="717">
        <v>1.1694558719026827E-3</v>
      </c>
      <c r="BN274" s="717">
        <v>1.5172986372767308E-3</v>
      </c>
      <c r="BO274" s="718">
        <v>2.1040790776476986E-3</v>
      </c>
      <c r="BP274" s="717">
        <v>2.7601432485835319E-3</v>
      </c>
      <c r="BQ274" s="717">
        <v>3.5970441553118842E-3</v>
      </c>
      <c r="BR274" s="717">
        <v>4.3581878555398815E-3</v>
      </c>
      <c r="BS274" s="717">
        <v>5.2269436612303781E-3</v>
      </c>
      <c r="BT274" s="717">
        <v>6.0523638231839514E-3</v>
      </c>
      <c r="BW274" s="1162">
        <f>'2022'!R\Max</f>
        <v>1.0149198133359907</v>
      </c>
      <c r="BX274" s="1163">
        <f>'2023'!R\Max</f>
        <v>1.0149198133359905</v>
      </c>
      <c r="BY274" s="1163">
        <f>'2024'!R\Max</f>
        <v>1.0149198133359907</v>
      </c>
      <c r="BZ274" s="1163">
        <f>'2025'!R\Max</f>
        <v>1.0149198133359907</v>
      </c>
      <c r="CA274" s="1163">
        <f>'2026'!R\Max</f>
        <v>1.0149198133359905</v>
      </c>
      <c r="CB274" s="1163">
        <f>'2027'!R\Max</f>
        <v>1.0149198133359907</v>
      </c>
      <c r="CC274" s="1164">
        <f>'2028'!R\Max</f>
        <v>1.0149198133359907</v>
      </c>
      <c r="CD274" s="1163">
        <f>'2029'!R\Max</f>
        <v>1.0149198133359907</v>
      </c>
      <c r="CE274" s="1163">
        <f>'2030'!R\Max</f>
        <v>1.0149198133359905</v>
      </c>
      <c r="CF274" s="1165">
        <f>'2031'!R\Max</f>
        <v>1.0149198133359907</v>
      </c>
    </row>
    <row r="275" spans="1:84" s="6" customFormat="1" ht="11.25" x14ac:dyDescent="0.2">
      <c r="A275" s="11">
        <v>43361</v>
      </c>
      <c r="B275" s="375">
        <f>'2022'!Maxi_hp</f>
        <v>46.383172558229617</v>
      </c>
      <c r="C275" s="13">
        <f>'2022'!An_max</f>
        <v>2022</v>
      </c>
      <c r="D275" s="1050">
        <f t="shared" si="116"/>
        <v>1.0019679371990162</v>
      </c>
      <c r="E275" s="13"/>
      <c r="F275" s="13">
        <f t="shared" si="133"/>
        <v>21</v>
      </c>
      <c r="G275" s="13">
        <f t="shared" si="117"/>
        <v>20</v>
      </c>
      <c r="H275" s="169">
        <f t="shared" si="118"/>
        <v>43374</v>
      </c>
      <c r="I275" s="744">
        <f t="shared" si="119"/>
        <v>0.9285714285714286</v>
      </c>
      <c r="J275" s="737">
        <f t="shared" si="120"/>
        <v>46.292072666409823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43">
        <v>43361</v>
      </c>
      <c r="AP275" s="13">
        <f t="shared" si="121"/>
        <v>11</v>
      </c>
      <c r="AQ275" s="13">
        <f t="shared" si="122"/>
        <v>12</v>
      </c>
      <c r="AR275" s="169">
        <f t="shared" si="123"/>
        <v>43360</v>
      </c>
      <c r="AS275" s="744">
        <f t="shared" si="124"/>
        <v>3.5714285714285712E-2</v>
      </c>
      <c r="AT275" s="760">
        <f t="shared" si="125"/>
        <v>46.301374582600381</v>
      </c>
      <c r="AU275" s="13">
        <f t="shared" si="126"/>
        <v>11</v>
      </c>
      <c r="AV275" s="13">
        <f t="shared" si="127"/>
        <v>10</v>
      </c>
      <c r="AW275" s="169">
        <f t="shared" si="128"/>
        <v>43374</v>
      </c>
      <c r="AX275" s="744">
        <f t="shared" si="129"/>
        <v>0.4642857142857143</v>
      </c>
      <c r="AY275" s="760">
        <f t="shared" si="130"/>
        <v>46.026854368365768</v>
      </c>
      <c r="AZ275" s="737">
        <f t="shared" si="134"/>
        <v>46.164114475483075</v>
      </c>
      <c r="BA275" s="634">
        <f t="shared" si="131"/>
        <v>1.0019679371990162</v>
      </c>
      <c r="BC275" s="11">
        <v>43361</v>
      </c>
      <c r="BD275" s="286">
        <f>[3]!FeuilCaduc*(1-Persistant)+Persistant</f>
        <v>0.96311037689069634</v>
      </c>
      <c r="BE275" s="287">
        <f>[3]!CroissVégét</f>
        <v>0.98415393538190332</v>
      </c>
      <c r="BF275" s="807">
        <f>1+[3]!Salcycl*Ksac</f>
        <v>1.0453887971113371</v>
      </c>
      <c r="BH275" s="1041">
        <f t="shared" si="132"/>
        <v>2.058922016403827E-3</v>
      </c>
      <c r="BI275" s="11">
        <v>44457</v>
      </c>
      <c r="BJ275" s="717">
        <v>4.7703893773839442E-4</v>
      </c>
      <c r="BK275" s="717">
        <v>6.9961580102688263E-4</v>
      </c>
      <c r="BL275" s="717">
        <v>9.2602855105079469E-4</v>
      </c>
      <c r="BM275" s="717">
        <v>1.1796418753766251E-3</v>
      </c>
      <c r="BN275" s="717">
        <v>1.5134957441516148E-3</v>
      </c>
      <c r="BO275" s="718">
        <v>2.0623154641853489E-3</v>
      </c>
      <c r="BP275" s="717">
        <v>2.6761688937122648E-3</v>
      </c>
      <c r="BQ275" s="717">
        <v>3.4391189952741237E-3</v>
      </c>
      <c r="BR275" s="717">
        <v>4.1414333972558922E-3</v>
      </c>
      <c r="BS275" s="717">
        <v>4.9483299990468734E-3</v>
      </c>
      <c r="BT275" s="717">
        <v>5.7392200402115743E-3</v>
      </c>
      <c r="BW275" s="1162">
        <f>'2022'!R\Max</f>
        <v>1.0019679371990162</v>
      </c>
      <c r="BX275" s="1163">
        <f>'2023'!R\Max</f>
        <v>1.0019679371990162</v>
      </c>
      <c r="BY275" s="1163">
        <f>'2024'!R\Max</f>
        <v>1.0019679371990164</v>
      </c>
      <c r="BZ275" s="1163">
        <f>'2025'!R\Max</f>
        <v>1.0019679371990164</v>
      </c>
      <c r="CA275" s="1163">
        <f>'2026'!R\Max</f>
        <v>1.0019679371990162</v>
      </c>
      <c r="CB275" s="1163">
        <f>'2027'!R\Max</f>
        <v>1.0019679371990164</v>
      </c>
      <c r="CC275" s="1164">
        <f>'2028'!R\Max</f>
        <v>1.0019679371990162</v>
      </c>
      <c r="CD275" s="1163">
        <f>'2029'!R\Max</f>
        <v>1.0019679371990162</v>
      </c>
      <c r="CE275" s="1163">
        <f>'2030'!R\Max</f>
        <v>1.0019679371990164</v>
      </c>
      <c r="CF275" s="1165">
        <f>'2031'!R\Max</f>
        <v>1.0019679371990164</v>
      </c>
    </row>
    <row r="276" spans="1:84" s="6" customFormat="1" ht="11.25" x14ac:dyDescent="0.2">
      <c r="A276" s="11">
        <v>43362</v>
      </c>
      <c r="B276" s="375">
        <f>'2022'!Maxi_hp</f>
        <v>46.753120968509741</v>
      </c>
      <c r="C276" s="13">
        <f>'2022'!An_max</f>
        <v>2022</v>
      </c>
      <c r="D276" s="1050">
        <f t="shared" si="116"/>
        <v>1.0180864621196524</v>
      </c>
      <c r="E276" s="13"/>
      <c r="F276" s="13">
        <f t="shared" si="133"/>
        <v>21</v>
      </c>
      <c r="G276" s="13">
        <f t="shared" si="117"/>
        <v>20</v>
      </c>
      <c r="H276" s="169">
        <f t="shared" si="118"/>
        <v>43374</v>
      </c>
      <c r="I276" s="744">
        <f t="shared" si="119"/>
        <v>0.8571428571428571</v>
      </c>
      <c r="J276" s="737">
        <f t="shared" si="120"/>
        <v>45.922544605072055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43">
        <v>43362</v>
      </c>
      <c r="AP276" s="13">
        <f t="shared" si="121"/>
        <v>11</v>
      </c>
      <c r="AQ276" s="13">
        <f t="shared" si="122"/>
        <v>12</v>
      </c>
      <c r="AR276" s="169">
        <f t="shared" si="123"/>
        <v>43360</v>
      </c>
      <c r="AS276" s="744">
        <f t="shared" si="124"/>
        <v>7.1428571428571425E-2</v>
      </c>
      <c r="AT276" s="760">
        <f t="shared" si="125"/>
        <v>45.94165812850531</v>
      </c>
      <c r="AU276" s="13">
        <f t="shared" si="126"/>
        <v>11</v>
      </c>
      <c r="AV276" s="13">
        <f t="shared" si="127"/>
        <v>10</v>
      </c>
      <c r="AW276" s="169">
        <f t="shared" si="128"/>
        <v>43374</v>
      </c>
      <c r="AX276" s="744">
        <f t="shared" si="129"/>
        <v>0.42857142857142855</v>
      </c>
      <c r="AY276" s="760">
        <f t="shared" si="130"/>
        <v>45.660416326405745</v>
      </c>
      <c r="AZ276" s="737">
        <f t="shared" si="134"/>
        <v>45.801037227455524</v>
      </c>
      <c r="BA276" s="634">
        <f t="shared" si="131"/>
        <v>1.0180864621196524</v>
      </c>
      <c r="BC276" s="11">
        <v>43362</v>
      </c>
      <c r="BD276" s="286">
        <f>[3]!FeuilCaduc*(1-Persistant)+Persistant</f>
        <v>0.96120266225036788</v>
      </c>
      <c r="BE276" s="287">
        <f>[3]!CroissVégét</f>
        <v>0.98479517732042654</v>
      </c>
      <c r="BF276" s="807">
        <f>1+[3]!Salcycl*Ksac</f>
        <v>1.0451503327812959</v>
      </c>
      <c r="BH276" s="1041">
        <f t="shared" si="132"/>
        <v>2.0138116800339735E-3</v>
      </c>
      <c r="BI276" s="11">
        <v>44458</v>
      </c>
      <c r="BJ276" s="717">
        <v>5.0412721284719944E-4</v>
      </c>
      <c r="BK276" s="717">
        <v>7.2101184639740857E-4</v>
      </c>
      <c r="BL276" s="717">
        <v>9.4237436407230285E-4</v>
      </c>
      <c r="BM276" s="717">
        <v>1.1887569235757474E-3</v>
      </c>
      <c r="BN276" s="717">
        <v>1.5080649495689922E-3</v>
      </c>
      <c r="BO276" s="718">
        <v>2.0169582558551597E-3</v>
      </c>
      <c r="BP276" s="717">
        <v>2.5909196977446738E-3</v>
      </c>
      <c r="BQ276" s="717">
        <v>3.2882682017255061E-3</v>
      </c>
      <c r="BR276" s="717">
        <v>3.9435964206339935E-3</v>
      </c>
      <c r="BS276" s="717">
        <v>4.6988716747125804E-3</v>
      </c>
      <c r="BT276" s="717">
        <v>5.4621880961283741E-3</v>
      </c>
      <c r="BW276" s="1162">
        <f>'2022'!R\Max</f>
        <v>1.0180864621196524</v>
      </c>
      <c r="BX276" s="1163">
        <f>'2023'!R\Max</f>
        <v>1.0180864621196524</v>
      </c>
      <c r="BY276" s="1163">
        <f>'2024'!R\Max</f>
        <v>1.0180864621196524</v>
      </c>
      <c r="BZ276" s="1163">
        <f>'2025'!R\Max</f>
        <v>1.0180864621196526</v>
      </c>
      <c r="CA276" s="1163">
        <f>'2026'!R\Max</f>
        <v>1.0180864621196524</v>
      </c>
      <c r="CB276" s="1163">
        <f>'2027'!R\Max</f>
        <v>1.0180864621196524</v>
      </c>
      <c r="CC276" s="1164">
        <f>'2028'!R\Max</f>
        <v>1.0180864621196524</v>
      </c>
      <c r="CD276" s="1163">
        <f>'2029'!R\Max</f>
        <v>1.0180864621196524</v>
      </c>
      <c r="CE276" s="1163">
        <f>'2030'!R\Max</f>
        <v>1.0180864621196526</v>
      </c>
      <c r="CF276" s="1165">
        <f>'2031'!R\Max</f>
        <v>1.0180864621196524</v>
      </c>
    </row>
    <row r="277" spans="1:84" s="6" customFormat="1" ht="11.25" x14ac:dyDescent="0.2">
      <c r="A277" s="11">
        <v>43363</v>
      </c>
      <c r="B277" s="375">
        <f>'2022'!Maxi_hp</f>
        <v>47.126194805421548</v>
      </c>
      <c r="C277" s="13">
        <f>'2022'!An_max</f>
        <v>2022</v>
      </c>
      <c r="D277" s="1050">
        <f t="shared" si="116"/>
        <v>1.0347038043559282</v>
      </c>
      <c r="E277" s="13"/>
      <c r="F277" s="13">
        <f t="shared" si="133"/>
        <v>21</v>
      </c>
      <c r="G277" s="13">
        <f t="shared" si="117"/>
        <v>20</v>
      </c>
      <c r="H277" s="169">
        <f t="shared" si="118"/>
        <v>43374</v>
      </c>
      <c r="I277" s="744">
        <f t="shared" si="119"/>
        <v>0.7857142857142857</v>
      </c>
      <c r="J277" s="737">
        <f t="shared" si="120"/>
        <v>45.54558957551739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43">
        <v>43363</v>
      </c>
      <c r="AP277" s="13">
        <f t="shared" si="121"/>
        <v>11</v>
      </c>
      <c r="AQ277" s="13">
        <f t="shared" si="122"/>
        <v>12</v>
      </c>
      <c r="AR277" s="169">
        <f t="shared" si="123"/>
        <v>43360</v>
      </c>
      <c r="AS277" s="744">
        <f t="shared" si="124"/>
        <v>0.10714285714285714</v>
      </c>
      <c r="AT277" s="760">
        <f t="shared" si="125"/>
        <v>45.574642128390927</v>
      </c>
      <c r="AU277" s="13">
        <f t="shared" si="126"/>
        <v>11</v>
      </c>
      <c r="AV277" s="13">
        <f t="shared" si="127"/>
        <v>10</v>
      </c>
      <c r="AW277" s="169">
        <f t="shared" si="128"/>
        <v>43374</v>
      </c>
      <c r="AX277" s="744">
        <f t="shared" si="129"/>
        <v>0.39285714285714285</v>
      </c>
      <c r="AY277" s="760">
        <f t="shared" si="130"/>
        <v>45.291939509041342</v>
      </c>
      <c r="AZ277" s="737">
        <f t="shared" si="134"/>
        <v>45.433290818716131</v>
      </c>
      <c r="BA277" s="634">
        <f t="shared" si="131"/>
        <v>1.0347038043559282</v>
      </c>
      <c r="BC277" s="11">
        <v>43363</v>
      </c>
      <c r="BD277" s="286">
        <f>[3]!FeuilCaduc*(1-Persistant)+Persistant</f>
        <v>0.95921472962157506</v>
      </c>
      <c r="BE277" s="287">
        <f>[3]!CroissVégét</f>
        <v>0.98541138621054403</v>
      </c>
      <c r="BF277" s="807">
        <f>1+[3]!Salcycl*Ksac</f>
        <v>1.0449018412026969</v>
      </c>
      <c r="BH277" s="1041">
        <f t="shared" si="132"/>
        <v>1.9732395879354602E-3</v>
      </c>
      <c r="BI277" s="11">
        <v>44459</v>
      </c>
      <c r="BJ277" s="717">
        <v>5.2926996920158343E-4</v>
      </c>
      <c r="BK277" s="717">
        <v>7.4106225543977492E-4</v>
      </c>
      <c r="BL277" s="717">
        <v>9.5799255956638114E-4</v>
      </c>
      <c r="BM277" s="717">
        <v>1.1979771846142104E-3</v>
      </c>
      <c r="BN277" s="717">
        <v>1.5041062422130366E-3</v>
      </c>
      <c r="BO277" s="718">
        <v>1.9761583683321326E-3</v>
      </c>
      <c r="BP277" s="717">
        <v>2.5174921289215523E-3</v>
      </c>
      <c r="BQ277" s="717">
        <v>3.1620949619002455E-3</v>
      </c>
      <c r="BR277" s="717">
        <v>3.7837637552569242E-3</v>
      </c>
      <c r="BS277" s="717">
        <v>4.4989832516292823E-3</v>
      </c>
      <c r="BT277" s="717">
        <v>5.2428745341832209E-3</v>
      </c>
      <c r="BW277" s="1162">
        <f>'2022'!R\Max</f>
        <v>1.0347038043559282</v>
      </c>
      <c r="BX277" s="1163">
        <f>'2023'!R\Max</f>
        <v>1.0347038043559282</v>
      </c>
      <c r="BY277" s="1163">
        <f>'2024'!R\Max</f>
        <v>1.0347038043559278</v>
      </c>
      <c r="BZ277" s="1163">
        <f>'2025'!R\Max</f>
        <v>1.0347038043559278</v>
      </c>
      <c r="CA277" s="1163">
        <f>'2026'!R\Max</f>
        <v>1.034703804355928</v>
      </c>
      <c r="CB277" s="1163">
        <f>'2027'!R\Max</f>
        <v>1.034703804355928</v>
      </c>
      <c r="CC277" s="1164">
        <f>'2028'!R\Max</f>
        <v>1.034703804355928</v>
      </c>
      <c r="CD277" s="1163">
        <f>'2029'!R\Max</f>
        <v>1.0347038043559282</v>
      </c>
      <c r="CE277" s="1163">
        <f>'2030'!R\Max</f>
        <v>1.0347038043559278</v>
      </c>
      <c r="CF277" s="1165">
        <f>'2031'!R\Max</f>
        <v>1.034703804355928</v>
      </c>
    </row>
    <row r="278" spans="1:84" s="6" customFormat="1" ht="11.25" x14ac:dyDescent="0.2">
      <c r="A278" s="11">
        <v>43364</v>
      </c>
      <c r="B278" s="375">
        <f>'2022'!Maxi_hp</f>
        <v>45.737542651525196</v>
      </c>
      <c r="C278" s="13">
        <f>'2022'!An_max</f>
        <v>2022</v>
      </c>
      <c r="D278" s="1050">
        <f t="shared" si="116"/>
        <v>1.0127421343989176</v>
      </c>
      <c r="E278" s="13"/>
      <c r="F278" s="13">
        <f t="shared" si="133"/>
        <v>21</v>
      </c>
      <c r="G278" s="13">
        <f t="shared" si="117"/>
        <v>20</v>
      </c>
      <c r="H278" s="169">
        <f t="shared" si="118"/>
        <v>43374</v>
      </c>
      <c r="I278" s="744">
        <f t="shared" si="119"/>
        <v>0.7142857142857143</v>
      </c>
      <c r="J278" s="737">
        <f t="shared" si="120"/>
        <v>45.162081341339011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43">
        <v>43364</v>
      </c>
      <c r="AP278" s="13">
        <f t="shared" si="121"/>
        <v>11</v>
      </c>
      <c r="AQ278" s="13">
        <f t="shared" si="122"/>
        <v>12</v>
      </c>
      <c r="AR278" s="169">
        <f t="shared" si="123"/>
        <v>43360</v>
      </c>
      <c r="AS278" s="744">
        <f t="shared" si="124"/>
        <v>0.14285714285714285</v>
      </c>
      <c r="AT278" s="760">
        <f t="shared" si="125"/>
        <v>45.200818076197592</v>
      </c>
      <c r="AU278" s="13">
        <f t="shared" si="126"/>
        <v>11</v>
      </c>
      <c r="AV278" s="13">
        <f t="shared" si="127"/>
        <v>10</v>
      </c>
      <c r="AW278" s="169">
        <f t="shared" si="128"/>
        <v>43374</v>
      </c>
      <c r="AX278" s="744">
        <f t="shared" si="129"/>
        <v>0.35714285714285715</v>
      </c>
      <c r="AY278" s="760">
        <f t="shared" si="130"/>
        <v>44.921615051132228</v>
      </c>
      <c r="AZ278" s="737">
        <f t="shared" si="134"/>
        <v>45.061216563664914</v>
      </c>
      <c r="BA278" s="634">
        <f t="shared" si="131"/>
        <v>1.0127421343989176</v>
      </c>
      <c r="BC278" s="11">
        <v>43364</v>
      </c>
      <c r="BD278" s="286">
        <f>[3]!FeuilCaduc*(1-Persistant)+Persistant</f>
        <v>0.95714378465986294</v>
      </c>
      <c r="BE278" s="287">
        <f>[3]!CroissVégét</f>
        <v>0.98600350935571934</v>
      </c>
      <c r="BF278" s="807">
        <f>1+[3]!Salcycl*Ksac</f>
        <v>1.0446429730824829</v>
      </c>
      <c r="BH278" s="1041">
        <f t="shared" si="132"/>
        <v>1.9372082202894069E-3</v>
      </c>
      <c r="BI278" s="11">
        <v>44460</v>
      </c>
      <c r="BJ278" s="717">
        <v>5.5246654174618604E-4</v>
      </c>
      <c r="BK278" s="717">
        <v>7.5976669193231607E-4</v>
      </c>
      <c r="BL278" s="717">
        <v>9.7288316253070094E-4</v>
      </c>
      <c r="BM278" s="717">
        <v>1.2073031514893951E-3</v>
      </c>
      <c r="BN278" s="717">
        <v>1.5016207971133677E-3</v>
      </c>
      <c r="BO278" s="718">
        <v>1.9399182899175749E-3</v>
      </c>
      <c r="BP278" s="717">
        <v>2.4558931949934647E-3</v>
      </c>
      <c r="BQ278" s="717">
        <v>3.0606143788956537E-3</v>
      </c>
      <c r="BR278" s="717">
        <v>3.661959473654912E-3</v>
      </c>
      <c r="BS278" s="717">
        <v>4.3486963085797876E-3</v>
      </c>
      <c r="BT278" s="717">
        <v>5.0813164978926774E-3</v>
      </c>
      <c r="BW278" s="1162">
        <f>'2022'!R\Max</f>
        <v>1.0127421343989176</v>
      </c>
      <c r="BX278" s="1163">
        <f>'2023'!R\Max</f>
        <v>1.0127421343989176</v>
      </c>
      <c r="BY278" s="1163">
        <f>'2024'!R\Max</f>
        <v>1.0127421343989176</v>
      </c>
      <c r="BZ278" s="1163">
        <f>'2025'!R\Max</f>
        <v>1.0127421343989176</v>
      </c>
      <c r="CA278" s="1163">
        <f>'2026'!R\Max</f>
        <v>1.0127421343989176</v>
      </c>
      <c r="CB278" s="1163">
        <f>'2027'!R\Max</f>
        <v>1.0127421343989176</v>
      </c>
      <c r="CC278" s="1164">
        <f>'2028'!R\Max</f>
        <v>1.0127421343989176</v>
      </c>
      <c r="CD278" s="1163">
        <f>'2029'!R\Max</f>
        <v>1.0127421343989176</v>
      </c>
      <c r="CE278" s="1163">
        <f>'2030'!R\Max</f>
        <v>1.0127421343989176</v>
      </c>
      <c r="CF278" s="1165">
        <f>'2031'!R\Max</f>
        <v>1.0127421343989176</v>
      </c>
    </row>
    <row r="279" spans="1:84" s="6" customFormat="1" ht="11.25" x14ac:dyDescent="0.2">
      <c r="A279" s="11">
        <v>43365</v>
      </c>
      <c r="B279" s="375">
        <f>'2022'!Maxi_hp</f>
        <v>44.460416215759921</v>
      </c>
      <c r="C279" s="13">
        <f>'2022'!An_max</f>
        <v>2022</v>
      </c>
      <c r="D279" s="1050">
        <f t="shared" si="116"/>
        <v>0.99302083431977306</v>
      </c>
      <c r="E279" s="13"/>
      <c r="F279" s="13">
        <f t="shared" si="133"/>
        <v>21</v>
      </c>
      <c r="G279" s="13">
        <f t="shared" si="117"/>
        <v>20</v>
      </c>
      <c r="H279" s="169">
        <f t="shared" si="118"/>
        <v>43374</v>
      </c>
      <c r="I279" s="744">
        <f t="shared" si="119"/>
        <v>0.6428571428571429</v>
      </c>
      <c r="J279" s="737">
        <f t="shared" si="120"/>
        <v>44.772893658586376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43">
        <v>43365</v>
      </c>
      <c r="AP279" s="13">
        <f t="shared" si="121"/>
        <v>11</v>
      </c>
      <c r="AQ279" s="13">
        <f t="shared" si="122"/>
        <v>12</v>
      </c>
      <c r="AR279" s="169">
        <f t="shared" si="123"/>
        <v>43360</v>
      </c>
      <c r="AS279" s="744">
        <f t="shared" si="124"/>
        <v>0.17857142857142858</v>
      </c>
      <c r="AT279" s="760">
        <f t="shared" si="125"/>
        <v>44.820677460357544</v>
      </c>
      <c r="AU279" s="13">
        <f t="shared" si="126"/>
        <v>11</v>
      </c>
      <c r="AV279" s="13">
        <f t="shared" si="127"/>
        <v>10</v>
      </c>
      <c r="AW279" s="169">
        <f t="shared" si="128"/>
        <v>43374</v>
      </c>
      <c r="AX279" s="744">
        <f t="shared" si="129"/>
        <v>0.32142857142857145</v>
      </c>
      <c r="AY279" s="760">
        <f t="shared" si="130"/>
        <v>44.5496340878707</v>
      </c>
      <c r="AZ279" s="737">
        <f t="shared" si="134"/>
        <v>44.685155774114122</v>
      </c>
      <c r="BA279" s="634">
        <f t="shared" si="131"/>
        <v>0.99302083431977306</v>
      </c>
      <c r="BC279" s="11">
        <v>43365</v>
      </c>
      <c r="BD279" s="286">
        <f>[3]!FeuilCaduc*(1-Persistant)+Persistant</f>
        <v>0.95498701964555321</v>
      </c>
      <c r="BE279" s="287">
        <f>[3]!CroissVégét</f>
        <v>0.98657246054533965</v>
      </c>
      <c r="BF279" s="807">
        <f>1+[3]!Salcycl*Ksac</f>
        <v>1.0443733774556943</v>
      </c>
      <c r="BH279" s="1041">
        <f t="shared" si="132"/>
        <v>1.9057203689510848E-3</v>
      </c>
      <c r="BI279" s="11">
        <v>44461</v>
      </c>
      <c r="BJ279" s="717">
        <v>5.7371619097612938E-4</v>
      </c>
      <c r="BK279" s="717">
        <v>7.7712478464255982E-4</v>
      </c>
      <c r="BL279" s="717">
        <v>9.8704620405448153E-4</v>
      </c>
      <c r="BM279" s="717">
        <v>1.21673537634359E-3</v>
      </c>
      <c r="BN279" s="717">
        <v>1.5006099303448272E-3</v>
      </c>
      <c r="BO279" s="718">
        <v>1.9082408216485379E-3</v>
      </c>
      <c r="BP279" s="717">
        <v>2.4061306328706108E-3</v>
      </c>
      <c r="BQ279" s="717">
        <v>2.9838430127759048E-3</v>
      </c>
      <c r="BR279" s="717">
        <v>3.5782098714076858E-3</v>
      </c>
      <c r="BS279" s="717">
        <v>4.2480453122222582E-3</v>
      </c>
      <c r="BT279" s="717">
        <v>4.9775545021383148E-3</v>
      </c>
      <c r="BW279" s="1162">
        <f>'2022'!R\Max</f>
        <v>0.99302083431977306</v>
      </c>
      <c r="BX279" s="1163">
        <f>'2023'!R\Max</f>
        <v>0.9930205977398241</v>
      </c>
      <c r="BY279" s="1163">
        <f>'2024'!R\Max</f>
        <v>0.99302032419534869</v>
      </c>
      <c r="BZ279" s="1163">
        <f>'2025'!R\Max</f>
        <v>0.99302004965743795</v>
      </c>
      <c r="CA279" s="1163">
        <f>'2026'!R\Max</f>
        <v>0.99301976739349396</v>
      </c>
      <c r="CB279" s="1163">
        <f>'2027'!R\Max</f>
        <v>0.99301948490943959</v>
      </c>
      <c r="CC279" s="1164">
        <f>'2028'!R\Max</f>
        <v>0.99301916746367702</v>
      </c>
      <c r="CD279" s="1163">
        <f>'2029'!R\Max</f>
        <v>0.99302084614285269</v>
      </c>
      <c r="CE279" s="1163">
        <f>'2030'!R\Max</f>
        <v>0.9930206095634625</v>
      </c>
      <c r="CF279" s="1165">
        <f>'2031'!R\Max</f>
        <v>0.99302033791532174</v>
      </c>
    </row>
    <row r="280" spans="1:84" s="6" customFormat="1" ht="11.25" x14ac:dyDescent="0.2">
      <c r="A280" s="11">
        <v>43366</v>
      </c>
      <c r="B280" s="375">
        <f>'2022'!Maxi_hp</f>
        <v>32.582079960856511</v>
      </c>
      <c r="C280" s="13">
        <f>'2022'!An_max</f>
        <v>2022</v>
      </c>
      <c r="D280" s="1050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69">
        <f t="shared" si="118"/>
        <v>43374</v>
      </c>
      <c r="I280" s="744">
        <f t="shared" si="119"/>
        <v>0.5714285714285714</v>
      </c>
      <c r="J280" s="737">
        <f t="shared" si="120"/>
        <v>44.378900291025637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43">
        <v>43366</v>
      </c>
      <c r="AP280" s="13">
        <f t="shared" si="121"/>
        <v>11</v>
      </c>
      <c r="AQ280" s="13">
        <f t="shared" si="122"/>
        <v>12</v>
      </c>
      <c r="AR280" s="169">
        <f t="shared" si="123"/>
        <v>43360</v>
      </c>
      <c r="AS280" s="744">
        <f t="shared" si="124"/>
        <v>0.21428571428571427</v>
      </c>
      <c r="AT280" s="760">
        <f t="shared" si="125"/>
        <v>44.434711771990571</v>
      </c>
      <c r="AU280" s="13">
        <f t="shared" si="126"/>
        <v>11</v>
      </c>
      <c r="AV280" s="13">
        <f t="shared" si="127"/>
        <v>10</v>
      </c>
      <c r="AW280" s="169">
        <f t="shared" si="128"/>
        <v>43374</v>
      </c>
      <c r="AX280" s="744">
        <f t="shared" si="129"/>
        <v>0.2857142857142857</v>
      </c>
      <c r="AY280" s="760">
        <f t="shared" si="130"/>
        <v>44.176187754901392</v>
      </c>
      <c r="AZ280" s="737">
        <f t="shared" si="134"/>
        <v>44.305449763445978</v>
      </c>
      <c r="BA280" s="634">
        <f t="shared" si="131"/>
        <v>0.73417952556713773</v>
      </c>
      <c r="BC280" s="11">
        <v>43366</v>
      </c>
      <c r="BD280" s="286">
        <f>[3]!FeuilCaduc*(1-Persistant)+Persistant</f>
        <v>0.95274162814343621</v>
      </c>
      <c r="BE280" s="287">
        <f>[3]!CroissVégét</f>
        <v>0.98711912105647015</v>
      </c>
      <c r="BF280" s="807">
        <f>1+[3]!Salcycl*Ksac</f>
        <v>1.0440927035179295</v>
      </c>
      <c r="BH280" s="1041">
        <f t="shared" si="132"/>
        <v>1.8787874694135029E-3</v>
      </c>
      <c r="BI280" s="11">
        <v>44462</v>
      </c>
      <c r="BJ280" s="717">
        <v>5.9302073342879088E-4</v>
      </c>
      <c r="BK280" s="717">
        <v>7.931396453846382E-4</v>
      </c>
      <c r="BL280" s="717">
        <v>1.0004861591586735E-3</v>
      </c>
      <c r="BM280" s="717">
        <v>1.2262799099352145E-3</v>
      </c>
      <c r="BN280" s="717">
        <v>1.5010817571857158E-3</v>
      </c>
      <c r="BO280" s="718">
        <v>1.881137419675222E-3</v>
      </c>
      <c r="BP280" s="717">
        <v>2.3682234192923617E-3</v>
      </c>
      <c r="BQ280" s="717">
        <v>2.9318119063065878E-3</v>
      </c>
      <c r="BR280" s="717">
        <v>3.5325591774968798E-3</v>
      </c>
      <c r="BS280" s="717">
        <v>4.1970862899409741E-3</v>
      </c>
      <c r="BT280" s="717">
        <v>4.9316543761307695E-3</v>
      </c>
      <c r="BW280" s="1162">
        <f>'2022'!R\Max</f>
        <v>0.73417952556713773</v>
      </c>
      <c r="BX280" s="1163">
        <f>'2023'!R\Max</f>
        <v>0.73417296575433078</v>
      </c>
      <c r="BY280" s="1163">
        <f>'2024'!R\Max</f>
        <v>0.73416540142163955</v>
      </c>
      <c r="BZ280" s="1163">
        <f>'2025'!R\Max</f>
        <v>0.73415781081997544</v>
      </c>
      <c r="CA280" s="1163">
        <f>'2026'!R\Max</f>
        <v>0.73414973210518442</v>
      </c>
      <c r="CB280" s="1163">
        <f>'2027'!R\Max</f>
        <v>0.7341416404632346</v>
      </c>
      <c r="CC280" s="1164">
        <f>'2028'!R\Max</f>
        <v>0.73413271110350697</v>
      </c>
      <c r="CD280" s="1163">
        <f>'2029'!R\Max</f>
        <v>0.73417985339680181</v>
      </c>
      <c r="CE280" s="1163">
        <f>'2030'!R\Max</f>
        <v>0.73417329359356376</v>
      </c>
      <c r="CF280" s="1165">
        <f>'2031'!R\Max</f>
        <v>0.73416578076453809</v>
      </c>
    </row>
    <row r="281" spans="1:84" s="6" customFormat="1" ht="11.25" x14ac:dyDescent="0.2">
      <c r="A281" s="11">
        <v>43367</v>
      </c>
      <c r="B281" s="375">
        <f>'2022'!Maxi_hp</f>
        <v>20.127284995760309</v>
      </c>
      <c r="C281" s="13">
        <f>'2022'!An_max</f>
        <v>2022</v>
      </c>
      <c r="D281" s="1050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69">
        <f t="shared" si="118"/>
        <v>43374</v>
      </c>
      <c r="I281" s="744">
        <f t="shared" si="119"/>
        <v>0.5</v>
      </c>
      <c r="J281" s="737">
        <f t="shared" si="120"/>
        <v>43.980974999442694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43">
        <v>43367</v>
      </c>
      <c r="AP281" s="13">
        <f t="shared" si="121"/>
        <v>11</v>
      </c>
      <c r="AQ281" s="13">
        <f t="shared" si="122"/>
        <v>12</v>
      </c>
      <c r="AR281" s="169">
        <f t="shared" si="123"/>
        <v>43360</v>
      </c>
      <c r="AS281" s="744">
        <f t="shared" si="124"/>
        <v>0.25</v>
      </c>
      <c r="AT281" s="760">
        <f t="shared" si="125"/>
        <v>44.043412501085548</v>
      </c>
      <c r="AU281" s="13">
        <f t="shared" si="126"/>
        <v>11</v>
      </c>
      <c r="AV281" s="13">
        <f t="shared" si="127"/>
        <v>10</v>
      </c>
      <c r="AW281" s="169">
        <f t="shared" si="128"/>
        <v>43374</v>
      </c>
      <c r="AX281" s="744">
        <f t="shared" si="129"/>
        <v>0.25</v>
      </c>
      <c r="AY281" s="760">
        <f t="shared" si="130"/>
        <v>43.801467187656087</v>
      </c>
      <c r="AZ281" s="737">
        <f t="shared" si="134"/>
        <v>43.922439844370814</v>
      </c>
      <c r="BA281" s="634">
        <f t="shared" si="131"/>
        <v>0.45763617100383408</v>
      </c>
      <c r="BC281" s="11">
        <v>43367</v>
      </c>
      <c r="BD281" s="286">
        <f>[3]!FeuilCaduc*(1-Persistant)+Persistant</f>
        <v>0.95040482100443024</v>
      </c>
      <c r="BE281" s="287">
        <f>[3]!CroissVégét</f>
        <v>0.98764434064074225</v>
      </c>
      <c r="BF281" s="807">
        <f>1+[3]!Salcycl*Ksac</f>
        <v>1.0438006026255537</v>
      </c>
      <c r="BH281" s="1041">
        <f t="shared" si="132"/>
        <v>1.8564167270742561E-3</v>
      </c>
      <c r="BI281" s="11">
        <v>44463</v>
      </c>
      <c r="BJ281" s="717">
        <v>6.1038085531763735E-4</v>
      </c>
      <c r="BK281" s="717">
        <v>8.0781280685129735E-4</v>
      </c>
      <c r="BL281" s="717">
        <v>1.0132054721642165E-3</v>
      </c>
      <c r="BM281" s="717">
        <v>1.2359402745568846E-3</v>
      </c>
      <c r="BN281" s="717">
        <v>1.5030412138338839E-3</v>
      </c>
      <c r="BO281" s="718">
        <v>1.8586153035133742E-3</v>
      </c>
      <c r="BP281" s="717">
        <v>2.3421855887530286E-3</v>
      </c>
      <c r="BQ281" s="717">
        <v>2.9045466487007308E-3</v>
      </c>
      <c r="BR281" s="717">
        <v>3.5250459463033296E-3</v>
      </c>
      <c r="BS281" s="717">
        <v>4.1958689101340785E-3</v>
      </c>
      <c r="BT281" s="717">
        <v>4.9436746674254833E-3</v>
      </c>
      <c r="BW281" s="1162">
        <f>'2022'!R\Max</f>
        <v>0.45763617100383408</v>
      </c>
      <c r="BX281" s="1163">
        <f>'2023'!R\Max</f>
        <v>0.45762783405954238</v>
      </c>
      <c r="BY281" s="1163">
        <f>'2024'!R\Max</f>
        <v>0.4576181722026712</v>
      </c>
      <c r="BZ281" s="1163">
        <f>'2025'!R\Max</f>
        <v>0.45760847664401311</v>
      </c>
      <c r="CA281" s="1163">
        <f>'2026'!R\Max</f>
        <v>0.45759780337770595</v>
      </c>
      <c r="CB281" s="1163">
        <f>'2027'!R\Max</f>
        <v>0.457587105185291</v>
      </c>
      <c r="CC281" s="1164">
        <f>'2028'!R\Max</f>
        <v>0.45757556063672772</v>
      </c>
      <c r="CD281" s="1163">
        <f>'2029'!R\Max</f>
        <v>0.45763658765052984</v>
      </c>
      <c r="CE281" s="1163">
        <f>'2030'!R\Max</f>
        <v>0.45762825071065039</v>
      </c>
      <c r="CF281" s="1165">
        <f>'2031'!R\Max</f>
        <v>0.45761865674696939</v>
      </c>
    </row>
    <row r="282" spans="1:84" s="6" customFormat="1" ht="11.25" x14ac:dyDescent="0.2">
      <c r="A282" s="11">
        <v>43368</v>
      </c>
      <c r="B282" s="375">
        <f>'2022'!Maxi_hp</f>
        <v>32.219433852063254</v>
      </c>
      <c r="C282" s="13">
        <f>'2022'!An_max</f>
        <v>2022</v>
      </c>
      <c r="D282" s="1050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69">
        <f t="shared" si="118"/>
        <v>43374</v>
      </c>
      <c r="I282" s="744">
        <f t="shared" si="119"/>
        <v>0.42857142857142855</v>
      </c>
      <c r="J282" s="737">
        <f t="shared" si="120"/>
        <v>43.579991544676673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43">
        <v>43368</v>
      </c>
      <c r="AP282" s="13">
        <f t="shared" si="121"/>
        <v>11</v>
      </c>
      <c r="AQ282" s="13">
        <f t="shared" si="122"/>
        <v>12</v>
      </c>
      <c r="AR282" s="169">
        <f t="shared" si="123"/>
        <v>43360</v>
      </c>
      <c r="AS282" s="744">
        <f t="shared" si="124"/>
        <v>0.2857142857142857</v>
      </c>
      <c r="AT282" s="760">
        <f t="shared" si="125"/>
        <v>43.647271137578144</v>
      </c>
      <c r="AU282" s="13">
        <f t="shared" si="126"/>
        <v>11</v>
      </c>
      <c r="AV282" s="13">
        <f t="shared" si="127"/>
        <v>10</v>
      </c>
      <c r="AW282" s="169">
        <f t="shared" si="128"/>
        <v>43374</v>
      </c>
      <c r="AX282" s="744">
        <f t="shared" si="129"/>
        <v>0.21428571428571427</v>
      </c>
      <c r="AY282" s="760">
        <f t="shared" si="130"/>
        <v>43.425663520528801</v>
      </c>
      <c r="AZ282" s="737">
        <f t="shared" si="134"/>
        <v>43.536467329053472</v>
      </c>
      <c r="BA282" s="634">
        <f t="shared" si="131"/>
        <v>0.73931712031272478</v>
      </c>
      <c r="BC282" s="11">
        <v>43368</v>
      </c>
      <c r="BD282" s="286">
        <f>[3]!FeuilCaduc*(1-Persistant)+Persistant</f>
        <v>0.94797384363547132</v>
      </c>
      <c r="BE282" s="287">
        <f>[3]!CroissVégét</f>
        <v>0.98814893849517882</v>
      </c>
      <c r="BF282" s="807">
        <f>1+[3]!Salcycl*Ksac</f>
        <v>1.043496730454434</v>
      </c>
      <c r="BH282" s="1041">
        <f t="shared" si="132"/>
        <v>1.8461559117604887E-3</v>
      </c>
      <c r="BI282" s="11">
        <v>44464</v>
      </c>
      <c r="BJ282" s="717">
        <v>6.2657934233393891E-4</v>
      </c>
      <c r="BK282" s="717">
        <v>8.226977106820481E-4</v>
      </c>
      <c r="BL282" s="717">
        <v>1.0275942328157534E-3</v>
      </c>
      <c r="BM282" s="717">
        <v>1.2491984626907355E-3</v>
      </c>
      <c r="BN282" s="717">
        <v>1.5115086274766661E-3</v>
      </c>
      <c r="BO282" s="718">
        <v>1.8482379678370251E-3</v>
      </c>
      <c r="BP282" s="717">
        <v>2.3395332425374549E-3</v>
      </c>
      <c r="BQ282" s="717">
        <v>2.9192190867699066E-3</v>
      </c>
      <c r="BR282" s="717">
        <v>3.580194582794613E-3</v>
      </c>
      <c r="BS282" s="717">
        <v>4.2777624101446145E-3</v>
      </c>
      <c r="BT282" s="717">
        <v>5.0567609364109639E-3</v>
      </c>
      <c r="BW282" s="1162">
        <f>'2022'!R\Max</f>
        <v>0.73931712031272478</v>
      </c>
      <c r="BX282" s="1163">
        <f>'2023'!R\Max</f>
        <v>0.73931049979562713</v>
      </c>
      <c r="BY282" s="1163">
        <f>'2024'!R\Max</f>
        <v>0.7393027167497227</v>
      </c>
      <c r="BZ282" s="1163">
        <f>'2025'!R\Max</f>
        <v>0.73929490457915381</v>
      </c>
      <c r="CA282" s="1163">
        <f>'2026'!R\Max</f>
        <v>0.73928602309663993</v>
      </c>
      <c r="CB282" s="1163">
        <f>'2027'!R\Max</f>
        <v>0.73927711472109325</v>
      </c>
      <c r="CC282" s="1164">
        <f>'2028'!R\Max</f>
        <v>0.73926772472030622</v>
      </c>
      <c r="CD282" s="1163">
        <f>'2029'!R\Max</f>
        <v>0.73931745117594094</v>
      </c>
      <c r="CE282" s="1163">
        <f>'2030'!R\Max</f>
        <v>0.73931083066882985</v>
      </c>
      <c r="CF282" s="1165">
        <f>'2031'!R\Max</f>
        <v>0.73930310716522507</v>
      </c>
    </row>
    <row r="283" spans="1:84" s="6" customFormat="1" ht="11.25" x14ac:dyDescent="0.2">
      <c r="A283" s="11">
        <v>43369</v>
      </c>
      <c r="B283" s="375">
        <f>'2022'!Maxi_hp</f>
        <v>34.75190503320507</v>
      </c>
      <c r="C283" s="13">
        <f>'2022'!An_max</f>
        <v>2022</v>
      </c>
      <c r="D283" s="1050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69">
        <f t="shared" si="118"/>
        <v>43374</v>
      </c>
      <c r="I283" s="744">
        <f t="shared" si="119"/>
        <v>0.35714285714285715</v>
      </c>
      <c r="J283" s="737">
        <f t="shared" si="120"/>
        <v>43.1768236875401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43">
        <v>43369</v>
      </c>
      <c r="AP283" s="13">
        <f t="shared" si="121"/>
        <v>11</v>
      </c>
      <c r="AQ283" s="13">
        <f t="shared" si="122"/>
        <v>12</v>
      </c>
      <c r="AR283" s="169">
        <f t="shared" si="123"/>
        <v>43360</v>
      </c>
      <c r="AS283" s="744">
        <f t="shared" si="124"/>
        <v>0.32142857142857145</v>
      </c>
      <c r="AT283" s="760">
        <f t="shared" si="125"/>
        <v>43.246779173838775</v>
      </c>
      <c r="AU283" s="13">
        <f t="shared" si="126"/>
        <v>11</v>
      </c>
      <c r="AV283" s="13">
        <f t="shared" si="127"/>
        <v>10</v>
      </c>
      <c r="AW283" s="169">
        <f t="shared" si="128"/>
        <v>43374</v>
      </c>
      <c r="AX283" s="744">
        <f t="shared" si="129"/>
        <v>0.17857142857142858</v>
      </c>
      <c r="AY283" s="760">
        <f t="shared" si="130"/>
        <v>43.048967888971262</v>
      </c>
      <c r="AZ283" s="737">
        <f t="shared" si="134"/>
        <v>43.147873531405018</v>
      </c>
      <c r="BA283" s="634">
        <f t="shared" si="131"/>
        <v>0.80487405198436868</v>
      </c>
      <c r="BC283" s="11">
        <v>43369</v>
      </c>
      <c r="BD283" s="286">
        <f>[3]!FeuilCaduc*(1-Persistant)+Persistant</f>
        <v>0.94544599444663047</v>
      </c>
      <c r="BE283" s="287">
        <f>[3]!CroissVégét</f>
        <v>0.98863370421593466</v>
      </c>
      <c r="BF283" s="807">
        <f>1+[3]!Salcycl*Ksac</f>
        <v>1.0431807493058287</v>
      </c>
      <c r="BH283" s="1041">
        <f t="shared" si="132"/>
        <v>1.8476561049337072E-3</v>
      </c>
      <c r="BI283" s="11">
        <v>44465</v>
      </c>
      <c r="BJ283" s="717">
        <v>6.4237259096560533E-4</v>
      </c>
      <c r="BK283" s="717">
        <v>8.3852618914712594E-4</v>
      </c>
      <c r="BL283" s="717">
        <v>1.0443010108403367E-3</v>
      </c>
      <c r="BM283" s="717">
        <v>1.2665145098379367E-3</v>
      </c>
      <c r="BN283" s="717">
        <v>1.5266002030418276E-3</v>
      </c>
      <c r="BO283" s="718">
        <v>1.8496536002753246E-3</v>
      </c>
      <c r="BP283" s="717">
        <v>2.3593080418179962E-3</v>
      </c>
      <c r="BQ283" s="717">
        <v>2.9699856436805837E-3</v>
      </c>
      <c r="BR283" s="717">
        <v>3.687323890610232E-3</v>
      </c>
      <c r="BS283" s="717">
        <v>4.4274426708276436E-3</v>
      </c>
      <c r="BT283" s="717">
        <v>5.2553537164627935E-3</v>
      </c>
      <c r="BW283" s="1162">
        <f>'2022'!R\Max</f>
        <v>0.80487405198436868</v>
      </c>
      <c r="BX283" s="1163">
        <f>'2023'!R\Max</f>
        <v>0.80486841816120724</v>
      </c>
      <c r="BY283" s="1163">
        <f>'2024'!R\Max</f>
        <v>0.80486169384362938</v>
      </c>
      <c r="BZ283" s="1163">
        <f>'2025'!R\Max</f>
        <v>0.80485494272941505</v>
      </c>
      <c r="CA283" s="1163">
        <f>'2026'!R\Max</f>
        <v>0.80484704008152697</v>
      </c>
      <c r="CB283" s="1163">
        <f>'2027'!R\Max</f>
        <v>0.80483910904385558</v>
      </c>
      <c r="CC283" s="1164">
        <f>'2028'!R\Max</f>
        <v>0.8048309316942186</v>
      </c>
      <c r="CD283" s="1163">
        <f>'2029'!R\Max</f>
        <v>0.80487433353623428</v>
      </c>
      <c r="CE283" s="1163">
        <f>'2030'!R\Max</f>
        <v>0.80486869972327124</v>
      </c>
      <c r="CF283" s="1165">
        <f>'2031'!R\Max</f>
        <v>0.80486203123115119</v>
      </c>
    </row>
    <row r="284" spans="1:84" s="6" customFormat="1" ht="11.25" x14ac:dyDescent="0.2">
      <c r="A284" s="11">
        <v>43370</v>
      </c>
      <c r="B284" s="375">
        <f>'2022'!Maxi_hp</f>
        <v>17.007238726948835</v>
      </c>
      <c r="C284" s="13">
        <f>'2022'!An_max</f>
        <v>2022</v>
      </c>
      <c r="D284" s="1050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69">
        <f t="shared" si="118"/>
        <v>43374</v>
      </c>
      <c r="I284" s="744">
        <f t="shared" si="119"/>
        <v>0.2857142857142857</v>
      </c>
      <c r="J284" s="737">
        <f t="shared" si="120"/>
        <v>42.772345189058356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43">
        <v>43370</v>
      </c>
      <c r="AP284" s="13">
        <f t="shared" si="121"/>
        <v>11</v>
      </c>
      <c r="AQ284" s="13">
        <f t="shared" si="122"/>
        <v>12</v>
      </c>
      <c r="AR284" s="169">
        <f t="shared" si="123"/>
        <v>43360</v>
      </c>
      <c r="AS284" s="744">
        <f t="shared" si="124"/>
        <v>0.35714285714285715</v>
      </c>
      <c r="AT284" s="760">
        <f t="shared" si="125"/>
        <v>42.842428097873928</v>
      </c>
      <c r="AU284" s="13">
        <f t="shared" si="126"/>
        <v>11</v>
      </c>
      <c r="AV284" s="13">
        <f t="shared" si="127"/>
        <v>10</v>
      </c>
      <c r="AW284" s="169">
        <f t="shared" si="128"/>
        <v>43374</v>
      </c>
      <c r="AX284" s="744">
        <f t="shared" si="129"/>
        <v>0.14285714285714285</v>
      </c>
      <c r="AY284" s="760">
        <f t="shared" si="130"/>
        <v>42.671571428807724</v>
      </c>
      <c r="AZ284" s="737">
        <f t="shared" si="134"/>
        <v>42.756999763340829</v>
      </c>
      <c r="BA284" s="634">
        <f t="shared" si="131"/>
        <v>0.39762231067235182</v>
      </c>
      <c r="BC284" s="11">
        <v>43370</v>
      </c>
      <c r="BD284" s="286">
        <f>[3]!FeuilCaduc*(1-Persistant)+Persistant</f>
        <v>0.94281864436775531</v>
      </c>
      <c r="BE284" s="287">
        <f>[3]!CroissVégét</f>
        <v>0.98909939873407315</v>
      </c>
      <c r="BF284" s="807">
        <f>1+[3]!Salcycl*Ksac</f>
        <v>1.0428523305459694</v>
      </c>
      <c r="BH284" s="1041">
        <f t="shared" si="132"/>
        <v>1.8609271177865132E-3</v>
      </c>
      <c r="BI284" s="11">
        <v>44466</v>
      </c>
      <c r="BJ284" s="717">
        <v>6.577602790114117E-4</v>
      </c>
      <c r="BK284" s="717">
        <v>8.5529905425744382E-4</v>
      </c>
      <c r="BL284" s="717">
        <v>1.0633278048665406E-3</v>
      </c>
      <c r="BM284" s="717">
        <v>1.2878919312632054E-3</v>
      </c>
      <c r="BN284" s="717">
        <v>1.5483216219446809E-3</v>
      </c>
      <c r="BO284" s="718">
        <v>1.8628720377148762E-3</v>
      </c>
      <c r="BP284" s="717">
        <v>2.4015305313221397E-3</v>
      </c>
      <c r="BQ284" s="717">
        <v>3.0568809878384791E-3</v>
      </c>
      <c r="BR284" s="717">
        <v>3.846485828331836E-3</v>
      </c>
      <c r="BS284" s="717">
        <v>4.6449782431462411E-3</v>
      </c>
      <c r="BT284" s="717">
        <v>5.5395402138460658E-3</v>
      </c>
      <c r="BW284" s="1162">
        <f>'2022'!R\Max</f>
        <v>0.39762231067235182</v>
      </c>
      <c r="BX284" s="1163">
        <f>'2023'!R\Max</f>
        <v>0.39761316931288748</v>
      </c>
      <c r="BY284" s="1163">
        <f>'2024'!R\Max</f>
        <v>0.39760209360579396</v>
      </c>
      <c r="BZ284" s="1163">
        <f>'2025'!R\Max</f>
        <v>0.397590971721071</v>
      </c>
      <c r="CA284" s="1163">
        <f>'2026'!R\Max</f>
        <v>0.39757762429886445</v>
      </c>
      <c r="CB284" s="1163">
        <f>'2027'!R\Max</f>
        <v>0.39756422371714339</v>
      </c>
      <c r="CC284" s="1164">
        <f>'2028'!R\Max</f>
        <v>0.39755067566290264</v>
      </c>
      <c r="CD284" s="1163">
        <f>'2029'!R\Max</f>
        <v>0.39762276752121123</v>
      </c>
      <c r="CE284" s="1163">
        <f>'2030'!R\Max</f>
        <v>0.39761362616515128</v>
      </c>
      <c r="CF284" s="1165">
        <f>'2031'!R\Max</f>
        <v>0.39760264943297308</v>
      </c>
    </row>
    <row r="285" spans="1:84" s="6" customFormat="1" ht="11.25" x14ac:dyDescent="0.2">
      <c r="A285" s="11">
        <v>43371</v>
      </c>
      <c r="B285" s="375">
        <f>'2022'!Maxi_hp</f>
        <v>19.430260578992954</v>
      </c>
      <c r="C285" s="13">
        <f>'2022'!An_max</f>
        <v>2022</v>
      </c>
      <c r="D285" s="1050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69">
        <f t="shared" si="118"/>
        <v>43374</v>
      </c>
      <c r="I285" s="744">
        <f t="shared" si="119"/>
        <v>0.21428571428571427</v>
      </c>
      <c r="J285" s="737">
        <f t="shared" si="120"/>
        <v>42.36742981005726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43">
        <v>43371</v>
      </c>
      <c r="AP285" s="13">
        <f t="shared" si="121"/>
        <v>11</v>
      </c>
      <c r="AQ285" s="13">
        <f t="shared" si="122"/>
        <v>12</v>
      </c>
      <c r="AR285" s="169">
        <f t="shared" si="123"/>
        <v>43360</v>
      </c>
      <c r="AS285" s="744">
        <f t="shared" si="124"/>
        <v>0.39285714285714285</v>
      </c>
      <c r="AT285" s="760">
        <f t="shared" si="125"/>
        <v>42.434709402619461</v>
      </c>
      <c r="AU285" s="13">
        <f t="shared" si="126"/>
        <v>11</v>
      </c>
      <c r="AV285" s="13">
        <f t="shared" si="127"/>
        <v>10</v>
      </c>
      <c r="AW285" s="169">
        <f t="shared" si="128"/>
        <v>43374</v>
      </c>
      <c r="AX285" s="744">
        <f t="shared" si="129"/>
        <v>0.10714285714285714</v>
      </c>
      <c r="AY285" s="760">
        <f t="shared" si="130"/>
        <v>42.293665274472104</v>
      </c>
      <c r="AZ285" s="737">
        <f t="shared" si="134"/>
        <v>42.364187338545783</v>
      </c>
      <c r="BA285" s="634">
        <f t="shared" si="131"/>
        <v>0.45861315321942331</v>
      </c>
      <c r="BC285" s="11">
        <v>43371</v>
      </c>
      <c r="BD285" s="286">
        <f>[3]!FeuilCaduc*(1-Persistant)+Persistant</f>
        <v>0.94008925731094739</v>
      </c>
      <c r="BE285" s="287">
        <f>[3]!CroissVégét</f>
        <v>0.98954675523264646</v>
      </c>
      <c r="BF285" s="807">
        <f>1+[3]!Salcycl*Ksac</f>
        <v>1.0425111571638683</v>
      </c>
      <c r="BH285" s="1041">
        <f t="shared" si="132"/>
        <v>1.885979723208197E-3</v>
      </c>
      <c r="BI285" s="11">
        <v>44467</v>
      </c>
      <c r="BJ285" s="717">
        <v>6.7274199201310786E-4</v>
      </c>
      <c r="BK285" s="717">
        <v>8.7301713656970251E-4</v>
      </c>
      <c r="BL285" s="717">
        <v>1.0846767418337573E-3</v>
      </c>
      <c r="BM285" s="717">
        <v>1.3133345113634086E-3</v>
      </c>
      <c r="BN285" s="717">
        <v>1.5766790541003764E-3</v>
      </c>
      <c r="BO285" s="718">
        <v>1.8879040816830337E-3</v>
      </c>
      <c r="BP285" s="717">
        <v>2.4662230265298248E-3</v>
      </c>
      <c r="BQ285" s="717">
        <v>3.1799425668118954E-3</v>
      </c>
      <c r="BR285" s="717">
        <v>4.0577362299981231E-3</v>
      </c>
      <c r="BS285" s="717">
        <v>4.9304426947330707E-3</v>
      </c>
      <c r="BT285" s="717">
        <v>5.9094139263614967E-3</v>
      </c>
      <c r="BW285" s="1162">
        <f>'2022'!R\Max</f>
        <v>0.45861315321942331</v>
      </c>
      <c r="BX285" s="1163">
        <f>'2023'!R\Max</f>
        <v>0.45860291197104674</v>
      </c>
      <c r="BY285" s="1163">
        <f>'2024'!R\Max</f>
        <v>0.45859032749359563</v>
      </c>
      <c r="BZ285" s="1163">
        <f>'2025'!R\Max</f>
        <v>0.45857768809534227</v>
      </c>
      <c r="CA285" s="1163">
        <f>'2026'!R\Max</f>
        <v>0.45856220910489887</v>
      </c>
      <c r="CB285" s="1163">
        <f>'2027'!R\Max</f>
        <v>0.45854666349871603</v>
      </c>
      <c r="CC285" s="1164">
        <f>'2028'!R\Max</f>
        <v>0.4585312056239973</v>
      </c>
      <c r="CD285" s="1163">
        <f>'2029'!R\Max</f>
        <v>0.45861366503485096</v>
      </c>
      <c r="CE285" s="1163">
        <f>'2030'!R\Max</f>
        <v>0.45860342379317171</v>
      </c>
      <c r="CF285" s="1165">
        <f>'2031'!R\Max</f>
        <v>0.45859095915766412</v>
      </c>
    </row>
    <row r="286" spans="1:84" s="6" customFormat="1" ht="11.25" x14ac:dyDescent="0.2">
      <c r="A286" s="11">
        <v>43372</v>
      </c>
      <c r="B286" s="375">
        <f>'2022'!Maxi_hp</f>
        <v>25.149385845472246</v>
      </c>
      <c r="C286" s="13">
        <f>'2022'!An_max</f>
        <v>2022</v>
      </c>
      <c r="D286" s="1050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69">
        <f t="shared" si="118"/>
        <v>43374</v>
      </c>
      <c r="I286" s="744">
        <f t="shared" si="119"/>
        <v>0.14285714285714285</v>
      </c>
      <c r="J286" s="737">
        <f t="shared" si="120"/>
        <v>41.962951311628736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43">
        <v>43372</v>
      </c>
      <c r="AP286" s="13">
        <f t="shared" si="121"/>
        <v>11</v>
      </c>
      <c r="AQ286" s="13">
        <f t="shared" si="122"/>
        <v>12</v>
      </c>
      <c r="AR286" s="169">
        <f t="shared" si="123"/>
        <v>43360</v>
      </c>
      <c r="AS286" s="744">
        <f t="shared" si="124"/>
        <v>0.42857142857142855</v>
      </c>
      <c r="AT286" s="760">
        <f t="shared" si="125"/>
        <v>42.024114577498814</v>
      </c>
      <c r="AU286" s="13">
        <f t="shared" si="126"/>
        <v>11</v>
      </c>
      <c r="AV286" s="13">
        <f t="shared" si="127"/>
        <v>10</v>
      </c>
      <c r="AW286" s="169">
        <f t="shared" si="128"/>
        <v>43374</v>
      </c>
      <c r="AX286" s="744">
        <f t="shared" si="129"/>
        <v>7.1428571428571425E-2</v>
      </c>
      <c r="AY286" s="760">
        <f t="shared" si="130"/>
        <v>41.915440561103502</v>
      </c>
      <c r="AZ286" s="737">
        <f t="shared" si="134"/>
        <v>41.969777569301158</v>
      </c>
      <c r="BA286" s="634">
        <f t="shared" si="131"/>
        <v>0.59932357137384829</v>
      </c>
      <c r="BC286" s="11">
        <v>43372</v>
      </c>
      <c r="BD286" s="286">
        <f>[3]!FeuilCaduc*(1-Persistant)+Persistant</f>
        <v>0.93725541144016344</v>
      </c>
      <c r="BE286" s="287">
        <f>[3]!CroissVégét</f>
        <v>0.98997648004446692</v>
      </c>
      <c r="BF286" s="807">
        <f>1+[3]!Salcycl*Ksac</f>
        <v>1.0421569264300203</v>
      </c>
      <c r="BH286" s="1041">
        <f t="shared" si="132"/>
        <v>1.922825547773908E-3</v>
      </c>
      <c r="BI286" s="11">
        <v>44468</v>
      </c>
      <c r="BJ286" s="717">
        <v>6.8731722715138191E-4</v>
      </c>
      <c r="BK286" s="717">
        <v>8.9168127669247445E-4</v>
      </c>
      <c r="BL286" s="717">
        <v>1.1083500558784984E-3</v>
      </c>
      <c r="BM286" s="717">
        <v>1.3428462665716851E-3</v>
      </c>
      <c r="BN286" s="717">
        <v>1.6116790972280444E-3</v>
      </c>
      <c r="BO286" s="718">
        <v>1.9247613900426959E-3</v>
      </c>
      <c r="BP286" s="717">
        <v>2.5534094076665043E-3</v>
      </c>
      <c r="BQ286" s="717">
        <v>3.3392102757963935E-3</v>
      </c>
      <c r="BR286" s="717">
        <v>4.3211343277723543E-3</v>
      </c>
      <c r="BS286" s="717">
        <v>5.2839139874246632E-3</v>
      </c>
      <c r="BT286" s="717">
        <v>6.3650738581817598E-3</v>
      </c>
      <c r="BW286" s="1162">
        <f>'2022'!R\Max</f>
        <v>0.59932357137384829</v>
      </c>
      <c r="BX286" s="1163">
        <f>'2023'!R\Max</f>
        <v>0.59931273328702073</v>
      </c>
      <c r="BY286" s="1163">
        <f>'2024'!R\Max</f>
        <v>0.59929924609008545</v>
      </c>
      <c r="BZ286" s="1163">
        <f>'2025'!R\Max</f>
        <v>0.59928569777202101</v>
      </c>
      <c r="CA286" s="1163">
        <f>'2026'!R\Max</f>
        <v>0.59926884308584205</v>
      </c>
      <c r="CB286" s="1163">
        <f>'2027'!R\Max</f>
        <v>0.5992519119722074</v>
      </c>
      <c r="CC286" s="1164">
        <f>'2028'!R\Max</f>
        <v>0.5992353028758346</v>
      </c>
      <c r="CD286" s="1163">
        <f>'2029'!R\Max</f>
        <v>0.59932411301284216</v>
      </c>
      <c r="CE286" s="1163">
        <f>'2030'!R\Max</f>
        <v>0.59931327494064957</v>
      </c>
      <c r="CF286" s="1165">
        <f>'2031'!R\Max</f>
        <v>0.59929992317188552</v>
      </c>
    </row>
    <row r="287" spans="1:84" s="6" customFormat="1" ht="11.25" x14ac:dyDescent="0.2">
      <c r="A287" s="11">
        <v>43373</v>
      </c>
      <c r="B287" s="375">
        <f>'2022'!Maxi_hp</f>
        <v>26.97135071424043</v>
      </c>
      <c r="C287" s="13">
        <f>'2022'!An_max</f>
        <v>2022</v>
      </c>
      <c r="D287" s="1050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69">
        <f t="shared" si="118"/>
        <v>43374</v>
      </c>
      <c r="I287" s="744">
        <f t="shared" si="119"/>
        <v>7.1428571428571425E-2</v>
      </c>
      <c r="J287" s="737">
        <f t="shared" si="120"/>
        <v>41.559783454638506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43">
        <v>43373</v>
      </c>
      <c r="AP287" s="13">
        <f t="shared" si="121"/>
        <v>11</v>
      </c>
      <c r="AQ287" s="13">
        <f t="shared" si="122"/>
        <v>12</v>
      </c>
      <c r="AR287" s="169">
        <f t="shared" si="123"/>
        <v>43360</v>
      </c>
      <c r="AS287" s="744">
        <f t="shared" si="124"/>
        <v>0.4642857142857143</v>
      </c>
      <c r="AT287" s="760">
        <f t="shared" si="125"/>
        <v>41.611135113378985</v>
      </c>
      <c r="AU287" s="13">
        <f t="shared" si="126"/>
        <v>11</v>
      </c>
      <c r="AV287" s="13">
        <f t="shared" si="127"/>
        <v>10</v>
      </c>
      <c r="AW287" s="169">
        <f t="shared" si="128"/>
        <v>43374</v>
      </c>
      <c r="AX287" s="744">
        <f t="shared" si="129"/>
        <v>3.5714285714285712E-2</v>
      </c>
      <c r="AY287" s="760">
        <f t="shared" si="130"/>
        <v>41.537088424852115</v>
      </c>
      <c r="AZ287" s="737">
        <f t="shared" si="134"/>
        <v>41.574111769115547</v>
      </c>
      <c r="BA287" s="634">
        <f t="shared" si="131"/>
        <v>0.64897717149270051</v>
      </c>
      <c r="BC287" s="11">
        <v>43373</v>
      </c>
      <c r="BD287" s="286">
        <f>[3]!FeuilCaduc*(1-Persistant)+Persistant</f>
        <v>0.93431482109526731</v>
      </c>
      <c r="BE287" s="287">
        <f>[3]!CroissVégét</f>
        <v>0.99038925353008489</v>
      </c>
      <c r="BF287" s="807">
        <f>1+[3]!Salcycl*Ksac</f>
        <v>1.0417893526369084</v>
      </c>
      <c r="BH287" s="1041">
        <f t="shared" si="132"/>
        <v>1.9714769637765627E-3</v>
      </c>
      <c r="BI287" s="11">
        <v>44469</v>
      </c>
      <c r="BJ287" s="717">
        <v>7.014853971564598E-4</v>
      </c>
      <c r="BK287" s="717">
        <v>9.1129231681145691E-4</v>
      </c>
      <c r="BL287" s="717">
        <v>1.1343500672446212E-3</v>
      </c>
      <c r="BM287" s="717">
        <v>1.3764314082906227E-3</v>
      </c>
      <c r="BN287" s="717">
        <v>1.653328716190056E-3</v>
      </c>
      <c r="BO287" s="718">
        <v>1.9734563687298836E-3</v>
      </c>
      <c r="BP287" s="717">
        <v>2.6631149137506158E-3</v>
      </c>
      <c r="BQ287" s="717">
        <v>3.534726126147711E-3</v>
      </c>
      <c r="BR287" s="717">
        <v>4.6367422746941426E-3</v>
      </c>
      <c r="BS287" s="717">
        <v>5.7054738548966769E-3</v>
      </c>
      <c r="BT287" s="717">
        <v>6.9066237348074664E-3</v>
      </c>
      <c r="BW287" s="1162">
        <f>'2022'!R\Max</f>
        <v>0.64897717149270051</v>
      </c>
      <c r="BX287" s="1163">
        <f>'2023'!R\Max</f>
        <v>0.64896581826504041</v>
      </c>
      <c r="BY287" s="1163">
        <f>'2024'!R\Max</f>
        <v>0.64895153498247837</v>
      </c>
      <c r="BZ287" s="1163">
        <f>'2025'!R\Max</f>
        <v>0.64893718523895694</v>
      </c>
      <c r="CA287" s="1163">
        <f>'2026'!R\Max</f>
        <v>0.64891912470114721</v>
      </c>
      <c r="CB287" s="1163">
        <f>'2027'!R\Max</f>
        <v>0.64890097978620209</v>
      </c>
      <c r="CC287" s="1164">
        <f>'2028'!R\Max</f>
        <v>0.64888336989916606</v>
      </c>
      <c r="CD287" s="1163">
        <f>'2029'!R\Max</f>
        <v>0.64897773887381061</v>
      </c>
      <c r="CE287" s="1163">
        <f>'2030'!R\Max</f>
        <v>0.64896638566588749</v>
      </c>
      <c r="CF287" s="1165">
        <f>'2031'!R\Max</f>
        <v>0.64895225211195195</v>
      </c>
    </row>
    <row r="288" spans="1:84" s="6" customFormat="1" ht="11.25" x14ac:dyDescent="0.2">
      <c r="A288" s="11">
        <v>43374</v>
      </c>
      <c r="B288" s="375">
        <f>'2022'!Maxi_hp</f>
        <v>36.815887882487736</v>
      </c>
      <c r="C288" s="13">
        <f>'2022'!An_max</f>
        <v>2022</v>
      </c>
      <c r="D288" s="1050" t="str">
        <f t="shared" si="116"/>
        <v/>
      </c>
      <c r="E288" s="1045">
        <f>AG$13/10</f>
        <v>41.158799999999999</v>
      </c>
      <c r="F288" s="13">
        <f t="shared" si="133"/>
        <v>21</v>
      </c>
      <c r="G288" s="13">
        <f t="shared" si="117"/>
        <v>22</v>
      </c>
      <c r="H288" s="169">
        <f t="shared" si="118"/>
        <v>43374</v>
      </c>
      <c r="I288" s="744">
        <f t="shared" si="119"/>
        <v>0</v>
      </c>
      <c r="J288" s="737">
        <f t="shared" si="120"/>
        <v>41.158799999766053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43">
        <v>43374</v>
      </c>
      <c r="AP288" s="13">
        <f t="shared" si="121"/>
        <v>11</v>
      </c>
      <c r="AQ288" s="13">
        <f t="shared" si="122"/>
        <v>12</v>
      </c>
      <c r="AR288" s="169">
        <f t="shared" si="123"/>
        <v>43360</v>
      </c>
      <c r="AS288" s="744">
        <f t="shared" si="124"/>
        <v>0.5</v>
      </c>
      <c r="AT288" s="760">
        <f t="shared" si="125"/>
        <v>41.196262500435111</v>
      </c>
      <c r="AU288" s="13">
        <f t="shared" si="126"/>
        <v>11</v>
      </c>
      <c r="AV288" s="13">
        <f t="shared" si="127"/>
        <v>12</v>
      </c>
      <c r="AW288" s="169">
        <f t="shared" si="128"/>
        <v>43374</v>
      </c>
      <c r="AX288" s="744">
        <f t="shared" si="129"/>
        <v>0</v>
      </c>
      <c r="AY288" s="760">
        <f t="shared" si="130"/>
        <v>41.158800000138584</v>
      </c>
      <c r="AZ288" s="737">
        <f t="shared" si="134"/>
        <v>41.177531250286847</v>
      </c>
      <c r="BA288" s="634">
        <f t="shared" si="131"/>
        <v>0.89448399571165826</v>
      </c>
      <c r="BC288" s="11">
        <v>43374</v>
      </c>
      <c r="BD288" s="286">
        <f>[3]!FeuilCaduc*(1-Persistant)+Persistant</f>
        <v>0.93126535920518227</v>
      </c>
      <c r="BE288" s="287">
        <f>[3]!CroissVégét</f>
        <v>0.99078573093558142</v>
      </c>
      <c r="BF288" s="807">
        <f>1+[3]!Salcycl*Ksac</f>
        <v>1.0414081699006479</v>
      </c>
      <c r="BH288" s="1041">
        <f t="shared" si="132"/>
        <v>2.031946981238581E-3</v>
      </c>
      <c r="BI288" s="11">
        <v>44470</v>
      </c>
      <c r="BJ288" s="717">
        <v>7.1524583421165373E-4</v>
      </c>
      <c r="BK288" s="717">
        <v>9.3185109220553415E-4</v>
      </c>
      <c r="BL288" s="717">
        <v>1.1626791611820998E-3</v>
      </c>
      <c r="BM288" s="717">
        <v>1.4140943058115352E-3</v>
      </c>
      <c r="BN288" s="717">
        <v>1.7016351823145315E-3</v>
      </c>
      <c r="BO288" s="718">
        <v>2.0340020634711273E-3</v>
      </c>
      <c r="BP288" s="717">
        <v>2.7953659366145734E-3</v>
      </c>
      <c r="BQ288" s="717">
        <v>3.7665339138804373E-3</v>
      </c>
      <c r="BR288" s="717">
        <v>5.004624667387503E-3</v>
      </c>
      <c r="BS288" s="717">
        <v>6.1952071802459617E-3</v>
      </c>
      <c r="BT288" s="717">
        <v>7.5341712179593416E-3</v>
      </c>
      <c r="BW288" s="1162">
        <f>'2022'!R\Max</f>
        <v>0.89448399571165826</v>
      </c>
      <c r="BX288" s="1163">
        <f>'2023'!R\Max</f>
        <v>0.89447876931830905</v>
      </c>
      <c r="BY288" s="1163">
        <f>'2024'!R\Max</f>
        <v>0.89447213330655051</v>
      </c>
      <c r="BZ288" s="1163">
        <f>'2025'!R\Max</f>
        <v>0.89446546565310081</v>
      </c>
      <c r="CA288" s="1163">
        <f>'2026'!R\Max</f>
        <v>0.89445700415691209</v>
      </c>
      <c r="CB288" s="1163">
        <f>'2027'!R\Max</f>
        <v>0.89444850219954009</v>
      </c>
      <c r="CC288" s="1164">
        <f>'2028'!R\Max</f>
        <v>0.89444031858026329</v>
      </c>
      <c r="CD288" s="1163">
        <f>'2029'!R\Max</f>
        <v>0.89448425689804534</v>
      </c>
      <c r="CE288" s="1163">
        <f>'2030'!R\Max</f>
        <v>0.89447903052189315</v>
      </c>
      <c r="CF288" s="1165">
        <f>'2031'!R\Max</f>
        <v>0.8944724665160142</v>
      </c>
    </row>
    <row r="289" spans="1:84" s="6" customFormat="1" ht="11.25" x14ac:dyDescent="0.2">
      <c r="A289" s="11">
        <v>43375</v>
      </c>
      <c r="B289" s="375">
        <f>'2022'!Maxi_hp</f>
        <v>38.290278052871017</v>
      </c>
      <c r="C289" s="13">
        <f>'2022'!An_max</f>
        <v>2022</v>
      </c>
      <c r="D289" s="1050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69">
        <f t="shared" si="118"/>
        <v>43374</v>
      </c>
      <c r="I289" s="744">
        <f t="shared" si="119"/>
        <v>7.1428571428571425E-2</v>
      </c>
      <c r="J289" s="737">
        <f t="shared" si="120"/>
        <v>40.757743731633369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43">
        <v>43375</v>
      </c>
      <c r="AP289" s="13">
        <f t="shared" si="121"/>
        <v>11</v>
      </c>
      <c r="AQ289" s="13">
        <f t="shared" si="122"/>
        <v>12</v>
      </c>
      <c r="AR289" s="169">
        <f t="shared" si="123"/>
        <v>43360</v>
      </c>
      <c r="AS289" s="744">
        <f t="shared" si="124"/>
        <v>0.5357142857142857</v>
      </c>
      <c r="AT289" s="760">
        <f t="shared" si="125"/>
        <v>40.779988229321319</v>
      </c>
      <c r="AU289" s="13">
        <f t="shared" si="126"/>
        <v>11</v>
      </c>
      <c r="AV289" s="13">
        <f t="shared" si="127"/>
        <v>12</v>
      </c>
      <c r="AW289" s="169">
        <f t="shared" si="128"/>
        <v>43374</v>
      </c>
      <c r="AX289" s="744">
        <f t="shared" si="129"/>
        <v>3.5714285714285712E-2</v>
      </c>
      <c r="AY289" s="760">
        <f t="shared" si="130"/>
        <v>40.777753767497572</v>
      </c>
      <c r="AZ289" s="737">
        <f t="shared" si="134"/>
        <v>40.778870998409445</v>
      </c>
      <c r="BA289" s="634">
        <f t="shared" si="131"/>
        <v>0.93946019939157543</v>
      </c>
      <c r="BC289" s="11">
        <v>43375</v>
      </c>
      <c r="BD289" s="286">
        <f>[3]!FeuilCaduc*(1-Persistant)+Persistant</f>
        <v>0.92810508001352443</v>
      </c>
      <c r="BE289" s="287">
        <f>[3]!CroissVégét</f>
        <v>0.99116654322989417</v>
      </c>
      <c r="BF289" s="807">
        <f>1+[3]!Salcycl*Ksac</f>
        <v>1.0410131350016905</v>
      </c>
      <c r="BH289" s="1041">
        <f t="shared" si="132"/>
        <v>2.104249139944774E-3</v>
      </c>
      <c r="BI289" s="11">
        <v>44471</v>
      </c>
      <c r="BJ289" s="717">
        <v>7.285977938644838E-4</v>
      </c>
      <c r="BK289" s="717">
        <v>9.5335842277265853E-4</v>
      </c>
      <c r="BL289" s="717">
        <v>1.1933397668579982E-3</v>
      </c>
      <c r="BM289" s="717">
        <v>1.4558394492485223E-3</v>
      </c>
      <c r="BN289" s="717">
        <v>1.7566060127355895E-3</v>
      </c>
      <c r="BO289" s="718">
        <v>2.1064120515220217E-3</v>
      </c>
      <c r="BP289" s="717">
        <v>2.9501898149539483E-3</v>
      </c>
      <c r="BQ289" s="717">
        <v>4.0346788882036954E-3</v>
      </c>
      <c r="BR289" s="717">
        <v>5.4248480688169976E-3</v>
      </c>
      <c r="BS289" s="717">
        <v>6.7532013736315332E-3</v>
      </c>
      <c r="BT289" s="717">
        <v>8.2478271205414753E-3</v>
      </c>
      <c r="BW289" s="1162">
        <f>'2022'!R\Max</f>
        <v>0.93946019939157543</v>
      </c>
      <c r="BX289" s="1163">
        <f>'2023'!R\Max</f>
        <v>0.93945668664690718</v>
      </c>
      <c r="BY289" s="1163">
        <f>'2024'!R\Max</f>
        <v>0.93945219263328639</v>
      </c>
      <c r="BZ289" s="1163">
        <f>'2025'!R\Max</f>
        <v>0.9394476769156942</v>
      </c>
      <c r="CA289" s="1163">
        <f>'2026'!R\Max</f>
        <v>0.93944191469138105</v>
      </c>
      <c r="CB289" s="1163">
        <f>'2027'!R\Max</f>
        <v>0.93943612472786742</v>
      </c>
      <c r="CC289" s="1164">
        <f>'2028'!R\Max</f>
        <v>0.93943058605989538</v>
      </c>
      <c r="CD289" s="1163">
        <f>'2029'!R\Max</f>
        <v>0.93946037493801726</v>
      </c>
      <c r="CE289" s="1163">
        <f>'2030'!R\Max</f>
        <v>0.93945686220721591</v>
      </c>
      <c r="CF289" s="1165">
        <f>'2031'!R\Max</f>
        <v>0.93945241829978055</v>
      </c>
    </row>
    <row r="290" spans="1:84" s="6" customFormat="1" ht="11.25" x14ac:dyDescent="0.2">
      <c r="A290" s="11">
        <v>43376</v>
      </c>
      <c r="B290" s="375">
        <f>'2022'!Maxi_hp</f>
        <v>34.678087657716873</v>
      </c>
      <c r="C290" s="13">
        <f>'2022'!An_max</f>
        <v>2022</v>
      </c>
      <c r="D290" s="1050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69">
        <f t="shared" si="118"/>
        <v>43374</v>
      </c>
      <c r="I290" s="744">
        <f t="shared" si="119"/>
        <v>0.14285714285714285</v>
      </c>
      <c r="J290" s="737">
        <f t="shared" si="120"/>
        <v>40.354066180411195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43">
        <v>43376</v>
      </c>
      <c r="AP290" s="13">
        <f t="shared" si="121"/>
        <v>11</v>
      </c>
      <c r="AQ290" s="13">
        <f t="shared" si="122"/>
        <v>12</v>
      </c>
      <c r="AR290" s="169">
        <f t="shared" si="123"/>
        <v>43360</v>
      </c>
      <c r="AS290" s="744">
        <f t="shared" si="124"/>
        <v>0.5714285714285714</v>
      </c>
      <c r="AT290" s="760">
        <f t="shared" si="125"/>
        <v>40.362803790611885</v>
      </c>
      <c r="AU290" s="13">
        <f t="shared" si="126"/>
        <v>11</v>
      </c>
      <c r="AV290" s="13">
        <f t="shared" si="127"/>
        <v>12</v>
      </c>
      <c r="AW290" s="169">
        <f t="shared" si="128"/>
        <v>43374</v>
      </c>
      <c r="AX290" s="744">
        <f t="shared" si="129"/>
        <v>7.1428571428571425E-2</v>
      </c>
      <c r="AY290" s="760">
        <f t="shared" si="130"/>
        <v>40.391310240501276</v>
      </c>
      <c r="AZ290" s="737">
        <f t="shared" si="134"/>
        <v>40.377057015556581</v>
      </c>
      <c r="BA290" s="634">
        <f t="shared" si="131"/>
        <v>0.85934556142821672</v>
      </c>
      <c r="BC290" s="11">
        <v>43376</v>
      </c>
      <c r="BD290" s="286">
        <f>[3]!FeuilCaduc*(1-Persistant)+Persistant</f>
        <v>0.9248322419303654</v>
      </c>
      <c r="BE290" s="287">
        <f>[3]!CroissVégét</f>
        <v>0.99153229792147035</v>
      </c>
      <c r="BF290" s="807">
        <f>1+[3]!Salcycl*Ksac</f>
        <v>1.0406040302412958</v>
      </c>
      <c r="BH290" s="1041">
        <f t="shared" si="132"/>
        <v>2.1991224393495151E-3</v>
      </c>
      <c r="BI290" s="11">
        <v>44472</v>
      </c>
      <c r="BJ290" s="717">
        <v>7.4238815874906117E-4</v>
      </c>
      <c r="BK290" s="717">
        <v>9.7729609940846443E-4</v>
      </c>
      <c r="BL290" s="717">
        <v>1.228832323083378E-3</v>
      </c>
      <c r="BM290" s="717">
        <v>1.5059848230876739E-3</v>
      </c>
      <c r="BN290" s="717">
        <v>1.8252975488535258E-3</v>
      </c>
      <c r="BO290" s="718">
        <v>2.2014482445222162E-3</v>
      </c>
      <c r="BP290" s="717">
        <v>3.1345694294798664E-3</v>
      </c>
      <c r="BQ290" s="717">
        <v>4.3403291772218288E-3</v>
      </c>
      <c r="BR290" s="717">
        <v>5.8900820920518874E-3</v>
      </c>
      <c r="BS290" s="717">
        <v>7.3686564986889524E-3</v>
      </c>
      <c r="BT290" s="717">
        <v>9.0327043622163445E-3</v>
      </c>
      <c r="BW290" s="1162">
        <f>'2022'!R\Max</f>
        <v>0.85934556142821672</v>
      </c>
      <c r="BX290" s="1163">
        <f>'2023'!R\Max</f>
        <v>0.85933725244557979</v>
      </c>
      <c r="BY290" s="1163">
        <f>'2024'!R\Max</f>
        <v>0.85932656539142915</v>
      </c>
      <c r="BZ290" s="1163">
        <f>'2025'!R\Max</f>
        <v>0.85931582668875561</v>
      </c>
      <c r="CA290" s="1163">
        <f>'2026'!R\Max</f>
        <v>0.85930208659779717</v>
      </c>
      <c r="CB290" s="1163">
        <f>'2027'!R\Max</f>
        <v>0.85928828091027243</v>
      </c>
      <c r="CC290" s="1164">
        <f>'2028'!R\Max</f>
        <v>0.85927509444575401</v>
      </c>
      <c r="CD290" s="1163">
        <f>'2029'!R\Max</f>
        <v>0.85934597666304646</v>
      </c>
      <c r="CE290" s="1163">
        <f>'2030'!R\Max</f>
        <v>0.85933766771234288</v>
      </c>
      <c r="CF290" s="1165">
        <f>'2031'!R\Max</f>
        <v>0.85932710204326124</v>
      </c>
    </row>
    <row r="291" spans="1:84" s="6" customFormat="1" ht="11.25" x14ac:dyDescent="0.2">
      <c r="A291" s="11">
        <v>43377</v>
      </c>
      <c r="B291" s="375">
        <f>'2022'!Maxi_hp</f>
        <v>40.394405046621038</v>
      </c>
      <c r="C291" s="13">
        <f>'2022'!An_max</f>
        <v>2022</v>
      </c>
      <c r="D291" s="1050">
        <f t="shared" si="116"/>
        <v>1.0111694837797944</v>
      </c>
      <c r="E291" s="13"/>
      <c r="F291" s="13">
        <f t="shared" si="133"/>
        <v>21</v>
      </c>
      <c r="G291" s="13">
        <f t="shared" si="117"/>
        <v>22</v>
      </c>
      <c r="H291" s="169">
        <f t="shared" si="118"/>
        <v>43374</v>
      </c>
      <c r="I291" s="744">
        <f t="shared" si="119"/>
        <v>0.21428571428571427</v>
      </c>
      <c r="J291" s="737">
        <f t="shared" si="120"/>
        <v>39.948204227470391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43">
        <v>43377</v>
      </c>
      <c r="AP291" s="13">
        <f t="shared" si="121"/>
        <v>11</v>
      </c>
      <c r="AQ291" s="13">
        <f t="shared" si="122"/>
        <v>12</v>
      </c>
      <c r="AR291" s="169">
        <f t="shared" si="123"/>
        <v>43360</v>
      </c>
      <c r="AS291" s="744">
        <f t="shared" si="124"/>
        <v>0.6071428571428571</v>
      </c>
      <c r="AT291" s="760">
        <f t="shared" si="125"/>
        <v>39.945200674787962</v>
      </c>
      <c r="AU291" s="13">
        <f t="shared" si="126"/>
        <v>11</v>
      </c>
      <c r="AV291" s="13">
        <f t="shared" si="127"/>
        <v>12</v>
      </c>
      <c r="AW291" s="169">
        <f t="shared" si="128"/>
        <v>43374</v>
      </c>
      <c r="AX291" s="744">
        <f t="shared" si="129"/>
        <v>0.10714285714285714</v>
      </c>
      <c r="AY291" s="760">
        <f t="shared" si="130"/>
        <v>39.999933605175464</v>
      </c>
      <c r="AZ291" s="737">
        <f t="shared" si="134"/>
        <v>39.972567139981713</v>
      </c>
      <c r="BA291" s="634">
        <f t="shared" si="131"/>
        <v>1.0111694837797944</v>
      </c>
      <c r="BC291" s="11">
        <v>43377</v>
      </c>
      <c r="BD291" s="286">
        <f>[3]!FeuilCaduc*(1-Persistant)+Persistant</f>
        <v>0.92144533031574949</v>
      </c>
      <c r="BE291" s="287">
        <f>[3]!CroissVégét</f>
        <v>0.99188357985413123</v>
      </c>
      <c r="BF291" s="807">
        <f>1+[3]!Salcycl*Ksac</f>
        <v>1.0401806662894686</v>
      </c>
      <c r="BH291" s="1041">
        <f t="shared" si="132"/>
        <v>2.312390359649094E-3</v>
      </c>
      <c r="BI291" s="11">
        <v>44473</v>
      </c>
      <c r="BJ291" s="717">
        <v>7.5783004788800945E-4</v>
      </c>
      <c r="BK291" s="717">
        <v>1.0043018547538677E-3</v>
      </c>
      <c r="BL291" s="717">
        <v>1.2692608039785861E-3</v>
      </c>
      <c r="BM291" s="717">
        <v>1.5639914301780863E-3</v>
      </c>
      <c r="BN291" s="717">
        <v>1.9061470151552423E-3</v>
      </c>
      <c r="BO291" s="718">
        <v>2.3149178608830156E-3</v>
      </c>
      <c r="BP291" s="717">
        <v>3.337627417049903E-3</v>
      </c>
      <c r="BQ291" s="717">
        <v>4.6645938542011654E-3</v>
      </c>
      <c r="BR291" s="717">
        <v>6.3729130974138114E-3</v>
      </c>
      <c r="BS291" s="717">
        <v>8.0072140765591691E-3</v>
      </c>
      <c r="BT291" s="717">
        <v>9.846523467408972E-3</v>
      </c>
      <c r="BW291" s="1162">
        <f>'2022'!R\Max</f>
        <v>1.0111694837797944</v>
      </c>
      <c r="BX291" s="1163">
        <f>'2023'!R\Max</f>
        <v>1.0111694837797947</v>
      </c>
      <c r="BY291" s="1163">
        <f>'2024'!R\Max</f>
        <v>1.0111694837797947</v>
      </c>
      <c r="BZ291" s="1163">
        <f>'2025'!R\Max</f>
        <v>1.0111694837797947</v>
      </c>
      <c r="CA291" s="1163">
        <f>'2026'!R\Max</f>
        <v>1.0111694837797944</v>
      </c>
      <c r="CB291" s="1163">
        <f>'2027'!R\Max</f>
        <v>1.0111694837797949</v>
      </c>
      <c r="CC291" s="1164">
        <f>'2028'!R\Max</f>
        <v>1.0111694837797947</v>
      </c>
      <c r="CD291" s="1163">
        <f>'2029'!R\Max</f>
        <v>1.0111694837797944</v>
      </c>
      <c r="CE291" s="1163">
        <f>'2030'!R\Max</f>
        <v>1.0111694837797944</v>
      </c>
      <c r="CF291" s="1165">
        <f>'2031'!R\Max</f>
        <v>1.0111694837797949</v>
      </c>
    </row>
    <row r="292" spans="1:84" s="6" customFormat="1" ht="11.25" x14ac:dyDescent="0.2">
      <c r="A292" s="11">
        <v>43378</v>
      </c>
      <c r="B292" s="375">
        <f>'2022'!Maxi_hp</f>
        <v>40.661814891212074</v>
      </c>
      <c r="C292" s="13">
        <f>'2022'!An_max</f>
        <v>2022</v>
      </c>
      <c r="D292" s="1050">
        <f t="shared" si="116"/>
        <v>1.0283561778969417</v>
      </c>
      <c r="E292" s="13"/>
      <c r="F292" s="13">
        <f t="shared" si="133"/>
        <v>21</v>
      </c>
      <c r="G292" s="13">
        <f t="shared" si="117"/>
        <v>22</v>
      </c>
      <c r="H292" s="169">
        <f t="shared" si="118"/>
        <v>43374</v>
      </c>
      <c r="I292" s="744">
        <f t="shared" si="119"/>
        <v>0.2857142857142857</v>
      </c>
      <c r="J292" s="737">
        <f t="shared" si="120"/>
        <v>39.540594752265939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43">
        <v>43378</v>
      </c>
      <c r="AP292" s="13">
        <f t="shared" si="121"/>
        <v>11</v>
      </c>
      <c r="AQ292" s="13">
        <f t="shared" si="122"/>
        <v>12</v>
      </c>
      <c r="AR292" s="169">
        <f t="shared" si="123"/>
        <v>43360</v>
      </c>
      <c r="AS292" s="744">
        <f t="shared" si="124"/>
        <v>0.6428571428571429</v>
      </c>
      <c r="AT292" s="760">
        <f t="shared" si="125"/>
        <v>39.527670371771919</v>
      </c>
      <c r="AU292" s="13">
        <f t="shared" si="126"/>
        <v>11</v>
      </c>
      <c r="AV292" s="13">
        <f t="shared" si="127"/>
        <v>12</v>
      </c>
      <c r="AW292" s="169">
        <f t="shared" si="128"/>
        <v>43374</v>
      </c>
      <c r="AX292" s="744">
        <f t="shared" si="129"/>
        <v>0.14285714285714285</v>
      </c>
      <c r="AY292" s="760">
        <f t="shared" si="130"/>
        <v>39.604088046667833</v>
      </c>
      <c r="AZ292" s="737">
        <f t="shared" si="134"/>
        <v>39.565879209219872</v>
      </c>
      <c r="BA292" s="634">
        <f t="shared" si="131"/>
        <v>1.0283561778969417</v>
      </c>
      <c r="BC292" s="11">
        <v>43378</v>
      </c>
      <c r="BD292" s="286">
        <f>[3]!FeuilCaduc*(1-Persistant)+Persistant</f>
        <v>0.9179430799943108</v>
      </c>
      <c r="BE292" s="287">
        <f>[3]!CroissVégét</f>
        <v>0.99222095198209459</v>
      </c>
      <c r="BF292" s="807">
        <f>1+[3]!Salcycl*Ksac</f>
        <v>1.0397428849992889</v>
      </c>
      <c r="BH292" s="1041">
        <f t="shared" si="132"/>
        <v>2.4440757717377666E-3</v>
      </c>
      <c r="BI292" s="11">
        <v>44474</v>
      </c>
      <c r="BJ292" s="717">
        <v>7.7492510967002229E-4</v>
      </c>
      <c r="BK292" s="717">
        <v>1.0343790934288838E-3</v>
      </c>
      <c r="BL292" s="717">
        <v>1.3146309481844242E-3</v>
      </c>
      <c r="BM292" s="717">
        <v>1.6298687055650446E-3</v>
      </c>
      <c r="BN292" s="717">
        <v>1.999169299104851E-3</v>
      </c>
      <c r="BO292" s="718">
        <v>2.4468438211687313E-3</v>
      </c>
      <c r="BP292" s="717">
        <v>3.5593879014599633E-3</v>
      </c>
      <c r="BQ292" s="717">
        <v>5.0074982362213498E-3</v>
      </c>
      <c r="BR292" s="717">
        <v>6.8733668374822898E-3</v>
      </c>
      <c r="BS292" s="717">
        <v>8.6689083497142345E-3</v>
      </c>
      <c r="BT292" s="717">
        <v>1.0689327793623171E-2</v>
      </c>
      <c r="BW292" s="1162">
        <f>'2022'!R\Max</f>
        <v>1.0283561778969417</v>
      </c>
      <c r="BX292" s="1163">
        <f>'2023'!R\Max</f>
        <v>1.0283561778969417</v>
      </c>
      <c r="BY292" s="1163">
        <f>'2024'!R\Max</f>
        <v>1.0283561778969419</v>
      </c>
      <c r="BZ292" s="1163">
        <f>'2025'!R\Max</f>
        <v>1.0283561778969417</v>
      </c>
      <c r="CA292" s="1163">
        <f>'2026'!R\Max</f>
        <v>1.0283561778969417</v>
      </c>
      <c r="CB292" s="1163">
        <f>'2027'!R\Max</f>
        <v>1.0283561778969417</v>
      </c>
      <c r="CC292" s="1164">
        <f>'2028'!R\Max</f>
        <v>1.0283561778969419</v>
      </c>
      <c r="CD292" s="1163">
        <f>'2029'!R\Max</f>
        <v>1.0283561778969419</v>
      </c>
      <c r="CE292" s="1163">
        <f>'2030'!R\Max</f>
        <v>1.0283561778969417</v>
      </c>
      <c r="CF292" s="1165">
        <f>'2031'!R\Max</f>
        <v>1.0283561778969419</v>
      </c>
    </row>
    <row r="293" spans="1:84" s="6" customFormat="1" ht="11.25" x14ac:dyDescent="0.2">
      <c r="A293" s="11">
        <v>43379</v>
      </c>
      <c r="B293" s="375">
        <f>'2022'!Maxi_hp</f>
        <v>16.298012203209971</v>
      </c>
      <c r="C293" s="13">
        <f>'2022'!An_max</f>
        <v>2022</v>
      </c>
      <c r="D293" s="1050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69">
        <f t="shared" si="118"/>
        <v>43374</v>
      </c>
      <c r="I293" s="744">
        <f t="shared" si="119"/>
        <v>0.35714285714285715</v>
      </c>
      <c r="J293" s="737">
        <f t="shared" si="120"/>
        <v>39.131674635530047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43">
        <v>43379</v>
      </c>
      <c r="AP293" s="13">
        <f t="shared" si="121"/>
        <v>11</v>
      </c>
      <c r="AQ293" s="13">
        <f t="shared" si="122"/>
        <v>12</v>
      </c>
      <c r="AR293" s="169">
        <f t="shared" si="123"/>
        <v>43360</v>
      </c>
      <c r="AS293" s="744">
        <f t="shared" si="124"/>
        <v>0.6785714285714286</v>
      </c>
      <c r="AT293" s="760">
        <f t="shared" si="125"/>
        <v>39.110704373348767</v>
      </c>
      <c r="AU293" s="13">
        <f t="shared" si="126"/>
        <v>11</v>
      </c>
      <c r="AV293" s="13">
        <f t="shared" si="127"/>
        <v>12</v>
      </c>
      <c r="AW293" s="169">
        <f t="shared" si="128"/>
        <v>43374</v>
      </c>
      <c r="AX293" s="744">
        <f t="shared" si="129"/>
        <v>0.17857142857142858</v>
      </c>
      <c r="AY293" s="760">
        <f t="shared" si="130"/>
        <v>39.204237750551798</v>
      </c>
      <c r="AZ293" s="737">
        <f t="shared" si="134"/>
        <v>39.157471061950282</v>
      </c>
      <c r="BA293" s="634">
        <f t="shared" si="131"/>
        <v>0.41649155971495294</v>
      </c>
      <c r="BC293" s="11">
        <v>43379</v>
      </c>
      <c r="BD293" s="286">
        <f>[3]!FeuilCaduc*(1-Persistant)+Persistant</f>
        <v>0.91432449729596932</v>
      </c>
      <c r="BE293" s="287">
        <f>[3]!CroissVégét</f>
        <v>0.99254495612417293</v>
      </c>
      <c r="BF293" s="807">
        <f>1+[3]!Salcycl*Ksac</f>
        <v>1.0392905621619961</v>
      </c>
      <c r="BH293" s="1041">
        <f t="shared" si="132"/>
        <v>2.5942018285874343E-3</v>
      </c>
      <c r="BI293" s="11">
        <v>44475</v>
      </c>
      <c r="BJ293" s="717">
        <v>7.9367499898233866E-4</v>
      </c>
      <c r="BK293" s="717">
        <v>1.0675312378469746E-3</v>
      </c>
      <c r="BL293" s="717">
        <v>1.3649485337073168E-3</v>
      </c>
      <c r="BM293" s="717">
        <v>1.7036261700374726E-3</v>
      </c>
      <c r="BN293" s="717">
        <v>2.1043794529286681E-3</v>
      </c>
      <c r="BO293" s="718">
        <v>2.5972493287512153E-3</v>
      </c>
      <c r="BP293" s="717">
        <v>3.7998749684067571E-3</v>
      </c>
      <c r="BQ293" s="717">
        <v>5.3690671530191095E-3</v>
      </c>
      <c r="BR293" s="717">
        <v>7.3914679542999122E-3</v>
      </c>
      <c r="BS293" s="717">
        <v>9.3537720849338757E-3</v>
      </c>
      <c r="BT293" s="717">
        <v>1.156115879816781E-2</v>
      </c>
      <c r="BW293" s="1162">
        <f>'2022'!R\Max</f>
        <v>0.41649155971495294</v>
      </c>
      <c r="BX293" s="1163">
        <f>'2023'!R\Max</f>
        <v>0.41646960841881409</v>
      </c>
      <c r="BY293" s="1163">
        <f>'2024'!R\Max</f>
        <v>0.41644109818722697</v>
      </c>
      <c r="BZ293" s="1163">
        <f>'2025'!R\Max</f>
        <v>0.41641245454421816</v>
      </c>
      <c r="CA293" s="1163">
        <f>'2026'!R\Max</f>
        <v>0.41637570097327259</v>
      </c>
      <c r="CB293" s="1163">
        <f>'2027'!R\Max</f>
        <v>0.41633878211188818</v>
      </c>
      <c r="CC293" s="1164">
        <f>'2028'!R\Max</f>
        <v>0.41630293731682855</v>
      </c>
      <c r="CD293" s="1163">
        <f>'2029'!R\Max</f>
        <v>0.41649265674576846</v>
      </c>
      <c r="CE293" s="1163">
        <f>'2030'!R\Max</f>
        <v>0.41647070547271953</v>
      </c>
      <c r="CF293" s="1165">
        <f>'2031'!R\Max</f>
        <v>0.41644252966776513</v>
      </c>
    </row>
    <row r="294" spans="1:84" s="6" customFormat="1" ht="11.25" x14ac:dyDescent="0.2">
      <c r="A294" s="11">
        <v>43380</v>
      </c>
      <c r="B294" s="375">
        <f>'2022'!Maxi_hp</f>
        <v>31.308629885145589</v>
      </c>
      <c r="C294" s="13">
        <f>'2022'!An_max</f>
        <v>2022</v>
      </c>
      <c r="D294" s="1050" t="str">
        <f t="shared" si="116"/>
        <v/>
      </c>
      <c r="E294" s="13"/>
      <c r="F294" s="13">
        <f t="shared" si="133"/>
        <v>21</v>
      </c>
      <c r="G294" s="13">
        <f t="shared" si="117"/>
        <v>22</v>
      </c>
      <c r="H294" s="169">
        <f t="shared" si="118"/>
        <v>43374</v>
      </c>
      <c r="I294" s="744">
        <f t="shared" si="119"/>
        <v>0.42857142857142855</v>
      </c>
      <c r="J294" s="737">
        <f t="shared" si="120"/>
        <v>38.721880757941733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43">
        <v>43380</v>
      </c>
      <c r="AP294" s="13">
        <f t="shared" si="121"/>
        <v>11</v>
      </c>
      <c r="AQ294" s="13">
        <f t="shared" si="122"/>
        <v>12</v>
      </c>
      <c r="AR294" s="169">
        <f t="shared" si="123"/>
        <v>43360</v>
      </c>
      <c r="AS294" s="744">
        <f t="shared" si="124"/>
        <v>0.7142857142857143</v>
      </c>
      <c r="AT294" s="760">
        <f t="shared" si="125"/>
        <v>38.694794169174777</v>
      </c>
      <c r="AU294" s="13">
        <f t="shared" si="126"/>
        <v>11</v>
      </c>
      <c r="AV294" s="13">
        <f t="shared" si="127"/>
        <v>12</v>
      </c>
      <c r="AW294" s="169">
        <f t="shared" si="128"/>
        <v>43374</v>
      </c>
      <c r="AX294" s="744">
        <f t="shared" si="129"/>
        <v>0.21428571428571427</v>
      </c>
      <c r="AY294" s="760">
        <f t="shared" si="130"/>
        <v>38.800846902201222</v>
      </c>
      <c r="AZ294" s="737">
        <f t="shared" si="134"/>
        <v>38.747820535688</v>
      </c>
      <c r="BA294" s="634">
        <f t="shared" si="131"/>
        <v>0.80855137385660925</v>
      </c>
      <c r="BC294" s="11">
        <v>43380</v>
      </c>
      <c r="BD294" s="286">
        <f>[3]!FeuilCaduc*(1-Persistant)+Persistant</f>
        <v>0.91058888141524863</v>
      </c>
      <c r="BE294" s="287">
        <f>[3]!CroissVégét</f>
        <v>0.9928561136972186</v>
      </c>
      <c r="BF294" s="807">
        <f>1+[3]!Salcycl*Ksac</f>
        <v>1.0388236101769062</v>
      </c>
      <c r="BH294" s="1041">
        <f t="shared" si="132"/>
        <v>2.7627917974277958E-3</v>
      </c>
      <c r="BI294" s="11">
        <v>44476</v>
      </c>
      <c r="BJ294" s="717">
        <v>8.140813622172509E-4</v>
      </c>
      <c r="BK294" s="717">
        <v>1.1037617003232666E-3</v>
      </c>
      <c r="BL294" s="717">
        <v>1.4202193330027292E-3</v>
      </c>
      <c r="BM294" s="717">
        <v>1.785273358515008E-3</v>
      </c>
      <c r="BN294" s="717">
        <v>2.2217925827628872E-3</v>
      </c>
      <c r="BO294" s="718">
        <v>2.7661577016355799E-3</v>
      </c>
      <c r="BP294" s="717">
        <v>4.0591124957940327E-3</v>
      </c>
      <c r="BQ294" s="717">
        <v>5.7493247788635259E-3</v>
      </c>
      <c r="BR294" s="717">
        <v>7.9272398218669937E-3</v>
      </c>
      <c r="BS294" s="717">
        <v>1.0061836366534108E-2</v>
      </c>
      <c r="BT294" s="717">
        <v>1.2462055779212541E-2</v>
      </c>
      <c r="BW294" s="1162">
        <f>'2022'!R\Max</f>
        <v>0.80855137385660925</v>
      </c>
      <c r="BX294" s="1163">
        <f>'2023'!R\Max</f>
        <v>0.80853624410325298</v>
      </c>
      <c r="BY294" s="1163">
        <f>'2024'!R\Max</f>
        <v>0.80851655421024371</v>
      </c>
      <c r="BZ294" s="1163">
        <f>'2025'!R\Max</f>
        <v>0.8084967710460399</v>
      </c>
      <c r="CA294" s="1163">
        <f>'2026'!R\Max</f>
        <v>0.80847138715126043</v>
      </c>
      <c r="CB294" s="1163">
        <f>'2027'!R\Max</f>
        <v>0.8084458876048789</v>
      </c>
      <c r="CC294" s="1164">
        <f>'2028'!R\Max</f>
        <v>0.80842088119847155</v>
      </c>
      <c r="CD294" s="1163">
        <f>'2029'!R\Max</f>
        <v>0.80855212994512071</v>
      </c>
      <c r="CE294" s="1163">
        <f>'2030'!R\Max</f>
        <v>0.80853700026693354</v>
      </c>
      <c r="CF294" s="1165">
        <f>'2031'!R\Max</f>
        <v>0.80851754283066912</v>
      </c>
    </row>
    <row r="295" spans="1:84" s="6" customFormat="1" ht="11.25" x14ac:dyDescent="0.2">
      <c r="A295" s="11">
        <v>43381</v>
      </c>
      <c r="B295" s="375">
        <f>'2022'!Maxi_hp</f>
        <v>15.834246656032258</v>
      </c>
      <c r="C295" s="13">
        <f>'2022'!An_max</f>
        <v>2022</v>
      </c>
      <c r="D295" s="1050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69">
        <f t="shared" si="118"/>
        <v>43374</v>
      </c>
      <c r="I295" s="744">
        <f t="shared" si="119"/>
        <v>0.5</v>
      </c>
      <c r="J295" s="737">
        <f t="shared" si="120"/>
        <v>38.311649999860677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43">
        <v>43381</v>
      </c>
      <c r="AP295" s="13">
        <f t="shared" si="121"/>
        <v>11</v>
      </c>
      <c r="AQ295" s="13">
        <f t="shared" si="122"/>
        <v>12</v>
      </c>
      <c r="AR295" s="169">
        <f t="shared" si="123"/>
        <v>43360</v>
      </c>
      <c r="AS295" s="744">
        <f t="shared" si="124"/>
        <v>0.75</v>
      </c>
      <c r="AT295" s="760">
        <f t="shared" si="125"/>
        <v>38.280431250203399</v>
      </c>
      <c r="AU295" s="13">
        <f t="shared" si="126"/>
        <v>11</v>
      </c>
      <c r="AV295" s="13">
        <f t="shared" si="127"/>
        <v>12</v>
      </c>
      <c r="AW295" s="169">
        <f t="shared" si="128"/>
        <v>43374</v>
      </c>
      <c r="AX295" s="744">
        <f t="shared" si="129"/>
        <v>0.25</v>
      </c>
      <c r="AY295" s="760">
        <f t="shared" si="130"/>
        <v>38.394379687309268</v>
      </c>
      <c r="AZ295" s="737">
        <f t="shared" si="134"/>
        <v>38.33740546875633</v>
      </c>
      <c r="BA295" s="634">
        <f t="shared" si="131"/>
        <v>0.41330108873123034</v>
      </c>
      <c r="BC295" s="11">
        <v>43381</v>
      </c>
      <c r="BD295" s="286">
        <f>[3]!FeuilCaduc*(1-Persistant)+Persistant</f>
        <v>0.90673584488131709</v>
      </c>
      <c r="BE295" s="287">
        <f>[3]!CroissVégét</f>
        <v>0.99315492642894099</v>
      </c>
      <c r="BF295" s="807">
        <f>1+[3]!Salcycl*Ksac</f>
        <v>1.0383419806101646</v>
      </c>
      <c r="BH295" s="1041">
        <f t="shared" si="132"/>
        <v>2.9498688919469057E-3</v>
      </c>
      <c r="BI295" s="11">
        <v>44477</v>
      </c>
      <c r="BJ295" s="717">
        <v>8.3614582228484942E-4</v>
      </c>
      <c r="BK295" s="717">
        <v>1.1430738551911541E-3</v>
      </c>
      <c r="BL295" s="717">
        <v>1.4804490680693048E-3</v>
      </c>
      <c r="BM295" s="717">
        <v>1.874819748448461E-3</v>
      </c>
      <c r="BN295" s="717">
        <v>2.3514237378177791E-3</v>
      </c>
      <c r="BO295" s="718">
        <v>2.9535922043063493E-3</v>
      </c>
      <c r="BP295" s="717">
        <v>4.3371239840685341E-3</v>
      </c>
      <c r="BQ295" s="717">
        <v>6.1482944644731712E-3</v>
      </c>
      <c r="BR295" s="717">
        <v>8.48070438869368E-3</v>
      </c>
      <c r="BS295" s="717">
        <v>1.079313038966854E-2</v>
      </c>
      <c r="BT295" s="717">
        <v>1.3392055616933374E-2</v>
      </c>
      <c r="BW295" s="1162">
        <f>'2022'!R\Max</f>
        <v>0.41330108873123034</v>
      </c>
      <c r="BX295" s="1163">
        <f>'2023'!R\Max</f>
        <v>0.4132755659191848</v>
      </c>
      <c r="BY295" s="1163">
        <f>'2024'!R\Max</f>
        <v>0.41324230485282676</v>
      </c>
      <c r="BZ295" s="1163">
        <f>'2025'!R\Max</f>
        <v>0.41320889118297505</v>
      </c>
      <c r="CA295" s="1163">
        <f>'2026'!R\Max</f>
        <v>0.41316604456127204</v>
      </c>
      <c r="CB295" s="1163">
        <f>'2027'!R\Max</f>
        <v>0.41312301146119196</v>
      </c>
      <c r="CC295" s="1164">
        <f>'2028'!R\Max</f>
        <v>0.41308033827297796</v>
      </c>
      <c r="CD295" s="1163">
        <f>'2029'!R\Max</f>
        <v>0.41330236424907935</v>
      </c>
      <c r="CE295" s="1163">
        <f>'2030'!R\Max</f>
        <v>0.41327684146746252</v>
      </c>
      <c r="CF295" s="1165">
        <f>'2031'!R\Max</f>
        <v>0.41324397471456537</v>
      </c>
    </row>
    <row r="296" spans="1:84" s="6" customFormat="1" ht="11.25" x14ac:dyDescent="0.2">
      <c r="A296" s="11">
        <v>43382</v>
      </c>
      <c r="B296" s="375">
        <f>'2022'!Maxi_hp</f>
        <v>36.982646782683823</v>
      </c>
      <c r="C296" s="13">
        <f>'2022'!An_max</f>
        <v>2022</v>
      </c>
      <c r="D296" s="1050">
        <f t="shared" si="116"/>
        <v>0.97575889036469377</v>
      </c>
      <c r="E296" s="13"/>
      <c r="F296" s="13">
        <f t="shared" si="133"/>
        <v>21</v>
      </c>
      <c r="G296" s="13">
        <f t="shared" si="117"/>
        <v>22</v>
      </c>
      <c r="H296" s="169">
        <f t="shared" si="118"/>
        <v>43374</v>
      </c>
      <c r="I296" s="744">
        <f t="shared" si="119"/>
        <v>0.5714285714285714</v>
      </c>
      <c r="J296" s="737">
        <f t="shared" si="120"/>
        <v>37.901419241859443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43">
        <v>43382</v>
      </c>
      <c r="AP296" s="13">
        <f t="shared" si="121"/>
        <v>11</v>
      </c>
      <c r="AQ296" s="13">
        <f t="shared" si="122"/>
        <v>12</v>
      </c>
      <c r="AR296" s="169">
        <f t="shared" si="123"/>
        <v>43360</v>
      </c>
      <c r="AS296" s="744">
        <f t="shared" si="124"/>
        <v>0.7857142857142857</v>
      </c>
      <c r="AT296" s="760">
        <f t="shared" si="125"/>
        <v>37.868107106603148</v>
      </c>
      <c r="AU296" s="13">
        <f t="shared" si="126"/>
        <v>11</v>
      </c>
      <c r="AV296" s="13">
        <f t="shared" si="127"/>
        <v>12</v>
      </c>
      <c r="AW296" s="169">
        <f t="shared" si="128"/>
        <v>43374</v>
      </c>
      <c r="AX296" s="744">
        <f t="shared" si="129"/>
        <v>0.2857142857142857</v>
      </c>
      <c r="AY296" s="760">
        <f t="shared" si="130"/>
        <v>37.985300291436062</v>
      </c>
      <c r="AZ296" s="737">
        <f t="shared" si="134"/>
        <v>37.926703699019605</v>
      </c>
      <c r="BA296" s="634">
        <f t="shared" si="131"/>
        <v>0.97575889036469377</v>
      </c>
      <c r="BC296" s="11">
        <v>43382</v>
      </c>
      <c r="BD296" s="286">
        <f>[3]!FeuilCaduc*(1-Persistant)+Persistant</f>
        <v>0.90276533293247851</v>
      </c>
      <c r="BE296" s="287">
        <f>[3]!CroissVégét</f>
        <v>0.9934418770502661</v>
      </c>
      <c r="BF296" s="807">
        <f>1+[3]!Salcycl*Ksac</f>
        <v>1.0378456666165599</v>
      </c>
      <c r="BH296" s="1041">
        <f t="shared" si="132"/>
        <v>3.1528826523121731E-3</v>
      </c>
      <c r="BI296" s="11">
        <v>44478</v>
      </c>
      <c r="BJ296" s="717">
        <v>8.6058888875031967E-4</v>
      </c>
      <c r="BK296" s="717">
        <v>1.1856064871725439E-3</v>
      </c>
      <c r="BL296" s="717">
        <v>1.5455548445652996E-3</v>
      </c>
      <c r="BM296" s="717">
        <v>1.9718878526119002E-3</v>
      </c>
      <c r="BN296" s="717">
        <v>2.4922835513808183E-3</v>
      </c>
      <c r="BO296" s="718">
        <v>3.156992664366184E-3</v>
      </c>
      <c r="BP296" s="717">
        <v>4.6288695371319612E-3</v>
      </c>
      <c r="BQ296" s="717">
        <v>6.5573725999208106E-3</v>
      </c>
      <c r="BR296" s="717">
        <v>9.081966554429664E-3</v>
      </c>
      <c r="BS296" s="717">
        <v>1.1658749888239341E-2</v>
      </c>
      <c r="BT296" s="717">
        <v>1.4585889426113706E-2</v>
      </c>
      <c r="BW296" s="1162">
        <f>'2022'!R\Max</f>
        <v>0.97575889036469377</v>
      </c>
      <c r="BX296" s="1163">
        <f>'2023'!R\Max</f>
        <v>0.97575622459456635</v>
      </c>
      <c r="BY296" s="1163">
        <f>'2024'!R\Max</f>
        <v>0.97575274685261193</v>
      </c>
      <c r="BZ296" s="1163">
        <f>'2025'!R\Max</f>
        <v>0.97574925276122493</v>
      </c>
      <c r="CA296" s="1163">
        <f>'2026'!R\Max</f>
        <v>0.97574469805533681</v>
      </c>
      <c r="CB296" s="1163">
        <f>'2027'!R\Max</f>
        <v>0.97574012171247682</v>
      </c>
      <c r="CC296" s="1164">
        <f>'2028'!R\Max</f>
        <v>0.97573545132309791</v>
      </c>
      <c r="CD296" s="1163">
        <f>'2029'!R\Max</f>
        <v>0.97575902357917121</v>
      </c>
      <c r="CE296" s="1163">
        <f>'2030'!R\Max</f>
        <v>0.97575635782933623</v>
      </c>
      <c r="CF296" s="1165">
        <f>'2031'!R\Max</f>
        <v>0.97575292145581471</v>
      </c>
    </row>
    <row r="297" spans="1:84" s="6" customFormat="1" ht="11.25" x14ac:dyDescent="0.2">
      <c r="A297" s="11">
        <v>43383</v>
      </c>
      <c r="B297" s="375">
        <f>'2022'!Maxi_hp</f>
        <v>32.382160198719454</v>
      </c>
      <c r="C297" s="13">
        <f>'2022'!An_max</f>
        <v>2022</v>
      </c>
      <c r="D297" s="1050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69">
        <f t="shared" si="118"/>
        <v>43374</v>
      </c>
      <c r="I297" s="744">
        <f t="shared" si="119"/>
        <v>0.6428571428571429</v>
      </c>
      <c r="J297" s="737">
        <f t="shared" si="120"/>
        <v>37.491625364377562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43">
        <v>43383</v>
      </c>
      <c r="AP297" s="13">
        <f t="shared" si="121"/>
        <v>11</v>
      </c>
      <c r="AQ297" s="13">
        <f t="shared" si="122"/>
        <v>12</v>
      </c>
      <c r="AR297" s="169">
        <f t="shared" si="123"/>
        <v>43360</v>
      </c>
      <c r="AS297" s="744">
        <f t="shared" si="124"/>
        <v>0.8214285714285714</v>
      </c>
      <c r="AT297" s="760">
        <f t="shared" si="125"/>
        <v>37.458313228848525</v>
      </c>
      <c r="AU297" s="13">
        <f t="shared" si="126"/>
        <v>11</v>
      </c>
      <c r="AV297" s="13">
        <f t="shared" si="127"/>
        <v>12</v>
      </c>
      <c r="AW297" s="169">
        <f t="shared" si="128"/>
        <v>43374</v>
      </c>
      <c r="AX297" s="744">
        <f t="shared" si="129"/>
        <v>0.32142857142857145</v>
      </c>
      <c r="AY297" s="760">
        <f t="shared" si="130"/>
        <v>37.5740728997825</v>
      </c>
      <c r="AZ297" s="737">
        <f t="shared" si="134"/>
        <v>37.516193064315516</v>
      </c>
      <c r="BA297" s="634">
        <f t="shared" si="131"/>
        <v>0.86371716040583202</v>
      </c>
      <c r="BC297" s="11">
        <v>43383</v>
      </c>
      <c r="BD297" s="286">
        <f>[3]!FeuilCaduc*(1-Persistant)+Persistant</f>
        <v>0.89867764159247643</v>
      </c>
      <c r="BE297" s="287">
        <f>[3]!CroissVégét</f>
        <v>0.99371742996744827</v>
      </c>
      <c r="BF297" s="807">
        <f>1+[3]!Salcycl*Ksac</f>
        <v>1.0373347051990596</v>
      </c>
      <c r="BH297" s="1041">
        <f t="shared" si="132"/>
        <v>3.3642608719269668E-3</v>
      </c>
      <c r="BI297" s="11">
        <v>44479</v>
      </c>
      <c r="BJ297" s="717">
        <v>8.8662413330133658E-4</v>
      </c>
      <c r="BK297" s="717">
        <v>1.2297990678453185E-3</v>
      </c>
      <c r="BL297" s="717">
        <v>1.6131367525649906E-3</v>
      </c>
      <c r="BM297" s="717">
        <v>2.0729830211786084E-3</v>
      </c>
      <c r="BN297" s="717">
        <v>2.6393351306460561E-3</v>
      </c>
      <c r="BO297" s="718">
        <v>3.3687711014000719E-3</v>
      </c>
      <c r="BP297" s="717">
        <v>4.9227872724334461E-3</v>
      </c>
      <c r="BQ297" s="717">
        <v>6.9593131348060942E-3</v>
      </c>
      <c r="BR297" s="717">
        <v>9.7064443748717255E-3</v>
      </c>
      <c r="BS297" s="717">
        <v>1.2625337649468696E-2</v>
      </c>
      <c r="BT297" s="717">
        <v>1.6000541006979074E-2</v>
      </c>
      <c r="BW297" s="1162">
        <f>'2022'!R\Max</f>
        <v>0.86371716040583202</v>
      </c>
      <c r="BX297" s="1163">
        <f>'2023'!R\Max</f>
        <v>0.86370306517523021</v>
      </c>
      <c r="BY297" s="1163">
        <f>'2024'!R\Max</f>
        <v>0.86368467224285872</v>
      </c>
      <c r="BZ297" s="1163">
        <f>'2025'!R\Max</f>
        <v>0.86366619441882553</v>
      </c>
      <c r="CA297" s="1163">
        <f>'2026'!R\Max</f>
        <v>0.86364138422360281</v>
      </c>
      <c r="CB297" s="1163">
        <f>'2027'!R\Max</f>
        <v>0.8636164478238767</v>
      </c>
      <c r="CC297" s="1164">
        <f>'2028'!R\Max</f>
        <v>0.86358997486029832</v>
      </c>
      <c r="CD297" s="1163">
        <f>'2029'!R\Max</f>
        <v>0.86371786478233714</v>
      </c>
      <c r="CE297" s="1163">
        <f>'2030'!R\Max</f>
        <v>0.86370376964683682</v>
      </c>
      <c r="CF297" s="1165">
        <f>'2031'!R\Max</f>
        <v>0.8636855956089855</v>
      </c>
    </row>
    <row r="298" spans="1:84" s="6" customFormat="1" ht="11.25" x14ac:dyDescent="0.2">
      <c r="A298" s="11">
        <v>43384</v>
      </c>
      <c r="B298" s="375">
        <f>'2022'!Maxi_hp</f>
        <v>26.044587044663935</v>
      </c>
      <c r="C298" s="13">
        <f>'2022'!An_max</f>
        <v>2022</v>
      </c>
      <c r="D298" s="1050" t="str">
        <f t="shared" si="116"/>
        <v/>
      </c>
      <c r="E298" s="13"/>
      <c r="F298" s="13">
        <f t="shared" si="133"/>
        <v>21</v>
      </c>
      <c r="G298" s="13">
        <f t="shared" si="117"/>
        <v>22</v>
      </c>
      <c r="H298" s="169">
        <f t="shared" si="118"/>
        <v>43374</v>
      </c>
      <c r="I298" s="744">
        <f t="shared" si="119"/>
        <v>0.7142857142857143</v>
      </c>
      <c r="J298" s="737">
        <f t="shared" si="120"/>
        <v>37.082705247774719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43">
        <v>43384</v>
      </c>
      <c r="AP298" s="13">
        <f t="shared" si="121"/>
        <v>11</v>
      </c>
      <c r="AQ298" s="13">
        <f t="shared" si="122"/>
        <v>12</v>
      </c>
      <c r="AR298" s="169">
        <f t="shared" si="123"/>
        <v>43360</v>
      </c>
      <c r="AS298" s="744">
        <f t="shared" si="124"/>
        <v>0.8571428571428571</v>
      </c>
      <c r="AT298" s="760">
        <f t="shared" si="125"/>
        <v>37.051541108052646</v>
      </c>
      <c r="AU298" s="13">
        <f t="shared" si="126"/>
        <v>11</v>
      </c>
      <c r="AV298" s="13">
        <f t="shared" si="127"/>
        <v>12</v>
      </c>
      <c r="AW298" s="169">
        <f t="shared" si="128"/>
        <v>43374</v>
      </c>
      <c r="AX298" s="744">
        <f t="shared" si="129"/>
        <v>0.35714285714285715</v>
      </c>
      <c r="AY298" s="760">
        <f t="shared" si="130"/>
        <v>37.161161697868792</v>
      </c>
      <c r="AZ298" s="737">
        <f t="shared" si="134"/>
        <v>37.106351402960719</v>
      </c>
      <c r="BA298" s="634">
        <f t="shared" si="131"/>
        <v>0.70233783837080854</v>
      </c>
      <c r="BC298" s="11">
        <v>43384</v>
      </c>
      <c r="BD298" s="286">
        <f>[3]!FeuilCaduc*(1-Persistant)+Persistant</f>
        <v>0.89447343425168757</v>
      </c>
      <c r="BE298" s="287">
        <f>[3]!CroissVégét</f>
        <v>0.99398203191418089</v>
      </c>
      <c r="BF298" s="807">
        <f>1+[3]!Salcycl*Ksac</f>
        <v>1.0368091792814609</v>
      </c>
      <c r="BH298" s="1041">
        <f t="shared" si="132"/>
        <v>3.5840122590041555E-3</v>
      </c>
      <c r="BI298" s="11">
        <v>44480</v>
      </c>
      <c r="BJ298" s="717">
        <v>9.1425292952885932E-4</v>
      </c>
      <c r="BK298" s="717">
        <v>1.2756528178669495E-3</v>
      </c>
      <c r="BL298" s="717">
        <v>1.6831968230819824E-3</v>
      </c>
      <c r="BM298" s="717">
        <v>2.1781090274202533E-3</v>
      </c>
      <c r="BN298" s="717">
        <v>2.7925847466587425E-3</v>
      </c>
      <c r="BO298" s="718">
        <v>3.5889362387840698E-3</v>
      </c>
      <c r="BP298" s="717">
        <v>5.2188767018004371E-3</v>
      </c>
      <c r="BQ298" s="717">
        <v>7.3541019711278743E-3</v>
      </c>
      <c r="BR298" s="717">
        <v>1.0354161834372926E-2</v>
      </c>
      <c r="BS298" s="717">
        <v>1.3693018067215091E-2</v>
      </c>
      <c r="BT298" s="717">
        <v>1.7636290237505351E-2</v>
      </c>
      <c r="BW298" s="1162">
        <f>'2022'!R\Max</f>
        <v>0.70233783837080854</v>
      </c>
      <c r="BX298" s="1163">
        <f>'2023'!R\Max</f>
        <v>0.70231141637277184</v>
      </c>
      <c r="BY298" s="1163">
        <f>'2024'!R\Max</f>
        <v>0.70227695004876123</v>
      </c>
      <c r="BZ298" s="1163">
        <f>'2025'!R\Max</f>
        <v>0.70224232851947421</v>
      </c>
      <c r="CA298" s="1163">
        <f>'2026'!R\Max</f>
        <v>0.70219393423898657</v>
      </c>
      <c r="CB298" s="1163">
        <f>'2027'!R\Max</f>
        <v>0.70214527302425744</v>
      </c>
      <c r="CC298" s="1164">
        <f>'2028'!R\Max</f>
        <v>0.70209120685205506</v>
      </c>
      <c r="CD298" s="1163">
        <f>'2029'!R\Max</f>
        <v>0.70233915877205277</v>
      </c>
      <c r="CE298" s="1163">
        <f>'2030'!R\Max</f>
        <v>0.70231273690831175</v>
      </c>
      <c r="CF298" s="1165">
        <f>'2031'!R\Max</f>
        <v>0.7022786801811014</v>
      </c>
    </row>
    <row r="299" spans="1:84" s="6" customFormat="1" ht="11.25" x14ac:dyDescent="0.2">
      <c r="A299" s="11">
        <v>43385</v>
      </c>
      <c r="B299" s="375">
        <f>'2022'!Maxi_hp</f>
        <v>25.946681721732432</v>
      </c>
      <c r="C299" s="13">
        <f>'2022'!An_max</f>
        <v>2022</v>
      </c>
      <c r="D299" s="1050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69">
        <f t="shared" si="118"/>
        <v>43374</v>
      </c>
      <c r="I299" s="744">
        <f t="shared" si="119"/>
        <v>0.7857142857142857</v>
      </c>
      <c r="J299" s="737">
        <f t="shared" si="120"/>
        <v>36.675095772477135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43">
        <v>43385</v>
      </c>
      <c r="AP299" s="13">
        <f t="shared" si="121"/>
        <v>11</v>
      </c>
      <c r="AQ299" s="13">
        <f t="shared" si="122"/>
        <v>12</v>
      </c>
      <c r="AR299" s="169">
        <f t="shared" si="123"/>
        <v>43360</v>
      </c>
      <c r="AS299" s="744">
        <f t="shared" si="124"/>
        <v>0.8928571428571429</v>
      </c>
      <c r="AT299" s="760">
        <f t="shared" si="125"/>
        <v>36.648282233978222</v>
      </c>
      <c r="AU299" s="13">
        <f t="shared" si="126"/>
        <v>11</v>
      </c>
      <c r="AV299" s="13">
        <f t="shared" si="127"/>
        <v>12</v>
      </c>
      <c r="AW299" s="169">
        <f t="shared" si="128"/>
        <v>43374</v>
      </c>
      <c r="AX299" s="744">
        <f t="shared" si="129"/>
        <v>0.39285714285714285</v>
      </c>
      <c r="AY299" s="760">
        <f t="shared" si="130"/>
        <v>36.747030871747327</v>
      </c>
      <c r="AZ299" s="737">
        <f t="shared" si="134"/>
        <v>36.697656552862775</v>
      </c>
      <c r="BA299" s="634">
        <f t="shared" si="131"/>
        <v>0.70747413674660797</v>
      </c>
      <c r="BC299" s="11">
        <v>43385</v>
      </c>
      <c r="BD299" s="286">
        <f>[3]!FeuilCaduc*(1-Persistant)+Persistant</f>
        <v>0.8901537565639891</v>
      </c>
      <c r="BE299" s="287">
        <f>[3]!CroissVégét</f>
        <v>0.99423611258398381</v>
      </c>
      <c r="BF299" s="807">
        <f>1+[3]!Salcycl*Ksac</f>
        <v>1.0362692195704986</v>
      </c>
      <c r="BH299" s="1041">
        <f t="shared" si="132"/>
        <v>3.8121447936596141E-3</v>
      </c>
      <c r="BI299" s="11">
        <v>44481</v>
      </c>
      <c r="BJ299" s="717">
        <v>9.4347656485543386E-4</v>
      </c>
      <c r="BK299" s="717">
        <v>1.3231688060720149E-3</v>
      </c>
      <c r="BL299" s="717">
        <v>1.7557368542222222E-3</v>
      </c>
      <c r="BM299" s="717">
        <v>2.2872692972512815E-3</v>
      </c>
      <c r="BN299" s="717">
        <v>2.9520381662476816E-3</v>
      </c>
      <c r="BO299" s="718">
        <v>3.8174960704043357E-3</v>
      </c>
      <c r="BP299" s="717">
        <v>5.5171362785721434E-3</v>
      </c>
      <c r="BQ299" s="717">
        <v>7.7417235140715733E-3</v>
      </c>
      <c r="BR299" s="717">
        <v>1.1025140758541163E-2</v>
      </c>
      <c r="BS299" s="717">
        <v>1.4861912509673605E-2</v>
      </c>
      <c r="BT299" s="717">
        <v>1.9493412922402267E-2</v>
      </c>
      <c r="BW299" s="1162">
        <f>'2022'!R\Max</f>
        <v>0.70747413674660797</v>
      </c>
      <c r="BX299" s="1163">
        <f>'2023'!R\Max</f>
        <v>0.70744669218804146</v>
      </c>
      <c r="BY299" s="1163">
        <f>'2024'!R\Max</f>
        <v>0.70741092039471098</v>
      </c>
      <c r="BZ299" s="1163">
        <f>'2025'!R\Max</f>
        <v>0.70737498982876179</v>
      </c>
      <c r="CA299" s="1163">
        <f>'2026'!R\Max</f>
        <v>0.70732225836471974</v>
      </c>
      <c r="CB299" s="1163">
        <f>'2027'!R\Max</f>
        <v>0.7072692057335398</v>
      </c>
      <c r="CC299" s="1164">
        <f>'2028'!R\Max</f>
        <v>0.707207360263435</v>
      </c>
      <c r="CD299" s="1163">
        <f>'2029'!R\Max</f>
        <v>0.70747550824425109</v>
      </c>
      <c r="CE299" s="1163">
        <f>'2030'!R\Max</f>
        <v>0.70744806383391856</v>
      </c>
      <c r="CF299" s="1165">
        <f>'2031'!R\Max</f>
        <v>0.70741271593543209</v>
      </c>
    </row>
    <row r="300" spans="1:84" s="6" customFormat="1" ht="11.25" x14ac:dyDescent="0.2">
      <c r="A300" s="11">
        <v>43386</v>
      </c>
      <c r="B300" s="375">
        <f>'2022'!Maxi_hp</f>
        <v>23.504348128002412</v>
      </c>
      <c r="C300" s="13">
        <f>'2022'!An_max</f>
        <v>2022</v>
      </c>
      <c r="D300" s="1050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69">
        <f t="shared" si="118"/>
        <v>43374</v>
      </c>
      <c r="I300" s="744">
        <f t="shared" si="119"/>
        <v>0.8571428571428571</v>
      </c>
      <c r="J300" s="737">
        <f t="shared" si="120"/>
        <v>36.2692338191505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43">
        <v>43386</v>
      </c>
      <c r="AP300" s="13">
        <f t="shared" si="121"/>
        <v>11</v>
      </c>
      <c r="AQ300" s="13">
        <f t="shared" si="122"/>
        <v>12</v>
      </c>
      <c r="AR300" s="169">
        <f t="shared" si="123"/>
        <v>43360</v>
      </c>
      <c r="AS300" s="744">
        <f t="shared" si="124"/>
        <v>0.9285714285714286</v>
      </c>
      <c r="AT300" s="760">
        <f t="shared" si="125"/>
        <v>36.249028097478941</v>
      </c>
      <c r="AU300" s="13">
        <f t="shared" si="126"/>
        <v>11</v>
      </c>
      <c r="AV300" s="13">
        <f t="shared" si="127"/>
        <v>12</v>
      </c>
      <c r="AW300" s="169">
        <f t="shared" si="128"/>
        <v>43374</v>
      </c>
      <c r="AX300" s="744">
        <f t="shared" si="129"/>
        <v>0.42857142857142855</v>
      </c>
      <c r="AY300" s="760">
        <f t="shared" si="130"/>
        <v>36.332144606326302</v>
      </c>
      <c r="AZ300" s="737">
        <f t="shared" si="134"/>
        <v>36.290586351902618</v>
      </c>
      <c r="BA300" s="634">
        <f t="shared" si="131"/>
        <v>0.64805196175916713</v>
      </c>
      <c r="BC300" s="11">
        <v>43386</v>
      </c>
      <c r="BD300" s="286">
        <f>[3]!FeuilCaduc*(1-Persistant)+Persistant</f>
        <v>0.88572004947976746</v>
      </c>
      <c r="BE300" s="287">
        <f>[3]!CroissVégét</f>
        <v>0.99448008524317211</v>
      </c>
      <c r="BF300" s="807">
        <f>1+[3]!Salcycl*Ksac</f>
        <v>1.0357150061849709</v>
      </c>
      <c r="BH300" s="1041">
        <f t="shared" si="132"/>
        <v>4.0486656530656492E-3</v>
      </c>
      <c r="BI300" s="11">
        <v>44482</v>
      </c>
      <c r="BJ300" s="717">
        <v>9.7429622617844407E-4</v>
      </c>
      <c r="BK300" s="717">
        <v>1.3723479346435452E-3</v>
      </c>
      <c r="BL300" s="717">
        <v>1.8307583890746347E-3</v>
      </c>
      <c r="BM300" s="717">
        <v>2.4004668731944013E-3</v>
      </c>
      <c r="BN300" s="717">
        <v>3.1177005965473408E-3</v>
      </c>
      <c r="BO300" s="718">
        <v>4.0544577856900486E-3</v>
      </c>
      <c r="BP300" s="717">
        <v>5.8175633801109223E-3</v>
      </c>
      <c r="BQ300" s="717">
        <v>8.1221607406239838E-3</v>
      </c>
      <c r="BR300" s="717">
        <v>1.1719400606806339E-2</v>
      </c>
      <c r="BS300" s="717">
        <v>1.6132138402960787E-2</v>
      </c>
      <c r="BT300" s="717">
        <v>2.1572178783214636E-2</v>
      </c>
      <c r="BW300" s="1162">
        <f>'2022'!R\Max</f>
        <v>0.64805196175916713</v>
      </c>
      <c r="BX300" s="1163">
        <f>'2023'!R\Max</f>
        <v>0.648020393262423</v>
      </c>
      <c r="BY300" s="1163">
        <f>'2024'!R\Max</f>
        <v>0.6479792981876219</v>
      </c>
      <c r="BZ300" s="1163">
        <f>'2025'!R\Max</f>
        <v>0.64793802448948101</v>
      </c>
      <c r="CA300" s="1163">
        <f>'2026'!R\Max</f>
        <v>0.64787400428281561</v>
      </c>
      <c r="CB300" s="1163">
        <f>'2027'!R\Max</f>
        <v>0.64780955729565926</v>
      </c>
      <c r="CC300" s="1164">
        <f>'2028'!R\Max</f>
        <v>0.64773074422154264</v>
      </c>
      <c r="CD300" s="1163">
        <f>'2029'!R\Max</f>
        <v>0.6480535393536927</v>
      </c>
      <c r="CE300" s="1163">
        <f>'2030'!R\Max</f>
        <v>0.64802197100896153</v>
      </c>
      <c r="CF300" s="1165">
        <f>'2031'!R\Max</f>
        <v>0.64798136075489243</v>
      </c>
    </row>
    <row r="301" spans="1:84" s="6" customFormat="1" ht="11.25" x14ac:dyDescent="0.2">
      <c r="A301" s="11">
        <v>43387</v>
      </c>
      <c r="B301" s="375">
        <f>'2022'!Maxi_hp</f>
        <v>15.799040866811126</v>
      </c>
      <c r="C301" s="13">
        <f>'2022'!An_max</f>
        <v>2022</v>
      </c>
      <c r="D301" s="1050" t="str">
        <f t="shared" si="116"/>
        <v/>
      </c>
      <c r="E301" s="13"/>
      <c r="F301" s="13">
        <f t="shared" si="133"/>
        <v>21</v>
      </c>
      <c r="G301" s="13">
        <f t="shared" si="117"/>
        <v>22</v>
      </c>
      <c r="H301" s="169">
        <f t="shared" si="118"/>
        <v>43374</v>
      </c>
      <c r="I301" s="744">
        <f t="shared" si="119"/>
        <v>0.9285714285714286</v>
      </c>
      <c r="J301" s="737">
        <f t="shared" si="120"/>
        <v>35.865556267915025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43">
        <v>43387</v>
      </c>
      <c r="AP301" s="13">
        <f t="shared" si="121"/>
        <v>11</v>
      </c>
      <c r="AQ301" s="13">
        <f t="shared" si="122"/>
        <v>12</v>
      </c>
      <c r="AR301" s="169">
        <f t="shared" si="123"/>
        <v>43360</v>
      </c>
      <c r="AS301" s="744">
        <f t="shared" si="124"/>
        <v>0.9642857142857143</v>
      </c>
      <c r="AT301" s="760">
        <f t="shared" si="125"/>
        <v>35.854270189548181</v>
      </c>
      <c r="AU301" s="13">
        <f t="shared" si="126"/>
        <v>11</v>
      </c>
      <c r="AV301" s="13">
        <f t="shared" si="127"/>
        <v>12</v>
      </c>
      <c r="AW301" s="169">
        <f t="shared" si="128"/>
        <v>43374</v>
      </c>
      <c r="AX301" s="744">
        <f t="shared" si="129"/>
        <v>0.4642857142857143</v>
      </c>
      <c r="AY301" s="760">
        <f t="shared" si="130"/>
        <v>35.91696708678667</v>
      </c>
      <c r="AZ301" s="737">
        <f t="shared" si="134"/>
        <v>35.885618638167429</v>
      </c>
      <c r="BA301" s="634">
        <f t="shared" si="131"/>
        <v>0.44050734216395782</v>
      </c>
      <c r="BC301" s="11">
        <v>43387</v>
      </c>
      <c r="BD301" s="286">
        <f>[3]!FeuilCaduc*(1-Persistant)+Persistant</f>
        <v>0.88117416024711881</v>
      </c>
      <c r="BE301" s="287">
        <f>[3]!CroissVégét</f>
        <v>0.99471434732473374</v>
      </c>
      <c r="BF301" s="807">
        <f>1+[3]!Salcycl*Ksac</f>
        <v>1.0351467700308898</v>
      </c>
      <c r="BH301" s="1041">
        <f t="shared" si="132"/>
        <v>4.2935811366347706E-3</v>
      </c>
      <c r="BI301" s="11">
        <v>44483</v>
      </c>
      <c r="BJ301" s="717">
        <v>1.0067129855208835E-3</v>
      </c>
      <c r="BK301" s="717">
        <v>1.4231909242949173E-3</v>
      </c>
      <c r="BL301" s="717">
        <v>1.9082626936157542E-3</v>
      </c>
      <c r="BM301" s="717">
        <v>2.5177043783642847E-3</v>
      </c>
      <c r="BN301" s="717">
        <v>3.2895766295434766E-3</v>
      </c>
      <c r="BO301" s="718">
        <v>4.2998276946767189E-3</v>
      </c>
      <c r="BP301" s="717">
        <v>6.1201542903576269E-3</v>
      </c>
      <c r="BQ301" s="717">
        <v>8.4953952682498314E-3</v>
      </c>
      <c r="BR301" s="717">
        <v>1.2436958265075257E-2</v>
      </c>
      <c r="BS301" s="717">
        <v>1.7503808314817428E-2</v>
      </c>
      <c r="BT301" s="717">
        <v>2.3872849448577604E-2</v>
      </c>
      <c r="BW301" s="1162">
        <f>'2022'!R\Max</f>
        <v>0.44050734216395782</v>
      </c>
      <c r="BX301" s="1163">
        <f>'2023'!R\Max</f>
        <v>0.44047190989771612</v>
      </c>
      <c r="BY301" s="1163">
        <f>'2024'!R\Max</f>
        <v>0.44042586486911123</v>
      </c>
      <c r="BZ301" s="1163">
        <f>'2025'!R\Max</f>
        <v>0.4403796267326196</v>
      </c>
      <c r="CA301" s="1163">
        <f>'2026'!R\Max</f>
        <v>0.44030343037847341</v>
      </c>
      <c r="CB301" s="1163">
        <f>'2027'!R\Max</f>
        <v>0.4402266890514015</v>
      </c>
      <c r="CC301" s="1164">
        <f>'2028'!R\Max</f>
        <v>0.44012841559448179</v>
      </c>
      <c r="CD301" s="1163">
        <f>'2029'!R\Max</f>
        <v>0.44050911289733991</v>
      </c>
      <c r="CE301" s="1163">
        <f>'2030'!R\Max</f>
        <v>0.44047368070265164</v>
      </c>
      <c r="CF301" s="1165">
        <f>'2031'!R\Max</f>
        <v>0.44042817561270475</v>
      </c>
    </row>
    <row r="302" spans="1:84" s="6" customFormat="1" ht="11.25" x14ac:dyDescent="0.2">
      <c r="A302" s="11">
        <v>43388</v>
      </c>
      <c r="B302" s="375">
        <f>'2022'!Maxi_hp</f>
        <v>35.21896935140299</v>
      </c>
      <c r="C302" s="13">
        <f>'2022'!An_max</f>
        <v>2022</v>
      </c>
      <c r="D302" s="1050">
        <f t="shared" si="116"/>
        <v>0.99307672042316641</v>
      </c>
      <c r="E302" s="1045">
        <f>AH$13/10</f>
        <v>35.464500000000001</v>
      </c>
      <c r="F302" s="13">
        <f t="shared" si="133"/>
        <v>23</v>
      </c>
      <c r="G302" s="13">
        <f t="shared" si="117"/>
        <v>22</v>
      </c>
      <c r="H302" s="169">
        <f t="shared" si="118"/>
        <v>43402</v>
      </c>
      <c r="I302" s="744">
        <f t="shared" si="119"/>
        <v>1</v>
      </c>
      <c r="J302" s="737">
        <f t="shared" si="120"/>
        <v>35.464499999955294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43">
        <v>43388</v>
      </c>
      <c r="AP302" s="13">
        <f t="shared" si="121"/>
        <v>13</v>
      </c>
      <c r="AQ302" s="13">
        <f t="shared" si="122"/>
        <v>12</v>
      </c>
      <c r="AR302" s="169">
        <f t="shared" si="123"/>
        <v>43416</v>
      </c>
      <c r="AS302" s="744">
        <f t="shared" si="124"/>
        <v>1</v>
      </c>
      <c r="AT302" s="760">
        <f t="shared" si="125"/>
        <v>35.464499999769032</v>
      </c>
      <c r="AU302" s="13">
        <f t="shared" si="126"/>
        <v>11</v>
      </c>
      <c r="AV302" s="13">
        <f t="shared" si="127"/>
        <v>12</v>
      </c>
      <c r="AW302" s="169">
        <f t="shared" si="128"/>
        <v>43374</v>
      </c>
      <c r="AX302" s="744">
        <f t="shared" si="129"/>
        <v>0.5</v>
      </c>
      <c r="AY302" s="760">
        <f t="shared" si="130"/>
        <v>35.501962499879298</v>
      </c>
      <c r="AZ302" s="737">
        <f t="shared" si="134"/>
        <v>35.483231249824165</v>
      </c>
      <c r="BA302" s="634">
        <f t="shared" si="131"/>
        <v>0.99307672042316641</v>
      </c>
      <c r="BC302" s="11">
        <v>43388</v>
      </c>
      <c r="BD302" s="286">
        <f>[3]!FeuilCaduc*(1-Persistant)+Persistant</f>
        <v>0.87651835122667876</v>
      </c>
      <c r="BE302" s="287">
        <f>[3]!CroissVégét</f>
        <v>0.99493928100346574</v>
      </c>
      <c r="BF302" s="807">
        <f>1+[3]!Salcycl*Ksac</f>
        <v>1.0345647939033349</v>
      </c>
      <c r="BH302" s="1041">
        <f t="shared" si="132"/>
        <v>4.5468965911735441E-3</v>
      </c>
      <c r="BI302" s="11">
        <v>44484</v>
      </c>
      <c r="BJ302" s="717">
        <v>1.0407277856745291E-3</v>
      </c>
      <c r="BK302" s="717">
        <v>1.4756982994411332E-3</v>
      </c>
      <c r="BL302" s="717">
        <v>1.9882507346003337E-3</v>
      </c>
      <c r="BM302" s="717">
        <v>2.6389839804331124E-3</v>
      </c>
      <c r="BN302" s="717">
        <v>3.4676701865954569E-3</v>
      </c>
      <c r="BO302" s="718">
        <v>4.5536111530395376E-3</v>
      </c>
      <c r="BP302" s="717">
        <v>6.424904182343383E-3</v>
      </c>
      <c r="BQ302" s="717">
        <v>8.8614074235068823E-3</v>
      </c>
      <c r="BR302" s="717">
        <v>1.3177827838300108E-2</v>
      </c>
      <c r="BS302" s="717">
        <v>1.8977029038197122E-2</v>
      </c>
      <c r="BT302" s="717">
        <v>2.6395676444325097E-2</v>
      </c>
      <c r="BW302" s="1162">
        <f>'2022'!R\Max</f>
        <v>0.99307672042316641</v>
      </c>
      <c r="BX302" s="1163">
        <f>'2023'!R\Max</f>
        <v>0.99307569817022312</v>
      </c>
      <c r="BY302" s="1163">
        <f>'2024'!R\Max</f>
        <v>0.99307437222043193</v>
      </c>
      <c r="BZ302" s="1163">
        <f>'2025'!R\Max</f>
        <v>0.99307304053181722</v>
      </c>
      <c r="CA302" s="1163">
        <f>'2026'!R\Max</f>
        <v>0.99307069840034345</v>
      </c>
      <c r="CB302" s="1163">
        <f>'2027'!R\Max</f>
        <v>0.99306833723717225</v>
      </c>
      <c r="CC302" s="1164">
        <f>'2028'!R\Max</f>
        <v>0.99306517734420652</v>
      </c>
      <c r="CD302" s="1163">
        <f>'2029'!R\Max</f>
        <v>0.99307677150598317</v>
      </c>
      <c r="CE302" s="1163">
        <f>'2030'!R\Max</f>
        <v>0.99307574926356879</v>
      </c>
      <c r="CF302" s="1165">
        <f>'2031'!R\Max</f>
        <v>0.99307443876382573</v>
      </c>
    </row>
    <row r="303" spans="1:84" s="6" customFormat="1" ht="11.25" x14ac:dyDescent="0.2">
      <c r="A303" s="11">
        <v>43389</v>
      </c>
      <c r="B303" s="375">
        <f>'2022'!Maxi_hp</f>
        <v>30.876096250256072</v>
      </c>
      <c r="C303" s="13">
        <f>'2022'!An_max</f>
        <v>2022</v>
      </c>
      <c r="D303" s="1050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69">
        <f t="shared" si="118"/>
        <v>43402</v>
      </c>
      <c r="I303" s="744">
        <f t="shared" si="119"/>
        <v>0.9285714285714286</v>
      </c>
      <c r="J303" s="737">
        <f t="shared" si="120"/>
        <v>35.064699763086232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43">
        <v>43389</v>
      </c>
      <c r="AP303" s="13">
        <f t="shared" si="121"/>
        <v>13</v>
      </c>
      <c r="AQ303" s="13">
        <f t="shared" si="122"/>
        <v>12</v>
      </c>
      <c r="AR303" s="169">
        <f t="shared" si="123"/>
        <v>43416</v>
      </c>
      <c r="AS303" s="744">
        <f t="shared" si="124"/>
        <v>0.9642857142857143</v>
      </c>
      <c r="AT303" s="760">
        <f t="shared" si="125"/>
        <v>35.076113265034351</v>
      </c>
      <c r="AU303" s="13">
        <f t="shared" si="126"/>
        <v>11</v>
      </c>
      <c r="AV303" s="13">
        <f t="shared" si="127"/>
        <v>12</v>
      </c>
      <c r="AW303" s="169">
        <f t="shared" si="128"/>
        <v>43374</v>
      </c>
      <c r="AX303" s="744">
        <f t="shared" si="129"/>
        <v>0.5357142857142857</v>
      </c>
      <c r="AY303" s="760">
        <f t="shared" si="130"/>
        <v>35.087595029627643</v>
      </c>
      <c r="AZ303" s="737">
        <f t="shared" si="134"/>
        <v>35.081854147331001</v>
      </c>
      <c r="BA303" s="634">
        <f t="shared" si="131"/>
        <v>0.88054643156421264</v>
      </c>
      <c r="BC303" s="11">
        <v>43389</v>
      </c>
      <c r="BD303" s="286">
        <f>[3]!FeuilCaduc*(1-Persistant)+Persistant</f>
        <v>0.8717553063806176</v>
      </c>
      <c r="BE303" s="287">
        <f>[3]!CroissVégét</f>
        <v>0.99515525375273173</v>
      </c>
      <c r="BF303" s="807">
        <f>1+[3]!Salcycl*Ksac</f>
        <v>1.0339694132975772</v>
      </c>
      <c r="BH303" s="1041">
        <f t="shared" si="132"/>
        <v>4.8086163360474259E-3</v>
      </c>
      <c r="BI303" s="11">
        <v>44485</v>
      </c>
      <c r="BJ303" s="717">
        <v>1.076341425845972E-3</v>
      </c>
      <c r="BK303" s="717">
        <v>1.5298703733740697E-3</v>
      </c>
      <c r="BL303" s="717">
        <v>2.0707231574571797E-3</v>
      </c>
      <c r="BM303" s="717">
        <v>2.7643073556028546E-3</v>
      </c>
      <c r="BN303" s="717">
        <v>3.6519844629671824E-3</v>
      </c>
      <c r="BO303" s="718">
        <v>4.8158124871377182E-3</v>
      </c>
      <c r="BP303" s="717">
        <v>6.7318071007173704E-3</v>
      </c>
      <c r="BQ303" s="717">
        <v>9.220176310683682E-3</v>
      </c>
      <c r="BR303" s="717">
        <v>1.3942020443078629E-2</v>
      </c>
      <c r="BS303" s="717">
        <v>2.0551900674896383E-2</v>
      </c>
      <c r="BT303" s="717">
        <v>2.9140899183651207E-2</v>
      </c>
      <c r="BW303" s="1162">
        <f>'2022'!R\Max</f>
        <v>0.88054643156421264</v>
      </c>
      <c r="BX303" s="1163">
        <f>'2023'!R\Max</f>
        <v>0.88053032438424272</v>
      </c>
      <c r="BY303" s="1163">
        <f>'2024'!R\Max</f>
        <v>0.88050948399379225</v>
      </c>
      <c r="BZ303" s="1163">
        <f>'2025'!R\Max</f>
        <v>0.8804885559463933</v>
      </c>
      <c r="CA303" s="1163">
        <f>'2026'!R\Max</f>
        <v>0.88044915379412503</v>
      </c>
      <c r="CB303" s="1163">
        <f>'2027'!R\Max</f>
        <v>0.880409410878498</v>
      </c>
      <c r="CC303" s="1164">
        <f>'2028'!R\Max</f>
        <v>0.88035402116575823</v>
      </c>
      <c r="CD303" s="1163">
        <f>'2029'!R\Max</f>
        <v>0.88054723646514277</v>
      </c>
      <c r="CE303" s="1163">
        <f>'2030'!R\Max</f>
        <v>0.88053112942829947</v>
      </c>
      <c r="CF303" s="1165">
        <f>'2031'!R\Max</f>
        <v>0.88051052977180511</v>
      </c>
    </row>
    <row r="304" spans="1:84" s="6" customFormat="1" ht="11.25" x14ac:dyDescent="0.2">
      <c r="A304" s="11">
        <v>43390</v>
      </c>
      <c r="B304" s="375">
        <f>'2022'!Maxi_hp</f>
        <v>17.401400956915101</v>
      </c>
      <c r="C304" s="13">
        <f>'2022'!An_max</f>
        <v>2022</v>
      </c>
      <c r="D304" s="1050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69">
        <f t="shared" si="118"/>
        <v>43402</v>
      </c>
      <c r="I304" s="744">
        <f t="shared" si="119"/>
        <v>0.8571428571428571</v>
      </c>
      <c r="J304" s="737">
        <f t="shared" si="120"/>
        <v>34.664717492514427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43">
        <v>43390</v>
      </c>
      <c r="AP304" s="13">
        <f t="shared" si="121"/>
        <v>13</v>
      </c>
      <c r="AQ304" s="13">
        <f t="shared" si="122"/>
        <v>12</v>
      </c>
      <c r="AR304" s="169">
        <f t="shared" si="123"/>
        <v>43416</v>
      </c>
      <c r="AS304" s="744">
        <f t="shared" si="124"/>
        <v>0.9285714285714286</v>
      </c>
      <c r="AT304" s="760">
        <f t="shared" si="125"/>
        <v>34.685432908165133</v>
      </c>
      <c r="AU304" s="13">
        <f t="shared" si="126"/>
        <v>11</v>
      </c>
      <c r="AV304" s="13">
        <f t="shared" si="127"/>
        <v>12</v>
      </c>
      <c r="AW304" s="169">
        <f t="shared" si="128"/>
        <v>43374</v>
      </c>
      <c r="AX304" s="744">
        <f t="shared" si="129"/>
        <v>0.5714285714285714</v>
      </c>
      <c r="AY304" s="760">
        <f t="shared" si="130"/>
        <v>34.674328862503174</v>
      </c>
      <c r="AZ304" s="737">
        <f t="shared" si="134"/>
        <v>34.679880885334157</v>
      </c>
      <c r="BA304" s="634">
        <f t="shared" si="131"/>
        <v>0.50199171421699296</v>
      </c>
      <c r="BC304" s="11">
        <v>43390</v>
      </c>
      <c r="BD304" s="286">
        <f>[3]!FeuilCaduc*(1-Persistant)+Persistant</f>
        <v>0.86688813531301845</v>
      </c>
      <c r="BE304" s="287">
        <f>[3]!CroissVégét</f>
        <v>0.99536261888322142</v>
      </c>
      <c r="BF304" s="807">
        <f>1+[3]!Salcycl*Ksac</f>
        <v>1.0333610169141274</v>
      </c>
      <c r="BH304" s="1041">
        <f t="shared" si="132"/>
        <v>5.0745492865544115E-3</v>
      </c>
      <c r="BI304" s="11">
        <v>44486</v>
      </c>
      <c r="BJ304" s="717">
        <v>1.1134274239942127E-3</v>
      </c>
      <c r="BK304" s="717">
        <v>1.5873442321479466E-3</v>
      </c>
      <c r="BL304" s="717">
        <v>2.1579885518331963E-3</v>
      </c>
      <c r="BM304" s="717">
        <v>2.8949403904459797E-3</v>
      </c>
      <c r="BN304" s="717">
        <v>3.8416443936996106E-3</v>
      </c>
      <c r="BO304" s="718">
        <v>5.0822199811768201E-3</v>
      </c>
      <c r="BP304" s="717">
        <v>7.0968550032862012E-3</v>
      </c>
      <c r="BQ304" s="717">
        <v>9.7284835543568569E-3</v>
      </c>
      <c r="BR304" s="717">
        <v>1.5027970620404311E-2</v>
      </c>
      <c r="BS304" s="717">
        <v>2.2645119281084952E-2</v>
      </c>
      <c r="BT304" s="717">
        <v>3.264320193023823E-2</v>
      </c>
      <c r="BW304" s="1162">
        <f>'2022'!R\Max</f>
        <v>0.50199171421699296</v>
      </c>
      <c r="BX304" s="1163">
        <f>'2023'!R\Max</f>
        <v>0.50195122574547246</v>
      </c>
      <c r="BY304" s="1163">
        <f>'2024'!R\Max</f>
        <v>0.50189854432641634</v>
      </c>
      <c r="BZ304" s="1163">
        <f>'2025'!R\Max</f>
        <v>0.50184564753365535</v>
      </c>
      <c r="CA304" s="1163">
        <f>'2026'!R\Max</f>
        <v>0.50174002403395301</v>
      </c>
      <c r="CB304" s="1163">
        <f>'2027'!R\Max</f>
        <v>0.50163347030210437</v>
      </c>
      <c r="CC304" s="1164">
        <f>'2028'!R\Max</f>
        <v>0.50148107721612112</v>
      </c>
      <c r="CD304" s="1163">
        <f>'2029'!R\Max</f>
        <v>0.50199373760848465</v>
      </c>
      <c r="CE304" s="1163">
        <f>'2030'!R\Max</f>
        <v>0.50195324926937401</v>
      </c>
      <c r="CF304" s="1165">
        <f>'2031'!R\Max</f>
        <v>0.50190118778984993</v>
      </c>
    </row>
    <row r="305" spans="1:84" s="6" customFormat="1" ht="11.25" x14ac:dyDescent="0.2">
      <c r="A305" s="11">
        <v>43391</v>
      </c>
      <c r="B305" s="375">
        <f>'2022'!Maxi_hp</f>
        <v>31.04755390716814</v>
      </c>
      <c r="C305" s="13">
        <f>'2022'!An_max</f>
        <v>2022</v>
      </c>
      <c r="D305" s="1050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69">
        <f t="shared" si="118"/>
        <v>43402</v>
      </c>
      <c r="I305" s="744">
        <f t="shared" si="119"/>
        <v>0.7857142857142857</v>
      </c>
      <c r="J305" s="737">
        <f t="shared" si="120"/>
        <v>34.264880849128325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43">
        <v>43391</v>
      </c>
      <c r="AP305" s="13">
        <f t="shared" si="121"/>
        <v>13</v>
      </c>
      <c r="AQ305" s="13">
        <f t="shared" si="122"/>
        <v>12</v>
      </c>
      <c r="AR305" s="169">
        <f t="shared" si="123"/>
        <v>43416</v>
      </c>
      <c r="AS305" s="744">
        <f t="shared" si="124"/>
        <v>0.8928571428571429</v>
      </c>
      <c r="AT305" s="760">
        <f t="shared" si="125"/>
        <v>34.292841198807579</v>
      </c>
      <c r="AU305" s="13">
        <f t="shared" si="126"/>
        <v>11</v>
      </c>
      <c r="AV305" s="13">
        <f t="shared" si="127"/>
        <v>12</v>
      </c>
      <c r="AW305" s="169">
        <f t="shared" si="128"/>
        <v>43374</v>
      </c>
      <c r="AX305" s="744">
        <f t="shared" si="129"/>
        <v>0.6071428571428571</v>
      </c>
      <c r="AY305" s="760">
        <f t="shared" si="130"/>
        <v>34.262628183799926</v>
      </c>
      <c r="AZ305" s="737">
        <f t="shared" si="134"/>
        <v>34.277734691303749</v>
      </c>
      <c r="BA305" s="634">
        <f t="shared" si="131"/>
        <v>0.90610424252965027</v>
      </c>
      <c r="BC305" s="11">
        <v>43391</v>
      </c>
      <c r="BD305" s="286">
        <f>[3]!FeuilCaduc*(1-Persistant)+Persistant</f>
        <v>0.86192037475695327</v>
      </c>
      <c r="BE305" s="287">
        <f>[3]!CroissVégét</f>
        <v>0.99556171606410238</v>
      </c>
      <c r="BF305" s="807">
        <f>1+[3]!Salcycl*Ksac</f>
        <v>1.0327400468446191</v>
      </c>
      <c r="BH305" s="1041">
        <f t="shared" si="132"/>
        <v>5.3338980409582334E-3</v>
      </c>
      <c r="BI305" s="11">
        <v>44487</v>
      </c>
      <c r="BJ305" s="717">
        <v>1.1511329247788722E-3</v>
      </c>
      <c r="BK305" s="717">
        <v>1.6466312325709137E-3</v>
      </c>
      <c r="BL305" s="717">
        <v>2.247535657850061E-3</v>
      </c>
      <c r="BM305" s="717">
        <v>3.0265440373355005E-3</v>
      </c>
      <c r="BN305" s="717">
        <v>4.0295563737039403E-3</v>
      </c>
      <c r="BO305" s="718">
        <v>5.3420131897185122E-3</v>
      </c>
      <c r="BP305" s="717">
        <v>7.5131102164171237E-3</v>
      </c>
      <c r="BQ305" s="717">
        <v>1.038537368081585E-2</v>
      </c>
      <c r="BR305" s="717">
        <v>1.6443503285297881E-2</v>
      </c>
      <c r="BS305" s="717">
        <v>2.526825074913519E-2</v>
      </c>
      <c r="BT305" s="717">
        <v>3.691856108020649E-2</v>
      </c>
      <c r="BW305" s="1162">
        <f>'2022'!R\Max</f>
        <v>0.90610424252965027</v>
      </c>
      <c r="BX305" s="1163">
        <f>'2023'!R\Max</f>
        <v>0.90608930488484962</v>
      </c>
      <c r="BY305" s="1163">
        <f>'2024'!R\Max</f>
        <v>0.90606961926912621</v>
      </c>
      <c r="BZ305" s="1163">
        <f>'2025'!R\Max</f>
        <v>0.90604984700786717</v>
      </c>
      <c r="CA305" s="1163">
        <f>'2026'!R\Max</f>
        <v>0.90600849424583707</v>
      </c>
      <c r="CB305" s="1163">
        <f>'2027'!R\Max</f>
        <v>0.90596674807887112</v>
      </c>
      <c r="CC305" s="1164">
        <f>'2028'!R\Max</f>
        <v>0.90590621367222035</v>
      </c>
      <c r="CD305" s="1163">
        <f>'2029'!R\Max</f>
        <v>0.90610498897335512</v>
      </c>
      <c r="CE305" s="1163">
        <f>'2030'!R\Max</f>
        <v>0.90609005148743871</v>
      </c>
      <c r="CF305" s="1165">
        <f>'2031'!R\Max</f>
        <v>0.90607060726602973</v>
      </c>
    </row>
    <row r="306" spans="1:84" s="6" customFormat="1" ht="11.25" x14ac:dyDescent="0.2">
      <c r="A306" s="11">
        <v>43392</v>
      </c>
      <c r="B306" s="375">
        <f>'2022'!Maxi_hp</f>
        <v>17.343995779122771</v>
      </c>
      <c r="C306" s="13">
        <f>'2022'!An_max</f>
        <v>2022</v>
      </c>
      <c r="D306" s="1050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69">
        <f t="shared" si="118"/>
        <v>43402</v>
      </c>
      <c r="I306" s="744">
        <f t="shared" si="119"/>
        <v>0.7142857142857143</v>
      </c>
      <c r="J306" s="737">
        <f t="shared" si="120"/>
        <v>33.86551749243268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43">
        <v>43392</v>
      </c>
      <c r="AP306" s="13">
        <f t="shared" si="121"/>
        <v>13</v>
      </c>
      <c r="AQ306" s="13">
        <f t="shared" si="122"/>
        <v>12</v>
      </c>
      <c r="AR306" s="169">
        <f t="shared" si="123"/>
        <v>43416</v>
      </c>
      <c r="AS306" s="744">
        <f t="shared" si="124"/>
        <v>0.8571428571428571</v>
      </c>
      <c r="AT306" s="760">
        <f t="shared" si="125"/>
        <v>33.898720407805271</v>
      </c>
      <c r="AU306" s="13">
        <f t="shared" si="126"/>
        <v>11</v>
      </c>
      <c r="AV306" s="13">
        <f t="shared" si="127"/>
        <v>12</v>
      </c>
      <c r="AW306" s="169">
        <f t="shared" si="128"/>
        <v>43374</v>
      </c>
      <c r="AX306" s="744">
        <f t="shared" si="129"/>
        <v>0.6428571428571429</v>
      </c>
      <c r="AY306" s="760">
        <f t="shared" si="130"/>
        <v>33.852957178572453</v>
      </c>
      <c r="AZ306" s="737">
        <f t="shared" si="134"/>
        <v>33.875838793188862</v>
      </c>
      <c r="BA306" s="634">
        <f t="shared" si="131"/>
        <v>0.51214323782290716</v>
      </c>
      <c r="BC306" s="11">
        <v>43392</v>
      </c>
      <c r="BD306" s="286">
        <f>[3]!FeuilCaduc*(1-Persistant)+Persistant</f>
        <v>0.85685598742298774</v>
      </c>
      <c r="BE306" s="287">
        <f>[3]!CroissVégét</f>
        <v>0.99575287182696259</v>
      </c>
      <c r="BF306" s="807">
        <f>1+[3]!Salcycl*Ksac</f>
        <v>1.0321069984278735</v>
      </c>
      <c r="BH306" s="1041">
        <f t="shared" si="132"/>
        <v>5.5866449509483973E-3</v>
      </c>
      <c r="BI306" s="11">
        <v>44488</v>
      </c>
      <c r="BJ306" s="717">
        <v>1.189457002088167E-3</v>
      </c>
      <c r="BK306" s="717">
        <v>1.7077311170196525E-3</v>
      </c>
      <c r="BL306" s="717">
        <v>2.3393637285808425E-3</v>
      </c>
      <c r="BM306" s="717">
        <v>3.1591144594394845E-3</v>
      </c>
      <c r="BN306" s="717">
        <v>4.2157112574839712E-3</v>
      </c>
      <c r="BO306" s="718">
        <v>5.5951744115508182E-3</v>
      </c>
      <c r="BP306" s="717">
        <v>7.9806228041748046E-3</v>
      </c>
      <c r="BQ306" s="717">
        <v>1.1191011985154252E-2</v>
      </c>
      <c r="BR306" s="717">
        <v>1.8188991745835464E-2</v>
      </c>
      <c r="BS306" s="717">
        <v>2.8421890178244747E-2</v>
      </c>
      <c r="BT306" s="717">
        <v>4.1967836766641536E-2</v>
      </c>
      <c r="BW306" s="1162">
        <f>'2022'!R\Max</f>
        <v>0.51214323782290716</v>
      </c>
      <c r="BX306" s="1163">
        <f>'2023'!R\Max</f>
        <v>0.51209476039226454</v>
      </c>
      <c r="BY306" s="1163">
        <f>'2024'!R\Max</f>
        <v>0.51202979065601417</v>
      </c>
      <c r="BZ306" s="1163">
        <f>'2025'!R\Max</f>
        <v>0.51196453515691942</v>
      </c>
      <c r="CA306" s="1163">
        <f>'2026'!R\Max</f>
        <v>0.51182354614525438</v>
      </c>
      <c r="CB306" s="1163">
        <f>'2027'!R\Max</f>
        <v>0.51168124361509204</v>
      </c>
      <c r="CC306" s="1164">
        <f>'2028'!R\Max</f>
        <v>0.51147419117048176</v>
      </c>
      <c r="CD306" s="1163">
        <f>'2029'!R\Max</f>
        <v>0.51214566043721776</v>
      </c>
      <c r="CE306" s="1163">
        <f>'2030'!R\Max</f>
        <v>0.51209718320605124</v>
      </c>
      <c r="CF306" s="1165">
        <f>'2031'!R\Max</f>
        <v>0.51203305168985536</v>
      </c>
    </row>
    <row r="307" spans="1:84" s="6" customFormat="1" ht="11.25" x14ac:dyDescent="0.2">
      <c r="A307" s="11">
        <v>43393</v>
      </c>
      <c r="B307" s="375">
        <f>'2022'!Maxi_hp</f>
        <v>9.1244045846018054</v>
      </c>
      <c r="C307" s="13">
        <f>'2022'!An_max</f>
        <v>2022</v>
      </c>
      <c r="D307" s="1050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69">
        <f t="shared" si="118"/>
        <v>43402</v>
      </c>
      <c r="I307" s="744">
        <f t="shared" si="119"/>
        <v>0.6428571428571429</v>
      </c>
      <c r="J307" s="737">
        <f t="shared" si="120"/>
        <v>33.466955083701762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43">
        <v>43393</v>
      </c>
      <c r="AP307" s="13">
        <f t="shared" si="121"/>
        <v>13</v>
      </c>
      <c r="AQ307" s="13">
        <f t="shared" si="122"/>
        <v>12</v>
      </c>
      <c r="AR307" s="169">
        <f t="shared" si="123"/>
        <v>43416</v>
      </c>
      <c r="AS307" s="744">
        <f t="shared" si="124"/>
        <v>0.8214285714285714</v>
      </c>
      <c r="AT307" s="760">
        <f t="shared" si="125"/>
        <v>33.503452806001796</v>
      </c>
      <c r="AU307" s="13">
        <f t="shared" si="126"/>
        <v>11</v>
      </c>
      <c r="AV307" s="13">
        <f t="shared" si="127"/>
        <v>12</v>
      </c>
      <c r="AW307" s="169">
        <f t="shared" si="128"/>
        <v>43374</v>
      </c>
      <c r="AX307" s="744">
        <f t="shared" si="129"/>
        <v>0.6785714285714286</v>
      </c>
      <c r="AY307" s="760">
        <f t="shared" si="130"/>
        <v>33.445780033185812</v>
      </c>
      <c r="AZ307" s="737">
        <f t="shared" si="134"/>
        <v>33.474616419593801</v>
      </c>
      <c r="BA307" s="634">
        <f t="shared" si="131"/>
        <v>0.272639221637625</v>
      </c>
      <c r="BC307" s="11">
        <v>43393</v>
      </c>
      <c r="BD307" s="286">
        <f>[3]!FeuilCaduc*(1-Persistant)+Persistant</f>
        <v>0.85169935814433595</v>
      </c>
      <c r="BE307" s="287">
        <f>[3]!CroissVégét</f>
        <v>0.99593640005294937</v>
      </c>
      <c r="BF307" s="807">
        <f>1+[3]!Salcycl*Ksac</f>
        <v>1.031462419768042</v>
      </c>
      <c r="BH307" s="1041">
        <f t="shared" si="132"/>
        <v>5.8327716938453827E-3</v>
      </c>
      <c r="BI307" s="11">
        <v>44489</v>
      </c>
      <c r="BJ307" s="717">
        <v>1.2283985709370926E-3</v>
      </c>
      <c r="BK307" s="717">
        <v>1.7706433452196197E-3</v>
      </c>
      <c r="BL307" s="717">
        <v>2.4334716076370006E-3</v>
      </c>
      <c r="BM307" s="717">
        <v>3.2926473104607553E-3</v>
      </c>
      <c r="BN307" s="717">
        <v>4.4000992935915723E-3</v>
      </c>
      <c r="BO307" s="718">
        <v>5.8416852706670748E-3</v>
      </c>
      <c r="BP307" s="717">
        <v>8.4994393444717525E-3</v>
      </c>
      <c r="BQ307" s="717">
        <v>1.2145555623387691E-2</v>
      </c>
      <c r="BR307" s="717">
        <v>2.0264791397842166E-2</v>
      </c>
      <c r="BS307" s="717">
        <v>3.2106602611329721E-2</v>
      </c>
      <c r="BT307" s="717">
        <v>4.7791843653948507E-2</v>
      </c>
      <c r="BW307" s="1162">
        <f>'2022'!R\Max</f>
        <v>0.272639221637625</v>
      </c>
      <c r="BX307" s="1163">
        <f>'2023'!R\Max</f>
        <v>0.2725977242124622</v>
      </c>
      <c r="BY307" s="1163">
        <f>'2024'!R\Max</f>
        <v>0.27254104832714826</v>
      </c>
      <c r="BZ307" s="1163">
        <f>'2025'!R\Max</f>
        <v>0.27248411889228807</v>
      </c>
      <c r="CA307" s="1163">
        <f>'2026'!R\Max</f>
        <v>0.27235849496035563</v>
      </c>
      <c r="CB307" s="1163">
        <f>'2027'!R\Max</f>
        <v>0.27223172349483526</v>
      </c>
      <c r="CC307" s="1164">
        <f>'2028'!R\Max</f>
        <v>0.27204778378974165</v>
      </c>
      <c r="CD307" s="1163">
        <f>'2029'!R\Max</f>
        <v>0.27264129552232458</v>
      </c>
      <c r="CE307" s="1163">
        <f>'2030'!R\Max</f>
        <v>0.27259979809716178</v>
      </c>
      <c r="CF307" s="1165">
        <f>'2031'!R\Max</f>
        <v>0.27254389344545255</v>
      </c>
    </row>
    <row r="308" spans="1:84" s="6" customFormat="1" ht="11.25" x14ac:dyDescent="0.2">
      <c r="A308" s="11">
        <v>43394</v>
      </c>
      <c r="B308" s="375">
        <f>'2022'!Maxi_hp</f>
        <v>17.644021025065648</v>
      </c>
      <c r="C308" s="13">
        <f>'2022'!An_max</f>
        <v>2022</v>
      </c>
      <c r="D308" s="1050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69">
        <f t="shared" si="118"/>
        <v>43402</v>
      </c>
      <c r="I308" s="744">
        <f t="shared" si="119"/>
        <v>0.5714285714285714</v>
      </c>
      <c r="J308" s="737">
        <f t="shared" si="120"/>
        <v>33.069521282772932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43">
        <v>43394</v>
      </c>
      <c r="AP308" s="13">
        <f t="shared" si="121"/>
        <v>13</v>
      </c>
      <c r="AQ308" s="13">
        <f t="shared" si="122"/>
        <v>12</v>
      </c>
      <c r="AR308" s="169">
        <f t="shared" si="123"/>
        <v>43416</v>
      </c>
      <c r="AS308" s="744">
        <f t="shared" si="124"/>
        <v>0.7857142857142857</v>
      </c>
      <c r="AT308" s="760">
        <f t="shared" si="125"/>
        <v>33.107420663269501</v>
      </c>
      <c r="AU308" s="13">
        <f t="shared" si="126"/>
        <v>11</v>
      </c>
      <c r="AV308" s="13">
        <f t="shared" si="127"/>
        <v>12</v>
      </c>
      <c r="AW308" s="169">
        <f t="shared" si="128"/>
        <v>43374</v>
      </c>
      <c r="AX308" s="744">
        <f t="shared" si="129"/>
        <v>0.7142857142857143</v>
      </c>
      <c r="AY308" s="760">
        <f t="shared" si="130"/>
        <v>33.041560932302048</v>
      </c>
      <c r="AZ308" s="737">
        <f t="shared" si="134"/>
        <v>33.074490797785771</v>
      </c>
      <c r="BA308" s="634">
        <f t="shared" si="131"/>
        <v>0.53354328519587713</v>
      </c>
      <c r="BC308" s="11">
        <v>43394</v>
      </c>
      <c r="BD308" s="286">
        <f>[3]!FeuilCaduc*(1-Persistant)+Persistant</f>
        <v>0.84645528727532271</v>
      </c>
      <c r="BE308" s="287">
        <f>[3]!CroissVégét</f>
        <v>0.99611260244351996</v>
      </c>
      <c r="BF308" s="807">
        <f>1+[3]!Salcycl*Ksac</f>
        <v>1.0308069109094153</v>
      </c>
      <c r="BH308" s="1041">
        <f t="shared" si="132"/>
        <v>6.072259334407794E-3</v>
      </c>
      <c r="BI308" s="11">
        <v>44490</v>
      </c>
      <c r="BJ308" s="717">
        <v>1.2679563820519294E-3</v>
      </c>
      <c r="BK308" s="717">
        <v>1.8353670780838303E-3</v>
      </c>
      <c r="BL308" s="717">
        <v>2.5298577089375336E-3</v>
      </c>
      <c r="BM308" s="717">
        <v>3.4271377266532088E-3</v>
      </c>
      <c r="BN308" s="717">
        <v>4.5827101418284208E-3</v>
      </c>
      <c r="BO308" s="718">
        <v>6.0815267783505917E-3</v>
      </c>
      <c r="BP308" s="717">
        <v>9.0696024648026889E-3</v>
      </c>
      <c r="BQ308" s="717">
        <v>1.324915226163915E-2</v>
      </c>
      <c r="BR308" s="717">
        <v>2.2671236728548715E-2</v>
      </c>
      <c r="BS308" s="717">
        <v>3.6322918220148846E-2</v>
      </c>
      <c r="BT308" s="717">
        <v>5.439134391719546E-2</v>
      </c>
      <c r="BW308" s="1162">
        <f>'2022'!R\Max</f>
        <v>0.53354328519587713</v>
      </c>
      <c r="BX308" s="1163">
        <f>'2023'!R\Max</f>
        <v>0.53348209239180211</v>
      </c>
      <c r="BY308" s="1163">
        <f>'2024'!R\Max</f>
        <v>0.53339688428003385</v>
      </c>
      <c r="BZ308" s="1163">
        <f>'2025'!R\Max</f>
        <v>0.53331126579037536</v>
      </c>
      <c r="CA308" s="1163">
        <f>'2026'!R\Max</f>
        <v>0.53311994935404627</v>
      </c>
      <c r="CB308" s="1163">
        <f>'2027'!R\Max</f>
        <v>0.53292681721138002</v>
      </c>
      <c r="CC308" s="1164">
        <f>'2028'!R\Max</f>
        <v>0.53264827358645306</v>
      </c>
      <c r="CD308" s="1163">
        <f>'2029'!R\Max</f>
        <v>0.53354634319686878</v>
      </c>
      <c r="CE308" s="1163">
        <f>'2030'!R\Max</f>
        <v>0.53348515074408032</v>
      </c>
      <c r="CF308" s="1165">
        <f>'2031'!R\Max</f>
        <v>0.53340116280806193</v>
      </c>
    </row>
    <row r="309" spans="1:84" s="6" customFormat="1" ht="11.25" x14ac:dyDescent="0.2">
      <c r="A309" s="11">
        <v>43395</v>
      </c>
      <c r="B309" s="375">
        <f>'2022'!Maxi_hp</f>
        <v>30.251519935948156</v>
      </c>
      <c r="C309" s="13">
        <f>'2022'!An_max</f>
        <v>2022</v>
      </c>
      <c r="D309" s="1050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69">
        <f t="shared" si="118"/>
        <v>43402</v>
      </c>
      <c r="I309" s="744">
        <f t="shared" si="119"/>
        <v>0.5</v>
      </c>
      <c r="J309" s="737">
        <f t="shared" si="120"/>
        <v>32.673543750029054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43">
        <v>43395</v>
      </c>
      <c r="AP309" s="13">
        <f t="shared" si="121"/>
        <v>13</v>
      </c>
      <c r="AQ309" s="13">
        <f t="shared" si="122"/>
        <v>12</v>
      </c>
      <c r="AR309" s="169">
        <f t="shared" si="123"/>
        <v>43416</v>
      </c>
      <c r="AS309" s="744">
        <f t="shared" si="124"/>
        <v>0.75</v>
      </c>
      <c r="AT309" s="760">
        <f t="shared" si="125"/>
        <v>32.711006249999627</v>
      </c>
      <c r="AU309" s="13">
        <f t="shared" si="126"/>
        <v>11</v>
      </c>
      <c r="AV309" s="13">
        <f t="shared" si="127"/>
        <v>12</v>
      </c>
      <c r="AW309" s="169">
        <f t="shared" si="128"/>
        <v>43374</v>
      </c>
      <c r="AX309" s="744">
        <f t="shared" si="129"/>
        <v>0.75</v>
      </c>
      <c r="AY309" s="760">
        <f t="shared" si="130"/>
        <v>32.640764062060043</v>
      </c>
      <c r="AZ309" s="737">
        <f t="shared" si="134"/>
        <v>32.675885156029835</v>
      </c>
      <c r="BA309" s="634">
        <f t="shared" si="131"/>
        <v>0.92587201949654618</v>
      </c>
      <c r="BC309" s="11">
        <v>43395</v>
      </c>
      <c r="BD309" s="286">
        <f>[3]!FeuilCaduc*(1-Persistant)+Persistant</f>
        <v>0.84112898132199043</v>
      </c>
      <c r="BE309" s="287">
        <f>[3]!CroissVégét</f>
        <v>0.99628176897521181</v>
      </c>
      <c r="BF309" s="807">
        <f>1+[3]!Salcycl*Ksac</f>
        <v>1.0301411226652488</v>
      </c>
      <c r="BH309" s="1041">
        <f t="shared" si="132"/>
        <v>6.3050883866234558E-3</v>
      </c>
      <c r="BI309" s="11">
        <v>44491</v>
      </c>
      <c r="BJ309" s="717">
        <v>1.3081290164512183E-3</v>
      </c>
      <c r="BK309" s="717">
        <v>1.9019011615466319E-3</v>
      </c>
      <c r="BL309" s="717">
        <v>2.6285199964713167E-3</v>
      </c>
      <c r="BM309" s="717">
        <v>3.5625803188289889E-3</v>
      </c>
      <c r="BN309" s="717">
        <v>4.7635328904356089E-3</v>
      </c>
      <c r="BO309" s="718">
        <v>6.3146793952432471E-3</v>
      </c>
      <c r="BP309" s="717">
        <v>9.6911503779571542E-3</v>
      </c>
      <c r="BQ309" s="717">
        <v>1.4501938725295377E-2</v>
      </c>
      <c r="BR309" s="717">
        <v>2.5408638320205051E-2</v>
      </c>
      <c r="BS309" s="717">
        <v>4.1071327490364129E-2</v>
      </c>
      <c r="BT309" s="717">
        <v>6.1767040221365886E-2</v>
      </c>
      <c r="BW309" s="1162">
        <f>'2022'!R\Max</f>
        <v>0.92587201949654618</v>
      </c>
      <c r="BX309" s="1163">
        <f>'2023'!R\Max</f>
        <v>0.92585283851083444</v>
      </c>
      <c r="BY309" s="1163">
        <f>'2024'!R\Max</f>
        <v>0.92582562903723986</v>
      </c>
      <c r="BZ309" s="1163">
        <f>'2025'!R\Max</f>
        <v>0.92579827484632593</v>
      </c>
      <c r="CA309" s="1163">
        <f>'2026'!R\Max</f>
        <v>0.92573676698754437</v>
      </c>
      <c r="CB309" s="1163">
        <f>'2027'!R\Max</f>
        <v>0.9256746312067633</v>
      </c>
      <c r="CC309" s="1164">
        <f>'2028'!R\Max</f>
        <v>0.92558571407683576</v>
      </c>
      <c r="CD309" s="1163">
        <f>'2029'!R\Max</f>
        <v>0.92587297791378909</v>
      </c>
      <c r="CE309" s="1163">
        <f>'2030'!R\Max</f>
        <v>0.92585379726341677</v>
      </c>
      <c r="CF309" s="1165">
        <f>'2031'!R\Max</f>
        <v>0.92582699573862992</v>
      </c>
    </row>
    <row r="310" spans="1:84" s="6" customFormat="1" ht="11.25" x14ac:dyDescent="0.2">
      <c r="A310" s="11">
        <v>43396</v>
      </c>
      <c r="B310" s="375">
        <f>'2022'!Maxi_hp</f>
        <v>19.725415747408835</v>
      </c>
      <c r="C310" s="13">
        <f>'2022'!An_max</f>
        <v>2022</v>
      </c>
      <c r="D310" s="1050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69">
        <f t="shared" si="118"/>
        <v>43402</v>
      </c>
      <c r="I310" s="744">
        <f t="shared" si="119"/>
        <v>0.42857142857142855</v>
      </c>
      <c r="J310" s="737">
        <f t="shared" si="120"/>
        <v>32.279350145666726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43">
        <v>43396</v>
      </c>
      <c r="AP310" s="13">
        <f t="shared" si="121"/>
        <v>13</v>
      </c>
      <c r="AQ310" s="13">
        <f t="shared" si="122"/>
        <v>12</v>
      </c>
      <c r="AR310" s="169">
        <f t="shared" si="123"/>
        <v>43416</v>
      </c>
      <c r="AS310" s="744">
        <f t="shared" si="124"/>
        <v>0.7142857142857143</v>
      </c>
      <c r="AT310" s="760">
        <f t="shared" si="125"/>
        <v>32.314591836556794</v>
      </c>
      <c r="AU310" s="13">
        <f t="shared" si="126"/>
        <v>11</v>
      </c>
      <c r="AV310" s="13">
        <f t="shared" si="127"/>
        <v>12</v>
      </c>
      <c r="AW310" s="169">
        <f t="shared" si="128"/>
        <v>43374</v>
      </c>
      <c r="AX310" s="744">
        <f t="shared" si="129"/>
        <v>0.7857142857142857</v>
      </c>
      <c r="AY310" s="760">
        <f t="shared" si="130"/>
        <v>32.243853607401249</v>
      </c>
      <c r="AZ310" s="737">
        <f t="shared" si="134"/>
        <v>32.279222721979025</v>
      </c>
      <c r="BA310" s="634">
        <f t="shared" si="131"/>
        <v>0.6110846611965276</v>
      </c>
      <c r="BC310" s="11">
        <v>43396</v>
      </c>
      <c r="BD310" s="286">
        <f>[3]!FeuilCaduc*(1-Persistant)+Persistant</f>
        <v>0.83572604080636914</v>
      </c>
      <c r="BE310" s="287">
        <f>[3]!CroissVégét</f>
        <v>0.99644417833885535</v>
      </c>
      <c r="BF310" s="807">
        <f>1+[3]!Salcycl*Ksac</f>
        <v>1.0294657551007962</v>
      </c>
      <c r="BH310" s="1041">
        <f t="shared" si="132"/>
        <v>6.7040393782582877E-3</v>
      </c>
      <c r="BI310" s="11">
        <v>44492</v>
      </c>
      <c r="BJ310" s="717">
        <v>1.3496037581997326E-3</v>
      </c>
      <c r="BK310" s="717">
        <v>1.9712443871641476E-3</v>
      </c>
      <c r="BL310" s="717">
        <v>2.7298736085200163E-3</v>
      </c>
      <c r="BM310" s="717">
        <v>3.6983697493590735E-3</v>
      </c>
      <c r="BN310" s="717">
        <v>5.0103803925239327E-3</v>
      </c>
      <c r="BO310" s="718">
        <v>6.7145767205539983E-3</v>
      </c>
      <c r="BP310" s="717">
        <v>1.0679832929808031E-2</v>
      </c>
      <c r="BQ310" s="717">
        <v>1.6330194364429364E-2</v>
      </c>
      <c r="BR310" s="717">
        <v>2.8925876560891628E-2</v>
      </c>
      <c r="BS310" s="717">
        <v>4.6734159255651331E-2</v>
      </c>
      <c r="BT310" s="717">
        <v>7.0144588955547871E-2</v>
      </c>
      <c r="BW310" s="1162">
        <f>'2022'!R\Max</f>
        <v>0.6110846611965276</v>
      </c>
      <c r="BX310" s="1163">
        <f>'2023'!R\Max</f>
        <v>0.61100621848441761</v>
      </c>
      <c r="BY310" s="1163">
        <f>'2024'!R\Max</f>
        <v>0.61089494331312344</v>
      </c>
      <c r="BZ310" s="1163">
        <f>'2025'!R\Max</f>
        <v>0.61078310457337204</v>
      </c>
      <c r="CA310" s="1163">
        <f>'2026'!R\Max</f>
        <v>0.61053586844496266</v>
      </c>
      <c r="CB310" s="1163">
        <f>'2027'!R\Max</f>
        <v>0.61028628022309317</v>
      </c>
      <c r="CC310" s="1164">
        <f>'2028'!R\Max</f>
        <v>0.60993477080579084</v>
      </c>
      <c r="CD310" s="1163">
        <f>'2029'!R\Max</f>
        <v>0.61108858104455133</v>
      </c>
      <c r="CE310" s="1163">
        <f>'2030'!R\Max</f>
        <v>0.61101013913761715</v>
      </c>
      <c r="CF310" s="1165">
        <f>'2031'!R\Max</f>
        <v>0.61090053173230463</v>
      </c>
    </row>
    <row r="311" spans="1:84" s="6" customFormat="1" ht="11.25" x14ac:dyDescent="0.2">
      <c r="A311" s="11">
        <v>43397</v>
      </c>
      <c r="B311" s="375">
        <f>'2022'!Maxi_hp</f>
        <v>25.593422126687972</v>
      </c>
      <c r="C311" s="13">
        <f>'2022'!An_max</f>
        <v>2022</v>
      </c>
      <c r="D311" s="1050" t="str">
        <f t="shared" si="116"/>
        <v/>
      </c>
      <c r="E311" s="13"/>
      <c r="F311" s="13">
        <f t="shared" si="133"/>
        <v>23</v>
      </c>
      <c r="G311" s="13">
        <f t="shared" si="117"/>
        <v>22</v>
      </c>
      <c r="H311" s="169">
        <f t="shared" si="118"/>
        <v>43402</v>
      </c>
      <c r="I311" s="744">
        <f t="shared" si="119"/>
        <v>0.35714285714285715</v>
      </c>
      <c r="J311" s="737">
        <f t="shared" si="120"/>
        <v>31.887268130068797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43">
        <v>43397</v>
      </c>
      <c r="AP311" s="13">
        <f t="shared" si="121"/>
        <v>13</v>
      </c>
      <c r="AQ311" s="13">
        <f t="shared" si="122"/>
        <v>12</v>
      </c>
      <c r="AR311" s="169">
        <f t="shared" si="123"/>
        <v>43416</v>
      </c>
      <c r="AS311" s="744">
        <f t="shared" si="124"/>
        <v>0.6785714285714286</v>
      </c>
      <c r="AT311" s="760">
        <f t="shared" si="125"/>
        <v>31.918559693478578</v>
      </c>
      <c r="AU311" s="13">
        <f t="shared" si="126"/>
        <v>11</v>
      </c>
      <c r="AV311" s="13">
        <f t="shared" si="127"/>
        <v>12</v>
      </c>
      <c r="AW311" s="169">
        <f t="shared" si="128"/>
        <v>43374</v>
      </c>
      <c r="AX311" s="744">
        <f t="shared" si="129"/>
        <v>0.8214285714285714</v>
      </c>
      <c r="AY311" s="760">
        <f t="shared" si="130"/>
        <v>31.851293753739448</v>
      </c>
      <c r="AZ311" s="737">
        <f t="shared" si="134"/>
        <v>31.884926723609013</v>
      </c>
      <c r="BA311" s="634">
        <f t="shared" si="131"/>
        <v>0.80262197508710675</v>
      </c>
      <c r="BC311" s="11">
        <v>43397</v>
      </c>
      <c r="BD311" s="286">
        <f>[3]!FeuilCaduc*(1-Persistant)+Persistant</f>
        <v>0.83025244538896747</v>
      </c>
      <c r="BE311" s="287">
        <f>[3]!CroissVégét</f>
        <v>0.99660009836364072</v>
      </c>
      <c r="BF311" s="807">
        <f>1+[3]!Salcycl*Ksac</f>
        <v>1.0287815556736208</v>
      </c>
      <c r="BH311" s="1041">
        <f t="shared" si="132"/>
        <v>7.2719452341192051E-3</v>
      </c>
      <c r="BI311" s="11">
        <v>44493</v>
      </c>
      <c r="BJ311" s="717">
        <v>1.391670291857868E-3</v>
      </c>
      <c r="BK311" s="717">
        <v>2.0432804274384347E-3</v>
      </c>
      <c r="BL311" s="717">
        <v>2.8340338314644755E-3</v>
      </c>
      <c r="BM311" s="717">
        <v>3.8349270488051458E-3</v>
      </c>
      <c r="BN311" s="717">
        <v>5.3243797662541198E-3</v>
      </c>
      <c r="BO311" s="718">
        <v>7.2840622920104679E-3</v>
      </c>
      <c r="BP311" s="717">
        <v>1.204124202643265E-2</v>
      </c>
      <c r="BQ311" s="717">
        <v>1.8743369153852021E-2</v>
      </c>
      <c r="BR311" s="717">
        <v>3.3193763531718608E-2</v>
      </c>
      <c r="BS311" s="717">
        <v>5.3201008766144052E-2</v>
      </c>
      <c r="BT311" s="717">
        <v>7.9289443801136228E-2</v>
      </c>
      <c r="BW311" s="1162">
        <f>'2022'!R\Max</f>
        <v>0.80262197508710675</v>
      </c>
      <c r="BX311" s="1163">
        <f>'2023'!R\Max</f>
        <v>0.80255888050722124</v>
      </c>
      <c r="BY311" s="1163">
        <f>'2024'!R\Max</f>
        <v>0.80247035418329127</v>
      </c>
      <c r="BZ311" s="1163">
        <f>'2025'!R\Max</f>
        <v>0.80238137087097416</v>
      </c>
      <c r="CA311" s="1163">
        <f>'2026'!R\Max</f>
        <v>0.80219096816679902</v>
      </c>
      <c r="CB311" s="1163">
        <f>'2027'!R\Max</f>
        <v>0.80199870906400639</v>
      </c>
      <c r="CC311" s="1164">
        <f>'2028'!R\Max</f>
        <v>0.80173329869271259</v>
      </c>
      <c r="CD311" s="1163">
        <f>'2029'!R\Max</f>
        <v>0.80262512765335869</v>
      </c>
      <c r="CE311" s="1163">
        <f>'2030'!R\Max</f>
        <v>0.80256203433597129</v>
      </c>
      <c r="CF311" s="1165">
        <f>'2031'!R\Max</f>
        <v>0.80247479991599657</v>
      </c>
    </row>
    <row r="312" spans="1:84" s="6" customFormat="1" ht="11.25" x14ac:dyDescent="0.2">
      <c r="A312" s="11">
        <v>43398</v>
      </c>
      <c r="B312" s="375">
        <f>'2022'!Maxi_hp</f>
        <v>21.511387732569521</v>
      </c>
      <c r="C312" s="13">
        <f>'2022'!An_max</f>
        <v>2022</v>
      </c>
      <c r="D312" s="1050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69">
        <f t="shared" si="118"/>
        <v>43402</v>
      </c>
      <c r="I312" s="744">
        <f t="shared" si="119"/>
        <v>0.2857142857142857</v>
      </c>
      <c r="J312" s="737">
        <f t="shared" si="120"/>
        <v>31.49762536452285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43">
        <v>43398</v>
      </c>
      <c r="AP312" s="13">
        <f t="shared" si="121"/>
        <v>13</v>
      </c>
      <c r="AQ312" s="13">
        <f t="shared" si="122"/>
        <v>12</v>
      </c>
      <c r="AR312" s="169">
        <f t="shared" si="123"/>
        <v>43416</v>
      </c>
      <c r="AS312" s="744">
        <f t="shared" si="124"/>
        <v>0.6428571428571429</v>
      </c>
      <c r="AT312" s="760">
        <f t="shared" si="125"/>
        <v>31.523292092154072</v>
      </c>
      <c r="AU312" s="13">
        <f t="shared" si="126"/>
        <v>11</v>
      </c>
      <c r="AV312" s="13">
        <f t="shared" si="127"/>
        <v>12</v>
      </c>
      <c r="AW312" s="169">
        <f t="shared" si="128"/>
        <v>43374</v>
      </c>
      <c r="AX312" s="744">
        <f t="shared" si="129"/>
        <v>0.8571428571428571</v>
      </c>
      <c r="AY312" s="760">
        <f t="shared" si="130"/>
        <v>31.463548687206845</v>
      </c>
      <c r="AZ312" s="737">
        <f t="shared" si="134"/>
        <v>31.493420389680459</v>
      </c>
      <c r="BA312" s="634">
        <f t="shared" si="131"/>
        <v>0.68295268242026697</v>
      </c>
      <c r="BC312" s="11">
        <v>43398</v>
      </c>
      <c r="BD312" s="286">
        <f>[3]!FeuilCaduc*(1-Persistant)+Persistant</f>
        <v>0.82471453629716374</v>
      </c>
      <c r="BE312" s="287">
        <f>[3]!CroissVégét</f>
        <v>0.99674978642645717</v>
      </c>
      <c r="BF312" s="807">
        <f>1+[3]!Salcycl*Ksac</f>
        <v>1.0280893170371455</v>
      </c>
      <c r="BH312" s="1041">
        <f t="shared" si="132"/>
        <v>8.0090448984576797E-3</v>
      </c>
      <c r="BI312" s="11">
        <v>44494</v>
      </c>
      <c r="BJ312" s="717">
        <v>1.4343380050477364E-3</v>
      </c>
      <c r="BK312" s="717">
        <v>2.1180251783983676E-3</v>
      </c>
      <c r="BL312" s="717">
        <v>2.9410216741062368E-3</v>
      </c>
      <c r="BM312" s="717">
        <v>3.9722771843008937E-3</v>
      </c>
      <c r="BN312" s="717">
        <v>5.7056412803934897E-3</v>
      </c>
      <c r="BO312" s="718">
        <v>8.0233758544371071E-3</v>
      </c>
      <c r="BP312" s="717">
        <v>1.3775880621434247E-2</v>
      </c>
      <c r="BQ312" s="717">
        <v>2.1742252500770966E-2</v>
      </c>
      <c r="BR312" s="717">
        <v>3.8213372979458003E-2</v>
      </c>
      <c r="BS312" s="717">
        <v>6.0473141850905333E-2</v>
      </c>
      <c r="BT312" s="717">
        <v>8.9202999480538878E-2</v>
      </c>
      <c r="BW312" s="1162">
        <f>'2022'!R\Max</f>
        <v>0.68295268242026697</v>
      </c>
      <c r="BX312" s="1163">
        <f>'2023'!R\Max</f>
        <v>0.68284781375684467</v>
      </c>
      <c r="BY312" s="1163">
        <f>'2024'!R\Max</f>
        <v>0.6827031525475814</v>
      </c>
      <c r="BZ312" s="1163">
        <f>'2025'!R\Max</f>
        <v>0.68255778625285701</v>
      </c>
      <c r="CA312" s="1163">
        <f>'2026'!R\Max</f>
        <v>0.682259419321675</v>
      </c>
      <c r="CB312" s="1163">
        <f>'2027'!R\Max</f>
        <v>0.68195830810413949</v>
      </c>
      <c r="CC312" s="1164">
        <f>'2028'!R\Max</f>
        <v>0.68155252014083634</v>
      </c>
      <c r="CD312" s="1163">
        <f>'2029'!R\Max</f>
        <v>0.68295792233960273</v>
      </c>
      <c r="CE312" s="1163">
        <f>'2030'!R\Max</f>
        <v>0.68285305562056908</v>
      </c>
      <c r="CF312" s="1165">
        <f>'2031'!R\Max</f>
        <v>0.68271041544615851</v>
      </c>
    </row>
    <row r="313" spans="1:84" s="6" customFormat="1" ht="11.25" x14ac:dyDescent="0.2">
      <c r="A313" s="11">
        <v>43399</v>
      </c>
      <c r="B313" s="375">
        <f>'2022'!Maxi_hp</f>
        <v>16.077522083526727</v>
      </c>
      <c r="C313" s="13">
        <f>'2022'!An_max</f>
        <v>2022</v>
      </c>
      <c r="D313" s="1050" t="str">
        <f t="shared" si="116"/>
        <v/>
      </c>
      <c r="E313" s="13"/>
      <c r="F313" s="13">
        <f t="shared" si="133"/>
        <v>23</v>
      </c>
      <c r="G313" s="13">
        <f t="shared" si="117"/>
        <v>22</v>
      </c>
      <c r="H313" s="169">
        <f t="shared" si="118"/>
        <v>43402</v>
      </c>
      <c r="I313" s="744">
        <f t="shared" si="119"/>
        <v>0.21428571428571427</v>
      </c>
      <c r="J313" s="737">
        <f t="shared" si="120"/>
        <v>31.110749507815179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43">
        <v>43399</v>
      </c>
      <c r="AP313" s="13">
        <f t="shared" si="121"/>
        <v>13</v>
      </c>
      <c r="AQ313" s="13">
        <f t="shared" si="122"/>
        <v>12</v>
      </c>
      <c r="AR313" s="169">
        <f t="shared" si="123"/>
        <v>43416</v>
      </c>
      <c r="AS313" s="744">
        <f t="shared" si="124"/>
        <v>0.6071428571428571</v>
      </c>
      <c r="AT313" s="760">
        <f t="shared" si="125"/>
        <v>31.12917130094554</v>
      </c>
      <c r="AU313" s="13">
        <f t="shared" si="126"/>
        <v>11</v>
      </c>
      <c r="AV313" s="13">
        <f t="shared" si="127"/>
        <v>12</v>
      </c>
      <c r="AW313" s="169">
        <f t="shared" si="128"/>
        <v>43374</v>
      </c>
      <c r="AX313" s="744">
        <f t="shared" si="129"/>
        <v>0.8928571428571429</v>
      </c>
      <c r="AY313" s="760">
        <f t="shared" si="130"/>
        <v>31.081082593017658</v>
      </c>
      <c r="AZ313" s="737">
        <f t="shared" si="134"/>
        <v>31.105126946981599</v>
      </c>
      <c r="BA313" s="634">
        <f t="shared" si="131"/>
        <v>0.51678350209749757</v>
      </c>
      <c r="BC313" s="11">
        <v>43399</v>
      </c>
      <c r="BD313" s="286">
        <f>[3]!FeuilCaduc*(1-Persistant)+Persistant</f>
        <v>0.81911899613020722</v>
      </c>
      <c r="BE313" s="287">
        <f>[3]!CroissVégét</f>
        <v>0.99689348984691617</v>
      </c>
      <c r="BF313" s="807">
        <f>1+[3]!Salcycl*Ksac</f>
        <v>1.0273898745162759</v>
      </c>
      <c r="BH313" s="1041">
        <f t="shared" si="132"/>
        <v>8.9155373728215317E-3</v>
      </c>
      <c r="BI313" s="11">
        <v>44495</v>
      </c>
      <c r="BJ313" s="717">
        <v>1.4776071158729236E-3</v>
      </c>
      <c r="BK313" s="717">
        <v>2.1954812300152508E-3</v>
      </c>
      <c r="BL313" s="717">
        <v>3.0508397115861954E-3</v>
      </c>
      <c r="BM313" s="717">
        <v>4.1104200546457715E-3</v>
      </c>
      <c r="BN313" s="717">
        <v>6.1542434216787243E-3</v>
      </c>
      <c r="BO313" s="718">
        <v>8.9327171591819191E-3</v>
      </c>
      <c r="BP313" s="717">
        <v>1.5884192421906741E-2</v>
      </c>
      <c r="BQ313" s="717">
        <v>2.5327544865716034E-2</v>
      </c>
      <c r="BR313" s="717">
        <v>4.3985613785174495E-2</v>
      </c>
      <c r="BS313" s="717">
        <v>6.8551545903470026E-2</v>
      </c>
      <c r="BT313" s="717">
        <v>9.9886219444988517E-2</v>
      </c>
      <c r="BW313" s="1162">
        <f>'2022'!R\Max</f>
        <v>0.51678350209749757</v>
      </c>
      <c r="BX313" s="1163">
        <f>'2023'!R\Max</f>
        <v>0.51663654014627525</v>
      </c>
      <c r="BY313" s="1163">
        <f>'2024'!R\Max</f>
        <v>0.51643765253421436</v>
      </c>
      <c r="BZ313" s="1163">
        <f>'2025'!R\Max</f>
        <v>0.51623788039868956</v>
      </c>
      <c r="CA313" s="1163">
        <f>'2026'!R\Max</f>
        <v>0.5158459879343994</v>
      </c>
      <c r="CB313" s="1163">
        <f>'2027'!R\Max</f>
        <v>0.51545080776810404</v>
      </c>
      <c r="CC313" s="1164">
        <f>'2028'!R\Max</f>
        <v>0.51493202335946153</v>
      </c>
      <c r="CD313" s="1163">
        <f>'2029'!R\Max</f>
        <v>0.51679084571691747</v>
      </c>
      <c r="CE313" s="1163">
        <f>'2030'!R\Max</f>
        <v>0.51664388564065522</v>
      </c>
      <c r="CF313" s="1165">
        <f>'2031'!R\Max</f>
        <v>0.51644763457348819</v>
      </c>
    </row>
    <row r="314" spans="1:84" s="6" customFormat="1" ht="11.25" x14ac:dyDescent="0.2">
      <c r="A314" s="11">
        <v>43400</v>
      </c>
      <c r="B314" s="375">
        <f>'2022'!Maxi_hp</f>
        <v>15.20541089305954</v>
      </c>
      <c r="C314" s="13">
        <f>'2022'!An_max</f>
        <v>2022</v>
      </c>
      <c r="D314" s="1050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69">
        <f t="shared" si="118"/>
        <v>43402</v>
      </c>
      <c r="I314" s="744">
        <f t="shared" si="119"/>
        <v>0.14285714285714285</v>
      </c>
      <c r="J314" s="737">
        <f t="shared" si="120"/>
        <v>30.726968221526068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43">
        <v>43400</v>
      </c>
      <c r="AP314" s="13">
        <f t="shared" si="121"/>
        <v>13</v>
      </c>
      <c r="AQ314" s="13">
        <f t="shared" si="122"/>
        <v>12</v>
      </c>
      <c r="AR314" s="169">
        <f t="shared" si="123"/>
        <v>43416</v>
      </c>
      <c r="AS314" s="744">
        <f t="shared" si="124"/>
        <v>0.5714285714285714</v>
      </c>
      <c r="AT314" s="760">
        <f t="shared" si="125"/>
        <v>30.736579591461588</v>
      </c>
      <c r="AU314" s="13">
        <f t="shared" si="126"/>
        <v>11</v>
      </c>
      <c r="AV314" s="13">
        <f t="shared" si="127"/>
        <v>12</v>
      </c>
      <c r="AW314" s="169">
        <f t="shared" si="128"/>
        <v>43374</v>
      </c>
      <c r="AX314" s="744">
        <f t="shared" si="129"/>
        <v>0.9285714285714286</v>
      </c>
      <c r="AY314" s="760">
        <f t="shared" si="130"/>
        <v>30.70435965694487</v>
      </c>
      <c r="AZ314" s="737">
        <f t="shared" si="134"/>
        <v>30.720469624203229</v>
      </c>
      <c r="BA314" s="634">
        <f t="shared" si="131"/>
        <v>0.49485555435980977</v>
      </c>
      <c r="BC314" s="11">
        <v>43400</v>
      </c>
      <c r="BD314" s="286">
        <f>[3]!FeuilCaduc*(1-Persistant)+Persistant</f>
        <v>0.81347282613424399</v>
      </c>
      <c r="BE314" s="287">
        <f>[3]!CroissVégét</f>
        <v>0.99703144626847073</v>
      </c>
      <c r="BF314" s="807">
        <f>1+[3]!Salcycl*Ksac</f>
        <v>1.0266841032667804</v>
      </c>
      <c r="BH314" s="1041">
        <f t="shared" si="132"/>
        <v>9.991624076823552E-3</v>
      </c>
      <c r="BI314" s="11">
        <v>44496</v>
      </c>
      <c r="BJ314" s="717">
        <v>1.5214777277870082E-3</v>
      </c>
      <c r="BK314" s="717">
        <v>2.2756510170474312E-3</v>
      </c>
      <c r="BL314" s="717">
        <v>3.1634902675983906E-3</v>
      </c>
      <c r="BM314" s="717">
        <v>4.2493551571414359E-3</v>
      </c>
      <c r="BN314" s="717">
        <v>6.6702653660277418E-3</v>
      </c>
      <c r="BO314" s="718">
        <v>1.0012288386414376E-2</v>
      </c>
      <c r="BP314" s="717">
        <v>1.8366626126728434E-2</v>
      </c>
      <c r="BQ314" s="717">
        <v>2.9499953681382186E-2</v>
      </c>
      <c r="BR314" s="717">
        <v>5.0511400143879365E-2</v>
      </c>
      <c r="BS314" s="717">
        <v>7.74372081303904E-2</v>
      </c>
      <c r="BT314" s="717">
        <v>0.1113400577470071</v>
      </c>
      <c r="BW314" s="1162">
        <f>'2022'!R\Max</f>
        <v>0.49485555435980977</v>
      </c>
      <c r="BX314" s="1163">
        <f>'2023'!R\Max</f>
        <v>0.49467776886864168</v>
      </c>
      <c r="BY314" s="1163">
        <f>'2024'!R\Max</f>
        <v>0.49444167544239881</v>
      </c>
      <c r="BZ314" s="1163">
        <f>'2025'!R\Max</f>
        <v>0.49420458735783601</v>
      </c>
      <c r="CA314" s="1163">
        <f>'2026'!R\Max</f>
        <v>0.49376013110869293</v>
      </c>
      <c r="CB314" s="1163">
        <f>'2027'!R\Max</f>
        <v>0.49331213570938387</v>
      </c>
      <c r="CC314" s="1164">
        <f>'2028'!R\Max</f>
        <v>0.49273951601468585</v>
      </c>
      <c r="CD314" s="1163">
        <f>'2029'!R\Max</f>
        <v>0.49486443811404085</v>
      </c>
      <c r="CE314" s="1163">
        <f>'2030'!R\Max</f>
        <v>0.49468665508720561</v>
      </c>
      <c r="CF314" s="1165">
        <f>'2031'!R\Max</f>
        <v>0.49445352191032454</v>
      </c>
    </row>
    <row r="315" spans="1:84" s="6" customFormat="1" ht="11.25" x14ac:dyDescent="0.2">
      <c r="A315" s="11">
        <v>43401</v>
      </c>
      <c r="B315" s="375">
        <f>'2022'!Maxi_hp</f>
        <v>17.495740847674913</v>
      </c>
      <c r="C315" s="13">
        <f>'2022'!An_max</f>
        <v>2022</v>
      </c>
      <c r="D315" s="1050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69">
        <f t="shared" si="118"/>
        <v>43402</v>
      </c>
      <c r="I315" s="744">
        <f t="shared" si="119"/>
        <v>7.1428571428571425E-2</v>
      </c>
      <c r="J315" s="737">
        <f t="shared" si="120"/>
        <v>30.346609165812179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43">
        <v>43401</v>
      </c>
      <c r="AP315" s="13">
        <f t="shared" si="121"/>
        <v>13</v>
      </c>
      <c r="AQ315" s="13">
        <f t="shared" si="122"/>
        <v>12</v>
      </c>
      <c r="AR315" s="169">
        <f t="shared" si="123"/>
        <v>43416</v>
      </c>
      <c r="AS315" s="744">
        <f t="shared" si="124"/>
        <v>0.5357142857142857</v>
      </c>
      <c r="AT315" s="760">
        <f t="shared" si="125"/>
        <v>30.345899234432729</v>
      </c>
      <c r="AU315" s="13">
        <f t="shared" si="126"/>
        <v>11</v>
      </c>
      <c r="AV315" s="13">
        <f t="shared" si="127"/>
        <v>12</v>
      </c>
      <c r="AW315" s="169">
        <f t="shared" si="128"/>
        <v>43374</v>
      </c>
      <c r="AX315" s="744">
        <f t="shared" si="129"/>
        <v>0.9642857142857143</v>
      </c>
      <c r="AY315" s="760">
        <f t="shared" si="130"/>
        <v>30.333844063830167</v>
      </c>
      <c r="AZ315" s="737">
        <f t="shared" si="134"/>
        <v>30.339871649131446</v>
      </c>
      <c r="BA315" s="634">
        <f t="shared" si="131"/>
        <v>0.57653033826873912</v>
      </c>
      <c r="BC315" s="11">
        <v>43401</v>
      </c>
      <c r="BD315" s="286">
        <f>[3]!FeuilCaduc*(1-Persistant)+Persistant</f>
        <v>0.80778332106293327</v>
      </c>
      <c r="BE315" s="287">
        <f>[3]!CroissVégét</f>
        <v>0.99716388402603495</v>
      </c>
      <c r="BF315" s="807">
        <f>1+[3]!Salcycl*Ksac</f>
        <v>1.0259729151328667</v>
      </c>
      <c r="BH315" s="1041">
        <f t="shared" si="132"/>
        <v>1.1237507544178909E-2</v>
      </c>
      <c r="BI315" s="11">
        <v>44497</v>
      </c>
      <c r="BJ315" s="717">
        <v>1.565949825254175E-3</v>
      </c>
      <c r="BK315" s="717">
        <v>2.3585367986168775E-3</v>
      </c>
      <c r="BL315" s="717">
        <v>3.2789753932701907E-3</v>
      </c>
      <c r="BM315" s="717">
        <v>4.3890815824309268E-3</v>
      </c>
      <c r="BN315" s="717">
        <v>7.2537864607785914E-3</v>
      </c>
      <c r="BO315" s="718">
        <v>1.126229283627136E-2</v>
      </c>
      <c r="BP315" s="717">
        <v>2.1223632550578714E-2</v>
      </c>
      <c r="BQ315" s="717">
        <v>3.4260188840970193E-2</v>
      </c>
      <c r="BR315" s="717">
        <v>5.7791645781345637E-2</v>
      </c>
      <c r="BS315" s="717">
        <v>8.7131109367873494E-2</v>
      </c>
      <c r="BT315" s="717">
        <v>0.12356545315661224</v>
      </c>
      <c r="BW315" s="1162">
        <f>'2022'!R\Max</f>
        <v>0.57653033826873912</v>
      </c>
      <c r="BX315" s="1163">
        <f>'2023'!R\Max</f>
        <v>0.57632213840460833</v>
      </c>
      <c r="BY315" s="1163">
        <f>'2024'!R\Max</f>
        <v>0.57605049357339</v>
      </c>
      <c r="BZ315" s="1163">
        <f>'2025'!R\Max</f>
        <v>0.5757777028875608</v>
      </c>
      <c r="CA315" s="1163">
        <f>'2026'!R\Max</f>
        <v>0.57528822217660147</v>
      </c>
      <c r="CB315" s="1163">
        <f>'2027'!R\Max</f>
        <v>0.57479485141207143</v>
      </c>
      <c r="CC315" s="1164">
        <f>'2028'!R\Max</f>
        <v>0.57418079011211642</v>
      </c>
      <c r="CD315" s="1163">
        <f>'2029'!R\Max</f>
        <v>0.57654074073486239</v>
      </c>
      <c r="CE315" s="1163">
        <f>'2030'!R\Max</f>
        <v>0.5763325457806231</v>
      </c>
      <c r="CF315" s="1165">
        <f>'2031'!R\Max</f>
        <v>0.57606412220053993</v>
      </c>
    </row>
    <row r="316" spans="1:84" s="6" customFormat="1" ht="11.25" x14ac:dyDescent="0.2">
      <c r="A316" s="11">
        <v>43402</v>
      </c>
      <c r="B316" s="375">
        <f>'2022'!Maxi_hp</f>
        <v>24.628264313045676</v>
      </c>
      <c r="C316" s="13">
        <f>'2022'!An_max</f>
        <v>2022</v>
      </c>
      <c r="D316" s="1050" t="str">
        <f t="shared" si="116"/>
        <v/>
      </c>
      <c r="E316" s="1045">
        <f>AI$13/10</f>
        <v>29.97</v>
      </c>
      <c r="F316" s="13">
        <f t="shared" si="133"/>
        <v>23</v>
      </c>
      <c r="G316" s="13">
        <f t="shared" si="117"/>
        <v>24</v>
      </c>
      <c r="H316" s="169">
        <f t="shared" si="118"/>
        <v>43402</v>
      </c>
      <c r="I316" s="744">
        <f t="shared" si="119"/>
        <v>0</v>
      </c>
      <c r="J316" s="737">
        <f t="shared" si="120"/>
        <v>29.969999999925495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43">
        <v>43402</v>
      </c>
      <c r="AP316" s="13">
        <f t="shared" si="121"/>
        <v>13</v>
      </c>
      <c r="AQ316" s="13">
        <f t="shared" si="122"/>
        <v>12</v>
      </c>
      <c r="AR316" s="169">
        <f t="shared" si="123"/>
        <v>43416</v>
      </c>
      <c r="AS316" s="744">
        <f t="shared" si="124"/>
        <v>0.5</v>
      </c>
      <c r="AT316" s="760">
        <f t="shared" si="125"/>
        <v>29.957512499950827</v>
      </c>
      <c r="AU316" s="13">
        <f t="shared" si="126"/>
        <v>13</v>
      </c>
      <c r="AV316" s="13">
        <f t="shared" si="127"/>
        <v>12</v>
      </c>
      <c r="AW316" s="169">
        <f t="shared" si="128"/>
        <v>43430</v>
      </c>
      <c r="AX316" s="744">
        <f t="shared" si="129"/>
        <v>1</v>
      </c>
      <c r="AY316" s="760">
        <f t="shared" si="130"/>
        <v>29.969999999180438</v>
      </c>
      <c r="AZ316" s="737">
        <f t="shared" si="134"/>
        <v>29.963756249565634</v>
      </c>
      <c r="BA316" s="634">
        <f t="shared" si="131"/>
        <v>0.82176390767790797</v>
      </c>
      <c r="BC316" s="11">
        <v>43402</v>
      </c>
      <c r="BD316" s="286">
        <f>[3]!FeuilCaduc*(1-Persistant)+Persistant</f>
        <v>0.80205804176065143</v>
      </c>
      <c r="BE316" s="287">
        <f>[3]!CroissVégét</f>
        <v>0.99729102250050727</v>
      </c>
      <c r="BF316" s="807">
        <f>1+[3]!Salcycl*Ksac</f>
        <v>1.0252572552200814</v>
      </c>
      <c r="BH316" s="1041">
        <f t="shared" si="132"/>
        <v>1.2653390118720974E-2</v>
      </c>
      <c r="BI316" s="11">
        <v>44498</v>
      </c>
      <c r="BJ316" s="717">
        <v>1.6110232694061316E-3</v>
      </c>
      <c r="BK316" s="717">
        <v>2.4441406377802778E-3</v>
      </c>
      <c r="BL316" s="717">
        <v>3.3972968460348522E-3</v>
      </c>
      <c r="BM316" s="717">
        <v>4.5295980093275632E-3</v>
      </c>
      <c r="BN316" s="717">
        <v>7.9048857069132505E-3</v>
      </c>
      <c r="BO316" s="718">
        <v>1.2682933619981481E-2</v>
      </c>
      <c r="BP316" s="717">
        <v>2.4455661747916996E-2</v>
      </c>
      <c r="BQ316" s="717">
        <v>3.9608958186467431E-2</v>
      </c>
      <c r="BR316" s="717">
        <v>6.582725817081865E-2</v>
      </c>
      <c r="BS316" s="717">
        <v>9.7634217898253994E-2</v>
      </c>
      <c r="BT316" s="717">
        <v>0.13656332327728304</v>
      </c>
      <c r="BW316" s="1162">
        <f>'2022'!R\Max</f>
        <v>0.82176390767790797</v>
      </c>
      <c r="BX316" s="1163">
        <f>'2023'!R\Max</f>
        <v>0.82161544157840094</v>
      </c>
      <c r="BY316" s="1163">
        <f>'2024'!R\Max</f>
        <v>0.82142475557681838</v>
      </c>
      <c r="BZ316" s="1163">
        <f>'2025'!R\Max</f>
        <v>0.82123316557744896</v>
      </c>
      <c r="CA316" s="1163">
        <f>'2026'!R\Max</f>
        <v>0.8209031733120582</v>
      </c>
      <c r="CB316" s="1163">
        <f>'2027'!R\Max</f>
        <v>0.82057028496628592</v>
      </c>
      <c r="CC316" s="1164">
        <f>'2028'!R\Max</f>
        <v>0.82016645408408573</v>
      </c>
      <c r="CD316" s="1163">
        <f>'2029'!R\Max</f>
        <v>0.82177132333358072</v>
      </c>
      <c r="CE316" s="1163">
        <f>'2030'!R\Max</f>
        <v>0.82162286508322124</v>
      </c>
      <c r="CF316" s="1165">
        <f>'2031'!R\Max</f>
        <v>0.8214343236708419</v>
      </c>
    </row>
    <row r="317" spans="1:84" s="6" customFormat="1" ht="11.25" x14ac:dyDescent="0.2">
      <c r="A317" s="11">
        <v>43403</v>
      </c>
      <c r="B317" s="375">
        <f>'2022'!Maxi_hp</f>
        <v>21.572507516990949</v>
      </c>
      <c r="C317" s="13">
        <f>'2022'!An_max</f>
        <v>2022</v>
      </c>
      <c r="D317" s="1050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69">
        <f t="shared" si="118"/>
        <v>43402</v>
      </c>
      <c r="I317" s="744">
        <f t="shared" si="119"/>
        <v>7.1428571428571425E-2</v>
      </c>
      <c r="J317" s="737">
        <f t="shared" si="120"/>
        <v>29.595466016419238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43">
        <v>43403</v>
      </c>
      <c r="AP317" s="13">
        <f t="shared" si="121"/>
        <v>13</v>
      </c>
      <c r="AQ317" s="13">
        <f t="shared" si="122"/>
        <v>12</v>
      </c>
      <c r="AR317" s="169">
        <f t="shared" si="123"/>
        <v>43416</v>
      </c>
      <c r="AS317" s="744">
        <f t="shared" si="124"/>
        <v>0.4642857142857143</v>
      </c>
      <c r="AT317" s="760">
        <f t="shared" si="125"/>
        <v>29.571801658107766</v>
      </c>
      <c r="AU317" s="13">
        <f t="shared" si="126"/>
        <v>13</v>
      </c>
      <c r="AV317" s="13">
        <f t="shared" si="127"/>
        <v>12</v>
      </c>
      <c r="AW317" s="169">
        <f t="shared" si="128"/>
        <v>43430</v>
      </c>
      <c r="AX317" s="744">
        <f t="shared" si="129"/>
        <v>0.9642857142857143</v>
      </c>
      <c r="AY317" s="760">
        <f t="shared" si="130"/>
        <v>29.609327869223694</v>
      </c>
      <c r="AZ317" s="737">
        <f t="shared" si="134"/>
        <v>29.590564763665732</v>
      </c>
      <c r="BA317" s="634">
        <f t="shared" si="131"/>
        <v>0.72891258090082989</v>
      </c>
      <c r="BC317" s="11">
        <v>43403</v>
      </c>
      <c r="BD317" s="286">
        <f>[3]!FeuilCaduc*(1-Persistant)+Persistant</f>
        <v>0.7963047856257206</v>
      </c>
      <c r="BE317" s="287">
        <f>[3]!CroissVégét</f>
        <v>0.99741307246059263</v>
      </c>
      <c r="BF317" s="807">
        <f>1+[3]!Salcycl*Ksac</f>
        <v>1.0245380982032151</v>
      </c>
      <c r="BH317" s="1041">
        <f t="shared" si="132"/>
        <v>1.4239472650435682E-2</v>
      </c>
      <c r="BI317" s="11">
        <v>44499</v>
      </c>
      <c r="BJ317" s="717">
        <v>1.6566977937018518E-3</v>
      </c>
      <c r="BK317" s="717">
        <v>2.5324643811043637E-3</v>
      </c>
      <c r="BL317" s="717">
        <v>3.5184560685099608E-3</v>
      </c>
      <c r="BM317" s="717">
        <v>4.6709026996517447E-3</v>
      </c>
      <c r="BN317" s="717">
        <v>8.623641241293797E-3</v>
      </c>
      <c r="BO317" s="718">
        <v>1.4274412351007975E-2</v>
      </c>
      <c r="BP317" s="717">
        <v>2.8063160136995557E-2</v>
      </c>
      <c r="BQ317" s="717">
        <v>4.5546962996982972E-2</v>
      </c>
      <c r="BR317" s="717">
        <v>7.4619132749819392E-2</v>
      </c>
      <c r="BS317" s="717">
        <v>0.10894748326660982</v>
      </c>
      <c r="BT317" s="717">
        <v>0.15033455866213036</v>
      </c>
      <c r="BW317" s="1162">
        <f>'2022'!R\Max</f>
        <v>0.72891258090082989</v>
      </c>
      <c r="BX317" s="1163">
        <f>'2023'!R\Max</f>
        <v>0.72867670916432059</v>
      </c>
      <c r="BY317" s="1163">
        <f>'2024'!R\Max</f>
        <v>0.72837822861339563</v>
      </c>
      <c r="BZ317" s="1163">
        <f>'2025'!R\Max</f>
        <v>0.72807841290557795</v>
      </c>
      <c r="CA317" s="1163">
        <f>'2026'!R\Max</f>
        <v>0.72758199319631178</v>
      </c>
      <c r="CB317" s="1163">
        <f>'2027'!R\Max</f>
        <v>0.72708151744788141</v>
      </c>
      <c r="CC317" s="1164">
        <f>'2028'!R\Max</f>
        <v>0.72649051629412442</v>
      </c>
      <c r="CD317" s="1163">
        <f>'2029'!R\Max</f>
        <v>0.7289243625428663</v>
      </c>
      <c r="CE317" s="1163">
        <f>'2030'!R\Max</f>
        <v>0.72868850288038967</v>
      </c>
      <c r="CF317" s="1165">
        <f>'2031'!R\Max</f>
        <v>0.72839320204543223</v>
      </c>
    </row>
    <row r="318" spans="1:84" s="6" customFormat="1" ht="11.25" x14ac:dyDescent="0.2">
      <c r="A318" s="11">
        <v>43404</v>
      </c>
      <c r="B318" s="375">
        <f>'2022'!Maxi_hp</f>
        <v>20.701155143834445</v>
      </c>
      <c r="C318" s="13">
        <f>'2022'!An_max</f>
        <v>2022</v>
      </c>
      <c r="D318" s="1050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69">
        <f t="shared" si="118"/>
        <v>43402</v>
      </c>
      <c r="I318" s="744">
        <f t="shared" si="119"/>
        <v>0.14285714285714285</v>
      </c>
      <c r="J318" s="737">
        <f t="shared" si="120"/>
        <v>29.221478134180821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43">
        <v>43404</v>
      </c>
      <c r="AP318" s="13">
        <f t="shared" si="121"/>
        <v>13</v>
      </c>
      <c r="AQ318" s="13">
        <f t="shared" si="122"/>
        <v>12</v>
      </c>
      <c r="AR318" s="169">
        <f t="shared" si="123"/>
        <v>43416</v>
      </c>
      <c r="AS318" s="744">
        <f t="shared" si="124"/>
        <v>0.42857142857142855</v>
      </c>
      <c r="AT318" s="760">
        <f t="shared" si="125"/>
        <v>29.189148979288127</v>
      </c>
      <c r="AU318" s="13">
        <f t="shared" si="126"/>
        <v>13</v>
      </c>
      <c r="AV318" s="13">
        <f t="shared" si="127"/>
        <v>12</v>
      </c>
      <c r="AW318" s="169">
        <f t="shared" si="128"/>
        <v>43430</v>
      </c>
      <c r="AX318" s="744">
        <f t="shared" si="129"/>
        <v>0.9285714285714286</v>
      </c>
      <c r="AY318" s="760">
        <f t="shared" si="130"/>
        <v>29.248273468124019</v>
      </c>
      <c r="AZ318" s="737">
        <f t="shared" si="134"/>
        <v>29.218711223706073</v>
      </c>
      <c r="BA318" s="634">
        <f t="shared" si="131"/>
        <v>0.70842258727562379</v>
      </c>
      <c r="BC318" s="11">
        <v>43404</v>
      </c>
      <c r="BD318" s="286">
        <f>[3]!FeuilCaduc*(1-Persistant)+Persistant</f>
        <v>0.79053155513041851</v>
      </c>
      <c r="BE318" s="287">
        <f>[3]!CroissVégét</f>
        <v>0.99753023639231442</v>
      </c>
      <c r="BF318" s="807">
        <f>1+[3]!Salcycl*Ksac</f>
        <v>1.0238164443913023</v>
      </c>
      <c r="BH318" s="1041">
        <f t="shared" si="132"/>
        <v>1.6369984428715977E-2</v>
      </c>
      <c r="BI318" s="11">
        <v>44500</v>
      </c>
      <c r="BJ318" s="717">
        <v>1.7036872935237161E-3</v>
      </c>
      <c r="BK318" s="717">
        <v>2.6195330997789757E-3</v>
      </c>
      <c r="BL318" s="717">
        <v>3.6950199490702993E-3</v>
      </c>
      <c r="BM318" s="717">
        <v>4.9574420159387384E-3</v>
      </c>
      <c r="BN318" s="717">
        <v>9.6814639721153044E-3</v>
      </c>
      <c r="BO318" s="718">
        <v>1.6411598018049315E-2</v>
      </c>
      <c r="BP318" s="717">
        <v>3.2405302630545453E-2</v>
      </c>
      <c r="BQ318" s="717">
        <v>5.2336074545040225E-2</v>
      </c>
      <c r="BR318" s="717">
        <v>8.4248160856502774E-2</v>
      </c>
      <c r="BS318" s="717">
        <v>0.12100966436036471</v>
      </c>
      <c r="BT318" s="717">
        <v>0.16467610440714292</v>
      </c>
      <c r="BW318" s="1162">
        <f>'2022'!R\Max</f>
        <v>0.70842258727562379</v>
      </c>
      <c r="BX318" s="1163">
        <f>'2023'!R\Max</f>
        <v>0.7081349909276955</v>
      </c>
      <c r="BY318" s="1163">
        <f>'2024'!R\Max</f>
        <v>0.70777719285198715</v>
      </c>
      <c r="BZ318" s="1163">
        <f>'2025'!R\Max</f>
        <v>0.7074178341690236</v>
      </c>
      <c r="CA318" s="1163">
        <f>'2026'!R\Max</f>
        <v>0.70684459887513229</v>
      </c>
      <c r="CB318" s="1163">
        <f>'2027'!R\Max</f>
        <v>0.70626684236377646</v>
      </c>
      <c r="CC318" s="1164">
        <f>'2028'!R\Max</f>
        <v>0.70560096212582513</v>
      </c>
      <c r="CD318" s="1163">
        <f>'2029'!R\Max</f>
        <v>0.70843695167306764</v>
      </c>
      <c r="CE318" s="1163">
        <f>'2030'!R\Max</f>
        <v>0.70814937167782488</v>
      </c>
      <c r="CF318" s="1165">
        <f>'2031'!R\Max</f>
        <v>0.70779513886164103</v>
      </c>
    </row>
    <row r="319" spans="1:84" s="6" customFormat="1" ht="11.25" x14ac:dyDescent="0.2">
      <c r="A319" s="11">
        <v>43405</v>
      </c>
      <c r="B319" s="375">
        <f>'2022'!Maxi_hp</f>
        <v>18.881740725335344</v>
      </c>
      <c r="C319" s="13">
        <f>'2022'!An_max</f>
        <v>2022</v>
      </c>
      <c r="D319" s="1050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69">
        <f t="shared" si="118"/>
        <v>43402</v>
      </c>
      <c r="I319" s="744">
        <f t="shared" si="119"/>
        <v>0.21428571428571427</v>
      </c>
      <c r="J319" s="737">
        <f t="shared" si="120"/>
        <v>28.848582452854941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43">
        <v>43405</v>
      </c>
      <c r="AP319" s="13">
        <f t="shared" si="121"/>
        <v>13</v>
      </c>
      <c r="AQ319" s="13">
        <f t="shared" si="122"/>
        <v>12</v>
      </c>
      <c r="AR319" s="169">
        <f t="shared" si="123"/>
        <v>43416</v>
      </c>
      <c r="AS319" s="744">
        <f t="shared" si="124"/>
        <v>0.39285714285714285</v>
      </c>
      <c r="AT319" s="760">
        <f t="shared" si="125"/>
        <v>28.809936734315546</v>
      </c>
      <c r="AU319" s="13">
        <f t="shared" si="126"/>
        <v>13</v>
      </c>
      <c r="AV319" s="13">
        <f t="shared" si="127"/>
        <v>12</v>
      </c>
      <c r="AW319" s="169">
        <f t="shared" si="128"/>
        <v>43430</v>
      </c>
      <c r="AX319" s="744">
        <f t="shared" si="129"/>
        <v>0.8928571428571429</v>
      </c>
      <c r="AY319" s="760">
        <f t="shared" si="130"/>
        <v>28.887219068501146</v>
      </c>
      <c r="AZ319" s="737">
        <f t="shared" si="134"/>
        <v>28.848577901408348</v>
      </c>
      <c r="BA319" s="634">
        <f t="shared" si="131"/>
        <v>0.65451190734214915</v>
      </c>
      <c r="BC319" s="11">
        <v>43405</v>
      </c>
      <c r="BD319" s="286">
        <f>[3]!FeuilCaduc*(1-Persistant)+Persistant</f>
        <v>0.78474652459248617</v>
      </c>
      <c r="BE319" s="287">
        <f>[3]!CroissVégét</f>
        <v>0.99764270881659778</v>
      </c>
      <c r="BF319" s="807">
        <f>1+[3]!Salcycl*Ksac</f>
        <v>1.0230933155740607</v>
      </c>
      <c r="BH319" s="1041">
        <f t="shared" si="132"/>
        <v>1.9049786500539203E-2</v>
      </c>
      <c r="BI319" s="11">
        <v>44501</v>
      </c>
      <c r="BJ319" s="717">
        <v>1.7521199671804199E-3</v>
      </c>
      <c r="BK319" s="717">
        <v>2.703696668955756E-3</v>
      </c>
      <c r="BL319" s="717">
        <v>3.9247301956639195E-3</v>
      </c>
      <c r="BM319" s="717">
        <v>5.3881141015075405E-3</v>
      </c>
      <c r="BN319" s="717">
        <v>1.1079636361973663E-2</v>
      </c>
      <c r="BO319" s="718">
        <v>1.9099373932758835E-2</v>
      </c>
      <c r="BP319" s="717">
        <v>3.7426617881310541E-2</v>
      </c>
      <c r="BQ319" s="717">
        <v>5.9819545812941799E-2</v>
      </c>
      <c r="BR319" s="717">
        <v>9.4415094361357144E-2</v>
      </c>
      <c r="BS319" s="717">
        <v>0.13340250390224509</v>
      </c>
      <c r="BT319" s="717">
        <v>0.17905090382108946</v>
      </c>
      <c r="BW319" s="1162">
        <f>'2022'!R\Max</f>
        <v>0.65451190734214915</v>
      </c>
      <c r="BX319" s="1163">
        <f>'2023'!R\Max</f>
        <v>0.65414911308070645</v>
      </c>
      <c r="BY319" s="1163">
        <f>'2024'!R\Max</f>
        <v>0.65370646339261529</v>
      </c>
      <c r="BZ319" s="1163">
        <f>'2025'!R\Max</f>
        <v>0.65326200970964665</v>
      </c>
      <c r="CA319" s="1163">
        <f>'2026'!R\Max</f>
        <v>0.65257771677382503</v>
      </c>
      <c r="CB319" s="1163">
        <f>'2027'!R\Max</f>
        <v>0.6518883715604048</v>
      </c>
      <c r="CC319" s="1164">
        <f>'2028'!R\Max</f>
        <v>0.65111102376559904</v>
      </c>
      <c r="CD319" s="1163">
        <f>'2029'!R\Max</f>
        <v>0.65453002759856105</v>
      </c>
      <c r="CE319" s="1163">
        <f>'2030'!R\Max</f>
        <v>0.65416725397478426</v>
      </c>
      <c r="CF319" s="1165">
        <f>'2031'!R\Max</f>
        <v>0.65372865927660739</v>
      </c>
    </row>
    <row r="320" spans="1:84" s="6" customFormat="1" ht="11.25" x14ac:dyDescent="0.2">
      <c r="A320" s="11">
        <v>43406</v>
      </c>
      <c r="B320" s="375">
        <f>'2022'!Maxi_hp</f>
        <v>26.159305907233136</v>
      </c>
      <c r="C320" s="13">
        <f>'2022'!An_max</f>
        <v>2022</v>
      </c>
      <c r="D320" s="1050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69">
        <f t="shared" si="118"/>
        <v>43402</v>
      </c>
      <c r="I320" s="744">
        <f t="shared" si="119"/>
        <v>0.2857142857142857</v>
      </c>
      <c r="J320" s="737">
        <f t="shared" si="120"/>
        <v>28.477325073044216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43">
        <v>43406</v>
      </c>
      <c r="AP320" s="13">
        <f t="shared" si="121"/>
        <v>13</v>
      </c>
      <c r="AQ320" s="13">
        <f t="shared" si="122"/>
        <v>12</v>
      </c>
      <c r="AR320" s="169">
        <f t="shared" si="123"/>
        <v>43416</v>
      </c>
      <c r="AS320" s="744">
        <f t="shared" si="124"/>
        <v>0.35714285714285715</v>
      </c>
      <c r="AT320" s="760">
        <f t="shared" si="125"/>
        <v>28.43454719393381</v>
      </c>
      <c r="AU320" s="13">
        <f t="shared" si="126"/>
        <v>13</v>
      </c>
      <c r="AV320" s="13">
        <f t="shared" si="127"/>
        <v>12</v>
      </c>
      <c r="AW320" s="169">
        <f t="shared" si="128"/>
        <v>43430</v>
      </c>
      <c r="AX320" s="744">
        <f t="shared" si="129"/>
        <v>0.8571428571428571</v>
      </c>
      <c r="AY320" s="760">
        <f t="shared" si="130"/>
        <v>28.526546938504492</v>
      </c>
      <c r="AZ320" s="737">
        <f t="shared" si="134"/>
        <v>28.480547066219152</v>
      </c>
      <c r="BA320" s="634">
        <f t="shared" si="131"/>
        <v>0.91860123238873836</v>
      </c>
      <c r="BC320" s="11">
        <v>43406</v>
      </c>
      <c r="BD320" s="286">
        <f>[3]!FeuilCaduc*(1-Persistant)+Persistant</f>
        <v>0.77895800540929394</v>
      </c>
      <c r="BE320" s="287">
        <f>[3]!CroissVégét</f>
        <v>0.99775067659530603</v>
      </c>
      <c r="BF320" s="807">
        <f>1+[3]!Salcycl*Ksac</f>
        <v>1.0223697506761618</v>
      </c>
      <c r="BH320" s="1041">
        <f t="shared" si="132"/>
        <v>2.2279519186260786E-2</v>
      </c>
      <c r="BI320" s="11">
        <v>44502</v>
      </c>
      <c r="BJ320" s="717">
        <v>1.8019961450633744E-3</v>
      </c>
      <c r="BK320" s="717">
        <v>2.7849494451331093E-3</v>
      </c>
      <c r="BL320" s="717">
        <v>4.2076471869049717E-3</v>
      </c>
      <c r="BM320" s="717">
        <v>5.963086940355934E-3</v>
      </c>
      <c r="BN320" s="717">
        <v>1.2818555977497014E-2</v>
      </c>
      <c r="BO320" s="718">
        <v>2.2338381925819092E-2</v>
      </c>
      <c r="BP320" s="717">
        <v>4.3127885263761351E-2</v>
      </c>
      <c r="BQ320" s="717">
        <v>6.799815470373205E-2</v>
      </c>
      <c r="BR320" s="717">
        <v>0.1051204945883613</v>
      </c>
      <c r="BS320" s="717">
        <v>0.14612628288924426</v>
      </c>
      <c r="BT320" s="717">
        <v>0.19345884474154962</v>
      </c>
      <c r="BW320" s="1162">
        <f>'2022'!R\Max</f>
        <v>0.91860123238873836</v>
      </c>
      <c r="BX320" s="1163">
        <f>'2023'!R\Max</f>
        <v>0.91846430342075325</v>
      </c>
      <c r="BY320" s="1163">
        <f>'2024'!R\Max</f>
        <v>0.91830048269933795</v>
      </c>
      <c r="BZ320" s="1163">
        <f>'2025'!R\Max</f>
        <v>0.91813582213021949</v>
      </c>
      <c r="CA320" s="1163">
        <f>'2026'!R\Max</f>
        <v>0.91789040067770944</v>
      </c>
      <c r="CB320" s="1163">
        <f>'2027'!R\Max</f>
        <v>0.9176427869150936</v>
      </c>
      <c r="CC320" s="1164">
        <f>'2028'!R\Max</f>
        <v>0.91736847514432585</v>
      </c>
      <c r="CD320" s="1163">
        <f>'2029'!R\Max</f>
        <v>0.91860806744693513</v>
      </c>
      <c r="CE320" s="1163">
        <f>'2030'!R\Max</f>
        <v>0.91847115398260981</v>
      </c>
      <c r="CF320" s="1165">
        <f>'2031'!R\Max</f>
        <v>0.91830870008160326</v>
      </c>
    </row>
    <row r="321" spans="1:84" s="6" customFormat="1" ht="11.25" x14ac:dyDescent="0.2">
      <c r="A321" s="11">
        <v>43407</v>
      </c>
      <c r="B321" s="375">
        <f>'2022'!Maxi_hp</f>
        <v>9.4814767533858237</v>
      </c>
      <c r="C321" s="13">
        <f>'2022'!An_max</f>
        <v>2022</v>
      </c>
      <c r="D321" s="1050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69">
        <f t="shared" si="118"/>
        <v>43402</v>
      </c>
      <c r="I321" s="744">
        <f t="shared" si="119"/>
        <v>0.35714285714285715</v>
      </c>
      <c r="J321" s="737">
        <f t="shared" si="120"/>
        <v>28.10825209505856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43">
        <v>43407</v>
      </c>
      <c r="AP321" s="13">
        <f t="shared" si="121"/>
        <v>13</v>
      </c>
      <c r="AQ321" s="13">
        <f t="shared" si="122"/>
        <v>12</v>
      </c>
      <c r="AR321" s="169">
        <f t="shared" si="123"/>
        <v>43416</v>
      </c>
      <c r="AS321" s="744">
        <f t="shared" si="124"/>
        <v>0.32142857142857145</v>
      </c>
      <c r="AT321" s="760">
        <f t="shared" si="125"/>
        <v>28.063362627676025</v>
      </c>
      <c r="AU321" s="13">
        <f t="shared" si="126"/>
        <v>13</v>
      </c>
      <c r="AV321" s="13">
        <f t="shared" si="127"/>
        <v>12</v>
      </c>
      <c r="AW321" s="169">
        <f t="shared" si="128"/>
        <v>43430</v>
      </c>
      <c r="AX321" s="744">
        <f t="shared" si="129"/>
        <v>0.8214285714285714</v>
      </c>
      <c r="AY321" s="760">
        <f t="shared" si="130"/>
        <v>28.166639348784731</v>
      </c>
      <c r="AZ321" s="737">
        <f t="shared" si="134"/>
        <v>28.115000988230378</v>
      </c>
      <c r="BA321" s="634">
        <f t="shared" si="131"/>
        <v>0.33732004115092845</v>
      </c>
      <c r="BC321" s="11">
        <v>43407</v>
      </c>
      <c r="BD321" s="286">
        <f>[3]!FeuilCaduc*(1-Persistant)+Persistant</f>
        <v>0.77317440998061149</v>
      </c>
      <c r="BE321" s="287">
        <f>[3]!CroissVégét</f>
        <v>0.99785431922609247</v>
      </c>
      <c r="BF321" s="807">
        <f>1+[3]!Salcycl*Ksac</f>
        <v>1.0216468012475763</v>
      </c>
      <c r="BH321" s="1041">
        <f t="shared" si="132"/>
        <v>2.605981201276256E-2</v>
      </c>
      <c r="BI321" s="11">
        <v>44503</v>
      </c>
      <c r="BJ321" s="717">
        <v>1.8533160037982181E-3</v>
      </c>
      <c r="BK321" s="717">
        <v>2.8632855424331398E-3</v>
      </c>
      <c r="BL321" s="717">
        <v>4.5438303507463274E-3</v>
      </c>
      <c r="BM321" s="717">
        <v>6.6825265241819629E-3</v>
      </c>
      <c r="BN321" s="717">
        <v>1.4898614504516012E-2</v>
      </c>
      <c r="BO321" s="718">
        <v>2.6129253003874139E-2</v>
      </c>
      <c r="BP321" s="717">
        <v>4.9509865562962697E-2</v>
      </c>
      <c r="BQ321" s="717">
        <v>7.6872652903429886E-2</v>
      </c>
      <c r="BR321" s="717">
        <v>0.11636488915077788</v>
      </c>
      <c r="BS321" s="717">
        <v>0.15918124276571385</v>
      </c>
      <c r="BT321" s="717">
        <v>0.2078997707917144</v>
      </c>
      <c r="BW321" s="1162">
        <f>'2022'!R\Max</f>
        <v>0.33732004115092845</v>
      </c>
      <c r="BX321" s="1163">
        <f>'2023'!R\Max</f>
        <v>0.33685753193456736</v>
      </c>
      <c r="BY321" s="1163">
        <f>'2024'!R\Max</f>
        <v>0.33631730008857114</v>
      </c>
      <c r="BZ321" s="1163">
        <f>'2025'!R\Max</f>
        <v>0.33577582597160444</v>
      </c>
      <c r="CA321" s="1163">
        <f>'2026'!R\Max</f>
        <v>0.33499763578789338</v>
      </c>
      <c r="CB321" s="1163">
        <f>'2027'!R\Max</f>
        <v>0.33421575556159422</v>
      </c>
      <c r="CC321" s="1164">
        <f>'2028'!R\Max</f>
        <v>0.33336878565925859</v>
      </c>
      <c r="CD321" s="1163">
        <f>'2029'!R\Max</f>
        <v>0.33734315372056478</v>
      </c>
      <c r="CE321" s="1163">
        <f>'2030'!R\Max</f>
        <v>0.33688064811489798</v>
      </c>
      <c r="CF321" s="1165">
        <f>'2031'!R\Max</f>
        <v>0.33634435832390874</v>
      </c>
    </row>
    <row r="322" spans="1:84" s="6" customFormat="1" ht="11.25" x14ac:dyDescent="0.2">
      <c r="A322" s="11">
        <v>43408</v>
      </c>
      <c r="B322" s="375">
        <f>'2022'!Maxi_hp</f>
        <v>13.165201026271244</v>
      </c>
      <c r="C322" s="13">
        <f>'2022'!An_max</f>
        <v>2022</v>
      </c>
      <c r="D322" s="1050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69">
        <f t="shared" si="118"/>
        <v>43402</v>
      </c>
      <c r="I322" s="744">
        <f t="shared" si="119"/>
        <v>0.42857142857142855</v>
      </c>
      <c r="J322" s="737">
        <f t="shared" si="120"/>
        <v>27.741909621336628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43">
        <v>43408</v>
      </c>
      <c r="AP322" s="13">
        <f t="shared" si="121"/>
        <v>13</v>
      </c>
      <c r="AQ322" s="13">
        <f t="shared" si="122"/>
        <v>12</v>
      </c>
      <c r="AR322" s="169">
        <f t="shared" si="123"/>
        <v>43416</v>
      </c>
      <c r="AS322" s="744">
        <f t="shared" si="124"/>
        <v>0.2857142857142857</v>
      </c>
      <c r="AT322" s="760">
        <f t="shared" si="125"/>
        <v>27.696765305740495</v>
      </c>
      <c r="AU322" s="13">
        <f t="shared" si="126"/>
        <v>13</v>
      </c>
      <c r="AV322" s="13">
        <f t="shared" si="127"/>
        <v>12</v>
      </c>
      <c r="AW322" s="169">
        <f t="shared" si="128"/>
        <v>43430</v>
      </c>
      <c r="AX322" s="744">
        <f t="shared" si="129"/>
        <v>0.7857142857142857</v>
      </c>
      <c r="AY322" s="760">
        <f t="shared" si="130"/>
        <v>27.807878571189939</v>
      </c>
      <c r="AZ322" s="737">
        <f t="shared" si="134"/>
        <v>27.752321938465215</v>
      </c>
      <c r="BA322" s="634">
        <f t="shared" si="131"/>
        <v>0.47456001428775957</v>
      </c>
      <c r="BC322" s="11">
        <v>43408</v>
      </c>
      <c r="BD322" s="286">
        <f>[3]!FeuilCaduc*(1-Persistant)+Persistant</f>
        <v>0.76740421455885688</v>
      </c>
      <c r="BE322" s="287">
        <f>[3]!CroissVégét</f>
        <v>0.99795380912643716</v>
      </c>
      <c r="BF322" s="807">
        <f>1+[3]!Salcycl*Ksac</f>
        <v>1.0209255268198572</v>
      </c>
      <c r="BH322" s="1041">
        <f t="shared" si="132"/>
        <v>3.0391279493153251E-2</v>
      </c>
      <c r="BI322" s="11">
        <v>44504</v>
      </c>
      <c r="BJ322" s="717">
        <v>1.9060795554134656E-3</v>
      </c>
      <c r="BK322" s="717">
        <v>2.9386988555312661E-3</v>
      </c>
      <c r="BL322" s="717">
        <v>4.9333377559662361E-3</v>
      </c>
      <c r="BM322" s="717">
        <v>7.54659574330675E-3</v>
      </c>
      <c r="BN322" s="717">
        <v>1.7320195131477579E-2</v>
      </c>
      <c r="BO322" s="718">
        <v>3.0472603119252262E-2</v>
      </c>
      <c r="BP322" s="717">
        <v>5.6573295766899068E-2</v>
      </c>
      <c r="BQ322" s="717">
        <v>8.6443760571404862E-2</v>
      </c>
      <c r="BR322" s="717">
        <v>0.12814876786487331</v>
      </c>
      <c r="BS322" s="717">
        <v>0.17256758294939131</v>
      </c>
      <c r="BT322" s="717">
        <v>0.22237348121263822</v>
      </c>
      <c r="BW322" s="1162">
        <f>'2022'!R\Max</f>
        <v>0.47456001428775957</v>
      </c>
      <c r="BX322" s="1163">
        <f>'2023'!R\Max</f>
        <v>0.47398056467722821</v>
      </c>
      <c r="BY322" s="1163">
        <f>'2024'!R\Max</f>
        <v>0.47331805317753095</v>
      </c>
      <c r="BZ322" s="1163">
        <f>'2025'!R\Max</f>
        <v>0.47265371645359538</v>
      </c>
      <c r="CA322" s="1163">
        <f>'2026'!R\Max</f>
        <v>0.47172893655618814</v>
      </c>
      <c r="CB322" s="1163">
        <f>'2027'!R\Max</f>
        <v>0.47079915153545032</v>
      </c>
      <c r="CC322" s="1164">
        <f>'2028'!R\Max</f>
        <v>0.4698084047615867</v>
      </c>
      <c r="CD322" s="1163">
        <f>'2029'!R\Max</f>
        <v>0.47458896062957079</v>
      </c>
      <c r="CE322" s="1163">
        <f>'2030'!R\Max</f>
        <v>0.47400953457249823</v>
      </c>
      <c r="CF322" s="1165">
        <f>'2031'!R\Max</f>
        <v>0.4733512379845185</v>
      </c>
    </row>
    <row r="323" spans="1:84" s="6" customFormat="1" ht="11.25" x14ac:dyDescent="0.2">
      <c r="A323" s="11">
        <v>43409</v>
      </c>
      <c r="B323" s="375">
        <f>'2022'!Maxi_hp</f>
        <v>26.569385595807791</v>
      </c>
      <c r="C323" s="13">
        <f>'2022'!An_max</f>
        <v>2022</v>
      </c>
      <c r="D323" s="1050">
        <f t="shared" si="116"/>
        <v>0.97043490362629747</v>
      </c>
      <c r="E323" s="13"/>
      <c r="F323" s="13">
        <f t="shared" si="133"/>
        <v>23</v>
      </c>
      <c r="G323" s="13">
        <f t="shared" si="117"/>
        <v>24</v>
      </c>
      <c r="H323" s="169">
        <f t="shared" si="118"/>
        <v>43402</v>
      </c>
      <c r="I323" s="744">
        <f t="shared" si="119"/>
        <v>0.5</v>
      </c>
      <c r="J323" s="737">
        <f t="shared" si="120"/>
        <v>27.37884374987334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43">
        <v>43409</v>
      </c>
      <c r="AP323" s="13">
        <f t="shared" si="121"/>
        <v>13</v>
      </c>
      <c r="AQ323" s="13">
        <f t="shared" si="122"/>
        <v>12</v>
      </c>
      <c r="AR323" s="169">
        <f t="shared" si="123"/>
        <v>43416</v>
      </c>
      <c r="AS323" s="744">
        <f t="shared" si="124"/>
        <v>0.25</v>
      </c>
      <c r="AT323" s="760">
        <f t="shared" si="125"/>
        <v>27.335137499636041</v>
      </c>
      <c r="AU323" s="13">
        <f t="shared" si="126"/>
        <v>13</v>
      </c>
      <c r="AV323" s="13">
        <f t="shared" si="127"/>
        <v>12</v>
      </c>
      <c r="AW323" s="169">
        <f t="shared" si="128"/>
        <v>43430</v>
      </c>
      <c r="AX323" s="744">
        <f t="shared" si="129"/>
        <v>0.75</v>
      </c>
      <c r="AY323" s="760">
        <f t="shared" si="130"/>
        <v>27.450646874494851</v>
      </c>
      <c r="AZ323" s="737">
        <f t="shared" si="134"/>
        <v>27.392892187065446</v>
      </c>
      <c r="BA323" s="634">
        <f t="shared" si="131"/>
        <v>0.97043490362629747</v>
      </c>
      <c r="BC323" s="11">
        <v>43409</v>
      </c>
      <c r="BD323" s="286">
        <f>[3]!FeuilCaduc*(1-Persistant)+Persistant</f>
        <v>0.76165592127670301</v>
      </c>
      <c r="BE323" s="287">
        <f>[3]!CroissVégét</f>
        <v>0.99804931190721602</v>
      </c>
      <c r="BF323" s="807">
        <f>1+[3]!Salcycl*Ksac</f>
        <v>1.0202069901595878</v>
      </c>
      <c r="BH323" s="1041">
        <f t="shared" si="132"/>
        <v>3.527451690627037E-2</v>
      </c>
      <c r="BI323" s="11">
        <v>44505</v>
      </c>
      <c r="BJ323" s="717">
        <v>1.9602866364958941E-3</v>
      </c>
      <c r="BK323" s="717">
        <v>3.0111830825653315E-3</v>
      </c>
      <c r="BL323" s="717">
        <v>5.3762257036216463E-3</v>
      </c>
      <c r="BM323" s="717">
        <v>8.5554532775475242E-3</v>
      </c>
      <c r="BN323" s="717">
        <v>2.0083669932745518E-2</v>
      </c>
      <c r="BO323" s="718">
        <v>3.5369028939489615E-2</v>
      </c>
      <c r="BP323" s="717">
        <v>6.4318883858425033E-2</v>
      </c>
      <c r="BQ323" s="717">
        <v>9.6712161030174562E-2</v>
      </c>
      <c r="BR323" s="717">
        <v>0.14047257866277033</v>
      </c>
      <c r="BS323" s="717">
        <v>0.18628545835624996</v>
      </c>
      <c r="BT323" s="717">
        <v>0.23687973069396351</v>
      </c>
      <c r="BW323" s="1162">
        <f>'2022'!R\Max</f>
        <v>0.97043490362629747</v>
      </c>
      <c r="BX323" s="1163">
        <f>'2023'!R\Max</f>
        <v>0.97036042648053322</v>
      </c>
      <c r="BY323" s="1163">
        <f>'2024'!R\Max</f>
        <v>0.9702769100819032</v>
      </c>
      <c r="BZ323" s="1163">
        <f>'2025'!R\Max</f>
        <v>0.97019293933008943</v>
      </c>
      <c r="CA323" s="1163">
        <f>'2026'!R\Max</f>
        <v>0.97007940415824145</v>
      </c>
      <c r="CB323" s="1163">
        <f>'2027'!R\Max</f>
        <v>0.96996484068369737</v>
      </c>
      <c r="CC323" s="1164">
        <f>'2028'!R\Max</f>
        <v>0.96984432735463932</v>
      </c>
      <c r="CD323" s="1163">
        <f>'2029'!R\Max</f>
        <v>0.97043861891849748</v>
      </c>
      <c r="CE323" s="1163">
        <f>'2030'!R\Max</f>
        <v>0.97036415472558213</v>
      </c>
      <c r="CF323" s="1165">
        <f>'2031'!R\Max</f>
        <v>0.97028109801985363</v>
      </c>
    </row>
    <row r="324" spans="1:84" s="6" customFormat="1" ht="11.25" x14ac:dyDescent="0.2">
      <c r="A324" s="11">
        <v>43410</v>
      </c>
      <c r="B324" s="375">
        <f>'2022'!Maxi_hp</f>
        <v>26.642580367893142</v>
      </c>
      <c r="C324" s="13">
        <f>'2022'!An_max</f>
        <v>2022</v>
      </c>
      <c r="D324" s="1050">
        <f t="shared" si="116"/>
        <v>0.98604641789278868</v>
      </c>
      <c r="E324" s="13"/>
      <c r="F324" s="13">
        <f t="shared" si="133"/>
        <v>23</v>
      </c>
      <c r="G324" s="13">
        <f t="shared" si="117"/>
        <v>24</v>
      </c>
      <c r="H324" s="169">
        <f t="shared" si="118"/>
        <v>43402</v>
      </c>
      <c r="I324" s="744">
        <f t="shared" si="119"/>
        <v>0.5714285714285714</v>
      </c>
      <c r="J324" s="737">
        <f t="shared" si="120"/>
        <v>27.019600583133958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43">
        <v>43410</v>
      </c>
      <c r="AP324" s="13">
        <f t="shared" si="121"/>
        <v>13</v>
      </c>
      <c r="AQ324" s="13">
        <f t="shared" si="122"/>
        <v>12</v>
      </c>
      <c r="AR324" s="169">
        <f t="shared" si="123"/>
        <v>43416</v>
      </c>
      <c r="AS324" s="744">
        <f t="shared" si="124"/>
        <v>0.21428571428571427</v>
      </c>
      <c r="AT324" s="760">
        <f t="shared" si="125"/>
        <v>26.978861479886938</v>
      </c>
      <c r="AU324" s="13">
        <f t="shared" si="126"/>
        <v>13</v>
      </c>
      <c r="AV324" s="13">
        <f t="shared" si="127"/>
        <v>12</v>
      </c>
      <c r="AW324" s="169">
        <f t="shared" si="128"/>
        <v>43430</v>
      </c>
      <c r="AX324" s="744">
        <f t="shared" si="129"/>
        <v>0.7142857142857143</v>
      </c>
      <c r="AY324" s="760">
        <f t="shared" si="130"/>
        <v>27.095326530667286</v>
      </c>
      <c r="AZ324" s="737">
        <f t="shared" si="134"/>
        <v>27.037094005277112</v>
      </c>
      <c r="BA324" s="634">
        <f t="shared" si="131"/>
        <v>0.98604641789278868</v>
      </c>
      <c r="BC324" s="11">
        <v>43410</v>
      </c>
      <c r="BD324" s="286">
        <f>[3]!FeuilCaduc*(1-Persistant)+Persistant</f>
        <v>0.75593801961083673</v>
      </c>
      <c r="BE324" s="287">
        <f>[3]!CroissVégét</f>
        <v>0.99814098663615436</v>
      </c>
      <c r="BF324" s="807">
        <f>1+[3]!Salcycl*Ksac</f>
        <v>1.0194922524513546</v>
      </c>
      <c r="BH324" s="1041">
        <f t="shared" si="132"/>
        <v>4.0867895372370684E-2</v>
      </c>
      <c r="BI324" s="11">
        <v>44506</v>
      </c>
      <c r="BJ324" s="717">
        <v>2.0133254157736194E-3</v>
      </c>
      <c r="BK324" s="717">
        <v>3.2110553024399108E-3</v>
      </c>
      <c r="BL324" s="717">
        <v>6.116851760638327E-3</v>
      </c>
      <c r="BM324" s="717">
        <v>1.004945689317688E-2</v>
      </c>
      <c r="BN324" s="717">
        <v>2.3473230863032699E-2</v>
      </c>
      <c r="BO324" s="718">
        <v>4.0976118772475326E-2</v>
      </c>
      <c r="BP324" s="717">
        <v>7.2706253800840157E-2</v>
      </c>
      <c r="BQ324" s="717">
        <v>0.10750309497420352</v>
      </c>
      <c r="BR324" s="717">
        <v>0.15306617206900711</v>
      </c>
      <c r="BS324" s="717">
        <v>0.20001563495448185</v>
      </c>
      <c r="BT324" s="717">
        <v>0.25110152944824449</v>
      </c>
      <c r="BW324" s="1162">
        <f>'2022'!R\Max</f>
        <v>0.98604641789278868</v>
      </c>
      <c r="BX324" s="1163">
        <f>'2023'!R\Max</f>
        <v>0.9860070363797987</v>
      </c>
      <c r="BY324" s="1163">
        <f>'2024'!R\Max</f>
        <v>0.98596372479831784</v>
      </c>
      <c r="BZ324" s="1163">
        <f>'2025'!R\Max</f>
        <v>0.98592017122402187</v>
      </c>
      <c r="CA324" s="1163">
        <f>'2026'!R\Max</f>
        <v>0.98586304936720559</v>
      </c>
      <c r="CB324" s="1163">
        <f>'2027'!R\Max</f>
        <v>0.98580540864963728</v>
      </c>
      <c r="CC324" s="1164">
        <f>'2028'!R\Max</f>
        <v>0.98574569444752347</v>
      </c>
      <c r="CD324" s="1163">
        <f>'2029'!R\Max</f>
        <v>0.98604838197915889</v>
      </c>
      <c r="CE324" s="1163">
        <f>'2030'!R\Max</f>
        <v>0.98600900819359683</v>
      </c>
      <c r="CF324" s="1165">
        <f>'2031'!R\Max</f>
        <v>0.98596589650573208</v>
      </c>
    </row>
    <row r="325" spans="1:84" s="6" customFormat="1" ht="11.25" x14ac:dyDescent="0.2">
      <c r="A325" s="11">
        <v>43411</v>
      </c>
      <c r="B325" s="375">
        <f>'2022'!Maxi_hp</f>
        <v>26.438884406158653</v>
      </c>
      <c r="C325" s="13">
        <f>'2022'!An_max</f>
        <v>2022</v>
      </c>
      <c r="D325" s="1050">
        <f t="shared" si="116"/>
        <v>0.99153031564314797</v>
      </c>
      <c r="E325" s="13"/>
      <c r="F325" s="13">
        <f t="shared" si="133"/>
        <v>23</v>
      </c>
      <c r="G325" s="13">
        <f t="shared" si="117"/>
        <v>24</v>
      </c>
      <c r="H325" s="169">
        <f t="shared" si="118"/>
        <v>43402</v>
      </c>
      <c r="I325" s="744">
        <f t="shared" si="119"/>
        <v>0.6428571428571429</v>
      </c>
      <c r="J325" s="737">
        <f t="shared" si="120"/>
        <v>26.664726220709941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43">
        <v>43411</v>
      </c>
      <c r="AP325" s="13">
        <f t="shared" si="121"/>
        <v>13</v>
      </c>
      <c r="AQ325" s="13">
        <f t="shared" si="122"/>
        <v>12</v>
      </c>
      <c r="AR325" s="169">
        <f t="shared" si="123"/>
        <v>43416</v>
      </c>
      <c r="AS325" s="744">
        <f t="shared" si="124"/>
        <v>0.17857142857142858</v>
      </c>
      <c r="AT325" s="760">
        <f t="shared" si="125"/>
        <v>26.628319515021779</v>
      </c>
      <c r="AU325" s="13">
        <f t="shared" si="126"/>
        <v>13</v>
      </c>
      <c r="AV325" s="13">
        <f t="shared" si="127"/>
        <v>12</v>
      </c>
      <c r="AW325" s="169">
        <f t="shared" si="128"/>
        <v>43430</v>
      </c>
      <c r="AX325" s="744">
        <f t="shared" si="129"/>
        <v>0.6785714285714286</v>
      </c>
      <c r="AY325" s="760">
        <f t="shared" si="130"/>
        <v>26.742299808215883</v>
      </c>
      <c r="AZ325" s="737">
        <f t="shared" si="134"/>
        <v>26.685309661618831</v>
      </c>
      <c r="BA325" s="634">
        <f t="shared" si="131"/>
        <v>0.99153031564314797</v>
      </c>
      <c r="BC325" s="11">
        <v>43411</v>
      </c>
      <c r="BD325" s="286">
        <f>[3]!FeuilCaduc*(1-Persistant)+Persistant</f>
        <v>0.75025894754742239</v>
      </c>
      <c r="BE325" s="287">
        <f>[3]!CroissVégét</f>
        <v>0.99822898609149657</v>
      </c>
      <c r="BF325" s="807">
        <f>1+[3]!Salcycl*Ksac</f>
        <v>1.0187823684434278</v>
      </c>
      <c r="BH325" s="1041">
        <f t="shared" si="132"/>
        <v>4.6998322171744399E-2</v>
      </c>
      <c r="BI325" s="11">
        <v>44507</v>
      </c>
      <c r="BJ325" s="717">
        <v>2.0644995191742006E-3</v>
      </c>
      <c r="BK325" s="717">
        <v>3.5374528501934907E-3</v>
      </c>
      <c r="BL325" s="717">
        <v>7.1551287172981247E-3</v>
      </c>
      <c r="BM325" s="717">
        <v>1.2029748263365126E-2</v>
      </c>
      <c r="BN325" s="717">
        <v>2.7421322868396391E-2</v>
      </c>
      <c r="BO325" s="718">
        <v>4.7120123280775104E-2</v>
      </c>
      <c r="BP325" s="717">
        <v>8.1418416212754058E-2</v>
      </c>
      <c r="BQ325" s="717">
        <v>0.1183882891301284</v>
      </c>
      <c r="BR325" s="717">
        <v>0.16547835032142361</v>
      </c>
      <c r="BS325" s="717">
        <v>0.21337367404355145</v>
      </c>
      <c r="BT325" s="717">
        <v>0.26481183760354143</v>
      </c>
      <c r="BW325" s="1162">
        <f>'2022'!R\Max</f>
        <v>0.99153031564314797</v>
      </c>
      <c r="BX325" s="1163">
        <f>'2023'!R\Max</f>
        <v>0.99150417747906572</v>
      </c>
      <c r="BY325" s="1163">
        <f>'2024'!R\Max</f>
        <v>0.99147590591168211</v>
      </c>
      <c r="BZ325" s="1163">
        <f>'2025'!R\Max</f>
        <v>0.99144747344895512</v>
      </c>
      <c r="CA325" s="1163">
        <f>'2026'!R\Max</f>
        <v>0.99141117610877627</v>
      </c>
      <c r="CB325" s="1163">
        <f>'2027'!R\Max</f>
        <v>0.99137455080345616</v>
      </c>
      <c r="CC325" s="1164">
        <f>'2028'!R\Max</f>
        <v>0.99133708281553679</v>
      </c>
      <c r="CD325" s="1163">
        <f>'2029'!R\Max</f>
        <v>0.99153161898175157</v>
      </c>
      <c r="CE325" s="1163">
        <f>'2030'!R\Max</f>
        <v>0.99150548643914749</v>
      </c>
      <c r="CF325" s="1165">
        <f>'2031'!R\Max</f>
        <v>0.99147732338662253</v>
      </c>
    </row>
    <row r="326" spans="1:84" s="6" customFormat="1" ht="11.25" x14ac:dyDescent="0.2">
      <c r="A326" s="11">
        <v>43412</v>
      </c>
      <c r="B326" s="375">
        <f>'2022'!Maxi_hp</f>
        <v>19.117935070519479</v>
      </c>
      <c r="C326" s="13">
        <f>'2022'!An_max</f>
        <v>2022</v>
      </c>
      <c r="D326" s="1050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69">
        <f t="shared" si="118"/>
        <v>43402</v>
      </c>
      <c r="I326" s="744">
        <f t="shared" si="119"/>
        <v>0.7142857142857143</v>
      </c>
      <c r="J326" s="737">
        <f t="shared" si="120"/>
        <v>26.31476676400219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43">
        <v>43412</v>
      </c>
      <c r="AP326" s="13">
        <f t="shared" si="121"/>
        <v>13</v>
      </c>
      <c r="AQ326" s="13">
        <f t="shared" si="122"/>
        <v>12</v>
      </c>
      <c r="AR326" s="169">
        <f t="shared" si="123"/>
        <v>43416</v>
      </c>
      <c r="AS326" s="744">
        <f t="shared" si="124"/>
        <v>0.14285714285714285</v>
      </c>
      <c r="AT326" s="760">
        <f t="shared" si="125"/>
        <v>26.283893877294446</v>
      </c>
      <c r="AU326" s="13">
        <f t="shared" si="126"/>
        <v>13</v>
      </c>
      <c r="AV326" s="13">
        <f t="shared" si="127"/>
        <v>12</v>
      </c>
      <c r="AW326" s="169">
        <f t="shared" si="128"/>
        <v>43430</v>
      </c>
      <c r="AX326" s="744">
        <f t="shared" si="129"/>
        <v>0.6428571428571429</v>
      </c>
      <c r="AY326" s="760">
        <f t="shared" si="130"/>
        <v>26.391948979560816</v>
      </c>
      <c r="AZ326" s="737">
        <f t="shared" si="134"/>
        <v>26.337921428427631</v>
      </c>
      <c r="BA326" s="634">
        <f t="shared" si="131"/>
        <v>0.72650976700550662</v>
      </c>
      <c r="BC326" s="11">
        <v>43412</v>
      </c>
      <c r="BD326" s="286">
        <f>[3]!FeuilCaduc*(1-Persistant)+Persistant</f>
        <v>0.74462705271936014</v>
      </c>
      <c r="BE326" s="287">
        <f>[3]!CroissVégét</f>
        <v>0.99831345700622864</v>
      </c>
      <c r="BF326" s="807">
        <f>1+[3]!Salcycl*Ksac</f>
        <v>1.0180783815899199</v>
      </c>
      <c r="BH326" s="1041">
        <f t="shared" si="132"/>
        <v>5.3666289017331094E-2</v>
      </c>
      <c r="BI326" s="11">
        <v>44508</v>
      </c>
      <c r="BJ326" s="717">
        <v>2.113804481118451E-3</v>
      </c>
      <c r="BK326" s="717">
        <v>3.9905137796258025E-3</v>
      </c>
      <c r="BL326" s="717">
        <v>8.4913782393891014E-3</v>
      </c>
      <c r="BM326" s="717">
        <v>1.4496848461563889E-2</v>
      </c>
      <c r="BN326" s="717">
        <v>3.1928509422000456E-2</v>
      </c>
      <c r="BO326" s="718">
        <v>5.3801533730862015E-2</v>
      </c>
      <c r="BP326" s="717">
        <v>9.04555544369713E-2</v>
      </c>
      <c r="BQ326" s="717">
        <v>0.12936760154344151</v>
      </c>
      <c r="BR326" s="717">
        <v>0.17770859609630452</v>
      </c>
      <c r="BS326" s="717">
        <v>0.2263587886235531</v>
      </c>
      <c r="BT326" s="717">
        <v>0.27800966365095253</v>
      </c>
      <c r="BW326" s="1162">
        <f>'2022'!R\Max</f>
        <v>0.72650976700550662</v>
      </c>
      <c r="BX326" s="1163">
        <f>'2023'!R\Max</f>
        <v>0.72584552694716931</v>
      </c>
      <c r="BY326" s="1163">
        <f>'2024'!R\Max</f>
        <v>0.72513886544305961</v>
      </c>
      <c r="BZ326" s="1163">
        <f>'2025'!R\Max</f>
        <v>0.72442947700286719</v>
      </c>
      <c r="CA326" s="1163">
        <f>'2026'!R\Max</f>
        <v>0.72354761122021582</v>
      </c>
      <c r="CB326" s="1163">
        <f>'2027'!R\Max</f>
        <v>0.72265997213810096</v>
      </c>
      <c r="CC326" s="1164">
        <f>'2028'!R\Max</f>
        <v>0.72176333027245587</v>
      </c>
      <c r="CD326" s="1163">
        <f>'2029'!R\Max</f>
        <v>0.72654291351231781</v>
      </c>
      <c r="CE326" s="1163">
        <f>'2030'!R\Max</f>
        <v>0.72587876819555197</v>
      </c>
      <c r="CF326" s="1165">
        <f>'2031'!R\Max</f>
        <v>0.72517426148124586</v>
      </c>
    </row>
    <row r="327" spans="1:84" s="6" customFormat="1" ht="11.25" x14ac:dyDescent="0.2">
      <c r="A327" s="11">
        <v>43413</v>
      </c>
      <c r="B327" s="375">
        <f>'2022'!Maxi_hp</f>
        <v>10.653499434199968</v>
      </c>
      <c r="C327" s="13">
        <f>'2022'!An_max</f>
        <v>2022</v>
      </c>
      <c r="D327" s="1050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69">
        <f t="shared" si="118"/>
        <v>43402</v>
      </c>
      <c r="I327" s="744">
        <f t="shared" si="119"/>
        <v>0.7857142857142857</v>
      </c>
      <c r="J327" s="737">
        <f t="shared" si="120"/>
        <v>25.970268312522343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43">
        <v>43413</v>
      </c>
      <c r="AP327" s="13">
        <f t="shared" si="121"/>
        <v>13</v>
      </c>
      <c r="AQ327" s="13">
        <f t="shared" si="122"/>
        <v>12</v>
      </c>
      <c r="AR327" s="169">
        <f t="shared" si="123"/>
        <v>43416</v>
      </c>
      <c r="AS327" s="744">
        <f t="shared" si="124"/>
        <v>0.10714285714285714</v>
      </c>
      <c r="AT327" s="760">
        <f t="shared" si="125"/>
        <v>25.945966835878789</v>
      </c>
      <c r="AU327" s="13">
        <f t="shared" si="126"/>
        <v>13</v>
      </c>
      <c r="AV327" s="13">
        <f t="shared" si="127"/>
        <v>12</v>
      </c>
      <c r="AW327" s="169">
        <f t="shared" si="128"/>
        <v>43430</v>
      </c>
      <c r="AX327" s="744">
        <f t="shared" si="129"/>
        <v>0.6071428571428571</v>
      </c>
      <c r="AY327" s="760">
        <f t="shared" si="130"/>
        <v>26.044656313836043</v>
      </c>
      <c r="AZ327" s="737">
        <f t="shared" si="134"/>
        <v>25.995311574857418</v>
      </c>
      <c r="BA327" s="634">
        <f t="shared" si="131"/>
        <v>0.41021907459704854</v>
      </c>
      <c r="BC327" s="11">
        <v>43413</v>
      </c>
      <c r="BD327" s="286">
        <f>[3]!FeuilCaduc*(1-Persistant)+Persistant</f>
        <v>0.73905055378765083</v>
      </c>
      <c r="BE327" s="287">
        <f>[3]!CroissVégét</f>
        <v>0.99839454030316765</v>
      </c>
      <c r="BF327" s="807">
        <f>1+[3]!Salcycl*Ksac</f>
        <v>1.0173813192234564</v>
      </c>
      <c r="BH327" s="1041">
        <f t="shared" si="132"/>
        <v>6.0872251585915152E-2</v>
      </c>
      <c r="BI327" s="11">
        <v>44509</v>
      </c>
      <c r="BJ327" s="717">
        <v>2.1612357423121818E-3</v>
      </c>
      <c r="BK327" s="717">
        <v>4.5703710583549833E-3</v>
      </c>
      <c r="BL327" s="717">
        <v>1.0125909201000602E-2</v>
      </c>
      <c r="BM327" s="717">
        <v>1.7451256796419862E-2</v>
      </c>
      <c r="BN327" s="717">
        <v>3.6995323905461584E-2</v>
      </c>
      <c r="BO327" s="718">
        <v>6.1020805316068676E-2</v>
      </c>
      <c r="BP327" s="717">
        <v>9.981781480443537E-2</v>
      </c>
      <c r="BQ327" s="717">
        <v>0.14044085411325721</v>
      </c>
      <c r="BR327" s="717">
        <v>0.18975636023157857</v>
      </c>
      <c r="BS327" s="717">
        <v>0.23897016318980516</v>
      </c>
      <c r="BT327" s="717">
        <v>0.2906939910634081</v>
      </c>
      <c r="BW327" s="1162">
        <f>'2022'!R\Max</f>
        <v>0.41021907459704854</v>
      </c>
      <c r="BX327" s="1163">
        <f>'2023'!R\Max</f>
        <v>0.40935892815340408</v>
      </c>
      <c r="BY327" s="1163">
        <f>'2024'!R\Max</f>
        <v>0.40845813657730118</v>
      </c>
      <c r="BZ327" s="1163">
        <f>'2025'!R\Max</f>
        <v>0.40755603390824058</v>
      </c>
      <c r="CA327" s="1163">
        <f>'2026'!R\Max</f>
        <v>0.40646259852862565</v>
      </c>
      <c r="CB327" s="1163">
        <f>'2027'!R\Max</f>
        <v>0.40536536366254039</v>
      </c>
      <c r="CC327" s="1164">
        <f>'2028'!R\Max</f>
        <v>0.40426926040881561</v>
      </c>
      <c r="CD327" s="1163">
        <f>'2029'!R\Max</f>
        <v>0.41026204367233776</v>
      </c>
      <c r="CE327" s="1163">
        <f>'2030'!R\Max</f>
        <v>0.40940193113637863</v>
      </c>
      <c r="CF327" s="1165">
        <f>'2031'!R\Max</f>
        <v>0.40850320070395246</v>
      </c>
    </row>
    <row r="328" spans="1:84" s="6" customFormat="1" ht="11.25" x14ac:dyDescent="0.2">
      <c r="A328" s="11">
        <v>43414</v>
      </c>
      <c r="B328" s="375">
        <f>'2022'!Maxi_hp</f>
        <v>19.400426866804658</v>
      </c>
      <c r="C328" s="13">
        <f>'2022'!An_max</f>
        <v>2022</v>
      </c>
      <c r="D328" s="1050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69">
        <f t="shared" si="118"/>
        <v>43402</v>
      </c>
      <c r="I328" s="744">
        <f t="shared" si="119"/>
        <v>0.8571428571428571</v>
      </c>
      <c r="J328" s="737">
        <f t="shared" si="120"/>
        <v>25.631776967910781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43">
        <v>43414</v>
      </c>
      <c r="AP328" s="13">
        <f t="shared" si="121"/>
        <v>13</v>
      </c>
      <c r="AQ328" s="13">
        <f t="shared" si="122"/>
        <v>12</v>
      </c>
      <c r="AR328" s="169">
        <f t="shared" si="123"/>
        <v>43416</v>
      </c>
      <c r="AS328" s="744">
        <f t="shared" si="124"/>
        <v>7.1428571428571425E-2</v>
      </c>
      <c r="AT328" s="760">
        <f t="shared" si="125"/>
        <v>25.614920663128476</v>
      </c>
      <c r="AU328" s="13">
        <f t="shared" si="126"/>
        <v>13</v>
      </c>
      <c r="AV328" s="13">
        <f t="shared" si="127"/>
        <v>12</v>
      </c>
      <c r="AW328" s="169">
        <f t="shared" si="128"/>
        <v>43430</v>
      </c>
      <c r="AX328" s="744">
        <f t="shared" si="129"/>
        <v>0.5714285714285714</v>
      </c>
      <c r="AY328" s="760">
        <f t="shared" si="130"/>
        <v>25.70080408123987</v>
      </c>
      <c r="AZ328" s="737">
        <f t="shared" si="134"/>
        <v>25.657862372184173</v>
      </c>
      <c r="BA328" s="634">
        <f t="shared" si="131"/>
        <v>0.75688965658107343</v>
      </c>
      <c r="BC328" s="11">
        <v>43414</v>
      </c>
      <c r="BD328" s="286">
        <f>[3]!FeuilCaduc*(1-Persistant)+Persistant</f>
        <v>0.73353750233911663</v>
      </c>
      <c r="BE328" s="287">
        <f>[3]!CroissVégét</f>
        <v>0.99847237132123801</v>
      </c>
      <c r="BF328" s="807">
        <f>1+[3]!Salcycl*Ksac</f>
        <v>1.0166921877923896</v>
      </c>
      <c r="BH328" s="1041">
        <f t="shared" si="132"/>
        <v>6.861662542065064E-2</v>
      </c>
      <c r="BI328" s="11">
        <v>44510</v>
      </c>
      <c r="BJ328" s="717">
        <v>2.2067886643335152E-3</v>
      </c>
      <c r="BK328" s="717">
        <v>5.2771515960463936E-3</v>
      </c>
      <c r="BL328" s="717">
        <v>1.20590154000835E-2</v>
      </c>
      <c r="BM328" s="717">
        <v>2.0893447081251498E-2</v>
      </c>
      <c r="BN328" s="717">
        <v>4.2622265333668863E-2</v>
      </c>
      <c r="BO328" s="718">
        <v>6.8778353060217776E-2</v>
      </c>
      <c r="BP328" s="717">
        <v>0.10950530418435216</v>
      </c>
      <c r="BQ328" s="717">
        <v>0.15160783192814686</v>
      </c>
      <c r="BR328" s="717">
        <v>0.20162106319155393</v>
      </c>
      <c r="BS328" s="717">
        <v>0.25120695666928095</v>
      </c>
      <c r="BT328" s="717">
        <v>0.3028637823048545</v>
      </c>
      <c r="BW328" s="1162">
        <f>'2022'!R\Max</f>
        <v>0.75688965658107343</v>
      </c>
      <c r="BX328" s="1163">
        <f>'2023'!R\Max</f>
        <v>0.7561980788394933</v>
      </c>
      <c r="BY328" s="1163">
        <f>'2024'!R\Max</f>
        <v>0.75548096337166837</v>
      </c>
      <c r="BZ328" s="1163">
        <f>'2025'!R\Max</f>
        <v>0.75476096216236954</v>
      </c>
      <c r="CA328" s="1163">
        <f>'2026'!R\Max</f>
        <v>0.75390422343943964</v>
      </c>
      <c r="CB328" s="1163">
        <f>'2027'!R\Max</f>
        <v>0.75304194588820006</v>
      </c>
      <c r="CC328" s="1164">
        <f>'2028'!R\Max</f>
        <v>0.75218330091299679</v>
      </c>
      <c r="CD328" s="1163">
        <f>'2029'!R\Max</f>
        <v>0.75692415671637636</v>
      </c>
      <c r="CE328" s="1163">
        <f>'2030'!R\Max</f>
        <v>0.75623269776059965</v>
      </c>
      <c r="CF328" s="1165">
        <f>'2031'!R\Max</f>
        <v>0.75551687901788744</v>
      </c>
    </row>
    <row r="329" spans="1:84" s="6" customFormat="1" ht="11.25" x14ac:dyDescent="0.2">
      <c r="A329" s="11">
        <v>43415</v>
      </c>
      <c r="B329" s="375">
        <f>'2022'!Maxi_hp</f>
        <v>23.099620779371207</v>
      </c>
      <c r="C329" s="13">
        <f>'2022'!An_max</f>
        <v>2022</v>
      </c>
      <c r="D329" s="1050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69">
        <f t="shared" si="118"/>
        <v>43402</v>
      </c>
      <c r="I329" s="744">
        <f t="shared" si="119"/>
        <v>0.9285714285714286</v>
      </c>
      <c r="J329" s="737">
        <f t="shared" si="120"/>
        <v>25.299838829998457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43">
        <v>43415</v>
      </c>
      <c r="AP329" s="13">
        <f t="shared" si="121"/>
        <v>13</v>
      </c>
      <c r="AQ329" s="13">
        <f t="shared" si="122"/>
        <v>12</v>
      </c>
      <c r="AR329" s="169">
        <f t="shared" si="123"/>
        <v>43416</v>
      </c>
      <c r="AS329" s="744">
        <f t="shared" si="124"/>
        <v>3.5714285714285712E-2</v>
      </c>
      <c r="AT329" s="760">
        <f t="shared" si="125"/>
        <v>25.291137627472303</v>
      </c>
      <c r="AU329" s="13">
        <f t="shared" si="126"/>
        <v>13</v>
      </c>
      <c r="AV329" s="13">
        <f t="shared" si="127"/>
        <v>12</v>
      </c>
      <c r="AW329" s="169">
        <f t="shared" si="128"/>
        <v>43430</v>
      </c>
      <c r="AX329" s="744">
        <f t="shared" si="129"/>
        <v>0.5357142857142857</v>
      </c>
      <c r="AY329" s="760">
        <f t="shared" si="130"/>
        <v>25.360774554072748</v>
      </c>
      <c r="AZ329" s="737">
        <f t="shared" si="134"/>
        <v>25.325956090772525</v>
      </c>
      <c r="BA329" s="634">
        <f t="shared" si="131"/>
        <v>0.91303430565658728</v>
      </c>
      <c r="BC329" s="11">
        <v>43415</v>
      </c>
      <c r="BD329" s="286">
        <f>[3]!FeuilCaduc*(1-Persistant)+Persistant</f>
        <v>0.72809574557030932</v>
      </c>
      <c r="BE329" s="287">
        <f>[3]!CroissVégét</f>
        <v>0.99854708003323223</v>
      </c>
      <c r="BF329" s="807">
        <f>1+[3]!Salcycl*Ksac</f>
        <v>1.0160119681962887</v>
      </c>
      <c r="BH329" s="1041">
        <f t="shared" si="132"/>
        <v>7.6899781833154823E-2</v>
      </c>
      <c r="BI329" s="11">
        <v>44511</v>
      </c>
      <c r="BJ329" s="717">
        <v>2.2504585442039344E-3</v>
      </c>
      <c r="BK329" s="717">
        <v>6.1109752726083736E-3</v>
      </c>
      <c r="BL329" s="717">
        <v>1.4290973273938939E-2</v>
      </c>
      <c r="BM329" s="717">
        <v>2.4823863903403545E-2</v>
      </c>
      <c r="BN329" s="717">
        <v>4.8809794079342612E-2</v>
      </c>
      <c r="BO329" s="718">
        <v>7.7074547720820161E-2</v>
      </c>
      <c r="BP329" s="717">
        <v>0.11951808753359812</v>
      </c>
      <c r="BQ329" s="717">
        <v>0.16286828260095973</v>
      </c>
      <c r="BR329" s="717">
        <v>0.21330209653026996</v>
      </c>
      <c r="BS329" s="717">
        <v>0.26306830535528464</v>
      </c>
      <c r="BT329" s="717">
        <v>0.3145179828372886</v>
      </c>
      <c r="BW329" s="1162">
        <f>'2022'!R\Max</f>
        <v>0.91303430565658728</v>
      </c>
      <c r="BX329" s="1163">
        <f>'2023'!R\Max</f>
        <v>0.91272131486492036</v>
      </c>
      <c r="BY329" s="1163">
        <f>'2024'!R\Max</f>
        <v>0.9124001637755268</v>
      </c>
      <c r="BZ329" s="1163">
        <f>'2025'!R\Max</f>
        <v>0.91207732434408628</v>
      </c>
      <c r="CA329" s="1163">
        <f>'2026'!R\Max</f>
        <v>0.91170044259704108</v>
      </c>
      <c r="CB329" s="1163">
        <f>'2027'!R\Max</f>
        <v>0.91132063510538686</v>
      </c>
      <c r="CC329" s="1164">
        <f>'2028'!R\Max</f>
        <v>0.91094361489619502</v>
      </c>
      <c r="CD329" s="1163">
        <f>'2029'!R\Max</f>
        <v>0.91304990811508391</v>
      </c>
      <c r="CE329" s="1163">
        <f>'2030'!R\Max</f>
        <v>0.91273699291676469</v>
      </c>
      <c r="CF329" s="1165">
        <f>'2031'!R\Max</f>
        <v>0.91241625610653576</v>
      </c>
    </row>
    <row r="330" spans="1:84" s="6" customFormat="1" ht="11.25" x14ac:dyDescent="0.2">
      <c r="A330" s="11">
        <v>43416</v>
      </c>
      <c r="B330" s="375">
        <f>'2022'!Maxi_hp</f>
        <v>23.244988021571906</v>
      </c>
      <c r="C330" s="13">
        <f>'2022'!An_max</f>
        <v>2022</v>
      </c>
      <c r="D330" s="1050" t="str">
        <f t="shared" si="116"/>
        <v/>
      </c>
      <c r="E330" s="1045">
        <f>AJ$13/10</f>
        <v>24.975000000000001</v>
      </c>
      <c r="F330" s="13">
        <f t="shared" si="133"/>
        <v>25</v>
      </c>
      <c r="G330" s="13">
        <f t="shared" si="117"/>
        <v>24</v>
      </c>
      <c r="H330" s="169">
        <f t="shared" si="118"/>
        <v>43430</v>
      </c>
      <c r="I330" s="744">
        <f t="shared" si="119"/>
        <v>1</v>
      </c>
      <c r="J330" s="737">
        <f t="shared" si="120"/>
        <v>24.975000000745059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43">
        <v>43416</v>
      </c>
      <c r="AP330" s="13">
        <f t="shared" si="121"/>
        <v>13</v>
      </c>
      <c r="AQ330" s="13">
        <f t="shared" si="122"/>
        <v>14</v>
      </c>
      <c r="AR330" s="169">
        <f t="shared" si="123"/>
        <v>43416</v>
      </c>
      <c r="AS330" s="744">
        <f t="shared" si="124"/>
        <v>0</v>
      </c>
      <c r="AT330" s="760">
        <f t="shared" si="125"/>
        <v>24.975000000000001</v>
      </c>
      <c r="AU330" s="13">
        <f t="shared" si="126"/>
        <v>13</v>
      </c>
      <c r="AV330" s="13">
        <f t="shared" si="127"/>
        <v>12</v>
      </c>
      <c r="AW330" s="169">
        <f t="shared" si="128"/>
        <v>43430</v>
      </c>
      <c r="AX330" s="744">
        <f t="shared" si="129"/>
        <v>0.5</v>
      </c>
      <c r="AY330" s="760">
        <f t="shared" si="130"/>
        <v>25.024950000643731</v>
      </c>
      <c r="AZ330" s="737">
        <f t="shared" si="134"/>
        <v>24.999975000321868</v>
      </c>
      <c r="BA330" s="634">
        <f t="shared" si="131"/>
        <v>0.93073025108622454</v>
      </c>
      <c r="BC330" s="11">
        <v>43416</v>
      </c>
      <c r="BD330" s="286">
        <f>[3]!FeuilCaduc*(1-Persistant)+Persistant</f>
        <v>0.72273289002272234</v>
      </c>
      <c r="BE330" s="287">
        <f>[3]!CroissVégét</f>
        <v>0.99861879125535868</v>
      </c>
      <c r="BF330" s="807">
        <f>1+[3]!Salcycl*Ksac</f>
        <v>1.0153416112528404</v>
      </c>
      <c r="BH330" s="1041">
        <f t="shared" si="132"/>
        <v>8.5722043806297082E-2</v>
      </c>
      <c r="BI330" s="11">
        <v>44512</v>
      </c>
      <c r="BJ330" s="717">
        <v>2.2922406289823966E-3</v>
      </c>
      <c r="BK330" s="717">
        <v>7.0719539664413703E-3</v>
      </c>
      <c r="BL330" s="717">
        <v>1.6822039614827894E-2</v>
      </c>
      <c r="BM330" s="717">
        <v>2.9242918893810466E-2</v>
      </c>
      <c r="BN330" s="717">
        <v>5.5558327598022865E-2</v>
      </c>
      <c r="BO330" s="718">
        <v>8.5909711692969945E-2</v>
      </c>
      <c r="BP330" s="717">
        <v>0.12985618544724614</v>
      </c>
      <c r="BQ330" s="717">
        <v>0.17422191560519792</v>
      </c>
      <c r="BR330" s="717">
        <v>0.22479882435692633</v>
      </c>
      <c r="BS330" s="717">
        <v>0.27455332584472431</v>
      </c>
      <c r="BT330" s="717">
        <v>0.3256555251309341</v>
      </c>
      <c r="BW330" s="1162">
        <f>'2022'!R\Max</f>
        <v>0.93073025108622454</v>
      </c>
      <c r="BX330" s="1163">
        <f>'2023'!R\Max</f>
        <v>0.93046559540194884</v>
      </c>
      <c r="BY330" s="1163">
        <f>'2024'!R\Max</f>
        <v>0.93019705416741894</v>
      </c>
      <c r="BZ330" s="1163">
        <f>'2025'!R\Max</f>
        <v>0.92992706479674947</v>
      </c>
      <c r="CA330" s="1163">
        <f>'2026'!R\Max</f>
        <v>0.9296180629440951</v>
      </c>
      <c r="CB330" s="1163">
        <f>'2027'!R\Max</f>
        <v>0.92930667203345985</v>
      </c>
      <c r="CC330" s="1164">
        <f>'2028'!R\Max</f>
        <v>0.92899843507933955</v>
      </c>
      <c r="CD330" s="1163">
        <f>'2029'!R\Max</f>
        <v>0.93074344167074219</v>
      </c>
      <c r="CE330" s="1163">
        <f>'2030'!R\Max</f>
        <v>0.93047885446800915</v>
      </c>
      <c r="CF330" s="1165">
        <f>'2031'!R\Max</f>
        <v>0.9302105100432293</v>
      </c>
    </row>
    <row r="331" spans="1:84" s="6" customFormat="1" ht="11.25" x14ac:dyDescent="0.2">
      <c r="A331" s="11">
        <v>43417</v>
      </c>
      <c r="B331" s="375">
        <f>'2022'!Maxi_hp</f>
        <v>22.136158270343074</v>
      </c>
      <c r="C331" s="13">
        <f>'2022'!An_max</f>
        <v>2022</v>
      </c>
      <c r="D331" s="1050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69">
        <f t="shared" si="118"/>
        <v>43430</v>
      </c>
      <c r="I331" s="744">
        <f t="shared" si="119"/>
        <v>0.9285714285714286</v>
      </c>
      <c r="J331" s="737">
        <f t="shared" si="120"/>
        <v>24.656441327237655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43">
        <v>43417</v>
      </c>
      <c r="AP331" s="13">
        <f t="shared" si="121"/>
        <v>13</v>
      </c>
      <c r="AQ331" s="13">
        <f t="shared" si="122"/>
        <v>14</v>
      </c>
      <c r="AR331" s="169">
        <f t="shared" si="123"/>
        <v>43416</v>
      </c>
      <c r="AS331" s="744">
        <f t="shared" si="124"/>
        <v>3.5714285714285712E-2</v>
      </c>
      <c r="AT331" s="760">
        <f t="shared" si="125"/>
        <v>24.662209984101356</v>
      </c>
      <c r="AU331" s="13">
        <f t="shared" si="126"/>
        <v>13</v>
      </c>
      <c r="AV331" s="13">
        <f t="shared" si="127"/>
        <v>12</v>
      </c>
      <c r="AW331" s="169">
        <f t="shared" si="128"/>
        <v>43430</v>
      </c>
      <c r="AX331" s="744">
        <f t="shared" si="129"/>
        <v>0.4642857142857143</v>
      </c>
      <c r="AY331" s="760">
        <f t="shared" si="130"/>
        <v>24.693712691403924</v>
      </c>
      <c r="AZ331" s="737">
        <f t="shared" si="134"/>
        <v>24.677961337752642</v>
      </c>
      <c r="BA331" s="634">
        <f t="shared" si="131"/>
        <v>0.8977839898529697</v>
      </c>
      <c r="BC331" s="11">
        <v>43417</v>
      </c>
      <c r="BD331" s="286">
        <f>[3]!FeuilCaduc*(1-Persistant)+Persistant</f>
        <v>0.71745626662741557</v>
      </c>
      <c r="BE331" s="287">
        <f>[3]!CroissVégét</f>
        <v>0.99868762484886009</v>
      </c>
      <c r="BF331" s="807">
        <f>1+[3]!Salcycl*Ksac</f>
        <v>1.014682033328427</v>
      </c>
      <c r="BH331" s="1041">
        <f t="shared" si="132"/>
        <v>9.5083681896091482E-2</v>
      </c>
      <c r="BI331" s="11">
        <v>44513</v>
      </c>
      <c r="BJ331" s="717">
        <v>2.3321301303308103E-3</v>
      </c>
      <c r="BK331" s="717">
        <v>8.1601905826178892E-3</v>
      </c>
      <c r="BL331" s="717">
        <v>1.9652449285422379E-2</v>
      </c>
      <c r="BM331" s="717">
        <v>3.4150986996285417E-2</v>
      </c>
      <c r="BN331" s="717">
        <v>6.286823615250009E-2</v>
      </c>
      <c r="BO331" s="718">
        <v>9.5284114912341164E-2</v>
      </c>
      <c r="BP331" s="717">
        <v>0.14051957170766441</v>
      </c>
      <c r="BQ331" s="717">
        <v>0.18566840160941869</v>
      </c>
      <c r="BR331" s="717">
        <v>0.23611058479869121</v>
      </c>
      <c r="BS331" s="717">
        <v>0.2856611179721214</v>
      </c>
      <c r="BT331" s="717">
        <v>0.33627533267048348</v>
      </c>
      <c r="BW331" s="1162">
        <f>'2022'!R\Max</f>
        <v>0.8977839898529697</v>
      </c>
      <c r="BX331" s="1163">
        <f>'2023'!R\Max</f>
        <v>0.89739408722913006</v>
      </c>
      <c r="BY331" s="1163">
        <f>'2024'!R\Max</f>
        <v>0.89700293812053178</v>
      </c>
      <c r="BZ331" s="1163">
        <f>'2025'!R\Max</f>
        <v>0.89660980311235738</v>
      </c>
      <c r="CA331" s="1163">
        <f>'2026'!R\Max</f>
        <v>0.89616883203466269</v>
      </c>
      <c r="CB331" s="1163">
        <f>'2027'!R\Max</f>
        <v>0.89572469651486453</v>
      </c>
      <c r="CC331" s="1164">
        <f>'2028'!R\Max</f>
        <v>0.89528581679375696</v>
      </c>
      <c r="CD331" s="1163">
        <f>'2029'!R\Max</f>
        <v>0.89780342381164735</v>
      </c>
      <c r="CE331" s="1163">
        <f>'2030'!R\Max</f>
        <v>0.89741362017230475</v>
      </c>
      <c r="CF331" s="1165">
        <f>'2031'!R\Max</f>
        <v>0.89702253302538537</v>
      </c>
    </row>
    <row r="332" spans="1:84" s="6" customFormat="1" ht="11.25" x14ac:dyDescent="0.2">
      <c r="A332" s="11">
        <v>43418</v>
      </c>
      <c r="B332" s="375">
        <f>'2022'!Maxi_hp</f>
        <v>11.943103695327389</v>
      </c>
      <c r="C332" s="13">
        <f>'2022'!An_max</f>
        <v>2022</v>
      </c>
      <c r="D332" s="1050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69">
        <f t="shared" si="118"/>
        <v>43430</v>
      </c>
      <c r="I332" s="744">
        <f t="shared" si="119"/>
        <v>0.8571428571428571</v>
      </c>
      <c r="J332" s="737">
        <f t="shared" si="120"/>
        <v>24.342979591446266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43">
        <v>43418</v>
      </c>
      <c r="AP332" s="13">
        <f t="shared" si="121"/>
        <v>13</v>
      </c>
      <c r="AQ332" s="13">
        <f t="shared" si="122"/>
        <v>14</v>
      </c>
      <c r="AR332" s="169">
        <f t="shared" si="123"/>
        <v>43416</v>
      </c>
      <c r="AS332" s="744">
        <f t="shared" si="124"/>
        <v>7.1428571428571425E-2</v>
      </c>
      <c r="AT332" s="760">
        <f t="shared" si="125"/>
        <v>24.348634557585633</v>
      </c>
      <c r="AU332" s="13">
        <f t="shared" si="126"/>
        <v>13</v>
      </c>
      <c r="AV332" s="13">
        <f t="shared" si="127"/>
        <v>12</v>
      </c>
      <c r="AW332" s="169">
        <f t="shared" si="128"/>
        <v>43430</v>
      </c>
      <c r="AX332" s="744">
        <f t="shared" si="129"/>
        <v>0.42857142857142855</v>
      </c>
      <c r="AY332" s="760">
        <f t="shared" si="130"/>
        <v>24.367444898720297</v>
      </c>
      <c r="AZ332" s="737">
        <f t="shared" si="134"/>
        <v>24.358039728152967</v>
      </c>
      <c r="BA332" s="634">
        <f t="shared" si="131"/>
        <v>0.4906179890782148</v>
      </c>
      <c r="BC332" s="11">
        <v>43418</v>
      </c>
      <c r="BD332" s="286">
        <f>[3]!FeuilCaduc*(1-Persistant)+Persistant</f>
        <v>0.71227289730794707</v>
      </c>
      <c r="BE332" s="287">
        <f>[3]!CroissVégét</f>
        <v>0.99875369591398344</v>
      </c>
      <c r="BF332" s="807">
        <f>1+[3]!Salcycl*Ksac</f>
        <v>1.0140341121634935</v>
      </c>
      <c r="BH332" s="1041">
        <f t="shared" si="132"/>
        <v>0.10479265081327879</v>
      </c>
      <c r="BI332" s="11">
        <v>44514</v>
      </c>
      <c r="BJ332" s="717">
        <v>2.5162057853113998E-3</v>
      </c>
      <c r="BK332" s="717">
        <v>9.6080286291335831E-3</v>
      </c>
      <c r="BL332" s="717">
        <v>2.2982124653384409E-2</v>
      </c>
      <c r="BM332" s="717">
        <v>3.9648173545252643E-2</v>
      </c>
      <c r="BN332" s="717">
        <v>7.0670143859601367E-2</v>
      </c>
      <c r="BO332" s="718">
        <v>0.10500494888437058</v>
      </c>
      <c r="BP332" s="717">
        <v>0.15125273415654597</v>
      </c>
      <c r="BQ332" s="717">
        <v>0.19693552418623991</v>
      </c>
      <c r="BR332" s="717">
        <v>0.24699479123761411</v>
      </c>
      <c r="BS332" s="717">
        <v>0.29616433967089234</v>
      </c>
      <c r="BT332" s="717">
        <v>0.34616772543113311</v>
      </c>
      <c r="BW332" s="1162">
        <f>'2022'!R\Max</f>
        <v>0.4906179890782148</v>
      </c>
      <c r="BX332" s="1163">
        <f>'2023'!R\Max</f>
        <v>0.48952817528502485</v>
      </c>
      <c r="BY332" s="1163">
        <f>'2024'!R\Max</f>
        <v>0.48844970502723389</v>
      </c>
      <c r="BZ332" s="1163">
        <f>'2025'!R\Max</f>
        <v>0.48736963402791272</v>
      </c>
      <c r="CA332" s="1163">
        <f>'2026'!R\Max</f>
        <v>0.48618545132592272</v>
      </c>
      <c r="CB332" s="1163">
        <f>'2027'!R\Max</f>
        <v>0.48499770778767909</v>
      </c>
      <c r="CC332" s="1164">
        <f>'2028'!R\Max</f>
        <v>0.48382868646782851</v>
      </c>
      <c r="CD332" s="1163">
        <f>'2029'!R\Max</f>
        <v>0.49067240613755897</v>
      </c>
      <c r="CE332" s="1163">
        <f>'2030'!R\Max</f>
        <v>0.48958268327984872</v>
      </c>
      <c r="CF332" s="1165">
        <f>'2031'!R\Max</f>
        <v>0.48850363610526154</v>
      </c>
    </row>
    <row r="333" spans="1:84" s="6" customFormat="1" ht="11.25" x14ac:dyDescent="0.2">
      <c r="A333" s="11">
        <v>43419</v>
      </c>
      <c r="B333" s="375">
        <f>'2022'!Maxi_hp</f>
        <v>13.567075240802856</v>
      </c>
      <c r="C333" s="13">
        <f>'2022'!An_max</f>
        <v>2022</v>
      </c>
      <c r="D333" s="1050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69">
        <f t="shared" si="118"/>
        <v>43430</v>
      </c>
      <c r="I333" s="744">
        <f t="shared" si="119"/>
        <v>0.7857142857142857</v>
      </c>
      <c r="J333" s="737">
        <f t="shared" si="120"/>
        <v>24.034614796776857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43">
        <v>43419</v>
      </c>
      <c r="AP333" s="13">
        <f t="shared" si="121"/>
        <v>13</v>
      </c>
      <c r="AQ333" s="13">
        <f t="shared" si="122"/>
        <v>14</v>
      </c>
      <c r="AR333" s="169">
        <f t="shared" si="123"/>
        <v>43416</v>
      </c>
      <c r="AS333" s="744">
        <f t="shared" si="124"/>
        <v>0.10714285714285714</v>
      </c>
      <c r="AT333" s="760">
        <f t="shared" si="125"/>
        <v>24.034903146938554</v>
      </c>
      <c r="AU333" s="13">
        <f t="shared" si="126"/>
        <v>13</v>
      </c>
      <c r="AV333" s="13">
        <f t="shared" si="127"/>
        <v>12</v>
      </c>
      <c r="AW333" s="169">
        <f t="shared" si="128"/>
        <v>43430</v>
      </c>
      <c r="AX333" s="744">
        <f t="shared" si="129"/>
        <v>0.39285714285714285</v>
      </c>
      <c r="AY333" s="760">
        <f t="shared" si="130"/>
        <v>24.046528890476164</v>
      </c>
      <c r="AZ333" s="737">
        <f t="shared" si="134"/>
        <v>24.040716018707357</v>
      </c>
      <c r="BA333" s="634">
        <f t="shared" si="131"/>
        <v>0.56448066072697189</v>
      </c>
      <c r="BC333" s="11">
        <v>43419</v>
      </c>
      <c r="BD333" s="286">
        <f>[3]!FeuilCaduc*(1-Persistant)+Persistant</f>
        <v>0.70718946337911481</v>
      </c>
      <c r="BE333" s="287">
        <f>[3]!CroissVégét</f>
        <v>0.99881711497657366</v>
      </c>
      <c r="BF333" s="807">
        <f>1+[3]!Salcycl*Ksac</f>
        <v>1.0133986829223893</v>
      </c>
      <c r="BH333" s="1041">
        <f t="shared" si="132"/>
        <v>0.11447280028649359</v>
      </c>
      <c r="BI333" s="11">
        <v>44515</v>
      </c>
      <c r="BJ333" s="717">
        <v>2.8438847533887807E-3</v>
      </c>
      <c r="BK333" s="717">
        <v>1.141977187033629E-2</v>
      </c>
      <c r="BL333" s="717">
        <v>2.6758582408163367E-2</v>
      </c>
      <c r="BM333" s="717">
        <v>4.5589609870363389E-2</v>
      </c>
      <c r="BN333" s="717">
        <v>7.8691398107562163E-2</v>
      </c>
      <c r="BO333" s="718">
        <v>0.1146954194121592</v>
      </c>
      <c r="BP333" s="717">
        <v>0.16169456287736353</v>
      </c>
      <c r="BQ333" s="717">
        <v>0.20775997440944916</v>
      </c>
      <c r="BR333" s="717">
        <v>0.25737004162143223</v>
      </c>
      <c r="BS333" s="717">
        <v>0.30612436141200772</v>
      </c>
      <c r="BT333" s="717">
        <v>0.35553647144497164</v>
      </c>
      <c r="BW333" s="1162">
        <f>'2022'!R\Max</f>
        <v>0.56448066072697189</v>
      </c>
      <c r="BX333" s="1163">
        <f>'2023'!R\Max</f>
        <v>0.56338465062154686</v>
      </c>
      <c r="BY333" s="1163">
        <f>'2024'!R\Max</f>
        <v>0.56230759903752336</v>
      </c>
      <c r="BZ333" s="1163">
        <f>'2025'!R\Max</f>
        <v>0.56122833951006246</v>
      </c>
      <c r="CA333" s="1163">
        <f>'2026'!R\Max</f>
        <v>0.56006435248052777</v>
      </c>
      <c r="CB333" s="1163">
        <f>'2027'!R\Max</f>
        <v>0.55889631438501919</v>
      </c>
      <c r="CC333" s="1164">
        <f>'2028'!R\Max</f>
        <v>0.55774529036459974</v>
      </c>
      <c r="CD333" s="1163">
        <f>'2029'!R\Max</f>
        <v>0.56453536720935871</v>
      </c>
      <c r="CE333" s="1163">
        <f>'2030'!R\Max</f>
        <v>0.5634394866393827</v>
      </c>
      <c r="CF333" s="1165">
        <f>'2031'!R\Max</f>
        <v>0.56236147060367392</v>
      </c>
    </row>
    <row r="334" spans="1:84" s="6" customFormat="1" ht="11.25" x14ac:dyDescent="0.2">
      <c r="A334" s="11">
        <v>43420</v>
      </c>
      <c r="B334" s="375">
        <f>'2022'!Maxi_hp</f>
        <v>22.703232155133165</v>
      </c>
      <c r="C334" s="13">
        <f>'2022'!An_max</f>
        <v>2022</v>
      </c>
      <c r="D334" s="1050" t="str">
        <f t="shared" si="116"/>
        <v/>
      </c>
      <c r="E334" s="13"/>
      <c r="F334" s="13">
        <f t="shared" si="133"/>
        <v>25</v>
      </c>
      <c r="G334" s="13">
        <f t="shared" si="117"/>
        <v>24</v>
      </c>
      <c r="H334" s="169">
        <f t="shared" si="118"/>
        <v>43430</v>
      </c>
      <c r="I334" s="744">
        <f t="shared" si="119"/>
        <v>0.7142857142857143</v>
      </c>
      <c r="J334" s="737">
        <f t="shared" si="120"/>
        <v>23.731346939184839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43">
        <v>43420</v>
      </c>
      <c r="AP334" s="13">
        <f t="shared" si="121"/>
        <v>13</v>
      </c>
      <c r="AQ334" s="13">
        <f t="shared" si="122"/>
        <v>14</v>
      </c>
      <c r="AR334" s="169">
        <f t="shared" si="123"/>
        <v>43416</v>
      </c>
      <c r="AS334" s="744">
        <f t="shared" si="124"/>
        <v>0.14285714285714285</v>
      </c>
      <c r="AT334" s="760">
        <f t="shared" si="125"/>
        <v>23.721645179178036</v>
      </c>
      <c r="AU334" s="13">
        <f t="shared" si="126"/>
        <v>13</v>
      </c>
      <c r="AV334" s="13">
        <f t="shared" si="127"/>
        <v>12</v>
      </c>
      <c r="AW334" s="169">
        <f t="shared" si="128"/>
        <v>43430</v>
      </c>
      <c r="AX334" s="744">
        <f t="shared" si="129"/>
        <v>0.35714285714285715</v>
      </c>
      <c r="AY334" s="760">
        <f t="shared" si="130"/>
        <v>23.73134693942432</v>
      </c>
      <c r="AZ334" s="737">
        <f t="shared" si="134"/>
        <v>23.726496059301176</v>
      </c>
      <c r="BA334" s="634">
        <f t="shared" si="131"/>
        <v>0.9566769308675831</v>
      </c>
      <c r="BC334" s="11">
        <v>43420</v>
      </c>
      <c r="BD334" s="286">
        <f>[3]!FeuilCaduc*(1-Persistant)+Persistant</f>
        <v>0.70221227596561042</v>
      </c>
      <c r="BE334" s="287">
        <f>[3]!CroissVégét</f>
        <v>0.9988779881675528</v>
      </c>
      <c r="BF334" s="807">
        <f>1+[3]!Salcycl*Ksac</f>
        <v>1.0127765344957014</v>
      </c>
      <c r="BH334" s="1041">
        <f t="shared" si="132"/>
        <v>0.12412369909624901</v>
      </c>
      <c r="BI334" s="11">
        <v>44516</v>
      </c>
      <c r="BJ334" s="717">
        <v>3.3152919531900223E-3</v>
      </c>
      <c r="BK334" s="717">
        <v>1.3595701465186611E-2</v>
      </c>
      <c r="BL334" s="717">
        <v>3.0982107225042198E-2</v>
      </c>
      <c r="BM334" s="717">
        <v>5.1975493011366912E-2</v>
      </c>
      <c r="BN334" s="717">
        <v>8.6931887051360499E-2</v>
      </c>
      <c r="BO334" s="718">
        <v>0.12435509328918615</v>
      </c>
      <c r="BP334" s="717">
        <v>0.17184431445818638</v>
      </c>
      <c r="BQ334" s="717">
        <v>0.21814081668623322</v>
      </c>
      <c r="BR334" s="717">
        <v>0.26723531449382198</v>
      </c>
      <c r="BS334" s="717">
        <v>0.31554010614492306</v>
      </c>
      <c r="BT334" s="717">
        <v>0.3643804949892156</v>
      </c>
      <c r="BW334" s="1162">
        <f>'2022'!R\Max</f>
        <v>0.9566769308675831</v>
      </c>
      <c r="BX334" s="1163">
        <f>'2023'!R\Max</f>
        <v>0.95648883099223869</v>
      </c>
      <c r="BY334" s="1163">
        <f>'2024'!R\Max</f>
        <v>0.95630430706665281</v>
      </c>
      <c r="BZ334" s="1163">
        <f>'2025'!R\Max</f>
        <v>0.95611876736024914</v>
      </c>
      <c r="CA334" s="1163">
        <f>'2026'!R\Max</f>
        <v>0.95592097679573207</v>
      </c>
      <c r="CB334" s="1163">
        <f>'2027'!R\Max</f>
        <v>0.95572179823160985</v>
      </c>
      <c r="CC334" s="1164">
        <f>'2028'!R\Max</f>
        <v>0.95552456200933789</v>
      </c>
      <c r="CD334" s="1163">
        <f>'2029'!R\Max</f>
        <v>0.95668630202292426</v>
      </c>
      <c r="CE334" s="1163">
        <f>'2030'!R\Max</f>
        <v>0.95649825816441381</v>
      </c>
      <c r="CF334" s="1165">
        <f>'2031'!R\Max</f>
        <v>0.95631355123458639</v>
      </c>
    </row>
    <row r="335" spans="1:84" s="6" customFormat="1" ht="11.25" x14ac:dyDescent="0.2">
      <c r="A335" s="11">
        <v>43421</v>
      </c>
      <c r="B335" s="375">
        <f>'2022'!Maxi_hp</f>
        <v>14.903968962126475</v>
      </c>
      <c r="C335" s="13">
        <f>'2022'!An_max</f>
        <v>2022</v>
      </c>
      <c r="D335" s="1050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69">
        <f t="shared" ref="H335:H380" si="137">INDEX(x.2m,F335)</f>
        <v>43430</v>
      </c>
      <c r="I335" s="744">
        <f t="shared" ref="I335:I380" si="138">($A335-H335)/(INDEX(x.2m,G335)-H335)</f>
        <v>0.6428571428571429</v>
      </c>
      <c r="J335" s="737">
        <f t="shared" ref="J335:J380" si="139">((1-I335)*(INDEX(a.m,F335)*$A335*$A335+INDEX(b.m,F335)*$A335+INDEX(c.m,F335))+I335*(INDEX(a.m,G335)*$A335*$A335+INDEX(b.m,G335)*$A335+INDEX(c.m,G335)))/10</f>
        <v>23.433176020798939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43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69">
        <f t="shared" ref="AR335:AR380" si="142">INDEX(x.2lg,AP335)</f>
        <v>43416</v>
      </c>
      <c r="AS335" s="744">
        <f t="shared" ref="AS335:AS380" si="143">($A335-AR335)/(INDEX(x.2lg,AQ335)-AR335)</f>
        <v>0.17857142857142858</v>
      </c>
      <c r="AT335" s="760">
        <f t="shared" ref="AT335:AT380" si="144">((1-AS335)*(INDEX(a.lg,AP335)*$A335*$A335+INDEX(b.lg,AP335)*$A335+INDEX(c.lg,AP335))+AS335*(INDEX(a.lg,AQ335)*$A335*$A335+INDEX(b.lg,AQ335)*$A335+INDEX(c.lg,AQ335)))/10</f>
        <v>23.409490084914221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69">
        <f t="shared" ref="AW335:AW380" si="147">INDEX(x.2ld,AU335)</f>
        <v>43430</v>
      </c>
      <c r="AX335" s="744">
        <f t="shared" ref="AX335:AX380" si="148">($A335-AW335)/(INDEX(x.2ld,AV335)-AW335)</f>
        <v>0.32142857142857145</v>
      </c>
      <c r="AY335" s="760">
        <f t="shared" ref="AY335:AY380" si="149">((1-AX335)*(INDEX(a.ld,AU335)*$A335*$A335+INDEX(b.ld,AU335)*$A335+INDEX(c.ld,AU335))+AX335*(INDEX(a.ld,AV335)*$A335*$A335+INDEX(b.ld,AV335)*$A335+INDEX(c.ld,AV335)))/10</f>
        <v>23.422281314153224</v>
      </c>
      <c r="AZ335" s="737">
        <f t="shared" si="134"/>
        <v>23.415885699533725</v>
      </c>
      <c r="BA335" s="634">
        <f t="shared" ref="BA335:BA380" si="150">+B335/J335</f>
        <v>0.63602001490954252</v>
      </c>
      <c r="BC335" s="11">
        <v>43421</v>
      </c>
      <c r="BD335" s="286">
        <f>[3]!FeuilCaduc*(1-Persistant)+Persistant</f>
        <v>0.69734724864930842</v>
      </c>
      <c r="BE335" s="287">
        <f>[3]!CroissVégét</f>
        <v>0.99893641739554129</v>
      </c>
      <c r="BF335" s="807">
        <f>1+[3]!Salcycl*Ksac</f>
        <v>1.0121684060811635</v>
      </c>
      <c r="BH335" s="1041">
        <f t="shared" ref="BH335:BH380" si="151">INDEX($BJ335:$BT335,,$BH$10)*(1-Ratini)+INDEX($BJ335:$BT335,,$BH$10+1)*Ratini</f>
        <v>0.13374488878554458</v>
      </c>
      <c r="BI335" s="11">
        <v>44517</v>
      </c>
      <c r="BJ335" s="717">
        <v>3.9305413924386155E-3</v>
      </c>
      <c r="BK335" s="717">
        <v>1.6136067958357644E-2</v>
      </c>
      <c r="BL335" s="717">
        <v>3.5652941504981363E-2</v>
      </c>
      <c r="BM335" s="717">
        <v>5.8805971370023857E-2</v>
      </c>
      <c r="BN335" s="717">
        <v>9.5391459468242512E-2</v>
      </c>
      <c r="BO335" s="718">
        <v>0.13398351014694898</v>
      </c>
      <c r="BP335" s="717">
        <v>0.18170123409546132</v>
      </c>
      <c r="BQ335" s="717">
        <v>0.2280771133424945</v>
      </c>
      <c r="BR335" s="717">
        <v>0.2765895922660912</v>
      </c>
      <c r="BS335" s="717">
        <v>0.32441050431920365</v>
      </c>
      <c r="BT335" s="717">
        <v>0.37269872828916062</v>
      </c>
      <c r="BW335" s="1162">
        <f>'2022'!R\Max</f>
        <v>0.63602001490954252</v>
      </c>
      <c r="BX335" s="1163">
        <f>'2023'!R\Max</f>
        <v>0.63495980251264028</v>
      </c>
      <c r="BY335" s="1163">
        <f>'2024'!R\Max</f>
        <v>0.63392586119463024</v>
      </c>
      <c r="BZ335" s="1163">
        <f>'2025'!R\Max</f>
        <v>0.63288921120257746</v>
      </c>
      <c r="CA335" s="1163">
        <f>'2026'!R\Max</f>
        <v>0.63180210259574199</v>
      </c>
      <c r="CB335" s="1163">
        <f>'2027'!R\Max</f>
        <v>0.63071091720162498</v>
      </c>
      <c r="CC335" s="1164">
        <f>'2028'!R\Max</f>
        <v>0.62963170006891633</v>
      </c>
      <c r="CD335" s="1163">
        <f>'2029'!R\Max</f>
        <v>0.63607291460529625</v>
      </c>
      <c r="CE335" s="1163">
        <f>'2030'!R\Max</f>
        <v>0.63501286560536219</v>
      </c>
      <c r="CF335" s="1165">
        <f>'2031'!R\Max</f>
        <v>0.63397758734375864</v>
      </c>
    </row>
    <row r="336" spans="1:84" s="6" customFormat="1" ht="11.25" x14ac:dyDescent="0.2">
      <c r="A336" s="11">
        <v>43422</v>
      </c>
      <c r="B336" s="375">
        <f>'2022'!Maxi_hp</f>
        <v>12.349054372733571</v>
      </c>
      <c r="C336" s="13">
        <f>'2022'!An_max</f>
        <v>2022</v>
      </c>
      <c r="D336" s="1050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69">
        <f t="shared" si="137"/>
        <v>43430</v>
      </c>
      <c r="I336" s="744">
        <f t="shared" si="138"/>
        <v>0.5714285714285714</v>
      </c>
      <c r="J336" s="737">
        <f t="shared" si="139"/>
        <v>23.140102041086983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43">
        <v>43422</v>
      </c>
      <c r="AP336" s="13">
        <f t="shared" si="140"/>
        <v>13</v>
      </c>
      <c r="AQ336" s="13">
        <f t="shared" si="141"/>
        <v>14</v>
      </c>
      <c r="AR336" s="169">
        <f t="shared" si="142"/>
        <v>43416</v>
      </c>
      <c r="AS336" s="744">
        <f t="shared" si="143"/>
        <v>0.21428571428571427</v>
      </c>
      <c r="AT336" s="760">
        <f t="shared" si="144"/>
        <v>23.099067289807966</v>
      </c>
      <c r="AU336" s="13">
        <f t="shared" si="145"/>
        <v>13</v>
      </c>
      <c r="AV336" s="13">
        <f t="shared" si="146"/>
        <v>12</v>
      </c>
      <c r="AW336" s="169">
        <f t="shared" si="147"/>
        <v>43430</v>
      </c>
      <c r="AX336" s="744">
        <f t="shared" si="148"/>
        <v>0.2857142857142857</v>
      </c>
      <c r="AY336" s="760">
        <f t="shared" si="149"/>
        <v>23.119714286816968</v>
      </c>
      <c r="AZ336" s="737">
        <f t="shared" ref="AZ336:AZ380" si="153">(AY336+AT336)/2</f>
        <v>23.109390788312467</v>
      </c>
      <c r="BA336" s="634">
        <f t="shared" si="150"/>
        <v>0.53366464637048272</v>
      </c>
      <c r="BC336" s="11">
        <v>43422</v>
      </c>
      <c r="BD336" s="286">
        <f>[3]!FeuilCaduc*(1-Persistant)+Persistant</f>
        <v>0.69259987253677058</v>
      </c>
      <c r="BE336" s="287">
        <f>[3]!CroissVégét</f>
        <v>0.99899250051286803</v>
      </c>
      <c r="BF336" s="807">
        <f>1+[3]!Salcycl*Ksac</f>
        <v>1.0115749840670962</v>
      </c>
      <c r="BH336" s="1041">
        <f t="shared" si="151"/>
        <v>0.14333588392088559</v>
      </c>
      <c r="BI336" s="11">
        <v>44518</v>
      </c>
      <c r="BJ336" s="717">
        <v>4.6897350676041389E-3</v>
      </c>
      <c r="BK336" s="717">
        <v>1.9041088496472403E-2</v>
      </c>
      <c r="BL336" s="717">
        <v>4.0771281963717848E-2</v>
      </c>
      <c r="BM336" s="717">
        <v>6.608114132810157E-2</v>
      </c>
      <c r="BN336" s="717">
        <v>0.10406992310916231</v>
      </c>
      <c r="BO336" s="718">
        <v>0.14358018272786396</v>
      </c>
      <c r="BP336" s="717">
        <v>0.19126455786923965</v>
      </c>
      <c r="BQ336" s="717">
        <v>0.23756792805747215</v>
      </c>
      <c r="BR336" s="717">
        <v>0.285431865154121</v>
      </c>
      <c r="BS336" s="717">
        <v>0.3327344980782041</v>
      </c>
      <c r="BT336" s="717">
        <v>0.38049011555490148</v>
      </c>
      <c r="BW336" s="1162">
        <f>'2022'!R\Max</f>
        <v>0.53366464637048272</v>
      </c>
      <c r="BX336" s="1163">
        <f>'2023'!R\Max</f>
        <v>0.53251963431117377</v>
      </c>
      <c r="BY336" s="1163">
        <f>'2024'!R\Max</f>
        <v>0.53140497028418154</v>
      </c>
      <c r="BZ336" s="1163">
        <f>'2025'!R\Max</f>
        <v>0.53028840942032485</v>
      </c>
      <c r="CA336" s="1163">
        <f>'2026'!R\Max</f>
        <v>0.52913225358917326</v>
      </c>
      <c r="CB336" s="1163">
        <f>'2027'!R\Max</f>
        <v>0.5279730765979519</v>
      </c>
      <c r="CC336" s="1164">
        <f>'2028'!R\Max</f>
        <v>0.52682482968738953</v>
      </c>
      <c r="CD336" s="1163">
        <f>'2029'!R\Max</f>
        <v>0.53372180496634614</v>
      </c>
      <c r="CE336" s="1163">
        <f>'2030'!R\Max</f>
        <v>0.53257691637428439</v>
      </c>
      <c r="CF336" s="1165">
        <f>'2031'!R\Max</f>
        <v>0.53146071030533959</v>
      </c>
    </row>
    <row r="337" spans="1:84" s="6" customFormat="1" ht="11.25" x14ac:dyDescent="0.2">
      <c r="A337" s="11">
        <v>43423</v>
      </c>
      <c r="B337" s="375">
        <f>'2022'!Maxi_hp</f>
        <v>8.8569305429618339</v>
      </c>
      <c r="C337" s="13">
        <f>'2022'!An_max</f>
        <v>2022</v>
      </c>
      <c r="D337" s="1050" t="str">
        <f t="shared" si="135"/>
        <v/>
      </c>
      <c r="E337" s="13"/>
      <c r="F337" s="13">
        <f t="shared" si="152"/>
        <v>25</v>
      </c>
      <c r="G337" s="13">
        <f t="shared" si="136"/>
        <v>24</v>
      </c>
      <c r="H337" s="169">
        <f t="shared" si="137"/>
        <v>43430</v>
      </c>
      <c r="I337" s="744">
        <f t="shared" si="138"/>
        <v>0.5</v>
      </c>
      <c r="J337" s="737">
        <f t="shared" si="139"/>
        <v>22.852125000581147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43">
        <v>43423</v>
      </c>
      <c r="AP337" s="13">
        <f t="shared" si="140"/>
        <v>13</v>
      </c>
      <c r="AQ337" s="13">
        <f t="shared" si="141"/>
        <v>14</v>
      </c>
      <c r="AR337" s="169">
        <f t="shared" si="142"/>
        <v>43416</v>
      </c>
      <c r="AS337" s="744">
        <f t="shared" si="143"/>
        <v>0.25</v>
      </c>
      <c r="AT337" s="760">
        <f t="shared" si="144"/>
        <v>22.791006223112344</v>
      </c>
      <c r="AU337" s="13">
        <f t="shared" si="145"/>
        <v>13</v>
      </c>
      <c r="AV337" s="13">
        <f t="shared" si="146"/>
        <v>12</v>
      </c>
      <c r="AW337" s="169">
        <f t="shared" si="147"/>
        <v>43430</v>
      </c>
      <c r="AX337" s="744">
        <f t="shared" si="148"/>
        <v>0.25</v>
      </c>
      <c r="AY337" s="760">
        <f t="shared" si="149"/>
        <v>22.824028126616032</v>
      </c>
      <c r="AZ337" s="737">
        <f t="shared" si="153"/>
        <v>22.807517174864188</v>
      </c>
      <c r="BA337" s="634">
        <f t="shared" si="150"/>
        <v>0.38757579624374516</v>
      </c>
      <c r="BC337" s="11">
        <v>43423</v>
      </c>
      <c r="BD337" s="286">
        <f>[3]!FeuilCaduc*(1-Persistant)+Persistant</f>
        <v>0.68797519391974316</v>
      </c>
      <c r="BE337" s="287">
        <f>[3]!CroissVégét</f>
        <v>0.99904633147520905</v>
      </c>
      <c r="BF337" s="807">
        <f>1+[3]!Salcycl*Ksac</f>
        <v>1.0109968992399678</v>
      </c>
      <c r="BH337" s="1041">
        <f t="shared" si="151"/>
        <v>0.15289617235397449</v>
      </c>
      <c r="BI337" s="11">
        <v>44519</v>
      </c>
      <c r="BJ337" s="717">
        <v>5.5929618635785529E-3</v>
      </c>
      <c r="BK337" s="717">
        <v>2.2310944044450869E-2</v>
      </c>
      <c r="BL337" s="717">
        <v>4.6337276221086764E-2</v>
      </c>
      <c r="BM337" s="717">
        <v>7.3801043865718688E-2</v>
      </c>
      <c r="BN337" s="717">
        <v>0.11296704305073409</v>
      </c>
      <c r="BO337" s="718">
        <v>0.15314459715883891</v>
      </c>
      <c r="BP337" s="717">
        <v>0.20053351501924985</v>
      </c>
      <c r="BQ337" s="717">
        <v>0.24661232929937374</v>
      </c>
      <c r="BR337" s="717">
        <v>0.293761135116478</v>
      </c>
      <c r="BS337" s="717">
        <v>0.3405110454540794</v>
      </c>
      <c r="BT337" s="717">
        <v>0.38775361701954369</v>
      </c>
      <c r="BW337" s="1162">
        <f>'2022'!R\Max</f>
        <v>0.38757579624374516</v>
      </c>
      <c r="BX337" s="1163">
        <f>'2023'!R\Max</f>
        <v>0.38648488336486969</v>
      </c>
      <c r="BY337" s="1163">
        <f>'2024'!R\Max</f>
        <v>0.38542287574380757</v>
      </c>
      <c r="BZ337" s="1163">
        <f>'2025'!R\Max</f>
        <v>0.38436042926886382</v>
      </c>
      <c r="CA337" s="1163">
        <f>'2026'!R\Max</f>
        <v>0.38327276956099715</v>
      </c>
      <c r="CB337" s="1163">
        <f>'2027'!R\Max</f>
        <v>0.38218389873475722</v>
      </c>
      <c r="CC337" s="1164">
        <f>'2028'!R\Max</f>
        <v>0.38110324502556109</v>
      </c>
      <c r="CD337" s="1163">
        <f>'2029'!R\Max</f>
        <v>0.38763029266883059</v>
      </c>
      <c r="CE337" s="1163">
        <f>'2030'!R\Max</f>
        <v>0.38653942414910775</v>
      </c>
      <c r="CF337" s="1165">
        <f>'2031'!R\Max</f>
        <v>0.38547595074219504</v>
      </c>
    </row>
    <row r="338" spans="1:84" s="6" customFormat="1" ht="11.25" x14ac:dyDescent="0.2">
      <c r="A338" s="11">
        <v>43424</v>
      </c>
      <c r="B338" s="375">
        <f>'2022'!Maxi_hp</f>
        <v>15.967385749042172</v>
      </c>
      <c r="C338" s="13">
        <f>'2022'!An_max</f>
        <v>2022</v>
      </c>
      <c r="D338" s="1050" t="str">
        <f t="shared" si="135"/>
        <v/>
      </c>
      <c r="E338" s="13"/>
      <c r="F338" s="13">
        <f t="shared" si="152"/>
        <v>25</v>
      </c>
      <c r="G338" s="13">
        <f t="shared" si="136"/>
        <v>24</v>
      </c>
      <c r="H338" s="169">
        <f t="shared" si="137"/>
        <v>43430</v>
      </c>
      <c r="I338" s="744">
        <f t="shared" si="138"/>
        <v>0.42857142857142855</v>
      </c>
      <c r="J338" s="737">
        <f t="shared" si="139"/>
        <v>22.569244898536375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43">
        <v>43424</v>
      </c>
      <c r="AP338" s="13">
        <f t="shared" si="140"/>
        <v>13</v>
      </c>
      <c r="AQ338" s="13">
        <f t="shared" si="141"/>
        <v>14</v>
      </c>
      <c r="AR338" s="169">
        <f t="shared" si="142"/>
        <v>43416</v>
      </c>
      <c r="AS338" s="744">
        <f t="shared" si="143"/>
        <v>0.2857142857142857</v>
      </c>
      <c r="AT338" s="760">
        <f t="shared" si="144"/>
        <v>22.485936311525954</v>
      </c>
      <c r="AU338" s="13">
        <f t="shared" si="145"/>
        <v>13</v>
      </c>
      <c r="AV338" s="13">
        <f t="shared" si="146"/>
        <v>12</v>
      </c>
      <c r="AW338" s="169">
        <f t="shared" si="147"/>
        <v>43430</v>
      </c>
      <c r="AX338" s="744">
        <f t="shared" si="148"/>
        <v>0.21428571428571427</v>
      </c>
      <c r="AY338" s="760">
        <f t="shared" si="149"/>
        <v>22.535605102804091</v>
      </c>
      <c r="AZ338" s="737">
        <f t="shared" si="153"/>
        <v>22.510770707165022</v>
      </c>
      <c r="BA338" s="634">
        <f t="shared" si="150"/>
        <v>0.70748426989144253</v>
      </c>
      <c r="BC338" s="11">
        <v>43424</v>
      </c>
      <c r="BD338" s="286">
        <f>[3]!FeuilCaduc*(1-Persistant)+Persistant</f>
        <v>0.6834777946811299</v>
      </c>
      <c r="BE338" s="287">
        <f>[3]!CroissVégét</f>
        <v>0.99909800049508712</v>
      </c>
      <c r="BF338" s="807">
        <f>1+[3]!Salcycl*Ksac</f>
        <v>1.0104347243351413</v>
      </c>
      <c r="BH338" s="1041">
        <f t="shared" si="151"/>
        <v>0.16218584637213507</v>
      </c>
      <c r="BI338" s="11">
        <v>44520</v>
      </c>
      <c r="BJ338" s="717">
        <v>6.8501827840275718E-3</v>
      </c>
      <c r="BK338" s="717">
        <v>2.5974809268447464E-2</v>
      </c>
      <c r="BL338" s="717">
        <v>5.2230179669427924E-2</v>
      </c>
      <c r="BM338" s="717">
        <v>8.1726155641739961E-2</v>
      </c>
      <c r="BN338" s="717">
        <v>0.12182567519837702</v>
      </c>
      <c r="BO338" s="718">
        <v>0.16243695296581984</v>
      </c>
      <c r="BP338" s="717">
        <v>0.20930381240322796</v>
      </c>
      <c r="BQ338" s="717">
        <v>0.25501850528459635</v>
      </c>
      <c r="BR338" s="717">
        <v>0.30142957889727501</v>
      </c>
      <c r="BS338" s="717">
        <v>0.34764636658776099</v>
      </c>
      <c r="BT338" s="717">
        <v>0.39442619996619105</v>
      </c>
      <c r="BW338" s="1162">
        <f>'2022'!R\Max</f>
        <v>0.70748426989144253</v>
      </c>
      <c r="BX338" s="1163">
        <f>'2023'!R\Max</f>
        <v>0.70653666299139073</v>
      </c>
      <c r="BY338" s="1163">
        <f>'2024'!R\Max</f>
        <v>0.70560862002453539</v>
      </c>
      <c r="BZ338" s="1163">
        <f>'2025'!R\Max</f>
        <v>0.70467748953672982</v>
      </c>
      <c r="CA338" s="1163">
        <f>'2026'!R\Max</f>
        <v>0.7037288697719255</v>
      </c>
      <c r="CB338" s="1163">
        <f>'2027'!R\Max</f>
        <v>0.70277652099724341</v>
      </c>
      <c r="CC338" s="1164">
        <f>'2028'!R\Max</f>
        <v>0.70182456778586555</v>
      </c>
      <c r="CD338" s="1163">
        <f>'2029'!R\Max</f>
        <v>0.70753153489492582</v>
      </c>
      <c r="CE338" s="1163">
        <f>'2030'!R\Max</f>
        <v>0.70658410494285284</v>
      </c>
      <c r="CF338" s="1165">
        <f>'2031'!R\Max</f>
        <v>0.70565506512544585</v>
      </c>
    </row>
    <row r="339" spans="1:84" s="6" customFormat="1" ht="11.25" x14ac:dyDescent="0.2">
      <c r="A339" s="11">
        <v>43425</v>
      </c>
      <c r="B339" s="375">
        <f>'2022'!Maxi_hp</f>
        <v>3.629559805133463</v>
      </c>
      <c r="C339" s="13">
        <f>'2022'!An_max</f>
        <v>2022</v>
      </c>
      <c r="D339" s="1050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69">
        <f t="shared" si="137"/>
        <v>43430</v>
      </c>
      <c r="I339" s="744">
        <f t="shared" si="138"/>
        <v>0.35714285714285715</v>
      </c>
      <c r="J339" s="737">
        <f t="shared" si="139"/>
        <v>22.291461734952669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43">
        <v>43425</v>
      </c>
      <c r="AP339" s="13">
        <f t="shared" si="140"/>
        <v>13</v>
      </c>
      <c r="AQ339" s="13">
        <f t="shared" si="141"/>
        <v>14</v>
      </c>
      <c r="AR339" s="169">
        <f t="shared" si="142"/>
        <v>43416</v>
      </c>
      <c r="AS339" s="744">
        <f t="shared" si="143"/>
        <v>0.32142857142857145</v>
      </c>
      <c r="AT339" s="760">
        <f t="shared" si="144"/>
        <v>22.184486986404018</v>
      </c>
      <c r="AU339" s="13">
        <f t="shared" si="145"/>
        <v>13</v>
      </c>
      <c r="AV339" s="13">
        <f t="shared" si="146"/>
        <v>12</v>
      </c>
      <c r="AW339" s="169">
        <f t="shared" si="147"/>
        <v>43430</v>
      </c>
      <c r="AX339" s="744">
        <f t="shared" si="148"/>
        <v>0.17857142857142858</v>
      </c>
      <c r="AY339" s="760">
        <f t="shared" si="149"/>
        <v>22.254827488839091</v>
      </c>
      <c r="AZ339" s="737">
        <f t="shared" si="153"/>
        <v>22.219657237621554</v>
      </c>
      <c r="BA339" s="634">
        <f t="shared" si="150"/>
        <v>0.16282287129885112</v>
      </c>
      <c r="BC339" s="11">
        <v>43425</v>
      </c>
      <c r="BD339" s="286">
        <f>[3]!FeuilCaduc*(1-Persistant)+Persistant</f>
        <v>0.67911177557735525</v>
      </c>
      <c r="BE339" s="287">
        <f>[3]!CroissVégét</f>
        <v>0.99914759418945731</v>
      </c>
      <c r="BF339" s="807">
        <f>1+[3]!Salcycl*Ksac</f>
        <v>1.0098889719471693</v>
      </c>
      <c r="BH339" s="1041">
        <f t="shared" si="151"/>
        <v>0.1710456015094485</v>
      </c>
      <c r="BI339" s="11">
        <v>44521</v>
      </c>
      <c r="BJ339" s="717">
        <v>8.4642328595490434E-3</v>
      </c>
      <c r="BK339" s="717">
        <v>2.9901847864222619E-2</v>
      </c>
      <c r="BL339" s="717">
        <v>5.820445244060115E-2</v>
      </c>
      <c r="BM339" s="717">
        <v>8.9514364505749511E-2</v>
      </c>
      <c r="BN339" s="717">
        <v>0.130360094632128</v>
      </c>
      <c r="BO339" s="718">
        <v>0.1712987322258748</v>
      </c>
      <c r="BP339" s="717">
        <v>0.21761577500648974</v>
      </c>
      <c r="BQ339" s="717">
        <v>0.26296166029685863</v>
      </c>
      <c r="BR339" s="717">
        <v>0.30870799528935738</v>
      </c>
      <c r="BS339" s="717">
        <v>0.3544602923162623</v>
      </c>
      <c r="BT339" s="717">
        <v>0.40082506435268922</v>
      </c>
      <c r="BW339" s="1162">
        <f>'2022'!R\Max</f>
        <v>0.16282287129885112</v>
      </c>
      <c r="BX339" s="1163">
        <f>'2023'!R\Max</f>
        <v>0.16230428713181058</v>
      </c>
      <c r="BY339" s="1163">
        <f>'2024'!R\Max</f>
        <v>0.16179643269769936</v>
      </c>
      <c r="BZ339" s="1163">
        <f>'2025'!R\Max</f>
        <v>0.16128872199899588</v>
      </c>
      <c r="CA339" s="1163">
        <f>'2026'!R\Max</f>
        <v>0.16077658697463146</v>
      </c>
      <c r="CB339" s="1163">
        <f>'2027'!R\Max</f>
        <v>0.16026439268063022</v>
      </c>
      <c r="CC339" s="1164">
        <f>'2028'!R\Max</f>
        <v>0.15975213251575082</v>
      </c>
      <c r="CD339" s="1163">
        <f>'2029'!R\Max</f>
        <v>0.16284878817839832</v>
      </c>
      <c r="CE339" s="1163">
        <f>'2030'!R\Max</f>
        <v>0.16233020401135778</v>
      </c>
      <c r="CF339" s="1165">
        <f>'2031'!R\Max</f>
        <v>0.16182180616233519</v>
      </c>
    </row>
    <row r="340" spans="1:84" s="6" customFormat="1" ht="11.25" x14ac:dyDescent="0.2">
      <c r="A340" s="11">
        <v>43426</v>
      </c>
      <c r="B340" s="375">
        <f>'2022'!Maxi_hp</f>
        <v>10.192243033063592</v>
      </c>
      <c r="C340" s="13">
        <f>'2022'!An_max</f>
        <v>2022</v>
      </c>
      <c r="D340" s="1050" t="str">
        <f t="shared" si="135"/>
        <v/>
      </c>
      <c r="E340" s="13"/>
      <c r="F340" s="13">
        <f t="shared" si="152"/>
        <v>25</v>
      </c>
      <c r="G340" s="13">
        <f t="shared" si="136"/>
        <v>24</v>
      </c>
      <c r="H340" s="169">
        <f t="shared" si="137"/>
        <v>43430</v>
      </c>
      <c r="I340" s="744">
        <f t="shared" si="138"/>
        <v>0.2857142857142857</v>
      </c>
      <c r="J340" s="737">
        <f t="shared" si="139"/>
        <v>22.01877551057509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43">
        <v>43426</v>
      </c>
      <c r="AP340" s="13">
        <f t="shared" si="140"/>
        <v>13</v>
      </c>
      <c r="AQ340" s="13">
        <f t="shared" si="141"/>
        <v>14</v>
      </c>
      <c r="AR340" s="169">
        <f t="shared" si="142"/>
        <v>43416</v>
      </c>
      <c r="AS340" s="744">
        <f t="shared" si="143"/>
        <v>0.35714285714285715</v>
      </c>
      <c r="AT340" s="760">
        <f t="shared" si="144"/>
        <v>21.887287671970469</v>
      </c>
      <c r="AU340" s="13">
        <f t="shared" si="145"/>
        <v>13</v>
      </c>
      <c r="AV340" s="13">
        <f t="shared" si="146"/>
        <v>12</v>
      </c>
      <c r="AW340" s="169">
        <f t="shared" si="147"/>
        <v>43430</v>
      </c>
      <c r="AX340" s="744">
        <f t="shared" si="148"/>
        <v>0.14285714285714285</v>
      </c>
      <c r="AY340" s="760">
        <f t="shared" si="149"/>
        <v>21.982077552005649</v>
      </c>
      <c r="AZ340" s="737">
        <f t="shared" si="153"/>
        <v>21.934682611988059</v>
      </c>
      <c r="BA340" s="634">
        <f t="shared" si="150"/>
        <v>0.46288873003716768</v>
      </c>
      <c r="BC340" s="11">
        <v>43426</v>
      </c>
      <c r="BD340" s="286">
        <f>[3]!FeuilCaduc*(1-Persistant)+Persistant</f>
        <v>0.67488074250533581</v>
      </c>
      <c r="BE340" s="287">
        <f>[3]!CroissVégét</f>
        <v>0.99919519572159454</v>
      </c>
      <c r="BF340" s="807">
        <f>1+[3]!Salcycl*Ksac</f>
        <v>1.009360092813167</v>
      </c>
      <c r="BH340" s="1041">
        <f t="shared" si="151"/>
        <v>0.17947458133573815</v>
      </c>
      <c r="BI340" s="11">
        <v>44522</v>
      </c>
      <c r="BJ340" s="717">
        <v>1.0435287846904564E-2</v>
      </c>
      <c r="BK340" s="717">
        <v>3.4092043799435028E-2</v>
      </c>
      <c r="BL340" s="717">
        <v>6.4259830032563317E-2</v>
      </c>
      <c r="BM340" s="717">
        <v>9.7165139624436195E-2</v>
      </c>
      <c r="BN340" s="717">
        <v>0.13856956847479604</v>
      </c>
      <c r="BO340" s="718">
        <v>0.17972907774012462</v>
      </c>
      <c r="BP340" s="717">
        <v>0.22546851440972393</v>
      </c>
      <c r="BQ340" s="717">
        <v>0.27044088370927355</v>
      </c>
      <c r="BR340" s="717">
        <v>0.31559552088102721</v>
      </c>
      <c r="BS340" s="717">
        <v>0.36095199400658878</v>
      </c>
      <c r="BT340" s="717">
        <v>0.40694939843602118</v>
      </c>
      <c r="BW340" s="1162">
        <f>'2022'!R\Max</f>
        <v>0.46288873003716768</v>
      </c>
      <c r="BX340" s="1163">
        <f>'2023'!R\Max</f>
        <v>0.46176553533975939</v>
      </c>
      <c r="BY340" s="1163">
        <f>'2024'!R\Max</f>
        <v>0.46065930615039358</v>
      </c>
      <c r="BZ340" s="1163">
        <f>'2025'!R\Max</f>
        <v>0.45955171318532106</v>
      </c>
      <c r="CA340" s="1163">
        <f>'2026'!R\Max</f>
        <v>0.45843806510282903</v>
      </c>
      <c r="CB340" s="1163">
        <f>'2027'!R\Max</f>
        <v>0.45732272556149967</v>
      </c>
      <c r="CC340" s="1164">
        <f>'2028'!R\Max</f>
        <v>0.45620081952529057</v>
      </c>
      <c r="CD340" s="1163">
        <f>'2029'!R\Max</f>
        <v>0.46294481948029048</v>
      </c>
      <c r="CE340" s="1163">
        <f>'2030'!R\Max</f>
        <v>0.46182170784052279</v>
      </c>
      <c r="CF340" s="1165">
        <f>'2031'!R\Max</f>
        <v>0.46071461714202344</v>
      </c>
    </row>
    <row r="341" spans="1:84" s="6" customFormat="1" ht="11.25" x14ac:dyDescent="0.2">
      <c r="A341" s="11">
        <v>43427</v>
      </c>
      <c r="B341" s="375">
        <f>'2022'!Maxi_hp</f>
        <v>13.60365476086419</v>
      </c>
      <c r="C341" s="13">
        <f>'2022'!An_max</f>
        <v>2022</v>
      </c>
      <c r="D341" s="1050" t="str">
        <f t="shared" si="135"/>
        <v/>
      </c>
      <c r="E341" s="13"/>
      <c r="F341" s="13">
        <f t="shared" si="152"/>
        <v>25</v>
      </c>
      <c r="G341" s="13">
        <f t="shared" si="136"/>
        <v>24</v>
      </c>
      <c r="H341" s="169">
        <f t="shared" si="137"/>
        <v>43430</v>
      </c>
      <c r="I341" s="744">
        <f t="shared" si="138"/>
        <v>0.21428571428571427</v>
      </c>
      <c r="J341" s="737">
        <f t="shared" si="139"/>
        <v>21.751186225989034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43">
        <v>43427</v>
      </c>
      <c r="AP341" s="13">
        <f t="shared" si="140"/>
        <v>13</v>
      </c>
      <c r="AQ341" s="13">
        <f t="shared" si="141"/>
        <v>14</v>
      </c>
      <c r="AR341" s="169">
        <f t="shared" si="142"/>
        <v>43416</v>
      </c>
      <c r="AS341" s="744">
        <f t="shared" si="143"/>
        <v>0.39285714285714285</v>
      </c>
      <c r="AT341" s="760">
        <f t="shared" si="144"/>
        <v>21.594967796573684</v>
      </c>
      <c r="AU341" s="13">
        <f t="shared" si="145"/>
        <v>13</v>
      </c>
      <c r="AV341" s="13">
        <f t="shared" si="146"/>
        <v>12</v>
      </c>
      <c r="AW341" s="169">
        <f t="shared" si="147"/>
        <v>43430</v>
      </c>
      <c r="AX341" s="744">
        <f t="shared" si="148"/>
        <v>0.10714285714285714</v>
      </c>
      <c r="AY341" s="760">
        <f t="shared" si="149"/>
        <v>21.717737564058709</v>
      </c>
      <c r="AZ341" s="737">
        <f t="shared" si="153"/>
        <v>21.656352680316196</v>
      </c>
      <c r="BA341" s="634">
        <f t="shared" si="150"/>
        <v>0.62542128137407493</v>
      </c>
      <c r="BC341" s="11">
        <v>43427</v>
      </c>
      <c r="BD341" s="286">
        <f>[3]!FeuilCaduc*(1-Persistant)+Persistant</f>
        <v>0.67078779583869075</v>
      </c>
      <c r="BE341" s="287">
        <f>[3]!CroissVégét</f>
        <v>0.99924088493749397</v>
      </c>
      <c r="BF341" s="807">
        <f>1+[3]!Salcycl*Ksac</f>
        <v>1.0088484744798363</v>
      </c>
      <c r="BH341" s="1041">
        <f t="shared" si="151"/>
        <v>0.18747096464552018</v>
      </c>
      <c r="BI341" s="11">
        <v>44523</v>
      </c>
      <c r="BJ341" s="717">
        <v>1.2763417154624174E-2</v>
      </c>
      <c r="BK341" s="717">
        <v>3.8545141850056162E-2</v>
      </c>
      <c r="BL341" s="717">
        <v>7.0395653643584702E-2</v>
      </c>
      <c r="BM341" s="717">
        <v>0.10467739235612716</v>
      </c>
      <c r="BN341" s="717">
        <v>0.14645260386280093</v>
      </c>
      <c r="BO341" s="718">
        <v>0.18772616626025909</v>
      </c>
      <c r="BP341" s="717">
        <v>0.23285994513739983</v>
      </c>
      <c r="BQ341" s="717">
        <v>0.27745383683170893</v>
      </c>
      <c r="BR341" s="717">
        <v>0.32208962639195055</v>
      </c>
      <c r="BS341" s="717">
        <v>0.36711873708023002</v>
      </c>
      <c r="BT341" s="717">
        <v>0.412796242940625</v>
      </c>
      <c r="BW341" s="1162">
        <f>'2022'!R\Max</f>
        <v>0.62542128137407493</v>
      </c>
      <c r="BX341" s="1163">
        <f>'2023'!R\Max</f>
        <v>0.62436976003680578</v>
      </c>
      <c r="BY341" s="1163">
        <f>'2024'!R\Max</f>
        <v>0.62332762110102069</v>
      </c>
      <c r="BZ341" s="1163">
        <f>'2025'!R\Max</f>
        <v>0.62228262255889943</v>
      </c>
      <c r="CA341" s="1163">
        <f>'2026'!R\Max</f>
        <v>0.62123361271549937</v>
      </c>
      <c r="CB341" s="1163">
        <f>'2027'!R\Max</f>
        <v>0.62018153281172583</v>
      </c>
      <c r="CC341" s="1164">
        <f>'2028'!R\Max</f>
        <v>0.61911719314583746</v>
      </c>
      <c r="CD341" s="1163">
        <f>'2029'!R\Max</f>
        <v>0.62547375173874242</v>
      </c>
      <c r="CE341" s="1163">
        <f>'2030'!R\Max</f>
        <v>0.62442238423259433</v>
      </c>
      <c r="CF341" s="1165">
        <f>'2031'!R\Max</f>
        <v>0.62337976670982354</v>
      </c>
    </row>
    <row r="342" spans="1:84" s="6" customFormat="1" ht="11.25" x14ac:dyDescent="0.2">
      <c r="A342" s="11">
        <v>43428</v>
      </c>
      <c r="B342" s="375">
        <f>'2022'!Maxi_hp</f>
        <v>12.646209273203628</v>
      </c>
      <c r="C342" s="13">
        <f>'2022'!An_max</f>
        <v>2022</v>
      </c>
      <c r="D342" s="1050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69">
        <f t="shared" si="137"/>
        <v>43430</v>
      </c>
      <c r="I342" s="744">
        <f t="shared" si="138"/>
        <v>0.14285714285714285</v>
      </c>
      <c r="J342" s="737">
        <f t="shared" si="139"/>
        <v>21.488693878480369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43">
        <v>43428</v>
      </c>
      <c r="AP342" s="13">
        <f t="shared" si="140"/>
        <v>13</v>
      </c>
      <c r="AQ342" s="13">
        <f t="shared" si="141"/>
        <v>14</v>
      </c>
      <c r="AR342" s="169">
        <f t="shared" si="142"/>
        <v>43416</v>
      </c>
      <c r="AS342" s="744">
        <f t="shared" si="143"/>
        <v>0.42857142857142855</v>
      </c>
      <c r="AT342" s="760">
        <f t="shared" si="144"/>
        <v>21.308156791542256</v>
      </c>
      <c r="AU342" s="13">
        <f t="shared" si="145"/>
        <v>13</v>
      </c>
      <c r="AV342" s="13">
        <f t="shared" si="146"/>
        <v>12</v>
      </c>
      <c r="AW342" s="169">
        <f t="shared" si="147"/>
        <v>43430</v>
      </c>
      <c r="AX342" s="744">
        <f t="shared" si="148"/>
        <v>7.1428571428571425E-2</v>
      </c>
      <c r="AY342" s="760">
        <f t="shared" si="149"/>
        <v>21.462189797205586</v>
      </c>
      <c r="AZ342" s="737">
        <f t="shared" si="153"/>
        <v>21.385173294373921</v>
      </c>
      <c r="BA342" s="634">
        <f t="shared" si="150"/>
        <v>0.58850525512246432</v>
      </c>
      <c r="BC342" s="11">
        <v>43428</v>
      </c>
      <c r="BD342" s="286">
        <f>[3]!FeuilCaduc*(1-Persistant)+Persistant</f>
        <v>0.66683552289354608</v>
      </c>
      <c r="BE342" s="287">
        <f>[3]!CroissVégét</f>
        <v>0.99928473849698995</v>
      </c>
      <c r="BF342" s="807">
        <f>1+[3]!Salcycl*Ksac</f>
        <v>1.0083544403616933</v>
      </c>
      <c r="BH342" s="1041">
        <f t="shared" si="151"/>
        <v>0.19503346750813599</v>
      </c>
      <c r="BI342" s="11">
        <v>44524</v>
      </c>
      <c r="BJ342" s="717">
        <v>1.5448645229343361E-2</v>
      </c>
      <c r="BK342" s="717">
        <v>4.3260898619127748E-2</v>
      </c>
      <c r="BL342" s="717">
        <v>7.6611373531132759E-2</v>
      </c>
      <c r="BM342" s="717">
        <v>0.11205025934495004</v>
      </c>
      <c r="BN342" s="717">
        <v>0.15400809261536272</v>
      </c>
      <c r="BO342" s="718">
        <v>0.19528871276216661</v>
      </c>
      <c r="BP342" s="717">
        <v>0.23978869259701494</v>
      </c>
      <c r="BQ342" s="717">
        <v>0.28399905528300623</v>
      </c>
      <c r="BR342" s="717">
        <v>0.32818881429509755</v>
      </c>
      <c r="BS342" s="717">
        <v>0.37295897408836237</v>
      </c>
      <c r="BT342" s="717">
        <v>0.41836398563085642</v>
      </c>
      <c r="BW342" s="1162">
        <f>'2022'!R\Max</f>
        <v>0.58850525512246432</v>
      </c>
      <c r="BX342" s="1163">
        <f>'2023'!R\Max</f>
        <v>0.58742705549015595</v>
      </c>
      <c r="BY342" s="1163">
        <f>'2024'!R\Max</f>
        <v>0.58635302558856006</v>
      </c>
      <c r="BZ342" s="1163">
        <f>'2025'!R\Max</f>
        <v>0.58527633068448703</v>
      </c>
      <c r="CA342" s="1163">
        <f>'2026'!R\Max</f>
        <v>0.5841973653589535</v>
      </c>
      <c r="CB342" s="1163">
        <f>'2027'!R\Max</f>
        <v>0.58311563096795438</v>
      </c>
      <c r="CC342" s="1164">
        <f>'2028'!R\Max</f>
        <v>0.58201703382257797</v>
      </c>
      <c r="CD342" s="1163">
        <f>'2029'!R\Max</f>
        <v>0.58855906666086855</v>
      </c>
      <c r="CE342" s="1163">
        <f>'2030'!R\Max</f>
        <v>0.58748100580254203</v>
      </c>
      <c r="CF342" s="1165">
        <f>'2031'!R\Max</f>
        <v>0.5864067623153133</v>
      </c>
    </row>
    <row r="343" spans="1:84" s="6" customFormat="1" ht="11.25" x14ac:dyDescent="0.2">
      <c r="A343" s="11">
        <v>43429</v>
      </c>
      <c r="B343" s="375">
        <f>'2022'!Maxi_hp</f>
        <v>5.1261400512885871</v>
      </c>
      <c r="C343" s="13">
        <f>'2022'!An_max</f>
        <v>2022</v>
      </c>
      <c r="D343" s="1050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69">
        <f t="shared" si="137"/>
        <v>43430</v>
      </c>
      <c r="I343" s="744">
        <f t="shared" si="138"/>
        <v>7.1428571428571425E-2</v>
      </c>
      <c r="J343" s="737">
        <f t="shared" si="139"/>
        <v>21.231298470443914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43">
        <v>43429</v>
      </c>
      <c r="AP343" s="13">
        <f t="shared" si="140"/>
        <v>13</v>
      </c>
      <c r="AQ343" s="13">
        <f t="shared" si="141"/>
        <v>14</v>
      </c>
      <c r="AR343" s="169">
        <f t="shared" si="142"/>
        <v>43416</v>
      </c>
      <c r="AS343" s="744">
        <f t="shared" si="143"/>
        <v>0.4642857142857143</v>
      </c>
      <c r="AT343" s="760">
        <f t="shared" si="144"/>
        <v>21.027484081126751</v>
      </c>
      <c r="AU343" s="13">
        <f t="shared" si="145"/>
        <v>13</v>
      </c>
      <c r="AV343" s="13">
        <f t="shared" si="146"/>
        <v>12</v>
      </c>
      <c r="AW343" s="169">
        <f t="shared" si="147"/>
        <v>43430</v>
      </c>
      <c r="AX343" s="744">
        <f t="shared" si="148"/>
        <v>3.5714285714285712E-2</v>
      </c>
      <c r="AY343" s="760">
        <f t="shared" si="149"/>
        <v>21.215816520008126</v>
      </c>
      <c r="AZ343" s="737">
        <f t="shared" si="153"/>
        <v>21.121650300567438</v>
      </c>
      <c r="BA343" s="634">
        <f t="shared" si="150"/>
        <v>0.24144260693356487</v>
      </c>
      <c r="BC343" s="11">
        <v>43429</v>
      </c>
      <c r="BD343" s="286">
        <f>[3]!FeuilCaduc*(1-Persistant)+Persistant</f>
        <v>0.66302599355952796</v>
      </c>
      <c r="BE343" s="287">
        <f>[3]!CroissVégét</f>
        <v>0.99932682999978462</v>
      </c>
      <c r="BF343" s="807">
        <f>1+[3]!Salcycl*Ksac</f>
        <v>1.007878249194941</v>
      </c>
      <c r="BH343" s="1041">
        <f t="shared" si="151"/>
        <v>0.20216165944859349</v>
      </c>
      <c r="BI343" s="11">
        <v>44525</v>
      </c>
      <c r="BJ343" s="717">
        <v>1.8490998125814645E-2</v>
      </c>
      <c r="BK343" s="717">
        <v>4.8239192913122252E-2</v>
      </c>
      <c r="BL343" s="717">
        <v>8.2906721794061666E-2</v>
      </c>
      <c r="BM343" s="717">
        <v>0.11928333471532444</v>
      </c>
      <c r="BN343" s="717">
        <v>0.16123558912753469</v>
      </c>
      <c r="BO343" s="718">
        <v>0.20241628686498825</v>
      </c>
      <c r="BP343" s="717">
        <v>0.24625443567069247</v>
      </c>
      <c r="BQ343" s="717">
        <v>0.29007632110485243</v>
      </c>
      <c r="BR343" s="717">
        <v>0.33389301601823801</v>
      </c>
      <c r="BS343" s="717">
        <v>0.37847277107150418</v>
      </c>
      <c r="BT343" s="717">
        <v>0.42365281798787141</v>
      </c>
      <c r="BW343" s="1162">
        <f>'2022'!R\Max</f>
        <v>0.24144260693356487</v>
      </c>
      <c r="BX343" s="1163">
        <f>'2023'!R\Max</f>
        <v>0.24069660411620225</v>
      </c>
      <c r="BY343" s="1163">
        <f>'2024'!R\Max</f>
        <v>0.2399508744471634</v>
      </c>
      <c r="BZ343" s="1163">
        <f>'2025'!R\Max</f>
        <v>0.23920514838694765</v>
      </c>
      <c r="CA343" s="1163">
        <f>'2026'!R\Max</f>
        <v>0.23845950950309638</v>
      </c>
      <c r="CB343" s="1163">
        <f>'2027'!R\Max</f>
        <v>0.23771387177104292</v>
      </c>
      <c r="CC343" s="1164">
        <f>'2028'!R\Max</f>
        <v>0.23695541821746377</v>
      </c>
      <c r="CD343" s="1163">
        <f>'2029'!R\Max</f>
        <v>0.2414798893389839</v>
      </c>
      <c r="CE343" s="1163">
        <f>'2030'!R\Max</f>
        <v>0.24073388652162123</v>
      </c>
      <c r="CF343" s="1165">
        <f>'2031'!R\Max</f>
        <v>0.23998814302130453</v>
      </c>
    </row>
    <row r="344" spans="1:84" s="6" customFormat="1" ht="11.25" x14ac:dyDescent="0.2">
      <c r="A344" s="11">
        <v>43430</v>
      </c>
      <c r="B344" s="375">
        <f>'2022'!Maxi_hp</f>
        <v>10.260327974722742</v>
      </c>
      <c r="C344" s="13">
        <f>'2022'!An_max</f>
        <v>2022</v>
      </c>
      <c r="D344" s="1050" t="str">
        <f t="shared" si="135"/>
        <v/>
      </c>
      <c r="E344" s="1045">
        <f>AK$13/10</f>
        <v>20.978999999999999</v>
      </c>
      <c r="F344" s="13">
        <f t="shared" si="152"/>
        <v>25</v>
      </c>
      <c r="G344" s="13">
        <f t="shared" si="136"/>
        <v>26</v>
      </c>
      <c r="H344" s="169">
        <f t="shared" si="137"/>
        <v>43430</v>
      </c>
      <c r="I344" s="744">
        <f t="shared" si="138"/>
        <v>0</v>
      </c>
      <c r="J344" s="737">
        <f t="shared" si="139"/>
        <v>20.979000000655653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43">
        <v>43430</v>
      </c>
      <c r="AP344" s="13">
        <f t="shared" si="140"/>
        <v>13</v>
      </c>
      <c r="AQ344" s="13">
        <f t="shared" si="141"/>
        <v>14</v>
      </c>
      <c r="AR344" s="169">
        <f t="shared" si="142"/>
        <v>43416</v>
      </c>
      <c r="AS344" s="744">
        <f t="shared" si="143"/>
        <v>0.5</v>
      </c>
      <c r="AT344" s="760">
        <f t="shared" si="144"/>
        <v>20.753579094633459</v>
      </c>
      <c r="AU344" s="13">
        <f t="shared" si="145"/>
        <v>13</v>
      </c>
      <c r="AV344" s="13">
        <f t="shared" si="146"/>
        <v>14</v>
      </c>
      <c r="AW344" s="169">
        <f t="shared" si="147"/>
        <v>43430</v>
      </c>
      <c r="AX344" s="744">
        <f t="shared" si="148"/>
        <v>0</v>
      </c>
      <c r="AY344" s="760">
        <f t="shared" si="149"/>
        <v>20.97900000140071</v>
      </c>
      <c r="AZ344" s="737">
        <f t="shared" si="153"/>
        <v>20.866289548017086</v>
      </c>
      <c r="BA344" s="634">
        <f t="shared" si="150"/>
        <v>0.48907612252262156</v>
      </c>
      <c r="BC344" s="11">
        <v>43430</v>
      </c>
      <c r="BD344" s="286">
        <f>[3]!FeuilCaduc*(1-Persistant)+Persistant</f>
        <v>0.65936075910655212</v>
      </c>
      <c r="BE344" s="287">
        <f>[3]!CroissVégét</f>
        <v>0.99936723010658135</v>
      </c>
      <c r="BF344" s="807">
        <f>1+[3]!Salcycl*Ksac</f>
        <v>1.007420094888319</v>
      </c>
      <c r="BH344" s="1041">
        <f t="shared" si="151"/>
        <v>0.20885521994607179</v>
      </c>
      <c r="BI344" s="11">
        <v>44526</v>
      </c>
      <c r="BJ344" s="717">
        <v>2.1890473311601988E-2</v>
      </c>
      <c r="BK344" s="717">
        <v>5.3479901655769289E-2</v>
      </c>
      <c r="BL344" s="717">
        <v>8.9281463321468316E-2</v>
      </c>
      <c r="BM344" s="717">
        <v>0.12637628248194274</v>
      </c>
      <c r="BN344" s="717">
        <v>0.16813474376486348</v>
      </c>
      <c r="BO344" s="718">
        <v>0.20910856822903778</v>
      </c>
      <c r="BP344" s="717">
        <v>0.25225696235772199</v>
      </c>
      <c r="BQ344" s="717">
        <v>0.29568552322884428</v>
      </c>
      <c r="BR344" s="717">
        <v>0.33920225687275779</v>
      </c>
      <c r="BS344" s="717">
        <v>0.3836602768464264</v>
      </c>
      <c r="BT344" s="717">
        <v>0.42866300585286732</v>
      </c>
      <c r="BW344" s="1162">
        <f>'2022'!R\Max</f>
        <v>0.48907612252262156</v>
      </c>
      <c r="BX344" s="1163">
        <f>'2023'!R\Max</f>
        <v>0.48798408101462659</v>
      </c>
      <c r="BY344" s="1163">
        <f>'2024'!R\Max</f>
        <v>0.4868832084906381</v>
      </c>
      <c r="BZ344" s="1163">
        <f>'2025'!R\Max</f>
        <v>0.48578040048911758</v>
      </c>
      <c r="CA344" s="1163">
        <f>'2026'!R\Max</f>
        <v>0.48467352914826717</v>
      </c>
      <c r="CB344" s="1163">
        <f>'2027'!R\Max</f>
        <v>0.48356476862970377</v>
      </c>
      <c r="CC344" s="1164">
        <f>'2028'!R\Max</f>
        <v>0.48243041198852521</v>
      </c>
      <c r="CD344" s="1163">
        <f>'2029'!R\Max</f>
        <v>0.48913065109777421</v>
      </c>
      <c r="CE344" s="1163">
        <f>'2030'!R\Max</f>
        <v>0.48803870017627349</v>
      </c>
      <c r="CF344" s="1165">
        <f>'2031'!R\Max</f>
        <v>0.48693827427356529</v>
      </c>
    </row>
    <row r="345" spans="1:84" s="6" customFormat="1" ht="11.25" x14ac:dyDescent="0.2">
      <c r="A345" s="11">
        <v>43431</v>
      </c>
      <c r="B345" s="375">
        <f>'2022'!Maxi_hp</f>
        <v>14.682791656561243</v>
      </c>
      <c r="C345" s="13">
        <f>'2022'!An_max</f>
        <v>2022</v>
      </c>
      <c r="D345" s="1050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69">
        <f t="shared" si="137"/>
        <v>43430</v>
      </c>
      <c r="I345" s="744">
        <f t="shared" si="138"/>
        <v>7.1428571428571425E-2</v>
      </c>
      <c r="J345" s="737">
        <f t="shared" si="139"/>
        <v>20.72943203486502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43">
        <v>43431</v>
      </c>
      <c r="AP345" s="13">
        <f t="shared" si="140"/>
        <v>13</v>
      </c>
      <c r="AQ345" s="13">
        <f t="shared" si="141"/>
        <v>14</v>
      </c>
      <c r="AR345" s="169">
        <f t="shared" si="142"/>
        <v>43416</v>
      </c>
      <c r="AS345" s="744">
        <f t="shared" si="143"/>
        <v>0.5357142857142857</v>
      </c>
      <c r="AT345" s="760">
        <f t="shared" si="144"/>
        <v>20.487071260623633</v>
      </c>
      <c r="AU345" s="13">
        <f t="shared" si="145"/>
        <v>13</v>
      </c>
      <c r="AV345" s="13">
        <f t="shared" si="146"/>
        <v>14</v>
      </c>
      <c r="AW345" s="169">
        <f t="shared" si="147"/>
        <v>43430</v>
      </c>
      <c r="AX345" s="744">
        <f t="shared" si="148"/>
        <v>3.5714285714285712E-2</v>
      </c>
      <c r="AY345" s="760">
        <f t="shared" si="149"/>
        <v>20.747493998174157</v>
      </c>
      <c r="AZ345" s="737">
        <f t="shared" si="153"/>
        <v>20.617282629398893</v>
      </c>
      <c r="BA345" s="634">
        <f t="shared" si="150"/>
        <v>0.70830650988730037</v>
      </c>
      <c r="BC345" s="11">
        <v>43431</v>
      </c>
      <c r="BD345" s="286">
        <f>[3]!FeuilCaduc*(1-Persistant)+Persistant</f>
        <v>0.65584085415297422</v>
      </c>
      <c r="BE345" s="287">
        <f>[3]!CroissVégét</f>
        <v>0.9994060066555025</v>
      </c>
      <c r="BF345" s="807">
        <f>1+[3]!Salcycl*Ksac</f>
        <v>1.0069801067691218</v>
      </c>
      <c r="BH345" s="1041">
        <f t="shared" si="151"/>
        <v>0.21511393088570269</v>
      </c>
      <c r="BI345" s="11">
        <v>44527</v>
      </c>
      <c r="BJ345" s="717">
        <v>2.5647045890507893E-2</v>
      </c>
      <c r="BK345" s="717">
        <v>5.8982904459615591E-2</v>
      </c>
      <c r="BL345" s="717">
        <v>9.5735397176121007E-2</v>
      </c>
      <c r="BM345" s="717">
        <v>0.13332883411064259</v>
      </c>
      <c r="BN345" s="717">
        <v>0.17470529715482405</v>
      </c>
      <c r="BO345" s="718">
        <v>0.21536533899613741</v>
      </c>
      <c r="BP345" s="717">
        <v>0.25779616174671233</v>
      </c>
      <c r="BQ345" s="717">
        <v>0.30082664938177545</v>
      </c>
      <c r="BR345" s="717">
        <v>0.34411664925232027</v>
      </c>
      <c r="BS345" s="717">
        <v>0.38852171742017161</v>
      </c>
      <c r="BT345" s="717">
        <v>0.43339488468997645</v>
      </c>
      <c r="BW345" s="1162">
        <f>'2022'!R\Max</f>
        <v>0.70830650988730037</v>
      </c>
      <c r="BX345" s="1163">
        <f>'2023'!R\Max</f>
        <v>0.70741187701885655</v>
      </c>
      <c r="BY345" s="1163">
        <f>'2024'!R\Max</f>
        <v>0.70650152146570755</v>
      </c>
      <c r="BZ345" s="1163">
        <f>'2025'!R\Max</f>
        <v>0.70558771760792061</v>
      </c>
      <c r="CA345" s="1163">
        <f>'2026'!R\Max</f>
        <v>0.70466514260054658</v>
      </c>
      <c r="CB345" s="1163">
        <f>'2027'!R\Max</f>
        <v>0.70373913588748116</v>
      </c>
      <c r="CC345" s="1164">
        <f>'2028'!R\Max</f>
        <v>0.70278607751021638</v>
      </c>
      <c r="CD345" s="1163">
        <f>'2029'!R\Max</f>
        <v>0.708351137233591</v>
      </c>
      <c r="CE345" s="1163">
        <f>'2030'!R\Max</f>
        <v>0.7074566626506994</v>
      </c>
      <c r="CF345" s="1165">
        <f>'2031'!R\Max</f>
        <v>0.70654710362059636</v>
      </c>
    </row>
    <row r="346" spans="1:84" s="6" customFormat="1" ht="11.25" x14ac:dyDescent="0.2">
      <c r="A346" s="11">
        <v>43432</v>
      </c>
      <c r="B346" s="375">
        <f>'2022'!Maxi_hp</f>
        <v>10.017285117579057</v>
      </c>
      <c r="C346" s="13">
        <f>'2022'!An_max</f>
        <v>2022</v>
      </c>
      <c r="D346" s="1050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69">
        <f t="shared" si="137"/>
        <v>43430</v>
      </c>
      <c r="I346" s="744">
        <f t="shared" si="138"/>
        <v>0.14285714285714285</v>
      </c>
      <c r="J346" s="737">
        <f t="shared" si="139"/>
        <v>20.480956268097675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43">
        <v>43432</v>
      </c>
      <c r="AP346" s="13">
        <f t="shared" si="140"/>
        <v>13</v>
      </c>
      <c r="AQ346" s="13">
        <f t="shared" si="141"/>
        <v>14</v>
      </c>
      <c r="AR346" s="169">
        <f t="shared" si="142"/>
        <v>43416</v>
      </c>
      <c r="AS346" s="744">
        <f t="shared" si="143"/>
        <v>0.5714285714285714</v>
      </c>
      <c r="AT346" s="760">
        <f t="shared" si="144"/>
        <v>20.228590007232768</v>
      </c>
      <c r="AU346" s="13">
        <f t="shared" si="145"/>
        <v>13</v>
      </c>
      <c r="AV346" s="13">
        <f t="shared" si="146"/>
        <v>14</v>
      </c>
      <c r="AW346" s="169">
        <f t="shared" si="147"/>
        <v>43430</v>
      </c>
      <c r="AX346" s="744">
        <f t="shared" si="148"/>
        <v>7.1428571428571425E-2</v>
      </c>
      <c r="AY346" s="760">
        <f t="shared" si="149"/>
        <v>20.517209397149937</v>
      </c>
      <c r="AZ346" s="737">
        <f t="shared" si="153"/>
        <v>20.372899702191354</v>
      </c>
      <c r="BA346" s="634">
        <f t="shared" si="150"/>
        <v>0.4891024123313305</v>
      </c>
      <c r="BC346" s="11">
        <v>43432</v>
      </c>
      <c r="BD346" s="286">
        <f>[3]!FeuilCaduc*(1-Persistant)+Persistant</f>
        <v>0.65246680175585481</v>
      </c>
      <c r="BE346" s="287">
        <f>[3]!CroissVégét</f>
        <v>0.99944322477397196</v>
      </c>
      <c r="BF346" s="807">
        <f>1+[3]!Salcycl*Ksac</f>
        <v>1.0065583502194819</v>
      </c>
      <c r="BH346" s="1041">
        <f t="shared" si="151"/>
        <v>0.22079632088685661</v>
      </c>
      <c r="BI346" s="11">
        <v>44528</v>
      </c>
      <c r="BJ346" s="717">
        <v>2.9695131543651065E-2</v>
      </c>
      <c r="BK346" s="717">
        <v>6.4597181343782728E-2</v>
      </c>
      <c r="BL346" s="717">
        <v>0.10208292669484768</v>
      </c>
      <c r="BM346" s="717">
        <v>0.13994912263495951</v>
      </c>
      <c r="BN346" s="717">
        <v>0.18078816025310115</v>
      </c>
      <c r="BO346" s="718">
        <v>0.22104523739647905</v>
      </c>
      <c r="BP346" s="717">
        <v>0.26274718737302022</v>
      </c>
      <c r="BQ346" s="717">
        <v>0.30539177012664104</v>
      </c>
      <c r="BR346" s="717">
        <v>0.34854603352811692</v>
      </c>
      <c r="BS346" s="717">
        <v>0.39297238778313909</v>
      </c>
      <c r="BT346" s="717">
        <v>0.43775062713528201</v>
      </c>
      <c r="BW346" s="1162">
        <f>'2022'!R\Max</f>
        <v>0.4891024123313305</v>
      </c>
      <c r="BX346" s="1163">
        <f>'2023'!R\Max</f>
        <v>0.48803267020258817</v>
      </c>
      <c r="BY346" s="1163">
        <f>'2024'!R\Max</f>
        <v>0.48693725967352902</v>
      </c>
      <c r="BZ346" s="1163">
        <f>'2025'!R\Max</f>
        <v>0.48583971058535513</v>
      </c>
      <c r="CA346" s="1163">
        <f>'2026'!R\Max</f>
        <v>0.48472735039184528</v>
      </c>
      <c r="CB346" s="1163">
        <f>'2027'!R\Max</f>
        <v>0.4836129413855807</v>
      </c>
      <c r="CC346" s="1164">
        <f>'2028'!R\Max</f>
        <v>0.48246413967810847</v>
      </c>
      <c r="CD346" s="1163">
        <f>'2029'!R\Max</f>
        <v>0.48915582838668514</v>
      </c>
      <c r="CE346" s="1163">
        <f>'2030'!R\Max</f>
        <v>0.48808617318693859</v>
      </c>
      <c r="CF346" s="1165">
        <f>'2031'!R\Max</f>
        <v>0.48699206309321963</v>
      </c>
    </row>
    <row r="347" spans="1:84" s="6" customFormat="1" ht="11.25" x14ac:dyDescent="0.2">
      <c r="A347" s="11">
        <v>43433</v>
      </c>
      <c r="B347" s="375">
        <f>'2022'!Maxi_hp</f>
        <v>11.10599499175243</v>
      </c>
      <c r="C347" s="13">
        <f>'2022'!An_max</f>
        <v>2022</v>
      </c>
      <c r="D347" s="1050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69">
        <f t="shared" si="137"/>
        <v>43430</v>
      </c>
      <c r="I347" s="744">
        <f t="shared" si="138"/>
        <v>0.21428571428571427</v>
      </c>
      <c r="J347" s="737">
        <f t="shared" si="139"/>
        <v>20.234664906295279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43">
        <v>43433</v>
      </c>
      <c r="AP347" s="13">
        <f t="shared" si="140"/>
        <v>13</v>
      </c>
      <c r="AQ347" s="13">
        <f t="shared" si="141"/>
        <v>14</v>
      </c>
      <c r="AR347" s="169">
        <f t="shared" si="142"/>
        <v>43416</v>
      </c>
      <c r="AS347" s="744">
        <f t="shared" si="143"/>
        <v>0.6071428571428571</v>
      </c>
      <c r="AT347" s="760">
        <f t="shared" si="144"/>
        <v>19.978764759962047</v>
      </c>
      <c r="AU347" s="13">
        <f t="shared" si="145"/>
        <v>13</v>
      </c>
      <c r="AV347" s="13">
        <f t="shared" si="146"/>
        <v>14</v>
      </c>
      <c r="AW347" s="169">
        <f t="shared" si="147"/>
        <v>43430</v>
      </c>
      <c r="AX347" s="744">
        <f t="shared" si="148"/>
        <v>0.10714285714285714</v>
      </c>
      <c r="AY347" s="760">
        <f t="shared" si="149"/>
        <v>20.288764172233641</v>
      </c>
      <c r="AZ347" s="737">
        <f t="shared" si="153"/>
        <v>20.133764466097844</v>
      </c>
      <c r="BA347" s="634">
        <f t="shared" si="150"/>
        <v>0.54885984241316521</v>
      </c>
      <c r="BC347" s="11">
        <v>43433</v>
      </c>
      <c r="BD347" s="286">
        <f>[3]!FeuilCaduc*(1-Persistant)+Persistant</f>
        <v>0.64923862155967649</v>
      </c>
      <c r="BE347" s="287">
        <f>[3]!CroissVégét</f>
        <v>0.9994789469862303</v>
      </c>
      <c r="BF347" s="807">
        <f>1+[3]!Salcycl*Ksac</f>
        <v>1.0061548276949595</v>
      </c>
      <c r="BH347" s="1041">
        <f t="shared" si="151"/>
        <v>0.22609518811411802</v>
      </c>
      <c r="BI347" s="11">
        <v>44529</v>
      </c>
      <c r="BJ347" s="717">
        <v>3.3888116455379522E-2</v>
      </c>
      <c r="BK347" s="717">
        <v>7.0089606927677003E-2</v>
      </c>
      <c r="BL347" s="717">
        <v>0.1081235328515442</v>
      </c>
      <c r="BM347" s="717">
        <v>0.14613687277386039</v>
      </c>
      <c r="BN347" s="717">
        <v>0.18645311361934777</v>
      </c>
      <c r="BO347" s="718">
        <v>0.22634182696632021</v>
      </c>
      <c r="BP347" s="717">
        <v>0.26736632227130408</v>
      </c>
      <c r="BQ347" s="717">
        <v>0.30965372947219238</v>
      </c>
      <c r="BR347" s="717">
        <v>0.35273332082665387</v>
      </c>
      <c r="BS347" s="717">
        <v>0.39723977664631821</v>
      </c>
      <c r="BT347" s="717">
        <v>0.44193992944082716</v>
      </c>
      <c r="BW347" s="1162">
        <f>'2022'!R\Max</f>
        <v>0.54885984241316521</v>
      </c>
      <c r="BX347" s="1163">
        <f>'2023'!R\Max</f>
        <v>0.54780931965480828</v>
      </c>
      <c r="BY347" s="1163">
        <f>'2024'!R\Max</f>
        <v>0.54672454275509685</v>
      </c>
      <c r="BZ347" s="1163">
        <f>'2025'!R\Max</f>
        <v>0.54563697295149671</v>
      </c>
      <c r="CA347" s="1163">
        <f>'2026'!R\Max</f>
        <v>0.54452684185043077</v>
      </c>
      <c r="CB347" s="1163">
        <f>'2027'!R\Max</f>
        <v>0.54341396596429359</v>
      </c>
      <c r="CC347" s="1164">
        <f>'2028'!R\Max</f>
        <v>0.54226209111575963</v>
      </c>
      <c r="CD347" s="1163">
        <f>'2029'!R\Max</f>
        <v>0.5489122852315711</v>
      </c>
      <c r="CE347" s="1163">
        <f>'2030'!R\Max</f>
        <v>0.54786187366388117</v>
      </c>
      <c r="CF347" s="1165">
        <f>'2031'!R\Max</f>
        <v>0.54677883299405616</v>
      </c>
    </row>
    <row r="348" spans="1:84" s="6" customFormat="1" ht="11.25" x14ac:dyDescent="0.2">
      <c r="A348" s="11">
        <v>43434</v>
      </c>
      <c r="B348" s="375">
        <f>'2022'!Maxi_hp</f>
        <v>4.7530492210096416</v>
      </c>
      <c r="C348" s="13">
        <f>'2022'!An_max</f>
        <v>2022</v>
      </c>
      <c r="D348" s="1050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69">
        <f t="shared" si="137"/>
        <v>43430</v>
      </c>
      <c r="I348" s="744">
        <f t="shared" si="138"/>
        <v>0.2857142857142857</v>
      </c>
      <c r="J348" s="737">
        <f t="shared" si="139"/>
        <v>19.991650147523199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43">
        <v>43434</v>
      </c>
      <c r="AP348" s="13">
        <f t="shared" si="140"/>
        <v>13</v>
      </c>
      <c r="AQ348" s="13">
        <f t="shared" si="141"/>
        <v>14</v>
      </c>
      <c r="AR348" s="169">
        <f t="shared" si="142"/>
        <v>43416</v>
      </c>
      <c r="AS348" s="744">
        <f t="shared" si="143"/>
        <v>0.6428571428571429</v>
      </c>
      <c r="AT348" s="760">
        <f t="shared" si="144"/>
        <v>19.738224951816456</v>
      </c>
      <c r="AU348" s="13">
        <f t="shared" si="145"/>
        <v>13</v>
      </c>
      <c r="AV348" s="13">
        <f t="shared" si="146"/>
        <v>14</v>
      </c>
      <c r="AW348" s="169">
        <f t="shared" si="147"/>
        <v>43430</v>
      </c>
      <c r="AX348" s="744">
        <f t="shared" si="148"/>
        <v>0.14285714285714285</v>
      </c>
      <c r="AY348" s="760">
        <f t="shared" si="149"/>
        <v>20.062776295414992</v>
      </c>
      <c r="AZ348" s="737">
        <f t="shared" si="153"/>
        <v>19.900500623615724</v>
      </c>
      <c r="BA348" s="634">
        <f t="shared" si="150"/>
        <v>0.23775172064015462</v>
      </c>
      <c r="BC348" s="11">
        <v>43434</v>
      </c>
      <c r="BD348" s="286">
        <f>[3]!FeuilCaduc*(1-Persistant)+Persistant</f>
        <v>0.64615584091608813</v>
      </c>
      <c r="BE348" s="287">
        <f>[3]!CroissVégét</f>
        <v>0.99951323331664843</v>
      </c>
      <c r="BF348" s="807">
        <f>1+[3]!Salcycl*Ksac</f>
        <v>1.0057694801145109</v>
      </c>
      <c r="BH348" s="1041">
        <f t="shared" si="151"/>
        <v>0.23101059284003975</v>
      </c>
      <c r="BI348" s="11">
        <v>44530</v>
      </c>
      <c r="BJ348" s="717">
        <v>3.8225905398283667E-2</v>
      </c>
      <c r="BK348" s="717">
        <v>7.5460024219486832E-2</v>
      </c>
      <c r="BL348" s="717">
        <v>0.11385705449422891</v>
      </c>
      <c r="BM348" s="717">
        <v>0.15189195214713702</v>
      </c>
      <c r="BN348" s="717">
        <v>0.19170012290122151</v>
      </c>
      <c r="BO348" s="718">
        <v>0.23125516856693615</v>
      </c>
      <c r="BP348" s="717">
        <v>0.27165374272268444</v>
      </c>
      <c r="BQ348" s="717">
        <v>0.31361280115178802</v>
      </c>
      <c r="BR348" s="717">
        <v>0.35667887890237887</v>
      </c>
      <c r="BS348" s="717">
        <v>0.40132434069448203</v>
      </c>
      <c r="BT348" s="717">
        <v>0.44596333434091323</v>
      </c>
      <c r="BW348" s="1162">
        <f>'2022'!R\Max</f>
        <v>0.23775172064015462</v>
      </c>
      <c r="BX348" s="1163">
        <f>'2023'!R\Max</f>
        <v>0.23705117307664961</v>
      </c>
      <c r="BY348" s="1163">
        <f>'2024'!R\Max</f>
        <v>0.23632391312624121</v>
      </c>
      <c r="BZ348" s="1163">
        <f>'2025'!R\Max</f>
        <v>0.23559630536374565</v>
      </c>
      <c r="CA348" s="1163">
        <f>'2026'!R\Max</f>
        <v>0.23484974763831939</v>
      </c>
      <c r="CB348" s="1163">
        <f>'2027'!R\Max</f>
        <v>0.23410294316641941</v>
      </c>
      <c r="CC348" s="1164">
        <f>'2028'!R\Max</f>
        <v>0.23332910279816643</v>
      </c>
      <c r="CD348" s="1163">
        <f>'2029'!R\Max</f>
        <v>0.23778673136353259</v>
      </c>
      <c r="CE348" s="1163">
        <f>'2030'!R\Max</f>
        <v>0.23708618380002758</v>
      </c>
      <c r="CF348" s="1165">
        <f>'2031'!R\Max</f>
        <v>0.23636027621624037</v>
      </c>
    </row>
    <row r="349" spans="1:84" s="6" customFormat="1" ht="11.25" x14ac:dyDescent="0.2">
      <c r="A349" s="11">
        <v>43435</v>
      </c>
      <c r="B349" s="375">
        <f>'2022'!Maxi_hp</f>
        <v>4.4857659812276731</v>
      </c>
      <c r="C349" s="13">
        <f>'2022'!An_max</f>
        <v>2022</v>
      </c>
      <c r="D349" s="1050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69">
        <f t="shared" si="137"/>
        <v>43430</v>
      </c>
      <c r="I349" s="744">
        <f t="shared" si="138"/>
        <v>0.35714285714285715</v>
      </c>
      <c r="J349" s="737">
        <f t="shared" si="139"/>
        <v>19.75300419154976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43">
        <v>43435</v>
      </c>
      <c r="AP349" s="13">
        <f t="shared" si="140"/>
        <v>13</v>
      </c>
      <c r="AQ349" s="13">
        <f t="shared" si="141"/>
        <v>14</v>
      </c>
      <c r="AR349" s="169">
        <f t="shared" si="142"/>
        <v>43416</v>
      </c>
      <c r="AS349" s="744">
        <f t="shared" si="143"/>
        <v>0.6785714285714286</v>
      </c>
      <c r="AT349" s="760">
        <f t="shared" si="144"/>
        <v>19.507600006248271</v>
      </c>
      <c r="AU349" s="13">
        <f t="shared" si="145"/>
        <v>13</v>
      </c>
      <c r="AV349" s="13">
        <f t="shared" si="146"/>
        <v>14</v>
      </c>
      <c r="AW349" s="169">
        <f t="shared" si="147"/>
        <v>43430</v>
      </c>
      <c r="AX349" s="744">
        <f t="shared" si="148"/>
        <v>0.17857142857142858</v>
      </c>
      <c r="AY349" s="760">
        <f t="shared" si="149"/>
        <v>19.839863738284578</v>
      </c>
      <c r="AZ349" s="737">
        <f t="shared" si="153"/>
        <v>19.673731872266423</v>
      </c>
      <c r="BA349" s="634">
        <f t="shared" si="150"/>
        <v>0.22709284814239356</v>
      </c>
      <c r="BC349" s="11">
        <v>43435</v>
      </c>
      <c r="BD349" s="286">
        <f>[3]!FeuilCaduc*(1-Persistant)+Persistant</f>
        <v>0.64321750886433393</v>
      </c>
      <c r="BE349" s="287">
        <f>[3]!CroissVégét</f>
        <v>0.99954614138899944</v>
      </c>
      <c r="BF349" s="807">
        <f>1+[3]!Salcycl*Ksac</f>
        <v>1.0054021886080418</v>
      </c>
      <c r="BH349" s="1041">
        <f t="shared" si="151"/>
        <v>0.23554266279211436</v>
      </c>
      <c r="BI349" s="11">
        <v>44531</v>
      </c>
      <c r="BJ349" s="717">
        <v>4.2708420771846729E-2</v>
      </c>
      <c r="BK349" s="717">
        <v>8.0708324304096274E-2</v>
      </c>
      <c r="BL349" s="717">
        <v>0.11928339717823466</v>
      </c>
      <c r="BM349" s="717">
        <v>0.15721430613142554</v>
      </c>
      <c r="BN349" s="717">
        <v>0.19652922659714381</v>
      </c>
      <c r="BO349" s="718">
        <v>0.23578539048097083</v>
      </c>
      <c r="BP349" s="717">
        <v>0.27560968348529835</v>
      </c>
      <c r="BQ349" s="717">
        <v>0.31726931249189677</v>
      </c>
      <c r="BR349" s="717">
        <v>0.36038312359612634</v>
      </c>
      <c r="BS349" s="717">
        <v>0.40522658045268473</v>
      </c>
      <c r="BT349" s="717">
        <v>0.44982142642883832</v>
      </c>
      <c r="BW349" s="1162">
        <f>'2022'!R\Max</f>
        <v>0.22709284814239356</v>
      </c>
      <c r="BX349" s="1163">
        <f>'2023'!R\Max</f>
        <v>0.22642829927924998</v>
      </c>
      <c r="BY349" s="1163">
        <f>'2024'!R\Max</f>
        <v>0.22573351676362016</v>
      </c>
      <c r="BZ349" s="1163">
        <f>'2025'!R\Max</f>
        <v>0.22503834160778474</v>
      </c>
      <c r="CA349" s="1163">
        <f>'2026'!R\Max</f>
        <v>0.22431921158901197</v>
      </c>
      <c r="CB349" s="1163">
        <f>'2027'!R\Max</f>
        <v>0.2235997704641691</v>
      </c>
      <c r="CC349" s="1164">
        <f>'2028'!R\Max</f>
        <v>0.22285183674958997</v>
      </c>
      <c r="CD349" s="1163">
        <f>'2029'!R\Max</f>
        <v>0.22712605978658562</v>
      </c>
      <c r="CE349" s="1163">
        <f>'2030'!R\Max</f>
        <v>0.22646151092344205</v>
      </c>
      <c r="CF349" s="1165">
        <f>'2031'!R\Max</f>
        <v>0.22576825899433819</v>
      </c>
    </row>
    <row r="350" spans="1:84" s="6" customFormat="1" ht="11.25" x14ac:dyDescent="0.2">
      <c r="A350" s="11">
        <v>43436</v>
      </c>
      <c r="B350" s="375">
        <f>'2022'!Maxi_hp</f>
        <v>5.724087583959065</v>
      </c>
      <c r="C350" s="13">
        <f>'2022'!An_max</f>
        <v>2022</v>
      </c>
      <c r="D350" s="1050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69">
        <f t="shared" si="137"/>
        <v>43430</v>
      </c>
      <c r="I350" s="744">
        <f t="shared" si="138"/>
        <v>0.42857142857142855</v>
      </c>
      <c r="J350" s="737">
        <f t="shared" si="139"/>
        <v>19.5198192430394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43">
        <v>43436</v>
      </c>
      <c r="AP350" s="13">
        <f t="shared" si="140"/>
        <v>13</v>
      </c>
      <c r="AQ350" s="13">
        <f t="shared" si="141"/>
        <v>14</v>
      </c>
      <c r="AR350" s="169">
        <f t="shared" si="142"/>
        <v>43416</v>
      </c>
      <c r="AS350" s="744">
        <f t="shared" si="143"/>
        <v>0.7142857142857143</v>
      </c>
      <c r="AT350" s="760">
        <f t="shared" si="144"/>
        <v>19.287519351499419</v>
      </c>
      <c r="AU350" s="13">
        <f t="shared" si="145"/>
        <v>13</v>
      </c>
      <c r="AV350" s="13">
        <f t="shared" si="146"/>
        <v>14</v>
      </c>
      <c r="AW350" s="169">
        <f t="shared" si="147"/>
        <v>43430</v>
      </c>
      <c r="AX350" s="744">
        <f t="shared" si="148"/>
        <v>0.21428571428571427</v>
      </c>
      <c r="AY350" s="760">
        <f t="shared" si="149"/>
        <v>19.620644476211496</v>
      </c>
      <c r="AZ350" s="737">
        <f t="shared" si="153"/>
        <v>19.454081913855457</v>
      </c>
      <c r="BA350" s="634">
        <f t="shared" si="150"/>
        <v>0.29324490727547209</v>
      </c>
      <c r="BC350" s="11">
        <v>43436</v>
      </c>
      <c r="BD350" s="286">
        <f>[3]!FeuilCaduc*(1-Persistant)+Persistant</f>
        <v>0.64042221284015988</v>
      </c>
      <c r="BE350" s="287">
        <f>[3]!CroissVégét</f>
        <v>0.99957772652184329</v>
      </c>
      <c r="BF350" s="807">
        <f>1+[3]!Salcycl*Ksac</f>
        <v>1.0050527766050199</v>
      </c>
      <c r="BH350" s="1041">
        <f t="shared" si="151"/>
        <v>0.23969158650616659</v>
      </c>
      <c r="BI350" s="11">
        <v>44532</v>
      </c>
      <c r="BJ350" s="717">
        <v>4.733560512602987E-2</v>
      </c>
      <c r="BK350" s="717">
        <v>8.583444421785523E-2</v>
      </c>
      <c r="BL350" s="717">
        <v>0.12440252782046378</v>
      </c>
      <c r="BM350" s="717">
        <v>0.16210395033278349</v>
      </c>
      <c r="BN350" s="717">
        <v>0.20094052879726401</v>
      </c>
      <c r="BO350" s="718">
        <v>0.23993268176963989</v>
      </c>
      <c r="BP350" s="717">
        <v>0.27923443206256082</v>
      </c>
      <c r="BQ350" s="717">
        <v>0.32062363919478043</v>
      </c>
      <c r="BR350" s="717">
        <v>0.36384651469570017</v>
      </c>
      <c r="BS350" s="717">
        <v>0.40894703718537279</v>
      </c>
      <c r="BT350" s="717">
        <v>0.45351482936272097</v>
      </c>
      <c r="BW350" s="1162">
        <f>'2022'!R\Max</f>
        <v>0.29324490727547209</v>
      </c>
      <c r="BX350" s="1163">
        <f>'2023'!R\Max</f>
        <v>0.29239165670458744</v>
      </c>
      <c r="BY350" s="1163">
        <f>'2024'!R\Max</f>
        <v>0.29149366651447606</v>
      </c>
      <c r="BZ350" s="1163">
        <f>'2025'!R\Max</f>
        <v>0.29059509674720563</v>
      </c>
      <c r="CA350" s="1163">
        <f>'2026'!R\Max</f>
        <v>0.28965722671883021</v>
      </c>
      <c r="CB350" s="1163">
        <f>'2027'!R\Max</f>
        <v>0.28871884756468141</v>
      </c>
      <c r="CC350" s="1164">
        <f>'2028'!R\Max</f>
        <v>0.28774022558636808</v>
      </c>
      <c r="CD350" s="1163">
        <f>'2029'!R\Max</f>
        <v>0.29328754951886221</v>
      </c>
      <c r="CE350" s="1163">
        <f>'2030'!R\Max</f>
        <v>0.29243429894797757</v>
      </c>
      <c r="CF350" s="1165">
        <f>'2031'!R\Max</f>
        <v>0.29153857364026825</v>
      </c>
    </row>
    <row r="351" spans="1:84" s="6" customFormat="1" ht="11.25" x14ac:dyDescent="0.2">
      <c r="A351" s="11">
        <v>43437</v>
      </c>
      <c r="B351" s="375">
        <f>'2022'!Maxi_hp</f>
        <v>10.305110354856382</v>
      </c>
      <c r="C351" s="13">
        <f>'2022'!An_max</f>
        <v>2022</v>
      </c>
      <c r="D351" s="1050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69">
        <f t="shared" si="137"/>
        <v>43430</v>
      </c>
      <c r="I351" s="744">
        <f t="shared" si="138"/>
        <v>0.5</v>
      </c>
      <c r="J351" s="737">
        <f t="shared" si="139"/>
        <v>19.29318750053644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43">
        <v>43437</v>
      </c>
      <c r="AP351" s="13">
        <f t="shared" si="140"/>
        <v>13</v>
      </c>
      <c r="AQ351" s="13">
        <f t="shared" si="141"/>
        <v>14</v>
      </c>
      <c r="AR351" s="169">
        <f t="shared" si="142"/>
        <v>43416</v>
      </c>
      <c r="AS351" s="744">
        <f t="shared" si="143"/>
        <v>0.75</v>
      </c>
      <c r="AT351" s="760">
        <f t="shared" si="144"/>
        <v>19.078612420521676</v>
      </c>
      <c r="AU351" s="13">
        <f t="shared" si="145"/>
        <v>13</v>
      </c>
      <c r="AV351" s="13">
        <f t="shared" si="146"/>
        <v>14</v>
      </c>
      <c r="AW351" s="169">
        <f t="shared" si="147"/>
        <v>43430</v>
      </c>
      <c r="AX351" s="744">
        <f t="shared" si="148"/>
        <v>0.25</v>
      </c>
      <c r="AY351" s="760">
        <f t="shared" si="149"/>
        <v>19.405736476555468</v>
      </c>
      <c r="AZ351" s="737">
        <f t="shared" si="153"/>
        <v>19.24217444853857</v>
      </c>
      <c r="BA351" s="634">
        <f t="shared" si="150"/>
        <v>0.53413207924143435</v>
      </c>
      <c r="BC351" s="11">
        <v>43437</v>
      </c>
      <c r="BD351" s="286">
        <f>[3]!FeuilCaduc*(1-Persistant)+Persistant</f>
        <v>0.63776809796037026</v>
      </c>
      <c r="BE351" s="287">
        <f>[3]!CroissVégét</f>
        <v>0.99960804182016849</v>
      </c>
      <c r="BF351" s="807">
        <f>1+[3]!Salcycl*Ksac</f>
        <v>1.0047210122450463</v>
      </c>
      <c r="BH351" s="1041">
        <f t="shared" si="151"/>
        <v>0.24345760667724101</v>
      </c>
      <c r="BI351" s="11">
        <v>44533</v>
      </c>
      <c r="BJ351" s="717">
        <v>5.2107423684471507E-2</v>
      </c>
      <c r="BK351" s="717">
        <v>9.0838364822564244E-2</v>
      </c>
      <c r="BL351" s="717">
        <v>0.1292144693524386</v>
      </c>
      <c r="BM351" s="717">
        <v>0.16656096305764356</v>
      </c>
      <c r="BN351" s="717">
        <v>0.20493419192235696</v>
      </c>
      <c r="BO351" s="718">
        <v>0.24369728562742579</v>
      </c>
      <c r="BP351" s="717">
        <v>0.28252832296846753</v>
      </c>
      <c r="BQ351" s="717">
        <v>0.32367620011775122</v>
      </c>
      <c r="BR351" s="717">
        <v>0.36706955179255285</v>
      </c>
      <c r="BS351" s="717">
        <v>0.41248628979110191</v>
      </c>
      <c r="BT351" s="717">
        <v>0.45704420306643595</v>
      </c>
      <c r="BW351" s="1162">
        <f>'2022'!R\Max</f>
        <v>0.53413207924143435</v>
      </c>
      <c r="BX351" s="1163">
        <f>'2023'!R\Max</f>
        <v>0.53310270270774818</v>
      </c>
      <c r="BY351" s="1163">
        <f>'2024'!R\Max</f>
        <v>0.53201050844436049</v>
      </c>
      <c r="BZ351" s="1163">
        <f>'2025'!R\Max</f>
        <v>0.53091527334192778</v>
      </c>
      <c r="CA351" s="1163">
        <f>'2026'!R\Max</f>
        <v>0.52975858307796742</v>
      </c>
      <c r="CB351" s="1163">
        <f>'2027'!R\Max</f>
        <v>0.52859860396615344</v>
      </c>
      <c r="CC351" s="1164">
        <f>'2028'!R\Max</f>
        <v>0.52738251481882448</v>
      </c>
      <c r="CD351" s="1163">
        <f>'2029'!R\Max</f>
        <v>0.53418347113900011</v>
      </c>
      <c r="CE351" s="1163">
        <f>'2030'!R\Max</f>
        <v>0.53315419457133562</v>
      </c>
      <c r="CF351" s="1165">
        <f>'2031'!R\Max</f>
        <v>0.53206518490013222</v>
      </c>
    </row>
    <row r="352" spans="1:84" s="6" customFormat="1" ht="11.25" x14ac:dyDescent="0.2">
      <c r="A352" s="11">
        <v>43438</v>
      </c>
      <c r="B352" s="375">
        <f>'2022'!Maxi_hp</f>
        <v>13.791486870148061</v>
      </c>
      <c r="C352" s="13">
        <f>'2022'!An_max</f>
        <v>2022</v>
      </c>
      <c r="D352" s="1050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69">
        <f t="shared" si="137"/>
        <v>43430</v>
      </c>
      <c r="I352" s="744">
        <f t="shared" si="138"/>
        <v>0.5714285714285714</v>
      </c>
      <c r="J352" s="737">
        <f t="shared" si="139"/>
        <v>19.074201167161977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43">
        <v>43438</v>
      </c>
      <c r="AP352" s="13">
        <f t="shared" si="140"/>
        <v>13</v>
      </c>
      <c r="AQ352" s="13">
        <f t="shared" si="141"/>
        <v>14</v>
      </c>
      <c r="AR352" s="169">
        <f t="shared" si="142"/>
        <v>43416</v>
      </c>
      <c r="AS352" s="744">
        <f t="shared" si="143"/>
        <v>0.7857142857142857</v>
      </c>
      <c r="AT352" s="760">
        <f t="shared" si="144"/>
        <v>18.881508632802539</v>
      </c>
      <c r="AU352" s="13">
        <f t="shared" si="145"/>
        <v>13</v>
      </c>
      <c r="AV352" s="13">
        <f t="shared" si="146"/>
        <v>14</v>
      </c>
      <c r="AW352" s="169">
        <f t="shared" si="147"/>
        <v>43430</v>
      </c>
      <c r="AX352" s="744">
        <f t="shared" si="148"/>
        <v>0.2857142857142857</v>
      </c>
      <c r="AY352" s="760">
        <f t="shared" si="149"/>
        <v>19.195757716361964</v>
      </c>
      <c r="AZ352" s="737">
        <f t="shared" si="153"/>
        <v>19.038633174582252</v>
      </c>
      <c r="BA352" s="634">
        <f t="shared" si="150"/>
        <v>0.72304400846371464</v>
      </c>
      <c r="BC352" s="11">
        <v>43438</v>
      </c>
      <c r="BD352" s="286">
        <f>[3]!FeuilCaduc*(1-Persistant)+Persistant</f>
        <v>0.63525288871101571</v>
      </c>
      <c r="BE352" s="287">
        <f>[3]!CroissVégét</f>
        <v>0.99963713826343847</v>
      </c>
      <c r="BF352" s="807">
        <f>1+[3]!Salcycl*Ksac</f>
        <v>1.004406611088877</v>
      </c>
      <c r="BH352" s="1041">
        <f t="shared" si="151"/>
        <v>0.24676041869165152</v>
      </c>
      <c r="BI352" s="11">
        <v>44534</v>
      </c>
      <c r="BJ352" s="717">
        <v>5.6841184764150933E-2</v>
      </c>
      <c r="BK352" s="717">
        <v>9.5579340124814158E-2</v>
      </c>
      <c r="BL352" s="717">
        <v>0.13361201457150962</v>
      </c>
      <c r="BM352" s="717">
        <v>0.17050098864936827</v>
      </c>
      <c r="BN352" s="717">
        <v>0.20842882950394548</v>
      </c>
      <c r="BO352" s="718">
        <v>0.2469989041715572</v>
      </c>
      <c r="BP352" s="717">
        <v>0.28544436087341057</v>
      </c>
      <c r="BQ352" s="717">
        <v>0.32640199494336891</v>
      </c>
      <c r="BR352" s="717">
        <v>0.37000459067661601</v>
      </c>
      <c r="BS352" s="717">
        <v>0.4157483838947571</v>
      </c>
      <c r="BT352" s="717">
        <v>0.4602875822196103</v>
      </c>
      <c r="BW352" s="1162">
        <f>'2022'!R\Max</f>
        <v>0.72304400846371464</v>
      </c>
      <c r="BX352" s="1163">
        <f>'2023'!R\Max</f>
        <v>0.72221705386130097</v>
      </c>
      <c r="BY352" s="1163">
        <f>'2024'!R\Max</f>
        <v>0.72133356323489017</v>
      </c>
      <c r="BZ352" s="1163">
        <f>'2025'!R\Max</f>
        <v>0.72044607330824362</v>
      </c>
      <c r="CA352" s="1163">
        <f>'2026'!R\Max</f>
        <v>0.71949834620645814</v>
      </c>
      <c r="CB352" s="1163">
        <f>'2027'!R\Max</f>
        <v>0.71854609284571713</v>
      </c>
      <c r="CC352" s="1164">
        <f>'2028'!R\Max</f>
        <v>0.71754357165181748</v>
      </c>
      <c r="CD352" s="1163">
        <f>'2029'!R\Max</f>
        <v>0.72308526071016188</v>
      </c>
      <c r="CE352" s="1163">
        <f>'2030'!R\Max</f>
        <v>0.72225845065716165</v>
      </c>
      <c r="CF352" s="1165">
        <f>'2031'!R\Max</f>
        <v>0.7213778296272082</v>
      </c>
    </row>
    <row r="353" spans="1:84" s="6" customFormat="1" ht="11.25" x14ac:dyDescent="0.2">
      <c r="A353" s="11">
        <v>43439</v>
      </c>
      <c r="B353" s="375">
        <f>'2022'!Maxi_hp</f>
        <v>19.13564349995163</v>
      </c>
      <c r="C353" s="13">
        <f>'2022'!An_max</f>
        <v>2022</v>
      </c>
      <c r="D353" s="1050">
        <f t="shared" si="135"/>
        <v>1.0144026581276957</v>
      </c>
      <c r="E353" s="13"/>
      <c r="F353" s="13">
        <f t="shared" si="152"/>
        <v>25</v>
      </c>
      <c r="G353" s="13">
        <f t="shared" si="136"/>
        <v>26</v>
      </c>
      <c r="H353" s="169">
        <f t="shared" si="137"/>
        <v>43430</v>
      </c>
      <c r="I353" s="744">
        <f t="shared" si="138"/>
        <v>0.6428571428571429</v>
      </c>
      <c r="J353" s="737">
        <f t="shared" si="139"/>
        <v>18.863952441992502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43">
        <v>43439</v>
      </c>
      <c r="AP353" s="13">
        <f t="shared" si="140"/>
        <v>13</v>
      </c>
      <c r="AQ353" s="13">
        <f t="shared" si="141"/>
        <v>14</v>
      </c>
      <c r="AR353" s="169">
        <f t="shared" si="142"/>
        <v>43416</v>
      </c>
      <c r="AS353" s="744">
        <f t="shared" si="143"/>
        <v>0.8214285714285714</v>
      </c>
      <c r="AT353" s="760">
        <f t="shared" si="144"/>
        <v>18.69683742605682</v>
      </c>
      <c r="AU353" s="13">
        <f t="shared" si="145"/>
        <v>13</v>
      </c>
      <c r="AV353" s="13">
        <f t="shared" si="146"/>
        <v>14</v>
      </c>
      <c r="AW353" s="169">
        <f t="shared" si="147"/>
        <v>43430</v>
      </c>
      <c r="AX353" s="744">
        <f t="shared" si="148"/>
        <v>0.32142857142857145</v>
      </c>
      <c r="AY353" s="760">
        <f t="shared" si="149"/>
        <v>18.991326166769223</v>
      </c>
      <c r="AZ353" s="737">
        <f t="shared" si="153"/>
        <v>18.844081796413022</v>
      </c>
      <c r="BA353" s="634">
        <f t="shared" si="150"/>
        <v>1.0144026581276957</v>
      </c>
      <c r="BC353" s="11">
        <v>43439</v>
      </c>
      <c r="BD353" s="286">
        <f>[3]!FeuilCaduc*(1-Persistant)+Persistant</f>
        <v>0.63287391284958383</v>
      </c>
      <c r="BE353" s="287">
        <f>[3]!CroissVégét</f>
        <v>0.99966506479017636</v>
      </c>
      <c r="BF353" s="807">
        <f>1+[3]!Salcycl*Ksac</f>
        <v>1.0041092391061979</v>
      </c>
      <c r="BH353" s="1041">
        <f t="shared" si="151"/>
        <v>0.2498401219825182</v>
      </c>
      <c r="BI353" s="11">
        <v>44535</v>
      </c>
      <c r="BJ353" s="717">
        <v>6.132665153322564E-2</v>
      </c>
      <c r="BK353" s="717">
        <v>0.1000283401380626</v>
      </c>
      <c r="BL353" s="717">
        <v>0.13771631879416005</v>
      </c>
      <c r="BM353" s="717">
        <v>0.17416411296734535</v>
      </c>
      <c r="BN353" s="717">
        <v>0.21168199248523409</v>
      </c>
      <c r="BO353" s="718">
        <v>0.25007752825808116</v>
      </c>
      <c r="BP353" s="717">
        <v>0.28818681593362588</v>
      </c>
      <c r="BQ353" s="717">
        <v>0.32899272288958187</v>
      </c>
      <c r="BR353" s="717">
        <v>0.37279928402758794</v>
      </c>
      <c r="BS353" s="717">
        <v>0.41882687225071974</v>
      </c>
      <c r="BT353" s="717">
        <v>0.46330779986880849</v>
      </c>
      <c r="BW353" s="1162">
        <f>'2022'!R\Max</f>
        <v>1.0144026581276957</v>
      </c>
      <c r="BX353" s="1163">
        <f>'2023'!R\Max</f>
        <v>1.014402658127695</v>
      </c>
      <c r="BY353" s="1163">
        <f>'2024'!R\Max</f>
        <v>1.0144026581276955</v>
      </c>
      <c r="BZ353" s="1163">
        <f>'2025'!R\Max</f>
        <v>1.0144026581276955</v>
      </c>
      <c r="CA353" s="1163">
        <f>'2026'!R\Max</f>
        <v>1.0144026581276957</v>
      </c>
      <c r="CB353" s="1163">
        <f>'2027'!R\Max</f>
        <v>1.0144026581276955</v>
      </c>
      <c r="CC353" s="1164">
        <f>'2028'!R\Max</f>
        <v>1.0144026581276955</v>
      </c>
      <c r="CD353" s="1163">
        <f>'2029'!R\Max</f>
        <v>1.0144026581276955</v>
      </c>
      <c r="CE353" s="1163">
        <f>'2030'!R\Max</f>
        <v>1.0144026581276953</v>
      </c>
      <c r="CF353" s="1165">
        <f>'2031'!R\Max</f>
        <v>1.0144026581276953</v>
      </c>
    </row>
    <row r="354" spans="1:84" s="6" customFormat="1" ht="11.25" x14ac:dyDescent="0.2">
      <c r="A354" s="11">
        <v>43440</v>
      </c>
      <c r="B354" s="375">
        <f>'2022'!Maxi_hp</f>
        <v>12.483813947652854</v>
      </c>
      <c r="C354" s="13">
        <f>'2022'!An_max</f>
        <v>2022</v>
      </c>
      <c r="D354" s="1050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69">
        <f t="shared" si="137"/>
        <v>43430</v>
      </c>
      <c r="I354" s="744">
        <f t="shared" si="138"/>
        <v>0.7142857142857143</v>
      </c>
      <c r="J354" s="737">
        <f t="shared" si="139"/>
        <v>18.663533529639246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43">
        <v>43440</v>
      </c>
      <c r="AP354" s="13">
        <f t="shared" si="140"/>
        <v>13</v>
      </c>
      <c r="AQ354" s="13">
        <f t="shared" si="141"/>
        <v>14</v>
      </c>
      <c r="AR354" s="169">
        <f t="shared" si="142"/>
        <v>43416</v>
      </c>
      <c r="AS354" s="744">
        <f t="shared" si="143"/>
        <v>0.8571428571428571</v>
      </c>
      <c r="AT354" s="760">
        <f t="shared" si="144"/>
        <v>18.525228219692195</v>
      </c>
      <c r="AU354" s="13">
        <f t="shared" si="145"/>
        <v>13</v>
      </c>
      <c r="AV354" s="13">
        <f t="shared" si="146"/>
        <v>14</v>
      </c>
      <c r="AW354" s="169">
        <f t="shared" si="147"/>
        <v>43430</v>
      </c>
      <c r="AX354" s="744">
        <f t="shared" si="148"/>
        <v>0.35714285714285715</v>
      </c>
      <c r="AY354" s="760">
        <f t="shared" si="149"/>
        <v>18.793059797425354</v>
      </c>
      <c r="AZ354" s="737">
        <f t="shared" si="153"/>
        <v>18.659144008558776</v>
      </c>
      <c r="BA354" s="634">
        <f t="shared" si="150"/>
        <v>0.6688880177929607</v>
      </c>
      <c r="BC354" s="11">
        <v>43440</v>
      </c>
      <c r="BD354" s="286">
        <f>[3]!FeuilCaduc*(1-Persistant)+Persistant</f>
        <v>0.6306281273157095</v>
      </c>
      <c r="BE354" s="287">
        <f>[3]!CroissVégét</f>
        <v>0.9996918683792223</v>
      </c>
      <c r="BF354" s="807">
        <f>1+[3]!Salcycl*Ksac</f>
        <v>1.0038285159144638</v>
      </c>
      <c r="BH354" s="1041">
        <f t="shared" si="151"/>
        <v>0.25269709267343021</v>
      </c>
      <c r="BI354" s="11">
        <v>44536</v>
      </c>
      <c r="BJ354" s="717">
        <v>6.5563849627918169E-2</v>
      </c>
      <c r="BK354" s="717">
        <v>0.10418545526157423</v>
      </c>
      <c r="BL354" s="717">
        <v>0.14152754290748829</v>
      </c>
      <c r="BM354" s="717">
        <v>0.17755056789293691</v>
      </c>
      <c r="BN354" s="717">
        <v>0.21469398660420488</v>
      </c>
      <c r="BO354" s="718">
        <v>0.25293353444850097</v>
      </c>
      <c r="BP354" s="717">
        <v>0.29075613961607066</v>
      </c>
      <c r="BQ354" s="717">
        <v>0.33144891163664486</v>
      </c>
      <c r="BR354" s="717">
        <v>0.37545423271379313</v>
      </c>
      <c r="BS354" s="717">
        <v>0.42172242882478056</v>
      </c>
      <c r="BT354" s="717">
        <v>0.46610560544141949</v>
      </c>
      <c r="BW354" s="1162">
        <f>'2022'!R\Max</f>
        <v>0.6688880177929607</v>
      </c>
      <c r="BX354" s="1163">
        <f>'2023'!R\Max</f>
        <v>0.66797533371233087</v>
      </c>
      <c r="BY354" s="1163">
        <f>'2024'!R\Max</f>
        <v>0.6669911616738291</v>
      </c>
      <c r="BZ354" s="1163">
        <f>'2025'!R\Max</f>
        <v>0.66600287019647364</v>
      </c>
      <c r="CA354" s="1163">
        <f>'2026'!R\Max</f>
        <v>0.6649314878210133</v>
      </c>
      <c r="CB354" s="1163">
        <f>'2027'!R\Max</f>
        <v>0.66385525567682735</v>
      </c>
      <c r="CC354" s="1164">
        <f>'2028'!R\Max</f>
        <v>0.6627202348118103</v>
      </c>
      <c r="CD354" s="1163">
        <f>'2029'!R\Max</f>
        <v>0.66893355744206595</v>
      </c>
      <c r="CE354" s="1163">
        <f>'2030'!R\Max</f>
        <v>0.66802101223987531</v>
      </c>
      <c r="CF354" s="1165">
        <f>'2031'!R\Max</f>
        <v>0.66704046760475566</v>
      </c>
    </row>
    <row r="355" spans="1:84" s="6" customFormat="1" ht="11.25" x14ac:dyDescent="0.2">
      <c r="A355" s="11">
        <v>43441</v>
      </c>
      <c r="B355" s="375">
        <f>'2022'!Maxi_hp</f>
        <v>15.32586816121578</v>
      </c>
      <c r="C355" s="13">
        <f>'2022'!An_max</f>
        <v>2022</v>
      </c>
      <c r="D355" s="1050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69">
        <f t="shared" si="137"/>
        <v>43430</v>
      </c>
      <c r="I355" s="744">
        <f t="shared" si="138"/>
        <v>0.7857142857142857</v>
      </c>
      <c r="J355" s="737">
        <f t="shared" si="139"/>
        <v>18.474036627369266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43">
        <v>43441</v>
      </c>
      <c r="AP355" s="13">
        <f t="shared" si="140"/>
        <v>13</v>
      </c>
      <c r="AQ355" s="13">
        <f t="shared" si="141"/>
        <v>14</v>
      </c>
      <c r="AR355" s="169">
        <f t="shared" si="142"/>
        <v>43416</v>
      </c>
      <c r="AS355" s="744">
        <f t="shared" si="143"/>
        <v>0.8928571428571429</v>
      </c>
      <c r="AT355" s="760">
        <f t="shared" si="144"/>
        <v>18.367310445542849</v>
      </c>
      <c r="AU355" s="13">
        <f t="shared" si="145"/>
        <v>13</v>
      </c>
      <c r="AV355" s="13">
        <f t="shared" si="146"/>
        <v>14</v>
      </c>
      <c r="AW355" s="169">
        <f t="shared" si="147"/>
        <v>43430</v>
      </c>
      <c r="AX355" s="744">
        <f t="shared" si="148"/>
        <v>0.39285714285714285</v>
      </c>
      <c r="AY355" s="760">
        <f t="shared" si="149"/>
        <v>18.601576586200725</v>
      </c>
      <c r="AZ355" s="737">
        <f t="shared" si="153"/>
        <v>18.484443515871789</v>
      </c>
      <c r="BA355" s="634">
        <f t="shared" si="150"/>
        <v>0.82958957321273918</v>
      </c>
      <c r="BC355" s="11">
        <v>43441</v>
      </c>
      <c r="BD355" s="286">
        <f>[3]!FeuilCaduc*(1-Persistant)+Persistant</f>
        <v>0.62851214593092741</v>
      </c>
      <c r="BE355" s="287">
        <f>[3]!CroissVégét</f>
        <v>0.99971759412779237</v>
      </c>
      <c r="BF355" s="807">
        <f>1+[3]!Salcycl*Ksac</f>
        <v>1.0035640182413659</v>
      </c>
      <c r="BH355" s="1041">
        <f t="shared" si="151"/>
        <v>0.25533173221649885</v>
      </c>
      <c r="BI355" s="11">
        <v>44537</v>
      </c>
      <c r="BJ355" s="717">
        <v>6.9552840312834777E-2</v>
      </c>
      <c r="BK355" s="717">
        <v>0.10805081202285799</v>
      </c>
      <c r="BL355" s="717">
        <v>0.14504588153379913</v>
      </c>
      <c r="BM355" s="717">
        <v>0.18066061566860195</v>
      </c>
      <c r="BN355" s="717">
        <v>0.21746514446929463</v>
      </c>
      <c r="BO355" s="718">
        <v>0.25556732462324883</v>
      </c>
      <c r="BP355" s="717">
        <v>0.29315280548595529</v>
      </c>
      <c r="BQ355" s="717">
        <v>0.33377110921938358</v>
      </c>
      <c r="BR355" s="717">
        <v>0.37797005946215001</v>
      </c>
      <c r="BS355" s="717">
        <v>0.42443575216659957</v>
      </c>
      <c r="BT355" s="717">
        <v>0.46868177322268378</v>
      </c>
      <c r="BW355" s="1162">
        <f>'2022'!R\Max</f>
        <v>0.82958957321273918</v>
      </c>
      <c r="BX355" s="1163">
        <f>'2023'!R\Max</f>
        <v>0.82900628746831839</v>
      </c>
      <c r="BY355" s="1163">
        <f>'2024'!R\Max</f>
        <v>0.82837365776741867</v>
      </c>
      <c r="BZ355" s="1163">
        <f>'2025'!R\Max</f>
        <v>0.82773742176989051</v>
      </c>
      <c r="CA355" s="1163">
        <f>'2026'!R\Max</f>
        <v>0.82704236967362932</v>
      </c>
      <c r="CB355" s="1163">
        <f>'2027'!R\Max</f>
        <v>0.82634298934025074</v>
      </c>
      <c r="CC355" s="1164">
        <f>'2028'!R\Max</f>
        <v>0.8256042675493378</v>
      </c>
      <c r="CD355" s="1163">
        <f>'2029'!R\Max</f>
        <v>0.82961865679917735</v>
      </c>
      <c r="CE355" s="1163">
        <f>'2030'!R\Max</f>
        <v>0.82903549849238212</v>
      </c>
      <c r="CF355" s="1165">
        <f>'2031'!R\Max</f>
        <v>0.82840537529938418</v>
      </c>
    </row>
    <row r="356" spans="1:84" s="6" customFormat="1" ht="11.25" x14ac:dyDescent="0.2">
      <c r="A356" s="11">
        <v>43442</v>
      </c>
      <c r="B356" s="375">
        <f>'2022'!Maxi_hp</f>
        <v>4.9272457155162224</v>
      </c>
      <c r="C356" s="13">
        <f>'2022'!An_max</f>
        <v>2022</v>
      </c>
      <c r="D356" s="1050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69">
        <f t="shared" si="137"/>
        <v>43430</v>
      </c>
      <c r="I356" s="744">
        <f t="shared" si="138"/>
        <v>0.8571428571428571</v>
      </c>
      <c r="J356" s="737">
        <f t="shared" si="139"/>
        <v>18.296553937026431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43">
        <v>43442</v>
      </c>
      <c r="AP356" s="13">
        <f t="shared" si="140"/>
        <v>13</v>
      </c>
      <c r="AQ356" s="13">
        <f t="shared" si="141"/>
        <v>14</v>
      </c>
      <c r="AR356" s="169">
        <f t="shared" si="142"/>
        <v>43416</v>
      </c>
      <c r="AS356" s="744">
        <f t="shared" si="143"/>
        <v>0.9285714285714286</v>
      </c>
      <c r="AT356" s="760">
        <f t="shared" si="144"/>
        <v>18.223713534006048</v>
      </c>
      <c r="AU356" s="13">
        <f t="shared" si="145"/>
        <v>13</v>
      </c>
      <c r="AV356" s="13">
        <f t="shared" si="146"/>
        <v>14</v>
      </c>
      <c r="AW356" s="169">
        <f t="shared" si="147"/>
        <v>43430</v>
      </c>
      <c r="AX356" s="744">
        <f t="shared" si="148"/>
        <v>0.42857142857142855</v>
      </c>
      <c r="AY356" s="760">
        <f t="shared" si="149"/>
        <v>18.417494500960622</v>
      </c>
      <c r="AZ356" s="737">
        <f t="shared" si="153"/>
        <v>18.320604017483333</v>
      </c>
      <c r="BA356" s="634">
        <f t="shared" si="150"/>
        <v>0.26929911132309114</v>
      </c>
      <c r="BC356" s="11">
        <v>43442</v>
      </c>
      <c r="BD356" s="286">
        <f>[3]!FeuilCaduc*(1-Persistant)+Persistant</f>
        <v>0.62652226865599625</v>
      </c>
      <c r="BE356" s="287">
        <f>[3]!CroissVégét</f>
        <v>0.99974228532646048</v>
      </c>
      <c r="BF356" s="807">
        <f>1+[3]!Salcycl*Ksac</f>
        <v>1.0033152835819996</v>
      </c>
      <c r="BH356" s="1041">
        <f t="shared" si="151"/>
        <v>0.2577444635212921</v>
      </c>
      <c r="BI356" s="11">
        <v>44538</v>
      </c>
      <c r="BJ356" s="717">
        <v>7.3293716151277694E-2</v>
      </c>
      <c r="BK356" s="717">
        <v>0.11162456798978497</v>
      </c>
      <c r="BL356" s="717">
        <v>0.14827155792457428</v>
      </c>
      <c r="BM356" s="717">
        <v>0.18349454408078267</v>
      </c>
      <c r="BN356" s="717">
        <v>0.21999582136418769</v>
      </c>
      <c r="BO356" s="718">
        <v>0.25797932211263674</v>
      </c>
      <c r="BP356" s="717">
        <v>0.29537730620351149</v>
      </c>
      <c r="BQ356" s="717">
        <v>0.33595988169979757</v>
      </c>
      <c r="BR356" s="717">
        <v>0.38034740644264198</v>
      </c>
      <c r="BS356" s="717">
        <v>0.42696756224368215</v>
      </c>
      <c r="BT356" s="717">
        <v>0.47103709850399855</v>
      </c>
      <c r="BW356" s="1162">
        <f>'2022'!R\Max</f>
        <v>0.26929911132309114</v>
      </c>
      <c r="BX356" s="1163">
        <f>'2023'!R\Max</f>
        <v>0.26852092093750846</v>
      </c>
      <c r="BY356" s="1163">
        <f>'2024'!R\Max</f>
        <v>0.2676773010134138</v>
      </c>
      <c r="BZ356" s="1163">
        <f>'2025'!R\Max</f>
        <v>0.26683284453157097</v>
      </c>
      <c r="CA356" s="1163">
        <f>'2026'!R\Max</f>
        <v>0.26591021287327093</v>
      </c>
      <c r="CB356" s="1163">
        <f>'2027'!R\Max</f>
        <v>0.26498658167136535</v>
      </c>
      <c r="CC356" s="1164">
        <f>'2028'!R\Max</f>
        <v>0.26401707961526361</v>
      </c>
      <c r="CD356" s="1163">
        <f>'2029'!R\Max</f>
        <v>0.26933800234169475</v>
      </c>
      <c r="CE356" s="1163">
        <f>'2030'!R\Max</f>
        <v>0.26855981195611206</v>
      </c>
      <c r="CF356" s="1165">
        <f>'2031'!R\Max</f>
        <v>0.26771950376142217</v>
      </c>
    </row>
    <row r="357" spans="1:84" s="6" customFormat="1" ht="11.25" x14ac:dyDescent="0.2">
      <c r="A357" s="11">
        <v>43443</v>
      </c>
      <c r="B357" s="375">
        <f>'2022'!Maxi_hp</f>
        <v>8.2098937851281431</v>
      </c>
      <c r="C357" s="13">
        <f>'2022'!An_max</f>
        <v>2022</v>
      </c>
      <c r="D357" s="1050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69">
        <f t="shared" si="137"/>
        <v>43430</v>
      </c>
      <c r="I357" s="744">
        <f t="shared" si="138"/>
        <v>0.9285714285714286</v>
      </c>
      <c r="J357" s="737">
        <f t="shared" si="139"/>
        <v>18.132177663062301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43">
        <v>43443</v>
      </c>
      <c r="AP357" s="13">
        <f t="shared" si="140"/>
        <v>13</v>
      </c>
      <c r="AQ357" s="13">
        <f t="shared" si="141"/>
        <v>14</v>
      </c>
      <c r="AR357" s="169">
        <f t="shared" si="142"/>
        <v>43416</v>
      </c>
      <c r="AS357" s="744">
        <f t="shared" si="143"/>
        <v>0.9642857142857143</v>
      </c>
      <c r="AT357" s="760">
        <f t="shared" si="144"/>
        <v>18.095066909332363</v>
      </c>
      <c r="AU357" s="13">
        <f t="shared" si="145"/>
        <v>13</v>
      </c>
      <c r="AV357" s="13">
        <f t="shared" si="146"/>
        <v>14</v>
      </c>
      <c r="AW357" s="169">
        <f t="shared" si="147"/>
        <v>43430</v>
      </c>
      <c r="AX357" s="744">
        <f t="shared" si="148"/>
        <v>0.4642857142857143</v>
      </c>
      <c r="AY357" s="760">
        <f t="shared" si="149"/>
        <v>18.241431516541969</v>
      </c>
      <c r="AZ357" s="737">
        <f t="shared" si="153"/>
        <v>18.168249212937166</v>
      </c>
      <c r="BA357" s="634">
        <f t="shared" si="150"/>
        <v>0.45278035201766237</v>
      </c>
      <c r="BC357" s="11">
        <v>43443</v>
      </c>
      <c r="BD357" s="286">
        <f>[3]!FeuilCaduc*(1-Persistant)+Persistant</f>
        <v>0.62465451216441836</v>
      </c>
      <c r="BE357" s="287">
        <f>[3]!CroissVégét</f>
        <v>0.99976598353118062</v>
      </c>
      <c r="BF357" s="807">
        <f>1+[3]!Salcycl*Ksac</f>
        <v>1.0030818140205524</v>
      </c>
      <c r="BH357" s="1041">
        <f t="shared" si="151"/>
        <v>0.25993572708364721</v>
      </c>
      <c r="BI357" s="11">
        <v>44539</v>
      </c>
      <c r="BJ357" s="717">
        <v>7.6786596675585211E-2</v>
      </c>
      <c r="BK357" s="717">
        <v>0.11490690668270576</v>
      </c>
      <c r="BL357" s="717">
        <v>0.1512048188544112</v>
      </c>
      <c r="BM357" s="717">
        <v>0.18605266164272785</v>
      </c>
      <c r="BN357" s="717">
        <v>0.22228639105251538</v>
      </c>
      <c r="BO357" s="718">
        <v>0.26016996782768592</v>
      </c>
      <c r="BP357" s="717">
        <v>0.29743015052060889</v>
      </c>
      <c r="BQ357" s="717">
        <v>0.33801581083948334</v>
      </c>
      <c r="BR357" s="717">
        <v>0.38258693285258216</v>
      </c>
      <c r="BS357" s="717">
        <v>0.42931859727512417</v>
      </c>
      <c r="BT357" s="717">
        <v>0.47317239373096037</v>
      </c>
      <c r="BW357" s="1162">
        <f>'2022'!R\Max</f>
        <v>0.45278035201766237</v>
      </c>
      <c r="BX357" s="1163">
        <f>'2023'!R\Max</f>
        <v>0.45175573093073024</v>
      </c>
      <c r="BY357" s="1163">
        <f>'2024'!R\Max</f>
        <v>0.45063933426976155</v>
      </c>
      <c r="BZ357" s="1163">
        <f>'2025'!R\Max</f>
        <v>0.44952023554798176</v>
      </c>
      <c r="CA357" s="1163">
        <f>'2026'!R\Max</f>
        <v>0.44829084202528974</v>
      </c>
      <c r="CB357" s="1163">
        <f>'2027'!R\Max</f>
        <v>0.44705818641601641</v>
      </c>
      <c r="CC357" s="1164">
        <f>'2028'!R\Max</f>
        <v>0.44576451403377443</v>
      </c>
      <c r="CD357" s="1163">
        <f>'2029'!R\Max</f>
        <v>0.45283152457344211</v>
      </c>
      <c r="CE357" s="1163">
        <f>'2030'!R\Max</f>
        <v>0.45180696853476104</v>
      </c>
      <c r="CF357" s="1165">
        <f>'2031'!R\Max</f>
        <v>0.45069522193159278</v>
      </c>
    </row>
    <row r="358" spans="1:84" s="6" customFormat="1" ht="11.25" x14ac:dyDescent="0.2">
      <c r="A358" s="11">
        <v>43444</v>
      </c>
      <c r="B358" s="375">
        <f>'2022'!Maxi_hp</f>
        <v>11.96710133124366</v>
      </c>
      <c r="C358" s="13">
        <f>'2022'!An_max</f>
        <v>2022</v>
      </c>
      <c r="D358" s="1050" t="str">
        <f t="shared" si="135"/>
        <v/>
      </c>
      <c r="E358" s="1045">
        <f>AL$13/10</f>
        <v>17.981999999999999</v>
      </c>
      <c r="F358" s="13">
        <f t="shared" si="152"/>
        <v>27</v>
      </c>
      <c r="G358" s="13">
        <f t="shared" si="136"/>
        <v>26</v>
      </c>
      <c r="H358" s="169">
        <f t="shared" si="137"/>
        <v>43458</v>
      </c>
      <c r="I358" s="744">
        <f t="shared" si="138"/>
        <v>1</v>
      </c>
      <c r="J358" s="737">
        <f t="shared" si="139"/>
        <v>17.98200000077486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43">
        <v>43444</v>
      </c>
      <c r="AP358" s="13">
        <f t="shared" si="140"/>
        <v>15</v>
      </c>
      <c r="AQ358" s="13">
        <f t="shared" si="141"/>
        <v>14</v>
      </c>
      <c r="AR358" s="169">
        <f t="shared" si="142"/>
        <v>43473</v>
      </c>
      <c r="AS358" s="744">
        <f t="shared" si="143"/>
        <v>1</v>
      </c>
      <c r="AT358" s="760">
        <f t="shared" si="144"/>
        <v>17.98200000077486</v>
      </c>
      <c r="AU358" s="13">
        <f t="shared" si="145"/>
        <v>13</v>
      </c>
      <c r="AV358" s="13">
        <f t="shared" si="146"/>
        <v>14</v>
      </c>
      <c r="AW358" s="169">
        <f t="shared" si="147"/>
        <v>43430</v>
      </c>
      <c r="AX358" s="744">
        <f t="shared" si="148"/>
        <v>0.5</v>
      </c>
      <c r="AY358" s="760">
        <f t="shared" si="149"/>
        <v>18.074005603417753</v>
      </c>
      <c r="AZ358" s="737">
        <f t="shared" si="153"/>
        <v>18.028002802096307</v>
      </c>
      <c r="BA358" s="634">
        <f t="shared" si="150"/>
        <v>0.66550446728550694</v>
      </c>
      <c r="BC358" s="11">
        <v>43444</v>
      </c>
      <c r="BD358" s="286">
        <f>[3]!FeuilCaduc*(1-Persistant)+Persistant</f>
        <v>0.62290464148302538</v>
      </c>
      <c r="BE358" s="287">
        <f>[3]!CroissVégét</f>
        <v>0.9997887286324697</v>
      </c>
      <c r="BF358" s="807">
        <f>1+[3]!Salcycl*Ksac</f>
        <v>1.0028630801853782</v>
      </c>
      <c r="BH358" s="1041">
        <f t="shared" si="151"/>
        <v>0.26190597711186137</v>
      </c>
      <c r="BI358" s="11">
        <v>44540</v>
      </c>
      <c r="BJ358" s="717">
        <v>8.0031624056710327E-2</v>
      </c>
      <c r="BK358" s="717">
        <v>0.11789803248541886</v>
      </c>
      <c r="BL358" s="717">
        <v>0.15384592951344386</v>
      </c>
      <c r="BM358" s="717">
        <v>0.18833529277544381</v>
      </c>
      <c r="BN358" s="717">
        <v>0.22433724158031529</v>
      </c>
      <c r="BO358" s="718">
        <v>0.26213971638833161</v>
      </c>
      <c r="BP358" s="717">
        <v>0.29931186027437057</v>
      </c>
      <c r="BQ358" s="717">
        <v>0.33993949176864641</v>
      </c>
      <c r="BR358" s="717">
        <v>0.3846893124970176</v>
      </c>
      <c r="BS358" s="717">
        <v>0.43148961056102153</v>
      </c>
      <c r="BT358" s="717">
        <v>0.4750884846466259</v>
      </c>
      <c r="BW358" s="1162">
        <f>'2022'!R\Max</f>
        <v>0.66550446728550694</v>
      </c>
      <c r="BX358" s="1163">
        <f>'2023'!R\Max</f>
        <v>0.66458017738740427</v>
      </c>
      <c r="BY358" s="1163">
        <f>'2024'!R\Max</f>
        <v>0.66356783060321201</v>
      </c>
      <c r="BZ358" s="1163">
        <f>'2025'!R\Max</f>
        <v>0.66255102033244073</v>
      </c>
      <c r="CA358" s="1163">
        <f>'2026'!R\Max</f>
        <v>0.66142841293142929</v>
      </c>
      <c r="CB358" s="1163">
        <f>'2027'!R\Max</f>
        <v>0.66030036028380645</v>
      </c>
      <c r="CC358" s="1164">
        <f>'2028'!R\Max</f>
        <v>0.65911681346154938</v>
      </c>
      <c r="CD358" s="1163">
        <f>'2029'!R\Max</f>
        <v>0.66555058614341667</v>
      </c>
      <c r="CE358" s="1163">
        <f>'2030'!R\Max</f>
        <v>0.66462643666026278</v>
      </c>
      <c r="CF358" s="1165">
        <f>'2031'!R\Max</f>
        <v>0.66361855809186721</v>
      </c>
    </row>
    <row r="359" spans="1:84" s="6" customFormat="1" ht="11.25" x14ac:dyDescent="0.2">
      <c r="A359" s="11">
        <v>43445</v>
      </c>
      <c r="B359" s="375">
        <f>'2022'!Maxi_hp</f>
        <v>13.615221721331118</v>
      </c>
      <c r="C359" s="13">
        <f>'2022'!An_max</f>
        <v>2022</v>
      </c>
      <c r="D359" s="1050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69">
        <f t="shared" si="137"/>
        <v>43458</v>
      </c>
      <c r="I359" s="744">
        <f t="shared" si="138"/>
        <v>0.9285714285714286</v>
      </c>
      <c r="J359" s="737">
        <f t="shared" si="139"/>
        <v>17.841925914159845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43">
        <v>43445</v>
      </c>
      <c r="AP359" s="13">
        <f t="shared" si="140"/>
        <v>15</v>
      </c>
      <c r="AQ359" s="13">
        <f t="shared" si="141"/>
        <v>14</v>
      </c>
      <c r="AR359" s="169">
        <f t="shared" si="142"/>
        <v>43473</v>
      </c>
      <c r="AS359" s="744">
        <f t="shared" si="143"/>
        <v>0.96551724137931039</v>
      </c>
      <c r="AT359" s="760">
        <f t="shared" si="144"/>
        <v>17.882589737454367</v>
      </c>
      <c r="AU359" s="13">
        <f t="shared" si="145"/>
        <v>13</v>
      </c>
      <c r="AV359" s="13">
        <f t="shared" si="146"/>
        <v>14</v>
      </c>
      <c r="AW359" s="169">
        <f t="shared" si="147"/>
        <v>43430</v>
      </c>
      <c r="AX359" s="744">
        <f t="shared" si="148"/>
        <v>0.5357142857142857</v>
      </c>
      <c r="AY359" s="760">
        <f t="shared" si="149"/>
        <v>17.915834735945928</v>
      </c>
      <c r="AZ359" s="737">
        <f t="shared" si="153"/>
        <v>17.899212236700148</v>
      </c>
      <c r="BA359" s="634">
        <f t="shared" si="150"/>
        <v>0.76310269344441695</v>
      </c>
      <c r="BC359" s="11">
        <v>43445</v>
      </c>
      <c r="BD359" s="286">
        <f>[3]!FeuilCaduc*(1-Persistant)+Persistant</f>
        <v>0.62126820244498304</v>
      </c>
      <c r="BE359" s="287">
        <f>[3]!CroissVégét</f>
        <v>0.99981055892185233</v>
      </c>
      <c r="BF359" s="807">
        <f>1+[3]!Salcycl*Ksac</f>
        <v>1.0026585253056228</v>
      </c>
      <c r="BH359" s="1041">
        <f t="shared" si="151"/>
        <v>0.26365567765626663</v>
      </c>
      <c r="BI359" s="11">
        <v>44541</v>
      </c>
      <c r="BJ359" s="717">
        <v>8.3028958774746101E-2</v>
      </c>
      <c r="BK359" s="717">
        <v>0.12059816555759199</v>
      </c>
      <c r="BL359" s="717">
        <v>0.15619516840170047</v>
      </c>
      <c r="BM359" s="717">
        <v>0.19034277299104815</v>
      </c>
      <c r="BN359" s="717">
        <v>0.22614877108137574</v>
      </c>
      <c r="BO359" s="718">
        <v>0.2638890322550152</v>
      </c>
      <c r="BP359" s="717">
        <v>0.30102296738466888</v>
      </c>
      <c r="BQ359" s="717">
        <v>0.34173153065952788</v>
      </c>
      <c r="BR359" s="717">
        <v>0.38665523137413071</v>
      </c>
      <c r="BS359" s="717">
        <v>0.43348136731749171</v>
      </c>
      <c r="BT359" s="717">
        <v>0.47678620644096797</v>
      </c>
      <c r="BW359" s="1162">
        <f>'2022'!R\Max</f>
        <v>0.76310269344441695</v>
      </c>
      <c r="BX359" s="1163">
        <f>'2023'!R\Max</f>
        <v>0.76234864410926673</v>
      </c>
      <c r="BY359" s="1163">
        <f>'2024'!R\Max</f>
        <v>0.76151956395140674</v>
      </c>
      <c r="BZ359" s="1163">
        <f>'2025'!R\Max</f>
        <v>0.76068603378036015</v>
      </c>
      <c r="CA359" s="1163">
        <f>'2026'!R\Max</f>
        <v>0.75976315513246129</v>
      </c>
      <c r="CB359" s="1163">
        <f>'2027'!R\Max</f>
        <v>0.75883482499053467</v>
      </c>
      <c r="CC359" s="1164">
        <f>'2028'!R\Max</f>
        <v>0.75786299884955166</v>
      </c>
      <c r="CD359" s="1163">
        <f>'2029'!R\Max</f>
        <v>0.76314030156341695</v>
      </c>
      <c r="CE359" s="1163">
        <f>'2030'!R\Max</f>
        <v>0.76238639792919916</v>
      </c>
      <c r="CF359" s="1165">
        <f>'2031'!R\Max</f>
        <v>0.76156112766011974</v>
      </c>
    </row>
    <row r="360" spans="1:84" s="6" customFormat="1" ht="11.25" x14ac:dyDescent="0.2">
      <c r="A360" s="11">
        <v>43446</v>
      </c>
      <c r="B360" s="375">
        <f>'2022'!Maxi_hp</f>
        <v>6.2242364696996182</v>
      </c>
      <c r="C360" s="13">
        <f>'2022'!An_max</f>
        <v>2022</v>
      </c>
      <c r="D360" s="1050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69">
        <f t="shared" si="137"/>
        <v>43458</v>
      </c>
      <c r="I360" s="744">
        <f t="shared" si="138"/>
        <v>0.8571428571428571</v>
      </c>
      <c r="J360" s="737">
        <f t="shared" si="139"/>
        <v>17.707888140422959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43">
        <v>43446</v>
      </c>
      <c r="AP360" s="13">
        <f t="shared" si="140"/>
        <v>15</v>
      </c>
      <c r="AQ360" s="13">
        <f t="shared" si="141"/>
        <v>14</v>
      </c>
      <c r="AR360" s="169">
        <f t="shared" si="142"/>
        <v>43473</v>
      </c>
      <c r="AS360" s="744">
        <f t="shared" si="143"/>
        <v>0.93103448275862066</v>
      </c>
      <c r="AT360" s="760">
        <f t="shared" si="144"/>
        <v>17.79442346748607</v>
      </c>
      <c r="AU360" s="13">
        <f t="shared" si="145"/>
        <v>13</v>
      </c>
      <c r="AV360" s="13">
        <f t="shared" si="146"/>
        <v>14</v>
      </c>
      <c r="AW360" s="169">
        <f t="shared" si="147"/>
        <v>43430</v>
      </c>
      <c r="AX360" s="744">
        <f t="shared" si="148"/>
        <v>0.5714285714285714</v>
      </c>
      <c r="AY360" s="760">
        <f t="shared" si="149"/>
        <v>17.767536885397774</v>
      </c>
      <c r="AZ360" s="737">
        <f t="shared" si="153"/>
        <v>17.780980176441922</v>
      </c>
      <c r="BA360" s="634">
        <f t="shared" si="150"/>
        <v>0.3514951314545039</v>
      </c>
      <c r="BC360" s="11">
        <v>43446</v>
      </c>
      <c r="BD360" s="286">
        <f>[3]!FeuilCaduc*(1-Persistant)+Persistant</f>
        <v>0.61974055469729172</v>
      </c>
      <c r="BE360" s="287">
        <f>[3]!CroissVégét</f>
        <v>0.99983151115568181</v>
      </c>
      <c r="BF360" s="807">
        <f>1+[3]!Salcycl*Ksac</f>
        <v>1.0024675693371614</v>
      </c>
      <c r="BH360" s="1041">
        <f t="shared" si="151"/>
        <v>0.26518529873652258</v>
      </c>
      <c r="BI360" s="11">
        <v>44542</v>
      </c>
      <c r="BJ360" s="717">
        <v>8.5778775288800721E-2</v>
      </c>
      <c r="BK360" s="717">
        <v>0.12300753674619443</v>
      </c>
      <c r="BL360" s="717">
        <v>0.15825282222214929</v>
      </c>
      <c r="BM360" s="717">
        <v>0.19207544407449981</v>
      </c>
      <c r="BN360" s="717">
        <v>0.22772138358063296</v>
      </c>
      <c r="BO360" s="718">
        <v>0.26541838585799171</v>
      </c>
      <c r="BP360" s="717">
        <v>0.30256401084900503</v>
      </c>
      <c r="BQ360" s="717">
        <v>0.34339254239685585</v>
      </c>
      <c r="BR360" s="717">
        <v>0.38848538525727355</v>
      </c>
      <c r="BS360" s="717">
        <v>0.43529464150791469</v>
      </c>
      <c r="BT360" s="717">
        <v>0.47826639989615988</v>
      </c>
      <c r="BW360" s="1162">
        <f>'2022'!R\Max</f>
        <v>0.3514951314545039</v>
      </c>
      <c r="BX360" s="1163">
        <f>'2023'!R\Max</f>
        <v>0.35054081785215502</v>
      </c>
      <c r="BY360" s="1163">
        <f>'2024'!R\Max</f>
        <v>0.34949259013477052</v>
      </c>
      <c r="BZ360" s="1163">
        <f>'2025'!R\Max</f>
        <v>0.34844267005663609</v>
      </c>
      <c r="CA360" s="1163">
        <f>'2026'!R\Max</f>
        <v>0.34728387882568068</v>
      </c>
      <c r="CB360" s="1163">
        <f>'2027'!R\Max</f>
        <v>0.34612309442867645</v>
      </c>
      <c r="CC360" s="1164">
        <f>'2028'!R\Max</f>
        <v>0.34491802576655106</v>
      </c>
      <c r="CD360" s="1163">
        <f>'2029'!R\Max</f>
        <v>0.3515428134694541</v>
      </c>
      <c r="CE360" s="1163">
        <f>'2030'!R\Max</f>
        <v>0.35058852077898206</v>
      </c>
      <c r="CF360" s="1165">
        <f>'2031'!R\Max</f>
        <v>0.34954504789730556</v>
      </c>
    </row>
    <row r="361" spans="1:84" s="6" customFormat="1" ht="11.25" x14ac:dyDescent="0.2">
      <c r="A361" s="11">
        <v>43447</v>
      </c>
      <c r="B361" s="375">
        <f>'2022'!Maxi_hp</f>
        <v>5.8636677565978781</v>
      </c>
      <c r="C361" s="13">
        <f>'2022'!An_max</f>
        <v>2022</v>
      </c>
      <c r="D361" s="1050" t="str">
        <f t="shared" si="135"/>
        <v/>
      </c>
      <c r="E361" s="13"/>
      <c r="F361" s="13">
        <f t="shared" si="152"/>
        <v>27</v>
      </c>
      <c r="G361" s="13">
        <f t="shared" si="136"/>
        <v>26</v>
      </c>
      <c r="H361" s="169">
        <f t="shared" si="137"/>
        <v>43458</v>
      </c>
      <c r="I361" s="744">
        <f t="shared" si="138"/>
        <v>0.7857142857142857</v>
      </c>
      <c r="J361" s="737">
        <f t="shared" si="139"/>
        <v>17.581020564798798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43">
        <v>43447</v>
      </c>
      <c r="AP361" s="13">
        <f t="shared" si="140"/>
        <v>15</v>
      </c>
      <c r="AQ361" s="13">
        <f t="shared" si="141"/>
        <v>14</v>
      </c>
      <c r="AR361" s="169">
        <f t="shared" si="142"/>
        <v>43473</v>
      </c>
      <c r="AS361" s="744">
        <f t="shared" si="143"/>
        <v>0.89655172413793105</v>
      </c>
      <c r="AT361" s="760">
        <f t="shared" si="144"/>
        <v>17.717396245074685</v>
      </c>
      <c r="AU361" s="13">
        <f t="shared" si="145"/>
        <v>13</v>
      </c>
      <c r="AV361" s="13">
        <f t="shared" si="146"/>
        <v>14</v>
      </c>
      <c r="AW361" s="169">
        <f t="shared" si="147"/>
        <v>43430</v>
      </c>
      <c r="AX361" s="744">
        <f t="shared" si="148"/>
        <v>0.6071428571428571</v>
      </c>
      <c r="AY361" s="760">
        <f t="shared" si="149"/>
        <v>17.629730024348412</v>
      </c>
      <c r="AZ361" s="737">
        <f t="shared" si="153"/>
        <v>17.67356313471155</v>
      </c>
      <c r="BA361" s="634">
        <f t="shared" si="150"/>
        <v>0.33352260382075172</v>
      </c>
      <c r="BC361" s="11">
        <v>43447</v>
      </c>
      <c r="BD361" s="286">
        <f>[3]!FeuilCaduc*(1-Persistant)+Persistant</f>
        <v>0.61831690500385694</v>
      </c>
      <c r="BE361" s="287">
        <f>[3]!CroissVégét</f>
        <v>0.99985162061643362</v>
      </c>
      <c r="BF361" s="807">
        <f>1+[3]!Salcycl*Ksac</f>
        <v>1.0022896131254821</v>
      </c>
      <c r="BH361" s="1041">
        <f t="shared" si="151"/>
        <v>0.26656764841526942</v>
      </c>
      <c r="BI361" s="11">
        <v>44543</v>
      </c>
      <c r="BJ361" s="717">
        <v>8.8236800947458296E-2</v>
      </c>
      <c r="BK361" s="717">
        <v>0.12517335646109295</v>
      </c>
      <c r="BL361" s="717">
        <v>0.16011083576390711</v>
      </c>
      <c r="BM361" s="717">
        <v>0.19364417076011878</v>
      </c>
      <c r="BN361" s="717">
        <v>0.22914284116643147</v>
      </c>
      <c r="BO361" s="718">
        <v>0.26680049222128566</v>
      </c>
      <c r="BP361" s="717">
        <v>0.30397737782542822</v>
      </c>
      <c r="BQ361" s="717">
        <v>0.34493149545450197</v>
      </c>
      <c r="BR361" s="717">
        <v>0.39016908302877501</v>
      </c>
      <c r="BS361" s="717">
        <v>0.4369340652365854</v>
      </c>
      <c r="BT361" s="717">
        <v>0.47957974337431525</v>
      </c>
      <c r="BW361" s="1162">
        <f>'2022'!R\Max</f>
        <v>0.33352260382075172</v>
      </c>
      <c r="BX361" s="1163">
        <f>'2023'!R\Max</f>
        <v>0.33258670182797695</v>
      </c>
      <c r="BY361" s="1163">
        <f>'2024'!R\Max</f>
        <v>0.33155658733367183</v>
      </c>
      <c r="BZ361" s="1163">
        <f>'2025'!R\Max</f>
        <v>0.33052495338902588</v>
      </c>
      <c r="CA361" s="1163">
        <f>'2026'!R\Max</f>
        <v>0.32938638706003875</v>
      </c>
      <c r="CB361" s="1163">
        <f>'2027'!R\Max</f>
        <v>0.32824606799070238</v>
      </c>
      <c r="CC361" s="1164">
        <f>'2028'!R\Max</f>
        <v>0.32706730654882993</v>
      </c>
      <c r="CD361" s="1163">
        <f>'2029'!R\Max</f>
        <v>0.33356936955731886</v>
      </c>
      <c r="CE361" s="1163">
        <f>'2030'!R\Max</f>
        <v>0.33263348111428775</v>
      </c>
      <c r="CF361" s="1165">
        <f>'2031'!R\Max</f>
        <v>0.33160813586509641</v>
      </c>
    </row>
    <row r="362" spans="1:84" s="6" customFormat="1" ht="11.25" x14ac:dyDescent="0.2">
      <c r="A362" s="11">
        <v>43448</v>
      </c>
      <c r="B362" s="375">
        <f>'2022'!Maxi_hp</f>
        <v>13.378981463837262</v>
      </c>
      <c r="C362" s="13">
        <f>'2022'!An_max</f>
        <v>2022</v>
      </c>
      <c r="D362" s="1050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69">
        <f t="shared" si="137"/>
        <v>43458</v>
      </c>
      <c r="I362" s="744">
        <f t="shared" si="138"/>
        <v>0.7142857142857143</v>
      </c>
      <c r="J362" s="737">
        <f t="shared" si="139"/>
        <v>17.462457063581262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43">
        <v>43448</v>
      </c>
      <c r="AP362" s="13">
        <f t="shared" si="140"/>
        <v>15</v>
      </c>
      <c r="AQ362" s="13">
        <f t="shared" si="141"/>
        <v>14</v>
      </c>
      <c r="AR362" s="169">
        <f t="shared" si="142"/>
        <v>43473</v>
      </c>
      <c r="AS362" s="744">
        <f t="shared" si="143"/>
        <v>0.86206896551724133</v>
      </c>
      <c r="AT362" s="760">
        <f t="shared" si="144"/>
        <v>17.65140313408498</v>
      </c>
      <c r="AU362" s="13">
        <f t="shared" si="145"/>
        <v>13</v>
      </c>
      <c r="AV362" s="13">
        <f t="shared" si="146"/>
        <v>14</v>
      </c>
      <c r="AW362" s="169">
        <f t="shared" si="147"/>
        <v>43430</v>
      </c>
      <c r="AX362" s="744">
        <f t="shared" si="148"/>
        <v>0.6428571428571429</v>
      </c>
      <c r="AY362" s="760">
        <f t="shared" si="149"/>
        <v>17.503032126596999</v>
      </c>
      <c r="AZ362" s="737">
        <f t="shared" si="153"/>
        <v>17.577217630340989</v>
      </c>
      <c r="BA362" s="634">
        <f t="shared" si="150"/>
        <v>0.76615687100183216</v>
      </c>
      <c r="BC362" s="11">
        <v>43448</v>
      </c>
      <c r="BD362" s="286">
        <f>[3]!FeuilCaduc*(1-Persistant)+Persistant</f>
        <v>0.61699234058646302</v>
      </c>
      <c r="BE362" s="287">
        <f>[3]!CroissVégét</f>
        <v>0.99987092117157228</v>
      </c>
      <c r="BF362" s="807">
        <f>1+[3]!Salcycl*Ksac</f>
        <v>1.0021240425733078</v>
      </c>
      <c r="BH362" s="1041">
        <f t="shared" si="151"/>
        <v>0.26780320912616129</v>
      </c>
      <c r="BI362" s="11">
        <v>44544</v>
      </c>
      <c r="BJ362" s="717">
        <v>9.040321774768996E-2</v>
      </c>
      <c r="BK362" s="717">
        <v>0.1270958695108951</v>
      </c>
      <c r="BL362" s="717">
        <v>0.16176951213626897</v>
      </c>
      <c r="BM362" s="717">
        <v>0.19504931139886003</v>
      </c>
      <c r="BN362" s="717">
        <v>0.23041356165980983</v>
      </c>
      <c r="BO362" s="718">
        <v>0.26803583418054794</v>
      </c>
      <c r="BP362" s="717">
        <v>0.30526361944868768</v>
      </c>
      <c r="BQ362" s="717">
        <v>0.34634901655252254</v>
      </c>
      <c r="BR362" s="717">
        <v>0.39170703085826153</v>
      </c>
      <c r="BS362" s="717">
        <v>0.43840042110390537</v>
      </c>
      <c r="BT362" s="717">
        <v>0.48072708561295957</v>
      </c>
      <c r="BW362" s="1162">
        <f>'2022'!R\Max</f>
        <v>0.76615687100183216</v>
      </c>
      <c r="BX362" s="1163">
        <f>'2023'!R\Max</f>
        <v>0.76539660609919691</v>
      </c>
      <c r="BY362" s="1163">
        <f>'2024'!R\Max</f>
        <v>0.76455504604154145</v>
      </c>
      <c r="BZ362" s="1163">
        <f>'2025'!R\Max</f>
        <v>0.76370879770350741</v>
      </c>
      <c r="CA362" s="1163">
        <f>'2026'!R\Max</f>
        <v>0.7627713236484025</v>
      </c>
      <c r="CB362" s="1163">
        <f>'2027'!R\Max</f>
        <v>0.76182817259520896</v>
      </c>
      <c r="CC362" s="1164">
        <f>'2028'!R\Max</f>
        <v>0.76085278972775916</v>
      </c>
      <c r="CD362" s="1163">
        <f>'2029'!R\Max</f>
        <v>0.76619478727078327</v>
      </c>
      <c r="CE362" s="1163">
        <f>'2030'!R\Max</f>
        <v>0.76543467280191158</v>
      </c>
      <c r="CF362" s="1165">
        <f>'2031'!R\Max</f>
        <v>0.76459724101027737</v>
      </c>
    </row>
    <row r="363" spans="1:84" s="6" customFormat="1" ht="11.25" x14ac:dyDescent="0.2">
      <c r="A363" s="11">
        <v>43449</v>
      </c>
      <c r="B363" s="375">
        <f>'2022'!Maxi_hp</f>
        <v>7.1358666165073297</v>
      </c>
      <c r="C363" s="13">
        <f>'2022'!An_max</f>
        <v>2022</v>
      </c>
      <c r="D363" s="1050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69">
        <f t="shared" si="137"/>
        <v>43458</v>
      </c>
      <c r="I363" s="744">
        <f t="shared" si="138"/>
        <v>0.6428571428571429</v>
      </c>
      <c r="J363" s="737">
        <f t="shared" si="139"/>
        <v>17.353331521259886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43">
        <v>43449</v>
      </c>
      <c r="AP363" s="13">
        <f t="shared" si="140"/>
        <v>15</v>
      </c>
      <c r="AQ363" s="13">
        <f t="shared" si="141"/>
        <v>14</v>
      </c>
      <c r="AR363" s="169">
        <f t="shared" si="142"/>
        <v>43473</v>
      </c>
      <c r="AS363" s="744">
        <f t="shared" si="143"/>
        <v>0.82758620689655171</v>
      </c>
      <c r="AT363" s="760">
        <f t="shared" si="144"/>
        <v>17.596339180911407</v>
      </c>
      <c r="AU363" s="13">
        <f t="shared" si="145"/>
        <v>13</v>
      </c>
      <c r="AV363" s="13">
        <f t="shared" si="146"/>
        <v>14</v>
      </c>
      <c r="AW363" s="169">
        <f t="shared" si="147"/>
        <v>43430</v>
      </c>
      <c r="AX363" s="744">
        <f t="shared" si="148"/>
        <v>0.6785714285714286</v>
      </c>
      <c r="AY363" s="760">
        <f t="shared" si="149"/>
        <v>17.388061161232848</v>
      </c>
      <c r="AZ363" s="737">
        <f t="shared" si="153"/>
        <v>17.492200171072128</v>
      </c>
      <c r="BA363" s="634">
        <f t="shared" si="150"/>
        <v>0.41121018219268435</v>
      </c>
      <c r="BC363" s="11">
        <v>43449</v>
      </c>
      <c r="BD363" s="286">
        <f>[3]!FeuilCaduc*(1-Persistant)+Persistant</f>
        <v>0.6157618622494625</v>
      </c>
      <c r="BE363" s="287">
        <f>[3]!CroissVégét</f>
        <v>0.99988944533008528</v>
      </c>
      <c r="BF363" s="807">
        <f>1+[3]!Salcycl*Ksac</f>
        <v>1.0019702327811828</v>
      </c>
      <c r="BH363" s="1041">
        <f t="shared" si="151"/>
        <v>0.26889246295118413</v>
      </c>
      <c r="BI363" s="11">
        <v>44545</v>
      </c>
      <c r="BJ363" s="717">
        <v>9.2278205423036844E-2</v>
      </c>
      <c r="BK363" s="717">
        <v>0.12877531956493413</v>
      </c>
      <c r="BL363" s="717">
        <v>0.16322915403988658</v>
      </c>
      <c r="BM363" s="717">
        <v>0.19629122425008716</v>
      </c>
      <c r="BN363" s="717">
        <v>0.23153396257888312</v>
      </c>
      <c r="BO363" s="718">
        <v>0.26912489421945779</v>
      </c>
      <c r="BP363" s="717">
        <v>0.30642328798215779</v>
      </c>
      <c r="BQ363" s="717">
        <v>0.34764573475054777</v>
      </c>
      <c r="BR363" s="717">
        <v>0.39309993660838255</v>
      </c>
      <c r="BS363" s="717">
        <v>0.4396944912394089</v>
      </c>
      <c r="BT363" s="717">
        <v>0.48170927303137961</v>
      </c>
      <c r="BW363" s="1162">
        <f>'2022'!R\Max</f>
        <v>0.41121018219268435</v>
      </c>
      <c r="BX363" s="1163">
        <f>'2023'!R\Max</f>
        <v>0.41017794997186274</v>
      </c>
      <c r="BY363" s="1163">
        <f>'2024'!R\Max</f>
        <v>0.40903732827058331</v>
      </c>
      <c r="BZ363" s="1163">
        <f>'2025'!R\Max</f>
        <v>0.40789414322851836</v>
      </c>
      <c r="CA363" s="1163">
        <f>'2026'!R\Max</f>
        <v>0.40663366715892751</v>
      </c>
      <c r="CB363" s="1163">
        <f>'2027'!R\Max</f>
        <v>0.4053702527301139</v>
      </c>
      <c r="CC363" s="1164">
        <f>'2028'!R\Max</f>
        <v>0.40407400611858513</v>
      </c>
      <c r="CD363" s="1163">
        <f>'2029'!R\Max</f>
        <v>0.41126174338878752</v>
      </c>
      <c r="CE363" s="1163">
        <f>'2030'!R\Max</f>
        <v>0.41022956046537429</v>
      </c>
      <c r="CF363" s="1165">
        <f>'2031'!R\Max</f>
        <v>0.40909442864215101</v>
      </c>
    </row>
    <row r="364" spans="1:84" s="6" customFormat="1" ht="11.25" x14ac:dyDescent="0.2">
      <c r="A364" s="11">
        <v>43450</v>
      </c>
      <c r="B364" s="375">
        <f>'2022'!Maxi_hp</f>
        <v>5.9877220322580982</v>
      </c>
      <c r="C364" s="13">
        <f>'2022'!An_max</f>
        <v>2022</v>
      </c>
      <c r="D364" s="1050" t="str">
        <f t="shared" si="135"/>
        <v/>
      </c>
      <c r="E364" s="13"/>
      <c r="F364" s="13">
        <f t="shared" si="152"/>
        <v>27</v>
      </c>
      <c r="G364" s="13">
        <f t="shared" si="136"/>
        <v>26</v>
      </c>
      <c r="H364" s="169">
        <f t="shared" si="137"/>
        <v>43458</v>
      </c>
      <c r="I364" s="744">
        <f t="shared" si="138"/>
        <v>0.5714285714285714</v>
      </c>
      <c r="J364" s="737">
        <f t="shared" si="139"/>
        <v>17.254777814235005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43">
        <v>43450</v>
      </c>
      <c r="AP364" s="13">
        <f t="shared" si="140"/>
        <v>15</v>
      </c>
      <c r="AQ364" s="13">
        <f t="shared" si="141"/>
        <v>14</v>
      </c>
      <c r="AR364" s="169">
        <f t="shared" si="142"/>
        <v>43473</v>
      </c>
      <c r="AS364" s="744">
        <f t="shared" si="143"/>
        <v>0.7931034482758621</v>
      </c>
      <c r="AT364" s="760">
        <f t="shared" si="144"/>
        <v>17.552099449829807</v>
      </c>
      <c r="AU364" s="13">
        <f t="shared" si="145"/>
        <v>13</v>
      </c>
      <c r="AV364" s="13">
        <f t="shared" si="146"/>
        <v>14</v>
      </c>
      <c r="AW364" s="169">
        <f t="shared" si="147"/>
        <v>43430</v>
      </c>
      <c r="AX364" s="744">
        <f t="shared" si="148"/>
        <v>0.7142857142857143</v>
      </c>
      <c r="AY364" s="760">
        <f t="shared" si="149"/>
        <v>17.285435106285981</v>
      </c>
      <c r="AZ364" s="737">
        <f t="shared" si="153"/>
        <v>17.418767278057892</v>
      </c>
      <c r="BA364" s="634">
        <f t="shared" si="150"/>
        <v>0.34701820543399242</v>
      </c>
      <c r="BC364" s="11">
        <v>43450</v>
      </c>
      <c r="BD364" s="286">
        <f>[3]!FeuilCaduc*(1-Persistant)+Persistant</f>
        <v>0.61462041703967107</v>
      </c>
      <c r="BE364" s="287">
        <f>[3]!CroissVégét</f>
        <v>0.9999072242967757</v>
      </c>
      <c r="BF364" s="807">
        <f>1+[3]!Salcycl*Ksac</f>
        <v>1.0018275521299589</v>
      </c>
      <c r="BH364" s="1041">
        <f t="shared" si="151"/>
        <v>0.26983588900826244</v>
      </c>
      <c r="BI364" s="11">
        <v>44546</v>
      </c>
      <c r="BJ364" s="717">
        <v>9.3861936337882548E-2</v>
      </c>
      <c r="BK364" s="717">
        <v>0.1302119448832986</v>
      </c>
      <c r="BL364" s="717">
        <v>0.16449006025741317</v>
      </c>
      <c r="BM364" s="717">
        <v>0.19737026458976439</v>
      </c>
      <c r="BN364" s="717">
        <v>0.23250445846462098</v>
      </c>
      <c r="BO364" s="718">
        <v>0.2700681518577146</v>
      </c>
      <c r="BP364" s="717">
        <v>0.30745693454118078</v>
      </c>
      <c r="BQ364" s="717">
        <v>0.3488222792624272</v>
      </c>
      <c r="BR364" s="717">
        <v>0.39434850721661591</v>
      </c>
      <c r="BS364" s="717">
        <v>0.44081705419846312</v>
      </c>
      <c r="BT364" s="717">
        <v>0.48252714674304964</v>
      </c>
      <c r="BW364" s="1162">
        <f>'2022'!R\Max</f>
        <v>0.34701820543399242</v>
      </c>
      <c r="BX364" s="1163">
        <f>'2023'!R\Max</f>
        <v>0.34604632718956152</v>
      </c>
      <c r="BY364" s="1163">
        <f>'2024'!R\Max</f>
        <v>0.34497190595099603</v>
      </c>
      <c r="BZ364" s="1163">
        <f>'2025'!R\Max</f>
        <v>0.34389570717683571</v>
      </c>
      <c r="CA364" s="1163">
        <f>'2026'!R\Max</f>
        <v>0.34271203869908773</v>
      </c>
      <c r="CB364" s="1163">
        <f>'2027'!R\Max</f>
        <v>0.34152642746024087</v>
      </c>
      <c r="CC364" s="1164">
        <f>'2028'!R\Max</f>
        <v>0.34031596931045888</v>
      </c>
      <c r="CD364" s="1163">
        <f>'2029'!R\Max</f>
        <v>0.34706676576203477</v>
      </c>
      <c r="CE364" s="1163">
        <f>'2030'!R\Max</f>
        <v>0.34609490747957422</v>
      </c>
      <c r="CF364" s="1165">
        <f>'2031'!R\Max</f>
        <v>0.34502567746096813</v>
      </c>
    </row>
    <row r="365" spans="1:84" s="6" customFormat="1" ht="11.25" x14ac:dyDescent="0.2">
      <c r="A365" s="11">
        <v>43451</v>
      </c>
      <c r="B365" s="375">
        <f>'2022'!Maxi_hp</f>
        <v>3.8659187328041593</v>
      </c>
      <c r="C365" s="13">
        <f>'2022'!An_max</f>
        <v>2022</v>
      </c>
      <c r="D365" s="1050" t="str">
        <f t="shared" si="135"/>
        <v/>
      </c>
      <c r="E365" s="13"/>
      <c r="F365" s="13">
        <f t="shared" si="152"/>
        <v>27</v>
      </c>
      <c r="G365" s="13">
        <f t="shared" si="136"/>
        <v>26</v>
      </c>
      <c r="H365" s="169">
        <f t="shared" si="137"/>
        <v>43458</v>
      </c>
      <c r="I365" s="744">
        <f t="shared" si="138"/>
        <v>0.5</v>
      </c>
      <c r="J365" s="737">
        <f t="shared" si="139"/>
        <v>17.167929828166962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43">
        <v>43451</v>
      </c>
      <c r="AP365" s="13">
        <f t="shared" si="140"/>
        <v>15</v>
      </c>
      <c r="AQ365" s="13">
        <f t="shared" si="141"/>
        <v>14</v>
      </c>
      <c r="AR365" s="169">
        <f t="shared" si="142"/>
        <v>43473</v>
      </c>
      <c r="AS365" s="744">
        <f t="shared" si="143"/>
        <v>0.75862068965517238</v>
      </c>
      <c r="AT365" s="760">
        <f t="shared" si="144"/>
        <v>17.518578994119988</v>
      </c>
      <c r="AU365" s="13">
        <f t="shared" si="145"/>
        <v>13</v>
      </c>
      <c r="AV365" s="13">
        <f t="shared" si="146"/>
        <v>14</v>
      </c>
      <c r="AW365" s="169">
        <f t="shared" si="147"/>
        <v>43430</v>
      </c>
      <c r="AX365" s="744">
        <f t="shared" si="148"/>
        <v>0.75</v>
      </c>
      <c r="AY365" s="760">
        <f t="shared" si="149"/>
        <v>17.195771929994226</v>
      </c>
      <c r="AZ365" s="737">
        <f t="shared" si="153"/>
        <v>17.357175462057107</v>
      </c>
      <c r="BA365" s="634">
        <f t="shared" si="150"/>
        <v>0.22518258004884492</v>
      </c>
      <c r="BC365" s="11">
        <v>43451</v>
      </c>
      <c r="BD365" s="286">
        <f>[3]!FeuilCaduc*(1-Persistant)+Persistant</f>
        <v>0.61356293020072572</v>
      </c>
      <c r="BE365" s="287">
        <f>[3]!CroissVégét</f>
        <v>0.99992428802440059</v>
      </c>
      <c r="BF365" s="807">
        <f>1+[3]!Salcycl*Ksac</f>
        <v>1.0016953662750907</v>
      </c>
      <c r="BH365" s="1041">
        <f t="shared" si="151"/>
        <v>0.2706339608441421</v>
      </c>
      <c r="BI365" s="11">
        <v>44547</v>
      </c>
      <c r="BJ365" s="717">
        <v>9.5154570383525344E-2</v>
      </c>
      <c r="BK365" s="717">
        <v>0.13140597404938015</v>
      </c>
      <c r="BL365" s="717">
        <v>0.1655525221473447</v>
      </c>
      <c r="BM365" s="717">
        <v>0.19828678182249515</v>
      </c>
      <c r="BN365" s="717">
        <v>0.23332545821116543</v>
      </c>
      <c r="BO365" s="718">
        <v>0.27086608104430954</v>
      </c>
      <c r="BP365" s="717">
        <v>0.30836510682242141</v>
      </c>
      <c r="BQ365" s="717">
        <v>0.34987927727769669</v>
      </c>
      <c r="BR365" s="717">
        <v>0.39545344608478611</v>
      </c>
      <c r="BS365" s="717">
        <v>0.44176888186759761</v>
      </c>
      <c r="BT365" s="717">
        <v>0.48318153957751081</v>
      </c>
      <c r="BW365" s="1162">
        <f>'2022'!R\Max</f>
        <v>0.22518258004884492</v>
      </c>
      <c r="BX365" s="1163">
        <f>'2023'!R\Max</f>
        <v>0.22450151299099877</v>
      </c>
      <c r="BY365" s="1163">
        <f>'2024'!R\Max</f>
        <v>0.22374842916886925</v>
      </c>
      <c r="BZ365" s="1163">
        <f>'2025'!R\Max</f>
        <v>0.22299443800925356</v>
      </c>
      <c r="CA365" s="1163">
        <f>'2026'!R\Max</f>
        <v>0.22216762560010003</v>
      </c>
      <c r="CB365" s="1163">
        <f>'2027'!R\Max</f>
        <v>0.22133989569461149</v>
      </c>
      <c r="CC365" s="1164">
        <f>'2028'!R\Max</f>
        <v>0.22049887022449893</v>
      </c>
      <c r="CD365" s="1163">
        <f>'2029'!R\Max</f>
        <v>0.22521661721006891</v>
      </c>
      <c r="CE365" s="1163">
        <f>'2030'!R\Max</f>
        <v>0.22453555015222279</v>
      </c>
      <c r="CF365" s="1165">
        <f>'2031'!R\Max</f>
        <v>0.22378611080148625</v>
      </c>
    </row>
    <row r="366" spans="1:84" s="6" customFormat="1" ht="11.25" x14ac:dyDescent="0.2">
      <c r="A366" s="11">
        <v>43452</v>
      </c>
      <c r="B366" s="375">
        <f>'2022'!Maxi_hp</f>
        <v>15.600858513413073</v>
      </c>
      <c r="C366" s="13">
        <f>'2022'!An_max</f>
        <v>2022</v>
      </c>
      <c r="D366" s="1050" t="str">
        <f t="shared" si="135"/>
        <v/>
      </c>
      <c r="E366" s="13"/>
      <c r="F366" s="13">
        <f t="shared" si="152"/>
        <v>27</v>
      </c>
      <c r="G366" s="13">
        <f t="shared" si="136"/>
        <v>26</v>
      </c>
      <c r="H366" s="169">
        <f t="shared" si="137"/>
        <v>43458</v>
      </c>
      <c r="I366" s="744">
        <f t="shared" si="138"/>
        <v>0.42857142857142855</v>
      </c>
      <c r="J366" s="737">
        <f t="shared" si="139"/>
        <v>17.093921443607126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43">
        <v>43452</v>
      </c>
      <c r="AP366" s="13">
        <f t="shared" si="140"/>
        <v>15</v>
      </c>
      <c r="AQ366" s="13">
        <f t="shared" si="141"/>
        <v>14</v>
      </c>
      <c r="AR366" s="169">
        <f t="shared" si="142"/>
        <v>43473</v>
      </c>
      <c r="AS366" s="744">
        <f t="shared" si="143"/>
        <v>0.72413793103448276</v>
      </c>
      <c r="AT366" s="760">
        <f t="shared" si="144"/>
        <v>17.495672870453063</v>
      </c>
      <c r="AU366" s="13">
        <f t="shared" si="145"/>
        <v>13</v>
      </c>
      <c r="AV366" s="13">
        <f t="shared" si="146"/>
        <v>14</v>
      </c>
      <c r="AW366" s="169">
        <f t="shared" si="147"/>
        <v>43430</v>
      </c>
      <c r="AX366" s="744">
        <f t="shared" si="148"/>
        <v>0.7857142857142857</v>
      </c>
      <c r="AY366" s="760">
        <f t="shared" si="149"/>
        <v>17.119689602032302</v>
      </c>
      <c r="AZ366" s="737">
        <f t="shared" si="153"/>
        <v>17.307681236242683</v>
      </c>
      <c r="BA366" s="634">
        <f t="shared" si="150"/>
        <v>0.9126553298422676</v>
      </c>
      <c r="BC366" s="11">
        <v>43452</v>
      </c>
      <c r="BD366" s="286">
        <f>[3]!FeuilCaduc*(1-Persistant)+Persistant</f>
        <v>0.61258433619096941</v>
      </c>
      <c r="BE366" s="287">
        <f>[3]!CroissVégét</f>
        <v>0.99994066526373915</v>
      </c>
      <c r="BF366" s="807">
        <f>1+[3]!Salcycl*Ksac</f>
        <v>1.0015730420238711</v>
      </c>
      <c r="BH366" s="1041">
        <f t="shared" si="151"/>
        <v>0.27121802384967719</v>
      </c>
      <c r="BI366" s="11">
        <v>44548</v>
      </c>
      <c r="BJ366" s="717">
        <v>9.6046167246637296E-2</v>
      </c>
      <c r="BK366" s="717">
        <v>0.13225356108674582</v>
      </c>
      <c r="BL366" s="717">
        <v>0.16632290108076941</v>
      </c>
      <c r="BM366" s="717">
        <v>0.19895983367801606</v>
      </c>
      <c r="BN366" s="717">
        <v>0.233925685867334</v>
      </c>
      <c r="BO366" s="718">
        <v>0.2714500434791523</v>
      </c>
      <c r="BP366" s="717">
        <v>0.30906525788948208</v>
      </c>
      <c r="BQ366" s="717">
        <v>0.35071758912930434</v>
      </c>
      <c r="BR366" s="717">
        <v>0.39631361090706507</v>
      </c>
      <c r="BS366" s="717">
        <v>0.44246950489516185</v>
      </c>
      <c r="BT366" s="717">
        <v>0.48362480611816849</v>
      </c>
      <c r="BW366" s="1162">
        <f>'2022'!R\Max</f>
        <v>0.9126553298422676</v>
      </c>
      <c r="BX366" s="1163">
        <f>'2023'!R\Max</f>
        <v>0.91230841055589973</v>
      </c>
      <c r="BY366" s="1163">
        <f>'2024'!R\Max</f>
        <v>0.91192255617294582</v>
      </c>
      <c r="BZ366" s="1163">
        <f>'2025'!R\Max</f>
        <v>0.91153393978389818</v>
      </c>
      <c r="CA366" s="1163">
        <f>'2026'!R\Max</f>
        <v>0.91110633119719875</v>
      </c>
      <c r="CB366" s="1163">
        <f>'2027'!R\Max</f>
        <v>0.91067545820616791</v>
      </c>
      <c r="CC366" s="1164">
        <f>'2028'!R\Max</f>
        <v>0.91023647491125503</v>
      </c>
      <c r="CD366" s="1163">
        <f>'2029'!R\Max</f>
        <v>0.91267261908577202</v>
      </c>
      <c r="CE366" s="1163">
        <f>'2030'!R\Max</f>
        <v>0.91232579224842947</v>
      </c>
      <c r="CF366" s="1165">
        <f>'2031'!R\Max</f>
        <v>0.9119419172881954</v>
      </c>
    </row>
    <row r="367" spans="1:84" s="6" customFormat="1" ht="11.25" x14ac:dyDescent="0.2">
      <c r="A367" s="11">
        <v>43453</v>
      </c>
      <c r="B367" s="375">
        <f>'2022'!Maxi_hp</f>
        <v>14.936536539370893</v>
      </c>
      <c r="C367" s="13">
        <f>'2022'!An_max</f>
        <v>2022</v>
      </c>
      <c r="D367" s="1050" t="str">
        <f t="shared" si="135"/>
        <v/>
      </c>
      <c r="E367" s="13"/>
      <c r="F367" s="13">
        <f t="shared" si="152"/>
        <v>27</v>
      </c>
      <c r="G367" s="13">
        <f t="shared" si="136"/>
        <v>26</v>
      </c>
      <c r="H367" s="169">
        <f t="shared" si="137"/>
        <v>43458</v>
      </c>
      <c r="I367" s="744">
        <f t="shared" si="138"/>
        <v>0.35714285714285715</v>
      </c>
      <c r="J367" s="737">
        <f t="shared" si="139"/>
        <v>17.033886534827097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43">
        <v>43453</v>
      </c>
      <c r="AP367" s="13">
        <f t="shared" si="140"/>
        <v>15</v>
      </c>
      <c r="AQ367" s="13">
        <f t="shared" si="141"/>
        <v>14</v>
      </c>
      <c r="AR367" s="169">
        <f t="shared" si="142"/>
        <v>43473</v>
      </c>
      <c r="AS367" s="744">
        <f t="shared" si="143"/>
        <v>0.68965517241379315</v>
      </c>
      <c r="AT367" s="760">
        <f t="shared" si="144"/>
        <v>17.483276134112788</v>
      </c>
      <c r="AU367" s="13">
        <f t="shared" si="145"/>
        <v>13</v>
      </c>
      <c r="AV367" s="13">
        <f t="shared" si="146"/>
        <v>14</v>
      </c>
      <c r="AW367" s="169">
        <f t="shared" si="147"/>
        <v>43430</v>
      </c>
      <c r="AX367" s="744">
        <f t="shared" si="148"/>
        <v>0.8214285714285714</v>
      </c>
      <c r="AY367" s="760">
        <f t="shared" si="149"/>
        <v>17.057806102319489</v>
      </c>
      <c r="AZ367" s="737">
        <f t="shared" si="153"/>
        <v>17.270541118216137</v>
      </c>
      <c r="BA367" s="634">
        <f t="shared" si="150"/>
        <v>0.87687190523618852</v>
      </c>
      <c r="BC367" s="11">
        <v>43453</v>
      </c>
      <c r="BD367" s="286">
        <f>[3]!FeuilCaduc*(1-Persistant)+Persistant</f>
        <v>0.61167960854563364</v>
      </c>
      <c r="BE367" s="287">
        <f>[3]!CroissVégét</f>
        <v>0.99995638361167161</v>
      </c>
      <c r="BF367" s="807">
        <f>1+[3]!Salcycl*Ksac</f>
        <v>1.0014599510682043</v>
      </c>
      <c r="BH367" s="1041">
        <f t="shared" si="151"/>
        <v>0.27166916349040438</v>
      </c>
      <c r="BI367" s="11">
        <v>44549</v>
      </c>
      <c r="BJ367" s="717">
        <v>9.6719629177628788E-2</v>
      </c>
      <c r="BK367" s="717">
        <v>0.13289574068983923</v>
      </c>
      <c r="BL367" s="717">
        <v>0.16690879109763371</v>
      </c>
      <c r="BM367" s="717">
        <v>0.19947427255080061</v>
      </c>
      <c r="BN367" s="717">
        <v>0.23438716681745145</v>
      </c>
      <c r="BO367" s="718">
        <v>0.27190111877993989</v>
      </c>
      <c r="BP367" s="717">
        <v>0.30960529701820944</v>
      </c>
      <c r="BQ367" s="717">
        <v>0.35136326856207956</v>
      </c>
      <c r="BR367" s="717">
        <v>0.39697786684711334</v>
      </c>
      <c r="BS367" s="717">
        <v>0.44301628419150535</v>
      </c>
      <c r="BT367" s="717">
        <v>0.48398049010312083</v>
      </c>
      <c r="BW367" s="1162">
        <f>'2022'!R\Max</f>
        <v>0.87687190523618852</v>
      </c>
      <c r="BX367" s="1163">
        <f>'2023'!R\Max</f>
        <v>0.87640002574906528</v>
      </c>
      <c r="BY367" s="1163">
        <f>'2024'!R\Max</f>
        <v>0.87587525737995764</v>
      </c>
      <c r="BZ367" s="1163">
        <f>'2025'!R\Max</f>
        <v>0.87534690245282909</v>
      </c>
      <c r="CA367" s="1163">
        <f>'2026'!R\Max</f>
        <v>0.87476695463610576</v>
      </c>
      <c r="CB367" s="1163">
        <f>'2027'!R\Max</f>
        <v>0.87418281028662703</v>
      </c>
      <c r="CC367" s="1164">
        <f>'2028'!R\Max</f>
        <v>0.87358963308796789</v>
      </c>
      <c r="CD367" s="1163">
        <f>'2029'!R\Max</f>
        <v>0.8768954256288628</v>
      </c>
      <c r="CE367" s="1163">
        <f>'2030'!R\Max</f>
        <v>0.87642366507401248</v>
      </c>
      <c r="CF367" s="1165">
        <f>'2031'!R\Max</f>
        <v>0.87590158481937819</v>
      </c>
    </row>
    <row r="368" spans="1:84" s="6" customFormat="1" ht="11.25" x14ac:dyDescent="0.2">
      <c r="A368" s="11">
        <v>43454</v>
      </c>
      <c r="B368" s="375">
        <f>'2022'!Maxi_hp</f>
        <v>4.4982170424996788</v>
      </c>
      <c r="C368" s="13">
        <f>'2022'!An_max</f>
        <v>2022</v>
      </c>
      <c r="D368" s="1050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69">
        <f t="shared" si="137"/>
        <v>43458</v>
      </c>
      <c r="I368" s="744">
        <f t="shared" si="138"/>
        <v>0.2857142857142857</v>
      </c>
      <c r="J368" s="737">
        <f t="shared" si="139"/>
        <v>16.988958985039165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43">
        <v>43454</v>
      </c>
      <c r="AP368" s="13">
        <f t="shared" si="140"/>
        <v>15</v>
      </c>
      <c r="AQ368" s="13">
        <f t="shared" si="141"/>
        <v>14</v>
      </c>
      <c r="AR368" s="169">
        <f t="shared" si="142"/>
        <v>43473</v>
      </c>
      <c r="AS368" s="744">
        <f t="shared" si="143"/>
        <v>0.65517241379310343</v>
      </c>
      <c r="AT368" s="760">
        <f t="shared" si="144"/>
        <v>17.481283845932317</v>
      </c>
      <c r="AU368" s="13">
        <f t="shared" si="145"/>
        <v>13</v>
      </c>
      <c r="AV368" s="13">
        <f t="shared" si="146"/>
        <v>14</v>
      </c>
      <c r="AW368" s="169">
        <f t="shared" si="147"/>
        <v>43430</v>
      </c>
      <c r="AX368" s="744">
        <f t="shared" si="148"/>
        <v>0.8571428571428571</v>
      </c>
      <c r="AY368" s="760">
        <f t="shared" si="149"/>
        <v>17.010739398641245</v>
      </c>
      <c r="AZ368" s="737">
        <f t="shared" si="153"/>
        <v>17.24601162228678</v>
      </c>
      <c r="BA368" s="634">
        <f t="shared" si="150"/>
        <v>0.26477296498631281</v>
      </c>
      <c r="BC368" s="11">
        <v>43454</v>
      </c>
      <c r="BD368" s="286">
        <f>[3]!FeuilCaduc*(1-Persistant)+Persistant</f>
        <v>0.61084378837758946</v>
      </c>
      <c r="BE368" s="287">
        <f>[3]!CroissVégét</f>
        <v>0.99997146955734828</v>
      </c>
      <c r="BF368" s="807">
        <f>1+[3]!Salcycl*Ksac</f>
        <v>1.0013554735471988</v>
      </c>
      <c r="BH368" s="1041">
        <f t="shared" si="151"/>
        <v>0.27198782195038401</v>
      </c>
      <c r="BI368" s="11">
        <v>44550</v>
      </c>
      <c r="BJ368" s="717">
        <v>9.7175074921031196E-2</v>
      </c>
      <c r="BK368" s="717">
        <v>0.13333269737613762</v>
      </c>
      <c r="BL368" s="717">
        <v>0.16731044058289643</v>
      </c>
      <c r="BM368" s="717">
        <v>0.19983040929940066</v>
      </c>
      <c r="BN368" s="717">
        <v>0.23471027711360373</v>
      </c>
      <c r="BO368" s="718">
        <v>0.27221974954218225</v>
      </c>
      <c r="BP368" s="717">
        <v>0.30998572618598752</v>
      </c>
      <c r="BQ368" s="717">
        <v>0.35181688278338147</v>
      </c>
      <c r="BR368" s="717">
        <v>0.39744685966942045</v>
      </c>
      <c r="BS368" s="717">
        <v>0.44340995508305131</v>
      </c>
      <c r="BT368" s="717">
        <v>0.48424941307881891</v>
      </c>
      <c r="BW368" s="1162">
        <f>'2022'!R\Max</f>
        <v>0.26477296498631281</v>
      </c>
      <c r="BX368" s="1163">
        <f>'2023'!R\Max</f>
        <v>0.26396153890483032</v>
      </c>
      <c r="BY368" s="1163">
        <f>'2024'!R\Max</f>
        <v>0.26306385246011532</v>
      </c>
      <c r="BZ368" s="1163">
        <f>'2025'!R\Max</f>
        <v>0.2621650833960491</v>
      </c>
      <c r="CA368" s="1163">
        <f>'2026'!R\Max</f>
        <v>0.26118570596561608</v>
      </c>
      <c r="CB368" s="1163">
        <f>'2027'!R\Max</f>
        <v>0.26020531682615372</v>
      </c>
      <c r="CC368" s="1164">
        <f>'2028'!R\Max</f>
        <v>0.25921785914176365</v>
      </c>
      <c r="CD368" s="1163">
        <f>'2029'!R\Max</f>
        <v>0.26481351699956707</v>
      </c>
      <c r="CE368" s="1163">
        <f>'2030'!R\Max</f>
        <v>0.26400209091808463</v>
      </c>
      <c r="CF368" s="1165">
        <f>'2031'!R\Max</f>
        <v>0.2631087695460092</v>
      </c>
    </row>
    <row r="369" spans="1:84" s="6" customFormat="1" ht="11.25" x14ac:dyDescent="0.2">
      <c r="A369" s="11">
        <v>43455</v>
      </c>
      <c r="B369" s="375">
        <f>'2022'!Maxi_hp</f>
        <v>15.99787926279242</v>
      </c>
      <c r="C369" s="13">
        <f>'2022'!An_max</f>
        <v>2022</v>
      </c>
      <c r="D369" s="1050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69">
        <f t="shared" si="137"/>
        <v>43458</v>
      </c>
      <c r="I369" s="744">
        <f t="shared" si="138"/>
        <v>0.21428571428571427</v>
      </c>
      <c r="J369" s="737">
        <f t="shared" si="139"/>
        <v>16.960272677242756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43">
        <v>43455</v>
      </c>
      <c r="AP369" s="13">
        <f t="shared" si="140"/>
        <v>15</v>
      </c>
      <c r="AQ369" s="13">
        <f t="shared" si="141"/>
        <v>14</v>
      </c>
      <c r="AR369" s="169">
        <f t="shared" si="142"/>
        <v>43473</v>
      </c>
      <c r="AS369" s="744">
        <f t="shared" si="143"/>
        <v>0.62068965517241381</v>
      </c>
      <c r="AT369" s="760">
        <f t="shared" si="144"/>
        <v>17.489591057187525</v>
      </c>
      <c r="AU369" s="13">
        <f t="shared" si="145"/>
        <v>13</v>
      </c>
      <c r="AV369" s="13">
        <f t="shared" si="146"/>
        <v>14</v>
      </c>
      <c r="AW369" s="169">
        <f t="shared" si="147"/>
        <v>43430</v>
      </c>
      <c r="AX369" s="744">
        <f t="shared" si="148"/>
        <v>0.8928571428571429</v>
      </c>
      <c r="AY369" s="760">
        <f t="shared" si="149"/>
        <v>16.97910746309374</v>
      </c>
      <c r="AZ369" s="737">
        <f t="shared" si="153"/>
        <v>17.234349260140633</v>
      </c>
      <c r="BA369" s="634">
        <f t="shared" si="150"/>
        <v>0.94325601759093924</v>
      </c>
      <c r="BC369" s="11">
        <v>43455</v>
      </c>
      <c r="BD369" s="286">
        <f>[3]!FeuilCaduc*(1-Persistant)+Persistant</f>
        <v>0.61007201132608702</v>
      </c>
      <c r="BE369" s="287">
        <f>[3]!CroissVégét</f>
        <v>0.99998594852652212</v>
      </c>
      <c r="BF369" s="807">
        <f>1+[3]!Salcycl*Ksac</f>
        <v>1.001259001415761</v>
      </c>
      <c r="BH369" s="1041">
        <f t="shared" si="151"/>
        <v>0.27217442648805956</v>
      </c>
      <c r="BI369" s="11">
        <v>44551</v>
      </c>
      <c r="BJ369" s="717">
        <v>9.7412599443775727E-2</v>
      </c>
      <c r="BK369" s="717">
        <v>0.13356459318707348</v>
      </c>
      <c r="BL369" s="717">
        <v>0.16752807763686858</v>
      </c>
      <c r="BM369" s="717">
        <v>0.20002853722795608</v>
      </c>
      <c r="BN369" s="717">
        <v>0.23489537732927421</v>
      </c>
      <c r="BO369" s="718">
        <v>0.27240636343921293</v>
      </c>
      <c r="BP369" s="717">
        <v>0.31020702942782241</v>
      </c>
      <c r="BQ369" s="717">
        <v>0.35207897745723998</v>
      </c>
      <c r="BR369" s="717">
        <v>0.397721213147399</v>
      </c>
      <c r="BS369" s="717">
        <v>0.44365123535770556</v>
      </c>
      <c r="BT369" s="717">
        <v>0.48443238613162348</v>
      </c>
      <c r="BW369" s="1162">
        <f>'2022'!R\Max</f>
        <v>0.94325601759093924</v>
      </c>
      <c r="BX369" s="1163">
        <f>'2023'!R\Max</f>
        <v>0.9430210166145343</v>
      </c>
      <c r="BY369" s="1163">
        <f>'2024'!R\Max</f>
        <v>0.94275946467745597</v>
      </c>
      <c r="BZ369" s="1163">
        <f>'2025'!R\Max</f>
        <v>0.94249594735437425</v>
      </c>
      <c r="CA369" s="1163">
        <f>'2026'!R\Max</f>
        <v>0.94220709956689541</v>
      </c>
      <c r="CB369" s="1163">
        <f>'2027'!R\Max</f>
        <v>0.9419159560476128</v>
      </c>
      <c r="CC369" s="1164">
        <f>'2028'!R\Max</f>
        <v>0.9416209586712464</v>
      </c>
      <c r="CD369" s="1163">
        <f>'2029'!R\Max</f>
        <v>0.94326772727937902</v>
      </c>
      <c r="CE369" s="1163">
        <f>'2030'!R\Max</f>
        <v>0.94303279262863693</v>
      </c>
      <c r="CF369" s="1165">
        <f>'2031'!R\Max</f>
        <v>0.94277259082853726</v>
      </c>
    </row>
    <row r="370" spans="1:84" s="6" customFormat="1" ht="11.25" x14ac:dyDescent="0.2">
      <c r="A370" s="11">
        <v>43456</v>
      </c>
      <c r="B370" s="375">
        <f>'2022'!Maxi_hp</f>
        <v>15.926304409611507</v>
      </c>
      <c r="C370" s="13">
        <f>'2022'!An_max</f>
        <v>2022</v>
      </c>
      <c r="D370" s="1050" t="str">
        <f t="shared" si="135"/>
        <v/>
      </c>
      <c r="E370" s="13"/>
      <c r="F370" s="13">
        <f t="shared" si="152"/>
        <v>27</v>
      </c>
      <c r="G370" s="13">
        <f t="shared" si="136"/>
        <v>26</v>
      </c>
      <c r="H370" s="169">
        <f t="shared" si="137"/>
        <v>43458</v>
      </c>
      <c r="I370" s="744">
        <f t="shared" si="138"/>
        <v>0.14285714285714285</v>
      </c>
      <c r="J370" s="737">
        <f t="shared" si="139"/>
        <v>16.948961488902569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43">
        <v>43456</v>
      </c>
      <c r="AP370" s="13">
        <f t="shared" si="140"/>
        <v>15</v>
      </c>
      <c r="AQ370" s="13">
        <f t="shared" si="141"/>
        <v>14</v>
      </c>
      <c r="AR370" s="169">
        <f t="shared" si="142"/>
        <v>43473</v>
      </c>
      <c r="AS370" s="744">
        <f t="shared" si="143"/>
        <v>0.58620689655172409</v>
      </c>
      <c r="AT370" s="760">
        <f t="shared" si="144"/>
        <v>17.508092825577176</v>
      </c>
      <c r="AU370" s="13">
        <f t="shared" si="145"/>
        <v>13</v>
      </c>
      <c r="AV370" s="13">
        <f t="shared" si="146"/>
        <v>14</v>
      </c>
      <c r="AW370" s="169">
        <f t="shared" si="147"/>
        <v>43430</v>
      </c>
      <c r="AX370" s="744">
        <f t="shared" si="148"/>
        <v>0.9285714285714286</v>
      </c>
      <c r="AY370" s="760">
        <f t="shared" si="149"/>
        <v>16.963528269582561</v>
      </c>
      <c r="AZ370" s="737">
        <f t="shared" si="153"/>
        <v>17.235810547579867</v>
      </c>
      <c r="BA370" s="634">
        <f t="shared" si="150"/>
        <v>0.93966255218877848</v>
      </c>
      <c r="BC370" s="11">
        <v>43456</v>
      </c>
      <c r="BD370" s="286">
        <f>[3]!FeuilCaduc*(1-Persistant)+Persistant</f>
        <v>0.60935953277953325</v>
      </c>
      <c r="BE370" s="287">
        <f>[3]!CroissVégét</f>
        <v>0.99999984492411664</v>
      </c>
      <c r="BF370" s="807">
        <f>1+[3]!Salcycl*Ksac</f>
        <v>1.0011699415974418</v>
      </c>
      <c r="BH370" s="1041">
        <f t="shared" si="151"/>
        <v>0.27222938701526433</v>
      </c>
      <c r="BI370" s="11">
        <v>44552</v>
      </c>
      <c r="BJ370" s="719">
        <v>9.7432270093553111E-2</v>
      </c>
      <c r="BK370" s="719">
        <v>0.13359156405480763</v>
      </c>
      <c r="BL370" s="719">
        <v>0.16756190679410174</v>
      </c>
      <c r="BM370" s="719">
        <v>0.20006892924422257</v>
      </c>
      <c r="BN370" s="719">
        <v>0.23494281005079232</v>
      </c>
      <c r="BO370" s="720">
        <v>0.27246137080174043</v>
      </c>
      <c r="BP370" s="719">
        <v>0.31026966992678456</v>
      </c>
      <c r="BQ370" s="719">
        <v>0.35215007321178393</v>
      </c>
      <c r="BR370" s="719">
        <v>0.39780152549649478</v>
      </c>
      <c r="BS370" s="719">
        <v>0.44374082241445034</v>
      </c>
      <c r="BT370" s="719">
        <v>0.48453020817787651</v>
      </c>
      <c r="BW370" s="1162">
        <f>'2022'!R\Max</f>
        <v>0.93966255218877848</v>
      </c>
      <c r="BX370" s="1163">
        <f>'2023'!R\Max</f>
        <v>0.93941369990913948</v>
      </c>
      <c r="BY370" s="1163">
        <f>'2024'!R\Max</f>
        <v>0.93913674106769207</v>
      </c>
      <c r="BZ370" s="1163">
        <f>'2025'!R\Max</f>
        <v>0.93885771180681954</v>
      </c>
      <c r="CA370" s="1163">
        <f>'2026'!R\Max</f>
        <v>0.93855187260068706</v>
      </c>
      <c r="CB370" s="1163">
        <f>'2027'!R\Max</f>
        <v>0.93824361561498104</v>
      </c>
      <c r="CC370" s="1164">
        <f>'2028'!R\Max</f>
        <v>0.93793129116216301</v>
      </c>
      <c r="CD370" s="1163">
        <f>'2029'!R\Max</f>
        <v>0.93967495227986197</v>
      </c>
      <c r="CE370" s="1163">
        <f>'2030'!R\Max</f>
        <v>0.9394261698219466</v>
      </c>
      <c r="CF370" s="1165">
        <f>'2031'!R\Max</f>
        <v>0.93915064016114336</v>
      </c>
    </row>
    <row r="371" spans="1:84" s="6" customFormat="1" ht="11.25" x14ac:dyDescent="0.2">
      <c r="A371" s="11">
        <v>43457</v>
      </c>
      <c r="B371" s="375">
        <f>'2022'!Maxi_hp</f>
        <v>15.626325591893499</v>
      </c>
      <c r="C371" s="13">
        <f>'2022'!An_max</f>
        <v>2022</v>
      </c>
      <c r="D371" s="1050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69">
        <f t="shared" si="137"/>
        <v>43458</v>
      </c>
      <c r="I371" s="744">
        <f t="shared" si="138"/>
        <v>7.1428571428571425E-2</v>
      </c>
      <c r="J371" s="737">
        <f t="shared" si="139"/>
        <v>16.956159304295266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43">
        <v>43457</v>
      </c>
      <c r="AP371" s="13">
        <f t="shared" si="140"/>
        <v>15</v>
      </c>
      <c r="AQ371" s="13">
        <f t="shared" si="141"/>
        <v>14</v>
      </c>
      <c r="AR371" s="169">
        <f t="shared" si="142"/>
        <v>43473</v>
      </c>
      <c r="AS371" s="744">
        <f t="shared" si="143"/>
        <v>0.55172413793103448</v>
      </c>
      <c r="AT371" s="760">
        <f t="shared" si="144"/>
        <v>17.536684211780287</v>
      </c>
      <c r="AU371" s="13">
        <f t="shared" si="145"/>
        <v>13</v>
      </c>
      <c r="AV371" s="13">
        <f t="shared" si="146"/>
        <v>14</v>
      </c>
      <c r="AW371" s="169">
        <f t="shared" si="147"/>
        <v>43430</v>
      </c>
      <c r="AX371" s="744">
        <f t="shared" si="148"/>
        <v>0.9642857142857143</v>
      </c>
      <c r="AY371" s="760">
        <f t="shared" si="149"/>
        <v>16.9646197905764</v>
      </c>
      <c r="AZ371" s="737">
        <f t="shared" si="153"/>
        <v>17.250652001178345</v>
      </c>
      <c r="BA371" s="634">
        <f t="shared" si="150"/>
        <v>0.92157223292512369</v>
      </c>
      <c r="BC371" s="11">
        <v>43457</v>
      </c>
      <c r="BD371" s="286">
        <f>[3]!FeuilCaduc*(1-Persistant)+Persistant</f>
        <v>0.60870175121632608</v>
      </c>
      <c r="BE371" s="287">
        <f>[3]!CroissVégét</f>
        <v>0.99999984492411664</v>
      </c>
      <c r="BF371" s="807">
        <f>1+[3]!Salcycl*Ksac</f>
        <v>1.0010877189020408</v>
      </c>
      <c r="BH371" s="1041">
        <f t="shared" si="151"/>
        <v>0.27215325149752839</v>
      </c>
      <c r="BI371" s="11">
        <v>44553</v>
      </c>
      <c r="BJ371" s="717">
        <v>9.7234179143134342E-2</v>
      </c>
      <c r="BK371" s="717">
        <v>0.13341379353547408</v>
      </c>
      <c r="BL371" s="717">
        <v>0.16741220282438088</v>
      </c>
      <c r="BM371" s="717">
        <v>0.19995195096946153</v>
      </c>
      <c r="BN371" s="717">
        <v>0.23485303355973652</v>
      </c>
      <c r="BO371" s="718">
        <v>0.27238532015327649</v>
      </c>
      <c r="BP371" s="717">
        <v>0.31017426697408768</v>
      </c>
      <c r="BQ371" s="717">
        <v>0.35203086628889008</v>
      </c>
      <c r="BR371" s="717">
        <v>0.39768859642637366</v>
      </c>
      <c r="BS371" s="717">
        <v>0.4436796477021645</v>
      </c>
      <c r="BT371" s="717">
        <v>0.4845439452403551</v>
      </c>
      <c r="BW371" s="1162">
        <f>'2022'!R\Max</f>
        <v>0.92157223292512369</v>
      </c>
      <c r="BX371" s="1163">
        <f>'2023'!R\Max</f>
        <v>0.92125566436362161</v>
      </c>
      <c r="BY371" s="1163">
        <f>'2024'!R\Max</f>
        <v>0.92090342400905556</v>
      </c>
      <c r="BZ371" s="1163">
        <f>'2025'!R\Max</f>
        <v>0.92054861812401445</v>
      </c>
      <c r="CA371" s="1163">
        <f>'2026'!R\Max</f>
        <v>0.92015952678148316</v>
      </c>
      <c r="CB371" s="1163">
        <f>'2027'!R\Max</f>
        <v>0.91976743683455719</v>
      </c>
      <c r="CC371" s="1164">
        <f>'2028'!R\Max</f>
        <v>0.91936986632207363</v>
      </c>
      <c r="CD371" s="1163">
        <f>'2029'!R\Max</f>
        <v>0.92158800866557744</v>
      </c>
      <c r="CE371" s="1163">
        <f>'2030'!R\Max</f>
        <v>0.92127152623937836</v>
      </c>
      <c r="CF371" s="1165">
        <f>'2031'!R\Max</f>
        <v>0.92092109948122358</v>
      </c>
    </row>
    <row r="372" spans="1:84" s="6" customFormat="1" ht="11.25" x14ac:dyDescent="0.2">
      <c r="A372" s="11">
        <v>43458</v>
      </c>
      <c r="B372" s="375">
        <f>'2022'!Maxi_hp</f>
        <v>16.912921484564905</v>
      </c>
      <c r="C372" s="13">
        <f>'2022'!An_max</f>
        <v>2022</v>
      </c>
      <c r="D372" s="1050">
        <f t="shared" si="135"/>
        <v>0.99587360774251188</v>
      </c>
      <c r="E372" s="1045">
        <f>AM$13/10</f>
        <v>16.983000000000001</v>
      </c>
      <c r="F372" s="13">
        <f t="shared" si="152"/>
        <v>27</v>
      </c>
      <c r="G372" s="13">
        <f t="shared" si="136"/>
        <v>28</v>
      </c>
      <c r="H372" s="169">
        <f t="shared" si="137"/>
        <v>43458</v>
      </c>
      <c r="I372" s="744">
        <f t="shared" si="138"/>
        <v>0</v>
      </c>
      <c r="J372" s="737">
        <f t="shared" si="139"/>
        <v>16.983000004291533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43">
        <v>43458</v>
      </c>
      <c r="AP372" s="13">
        <f t="shared" si="140"/>
        <v>15</v>
      </c>
      <c r="AQ372" s="13">
        <f t="shared" si="141"/>
        <v>14</v>
      </c>
      <c r="AR372" s="169">
        <f t="shared" si="142"/>
        <v>43473</v>
      </c>
      <c r="AS372" s="744">
        <f t="shared" si="143"/>
        <v>0.51724137931034486</v>
      </c>
      <c r="AT372" s="760">
        <f t="shared" si="144"/>
        <v>17.575260266147811</v>
      </c>
      <c r="AU372" s="13">
        <f t="shared" si="145"/>
        <v>15</v>
      </c>
      <c r="AV372" s="13">
        <f t="shared" si="146"/>
        <v>14</v>
      </c>
      <c r="AW372" s="169">
        <f t="shared" si="147"/>
        <v>43487</v>
      </c>
      <c r="AX372" s="744">
        <f t="shared" si="148"/>
        <v>1</v>
      </c>
      <c r="AY372" s="760">
        <f t="shared" si="149"/>
        <v>16.982999998331071</v>
      </c>
      <c r="AZ372" s="737">
        <f t="shared" si="153"/>
        <v>17.279130132239441</v>
      </c>
      <c r="BA372" s="634">
        <f t="shared" si="150"/>
        <v>0.99587360774251188</v>
      </c>
      <c r="BC372" s="11">
        <v>43458</v>
      </c>
      <c r="BD372" s="286">
        <f>[3]!FeuilCaduc*(1-Persistant)+Persistant</f>
        <v>0.60809422952685477</v>
      </c>
      <c r="BE372" s="287">
        <f>[3]!CroissVégét</f>
        <v>0.99999984492411664</v>
      </c>
      <c r="BF372" s="807">
        <f>1+[3]!Salcycl*Ksac</f>
        <v>1.0010117786908568</v>
      </c>
      <c r="BH372" s="1041">
        <f t="shared" si="151"/>
        <v>0.27194587908237472</v>
      </c>
      <c r="BI372" s="11">
        <v>44554</v>
      </c>
      <c r="BJ372" s="717">
        <v>9.681814543578332E-2</v>
      </c>
      <c r="BK372" s="717">
        <v>0.13303110505391666</v>
      </c>
      <c r="BL372" s="717">
        <v>0.16707880032628608</v>
      </c>
      <c r="BM372" s="717">
        <v>0.19967745218555399</v>
      </c>
      <c r="BN372" s="717">
        <v>0.23462590787581394</v>
      </c>
      <c r="BO372" s="718">
        <v>0.27217807063591765</v>
      </c>
      <c r="BP372" s="717">
        <v>0.30992065343165304</v>
      </c>
      <c r="BQ372" s="717">
        <v>0.35172115862809811</v>
      </c>
      <c r="BR372" s="717">
        <v>0.39738221883175662</v>
      </c>
      <c r="BS372" s="717">
        <v>0.44346752978654297</v>
      </c>
      <c r="BT372" s="717">
        <v>0.48447346084039677</v>
      </c>
      <c r="BW372" s="1162">
        <f>'2022'!R\Max</f>
        <v>0.99587360774251188</v>
      </c>
      <c r="BX372" s="1163">
        <f>'2023'!R\Max</f>
        <v>0.99585567185196189</v>
      </c>
      <c r="BY372" s="1163">
        <f>'2024'!R\Max</f>
        <v>0.99583570390399856</v>
      </c>
      <c r="BZ372" s="1163">
        <f>'2025'!R\Max</f>
        <v>0.99581557644996987</v>
      </c>
      <c r="CA372" s="1163">
        <f>'2026'!R\Max</f>
        <v>0.99579345675186681</v>
      </c>
      <c r="CB372" s="1163">
        <f>'2027'!R\Max</f>
        <v>0.99577114872026962</v>
      </c>
      <c r="CC372" s="1164">
        <f>'2028'!R\Max</f>
        <v>0.99574846654432336</v>
      </c>
      <c r="CD372" s="1163">
        <f>'2029'!R\Max</f>
        <v>0.99587450125745525</v>
      </c>
      <c r="CE372" s="1163">
        <f>'2030'!R\Max</f>
        <v>0.99585657080950141</v>
      </c>
      <c r="CF372" s="1165">
        <f>'2031'!R\Max</f>
        <v>0.99583670622941467</v>
      </c>
    </row>
    <row r="373" spans="1:84" s="6" customFormat="1" ht="11.25" x14ac:dyDescent="0.2">
      <c r="A373" s="11">
        <v>43459</v>
      </c>
      <c r="B373" s="375">
        <f>'2022'!Maxi_hp</f>
        <v>9.3608811966692667</v>
      </c>
      <c r="C373" s="13">
        <f>'2022'!An_max</f>
        <v>2022</v>
      </c>
      <c r="D373" s="1050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69">
        <f t="shared" si="137"/>
        <v>43458</v>
      </c>
      <c r="I373" s="744">
        <f t="shared" si="138"/>
        <v>6.6666666666666666E-2</v>
      </c>
      <c r="J373" s="737">
        <f t="shared" si="139"/>
        <v>17.03167158941428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43">
        <v>43459</v>
      </c>
      <c r="AP373" s="13">
        <f t="shared" si="140"/>
        <v>15</v>
      </c>
      <c r="AQ373" s="13">
        <f t="shared" si="141"/>
        <v>14</v>
      </c>
      <c r="AR373" s="169">
        <f t="shared" si="142"/>
        <v>43473</v>
      </c>
      <c r="AS373" s="744">
        <f t="shared" si="143"/>
        <v>0.48275862068965519</v>
      </c>
      <c r="AT373" s="760">
        <f t="shared" si="144"/>
        <v>17.623716050848877</v>
      </c>
      <c r="AU373" s="13">
        <f t="shared" si="145"/>
        <v>15</v>
      </c>
      <c r="AV373" s="13">
        <f t="shared" si="146"/>
        <v>14</v>
      </c>
      <c r="AW373" s="169">
        <f t="shared" si="147"/>
        <v>43487</v>
      </c>
      <c r="AX373" s="744">
        <f t="shared" si="148"/>
        <v>0.96551724137931039</v>
      </c>
      <c r="AY373" s="760">
        <f t="shared" si="149"/>
        <v>17.019075867173999</v>
      </c>
      <c r="AZ373" s="737">
        <f t="shared" si="153"/>
        <v>17.32139595901144</v>
      </c>
      <c r="BA373" s="634">
        <f t="shared" si="150"/>
        <v>0.54961611651127351</v>
      </c>
      <c r="BC373" s="11">
        <v>43459</v>
      </c>
      <c r="BD373" s="286">
        <f>[3]!FeuilCaduc*(1-Persistant)+Persistant</f>
        <v>0.60753271419984134</v>
      </c>
      <c r="BE373" s="287">
        <f>[3]!CroissVégét</f>
        <v>0.99999984492411664</v>
      </c>
      <c r="BF373" s="807">
        <f>1+[3]!Salcycl*Ksac</f>
        <v>1.0009415892749802</v>
      </c>
      <c r="BH373" s="1041">
        <f t="shared" si="151"/>
        <v>0.27160655810895007</v>
      </c>
      <c r="BI373" s="11">
        <v>44555</v>
      </c>
      <c r="BJ373" s="717">
        <v>9.6183758494879132E-2</v>
      </c>
      <c r="BK373" s="717">
        <v>0.13244302135440675</v>
      </c>
      <c r="BL373" s="717">
        <v>0.1665611674918813</v>
      </c>
      <c r="BM373" s="717">
        <v>0.1992448542327192</v>
      </c>
      <c r="BN373" s="717">
        <v>0.23426079686693968</v>
      </c>
      <c r="BO373" s="718">
        <v>0.27183891011889755</v>
      </c>
      <c r="BP373" s="717">
        <v>0.30950801032656788</v>
      </c>
      <c r="BQ373" s="717">
        <v>0.3512200107485321</v>
      </c>
      <c r="BR373" s="717">
        <v>0.3968813512550991</v>
      </c>
      <c r="BS373" s="717">
        <v>0.44310336601875194</v>
      </c>
      <c r="BT373" s="717">
        <v>0.48431762440193876</v>
      </c>
      <c r="BW373" s="1162">
        <f>'2022'!R\Max</f>
        <v>0.54961611651127351</v>
      </c>
      <c r="BX373" s="1163">
        <f>'2023'!R\Max</f>
        <v>0.54854398527966663</v>
      </c>
      <c r="BY373" s="1163">
        <f>'2024'!R\Max</f>
        <v>0.54735549583799392</v>
      </c>
      <c r="BZ373" s="1163">
        <f>'2025'!R\Max</f>
        <v>0.54616271556131424</v>
      </c>
      <c r="CA373" s="1163">
        <f>'2026'!R\Max</f>
        <v>0.54485510503357171</v>
      </c>
      <c r="CB373" s="1163">
        <f>'2027'!R\Max</f>
        <v>0.54354263535110903</v>
      </c>
      <c r="CC373" s="1164">
        <f>'2028'!R\Max</f>
        <v>0.54221071111472863</v>
      </c>
      <c r="CD373" s="1163">
        <f>'2029'!R\Max</f>
        <v>0.54966963660932655</v>
      </c>
      <c r="CE373" s="1163">
        <f>'2030'!R\Max</f>
        <v>0.54859762158251535</v>
      </c>
      <c r="CF373" s="1165">
        <f>'2031'!R\Max</f>
        <v>0.5474150312063305</v>
      </c>
    </row>
    <row r="374" spans="1:84" s="6" customFormat="1" ht="11.25" x14ac:dyDescent="0.2">
      <c r="A374" s="11">
        <v>43460</v>
      </c>
      <c r="B374" s="375">
        <f>'2022'!Maxi_hp</f>
        <v>15.668548082708286</v>
      </c>
      <c r="C374" s="13">
        <f>'2022'!An_max</f>
        <v>2022</v>
      </c>
      <c r="D374" s="1050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69">
        <f t="shared" si="137"/>
        <v>43458</v>
      </c>
      <c r="I374" s="744">
        <f t="shared" si="138"/>
        <v>0.13333333333333333</v>
      </c>
      <c r="J374" s="737">
        <f t="shared" si="139"/>
        <v>17.102495058377585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43">
        <v>43460</v>
      </c>
      <c r="AP374" s="13">
        <f t="shared" si="140"/>
        <v>15</v>
      </c>
      <c r="AQ374" s="13">
        <f t="shared" si="141"/>
        <v>14</v>
      </c>
      <c r="AR374" s="169">
        <f t="shared" si="142"/>
        <v>43473</v>
      </c>
      <c r="AS374" s="744">
        <f t="shared" si="143"/>
        <v>0.44827586206896552</v>
      </c>
      <c r="AT374" s="760">
        <f t="shared" si="144"/>
        <v>17.681946614692951</v>
      </c>
      <c r="AU374" s="13">
        <f t="shared" si="145"/>
        <v>15</v>
      </c>
      <c r="AV374" s="13">
        <f t="shared" si="146"/>
        <v>14</v>
      </c>
      <c r="AW374" s="169">
        <f t="shared" si="147"/>
        <v>43487</v>
      </c>
      <c r="AX374" s="744">
        <f t="shared" si="148"/>
        <v>0.93103448275862066</v>
      </c>
      <c r="AY374" s="760">
        <f t="shared" si="149"/>
        <v>17.072445835070361</v>
      </c>
      <c r="AZ374" s="737">
        <f t="shared" si="153"/>
        <v>17.377196224881658</v>
      </c>
      <c r="BA374" s="634">
        <f t="shared" si="150"/>
        <v>0.91615568542632697</v>
      </c>
      <c r="BC374" s="11">
        <v>43460</v>
      </c>
      <c r="BD374" s="286">
        <f>[3]!FeuilCaduc*(1-Persistant)+Persistant</f>
        <v>0.60701315227700314</v>
      </c>
      <c r="BE374" s="287">
        <f>[3]!CroissVégét</f>
        <v>0.99999984492411664</v>
      </c>
      <c r="BF374" s="807">
        <f>1+[3]!Salcycl*Ksac</f>
        <v>1.0008766440346255</v>
      </c>
      <c r="BH374" s="1041">
        <f t="shared" si="151"/>
        <v>0.27113455962062438</v>
      </c>
      <c r="BI374" s="11">
        <v>44556</v>
      </c>
      <c r="BJ374" s="717">
        <v>9.5330580302465703E-2</v>
      </c>
      <c r="BK374" s="717">
        <v>0.13164903914596449</v>
      </c>
      <c r="BL374" s="717">
        <v>0.16585874901470463</v>
      </c>
      <c r="BM374" s="717">
        <v>0.19865355811347998</v>
      </c>
      <c r="BN374" s="717">
        <v>0.23375704646615877</v>
      </c>
      <c r="BO374" s="718">
        <v>0.27136710917964924</v>
      </c>
      <c r="BP374" s="717">
        <v>0.30893549789493729</v>
      </c>
      <c r="BQ374" s="717">
        <v>0.35052645820641454</v>
      </c>
      <c r="BR374" s="717">
        <v>0.39618492675575673</v>
      </c>
      <c r="BS374" s="717">
        <v>0.44258603342190012</v>
      </c>
      <c r="BT374" s="717">
        <v>0.48407529321721243</v>
      </c>
      <c r="BW374" s="1162">
        <f>'2022'!R\Max</f>
        <v>0.91615568542632697</v>
      </c>
      <c r="BX374" s="1163">
        <f>'2023'!R\Max</f>
        <v>0.91582502102449337</v>
      </c>
      <c r="BY374" s="1163">
        <f>'2024'!R\Max</f>
        <v>0.91545733798901274</v>
      </c>
      <c r="BZ374" s="1163">
        <f>'2025'!R\Max</f>
        <v>0.91508703809933023</v>
      </c>
      <c r="CA374" s="1163">
        <f>'2026'!R\Max</f>
        <v>0.91467844498044337</v>
      </c>
      <c r="CB374" s="1163">
        <f>'2027'!R\Max</f>
        <v>0.91426672871717307</v>
      </c>
      <c r="CC374" s="1164">
        <f>'2028'!R\Max</f>
        <v>0.91384563285717513</v>
      </c>
      <c r="CD374" s="1163">
        <f>'2029'!R\Max</f>
        <v>0.91617216482418351</v>
      </c>
      <c r="CE374" s="1163">
        <f>'2030'!R\Max</f>
        <v>0.91584158807959748</v>
      </c>
      <c r="CF374" s="1165">
        <f>'2031'!R\Max</f>
        <v>0.91547578687991116</v>
      </c>
    </row>
    <row r="375" spans="1:84" s="6" customFormat="1" ht="11.25" x14ac:dyDescent="0.2">
      <c r="A375" s="11">
        <v>43461</v>
      </c>
      <c r="B375" s="375">
        <f>'2022'!Maxi_hp</f>
        <v>6.728249126275637</v>
      </c>
      <c r="C375" s="13">
        <f>'2022'!An_max</f>
        <v>2022</v>
      </c>
      <c r="D375" s="1050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69">
        <f t="shared" si="137"/>
        <v>43458</v>
      </c>
      <c r="I375" s="744">
        <f t="shared" si="138"/>
        <v>0.2</v>
      </c>
      <c r="J375" s="737">
        <f t="shared" si="139"/>
        <v>17.193803765773772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43">
        <v>43461</v>
      </c>
      <c r="AP375" s="13">
        <f t="shared" si="140"/>
        <v>15</v>
      </c>
      <c r="AQ375" s="13">
        <f t="shared" si="141"/>
        <v>14</v>
      </c>
      <c r="AR375" s="169">
        <f t="shared" si="142"/>
        <v>43473</v>
      </c>
      <c r="AS375" s="744">
        <f t="shared" si="143"/>
        <v>0.41379310344827586</v>
      </c>
      <c r="AT375" s="760">
        <f t="shared" si="144"/>
        <v>17.74984702272662</v>
      </c>
      <c r="AU375" s="13">
        <f t="shared" si="145"/>
        <v>15</v>
      </c>
      <c r="AV375" s="13">
        <f t="shared" si="146"/>
        <v>14</v>
      </c>
      <c r="AW375" s="169">
        <f t="shared" si="147"/>
        <v>43487</v>
      </c>
      <c r="AX375" s="744">
        <f t="shared" si="148"/>
        <v>0.89655172413793105</v>
      </c>
      <c r="AY375" s="760">
        <f t="shared" si="149"/>
        <v>17.142515074718617</v>
      </c>
      <c r="AZ375" s="737">
        <f t="shared" si="153"/>
        <v>17.446181048722618</v>
      </c>
      <c r="BA375" s="634">
        <f t="shared" si="150"/>
        <v>0.39131824568505219</v>
      </c>
      <c r="BC375" s="11">
        <v>43461</v>
      </c>
      <c r="BD375" s="286">
        <f>[3]!FeuilCaduc*(1-Persistant)+Persistant</f>
        <v>0.60653170600139006</v>
      </c>
      <c r="BE375" s="287">
        <f>[3]!CroissVégét</f>
        <v>0.99999984492411664</v>
      </c>
      <c r="BF375" s="807">
        <f>1+[3]!Salcycl*Ksac</f>
        <v>1.0008164632501737</v>
      </c>
      <c r="BH375" s="1041">
        <f t="shared" si="151"/>
        <v>0.27044832658435236</v>
      </c>
      <c r="BI375" s="11">
        <v>44557</v>
      </c>
      <c r="BJ375" s="717">
        <v>9.4074971664610749E-2</v>
      </c>
      <c r="BK375" s="717">
        <v>0.13050748261994052</v>
      </c>
      <c r="BL375" s="717">
        <v>0.16486339789669149</v>
      </c>
      <c r="BM375" s="717">
        <v>0.19781822933930837</v>
      </c>
      <c r="BN375" s="717">
        <v>0.23303216612980773</v>
      </c>
      <c r="BO375" s="718">
        <v>0.27068111659309774</v>
      </c>
      <c r="BP375" s="717">
        <v>0.30815475935771824</v>
      </c>
      <c r="BQ375" s="717">
        <v>0.34961398963121021</v>
      </c>
      <c r="BR375" s="717">
        <v>0.39524354695644454</v>
      </c>
      <c r="BS375" s="717">
        <v>0.44181756205961015</v>
      </c>
      <c r="BT375" s="717">
        <v>0.48362232261915333</v>
      </c>
      <c r="BW375" s="1162">
        <f>'2022'!R\Max</f>
        <v>0.39131824568505219</v>
      </c>
      <c r="BX375" s="1163">
        <f>'2023'!R\Max</f>
        <v>0.39030404666477042</v>
      </c>
      <c r="BY375" s="1163">
        <f>'2024'!R\Max</f>
        <v>0.38918238765747348</v>
      </c>
      <c r="BZ375" s="1163">
        <f>'2025'!R\Max</f>
        <v>0.3880584176892603</v>
      </c>
      <c r="CA375" s="1163">
        <f>'2026'!R\Max</f>
        <v>0.38682165898732729</v>
      </c>
      <c r="CB375" s="1163">
        <f>'2027'!R\Max</f>
        <v>0.38558231543679622</v>
      </c>
      <c r="CC375" s="1164">
        <f>'2028'!R\Max</f>
        <v>0.38431641230150249</v>
      </c>
      <c r="CD375" s="1163">
        <f>'2029'!R\Max</f>
        <v>0.39136891063778417</v>
      </c>
      <c r="CE375" s="1163">
        <f>'2030'!R\Max</f>
        <v>0.39035475141009801</v>
      </c>
      <c r="CF375" s="1165">
        <f>'2031'!R\Max</f>
        <v>0.38923853380424028</v>
      </c>
    </row>
    <row r="376" spans="1:84" s="6" customFormat="1" ht="11.25" x14ac:dyDescent="0.2">
      <c r="A376" s="11">
        <v>43462</v>
      </c>
      <c r="B376" s="375">
        <f>'2022'!Maxi_hp</f>
        <v>13.804733458354512</v>
      </c>
      <c r="C376" s="13">
        <f>'2022'!An_max</f>
        <v>2022</v>
      </c>
      <c r="D376" s="1050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69">
        <f t="shared" si="137"/>
        <v>43458</v>
      </c>
      <c r="I376" s="744">
        <f t="shared" si="138"/>
        <v>0.26666666666666666</v>
      </c>
      <c r="J376" s="737">
        <f t="shared" si="139"/>
        <v>17.303931073546412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43">
        <v>43462</v>
      </c>
      <c r="AP376" s="13">
        <f t="shared" si="140"/>
        <v>15</v>
      </c>
      <c r="AQ376" s="13">
        <f t="shared" si="141"/>
        <v>14</v>
      </c>
      <c r="AR376" s="169">
        <f t="shared" si="142"/>
        <v>43473</v>
      </c>
      <c r="AS376" s="744">
        <f t="shared" si="143"/>
        <v>0.37931034482758619</v>
      </c>
      <c r="AT376" s="760">
        <f t="shared" si="144"/>
        <v>17.827312326277127</v>
      </c>
      <c r="AU376" s="13">
        <f t="shared" si="145"/>
        <v>15</v>
      </c>
      <c r="AV376" s="13">
        <f t="shared" si="146"/>
        <v>14</v>
      </c>
      <c r="AW376" s="169">
        <f t="shared" si="147"/>
        <v>43487</v>
      </c>
      <c r="AX376" s="744">
        <f t="shared" si="148"/>
        <v>0.86206896551724133</v>
      </c>
      <c r="AY376" s="760">
        <f t="shared" si="149"/>
        <v>17.228688759587961</v>
      </c>
      <c r="AZ376" s="737">
        <f t="shared" si="153"/>
        <v>17.528000542932546</v>
      </c>
      <c r="BA376" s="634">
        <f t="shared" si="150"/>
        <v>0.7977801922395924</v>
      </c>
      <c r="BC376" s="11">
        <v>43462</v>
      </c>
      <c r="BD376" s="286">
        <f>[3]!FeuilCaduc*(1-Persistant)+Persistant</f>
        <v>0.60608476510646603</v>
      </c>
      <c r="BE376" s="287">
        <f>[3]!CroissVégét</f>
        <v>0.99999984492411664</v>
      </c>
      <c r="BF376" s="807">
        <f>1+[3]!Salcycl*Ksac</f>
        <v>1.0007605956383083</v>
      </c>
      <c r="BH376" s="1041">
        <f t="shared" si="151"/>
        <v>0.2696163077322839</v>
      </c>
      <c r="BI376" s="11">
        <v>44558</v>
      </c>
      <c r="BJ376" s="717">
        <v>9.2526613640476679E-2</v>
      </c>
      <c r="BK376" s="717">
        <v>0.12912197615016704</v>
      </c>
      <c r="BL376" s="717">
        <v>0.16366855858837534</v>
      </c>
      <c r="BM376" s="717">
        <v>0.19681963020349205</v>
      </c>
      <c r="BN376" s="717">
        <v>0.23215724018443837</v>
      </c>
      <c r="BO376" s="718">
        <v>0.26984936469366422</v>
      </c>
      <c r="BP376" s="717">
        <v>0.30724816382798453</v>
      </c>
      <c r="BQ376" s="717">
        <v>0.34858157931833117</v>
      </c>
      <c r="BR376" s="717">
        <v>0.3941581415667576</v>
      </c>
      <c r="BS376" s="717">
        <v>0.44087812635981649</v>
      </c>
      <c r="BT376" s="717">
        <v>0.48300600979917224</v>
      </c>
      <c r="BW376" s="1162">
        <f>'2022'!R\Max</f>
        <v>0.7977801922395924</v>
      </c>
      <c r="BX376" s="1163">
        <f>'2023'!R\Max</f>
        <v>0.79709834718265393</v>
      </c>
      <c r="BY376" s="1163">
        <f>'2024'!R\Max</f>
        <v>0.79634230899724623</v>
      </c>
      <c r="BZ376" s="1163">
        <f>'2025'!R\Max</f>
        <v>0.79558183906407631</v>
      </c>
      <c r="CA376" s="1163">
        <f>'2026'!R\Max</f>
        <v>0.79474013776382268</v>
      </c>
      <c r="CB376" s="1163">
        <f>'2027'!R\Max</f>
        <v>0.79389309724927559</v>
      </c>
      <c r="CC376" s="1164">
        <f>'2028'!R\Max</f>
        <v>0.79302049803902974</v>
      </c>
      <c r="CD376" s="1163">
        <f>'2029'!R\Max</f>
        <v>0.79781419304105883</v>
      </c>
      <c r="CE376" s="1163">
        <f>'2030'!R\Max</f>
        <v>0.79713249144743437</v>
      </c>
      <c r="CF376" s="1165">
        <f>'2031'!R\Max</f>
        <v>0.79638022125725116</v>
      </c>
    </row>
    <row r="377" spans="1:84" s="6" customFormat="1" ht="11.25" x14ac:dyDescent="0.2">
      <c r="A377" s="11">
        <v>43463</v>
      </c>
      <c r="B377" s="375">
        <f>'2022'!Maxi_hp</f>
        <v>10.509716295214137</v>
      </c>
      <c r="C377" s="13">
        <f>'2022'!An_max</f>
        <v>2022</v>
      </c>
      <c r="D377" s="1050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69">
        <f t="shared" si="137"/>
        <v>43458</v>
      </c>
      <c r="I377" s="744">
        <f t="shared" si="138"/>
        <v>0.33333333333333331</v>
      </c>
      <c r="J377" s="737">
        <f t="shared" si="139"/>
        <v>17.431210344533127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43">
        <v>43463</v>
      </c>
      <c r="AP377" s="13">
        <f t="shared" si="140"/>
        <v>15</v>
      </c>
      <c r="AQ377" s="13">
        <f t="shared" si="141"/>
        <v>14</v>
      </c>
      <c r="AR377" s="169">
        <f t="shared" si="142"/>
        <v>43473</v>
      </c>
      <c r="AS377" s="744">
        <f t="shared" si="143"/>
        <v>0.34482758620689657</v>
      </c>
      <c r="AT377" s="760">
        <f t="shared" si="144"/>
        <v>17.914237582734948</v>
      </c>
      <c r="AU377" s="13">
        <f t="shared" si="145"/>
        <v>15</v>
      </c>
      <c r="AV377" s="13">
        <f t="shared" si="146"/>
        <v>14</v>
      </c>
      <c r="AW377" s="169">
        <f t="shared" si="147"/>
        <v>43487</v>
      </c>
      <c r="AX377" s="744">
        <f t="shared" si="148"/>
        <v>0.82758620689655171</v>
      </c>
      <c r="AY377" s="760">
        <f t="shared" si="149"/>
        <v>17.330372053333399</v>
      </c>
      <c r="AZ377" s="737">
        <f t="shared" si="153"/>
        <v>17.622304818034173</v>
      </c>
      <c r="BA377" s="634">
        <f t="shared" si="150"/>
        <v>0.60292521789860976</v>
      </c>
      <c r="BC377" s="11">
        <v>43463</v>
      </c>
      <c r="BD377" s="286">
        <f>[3]!FeuilCaduc*(1-Persistant)+Persistant</f>
        <v>0.60566895671486809</v>
      </c>
      <c r="BE377" s="287">
        <f>[3]!CroissVégét</f>
        <v>0.99999984492411664</v>
      </c>
      <c r="BF377" s="807">
        <f>1+[3]!Salcycl*Ksac</f>
        <v>1.0007086195893584</v>
      </c>
      <c r="BH377" s="1041">
        <f t="shared" si="151"/>
        <v>0.26863772394665597</v>
      </c>
      <c r="BI377" s="11">
        <v>44559</v>
      </c>
      <c r="BJ377" s="717">
        <v>9.0684927684165417E-2</v>
      </c>
      <c r="BK377" s="717">
        <v>0.12749191923366199</v>
      </c>
      <c r="BL377" s="717">
        <v>0.16227361011113048</v>
      </c>
      <c r="BM377" s="717">
        <v>0.19565711420159995</v>
      </c>
      <c r="BN377" s="717">
        <v>0.23113156475124211</v>
      </c>
      <c r="BO377" s="718">
        <v>0.26887107389547588</v>
      </c>
      <c r="BP377" s="717">
        <v>0.30621486650587942</v>
      </c>
      <c r="BQ377" s="717">
        <v>0.34742829184694468</v>
      </c>
      <c r="BR377" s="717">
        <v>0.39292764850362055</v>
      </c>
      <c r="BS377" s="717">
        <v>0.43976654233119045</v>
      </c>
      <c r="BT377" s="717">
        <v>0.48222510305220628</v>
      </c>
      <c r="BW377" s="1162">
        <f>'2022'!R\Max</f>
        <v>0.60292521789860976</v>
      </c>
      <c r="BX377" s="1163">
        <f>'2023'!R\Max</f>
        <v>0.6019237783709086</v>
      </c>
      <c r="BY377" s="1163">
        <f>'2024'!R\Max</f>
        <v>0.60081689767388291</v>
      </c>
      <c r="BZ377" s="1163">
        <f>'2025'!R\Max</f>
        <v>0.59970561493405605</v>
      </c>
      <c r="CA377" s="1163">
        <f>'2026'!R\Max</f>
        <v>0.59847656556252649</v>
      </c>
      <c r="CB377" s="1163">
        <f>'2027'!R\Max</f>
        <v>0.59724225197587499</v>
      </c>
      <c r="CC377" s="1164">
        <f>'2028'!R\Max</f>
        <v>0.59596802792407899</v>
      </c>
      <c r="CD377" s="1163">
        <f>'2029'!R\Max</f>
        <v>0.60297519937583777</v>
      </c>
      <c r="CE377" s="1163">
        <f>'2030'!R\Max</f>
        <v>0.60197388695809673</v>
      </c>
      <c r="CF377" s="1165">
        <f>'2031'!R\Max</f>
        <v>0.60087235349869261</v>
      </c>
    </row>
    <row r="378" spans="1:84" s="6" customFormat="1" ht="11.25" x14ac:dyDescent="0.2">
      <c r="A378" s="11">
        <v>43464</v>
      </c>
      <c r="B378" s="375">
        <f>'2022'!Maxi_hp</f>
        <v>12.598220111558174</v>
      </c>
      <c r="C378" s="13">
        <f>'2022'!An_max</f>
        <v>2022</v>
      </c>
      <c r="D378" s="1050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69">
        <f t="shared" si="137"/>
        <v>43458</v>
      </c>
      <c r="I378" s="744">
        <f t="shared" si="138"/>
        <v>0.4</v>
      </c>
      <c r="J378" s="737">
        <f t="shared" si="139"/>
        <v>17.573974938988687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43">
        <v>43464</v>
      </c>
      <c r="AP378" s="13">
        <f t="shared" si="140"/>
        <v>15</v>
      </c>
      <c r="AQ378" s="13">
        <f t="shared" si="141"/>
        <v>14</v>
      </c>
      <c r="AR378" s="169">
        <f t="shared" si="142"/>
        <v>43473</v>
      </c>
      <c r="AS378" s="744">
        <f t="shared" si="143"/>
        <v>0.31034482758620691</v>
      </c>
      <c r="AT378" s="760">
        <f t="shared" si="144"/>
        <v>18.01051785010716</v>
      </c>
      <c r="AU378" s="13">
        <f t="shared" si="145"/>
        <v>15</v>
      </c>
      <c r="AV378" s="13">
        <f t="shared" si="146"/>
        <v>14</v>
      </c>
      <c r="AW378" s="169">
        <f t="shared" si="147"/>
        <v>43487</v>
      </c>
      <c r="AX378" s="744">
        <f t="shared" si="148"/>
        <v>0.7931034482758621</v>
      </c>
      <c r="AY378" s="760">
        <f t="shared" si="149"/>
        <v>17.446970135281827</v>
      </c>
      <c r="AZ378" s="737">
        <f t="shared" si="153"/>
        <v>17.728743992694493</v>
      </c>
      <c r="BA378" s="634">
        <f t="shared" si="150"/>
        <v>0.71686799117986855</v>
      </c>
      <c r="BC378" s="11">
        <v>43464</v>
      </c>
      <c r="BD378" s="286">
        <f>[3]!FeuilCaduc*(1-Persistant)+Persistant</f>
        <v>0.60528115283757489</v>
      </c>
      <c r="BE378" s="287">
        <f>[3]!CroissVégét</f>
        <v>0.99999984492411664</v>
      </c>
      <c r="BF378" s="807">
        <f>1+[3]!Salcycl*Ksac</f>
        <v>1.0006601441046969</v>
      </c>
      <c r="BH378" s="1041">
        <f t="shared" si="151"/>
        <v>0.26751179046352658</v>
      </c>
      <c r="BI378" s="11">
        <v>44560</v>
      </c>
      <c r="BJ378" s="717">
        <v>8.8549322269807273E-2</v>
      </c>
      <c r="BK378" s="717">
        <v>0.12561670144259762</v>
      </c>
      <c r="BL378" s="717">
        <v>0.1606779239808194</v>
      </c>
      <c r="BM378" s="717">
        <v>0.19433002894696719</v>
      </c>
      <c r="BN378" s="717">
        <v>0.22995443024218207</v>
      </c>
      <c r="BO378" s="718">
        <v>0.26774545896687291</v>
      </c>
      <c r="BP378" s="717">
        <v>0.30505401944278177</v>
      </c>
      <c r="BQ378" s="717">
        <v>0.34615319032468922</v>
      </c>
      <c r="BR378" s="717">
        <v>0.39155100255054509</v>
      </c>
      <c r="BS378" s="717">
        <v>0.43848161920931333</v>
      </c>
      <c r="BT378" s="717">
        <v>0.48127834184980134</v>
      </c>
      <c r="BW378" s="1162">
        <f>'2022'!R\Max</f>
        <v>0.71686799117986855</v>
      </c>
      <c r="BX378" s="1163">
        <f>'2023'!R\Max</f>
        <v>0.71602683005771506</v>
      </c>
      <c r="BY378" s="1163">
        <f>'2024'!R\Max</f>
        <v>0.71509789055811857</v>
      </c>
      <c r="BZ378" s="1163">
        <f>'2025'!R\Max</f>
        <v>0.71416433153322434</v>
      </c>
      <c r="CA378" s="1163">
        <f>'2026'!R\Max</f>
        <v>0.71313018118378213</v>
      </c>
      <c r="CB378" s="1163">
        <f>'2027'!R\Max</f>
        <v>0.71209042355429863</v>
      </c>
      <c r="CC378" s="1164">
        <f>'2028'!R\Max</f>
        <v>0.71101134423070278</v>
      </c>
      <c r="CD378" s="1163">
        <f>'2029'!R\Max</f>
        <v>0.71690995296260651</v>
      </c>
      <c r="CE378" s="1163">
        <f>'2030'!R\Max</f>
        <v>0.71606893725012566</v>
      </c>
      <c r="CF378" s="1165">
        <f>'2031'!R\Max</f>
        <v>0.71514445272089466</v>
      </c>
    </row>
    <row r="379" spans="1:84" s="6" customFormat="1" ht="11.25" x14ac:dyDescent="0.2">
      <c r="A379" s="11">
        <v>43465</v>
      </c>
      <c r="B379" s="375">
        <f>'2022'!Maxi_hp</f>
        <v>11.452210730428593</v>
      </c>
      <c r="C379" s="13">
        <f>'2022'!An_max</f>
        <v>2022</v>
      </c>
      <c r="D379" s="1050" t="str">
        <f t="shared" si="135"/>
        <v/>
      </c>
      <c r="E379" s="13"/>
      <c r="F379" s="13">
        <f t="shared" si="152"/>
        <v>27</v>
      </c>
      <c r="G379" s="13">
        <f t="shared" si="136"/>
        <v>28</v>
      </c>
      <c r="H379" s="169">
        <f t="shared" si="137"/>
        <v>43458</v>
      </c>
      <c r="I379" s="744">
        <f t="shared" si="138"/>
        <v>0.46666666666666667</v>
      </c>
      <c r="J379" s="737">
        <f t="shared" si="139"/>
        <v>17.730558208525178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43">
        <v>43465</v>
      </c>
      <c r="AP379" s="13">
        <f t="shared" si="140"/>
        <v>15</v>
      </c>
      <c r="AQ379" s="13">
        <f t="shared" si="141"/>
        <v>14</v>
      </c>
      <c r="AR379" s="169">
        <f t="shared" si="142"/>
        <v>43473</v>
      </c>
      <c r="AS379" s="744">
        <f t="shared" si="143"/>
        <v>0.27586206896551724</v>
      </c>
      <c r="AT379" s="760">
        <f t="shared" si="144"/>
        <v>18.116048182855394</v>
      </c>
      <c r="AU379" s="13">
        <f t="shared" si="145"/>
        <v>15</v>
      </c>
      <c r="AV379" s="13">
        <f t="shared" si="146"/>
        <v>14</v>
      </c>
      <c r="AW379" s="169">
        <f t="shared" si="147"/>
        <v>43487</v>
      </c>
      <c r="AX379" s="744">
        <f t="shared" si="148"/>
        <v>0.75862068965517238</v>
      </c>
      <c r="AY379" s="760">
        <f t="shared" si="149"/>
        <v>17.577888172171239</v>
      </c>
      <c r="AZ379" s="737">
        <f t="shared" si="153"/>
        <v>17.846968177513318</v>
      </c>
      <c r="BA379" s="634">
        <f t="shared" si="150"/>
        <v>0.64590243554329607</v>
      </c>
      <c r="BC379" s="11">
        <v>43465</v>
      </c>
      <c r="BD379" s="286">
        <f>[3]!FeuilCaduc*(1-Persistant)+Persistant</f>
        <v>0.60491847548575273</v>
      </c>
      <c r="BE379" s="287">
        <f>[3]!CroissVégét</f>
        <v>0.99999984492411664</v>
      </c>
      <c r="BF379" s="807">
        <f>1+[3]!Salcycl*Ksac</f>
        <v>1.000614809435719</v>
      </c>
      <c r="BH379" s="1041">
        <f t="shared" si="151"/>
        <v>0.26623772009993862</v>
      </c>
      <c r="BI379" s="11">
        <v>44561</v>
      </c>
      <c r="BJ379" s="717">
        <v>8.6119199196429519E-2</v>
      </c>
      <c r="BK379" s="717">
        <v>0.12349570769741108</v>
      </c>
      <c r="BL379" s="717">
        <v>0.15888086854191508</v>
      </c>
      <c r="BM379" s="717">
        <v>0.19283771974247518</v>
      </c>
      <c r="BN379" s="717">
        <v>0.22862512466329768</v>
      </c>
      <c r="BO379" s="718">
        <v>0.26647173225709914</v>
      </c>
      <c r="BP379" s="717">
        <v>0.30376477435412941</v>
      </c>
      <c r="BQ379" s="717">
        <v>0.34475533908799244</v>
      </c>
      <c r="BR379" s="717">
        <v>0.39002713859264931</v>
      </c>
      <c r="BS379" s="717">
        <v>0.43702216329093257</v>
      </c>
      <c r="BT379" s="717">
        <v>0.48016446053169648</v>
      </c>
      <c r="BW379" s="1162">
        <f>'2022'!R\Max</f>
        <v>0.64590243554329607</v>
      </c>
      <c r="BX379" s="1163">
        <f>'2023'!R\Max</f>
        <v>0.64496421151982564</v>
      </c>
      <c r="BY379" s="1163">
        <f>'2024'!R\Max</f>
        <v>0.64393103615669511</v>
      </c>
      <c r="BZ379" s="1163">
        <f>'2025'!R\Max</f>
        <v>0.64289346425337912</v>
      </c>
      <c r="CA379" s="1163">
        <f>'2026'!R\Max</f>
        <v>0.64174508181193901</v>
      </c>
      <c r="CB379" s="1163">
        <f>'2027'!R\Max</f>
        <v>0.6405913600538381</v>
      </c>
      <c r="CC379" s="1164">
        <f>'2028'!R\Max</f>
        <v>0.63939001856505551</v>
      </c>
      <c r="CD379" s="1163">
        <f>'2029'!R\Max</f>
        <v>0.64594925451153629</v>
      </c>
      <c r="CE379" s="1163">
        <f>'2030'!R\Max</f>
        <v>0.64501116377654955</v>
      </c>
      <c r="CF379" s="1165">
        <f>'2031'!R\Max</f>
        <v>0.64398280483169201</v>
      </c>
    </row>
    <row r="380" spans="1:84" s="6" customFormat="1" ht="12" customHeight="1" thickBot="1" x14ac:dyDescent="0.25">
      <c r="A380" s="11">
        <v>43466</v>
      </c>
      <c r="B380" s="376">
        <f>'2022'!Maxi_hp</f>
        <v>0</v>
      </c>
      <c r="C380" s="14">
        <f>'2022'!An_max</f>
        <v>2022</v>
      </c>
      <c r="D380" s="1051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9">
        <f t="shared" si="137"/>
        <v>43458</v>
      </c>
      <c r="I380" s="740">
        <f t="shared" si="138"/>
        <v>0.53333333333333333</v>
      </c>
      <c r="J380" s="738">
        <f t="shared" si="139"/>
        <v>17.899293517867726</v>
      </c>
      <c r="M380" s="797" t="s">
        <v>243</v>
      </c>
      <c r="N380" s="798">
        <f>$AZ22*10</f>
        <v>191.75035697311677</v>
      </c>
      <c r="O380" s="798">
        <f>$AZ36*10</f>
        <v>229.2972805108875</v>
      </c>
      <c r="P380" s="798">
        <f>$AZ50*10</f>
        <v>279.12249994650483</v>
      </c>
      <c r="Q380" s="798">
        <f>$AZ64*10</f>
        <v>336.06984375044703</v>
      </c>
      <c r="R380" s="798">
        <f>$AZ78*10</f>
        <v>397.57078124955297</v>
      </c>
      <c r="S380" s="798">
        <f>$AZ92*10</f>
        <v>462.44334374507889</v>
      </c>
      <c r="T380" s="798">
        <f>$AZ106*10</f>
        <v>525.31790624326095</v>
      </c>
      <c r="U380" s="798">
        <f>$AZ120*10</f>
        <v>577.42200000025332</v>
      </c>
      <c r="V380" s="798">
        <f>$AZ134*10</f>
        <v>614.04159374348819</v>
      </c>
      <c r="W380" s="798">
        <f>$AZ148*10</f>
        <v>636.55031250230968</v>
      </c>
      <c r="X380" s="798">
        <f>$AZ162*10</f>
        <v>648.63196874782443</v>
      </c>
      <c r="Y380" s="798">
        <f>$AZ176*10</f>
        <v>652.97137499973189</v>
      </c>
      <c r="Z380" s="798">
        <f>$AZ190*10</f>
        <v>649.72462499141693</v>
      </c>
      <c r="AA380" s="798">
        <f>$AZ204*10</f>
        <v>637.51809374801815</v>
      </c>
      <c r="AB380" s="798">
        <f>$AZ218*10</f>
        <v>615.72740625031292</v>
      </c>
      <c r="AC380" s="798">
        <f>$AZ232*10</f>
        <v>585.69496875163168</v>
      </c>
      <c r="AD380" s="798">
        <f>$AZ246*10</f>
        <v>550.44899999722838</v>
      </c>
      <c r="AE380" s="798">
        <f>$AZ260*10</f>
        <v>511.14459375478327</v>
      </c>
      <c r="AF380" s="798">
        <f>$AZ274*10</f>
        <v>465.22181250387803</v>
      </c>
      <c r="AG380" s="798">
        <f>$AZ288*10</f>
        <v>411.77531250286847</v>
      </c>
      <c r="AH380" s="798">
        <f>$AZ302*10</f>
        <v>354.83231249824166</v>
      </c>
      <c r="AI380" s="798">
        <f>$AZ316*10</f>
        <v>299.63756249565631</v>
      </c>
      <c r="AJ380" s="798">
        <f>$AZ330*10</f>
        <v>249.99975000321868</v>
      </c>
      <c r="AK380" s="798">
        <f>$AZ344*10</f>
        <v>208.66289548017085</v>
      </c>
      <c r="AL380" s="798">
        <f>$AZ358*10</f>
        <v>180.28002802096307</v>
      </c>
      <c r="AM380" s="798">
        <f>$AZ372*10</f>
        <v>172.79130132239442</v>
      </c>
      <c r="AO380" s="1043">
        <v>43466</v>
      </c>
      <c r="AP380" s="14">
        <f t="shared" si="140"/>
        <v>15</v>
      </c>
      <c r="AQ380" s="14">
        <f t="shared" si="141"/>
        <v>14</v>
      </c>
      <c r="AR380" s="739">
        <f t="shared" si="142"/>
        <v>43473</v>
      </c>
      <c r="AS380" s="740">
        <f t="shared" si="143"/>
        <v>0.2413793103448276</v>
      </c>
      <c r="AT380" s="761">
        <f t="shared" si="144"/>
        <v>18.230723636366172</v>
      </c>
      <c r="AU380" s="14">
        <f t="shared" si="145"/>
        <v>15</v>
      </c>
      <c r="AV380" s="14">
        <f t="shared" si="146"/>
        <v>14</v>
      </c>
      <c r="AW380" s="739">
        <f t="shared" si="147"/>
        <v>43487</v>
      </c>
      <c r="AX380" s="740">
        <f t="shared" si="148"/>
        <v>0.72413793103448276</v>
      </c>
      <c r="AY380" s="761">
        <f t="shared" si="149"/>
        <v>17.722531332178363</v>
      </c>
      <c r="AZ380" s="738">
        <f t="shared" si="153"/>
        <v>17.976627484272267</v>
      </c>
      <c r="BA380" s="634">
        <f t="shared" si="150"/>
        <v>0</v>
      </c>
      <c r="BC380" s="11">
        <v>43466</v>
      </c>
      <c r="BD380" s="288">
        <f>[3]!FeuilCaduc*(1-Persistant)+Persistant</f>
        <v>0.60457829942861385</v>
      </c>
      <c r="BE380" s="289">
        <f>[3]!CroissVégét</f>
        <v>0.99999984492411664</v>
      </c>
      <c r="BF380" s="808">
        <f>1+[3]!Salcycl*Ksac</f>
        <v>1.0005722874285767</v>
      </c>
      <c r="BH380" s="1042">
        <f t="shared" si="151"/>
        <v>0.26481472647825299</v>
      </c>
      <c r="BI380" s="11">
        <v>44562</v>
      </c>
      <c r="BJ380" s="813">
        <v>8.3393959891786676E-2</v>
      </c>
      <c r="BK380" s="721">
        <v>0.12112832353850785</v>
      </c>
      <c r="BL380" s="721">
        <v>0.1568818132998695</v>
      </c>
      <c r="BM380" s="721">
        <v>0.19117953315024538</v>
      </c>
      <c r="BN380" s="721">
        <v>0.22714293691556375</v>
      </c>
      <c r="BO380" s="722">
        <v>0.26504910692015876</v>
      </c>
      <c r="BP380" s="721">
        <v>0.30234628542901959</v>
      </c>
      <c r="BQ380" s="721">
        <v>0.34323380639873236</v>
      </c>
      <c r="BR380" s="721">
        <v>0.38835499484754754</v>
      </c>
      <c r="BS380" s="721">
        <v>0.43538698176360818</v>
      </c>
      <c r="BT380" s="721">
        <v>0.47888219199237819</v>
      </c>
      <c r="BW380" s="1166">
        <f>'2022'!R\Max</f>
        <v>0</v>
      </c>
      <c r="BX380" s="1167">
        <f>'2023'!R\Max</f>
        <v>0</v>
      </c>
      <c r="BY380" s="1167">
        <f>'2024'!R\Max</f>
        <v>0.71472151542774032</v>
      </c>
      <c r="BZ380" s="1167">
        <f>'2025'!R\Max</f>
        <v>0</v>
      </c>
      <c r="CA380" s="1167">
        <f>'2026'!R\Max</f>
        <v>0</v>
      </c>
      <c r="CB380" s="1167">
        <f>'2027'!R\Max</f>
        <v>0</v>
      </c>
      <c r="CC380" s="1168">
        <f>'2028'!R\Max</f>
        <v>0.71015840641654071</v>
      </c>
      <c r="CD380" s="1167">
        <f>'2029'!R\Max</f>
        <v>0</v>
      </c>
      <c r="CE380" s="1167">
        <f>'2030'!R\Max</f>
        <v>0</v>
      </c>
      <c r="CF380" s="1169">
        <f>'2031'!R\Max</f>
        <v>0</v>
      </c>
    </row>
    <row r="381" spans="1:84" ht="12" customHeight="1" x14ac:dyDescent="0.25">
      <c r="B381" s="626" t="s">
        <v>168</v>
      </c>
      <c r="M381" s="136" t="s">
        <v>244</v>
      </c>
      <c r="N381" s="799">
        <f t="shared" ref="N381:AM381" si="154">1-N3/N380*Ajust_M</f>
        <v>-5.510514001449085E-3</v>
      </c>
      <c r="O381" s="799">
        <f t="shared" si="154"/>
        <v>2.2951886289924728E-3</v>
      </c>
      <c r="P381" s="799">
        <f t="shared" si="154"/>
        <v>-2.14063736749881E-3</v>
      </c>
      <c r="Q381" s="799">
        <f t="shared" si="154"/>
        <v>-1.7649790975990953E-3</v>
      </c>
      <c r="R381" s="799">
        <f t="shared" si="154"/>
        <v>2.434236355376207E-3</v>
      </c>
      <c r="S381" s="799">
        <f t="shared" si="154"/>
        <v>1.9577398125075751E-3</v>
      </c>
      <c r="T381" s="799">
        <f t="shared" si="154"/>
        <v>-2.1988471038414392E-3</v>
      </c>
      <c r="U381" s="799">
        <f t="shared" si="154"/>
        <v>-1.7301038057888629E-3</v>
      </c>
      <c r="V381" s="799">
        <f t="shared" si="154"/>
        <v>-5.5925569214010373E-4</v>
      </c>
      <c r="W381" s="799">
        <f t="shared" si="154"/>
        <v>2.9426189671233338E-4</v>
      </c>
      <c r="X381" s="799">
        <f t="shared" si="154"/>
        <v>4.3317129182962599E-4</v>
      </c>
      <c r="Y381" s="799">
        <f t="shared" si="154"/>
        <v>9.5620577507260496E-4</v>
      </c>
      <c r="Z381" s="799">
        <f t="shared" si="154"/>
        <v>-9.6098406088773736E-4</v>
      </c>
      <c r="AA381" s="799">
        <f t="shared" si="154"/>
        <v>2.4484598876317598E-4</v>
      </c>
      <c r="AB381" s="799">
        <f t="shared" si="154"/>
        <v>-1.0647467418731793E-3</v>
      </c>
      <c r="AC381" s="799">
        <f t="shared" si="154"/>
        <v>4.7971856789308376E-4</v>
      </c>
      <c r="AD381" s="799">
        <f t="shared" si="154"/>
        <v>1.8148820276417954E-3</v>
      </c>
      <c r="AE381" s="799">
        <f t="shared" si="154"/>
        <v>-6.7183777234958164E-4</v>
      </c>
      <c r="AF381" s="799">
        <f t="shared" si="154"/>
        <v>-2.8184136273943228E-3</v>
      </c>
      <c r="AG381" s="799">
        <f t="shared" si="154"/>
        <v>4.5489007519639024E-4</v>
      </c>
      <c r="AH381" s="799">
        <f t="shared" si="154"/>
        <v>5.2789019388599367E-4</v>
      </c>
      <c r="AI381" s="799">
        <f t="shared" si="154"/>
        <v>-2.0837675965457159E-4</v>
      </c>
      <c r="AJ381" s="799">
        <f t="shared" si="154"/>
        <v>9.9900101186289891E-4</v>
      </c>
      <c r="AK381" s="799">
        <f t="shared" si="154"/>
        <v>-5.4015569813476993E-3</v>
      </c>
      <c r="AL381" s="799">
        <f t="shared" si="154"/>
        <v>2.551741454741574E-3</v>
      </c>
      <c r="AM381" s="799">
        <f t="shared" si="154"/>
        <v>1.7138023151230364E-2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H6" sqref="H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2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36" t="s">
        <v>24</v>
      </c>
      <c r="I1" s="1236"/>
      <c r="J1" s="1236"/>
      <c r="K1" s="1236"/>
      <c r="L1" s="15"/>
      <c r="M1" s="34"/>
      <c r="N1" s="533"/>
      <c r="O1" s="534"/>
      <c r="P1" s="535" t="s">
        <v>4</v>
      </c>
      <c r="Q1" s="414">
        <v>5.0000000000000001E-3</v>
      </c>
      <c r="R1" s="536"/>
      <c r="S1" s="537" t="s">
        <v>105</v>
      </c>
      <c r="T1" s="811">
        <f>PertePVan/365.25</f>
        <v>1.3689253935660506E-5</v>
      </c>
      <c r="U1" s="534"/>
      <c r="V1" s="538"/>
      <c r="W1" s="204"/>
      <c r="X1" s="539"/>
      <c r="Y1" s="531" t="s">
        <v>166</v>
      </c>
      <c r="Z1" s="1229">
        <v>0.08</v>
      </c>
      <c r="AA1" s="1230"/>
      <c r="AB1" s="620"/>
      <c r="AC1" s="621"/>
      <c r="AE1" s="531" t="s">
        <v>247</v>
      </c>
      <c r="AF1" s="809">
        <v>0.05</v>
      </c>
      <c r="AG1" s="534"/>
      <c r="AH1" s="204"/>
      <c r="AI1" s="204"/>
      <c r="AJ1" s="204"/>
      <c r="AK1" s="204"/>
      <c r="AL1" s="531" t="s">
        <v>123</v>
      </c>
      <c r="AM1" s="638">
        <v>0.5</v>
      </c>
      <c r="AN1" s="619"/>
      <c r="AO1" s="204"/>
      <c r="AP1" s="204"/>
      <c r="AQ1" s="204"/>
      <c r="AR1" s="531" t="s">
        <v>104</v>
      </c>
      <c r="AS1" s="363">
        <v>0.6</v>
      </c>
      <c r="AT1" s="639" t="s">
        <v>54</v>
      </c>
      <c r="AU1" s="532"/>
    </row>
    <row r="2" spans="1:78" s="528" customFormat="1" ht="18" customHeight="1" thickBot="1" x14ac:dyDescent="0.35">
      <c r="A2" s="83" t="s">
        <v>132</v>
      </c>
      <c r="B2" s="1190" t="str">
        <f>Station</f>
        <v>S.D.I.S. Montgiscard</v>
      </c>
      <c r="C2" s="1191"/>
      <c r="D2" s="1191"/>
      <c r="E2" s="1191"/>
      <c r="F2" s="1192"/>
      <c r="G2" s="810" t="s">
        <v>248</v>
      </c>
      <c r="K2" s="81"/>
      <c r="L2" s="529"/>
      <c r="M2" s="38"/>
      <c r="U2" s="35"/>
      <c r="V2" s="35"/>
      <c r="W2" s="35"/>
      <c r="X2" s="530"/>
      <c r="AA2" s="532"/>
      <c r="AB2" s="532"/>
      <c r="AC2" s="532"/>
      <c r="AD2" s="532"/>
      <c r="AE2" s="531" t="s">
        <v>167</v>
      </c>
      <c r="AF2" s="644">
        <v>3</v>
      </c>
      <c r="AG2" s="645">
        <f>+Tau_i*365</f>
        <v>1095</v>
      </c>
      <c r="AH2" s="538"/>
      <c r="AI2" s="236"/>
      <c r="AJ2" s="539"/>
      <c r="AL2" s="636" t="s">
        <v>198</v>
      </c>
      <c r="AM2" s="1238">
        <v>0.5</v>
      </c>
      <c r="AN2" s="1239"/>
      <c r="AS2" s="205" t="s">
        <v>124</v>
      </c>
      <c r="AT2" s="640">
        <f>H_i</f>
        <v>-6.1831739233302249E-3</v>
      </c>
      <c r="AU2" s="637"/>
      <c r="AY2" s="647"/>
      <c r="AZ2" s="647"/>
      <c r="BB2" s="530"/>
      <c r="BE2" s="31"/>
      <c r="BF2" s="29"/>
      <c r="BH2" s="530"/>
      <c r="BI2" s="530"/>
      <c r="BJ2" s="530"/>
      <c r="BK2" s="70"/>
      <c r="BL2" s="70"/>
      <c r="BM2" s="530"/>
      <c r="BN2" s="530"/>
      <c r="BO2" s="530"/>
      <c r="BP2" s="530"/>
      <c r="BQ2" s="70"/>
      <c r="BR2" s="70"/>
      <c r="BS2" s="530"/>
      <c r="BT2" s="530"/>
      <c r="BU2" s="530"/>
      <c r="BW2" s="31"/>
      <c r="BX2" s="29"/>
      <c r="BZ2" s="530"/>
    </row>
    <row r="3" spans="1:78" s="80" customFormat="1" ht="12.75" customHeight="1" x14ac:dyDescent="0.25">
      <c r="A3" s="1233">
        <f>'2022'!An</f>
        <v>2022</v>
      </c>
      <c r="B3" s="1234"/>
      <c r="C3" s="1234"/>
      <c r="D3" s="1234"/>
      <c r="E3" s="1234"/>
      <c r="F3" s="1235"/>
      <c r="G3" s="1233">
        <f>'2023'!An</f>
        <v>2023</v>
      </c>
      <c r="H3" s="1234"/>
      <c r="I3" s="1234"/>
      <c r="J3" s="1234"/>
      <c r="K3" s="1234"/>
      <c r="L3" s="1235"/>
      <c r="M3" s="1233">
        <f>'2024'!An</f>
        <v>2024</v>
      </c>
      <c r="N3" s="1234"/>
      <c r="O3" s="1234"/>
      <c r="P3" s="1234"/>
      <c r="Q3" s="1234"/>
      <c r="R3" s="1235"/>
      <c r="S3" s="1233">
        <f>'2025'!An</f>
        <v>2025</v>
      </c>
      <c r="T3" s="1234"/>
      <c r="U3" s="1234"/>
      <c r="V3" s="1234"/>
      <c r="W3" s="1234"/>
      <c r="X3" s="1235"/>
      <c r="Y3" s="1233">
        <f>'2026'!An</f>
        <v>2026</v>
      </c>
      <c r="Z3" s="1234"/>
      <c r="AA3" s="1234"/>
      <c r="AB3" s="1234"/>
      <c r="AC3" s="1234"/>
      <c r="AD3" s="1235"/>
      <c r="AE3" s="1233">
        <f>'2027'!An</f>
        <v>2027</v>
      </c>
      <c r="AF3" s="1234"/>
      <c r="AG3" s="1234"/>
      <c r="AH3" s="1234"/>
      <c r="AI3" s="1234"/>
      <c r="AJ3" s="1235"/>
      <c r="AK3" s="1233">
        <f>'2028'!An</f>
        <v>2028</v>
      </c>
      <c r="AL3" s="1234"/>
      <c r="AM3" s="1241"/>
      <c r="AN3" s="1241"/>
      <c r="AO3" s="1234"/>
      <c r="AP3" s="1235"/>
      <c r="AQ3" s="1233">
        <f>'2029'!An</f>
        <v>2029</v>
      </c>
      <c r="AR3" s="1234"/>
      <c r="AS3" s="1234"/>
      <c r="AT3" s="1234"/>
      <c r="AU3" s="1234"/>
      <c r="AV3" s="1235"/>
      <c r="AW3" s="1233">
        <f>'2030'!An</f>
        <v>2030</v>
      </c>
      <c r="AX3" s="1234"/>
      <c r="AY3" s="1234"/>
      <c r="AZ3" s="1234"/>
      <c r="BA3" s="1234"/>
      <c r="BB3" s="1235"/>
      <c r="BC3" s="1233">
        <f>'2031'!An</f>
        <v>2031</v>
      </c>
      <c r="BD3" s="1234"/>
      <c r="BE3" s="1234"/>
      <c r="BF3" s="1234"/>
      <c r="BG3" s="1234"/>
      <c r="BH3" s="1235"/>
      <c r="BI3" s="1242" t="e">
        <v>#NAME?</v>
      </c>
      <c r="BJ3" s="1243"/>
      <c r="BK3" s="1243"/>
      <c r="BL3" s="1243"/>
      <c r="BM3" s="1243"/>
      <c r="BN3" s="1244"/>
      <c r="BO3" s="1242" t="e">
        <v>#NAME?</v>
      </c>
      <c r="BP3" s="1243"/>
      <c r="BQ3" s="1243"/>
      <c r="BR3" s="1243"/>
      <c r="BS3" s="1243"/>
      <c r="BT3" s="1244"/>
      <c r="BU3" s="1242" t="e">
        <v>#NAME?</v>
      </c>
      <c r="BV3" s="1243"/>
      <c r="BW3" s="1243"/>
      <c r="BX3" s="1243"/>
      <c r="BY3" s="1243"/>
      <c r="BZ3" s="1244"/>
    </row>
    <row r="4" spans="1:78" s="422" customFormat="1" ht="15" customHeight="1" x14ac:dyDescent="0.25">
      <c r="A4" s="209" t="s">
        <v>77</v>
      </c>
      <c r="B4" s="436" t="s">
        <v>135</v>
      </c>
      <c r="C4" s="437" t="s">
        <v>135</v>
      </c>
      <c r="D4" s="438" t="s">
        <v>80</v>
      </c>
      <c r="E4" s="571" t="s">
        <v>80</v>
      </c>
      <c r="F4" s="426"/>
      <c r="G4" s="353" t="s">
        <v>92</v>
      </c>
      <c r="H4" s="436" t="s">
        <v>135</v>
      </c>
      <c r="I4" s="437" t="s">
        <v>135</v>
      </c>
      <c r="J4" s="438" t="s">
        <v>80</v>
      </c>
      <c r="K4" s="571" t="s">
        <v>80</v>
      </c>
      <c r="L4" s="426"/>
      <c r="M4" s="353" t="s">
        <v>92</v>
      </c>
      <c r="N4" s="436" t="s">
        <v>135</v>
      </c>
      <c r="O4" s="437" t="s">
        <v>135</v>
      </c>
      <c r="P4" s="438" t="s">
        <v>80</v>
      </c>
      <c r="Q4" s="571" t="s">
        <v>80</v>
      </c>
      <c r="R4" s="426"/>
      <c r="S4" s="353" t="s">
        <v>92</v>
      </c>
      <c r="T4" s="436" t="s">
        <v>135</v>
      </c>
      <c r="U4" s="437" t="s">
        <v>135</v>
      </c>
      <c r="V4" s="438" t="s">
        <v>80</v>
      </c>
      <c r="W4" s="571" t="s">
        <v>80</v>
      </c>
      <c r="X4" s="426"/>
      <c r="Y4" s="353" t="s">
        <v>92</v>
      </c>
      <c r="Z4" s="436" t="s">
        <v>135</v>
      </c>
      <c r="AA4" s="437" t="s">
        <v>135</v>
      </c>
      <c r="AB4" s="438" t="s">
        <v>80</v>
      </c>
      <c r="AC4" s="571" t="s">
        <v>80</v>
      </c>
      <c r="AD4" s="426"/>
      <c r="AE4" s="353" t="s">
        <v>92</v>
      </c>
      <c r="AF4" s="436" t="s">
        <v>135</v>
      </c>
      <c r="AG4" s="437" t="s">
        <v>135</v>
      </c>
      <c r="AH4" s="438" t="s">
        <v>80</v>
      </c>
      <c r="AI4" s="571" t="s">
        <v>80</v>
      </c>
      <c r="AJ4" s="426"/>
      <c r="AK4" s="353" t="s">
        <v>92</v>
      </c>
      <c r="AL4" s="436" t="s">
        <v>135</v>
      </c>
      <c r="AM4" s="437" t="s">
        <v>135</v>
      </c>
      <c r="AN4" s="438" t="s">
        <v>80</v>
      </c>
      <c r="AO4" s="571" t="s">
        <v>80</v>
      </c>
      <c r="AP4" s="426"/>
      <c r="AQ4" s="353" t="s">
        <v>92</v>
      </c>
      <c r="AR4" s="436" t="s">
        <v>135</v>
      </c>
      <c r="AS4" s="437" t="s">
        <v>135</v>
      </c>
      <c r="AT4" s="438" t="s">
        <v>80</v>
      </c>
      <c r="AU4" s="571" t="s">
        <v>80</v>
      </c>
      <c r="AV4" s="426"/>
      <c r="AW4" s="353" t="s">
        <v>92</v>
      </c>
      <c r="AX4" s="436" t="s">
        <v>135</v>
      </c>
      <c r="AY4" s="437" t="s">
        <v>135</v>
      </c>
      <c r="AZ4" s="438" t="s">
        <v>80</v>
      </c>
      <c r="BA4" s="571" t="s">
        <v>80</v>
      </c>
      <c r="BB4" s="426"/>
      <c r="BC4" s="353" t="s">
        <v>92</v>
      </c>
      <c r="BD4" s="436" t="s">
        <v>135</v>
      </c>
      <c r="BE4" s="437" t="s">
        <v>135</v>
      </c>
      <c r="BF4" s="438" t="s">
        <v>80</v>
      </c>
      <c r="BG4" s="571" t="s">
        <v>80</v>
      </c>
      <c r="BH4" s="426"/>
      <c r="BI4" s="353" t="s">
        <v>92</v>
      </c>
      <c r="BJ4" s="436" t="s">
        <v>135</v>
      </c>
      <c r="BK4" s="437" t="s">
        <v>135</v>
      </c>
      <c r="BL4" s="438" t="s">
        <v>80</v>
      </c>
      <c r="BM4" s="571" t="s">
        <v>80</v>
      </c>
      <c r="BN4" s="426"/>
      <c r="BO4" s="353" t="s">
        <v>92</v>
      </c>
      <c r="BP4" s="436" t="s">
        <v>135</v>
      </c>
      <c r="BQ4" s="437" t="s">
        <v>135</v>
      </c>
      <c r="BR4" s="438" t="s">
        <v>80</v>
      </c>
      <c r="BS4" s="571" t="s">
        <v>80</v>
      </c>
      <c r="BT4" s="426"/>
      <c r="BU4" s="353" t="s">
        <v>92</v>
      </c>
      <c r="BV4" s="436" t="s">
        <v>135</v>
      </c>
      <c r="BW4" s="437" t="s">
        <v>135</v>
      </c>
      <c r="BX4" s="438" t="s">
        <v>80</v>
      </c>
      <c r="BY4" s="571" t="s">
        <v>80</v>
      </c>
      <c r="BZ4" s="426"/>
    </row>
    <row r="5" spans="1:78" s="422" customFormat="1" ht="15" customHeight="1" x14ac:dyDescent="0.25">
      <c r="A5" s="209" t="s">
        <v>16</v>
      </c>
      <c r="B5" s="427" t="s">
        <v>135</v>
      </c>
      <c r="C5" s="433" t="s">
        <v>135</v>
      </c>
      <c r="D5" s="434" t="s">
        <v>135</v>
      </c>
      <c r="E5" s="435" t="s">
        <v>135</v>
      </c>
      <c r="F5" s="183"/>
      <c r="G5" s="353" t="s">
        <v>93</v>
      </c>
      <c r="H5" s="427">
        <v>45046</v>
      </c>
      <c r="I5" s="433" t="s">
        <v>135</v>
      </c>
      <c r="J5" s="434" t="s">
        <v>135</v>
      </c>
      <c r="K5" s="435" t="s">
        <v>135</v>
      </c>
      <c r="L5" s="183"/>
      <c r="M5" s="353" t="s">
        <v>93</v>
      </c>
      <c r="N5" s="427" t="s">
        <v>135</v>
      </c>
      <c r="O5" s="433" t="s">
        <v>135</v>
      </c>
      <c r="P5" s="434" t="s">
        <v>135</v>
      </c>
      <c r="Q5" s="435" t="s">
        <v>135</v>
      </c>
      <c r="R5" s="183"/>
      <c r="S5" s="353" t="s">
        <v>93</v>
      </c>
      <c r="T5" s="427" t="s">
        <v>135</v>
      </c>
      <c r="U5" s="433" t="s">
        <v>135</v>
      </c>
      <c r="V5" s="434" t="s">
        <v>135</v>
      </c>
      <c r="W5" s="435" t="s">
        <v>135</v>
      </c>
      <c r="X5" s="183"/>
      <c r="Y5" s="353" t="s">
        <v>93</v>
      </c>
      <c r="Z5" s="427" t="s">
        <v>135</v>
      </c>
      <c r="AA5" s="433" t="s">
        <v>135</v>
      </c>
      <c r="AB5" s="434" t="s">
        <v>135</v>
      </c>
      <c r="AC5" s="435" t="s">
        <v>135</v>
      </c>
      <c r="AD5" s="183"/>
      <c r="AE5" s="353" t="s">
        <v>93</v>
      </c>
      <c r="AF5" s="427" t="s">
        <v>135</v>
      </c>
      <c r="AG5" s="433" t="s">
        <v>135</v>
      </c>
      <c r="AH5" s="434" t="s">
        <v>135</v>
      </c>
      <c r="AI5" s="435" t="s">
        <v>135</v>
      </c>
      <c r="AJ5" s="183"/>
      <c r="AK5" s="353" t="s">
        <v>93</v>
      </c>
      <c r="AL5" s="427" t="s">
        <v>135</v>
      </c>
      <c r="AM5" s="433" t="s">
        <v>135</v>
      </c>
      <c r="AN5" s="434" t="s">
        <v>135</v>
      </c>
      <c r="AO5" s="435" t="s">
        <v>135</v>
      </c>
      <c r="AP5" s="183"/>
      <c r="AQ5" s="353" t="s">
        <v>93</v>
      </c>
      <c r="AR5" s="427" t="s">
        <v>135</v>
      </c>
      <c r="AS5" s="433" t="s">
        <v>135</v>
      </c>
      <c r="AT5" s="434" t="s">
        <v>135</v>
      </c>
      <c r="AU5" s="435" t="s">
        <v>135</v>
      </c>
      <c r="AV5" s="183"/>
      <c r="AW5" s="353" t="s">
        <v>93</v>
      </c>
      <c r="AX5" s="427" t="s">
        <v>135</v>
      </c>
      <c r="AY5" s="433" t="s">
        <v>135</v>
      </c>
      <c r="AZ5" s="434" t="s">
        <v>135</v>
      </c>
      <c r="BA5" s="435" t="s">
        <v>135</v>
      </c>
      <c r="BB5" s="183"/>
      <c r="BC5" s="353" t="s">
        <v>93</v>
      </c>
      <c r="BD5" s="427" t="s">
        <v>135</v>
      </c>
      <c r="BE5" s="433" t="s">
        <v>135</v>
      </c>
      <c r="BF5" s="434" t="s">
        <v>135</v>
      </c>
      <c r="BG5" s="435" t="s">
        <v>135</v>
      </c>
      <c r="BH5" s="183"/>
      <c r="BI5" s="353" t="s">
        <v>93</v>
      </c>
      <c r="BJ5" s="427" t="s">
        <v>135</v>
      </c>
      <c r="BK5" s="433" t="s">
        <v>135</v>
      </c>
      <c r="BL5" s="434" t="s">
        <v>135</v>
      </c>
      <c r="BM5" s="435" t="s">
        <v>135</v>
      </c>
      <c r="BN5" s="183"/>
      <c r="BO5" s="353" t="s">
        <v>93</v>
      </c>
      <c r="BP5" s="427" t="s">
        <v>135</v>
      </c>
      <c r="BQ5" s="433" t="s">
        <v>135</v>
      </c>
      <c r="BR5" s="434" t="s">
        <v>135</v>
      </c>
      <c r="BS5" s="435" t="s">
        <v>135</v>
      </c>
      <c r="BT5" s="183"/>
      <c r="BU5" s="353" t="s">
        <v>93</v>
      </c>
      <c r="BV5" s="427" t="s">
        <v>135</v>
      </c>
      <c r="BW5" s="433" t="s">
        <v>135</v>
      </c>
      <c r="BX5" s="434" t="s">
        <v>135</v>
      </c>
      <c r="BY5" s="435" t="s">
        <v>135</v>
      </c>
      <c r="BZ5" s="183"/>
    </row>
    <row r="6" spans="1:78" s="422" customFormat="1" ht="15" customHeight="1" x14ac:dyDescent="0.25">
      <c r="A6" s="209" t="s">
        <v>18</v>
      </c>
      <c r="B6" s="415" t="s">
        <v>135</v>
      </c>
      <c r="C6" s="428" t="s">
        <v>135</v>
      </c>
      <c r="D6" s="1240" t="s">
        <v>135</v>
      </c>
      <c r="E6" s="1240"/>
      <c r="F6" s="184"/>
      <c r="G6" s="353" t="s">
        <v>94</v>
      </c>
      <c r="H6" s="415" t="s">
        <v>135</v>
      </c>
      <c r="I6" s="428" t="s">
        <v>135</v>
      </c>
      <c r="J6" s="1240" t="s">
        <v>135</v>
      </c>
      <c r="K6" s="1240"/>
      <c r="L6" s="184"/>
      <c r="M6" s="353" t="s">
        <v>94</v>
      </c>
      <c r="N6" s="415" t="s">
        <v>135</v>
      </c>
      <c r="O6" s="428" t="s">
        <v>135</v>
      </c>
      <c r="P6" s="1240" t="s">
        <v>135</v>
      </c>
      <c r="Q6" s="1240"/>
      <c r="R6" s="184"/>
      <c r="S6" s="353" t="s">
        <v>94</v>
      </c>
      <c r="T6" s="415" t="s">
        <v>135</v>
      </c>
      <c r="U6" s="428" t="s">
        <v>135</v>
      </c>
      <c r="V6" s="1240" t="s">
        <v>135</v>
      </c>
      <c r="W6" s="1240"/>
      <c r="X6" s="184"/>
      <c r="Y6" s="353" t="s">
        <v>94</v>
      </c>
      <c r="Z6" s="415" t="s">
        <v>135</v>
      </c>
      <c r="AA6" s="428" t="s">
        <v>135</v>
      </c>
      <c r="AB6" s="1240" t="s">
        <v>135</v>
      </c>
      <c r="AC6" s="1240"/>
      <c r="AD6" s="184"/>
      <c r="AE6" s="353" t="s">
        <v>94</v>
      </c>
      <c r="AF6" s="415" t="s">
        <v>135</v>
      </c>
      <c r="AG6" s="428" t="s">
        <v>135</v>
      </c>
      <c r="AH6" s="1240" t="s">
        <v>135</v>
      </c>
      <c r="AI6" s="1240"/>
      <c r="AJ6" s="184"/>
      <c r="AK6" s="353" t="s">
        <v>94</v>
      </c>
      <c r="AL6" s="415" t="s">
        <v>135</v>
      </c>
      <c r="AM6" s="428" t="s">
        <v>135</v>
      </c>
      <c r="AN6" s="1240" t="s">
        <v>135</v>
      </c>
      <c r="AO6" s="1240"/>
      <c r="AP6" s="184"/>
      <c r="AQ6" s="353" t="s">
        <v>94</v>
      </c>
      <c r="AR6" s="415" t="s">
        <v>135</v>
      </c>
      <c r="AS6" s="428" t="s">
        <v>135</v>
      </c>
      <c r="AT6" s="1240" t="s">
        <v>135</v>
      </c>
      <c r="AU6" s="1240"/>
      <c r="AV6" s="184"/>
      <c r="AW6" s="353" t="s">
        <v>94</v>
      </c>
      <c r="AX6" s="415" t="s">
        <v>135</v>
      </c>
      <c r="AY6" s="428" t="s">
        <v>135</v>
      </c>
      <c r="AZ6" s="1240" t="s">
        <v>135</v>
      </c>
      <c r="BA6" s="1240"/>
      <c r="BB6" s="184"/>
      <c r="BC6" s="353" t="s">
        <v>94</v>
      </c>
      <c r="BD6" s="415" t="s">
        <v>135</v>
      </c>
      <c r="BE6" s="428" t="s">
        <v>135</v>
      </c>
      <c r="BF6" s="1240" t="s">
        <v>135</v>
      </c>
      <c r="BG6" s="1240"/>
      <c r="BH6" s="184"/>
      <c r="BI6" s="353" t="s">
        <v>94</v>
      </c>
      <c r="BJ6" s="415" t="s">
        <v>135</v>
      </c>
      <c r="BK6" s="428" t="s">
        <v>135</v>
      </c>
      <c r="BL6" s="1240" t="s">
        <v>135</v>
      </c>
      <c r="BM6" s="1240"/>
      <c r="BN6" s="184"/>
      <c r="BO6" s="353" t="s">
        <v>94</v>
      </c>
      <c r="BP6" s="415" t="s">
        <v>135</v>
      </c>
      <c r="BQ6" s="428" t="s">
        <v>135</v>
      </c>
      <c r="BR6" s="1240" t="s">
        <v>135</v>
      </c>
      <c r="BS6" s="1240"/>
      <c r="BT6" s="184"/>
      <c r="BU6" s="353" t="s">
        <v>94</v>
      </c>
      <c r="BV6" s="415" t="s">
        <v>135</v>
      </c>
      <c r="BW6" s="428" t="s">
        <v>135</v>
      </c>
      <c r="BX6" s="1240" t="s">
        <v>135</v>
      </c>
      <c r="BY6" s="1240"/>
      <c r="BZ6" s="184"/>
    </row>
    <row r="7" spans="1:78" ht="15.75" x14ac:dyDescent="0.25">
      <c r="A7" s="819" t="s">
        <v>253</v>
      </c>
      <c r="B7" s="425"/>
      <c r="C7" s="425"/>
      <c r="D7" s="217"/>
      <c r="E7" s="1231">
        <f>'2022'!Dépas_env</f>
        <v>4.4469433272544379E-2</v>
      </c>
      <c r="F7" s="1232"/>
      <c r="G7" s="819" t="s">
        <v>252</v>
      </c>
      <c r="H7" s="425"/>
      <c r="I7" s="425"/>
      <c r="J7" s="217"/>
      <c r="K7" s="1231">
        <f>'2023'!Dépas_env</f>
        <v>4.4469433272544157E-2</v>
      </c>
      <c r="L7" s="1232"/>
      <c r="M7" s="819" t="s">
        <v>252</v>
      </c>
      <c r="N7" s="425"/>
      <c r="O7" s="425"/>
      <c r="P7" s="217"/>
      <c r="Q7" s="1231">
        <f>'2024'!Dépas_env</f>
        <v>4.4469433272544379E-2</v>
      </c>
      <c r="R7" s="1232"/>
      <c r="S7" s="819" t="s">
        <v>252</v>
      </c>
      <c r="T7" s="425"/>
      <c r="U7" s="425"/>
      <c r="V7" s="217"/>
      <c r="W7" s="1231">
        <f>'2025'!Dépas_env</f>
        <v>4.4469433272544379E-2</v>
      </c>
      <c r="X7" s="1232"/>
      <c r="Y7" s="819" t="s">
        <v>252</v>
      </c>
      <c r="Z7" s="425"/>
      <c r="AA7" s="425"/>
      <c r="AB7" s="217"/>
      <c r="AC7" s="1231">
        <f>'2026'!Dépas_env</f>
        <v>4.4469433272544379E-2</v>
      </c>
      <c r="AD7" s="1232"/>
      <c r="AE7" s="819" t="s">
        <v>252</v>
      </c>
      <c r="AF7" s="425"/>
      <c r="AG7" s="425"/>
      <c r="AH7" s="217"/>
      <c r="AI7" s="1231">
        <f>'2027'!Dépas_env</f>
        <v>4.4469433272544379E-2</v>
      </c>
      <c r="AJ7" s="1232"/>
      <c r="AK7" s="819" t="s">
        <v>252</v>
      </c>
      <c r="AL7" s="425"/>
      <c r="AM7" s="425"/>
      <c r="AN7" s="217"/>
      <c r="AO7" s="1231">
        <f>'2028'!Dépas_env</f>
        <v>4.4469433272544157E-2</v>
      </c>
      <c r="AP7" s="1232"/>
      <c r="AQ7" s="819" t="s">
        <v>252</v>
      </c>
      <c r="AR7" s="425"/>
      <c r="AS7" s="425"/>
      <c r="AT7" s="217"/>
      <c r="AU7" s="1231">
        <f>'2029'!Dépas_env</f>
        <v>4.4469433272544157E-2</v>
      </c>
      <c r="AV7" s="1232"/>
      <c r="AW7" s="819" t="s">
        <v>252</v>
      </c>
      <c r="AX7" s="425"/>
      <c r="AY7" s="425"/>
      <c r="AZ7" s="217"/>
      <c r="BA7" s="1231">
        <f>'2030'!Dépas_env</f>
        <v>4.4469433272544379E-2</v>
      </c>
      <c r="BB7" s="1232"/>
      <c r="BC7" s="819" t="s">
        <v>252</v>
      </c>
      <c r="BD7" s="425"/>
      <c r="BE7" s="425"/>
      <c r="BF7" s="217"/>
      <c r="BG7" s="1231">
        <f>'2031'!Dépas_env</f>
        <v>4.4469433272544379E-2</v>
      </c>
      <c r="BH7" s="1232"/>
      <c r="BI7" s="819" t="s">
        <v>252</v>
      </c>
      <c r="BJ7" s="425"/>
      <c r="BK7" s="425"/>
      <c r="BL7" s="217"/>
      <c r="BM7" s="1231"/>
      <c r="BN7" s="1232"/>
      <c r="BO7" s="819" t="s">
        <v>252</v>
      </c>
      <c r="BP7" s="425"/>
      <c r="BQ7" s="425"/>
      <c r="BR7" s="217"/>
      <c r="BS7" s="1231"/>
      <c r="BT7" s="1232"/>
      <c r="BU7" s="819" t="s">
        <v>252</v>
      </c>
      <c r="BV7" s="425"/>
      <c r="BW7" s="425"/>
      <c r="BX7" s="217"/>
      <c r="BY7" s="1231"/>
      <c r="BZ7" s="1232"/>
    </row>
    <row r="8" spans="1:78" ht="15.75" x14ac:dyDescent="0.25">
      <c r="A8" s="421" t="s">
        <v>134</v>
      </c>
      <c r="T8" s="646" t="s">
        <v>195</v>
      </c>
    </row>
    <row r="9" spans="1:78" s="28" customFormat="1" ht="15" customHeight="1" x14ac:dyDescent="0.25">
      <c r="A9" s="440" t="s">
        <v>77</v>
      </c>
      <c r="B9" s="574">
        <f>IF(B4="D",T0,IF(YEAR(B4)=A3,B4, "err."))</f>
        <v>44522</v>
      </c>
      <c r="C9" s="575">
        <f>IF(B9&gt;T0,IF(C4="D",0,C4),0)</f>
        <v>0</v>
      </c>
      <c r="D9" s="576" t="s">
        <v>80</v>
      </c>
      <c r="E9" s="457" t="s">
        <v>80</v>
      </c>
      <c r="F9" s="1172">
        <f>IF(C5="I",T0,B10)</f>
        <v>44522</v>
      </c>
      <c r="G9" s="441" t="s">
        <v>92</v>
      </c>
      <c r="H9" s="574">
        <f>IF(H4="D",B9,IF(YEAR(H4)=G3,H4, "err."))</f>
        <v>44522</v>
      </c>
      <c r="I9" s="575">
        <f>IF(YEAR(H9)=G3,IF(I4="D",C9,I4),C9)</f>
        <v>0</v>
      </c>
      <c r="J9" s="577" t="s">
        <v>80</v>
      </c>
      <c r="K9" s="445" t="s">
        <v>80</v>
      </c>
      <c r="L9" s="1172">
        <f>IF(I5="I",F9,IF(YEAR(H10)=G3,H10,F9))</f>
        <v>45046</v>
      </c>
      <c r="M9" s="443" t="s">
        <v>92</v>
      </c>
      <c r="N9" s="574">
        <f>IF(N4="D",H9,IF(YEAR(N4)=M3,N4, "err."))</f>
        <v>44522</v>
      </c>
      <c r="O9" s="575">
        <f>IF(YEAR(N9)=M3,IF(O4="D",I9,O4),I9)</f>
        <v>0</v>
      </c>
      <c r="P9" s="577" t="s">
        <v>80</v>
      </c>
      <c r="Q9" s="445" t="s">
        <v>80</v>
      </c>
      <c r="R9" s="1172">
        <f>IF(O5="I",L9,IF(YEAR(N10)=M3,N10,L9))</f>
        <v>45046</v>
      </c>
      <c r="S9" s="441" t="s">
        <v>92</v>
      </c>
      <c r="T9" s="574">
        <f>IF(T4="D",N9,IF(YEAR(T4)=S3,T4, "err."))</f>
        <v>44522</v>
      </c>
      <c r="U9" s="575">
        <f>IF(YEAR(T9)=S3,IF(U4="D",O9,U4),O9)</f>
        <v>0</v>
      </c>
      <c r="V9" s="577" t="s">
        <v>80</v>
      </c>
      <c r="W9" s="445" t="s">
        <v>80</v>
      </c>
      <c r="X9" s="1172">
        <f>IF(U5="I",R9,IF(YEAR(T10)=S3,T10,R9))</f>
        <v>45777</v>
      </c>
      <c r="Y9" s="441" t="s">
        <v>92</v>
      </c>
      <c r="Z9" s="574">
        <f>IF(Z4="D",T9,IF(YEAR(Z4)=Y3,Z4, "err."))</f>
        <v>44522</v>
      </c>
      <c r="AA9" s="575">
        <f>IF(YEAR(Z9)=Y3,IF(AA4="D",U9,AA4),U9)</f>
        <v>0</v>
      </c>
      <c r="AB9" s="577" t="s">
        <v>80</v>
      </c>
      <c r="AC9" s="445" t="s">
        <v>80</v>
      </c>
      <c r="AD9" s="1172">
        <f>IF(AA5="I",X9,IF(YEAR(Z10)=Y3,Z10,X9))</f>
        <v>45777</v>
      </c>
      <c r="AE9" s="441" t="s">
        <v>92</v>
      </c>
      <c r="AF9" s="574">
        <f>IF(AF4="D",Z9,IF(YEAR(AF4)=AE3,AF4, "err."))</f>
        <v>44522</v>
      </c>
      <c r="AG9" s="575">
        <f>IF(YEAR(AF9)=AE3,IF(AG4="D",AA9,AG4),AA9)</f>
        <v>0</v>
      </c>
      <c r="AH9" s="577" t="s">
        <v>80</v>
      </c>
      <c r="AI9" s="445" t="s">
        <v>80</v>
      </c>
      <c r="AJ9" s="1172">
        <f>IF(AG5="I",AD9,IF(YEAR(AF10)=AE3,AF10,AD9))</f>
        <v>46507</v>
      </c>
      <c r="AK9" s="441" t="s">
        <v>92</v>
      </c>
      <c r="AL9" s="590">
        <f>IF(AL4="D",AF9,AL4)</f>
        <v>44522</v>
      </c>
      <c r="AM9" s="591">
        <f>IF(AM4="D",AG9,AM4)</f>
        <v>0</v>
      </c>
      <c r="AN9" s="577" t="s">
        <v>80</v>
      </c>
      <c r="AO9" s="592" t="s">
        <v>80</v>
      </c>
      <c r="AP9" s="1172">
        <f>IF(AM5="I",AJ9,IF(YEAR(AL10)=AK3,AL10,AJ9))</f>
        <v>46507</v>
      </c>
      <c r="AQ9" s="441" t="s">
        <v>92</v>
      </c>
      <c r="AR9" s="574">
        <f>IF(AR4="D",AL9,AR4)</f>
        <v>44522</v>
      </c>
      <c r="AS9" s="575">
        <f>IF(AS4="D",AM9,AS4)</f>
        <v>0</v>
      </c>
      <c r="AT9" s="577" t="s">
        <v>80</v>
      </c>
      <c r="AU9" s="445" t="s">
        <v>80</v>
      </c>
      <c r="AV9" s="1172">
        <f>IF(AS5="I",AP9,IF(YEAR(AR10)=AQ3,AR10,AP9))</f>
        <v>47238</v>
      </c>
      <c r="AW9" s="441" t="s">
        <v>92</v>
      </c>
      <c r="AX9" s="574">
        <f>IF(AX4="D",AR9,AX4)</f>
        <v>44522</v>
      </c>
      <c r="AY9" s="575">
        <f>IF(AY4="D",AS9,AY4)</f>
        <v>0</v>
      </c>
      <c r="AZ9" s="577" t="s">
        <v>80</v>
      </c>
      <c r="BA9" s="445" t="s">
        <v>80</v>
      </c>
      <c r="BB9" s="1172">
        <f>IF(AY5="I",AV9,IF(YEAR(AX10)=AW3,AX10,AV9))</f>
        <v>47238</v>
      </c>
      <c r="BC9" s="441" t="s">
        <v>92</v>
      </c>
      <c r="BD9" s="574">
        <f>IF(BD4="D",AX9,BD4)</f>
        <v>44522</v>
      </c>
      <c r="BE9" s="575">
        <f>IF(BE4="D",AY9,BE4)</f>
        <v>0</v>
      </c>
      <c r="BF9" s="577" t="s">
        <v>80</v>
      </c>
      <c r="BG9" s="445" t="s">
        <v>80</v>
      </c>
      <c r="BH9" s="1172">
        <f>IF(BE5="I",BB9,IF(YEAR(BD10)=BC3,BD10,BB9))</f>
        <v>47968</v>
      </c>
      <c r="BI9" s="441" t="s">
        <v>92</v>
      </c>
      <c r="BJ9" s="574">
        <f>IF(BJ4="D",BD9,BJ4)</f>
        <v>44522</v>
      </c>
      <c r="BK9" s="575">
        <f>IF(BK4="D",BE9,BK4)</f>
        <v>0</v>
      </c>
      <c r="BL9" s="577" t="s">
        <v>80</v>
      </c>
      <c r="BM9" s="445" t="s">
        <v>80</v>
      </c>
      <c r="BN9" s="1172" t="e">
        <f>IF(BK5="I",BH9,IF(YEAR(BJ10)=BI3,BJ10,BH9))</f>
        <v>#NAME?</v>
      </c>
      <c r="BO9" s="441" t="s">
        <v>92</v>
      </c>
      <c r="BP9" s="574">
        <f>IF(BP4="D",BJ9,BP4)</f>
        <v>44522</v>
      </c>
      <c r="BQ9" s="575">
        <f>IF(BQ4="D",BK9,BQ4)</f>
        <v>0</v>
      </c>
      <c r="BR9" s="577" t="s">
        <v>80</v>
      </c>
      <c r="BS9" s="445" t="s">
        <v>80</v>
      </c>
      <c r="BT9" s="1172" t="e">
        <f>IF(BQ5="I",BN9,IF(YEAR(BP10)=BO3,BP10,BN9))</f>
        <v>#NAME?</v>
      </c>
      <c r="BU9" s="441" t="s">
        <v>92</v>
      </c>
      <c r="BV9" s="574">
        <f>IF(BV4="D",BP9,BV4)</f>
        <v>44522</v>
      </c>
      <c r="BW9" s="575">
        <f>IF(BW4="D",BQ9,BW4)</f>
        <v>0</v>
      </c>
      <c r="BX9" s="577" t="s">
        <v>80</v>
      </c>
      <c r="BY9" s="445" t="s">
        <v>80</v>
      </c>
      <c r="BZ9" s="1172" t="e">
        <f>IF(BW5="I",BT9,IF(YEAR(BV10)=BU3,BV10,BT9))</f>
        <v>#NAME?</v>
      </c>
    </row>
    <row r="10" spans="1:78" s="444" customFormat="1" ht="15" customHeight="1" x14ac:dyDescent="0.25">
      <c r="A10" s="458" t="s">
        <v>16</v>
      </c>
      <c r="B10" s="572">
        <f>IF(B5="D",T0,IF(YEAR(B5)=A3,B5, "err."))</f>
        <v>44522</v>
      </c>
      <c r="C10" s="578">
        <f>IF(B10&gt;T0,IF(C5="D",0,C5),0)</f>
        <v>0</v>
      </c>
      <c r="D10" s="579">
        <f>IF(YEAR(B10)=A3,IF(D5="D",Salim_i,D5),Salim_i)</f>
        <v>0.08</v>
      </c>
      <c r="E10" s="580">
        <f>IF(E5="D",Tau_i,IF(YEAR(B10)=A3,E5,Tau_i))</f>
        <v>3</v>
      </c>
      <c r="F10" s="1173">
        <f>C10</f>
        <v>0</v>
      </c>
      <c r="G10" s="443" t="s">
        <v>93</v>
      </c>
      <c r="H10" s="572">
        <f>IF(H5="D",IF(AND(G3&gt;=YEAR(F9)+Inter_net,G3&gt;Amaj),DATE(G3,4,30),B10),IF(YEAR(H5)=G3,H5,"err."))</f>
        <v>45046</v>
      </c>
      <c r="I10" s="578">
        <f>IF(G3=YEAR(H10),IF(I5="D",F10,I5),C13)</f>
        <v>0</v>
      </c>
      <c r="J10" s="579">
        <f>IF(G3=YEAR(H10),IF(J5="D",D10,J5),D10)</f>
        <v>0.08</v>
      </c>
      <c r="K10" s="580">
        <f>IF(G3=YEAR(H10),IF(K5="D",E10,K5),E10)</f>
        <v>3</v>
      </c>
      <c r="L10" s="1173">
        <f>IF(I5="I",F10,IF(I5="D",F10,I5))</f>
        <v>0</v>
      </c>
      <c r="M10" s="443" t="s">
        <v>93</v>
      </c>
      <c r="N10" s="572">
        <f>IF(N5="D",IF(AND(M3&gt;=YEAR(L9)+Inter_net,M3&gt;Amaj),DATE(M3,4,30),H10),IF(YEAR(N5)=M3,N5,"err."))</f>
        <v>45046</v>
      </c>
      <c r="O10" s="578">
        <f>IF(M3=YEAR(N10),IF(O5="D",L10,O5),I13)</f>
        <v>0</v>
      </c>
      <c r="P10" s="579">
        <f>IF(M3=YEAR(N10),IF(P5="D",J10,P5),J10)</f>
        <v>0.08</v>
      </c>
      <c r="Q10" s="580">
        <f>IF(M3=YEAR(N10),IF(Q5="D",K10,Q5),K10)</f>
        <v>3</v>
      </c>
      <c r="R10" s="1173">
        <f>IF(O5="I",L10,IF(O5="D",L10,O5))</f>
        <v>0</v>
      </c>
      <c r="S10" s="443" t="s">
        <v>93</v>
      </c>
      <c r="T10" s="572">
        <f>IF(T5="D",IF(AND(S3&gt;=YEAR(R9)+Inter_net,S3&gt;Amaj),DATE(S3,4,30),N10),IF(YEAR(T5)=S3,T5,"err."))</f>
        <v>45777</v>
      </c>
      <c r="U10" s="578">
        <f>IF(S3=YEAR(T10),IF(U5="D",R10,U5),O13)</f>
        <v>0</v>
      </c>
      <c r="V10" s="579">
        <f>IF(S3=YEAR(T10),IF(V5="D",P10,V5),P10)</f>
        <v>0.08</v>
      </c>
      <c r="W10" s="580">
        <f>IF(S3=YEAR(T10),IF(W5="D",Q10,W5),Q10)</f>
        <v>3</v>
      </c>
      <c r="X10" s="1173">
        <f>IF(U5="I",R10,IF(U5="D",R10,U5))</f>
        <v>0</v>
      </c>
      <c r="Y10" s="443" t="s">
        <v>93</v>
      </c>
      <c r="Z10" s="572">
        <f>IF(Z5="D",IF(AND(Y3&gt;=YEAR(X9)+Inter_net,Y3&gt;Amaj),DATE(Y3,4,30),T10),IF(YEAR(Z5)=Y3,Z5,"err."))</f>
        <v>45777</v>
      </c>
      <c r="AA10" s="578">
        <f>IF(Y3=YEAR(Z10),IF(AA5="D",X10,AA5),U13)</f>
        <v>0</v>
      </c>
      <c r="AB10" s="579">
        <f>IF(Y3=YEAR(Z10),IF(AB5="D",V10,AB5),V10)</f>
        <v>0.08</v>
      </c>
      <c r="AC10" s="580">
        <f>IF(Y3=YEAR(Z10),IF(AC5="D",W10,AC5),W10)</f>
        <v>3</v>
      </c>
      <c r="AD10" s="1173">
        <f>IF(AA5="I",X10,IF(AA5="D",X10,AA5))</f>
        <v>0</v>
      </c>
      <c r="AE10" s="443" t="s">
        <v>93</v>
      </c>
      <c r="AF10" s="572">
        <f>IF(AF5="D",IF(AND(AE3&gt;=YEAR(AD9)+Inter_net,AE3&gt;Amaj),DATE(AE3,4,30),Z10),IF(YEAR(AF5)=AE3,AF5,"err."))</f>
        <v>46507</v>
      </c>
      <c r="AG10" s="578">
        <f>IF(AE3=YEAR(AF10),IF(AG5="D",AD10,AG5),AA13)</f>
        <v>0</v>
      </c>
      <c r="AH10" s="579">
        <f>IF(AE3=YEAR(AF10),IF(AH5="D",AB10,AH5),AB10)</f>
        <v>0.08</v>
      </c>
      <c r="AI10" s="580">
        <f>IF(AE3=YEAR(AF10),IF(AI5="D",AC10,AI5),AC10)</f>
        <v>3</v>
      </c>
      <c r="AJ10" s="1173">
        <f>IF(AG5="I",AD10,IF(AG5="D",AD10,AG5))</f>
        <v>0</v>
      </c>
      <c r="AK10" s="443" t="s">
        <v>93</v>
      </c>
      <c r="AL10" s="572">
        <f>IF(AL5="D",IF(AND(AK3&gt;=YEAR(AJ9)+Inter_net,AK3&gt;Amaj),DATE(AK3,4,30),AF10),IF(YEAR(AL5)=AK3,AL5,"err."))</f>
        <v>46507</v>
      </c>
      <c r="AM10" s="578">
        <f>IF(AK3=YEAR(AL10),IF(AM5="D",AJ10,AM5),AG13)</f>
        <v>0</v>
      </c>
      <c r="AN10" s="579">
        <f>IF(AN5="D",AH10,AN5)</f>
        <v>0.08</v>
      </c>
      <c r="AO10" s="580">
        <f>IF(AO5="D",AI10,AO5)</f>
        <v>3</v>
      </c>
      <c r="AP10" s="1173">
        <f>IF(AM5="I",AJ10,IF(AM5="D",AJ10,AM5))</f>
        <v>0</v>
      </c>
      <c r="AQ10" s="443" t="s">
        <v>93</v>
      </c>
      <c r="AR10" s="572">
        <f>IF(AR5="D",IF(AND(AQ3&gt;=YEAR(AP9)+Inter_net,AQ3&gt;Amaj),DATE(AQ3,4,30),AL10),IF(YEAR(AR5)=AQ3,AR5,"err."))</f>
        <v>47238</v>
      </c>
      <c r="AS10" s="578">
        <f>IF(AQ3=YEAR(AR10),IF(AS5="D",AP10,AS5),AM13)</f>
        <v>0</v>
      </c>
      <c r="AT10" s="579">
        <f>IF(AT5="D",AN10,AT5)</f>
        <v>0.08</v>
      </c>
      <c r="AU10" s="580">
        <f>IF(AU5="D",AO10,AU5)</f>
        <v>3</v>
      </c>
      <c r="AV10" s="1173">
        <f>IF(AS5="I",AP10,IF(AS5="D",AP10,AS5))</f>
        <v>0</v>
      </c>
      <c r="AW10" s="443" t="s">
        <v>93</v>
      </c>
      <c r="AX10" s="572">
        <f>IF(AX5="D",IF(AND(AW3&gt;=YEAR(AV9)+Inter_net,AW3&gt;Amaj),DATE(AW3,4,30),AR10),IF(YEAR(AX5)=AW3,AX5,"err."))</f>
        <v>47238</v>
      </c>
      <c r="AY10" s="578">
        <f>IF(AW3=YEAR(AX10),IF(AY5="D",AV10,AY5),AS13)</f>
        <v>0</v>
      </c>
      <c r="AZ10" s="579">
        <f>IF(AZ5="D",AT10,AZ5)</f>
        <v>0.08</v>
      </c>
      <c r="BA10" s="580">
        <f>IF(BA5="D",AU10,BA5)</f>
        <v>3</v>
      </c>
      <c r="BB10" s="1173">
        <f>IF(AY5="I",AV10,IF(AY5="D",AV10,AY5))</f>
        <v>0</v>
      </c>
      <c r="BC10" s="443" t="s">
        <v>93</v>
      </c>
      <c r="BD10" s="572">
        <f>IF(BD5="D",IF(AND(BC3&gt;=YEAR(BB9)+Inter_net,BC3&gt;Amaj),DATE(BC3,4,30),AX10),IF(YEAR(BD5)=BC3,BD5,"err."))</f>
        <v>47968</v>
      </c>
      <c r="BE10" s="578">
        <f>IF(BC3=YEAR(BD10),IF(BE5="D",BB10,BE5),AY13)</f>
        <v>0</v>
      </c>
      <c r="BF10" s="579">
        <f>IF(BF5="D",AZ10,BF5)</f>
        <v>0.08</v>
      </c>
      <c r="BG10" s="580">
        <f>IF(BG5="D",BA10,BG5)</f>
        <v>3</v>
      </c>
      <c r="BH10" s="1173">
        <f>IF(BE5="I",BB10,IF(BE5="D",BB10,BE5))</f>
        <v>0</v>
      </c>
      <c r="BI10" s="443" t="s">
        <v>93</v>
      </c>
      <c r="BJ10" s="572" t="e">
        <f>IF(BJ5="D",IF(AND(BI3&gt;=YEAR(BH9)+Inter_net,BI3&gt;Amaj),DATE(BI3,4,30),BD10),IF(YEAR(BJ5)=BI3,BJ5,"err."))</f>
        <v>#NAME?</v>
      </c>
      <c r="BK10" s="578" t="e">
        <f>IF(BI3=YEAR(BJ10),IF(BK5="D",BH10,BK5),BE13)</f>
        <v>#NAME?</v>
      </c>
      <c r="BL10" s="579">
        <f>IF(BL5="D",BF10,BL5)</f>
        <v>0.08</v>
      </c>
      <c r="BM10" s="580">
        <f>IF(BM5="D",BG10,BM5)</f>
        <v>3</v>
      </c>
      <c r="BN10" s="1173">
        <f>IF(BK5="I",BH10,IF(BK5="D",BH10,BK5))</f>
        <v>0</v>
      </c>
      <c r="BO10" s="443" t="s">
        <v>93</v>
      </c>
      <c r="BP10" s="572" t="e">
        <f>IF(BP5="D",IF(AND(BO3&gt;=YEAR(BN9)+Inter_net,BO3&gt;Amaj),DATE(BO3,4,30),BJ10),IF(YEAR(BP5)=BO3,BP5,"err."))</f>
        <v>#NAME?</v>
      </c>
      <c r="BQ10" s="578" t="e">
        <f>IF(BO3=YEAR(BP10),IF(BQ5="D",BN10,BQ5),BK13)</f>
        <v>#NAME?</v>
      </c>
      <c r="BR10" s="579">
        <f>IF(BR5="D",BL10,BR5)</f>
        <v>0.08</v>
      </c>
      <c r="BS10" s="580">
        <f>IF(BS5="D",BM10,BS5)</f>
        <v>3</v>
      </c>
      <c r="BT10" s="1173">
        <f>IF(BQ5="I",BN10,IF(BQ5="D",BN10,BQ5))</f>
        <v>0</v>
      </c>
      <c r="BU10" s="443" t="s">
        <v>93</v>
      </c>
      <c r="BV10" s="572" t="e">
        <f>IF(BV5="D",IF(AND(BU3&gt;=YEAR(BT9)+Inter_net,BU3&gt;Amaj),DATE(BU3,4,30),BP10),IF(YEAR(BV5)=BU3,BV5,"err."))</f>
        <v>#NAME?</v>
      </c>
      <c r="BW10" s="578" t="e">
        <f>IF(BU3=YEAR(BV10),IF(BW5="D",BT10,BW5),BQ13)</f>
        <v>#NAME?</v>
      </c>
      <c r="BX10" s="579">
        <f>IF(BX5="D",BR10,BX5)</f>
        <v>0.08</v>
      </c>
      <c r="BY10" s="580">
        <f>IF(BY5="D",BS10,BY5)</f>
        <v>3</v>
      </c>
      <c r="BZ10" s="1173">
        <f>IF(BW5="I",BT10,IF(BW5="D",BT10,BW5))</f>
        <v>0</v>
      </c>
    </row>
    <row r="11" spans="1:78" s="444" customFormat="1" ht="15" customHeight="1" x14ac:dyDescent="0.25">
      <c r="A11" s="442" t="s">
        <v>18</v>
      </c>
      <c r="B11" s="573">
        <f>IF(B6="D",DATE(A3,1,1),IF(YEAR(B6)=A3,B6, "err."))</f>
        <v>44562</v>
      </c>
      <c r="C11" s="581">
        <f>IF(C6="D",D_i,C6)</f>
        <v>0.5</v>
      </c>
      <c r="D11" s="1237">
        <f>IF(D6="D",IF(B11&gt;DATE(A3,1,1),H_i,H_i+PousHi),D6)</f>
        <v>0.49381682607666977</v>
      </c>
      <c r="E11" s="1237"/>
      <c r="F11" s="184"/>
      <c r="G11" s="443" t="s">
        <v>94</v>
      </c>
      <c r="H11" s="573">
        <f>IF(H6="D",IF(AND(G3&gt;=YEAR(B11)+Inter_tai,G3&gt;Amaj),DATE(G3,3,31),B11),IF(YEAR(H6)=G3,H6,"err."))</f>
        <v>44562</v>
      </c>
      <c r="I11" s="581">
        <f>IF(I6="D",IF(G3=YEAR(H11),D_i,C11),I6)</f>
        <v>0.5</v>
      </c>
      <c r="J11" s="1237">
        <f>IF(J6="D",IF(G3=YEAR(H11),H_i,D16+E16),J6)</f>
        <v>0.99381674853872815</v>
      </c>
      <c r="K11" s="1237"/>
      <c r="L11" s="184"/>
      <c r="M11" s="443" t="s">
        <v>94</v>
      </c>
      <c r="N11" s="573">
        <f>IF(N6="D",IF(AND(M3&gt;=YEAR(H11)+Inter_tai,M3&gt;Amaj),DATE(M3,3,31),H11),IF(YEAR(N6)=M3,N6,"err."))</f>
        <v>44562</v>
      </c>
      <c r="O11" s="581">
        <f>IF(O6="D",IF(M3=YEAR(N11),D_i,I11),O6)</f>
        <v>0.5</v>
      </c>
      <c r="P11" s="1237">
        <f>IF(P6="D",IF(M3=YEAR(N11),H_i,J16+K16),P6)</f>
        <v>1.4938166710007863</v>
      </c>
      <c r="Q11" s="1237"/>
      <c r="R11" s="184"/>
      <c r="S11" s="443" t="s">
        <v>94</v>
      </c>
      <c r="T11" s="573">
        <f>IF(T6="D",IF(AND(S3&gt;=YEAR(N11)+Inter_tai,S3&gt;Amaj),DATE(S3,3,31),N11),IF(YEAR(T6)=S3,T6,"err."))</f>
        <v>44562</v>
      </c>
      <c r="U11" s="581">
        <f>IF(U6="D",IF(S3=YEAR(T11),D_i,O11),U6)</f>
        <v>0.5</v>
      </c>
      <c r="V11" s="1237">
        <f>IF(V6="D",IF(S3=YEAR(T11),H_i,P16+Q16),V6)</f>
        <v>1.9938165934628445</v>
      </c>
      <c r="W11" s="1237"/>
      <c r="X11" s="184"/>
      <c r="Y11" s="443" t="s">
        <v>94</v>
      </c>
      <c r="Z11" s="573">
        <f>IF(Z6="D",IF(AND(Y3&gt;=YEAR(T11)+Inter_tai,Y3&gt;Amaj),DATE(Y3,3,31),T11),IF(YEAR(Z6)=Y3,Z6,"err."))</f>
        <v>44562</v>
      </c>
      <c r="AA11" s="581">
        <f>IF(AA6="D",IF(Y3=YEAR(Z11),D_i,U11),AA6)</f>
        <v>0.5</v>
      </c>
      <c r="AB11" s="1237">
        <f>IF(AB6="D",IF(Y3=YEAR(Z11),H_i,V16+W16),AB6)</f>
        <v>2.4938165159249026</v>
      </c>
      <c r="AC11" s="1237"/>
      <c r="AD11" s="184"/>
      <c r="AE11" s="443" t="s">
        <v>94</v>
      </c>
      <c r="AF11" s="573">
        <f>IF(AF6="D",IF(AND(AE3&gt;=YEAR(Z11)+Inter_tai,AE3&gt;Amaj),DATE(AE3,3,31),Z11),IF(YEAR(AF6)=AE3,AF6,"err."))</f>
        <v>44562</v>
      </c>
      <c r="AG11" s="581">
        <f>IF(AG6="D",IF(AE3=YEAR(AF11),D_i,AA11),AG6)</f>
        <v>0.5</v>
      </c>
      <c r="AH11" s="1237">
        <f>IF(AH6="D",IF(AE3=YEAR(AF11),H_i,AB16+AC16),AH6)</f>
        <v>2.9938164383869603</v>
      </c>
      <c r="AI11" s="1237"/>
      <c r="AJ11" s="184"/>
      <c r="AK11" s="443" t="s">
        <v>94</v>
      </c>
      <c r="AL11" s="573">
        <f>IF(AL6="D",IF(AND(AK3&gt;=YEAR(AF11)+Inter_tai,AK3&gt;Amaj),DATE(AK3,3,31),AF11),IF(YEAR(AL6)=AK3,AL6,"err."))</f>
        <v>44562</v>
      </c>
      <c r="AM11" s="581">
        <f>IF(AM6="D",IF(AK3=YEAR(AL11),D_i,AG11),AM6)</f>
        <v>0.5</v>
      </c>
      <c r="AN11" s="1237">
        <f>IF(AN6="D",IF(AK3=YEAR(AL11),H_i,AH16+PousHi),AN6)</f>
        <v>3.4938163608490185</v>
      </c>
      <c r="AO11" s="1237"/>
      <c r="AP11" s="184"/>
      <c r="AQ11" s="443" t="s">
        <v>94</v>
      </c>
      <c r="AR11" s="573">
        <f>IF(AR6="D",IF(AND(AQ3&gt;=YEAR(AL11)+Inter_tai,AQ3&gt;Amaj),DATE(AQ3,3,31),AL11),IF(YEAR(AR6)=AQ3,AR6,"err."))</f>
        <v>47208</v>
      </c>
      <c r="AS11" s="581">
        <f>IF(AS6="D",IF(AQ3=YEAR(AR11),D_i,AM11),AS6)</f>
        <v>0.5</v>
      </c>
      <c r="AT11" s="1237">
        <f>IF(AT6="D",IF(AQ3=YEAR(AR11),H_i,AN16+PousHi),AT6)</f>
        <v>-6.1831739233302249E-3</v>
      </c>
      <c r="AU11" s="1237"/>
      <c r="AV11" s="184"/>
      <c r="AW11" s="443" t="s">
        <v>94</v>
      </c>
      <c r="AX11" s="573">
        <f>IF(AX6="D",IF(AND(AW3&gt;=YEAR(AR11)+Inter_tai,AW3&gt;Amaj),DATE(AW3,3,31),AR11),IF(YEAR(AX6)=AW3,AX6,"err."))</f>
        <v>47208</v>
      </c>
      <c r="AY11" s="581">
        <f>IF(AY6="D",IF(AW3=YEAR(AX11),D_i,AS11),AY6)</f>
        <v>0.5</v>
      </c>
      <c r="AZ11" s="1237">
        <f>IF(AZ6="D",IF(AW3=YEAR(AX11),H_i,AT16+PousHi),AZ6)</f>
        <v>0.96882863939915764</v>
      </c>
      <c r="BA11" s="1237"/>
      <c r="BB11" s="184"/>
      <c r="BC11" s="443" t="s">
        <v>94</v>
      </c>
      <c r="BD11" s="573">
        <f>IF(BD6="D",IF(AND(BC3&gt;=YEAR(AX11)+Inter_tai,BC3&gt;Amaj),DATE(BC3,3,31),AX11),IF(YEAR(BD6)=BC3,BD6,"err."))</f>
        <v>47208</v>
      </c>
      <c r="BE11" s="581">
        <f>IF(BE6="D",IF(BC3=YEAR(BD11),D_i,AY11),BE6)</f>
        <v>0.5</v>
      </c>
      <c r="BF11" s="1237">
        <f>IF(BF6="D",IF(BC3=YEAR(BD11),H_i,AZ16+PousHi),BF6)</f>
        <v>1.468828561861216</v>
      </c>
      <c r="BG11" s="1237"/>
      <c r="BH11" s="184"/>
      <c r="BI11" s="443" t="s">
        <v>94</v>
      </c>
      <c r="BJ11" s="573" t="e">
        <f>IF(BJ6="D",IF(AND(BI3&gt;=YEAR(BD11)+Inter_tai,BI3&gt;Amaj),DATE(BI3,3,31),BD11),IF(YEAR(BJ6)=BI3,BJ6,"err."))</f>
        <v>#NAME?</v>
      </c>
      <c r="BK11" s="581" t="e">
        <f>IF(BK6="D",IF(BI3=YEAR(BJ11),D_i,BE11),BK6)</f>
        <v>#NAME?</v>
      </c>
      <c r="BL11" s="1237" t="e">
        <f>IF(BL6="D",IF(BI3=YEAR(BJ11),H_i,BF16+PousHi),BL6)</f>
        <v>#NAME?</v>
      </c>
      <c r="BM11" s="1237"/>
      <c r="BN11" s="184"/>
      <c r="BO11" s="443" t="s">
        <v>94</v>
      </c>
      <c r="BP11" s="573" t="e">
        <f>IF(BP6="D",IF(AND(BO3&gt;=YEAR(BJ11)+Inter_tai,BO3&gt;Amaj),DATE(BO3,3,31),BJ11),IF(YEAR(BP6)=BO3,BP6,"err."))</f>
        <v>#NAME?</v>
      </c>
      <c r="BQ11" s="581" t="e">
        <f>IF(BQ6="D",IF(BO3=YEAR(BP11),D_i,BK11),BQ6)</f>
        <v>#NAME?</v>
      </c>
      <c r="BR11" s="1237" t="e">
        <f>IF(BR6="D",IF(BO3=YEAR(BP11),H_i,BL16+PousHi),BR6)</f>
        <v>#NAME?</v>
      </c>
      <c r="BS11" s="1237"/>
      <c r="BT11" s="184"/>
      <c r="BU11" s="443" t="s">
        <v>94</v>
      </c>
      <c r="BV11" s="573" t="e">
        <f>IF(BV6="D",IF(AND(BU3&gt;=YEAR(BP11)+Inter_tai,BU3&gt;Amaj),DATE(BU3,3,31),BP11),IF(YEAR(BV6)=BU3,BV6,"err."))</f>
        <v>#NAME?</v>
      </c>
      <c r="BW11" s="581" t="e">
        <f>IF(BW6="D",IF(BU3=YEAR(BV11),D_i,BQ11),BW6)</f>
        <v>#NAME?</v>
      </c>
      <c r="BX11" s="1237" t="e">
        <f>IF(BX6="D",IF(BU3=YEAR(BV11),H_i,BR16+PousHi),BX6)</f>
        <v>#NAME?</v>
      </c>
      <c r="BY11" s="1237"/>
      <c r="BZ11" s="184"/>
    </row>
    <row r="12" spans="1:78" x14ac:dyDescent="0.25">
      <c r="A12" s="8" t="s">
        <v>165</v>
      </c>
      <c r="B12" s="439"/>
      <c r="C12" s="449"/>
      <c r="D12" s="398"/>
      <c r="E12" s="450"/>
      <c r="H12" s="439"/>
      <c r="L12" s="460"/>
      <c r="M12" s="450"/>
      <c r="AL12" s="450"/>
      <c r="AM12" s="449"/>
      <c r="AN12" s="398"/>
      <c r="AO12" s="450"/>
    </row>
    <row r="13" spans="1:78" s="404" customFormat="1" ht="15" customHeight="1" x14ac:dyDescent="0.25">
      <c r="A13" s="454" t="s">
        <v>16</v>
      </c>
      <c r="B13" s="582">
        <f>+'2022'!Tnet</f>
        <v>44522</v>
      </c>
      <c r="C13" s="583">
        <f>+'2022'!Resal</f>
        <v>0</v>
      </c>
      <c r="D13" s="584">
        <f>+'2022'!Salim</f>
        <v>0.08</v>
      </c>
      <c r="E13" s="585">
        <f>+'2022'!Tau_j/365</f>
        <v>3</v>
      </c>
      <c r="F13" s="459"/>
      <c r="G13" s="461" t="s">
        <v>93</v>
      </c>
      <c r="H13" s="582">
        <f>+'2023'!Tnet</f>
        <v>45046</v>
      </c>
      <c r="I13" s="583">
        <f>+'2023'!Resal</f>
        <v>0</v>
      </c>
      <c r="J13" s="584">
        <f>+'2023'!Salim</f>
        <v>0.08</v>
      </c>
      <c r="K13" s="585">
        <f>+'2023'!Tau_j/365</f>
        <v>3</v>
      </c>
      <c r="L13" s="462"/>
      <c r="M13" s="443" t="s">
        <v>93</v>
      </c>
      <c r="N13" s="582">
        <f>+'2024'!Tnet</f>
        <v>45046</v>
      </c>
      <c r="O13" s="583">
        <f>+'2024'!Resal</f>
        <v>0</v>
      </c>
      <c r="P13" s="584">
        <f>+'2024'!Salim</f>
        <v>0.08</v>
      </c>
      <c r="Q13" s="585">
        <f>+'2024'!Tau_j/365</f>
        <v>3</v>
      </c>
      <c r="R13" s="462"/>
      <c r="S13" s="443" t="s">
        <v>93</v>
      </c>
      <c r="T13" s="582">
        <f>+'2025'!Tnet</f>
        <v>45777</v>
      </c>
      <c r="U13" s="583">
        <f>+'2025'!Resal</f>
        <v>0</v>
      </c>
      <c r="V13" s="584">
        <f>+'2025'!Salim</f>
        <v>0.08</v>
      </c>
      <c r="W13" s="585">
        <f>+'2025'!Tau_j/365</f>
        <v>3</v>
      </c>
      <c r="X13" s="462"/>
      <c r="Y13" s="443" t="s">
        <v>93</v>
      </c>
      <c r="Z13" s="582">
        <f>+'2026'!Tnet</f>
        <v>45777</v>
      </c>
      <c r="AA13" s="583">
        <f>+'2026'!Resal</f>
        <v>0</v>
      </c>
      <c r="AB13" s="584">
        <f>+'2026'!Salim</f>
        <v>0.08</v>
      </c>
      <c r="AC13" s="585">
        <f>+'2026'!Tau_j/365</f>
        <v>3</v>
      </c>
      <c r="AD13" s="462"/>
      <c r="AE13" s="443" t="s">
        <v>93</v>
      </c>
      <c r="AF13" s="582">
        <f>+'2027'!Tnet</f>
        <v>46507</v>
      </c>
      <c r="AG13" s="583">
        <f>+'2027'!Resal</f>
        <v>0</v>
      </c>
      <c r="AH13" s="584">
        <f>+'2027'!Salim</f>
        <v>0.08</v>
      </c>
      <c r="AI13" s="585">
        <f>+'2027'!Tau_j/365</f>
        <v>3</v>
      </c>
      <c r="AJ13" s="462"/>
      <c r="AK13" s="443" t="s">
        <v>93</v>
      </c>
      <c r="AL13" s="582">
        <f>+'2028'!Tnet</f>
        <v>46507</v>
      </c>
      <c r="AM13" s="583">
        <f>+'2028'!Resal</f>
        <v>0</v>
      </c>
      <c r="AN13" s="584">
        <f>+'2028'!Salim</f>
        <v>0.08</v>
      </c>
      <c r="AO13" s="585">
        <f>+'2028'!Tau_j/365</f>
        <v>3</v>
      </c>
      <c r="AP13" s="459"/>
      <c r="AQ13" s="443" t="s">
        <v>93</v>
      </c>
      <c r="AR13" s="582">
        <f>+'2029'!Tnet</f>
        <v>47238</v>
      </c>
      <c r="AS13" s="583">
        <f>+'2029'!Resal</f>
        <v>0</v>
      </c>
      <c r="AT13" s="584">
        <f>+'2029'!Salim</f>
        <v>0.08</v>
      </c>
      <c r="AU13" s="585">
        <f>+'2029'!Tau_j/365</f>
        <v>3</v>
      </c>
      <c r="AV13" s="459"/>
      <c r="AW13" s="443" t="s">
        <v>93</v>
      </c>
      <c r="AX13" s="582">
        <f>+'2030'!Tnet</f>
        <v>47238</v>
      </c>
      <c r="AY13" s="583">
        <f>+'2030'!Resal</f>
        <v>0</v>
      </c>
      <c r="AZ13" s="584">
        <f>+'2030'!Salim</f>
        <v>0.08</v>
      </c>
      <c r="BA13" s="585">
        <f>+'2030'!Tau_j/365</f>
        <v>3</v>
      </c>
      <c r="BB13" s="459"/>
      <c r="BC13" s="443" t="s">
        <v>93</v>
      </c>
      <c r="BD13" s="582">
        <f>+'2031'!Tnet</f>
        <v>47968</v>
      </c>
      <c r="BE13" s="583">
        <f>+'2031'!Resal</f>
        <v>0</v>
      </c>
      <c r="BF13" s="584">
        <f>+'2031'!Salim</f>
        <v>0.08</v>
      </c>
      <c r="BG13" s="585">
        <f>+'2031'!Tau_j/365</f>
        <v>3</v>
      </c>
      <c r="BH13" s="459"/>
      <c r="BI13" s="443" t="s">
        <v>93</v>
      </c>
      <c r="BJ13" s="582">
        <f>+'2022'!Tnet</f>
        <v>44522</v>
      </c>
      <c r="BK13" s="583">
        <f>+'2022'!Resal</f>
        <v>0</v>
      </c>
      <c r="BL13" s="584">
        <f>+'2022'!Salim</f>
        <v>0.08</v>
      </c>
      <c r="BM13" s="585">
        <f>+'2022'!Tau_j/365</f>
        <v>3</v>
      </c>
      <c r="BN13" s="459"/>
      <c r="BO13" s="443" t="s">
        <v>93</v>
      </c>
      <c r="BP13" s="582">
        <f>+'2022'!Tnet</f>
        <v>44522</v>
      </c>
      <c r="BQ13" s="583">
        <f>+'2022'!Resal</f>
        <v>0</v>
      </c>
      <c r="BR13" s="584">
        <f>+'2022'!Salim</f>
        <v>0.08</v>
      </c>
      <c r="BS13" s="585">
        <f>+'2022'!Tau_j/365</f>
        <v>3</v>
      </c>
      <c r="BT13" s="459"/>
      <c r="BU13" s="443" t="s">
        <v>93</v>
      </c>
      <c r="BV13" s="582">
        <f>+'2022'!Tnet</f>
        <v>44522</v>
      </c>
      <c r="BW13" s="583">
        <f>+'2022'!Resal</f>
        <v>0</v>
      </c>
      <c r="BX13" s="584">
        <f>+'2022'!Salim</f>
        <v>0.08</v>
      </c>
      <c r="BY13" s="585">
        <f>+'2022'!Tau_j/365</f>
        <v>3</v>
      </c>
      <c r="BZ13" s="459"/>
    </row>
    <row r="14" spans="1:78" s="453" customFormat="1" ht="12.75" customHeight="1" x14ac:dyDescent="0.25">
      <c r="A14" s="471"/>
      <c r="B14" s="472" t="s">
        <v>2</v>
      </c>
      <c r="C14" s="472" t="s">
        <v>129</v>
      </c>
      <c r="D14" s="472" t="s">
        <v>130</v>
      </c>
      <c r="E14" s="472" t="s">
        <v>131</v>
      </c>
      <c r="F14" s="473"/>
      <c r="G14" s="474"/>
      <c r="H14" s="475" t="s">
        <v>2</v>
      </c>
      <c r="I14" s="475" t="s">
        <v>129</v>
      </c>
      <c r="J14" s="475" t="s">
        <v>130</v>
      </c>
      <c r="K14" s="475" t="s">
        <v>131</v>
      </c>
      <c r="L14" s="476"/>
      <c r="M14" s="477"/>
      <c r="N14" s="475" t="s">
        <v>2</v>
      </c>
      <c r="O14" s="475" t="s">
        <v>129</v>
      </c>
      <c r="P14" s="475" t="s">
        <v>130</v>
      </c>
      <c r="Q14" s="475" t="s">
        <v>131</v>
      </c>
      <c r="R14" s="473"/>
      <c r="S14" s="474"/>
      <c r="T14" s="475" t="s">
        <v>2</v>
      </c>
      <c r="U14" s="475" t="s">
        <v>129</v>
      </c>
      <c r="V14" s="475" t="s">
        <v>130</v>
      </c>
      <c r="W14" s="475" t="s">
        <v>131</v>
      </c>
      <c r="X14" s="473"/>
      <c r="Y14" s="474"/>
      <c r="Z14" s="475" t="s">
        <v>2</v>
      </c>
      <c r="AA14" s="475" t="s">
        <v>129</v>
      </c>
      <c r="AB14" s="475" t="s">
        <v>130</v>
      </c>
      <c r="AC14" s="475" t="s">
        <v>131</v>
      </c>
      <c r="AD14" s="473"/>
      <c r="AE14" s="474"/>
      <c r="AF14" s="475" t="s">
        <v>2</v>
      </c>
      <c r="AG14" s="475" t="s">
        <v>129</v>
      </c>
      <c r="AH14" s="475" t="s">
        <v>130</v>
      </c>
      <c r="AI14" s="475" t="s">
        <v>131</v>
      </c>
      <c r="AJ14" s="473"/>
      <c r="AK14" s="474"/>
      <c r="AL14" s="475" t="s">
        <v>2</v>
      </c>
      <c r="AM14" s="475" t="s">
        <v>129</v>
      </c>
      <c r="AN14" s="475" t="s">
        <v>130</v>
      </c>
      <c r="AO14" s="475" t="s">
        <v>131</v>
      </c>
      <c r="AP14" s="473"/>
      <c r="AQ14" s="474"/>
      <c r="AR14" s="475" t="s">
        <v>2</v>
      </c>
      <c r="AS14" s="475" t="s">
        <v>129</v>
      </c>
      <c r="AT14" s="475" t="s">
        <v>130</v>
      </c>
      <c r="AU14" s="475" t="s">
        <v>131</v>
      </c>
      <c r="AV14" s="473"/>
      <c r="AW14" s="474"/>
      <c r="AX14" s="475" t="s">
        <v>2</v>
      </c>
      <c r="AY14" s="475" t="s">
        <v>129</v>
      </c>
      <c r="AZ14" s="475" t="s">
        <v>130</v>
      </c>
      <c r="BA14" s="475" t="s">
        <v>131</v>
      </c>
      <c r="BB14" s="473"/>
      <c r="BC14" s="474"/>
      <c r="BD14" s="475" t="s">
        <v>2</v>
      </c>
      <c r="BE14" s="475" t="s">
        <v>129</v>
      </c>
      <c r="BF14" s="475" t="s">
        <v>130</v>
      </c>
      <c r="BG14" s="475" t="s">
        <v>131</v>
      </c>
      <c r="BH14" s="473"/>
      <c r="BI14" s="474"/>
      <c r="BJ14" s="475" t="s">
        <v>2</v>
      </c>
      <c r="BK14" s="475" t="s">
        <v>129</v>
      </c>
      <c r="BL14" s="475" t="s">
        <v>130</v>
      </c>
      <c r="BM14" s="475" t="s">
        <v>131</v>
      </c>
      <c r="BN14" s="473"/>
      <c r="BO14" s="474"/>
      <c r="BP14" s="475" t="s">
        <v>2</v>
      </c>
      <c r="BQ14" s="475" t="s">
        <v>129</v>
      </c>
      <c r="BR14" s="475" t="s">
        <v>130</v>
      </c>
      <c r="BS14" s="475" t="s">
        <v>131</v>
      </c>
      <c r="BT14" s="473"/>
      <c r="BU14" s="474"/>
      <c r="BV14" s="475" t="s">
        <v>2</v>
      </c>
      <c r="BW14" s="475" t="s">
        <v>129</v>
      </c>
      <c r="BX14" s="475" t="s">
        <v>130</v>
      </c>
      <c r="BY14" s="475" t="s">
        <v>131</v>
      </c>
      <c r="BZ14" s="473"/>
    </row>
    <row r="15" spans="1:78" s="456" customFormat="1" ht="15" customHeight="1" x14ac:dyDescent="0.25">
      <c r="A15" s="478" t="s">
        <v>125</v>
      </c>
      <c r="B15" s="586">
        <f>B11</f>
        <v>44562</v>
      </c>
      <c r="C15" s="587">
        <f>'2022'!Dd</f>
        <v>0.5</v>
      </c>
      <c r="D15" s="587">
        <f>'2022'!Df</f>
        <v>0.5</v>
      </c>
      <c r="E15" s="587">
        <f>'2022'!PousD</f>
        <v>0</v>
      </c>
      <c r="F15" s="463"/>
      <c r="G15" s="479" t="s">
        <v>128</v>
      </c>
      <c r="H15" s="586">
        <f>H11</f>
        <v>44562</v>
      </c>
      <c r="I15" s="587">
        <f>'2023'!Dd</f>
        <v>0.5</v>
      </c>
      <c r="J15" s="587">
        <f>'2023'!Df</f>
        <v>0.5</v>
      </c>
      <c r="K15" s="587">
        <f>'2023'!PousD</f>
        <v>0</v>
      </c>
      <c r="L15" s="463"/>
      <c r="M15" s="479" t="s">
        <v>128</v>
      </c>
      <c r="N15" s="586">
        <f>N11</f>
        <v>44562</v>
      </c>
      <c r="O15" s="587">
        <f>'2024'!Dd</f>
        <v>0.5</v>
      </c>
      <c r="P15" s="587">
        <f>'2024'!Df</f>
        <v>0.5</v>
      </c>
      <c r="Q15" s="587">
        <f>'2024'!PousD</f>
        <v>0</v>
      </c>
      <c r="R15" s="463"/>
      <c r="S15" s="480" t="s">
        <v>128</v>
      </c>
      <c r="T15" s="586">
        <f>T11</f>
        <v>44562</v>
      </c>
      <c r="U15" s="587">
        <f>'2025'!Dd</f>
        <v>0.5</v>
      </c>
      <c r="V15" s="587">
        <f>'2025'!Df</f>
        <v>0.5</v>
      </c>
      <c r="W15" s="587">
        <f>'2025'!PousD</f>
        <v>0</v>
      </c>
      <c r="X15" s="463"/>
      <c r="Y15" s="480" t="s">
        <v>128</v>
      </c>
      <c r="Z15" s="586">
        <f>Z11</f>
        <v>44562</v>
      </c>
      <c r="AA15" s="587">
        <f>'2026'!Dd</f>
        <v>0.5</v>
      </c>
      <c r="AB15" s="587">
        <f>'2026'!Df</f>
        <v>0.5</v>
      </c>
      <c r="AC15" s="587">
        <f>'2026'!PousD</f>
        <v>0</v>
      </c>
      <c r="AD15" s="463"/>
      <c r="AE15" s="480" t="s">
        <v>128</v>
      </c>
      <c r="AF15" s="586">
        <f>AF11</f>
        <v>44562</v>
      </c>
      <c r="AG15" s="587">
        <f>'2027'!Dd</f>
        <v>0.5</v>
      </c>
      <c r="AH15" s="587">
        <f>'2027'!Df</f>
        <v>0.5</v>
      </c>
      <c r="AI15" s="587">
        <f>'2027'!PousD</f>
        <v>0</v>
      </c>
      <c r="AJ15" s="463"/>
      <c r="AK15" s="480" t="s">
        <v>128</v>
      </c>
      <c r="AL15" s="586">
        <f>AL11</f>
        <v>44562</v>
      </c>
      <c r="AM15" s="587">
        <f>'2028'!Dd</f>
        <v>0.5</v>
      </c>
      <c r="AN15" s="587">
        <f>'2028'!Df</f>
        <v>0.5</v>
      </c>
      <c r="AO15" s="587">
        <f>'2028'!PousD</f>
        <v>0</v>
      </c>
      <c r="AP15" s="463"/>
      <c r="AQ15" s="480" t="s">
        <v>128</v>
      </c>
      <c r="AR15" s="586">
        <f>AR11</f>
        <v>47208</v>
      </c>
      <c r="AS15" s="587">
        <f>'2029'!Dd</f>
        <v>0.5</v>
      </c>
      <c r="AT15" s="587">
        <f>'2029'!Df</f>
        <v>0.5</v>
      </c>
      <c r="AU15" s="587">
        <f>'2029'!PousD</f>
        <v>0</v>
      </c>
      <c r="AV15" s="463"/>
      <c r="AW15" s="480" t="s">
        <v>128</v>
      </c>
      <c r="AX15" s="586">
        <f>AX11</f>
        <v>47208</v>
      </c>
      <c r="AY15" s="587">
        <f>'2030'!Dd</f>
        <v>0.5</v>
      </c>
      <c r="AZ15" s="587">
        <f>'2030'!Df</f>
        <v>0.5</v>
      </c>
      <c r="BA15" s="587">
        <f>'2030'!PousD</f>
        <v>0</v>
      </c>
      <c r="BB15" s="463"/>
      <c r="BC15" s="480" t="s">
        <v>128</v>
      </c>
      <c r="BD15" s="586">
        <f>BD11</f>
        <v>47208</v>
      </c>
      <c r="BE15" s="587">
        <f>'2031'!Dd</f>
        <v>0.5</v>
      </c>
      <c r="BF15" s="587">
        <f>'2031'!Df</f>
        <v>0.5</v>
      </c>
      <c r="BG15" s="587">
        <f>'2031'!PousD</f>
        <v>0</v>
      </c>
      <c r="BH15" s="463"/>
      <c r="BI15" s="480" t="s">
        <v>128</v>
      </c>
      <c r="BJ15" s="586" t="e">
        <f>BJ11</f>
        <v>#NAME?</v>
      </c>
      <c r="BK15" s="587">
        <f>'2022'!Dd</f>
        <v>0.5</v>
      </c>
      <c r="BL15" s="587">
        <f>'2022'!Df</f>
        <v>0.5</v>
      </c>
      <c r="BM15" s="587">
        <f>'2022'!PousD</f>
        <v>0</v>
      </c>
      <c r="BN15" s="463"/>
      <c r="BO15" s="480" t="s">
        <v>128</v>
      </c>
      <c r="BP15" s="586" t="e">
        <f>BP11</f>
        <v>#NAME?</v>
      </c>
      <c r="BQ15" s="587">
        <f>'2022'!Dd</f>
        <v>0.5</v>
      </c>
      <c r="BR15" s="587">
        <f>'2022'!Df</f>
        <v>0.5</v>
      </c>
      <c r="BS15" s="587">
        <f>'2022'!PousD</f>
        <v>0</v>
      </c>
      <c r="BT15" s="463"/>
      <c r="BU15" s="480" t="s">
        <v>128</v>
      </c>
      <c r="BV15" s="586" t="e">
        <f>BV11</f>
        <v>#NAME?</v>
      </c>
      <c r="BW15" s="587">
        <f>'2022'!Dd</f>
        <v>0.5</v>
      </c>
      <c r="BX15" s="587">
        <f>'2022'!Df</f>
        <v>0.5</v>
      </c>
      <c r="BY15" s="587">
        <f>'2022'!PousD</f>
        <v>0</v>
      </c>
      <c r="BZ15" s="463"/>
    </row>
    <row r="16" spans="1:78" s="456" customFormat="1" ht="15" customHeight="1" x14ac:dyDescent="0.25">
      <c r="A16" s="468" t="s">
        <v>126</v>
      </c>
      <c r="B16" s="588"/>
      <c r="C16" s="589">
        <f>'2022'!Hdd</f>
        <v>-6.1831739233302249E-3</v>
      </c>
      <c r="D16" s="589">
        <f>'2022'!Hdf</f>
        <v>0.49381674853872809</v>
      </c>
      <c r="E16" s="589">
        <f>'2022'!PousH</f>
        <v>0.5</v>
      </c>
      <c r="F16" s="455"/>
      <c r="G16" s="469" t="s">
        <v>127</v>
      </c>
      <c r="H16" s="588"/>
      <c r="I16" s="589">
        <f>'2023'!Hdd</f>
        <v>0.49381674853872809</v>
      </c>
      <c r="J16" s="589">
        <f>'2023'!Hdf</f>
        <v>0.99381667100078641</v>
      </c>
      <c r="K16" s="589">
        <f>'2023'!PousH</f>
        <v>0.5</v>
      </c>
      <c r="L16" s="455"/>
      <c r="M16" s="469" t="s">
        <v>127</v>
      </c>
      <c r="N16" s="588"/>
      <c r="O16" s="589">
        <f>'2024'!Hdd</f>
        <v>0.99381667100078641</v>
      </c>
      <c r="P16" s="589">
        <f>'2024'!Hdf</f>
        <v>1.4938165934628447</v>
      </c>
      <c r="Q16" s="589">
        <f>'2024'!PousH</f>
        <v>0.49999999999999989</v>
      </c>
      <c r="R16" s="455"/>
      <c r="S16" s="470" t="s">
        <v>127</v>
      </c>
      <c r="T16" s="588"/>
      <c r="U16" s="589">
        <f>'2025'!Hdd</f>
        <v>1.4938165934628447</v>
      </c>
      <c r="V16" s="589">
        <f>'2025'!Hdf</f>
        <v>1.9938165159249028</v>
      </c>
      <c r="W16" s="589">
        <f>'2025'!PousH</f>
        <v>0.49999999999999978</v>
      </c>
      <c r="X16" s="455"/>
      <c r="Y16" s="470" t="s">
        <v>127</v>
      </c>
      <c r="Z16" s="588"/>
      <c r="AA16" s="589">
        <f>'2026'!Hdd</f>
        <v>1.9938165159249028</v>
      </c>
      <c r="AB16" s="589">
        <f>'2026'!Hdf</f>
        <v>2.4938164383869608</v>
      </c>
      <c r="AC16" s="589">
        <f>'2026'!PousH</f>
        <v>0.49999999999999978</v>
      </c>
      <c r="AD16" s="455"/>
      <c r="AE16" s="470" t="s">
        <v>127</v>
      </c>
      <c r="AF16" s="588"/>
      <c r="AG16" s="589">
        <f>'2027'!Hdd</f>
        <v>2.4938164383869608</v>
      </c>
      <c r="AH16" s="589">
        <f>'2027'!Hdf</f>
        <v>2.9938163608490185</v>
      </c>
      <c r="AI16" s="589">
        <f>'2027'!PousH</f>
        <v>0.49999999999999956</v>
      </c>
      <c r="AJ16" s="455"/>
      <c r="AK16" s="470" t="s">
        <v>127</v>
      </c>
      <c r="AL16" s="588"/>
      <c r="AM16" s="589">
        <f>'2028'!Hdd</f>
        <v>2.9938163608490185</v>
      </c>
      <c r="AN16" s="589">
        <f>'2028'!Hdf</f>
        <v>3.4938162833110766</v>
      </c>
      <c r="AO16" s="589">
        <f>'2028'!PousH</f>
        <v>0.5</v>
      </c>
      <c r="AP16" s="455"/>
      <c r="AQ16" s="470" t="s">
        <v>127</v>
      </c>
      <c r="AR16" s="588"/>
      <c r="AS16" s="589">
        <f>'2029'!Hdd</f>
        <v>3.4938162833110766</v>
      </c>
      <c r="AT16" s="589">
        <f>'2029'!Hdf</f>
        <v>0.46882863939915764</v>
      </c>
      <c r="AU16" s="589">
        <f>'2029'!PousH</f>
        <v>0.5</v>
      </c>
      <c r="AV16" s="455"/>
      <c r="AW16" s="470" t="s">
        <v>127</v>
      </c>
      <c r="AX16" s="588"/>
      <c r="AY16" s="589">
        <f>'2030'!Hdd</f>
        <v>0.46882863939915764</v>
      </c>
      <c r="AZ16" s="589">
        <f>'2030'!Hdf</f>
        <v>0.96882856186121602</v>
      </c>
      <c r="BA16" s="589">
        <f>'2030'!PousH</f>
        <v>0.5</v>
      </c>
      <c r="BB16" s="455"/>
      <c r="BC16" s="470" t="s">
        <v>127</v>
      </c>
      <c r="BD16" s="588"/>
      <c r="BE16" s="589">
        <f>'2031'!Hdd</f>
        <v>0.96882856186121602</v>
      </c>
      <c r="BF16" s="589">
        <f>'2031'!Hdf</f>
        <v>1.4688284843232744</v>
      </c>
      <c r="BG16" s="589">
        <f>'2031'!PousH</f>
        <v>0.5</v>
      </c>
      <c r="BH16" s="455"/>
      <c r="BI16" s="470" t="s">
        <v>127</v>
      </c>
      <c r="BJ16" s="588"/>
      <c r="BK16" s="589">
        <f>'2022'!Hdd</f>
        <v>-6.1831739233302249E-3</v>
      </c>
      <c r="BL16" s="589">
        <f>'2022'!Hdf</f>
        <v>0.49381674853872809</v>
      </c>
      <c r="BM16" s="589">
        <f>'2022'!PousH</f>
        <v>0.5</v>
      </c>
      <c r="BN16" s="455"/>
      <c r="BO16" s="470" t="s">
        <v>127</v>
      </c>
      <c r="BP16" s="588"/>
      <c r="BQ16" s="589">
        <f>'2022'!Hdd</f>
        <v>-6.1831739233302249E-3</v>
      </c>
      <c r="BR16" s="589">
        <f>'2022'!Hdf</f>
        <v>0.49381674853872809</v>
      </c>
      <c r="BS16" s="589">
        <f>'2022'!PousH</f>
        <v>0.5</v>
      </c>
      <c r="BT16" s="455"/>
      <c r="BU16" s="470" t="s">
        <v>127</v>
      </c>
      <c r="BV16" s="588"/>
      <c r="BW16" s="589">
        <f>'2022'!Hdd</f>
        <v>-6.1831739233302249E-3</v>
      </c>
      <c r="BX16" s="589">
        <f>'2022'!Hdf</f>
        <v>0.49381674853872809</v>
      </c>
      <c r="BY16" s="589">
        <f>'2022'!PousH</f>
        <v>0.5</v>
      </c>
      <c r="BZ16" s="455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3" t="s">
        <v>64</v>
      </c>
      <c r="C19" s="424" t="s">
        <v>65</v>
      </c>
      <c r="D19" s="424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4" t="s">
        <v>2</v>
      </c>
      <c r="AF19" s="423" t="s">
        <v>64</v>
      </c>
      <c r="AG19" s="424" t="s">
        <v>65</v>
      </c>
      <c r="AH19" s="424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'2022'!A29</f>
        <v>44576</v>
      </c>
      <c r="B20" s="91">
        <f>'2022'!L29</f>
        <v>7.3894655694539679E-4</v>
      </c>
      <c r="C20" s="48">
        <f>'2022'!O29</f>
        <v>3.8501200702880144E-3</v>
      </c>
      <c r="D20" s="66">
        <f>'2022'!P29</f>
        <v>2.883835124273815E-6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5">
        <f>'2027'!A29</f>
        <v>46402</v>
      </c>
      <c r="AF20" s="91">
        <f>'2027'!L29</f>
        <v>2.540745451761306E-2</v>
      </c>
      <c r="AG20" s="48">
        <f>'2027'!O29</f>
        <v>3.4798620597959143E-2</v>
      </c>
      <c r="AH20" s="66">
        <f>'2027'!P29</f>
        <v>1.401043494138611E-2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'2022'!A60</f>
        <v>44607</v>
      </c>
      <c r="B21" s="91">
        <f>'2022'!L60</f>
        <v>1.1629098801547721E-3</v>
      </c>
      <c r="C21" s="48">
        <f>'2022'!O60</f>
        <v>5.9761175090653649E-3</v>
      </c>
      <c r="D21" s="66">
        <f>'2022'!P60</f>
        <v>1.0684582602144311E-6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5">
        <f>'2027'!A60</f>
        <v>46433</v>
      </c>
      <c r="AF21" s="91">
        <f>'2027'!L60</f>
        <v>2.582095156418962E-2</v>
      </c>
      <c r="AG21" s="48">
        <f>'2027'!O60</f>
        <v>3.6060889678252175E-2</v>
      </c>
      <c r="AH21" s="66">
        <f>'2027'!P60</f>
        <v>2.5866304127863497E-3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'2022'!A88</f>
        <v>44635</v>
      </c>
      <c r="B22" s="91">
        <f>'2022'!L88</f>
        <v>1.5456898837271638E-3</v>
      </c>
      <c r="C22" s="48">
        <f>'2022'!O88</f>
        <v>7.8488800166446448E-3</v>
      </c>
      <c r="D22" s="66">
        <f>'2022'!P88</f>
        <v>3.9283316368429409E-7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5">
        <f>'2027'!A88</f>
        <v>46461</v>
      </c>
      <c r="AF22" s="91">
        <f>'2027'!L88</f>
        <v>2.6194281973451528E-2</v>
      </c>
      <c r="AG22" s="48">
        <f>'2027'!O88</f>
        <v>3.7187486996754053E-2</v>
      </c>
      <c r="AH22" s="66">
        <f>'2027'!P88</f>
        <v>1.2148652869390586E-4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'2022'!A119</f>
        <v>44666</v>
      </c>
      <c r="B23" s="91">
        <f>'2022'!L119</f>
        <v>1.9693109244262041E-3</v>
      </c>
      <c r="C23" s="48">
        <f>'2022'!O119</f>
        <v>9.9069651481055593E-3</v>
      </c>
      <c r="D23" s="66">
        <f>'2022'!P119</f>
        <v>1.3004974398920354E-6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5">
        <f>'2027'!A119</f>
        <v>46492</v>
      </c>
      <c r="AF23" s="91">
        <f>'2027'!L119</f>
        <v>2.660744518736069E-2</v>
      </c>
      <c r="AG23" s="48">
        <f>'2027'!O119</f>
        <v>3.8550105353292979E-2</v>
      </c>
      <c r="AH23" s="66">
        <f>'2027'!P119</f>
        <v>1.3123370482254798E-4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'2022'!A149</f>
        <v>44696</v>
      </c>
      <c r="B24" s="91">
        <f>'2022'!L149</f>
        <v>2.3790956401114061E-3</v>
      </c>
      <c r="C24" s="48">
        <f>'2022'!O149</f>
        <v>1.1990329671997377E-2</v>
      </c>
      <c r="D24" s="66">
        <f>'2022'!P149</f>
        <v>6.1532168962005805E-7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5">
        <f>'2027'!A149</f>
        <v>46522</v>
      </c>
      <c r="AF24" s="91">
        <f>'2027'!L149</f>
        <v>2.7007113650154624E-2</v>
      </c>
      <c r="AG24" s="48">
        <f>'2027'!O149</f>
        <v>1.1103264166585922E-3</v>
      </c>
      <c r="AH24" s="66">
        <f>'2027'!P149</f>
        <v>1.7533413231708928E-5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'2022'!A180</f>
        <v>44727</v>
      </c>
      <c r="B25" s="91">
        <f>'2022'!L180</f>
        <v>2.8023630860488646E-3</v>
      </c>
      <c r="C25" s="48">
        <f>'2022'!O180</f>
        <v>1.4217536540995697E-2</v>
      </c>
      <c r="D25" s="66">
        <f>'2022'!P180</f>
        <v>3.5315399022571599E-7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5">
        <f>'2027'!A180</f>
        <v>46553</v>
      </c>
      <c r="AF25" s="91">
        <f>'2027'!L180</f>
        <v>2.7419931998407643E-2</v>
      </c>
      <c r="AG25" s="48">
        <f>'2027'!O180</f>
        <v>3.4257618901518123E-3</v>
      </c>
      <c r="AH25" s="66">
        <f>'2027'!P180</f>
        <v>4.7260918703650025E-6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'2022'!A210</f>
        <v>44757</v>
      </c>
      <c r="B26" s="91">
        <f>'2022'!L210</f>
        <v>3.2118057560966973E-3</v>
      </c>
      <c r="C26" s="48">
        <f>'2022'!O210</f>
        <v>1.6216980639630417E-2</v>
      </c>
      <c r="D26" s="66">
        <f>'2022'!P210</f>
        <v>1.390948104051574E-6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5">
        <f>'2027'!A210</f>
        <v>46583</v>
      </c>
      <c r="AF26" s="91">
        <f>'2027'!L210</f>
        <v>2.7819266859559488E-2</v>
      </c>
      <c r="AG26" s="48">
        <f>'2027'!O210</f>
        <v>5.6299006722728712E-3</v>
      </c>
      <c r="AH26" s="66">
        <f>'2027'!P210</f>
        <v>1.4570140183769799E-5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'2022'!A241</f>
        <v>44788</v>
      </c>
      <c r="B27" s="91">
        <f>'2022'!L241</f>
        <v>3.6347199024164834E-3</v>
      </c>
      <c r="C27" s="48">
        <f>'2022'!O241</f>
        <v>1.810778872360605E-2</v>
      </c>
      <c r="D27" s="66">
        <f>'2022'!P241</f>
        <v>1.0274786961575312E-5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5">
        <f>'2027'!A241</f>
        <v>46614</v>
      </c>
      <c r="AF27" s="91">
        <f>'2027'!L241</f>
        <v>2.8231740630014213E-2</v>
      </c>
      <c r="AG27" s="48">
        <f>'2027'!O241</f>
        <v>7.8163497238483148E-3</v>
      </c>
      <c r="AH27" s="66">
        <f>'2027'!P241</f>
        <v>8.1735765025186337E-5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'2022'!A272</f>
        <v>44819</v>
      </c>
      <c r="B28" s="91">
        <f>'2022'!L272</f>
        <v>4.0574546160582203E-3</v>
      </c>
      <c r="C28" s="48">
        <f>'2022'!O272</f>
        <v>1.9880013041423832E-2</v>
      </c>
      <c r="D28" s="66">
        <f>'2022'!P272</f>
        <v>3.2827738623269782E-5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5">
        <f>'2027'!A272</f>
        <v>46645</v>
      </c>
      <c r="AF28" s="91">
        <f>'2027'!L272</f>
        <v>2.8644039397400678E-2</v>
      </c>
      <c r="AG28" s="48">
        <f>'2027'!O272</f>
        <v>9.9089403711630861E-3</v>
      </c>
      <c r="AH28" s="66">
        <f>'2027'!P272</f>
        <v>2.3859787070363943E-4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'2022'!A302</f>
        <v>44849</v>
      </c>
      <c r="B29" s="91">
        <f>'2022'!L302</f>
        <v>4.466381953931009E-3</v>
      </c>
      <c r="C29" s="48">
        <f>'2022'!O302</f>
        <v>2.1367178252934032E-2</v>
      </c>
      <c r="D29" s="66">
        <f>'2022'!P302</f>
        <v>1.0299513283891623E-4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5">
        <f>'2027'!A302</f>
        <v>46675</v>
      </c>
      <c r="AF29" s="91">
        <f>'2027'!L302</f>
        <v>2.9042871648254032E-2</v>
      </c>
      <c r="AG29" s="48">
        <f>'2027'!O302</f>
        <v>1.1772073770290548E-2</v>
      </c>
      <c r="AH29" s="66">
        <f>'2027'!P302</f>
        <v>9.5574180789518908E-4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'2022'!A333</f>
        <v>44880</v>
      </c>
      <c r="B30" s="91">
        <f>'2022'!L333</f>
        <v>4.8887638126245969E-3</v>
      </c>
      <c r="C30" s="48">
        <f>'2022'!O333</f>
        <v>2.2608799087935026E-2</v>
      </c>
      <c r="D30" s="66">
        <f>'2022'!P333</f>
        <v>3.0988268898261236E-3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5">
        <f>'2027'!A333</f>
        <v>46706</v>
      </c>
      <c r="AF30" s="91">
        <f>'2027'!L333</f>
        <v>2.9454826271534285E-2</v>
      </c>
      <c r="AG30" s="48">
        <f>'2027'!O333</f>
        <v>1.3472353892820317E-2</v>
      </c>
      <c r="AH30" s="66">
        <f>'2027'!P333</f>
        <v>1.8876099897987456E-2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'2022'!A363</f>
        <v>44910</v>
      </c>
      <c r="B31" s="92">
        <f>'2022'!L363</f>
        <v>5.297349820509778E-3</v>
      </c>
      <c r="C31" s="49">
        <f>'2022'!O363</f>
        <v>2.3915999896917398E-2</v>
      </c>
      <c r="D31" s="67">
        <f>'2022'!P363</f>
        <v>2.9778079185631334E-3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56">
        <f>'2027'!A363</f>
        <v>46736</v>
      </c>
      <c r="AF31" s="92">
        <f>'2027'!L363</f>
        <v>2.985332561872811E-2</v>
      </c>
      <c r="AG31" s="49">
        <f>'2027'!O363</f>
        <v>1.5126720739303667E-2</v>
      </c>
      <c r="AH31" s="67">
        <f>'2027'!P363</f>
        <v>1.9787798641754811E-2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'2023'!A29</f>
        <v>44941</v>
      </c>
      <c r="B32" s="91">
        <f>'2023'!L29</f>
        <v>5.7193791187818421E-3</v>
      </c>
      <c r="C32" s="48">
        <f>'2023'!O29</f>
        <v>2.5439844080186402E-2</v>
      </c>
      <c r="D32" s="66">
        <f>'2023'!P29</f>
        <v>2.7765503707548444E-3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5">
        <f>'2028'!A29</f>
        <v>46767</v>
      </c>
      <c r="AF32" s="91">
        <f>'2028'!L29</f>
        <v>3.0264936385157926E-2</v>
      </c>
      <c r="AG32" s="48">
        <f>'2028'!O29</f>
        <v>1.6911344862095584E-2</v>
      </c>
      <c r="AH32" s="66">
        <f>'2028'!P29</f>
        <v>1.6841598145842192E-2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'2023'!A60</f>
        <v>44972</v>
      </c>
      <c r="B33" s="91">
        <f>'2023'!L60</f>
        <v>6.1412293597964407E-3</v>
      </c>
      <c r="C33" s="48">
        <f>'2023'!O60</f>
        <v>2.6963303219490208E-2</v>
      </c>
      <c r="D33" s="66">
        <f>'2023'!P60</f>
        <v>3.6061256383227607E-4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5">
        <f>'2028'!A60</f>
        <v>46798</v>
      </c>
      <c r="AF33" s="91">
        <f>'2028'!L60</f>
        <v>3.0676372514672035E-2</v>
      </c>
      <c r="AG33" s="48">
        <f>'2028'!O60</f>
        <v>1.8672822209208531E-2</v>
      </c>
      <c r="AH33" s="66">
        <f>'2028'!P60</f>
        <v>3.4935950755549056E-3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'2023'!A88</f>
        <v>45000</v>
      </c>
      <c r="B34" s="91">
        <f>'2023'!L88</f>
        <v>6.5221015435981133E-3</v>
      </c>
      <c r="C34" s="48">
        <f>'2023'!O88</f>
        <v>2.8315539684666522E-2</v>
      </c>
      <c r="D34" s="66">
        <f>'2023'!P88</f>
        <v>2.0343895772227154E-5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5">
        <f>'2028'!A88</f>
        <v>46826</v>
      </c>
      <c r="AF34" s="91">
        <f>'2028'!L88</f>
        <v>3.1047842202033271E-2</v>
      </c>
      <c r="AG34" s="48">
        <f>'2028'!O88</f>
        <v>2.0230679920103148E-2</v>
      </c>
      <c r="AH34" s="66">
        <f>'2028'!P88</f>
        <v>1.526411014149742E-4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'2023'!A119</f>
        <v>45031</v>
      </c>
      <c r="B35" s="91">
        <f>'2023'!L119</f>
        <v>6.943611208078071E-3</v>
      </c>
      <c r="C35" s="48">
        <f>'2023'!O119</f>
        <v>2.9888466069415462E-2</v>
      </c>
      <c r="D35" s="66">
        <f>'2023'!P119</f>
        <v>1.6199486337767806E-5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5">
        <f>'2028'!A119</f>
        <v>46857</v>
      </c>
      <c r="AF35" s="91">
        <f>'2028'!L119</f>
        <v>3.1458946162740475E-2</v>
      </c>
      <c r="AG35" s="48">
        <f>'2028'!O119</f>
        <v>2.1995256554298806E-2</v>
      </c>
      <c r="AH35" s="66">
        <f>'2028'!P119</f>
        <v>1.6582588426414103E-4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'2023'!A149</f>
        <v>45061</v>
      </c>
      <c r="B36" s="91">
        <f>'2023'!L149</f>
        <v>7.3513535093868709E-3</v>
      </c>
      <c r="C36" s="48">
        <f>'2023'!O149</f>
        <v>1.1103264166585922E-3</v>
      </c>
      <c r="D36" s="66">
        <f>'2023'!P149</f>
        <v>3.0468370524576506E-6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5">
        <f>'2028'!A149</f>
        <v>46887</v>
      </c>
      <c r="AF36" s="91">
        <f>'2028'!L149</f>
        <v>3.1856622631731391E-2</v>
      </c>
      <c r="AG36" s="48">
        <f>'2028'!O149</f>
        <v>2.3929536837938786E-2</v>
      </c>
      <c r="AH36" s="66">
        <f>'2028'!P149</f>
        <v>2.2408897223990358E-5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'2023'!A180</f>
        <v>45092</v>
      </c>
      <c r="B37" s="91">
        <f>'2023'!L180</f>
        <v>7.7725113414621738E-3</v>
      </c>
      <c r="C37" s="48">
        <f>'2023'!O180</f>
        <v>3.4257618901518123E-3</v>
      </c>
      <c r="D37" s="66">
        <f>'2023'!P180</f>
        <v>9.9724696670818399E-7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5">
        <f>'2028'!A180</f>
        <v>46918</v>
      </c>
      <c r="AF37" s="91">
        <f>'2028'!L180</f>
        <v>3.2267383445632736E-2</v>
      </c>
      <c r="AG37" s="48">
        <f>'2028'!O180</f>
        <v>2.6059925759156673E-2</v>
      </c>
      <c r="AH37" s="66">
        <f>'2028'!P180</f>
        <v>6.0222390152248681E-6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'2023'!A210</f>
        <v>45122</v>
      </c>
      <c r="B38" s="91">
        <f>'2023'!L210</f>
        <v>8.1799133019286874E-3</v>
      </c>
      <c r="C38" s="48">
        <f>'2023'!O210</f>
        <v>5.6299006722728712E-3</v>
      </c>
      <c r="D38" s="66">
        <f>'2023'!P210</f>
        <v>3.1181689696097486E-6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5">
        <f>'2028'!A210</f>
        <v>46948</v>
      </c>
      <c r="AF38" s="91">
        <f>'2028'!L210</f>
        <v>3.2664727975690644E-2</v>
      </c>
      <c r="AG38" s="48">
        <f>'2028'!O210</f>
        <v>2.7834747477213418E-2</v>
      </c>
      <c r="AH38" s="66">
        <f>'2028'!P210</f>
        <v>1.8562886292183829E-5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'2023'!A241</f>
        <v>45153</v>
      </c>
      <c r="B39" s="91">
        <f>'2023'!L241</f>
        <v>8.6007195952725324E-3</v>
      </c>
      <c r="C39" s="48">
        <f>'2023'!O241</f>
        <v>7.8163497238483148E-3</v>
      </c>
      <c r="D39" s="66">
        <f>'2023'!P241</f>
        <v>2.1250081685284996E-5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5">
        <f>'2028'!A241</f>
        <v>46979</v>
      </c>
      <c r="AF39" s="91">
        <f>'2028'!L241</f>
        <v>3.3075145929209349E-2</v>
      </c>
      <c r="AG39" s="48">
        <f>'2028'!O241</f>
        <v>2.940113297821037E-2</v>
      </c>
      <c r="AH39" s="66">
        <f>'2028'!P241</f>
        <v>1.0198970719429995E-4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'2023'!A272</f>
        <v>45184</v>
      </c>
      <c r="B40" s="91">
        <f>'2023'!L272</f>
        <v>9.0213473502516184E-3</v>
      </c>
      <c r="C40" s="48">
        <f>'2023'!O272</f>
        <v>9.9089403711630861E-3</v>
      </c>
      <c r="D40" s="66">
        <f>'2023'!P272</f>
        <v>6.6300323354199616E-5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5">
        <f>'2028'!A272</f>
        <v>47010</v>
      </c>
      <c r="AF40" s="91">
        <f>'2028'!L272</f>
        <v>3.3485389751895189E-2</v>
      </c>
      <c r="AG40" s="48">
        <f>'2028'!O272</f>
        <v>3.0821802256283105E-2</v>
      </c>
      <c r="AH40" s="66">
        <f>'2028'!P272</f>
        <v>2.8456213953639712E-4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'2023'!A302</f>
        <v>45214</v>
      </c>
      <c r="B41" s="91">
        <f>'2023'!L302</f>
        <v>9.4282365470180762E-3</v>
      </c>
      <c r="C41" s="48">
        <f>'2023'!O302</f>
        <v>1.1772073770290548E-2</v>
      </c>
      <c r="D41" s="66">
        <f>'2023'!P302</f>
        <v>2.0705695407673328E-4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5">
        <f>'2028'!A302</f>
        <v>47040</v>
      </c>
      <c r="AF41" s="91">
        <f>'2028'!L302</f>
        <v>3.3882234176722426E-2</v>
      </c>
      <c r="AG41" s="48">
        <f>'2028'!O302</f>
        <v>3.1896397547139708E-2</v>
      </c>
      <c r="AH41" s="66">
        <f>'2028'!P302</f>
        <v>1.2767959119617525E-3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'2023'!A333</f>
        <v>45245</v>
      </c>
      <c r="B42" s="91">
        <f>'2023'!L333</f>
        <v>9.8485132057187785E-3</v>
      </c>
      <c r="C42" s="48">
        <f>'2023'!O333</f>
        <v>1.3472353892820317E-2</v>
      </c>
      <c r="D42" s="66">
        <f>'2023'!P333</f>
        <v>6.2103355155989281E-3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5">
        <f>'2028'!A333</f>
        <v>47071</v>
      </c>
      <c r="AF42" s="91">
        <f>'2028'!L333</f>
        <v>3.4292135570556104E-2</v>
      </c>
      <c r="AG42" s="48">
        <f>'2028'!O333</f>
        <v>3.2634707112477061E-2</v>
      </c>
      <c r="AH42" s="66">
        <f>'2028'!P333</f>
        <v>2.2104575026034332E-2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'2023'!A363</f>
        <v>45275</v>
      </c>
      <c r="B43" s="92">
        <f>'2023'!L363</f>
        <v>1.0255062773725787E-2</v>
      </c>
      <c r="C43" s="49">
        <f>'2023'!O363</f>
        <v>1.5126720739303667E-2</v>
      </c>
      <c r="D43" s="67">
        <f>'2023'!P363</f>
        <v>5.9556557645562835E-3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56">
        <f>'2028'!A363</f>
        <v>47101</v>
      </c>
      <c r="AF43" s="92">
        <f>'2028'!L363</f>
        <v>3.4688648750954232E-2</v>
      </c>
      <c r="AG43" s="49">
        <f>'2028'!O363</f>
        <v>3.3560944134461548E-2</v>
      </c>
      <c r="AH43" s="67">
        <f>'2028'!P363</f>
        <v>2.3506702017518255E-2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'2024'!A29</f>
        <v>45306</v>
      </c>
      <c r="B44" s="91">
        <f>'2024'!L29</f>
        <v>1.0674988629206905E-2</v>
      </c>
      <c r="C44" s="48">
        <f>'2024'!O29</f>
        <v>1.6911344862095584E-2</v>
      </c>
      <c r="D44" s="66">
        <f>'2024'!P29</f>
        <v>5.5515234468800495E-3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5">
        <f>'2029'!A29</f>
        <v>47133</v>
      </c>
      <c r="AF44" s="91">
        <f>'2029'!L29</f>
        <v>3.5111416697004572E-2</v>
      </c>
      <c r="AG44" s="48">
        <f>'2029'!O29</f>
        <v>3.4839893201582345E-2</v>
      </c>
      <c r="AH44" s="66">
        <f>'2029'!P29</f>
        <v>1.9744863943171879E-2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'2024'!A60</f>
        <v>45337</v>
      </c>
      <c r="B45" s="91">
        <f>'2024'!L60</f>
        <v>1.1094736319872567E-2</v>
      </c>
      <c r="C45" s="48">
        <f>'2024'!O60</f>
        <v>1.8672822209208531E-2</v>
      </c>
      <c r="D45" s="66">
        <f>'2024'!P60</f>
        <v>7.2122976954549156E-4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5">
        <f>'2029'!A60</f>
        <v>47164</v>
      </c>
      <c r="AF45" s="91">
        <f>'2029'!L60</f>
        <v>3.552079657716134E-2</v>
      </c>
      <c r="AG45" s="48">
        <f>'2029'!O60</f>
        <v>3.6101010422574603E-2</v>
      </c>
      <c r="AH45" s="66">
        <f>'2029'!P60</f>
        <v>4.654588263771805E-3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'2024'!A88</f>
        <v>45365</v>
      </c>
      <c r="B46" s="91">
        <f>'2024'!L88</f>
        <v>1.1473710192697828E-2</v>
      </c>
      <c r="C46" s="48">
        <f>'2024'!O88</f>
        <v>2.0230679920103148E-2</v>
      </c>
      <c r="D46" s="66">
        <f>'2024'!P88</f>
        <v>4.0362442798827076E-5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5">
        <f>'2029'!A88</f>
        <v>47192</v>
      </c>
      <c r="AF46" s="91">
        <f>'2029'!L88</f>
        <v>3.5890409756911601E-2</v>
      </c>
      <c r="AG46" s="48">
        <f>'2029'!O88</f>
        <v>3.7226612662815461E-2</v>
      </c>
      <c r="AH46" s="66">
        <f>'2029'!P88</f>
        <v>1.8319631948527024E-4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'2024'!A119</f>
        <v>45396</v>
      </c>
      <c r="B47" s="91">
        <f>'2024'!L119</f>
        <v>1.1893119004301567E-2</v>
      </c>
      <c r="C47" s="48">
        <f>'2024'!O119</f>
        <v>2.1995256554298806E-2</v>
      </c>
      <c r="D47" s="66">
        <f>'2024'!P119</f>
        <v>3.2435146300588916E-5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5">
        <f>'2029'!A119</f>
        <v>47223</v>
      </c>
      <c r="AF47" s="91">
        <f>'2029'!L119</f>
        <v>3.6299459128353639E-2</v>
      </c>
      <c r="AG47" s="48">
        <f>'2029'!O119</f>
        <v>3.8588303551979716E-2</v>
      </c>
      <c r="AH47" s="66">
        <f>'2029'!P119</f>
        <v>5.5590220312453088E-7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'2024'!A149</f>
        <v>45426</v>
      </c>
      <c r="B48" s="91">
        <f>'2024'!L149</f>
        <v>1.2298829070863326E-2</v>
      </c>
      <c r="C48" s="48">
        <f>'2024'!O149</f>
        <v>2.3929536837938786E-2</v>
      </c>
      <c r="D48" s="66">
        <f>'2024'!P149</f>
        <v>5.7357753079475043E-6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5">
        <f>'2029'!A149</f>
        <v>47253</v>
      </c>
      <c r="AF48" s="91">
        <f>'2029'!L149</f>
        <v>3.6695148115144849E-2</v>
      </c>
      <c r="AG48" s="48">
        <f>'2029'!O149</f>
        <v>1.1103264166585922E-3</v>
      </c>
      <c r="AH48" s="66">
        <f>'2029'!P149</f>
        <v>4.9380372825329876E-7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'2024'!A180</f>
        <v>45457</v>
      </c>
      <c r="B49" s="91">
        <f>'2024'!L180</f>
        <v>1.2717887803635919E-2</v>
      </c>
      <c r="C49" s="48">
        <f>'2024'!O180</f>
        <v>2.6059925759156673E-2</v>
      </c>
      <c r="D49" s="66">
        <f>'2024'!P180</f>
        <v>1.7548308322275882E-6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5">
        <f>'2029'!A180</f>
        <v>47284</v>
      </c>
      <c r="AF49" s="91">
        <f>'2029'!L180</f>
        <v>3.7103856054738427E-2</v>
      </c>
      <c r="AG49" s="48">
        <f>'2029'!O180</f>
        <v>3.4257618901518123E-3</v>
      </c>
      <c r="AH49" s="66">
        <f>'2029'!P180</f>
        <v>3.2096465404917696E-7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'2024'!A210</f>
        <v>45487</v>
      </c>
      <c r="B50" s="91">
        <f>'2024'!L210</f>
        <v>1.3123259225653272E-2</v>
      </c>
      <c r="C50" s="48">
        <f>'2024'!O210</f>
        <v>2.7834747477213418E-2</v>
      </c>
      <c r="D50" s="66">
        <f>'2024'!P210</f>
        <v>5.5317067790729059E-6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5">
        <f>'2029'!A210</f>
        <v>47314</v>
      </c>
      <c r="AF50" s="91">
        <f>'2029'!L210</f>
        <v>3.7499214761539834E-2</v>
      </c>
      <c r="AG50" s="48">
        <f>'2029'!O210</f>
        <v>5.6299006722728712E-3</v>
      </c>
      <c r="AH50" s="66">
        <f>'2029'!P210</f>
        <v>1.3046281236720057E-6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'2024'!A241</f>
        <v>45518</v>
      </c>
      <c r="B51" s="91">
        <f>'2024'!L241</f>
        <v>1.3541968171804086E-2</v>
      </c>
      <c r="C51" s="48">
        <f>'2024'!O241</f>
        <v>2.940113297821037E-2</v>
      </c>
      <c r="D51" s="66">
        <f>'2024'!P241</f>
        <v>3.483294580728577E-5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5">
        <f>'2029'!A241</f>
        <v>47345</v>
      </c>
      <c r="AF51" s="91">
        <f>'2029'!L241</f>
        <v>3.7907581554276537E-2</v>
      </c>
      <c r="AG51" s="48">
        <f>'2029'!O241</f>
        <v>7.8163497238483148E-3</v>
      </c>
      <c r="AH51" s="66">
        <f>'2029'!P241</f>
        <v>9.7262831517255853E-6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'2024'!A272</f>
        <v>45549</v>
      </c>
      <c r="B52" s="91">
        <f>'2024'!L272</f>
        <v>1.3960499469445886E-2</v>
      </c>
      <c r="C52" s="48">
        <f>'2024'!O272</f>
        <v>3.0821802256283105E-2</v>
      </c>
      <c r="D52" s="66">
        <f>'2024'!P272</f>
        <v>1.1130338862810356E-4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5">
        <f>'2029'!A272</f>
        <v>47376</v>
      </c>
      <c r="AF52" s="91">
        <f>'2029'!L272</f>
        <v>3.8315775086440462E-2</v>
      </c>
      <c r="AG52" s="48">
        <f>'2029'!O272</f>
        <v>9.9089403711630861E-3</v>
      </c>
      <c r="AH52" s="66">
        <f>'2029'!P272</f>
        <v>3.1154905162973688E-5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'2024'!A302</f>
        <v>45579</v>
      </c>
      <c r="B53" s="91">
        <f>'2024'!L302</f>
        <v>1.4365360683436745E-2</v>
      </c>
      <c r="C53" s="48">
        <f>'2024'!O302</f>
        <v>3.1896397547139708E-2</v>
      </c>
      <c r="D53" s="66">
        <f>'2024'!P302</f>
        <v>3.4200212146504592E-4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5">
        <f>'2029'!A302</f>
        <v>47406</v>
      </c>
      <c r="AF53" s="91">
        <f>'2029'!L302</f>
        <v>3.8710636187405445E-2</v>
      </c>
      <c r="AG53" s="48">
        <f>'2029'!O302</f>
        <v>1.1772073770290548E-2</v>
      </c>
      <c r="AH53" s="66">
        <f>'2029'!P302</f>
        <v>9.7794515739719925E-5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'2024'!A333</f>
        <v>45610</v>
      </c>
      <c r="B54" s="91">
        <f>'2024'!L333</f>
        <v>1.4783542634704716E-2</v>
      </c>
      <c r="C54" s="48">
        <f>'2024'!O333</f>
        <v>3.2634707112477061E-2</v>
      </c>
      <c r="D54" s="66">
        <f>'2024'!P333</f>
        <v>9.2608653765029157E-3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5">
        <f>'2029'!A333</f>
        <v>47437</v>
      </c>
      <c r="AF54" s="91">
        <f>'2029'!L333</f>
        <v>3.9118489002086365E-2</v>
      </c>
      <c r="AG54" s="48">
        <f>'2029'!O333</f>
        <v>1.3472353892820317E-2</v>
      </c>
      <c r="AH54" s="66">
        <f>'2029'!P333</f>
        <v>2.9433254314525491E-3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'2024'!A363</f>
        <v>45640</v>
      </c>
      <c r="B55" s="92">
        <f>'2024'!L363</f>
        <v>1.5188065912685178E-2</v>
      </c>
      <c r="C55" s="49">
        <f>'2024'!O363</f>
        <v>3.3560944134461548E-2</v>
      </c>
      <c r="D55" s="67">
        <f>'2024'!P363</f>
        <v>9.2428851758483005E-3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56">
        <f>'2029'!A363</f>
        <v>47467</v>
      </c>
      <c r="AF55" s="92">
        <f>'2029'!L363</f>
        <v>3.9513020514094555E-2</v>
      </c>
      <c r="AG55" s="49">
        <f>'2029'!O363</f>
        <v>1.5126720739303667E-2</v>
      </c>
      <c r="AH55" s="67">
        <f>'2029'!P363</f>
        <v>2.8289863215310777E-3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'2025'!A29</f>
        <v>45672</v>
      </c>
      <c r="B56" s="91">
        <f>'2025'!L29</f>
        <v>1.5619374337766057E-2</v>
      </c>
      <c r="C56" s="48">
        <f>'2025'!O29</f>
        <v>3.4839893201582345E-2</v>
      </c>
      <c r="D56" s="66">
        <f>'2025'!P29</f>
        <v>8.3652721031716726E-3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5">
        <f>'2030'!A29</f>
        <v>47498</v>
      </c>
      <c r="AF56" s="91">
        <f>'2030'!L29</f>
        <v>3.9920532895687977E-2</v>
      </c>
      <c r="AG56" s="48">
        <f>'2030'!O29</f>
        <v>1.6911344862095584E-2</v>
      </c>
      <c r="AH56" s="66">
        <f>'2030'!P29</f>
        <v>2.6378676890773329E-3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'2025'!A60</f>
        <v>45703</v>
      </c>
      <c r="B57" s="91">
        <f>'2025'!L60</f>
        <v>1.6037024240082021E-2</v>
      </c>
      <c r="C57" s="48">
        <f>'2025'!O60</f>
        <v>3.6101010422574603E-2</v>
      </c>
      <c r="D57" s="66">
        <f>'2025'!P60</f>
        <v>1.2012078093890394E-3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5">
        <f>'2030'!A60</f>
        <v>47529</v>
      </c>
      <c r="AF57" s="91">
        <f>'2030'!L60</f>
        <v>4.0327872379215424E-2</v>
      </c>
      <c r="AG57" s="48">
        <f>'2030'!O60</f>
        <v>1.8672822209208531E-2</v>
      </c>
      <c r="AH57" s="66">
        <f>'2030'!P60</f>
        <v>3.4259027684951649E-4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'2025'!A88</f>
        <v>45731</v>
      </c>
      <c r="B58" s="91">
        <f>'2025'!L88</f>
        <v>1.6414104101354687E-2</v>
      </c>
      <c r="C58" s="48">
        <f>'2025'!O88</f>
        <v>3.7226612662815461E-2</v>
      </c>
      <c r="D58" s="66">
        <f>'2025'!P88</f>
        <v>6.5300980547129388E-5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5">
        <f>'2030'!A88</f>
        <v>47557</v>
      </c>
      <c r="AF58" s="91">
        <f>'2030'!L88</f>
        <v>4.0695643364166423E-2</v>
      </c>
      <c r="AG58" s="48">
        <f>'2030'!O88</f>
        <v>2.0230679920103148E-2</v>
      </c>
      <c r="AH58" s="66">
        <f>'2030'!P88</f>
        <v>1.934681695777891E-5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'2025'!A119</f>
        <v>45762</v>
      </c>
      <c r="B59" s="91">
        <f>'2025'!L119</f>
        <v>1.6831416818237077E-2</v>
      </c>
      <c r="C59" s="48">
        <f>'2025'!O119</f>
        <v>3.8588303551979716E-2</v>
      </c>
      <c r="D59" s="66">
        <f>'2025'!P119</f>
        <v>6.4602137284703858E-5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5">
        <f>'2030'!A119</f>
        <v>47588</v>
      </c>
      <c r="AF59" s="91">
        <f>'2030'!L119</f>
        <v>4.1102653986272775E-2</v>
      </c>
      <c r="AG59" s="48">
        <f>'2030'!O119</f>
        <v>2.1995256554298806E-2</v>
      </c>
      <c r="AH59" s="66">
        <f>'2030'!P119</f>
        <v>1.5454891101000326E-5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'2025'!A149</f>
        <v>45792</v>
      </c>
      <c r="B60" s="91">
        <f>'2025'!L149</f>
        <v>1.7235099252795316E-2</v>
      </c>
      <c r="C60" s="48">
        <f>'2025'!O149</f>
        <v>1.1103264166585922E-3</v>
      </c>
      <c r="D60" s="66">
        <f>'2025'!P149</f>
        <v>9.2293914326286919E-6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5">
        <f>'2030'!A149</f>
        <v>47618</v>
      </c>
      <c r="AF60" s="91">
        <f>'2030'!L149</f>
        <v>4.1496370813429162E-2</v>
      </c>
      <c r="AG60" s="48">
        <f>'2030'!O149</f>
        <v>2.3929536837938786E-2</v>
      </c>
      <c r="AH60" s="66">
        <f>'2030'!P149</f>
        <v>2.9253190910908884E-6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'2025'!A180</f>
        <v>45823</v>
      </c>
      <c r="B61" s="91">
        <f>'2025'!L180</f>
        <v>1.7652063640448135E-2</v>
      </c>
      <c r="C61" s="48">
        <f>'2025'!O180</f>
        <v>3.4257618901518123E-3</v>
      </c>
      <c r="D61" s="66">
        <f>'2025'!P180</f>
        <v>2.6097241560554317E-6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5">
        <f>'2030'!A180</f>
        <v>47649</v>
      </c>
      <c r="AF61" s="91">
        <f>'2030'!L180</f>
        <v>4.1903041705422805E-2</v>
      </c>
      <c r="AG61" s="48">
        <f>'2030'!O180</f>
        <v>2.6059925759156673E-2</v>
      </c>
      <c r="AH61" s="66">
        <f>'2030'!P180</f>
        <v>9.6505763053164395E-7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'2025'!A210</f>
        <v>45853</v>
      </c>
      <c r="B62" s="91">
        <f>'2025'!L210</f>
        <v>1.8055409122918253E-2</v>
      </c>
      <c r="C62" s="48">
        <f>'2025'!O210</f>
        <v>5.6299006722728712E-3</v>
      </c>
      <c r="D62" s="66">
        <f>'2025'!P210</f>
        <v>8.1213146530418207E-6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5">
        <f>'2030'!A210</f>
        <v>47679</v>
      </c>
      <c r="AF62" s="91">
        <f>'2030'!L210</f>
        <v>4.229642989874316E-2</v>
      </c>
      <c r="AG62" s="48">
        <f>'2030'!O210</f>
        <v>2.7834747477213418E-2</v>
      </c>
      <c r="AH62" s="66">
        <f>'2030'!P210</f>
        <v>3.0318489892301787E-6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'2025'!A241</f>
        <v>45884</v>
      </c>
      <c r="B63" s="91">
        <f>'2025'!L241</f>
        <v>1.8472025472090703E-2</v>
      </c>
      <c r="C63" s="48">
        <f>'2025'!O241</f>
        <v>7.8163497238483148E-3</v>
      </c>
      <c r="D63" s="66">
        <f>'2025'!P241</f>
        <v>4.8625383918025235E-5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5">
        <f>'2030'!A241</f>
        <v>47710</v>
      </c>
      <c r="AF63" s="91">
        <f>'2030'!L241</f>
        <v>4.2702761344195261E-2</v>
      </c>
      <c r="AG63" s="48">
        <f>'2030'!O241</f>
        <v>2.940113297821037E-2</v>
      </c>
      <c r="AH63" s="66">
        <f>'2030'!P241</f>
        <v>2.0701577875435258E-5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'2025'!A272</f>
        <v>45915</v>
      </c>
      <c r="B64" s="91">
        <f>'2025'!L272</f>
        <v>1.8888465060594606E-2</v>
      </c>
      <c r="C64" s="48">
        <f>'2025'!O272</f>
        <v>9.9089403711630861E-3</v>
      </c>
      <c r="D64" s="66">
        <f>'2025'!P272</f>
        <v>1.5666670126255898E-4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5">
        <f>'2030'!A272</f>
        <v>47741</v>
      </c>
      <c r="AF64" s="91">
        <f>'2030'!L272</f>
        <v>4.3108920392625372E-2</v>
      </c>
      <c r="AG64" s="48">
        <f>'2030'!O272</f>
        <v>3.0821802256283105E-2</v>
      </c>
      <c r="AH64" s="66">
        <f>'2030'!P272</f>
        <v>6.4627489893903536E-5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'2025'!A302</f>
        <v>45945</v>
      </c>
      <c r="B65" s="91">
        <f>'2025'!L302</f>
        <v>1.9291302884923422E-2</v>
      </c>
      <c r="C65" s="48">
        <f>'2025'!O302</f>
        <v>1.1772073770290548E-2</v>
      </c>
      <c r="D65" s="66">
        <f>'2025'!P302</f>
        <v>4.7749504574619999E-4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5">
        <f>'2030'!A302</f>
        <v>47771</v>
      </c>
      <c r="AF65" s="91">
        <f>'2030'!L302</f>
        <v>4.3501813460234184E-2</v>
      </c>
      <c r="AG65" s="48">
        <f>'2030'!O302</f>
        <v>3.1896397547139708E-2</v>
      </c>
      <c r="AH65" s="66">
        <f>'2030'!P302</f>
        <v>2.0185633697753679E-4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'2025'!A333</f>
        <v>45976</v>
      </c>
      <c r="B66" s="91">
        <f>'2025'!L333</f>
        <v>1.9707394872994666E-2</v>
      </c>
      <c r="C66" s="48">
        <f>'2025'!O333</f>
        <v>1.3472353892820317E-2</v>
      </c>
      <c r="D66" s="66">
        <f>'2025'!P333</f>
        <v>1.2310557663724585E-2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5">
        <f>'2030'!A333</f>
        <v>47802</v>
      </c>
      <c r="AF66" s="91">
        <f>'2030'!L333</f>
        <v>4.3907633489356557E-2</v>
      </c>
      <c r="AG66" s="48">
        <f>'2030'!O333</f>
        <v>3.2634707112477061E-2</v>
      </c>
      <c r="AH66" s="66">
        <f>'2030'!P333</f>
        <v>6.0548340572253488E-3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'2025'!A363</f>
        <v>46006</v>
      </c>
      <c r="B67" s="92">
        <f>'2025'!L363</f>
        <v>2.0109896450228093E-2</v>
      </c>
      <c r="C67" s="49">
        <f>'2025'!O363</f>
        <v>1.5126720739303667E-2</v>
      </c>
      <c r="D67" s="67">
        <f>'2025'!P363</f>
        <v>1.2534023531478415E-2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56">
        <f>'2030'!A363</f>
        <v>47832</v>
      </c>
      <c r="AF67" s="92">
        <f>'2030'!L363</f>
        <v>4.4300198610717989E-2</v>
      </c>
      <c r="AG67" s="49">
        <f>'2030'!O363</f>
        <v>3.3560944134461548E-2</v>
      </c>
      <c r="AH67" s="67">
        <f>'2030'!P363</f>
        <v>5.8068341675242188E-3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'2026'!A29</f>
        <v>46037</v>
      </c>
      <c r="B68" s="91">
        <f>'2026'!L29</f>
        <v>2.0525641128007255E-2</v>
      </c>
      <c r="C68" s="48">
        <f>'2026'!O29</f>
        <v>1.6911344862095584E-2</v>
      </c>
      <c r="D68" s="66">
        <f>'2026'!P29</f>
        <v>1.1179463224135055E-2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5">
        <f>'2031'!A29</f>
        <v>47863</v>
      </c>
      <c r="AF68" s="91">
        <f>'2031'!L29</f>
        <v>4.4705679903510709E-2</v>
      </c>
      <c r="AG68" s="48">
        <f>'2031'!O29</f>
        <v>3.4798620597959143E-2</v>
      </c>
      <c r="AH68" s="66">
        <f>'2031'!P29</f>
        <v>5.4128407652025423E-3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'2026'!A60</f>
        <v>46068</v>
      </c>
      <c r="B69" s="91">
        <f>'2026'!L60</f>
        <v>2.0941209414947703E-2</v>
      </c>
      <c r="C69" s="48">
        <f>'2026'!O60</f>
        <v>1.8672822209208531E-2</v>
      </c>
      <c r="D69" s="66">
        <f>'2026'!P60</f>
        <v>1.6817808479526271E-3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5">
        <f>'2031'!A60</f>
        <v>47894</v>
      </c>
      <c r="AF69" s="91">
        <f>'2031'!L60</f>
        <v>4.5110989159981352E-2</v>
      </c>
      <c r="AG69" s="48">
        <f>'2031'!O60</f>
        <v>3.6060889678252175E-2</v>
      </c>
      <c r="AH69" s="66">
        <f>'2031'!P60</f>
        <v>7.0320748256273203E-4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'2026'!A88</f>
        <v>46096</v>
      </c>
      <c r="B70" s="91">
        <f>'2026'!L88</f>
        <v>2.1316409866617758E-2</v>
      </c>
      <c r="C70" s="48">
        <f>'2026'!O88</f>
        <v>2.0230679920103148E-2</v>
      </c>
      <c r="D70" s="66">
        <f>'2026'!P88</f>
        <v>9.0323735384137261E-5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5">
        <f>'2031'!A88</f>
        <v>47922</v>
      </c>
      <c r="AF70" s="91">
        <f>'2031'!L88</f>
        <v>4.5476927131844924E-2</v>
      </c>
      <c r="AG70" s="48">
        <f>'2031'!O88</f>
        <v>3.7187486996754053E-2</v>
      </c>
      <c r="AH70" s="66">
        <f>'2031'!P88</f>
        <v>3.9297879566321801E-5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'2026'!A119</f>
        <v>46127</v>
      </c>
      <c r="B71" s="91">
        <f>'2026'!L119</f>
        <v>2.1731642648695759E-2</v>
      </c>
      <c r="C71" s="48">
        <f>'2026'!O119</f>
        <v>2.1995256554298806E-2</v>
      </c>
      <c r="D71" s="66">
        <f>'2026'!P119</f>
        <v>9.6934199952909865E-5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5">
        <f>'2031'!A119</f>
        <v>47953</v>
      </c>
      <c r="AF71" s="91">
        <f>'2031'!L119</f>
        <v>4.5881909165977897E-2</v>
      </c>
      <c r="AG71" s="48">
        <f>'2031'!O119</f>
        <v>3.8550105353292979E-2</v>
      </c>
      <c r="AH71" s="66">
        <f>'2031'!P119</f>
        <v>3.0827561488486004E-5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'2026'!A149</f>
        <v>46157</v>
      </c>
      <c r="B72" s="91">
        <f>'2026'!L149</f>
        <v>2.2133313083351869E-2</v>
      </c>
      <c r="C72" s="48">
        <f>'2026'!O149</f>
        <v>2.3929536837938786E-2</v>
      </c>
      <c r="D72" s="66">
        <f>'2026'!P149</f>
        <v>1.2979896795030872E-5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5">
        <f>'2031'!A149</f>
        <v>47983</v>
      </c>
      <c r="AF72" s="91">
        <f>'2031'!L149</f>
        <v>4.6273663662971032E-2</v>
      </c>
      <c r="AG72" s="48">
        <f>'2031'!O149</f>
        <v>1.1103264166585922E-3</v>
      </c>
      <c r="AH72" s="66">
        <f>'2031'!P149</f>
        <v>5.5611775588410134E-6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'2026'!A180</f>
        <v>46188</v>
      </c>
      <c r="B73" s="91">
        <f>'2026'!L180</f>
        <v>2.2548199272313552E-2</v>
      </c>
      <c r="C73" s="48">
        <f>'2026'!O180</f>
        <v>2.6059925759156673E-2</v>
      </c>
      <c r="D73" s="66">
        <f>'2026'!P180</f>
        <v>3.6069069538619156E-6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5">
        <f>'2031'!A180</f>
        <v>48014</v>
      </c>
      <c r="AF73" s="91">
        <f>'2031'!L180</f>
        <v>4.6678307660245388E-2</v>
      </c>
      <c r="AG73" s="48">
        <f>'2031'!O180</f>
        <v>3.4257618901518123E-3</v>
      </c>
      <c r="AH73" s="66">
        <f>'2031'!P180</f>
        <v>1.712106490245073E-6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'2026'!A210</f>
        <v>46218</v>
      </c>
      <c r="B74" s="91">
        <f>'2026'!L210</f>
        <v>2.2949534434289709E-2</v>
      </c>
      <c r="C74" s="48">
        <f>'2026'!O210</f>
        <v>2.7834747477213418E-2</v>
      </c>
      <c r="D74" s="66">
        <f>'2026'!P210</f>
        <v>1.1273557183994876E-5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5">
        <f>'2031'!A210</f>
        <v>48044</v>
      </c>
      <c r="AF74" s="91">
        <f>'2031'!L210</f>
        <v>4.7069735161351489E-2</v>
      </c>
      <c r="AG74" s="48">
        <f>'2031'!O210</f>
        <v>5.6299006722728712E-3</v>
      </c>
      <c r="AH74" s="66">
        <f>'2031'!P210</f>
        <v>5.402287950636317E-6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'2026'!A241</f>
        <v>46249</v>
      </c>
      <c r="B75" s="91">
        <f>'2026'!L241</f>
        <v>2.3364074319434991E-2</v>
      </c>
      <c r="C75" s="48">
        <f>'2026'!O241</f>
        <v>2.940113297821037E-2</v>
      </c>
      <c r="D75" s="66">
        <f>'2026'!P241</f>
        <v>6.5073840054605486E-5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5">
        <f>'2031'!A241</f>
        <v>48075</v>
      </c>
      <c r="AF75" s="91">
        <f>'2031'!L241</f>
        <v>4.7474041403925082E-2</v>
      </c>
      <c r="AG75" s="48">
        <f>'2031'!O241</f>
        <v>7.8163497238483148E-3</v>
      </c>
      <c r="AH75" s="66">
        <f>'2031'!P241</f>
        <v>3.4143651802769047E-5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'2026'!A272</f>
        <v>46280</v>
      </c>
      <c r="B76" s="91">
        <f>'2026'!L272</f>
        <v>2.3778438324907336E-2</v>
      </c>
      <c r="C76" s="48">
        <f>'2026'!O272</f>
        <v>3.0821802256283105E-2</v>
      </c>
      <c r="D76" s="66">
        <f>'2026'!P272</f>
        <v>1.9769992921957058E-4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5">
        <f>'2031'!A272</f>
        <v>48106</v>
      </c>
      <c r="AF76" s="91">
        <f>'2031'!L272</f>
        <v>4.7878176108723247E-2</v>
      </c>
      <c r="AG76" s="48">
        <f>'2031'!O272</f>
        <v>9.9089403711630861E-3</v>
      </c>
      <c r="AH76" s="66">
        <f>'2031'!P272</f>
        <v>1.090363014624486E-4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'2026'!A302</f>
        <v>46310</v>
      </c>
      <c r="B77" s="91">
        <f>'2026'!L302</f>
        <v>2.4179268358969108E-2</v>
      </c>
      <c r="C77" s="48">
        <f>'2026'!O302</f>
        <v>3.1896397547139708E-2</v>
      </c>
      <c r="D77" s="66">
        <f>'2026'!P302</f>
        <v>7.1570747732400291E-4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5">
        <f>'2031'!A302</f>
        <v>48136</v>
      </c>
      <c r="AF77" s="91">
        <f>'2031'!L302</f>
        <v>4.8269110951881689E-2</v>
      </c>
      <c r="AG77" s="48">
        <f>'2031'!O302</f>
        <v>1.1772073770290548E-2</v>
      </c>
      <c r="AH77" s="66">
        <f>'2031'!P302</f>
        <v>3.3523069645580703E-4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'2026'!A333</f>
        <v>46341</v>
      </c>
      <c r="B78" s="91">
        <f>'2026'!L333</f>
        <v>2.4593286496489397E-2</v>
      </c>
      <c r="C78" s="48">
        <f>'2026'!O333</f>
        <v>3.2634707112477061E-2</v>
      </c>
      <c r="D78" s="66">
        <f>'2026'!P333</f>
        <v>1.5591738935759814E-2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5">
        <f>'2031'!A333</f>
        <v>48167</v>
      </c>
      <c r="AF78" s="91">
        <f>'2031'!L333</f>
        <v>4.8672908327083597E-2</v>
      </c>
      <c r="AG78" s="48">
        <f>'2031'!O333</f>
        <v>1.3472353892820317E-2</v>
      </c>
      <c r="AH78" s="66">
        <f>'2031'!P333</f>
        <v>9.1084532654370724E-3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'2026'!A363</f>
        <v>46371</v>
      </c>
      <c r="B79" s="92">
        <f>'2026'!L363</f>
        <v>2.4993781959350092E-2</v>
      </c>
      <c r="C79" s="49">
        <f>'2026'!O363</f>
        <v>3.3560944134461548E-2</v>
      </c>
      <c r="D79" s="67">
        <f>'2026'!P363</f>
        <v>1.6158803303380417E-2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56">
        <f>'2031'!A363</f>
        <v>48197</v>
      </c>
      <c r="AF79" s="92">
        <f>'2031'!L363</f>
        <v>4.906351685851662E-2</v>
      </c>
      <c r="AG79" s="49">
        <f>'2031'!O363</f>
        <v>1.5126720739303667E-2</v>
      </c>
      <c r="AH79" s="67">
        <f>'2031'!P363</f>
        <v>9.0784065014938003E-3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W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197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YEAR(E6)</f>
        <v>2022</v>
      </c>
      <c r="K1" s="1250"/>
      <c r="L1" s="113" t="str">
        <f>"Calcul pertes et enveloppes en "&amp;TEXT(An,0)</f>
        <v>Calcul pertes et enveloppes en 2022</v>
      </c>
      <c r="M1" s="239"/>
      <c r="N1" s="239"/>
      <c r="O1" s="452"/>
      <c r="P1" s="452"/>
      <c r="Q1" s="452"/>
      <c r="R1" s="452"/>
      <c r="S1" s="452"/>
      <c r="T1" s="452"/>
      <c r="U1" s="452"/>
      <c r="V1" s="452"/>
      <c r="W1" s="450"/>
      <c r="X1" s="481" t="str">
        <f>"Prévision sans nettoyage ni taille végétation en "&amp;TEXT(An,0)</f>
        <v>Prévision sans nettoyage ni taille végétation en 2022</v>
      </c>
      <c r="Y1" s="482"/>
      <c r="Z1" s="483"/>
      <c r="AA1" s="484"/>
      <c r="AB1" s="485"/>
      <c r="AC1" s="486"/>
      <c r="AD1" s="486"/>
      <c r="AE1" s="486"/>
      <c r="AF1" s="452"/>
      <c r="AG1" s="452"/>
      <c r="AH1" s="452"/>
      <c r="AI1" s="486"/>
      <c r="AL1" s="820" t="s">
        <v>267</v>
      </c>
    </row>
    <row r="2" spans="1:40" s="6" customFormat="1" ht="16.5" thickBot="1" x14ac:dyDescent="0.3"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92"/>
      <c r="AD2" s="492"/>
      <c r="AE2" s="492"/>
      <c r="AF2" s="456"/>
      <c r="AG2" s="493"/>
      <c r="AH2" s="494"/>
      <c r="AI2" s="492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54">
        <v>44926</v>
      </c>
      <c r="F3" s="1255"/>
      <c r="G3" s="609">
        <f>YEAR(Tmaj)</f>
        <v>2022</v>
      </c>
      <c r="H3" s="559"/>
      <c r="I3" s="559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99"/>
      <c r="AD3" s="489"/>
      <c r="AE3" s="499"/>
      <c r="AF3" s="489"/>
      <c r="AG3" s="493"/>
      <c r="AH3" s="494"/>
      <c r="AI3" s="499"/>
      <c r="AJ3" s="824">
        <f>AL11-AJ11</f>
        <v>0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thickBot="1" x14ac:dyDescent="0.3">
      <c r="D4" s="105" t="s">
        <v>133</v>
      </c>
      <c r="E4" s="1256" t="s">
        <v>332</v>
      </c>
      <c r="F4" s="1257"/>
      <c r="G4" s="1257"/>
      <c r="H4" s="1257"/>
      <c r="I4" s="1258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99"/>
      <c r="AD4" s="499"/>
      <c r="AE4" s="499"/>
      <c r="AF4" s="489"/>
      <c r="AG4" s="493"/>
      <c r="AH4" s="494"/>
      <c r="AI4" s="499"/>
      <c r="AJ4" s="824">
        <f>AL12-AJ12</f>
        <v>0</v>
      </c>
      <c r="AK4" s="825">
        <f>AM12-AK12</f>
        <v>0</v>
      </c>
      <c r="AL4" s="824"/>
      <c r="AM4" s="825"/>
      <c r="AN4" s="823" t="s">
        <v>269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54">
        <v>44522</v>
      </c>
      <c r="F5" s="1255"/>
      <c r="G5" s="554"/>
      <c r="H5" s="554"/>
      <c r="I5" s="554"/>
      <c r="J5" s="19"/>
      <c r="K5" s="188"/>
      <c r="L5" s="500"/>
      <c r="M5" s="499"/>
      <c r="N5" s="499"/>
      <c r="O5" s="422"/>
      <c r="P5" s="502"/>
      <c r="Q5" s="502"/>
      <c r="R5" s="489"/>
      <c r="S5" s="493"/>
      <c r="T5" s="493"/>
      <c r="U5" s="489"/>
      <c r="V5" s="501"/>
      <c r="W5" s="502"/>
      <c r="X5" s="503"/>
      <c r="Y5" s="504"/>
      <c r="Z5" s="232">
        <f>Wh_Psa_s-Wh_Psa</f>
        <v>-2.9257563003739051E-2</v>
      </c>
      <c r="AA5" s="233">
        <f>Wh_Pvg_s-Wh_Pvg</f>
        <v>-2.4337450580480535E-4</v>
      </c>
      <c r="AB5" s="508" t="s">
        <v>6</v>
      </c>
      <c r="AC5" s="489"/>
      <c r="AD5" s="499"/>
      <c r="AE5" s="502"/>
      <c r="AF5" s="489"/>
      <c r="AG5" s="493"/>
      <c r="AH5" s="494"/>
      <c r="AI5" s="502"/>
      <c r="AJ5" s="510">
        <f>SUMIF(AJ15:AJ380,"VRAI",Wh)</f>
        <v>1.9535</v>
      </c>
      <c r="AK5" s="510">
        <f>SUMIF(AK15:AK380,"VRAI",Wh)</f>
        <v>1.9535</v>
      </c>
      <c r="AL5" s="510">
        <f>SUMIF(AJ15:AJ380,"VRAI",Wh_s)</f>
        <v>0</v>
      </c>
      <c r="AM5" s="510">
        <f>SUMIF(AK15:AK380,"VRAI",Wh_s)</f>
        <v>0</v>
      </c>
      <c r="AN5" s="823" t="s">
        <v>265</v>
      </c>
    </row>
    <row r="6" spans="1:40" s="6" customFormat="1" ht="16.5" customHeight="1" thickBot="1" x14ac:dyDescent="0.3">
      <c r="A6" s="35"/>
      <c r="B6" s="174"/>
      <c r="C6" s="174"/>
      <c r="D6" s="106" t="s">
        <v>11</v>
      </c>
      <c r="E6" s="1254">
        <v>44568</v>
      </c>
      <c r="F6" s="1255"/>
      <c r="G6" s="570" t="s">
        <v>333</v>
      </c>
      <c r="H6" s="551"/>
      <c r="I6" s="551"/>
      <c r="J6" s="35"/>
      <c r="K6" s="189"/>
      <c r="L6" s="150" t="s">
        <v>83</v>
      </c>
      <c r="M6" s="41"/>
      <c r="N6" s="41"/>
      <c r="O6" s="502"/>
      <c r="P6" s="492"/>
      <c r="Q6" s="492"/>
      <c r="R6" s="509"/>
      <c r="S6" s="493"/>
      <c r="T6" s="493"/>
      <c r="U6" s="509"/>
      <c r="V6" s="494"/>
      <c r="W6" s="456"/>
      <c r="X6" s="491"/>
      <c r="Y6" s="492"/>
      <c r="Z6" s="456"/>
      <c r="AA6" s="456"/>
      <c r="AB6" s="510"/>
      <c r="AC6" s="494"/>
      <c r="AD6" s="509"/>
      <c r="AE6" s="509"/>
      <c r="AF6" s="494"/>
      <c r="AG6" s="493"/>
      <c r="AH6" s="493"/>
      <c r="AI6" s="494"/>
      <c r="AJ6" s="510">
        <f>SUMIF(AJ15:AJ380,"FAUX",Wh)</f>
        <v>11437.941500000001</v>
      </c>
      <c r="AK6" s="510">
        <f>SUMIF(AK15:AK380,"FAUX",Wh)</f>
        <v>11437.941500000001</v>
      </c>
      <c r="AL6" s="510">
        <f>SUMIF(AJ15:AJ380,"FAUX",Wh_s)</f>
        <v>11437.941500000001</v>
      </c>
      <c r="AM6" s="510">
        <f>SUMIF(AK15:AK380,"FAUX",Wh_s)</f>
        <v>11437.941500000001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AND(YEAR(Tnet)=An,Resal_2022="I")</f>
        <v>0</v>
      </c>
      <c r="F7" s="316" t="b">
        <f>YEAR(Tnet)=An</f>
        <v>0</v>
      </c>
      <c r="J7" s="174"/>
      <c r="K7" s="187"/>
      <c r="L7" s="185" t="s">
        <v>81</v>
      </c>
      <c r="M7" s="834"/>
      <c r="N7" s="834"/>
      <c r="O7" s="492"/>
      <c r="P7" s="244"/>
      <c r="Q7" s="244"/>
      <c r="R7" s="511"/>
      <c r="S7" s="511"/>
      <c r="T7" s="511"/>
      <c r="U7" s="244"/>
      <c r="V7" s="422"/>
      <c r="W7" s="512"/>
      <c r="X7" s="513"/>
      <c r="Y7" s="244"/>
      <c r="Z7" s="512"/>
      <c r="AA7" s="512"/>
      <c r="AB7" s="244"/>
      <c r="AC7" s="492"/>
      <c r="AD7" s="244"/>
      <c r="AE7" s="244"/>
      <c r="AF7" s="487"/>
      <c r="AG7" s="487"/>
      <c r="AH7" s="487"/>
      <c r="AI7" s="487"/>
      <c r="AJ7" s="510">
        <f>SUMIF(AJ15:AJ380,"VRAI",Wh_pvt)</f>
        <v>0</v>
      </c>
      <c r="AK7" s="510">
        <f>SUMIF(AK15:AK380,"VRAI",Wh_sa)</f>
        <v>0</v>
      </c>
      <c r="AL7" s="510">
        <f>SUMIF(AJ15:AJ380,"VRAI",Wh_pvt_s)</f>
        <v>0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6" t="b">
        <f>AND(YEAR(Tnet)=An,Tnet&gt;T0,Resal_2022&lt;&gt;"I")</f>
        <v>0</v>
      </c>
      <c r="F8" s="317" t="b">
        <f>AND(YEAR(Ttai)=An,Ttai&gt;DATE(An,1,1))</f>
        <v>0</v>
      </c>
      <c r="H8" s="175" t="s">
        <v>76</v>
      </c>
      <c r="I8" s="98"/>
      <c r="J8" s="154"/>
      <c r="K8" s="187"/>
      <c r="L8" s="114"/>
      <c r="M8" s="114"/>
      <c r="N8" s="114"/>
      <c r="O8" s="514" t="s">
        <v>95</v>
      </c>
      <c r="P8" s="492"/>
      <c r="Q8" s="492"/>
      <c r="R8" s="492"/>
      <c r="S8" s="492"/>
      <c r="T8" s="492"/>
      <c r="U8" s="492"/>
      <c r="W8" s="399"/>
      <c r="X8" s="1247" t="s">
        <v>102</v>
      </c>
      <c r="Y8" s="1248"/>
      <c r="Z8" s="492"/>
      <c r="AA8" s="492"/>
      <c r="AB8" s="456"/>
      <c r="AC8" s="514" t="s">
        <v>95</v>
      </c>
      <c r="AD8" s="456"/>
      <c r="AE8" s="456"/>
      <c r="AF8" s="456"/>
      <c r="AG8" s="456"/>
      <c r="AH8" s="456"/>
      <c r="AI8" s="456"/>
      <c r="AJ8" s="510">
        <f>SUMIF(AJ15:AJ380,"FAUX",Wh_pvt)</f>
        <v>11472.125269487069</v>
      </c>
      <c r="AK8" s="510">
        <f>SUMIF(AK15:AK380,"FAUX",Wh_sa)</f>
        <v>11643.943251498313</v>
      </c>
      <c r="AL8" s="510">
        <f>SUMIF(AJ15:AJ380,"FAUX",Wh_pvt_s)</f>
        <v>11472.125269487069</v>
      </c>
      <c r="AM8" s="510">
        <f>SUMIF(AK15:AK380,"FAUX",Wh_sa_s)</f>
        <v>11643.943251498313</v>
      </c>
      <c r="AN8" s="823" t="s">
        <v>258</v>
      </c>
    </row>
    <row r="9" spans="1:40" s="19" customFormat="1" ht="15" customHeight="1" x14ac:dyDescent="0.25">
      <c r="A9" s="179"/>
      <c r="D9" s="73">
        <f>SUM(D$15:D$380)</f>
        <v>11472.125269487069</v>
      </c>
      <c r="E9" s="73">
        <f>SUM(E$15:E$380)</f>
        <v>11643.943251498313</v>
      </c>
      <c r="F9" s="73">
        <f>SUM(F$15:F$380)</f>
        <v>11645.393898508526</v>
      </c>
      <c r="H9" s="1251">
        <f>+SUM(Wh)</f>
        <v>11439.895</v>
      </c>
      <c r="I9" s="1252"/>
      <c r="J9" s="1253"/>
      <c r="K9" s="187"/>
      <c r="L9" s="114"/>
      <c r="M9" s="114"/>
      <c r="N9" s="114"/>
      <c r="O9" s="321">
        <f>MAX(T0,Tnet_2022)</f>
        <v>44522</v>
      </c>
      <c r="P9" s="240" t="s">
        <v>112</v>
      </c>
      <c r="Q9" s="241"/>
      <c r="R9" s="241"/>
      <c r="S9" s="241"/>
      <c r="T9" s="241"/>
      <c r="U9" s="241"/>
      <c r="V9" s="456"/>
      <c r="W9" s="515"/>
      <c r="X9" s="1245">
        <f>+SUM(Wh_s)</f>
        <v>11437.941500000001</v>
      </c>
      <c r="Y9" s="1246"/>
      <c r="Z9" s="510">
        <f>SUM(Z$15:Z$380)</f>
        <v>11472.125269487069</v>
      </c>
      <c r="AA9" s="510">
        <f>SUM(AA$15:AA$380)</f>
        <v>11643.943251498313</v>
      </c>
      <c r="AB9" s="510">
        <f>F9</f>
        <v>11645.393898508526</v>
      </c>
      <c r="AC9" s="321">
        <f>IF(An_Tnet,Tnet,T0)</f>
        <v>44522</v>
      </c>
      <c r="AD9" s="311" t="s">
        <v>103</v>
      </c>
      <c r="AE9" s="312"/>
      <c r="AF9" s="312"/>
      <c r="AG9" s="312"/>
      <c r="AH9" s="312"/>
      <c r="AI9" s="313"/>
      <c r="AJ9" s="510">
        <f>SUMIF(AJ15:AJ380,"VRAI",Wh_sa)</f>
        <v>0</v>
      </c>
      <c r="AK9" s="510">
        <f>SUMIF(AK15:AK380,"VRAI",Wh_hp)</f>
        <v>0</v>
      </c>
      <c r="AL9" s="510">
        <f>SUMIF(AJ15:AJ380,"VRAI",Wh_sa_s)</f>
        <v>0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114"/>
      <c r="M10" s="114"/>
      <c r="N10" s="114"/>
      <c r="O10" s="314">
        <f>IF(Inflex,Salim_i*(1-EXP((T0-Tnet)/Tau_j)),IF(Acti_net,Resal_2022,0))</f>
        <v>0</v>
      </c>
      <c r="P10" s="416" t="b">
        <f>NOT(Acti_tai)</f>
        <v>1</v>
      </c>
      <c r="Q10" s="253">
        <f>IF(Acti_tai,0,Dens-Dd)</f>
        <v>0</v>
      </c>
      <c r="R10" s="256"/>
      <c r="S10" s="257"/>
      <c r="T10" s="259"/>
      <c r="U10" s="262">
        <f>IF(Acti_tai,PousHi,Htf_2022-H_i)</f>
        <v>0.5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IF(OR(Inflex,GainD),Salim_i*(1-EXP((T0-Tnet)/Tau_ij)),IF(Acti_net,Salim_i*(1-EXP((T0-Tnet)/Tau_ij)),0))</f>
        <v>0</v>
      </c>
      <c r="AD10" s="422"/>
      <c r="AE10" s="422"/>
      <c r="AF10" s="256"/>
      <c r="AG10" s="257"/>
      <c r="AH10" s="258"/>
      <c r="AI10" s="422"/>
      <c r="AJ10" s="510">
        <f>SUMIF(AJ15:AJ380,"FAUX",Wh_sa)</f>
        <v>11643.943251498313</v>
      </c>
      <c r="AK10" s="510">
        <f>SUMIF(AK15:AK380,"FAUX",Wh_hp)</f>
        <v>11645.393898508526</v>
      </c>
      <c r="AL10" s="510">
        <f>SUMIF(AJ15:AJ380,"FAUX",Wh_sa_s)</f>
        <v>11643.943251498313</v>
      </c>
      <c r="AM10" s="510">
        <f>SUMIF(AK15:AK380,"FAUX",Wh_hp)</f>
        <v>11645.393898508526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214">
        <f>D$9-Prod_an</f>
        <v>32.230269487068654</v>
      </c>
      <c r="E11" s="215">
        <f>(E$9-D$9)*Prod_an/D$9</f>
        <v>171.33526937231565</v>
      </c>
      <c r="F11" s="216">
        <f>(F$9-E$9)*Prod_an/E$9</f>
        <v>1.4252258981740151</v>
      </c>
      <c r="G11" s="181" t="s">
        <v>6</v>
      </c>
      <c r="K11" s="190"/>
      <c r="L11" s="178">
        <f>Tvie_2022</f>
        <v>44522</v>
      </c>
      <c r="M11" s="835"/>
      <c r="N11" s="835"/>
      <c r="O11" s="314">
        <f>Salim_2022</f>
        <v>0.08</v>
      </c>
      <c r="P11" s="252">
        <f>Ttai_2022</f>
        <v>44562</v>
      </c>
      <c r="Q11" s="268">
        <f>Dens_2022</f>
        <v>0.5</v>
      </c>
      <c r="R11" s="518"/>
      <c r="S11" s="243"/>
      <c r="T11" s="519"/>
      <c r="U11" s="262">
        <f>Htf_2022</f>
        <v>0.49381682607666977</v>
      </c>
      <c r="V11" s="422"/>
      <c r="W11" s="513"/>
      <c r="X11" s="520" t="s">
        <v>43</v>
      </c>
      <c r="Y11" s="50">
        <f>Z$9-Prod_an_s</f>
        <v>34.183769487068275</v>
      </c>
      <c r="Z11" s="51">
        <f>(AA$9-Z$9)*Prod_an_s/Z$9</f>
        <v>171.30601180931191</v>
      </c>
      <c r="AA11" s="182">
        <f>(AB$9-AA$9)*Prod_an_s/AA$9</f>
        <v>1.4249825236682103</v>
      </c>
      <c r="AB11" s="521" t="s">
        <v>6</v>
      </c>
      <c r="AC11" s="467"/>
      <c r="AD11" s="252"/>
      <c r="AE11" s="268" t="str">
        <f>IF(Acti_tai,IF(GainD,Di,Dd)+PousD*Croi_tai,"NA")</f>
        <v>NA</v>
      </c>
      <c r="AF11" s="243"/>
      <c r="AG11" s="243"/>
      <c r="AH11" s="243"/>
      <c r="AI11" s="262" t="str">
        <f>IF(Acti_tai,IF(GainD,H_i,Hdd)+PousH*Croi_tai,"NA")</f>
        <v>NA</v>
      </c>
      <c r="AJ11" s="824">
        <f>IF($AJ7=0,0,($AJ9-$AJ7)*$AJ5/$AJ7)</f>
        <v>0</v>
      </c>
      <c r="AK11" s="825">
        <f>IF($AK7=0,0,($AK9-$AK7)*$AK5/$AK7)</f>
        <v>0</v>
      </c>
      <c r="AL11" s="824">
        <f>IF($AL7=0,0,($AL9-$AL7)*$AL5/$AL7)</f>
        <v>0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17" t="s">
        <v>17</v>
      </c>
      <c r="G12" s="109">
        <f>G383-1</f>
        <v>4.4469433272544379E-2</v>
      </c>
      <c r="I12" s="102"/>
      <c r="J12" s="99"/>
      <c r="K12" s="187"/>
      <c r="L12" s="200">
        <f>Pspv_2022</f>
        <v>0</v>
      </c>
      <c r="M12" s="208"/>
      <c r="N12" s="208"/>
      <c r="O12" s="522">
        <f>Tau_2022*365</f>
        <v>1095</v>
      </c>
      <c r="P12" s="523">
        <f>INDEX(Croivg,MIN(MAX(Ttai-$A$15,0)+1,366))</f>
        <v>2.3909964587625958E-6</v>
      </c>
      <c r="Q12" s="292">
        <f>D_i</f>
        <v>0.5</v>
      </c>
      <c r="R12" s="274"/>
      <c r="S12" s="275"/>
      <c r="T12" s="524"/>
      <c r="U12" s="293">
        <f>H_i</f>
        <v>-6.1831739233302249E-3</v>
      </c>
      <c r="V12" s="512"/>
      <c r="W12" s="499"/>
      <c r="X12" s="500"/>
      <c r="Y12" s="499"/>
      <c r="Z12" s="422"/>
      <c r="AA12" s="422"/>
      <c r="AB12" s="499"/>
      <c r="AC12" s="314" t="b">
        <f>NOT(An_Tnet)</f>
        <v>1</v>
      </c>
      <c r="AD12" s="422"/>
      <c r="AE12" s="292">
        <f>D_i</f>
        <v>0.5</v>
      </c>
      <c r="AF12" s="199"/>
      <c r="AG12" s="199"/>
      <c r="AH12" s="199"/>
      <c r="AI12" s="293">
        <f>H_i</f>
        <v>-6.1831739233302249E-3</v>
      </c>
      <c r="AJ12" s="824">
        <f>IF($AJ8=0,0,($AJ10-$AJ8)*$AJ6/$AJ8)</f>
        <v>171.30601180931191</v>
      </c>
      <c r="AK12" s="825">
        <f>IF($AK8=0,0,($AK10-$AK8)*$AK6/$AK8)</f>
        <v>1.4249825236682103</v>
      </c>
      <c r="AL12" s="824">
        <f>IF($AL8=0,0,($AL10-$AL8)*$AL6/$AL8)</f>
        <v>171.30601180931191</v>
      </c>
      <c r="AM12" s="825">
        <f>IF($AM8=0,0,($AM10-$AM8)*$AM6/$AM8)</f>
        <v>1.4249825236682103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119</v>
      </c>
      <c r="Z13" s="124" t="s">
        <v>120</v>
      </c>
      <c r="AA13" s="124" t="s">
        <v>121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171.30601180931191</v>
      </c>
      <c r="AK13" s="73">
        <f>+AK11+AK12</f>
        <v>1.4249825236682103</v>
      </c>
      <c r="AL13" s="73">
        <f>+AL11+AL12</f>
        <v>171.30601180931191</v>
      </c>
      <c r="AM13" s="73">
        <f>+AM11+AM12</f>
        <v>1.4249825236682103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384" t="s">
        <v>189</v>
      </c>
      <c r="C14" s="384"/>
      <c r="D14" s="53" t="s">
        <v>30</v>
      </c>
      <c r="E14" s="158" t="s">
        <v>29</v>
      </c>
      <c r="F14" s="158" t="str">
        <f>"Hors pertes "&amp; TEXT(An,0)</f>
        <v>Hors pertes 2022</v>
      </c>
      <c r="G14" s="107" t="s">
        <v>42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208</v>
      </c>
      <c r="V14" s="45" t="str">
        <f>"Enveloppe "&amp; TEXT(An,0)</f>
        <v>Enveloppe 2022</v>
      </c>
      <c r="W14" s="429"/>
      <c r="X14" s="151" t="s">
        <v>2</v>
      </c>
      <c r="Y14" s="107" t="str">
        <f>"Wh / Jour "&amp; TEXT(An,0)</f>
        <v>Wh / Jour 2022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88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56">
        <f>DATE(An,1,1)</f>
        <v>44562</v>
      </c>
      <c r="B15" s="612"/>
      <c r="C15" s="845"/>
      <c r="D15" s="388"/>
      <c r="E15" s="380"/>
      <c r="F15" s="380"/>
      <c r="G15" s="110"/>
      <c r="I15" s="374">
        <f t="shared" ref="I15:I78" si="0">Wh_hp</f>
        <v>0</v>
      </c>
      <c r="J15" s="84">
        <v>2022</v>
      </c>
      <c r="K15" s="193">
        <f t="shared" ref="K15:K78" si="1">t</f>
        <v>44562</v>
      </c>
      <c r="L15" s="431">
        <f t="shared" ref="L15:L78" si="2">IF(t&lt;T0,0,IF(t&lt;Tvie,1-EXP((T0-t)*PertePVj),1-EXP((T0-t)*PertePVj)+Pspv))</f>
        <v>5.4742026824727841E-4</v>
      </c>
      <c r="M15" s="847"/>
      <c r="N15" s="847"/>
      <c r="O15" s="320">
        <f t="shared" ref="O15:O78" si="3">IF(t&lt;T0,0,IF(t&lt;Tnet,Salim_i*(1-EXP((T0-t)/Tau_ij)),Resal+(Salim-Resal)*(1-EXP((Tnet-t)/(Tau_j)))))*Salcycl</f>
        <v>2.871284039389784E-3</v>
      </c>
      <c r="P15" s="298">
        <f>(INDEX(Models!$BJ15:$BT15,,T15)*(1-R15)+INDEX(Models!$BJ15:$BT15,,T15+1)*R15-ERP_i)*Q15*Ramure*Pc/MaxiM</f>
        <v>6.8879188521336048E-9</v>
      </c>
      <c r="Q15" s="299">
        <f>IF(OR(t&lt;Ttai,Notai),Dd+PousD*Croivg,Dens+PousD*(Croivg-Croi_tai))</f>
        <v>0.5</v>
      </c>
      <c r="R15" s="300">
        <f t="shared" ref="R15:R78" si="4">(Hp_vg-S15)/(INDEX(Echel_vg,T15+1)-S15)</f>
        <v>0.99381802157489918</v>
      </c>
      <c r="S15" s="801">
        <f>INDEX(Echel_vg,T15)</f>
        <v>-1</v>
      </c>
      <c r="T15" s="245">
        <f>MIN(MATCH(Hp_vg,Echel_vg),10)</f>
        <v>5</v>
      </c>
      <c r="U15" s="246">
        <f>IF(OR(t&lt;Ttai,Notai),Hdd+PousH*Croivg,Hdtf+PousH*(Croivg-Croi_tai))</f>
        <v>-6.1819784251008437E-3</v>
      </c>
      <c r="V15" s="377">
        <f t="shared" ref="V15:V78" si="5">MaxiM*(1-Ppv)*(1-Pvg)*(1-Psa)</f>
        <v>17.83812913525998</v>
      </c>
      <c r="W15" s="58"/>
      <c r="X15" s="152">
        <f t="shared" ref="X15:X78" si="6">t</f>
        <v>44562</v>
      </c>
      <c r="Y15" s="380">
        <f t="shared" ref="Y15:Y78" si="7">Wh_pvt_s*(1-Ppv)</f>
        <v>0</v>
      </c>
      <c r="Z15" s="380">
        <f t="shared" ref="Z15:Z78" si="8">Wh_sa_s*(1-Psa_s)</f>
        <v>0</v>
      </c>
      <c r="AA15" s="381">
        <f t="shared" ref="AA15:AA78" si="9">Wh_hp*(1-Pvg_s*MEDIAN((-Sdif+Wh/Env_an)/Csdif,0,1))</f>
        <v>0</v>
      </c>
      <c r="AB15" s="193">
        <f t="shared" ref="AB15:AB78" si="10">t</f>
        <v>44562</v>
      </c>
      <c r="AC15" s="448">
        <f t="shared" ref="AC15:AC78" si="11">IF(t&lt;T0,0,IF(OR(t&lt;Tnet,NoTnet),Salim_i*(1-EXP((T0-t)/Tau_ij)),Resal_s+(Salim-Resal_s)*(1-EXP((Tnet_s-t)/Tau_j))))*Salcycl</f>
        <v>2.871284039389784E-3</v>
      </c>
      <c r="AD15" s="298">
        <f>(INDEX(Models!$BJ15:$BT15,,AH15)*(1-AF15)+INDEX(Models!$BJ15:$BT15,,AH15+1)*AF15-ERP_i)*AE15*Ramure*Pc/MaxiM</f>
        <v>6.8879188521336048E-9</v>
      </c>
      <c r="AE15" s="299">
        <f t="shared" ref="AE15:AE78" si="12">Dd+PousD*Croivg</f>
        <v>0.5</v>
      </c>
      <c r="AF15" s="300">
        <f t="shared" ref="AF15:AF78" si="13">(Hp_vg_s-AG15)/(INDEX(Echel_vg,AH15+1)-AG15)</f>
        <v>0.99381802157489918</v>
      </c>
      <c r="AG15" s="801">
        <f>INDEX(Echel_vg,AH15)</f>
        <v>-1</v>
      </c>
      <c r="AH15" s="245">
        <f t="shared" ref="AH15:AH78" si="14">MIN(MATCH(Hp_vg_s,Echel_vg),10)</f>
        <v>5</v>
      </c>
      <c r="AI15" s="220">
        <f t="shared" ref="AI15:AI78" si="15">Hdd+PousH*Croivg</f>
        <v>-6.1819784251008437E-3</v>
      </c>
      <c r="AJ15" s="261" t="b">
        <f t="shared" ref="AJ15:AJ78" si="16">t&lt;Tnet</f>
        <v>0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8">A15+1</f>
        <v>44563</v>
      </c>
      <c r="B16" s="610"/>
      <c r="C16" s="385"/>
      <c r="D16" s="388"/>
      <c r="E16" s="380"/>
      <c r="F16" s="380"/>
      <c r="G16" s="110"/>
      <c r="I16" s="375">
        <f t="shared" si="0"/>
        <v>0</v>
      </c>
      <c r="J16" s="85">
        <v>2022</v>
      </c>
      <c r="K16" s="193">
        <f t="shared" si="1"/>
        <v>44563</v>
      </c>
      <c r="L16" s="431">
        <f t="shared" si="2"/>
        <v>5.6110193476177628E-4</v>
      </c>
      <c r="M16" s="847"/>
      <c r="N16" s="847"/>
      <c r="O16" s="320">
        <f t="shared" si="3"/>
        <v>2.9416132423509636E-3</v>
      </c>
      <c r="P16" s="165">
        <f>(INDEX(Models!$BJ16:$BT16,,T16)*(1-R16)+INDEX(Models!$BJ16:$BT16,,T16+1)*R16-ERP_i)*Q16*Ramure*Pc/MaxiM</f>
        <v>1.7374028242748862E-7</v>
      </c>
      <c r="Q16" s="301">
        <f t="shared" ref="Q16:Q78" si="19">IF(OR(t&lt;Ttai,Notai),Dd+PousD*Croivg,Dens+PousD*(Croivg-Croi_tai))</f>
        <v>0.5</v>
      </c>
      <c r="R16" s="173">
        <f t="shared" si="4"/>
        <v>0.99384723618889337</v>
      </c>
      <c r="S16" s="802">
        <f t="shared" ref="S16:S79" si="20">INDEX(Echel_vg,T16)</f>
        <v>-1</v>
      </c>
      <c r="T16" s="172">
        <f t="shared" ref="T16:T78" si="21">MIN(MATCH(Hp_vg,Echel_vg),10)</f>
        <v>5</v>
      </c>
      <c r="U16" s="247">
        <f t="shared" ref="U16:U78" si="22">IF(OR(t&lt;Ttai,Notai),Hdd+PousH*Croivg,Hdtf+PousH*(Croivg-Croi_tai))</f>
        <v>-6.152763811106605E-3</v>
      </c>
      <c r="V16" s="378">
        <f t="shared" si="5"/>
        <v>18.015217050685742</v>
      </c>
      <c r="W16" s="58"/>
      <c r="X16" s="153">
        <f t="shared" si="6"/>
        <v>44563</v>
      </c>
      <c r="Y16" s="380">
        <f t="shared" si="7"/>
        <v>0</v>
      </c>
      <c r="Z16" s="380">
        <f t="shared" si="8"/>
        <v>0</v>
      </c>
      <c r="AA16" s="381">
        <f t="shared" si="9"/>
        <v>0</v>
      </c>
      <c r="AB16" s="193">
        <f t="shared" si="10"/>
        <v>44563</v>
      </c>
      <c r="AC16" s="420">
        <f t="shared" si="11"/>
        <v>2.9416132423509636E-3</v>
      </c>
      <c r="AD16" s="165">
        <f>(INDEX(Models!$BJ16:$BT16,,AH16)*(1-AF16)+INDEX(Models!$BJ16:$BT16,,AH16+1)*AF16-ERP_i)*AE16*Ramure*Pc/MaxiM</f>
        <v>1.7374028242748862E-7</v>
      </c>
      <c r="AE16" s="301">
        <f t="shared" si="12"/>
        <v>0.5</v>
      </c>
      <c r="AF16" s="173">
        <f t="shared" si="13"/>
        <v>0.99384723618889337</v>
      </c>
      <c r="AG16" s="802">
        <f t="shared" ref="AG16:AG78" si="23">INDEX(Echel_vg,AH16)</f>
        <v>-1</v>
      </c>
      <c r="AH16" s="172">
        <f t="shared" si="14"/>
        <v>5</v>
      </c>
      <c r="AI16" s="221">
        <f t="shared" si="15"/>
        <v>-6.152763811106605E-3</v>
      </c>
      <c r="AJ16" s="261" t="b">
        <f t="shared" si="16"/>
        <v>0</v>
      </c>
      <c r="AK16" s="261" t="b">
        <f t="shared" si="17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8"/>
        <v>44564</v>
      </c>
      <c r="B17" s="610"/>
      <c r="C17" s="385"/>
      <c r="D17" s="388"/>
      <c r="E17" s="380"/>
      <c r="F17" s="380"/>
      <c r="G17" s="110"/>
      <c r="I17" s="375">
        <f t="shared" si="0"/>
        <v>0</v>
      </c>
      <c r="J17" s="85">
        <v>2022</v>
      </c>
      <c r="K17" s="193">
        <f t="shared" si="1"/>
        <v>44564</v>
      </c>
      <c r="L17" s="431">
        <f t="shared" si="2"/>
        <v>5.7478341398575772E-4</v>
      </c>
      <c r="M17" s="847"/>
      <c r="N17" s="847"/>
      <c r="O17" s="320">
        <f t="shared" si="3"/>
        <v>3.0118792881357755E-3</v>
      </c>
      <c r="P17" s="165">
        <f>(INDEX(Models!$BJ17:$BT17,,T17)*(1-R17)+INDEX(Models!$BJ17:$BT17,,T17+1)*R17-ERP_i)*Q17*Ramure*Pc/MaxiM</f>
        <v>3.4476570422856296E-7</v>
      </c>
      <c r="Q17" s="301">
        <f t="shared" si="19"/>
        <v>0.5</v>
      </c>
      <c r="R17" s="173">
        <f t="shared" si="4"/>
        <v>0.99387767278438299</v>
      </c>
      <c r="S17" s="802">
        <f t="shared" si="20"/>
        <v>-1</v>
      </c>
      <c r="T17" s="172">
        <f t="shared" si="21"/>
        <v>5</v>
      </c>
      <c r="U17" s="247">
        <f t="shared" si="22"/>
        <v>-6.122327215617022E-3</v>
      </c>
      <c r="V17" s="378">
        <f t="shared" si="5"/>
        <v>18.201063076220095</v>
      </c>
      <c r="W17" s="58"/>
      <c r="X17" s="153">
        <f t="shared" si="6"/>
        <v>44564</v>
      </c>
      <c r="Y17" s="380">
        <f t="shared" si="7"/>
        <v>0</v>
      </c>
      <c r="Z17" s="380">
        <f t="shared" si="8"/>
        <v>0</v>
      </c>
      <c r="AA17" s="381">
        <f t="shared" si="9"/>
        <v>0</v>
      </c>
      <c r="AB17" s="193">
        <f t="shared" si="10"/>
        <v>44564</v>
      </c>
      <c r="AC17" s="420">
        <f t="shared" si="11"/>
        <v>3.0118792881357755E-3</v>
      </c>
      <c r="AD17" s="165">
        <f>(INDEX(Models!$BJ17:$BT17,,AH17)*(1-AF17)+INDEX(Models!$BJ17:$BT17,,AH17+1)*AF17-ERP_i)*AE17*Ramure*Pc/MaxiM</f>
        <v>3.4476570422856296E-7</v>
      </c>
      <c r="AE17" s="301">
        <f t="shared" si="12"/>
        <v>0.5</v>
      </c>
      <c r="AF17" s="173">
        <f t="shared" si="13"/>
        <v>0.99387767278438299</v>
      </c>
      <c r="AG17" s="802">
        <f t="shared" si="23"/>
        <v>-1</v>
      </c>
      <c r="AH17" s="172">
        <f t="shared" si="14"/>
        <v>5</v>
      </c>
      <c r="AI17" s="221">
        <f t="shared" si="15"/>
        <v>-6.122327215617022E-3</v>
      </c>
      <c r="AJ17" s="261" t="b">
        <f t="shared" si="16"/>
        <v>0</v>
      </c>
      <c r="AK17" s="261" t="b">
        <f t="shared" si="17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8"/>
        <v>44565</v>
      </c>
      <c r="B18" s="610"/>
      <c r="C18" s="385"/>
      <c r="D18" s="388"/>
      <c r="E18" s="380"/>
      <c r="F18" s="380"/>
      <c r="G18" s="110"/>
      <c r="I18" s="375">
        <f t="shared" si="0"/>
        <v>0</v>
      </c>
      <c r="J18" s="85">
        <v>2022</v>
      </c>
      <c r="K18" s="193">
        <f t="shared" si="1"/>
        <v>44565</v>
      </c>
      <c r="L18" s="431">
        <f t="shared" si="2"/>
        <v>5.8846470592177624E-4</v>
      </c>
      <c r="M18" s="847"/>
      <c r="N18" s="847"/>
      <c r="O18" s="320">
        <f t="shared" si="3"/>
        <v>3.0820819964849588E-3</v>
      </c>
      <c r="P18" s="165">
        <f>(INDEX(Models!$BJ18:$BT18,,T18)*(1-R18)+INDEX(Models!$BJ18:$BT18,,T18+1)*R18-ERP_i)*Q18*Ramure*Pc/MaxiM</f>
        <v>5.2023472622447653E-7</v>
      </c>
      <c r="Q18" s="301">
        <f t="shared" si="19"/>
        <v>0.5</v>
      </c>
      <c r="R18" s="173">
        <f t="shared" si="4"/>
        <v>0.99390938231567805</v>
      </c>
      <c r="S18" s="802">
        <f t="shared" si="20"/>
        <v>-1</v>
      </c>
      <c r="T18" s="172">
        <f t="shared" si="21"/>
        <v>5</v>
      </c>
      <c r="U18" s="247">
        <f t="shared" si="22"/>
        <v>-6.0906176843219025E-3</v>
      </c>
      <c r="V18" s="378">
        <f t="shared" si="5"/>
        <v>18.394004497803795</v>
      </c>
      <c r="W18" s="58"/>
      <c r="X18" s="153">
        <f t="shared" si="6"/>
        <v>44565</v>
      </c>
      <c r="Y18" s="380">
        <f t="shared" si="7"/>
        <v>0</v>
      </c>
      <c r="Z18" s="380">
        <f t="shared" si="8"/>
        <v>0</v>
      </c>
      <c r="AA18" s="381">
        <f t="shared" si="9"/>
        <v>0</v>
      </c>
      <c r="AB18" s="193">
        <f t="shared" si="10"/>
        <v>44565</v>
      </c>
      <c r="AC18" s="420">
        <f t="shared" si="11"/>
        <v>3.0820819964849588E-3</v>
      </c>
      <c r="AD18" s="165">
        <f>(INDEX(Models!$BJ18:$BT18,,AH18)*(1-AF18)+INDEX(Models!$BJ18:$BT18,,AH18+1)*AF18-ERP_i)*AE18*Ramure*Pc/MaxiM</f>
        <v>5.2023472622447653E-7</v>
      </c>
      <c r="AE18" s="301">
        <f t="shared" si="12"/>
        <v>0.5</v>
      </c>
      <c r="AF18" s="173">
        <f t="shared" si="13"/>
        <v>0.99390938231567805</v>
      </c>
      <c r="AG18" s="802">
        <f t="shared" si="23"/>
        <v>-1</v>
      </c>
      <c r="AH18" s="172">
        <f t="shared" si="14"/>
        <v>5</v>
      </c>
      <c r="AI18" s="221">
        <f t="shared" si="15"/>
        <v>-6.0906176843219025E-3</v>
      </c>
      <c r="AJ18" s="261" t="b">
        <f t="shared" si="16"/>
        <v>0</v>
      </c>
      <c r="AK18" s="261" t="b">
        <f t="shared" si="17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8"/>
        <v>44566</v>
      </c>
      <c r="B19" s="610"/>
      <c r="C19" s="385"/>
      <c r="D19" s="388"/>
      <c r="E19" s="380"/>
      <c r="F19" s="380"/>
      <c r="G19" s="110"/>
      <c r="I19" s="375">
        <f t="shared" si="0"/>
        <v>0</v>
      </c>
      <c r="J19" s="85">
        <v>2022</v>
      </c>
      <c r="K19" s="193">
        <f t="shared" si="1"/>
        <v>44566</v>
      </c>
      <c r="L19" s="431">
        <f t="shared" si="2"/>
        <v>6.0214581057227434E-4</v>
      </c>
      <c r="M19" s="847"/>
      <c r="N19" s="847"/>
      <c r="O19" s="320">
        <f t="shared" si="3"/>
        <v>3.152221215614925E-3</v>
      </c>
      <c r="P19" s="165">
        <f>(INDEX(Models!$BJ19:$BT19,,T19)*(1-R19)+INDEX(Models!$BJ19:$BT19,,T19+1)*R19-ERP_i)*Q19*Ramure*Pc/MaxiM</f>
        <v>7.0049177729268316E-7</v>
      </c>
      <c r="Q19" s="301">
        <f t="shared" si="19"/>
        <v>0.5</v>
      </c>
      <c r="R19" s="173">
        <f t="shared" si="4"/>
        <v>0.99394241784823978</v>
      </c>
      <c r="S19" s="802">
        <f t="shared" si="20"/>
        <v>-1</v>
      </c>
      <c r="T19" s="172">
        <f t="shared" si="21"/>
        <v>5</v>
      </c>
      <c r="U19" s="247">
        <f t="shared" si="22"/>
        <v>-6.057582151760236E-3</v>
      </c>
      <c r="V19" s="378">
        <f t="shared" si="5"/>
        <v>18.592379160871207</v>
      </c>
      <c r="W19" s="58"/>
      <c r="X19" s="153">
        <f t="shared" si="6"/>
        <v>44566</v>
      </c>
      <c r="Y19" s="380">
        <f t="shared" si="7"/>
        <v>0</v>
      </c>
      <c r="Z19" s="380">
        <f t="shared" si="8"/>
        <v>0</v>
      </c>
      <c r="AA19" s="381">
        <f t="shared" si="9"/>
        <v>0</v>
      </c>
      <c r="AB19" s="193">
        <f t="shared" si="10"/>
        <v>44566</v>
      </c>
      <c r="AC19" s="420">
        <f t="shared" si="11"/>
        <v>3.152221215614925E-3</v>
      </c>
      <c r="AD19" s="165">
        <f>(INDEX(Models!$BJ19:$BT19,,AH19)*(1-AF19)+INDEX(Models!$BJ19:$BT19,,AH19+1)*AF19-ERP_i)*AE19*Ramure*Pc/MaxiM</f>
        <v>7.0049177729268316E-7</v>
      </c>
      <c r="AE19" s="301">
        <f t="shared" si="12"/>
        <v>0.5</v>
      </c>
      <c r="AF19" s="173">
        <f t="shared" si="13"/>
        <v>0.99394241784823978</v>
      </c>
      <c r="AG19" s="802">
        <f t="shared" si="23"/>
        <v>-1</v>
      </c>
      <c r="AH19" s="172">
        <f t="shared" si="14"/>
        <v>5</v>
      </c>
      <c r="AI19" s="221">
        <f t="shared" si="15"/>
        <v>-6.057582151760236E-3</v>
      </c>
      <c r="AJ19" s="261" t="b">
        <f t="shared" si="16"/>
        <v>0</v>
      </c>
      <c r="AK19" s="261" t="b">
        <f t="shared" si="17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8"/>
        <v>44567</v>
      </c>
      <c r="B20" s="610"/>
      <c r="C20" s="385"/>
      <c r="D20" s="388"/>
      <c r="E20" s="380"/>
      <c r="F20" s="380"/>
      <c r="G20" s="110"/>
      <c r="I20" s="375">
        <f t="shared" si="0"/>
        <v>0</v>
      </c>
      <c r="J20" s="85">
        <v>2022</v>
      </c>
      <c r="K20" s="193">
        <f t="shared" si="1"/>
        <v>44567</v>
      </c>
      <c r="L20" s="431">
        <f t="shared" si="2"/>
        <v>6.158267279401386E-4</v>
      </c>
      <c r="M20" s="847"/>
      <c r="N20" s="847"/>
      <c r="O20" s="320">
        <f t="shared" si="3"/>
        <v>3.2222968298095448E-3</v>
      </c>
      <c r="P20" s="165">
        <f>(INDEX(Models!$BJ20:$BT20,,T20)*(1-R20)+INDEX(Models!$BJ20:$BT20,,T20+1)*R20-ERP_i)*Q20*Ramure*Pc/MaxiM</f>
        <v>8.8595646742283495E-7</v>
      </c>
      <c r="Q20" s="301">
        <f t="shared" si="19"/>
        <v>0.5</v>
      </c>
      <c r="R20" s="173">
        <f t="shared" si="4"/>
        <v>0.99397683464499043</v>
      </c>
      <c r="S20" s="802">
        <f t="shared" si="20"/>
        <v>-1</v>
      </c>
      <c r="T20" s="172">
        <f t="shared" si="21"/>
        <v>5</v>
      </c>
      <c r="U20" s="247">
        <f t="shared" si="22"/>
        <v>-6.023165355009524E-3</v>
      </c>
      <c r="V20" s="378">
        <f t="shared" si="5"/>
        <v>18.794525471135952</v>
      </c>
      <c r="W20" s="58"/>
      <c r="X20" s="153">
        <f t="shared" si="6"/>
        <v>44567</v>
      </c>
      <c r="Y20" s="380">
        <f t="shared" si="7"/>
        <v>0</v>
      </c>
      <c r="Z20" s="380">
        <f t="shared" si="8"/>
        <v>0</v>
      </c>
      <c r="AA20" s="381">
        <f t="shared" si="9"/>
        <v>0</v>
      </c>
      <c r="AB20" s="193">
        <f t="shared" si="10"/>
        <v>44567</v>
      </c>
      <c r="AC20" s="420">
        <f t="shared" si="11"/>
        <v>3.2222968298095448E-3</v>
      </c>
      <c r="AD20" s="165">
        <f>(INDEX(Models!$BJ20:$BT20,,AH20)*(1-AF20)+INDEX(Models!$BJ20:$BT20,,AH20+1)*AF20-ERP_i)*AE20*Ramure*Pc/MaxiM</f>
        <v>8.8595646742283495E-7</v>
      </c>
      <c r="AE20" s="301">
        <f t="shared" si="12"/>
        <v>0.5</v>
      </c>
      <c r="AF20" s="173">
        <f t="shared" si="13"/>
        <v>0.99397683464499043</v>
      </c>
      <c r="AG20" s="802">
        <f t="shared" si="23"/>
        <v>-1</v>
      </c>
      <c r="AH20" s="172">
        <f t="shared" si="14"/>
        <v>5</v>
      </c>
      <c r="AI20" s="221">
        <f t="shared" si="15"/>
        <v>-6.023165355009524E-3</v>
      </c>
      <c r="AJ20" s="261" t="b">
        <f t="shared" si="16"/>
        <v>0</v>
      </c>
      <c r="AK20" s="261" t="b">
        <f t="shared" si="17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8"/>
        <v>44568</v>
      </c>
      <c r="B21" s="610">
        <v>6.1400000000000006</v>
      </c>
      <c r="C21" s="385"/>
      <c r="D21" s="388">
        <f t="shared" ref="D21:D79" si="24">Wh/(1-Ppv)</f>
        <v>6.1438676104819328</v>
      </c>
      <c r="E21" s="380">
        <f t="shared" ref="E21:E79" si="25">Wh_pvt/(1-Psa)</f>
        <v>6.1641619348541523</v>
      </c>
      <c r="F21" s="380">
        <f t="shared" ref="F21:F79" si="26">Wh_sa/(1-Pvg*MEDIAN((-Sdif+Wh/Env_an)/Csdif,0,1))</f>
        <v>6.1641621547056991</v>
      </c>
      <c r="G21" s="110">
        <f t="shared" ref="G21:G79" si="27">+Wh_hp/MaxiM</f>
        <v>0.32317826899329916</v>
      </c>
      <c r="I21" s="375">
        <f t="shared" si="0"/>
        <v>6.1641621547056991</v>
      </c>
      <c r="J21" s="85">
        <v>2022</v>
      </c>
      <c r="K21" s="193">
        <f t="shared" si="1"/>
        <v>44568</v>
      </c>
      <c r="L21" s="431">
        <f t="shared" si="2"/>
        <v>6.2950745802758945E-4</v>
      </c>
      <c r="M21" s="847"/>
      <c r="N21" s="847"/>
      <c r="O21" s="320">
        <f t="shared" si="3"/>
        <v>3.2923087658467609E-3</v>
      </c>
      <c r="P21" s="165">
        <f>(INDEX(Models!$BJ21:$BT21,,T21)*(1-R21)+INDEX(Models!$BJ21:$BT21,,T21+1)*R21-ERP_i)*Q21*Ramure*Pc/MaxiM</f>
        <v>1.0771252491981753E-6</v>
      </c>
      <c r="Q21" s="301">
        <f t="shared" si="19"/>
        <v>0.5</v>
      </c>
      <c r="R21" s="173">
        <f t="shared" si="4"/>
        <v>0.99401269025605365</v>
      </c>
      <c r="S21" s="802">
        <f t="shared" si="20"/>
        <v>-1</v>
      </c>
      <c r="T21" s="172">
        <f t="shared" si="21"/>
        <v>5</v>
      </c>
      <c r="U21" s="247">
        <f t="shared" si="22"/>
        <v>-5.98730974394634E-3</v>
      </c>
      <c r="V21" s="378">
        <f t="shared" si="5"/>
        <v>18.998782388947777</v>
      </c>
      <c r="W21" s="58"/>
      <c r="X21" s="153">
        <f t="shared" si="6"/>
        <v>44568</v>
      </c>
      <c r="Y21" s="380">
        <f t="shared" si="7"/>
        <v>6.1400000000000006</v>
      </c>
      <c r="Z21" s="380">
        <f t="shared" si="8"/>
        <v>6.1438676104819328</v>
      </c>
      <c r="AA21" s="381">
        <f t="shared" si="9"/>
        <v>6.1641619348541523</v>
      </c>
      <c r="AB21" s="193">
        <f t="shared" si="10"/>
        <v>44568</v>
      </c>
      <c r="AC21" s="420">
        <f t="shared" si="11"/>
        <v>3.2923087658467609E-3</v>
      </c>
      <c r="AD21" s="165">
        <f>(INDEX(Models!$BJ21:$BT21,,AH21)*(1-AF21)+INDEX(Models!$BJ21:$BT21,,AH21+1)*AF21-ERP_i)*AE21*Ramure*Pc/MaxiM</f>
        <v>1.0771252491981753E-6</v>
      </c>
      <c r="AE21" s="301">
        <f t="shared" si="12"/>
        <v>0.5</v>
      </c>
      <c r="AF21" s="173">
        <f t="shared" si="13"/>
        <v>0.99401269025605365</v>
      </c>
      <c r="AG21" s="802">
        <f t="shared" si="23"/>
        <v>-1</v>
      </c>
      <c r="AH21" s="172">
        <f t="shared" si="14"/>
        <v>5</v>
      </c>
      <c r="AI21" s="221">
        <f t="shared" si="15"/>
        <v>-5.98730974394634E-3</v>
      </c>
      <c r="AJ21" s="261" t="b">
        <f t="shared" si="16"/>
        <v>0</v>
      </c>
      <c r="AK21" s="261" t="b">
        <f t="shared" si="17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8"/>
        <v>44569</v>
      </c>
      <c r="B22" s="610">
        <v>8.02</v>
      </c>
      <c r="C22" s="385"/>
      <c r="D22" s="388">
        <f t="shared" si="24"/>
        <v>8.02516168770231</v>
      </c>
      <c r="E22" s="380">
        <f t="shared" si="25"/>
        <v>8.0522353724345752</v>
      </c>
      <c r="F22" s="380">
        <f t="shared" si="26"/>
        <v>8.052237097122509</v>
      </c>
      <c r="G22" s="110">
        <f t="shared" si="27"/>
        <v>0.41763198936121848</v>
      </c>
      <c r="I22" s="375">
        <f t="shared" si="0"/>
        <v>8.052237097122509</v>
      </c>
      <c r="J22" s="85">
        <v>2022</v>
      </c>
      <c r="K22" s="193">
        <f t="shared" si="1"/>
        <v>44569</v>
      </c>
      <c r="L22" s="431">
        <f t="shared" si="2"/>
        <v>6.4318800083740246E-4</v>
      </c>
      <c r="M22" s="847"/>
      <c r="N22" s="847"/>
      <c r="O22" s="320">
        <f t="shared" si="3"/>
        <v>3.3622569982178284E-3</v>
      </c>
      <c r="P22" s="165">
        <f>(INDEX(Models!$BJ22:$BT22,,T22)*(1-R22)+INDEX(Models!$BJ22:$BT22,,T22+1)*R22-ERP_i)*Q22*Ramure*Pc/MaxiM</f>
        <v>1.2745736448008363E-6</v>
      </c>
      <c r="Q22" s="301">
        <f t="shared" si="19"/>
        <v>0.5</v>
      </c>
      <c r="R22" s="173">
        <f t="shared" si="4"/>
        <v>0.99405004461205082</v>
      </c>
      <c r="S22" s="802">
        <f t="shared" si="20"/>
        <v>-1</v>
      </c>
      <c r="T22" s="172">
        <f t="shared" si="21"/>
        <v>5</v>
      </c>
      <c r="U22" s="247">
        <f t="shared" si="22"/>
        <v>-5.9499553879491882E-3</v>
      </c>
      <c r="V22" s="378">
        <f t="shared" si="5"/>
        <v>19.203489435681245</v>
      </c>
      <c r="W22" s="58"/>
      <c r="X22" s="153">
        <f t="shared" si="6"/>
        <v>44569</v>
      </c>
      <c r="Y22" s="380">
        <f t="shared" si="7"/>
        <v>8.02</v>
      </c>
      <c r="Z22" s="380">
        <f t="shared" si="8"/>
        <v>8.02516168770231</v>
      </c>
      <c r="AA22" s="381">
        <f t="shared" si="9"/>
        <v>8.0522353724345752</v>
      </c>
      <c r="AB22" s="193">
        <f t="shared" si="10"/>
        <v>44569</v>
      </c>
      <c r="AC22" s="420">
        <f t="shared" si="11"/>
        <v>3.3622569982178284E-3</v>
      </c>
      <c r="AD22" s="165">
        <f>(INDEX(Models!$BJ22:$BT22,,AH22)*(1-AF22)+INDEX(Models!$BJ22:$BT22,,AH22+1)*AF22-ERP_i)*AE22*Ramure*Pc/MaxiM</f>
        <v>1.2745736448008363E-6</v>
      </c>
      <c r="AE22" s="301">
        <f t="shared" si="12"/>
        <v>0.5</v>
      </c>
      <c r="AF22" s="173">
        <f t="shared" si="13"/>
        <v>0.99405004461205082</v>
      </c>
      <c r="AG22" s="802">
        <f t="shared" si="23"/>
        <v>-1</v>
      </c>
      <c r="AH22" s="172">
        <f t="shared" si="14"/>
        <v>5</v>
      </c>
      <c r="AI22" s="221">
        <f t="shared" si="15"/>
        <v>-5.9499553879491882E-3</v>
      </c>
      <c r="AJ22" s="261" t="b">
        <f t="shared" si="16"/>
        <v>0</v>
      </c>
      <c r="AK22" s="261" t="b">
        <f t="shared" si="17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8"/>
        <v>44570</v>
      </c>
      <c r="B23" s="610">
        <v>2.4090000000000003</v>
      </c>
      <c r="C23" s="385"/>
      <c r="D23" s="388">
        <f t="shared" si="24"/>
        <v>2.4105834359794898</v>
      </c>
      <c r="E23" s="380">
        <f t="shared" si="25"/>
        <v>2.4188853930491918</v>
      </c>
      <c r="F23" s="380">
        <f t="shared" si="26"/>
        <v>2.4188853930491918</v>
      </c>
      <c r="G23" s="110">
        <f t="shared" si="27"/>
        <v>0.12410352393505837</v>
      </c>
      <c r="I23" s="375">
        <f t="shared" si="0"/>
        <v>2.4188853930491918</v>
      </c>
      <c r="J23" s="85">
        <v>2022</v>
      </c>
      <c r="K23" s="193">
        <f t="shared" si="1"/>
        <v>44570</v>
      </c>
      <c r="L23" s="431">
        <f t="shared" si="2"/>
        <v>6.5686835637202012E-4</v>
      </c>
      <c r="M23" s="847"/>
      <c r="N23" s="847"/>
      <c r="O23" s="320">
        <f t="shared" si="3"/>
        <v>3.432141553112895E-3</v>
      </c>
      <c r="P23" s="165">
        <f>(INDEX(Models!$BJ23:$BT23,,T23)*(1-R23)+INDEX(Models!$BJ23:$BT23,,T23+1)*R23-ERP_i)*Q23*Ramure*Pc/MaxiM</f>
        <v>1.4786393692301845E-6</v>
      </c>
      <c r="Q23" s="301">
        <f t="shared" si="19"/>
        <v>0.5</v>
      </c>
      <c r="R23" s="173">
        <f t="shared" si="4"/>
        <v>0.99408896012108594</v>
      </c>
      <c r="S23" s="802">
        <f t="shared" si="20"/>
        <v>-1</v>
      </c>
      <c r="T23" s="172">
        <f t="shared" si="21"/>
        <v>5</v>
      </c>
      <c r="U23" s="247">
        <f t="shared" si="22"/>
        <v>-5.9110398789140716E-3</v>
      </c>
      <c r="V23" s="378">
        <f t="shared" si="5"/>
        <v>19.411184804215178</v>
      </c>
      <c r="W23" s="58"/>
      <c r="X23" s="153">
        <f t="shared" si="6"/>
        <v>44570</v>
      </c>
      <c r="Y23" s="380">
        <f t="shared" si="7"/>
        <v>2.4090000000000003</v>
      </c>
      <c r="Z23" s="380">
        <f t="shared" si="8"/>
        <v>2.4105834359794898</v>
      </c>
      <c r="AA23" s="381">
        <f t="shared" si="9"/>
        <v>2.4188853930491918</v>
      </c>
      <c r="AB23" s="193">
        <f t="shared" si="10"/>
        <v>44570</v>
      </c>
      <c r="AC23" s="420">
        <f t="shared" si="11"/>
        <v>3.432141553112895E-3</v>
      </c>
      <c r="AD23" s="165">
        <f>(INDEX(Models!$BJ23:$BT23,,AH23)*(1-AF23)+INDEX(Models!$BJ23:$BT23,,AH23+1)*AF23-ERP_i)*AE23*Ramure*Pc/MaxiM</f>
        <v>1.4786393692301845E-6</v>
      </c>
      <c r="AE23" s="301">
        <f t="shared" si="12"/>
        <v>0.5</v>
      </c>
      <c r="AF23" s="173">
        <f t="shared" si="13"/>
        <v>0.99408896012108594</v>
      </c>
      <c r="AG23" s="802">
        <f t="shared" si="23"/>
        <v>-1</v>
      </c>
      <c r="AH23" s="172">
        <f t="shared" si="14"/>
        <v>5</v>
      </c>
      <c r="AI23" s="221">
        <f t="shared" si="15"/>
        <v>-5.9110398789140716E-3</v>
      </c>
      <c r="AJ23" s="261" t="b">
        <f t="shared" si="16"/>
        <v>0</v>
      </c>
      <c r="AK23" s="261" t="b">
        <f t="shared" si="17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8"/>
        <v>44571</v>
      </c>
      <c r="B24" s="610">
        <v>1.992</v>
      </c>
      <c r="C24" s="385"/>
      <c r="D24" s="388">
        <f t="shared" si="24"/>
        <v>1.993336628935632</v>
      </c>
      <c r="E24" s="380">
        <f t="shared" si="25"/>
        <v>2.0003417507562942</v>
      </c>
      <c r="F24" s="380">
        <f t="shared" si="26"/>
        <v>2.0003417507562942</v>
      </c>
      <c r="G24" s="110">
        <f t="shared" si="27"/>
        <v>0.10150000066750896</v>
      </c>
      <c r="I24" s="375">
        <f t="shared" si="0"/>
        <v>2.0003417507562942</v>
      </c>
      <c r="J24" s="85">
        <v>2022</v>
      </c>
      <c r="K24" s="193">
        <f t="shared" si="1"/>
        <v>44571</v>
      </c>
      <c r="L24" s="431">
        <f t="shared" si="2"/>
        <v>6.7054852463410697E-4</v>
      </c>
      <c r="M24" s="847"/>
      <c r="N24" s="847"/>
      <c r="O24" s="320">
        <f t="shared" si="3"/>
        <v>3.5019625111626252E-3</v>
      </c>
      <c r="P24" s="165">
        <f>(INDEX(Models!$BJ24:$BT24,,T24)*(1-R24)+INDEX(Models!$BJ24:$BT24,,T24+1)*R24-ERP_i)*Q24*Ramure*Pc/MaxiM</f>
        <v>1.6902417204912589E-6</v>
      </c>
      <c r="Q24" s="301">
        <f t="shared" si="19"/>
        <v>0.5</v>
      </c>
      <c r="R24" s="173">
        <f t="shared" si="4"/>
        <v>0.9941295017695555</v>
      </c>
      <c r="S24" s="802">
        <f t="shared" si="20"/>
        <v>-1</v>
      </c>
      <c r="T24" s="172">
        <f t="shared" si="21"/>
        <v>5</v>
      </c>
      <c r="U24" s="247">
        <f t="shared" si="22"/>
        <v>-5.8704982304445133E-3</v>
      </c>
      <c r="V24" s="378">
        <f t="shared" si="5"/>
        <v>19.625582462445724</v>
      </c>
      <c r="W24" s="58"/>
      <c r="X24" s="153">
        <f t="shared" si="6"/>
        <v>44571</v>
      </c>
      <c r="Y24" s="380">
        <f t="shared" si="7"/>
        <v>1.9920000000000002</v>
      </c>
      <c r="Z24" s="380">
        <f t="shared" si="8"/>
        <v>1.9933366289356322</v>
      </c>
      <c r="AA24" s="381">
        <f t="shared" si="9"/>
        <v>2.0003417507562942</v>
      </c>
      <c r="AB24" s="193">
        <f t="shared" si="10"/>
        <v>44571</v>
      </c>
      <c r="AC24" s="420">
        <f t="shared" si="11"/>
        <v>3.5019625111626252E-3</v>
      </c>
      <c r="AD24" s="165">
        <f>(INDEX(Models!$BJ24:$BT24,,AH24)*(1-AF24)+INDEX(Models!$BJ24:$BT24,,AH24+1)*AF24-ERP_i)*AE24*Ramure*Pc/MaxiM</f>
        <v>1.6902417204912589E-6</v>
      </c>
      <c r="AE24" s="301">
        <f t="shared" si="12"/>
        <v>0.5</v>
      </c>
      <c r="AF24" s="173">
        <f t="shared" si="13"/>
        <v>0.9941295017695555</v>
      </c>
      <c r="AG24" s="802">
        <f t="shared" si="23"/>
        <v>-1</v>
      </c>
      <c r="AH24" s="172">
        <f t="shared" si="14"/>
        <v>5</v>
      </c>
      <c r="AI24" s="221">
        <f t="shared" si="15"/>
        <v>-5.8704982304445133E-3</v>
      </c>
      <c r="AJ24" s="261" t="b">
        <f t="shared" si="16"/>
        <v>0</v>
      </c>
      <c r="AK24" s="261" t="b">
        <f t="shared" si="17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8"/>
        <v>44572</v>
      </c>
      <c r="B25" s="610">
        <v>19.989000000000001</v>
      </c>
      <c r="C25" s="385"/>
      <c r="D25" s="388">
        <f t="shared" si="24"/>
        <v>20.002686408229611</v>
      </c>
      <c r="E25" s="380">
        <f t="shared" si="25"/>
        <v>20.07438649614512</v>
      </c>
      <c r="F25" s="380">
        <f t="shared" si="26"/>
        <v>20.074424837955927</v>
      </c>
      <c r="G25" s="110">
        <f t="shared" si="27"/>
        <v>1.0071655941106641</v>
      </c>
      <c r="I25" s="375">
        <f t="shared" si="0"/>
        <v>20.074424837955927</v>
      </c>
      <c r="J25" s="85">
        <v>2022</v>
      </c>
      <c r="K25" s="193">
        <f t="shared" si="1"/>
        <v>44572</v>
      </c>
      <c r="L25" s="431">
        <f t="shared" si="2"/>
        <v>6.8422850562610549E-4</v>
      </c>
      <c r="M25" s="847"/>
      <c r="N25" s="847"/>
      <c r="O25" s="320">
        <f t="shared" si="3"/>
        <v>3.5717200089416261E-3</v>
      </c>
      <c r="P25" s="165">
        <f>(INDEX(Models!$BJ25:$BT25,,T25)*(1-R25)+INDEX(Models!$BJ25:$BT25,,T25+1)*R25-ERP_i)*Q25*Ramure*Pc/MaxiM</f>
        <v>1.9099830314442416E-6</v>
      </c>
      <c r="Q25" s="301">
        <f t="shared" si="19"/>
        <v>0.5</v>
      </c>
      <c r="R25" s="173">
        <f t="shared" si="4"/>
        <v>0.99417173722692154</v>
      </c>
      <c r="S25" s="802">
        <f t="shared" si="20"/>
        <v>-1</v>
      </c>
      <c r="T25" s="172">
        <f t="shared" si="21"/>
        <v>5</v>
      </c>
      <c r="U25" s="247">
        <f t="shared" si="22"/>
        <v>-5.8282627730784995E-3</v>
      </c>
      <c r="V25" s="378">
        <f t="shared" si="5"/>
        <v>19.846785987214403</v>
      </c>
      <c r="W25" s="58"/>
      <c r="X25" s="153">
        <f t="shared" si="6"/>
        <v>44572</v>
      </c>
      <c r="Y25" s="380">
        <f t="shared" si="7"/>
        <v>19.989000000000001</v>
      </c>
      <c r="Z25" s="380">
        <f t="shared" si="8"/>
        <v>20.002686408229611</v>
      </c>
      <c r="AA25" s="381">
        <f t="shared" si="9"/>
        <v>20.07438649614512</v>
      </c>
      <c r="AB25" s="193">
        <f t="shared" si="10"/>
        <v>44572</v>
      </c>
      <c r="AC25" s="420">
        <f t="shared" si="11"/>
        <v>3.5717200089416261E-3</v>
      </c>
      <c r="AD25" s="165">
        <f>(INDEX(Models!$BJ25:$BT25,,AH25)*(1-AF25)+INDEX(Models!$BJ25:$BT25,,AH25+1)*AF25-ERP_i)*AE25*Ramure*Pc/MaxiM</f>
        <v>1.9099830314442416E-6</v>
      </c>
      <c r="AE25" s="301">
        <f t="shared" si="12"/>
        <v>0.5</v>
      </c>
      <c r="AF25" s="173">
        <f t="shared" si="13"/>
        <v>0.99417173722692154</v>
      </c>
      <c r="AG25" s="802">
        <f t="shared" si="23"/>
        <v>-1</v>
      </c>
      <c r="AH25" s="172">
        <f t="shared" si="14"/>
        <v>5</v>
      </c>
      <c r="AI25" s="221">
        <f t="shared" si="15"/>
        <v>-5.8282627730784995E-3</v>
      </c>
      <c r="AJ25" s="261" t="b">
        <f t="shared" si="16"/>
        <v>0</v>
      </c>
      <c r="AK25" s="261" t="b">
        <f t="shared" si="17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8"/>
        <v>44573</v>
      </c>
      <c r="B26" s="610">
        <v>17.943000000000001</v>
      </c>
      <c r="C26" s="385"/>
      <c r="D26" s="388">
        <f t="shared" si="24"/>
        <v>17.955531314323519</v>
      </c>
      <c r="E26" s="380">
        <f t="shared" si="25"/>
        <v>18.021153800380024</v>
      </c>
      <c r="F26" s="380">
        <f t="shared" si="26"/>
        <v>18.021186492350228</v>
      </c>
      <c r="G26" s="110">
        <f t="shared" si="27"/>
        <v>0.89380246671667329</v>
      </c>
      <c r="I26" s="375">
        <f t="shared" si="0"/>
        <v>18.021186492350228</v>
      </c>
      <c r="J26" s="85">
        <v>2022</v>
      </c>
      <c r="K26" s="193">
        <f t="shared" si="1"/>
        <v>44573</v>
      </c>
      <c r="L26" s="431">
        <f t="shared" si="2"/>
        <v>6.9790829935068022E-4</v>
      </c>
      <c r="M26" s="847"/>
      <c r="N26" s="847"/>
      <c r="O26" s="320">
        <f t="shared" si="3"/>
        <v>3.641414239254888E-3</v>
      </c>
      <c r="P26" s="165">
        <f>(INDEX(Models!$BJ26:$BT26,,T26)*(1-R26)+INDEX(Models!$BJ26:$BT26,,T26+1)*R26-ERP_i)*Q26*Ramure*Pc/MaxiM</f>
        <v>2.138521121544905E-6</v>
      </c>
      <c r="Q26" s="301">
        <f t="shared" si="19"/>
        <v>0.5</v>
      </c>
      <c r="R26" s="173">
        <f t="shared" si="4"/>
        <v>0.99421573695459264</v>
      </c>
      <c r="S26" s="802">
        <f t="shared" si="20"/>
        <v>-1</v>
      </c>
      <c r="T26" s="172">
        <f t="shared" si="21"/>
        <v>5</v>
      </c>
      <c r="U26" s="247">
        <f t="shared" si="22"/>
        <v>-5.7842630454073849E-3</v>
      </c>
      <c r="V26" s="378">
        <f t="shared" si="5"/>
        <v>20.074898925431079</v>
      </c>
      <c r="W26" s="58"/>
      <c r="X26" s="153">
        <f t="shared" si="6"/>
        <v>44573</v>
      </c>
      <c r="Y26" s="380">
        <f t="shared" si="7"/>
        <v>17.943000000000001</v>
      </c>
      <c r="Z26" s="380">
        <f t="shared" si="8"/>
        <v>17.955531314323519</v>
      </c>
      <c r="AA26" s="381">
        <f t="shared" si="9"/>
        <v>18.021153800380024</v>
      </c>
      <c r="AB26" s="193">
        <f t="shared" si="10"/>
        <v>44573</v>
      </c>
      <c r="AC26" s="420">
        <f t="shared" si="11"/>
        <v>3.641414239254888E-3</v>
      </c>
      <c r="AD26" s="165">
        <f>(INDEX(Models!$BJ26:$BT26,,AH26)*(1-AF26)+INDEX(Models!$BJ26:$BT26,,AH26+1)*AF26-ERP_i)*AE26*Ramure*Pc/MaxiM</f>
        <v>2.138521121544905E-6</v>
      </c>
      <c r="AE26" s="301">
        <f t="shared" si="12"/>
        <v>0.5</v>
      </c>
      <c r="AF26" s="173">
        <f t="shared" si="13"/>
        <v>0.99421573695459264</v>
      </c>
      <c r="AG26" s="802">
        <f t="shared" si="23"/>
        <v>-1</v>
      </c>
      <c r="AH26" s="172">
        <f t="shared" si="14"/>
        <v>5</v>
      </c>
      <c r="AI26" s="221">
        <f t="shared" si="15"/>
        <v>-5.7842630454073849E-3</v>
      </c>
      <c r="AJ26" s="261" t="b">
        <f t="shared" si="16"/>
        <v>0</v>
      </c>
      <c r="AK26" s="261" t="b">
        <f t="shared" si="17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8"/>
        <v>44574</v>
      </c>
      <c r="B27" s="610">
        <v>6.0960000000000001</v>
      </c>
      <c r="C27" s="385"/>
      <c r="D27" s="388">
        <f t="shared" si="24"/>
        <v>6.1003409288262738</v>
      </c>
      <c r="E27" s="380">
        <f t="shared" si="25"/>
        <v>6.123063897243691</v>
      </c>
      <c r="F27" s="380">
        <f t="shared" si="26"/>
        <v>6.1230639003066996</v>
      </c>
      <c r="G27" s="110">
        <f t="shared" si="27"/>
        <v>0.30014663101582345</v>
      </c>
      <c r="I27" s="375">
        <f t="shared" si="0"/>
        <v>6.1230639003066996</v>
      </c>
      <c r="J27" s="85">
        <v>2022</v>
      </c>
      <c r="K27" s="193">
        <f t="shared" si="1"/>
        <v>44574</v>
      </c>
      <c r="L27" s="431">
        <f t="shared" si="2"/>
        <v>7.1158790581049569E-4</v>
      </c>
      <c r="M27" s="847"/>
      <c r="N27" s="847"/>
      <c r="O27" s="320">
        <f t="shared" si="3"/>
        <v>3.7110454502437083E-3</v>
      </c>
      <c r="P27" s="165">
        <f>(INDEX(Models!$BJ27:$BT27,,T27)*(1-R27)+INDEX(Models!$BJ27:$BT27,,T27+1)*R27-ERP_i)*Q27*Ramure*Pc/MaxiM</f>
        <v>2.3765363493458741E-6</v>
      </c>
      <c r="Q27" s="301">
        <f t="shared" si="19"/>
        <v>0.5</v>
      </c>
      <c r="R27" s="173">
        <f t="shared" si="4"/>
        <v>0.9942615743190617</v>
      </c>
      <c r="S27" s="802">
        <f t="shared" si="20"/>
        <v>-1</v>
      </c>
      <c r="T27" s="172">
        <f t="shared" si="21"/>
        <v>5</v>
      </c>
      <c r="U27" s="247">
        <f t="shared" si="22"/>
        <v>-5.738425680938266E-3</v>
      </c>
      <c r="V27" s="378">
        <f t="shared" si="5"/>
        <v>20.310024787059831</v>
      </c>
      <c r="W27" s="58"/>
      <c r="X27" s="153">
        <f t="shared" si="6"/>
        <v>44574</v>
      </c>
      <c r="Y27" s="380">
        <f t="shared" si="7"/>
        <v>6.0960000000000001</v>
      </c>
      <c r="Z27" s="380">
        <f t="shared" si="8"/>
        <v>6.1003409288262738</v>
      </c>
      <c r="AA27" s="381">
        <f t="shared" si="9"/>
        <v>6.123063897243691</v>
      </c>
      <c r="AB27" s="193">
        <f t="shared" si="10"/>
        <v>44574</v>
      </c>
      <c r="AC27" s="420">
        <f t="shared" si="11"/>
        <v>3.7110454502437083E-3</v>
      </c>
      <c r="AD27" s="165">
        <f>(INDEX(Models!$BJ27:$BT27,,AH27)*(1-AF27)+INDEX(Models!$BJ27:$BT27,,AH27+1)*AF27-ERP_i)*AE27*Ramure*Pc/MaxiM</f>
        <v>2.3765363493458741E-6</v>
      </c>
      <c r="AE27" s="301">
        <f t="shared" si="12"/>
        <v>0.5</v>
      </c>
      <c r="AF27" s="173">
        <f t="shared" si="13"/>
        <v>0.9942615743190617</v>
      </c>
      <c r="AG27" s="802">
        <f t="shared" si="23"/>
        <v>-1</v>
      </c>
      <c r="AH27" s="172">
        <f t="shared" si="14"/>
        <v>5</v>
      </c>
      <c r="AI27" s="221">
        <f t="shared" si="15"/>
        <v>-5.738425680938266E-3</v>
      </c>
      <c r="AJ27" s="261" t="b">
        <f t="shared" si="16"/>
        <v>0</v>
      </c>
      <c r="AK27" s="261" t="b">
        <f t="shared" si="17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8"/>
        <v>44575</v>
      </c>
      <c r="B28" s="610">
        <v>20.623000000000001</v>
      </c>
      <c r="C28" s="385"/>
      <c r="D28" s="388">
        <f t="shared" si="24"/>
        <v>20.637968043876779</v>
      </c>
      <c r="E28" s="380">
        <f t="shared" si="25"/>
        <v>20.716288332400961</v>
      </c>
      <c r="F28" s="380">
        <f t="shared" si="26"/>
        <v>20.71634270725017</v>
      </c>
      <c r="G28" s="110">
        <f t="shared" si="27"/>
        <v>1.0034416130426369</v>
      </c>
      <c r="I28" s="375">
        <f t="shared" si="0"/>
        <v>20.71634270725017</v>
      </c>
      <c r="J28" s="85">
        <v>2022</v>
      </c>
      <c r="K28" s="193">
        <f t="shared" si="1"/>
        <v>44575</v>
      </c>
      <c r="L28" s="431">
        <f t="shared" si="2"/>
        <v>7.2526732500777236E-4</v>
      </c>
      <c r="M28" s="847"/>
      <c r="N28" s="847"/>
      <c r="O28" s="320">
        <f t="shared" si="3"/>
        <v>3.7806139433620729E-3</v>
      </c>
      <c r="P28" s="165">
        <f>(INDEX(Models!$BJ28:$BT28,,T28)*(1-R28)+INDEX(Models!$BJ28:$BT28,,T28+1)*R28-ERP_i)*Q28*Ramure*Pc/MaxiM</f>
        <v>2.6247320765116286E-6</v>
      </c>
      <c r="Q28" s="301">
        <f t="shared" si="19"/>
        <v>0.5</v>
      </c>
      <c r="R28" s="173">
        <f t="shared" si="4"/>
        <v>0.99430932570945119</v>
      </c>
      <c r="S28" s="802">
        <f t="shared" si="20"/>
        <v>-1</v>
      </c>
      <c r="T28" s="172">
        <f t="shared" si="21"/>
        <v>5</v>
      </c>
      <c r="U28" s="247">
        <f t="shared" si="22"/>
        <v>-5.6906742905487853E-3</v>
      </c>
      <c r="V28" s="378">
        <f t="shared" si="5"/>
        <v>20.552267049666114</v>
      </c>
      <c r="W28" s="58"/>
      <c r="X28" s="153">
        <f t="shared" si="6"/>
        <v>44575</v>
      </c>
      <c r="Y28" s="380">
        <f t="shared" si="7"/>
        <v>20.623000000000001</v>
      </c>
      <c r="Z28" s="380">
        <f t="shared" si="8"/>
        <v>20.637968043876779</v>
      </c>
      <c r="AA28" s="381">
        <f t="shared" si="9"/>
        <v>20.716288332400961</v>
      </c>
      <c r="AB28" s="193">
        <f t="shared" si="10"/>
        <v>44575</v>
      </c>
      <c r="AC28" s="420">
        <f t="shared" si="11"/>
        <v>3.7806139433620729E-3</v>
      </c>
      <c r="AD28" s="165">
        <f>(INDEX(Models!$BJ28:$BT28,,AH28)*(1-AF28)+INDEX(Models!$BJ28:$BT28,,AH28+1)*AF28-ERP_i)*AE28*Ramure*Pc/MaxiM</f>
        <v>2.6247320765116286E-6</v>
      </c>
      <c r="AE28" s="301">
        <f t="shared" si="12"/>
        <v>0.5</v>
      </c>
      <c r="AF28" s="173">
        <f t="shared" si="13"/>
        <v>0.99430932570945119</v>
      </c>
      <c r="AG28" s="802">
        <f t="shared" si="23"/>
        <v>-1</v>
      </c>
      <c r="AH28" s="172">
        <f t="shared" si="14"/>
        <v>5</v>
      </c>
      <c r="AI28" s="221">
        <f t="shared" si="15"/>
        <v>-5.6906742905487853E-3</v>
      </c>
      <c r="AJ28" s="261" t="b">
        <f t="shared" si="16"/>
        <v>0</v>
      </c>
      <c r="AK28" s="261" t="b">
        <f t="shared" si="17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8"/>
        <v>44576</v>
      </c>
      <c r="B29" s="610">
        <v>21.219000000000001</v>
      </c>
      <c r="C29" s="385"/>
      <c r="D29" s="388">
        <f t="shared" si="24"/>
        <v>21.234691302025432</v>
      </c>
      <c r="E29" s="380">
        <f t="shared" si="25"/>
        <v>21.316763400627771</v>
      </c>
      <c r="F29" s="380">
        <f t="shared" si="26"/>
        <v>21.316824874836083</v>
      </c>
      <c r="G29" s="110">
        <f t="shared" si="27"/>
        <v>1.0200594310119344</v>
      </c>
      <c r="I29" s="375">
        <f t="shared" si="0"/>
        <v>21.316824874836083</v>
      </c>
      <c r="J29" s="85">
        <v>2022</v>
      </c>
      <c r="K29" s="193">
        <f t="shared" si="1"/>
        <v>44576</v>
      </c>
      <c r="L29" s="431">
        <f t="shared" si="2"/>
        <v>7.3894655694539679E-4</v>
      </c>
      <c r="M29" s="847"/>
      <c r="N29" s="847"/>
      <c r="O29" s="320">
        <f t="shared" si="3"/>
        <v>3.8501200702880144E-3</v>
      </c>
      <c r="P29" s="165">
        <f>(INDEX(Models!$BJ29:$BT29,,T29)*(1-R29)+INDEX(Models!$BJ29:$BT29,,T29+1)*R29-ERP_i)*Q29*Ramure*Pc/MaxiM</f>
        <v>2.883835124273815E-6</v>
      </c>
      <c r="Q29" s="301">
        <f t="shared" si="19"/>
        <v>0.5</v>
      </c>
      <c r="R29" s="173">
        <f t="shared" si="4"/>
        <v>0.99435907065962348</v>
      </c>
      <c r="S29" s="802">
        <f t="shared" si="20"/>
        <v>-1</v>
      </c>
      <c r="T29" s="172">
        <f t="shared" si="21"/>
        <v>5</v>
      </c>
      <c r="U29" s="247">
        <f t="shared" si="22"/>
        <v>-5.6409293403764807E-3</v>
      </c>
      <c r="V29" s="378">
        <f t="shared" si="5"/>
        <v>20.801729149202629</v>
      </c>
      <c r="W29" s="58"/>
      <c r="X29" s="153">
        <f t="shared" si="6"/>
        <v>44576</v>
      </c>
      <c r="Y29" s="380">
        <f t="shared" si="7"/>
        <v>21.219000000000001</v>
      </c>
      <c r="Z29" s="380">
        <f t="shared" si="8"/>
        <v>21.234691302025432</v>
      </c>
      <c r="AA29" s="381">
        <f t="shared" si="9"/>
        <v>21.316763400627771</v>
      </c>
      <c r="AB29" s="193">
        <f t="shared" si="10"/>
        <v>44576</v>
      </c>
      <c r="AC29" s="420">
        <f t="shared" si="11"/>
        <v>3.8501200702880144E-3</v>
      </c>
      <c r="AD29" s="165">
        <f>(INDEX(Models!$BJ29:$BT29,,AH29)*(1-AF29)+INDEX(Models!$BJ29:$BT29,,AH29+1)*AF29-ERP_i)*AE29*Ramure*Pc/MaxiM</f>
        <v>2.883835124273815E-6</v>
      </c>
      <c r="AE29" s="301">
        <f t="shared" si="12"/>
        <v>0.5</v>
      </c>
      <c r="AF29" s="173">
        <f t="shared" si="13"/>
        <v>0.99435907065962348</v>
      </c>
      <c r="AG29" s="802">
        <f t="shared" si="23"/>
        <v>-1</v>
      </c>
      <c r="AH29" s="172">
        <f t="shared" si="14"/>
        <v>5</v>
      </c>
      <c r="AI29" s="221">
        <f t="shared" si="15"/>
        <v>-5.6409293403764807E-3</v>
      </c>
      <c r="AJ29" s="261" t="b">
        <f t="shared" si="16"/>
        <v>0</v>
      </c>
      <c r="AK29" s="261" t="b">
        <f t="shared" si="17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8"/>
        <v>44577</v>
      </c>
      <c r="B30" s="610">
        <v>20.928000000000001</v>
      </c>
      <c r="C30" s="385"/>
      <c r="D30" s="388">
        <f t="shared" si="24"/>
        <v>20.943762812086756</v>
      </c>
      <c r="E30" s="380">
        <f t="shared" si="25"/>
        <v>21.026176260426567</v>
      </c>
      <c r="F30" s="380">
        <f t="shared" si="26"/>
        <v>21.026241804609086</v>
      </c>
      <c r="G30" s="110">
        <f t="shared" si="27"/>
        <v>0.99380225639315223</v>
      </c>
      <c r="I30" s="375">
        <f t="shared" si="0"/>
        <v>21.026241804609086</v>
      </c>
      <c r="J30" s="85">
        <v>2022</v>
      </c>
      <c r="K30" s="193">
        <f t="shared" si="1"/>
        <v>44577</v>
      </c>
      <c r="L30" s="431">
        <f t="shared" si="2"/>
        <v>7.5262560162592251E-4</v>
      </c>
      <c r="M30" s="847"/>
      <c r="N30" s="847"/>
      <c r="O30" s="320">
        <f t="shared" si="3"/>
        <v>3.9195642288474422E-3</v>
      </c>
      <c r="P30" s="165">
        <f>(INDEX(Models!$BJ30:$BT30,,T30)*(1-R30)+INDEX(Models!$BJ30:$BT30,,T30+1)*R30-ERP_i)*Q30*Ramure*Pc/MaxiM</f>
        <v>3.1451025551368685E-6</v>
      </c>
      <c r="Q30" s="301">
        <f t="shared" si="19"/>
        <v>0.5</v>
      </c>
      <c r="R30" s="173">
        <f t="shared" si="4"/>
        <v>0.99441089197501675</v>
      </c>
      <c r="S30" s="802">
        <f t="shared" si="20"/>
        <v>-1</v>
      </c>
      <c r="T30" s="172">
        <f t="shared" si="21"/>
        <v>5</v>
      </c>
      <c r="U30" s="247">
        <f t="shared" si="22"/>
        <v>-5.5891080249831923E-3</v>
      </c>
      <c r="V30" s="378">
        <f t="shared" si="5"/>
        <v>21.058514692031807</v>
      </c>
      <c r="W30" s="58"/>
      <c r="X30" s="153">
        <f t="shared" si="6"/>
        <v>44577</v>
      </c>
      <c r="Y30" s="380">
        <f t="shared" si="7"/>
        <v>20.928000000000001</v>
      </c>
      <c r="Z30" s="380">
        <f t="shared" si="8"/>
        <v>20.943762812086756</v>
      </c>
      <c r="AA30" s="381">
        <f t="shared" si="9"/>
        <v>21.026176260426567</v>
      </c>
      <c r="AB30" s="193">
        <f t="shared" si="10"/>
        <v>44577</v>
      </c>
      <c r="AC30" s="420">
        <f t="shared" si="11"/>
        <v>3.9195642288474422E-3</v>
      </c>
      <c r="AD30" s="165">
        <f>(INDEX(Models!$BJ30:$BT30,,AH30)*(1-AF30)+INDEX(Models!$BJ30:$BT30,,AH30+1)*AF30-ERP_i)*AE30*Ramure*Pc/MaxiM</f>
        <v>3.1451025551368685E-6</v>
      </c>
      <c r="AE30" s="301">
        <f t="shared" si="12"/>
        <v>0.5</v>
      </c>
      <c r="AF30" s="173">
        <f t="shared" si="13"/>
        <v>0.99441089197501675</v>
      </c>
      <c r="AG30" s="802">
        <f t="shared" si="23"/>
        <v>-1</v>
      </c>
      <c r="AH30" s="172">
        <f t="shared" si="14"/>
        <v>5</v>
      </c>
      <c r="AI30" s="221">
        <f t="shared" si="15"/>
        <v>-5.5891080249831923E-3</v>
      </c>
      <c r="AJ30" s="261" t="b">
        <f t="shared" si="16"/>
        <v>0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44578</v>
      </c>
      <c r="B31" s="610">
        <v>14.043000000000001</v>
      </c>
      <c r="C31" s="385"/>
      <c r="D31" s="388">
        <f t="shared" si="24"/>
        <v>14.053769466208442</v>
      </c>
      <c r="E31" s="380">
        <f t="shared" si="25"/>
        <v>14.110053720664251</v>
      </c>
      <c r="F31" s="380">
        <f t="shared" si="26"/>
        <v>14.110078337543527</v>
      </c>
      <c r="G31" s="110">
        <f t="shared" si="27"/>
        <v>0.65859196094999894</v>
      </c>
      <c r="I31" s="375">
        <f t="shared" si="0"/>
        <v>14.110078337543527</v>
      </c>
      <c r="J31" s="85">
        <v>2022</v>
      </c>
      <c r="K31" s="193">
        <f t="shared" si="1"/>
        <v>44578</v>
      </c>
      <c r="L31" s="431">
        <f t="shared" si="2"/>
        <v>7.6630445905168099E-4</v>
      </c>
      <c r="M31" s="847"/>
      <c r="N31" s="847"/>
      <c r="O31" s="320">
        <f t="shared" si="3"/>
        <v>3.9889468580392934E-3</v>
      </c>
      <c r="P31" s="165">
        <f>(INDEX(Models!$BJ31:$BT31,,T31)*(1-R31)+INDEX(Models!$BJ31:$BT31,,T31+1)*R31-ERP_i)*Q31*Ramure*Pc/MaxiM</f>
        <v>3.4056478324256187E-6</v>
      </c>
      <c r="Q31" s="301">
        <f t="shared" si="19"/>
        <v>0.5</v>
      </c>
      <c r="R31" s="173">
        <f t="shared" si="4"/>
        <v>0.99446487586437093</v>
      </c>
      <c r="S31" s="802">
        <f t="shared" si="20"/>
        <v>-1</v>
      </c>
      <c r="T31" s="172">
        <f t="shared" si="21"/>
        <v>5</v>
      </c>
      <c r="U31" s="247">
        <f t="shared" si="22"/>
        <v>-5.5351241356290694E-3</v>
      </c>
      <c r="V31" s="378">
        <f t="shared" si="5"/>
        <v>21.322727131443511</v>
      </c>
      <c r="W31" s="58"/>
      <c r="X31" s="153">
        <f t="shared" si="6"/>
        <v>44578</v>
      </c>
      <c r="Y31" s="380">
        <f t="shared" si="7"/>
        <v>14.043000000000001</v>
      </c>
      <c r="Z31" s="380">
        <f t="shared" si="8"/>
        <v>14.053769466208442</v>
      </c>
      <c r="AA31" s="381">
        <f t="shared" si="9"/>
        <v>14.110053720664251</v>
      </c>
      <c r="AB31" s="193">
        <f t="shared" si="10"/>
        <v>44578</v>
      </c>
      <c r="AC31" s="420">
        <f t="shared" si="11"/>
        <v>3.9889468580392934E-3</v>
      </c>
      <c r="AD31" s="165">
        <f>(INDEX(Models!$BJ31:$BT31,,AH31)*(1-AF31)+INDEX(Models!$BJ31:$BT31,,AH31+1)*AF31-ERP_i)*AE31*Ramure*Pc/MaxiM</f>
        <v>3.4056478324256187E-6</v>
      </c>
      <c r="AE31" s="301">
        <f t="shared" si="12"/>
        <v>0.5</v>
      </c>
      <c r="AF31" s="173">
        <f t="shared" si="13"/>
        <v>0.99446487586437093</v>
      </c>
      <c r="AG31" s="802">
        <f t="shared" si="23"/>
        <v>-1</v>
      </c>
      <c r="AH31" s="172">
        <f t="shared" si="14"/>
        <v>5</v>
      </c>
      <c r="AI31" s="221">
        <f t="shared" si="15"/>
        <v>-5.5351241356290694E-3</v>
      </c>
      <c r="AJ31" s="261" t="b">
        <f t="shared" si="16"/>
        <v>0</v>
      </c>
      <c r="AK31" s="261" t="b">
        <f t="shared" si="17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8"/>
        <v>44579</v>
      </c>
      <c r="B32" s="610">
        <v>4.4550000000000001</v>
      </c>
      <c r="C32" s="385"/>
      <c r="D32" s="388">
        <f t="shared" si="24"/>
        <v>4.4584775372610936</v>
      </c>
      <c r="E32" s="380">
        <f t="shared" si="25"/>
        <v>4.4766449642017561</v>
      </c>
      <c r="F32" s="380">
        <f t="shared" si="26"/>
        <v>4.4766449642017561</v>
      </c>
      <c r="G32" s="110">
        <f t="shared" si="27"/>
        <v>0.20630206277698127</v>
      </c>
      <c r="I32" s="375">
        <f t="shared" si="0"/>
        <v>4.4766449642017561</v>
      </c>
      <c r="J32" s="85">
        <v>2022</v>
      </c>
      <c r="K32" s="193">
        <f t="shared" si="1"/>
        <v>44579</v>
      </c>
      <c r="L32" s="431">
        <f t="shared" si="2"/>
        <v>7.7998312922533675E-4</v>
      </c>
      <c r="M32" s="847"/>
      <c r="N32" s="847"/>
      <c r="O32" s="320">
        <f t="shared" si="3"/>
        <v>4.0582684322615012E-3</v>
      </c>
      <c r="P32" s="165">
        <f>(INDEX(Models!$BJ32:$BT32,,T32)*(1-R32)+INDEX(Models!$BJ32:$BT32,,T32+1)*R32-ERP_i)*Q32*Ramure*Pc/MaxiM</f>
        <v>3.6636721254163647E-6</v>
      </c>
      <c r="Q32" s="301">
        <f t="shared" si="19"/>
        <v>0.5</v>
      </c>
      <c r="R32" s="173">
        <f t="shared" si="4"/>
        <v>0.99452111207651261</v>
      </c>
      <c r="S32" s="802">
        <f t="shared" si="20"/>
        <v>-1</v>
      </c>
      <c r="T32" s="172">
        <f t="shared" si="21"/>
        <v>5</v>
      </c>
      <c r="U32" s="247">
        <f t="shared" si="22"/>
        <v>-5.4788879234873855E-3</v>
      </c>
      <c r="V32" s="378">
        <f t="shared" si="5"/>
        <v>21.594469867985044</v>
      </c>
      <c r="W32" s="58"/>
      <c r="X32" s="153">
        <f t="shared" si="6"/>
        <v>44579</v>
      </c>
      <c r="Y32" s="380">
        <f t="shared" si="7"/>
        <v>4.4550000000000001</v>
      </c>
      <c r="Z32" s="380">
        <f t="shared" si="8"/>
        <v>4.4584775372610936</v>
      </c>
      <c r="AA32" s="381">
        <f t="shared" si="9"/>
        <v>4.4766449642017561</v>
      </c>
      <c r="AB32" s="193">
        <f t="shared" si="10"/>
        <v>44579</v>
      </c>
      <c r="AC32" s="420">
        <f t="shared" si="11"/>
        <v>4.0582684322615012E-3</v>
      </c>
      <c r="AD32" s="165">
        <f>(INDEX(Models!$BJ32:$BT32,,AH32)*(1-AF32)+INDEX(Models!$BJ32:$BT32,,AH32+1)*AF32-ERP_i)*AE32*Ramure*Pc/MaxiM</f>
        <v>3.6636721254163647E-6</v>
      </c>
      <c r="AE32" s="301">
        <f t="shared" si="12"/>
        <v>0.5</v>
      </c>
      <c r="AF32" s="173">
        <f t="shared" si="13"/>
        <v>0.99452111207651261</v>
      </c>
      <c r="AG32" s="802">
        <f t="shared" si="23"/>
        <v>-1</v>
      </c>
      <c r="AH32" s="172">
        <f t="shared" si="14"/>
        <v>5</v>
      </c>
      <c r="AI32" s="221">
        <f t="shared" si="15"/>
        <v>-5.4788879234873855E-3</v>
      </c>
      <c r="AJ32" s="261" t="b">
        <f t="shared" si="16"/>
        <v>0</v>
      </c>
      <c r="AK32" s="261" t="b">
        <f t="shared" si="17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8"/>
        <v>44580</v>
      </c>
      <c r="B33" s="610">
        <v>11.263999999999999</v>
      </c>
      <c r="C33" s="385"/>
      <c r="D33" s="388">
        <f t="shared" si="24"/>
        <v>11.272946905214468</v>
      </c>
      <c r="E33" s="380">
        <f t="shared" si="25"/>
        <v>11.319669173145741</v>
      </c>
      <c r="F33" s="380">
        <f t="shared" si="26"/>
        <v>11.319682789711347</v>
      </c>
      <c r="G33" s="110">
        <f t="shared" si="27"/>
        <v>0.51495147610661018</v>
      </c>
      <c r="I33" s="375">
        <f t="shared" si="0"/>
        <v>11.319682789711347</v>
      </c>
      <c r="J33" s="85">
        <v>2022</v>
      </c>
      <c r="K33" s="193">
        <f t="shared" si="1"/>
        <v>44580</v>
      </c>
      <c r="L33" s="431">
        <f t="shared" si="2"/>
        <v>7.9366161214955433E-4</v>
      </c>
      <c r="M33" s="847"/>
      <c r="N33" s="847"/>
      <c r="O33" s="320">
        <f t="shared" si="3"/>
        <v>4.1275294548461933E-3</v>
      </c>
      <c r="P33" s="165">
        <f>(INDEX(Models!$BJ33:$BT33,,T33)*(1-R33)+INDEX(Models!$BJ33:$BT33,,T33+1)*R33-ERP_i)*Q33*Ramure*Pc/MaxiM</f>
        <v>3.9173115236173186E-6</v>
      </c>
      <c r="Q33" s="301">
        <f t="shared" si="19"/>
        <v>0.5</v>
      </c>
      <c r="R33" s="173">
        <f t="shared" si="4"/>
        <v>0.99457969404237345</v>
      </c>
      <c r="S33" s="802">
        <f t="shared" si="20"/>
        <v>-1</v>
      </c>
      <c r="T33" s="172">
        <f t="shared" si="21"/>
        <v>5</v>
      </c>
      <c r="U33" s="247">
        <f t="shared" si="22"/>
        <v>-5.4203059576265053E-3</v>
      </c>
      <c r="V33" s="378">
        <f t="shared" si="5"/>
        <v>21.873846270164755</v>
      </c>
      <c r="W33" s="58"/>
      <c r="X33" s="153">
        <f t="shared" si="6"/>
        <v>44580</v>
      </c>
      <c r="Y33" s="380">
        <f t="shared" si="7"/>
        <v>11.263999999999999</v>
      </c>
      <c r="Z33" s="380">
        <f t="shared" si="8"/>
        <v>11.272946905214468</v>
      </c>
      <c r="AA33" s="381">
        <f t="shared" si="9"/>
        <v>11.319669173145741</v>
      </c>
      <c r="AB33" s="193">
        <f t="shared" si="10"/>
        <v>44580</v>
      </c>
      <c r="AC33" s="420">
        <f t="shared" si="11"/>
        <v>4.1275294548461933E-3</v>
      </c>
      <c r="AD33" s="165">
        <f>(INDEX(Models!$BJ33:$BT33,,AH33)*(1-AF33)+INDEX(Models!$BJ33:$BT33,,AH33+1)*AF33-ERP_i)*AE33*Ramure*Pc/MaxiM</f>
        <v>3.9173115236173186E-6</v>
      </c>
      <c r="AE33" s="301">
        <f t="shared" si="12"/>
        <v>0.5</v>
      </c>
      <c r="AF33" s="173">
        <f t="shared" si="13"/>
        <v>0.99457969404237345</v>
      </c>
      <c r="AG33" s="802">
        <f t="shared" si="23"/>
        <v>-1</v>
      </c>
      <c r="AH33" s="172">
        <f t="shared" si="14"/>
        <v>5</v>
      </c>
      <c r="AI33" s="221">
        <f t="shared" si="15"/>
        <v>-5.4203059576265053E-3</v>
      </c>
      <c r="AJ33" s="261" t="b">
        <f t="shared" si="16"/>
        <v>0</v>
      </c>
      <c r="AK33" s="261" t="b">
        <f t="shared" si="17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8"/>
        <v>44581</v>
      </c>
      <c r="B34" s="610">
        <v>6.5200000000000005</v>
      </c>
      <c r="C34" s="385"/>
      <c r="D34" s="388">
        <f t="shared" si="24"/>
        <v>6.5252681093539522</v>
      </c>
      <c r="E34" s="380">
        <f t="shared" si="25"/>
        <v>6.552768311666</v>
      </c>
      <c r="F34" s="380">
        <f t="shared" si="26"/>
        <v>6.552768311666</v>
      </c>
      <c r="G34" s="110">
        <f t="shared" si="27"/>
        <v>0.29420986005230615</v>
      </c>
      <c r="I34" s="375">
        <f t="shared" si="0"/>
        <v>6.552768311666</v>
      </c>
      <c r="J34" s="85">
        <v>2022</v>
      </c>
      <c r="K34" s="193">
        <f t="shared" si="1"/>
        <v>44581</v>
      </c>
      <c r="L34" s="431">
        <f t="shared" si="2"/>
        <v>8.0733990782688725E-4</v>
      </c>
      <c r="M34" s="847"/>
      <c r="N34" s="847"/>
      <c r="O34" s="320">
        <f t="shared" si="3"/>
        <v>4.1967304510201293E-3</v>
      </c>
      <c r="P34" s="165">
        <f>(INDEX(Models!$BJ34:$BT34,,T34)*(1-R34)+INDEX(Models!$BJ34:$BT34,,T34+1)*R34-ERP_i)*Q34*Ramure*Pc/MaxiM</f>
        <v>4.1646560890176E-6</v>
      </c>
      <c r="Q34" s="301">
        <f t="shared" si="19"/>
        <v>0.5</v>
      </c>
      <c r="R34" s="173">
        <f t="shared" si="4"/>
        <v>0.99464071902241613</v>
      </c>
      <c r="S34" s="802">
        <f t="shared" si="20"/>
        <v>-1</v>
      </c>
      <c r="T34" s="172">
        <f t="shared" si="21"/>
        <v>5</v>
      </c>
      <c r="U34" s="247">
        <f t="shared" si="22"/>
        <v>-5.3592809775838551E-3</v>
      </c>
      <c r="V34" s="378">
        <f t="shared" si="5"/>
        <v>22.160959681239596</v>
      </c>
      <c r="W34" s="58"/>
      <c r="X34" s="153">
        <f t="shared" si="6"/>
        <v>44581</v>
      </c>
      <c r="Y34" s="380">
        <f t="shared" si="7"/>
        <v>6.5200000000000005</v>
      </c>
      <c r="Z34" s="380">
        <f t="shared" si="8"/>
        <v>6.5252681093539522</v>
      </c>
      <c r="AA34" s="381">
        <f t="shared" si="9"/>
        <v>6.552768311666</v>
      </c>
      <c r="AB34" s="193">
        <f t="shared" si="10"/>
        <v>44581</v>
      </c>
      <c r="AC34" s="420">
        <f t="shared" si="11"/>
        <v>4.1967304510201293E-3</v>
      </c>
      <c r="AD34" s="165">
        <f>(INDEX(Models!$BJ34:$BT34,,AH34)*(1-AF34)+INDEX(Models!$BJ34:$BT34,,AH34+1)*AF34-ERP_i)*AE34*Ramure*Pc/MaxiM</f>
        <v>4.1646560890176E-6</v>
      </c>
      <c r="AE34" s="301">
        <f t="shared" si="12"/>
        <v>0.5</v>
      </c>
      <c r="AF34" s="173">
        <f t="shared" si="13"/>
        <v>0.99464071902241613</v>
      </c>
      <c r="AG34" s="802">
        <f t="shared" si="23"/>
        <v>-1</v>
      </c>
      <c r="AH34" s="172">
        <f t="shared" si="14"/>
        <v>5</v>
      </c>
      <c r="AI34" s="221">
        <f t="shared" si="15"/>
        <v>-5.3592809775838551E-3</v>
      </c>
      <c r="AJ34" s="261" t="b">
        <f t="shared" si="16"/>
        <v>0</v>
      </c>
      <c r="AK34" s="261" t="b">
        <f t="shared" si="17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8"/>
        <v>44582</v>
      </c>
      <c r="B35" s="610">
        <v>18.353000000000002</v>
      </c>
      <c r="C35" s="385"/>
      <c r="D35" s="388">
        <f t="shared" si="24"/>
        <v>18.368080525035165</v>
      </c>
      <c r="E35" s="380">
        <f t="shared" si="25"/>
        <v>18.446772092866247</v>
      </c>
      <c r="F35" s="380">
        <f t="shared" si="26"/>
        <v>18.44683212449177</v>
      </c>
      <c r="G35" s="110">
        <f t="shared" si="27"/>
        <v>0.81728935139572578</v>
      </c>
      <c r="I35" s="375">
        <f t="shared" si="0"/>
        <v>18.44683212449177</v>
      </c>
      <c r="J35" s="85">
        <v>2022</v>
      </c>
      <c r="K35" s="193">
        <f t="shared" si="1"/>
        <v>44582</v>
      </c>
      <c r="L35" s="431">
        <f t="shared" si="2"/>
        <v>8.2101801625977799E-4</v>
      </c>
      <c r="M35" s="847"/>
      <c r="N35" s="847"/>
      <c r="O35" s="320">
        <f t="shared" si="3"/>
        <v>4.2658719604128656E-3</v>
      </c>
      <c r="P35" s="165">
        <f>(INDEX(Models!$BJ35:$BT35,,T35)*(1-R35)+INDEX(Models!$BJ35:$BT35,,T35+1)*R35-ERP_i)*Q35*Ramure*Pc/MaxiM</f>
        <v>4.4037435559761144E-6</v>
      </c>
      <c r="Q35" s="301">
        <f t="shared" si="19"/>
        <v>0.5</v>
      </c>
      <c r="R35" s="173">
        <f t="shared" si="4"/>
        <v>0.99470428825965229</v>
      </c>
      <c r="S35" s="802">
        <f t="shared" si="20"/>
        <v>-1</v>
      </c>
      <c r="T35" s="172">
        <f t="shared" si="21"/>
        <v>5</v>
      </c>
      <c r="U35" s="247">
        <f t="shared" si="22"/>
        <v>-5.2957117403476649E-3</v>
      </c>
      <c r="V35" s="378">
        <f t="shared" si="5"/>
        <v>22.455913408085767</v>
      </c>
      <c r="W35" s="58"/>
      <c r="X35" s="153">
        <f t="shared" si="6"/>
        <v>44582</v>
      </c>
      <c r="Y35" s="380">
        <f t="shared" si="7"/>
        <v>18.353000000000002</v>
      </c>
      <c r="Z35" s="380">
        <f t="shared" si="8"/>
        <v>18.368080525035165</v>
      </c>
      <c r="AA35" s="381">
        <f t="shared" si="9"/>
        <v>18.446772092866247</v>
      </c>
      <c r="AB35" s="193">
        <f t="shared" si="10"/>
        <v>44582</v>
      </c>
      <c r="AC35" s="420">
        <f t="shared" si="11"/>
        <v>4.2658719604128656E-3</v>
      </c>
      <c r="AD35" s="165">
        <f>(INDEX(Models!$BJ35:$BT35,,AH35)*(1-AF35)+INDEX(Models!$BJ35:$BT35,,AH35+1)*AF35-ERP_i)*AE35*Ramure*Pc/MaxiM</f>
        <v>4.4037435559761144E-6</v>
      </c>
      <c r="AE35" s="301">
        <f t="shared" si="12"/>
        <v>0.5</v>
      </c>
      <c r="AF35" s="173">
        <f t="shared" si="13"/>
        <v>0.99470428825965229</v>
      </c>
      <c r="AG35" s="802">
        <f t="shared" si="23"/>
        <v>-1</v>
      </c>
      <c r="AH35" s="172">
        <f t="shared" si="14"/>
        <v>5</v>
      </c>
      <c r="AI35" s="221">
        <f t="shared" si="15"/>
        <v>-5.2957117403476649E-3</v>
      </c>
      <c r="AJ35" s="261" t="b">
        <f t="shared" si="16"/>
        <v>0</v>
      </c>
      <c r="AK35" s="261" t="b">
        <f t="shared" si="17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8"/>
        <v>44583</v>
      </c>
      <c r="B36" s="610">
        <v>22.632999999999999</v>
      </c>
      <c r="C36" s="385"/>
      <c r="D36" s="388">
        <f t="shared" si="24"/>
        <v>22.651907455128306</v>
      </c>
      <c r="E36" s="380">
        <f t="shared" si="25"/>
        <v>22.750529968055922</v>
      </c>
      <c r="F36" s="380">
        <f t="shared" si="26"/>
        <v>22.750634528837967</v>
      </c>
      <c r="G36" s="110">
        <f t="shared" si="27"/>
        <v>0.99447196231390167</v>
      </c>
      <c r="I36" s="375">
        <f t="shared" si="0"/>
        <v>22.750634528837967</v>
      </c>
      <c r="J36" s="85">
        <v>2022</v>
      </c>
      <c r="K36" s="193">
        <f t="shared" si="1"/>
        <v>44583</v>
      </c>
      <c r="L36" s="431">
        <f t="shared" si="2"/>
        <v>8.3469593745078008E-4</v>
      </c>
      <c r="M36" s="847"/>
      <c r="N36" s="847"/>
      <c r="O36" s="320">
        <f t="shared" si="3"/>
        <v>4.3349545292391154E-3</v>
      </c>
      <c r="P36" s="165">
        <f>(INDEX(Models!$BJ36:$BT36,,T36)*(1-R36)+INDEX(Models!$BJ36:$BT36,,T36+1)*R36-ERP_i)*Q36*Ramure*Pc/MaxiM</f>
        <v>4.6325339351651825E-6</v>
      </c>
      <c r="Q36" s="301">
        <f t="shared" si="19"/>
        <v>0.5</v>
      </c>
      <c r="R36" s="173">
        <f t="shared" si="4"/>
        <v>0.9947705071384344</v>
      </c>
      <c r="S36" s="802">
        <f t="shared" si="20"/>
        <v>-1</v>
      </c>
      <c r="T36" s="172">
        <f t="shared" si="21"/>
        <v>5</v>
      </c>
      <c r="U36" s="247">
        <f t="shared" si="22"/>
        <v>-5.2294928615655694E-3</v>
      </c>
      <c r="V36" s="378">
        <f t="shared" si="5"/>
        <v>22.758810735431503</v>
      </c>
      <c r="W36" s="58"/>
      <c r="X36" s="153">
        <f t="shared" si="6"/>
        <v>44583</v>
      </c>
      <c r="Y36" s="380">
        <f t="shared" si="7"/>
        <v>22.632999999999999</v>
      </c>
      <c r="Z36" s="380">
        <f t="shared" si="8"/>
        <v>22.651907455128306</v>
      </c>
      <c r="AA36" s="381">
        <f t="shared" si="9"/>
        <v>22.750529968055922</v>
      </c>
      <c r="AB36" s="193">
        <f t="shared" si="10"/>
        <v>44583</v>
      </c>
      <c r="AC36" s="420">
        <f t="shared" si="11"/>
        <v>4.3349545292391154E-3</v>
      </c>
      <c r="AD36" s="165">
        <f>(INDEX(Models!$BJ36:$BT36,,AH36)*(1-AF36)+INDEX(Models!$BJ36:$BT36,,AH36+1)*AF36-ERP_i)*AE36*Ramure*Pc/MaxiM</f>
        <v>4.6325339351651825E-6</v>
      </c>
      <c r="AE36" s="301">
        <f t="shared" si="12"/>
        <v>0.5</v>
      </c>
      <c r="AF36" s="173">
        <f t="shared" si="13"/>
        <v>0.9947705071384344</v>
      </c>
      <c r="AG36" s="802">
        <f t="shared" si="23"/>
        <v>-1</v>
      </c>
      <c r="AH36" s="172">
        <f t="shared" si="14"/>
        <v>5</v>
      </c>
      <c r="AI36" s="221">
        <f t="shared" si="15"/>
        <v>-5.2294928615655694E-3</v>
      </c>
      <c r="AJ36" s="261" t="b">
        <f t="shared" si="16"/>
        <v>0</v>
      </c>
      <c r="AK36" s="261" t="b">
        <f t="shared" si="17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8"/>
        <v>44584</v>
      </c>
      <c r="B37" s="610">
        <v>22.707000000000001</v>
      </c>
      <c r="C37" s="385"/>
      <c r="D37" s="388">
        <f t="shared" si="24"/>
        <v>22.726280377921544</v>
      </c>
      <c r="E37" s="380">
        <f t="shared" si="25"/>
        <v>22.826809159300236</v>
      </c>
      <c r="F37" s="380">
        <f t="shared" si="26"/>
        <v>22.826917337644495</v>
      </c>
      <c r="G37" s="110">
        <f t="shared" si="27"/>
        <v>0.9841964591056539</v>
      </c>
      <c r="I37" s="375">
        <f t="shared" si="0"/>
        <v>22.826917337644495</v>
      </c>
      <c r="J37" s="85">
        <v>2022</v>
      </c>
      <c r="K37" s="193">
        <f t="shared" si="1"/>
        <v>44584</v>
      </c>
      <c r="L37" s="431">
        <f t="shared" si="2"/>
        <v>8.4837367140266906E-4</v>
      </c>
      <c r="M37" s="847"/>
      <c r="N37" s="847"/>
      <c r="O37" s="320">
        <f t="shared" si="3"/>
        <v>4.4039787022854713E-3</v>
      </c>
      <c r="P37" s="165">
        <f>(INDEX(Models!$BJ37:$BT37,,T37)*(1-R37)+INDEX(Models!$BJ37:$BT37,,T37+1)*R37-ERP_i)*Q37*Ramure*Pc/MaxiM</f>
        <v>4.8485314078900041E-6</v>
      </c>
      <c r="Q37" s="301">
        <f t="shared" si="19"/>
        <v>0.5</v>
      </c>
      <c r="R37" s="173">
        <f t="shared" si="4"/>
        <v>0.99483948534921174</v>
      </c>
      <c r="S37" s="802">
        <f t="shared" si="20"/>
        <v>-1</v>
      </c>
      <c r="T37" s="172">
        <f t="shared" si="21"/>
        <v>5</v>
      </c>
      <c r="U37" s="247">
        <f t="shared" si="22"/>
        <v>-5.1605146507882754E-3</v>
      </c>
      <c r="V37" s="378">
        <f t="shared" si="5"/>
        <v>23.071610656948739</v>
      </c>
      <c r="W37" s="58"/>
      <c r="X37" s="153">
        <f t="shared" si="6"/>
        <v>44584</v>
      </c>
      <c r="Y37" s="380">
        <f t="shared" si="7"/>
        <v>22.707000000000001</v>
      </c>
      <c r="Z37" s="380">
        <f t="shared" si="8"/>
        <v>22.726280377921544</v>
      </c>
      <c r="AA37" s="381">
        <f t="shared" si="9"/>
        <v>22.826809159300236</v>
      </c>
      <c r="AB37" s="193">
        <f t="shared" si="10"/>
        <v>44584</v>
      </c>
      <c r="AC37" s="420">
        <f t="shared" si="11"/>
        <v>4.4039787022854713E-3</v>
      </c>
      <c r="AD37" s="165">
        <f>(INDEX(Models!$BJ37:$BT37,,AH37)*(1-AF37)+INDEX(Models!$BJ37:$BT37,,AH37+1)*AF37-ERP_i)*AE37*Ramure*Pc/MaxiM</f>
        <v>4.8485314078900041E-6</v>
      </c>
      <c r="AE37" s="301">
        <f t="shared" si="12"/>
        <v>0.5</v>
      </c>
      <c r="AF37" s="173">
        <f t="shared" si="13"/>
        <v>0.99483948534921174</v>
      </c>
      <c r="AG37" s="802">
        <f t="shared" si="23"/>
        <v>-1</v>
      </c>
      <c r="AH37" s="172">
        <f t="shared" si="14"/>
        <v>5</v>
      </c>
      <c r="AI37" s="221">
        <f t="shared" si="15"/>
        <v>-5.1605146507882754E-3</v>
      </c>
      <c r="AJ37" s="261" t="b">
        <f t="shared" si="16"/>
        <v>0</v>
      </c>
      <c r="AK37" s="261" t="b">
        <f t="shared" si="17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8"/>
        <v>44585</v>
      </c>
      <c r="B38" s="610">
        <v>23.269000000000002</v>
      </c>
      <c r="C38" s="385"/>
      <c r="D38" s="388">
        <f t="shared" si="24"/>
        <v>23.289076376659338</v>
      </c>
      <c r="E38" s="380">
        <f t="shared" si="25"/>
        <v>23.393715178344721</v>
      </c>
      <c r="F38" s="380">
        <f t="shared" si="26"/>
        <v>23.393832011186525</v>
      </c>
      <c r="G38" s="110">
        <f t="shared" si="27"/>
        <v>0.99459081404797756</v>
      </c>
      <c r="I38" s="375">
        <f t="shared" si="0"/>
        <v>23.393832011186525</v>
      </c>
      <c r="J38" s="85">
        <v>2022</v>
      </c>
      <c r="K38" s="193">
        <f t="shared" si="1"/>
        <v>44585</v>
      </c>
      <c r="L38" s="431">
        <f t="shared" si="2"/>
        <v>8.6205121811777641E-4</v>
      </c>
      <c r="M38" s="847"/>
      <c r="N38" s="847"/>
      <c r="O38" s="320">
        <f t="shared" si="3"/>
        <v>4.4729450148323557E-3</v>
      </c>
      <c r="P38" s="165">
        <f>(INDEX(Models!$BJ38:$BT38,,T38)*(1-R38)+INDEX(Models!$BJ38:$BT38,,T38+1)*R38-ERP_i)*Q38*Ramure*Pc/MaxiM</f>
        <v>5.0330651702708089E-6</v>
      </c>
      <c r="Q38" s="301">
        <f t="shared" si="19"/>
        <v>0.5</v>
      </c>
      <c r="R38" s="173">
        <f t="shared" si="4"/>
        <v>0.99491133705944124</v>
      </c>
      <c r="S38" s="802">
        <f t="shared" si="20"/>
        <v>-1</v>
      </c>
      <c r="T38" s="172">
        <f t="shared" si="21"/>
        <v>5</v>
      </c>
      <c r="U38" s="247">
        <f t="shared" si="22"/>
        <v>-5.0886629405587983E-3</v>
      </c>
      <c r="V38" s="378">
        <f t="shared" si="5"/>
        <v>23.395549975277298</v>
      </c>
      <c r="W38" s="58"/>
      <c r="X38" s="153">
        <f t="shared" si="6"/>
        <v>44585</v>
      </c>
      <c r="Y38" s="380">
        <f t="shared" si="7"/>
        <v>23.269000000000002</v>
      </c>
      <c r="Z38" s="380">
        <f t="shared" si="8"/>
        <v>23.289076376659338</v>
      </c>
      <c r="AA38" s="381">
        <f t="shared" si="9"/>
        <v>23.393715178344721</v>
      </c>
      <c r="AB38" s="193">
        <f t="shared" si="10"/>
        <v>44585</v>
      </c>
      <c r="AC38" s="420">
        <f t="shared" si="11"/>
        <v>4.4729450148323557E-3</v>
      </c>
      <c r="AD38" s="165">
        <f>(INDEX(Models!$BJ38:$BT38,,AH38)*(1-AF38)+INDEX(Models!$BJ38:$BT38,,AH38+1)*AF38-ERP_i)*AE38*Ramure*Pc/MaxiM</f>
        <v>5.0330651702708089E-6</v>
      </c>
      <c r="AE38" s="301">
        <f t="shared" si="12"/>
        <v>0.5</v>
      </c>
      <c r="AF38" s="173">
        <f t="shared" si="13"/>
        <v>0.99491133705944124</v>
      </c>
      <c r="AG38" s="802">
        <f t="shared" si="23"/>
        <v>-1</v>
      </c>
      <c r="AH38" s="172">
        <f t="shared" si="14"/>
        <v>5</v>
      </c>
      <c r="AI38" s="221">
        <f t="shared" si="15"/>
        <v>-5.0886629405587983E-3</v>
      </c>
      <c r="AJ38" s="261" t="b">
        <f t="shared" si="16"/>
        <v>0</v>
      </c>
      <c r="AK38" s="261" t="b">
        <f t="shared" si="17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8"/>
        <v>44586</v>
      </c>
      <c r="B39" s="610">
        <v>21.79</v>
      </c>
      <c r="C39" s="385"/>
      <c r="D39" s="388">
        <f t="shared" si="24"/>
        <v>21.809098851115596</v>
      </c>
      <c r="E39" s="380">
        <f t="shared" si="25"/>
        <v>21.908604533915916</v>
      </c>
      <c r="F39" s="380">
        <f t="shared" si="26"/>
        <v>21.908704752489474</v>
      </c>
      <c r="G39" s="110">
        <f t="shared" si="27"/>
        <v>0.9182599915923354</v>
      </c>
      <c r="I39" s="375">
        <f t="shared" si="0"/>
        <v>21.908704752489474</v>
      </c>
      <c r="J39" s="85">
        <v>2022</v>
      </c>
      <c r="K39" s="193">
        <f t="shared" si="1"/>
        <v>44586</v>
      </c>
      <c r="L39" s="431">
        <f t="shared" si="2"/>
        <v>8.7572857759876666E-4</v>
      </c>
      <c r="M39" s="847"/>
      <c r="N39" s="847"/>
      <c r="O39" s="320">
        <f t="shared" si="3"/>
        <v>4.5418539846423514E-3</v>
      </c>
      <c r="P39" s="165">
        <f>(INDEX(Models!$BJ39:$BT39,,T39)*(1-R39)+INDEX(Models!$BJ39:$BT39,,T39+1)*R39-ERP_i)*Q39*Ramure*Pc/MaxiM</f>
        <v>5.1791444090052606E-6</v>
      </c>
      <c r="Q39" s="301">
        <f t="shared" si="19"/>
        <v>0.5</v>
      </c>
      <c r="R39" s="173">
        <f t="shared" si="4"/>
        <v>0.99498618109084946</v>
      </c>
      <c r="S39" s="802">
        <f t="shared" si="20"/>
        <v>-1</v>
      </c>
      <c r="T39" s="172">
        <f t="shared" si="21"/>
        <v>5</v>
      </c>
      <c r="U39" s="247">
        <f t="shared" si="22"/>
        <v>-5.0138189091505653E-3</v>
      </c>
      <c r="V39" s="378">
        <f t="shared" si="5"/>
        <v>23.729648488954968</v>
      </c>
      <c r="W39" s="58"/>
      <c r="X39" s="153">
        <f t="shared" si="6"/>
        <v>44586</v>
      </c>
      <c r="Y39" s="380">
        <f t="shared" si="7"/>
        <v>21.79</v>
      </c>
      <c r="Z39" s="380">
        <f t="shared" si="8"/>
        <v>21.809098851115596</v>
      </c>
      <c r="AA39" s="381">
        <f t="shared" si="9"/>
        <v>21.908604533915916</v>
      </c>
      <c r="AB39" s="193">
        <f t="shared" si="10"/>
        <v>44586</v>
      </c>
      <c r="AC39" s="420">
        <f t="shared" si="11"/>
        <v>4.5418539846423514E-3</v>
      </c>
      <c r="AD39" s="165">
        <f>(INDEX(Models!$BJ39:$BT39,,AH39)*(1-AF39)+INDEX(Models!$BJ39:$BT39,,AH39+1)*AF39-ERP_i)*AE39*Ramure*Pc/MaxiM</f>
        <v>5.1791444090052606E-6</v>
      </c>
      <c r="AE39" s="301">
        <f t="shared" si="12"/>
        <v>0.5</v>
      </c>
      <c r="AF39" s="173">
        <f t="shared" si="13"/>
        <v>0.99498618109084946</v>
      </c>
      <c r="AG39" s="802">
        <f t="shared" si="23"/>
        <v>-1</v>
      </c>
      <c r="AH39" s="172">
        <f t="shared" si="14"/>
        <v>5</v>
      </c>
      <c r="AI39" s="221">
        <f t="shared" si="15"/>
        <v>-5.0138189091505653E-3</v>
      </c>
      <c r="AJ39" s="261" t="b">
        <f t="shared" si="16"/>
        <v>0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44587</v>
      </c>
      <c r="B40" s="610">
        <v>23.446000000000002</v>
      </c>
      <c r="C40" s="385"/>
      <c r="D40" s="388">
        <f t="shared" si="24"/>
        <v>23.466871570505759</v>
      </c>
      <c r="E40" s="380">
        <f t="shared" si="25"/>
        <v>23.575571602401634</v>
      </c>
      <c r="F40" s="380">
        <f t="shared" si="26"/>
        <v>23.575691488486939</v>
      </c>
      <c r="G40" s="110">
        <f t="shared" si="27"/>
        <v>0.97395701323729167</v>
      </c>
      <c r="I40" s="375">
        <f t="shared" si="0"/>
        <v>23.575691488486939</v>
      </c>
      <c r="J40" s="85">
        <v>2022</v>
      </c>
      <c r="K40" s="193">
        <f t="shared" si="1"/>
        <v>44587</v>
      </c>
      <c r="L40" s="431">
        <f t="shared" si="2"/>
        <v>8.8940574984819332E-4</v>
      </c>
      <c r="M40" s="847"/>
      <c r="N40" s="847"/>
      <c r="O40" s="320">
        <f t="shared" si="3"/>
        <v>4.6107061041439209E-3</v>
      </c>
      <c r="P40" s="165">
        <f>(INDEX(Models!$BJ40:$BT40,,T40)*(1-R40)+INDEX(Models!$BJ40:$BT40,,T40+1)*R40-ERP_i)*Q40*Ramure*Pc/MaxiM</f>
        <v>5.2816553616910467E-6</v>
      </c>
      <c r="Q40" s="301">
        <f t="shared" si="19"/>
        <v>0.5</v>
      </c>
      <c r="R40" s="173">
        <f t="shared" si="4"/>
        <v>0.99506414110324215</v>
      </c>
      <c r="S40" s="802">
        <f t="shared" si="20"/>
        <v>-1</v>
      </c>
      <c r="T40" s="172">
        <f t="shared" si="21"/>
        <v>5</v>
      </c>
      <c r="U40" s="247">
        <f t="shared" si="22"/>
        <v>-4.9358588967578967E-3</v>
      </c>
      <c r="V40" s="378">
        <f t="shared" si="5"/>
        <v>24.072926293674549</v>
      </c>
      <c r="W40" s="58"/>
      <c r="X40" s="153">
        <f t="shared" si="6"/>
        <v>44587</v>
      </c>
      <c r="Y40" s="380">
        <f t="shared" si="7"/>
        <v>23.446000000000002</v>
      </c>
      <c r="Z40" s="380">
        <f t="shared" si="8"/>
        <v>23.466871570505759</v>
      </c>
      <c r="AA40" s="381">
        <f t="shared" si="9"/>
        <v>23.575571602401634</v>
      </c>
      <c r="AB40" s="193">
        <f t="shared" si="10"/>
        <v>44587</v>
      </c>
      <c r="AC40" s="420">
        <f t="shared" si="11"/>
        <v>4.6107061041439209E-3</v>
      </c>
      <c r="AD40" s="165">
        <f>(INDEX(Models!$BJ40:$BT40,,AH40)*(1-AF40)+INDEX(Models!$BJ40:$BT40,,AH40+1)*AF40-ERP_i)*AE40*Ramure*Pc/MaxiM</f>
        <v>5.2816553616910467E-6</v>
      </c>
      <c r="AE40" s="301">
        <f t="shared" si="12"/>
        <v>0.5</v>
      </c>
      <c r="AF40" s="173">
        <f t="shared" si="13"/>
        <v>0.99506414110324215</v>
      </c>
      <c r="AG40" s="802">
        <f t="shared" si="23"/>
        <v>-1</v>
      </c>
      <c r="AH40" s="172">
        <f t="shared" si="14"/>
        <v>5</v>
      </c>
      <c r="AI40" s="221">
        <f t="shared" si="15"/>
        <v>-4.9358588967578967E-3</v>
      </c>
      <c r="AJ40" s="261" t="b">
        <f t="shared" si="16"/>
        <v>0</v>
      </c>
      <c r="AK40" s="261" t="b">
        <f t="shared" si="17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8"/>
        <v>44588</v>
      </c>
      <c r="B41" s="610">
        <v>19.625</v>
      </c>
      <c r="C41" s="385"/>
      <c r="D41" s="388">
        <f t="shared" si="24"/>
        <v>19.642739018473112</v>
      </c>
      <c r="E41" s="380">
        <f t="shared" si="25"/>
        <v>19.7350894055194</v>
      </c>
      <c r="F41" s="380">
        <f t="shared" si="26"/>
        <v>19.735165141649773</v>
      </c>
      <c r="G41" s="110">
        <f t="shared" si="27"/>
        <v>0.80349844989039954</v>
      </c>
      <c r="I41" s="375">
        <f t="shared" si="0"/>
        <v>19.735165141649773</v>
      </c>
      <c r="J41" s="85">
        <v>2022</v>
      </c>
      <c r="K41" s="193">
        <f t="shared" si="1"/>
        <v>44588</v>
      </c>
      <c r="L41" s="431">
        <f t="shared" si="2"/>
        <v>9.030827348686099E-4</v>
      </c>
      <c r="M41" s="847"/>
      <c r="N41" s="847"/>
      <c r="O41" s="320">
        <f t="shared" si="3"/>
        <v>4.6795018329362304E-3</v>
      </c>
      <c r="P41" s="165">
        <f>(INDEX(Models!$BJ41:$BT41,,T41)*(1-R41)+INDEX(Models!$BJ41:$BT41,,T41+1)*R41-ERP_i)*Q41*Ramure*Pc/MaxiM</f>
        <v>5.3353290726851353E-6</v>
      </c>
      <c r="Q41" s="301">
        <f t="shared" si="19"/>
        <v>0.5</v>
      </c>
      <c r="R41" s="173">
        <f t="shared" si="4"/>
        <v>0.99514534578506386</v>
      </c>
      <c r="S41" s="802">
        <f t="shared" si="20"/>
        <v>-1</v>
      </c>
      <c r="T41" s="172">
        <f t="shared" si="21"/>
        <v>5</v>
      </c>
      <c r="U41" s="247">
        <f t="shared" si="22"/>
        <v>-4.8546542149361547E-3</v>
      </c>
      <c r="V41" s="378">
        <f t="shared" si="5"/>
        <v>24.424403818189237</v>
      </c>
      <c r="W41" s="58"/>
      <c r="X41" s="153">
        <f t="shared" si="6"/>
        <v>44588</v>
      </c>
      <c r="Y41" s="380">
        <f t="shared" si="7"/>
        <v>19.625</v>
      </c>
      <c r="Z41" s="380">
        <f t="shared" si="8"/>
        <v>19.642739018473112</v>
      </c>
      <c r="AA41" s="381">
        <f t="shared" si="9"/>
        <v>19.7350894055194</v>
      </c>
      <c r="AB41" s="193">
        <f t="shared" si="10"/>
        <v>44588</v>
      </c>
      <c r="AC41" s="420">
        <f t="shared" si="11"/>
        <v>4.6795018329362304E-3</v>
      </c>
      <c r="AD41" s="165">
        <f>(INDEX(Models!$BJ41:$BT41,,AH41)*(1-AF41)+INDEX(Models!$BJ41:$BT41,,AH41+1)*AF41-ERP_i)*AE41*Ramure*Pc/MaxiM</f>
        <v>5.3353290726851353E-6</v>
      </c>
      <c r="AE41" s="301">
        <f t="shared" si="12"/>
        <v>0.5</v>
      </c>
      <c r="AF41" s="173">
        <f t="shared" si="13"/>
        <v>0.99514534578506386</v>
      </c>
      <c r="AG41" s="802">
        <f t="shared" si="23"/>
        <v>-1</v>
      </c>
      <c r="AH41" s="172">
        <f t="shared" si="14"/>
        <v>5</v>
      </c>
      <c r="AI41" s="221">
        <f t="shared" si="15"/>
        <v>-4.8546542149361547E-3</v>
      </c>
      <c r="AJ41" s="261" t="b">
        <f t="shared" si="16"/>
        <v>0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44589</v>
      </c>
      <c r="B42" s="610">
        <v>4.68</v>
      </c>
      <c r="C42" s="385"/>
      <c r="D42" s="388">
        <f t="shared" si="24"/>
        <v>4.6842943715188872</v>
      </c>
      <c r="E42" s="380">
        <f t="shared" si="25"/>
        <v>4.7066426478923402</v>
      </c>
      <c r="F42" s="380">
        <f t="shared" si="26"/>
        <v>4.7066426478923402</v>
      </c>
      <c r="G42" s="110">
        <f t="shared" si="27"/>
        <v>0.18883734021650811</v>
      </c>
      <c r="I42" s="375">
        <f t="shared" si="0"/>
        <v>4.7066426478923402</v>
      </c>
      <c r="J42" s="85">
        <v>2022</v>
      </c>
      <c r="K42" s="193">
        <f t="shared" si="1"/>
        <v>44589</v>
      </c>
      <c r="L42" s="431">
        <f t="shared" si="2"/>
        <v>9.1675953266256993E-4</v>
      </c>
      <c r="M42" s="847"/>
      <c r="N42" s="847"/>
      <c r="O42" s="320">
        <f t="shared" si="3"/>
        <v>4.7482415907358771E-3</v>
      </c>
      <c r="P42" s="165">
        <f>(INDEX(Models!$BJ42:$BT42,,T42)*(1-R42)+INDEX(Models!$BJ42:$BT42,,T42+1)*R42-ERP_i)*Q42*Ramure*Pc/MaxiM</f>
        <v>5.3347137224929236E-6</v>
      </c>
      <c r="Q42" s="301">
        <f t="shared" si="19"/>
        <v>0.5</v>
      </c>
      <c r="R42" s="173">
        <f t="shared" si="4"/>
        <v>0.99522992905090979</v>
      </c>
      <c r="S42" s="802">
        <f t="shared" si="20"/>
        <v>-1</v>
      </c>
      <c r="T42" s="172">
        <f t="shared" si="21"/>
        <v>5</v>
      </c>
      <c r="U42" s="247">
        <f t="shared" si="22"/>
        <v>-4.7700709490902026E-3</v>
      </c>
      <c r="V42" s="378">
        <f t="shared" si="5"/>
        <v>24.783101838725518</v>
      </c>
      <c r="W42" s="58"/>
      <c r="X42" s="153">
        <f t="shared" si="6"/>
        <v>44589</v>
      </c>
      <c r="Y42" s="380">
        <f t="shared" si="7"/>
        <v>4.68</v>
      </c>
      <c r="Z42" s="380">
        <f t="shared" si="8"/>
        <v>4.6842943715188872</v>
      </c>
      <c r="AA42" s="381">
        <f t="shared" si="9"/>
        <v>4.7066426478923402</v>
      </c>
      <c r="AB42" s="193">
        <f t="shared" si="10"/>
        <v>44589</v>
      </c>
      <c r="AC42" s="420">
        <f t="shared" si="11"/>
        <v>4.7482415907358771E-3</v>
      </c>
      <c r="AD42" s="165">
        <f>(INDEX(Models!$BJ42:$BT42,,AH42)*(1-AF42)+INDEX(Models!$BJ42:$BT42,,AH42+1)*AF42-ERP_i)*AE42*Ramure*Pc/MaxiM</f>
        <v>5.3347137224929236E-6</v>
      </c>
      <c r="AE42" s="301">
        <f t="shared" si="12"/>
        <v>0.5</v>
      </c>
      <c r="AF42" s="173">
        <f t="shared" si="13"/>
        <v>0.99522992905090979</v>
      </c>
      <c r="AG42" s="802">
        <f t="shared" si="23"/>
        <v>-1</v>
      </c>
      <c r="AH42" s="172">
        <f t="shared" si="14"/>
        <v>5</v>
      </c>
      <c r="AI42" s="221">
        <f t="shared" si="15"/>
        <v>-4.7700709490902026E-3</v>
      </c>
      <c r="AJ42" s="261" t="b">
        <f t="shared" si="16"/>
        <v>0</v>
      </c>
      <c r="AK42" s="261" t="b">
        <f t="shared" si="17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8"/>
        <v>44590</v>
      </c>
      <c r="B43" s="610">
        <v>7.032</v>
      </c>
      <c r="C43" s="385"/>
      <c r="D43" s="388">
        <f t="shared" si="24"/>
        <v>7.0385489203113698</v>
      </c>
      <c r="E43" s="380">
        <f t="shared" si="25"/>
        <v>7.0726171921905499</v>
      </c>
      <c r="F43" s="380">
        <f t="shared" si="26"/>
        <v>7.0726171921905499</v>
      </c>
      <c r="G43" s="110">
        <f t="shared" si="27"/>
        <v>0.2796226863023365</v>
      </c>
      <c r="I43" s="375">
        <f t="shared" si="0"/>
        <v>7.0726171921905499</v>
      </c>
      <c r="J43" s="85">
        <v>2022</v>
      </c>
      <c r="K43" s="193">
        <f t="shared" si="1"/>
        <v>44590</v>
      </c>
      <c r="L43" s="431">
        <f t="shared" si="2"/>
        <v>9.3043614323273793E-4</v>
      </c>
      <c r="M43" s="847"/>
      <c r="N43" s="847"/>
      <c r="O43" s="320">
        <f t="shared" si="3"/>
        <v>4.8169257508801295E-3</v>
      </c>
      <c r="P43" s="165">
        <f>(INDEX(Models!$BJ43:$BT43,,T43)*(1-R43)+INDEX(Models!$BJ43:$BT43,,T43+1)*R43-ERP_i)*Q43*Ramure*Pc/MaxiM</f>
        <v>5.2741435921661715E-6</v>
      </c>
      <c r="Q43" s="301">
        <f t="shared" si="19"/>
        <v>0.5</v>
      </c>
      <c r="R43" s="173">
        <f t="shared" si="4"/>
        <v>0.99531803024619503</v>
      </c>
      <c r="S43" s="802">
        <f t="shared" si="20"/>
        <v>-1</v>
      </c>
      <c r="T43" s="172">
        <f t="shared" si="21"/>
        <v>5</v>
      </c>
      <c r="U43" s="247">
        <f t="shared" si="22"/>
        <v>-4.6819697538049293E-3</v>
      </c>
      <c r="V43" s="378">
        <f t="shared" si="5"/>
        <v>25.148041474070848</v>
      </c>
      <c r="W43" s="58"/>
      <c r="X43" s="153">
        <f t="shared" si="6"/>
        <v>44590</v>
      </c>
      <c r="Y43" s="380">
        <f t="shared" si="7"/>
        <v>7.032</v>
      </c>
      <c r="Z43" s="380">
        <f t="shared" si="8"/>
        <v>7.0385489203113698</v>
      </c>
      <c r="AA43" s="381">
        <f t="shared" si="9"/>
        <v>7.0726171921905499</v>
      </c>
      <c r="AB43" s="193">
        <f t="shared" si="10"/>
        <v>44590</v>
      </c>
      <c r="AC43" s="420">
        <f t="shared" si="11"/>
        <v>4.8169257508801295E-3</v>
      </c>
      <c r="AD43" s="165">
        <f>(INDEX(Models!$BJ43:$BT43,,AH43)*(1-AF43)+INDEX(Models!$BJ43:$BT43,,AH43+1)*AF43-ERP_i)*AE43*Ramure*Pc/MaxiM</f>
        <v>5.2741435921661715E-6</v>
      </c>
      <c r="AE43" s="301">
        <f t="shared" si="12"/>
        <v>0.5</v>
      </c>
      <c r="AF43" s="173">
        <f t="shared" si="13"/>
        <v>0.99531803024619503</v>
      </c>
      <c r="AG43" s="802">
        <f t="shared" si="23"/>
        <v>-1</v>
      </c>
      <c r="AH43" s="172">
        <f t="shared" si="14"/>
        <v>5</v>
      </c>
      <c r="AI43" s="221">
        <f t="shared" si="15"/>
        <v>-4.6819697538049293E-3</v>
      </c>
      <c r="AJ43" s="261" t="b">
        <f t="shared" si="16"/>
        <v>0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44591</v>
      </c>
      <c r="B44" s="610">
        <v>5.0670000000000002</v>
      </c>
      <c r="C44" s="385"/>
      <c r="D44" s="388">
        <f t="shared" si="24"/>
        <v>5.071788339105991</v>
      </c>
      <c r="E44" s="380">
        <f t="shared" si="25"/>
        <v>5.0966884891748485</v>
      </c>
      <c r="F44" s="380">
        <f t="shared" si="26"/>
        <v>5.0966884891748485</v>
      </c>
      <c r="G44" s="110">
        <f t="shared" si="27"/>
        <v>0.19856279610809152</v>
      </c>
      <c r="I44" s="375">
        <f t="shared" si="0"/>
        <v>5.0966884891748485</v>
      </c>
      <c r="J44" s="85">
        <v>2022</v>
      </c>
      <c r="K44" s="193">
        <f t="shared" si="1"/>
        <v>44591</v>
      </c>
      <c r="L44" s="431">
        <f t="shared" si="2"/>
        <v>9.4411256658144538E-4</v>
      </c>
      <c r="M44" s="847"/>
      <c r="N44" s="847"/>
      <c r="O44" s="320">
        <f t="shared" si="3"/>
        <v>4.8855546344934286E-3</v>
      </c>
      <c r="P44" s="165">
        <f>(INDEX(Models!$BJ44:$BT44,,T44)*(1-R44)+INDEX(Models!$BJ44:$BT44,,T44+1)*R44-ERP_i)*Q44*Ramure*Pc/MaxiM</f>
        <v>5.1653717763350513E-6</v>
      </c>
      <c r="Q44" s="301">
        <f t="shared" si="19"/>
        <v>0.5</v>
      </c>
      <c r="R44" s="173">
        <f t="shared" si="4"/>
        <v>0.99540979435918853</v>
      </c>
      <c r="S44" s="802">
        <f t="shared" si="20"/>
        <v>-1</v>
      </c>
      <c r="T44" s="172">
        <f t="shared" si="21"/>
        <v>5</v>
      </c>
      <c r="U44" s="247">
        <f t="shared" si="22"/>
        <v>-4.5902056408114577E-3</v>
      </c>
      <c r="V44" s="378">
        <f t="shared" si="5"/>
        <v>25.518243731332749</v>
      </c>
      <c r="W44" s="58"/>
      <c r="X44" s="153">
        <f t="shared" si="6"/>
        <v>44591</v>
      </c>
      <c r="Y44" s="380">
        <f t="shared" si="7"/>
        <v>5.0670000000000002</v>
      </c>
      <c r="Z44" s="380">
        <f t="shared" si="8"/>
        <v>5.071788339105991</v>
      </c>
      <c r="AA44" s="381">
        <f t="shared" si="9"/>
        <v>5.0966884891748485</v>
      </c>
      <c r="AB44" s="193">
        <f t="shared" si="10"/>
        <v>44591</v>
      </c>
      <c r="AC44" s="420">
        <f t="shared" si="11"/>
        <v>4.8855546344934286E-3</v>
      </c>
      <c r="AD44" s="165">
        <f>(INDEX(Models!$BJ44:$BT44,,AH44)*(1-AF44)+INDEX(Models!$BJ44:$BT44,,AH44+1)*AF44-ERP_i)*AE44*Ramure*Pc/MaxiM</f>
        <v>5.1653717763350513E-6</v>
      </c>
      <c r="AE44" s="301">
        <f t="shared" si="12"/>
        <v>0.5</v>
      </c>
      <c r="AF44" s="173">
        <f t="shared" si="13"/>
        <v>0.99540979435918853</v>
      </c>
      <c r="AG44" s="802">
        <f t="shared" si="23"/>
        <v>-1</v>
      </c>
      <c r="AH44" s="172">
        <f t="shared" si="14"/>
        <v>5</v>
      </c>
      <c r="AI44" s="221">
        <f t="shared" si="15"/>
        <v>-4.5902056408114577E-3</v>
      </c>
      <c r="AJ44" s="261" t="b">
        <f t="shared" si="16"/>
        <v>0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44592</v>
      </c>
      <c r="B45" s="610">
        <v>11.746</v>
      </c>
      <c r="C45" s="385"/>
      <c r="D45" s="388">
        <f t="shared" si="24"/>
        <v>11.757260972910412</v>
      </c>
      <c r="E45" s="380">
        <f t="shared" si="25"/>
        <v>11.815797954370385</v>
      </c>
      <c r="F45" s="380">
        <f t="shared" si="26"/>
        <v>11.815810990102225</v>
      </c>
      <c r="G45" s="110">
        <f t="shared" si="27"/>
        <v>0.45363907256390501</v>
      </c>
      <c r="I45" s="375">
        <f t="shared" si="0"/>
        <v>11.815810990102225</v>
      </c>
      <c r="J45" s="85">
        <v>2022</v>
      </c>
      <c r="K45" s="193">
        <f t="shared" si="1"/>
        <v>44592</v>
      </c>
      <c r="L45" s="431">
        <f t="shared" si="2"/>
        <v>9.5778880271157885E-4</v>
      </c>
      <c r="M45" s="847"/>
      <c r="N45" s="847"/>
      <c r="O45" s="320">
        <f t="shared" si="3"/>
        <v>4.9541285054151962E-3</v>
      </c>
      <c r="P45" s="165">
        <f>(INDEX(Models!$BJ45:$BT45,,T45)*(1-R45)+INDEX(Models!$BJ45:$BT45,,T45+1)*R45-ERP_i)*Q45*Ramure*Pc/MaxiM</f>
        <v>5.0264713906237879E-6</v>
      </c>
      <c r="Q45" s="301">
        <f t="shared" si="19"/>
        <v>0.5</v>
      </c>
      <c r="R45" s="173">
        <f t="shared" si="4"/>
        <v>0.99550537224061864</v>
      </c>
      <c r="S45" s="802">
        <f t="shared" si="20"/>
        <v>-1</v>
      </c>
      <c r="T45" s="172">
        <f t="shared" si="21"/>
        <v>5</v>
      </c>
      <c r="U45" s="247">
        <f t="shared" si="22"/>
        <v>-4.4946277593813973E-3</v>
      </c>
      <c r="V45" s="378">
        <f t="shared" si="5"/>
        <v>25.892729767175776</v>
      </c>
      <c r="W45" s="58"/>
      <c r="X45" s="153">
        <f t="shared" si="6"/>
        <v>44592</v>
      </c>
      <c r="Y45" s="380">
        <f t="shared" si="7"/>
        <v>11.746</v>
      </c>
      <c r="Z45" s="380">
        <f t="shared" si="8"/>
        <v>11.757260972910412</v>
      </c>
      <c r="AA45" s="381">
        <f t="shared" si="9"/>
        <v>11.815797954370385</v>
      </c>
      <c r="AB45" s="193">
        <f t="shared" si="10"/>
        <v>44592</v>
      </c>
      <c r="AC45" s="420">
        <f t="shared" si="11"/>
        <v>4.9541285054151962E-3</v>
      </c>
      <c r="AD45" s="165">
        <f>(INDEX(Models!$BJ45:$BT45,,AH45)*(1-AF45)+INDEX(Models!$BJ45:$BT45,,AH45+1)*AF45-ERP_i)*AE45*Ramure*Pc/MaxiM</f>
        <v>5.0264713906237879E-6</v>
      </c>
      <c r="AE45" s="301">
        <f t="shared" si="12"/>
        <v>0.5</v>
      </c>
      <c r="AF45" s="173">
        <f t="shared" si="13"/>
        <v>0.99550537224061864</v>
      </c>
      <c r="AG45" s="802">
        <f t="shared" si="23"/>
        <v>-1</v>
      </c>
      <c r="AH45" s="172">
        <f t="shared" si="14"/>
        <v>5</v>
      </c>
      <c r="AI45" s="221">
        <f t="shared" si="15"/>
        <v>-4.4946277593813973E-3</v>
      </c>
      <c r="AJ45" s="261" t="b">
        <f t="shared" si="16"/>
        <v>0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44593</v>
      </c>
      <c r="B46" s="610">
        <v>15.139000000000001</v>
      </c>
      <c r="C46" s="385"/>
      <c r="D46" s="388">
        <f t="shared" si="24"/>
        <v>15.153721307621682</v>
      </c>
      <c r="E46" s="380">
        <f t="shared" si="25"/>
        <v>15.230217321581224</v>
      </c>
      <c r="F46" s="380">
        <f t="shared" si="26"/>
        <v>15.230246512611631</v>
      </c>
      <c r="G46" s="110">
        <f t="shared" si="27"/>
        <v>0.57627160054113413</v>
      </c>
      <c r="I46" s="375">
        <f t="shared" si="0"/>
        <v>15.230246512611631</v>
      </c>
      <c r="J46" s="85">
        <v>2022</v>
      </c>
      <c r="K46" s="193">
        <f t="shared" si="1"/>
        <v>44593</v>
      </c>
      <c r="L46" s="431">
        <f t="shared" si="2"/>
        <v>9.7146485162535878E-4</v>
      </c>
      <c r="M46" s="847"/>
      <c r="N46" s="847"/>
      <c r="O46" s="320">
        <f t="shared" si="3"/>
        <v>5.0226475659770438E-3</v>
      </c>
      <c r="P46" s="165">
        <f>(INDEX(Models!$BJ46:$BT46,,T46)*(1-R46)+INDEX(Models!$BJ46:$BT46,,T46+1)*R46-ERP_i)*Q46*Ramure*Pc/MaxiM</f>
        <v>4.8562565941427601E-6</v>
      </c>
      <c r="Q46" s="301">
        <f t="shared" si="19"/>
        <v>0.5</v>
      </c>
      <c r="R46" s="173">
        <f t="shared" si="4"/>
        <v>0.99560492083105911</v>
      </c>
      <c r="S46" s="802">
        <f t="shared" si="20"/>
        <v>-1</v>
      </c>
      <c r="T46" s="172">
        <f t="shared" si="21"/>
        <v>5</v>
      </c>
      <c r="U46" s="247">
        <f t="shared" si="22"/>
        <v>-4.3950791689409225E-3</v>
      </c>
      <c r="V46" s="378">
        <f t="shared" si="5"/>
        <v>26.27052154396149</v>
      </c>
      <c r="W46" s="58"/>
      <c r="X46" s="153">
        <f t="shared" si="6"/>
        <v>44593</v>
      </c>
      <c r="Y46" s="380">
        <f t="shared" si="7"/>
        <v>15.139000000000001</v>
      </c>
      <c r="Z46" s="380">
        <f t="shared" si="8"/>
        <v>15.153721307621682</v>
      </c>
      <c r="AA46" s="381">
        <f t="shared" si="9"/>
        <v>15.230217321581224</v>
      </c>
      <c r="AB46" s="193">
        <f t="shared" si="10"/>
        <v>44593</v>
      </c>
      <c r="AC46" s="420">
        <f t="shared" si="11"/>
        <v>5.0226475659770438E-3</v>
      </c>
      <c r="AD46" s="165">
        <f>(INDEX(Models!$BJ46:$BT46,,AH46)*(1-AF46)+INDEX(Models!$BJ46:$BT46,,AH46+1)*AF46-ERP_i)*AE46*Ramure*Pc/MaxiM</f>
        <v>4.8562565941427601E-6</v>
      </c>
      <c r="AE46" s="301">
        <f t="shared" si="12"/>
        <v>0.5</v>
      </c>
      <c r="AF46" s="173">
        <f t="shared" si="13"/>
        <v>0.99560492083105911</v>
      </c>
      <c r="AG46" s="802">
        <f t="shared" si="23"/>
        <v>-1</v>
      </c>
      <c r="AH46" s="172">
        <f t="shared" si="14"/>
        <v>5</v>
      </c>
      <c r="AI46" s="221">
        <f t="shared" si="15"/>
        <v>-4.3950791689409225E-3</v>
      </c>
      <c r="AJ46" s="261" t="b">
        <f t="shared" si="16"/>
        <v>0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44594</v>
      </c>
      <c r="B47" s="610">
        <v>6.1040000000000001</v>
      </c>
      <c r="C47" s="385"/>
      <c r="D47" s="388">
        <f t="shared" si="24"/>
        <v>6.1100192287013968</v>
      </c>
      <c r="E47" s="380">
        <f t="shared" si="25"/>
        <v>6.1412851991901132</v>
      </c>
      <c r="F47" s="380">
        <f t="shared" si="26"/>
        <v>6.1412851991901132</v>
      </c>
      <c r="G47" s="110">
        <f t="shared" si="27"/>
        <v>0.22903657420358647</v>
      </c>
      <c r="I47" s="375">
        <f t="shared" si="0"/>
        <v>6.1412851991901132</v>
      </c>
      <c r="J47" s="85">
        <v>2022</v>
      </c>
      <c r="K47" s="193">
        <f t="shared" si="1"/>
        <v>44594</v>
      </c>
      <c r="L47" s="431">
        <f t="shared" si="2"/>
        <v>9.8514071332567177E-4</v>
      </c>
      <c r="M47" s="847"/>
      <c r="N47" s="847"/>
      <c r="O47" s="320">
        <f t="shared" si="3"/>
        <v>5.091111953706296E-3</v>
      </c>
      <c r="P47" s="165">
        <f>(INDEX(Models!$BJ47:$BT47,,T47)*(1-R47)+INDEX(Models!$BJ47:$BT47,,T47+1)*R47-ERP_i)*Q47*Ramure*Pc/MaxiM</f>
        <v>4.6534316245877025E-6</v>
      </c>
      <c r="Q47" s="301">
        <f t="shared" si="19"/>
        <v>0.5</v>
      </c>
      <c r="R47" s="173">
        <f t="shared" si="4"/>
        <v>0.99570860339630396</v>
      </c>
      <c r="S47" s="802">
        <f t="shared" si="20"/>
        <v>-1</v>
      </c>
      <c r="T47" s="172">
        <f t="shared" si="21"/>
        <v>5</v>
      </c>
      <c r="U47" s="247">
        <f t="shared" si="22"/>
        <v>-4.2913966036960422E-3</v>
      </c>
      <c r="V47" s="378">
        <f t="shared" si="5"/>
        <v>26.65064135140117</v>
      </c>
      <c r="W47" s="58"/>
      <c r="X47" s="153">
        <f t="shared" si="6"/>
        <v>44594</v>
      </c>
      <c r="Y47" s="380">
        <f t="shared" si="7"/>
        <v>6.1040000000000001</v>
      </c>
      <c r="Z47" s="380">
        <f t="shared" si="8"/>
        <v>6.1100192287013968</v>
      </c>
      <c r="AA47" s="381">
        <f t="shared" si="9"/>
        <v>6.1412851991901132</v>
      </c>
      <c r="AB47" s="193">
        <f t="shared" si="10"/>
        <v>44594</v>
      </c>
      <c r="AC47" s="420">
        <f t="shared" si="11"/>
        <v>5.091111953706296E-3</v>
      </c>
      <c r="AD47" s="165">
        <f>(INDEX(Models!$BJ47:$BT47,,AH47)*(1-AF47)+INDEX(Models!$BJ47:$BT47,,AH47+1)*AF47-ERP_i)*AE47*Ramure*Pc/MaxiM</f>
        <v>4.6534316245877025E-6</v>
      </c>
      <c r="AE47" s="301">
        <f t="shared" si="12"/>
        <v>0.5</v>
      </c>
      <c r="AF47" s="173">
        <f t="shared" si="13"/>
        <v>0.99570860339630396</v>
      </c>
      <c r="AG47" s="802">
        <f t="shared" si="23"/>
        <v>-1</v>
      </c>
      <c r="AH47" s="172">
        <f t="shared" si="14"/>
        <v>5</v>
      </c>
      <c r="AI47" s="221">
        <f t="shared" si="15"/>
        <v>-4.2913966036960422E-3</v>
      </c>
      <c r="AJ47" s="261" t="b">
        <f t="shared" si="16"/>
        <v>0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44595</v>
      </c>
      <c r="B48" s="610">
        <v>14.102</v>
      </c>
      <c r="C48" s="385"/>
      <c r="D48" s="388">
        <f t="shared" si="24"/>
        <v>14.116099391404157</v>
      </c>
      <c r="E48" s="380">
        <f t="shared" si="25"/>
        <v>14.189309441931503</v>
      </c>
      <c r="F48" s="380">
        <f t="shared" si="26"/>
        <v>14.189329287709032</v>
      </c>
      <c r="G48" s="110">
        <f t="shared" si="27"/>
        <v>0.52167427908165487</v>
      </c>
      <c r="I48" s="375">
        <f t="shared" si="0"/>
        <v>14.189329287709032</v>
      </c>
      <c r="J48" s="85">
        <v>2022</v>
      </c>
      <c r="K48" s="193">
        <f t="shared" si="1"/>
        <v>44595</v>
      </c>
      <c r="L48" s="431">
        <f t="shared" si="2"/>
        <v>9.9881638781484927E-4</v>
      </c>
      <c r="M48" s="847"/>
      <c r="N48" s="847"/>
      <c r="O48" s="320">
        <f t="shared" si="3"/>
        <v>5.1595217390212307E-3</v>
      </c>
      <c r="P48" s="165">
        <f>(INDEX(Models!$BJ48:$BT48,,T48)*(1-R48)+INDEX(Models!$BJ48:$BT48,,T48+1)*R48-ERP_i)*Q48*Ramure*Pc/MaxiM</f>
        <v>4.4165779722528177E-6</v>
      </c>
      <c r="Q48" s="301">
        <f t="shared" si="19"/>
        <v>0.5</v>
      </c>
      <c r="R48" s="173">
        <f t="shared" si="4"/>
        <v>0.9958165897709369</v>
      </c>
      <c r="S48" s="802">
        <f t="shared" si="20"/>
        <v>-1</v>
      </c>
      <c r="T48" s="172">
        <f t="shared" si="21"/>
        <v>5</v>
      </c>
      <c r="U48" s="247">
        <f t="shared" si="22"/>
        <v>-4.1834102290630587E-3</v>
      </c>
      <c r="V48" s="378">
        <f t="shared" si="5"/>
        <v>27.032111810875413</v>
      </c>
      <c r="W48" s="58"/>
      <c r="X48" s="153">
        <f t="shared" si="6"/>
        <v>44595</v>
      </c>
      <c r="Y48" s="380">
        <f t="shared" si="7"/>
        <v>14.102</v>
      </c>
      <c r="Z48" s="380">
        <f t="shared" si="8"/>
        <v>14.116099391404157</v>
      </c>
      <c r="AA48" s="381">
        <f t="shared" si="9"/>
        <v>14.189309441931503</v>
      </c>
      <c r="AB48" s="193">
        <f t="shared" si="10"/>
        <v>44595</v>
      </c>
      <c r="AC48" s="420">
        <f t="shared" si="11"/>
        <v>5.1595217390212307E-3</v>
      </c>
      <c r="AD48" s="165">
        <f>(INDEX(Models!$BJ48:$BT48,,AH48)*(1-AF48)+INDEX(Models!$BJ48:$BT48,,AH48+1)*AF48-ERP_i)*AE48*Ramure*Pc/MaxiM</f>
        <v>4.4165779722528177E-6</v>
      </c>
      <c r="AE48" s="301">
        <f t="shared" si="12"/>
        <v>0.5</v>
      </c>
      <c r="AF48" s="173">
        <f t="shared" si="13"/>
        <v>0.9958165897709369</v>
      </c>
      <c r="AG48" s="802">
        <f t="shared" si="23"/>
        <v>-1</v>
      </c>
      <c r="AH48" s="172">
        <f t="shared" si="14"/>
        <v>5</v>
      </c>
      <c r="AI48" s="221">
        <f t="shared" si="15"/>
        <v>-4.1834102290630587E-3</v>
      </c>
      <c r="AJ48" s="261" t="b">
        <f t="shared" si="16"/>
        <v>0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44596</v>
      </c>
      <c r="B49" s="610">
        <v>12.866</v>
      </c>
      <c r="C49" s="385"/>
      <c r="D49" s="388">
        <f t="shared" si="24"/>
        <v>12.879039923281352</v>
      </c>
      <c r="E49" s="380">
        <f t="shared" si="25"/>
        <v>12.946723801886256</v>
      </c>
      <c r="F49" s="380">
        <f t="shared" si="26"/>
        <v>12.946736780036268</v>
      </c>
      <c r="G49" s="110">
        <f t="shared" si="27"/>
        <v>0.46932152508217317</v>
      </c>
      <c r="I49" s="375">
        <f t="shared" si="0"/>
        <v>12.946736780036268</v>
      </c>
      <c r="J49" s="85">
        <v>2022</v>
      </c>
      <c r="K49" s="193">
        <f t="shared" si="1"/>
        <v>44596</v>
      </c>
      <c r="L49" s="431">
        <f t="shared" si="2"/>
        <v>1.0124918750954448E-3</v>
      </c>
      <c r="M49" s="847"/>
      <c r="N49" s="847"/>
      <c r="O49" s="320">
        <f t="shared" si="3"/>
        <v>5.2278769239707578E-3</v>
      </c>
      <c r="P49" s="165">
        <f>(INDEX(Models!$BJ49:$BT49,,T49)*(1-R49)+INDEX(Models!$BJ49:$BT49,,T49+1)*R49-ERP_i)*Q49*Ramure*Pc/MaxiM</f>
        <v>4.1441413292650402E-6</v>
      </c>
      <c r="Q49" s="301">
        <f t="shared" si="19"/>
        <v>0.5</v>
      </c>
      <c r="R49" s="173">
        <f t="shared" si="4"/>
        <v>0.99592905661030295</v>
      </c>
      <c r="S49" s="802">
        <f t="shared" si="20"/>
        <v>-1</v>
      </c>
      <c r="T49" s="172">
        <f t="shared" si="21"/>
        <v>5</v>
      </c>
      <c r="U49" s="247">
        <f t="shared" si="22"/>
        <v>-4.070943389697091E-3</v>
      </c>
      <c r="V49" s="378">
        <f t="shared" si="5"/>
        <v>27.413955872579642</v>
      </c>
      <c r="W49" s="58"/>
      <c r="X49" s="153">
        <f t="shared" si="6"/>
        <v>44596</v>
      </c>
      <c r="Y49" s="380">
        <f t="shared" si="7"/>
        <v>12.866</v>
      </c>
      <c r="Z49" s="380">
        <f t="shared" si="8"/>
        <v>12.879039923281352</v>
      </c>
      <c r="AA49" s="381">
        <f t="shared" si="9"/>
        <v>12.946723801886256</v>
      </c>
      <c r="AB49" s="193">
        <f t="shared" si="10"/>
        <v>44596</v>
      </c>
      <c r="AC49" s="420">
        <f t="shared" si="11"/>
        <v>5.2278769239707578E-3</v>
      </c>
      <c r="AD49" s="165">
        <f>(INDEX(Models!$BJ49:$BT49,,AH49)*(1-AF49)+INDEX(Models!$BJ49:$BT49,,AH49+1)*AF49-ERP_i)*AE49*Ramure*Pc/MaxiM</f>
        <v>4.1441413292650402E-6</v>
      </c>
      <c r="AE49" s="301">
        <f t="shared" si="12"/>
        <v>0.5</v>
      </c>
      <c r="AF49" s="173">
        <f t="shared" si="13"/>
        <v>0.99592905661030295</v>
      </c>
      <c r="AG49" s="802">
        <f t="shared" si="23"/>
        <v>-1</v>
      </c>
      <c r="AH49" s="172">
        <f t="shared" si="14"/>
        <v>5</v>
      </c>
      <c r="AI49" s="221">
        <f t="shared" si="15"/>
        <v>-4.070943389697091E-3</v>
      </c>
      <c r="AJ49" s="261" t="b">
        <f t="shared" si="16"/>
        <v>0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44597</v>
      </c>
      <c r="B50" s="610">
        <v>10.101000000000001</v>
      </c>
      <c r="C50" s="385"/>
      <c r="D50" s="388">
        <f t="shared" si="24"/>
        <v>10.111375962108122</v>
      </c>
      <c r="E50" s="380">
        <f t="shared" si="25"/>
        <v>10.165212732475583</v>
      </c>
      <c r="F50" s="380">
        <f t="shared" si="26"/>
        <v>10.165216263192344</v>
      </c>
      <c r="G50" s="110">
        <f t="shared" si="27"/>
        <v>0.36340684481751984</v>
      </c>
      <c r="I50" s="375">
        <f t="shared" si="0"/>
        <v>10.165216263192344</v>
      </c>
      <c r="J50" s="85">
        <v>2022</v>
      </c>
      <c r="K50" s="193">
        <f t="shared" si="1"/>
        <v>44597</v>
      </c>
      <c r="L50" s="431">
        <f t="shared" si="2"/>
        <v>1.0261671751702339E-3</v>
      </c>
      <c r="M50" s="847"/>
      <c r="N50" s="847"/>
      <c r="O50" s="320">
        <f t="shared" si="3"/>
        <v>5.2961774420583708E-3</v>
      </c>
      <c r="P50" s="165">
        <f>(INDEX(Models!$BJ50:$BT50,,T50)*(1-R50)+INDEX(Models!$BJ50:$BT50,,T50+1)*R50-ERP_i)*Q50*Ramure*Pc/MaxiM</f>
        <v>3.8344181713792082E-6</v>
      </c>
      <c r="Q50" s="301">
        <f t="shared" si="19"/>
        <v>0.5</v>
      </c>
      <c r="R50" s="173">
        <f t="shared" si="4"/>
        <v>0.99604618765108377</v>
      </c>
      <c r="S50" s="802">
        <f t="shared" si="20"/>
        <v>-1</v>
      </c>
      <c r="T50" s="172">
        <f t="shared" si="21"/>
        <v>5</v>
      </c>
      <c r="U50" s="247">
        <f t="shared" si="22"/>
        <v>-3.9538123489162415E-3</v>
      </c>
      <c r="V50" s="378">
        <f t="shared" si="5"/>
        <v>27.795196818635077</v>
      </c>
      <c r="W50" s="58"/>
      <c r="X50" s="153">
        <f t="shared" si="6"/>
        <v>44597</v>
      </c>
      <c r="Y50" s="380">
        <f t="shared" si="7"/>
        <v>10.101000000000001</v>
      </c>
      <c r="Z50" s="380">
        <f t="shared" si="8"/>
        <v>10.111375962108122</v>
      </c>
      <c r="AA50" s="381">
        <f t="shared" si="9"/>
        <v>10.165212732475583</v>
      </c>
      <c r="AB50" s="193">
        <f t="shared" si="10"/>
        <v>44597</v>
      </c>
      <c r="AC50" s="420">
        <f t="shared" si="11"/>
        <v>5.2961774420583708E-3</v>
      </c>
      <c r="AD50" s="165">
        <f>(INDEX(Models!$BJ50:$BT50,,AH50)*(1-AF50)+INDEX(Models!$BJ50:$BT50,,AH50+1)*AF50-ERP_i)*AE50*Ramure*Pc/MaxiM</f>
        <v>3.8344181713792082E-6</v>
      </c>
      <c r="AE50" s="301">
        <f t="shared" si="12"/>
        <v>0.5</v>
      </c>
      <c r="AF50" s="173">
        <f t="shared" si="13"/>
        <v>0.99604618765108377</v>
      </c>
      <c r="AG50" s="802">
        <f t="shared" si="23"/>
        <v>-1</v>
      </c>
      <c r="AH50" s="172">
        <f t="shared" si="14"/>
        <v>5</v>
      </c>
      <c r="AI50" s="221">
        <f t="shared" si="15"/>
        <v>-3.9538123489162415E-3</v>
      </c>
      <c r="AJ50" s="261" t="b">
        <f t="shared" si="16"/>
        <v>0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44598</v>
      </c>
      <c r="B51" s="610">
        <v>22.18</v>
      </c>
      <c r="C51" s="385"/>
      <c r="D51" s="388">
        <f t="shared" si="24"/>
        <v>22.203087709525459</v>
      </c>
      <c r="E51" s="380">
        <f t="shared" si="25"/>
        <v>22.322836852515618</v>
      </c>
      <c r="F51" s="380">
        <f t="shared" si="26"/>
        <v>22.322890993589862</v>
      </c>
      <c r="G51" s="110">
        <f t="shared" si="27"/>
        <v>0.787137918356688</v>
      </c>
      <c r="I51" s="375">
        <f t="shared" si="0"/>
        <v>22.322890993589862</v>
      </c>
      <c r="J51" s="85">
        <v>2022</v>
      </c>
      <c r="K51" s="193">
        <f t="shared" si="1"/>
        <v>44598</v>
      </c>
      <c r="L51" s="431">
        <f t="shared" si="2"/>
        <v>1.0398422880415481E-3</v>
      </c>
      <c r="M51" s="847"/>
      <c r="N51" s="847"/>
      <c r="O51" s="320">
        <f t="shared" si="3"/>
        <v>5.3644231591767587E-3</v>
      </c>
      <c r="P51" s="165">
        <f>(INDEX(Models!$BJ51:$BT51,,T51)*(1-R51)+INDEX(Models!$BJ51:$BT51,,T51+1)*R51-ERP_i)*Q51*Ramure*Pc/MaxiM</f>
        <v>3.4851525331358545E-6</v>
      </c>
      <c r="Q51" s="301">
        <f t="shared" si="19"/>
        <v>0.5</v>
      </c>
      <c r="R51" s="173">
        <f t="shared" si="4"/>
        <v>0.99616817398067792</v>
      </c>
      <c r="S51" s="802">
        <f t="shared" si="20"/>
        <v>-1</v>
      </c>
      <c r="T51" s="172">
        <f t="shared" si="21"/>
        <v>5</v>
      </c>
      <c r="U51" s="247">
        <f t="shared" si="22"/>
        <v>-3.8318260193220921E-3</v>
      </c>
      <c r="V51" s="378">
        <f t="shared" si="5"/>
        <v>28.178005374302163</v>
      </c>
      <c r="W51" s="58"/>
      <c r="X51" s="153">
        <f t="shared" si="6"/>
        <v>44598</v>
      </c>
      <c r="Y51" s="380">
        <f t="shared" si="7"/>
        <v>22.18</v>
      </c>
      <c r="Z51" s="380">
        <f t="shared" si="8"/>
        <v>22.203087709525459</v>
      </c>
      <c r="AA51" s="381">
        <f t="shared" si="9"/>
        <v>22.322836852515618</v>
      </c>
      <c r="AB51" s="193">
        <f t="shared" si="10"/>
        <v>44598</v>
      </c>
      <c r="AC51" s="420">
        <f t="shared" si="11"/>
        <v>5.3644231591767587E-3</v>
      </c>
      <c r="AD51" s="165">
        <f>(INDEX(Models!$BJ51:$BT51,,AH51)*(1-AF51)+INDEX(Models!$BJ51:$BT51,,AH51+1)*AF51-ERP_i)*AE51*Ramure*Pc/MaxiM</f>
        <v>3.4851525331358545E-6</v>
      </c>
      <c r="AE51" s="301">
        <f t="shared" si="12"/>
        <v>0.5</v>
      </c>
      <c r="AF51" s="173">
        <f t="shared" si="13"/>
        <v>0.99616817398067792</v>
      </c>
      <c r="AG51" s="802">
        <f t="shared" si="23"/>
        <v>-1</v>
      </c>
      <c r="AH51" s="172">
        <f t="shared" si="14"/>
        <v>5</v>
      </c>
      <c r="AI51" s="221">
        <f t="shared" si="15"/>
        <v>-3.8318260193220921E-3</v>
      </c>
      <c r="AJ51" s="261" t="b">
        <f t="shared" si="16"/>
        <v>0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44599</v>
      </c>
      <c r="B52" s="610">
        <v>15.195</v>
      </c>
      <c r="C52" s="385"/>
      <c r="D52" s="388">
        <f t="shared" si="24"/>
        <v>15.211025076756568</v>
      </c>
      <c r="E52" s="380">
        <f t="shared" si="25"/>
        <v>15.294112082270702</v>
      </c>
      <c r="F52" s="380">
        <f t="shared" si="26"/>
        <v>15.294127889599769</v>
      </c>
      <c r="G52" s="110">
        <f t="shared" si="27"/>
        <v>0.53194385947531875</v>
      </c>
      <c r="I52" s="375">
        <f t="shared" si="0"/>
        <v>15.294127889599769</v>
      </c>
      <c r="J52" s="85">
        <v>2022</v>
      </c>
      <c r="K52" s="193">
        <f t="shared" si="1"/>
        <v>44599</v>
      </c>
      <c r="L52" s="431">
        <f t="shared" si="2"/>
        <v>1.0535172137120519E-3</v>
      </c>
      <c r="M52" s="847"/>
      <c r="N52" s="847"/>
      <c r="O52" s="320">
        <f t="shared" si="3"/>
        <v>5.4326138756659878E-3</v>
      </c>
      <c r="P52" s="165">
        <f>(INDEX(Models!$BJ52:$BT52,,T52)*(1-R52)+INDEX(Models!$BJ52:$BT52,,T52+1)*R52-ERP_i)*Q52*Ramure*Pc/MaxiM</f>
        <v>3.1192261279161489E-6</v>
      </c>
      <c r="Q52" s="301">
        <f t="shared" si="19"/>
        <v>0.5</v>
      </c>
      <c r="R52" s="173">
        <f t="shared" si="4"/>
        <v>0.99629521431557932</v>
      </c>
      <c r="S52" s="802">
        <f t="shared" si="20"/>
        <v>-1</v>
      </c>
      <c r="T52" s="172">
        <f t="shared" si="21"/>
        <v>5</v>
      </c>
      <c r="U52" s="247">
        <f t="shared" si="22"/>
        <v>-3.7047856844206251E-3</v>
      </c>
      <c r="V52" s="378">
        <f t="shared" si="5"/>
        <v>28.564984889925487</v>
      </c>
      <c r="W52" s="58"/>
      <c r="X52" s="153">
        <f t="shared" si="6"/>
        <v>44599</v>
      </c>
      <c r="Y52" s="380">
        <f t="shared" si="7"/>
        <v>15.195</v>
      </c>
      <c r="Z52" s="380">
        <f t="shared" si="8"/>
        <v>15.211025076756568</v>
      </c>
      <c r="AA52" s="381">
        <f t="shared" si="9"/>
        <v>15.294112082270702</v>
      </c>
      <c r="AB52" s="193">
        <f t="shared" si="10"/>
        <v>44599</v>
      </c>
      <c r="AC52" s="420">
        <f t="shared" si="11"/>
        <v>5.4326138756659878E-3</v>
      </c>
      <c r="AD52" s="165">
        <f>(INDEX(Models!$BJ52:$BT52,,AH52)*(1-AF52)+INDEX(Models!$BJ52:$BT52,,AH52+1)*AF52-ERP_i)*AE52*Ramure*Pc/MaxiM</f>
        <v>3.1192261279161489E-6</v>
      </c>
      <c r="AE52" s="301">
        <f t="shared" si="12"/>
        <v>0.5</v>
      </c>
      <c r="AF52" s="173">
        <f t="shared" si="13"/>
        <v>0.99629521431557932</v>
      </c>
      <c r="AG52" s="802">
        <f t="shared" si="23"/>
        <v>-1</v>
      </c>
      <c r="AH52" s="172">
        <f t="shared" si="14"/>
        <v>5</v>
      </c>
      <c r="AI52" s="221">
        <f t="shared" si="15"/>
        <v>-3.7047856844206251E-3</v>
      </c>
      <c r="AJ52" s="261" t="b">
        <f t="shared" si="16"/>
        <v>0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44600</v>
      </c>
      <c r="B53" s="610">
        <v>29.443000000000001</v>
      </c>
      <c r="C53" s="385"/>
      <c r="D53" s="388">
        <f t="shared" si="24"/>
        <v>29.474454901065442</v>
      </c>
      <c r="E53" s="380">
        <f t="shared" si="25"/>
        <v>29.637483267275812</v>
      </c>
      <c r="F53" s="380">
        <f t="shared" si="26"/>
        <v>29.637565329868831</v>
      </c>
      <c r="G53" s="110">
        <f t="shared" si="27"/>
        <v>1.0168253644254313</v>
      </c>
      <c r="I53" s="375">
        <f t="shared" si="0"/>
        <v>29.637565329868831</v>
      </c>
      <c r="J53" s="85">
        <v>2022</v>
      </c>
      <c r="K53" s="193">
        <f t="shared" si="1"/>
        <v>44600</v>
      </c>
      <c r="L53" s="431">
        <f t="shared" si="2"/>
        <v>1.0671919521844098E-3</v>
      </c>
      <c r="M53" s="847"/>
      <c r="N53" s="847"/>
      <c r="O53" s="320">
        <f t="shared" si="3"/>
        <v>5.5007493294944101E-3</v>
      </c>
      <c r="P53" s="165">
        <f>(INDEX(Models!$BJ53:$BT53,,T53)*(1-R53)+INDEX(Models!$BJ53:$BT53,,T53+1)*R53-ERP_i)*Q53*Ramure*Pc/MaxiM</f>
        <v>2.7688709280023627E-6</v>
      </c>
      <c r="Q53" s="301">
        <f t="shared" si="19"/>
        <v>0.5</v>
      </c>
      <c r="R53" s="173">
        <f t="shared" si="4"/>
        <v>0.99642751528894569</v>
      </c>
      <c r="S53" s="802">
        <f t="shared" si="20"/>
        <v>-1</v>
      </c>
      <c r="T53" s="172">
        <f t="shared" si="21"/>
        <v>5</v>
      </c>
      <c r="U53" s="247">
        <f t="shared" si="22"/>
        <v>-3.5724847110543629E-3</v>
      </c>
      <c r="V53" s="378">
        <f t="shared" si="5"/>
        <v>28.955807978528455</v>
      </c>
      <c r="W53" s="58"/>
      <c r="X53" s="153">
        <f t="shared" si="6"/>
        <v>44600</v>
      </c>
      <c r="Y53" s="380">
        <f t="shared" si="7"/>
        <v>29.443000000000001</v>
      </c>
      <c r="Z53" s="380">
        <f t="shared" si="8"/>
        <v>29.474454901065442</v>
      </c>
      <c r="AA53" s="381">
        <f t="shared" si="9"/>
        <v>29.637483267275812</v>
      </c>
      <c r="AB53" s="193">
        <f t="shared" si="10"/>
        <v>44600</v>
      </c>
      <c r="AC53" s="420">
        <f t="shared" si="11"/>
        <v>5.5007493294944101E-3</v>
      </c>
      <c r="AD53" s="165">
        <f>(INDEX(Models!$BJ53:$BT53,,AH53)*(1-AF53)+INDEX(Models!$BJ53:$BT53,,AH53+1)*AF53-ERP_i)*AE53*Ramure*Pc/MaxiM</f>
        <v>2.7688709280023627E-6</v>
      </c>
      <c r="AE53" s="301">
        <f t="shared" si="12"/>
        <v>0.5</v>
      </c>
      <c r="AF53" s="173">
        <f t="shared" si="13"/>
        <v>0.99642751528894569</v>
      </c>
      <c r="AG53" s="802">
        <f t="shared" si="23"/>
        <v>-1</v>
      </c>
      <c r="AH53" s="172">
        <f t="shared" si="14"/>
        <v>5</v>
      </c>
      <c r="AI53" s="221">
        <f t="shared" si="15"/>
        <v>-3.5724847110543629E-3</v>
      </c>
      <c r="AJ53" s="261" t="b">
        <f t="shared" si="16"/>
        <v>0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44601</v>
      </c>
      <c r="B54" s="610">
        <v>29.669</v>
      </c>
      <c r="C54" s="385"/>
      <c r="D54" s="388">
        <f t="shared" si="24"/>
        <v>29.701102927269936</v>
      </c>
      <c r="E54" s="380">
        <f t="shared" si="25"/>
        <v>29.867429541043414</v>
      </c>
      <c r="F54" s="380">
        <f t="shared" si="26"/>
        <v>29.867502380139111</v>
      </c>
      <c r="G54" s="110">
        <f t="shared" si="27"/>
        <v>1.0108637230245663</v>
      </c>
      <c r="I54" s="375">
        <f t="shared" si="0"/>
        <v>29.867502380139111</v>
      </c>
      <c r="J54" s="85">
        <v>2022</v>
      </c>
      <c r="K54" s="193">
        <f t="shared" si="1"/>
        <v>44601</v>
      </c>
      <c r="L54" s="431">
        <f t="shared" si="2"/>
        <v>1.0808665034610643E-3</v>
      </c>
      <c r="M54" s="847"/>
      <c r="N54" s="847"/>
      <c r="O54" s="320">
        <f t="shared" si="3"/>
        <v>5.5688292005481163E-3</v>
      </c>
      <c r="P54" s="165">
        <f>(INDEX(Models!$BJ54:$BT54,,T54)*(1-R54)+INDEX(Models!$BJ54:$BT54,,T54+1)*R54-ERP_i)*Q54*Ramure*Pc/MaxiM</f>
        <v>2.4387407681342743E-6</v>
      </c>
      <c r="Q54" s="301">
        <f t="shared" si="19"/>
        <v>0.5</v>
      </c>
      <c r="R54" s="173">
        <f t="shared" si="4"/>
        <v>0.99656529174753672</v>
      </c>
      <c r="S54" s="802">
        <f t="shared" si="20"/>
        <v>-1</v>
      </c>
      <c r="T54" s="172">
        <f t="shared" si="21"/>
        <v>5</v>
      </c>
      <c r="U54" s="247">
        <f t="shared" si="22"/>
        <v>-3.4347082524632303E-3</v>
      </c>
      <c r="V54" s="378">
        <f t="shared" si="5"/>
        <v>29.350148120093316</v>
      </c>
      <c r="W54" s="58"/>
      <c r="X54" s="153">
        <f t="shared" si="6"/>
        <v>44601</v>
      </c>
      <c r="Y54" s="380">
        <f t="shared" si="7"/>
        <v>29.669</v>
      </c>
      <c r="Z54" s="380">
        <f t="shared" si="8"/>
        <v>29.701102927269936</v>
      </c>
      <c r="AA54" s="381">
        <f t="shared" si="9"/>
        <v>29.867429541043414</v>
      </c>
      <c r="AB54" s="193">
        <f t="shared" si="10"/>
        <v>44601</v>
      </c>
      <c r="AC54" s="420">
        <f t="shared" si="11"/>
        <v>5.5688292005481163E-3</v>
      </c>
      <c r="AD54" s="165">
        <f>(INDEX(Models!$BJ54:$BT54,,AH54)*(1-AF54)+INDEX(Models!$BJ54:$BT54,,AH54+1)*AF54-ERP_i)*AE54*Ramure*Pc/MaxiM</f>
        <v>2.4387407681342743E-6</v>
      </c>
      <c r="AE54" s="301">
        <f t="shared" si="12"/>
        <v>0.5</v>
      </c>
      <c r="AF54" s="173">
        <f t="shared" si="13"/>
        <v>0.99656529174753672</v>
      </c>
      <c r="AG54" s="802">
        <f t="shared" si="23"/>
        <v>-1</v>
      </c>
      <c r="AH54" s="172">
        <f t="shared" si="14"/>
        <v>5</v>
      </c>
      <c r="AI54" s="221">
        <f t="shared" si="15"/>
        <v>-3.4347082524632303E-3</v>
      </c>
      <c r="AJ54" s="261" t="b">
        <f t="shared" si="16"/>
        <v>0</v>
      </c>
      <c r="AK54" s="261" t="b">
        <f t="shared" si="17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8"/>
        <v>44602</v>
      </c>
      <c r="B55" s="610">
        <v>28.629000000000001</v>
      </c>
      <c r="C55" s="385"/>
      <c r="D55" s="388">
        <f t="shared" si="24"/>
        <v>28.660369946185043</v>
      </c>
      <c r="E55" s="380">
        <f t="shared" si="25"/>
        <v>28.822840062000544</v>
      </c>
      <c r="F55" s="380">
        <f t="shared" si="26"/>
        <v>28.822898257849857</v>
      </c>
      <c r="G55" s="110">
        <f t="shared" si="27"/>
        <v>0.96239430387810854</v>
      </c>
      <c r="I55" s="375">
        <f t="shared" si="0"/>
        <v>28.822898257849857</v>
      </c>
      <c r="J55" s="85">
        <v>2022</v>
      </c>
      <c r="K55" s="193">
        <f t="shared" si="1"/>
        <v>44602</v>
      </c>
      <c r="L55" s="431">
        <f t="shared" si="2"/>
        <v>1.0945408675444579E-3</v>
      </c>
      <c r="M55" s="847"/>
      <c r="N55" s="847"/>
      <c r="O55" s="320">
        <f t="shared" si="3"/>
        <v>5.6368531160015554E-3</v>
      </c>
      <c r="P55" s="165">
        <f>(INDEX(Models!$BJ55:$BT55,,T55)*(1-R55)+INDEX(Models!$BJ55:$BT55,,T55+1)*R55-ERP_i)*Q55*Ramure*Pc/MaxiM</f>
        <v>2.1337117090649314E-6</v>
      </c>
      <c r="Q55" s="301">
        <f t="shared" si="19"/>
        <v>0.5</v>
      </c>
      <c r="R55" s="173">
        <f t="shared" si="4"/>
        <v>0.99670876705819933</v>
      </c>
      <c r="S55" s="802">
        <f t="shared" si="20"/>
        <v>-1</v>
      </c>
      <c r="T55" s="172">
        <f t="shared" si="21"/>
        <v>5</v>
      </c>
      <c r="U55" s="247">
        <f t="shared" si="22"/>
        <v>-3.2912329418007232E-3</v>
      </c>
      <c r="V55" s="378">
        <f t="shared" si="5"/>
        <v>29.747678891020644</v>
      </c>
      <c r="W55" s="58"/>
      <c r="X55" s="153">
        <f t="shared" si="6"/>
        <v>44602</v>
      </c>
      <c r="Y55" s="380">
        <f t="shared" si="7"/>
        <v>28.629000000000001</v>
      </c>
      <c r="Z55" s="380">
        <f t="shared" si="8"/>
        <v>28.660369946185043</v>
      </c>
      <c r="AA55" s="381">
        <f t="shared" si="9"/>
        <v>28.822840062000544</v>
      </c>
      <c r="AB55" s="193">
        <f t="shared" si="10"/>
        <v>44602</v>
      </c>
      <c r="AC55" s="420">
        <f t="shared" si="11"/>
        <v>5.6368531160015554E-3</v>
      </c>
      <c r="AD55" s="165">
        <f>(INDEX(Models!$BJ55:$BT55,,AH55)*(1-AF55)+INDEX(Models!$BJ55:$BT55,,AH55+1)*AF55-ERP_i)*AE55*Ramure*Pc/MaxiM</f>
        <v>2.1337117090649314E-6</v>
      </c>
      <c r="AE55" s="301">
        <f t="shared" si="12"/>
        <v>0.5</v>
      </c>
      <c r="AF55" s="173">
        <f t="shared" si="13"/>
        <v>0.99670876705819933</v>
      </c>
      <c r="AG55" s="802">
        <f t="shared" si="23"/>
        <v>-1</v>
      </c>
      <c r="AH55" s="172">
        <f t="shared" si="14"/>
        <v>5</v>
      </c>
      <c r="AI55" s="221">
        <f t="shared" si="15"/>
        <v>-3.2912329418007232E-3</v>
      </c>
      <c r="AJ55" s="261" t="b">
        <f t="shared" si="16"/>
        <v>0</v>
      </c>
      <c r="AK55" s="261" t="b">
        <f t="shared" si="17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8"/>
        <v>44603</v>
      </c>
      <c r="B56" s="610">
        <v>14.964</v>
      </c>
      <c r="C56" s="385"/>
      <c r="D56" s="388">
        <f t="shared" si="24"/>
        <v>14.980601728209928</v>
      </c>
      <c r="E56" s="380">
        <f t="shared" si="25"/>
        <v>15.066553715069373</v>
      </c>
      <c r="F56" s="380">
        <f t="shared" si="26"/>
        <v>15.066561571107581</v>
      </c>
      <c r="G56" s="110">
        <f t="shared" si="27"/>
        <v>0.49634945189484325</v>
      </c>
      <c r="I56" s="375">
        <f t="shared" si="0"/>
        <v>15.066561571107581</v>
      </c>
      <c r="J56" s="85">
        <v>2022</v>
      </c>
      <c r="K56" s="193">
        <f t="shared" si="1"/>
        <v>44603</v>
      </c>
      <c r="L56" s="431">
        <f t="shared" si="2"/>
        <v>1.1082150444374772E-3</v>
      </c>
      <c r="M56" s="847"/>
      <c r="N56" s="847"/>
      <c r="O56" s="320">
        <f t="shared" si="3"/>
        <v>5.7048206567290897E-3</v>
      </c>
      <c r="P56" s="165">
        <f>(INDEX(Models!$BJ56:$BT56,,T56)*(1-R56)+INDEX(Models!$BJ56:$BT56,,T56+1)*R56-ERP_i)*Q56*Ramure*Pc/MaxiM</f>
        <v>1.8589012289368969E-6</v>
      </c>
      <c r="Q56" s="301">
        <f t="shared" si="19"/>
        <v>0.5</v>
      </c>
      <c r="R56" s="173">
        <f t="shared" si="4"/>
        <v>0.99685817342406047</v>
      </c>
      <c r="S56" s="802">
        <f t="shared" si="20"/>
        <v>-1</v>
      </c>
      <c r="T56" s="172">
        <f t="shared" si="21"/>
        <v>5</v>
      </c>
      <c r="U56" s="247">
        <f t="shared" si="22"/>
        <v>-3.1418265759395178E-3</v>
      </c>
      <c r="V56" s="378">
        <f t="shared" si="5"/>
        <v>30.148073960444677</v>
      </c>
      <c r="W56" s="58"/>
      <c r="X56" s="153">
        <f t="shared" si="6"/>
        <v>44603</v>
      </c>
      <c r="Y56" s="380">
        <f t="shared" si="7"/>
        <v>14.964</v>
      </c>
      <c r="Z56" s="380">
        <f t="shared" si="8"/>
        <v>14.980601728209928</v>
      </c>
      <c r="AA56" s="381">
        <f t="shared" si="9"/>
        <v>15.066553715069373</v>
      </c>
      <c r="AB56" s="193">
        <f t="shared" si="10"/>
        <v>44603</v>
      </c>
      <c r="AC56" s="420">
        <f t="shared" si="11"/>
        <v>5.7048206567290897E-3</v>
      </c>
      <c r="AD56" s="165">
        <f>(INDEX(Models!$BJ56:$BT56,,AH56)*(1-AF56)+INDEX(Models!$BJ56:$BT56,,AH56+1)*AF56-ERP_i)*AE56*Ramure*Pc/MaxiM</f>
        <v>1.8589012289368969E-6</v>
      </c>
      <c r="AE56" s="301">
        <f t="shared" si="12"/>
        <v>0.5</v>
      </c>
      <c r="AF56" s="173">
        <f t="shared" si="13"/>
        <v>0.99685817342406047</v>
      </c>
      <c r="AG56" s="802">
        <f t="shared" si="23"/>
        <v>-1</v>
      </c>
      <c r="AH56" s="172">
        <f t="shared" si="14"/>
        <v>5</v>
      </c>
      <c r="AI56" s="221">
        <f t="shared" si="15"/>
        <v>-3.1418265759395178E-3</v>
      </c>
      <c r="AJ56" s="261" t="b">
        <f t="shared" si="16"/>
        <v>0</v>
      </c>
      <c r="AK56" s="261" t="b">
        <f t="shared" si="17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8"/>
        <v>44604</v>
      </c>
      <c r="B57" s="610">
        <v>23.925000000000001</v>
      </c>
      <c r="C57" s="385"/>
      <c r="D57" s="388">
        <f t="shared" si="24"/>
        <v>23.95187134180556</v>
      </c>
      <c r="E57" s="380">
        <f t="shared" si="25"/>
        <v>24.0909418775876</v>
      </c>
      <c r="F57" s="380">
        <f t="shared" si="26"/>
        <v>24.090968807798074</v>
      </c>
      <c r="G57" s="110">
        <f t="shared" si="27"/>
        <v>0.78311618078064671</v>
      </c>
      <c r="I57" s="375">
        <f t="shared" si="0"/>
        <v>24.090968807798074</v>
      </c>
      <c r="J57" s="85">
        <v>2022</v>
      </c>
      <c r="K57" s="193">
        <f t="shared" si="1"/>
        <v>44604</v>
      </c>
      <c r="L57" s="431">
        <f t="shared" si="2"/>
        <v>1.1218890341423426E-3</v>
      </c>
      <c r="M57" s="847"/>
      <c r="N57" s="847"/>
      <c r="O57" s="320">
        <f t="shared" si="3"/>
        <v>5.7727313647050879E-3</v>
      </c>
      <c r="P57" s="165">
        <f>(INDEX(Models!$BJ57:$BT57,,T57)*(1-R57)+INDEX(Models!$BJ57:$BT57,,T57+1)*R57-ERP_i)*Q57*Ramure*Pc/MaxiM</f>
        <v>1.6196888247601431E-6</v>
      </c>
      <c r="Q57" s="301">
        <f t="shared" si="19"/>
        <v>0.5</v>
      </c>
      <c r="R57" s="173">
        <f t="shared" si="4"/>
        <v>0.9970137522105833</v>
      </c>
      <c r="S57" s="802">
        <f t="shared" si="20"/>
        <v>-1</v>
      </c>
      <c r="T57" s="172">
        <f t="shared" si="21"/>
        <v>5</v>
      </c>
      <c r="U57" s="247">
        <f t="shared" si="22"/>
        <v>-2.9862477894166762E-3</v>
      </c>
      <c r="V57" s="378">
        <f t="shared" si="5"/>
        <v>30.551007092923701</v>
      </c>
      <c r="W57" s="58"/>
      <c r="X57" s="153">
        <f t="shared" si="6"/>
        <v>44604</v>
      </c>
      <c r="Y57" s="380">
        <f t="shared" si="7"/>
        <v>23.925000000000001</v>
      </c>
      <c r="Z57" s="380">
        <f t="shared" si="8"/>
        <v>23.95187134180556</v>
      </c>
      <c r="AA57" s="381">
        <f t="shared" si="9"/>
        <v>24.0909418775876</v>
      </c>
      <c r="AB57" s="193">
        <f t="shared" si="10"/>
        <v>44604</v>
      </c>
      <c r="AC57" s="420">
        <f t="shared" si="11"/>
        <v>5.7727313647050879E-3</v>
      </c>
      <c r="AD57" s="165">
        <f>(INDEX(Models!$BJ57:$BT57,,AH57)*(1-AF57)+INDEX(Models!$BJ57:$BT57,,AH57+1)*AF57-ERP_i)*AE57*Ramure*Pc/MaxiM</f>
        <v>1.6196888247601431E-6</v>
      </c>
      <c r="AE57" s="301">
        <f t="shared" si="12"/>
        <v>0.5</v>
      </c>
      <c r="AF57" s="173">
        <f t="shared" si="13"/>
        <v>0.9970137522105833</v>
      </c>
      <c r="AG57" s="802">
        <f t="shared" si="23"/>
        <v>-1</v>
      </c>
      <c r="AH57" s="172">
        <f t="shared" si="14"/>
        <v>5</v>
      </c>
      <c r="AI57" s="221">
        <f t="shared" si="15"/>
        <v>-2.9862477894166762E-3</v>
      </c>
      <c r="AJ57" s="261" t="b">
        <f t="shared" si="16"/>
        <v>0</v>
      </c>
      <c r="AK57" s="261" t="b">
        <f t="shared" si="17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8"/>
        <v>44605</v>
      </c>
      <c r="B58" s="610">
        <v>26.356000000000002</v>
      </c>
      <c r="C58" s="385"/>
      <c r="D58" s="388">
        <f t="shared" si="24"/>
        <v>26.38596291890024</v>
      </c>
      <c r="E58" s="380">
        <f t="shared" si="25"/>
        <v>26.540977748825394</v>
      </c>
      <c r="F58" s="380">
        <f t="shared" si="26"/>
        <v>26.541007451756311</v>
      </c>
      <c r="G58" s="110">
        <f t="shared" si="27"/>
        <v>0.85139754785431954</v>
      </c>
      <c r="I58" s="375">
        <f t="shared" si="0"/>
        <v>26.541007451756311</v>
      </c>
      <c r="J58" s="85">
        <v>2022</v>
      </c>
      <c r="K58" s="193">
        <f t="shared" si="1"/>
        <v>44605</v>
      </c>
      <c r="L58" s="431">
        <f t="shared" si="2"/>
        <v>1.1355628366618298E-3</v>
      </c>
      <c r="M58" s="847"/>
      <c r="N58" s="847"/>
      <c r="O58" s="320">
        <f t="shared" si="3"/>
        <v>5.8405847513290747E-3</v>
      </c>
      <c r="P58" s="165">
        <f>(INDEX(Models!$BJ58:$BT58,,T58)*(1-R58)+INDEX(Models!$BJ58:$BT58,,T58+1)*R58-ERP_i)*Q58*Ramure*Pc/MaxiM</f>
        <v>1.420740983643169E-6</v>
      </c>
      <c r="Q58" s="301">
        <f t="shared" si="19"/>
        <v>0.5</v>
      </c>
      <c r="R58" s="173">
        <f t="shared" si="4"/>
        <v>0.99717575428162253</v>
      </c>
      <c r="S58" s="802">
        <f t="shared" si="20"/>
        <v>-1</v>
      </c>
      <c r="T58" s="172">
        <f t="shared" si="21"/>
        <v>5</v>
      </c>
      <c r="U58" s="247">
        <f t="shared" si="22"/>
        <v>-2.8242457183774937E-3</v>
      </c>
      <c r="V58" s="378">
        <f t="shared" si="5"/>
        <v>30.956152172679648</v>
      </c>
      <c r="W58" s="58"/>
      <c r="X58" s="153">
        <f t="shared" si="6"/>
        <v>44605</v>
      </c>
      <c r="Y58" s="380">
        <f t="shared" si="7"/>
        <v>26.356000000000002</v>
      </c>
      <c r="Z58" s="380">
        <f t="shared" si="8"/>
        <v>26.38596291890024</v>
      </c>
      <c r="AA58" s="381">
        <f t="shared" si="9"/>
        <v>26.540977748825394</v>
      </c>
      <c r="AB58" s="193">
        <f t="shared" si="10"/>
        <v>44605</v>
      </c>
      <c r="AC58" s="420">
        <f t="shared" si="11"/>
        <v>5.8405847513290747E-3</v>
      </c>
      <c r="AD58" s="165">
        <f>(INDEX(Models!$BJ58:$BT58,,AH58)*(1-AF58)+INDEX(Models!$BJ58:$BT58,,AH58+1)*AF58-ERP_i)*AE58*Ramure*Pc/MaxiM</f>
        <v>1.420740983643169E-6</v>
      </c>
      <c r="AE58" s="301">
        <f t="shared" si="12"/>
        <v>0.5</v>
      </c>
      <c r="AF58" s="173">
        <f t="shared" si="13"/>
        <v>0.99717575428162253</v>
      </c>
      <c r="AG58" s="802">
        <f t="shared" si="23"/>
        <v>-1</v>
      </c>
      <c r="AH58" s="172">
        <f t="shared" si="14"/>
        <v>5</v>
      </c>
      <c r="AI58" s="221">
        <f t="shared" si="15"/>
        <v>-2.8242457183774937E-3</v>
      </c>
      <c r="AJ58" s="261" t="b">
        <f t="shared" si="16"/>
        <v>0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44606</v>
      </c>
      <c r="B59" s="610">
        <v>16.920000000000002</v>
      </c>
      <c r="C59" s="385"/>
      <c r="D59" s="388">
        <f t="shared" si="24"/>
        <v>16.939467453474979</v>
      </c>
      <c r="E59" s="380">
        <f t="shared" si="25"/>
        <v>17.040147123159041</v>
      </c>
      <c r="F59" s="380">
        <f t="shared" si="26"/>
        <v>17.04015432936102</v>
      </c>
      <c r="G59" s="110">
        <f t="shared" si="27"/>
        <v>0.53948560076473073</v>
      </c>
      <c r="I59" s="375">
        <f t="shared" si="0"/>
        <v>17.04015432936102</v>
      </c>
      <c r="J59" s="85">
        <v>2022</v>
      </c>
      <c r="K59" s="193">
        <f t="shared" si="1"/>
        <v>44606</v>
      </c>
      <c r="L59" s="431">
        <f t="shared" si="2"/>
        <v>1.1492364519984921E-3</v>
      </c>
      <c r="M59" s="847"/>
      <c r="N59" s="847"/>
      <c r="O59" s="320">
        <f t="shared" si="3"/>
        <v>5.908380306601348E-3</v>
      </c>
      <c r="P59" s="165">
        <f>(INDEX(Models!$BJ59:$BT59,,T59)*(1-R59)+INDEX(Models!$BJ59:$BT59,,T59+1)*R59-ERP_i)*Q59*Ramure*Pc/MaxiM</f>
        <v>1.2360918554948395E-6</v>
      </c>
      <c r="Q59" s="301">
        <f t="shared" si="19"/>
        <v>0.5</v>
      </c>
      <c r="R59" s="173">
        <f t="shared" si="4"/>
        <v>0.99734444034560421</v>
      </c>
      <c r="S59" s="802">
        <f t="shared" si="20"/>
        <v>-1</v>
      </c>
      <c r="T59" s="172">
        <f t="shared" si="21"/>
        <v>5</v>
      </c>
      <c r="U59" s="247">
        <f t="shared" si="22"/>
        <v>-2.6555596543957906E-3</v>
      </c>
      <c r="V59" s="378">
        <f t="shared" si="5"/>
        <v>31.363184145647018</v>
      </c>
      <c r="W59" s="58"/>
      <c r="X59" s="153">
        <f t="shared" si="6"/>
        <v>44606</v>
      </c>
      <c r="Y59" s="380">
        <f t="shared" si="7"/>
        <v>16.920000000000002</v>
      </c>
      <c r="Z59" s="380">
        <f t="shared" si="8"/>
        <v>16.939467453474979</v>
      </c>
      <c r="AA59" s="381">
        <f t="shared" si="9"/>
        <v>17.040147123159041</v>
      </c>
      <c r="AB59" s="193">
        <f t="shared" si="10"/>
        <v>44606</v>
      </c>
      <c r="AC59" s="420">
        <f t="shared" si="11"/>
        <v>5.908380306601348E-3</v>
      </c>
      <c r="AD59" s="165">
        <f>(INDEX(Models!$BJ59:$BT59,,AH59)*(1-AF59)+INDEX(Models!$BJ59:$BT59,,AH59+1)*AF59-ERP_i)*AE59*Ramure*Pc/MaxiM</f>
        <v>1.2360918554948395E-6</v>
      </c>
      <c r="AE59" s="301">
        <f t="shared" si="12"/>
        <v>0.5</v>
      </c>
      <c r="AF59" s="173">
        <f t="shared" si="13"/>
        <v>0.99734444034560421</v>
      </c>
      <c r="AG59" s="802">
        <f t="shared" si="23"/>
        <v>-1</v>
      </c>
      <c r="AH59" s="172">
        <f t="shared" si="14"/>
        <v>5</v>
      </c>
      <c r="AI59" s="221">
        <f t="shared" si="15"/>
        <v>-2.6555596543957906E-3</v>
      </c>
      <c r="AJ59" s="261" t="b">
        <f t="shared" si="16"/>
        <v>0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44607</v>
      </c>
      <c r="B60" s="610">
        <v>21.777999999999999</v>
      </c>
      <c r="C60" s="385"/>
      <c r="D60" s="388">
        <f t="shared" si="24"/>
        <v>21.803355337342321</v>
      </c>
      <c r="E60" s="380">
        <f t="shared" si="25"/>
        <v>21.934438117024985</v>
      </c>
      <c r="F60" s="380">
        <f t="shared" si="26"/>
        <v>21.934451021953191</v>
      </c>
      <c r="G60" s="110">
        <f t="shared" si="27"/>
        <v>0.68545078259245895</v>
      </c>
      <c r="I60" s="375">
        <f t="shared" si="0"/>
        <v>21.934451021953191</v>
      </c>
      <c r="J60" s="85">
        <v>2022</v>
      </c>
      <c r="K60" s="193">
        <f t="shared" si="1"/>
        <v>44607</v>
      </c>
      <c r="L60" s="431">
        <f t="shared" si="2"/>
        <v>1.1629098801547721E-3</v>
      </c>
      <c r="M60" s="847"/>
      <c r="N60" s="847"/>
      <c r="O60" s="320">
        <f t="shared" si="3"/>
        <v>5.9761175090653649E-3</v>
      </c>
      <c r="P60" s="165">
        <f>(INDEX(Models!$BJ60:$BT60,,T60)*(1-R60)+INDEX(Models!$BJ60:$BT60,,T60+1)*R60-ERP_i)*Q60*Ramure*Pc/MaxiM</f>
        <v>1.0684582602144311E-6</v>
      </c>
      <c r="Q60" s="301">
        <f t="shared" si="19"/>
        <v>0.5</v>
      </c>
      <c r="R60" s="173">
        <f t="shared" si="4"/>
        <v>0.9975200813119347</v>
      </c>
      <c r="S60" s="802">
        <f t="shared" si="20"/>
        <v>-1</v>
      </c>
      <c r="T60" s="172">
        <f t="shared" si="21"/>
        <v>5</v>
      </c>
      <c r="U60" s="247">
        <f t="shared" si="22"/>
        <v>-2.479918688065351E-3</v>
      </c>
      <c r="V60" s="378">
        <f t="shared" si="5"/>
        <v>31.771777196933886</v>
      </c>
      <c r="W60" s="58"/>
      <c r="X60" s="153">
        <f t="shared" si="6"/>
        <v>44607</v>
      </c>
      <c r="Y60" s="380">
        <f t="shared" si="7"/>
        <v>21.777999999999999</v>
      </c>
      <c r="Z60" s="380">
        <f t="shared" si="8"/>
        <v>21.803355337342321</v>
      </c>
      <c r="AA60" s="381">
        <f t="shared" si="9"/>
        <v>21.934438117024985</v>
      </c>
      <c r="AB60" s="193">
        <f t="shared" si="10"/>
        <v>44607</v>
      </c>
      <c r="AC60" s="420">
        <f t="shared" si="11"/>
        <v>5.9761175090653649E-3</v>
      </c>
      <c r="AD60" s="165">
        <f>(INDEX(Models!$BJ60:$BT60,,AH60)*(1-AF60)+INDEX(Models!$BJ60:$BT60,,AH60+1)*AF60-ERP_i)*AE60*Ramure*Pc/MaxiM</f>
        <v>1.0684582602144311E-6</v>
      </c>
      <c r="AE60" s="301">
        <f t="shared" si="12"/>
        <v>0.5</v>
      </c>
      <c r="AF60" s="173">
        <f t="shared" si="13"/>
        <v>0.9975200813119347</v>
      </c>
      <c r="AG60" s="802">
        <f t="shared" si="23"/>
        <v>-1</v>
      </c>
      <c r="AH60" s="172">
        <f t="shared" si="14"/>
        <v>5</v>
      </c>
      <c r="AI60" s="221">
        <f t="shared" si="15"/>
        <v>-2.479918688065351E-3</v>
      </c>
      <c r="AJ60" s="261" t="b">
        <f t="shared" si="16"/>
        <v>0</v>
      </c>
      <c r="AK60" s="261" t="b">
        <f t="shared" si="17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8"/>
        <v>44608</v>
      </c>
      <c r="B61" s="610">
        <v>10.342000000000001</v>
      </c>
      <c r="C61" s="385"/>
      <c r="D61" s="388">
        <f t="shared" si="24"/>
        <v>10.354182556429029</v>
      </c>
      <c r="E61" s="380">
        <f t="shared" si="25"/>
        <v>10.417141633662</v>
      </c>
      <c r="F61" s="380">
        <f t="shared" si="26"/>
        <v>10.417141926380237</v>
      </c>
      <c r="G61" s="110">
        <f t="shared" si="27"/>
        <v>0.32136341777828847</v>
      </c>
      <c r="I61" s="375">
        <f t="shared" si="0"/>
        <v>10.417141926380237</v>
      </c>
      <c r="J61" s="85">
        <v>2022</v>
      </c>
      <c r="K61" s="193">
        <f t="shared" si="1"/>
        <v>44608</v>
      </c>
      <c r="L61" s="431">
        <f t="shared" si="2"/>
        <v>1.1765831211333344E-3</v>
      </c>
      <c r="M61" s="847"/>
      <c r="N61" s="847"/>
      <c r="O61" s="320">
        <f t="shared" si="3"/>
        <v>6.0437958364245262E-3</v>
      </c>
      <c r="P61" s="165">
        <f>(INDEX(Models!$BJ61:$BT61,,T61)*(1-R61)+INDEX(Models!$BJ61:$BT61,,T61+1)*R61-ERP_i)*Q61*Ramure*Pc/MaxiM</f>
        <v>9.2070960633284693E-7</v>
      </c>
      <c r="Q61" s="301">
        <f t="shared" si="19"/>
        <v>0.5</v>
      </c>
      <c r="R61" s="173">
        <f t="shared" si="4"/>
        <v>0.99770295865772274</v>
      </c>
      <c r="S61" s="802">
        <f t="shared" si="20"/>
        <v>-1</v>
      </c>
      <c r="T61" s="172">
        <f t="shared" si="21"/>
        <v>5</v>
      </c>
      <c r="U61" s="247">
        <f t="shared" si="22"/>
        <v>-2.2970413422772722E-3</v>
      </c>
      <c r="V61" s="378">
        <f t="shared" si="5"/>
        <v>32.181605610638606</v>
      </c>
      <c r="W61" s="58"/>
      <c r="X61" s="153">
        <f t="shared" si="6"/>
        <v>44608</v>
      </c>
      <c r="Y61" s="380">
        <f t="shared" si="7"/>
        <v>10.342000000000001</v>
      </c>
      <c r="Z61" s="380">
        <f t="shared" si="8"/>
        <v>10.354182556429029</v>
      </c>
      <c r="AA61" s="381">
        <f t="shared" si="9"/>
        <v>10.417141633662</v>
      </c>
      <c r="AB61" s="193">
        <f t="shared" si="10"/>
        <v>44608</v>
      </c>
      <c r="AC61" s="420">
        <f t="shared" si="11"/>
        <v>6.0437958364245262E-3</v>
      </c>
      <c r="AD61" s="165">
        <f>(INDEX(Models!$BJ61:$BT61,,AH61)*(1-AF61)+INDEX(Models!$BJ61:$BT61,,AH61+1)*AF61-ERP_i)*AE61*Ramure*Pc/MaxiM</f>
        <v>9.2070960633284693E-7</v>
      </c>
      <c r="AE61" s="301">
        <f t="shared" si="12"/>
        <v>0.5</v>
      </c>
      <c r="AF61" s="173">
        <f t="shared" si="13"/>
        <v>0.99770295865772274</v>
      </c>
      <c r="AG61" s="802">
        <f t="shared" si="23"/>
        <v>-1</v>
      </c>
      <c r="AH61" s="172">
        <f t="shared" si="14"/>
        <v>5</v>
      </c>
      <c r="AI61" s="221">
        <f t="shared" si="15"/>
        <v>-2.2970413422772722E-3</v>
      </c>
      <c r="AJ61" s="261" t="b">
        <f t="shared" si="16"/>
        <v>0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44609</v>
      </c>
      <c r="B62" s="610">
        <v>12.427</v>
      </c>
      <c r="C62" s="385"/>
      <c r="D62" s="388">
        <f t="shared" si="24"/>
        <v>12.44180893991812</v>
      </c>
      <c r="E62" s="380">
        <f t="shared" si="25"/>
        <v>12.518313546304793</v>
      </c>
      <c r="F62" s="380">
        <f t="shared" si="26"/>
        <v>12.518314703244648</v>
      </c>
      <c r="G62" s="110">
        <f t="shared" si="27"/>
        <v>0.38128559722060867</v>
      </c>
      <c r="I62" s="375">
        <f t="shared" si="0"/>
        <v>12.518314703244648</v>
      </c>
      <c r="J62" s="85">
        <v>2022</v>
      </c>
      <c r="K62" s="193">
        <f t="shared" si="1"/>
        <v>44609</v>
      </c>
      <c r="L62" s="431">
        <f t="shared" si="2"/>
        <v>1.1902561749367324E-3</v>
      </c>
      <c r="M62" s="847"/>
      <c r="N62" s="847"/>
      <c r="O62" s="320">
        <f t="shared" si="3"/>
        <v>6.1114147767335827E-3</v>
      </c>
      <c r="P62" s="165">
        <f>(INDEX(Models!$BJ62:$BT62,,T62)*(1-R62)+INDEX(Models!$BJ62:$BT62,,T62+1)*R62-ERP_i)*Q62*Ramure*Pc/MaxiM</f>
        <v>7.9588060823346011E-7</v>
      </c>
      <c r="Q62" s="301">
        <f t="shared" si="19"/>
        <v>0.5</v>
      </c>
      <c r="R62" s="173">
        <f t="shared" si="4"/>
        <v>0.99789336480487911</v>
      </c>
      <c r="S62" s="802">
        <f t="shared" si="20"/>
        <v>-1</v>
      </c>
      <c r="T62" s="172">
        <f t="shared" si="21"/>
        <v>5</v>
      </c>
      <c r="U62" s="247">
        <f t="shared" si="22"/>
        <v>-2.1066351951209376E-3</v>
      </c>
      <c r="V62" s="378">
        <f t="shared" si="5"/>
        <v>32.592343767187444</v>
      </c>
      <c r="W62" s="58"/>
      <c r="X62" s="153">
        <f t="shared" si="6"/>
        <v>44609</v>
      </c>
      <c r="Y62" s="380">
        <f t="shared" si="7"/>
        <v>12.427</v>
      </c>
      <c r="Z62" s="380">
        <f t="shared" si="8"/>
        <v>12.44180893991812</v>
      </c>
      <c r="AA62" s="381">
        <f t="shared" si="9"/>
        <v>12.518313546304793</v>
      </c>
      <c r="AB62" s="193">
        <f t="shared" si="10"/>
        <v>44609</v>
      </c>
      <c r="AC62" s="420">
        <f t="shared" si="11"/>
        <v>6.1114147767335827E-3</v>
      </c>
      <c r="AD62" s="165">
        <f>(INDEX(Models!$BJ62:$BT62,,AH62)*(1-AF62)+INDEX(Models!$BJ62:$BT62,,AH62+1)*AF62-ERP_i)*AE62*Ramure*Pc/MaxiM</f>
        <v>7.9588060823346011E-7</v>
      </c>
      <c r="AE62" s="301">
        <f t="shared" si="12"/>
        <v>0.5</v>
      </c>
      <c r="AF62" s="173">
        <f t="shared" si="13"/>
        <v>0.99789336480487911</v>
      </c>
      <c r="AG62" s="802">
        <f t="shared" si="23"/>
        <v>-1</v>
      </c>
      <c r="AH62" s="172">
        <f t="shared" si="14"/>
        <v>5</v>
      </c>
      <c r="AI62" s="221">
        <f t="shared" si="15"/>
        <v>-2.1066351951209376E-3</v>
      </c>
      <c r="AJ62" s="261" t="b">
        <f t="shared" si="16"/>
        <v>0</v>
      </c>
      <c r="AK62" s="261" t="b">
        <f t="shared" si="17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8"/>
        <v>44610</v>
      </c>
      <c r="B63" s="610">
        <v>29.118000000000002</v>
      </c>
      <c r="C63" s="385"/>
      <c r="D63" s="388">
        <f t="shared" si="24"/>
        <v>29.153098261648871</v>
      </c>
      <c r="E63" s="380">
        <f t="shared" si="25"/>
        <v>29.334354470537342</v>
      </c>
      <c r="F63" s="380">
        <f t="shared" si="26"/>
        <v>29.334371482242279</v>
      </c>
      <c r="G63" s="110">
        <f t="shared" si="27"/>
        <v>0.8822655174267261</v>
      </c>
      <c r="I63" s="375">
        <f t="shared" si="0"/>
        <v>29.334371482242279</v>
      </c>
      <c r="J63" s="85">
        <v>2022</v>
      </c>
      <c r="K63" s="193">
        <f t="shared" si="1"/>
        <v>44610</v>
      </c>
      <c r="L63" s="431">
        <f t="shared" si="2"/>
        <v>1.2039290415675197E-3</v>
      </c>
      <c r="M63" s="847"/>
      <c r="N63" s="847"/>
      <c r="O63" s="320">
        <f t="shared" si="3"/>
        <v>6.1789738400590049E-3</v>
      </c>
      <c r="P63" s="165">
        <f>(INDEX(Models!$BJ63:$BT63,,T63)*(1-R63)+INDEX(Models!$BJ63:$BT63,,T63+1)*R63-ERP_i)*Q63*Ramure*Pc/MaxiM</f>
        <v>6.9718485687437738E-7</v>
      </c>
      <c r="Q63" s="301">
        <f t="shared" si="19"/>
        <v>0.5</v>
      </c>
      <c r="R63" s="173">
        <f t="shared" si="4"/>
        <v>0.99809160350762738</v>
      </c>
      <c r="S63" s="802">
        <f t="shared" si="20"/>
        <v>-1</v>
      </c>
      <c r="T63" s="172">
        <f t="shared" si="21"/>
        <v>5</v>
      </c>
      <c r="U63" s="247">
        <f t="shared" si="22"/>
        <v>-1.9083964923726658E-3</v>
      </c>
      <c r="V63" s="378">
        <f t="shared" si="5"/>
        <v>33.00366614182402</v>
      </c>
      <c r="W63" s="58"/>
      <c r="X63" s="153">
        <f t="shared" si="6"/>
        <v>44610</v>
      </c>
      <c r="Y63" s="380">
        <f t="shared" si="7"/>
        <v>29.118000000000002</v>
      </c>
      <c r="Z63" s="380">
        <f t="shared" si="8"/>
        <v>29.153098261648871</v>
      </c>
      <c r="AA63" s="381">
        <f t="shared" si="9"/>
        <v>29.334354470537342</v>
      </c>
      <c r="AB63" s="193">
        <f t="shared" si="10"/>
        <v>44610</v>
      </c>
      <c r="AC63" s="420">
        <f t="shared" si="11"/>
        <v>6.1789738400590049E-3</v>
      </c>
      <c r="AD63" s="165">
        <f>(INDEX(Models!$BJ63:$BT63,,AH63)*(1-AF63)+INDEX(Models!$BJ63:$BT63,,AH63+1)*AF63-ERP_i)*AE63*Ramure*Pc/MaxiM</f>
        <v>6.9718485687437738E-7</v>
      </c>
      <c r="AE63" s="301">
        <f t="shared" si="12"/>
        <v>0.5</v>
      </c>
      <c r="AF63" s="173">
        <f t="shared" si="13"/>
        <v>0.99809160350762738</v>
      </c>
      <c r="AG63" s="802">
        <f t="shared" si="23"/>
        <v>-1</v>
      </c>
      <c r="AH63" s="172">
        <f t="shared" si="14"/>
        <v>5</v>
      </c>
      <c r="AI63" s="221">
        <f t="shared" si="15"/>
        <v>-1.9083964923726658E-3</v>
      </c>
      <c r="AJ63" s="261" t="b">
        <f t="shared" si="16"/>
        <v>0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44611</v>
      </c>
      <c r="B64" s="610">
        <v>17.576000000000001</v>
      </c>
      <c r="C64" s="385"/>
      <c r="D64" s="388">
        <f t="shared" si="24"/>
        <v>17.59742665698321</v>
      </c>
      <c r="E64" s="380">
        <f t="shared" si="25"/>
        <v>17.708039439620091</v>
      </c>
      <c r="F64" s="380">
        <f t="shared" si="26"/>
        <v>17.708043029969524</v>
      </c>
      <c r="G64" s="110">
        <f t="shared" si="27"/>
        <v>0.5259872047102242</v>
      </c>
      <c r="I64" s="375">
        <f t="shared" si="0"/>
        <v>17.708043029969524</v>
      </c>
      <c r="J64" s="85">
        <v>2022</v>
      </c>
      <c r="K64" s="193">
        <f t="shared" si="1"/>
        <v>44611</v>
      </c>
      <c r="L64" s="431">
        <f t="shared" si="2"/>
        <v>1.2176017210281387E-3</v>
      </c>
      <c r="M64" s="847"/>
      <c r="N64" s="847"/>
      <c r="O64" s="320">
        <f t="shared" si="3"/>
        <v>6.2464725704978012E-3</v>
      </c>
      <c r="P64" s="165">
        <f>(INDEX(Models!$BJ64:$BT64,,T64)*(1-R64)+INDEX(Models!$BJ64:$BT64,,T64+1)*R64-ERP_i)*Q64*Ramure*Pc/MaxiM</f>
        <v>6.2802930625979894E-7</v>
      </c>
      <c r="Q64" s="301">
        <f t="shared" si="19"/>
        <v>0.5</v>
      </c>
      <c r="R64" s="173">
        <f t="shared" si="4"/>
        <v>0.99829799025043631</v>
      </c>
      <c r="S64" s="802">
        <f t="shared" si="20"/>
        <v>-1</v>
      </c>
      <c r="T64" s="172">
        <f t="shared" si="21"/>
        <v>5</v>
      </c>
      <c r="U64" s="247">
        <f t="shared" si="22"/>
        <v>-1.702009749563701E-3</v>
      </c>
      <c r="V64" s="378">
        <f t="shared" si="5"/>
        <v>33.415247306283263</v>
      </c>
      <c r="W64" s="58"/>
      <c r="X64" s="153">
        <f t="shared" si="6"/>
        <v>44611</v>
      </c>
      <c r="Y64" s="380">
        <f t="shared" si="7"/>
        <v>17.576000000000001</v>
      </c>
      <c r="Z64" s="380">
        <f t="shared" si="8"/>
        <v>17.59742665698321</v>
      </c>
      <c r="AA64" s="381">
        <f t="shared" si="9"/>
        <v>17.708039439620091</v>
      </c>
      <c r="AB64" s="193">
        <f t="shared" si="10"/>
        <v>44611</v>
      </c>
      <c r="AC64" s="420">
        <f t="shared" si="11"/>
        <v>6.2464725704978012E-3</v>
      </c>
      <c r="AD64" s="165">
        <f>(INDEX(Models!$BJ64:$BT64,,AH64)*(1-AF64)+INDEX(Models!$BJ64:$BT64,,AH64+1)*AF64-ERP_i)*AE64*Ramure*Pc/MaxiM</f>
        <v>6.2802930625979894E-7</v>
      </c>
      <c r="AE64" s="301">
        <f t="shared" si="12"/>
        <v>0.5</v>
      </c>
      <c r="AF64" s="173">
        <f t="shared" si="13"/>
        <v>0.99829799025043631</v>
      </c>
      <c r="AG64" s="802">
        <f t="shared" si="23"/>
        <v>-1</v>
      </c>
      <c r="AH64" s="172">
        <f t="shared" si="14"/>
        <v>5</v>
      </c>
      <c r="AI64" s="221">
        <f t="shared" si="15"/>
        <v>-1.702009749563701E-3</v>
      </c>
      <c r="AJ64" s="261" t="b">
        <f t="shared" si="16"/>
        <v>0</v>
      </c>
      <c r="AK64" s="261" t="b">
        <f t="shared" si="17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8"/>
        <v>44612</v>
      </c>
      <c r="B65" s="610">
        <v>22.131</v>
      </c>
      <c r="C65" s="385"/>
      <c r="D65" s="388">
        <f t="shared" si="24"/>
        <v>22.158282922373797</v>
      </c>
      <c r="E65" s="380">
        <f t="shared" si="25"/>
        <v>22.299077301994345</v>
      </c>
      <c r="F65" s="380">
        <f t="shared" si="26"/>
        <v>22.299083982726547</v>
      </c>
      <c r="G65" s="110">
        <f t="shared" si="27"/>
        <v>0.65423846974254485</v>
      </c>
      <c r="I65" s="375">
        <f t="shared" si="0"/>
        <v>22.299083982726547</v>
      </c>
      <c r="J65" s="85">
        <v>2022</v>
      </c>
      <c r="K65" s="193">
        <f t="shared" si="1"/>
        <v>44612</v>
      </c>
      <c r="L65" s="431">
        <f t="shared" si="2"/>
        <v>1.231274213321365E-3</v>
      </c>
      <c r="M65" s="847"/>
      <c r="N65" s="847"/>
      <c r="O65" s="320">
        <f t="shared" si="3"/>
        <v>6.3139105584406391E-3</v>
      </c>
      <c r="P65" s="165">
        <f>(INDEX(Models!$BJ65:$BT65,,T65)*(1-R65)+INDEX(Models!$BJ65:$BT65,,T65+1)*R65-ERP_i)*Q65*Ramure*Pc/MaxiM</f>
        <v>5.9202374040241566E-7</v>
      </c>
      <c r="Q65" s="301">
        <f t="shared" si="19"/>
        <v>0.5</v>
      </c>
      <c r="R65" s="173">
        <f t="shared" si="4"/>
        <v>0.99851285265634659</v>
      </c>
      <c r="S65" s="802">
        <f t="shared" si="20"/>
        <v>-1</v>
      </c>
      <c r="T65" s="172">
        <f t="shared" si="21"/>
        <v>5</v>
      </c>
      <c r="U65" s="247">
        <f t="shared" si="22"/>
        <v>-1.487147343653415E-3</v>
      </c>
      <c r="V65" s="378">
        <f t="shared" si="5"/>
        <v>33.827105179254318</v>
      </c>
      <c r="W65" s="58"/>
      <c r="X65" s="153">
        <f t="shared" si="6"/>
        <v>44612</v>
      </c>
      <c r="Y65" s="380">
        <f t="shared" si="7"/>
        <v>22.131</v>
      </c>
      <c r="Z65" s="380">
        <f t="shared" si="8"/>
        <v>22.158282922373797</v>
      </c>
      <c r="AA65" s="381">
        <f t="shared" si="9"/>
        <v>22.299077301994345</v>
      </c>
      <c r="AB65" s="193">
        <f t="shared" si="10"/>
        <v>44612</v>
      </c>
      <c r="AC65" s="420">
        <f t="shared" si="11"/>
        <v>6.3139105584406391E-3</v>
      </c>
      <c r="AD65" s="165">
        <f>(INDEX(Models!$BJ65:$BT65,,AH65)*(1-AF65)+INDEX(Models!$BJ65:$BT65,,AH65+1)*AF65-ERP_i)*AE65*Ramure*Pc/MaxiM</f>
        <v>5.9202374040241566E-7</v>
      </c>
      <c r="AE65" s="301">
        <f t="shared" si="12"/>
        <v>0.5</v>
      </c>
      <c r="AF65" s="173">
        <f t="shared" si="13"/>
        <v>0.99851285265634659</v>
      </c>
      <c r="AG65" s="802">
        <f t="shared" si="23"/>
        <v>-1</v>
      </c>
      <c r="AH65" s="172">
        <f t="shared" si="14"/>
        <v>5</v>
      </c>
      <c r="AI65" s="221">
        <f t="shared" si="15"/>
        <v>-1.487147343653415E-3</v>
      </c>
      <c r="AJ65" s="261" t="b">
        <f t="shared" si="16"/>
        <v>0</v>
      </c>
      <c r="AK65" s="261" t="b">
        <f t="shared" si="17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8"/>
        <v>44613</v>
      </c>
      <c r="B66" s="610">
        <v>19.513000000000002</v>
      </c>
      <c r="C66" s="385"/>
      <c r="D66" s="388">
        <f t="shared" si="24"/>
        <v>19.537322922151759</v>
      </c>
      <c r="E66" s="380">
        <f t="shared" si="25"/>
        <v>19.662796881179805</v>
      </c>
      <c r="F66" s="380">
        <f t="shared" si="26"/>
        <v>19.662801372105708</v>
      </c>
      <c r="G66" s="110">
        <f t="shared" si="27"/>
        <v>0.56989515309475591</v>
      </c>
      <c r="I66" s="375">
        <f t="shared" si="0"/>
        <v>19.662801372105708</v>
      </c>
      <c r="J66" s="85">
        <v>2022</v>
      </c>
      <c r="K66" s="193">
        <f t="shared" si="1"/>
        <v>44613</v>
      </c>
      <c r="L66" s="431">
        <f t="shared" si="2"/>
        <v>1.2449465184495301E-3</v>
      </c>
      <c r="M66" s="847"/>
      <c r="N66" s="847"/>
      <c r="O66" s="320">
        <f t="shared" si="3"/>
        <v>6.3812874529636287E-3</v>
      </c>
      <c r="P66" s="165">
        <f>(INDEX(Models!$BJ66:$BT66,,T66)*(1-R66)+INDEX(Models!$BJ66:$BT66,,T66+1)*R66-ERP_i)*Q66*Ramure*Pc/MaxiM</f>
        <v>5.9237008519090391E-7</v>
      </c>
      <c r="Q66" s="301">
        <f t="shared" si="19"/>
        <v>0.5</v>
      </c>
      <c r="R66" s="173">
        <f t="shared" si="4"/>
        <v>0.99873653090563319</v>
      </c>
      <c r="S66" s="802">
        <f t="shared" si="20"/>
        <v>-1</v>
      </c>
      <c r="T66" s="172">
        <f t="shared" si="21"/>
        <v>5</v>
      </c>
      <c r="U66" s="247">
        <f t="shared" si="22"/>
        <v>-1.2634690943667936E-3</v>
      </c>
      <c r="V66" s="378">
        <f t="shared" si="5"/>
        <v>34.239618975226151</v>
      </c>
      <c r="W66" s="58"/>
      <c r="X66" s="153">
        <f t="shared" si="6"/>
        <v>44613</v>
      </c>
      <c r="Y66" s="380">
        <f t="shared" si="7"/>
        <v>19.513000000000002</v>
      </c>
      <c r="Z66" s="380">
        <f t="shared" si="8"/>
        <v>19.537322922151759</v>
      </c>
      <c r="AA66" s="381">
        <f t="shared" si="9"/>
        <v>19.662796881179805</v>
      </c>
      <c r="AB66" s="193">
        <f t="shared" si="10"/>
        <v>44613</v>
      </c>
      <c r="AC66" s="420">
        <f t="shared" si="11"/>
        <v>6.3812874529636287E-3</v>
      </c>
      <c r="AD66" s="165">
        <f>(INDEX(Models!$BJ66:$BT66,,AH66)*(1-AF66)+INDEX(Models!$BJ66:$BT66,,AH66+1)*AF66-ERP_i)*AE66*Ramure*Pc/MaxiM</f>
        <v>5.9237008519090391E-7</v>
      </c>
      <c r="AE66" s="301">
        <f t="shared" si="12"/>
        <v>0.5</v>
      </c>
      <c r="AF66" s="173">
        <f t="shared" si="13"/>
        <v>0.99873653090563319</v>
      </c>
      <c r="AG66" s="802">
        <f t="shared" si="23"/>
        <v>-1</v>
      </c>
      <c r="AH66" s="172">
        <f t="shared" si="14"/>
        <v>5</v>
      </c>
      <c r="AI66" s="221">
        <f t="shared" si="15"/>
        <v>-1.2634690943667936E-3</v>
      </c>
      <c r="AJ66" s="261" t="b">
        <f t="shared" si="16"/>
        <v>0</v>
      </c>
      <c r="AK66" s="261" t="b">
        <f t="shared" si="17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8"/>
        <v>44614</v>
      </c>
      <c r="B67" s="610">
        <v>31.885999999999999</v>
      </c>
      <c r="C67" s="385"/>
      <c r="D67" s="388">
        <f t="shared" si="24"/>
        <v>31.926182888773415</v>
      </c>
      <c r="E67" s="380">
        <f t="shared" si="25"/>
        <v>32.133398417379901</v>
      </c>
      <c r="F67" s="380">
        <f t="shared" si="26"/>
        <v>32.133415210523701</v>
      </c>
      <c r="G67" s="110">
        <f t="shared" si="27"/>
        <v>0.92015097424715164</v>
      </c>
      <c r="I67" s="375">
        <f t="shared" si="0"/>
        <v>32.133415210523701</v>
      </c>
      <c r="J67" s="85">
        <v>2022</v>
      </c>
      <c r="K67" s="193">
        <f t="shared" si="1"/>
        <v>44614</v>
      </c>
      <c r="L67" s="431">
        <f t="shared" si="2"/>
        <v>1.2586186364154095E-3</v>
      </c>
      <c r="M67" s="847"/>
      <c r="N67" s="847"/>
      <c r="O67" s="320">
        <f t="shared" si="3"/>
        <v>6.4486029742316748E-3</v>
      </c>
      <c r="P67" s="165">
        <f>(INDEX(Models!$BJ67:$BT67,,T67)*(1-R67)+INDEX(Models!$BJ67:$BT67,,T67+1)*R67-ERP_i)*Q67*Ramure*Pc/MaxiM</f>
        <v>5.8989632079428201E-7</v>
      </c>
      <c r="Q67" s="301">
        <f t="shared" si="19"/>
        <v>0.5</v>
      </c>
      <c r="R67" s="173">
        <f t="shared" si="4"/>
        <v>0.99896937816470255</v>
      </c>
      <c r="S67" s="802">
        <f t="shared" si="20"/>
        <v>-1</v>
      </c>
      <c r="T67" s="172">
        <f t="shared" si="21"/>
        <v>5</v>
      </c>
      <c r="U67" s="247">
        <f t="shared" si="22"/>
        <v>-1.0306218352975046E-3</v>
      </c>
      <c r="V67" s="378">
        <f t="shared" si="5"/>
        <v>34.653006676970769</v>
      </c>
      <c r="W67" s="58"/>
      <c r="X67" s="153">
        <f t="shared" si="6"/>
        <v>44614</v>
      </c>
      <c r="Y67" s="380">
        <f t="shared" si="7"/>
        <v>31.885999999999999</v>
      </c>
      <c r="Z67" s="380">
        <f t="shared" si="8"/>
        <v>31.926182888773415</v>
      </c>
      <c r="AA67" s="381">
        <f t="shared" si="9"/>
        <v>32.133398417379901</v>
      </c>
      <c r="AB67" s="193">
        <f t="shared" si="10"/>
        <v>44614</v>
      </c>
      <c r="AC67" s="420">
        <f t="shared" si="11"/>
        <v>6.4486029742316748E-3</v>
      </c>
      <c r="AD67" s="165">
        <f>(INDEX(Models!$BJ67:$BT67,,AH67)*(1-AF67)+INDEX(Models!$BJ67:$BT67,,AH67+1)*AF67-ERP_i)*AE67*Ramure*Pc/MaxiM</f>
        <v>5.8989632079428201E-7</v>
      </c>
      <c r="AE67" s="301">
        <f t="shared" si="12"/>
        <v>0.5</v>
      </c>
      <c r="AF67" s="173">
        <f t="shared" si="13"/>
        <v>0.99896937816470255</v>
      </c>
      <c r="AG67" s="802">
        <f t="shared" si="23"/>
        <v>-1</v>
      </c>
      <c r="AH67" s="172">
        <f t="shared" si="14"/>
        <v>5</v>
      </c>
      <c r="AI67" s="221">
        <f t="shared" si="15"/>
        <v>-1.0306218352975046E-3</v>
      </c>
      <c r="AJ67" s="261" t="b">
        <f t="shared" si="16"/>
        <v>0</v>
      </c>
      <c r="AK67" s="261" t="b">
        <f t="shared" si="17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8"/>
        <v>44615</v>
      </c>
      <c r="B68" s="610">
        <v>33.530999999999999</v>
      </c>
      <c r="C68" s="385"/>
      <c r="D68" s="388">
        <f t="shared" si="24"/>
        <v>33.573715521564665</v>
      </c>
      <c r="E68" s="380">
        <f t="shared" si="25"/>
        <v>33.793911815920225</v>
      </c>
      <c r="F68" s="380">
        <f t="shared" si="26"/>
        <v>33.793930327105848</v>
      </c>
      <c r="G68" s="110">
        <f t="shared" si="27"/>
        <v>0.95618487821247822</v>
      </c>
      <c r="I68" s="375">
        <f t="shared" si="0"/>
        <v>33.793930327105848</v>
      </c>
      <c r="J68" s="85">
        <v>2022</v>
      </c>
      <c r="K68" s="193">
        <f t="shared" si="1"/>
        <v>44615</v>
      </c>
      <c r="L68" s="431">
        <f t="shared" si="2"/>
        <v>1.2722905672215568E-3</v>
      </c>
      <c r="M68" s="847"/>
      <c r="N68" s="847"/>
      <c r="O68" s="320">
        <f t="shared" si="3"/>
        <v>6.5158569257977011E-3</v>
      </c>
      <c r="P68" s="165">
        <f>(INDEX(Models!$BJ68:$BT68,,T68)*(1-R68)+INDEX(Models!$BJ68:$BT68,,T68+1)*R68-ERP_i)*Q68*Ramure*Pc/MaxiM</f>
        <v>5.8434230637620492E-7</v>
      </c>
      <c r="Q68" s="301">
        <f t="shared" si="19"/>
        <v>0.5</v>
      </c>
      <c r="R68" s="173">
        <f t="shared" si="4"/>
        <v>0.99921176102508036</v>
      </c>
      <c r="S68" s="802">
        <f t="shared" si="20"/>
        <v>-1</v>
      </c>
      <c r="T68" s="172">
        <f t="shared" si="21"/>
        <v>5</v>
      </c>
      <c r="U68" s="247">
        <f t="shared" si="22"/>
        <v>-7.8823897491963908E-4</v>
      </c>
      <c r="V68" s="378">
        <f t="shared" si="5"/>
        <v>35.067484895036742</v>
      </c>
      <c r="W68" s="58"/>
      <c r="X68" s="153">
        <f t="shared" si="6"/>
        <v>44615</v>
      </c>
      <c r="Y68" s="380">
        <f t="shared" si="7"/>
        <v>33.530999999999999</v>
      </c>
      <c r="Z68" s="380">
        <f t="shared" si="8"/>
        <v>33.573715521564665</v>
      </c>
      <c r="AA68" s="381">
        <f t="shared" si="9"/>
        <v>33.793911815920225</v>
      </c>
      <c r="AB68" s="193">
        <f t="shared" si="10"/>
        <v>44615</v>
      </c>
      <c r="AC68" s="420">
        <f t="shared" si="11"/>
        <v>6.5158569257977011E-3</v>
      </c>
      <c r="AD68" s="165">
        <f>(INDEX(Models!$BJ68:$BT68,,AH68)*(1-AF68)+INDEX(Models!$BJ68:$BT68,,AH68+1)*AF68-ERP_i)*AE68*Ramure*Pc/MaxiM</f>
        <v>5.8434230637620492E-7</v>
      </c>
      <c r="AE68" s="301">
        <f t="shared" si="12"/>
        <v>0.5</v>
      </c>
      <c r="AF68" s="173">
        <f t="shared" si="13"/>
        <v>0.99921176102508036</v>
      </c>
      <c r="AG68" s="802">
        <f t="shared" si="23"/>
        <v>-1</v>
      </c>
      <c r="AH68" s="172">
        <f t="shared" si="14"/>
        <v>5</v>
      </c>
      <c r="AI68" s="221">
        <f t="shared" si="15"/>
        <v>-7.8823897491963908E-4</v>
      </c>
      <c r="AJ68" s="261" t="b">
        <f t="shared" si="16"/>
        <v>0</v>
      </c>
      <c r="AK68" s="261" t="b">
        <f t="shared" si="17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8"/>
        <v>44616</v>
      </c>
      <c r="B69" s="610">
        <v>23.875</v>
      </c>
      <c r="C69" s="385"/>
      <c r="D69" s="388">
        <f t="shared" si="24"/>
        <v>23.905741883075027</v>
      </c>
      <c r="E69" s="380">
        <f t="shared" si="25"/>
        <v>24.064157415458372</v>
      </c>
      <c r="F69" s="380">
        <f t="shared" si="26"/>
        <v>24.064164791213923</v>
      </c>
      <c r="G69" s="110">
        <f t="shared" si="27"/>
        <v>0.67285212064441136</v>
      </c>
      <c r="I69" s="375">
        <f t="shared" si="0"/>
        <v>24.064164791213923</v>
      </c>
      <c r="J69" s="85">
        <v>2022</v>
      </c>
      <c r="K69" s="193">
        <f t="shared" si="1"/>
        <v>44616</v>
      </c>
      <c r="L69" s="431">
        <f t="shared" si="2"/>
        <v>1.2859623108703033E-3</v>
      </c>
      <c r="M69" s="847"/>
      <c r="N69" s="847"/>
      <c r="O69" s="320">
        <f t="shared" si="3"/>
        <v>6.5830492066836412E-3</v>
      </c>
      <c r="P69" s="165">
        <f>(INDEX(Models!$BJ69:$BT69,,T69)*(1-R69)+INDEX(Models!$BJ69:$BT69,,T69+1)*R69-ERP_i)*Q69*Ramure*Pc/MaxiM</f>
        <v>5.754358742399398E-7</v>
      </c>
      <c r="Q69" s="301">
        <f t="shared" si="19"/>
        <v>0.5</v>
      </c>
      <c r="R69" s="173">
        <f t="shared" si="4"/>
        <v>0.9994640599522987</v>
      </c>
      <c r="S69" s="802">
        <f t="shared" si="20"/>
        <v>-1</v>
      </c>
      <c r="T69" s="172">
        <f t="shared" si="21"/>
        <v>5</v>
      </c>
      <c r="U69" s="247">
        <f t="shared" si="22"/>
        <v>-5.3594004770135279E-4</v>
      </c>
      <c r="V69" s="378">
        <f t="shared" si="5"/>
        <v>35.483270166967081</v>
      </c>
      <c r="W69" s="58"/>
      <c r="X69" s="153">
        <f t="shared" si="6"/>
        <v>44616</v>
      </c>
      <c r="Y69" s="380">
        <f t="shared" si="7"/>
        <v>23.875</v>
      </c>
      <c r="Z69" s="380">
        <f t="shared" si="8"/>
        <v>23.905741883075027</v>
      </c>
      <c r="AA69" s="381">
        <f t="shared" si="9"/>
        <v>24.064157415458372</v>
      </c>
      <c r="AB69" s="193">
        <f t="shared" si="10"/>
        <v>44616</v>
      </c>
      <c r="AC69" s="420">
        <f t="shared" si="11"/>
        <v>6.5830492066836412E-3</v>
      </c>
      <c r="AD69" s="165">
        <f>(INDEX(Models!$BJ69:$BT69,,AH69)*(1-AF69)+INDEX(Models!$BJ69:$BT69,,AH69+1)*AF69-ERP_i)*AE69*Ramure*Pc/MaxiM</f>
        <v>5.754358742399398E-7</v>
      </c>
      <c r="AE69" s="301">
        <f t="shared" si="12"/>
        <v>0.5</v>
      </c>
      <c r="AF69" s="173">
        <f t="shared" si="13"/>
        <v>0.9994640599522987</v>
      </c>
      <c r="AG69" s="802">
        <f t="shared" si="23"/>
        <v>-1</v>
      </c>
      <c r="AH69" s="172">
        <f t="shared" si="14"/>
        <v>5</v>
      </c>
      <c r="AI69" s="221">
        <f t="shared" si="15"/>
        <v>-5.3594004770135279E-4</v>
      </c>
      <c r="AJ69" s="261" t="b">
        <f t="shared" si="16"/>
        <v>0</v>
      </c>
      <c r="AK69" s="261" t="b">
        <f t="shared" si="17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8"/>
        <v>44617</v>
      </c>
      <c r="B70" s="610">
        <v>26.358000000000001</v>
      </c>
      <c r="C70" s="385"/>
      <c r="D70" s="388">
        <f t="shared" si="24"/>
        <v>26.392300327343069</v>
      </c>
      <c r="E70" s="380">
        <f t="shared" si="25"/>
        <v>26.568988881121332</v>
      </c>
      <c r="F70" s="380">
        <f t="shared" si="26"/>
        <v>26.56899815763115</v>
      </c>
      <c r="G70" s="110">
        <f t="shared" si="27"/>
        <v>0.73419413087032381</v>
      </c>
      <c r="I70" s="375">
        <f t="shared" si="0"/>
        <v>26.56899815763115</v>
      </c>
      <c r="J70" s="85">
        <v>2022</v>
      </c>
      <c r="K70" s="193">
        <f t="shared" si="1"/>
        <v>44617</v>
      </c>
      <c r="L70" s="431">
        <f t="shared" si="2"/>
        <v>1.2996338673644248E-3</v>
      </c>
      <c r="M70" s="847"/>
      <c r="N70" s="847"/>
      <c r="O70" s="320">
        <f t="shared" si="3"/>
        <v>6.6501798231324658E-3</v>
      </c>
      <c r="P70" s="165">
        <f>(INDEX(Models!$BJ70:$BT70,,T70)*(1-R70)+INDEX(Models!$BJ70:$BT70,,T70+1)*R70-ERP_i)*Q70*Ramure*Pc/MaxiM</f>
        <v>5.6288978084982903E-7</v>
      </c>
      <c r="Q70" s="301">
        <f t="shared" si="19"/>
        <v>0.5</v>
      </c>
      <c r="R70" s="173">
        <f t="shared" si="4"/>
        <v>0.99972666974443469</v>
      </c>
      <c r="S70" s="802">
        <f t="shared" si="20"/>
        <v>-1</v>
      </c>
      <c r="T70" s="172">
        <f t="shared" si="21"/>
        <v>5</v>
      </c>
      <c r="U70" s="247">
        <f t="shared" si="22"/>
        <v>-2.7333025556530027E-4</v>
      </c>
      <c r="V70" s="378">
        <f t="shared" si="5"/>
        <v>35.900578958516483</v>
      </c>
      <c r="W70" s="58"/>
      <c r="X70" s="153">
        <f t="shared" si="6"/>
        <v>44617</v>
      </c>
      <c r="Y70" s="380">
        <f t="shared" si="7"/>
        <v>26.358000000000001</v>
      </c>
      <c r="Z70" s="380">
        <f t="shared" si="8"/>
        <v>26.392300327343069</v>
      </c>
      <c r="AA70" s="381">
        <f t="shared" si="9"/>
        <v>26.568988881121332</v>
      </c>
      <c r="AB70" s="193">
        <f t="shared" si="10"/>
        <v>44617</v>
      </c>
      <c r="AC70" s="420">
        <f t="shared" si="11"/>
        <v>6.6501798231324658E-3</v>
      </c>
      <c r="AD70" s="165">
        <f>(INDEX(Models!$BJ70:$BT70,,AH70)*(1-AF70)+INDEX(Models!$BJ70:$BT70,,AH70+1)*AF70-ERP_i)*AE70*Ramure*Pc/MaxiM</f>
        <v>5.6288978084982903E-7</v>
      </c>
      <c r="AE70" s="301">
        <f t="shared" si="12"/>
        <v>0.5</v>
      </c>
      <c r="AF70" s="173">
        <f t="shared" si="13"/>
        <v>0.99972666974443469</v>
      </c>
      <c r="AG70" s="802">
        <f t="shared" si="23"/>
        <v>-1</v>
      </c>
      <c r="AH70" s="172">
        <f t="shared" si="14"/>
        <v>5</v>
      </c>
      <c r="AI70" s="221">
        <f t="shared" si="15"/>
        <v>-2.7333025556530027E-4</v>
      </c>
      <c r="AJ70" s="261" t="b">
        <f t="shared" si="16"/>
        <v>0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44618</v>
      </c>
      <c r="B71" s="1126">
        <f>39.07*0.95</f>
        <v>37.116500000000002</v>
      </c>
      <c r="C71" s="385"/>
      <c r="D71" s="388">
        <f t="shared" si="24"/>
        <v>37.165309395452866</v>
      </c>
      <c r="E71" s="380">
        <f t="shared" si="25"/>
        <v>37.416646321796847</v>
      </c>
      <c r="F71" s="380">
        <f t="shared" si="26"/>
        <v>37.416666766304843</v>
      </c>
      <c r="G71" s="110">
        <f t="shared" si="27"/>
        <v>1.0219405426181238</v>
      </c>
      <c r="I71" s="375">
        <f t="shared" si="0"/>
        <v>37.416666766304843</v>
      </c>
      <c r="J71" s="85">
        <v>2022</v>
      </c>
      <c r="K71" s="193">
        <f t="shared" si="1"/>
        <v>44618</v>
      </c>
      <c r="L71" s="431">
        <f t="shared" si="2"/>
        <v>1.3133052367064746E-3</v>
      </c>
      <c r="M71" s="847"/>
      <c r="N71" s="847"/>
      <c r="O71" s="320">
        <f t="shared" si="3"/>
        <v>6.7172488999251998E-3</v>
      </c>
      <c r="P71" s="165">
        <f>(INDEX(Models!$BJ71:$BT71,,T71)*(1-R71)+INDEX(Models!$BJ71:$BT71,,T71+1)*R71-ERP_i)*Q71*Ramure*Pc/MaxiM</f>
        <v>5.4640110312106467E-7</v>
      </c>
      <c r="Q71" s="301">
        <f t="shared" si="19"/>
        <v>0.5</v>
      </c>
      <c r="R71" s="173">
        <f t="shared" si="4"/>
        <v>0</v>
      </c>
      <c r="S71" s="802">
        <f t="shared" si="20"/>
        <v>0</v>
      </c>
      <c r="T71" s="172">
        <f t="shared" si="21"/>
        <v>6</v>
      </c>
      <c r="U71" s="247">
        <f t="shared" si="22"/>
        <v>0</v>
      </c>
      <c r="V71" s="378">
        <f t="shared" si="5"/>
        <v>36.31962766142022</v>
      </c>
      <c r="W71" s="58"/>
      <c r="X71" s="153">
        <f t="shared" si="6"/>
        <v>44618</v>
      </c>
      <c r="Y71" s="380">
        <f t="shared" si="7"/>
        <v>37.116500000000002</v>
      </c>
      <c r="Z71" s="380">
        <f t="shared" si="8"/>
        <v>37.165309395452866</v>
      </c>
      <c r="AA71" s="381">
        <f t="shared" si="9"/>
        <v>37.416646321796847</v>
      </c>
      <c r="AB71" s="193">
        <f t="shared" si="10"/>
        <v>44618</v>
      </c>
      <c r="AC71" s="420">
        <f t="shared" si="11"/>
        <v>6.7172488999251998E-3</v>
      </c>
      <c r="AD71" s="165">
        <f>(INDEX(Models!$BJ71:$BT71,,AH71)*(1-AF71)+INDEX(Models!$BJ71:$BT71,,AH71+1)*AF71-ERP_i)*AE71*Ramure*Pc/MaxiM</f>
        <v>5.4640110312106467E-7</v>
      </c>
      <c r="AE71" s="301">
        <f t="shared" si="12"/>
        <v>0.5</v>
      </c>
      <c r="AF71" s="173">
        <f t="shared" si="13"/>
        <v>0</v>
      </c>
      <c r="AG71" s="802">
        <f t="shared" si="23"/>
        <v>0</v>
      </c>
      <c r="AH71" s="172">
        <f t="shared" si="14"/>
        <v>6</v>
      </c>
      <c r="AI71" s="221">
        <f t="shared" si="15"/>
        <v>0</v>
      </c>
      <c r="AJ71" s="261" t="b">
        <f t="shared" si="16"/>
        <v>0</v>
      </c>
      <c r="AK71" s="261" t="b">
        <f t="shared" si="17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8"/>
        <v>44619</v>
      </c>
      <c r="B72" s="610">
        <v>23.740000000000002</v>
      </c>
      <c r="C72" s="385"/>
      <c r="D72" s="388">
        <f t="shared" si="24"/>
        <v>23.771544278698645</v>
      </c>
      <c r="E72" s="380">
        <f t="shared" si="25"/>
        <v>23.933918122869454</v>
      </c>
      <c r="F72" s="380">
        <f t="shared" si="26"/>
        <v>23.933924564086386</v>
      </c>
      <c r="G72" s="110">
        <f t="shared" si="27"/>
        <v>0.64615092973317612</v>
      </c>
      <c r="I72" s="375">
        <f t="shared" si="0"/>
        <v>23.933924564086386</v>
      </c>
      <c r="J72" s="85">
        <v>2022</v>
      </c>
      <c r="K72" s="193">
        <f t="shared" si="1"/>
        <v>44619</v>
      </c>
      <c r="L72" s="431">
        <f t="shared" si="2"/>
        <v>1.3269764188988953E-3</v>
      </c>
      <c r="M72" s="847"/>
      <c r="N72" s="847"/>
      <c r="O72" s="320">
        <f t="shared" si="3"/>
        <v>6.7842566911623901E-3</v>
      </c>
      <c r="P72" s="165">
        <f>(INDEX(Models!$BJ72:$BT72,,T72)*(1-R72)+INDEX(Models!$BJ72:$BT72,,T72+1)*R72-ERP_i)*Q72*Ramure*Pc/MaxiM</f>
        <v>5.4423481766723083E-7</v>
      </c>
      <c r="Q72" s="301">
        <f t="shared" si="19"/>
        <v>0.5</v>
      </c>
      <c r="R72" s="173">
        <f t="shared" si="4"/>
        <v>2.8447559481013102E-4</v>
      </c>
      <c r="S72" s="802">
        <f t="shared" si="20"/>
        <v>0</v>
      </c>
      <c r="T72" s="172">
        <f t="shared" si="21"/>
        <v>6</v>
      </c>
      <c r="U72" s="247">
        <f t="shared" si="22"/>
        <v>2.8447559481013102E-4</v>
      </c>
      <c r="V72" s="378">
        <f t="shared" si="5"/>
        <v>36.740631911949642</v>
      </c>
      <c r="W72" s="58"/>
      <c r="X72" s="153">
        <f t="shared" si="6"/>
        <v>44619</v>
      </c>
      <c r="Y72" s="380">
        <f t="shared" si="7"/>
        <v>23.740000000000002</v>
      </c>
      <c r="Z72" s="380">
        <f t="shared" si="8"/>
        <v>23.771544278698645</v>
      </c>
      <c r="AA72" s="381">
        <f t="shared" si="9"/>
        <v>23.933918122869454</v>
      </c>
      <c r="AB72" s="193">
        <f t="shared" si="10"/>
        <v>44619</v>
      </c>
      <c r="AC72" s="420">
        <f t="shared" si="11"/>
        <v>6.7842566911623901E-3</v>
      </c>
      <c r="AD72" s="165">
        <f>(INDEX(Models!$BJ72:$BT72,,AH72)*(1-AF72)+INDEX(Models!$BJ72:$BT72,,AH72+1)*AF72-ERP_i)*AE72*Ramure*Pc/MaxiM</f>
        <v>5.4423481766723083E-7</v>
      </c>
      <c r="AE72" s="301">
        <f t="shared" si="12"/>
        <v>0.5</v>
      </c>
      <c r="AF72" s="173">
        <f t="shared" si="13"/>
        <v>2.8447559481013102E-4</v>
      </c>
      <c r="AG72" s="802">
        <f t="shared" si="23"/>
        <v>0</v>
      </c>
      <c r="AH72" s="172">
        <f t="shared" si="14"/>
        <v>6</v>
      </c>
      <c r="AI72" s="221">
        <f t="shared" si="15"/>
        <v>2.8447559481013102E-4</v>
      </c>
      <c r="AJ72" s="261" t="b">
        <f t="shared" si="16"/>
        <v>0</v>
      </c>
      <c r="AK72" s="261" t="b">
        <f t="shared" si="17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8"/>
        <v>44620</v>
      </c>
      <c r="B73" s="610">
        <v>34.619999999999997</v>
      </c>
      <c r="C73" s="385"/>
      <c r="D73" s="388">
        <f t="shared" si="24"/>
        <v>34.666475520757466</v>
      </c>
      <c r="E73" s="380">
        <f t="shared" si="25"/>
        <v>34.9056210369314</v>
      </c>
      <c r="F73" s="380">
        <f t="shared" si="26"/>
        <v>34.905638121982101</v>
      </c>
      <c r="G73" s="110">
        <f t="shared" si="27"/>
        <v>0.93155141042826439</v>
      </c>
      <c r="I73" s="375">
        <f t="shared" si="0"/>
        <v>34.905638121982101</v>
      </c>
      <c r="J73" s="85">
        <v>2022</v>
      </c>
      <c r="K73" s="193">
        <f t="shared" si="1"/>
        <v>44620</v>
      </c>
      <c r="L73" s="431">
        <f t="shared" si="2"/>
        <v>1.3406474139442404E-3</v>
      </c>
      <c r="M73" s="847"/>
      <c r="N73" s="847"/>
      <c r="O73" s="320">
        <f t="shared" si="3"/>
        <v>6.8512035904163531E-3</v>
      </c>
      <c r="P73" s="165">
        <f>(INDEX(Models!$BJ73:$BT73,,T73)*(1-R73)+INDEX(Models!$BJ73:$BT73,,T73+1)*R73-ERP_i)*Q73*Ramure*Pc/MaxiM</f>
        <v>5.4251279674018846E-7</v>
      </c>
      <c r="Q73" s="301">
        <f t="shared" si="19"/>
        <v>0.5</v>
      </c>
      <c r="R73" s="173">
        <f t="shared" si="4"/>
        <v>5.8053716739778997E-4</v>
      </c>
      <c r="S73" s="802">
        <f t="shared" si="20"/>
        <v>0</v>
      </c>
      <c r="T73" s="172">
        <f t="shared" si="21"/>
        <v>6</v>
      </c>
      <c r="U73" s="247">
        <f t="shared" si="22"/>
        <v>5.8053716739778997E-4</v>
      </c>
      <c r="V73" s="378">
        <f t="shared" si="5"/>
        <v>37.163808433859039</v>
      </c>
      <c r="W73" s="58"/>
      <c r="X73" s="153">
        <f t="shared" si="6"/>
        <v>44620</v>
      </c>
      <c r="Y73" s="380">
        <f t="shared" si="7"/>
        <v>34.619999999999997</v>
      </c>
      <c r="Z73" s="380">
        <f t="shared" si="8"/>
        <v>34.666475520757466</v>
      </c>
      <c r="AA73" s="381">
        <f t="shared" si="9"/>
        <v>34.9056210369314</v>
      </c>
      <c r="AB73" s="193">
        <f t="shared" si="10"/>
        <v>44620</v>
      </c>
      <c r="AC73" s="420">
        <f t="shared" si="11"/>
        <v>6.8512035904163531E-3</v>
      </c>
      <c r="AD73" s="165">
        <f>(INDEX(Models!$BJ73:$BT73,,AH73)*(1-AF73)+INDEX(Models!$BJ73:$BT73,,AH73+1)*AF73-ERP_i)*AE73*Ramure*Pc/MaxiM</f>
        <v>5.4251279674018846E-7</v>
      </c>
      <c r="AE73" s="301">
        <f t="shared" si="12"/>
        <v>0.5</v>
      </c>
      <c r="AF73" s="173">
        <f t="shared" si="13"/>
        <v>5.8053716739778997E-4</v>
      </c>
      <c r="AG73" s="802">
        <f t="shared" si="23"/>
        <v>0</v>
      </c>
      <c r="AH73" s="172">
        <f t="shared" si="14"/>
        <v>6</v>
      </c>
      <c r="AI73" s="221">
        <f t="shared" si="15"/>
        <v>5.8053716739778997E-4</v>
      </c>
      <c r="AJ73" s="261" t="b">
        <f t="shared" si="16"/>
        <v>0</v>
      </c>
      <c r="AK73" s="261" t="b">
        <f t="shared" si="17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8"/>
        <v>44621</v>
      </c>
      <c r="B74" s="610">
        <v>36.527000000000001</v>
      </c>
      <c r="C74" s="385"/>
      <c r="D74" s="388">
        <f t="shared" si="24"/>
        <v>36.576536269561856</v>
      </c>
      <c r="E74" s="380">
        <f t="shared" si="25"/>
        <v>36.83133879130316</v>
      </c>
      <c r="F74" s="380">
        <f t="shared" si="26"/>
        <v>36.831357903305943</v>
      </c>
      <c r="G74" s="110">
        <f t="shared" si="27"/>
        <v>0.97173737952497052</v>
      </c>
      <c r="I74" s="375">
        <f t="shared" si="0"/>
        <v>36.831357903305943</v>
      </c>
      <c r="J74" s="85">
        <v>2022</v>
      </c>
      <c r="K74" s="193">
        <f t="shared" si="1"/>
        <v>44621</v>
      </c>
      <c r="L74" s="431">
        <f t="shared" si="2"/>
        <v>1.3543182218452854E-3</v>
      </c>
      <c r="M74" s="847"/>
      <c r="N74" s="847"/>
      <c r="O74" s="320">
        <f t="shared" si="3"/>
        <v>6.9180901401680994E-3</v>
      </c>
      <c r="P74" s="165">
        <f>(INDEX(Models!$BJ74:$BT74,,T74)*(1-R74)+INDEX(Models!$BJ74:$BT74,,T74+1)*R74-ERP_i)*Q74*Ramure*Pc/MaxiM</f>
        <v>5.4073811134561225E-7</v>
      </c>
      <c r="Q74" s="301">
        <f t="shared" si="19"/>
        <v>0.5</v>
      </c>
      <c r="R74" s="173">
        <f t="shared" si="4"/>
        <v>8.8864161245657235E-4</v>
      </c>
      <c r="S74" s="802">
        <f t="shared" si="20"/>
        <v>0</v>
      </c>
      <c r="T74" s="172">
        <f t="shared" si="21"/>
        <v>6</v>
      </c>
      <c r="U74" s="247">
        <f t="shared" si="22"/>
        <v>8.8864161245657235E-4</v>
      </c>
      <c r="V74" s="378">
        <f t="shared" si="5"/>
        <v>37.589373396734381</v>
      </c>
      <c r="W74" s="58"/>
      <c r="X74" s="153">
        <f t="shared" si="6"/>
        <v>44621</v>
      </c>
      <c r="Y74" s="380">
        <f t="shared" si="7"/>
        <v>36.527000000000001</v>
      </c>
      <c r="Z74" s="380">
        <f t="shared" si="8"/>
        <v>36.576536269561856</v>
      </c>
      <c r="AA74" s="381">
        <f t="shared" si="9"/>
        <v>36.83133879130316</v>
      </c>
      <c r="AB74" s="193">
        <f t="shared" si="10"/>
        <v>44621</v>
      </c>
      <c r="AC74" s="420">
        <f t="shared" si="11"/>
        <v>6.9180901401680994E-3</v>
      </c>
      <c r="AD74" s="165">
        <f>(INDEX(Models!$BJ74:$BT74,,AH74)*(1-AF74)+INDEX(Models!$BJ74:$BT74,,AH74+1)*AF74-ERP_i)*AE74*Ramure*Pc/MaxiM</f>
        <v>5.4073811134561225E-7</v>
      </c>
      <c r="AE74" s="301">
        <f t="shared" si="12"/>
        <v>0.5</v>
      </c>
      <c r="AF74" s="173">
        <f t="shared" si="13"/>
        <v>8.8864161245657235E-4</v>
      </c>
      <c r="AG74" s="802">
        <f t="shared" si="23"/>
        <v>0</v>
      </c>
      <c r="AH74" s="172">
        <f t="shared" si="14"/>
        <v>6</v>
      </c>
      <c r="AI74" s="221">
        <f t="shared" si="15"/>
        <v>8.8864161245657235E-4</v>
      </c>
      <c r="AJ74" s="261" t="b">
        <f t="shared" si="16"/>
        <v>0</v>
      </c>
      <c r="AK74" s="261" t="b">
        <f t="shared" si="17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8"/>
        <v>44622</v>
      </c>
      <c r="B75" s="610">
        <v>16.878</v>
      </c>
      <c r="C75" s="385"/>
      <c r="D75" s="388">
        <f t="shared" si="24"/>
        <v>16.901120544332159</v>
      </c>
      <c r="E75" s="380">
        <f t="shared" si="25"/>
        <v>17.020003859317658</v>
      </c>
      <c r="F75" s="380">
        <f t="shared" si="26"/>
        <v>17.020005743772145</v>
      </c>
      <c r="G75" s="110">
        <f t="shared" si="27"/>
        <v>0.4439527517253945</v>
      </c>
      <c r="I75" s="375">
        <f t="shared" si="0"/>
        <v>17.020005743772145</v>
      </c>
      <c r="J75" s="85">
        <v>2022</v>
      </c>
      <c r="K75" s="193">
        <f t="shared" si="1"/>
        <v>44622</v>
      </c>
      <c r="L75" s="431">
        <f t="shared" si="2"/>
        <v>1.3679888426043618E-3</v>
      </c>
      <c r="M75" s="847"/>
      <c r="N75" s="847"/>
      <c r="O75" s="320">
        <f t="shared" si="3"/>
        <v>6.9849170404515945E-3</v>
      </c>
      <c r="P75" s="165">
        <f>(INDEX(Models!$BJ75:$BT75,,T75)*(1-R75)+INDEX(Models!$BJ75:$BT75,,T75+1)*R75-ERP_i)*Q75*Ramure*Pc/MaxiM</f>
        <v>5.3839801168594897E-7</v>
      </c>
      <c r="Q75" s="301">
        <f t="shared" si="19"/>
        <v>0.5</v>
      </c>
      <c r="R75" s="173">
        <f t="shared" si="4"/>
        <v>1.2092625817181251E-3</v>
      </c>
      <c r="S75" s="802">
        <f t="shared" si="20"/>
        <v>0</v>
      </c>
      <c r="T75" s="172">
        <f t="shared" si="21"/>
        <v>6</v>
      </c>
      <c r="U75" s="247">
        <f t="shared" si="22"/>
        <v>1.2092625817181251E-3</v>
      </c>
      <c r="V75" s="378">
        <f t="shared" si="5"/>
        <v>38.017542894044283</v>
      </c>
      <c r="W75" s="58"/>
      <c r="X75" s="153">
        <f t="shared" si="6"/>
        <v>44622</v>
      </c>
      <c r="Y75" s="380">
        <f t="shared" si="7"/>
        <v>16.878</v>
      </c>
      <c r="Z75" s="380">
        <f t="shared" si="8"/>
        <v>16.901120544332159</v>
      </c>
      <c r="AA75" s="381">
        <f t="shared" si="9"/>
        <v>17.020003859317658</v>
      </c>
      <c r="AB75" s="193">
        <f t="shared" si="10"/>
        <v>44622</v>
      </c>
      <c r="AC75" s="420">
        <f t="shared" si="11"/>
        <v>6.9849170404515945E-3</v>
      </c>
      <c r="AD75" s="165">
        <f>(INDEX(Models!$BJ75:$BT75,,AH75)*(1-AF75)+INDEX(Models!$BJ75:$BT75,,AH75+1)*AF75-ERP_i)*AE75*Ramure*Pc/MaxiM</f>
        <v>5.3839801168594897E-7</v>
      </c>
      <c r="AE75" s="301">
        <f t="shared" si="12"/>
        <v>0.5</v>
      </c>
      <c r="AF75" s="173">
        <f t="shared" si="13"/>
        <v>1.2092625817181251E-3</v>
      </c>
      <c r="AG75" s="802">
        <f t="shared" si="23"/>
        <v>0</v>
      </c>
      <c r="AH75" s="172">
        <f t="shared" si="14"/>
        <v>6</v>
      </c>
      <c r="AI75" s="221">
        <f t="shared" si="15"/>
        <v>1.2092625817181251E-3</v>
      </c>
      <c r="AJ75" s="261" t="b">
        <f t="shared" si="16"/>
        <v>0</v>
      </c>
      <c r="AK75" s="261" t="b">
        <f t="shared" si="17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8"/>
        <v>44623</v>
      </c>
      <c r="B76" s="610">
        <v>29.114000000000001</v>
      </c>
      <c r="C76" s="385"/>
      <c r="D76" s="388">
        <f t="shared" si="24"/>
        <v>29.154281283176548</v>
      </c>
      <c r="E76" s="380">
        <f t="shared" si="25"/>
        <v>29.361328124894015</v>
      </c>
      <c r="F76" s="380">
        <f t="shared" si="26"/>
        <v>29.361338384403382</v>
      </c>
      <c r="G76" s="110">
        <f t="shared" si="27"/>
        <v>0.75721990851456145</v>
      </c>
      <c r="I76" s="375">
        <f t="shared" si="0"/>
        <v>29.361338384403382</v>
      </c>
      <c r="J76" s="85">
        <v>2022</v>
      </c>
      <c r="K76" s="193">
        <f t="shared" si="1"/>
        <v>44623</v>
      </c>
      <c r="L76" s="431">
        <f t="shared" si="2"/>
        <v>1.3816592762241342E-3</v>
      </c>
      <c r="M76" s="847"/>
      <c r="N76" s="847"/>
      <c r="O76" s="320">
        <f t="shared" si="3"/>
        <v>7.0516851566371002E-3</v>
      </c>
      <c r="P76" s="165">
        <f>(INDEX(Models!$BJ76:$BT76,,T76)*(1-R76)+INDEX(Models!$BJ76:$BT76,,T76+1)*R76-ERP_i)*Q76*Ramure*Pc/MaxiM</f>
        <v>5.3496271973487947E-7</v>
      </c>
      <c r="Q76" s="301">
        <f t="shared" si="19"/>
        <v>0.5</v>
      </c>
      <c r="R76" s="173">
        <f t="shared" si="4"/>
        <v>1.5428909915760078E-3</v>
      </c>
      <c r="S76" s="802">
        <f t="shared" si="20"/>
        <v>0</v>
      </c>
      <c r="T76" s="172">
        <f t="shared" si="21"/>
        <v>6</v>
      </c>
      <c r="U76" s="247">
        <f t="shared" si="22"/>
        <v>1.5428909915760078E-3</v>
      </c>
      <c r="V76" s="378">
        <f t="shared" si="5"/>
        <v>38.448532943739181</v>
      </c>
      <c r="W76" s="58"/>
      <c r="X76" s="153">
        <f t="shared" si="6"/>
        <v>44623</v>
      </c>
      <c r="Y76" s="380">
        <f t="shared" si="7"/>
        <v>29.114000000000001</v>
      </c>
      <c r="Z76" s="380">
        <f t="shared" si="8"/>
        <v>29.154281283176548</v>
      </c>
      <c r="AA76" s="381">
        <f t="shared" si="9"/>
        <v>29.361328124894015</v>
      </c>
      <c r="AB76" s="193">
        <f t="shared" si="10"/>
        <v>44623</v>
      </c>
      <c r="AC76" s="420">
        <f t="shared" si="11"/>
        <v>7.0516851566371002E-3</v>
      </c>
      <c r="AD76" s="165">
        <f>(INDEX(Models!$BJ76:$BT76,,AH76)*(1-AF76)+INDEX(Models!$BJ76:$BT76,,AH76+1)*AF76-ERP_i)*AE76*Ramure*Pc/MaxiM</f>
        <v>5.3496271973487947E-7</v>
      </c>
      <c r="AE76" s="301">
        <f t="shared" si="12"/>
        <v>0.5</v>
      </c>
      <c r="AF76" s="173">
        <f t="shared" si="13"/>
        <v>1.5428909915760078E-3</v>
      </c>
      <c r="AG76" s="802">
        <f t="shared" si="23"/>
        <v>0</v>
      </c>
      <c r="AH76" s="172">
        <f t="shared" si="14"/>
        <v>6</v>
      </c>
      <c r="AI76" s="221">
        <f t="shared" si="15"/>
        <v>1.5428909915760078E-3</v>
      </c>
      <c r="AJ76" s="261" t="b">
        <f t="shared" si="16"/>
        <v>0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44624</v>
      </c>
      <c r="B77" s="610">
        <v>5.734</v>
      </c>
      <c r="C77" s="385"/>
      <c r="D77" s="388">
        <f t="shared" si="24"/>
        <v>5.7420119988617504</v>
      </c>
      <c r="E77" s="380">
        <f t="shared" si="25"/>
        <v>5.7831789540560674</v>
      </c>
      <c r="F77" s="380">
        <f t="shared" si="26"/>
        <v>5.7831789540560674</v>
      </c>
      <c r="G77" s="110">
        <f t="shared" si="27"/>
        <v>0.14746963771491051</v>
      </c>
      <c r="I77" s="375">
        <f t="shared" si="0"/>
        <v>5.7831789540560674</v>
      </c>
      <c r="J77" s="85">
        <v>2022</v>
      </c>
      <c r="K77" s="193">
        <f t="shared" si="1"/>
        <v>44624</v>
      </c>
      <c r="L77" s="431">
        <f t="shared" si="2"/>
        <v>1.395329522707156E-3</v>
      </c>
      <c r="M77" s="847"/>
      <c r="N77" s="847"/>
      <c r="O77" s="320">
        <f t="shared" si="3"/>
        <v>7.1183955262952093E-3</v>
      </c>
      <c r="P77" s="165">
        <f>(INDEX(Models!$BJ77:$BT77,,T77)*(1-R77)+INDEX(Models!$BJ77:$BT77,,T77+1)*R77-ERP_i)*Q77*Ramure*Pc/MaxiM</f>
        <v>5.2988423226530351E-7</v>
      </c>
      <c r="Q77" s="301">
        <f t="shared" si="19"/>
        <v>0.5</v>
      </c>
      <c r="R77" s="173">
        <f t="shared" si="4"/>
        <v>1.8900355366742935E-3</v>
      </c>
      <c r="S77" s="802">
        <f t="shared" si="20"/>
        <v>0</v>
      </c>
      <c r="T77" s="172">
        <f t="shared" si="21"/>
        <v>6</v>
      </c>
      <c r="U77" s="247">
        <f t="shared" si="22"/>
        <v>1.8900355366742935E-3</v>
      </c>
      <c r="V77" s="378">
        <f t="shared" si="5"/>
        <v>38.882559491526116</v>
      </c>
      <c r="W77" s="58"/>
      <c r="X77" s="153">
        <f t="shared" si="6"/>
        <v>44624</v>
      </c>
      <c r="Y77" s="380">
        <f t="shared" si="7"/>
        <v>5.734</v>
      </c>
      <c r="Z77" s="380">
        <f t="shared" si="8"/>
        <v>5.7420119988617504</v>
      </c>
      <c r="AA77" s="381">
        <f t="shared" si="9"/>
        <v>5.7831789540560674</v>
      </c>
      <c r="AB77" s="193">
        <f t="shared" si="10"/>
        <v>44624</v>
      </c>
      <c r="AC77" s="420">
        <f t="shared" si="11"/>
        <v>7.1183955262952093E-3</v>
      </c>
      <c r="AD77" s="165">
        <f>(INDEX(Models!$BJ77:$BT77,,AH77)*(1-AF77)+INDEX(Models!$BJ77:$BT77,,AH77+1)*AF77-ERP_i)*AE77*Ramure*Pc/MaxiM</f>
        <v>5.2988423226530351E-7</v>
      </c>
      <c r="AE77" s="301">
        <f t="shared" si="12"/>
        <v>0.5</v>
      </c>
      <c r="AF77" s="173">
        <f t="shared" si="13"/>
        <v>1.8900355366742935E-3</v>
      </c>
      <c r="AG77" s="802">
        <f t="shared" si="23"/>
        <v>0</v>
      </c>
      <c r="AH77" s="172">
        <f t="shared" si="14"/>
        <v>6</v>
      </c>
      <c r="AI77" s="221">
        <f t="shared" si="15"/>
        <v>1.8900355366742935E-3</v>
      </c>
      <c r="AJ77" s="261" t="b">
        <f t="shared" si="16"/>
        <v>0</v>
      </c>
      <c r="AK77" s="261" t="b">
        <f t="shared" si="17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8"/>
        <v>44625</v>
      </c>
      <c r="B78" s="610">
        <v>14.870000000000001</v>
      </c>
      <c r="C78" s="385"/>
      <c r="D78" s="388">
        <f t="shared" si="24"/>
        <v>14.890981386550054</v>
      </c>
      <c r="E78" s="380">
        <f t="shared" si="25"/>
        <v>14.998748132295201</v>
      </c>
      <c r="F78" s="380">
        <f t="shared" si="26"/>
        <v>14.998749007725031</v>
      </c>
      <c r="G78" s="110">
        <f t="shared" si="27"/>
        <v>0.37818042243050415</v>
      </c>
      <c r="I78" s="375">
        <f t="shared" si="0"/>
        <v>14.998749007725031</v>
      </c>
      <c r="J78" s="85">
        <v>2022</v>
      </c>
      <c r="K78" s="193">
        <f t="shared" si="1"/>
        <v>44625</v>
      </c>
      <c r="L78" s="431">
        <f t="shared" si="2"/>
        <v>1.4089995820559809E-3</v>
      </c>
      <c r="M78" s="847"/>
      <c r="N78" s="847"/>
      <c r="O78" s="320">
        <f t="shared" si="3"/>
        <v>7.1850493650936972E-3</v>
      </c>
      <c r="P78" s="165">
        <f>(INDEX(Models!$BJ78:$BT78,,T78)*(1-R78)+INDEX(Models!$BJ78:$BT78,,T78+1)*R78-ERP_i)*Q78*Ramure*Pc/MaxiM</f>
        <v>5.2259512695958296E-7</v>
      </c>
      <c r="Q78" s="301">
        <f t="shared" si="19"/>
        <v>0.5</v>
      </c>
      <c r="R78" s="173">
        <f t="shared" si="4"/>
        <v>2.2512232085699357E-3</v>
      </c>
      <c r="S78" s="802">
        <f t="shared" si="20"/>
        <v>0</v>
      </c>
      <c r="T78" s="172">
        <f t="shared" si="21"/>
        <v>6</v>
      </c>
      <c r="U78" s="247">
        <f t="shared" si="22"/>
        <v>2.2512232085699357E-3</v>
      </c>
      <c r="V78" s="378">
        <f t="shared" si="5"/>
        <v>39.319838402416991</v>
      </c>
      <c r="W78" s="58"/>
      <c r="X78" s="153">
        <f t="shared" si="6"/>
        <v>44625</v>
      </c>
      <c r="Y78" s="380">
        <f t="shared" si="7"/>
        <v>14.870000000000001</v>
      </c>
      <c r="Z78" s="380">
        <f t="shared" si="8"/>
        <v>14.890981386550054</v>
      </c>
      <c r="AA78" s="381">
        <f t="shared" si="9"/>
        <v>14.998748132295201</v>
      </c>
      <c r="AB78" s="193">
        <f t="shared" si="10"/>
        <v>44625</v>
      </c>
      <c r="AC78" s="420">
        <f t="shared" si="11"/>
        <v>7.1850493650936972E-3</v>
      </c>
      <c r="AD78" s="165">
        <f>(INDEX(Models!$BJ78:$BT78,,AH78)*(1-AF78)+INDEX(Models!$BJ78:$BT78,,AH78+1)*AF78-ERP_i)*AE78*Ramure*Pc/MaxiM</f>
        <v>5.2259512695958296E-7</v>
      </c>
      <c r="AE78" s="301">
        <f t="shared" si="12"/>
        <v>0.5</v>
      </c>
      <c r="AF78" s="173">
        <f t="shared" si="13"/>
        <v>2.2512232085699357E-3</v>
      </c>
      <c r="AG78" s="802">
        <f t="shared" si="23"/>
        <v>0</v>
      </c>
      <c r="AH78" s="172">
        <f t="shared" si="14"/>
        <v>6</v>
      </c>
      <c r="AI78" s="221">
        <f t="shared" si="15"/>
        <v>2.2512232085699357E-3</v>
      </c>
      <c r="AJ78" s="261" t="b">
        <f t="shared" si="16"/>
        <v>0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44626</v>
      </c>
      <c r="B79" s="610">
        <v>22.763999999999999</v>
      </c>
      <c r="C79" s="385"/>
      <c r="D79" s="388">
        <f t="shared" si="24"/>
        <v>22.796431787170029</v>
      </c>
      <c r="E79" s="380">
        <f t="shared" si="25"/>
        <v>22.962951026703124</v>
      </c>
      <c r="F79" s="380">
        <f t="shared" si="26"/>
        <v>22.962955608308192</v>
      </c>
      <c r="G79" s="110">
        <f t="shared" si="27"/>
        <v>0.57251750715206917</v>
      </c>
      <c r="I79" s="375">
        <f t="shared" ref="I79:I142" si="28">Wh_hp</f>
        <v>22.962955608308192</v>
      </c>
      <c r="J79" s="85">
        <v>2022</v>
      </c>
      <c r="K79" s="193">
        <f t="shared" ref="K79:K142" si="29">t</f>
        <v>44626</v>
      </c>
      <c r="L79" s="431">
        <f t="shared" ref="L79:L142" si="30">IF(t&lt;T0,0,IF(t&lt;Tvie,1-EXP((T0-t)*PertePVj),1-EXP((T0-t)*PertePVj)+Pspv))</f>
        <v>1.4226694542731622E-3</v>
      </c>
      <c r="M79" s="847"/>
      <c r="N79" s="847"/>
      <c r="O79" s="320">
        <f t="shared" ref="O79:O142" si="31">IF(t&lt;T0,0,IF(t&lt;Tnet,Salim_i*(1-EXP((T0-t)/Tau_ij)),Resal+(Salim-Resal)*(1-EXP((Tnet-t)/(Tau_j)))))*Salcycl</f>
        <v>7.2516480716896701E-3</v>
      </c>
      <c r="P79" s="165">
        <f>(INDEX(Models!$BJ79:$BT79,,T79)*(1-R79)+INDEX(Models!$BJ79:$BT79,,T79+1)*R79-ERP_i)*Q79*Ramure*Pc/MaxiM</f>
        <v>5.1249922269195921E-7</v>
      </c>
      <c r="Q79" s="301">
        <f t="shared" ref="Q79:Q142" si="32">IF(OR(t&lt;Ttai,Notai),Dd+PousD*Croivg,Dens+PousD*(Croivg-Croi_tai))</f>
        <v>0.5</v>
      </c>
      <c r="R79" s="173">
        <f t="shared" ref="R79:R142" si="33">(Hp_vg-S79)/(INDEX(Echel_vg,T79+1)-S79)</f>
        <v>2.6269998184680603E-3</v>
      </c>
      <c r="S79" s="802">
        <f t="shared" si="20"/>
        <v>0</v>
      </c>
      <c r="T79" s="172">
        <f t="shared" ref="T79:T142" si="34">MIN(MATCH(Hp_vg,Echel_vg),10)</f>
        <v>6</v>
      </c>
      <c r="U79" s="247">
        <f t="shared" ref="U79:U142" si="35">IF(OR(t&lt;Ttai,Notai),Hdd+PousH*Croivg,Hdtf+PousH*(Croivg-Croi_tai))</f>
        <v>2.6269998184680603E-3</v>
      </c>
      <c r="V79" s="378">
        <f t="shared" ref="V79:V142" si="36">MaxiM*(1-Ppv)*(1-Pvg)*(1-Psa)</f>
        <v>39.761217064981295</v>
      </c>
      <c r="W79" s="58"/>
      <c r="X79" s="153">
        <f t="shared" ref="X79:X142" si="37">t</f>
        <v>44626</v>
      </c>
      <c r="Y79" s="380">
        <f t="shared" ref="Y79:Y142" si="38">Wh_pvt_s*(1-Ppv)</f>
        <v>22.763999999999999</v>
      </c>
      <c r="Z79" s="380">
        <f t="shared" ref="Z79:Z142" si="39">Wh_sa_s*(1-Psa_s)</f>
        <v>22.796431787170029</v>
      </c>
      <c r="AA79" s="381">
        <f t="shared" ref="AA79:AA142" si="40">Wh_hp*(1-Pvg_s*MEDIAN((-Sdif+Wh/Env_an)/Csdif,0,1))</f>
        <v>22.962951026703124</v>
      </c>
      <c r="AB79" s="193">
        <f t="shared" ref="AB79:AB142" si="41">t</f>
        <v>44626</v>
      </c>
      <c r="AC79" s="420">
        <f t="shared" ref="AC79:AC142" si="42">IF(t&lt;T0,0,IF(OR(t&lt;Tnet,NoTnet),Salim_i*(1-EXP((T0-t)/Tau_ij)),Resal_s+(Salim-Resal_s)*(1-EXP((Tnet_s-t)/Tau_j))))*Salcycl</f>
        <v>7.2516480716896701E-3</v>
      </c>
      <c r="AD79" s="165">
        <f>(INDEX(Models!$BJ79:$BT79,,AH79)*(1-AF79)+INDEX(Models!$BJ79:$BT79,,AH79+1)*AF79-ERP_i)*AE79*Ramure*Pc/MaxiM</f>
        <v>5.1249922269195921E-7</v>
      </c>
      <c r="AE79" s="301">
        <f t="shared" ref="AE79:AE142" si="43">Dd+PousD*Croivg</f>
        <v>0.5</v>
      </c>
      <c r="AF79" s="173">
        <f t="shared" ref="AF79:AF142" si="44">(Hp_vg_s-AG79)/(INDEX(Echel_vg,AH79+1)-AG79)</f>
        <v>2.6269998184680603E-3</v>
      </c>
      <c r="AG79" s="802">
        <f t="shared" ref="AG79:AG142" si="45">INDEX(Echel_vg,AH79)</f>
        <v>0</v>
      </c>
      <c r="AH79" s="172">
        <f t="shared" ref="AH79:AH142" si="46">MIN(MATCH(Hp_vg_s,Echel_vg),10)</f>
        <v>6</v>
      </c>
      <c r="AI79" s="221">
        <f t="shared" ref="AI79:AI142" si="47">Hdd+PousH*Croivg</f>
        <v>2.6269998184680603E-3</v>
      </c>
      <c r="AJ79" s="261" t="b">
        <f t="shared" ref="AJ79:AJ142" si="48">t&lt;Tnet</f>
        <v>0</v>
      </c>
      <c r="AK79" s="261" t="b">
        <f t="shared" ref="AK79:AK142" si="49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50">A79+1</f>
        <v>44627</v>
      </c>
      <c r="B80" s="610">
        <v>36.896000000000001</v>
      </c>
      <c r="C80" s="385"/>
      <c r="D80" s="388">
        <f t="shared" ref="D80:D143" si="51">Wh/(1-Ppv)</f>
        <v>36.94907139741116</v>
      </c>
      <c r="E80" s="380">
        <f t="shared" ref="E80:E143" si="52">Wh_pvt/(1-Psa)</f>
        <v>37.221465272639264</v>
      </c>
      <c r="F80" s="380">
        <f t="shared" ref="F80:F143" si="53">Wh_sa/(1-Pvg*MEDIAN((-Sdif+Wh/Env_an)/Csdif,0,1))</f>
        <v>37.221481723491209</v>
      </c>
      <c r="G80" s="110">
        <f t="shared" ref="G80:G143" si="54">+Wh_hp/MaxiM</f>
        <v>0.91765025054137617</v>
      </c>
      <c r="I80" s="375">
        <f t="shared" si="28"/>
        <v>37.221481723491209</v>
      </c>
      <c r="J80" s="85">
        <v>2022</v>
      </c>
      <c r="K80" s="193">
        <f t="shared" si="29"/>
        <v>44627</v>
      </c>
      <c r="L80" s="431">
        <f t="shared" si="30"/>
        <v>1.4363391393613645E-3</v>
      </c>
      <c r="M80" s="847"/>
      <c r="N80" s="847"/>
      <c r="O80" s="320">
        <f t="shared" si="31"/>
        <v>7.3181932315904384E-3</v>
      </c>
      <c r="P80" s="165">
        <f>(INDEX(Models!$BJ80:$BT80,,T80)*(1-R80)+INDEX(Models!$BJ80:$BT80,,T80+1)*R80-ERP_i)*Q80*Ramure*Pc/MaxiM</f>
        <v>5.0089894414694118E-7</v>
      </c>
      <c r="Q80" s="301">
        <f t="shared" si="32"/>
        <v>0.5</v>
      </c>
      <c r="R80" s="173">
        <f t="shared" si="33"/>
        <v>3.0179305229036286E-3</v>
      </c>
      <c r="S80" s="802">
        <f t="shared" ref="S80:S143" si="55">INDEX(Echel_vg,T80)</f>
        <v>0</v>
      </c>
      <c r="T80" s="172">
        <f t="shared" si="34"/>
        <v>6</v>
      </c>
      <c r="U80" s="247">
        <f t="shared" si="35"/>
        <v>3.0179305229036286E-3</v>
      </c>
      <c r="V80" s="378">
        <f t="shared" si="36"/>
        <v>40.207037271621303</v>
      </c>
      <c r="W80" s="58"/>
      <c r="X80" s="153">
        <f t="shared" si="37"/>
        <v>44627</v>
      </c>
      <c r="Y80" s="380">
        <f t="shared" si="38"/>
        <v>36.896000000000001</v>
      </c>
      <c r="Z80" s="380">
        <f t="shared" si="39"/>
        <v>36.94907139741116</v>
      </c>
      <c r="AA80" s="381">
        <f t="shared" si="40"/>
        <v>37.221465272639264</v>
      </c>
      <c r="AB80" s="193">
        <f t="shared" si="41"/>
        <v>44627</v>
      </c>
      <c r="AC80" s="420">
        <f t="shared" si="42"/>
        <v>7.3181932315904384E-3</v>
      </c>
      <c r="AD80" s="165">
        <f>(INDEX(Models!$BJ80:$BT80,,AH80)*(1-AF80)+INDEX(Models!$BJ80:$BT80,,AH80+1)*AF80-ERP_i)*AE80*Ramure*Pc/MaxiM</f>
        <v>5.0089894414694118E-7</v>
      </c>
      <c r="AE80" s="301">
        <f t="shared" si="43"/>
        <v>0.5</v>
      </c>
      <c r="AF80" s="173">
        <f t="shared" si="44"/>
        <v>3.0179305229036286E-3</v>
      </c>
      <c r="AG80" s="802">
        <f t="shared" si="45"/>
        <v>0</v>
      </c>
      <c r="AH80" s="172">
        <f t="shared" si="46"/>
        <v>6</v>
      </c>
      <c r="AI80" s="221">
        <f t="shared" si="47"/>
        <v>3.0179305229036286E-3</v>
      </c>
      <c r="AJ80" s="261" t="b">
        <f t="shared" si="48"/>
        <v>0</v>
      </c>
      <c r="AK80" s="261" t="b">
        <f t="shared" si="49"/>
        <v>0</v>
      </c>
      <c r="AL80" s="261"/>
      <c r="AM80" s="261"/>
      <c r="AN80" s="75"/>
    </row>
    <row r="81" spans="1:40" s="6" customFormat="1" ht="11.25" x14ac:dyDescent="0.2">
      <c r="A81" s="56">
        <f t="shared" si="50"/>
        <v>44628</v>
      </c>
      <c r="B81" s="610">
        <v>33.102000000000004</v>
      </c>
      <c r="C81" s="385"/>
      <c r="D81" s="388">
        <f t="shared" si="51"/>
        <v>33.150067884760745</v>
      </c>
      <c r="E81" s="380">
        <f t="shared" si="52"/>
        <v>33.3966919892449</v>
      </c>
      <c r="F81" s="380">
        <f t="shared" si="53"/>
        <v>33.396703977303218</v>
      </c>
      <c r="G81" s="110">
        <f t="shared" si="54"/>
        <v>0.81418190872818208</v>
      </c>
      <c r="I81" s="375">
        <f t="shared" si="28"/>
        <v>33.396703977303218</v>
      </c>
      <c r="J81" s="85">
        <v>2022</v>
      </c>
      <c r="K81" s="193">
        <f t="shared" si="29"/>
        <v>44628</v>
      </c>
      <c r="L81" s="431">
        <f t="shared" si="30"/>
        <v>1.4500086373229193E-3</v>
      </c>
      <c r="M81" s="847"/>
      <c r="N81" s="847"/>
      <c r="O81" s="320">
        <f t="shared" si="31"/>
        <v>7.3846866199674503E-3</v>
      </c>
      <c r="P81" s="165">
        <f>(INDEX(Models!$BJ81:$BT81,,T81)*(1-R81)+INDEX(Models!$BJ81:$BT81,,T81+1)*R81-ERP_i)*Q81*Ramure*Pc/MaxiM</f>
        <v>4.8868206300329001E-7</v>
      </c>
      <c r="Q81" s="301">
        <f t="shared" si="32"/>
        <v>0.5</v>
      </c>
      <c r="R81" s="173">
        <f t="shared" si="33"/>
        <v>3.4246003511137092E-3</v>
      </c>
      <c r="S81" s="802">
        <f t="shared" si="55"/>
        <v>0</v>
      </c>
      <c r="T81" s="172">
        <f t="shared" si="34"/>
        <v>6</v>
      </c>
      <c r="U81" s="247">
        <f t="shared" si="35"/>
        <v>3.4246003511137092E-3</v>
      </c>
      <c r="V81" s="378">
        <f t="shared" si="36"/>
        <v>40.65675661797053</v>
      </c>
      <c r="W81" s="58"/>
      <c r="X81" s="153">
        <f t="shared" si="37"/>
        <v>44628</v>
      </c>
      <c r="Y81" s="380">
        <f t="shared" si="38"/>
        <v>33.102000000000004</v>
      </c>
      <c r="Z81" s="380">
        <f t="shared" si="39"/>
        <v>33.150067884760745</v>
      </c>
      <c r="AA81" s="381">
        <f t="shared" si="40"/>
        <v>33.3966919892449</v>
      </c>
      <c r="AB81" s="193">
        <f t="shared" si="41"/>
        <v>44628</v>
      </c>
      <c r="AC81" s="420">
        <f t="shared" si="42"/>
        <v>7.3846866199674503E-3</v>
      </c>
      <c r="AD81" s="165">
        <f>(INDEX(Models!$BJ81:$BT81,,AH81)*(1-AF81)+INDEX(Models!$BJ81:$BT81,,AH81+1)*AF81-ERP_i)*AE81*Ramure*Pc/MaxiM</f>
        <v>4.8868206300329001E-7</v>
      </c>
      <c r="AE81" s="301">
        <f t="shared" si="43"/>
        <v>0.5</v>
      </c>
      <c r="AF81" s="173">
        <f t="shared" si="44"/>
        <v>3.4246003511137092E-3</v>
      </c>
      <c r="AG81" s="802">
        <f t="shared" si="45"/>
        <v>0</v>
      </c>
      <c r="AH81" s="172">
        <f t="shared" si="46"/>
        <v>6</v>
      </c>
      <c r="AI81" s="221">
        <f t="shared" si="47"/>
        <v>3.4246003511137092E-3</v>
      </c>
      <c r="AJ81" s="261" t="b">
        <f t="shared" si="48"/>
        <v>0</v>
      </c>
      <c r="AK81" s="261" t="b">
        <f t="shared" si="49"/>
        <v>0</v>
      </c>
      <c r="AL81" s="261"/>
      <c r="AM81" s="261"/>
      <c r="AN81" s="75"/>
    </row>
    <row r="82" spans="1:40" s="6" customFormat="1" ht="11.25" x14ac:dyDescent="0.2">
      <c r="A82" s="56">
        <f t="shared" si="50"/>
        <v>44629</v>
      </c>
      <c r="B82" s="610">
        <v>29.545999999999999</v>
      </c>
      <c r="C82" s="385"/>
      <c r="D82" s="388">
        <f t="shared" si="51"/>
        <v>29.589309219405749</v>
      </c>
      <c r="E82" s="380">
        <f t="shared" si="52"/>
        <v>29.811438126436968</v>
      </c>
      <c r="F82" s="380">
        <f t="shared" si="53"/>
        <v>29.811446608214982</v>
      </c>
      <c r="G82" s="110">
        <f t="shared" si="54"/>
        <v>0.71870869482962618</v>
      </c>
      <c r="I82" s="375">
        <f t="shared" si="28"/>
        <v>29.811446608214982</v>
      </c>
      <c r="J82" s="85">
        <v>2022</v>
      </c>
      <c r="K82" s="193">
        <f t="shared" si="29"/>
        <v>44629</v>
      </c>
      <c r="L82" s="431">
        <f t="shared" si="30"/>
        <v>1.4636779481606021E-3</v>
      </c>
      <c r="M82" s="847"/>
      <c r="N82" s="847"/>
      <c r="O82" s="320">
        <f t="shared" si="31"/>
        <v>7.4511302034179E-3</v>
      </c>
      <c r="P82" s="165">
        <f>(INDEX(Models!$BJ82:$BT82,,T82)*(1-R82)+INDEX(Models!$BJ82:$BT82,,T82+1)*R82-ERP_i)*Q82*Ramure*Pc/MaxiM</f>
        <v>4.7565248417371773E-7</v>
      </c>
      <c r="Q82" s="301">
        <f t="shared" si="32"/>
        <v>0.5</v>
      </c>
      <c r="R82" s="173">
        <f t="shared" si="33"/>
        <v>3.8476147327006337E-3</v>
      </c>
      <c r="S82" s="802">
        <f t="shared" si="55"/>
        <v>0</v>
      </c>
      <c r="T82" s="172">
        <f t="shared" si="34"/>
        <v>6</v>
      </c>
      <c r="U82" s="247">
        <f t="shared" si="35"/>
        <v>3.8476147327006337E-3</v>
      </c>
      <c r="V82" s="378">
        <f t="shared" si="36"/>
        <v>41.109832906124552</v>
      </c>
      <c r="W82" s="58"/>
      <c r="X82" s="153">
        <f t="shared" si="37"/>
        <v>44629</v>
      </c>
      <c r="Y82" s="380">
        <f t="shared" si="38"/>
        <v>29.545999999999999</v>
      </c>
      <c r="Z82" s="380">
        <f t="shared" si="39"/>
        <v>29.589309219405749</v>
      </c>
      <c r="AA82" s="381">
        <f t="shared" si="40"/>
        <v>29.811438126436968</v>
      </c>
      <c r="AB82" s="193">
        <f t="shared" si="41"/>
        <v>44629</v>
      </c>
      <c r="AC82" s="420">
        <f t="shared" si="42"/>
        <v>7.4511302034179E-3</v>
      </c>
      <c r="AD82" s="165">
        <f>(INDEX(Models!$BJ82:$BT82,,AH82)*(1-AF82)+INDEX(Models!$BJ82:$BT82,,AH82+1)*AF82-ERP_i)*AE82*Ramure*Pc/MaxiM</f>
        <v>4.7565248417371773E-7</v>
      </c>
      <c r="AE82" s="301">
        <f t="shared" si="43"/>
        <v>0.5</v>
      </c>
      <c r="AF82" s="173">
        <f t="shared" si="44"/>
        <v>3.8476147327006337E-3</v>
      </c>
      <c r="AG82" s="802">
        <f t="shared" si="45"/>
        <v>0</v>
      </c>
      <c r="AH82" s="172">
        <f t="shared" si="46"/>
        <v>6</v>
      </c>
      <c r="AI82" s="221">
        <f t="shared" si="47"/>
        <v>3.8476147327006337E-3</v>
      </c>
      <c r="AJ82" s="261" t="b">
        <f t="shared" si="48"/>
        <v>0</v>
      </c>
      <c r="AK82" s="261" t="b">
        <f t="shared" si="49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50"/>
        <v>44630</v>
      </c>
      <c r="B83" s="610">
        <v>24.963000000000001</v>
      </c>
      <c r="C83" s="385"/>
      <c r="D83" s="388">
        <f t="shared" si="51"/>
        <v>24.999933578669566</v>
      </c>
      <c r="E83" s="380">
        <f t="shared" si="52"/>
        <v>25.189294760496889</v>
      </c>
      <c r="F83" s="380">
        <f t="shared" si="53"/>
        <v>25.189299753187651</v>
      </c>
      <c r="G83" s="110">
        <f t="shared" si="54"/>
        <v>0.60056678823118348</v>
      </c>
      <c r="I83" s="375">
        <f t="shared" si="28"/>
        <v>25.189299753187651</v>
      </c>
      <c r="J83" s="85">
        <v>2022</v>
      </c>
      <c r="K83" s="193">
        <f t="shared" si="29"/>
        <v>44630</v>
      </c>
      <c r="L83" s="431">
        <f t="shared" si="30"/>
        <v>1.4773470718768555E-3</v>
      </c>
      <c r="M83" s="847"/>
      <c r="N83" s="847"/>
      <c r="O83" s="320">
        <f t="shared" si="31"/>
        <v>7.517526140679652E-3</v>
      </c>
      <c r="P83" s="165">
        <f>(INDEX(Models!$BJ83:$BT83,,T83)*(1-R83)+INDEX(Models!$BJ83:$BT83,,T83+1)*R83-ERP_i)*Q83*Ramure*Pc/MaxiM</f>
        <v>4.6161019695998785E-7</v>
      </c>
      <c r="Q83" s="301">
        <f t="shared" si="32"/>
        <v>0.5</v>
      </c>
      <c r="R83" s="173">
        <f t="shared" si="33"/>
        <v>4.2876000240373927E-3</v>
      </c>
      <c r="S83" s="802">
        <f t="shared" si="55"/>
        <v>0</v>
      </c>
      <c r="T83" s="172">
        <f t="shared" si="34"/>
        <v>6</v>
      </c>
      <c r="U83" s="247">
        <f t="shared" si="35"/>
        <v>4.2876000240373927E-3</v>
      </c>
      <c r="V83" s="378">
        <f t="shared" si="36"/>
        <v>41.565724102363546</v>
      </c>
      <c r="W83" s="58"/>
      <c r="X83" s="153">
        <f t="shared" si="37"/>
        <v>44630</v>
      </c>
      <c r="Y83" s="380">
        <f t="shared" si="38"/>
        <v>24.963000000000001</v>
      </c>
      <c r="Z83" s="380">
        <f t="shared" si="39"/>
        <v>24.999933578669566</v>
      </c>
      <c r="AA83" s="381">
        <f t="shared" si="40"/>
        <v>25.189294760496889</v>
      </c>
      <c r="AB83" s="193">
        <f t="shared" si="41"/>
        <v>44630</v>
      </c>
      <c r="AC83" s="420">
        <f t="shared" si="42"/>
        <v>7.517526140679652E-3</v>
      </c>
      <c r="AD83" s="165">
        <f>(INDEX(Models!$BJ83:$BT83,,AH83)*(1-AF83)+INDEX(Models!$BJ83:$BT83,,AH83+1)*AF83-ERP_i)*AE83*Ramure*Pc/MaxiM</f>
        <v>4.6161019695998785E-7</v>
      </c>
      <c r="AE83" s="301">
        <f t="shared" si="43"/>
        <v>0.5</v>
      </c>
      <c r="AF83" s="173">
        <f t="shared" si="44"/>
        <v>4.2876000240373927E-3</v>
      </c>
      <c r="AG83" s="802">
        <f t="shared" si="45"/>
        <v>0</v>
      </c>
      <c r="AH83" s="172">
        <f t="shared" si="46"/>
        <v>6</v>
      </c>
      <c r="AI83" s="221">
        <f t="shared" si="47"/>
        <v>4.2876000240373927E-3</v>
      </c>
      <c r="AJ83" s="261" t="b">
        <f t="shared" si="48"/>
        <v>0</v>
      </c>
      <c r="AK83" s="261" t="b">
        <f t="shared" si="49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50"/>
        <v>44631</v>
      </c>
      <c r="B84" s="610">
        <v>18.015000000000001</v>
      </c>
      <c r="C84" s="385"/>
      <c r="D84" s="388">
        <f t="shared" si="51"/>
        <v>18.041900762860731</v>
      </c>
      <c r="E84" s="380">
        <f t="shared" si="52"/>
        <v>18.17977392826301</v>
      </c>
      <c r="F84" s="380">
        <f t="shared" si="53"/>
        <v>18.179775420005882</v>
      </c>
      <c r="G84" s="110">
        <f t="shared" si="54"/>
        <v>0.42868459225078681</v>
      </c>
      <c r="I84" s="375">
        <f t="shared" si="28"/>
        <v>18.179775420005882</v>
      </c>
      <c r="J84" s="85">
        <v>2022</v>
      </c>
      <c r="K84" s="193">
        <f t="shared" si="29"/>
        <v>44631</v>
      </c>
      <c r="L84" s="431">
        <f t="shared" si="30"/>
        <v>1.491016008474344E-3</v>
      </c>
      <c r="M84" s="847"/>
      <c r="N84" s="847"/>
      <c r="O84" s="320">
        <f t="shared" si="31"/>
        <v>7.5838767823145168E-3</v>
      </c>
      <c r="P84" s="165">
        <f>(INDEX(Models!$BJ84:$BT84,,T84)*(1-R84)+INDEX(Models!$BJ84:$BT84,,T84+1)*R84-ERP_i)*Q84*Ramure*Pc/MaxiM</f>
        <v>4.4635090476804143E-7</v>
      </c>
      <c r="Q84" s="301">
        <f t="shared" si="32"/>
        <v>0.5</v>
      </c>
      <c r="R84" s="173">
        <f t="shared" si="33"/>
        <v>4.7452040317022409E-3</v>
      </c>
      <c r="S84" s="802">
        <f t="shared" si="55"/>
        <v>0</v>
      </c>
      <c r="T84" s="172">
        <f t="shared" si="34"/>
        <v>6</v>
      </c>
      <c r="U84" s="247">
        <f t="shared" si="35"/>
        <v>4.7452040317022409E-3</v>
      </c>
      <c r="V84" s="378">
        <f t="shared" si="36"/>
        <v>42.023888338564511</v>
      </c>
      <c r="W84" s="58"/>
      <c r="X84" s="153">
        <f t="shared" si="37"/>
        <v>44631</v>
      </c>
      <c r="Y84" s="380">
        <f t="shared" si="38"/>
        <v>18.015000000000001</v>
      </c>
      <c r="Z84" s="380">
        <f t="shared" si="39"/>
        <v>18.041900762860731</v>
      </c>
      <c r="AA84" s="381">
        <f t="shared" si="40"/>
        <v>18.17977392826301</v>
      </c>
      <c r="AB84" s="193">
        <f t="shared" si="41"/>
        <v>44631</v>
      </c>
      <c r="AC84" s="420">
        <f t="shared" si="42"/>
        <v>7.5838767823145168E-3</v>
      </c>
      <c r="AD84" s="165">
        <f>(INDEX(Models!$BJ84:$BT84,,AH84)*(1-AF84)+INDEX(Models!$BJ84:$BT84,,AH84+1)*AF84-ERP_i)*AE84*Ramure*Pc/MaxiM</f>
        <v>4.4635090476804143E-7</v>
      </c>
      <c r="AE84" s="301">
        <f t="shared" si="43"/>
        <v>0.5</v>
      </c>
      <c r="AF84" s="173">
        <f t="shared" si="44"/>
        <v>4.7452040317022409E-3</v>
      </c>
      <c r="AG84" s="802">
        <f t="shared" si="45"/>
        <v>0</v>
      </c>
      <c r="AH84" s="172">
        <f t="shared" si="46"/>
        <v>6</v>
      </c>
      <c r="AI84" s="221">
        <f t="shared" si="47"/>
        <v>4.7452040317022409E-3</v>
      </c>
      <c r="AJ84" s="261" t="b">
        <f t="shared" si="48"/>
        <v>0</v>
      </c>
      <c r="AK84" s="261" t="b">
        <f t="shared" si="49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50"/>
        <v>44632</v>
      </c>
      <c r="B85" s="610">
        <v>14.098000000000001</v>
      </c>
      <c r="C85" s="385"/>
      <c r="D85" s="388">
        <f t="shared" si="51"/>
        <v>14.119245012764546</v>
      </c>
      <c r="E85" s="380">
        <f t="shared" si="52"/>
        <v>14.22809254825177</v>
      </c>
      <c r="F85" s="380">
        <f t="shared" si="53"/>
        <v>14.228092826357823</v>
      </c>
      <c r="G85" s="110">
        <f t="shared" si="54"/>
        <v>0.3318441278333028</v>
      </c>
      <c r="I85" s="375">
        <f t="shared" si="28"/>
        <v>14.228092826357823</v>
      </c>
      <c r="J85" s="85">
        <v>2022</v>
      </c>
      <c r="K85" s="193">
        <f t="shared" si="29"/>
        <v>44632</v>
      </c>
      <c r="L85" s="431">
        <f t="shared" si="30"/>
        <v>1.50468475795551E-3</v>
      </c>
      <c r="M85" s="847"/>
      <c r="N85" s="847"/>
      <c r="O85" s="320">
        <f t="shared" si="31"/>
        <v>7.6501846693848704E-3</v>
      </c>
      <c r="P85" s="165">
        <f>(INDEX(Models!$BJ85:$BT85,,T85)*(1-R85)+INDEX(Models!$BJ85:$BT85,,T85+1)*R85-ERP_i)*Q85*Ramure*Pc/MaxiM</f>
        <v>4.2966559382407206E-7</v>
      </c>
      <c r="Q85" s="301">
        <f t="shared" si="32"/>
        <v>0.5</v>
      </c>
      <c r="R85" s="173">
        <f t="shared" si="33"/>
        <v>5.2210965310574842E-3</v>
      </c>
      <c r="S85" s="802">
        <f t="shared" si="55"/>
        <v>0</v>
      </c>
      <c r="T85" s="172">
        <f t="shared" si="34"/>
        <v>6</v>
      </c>
      <c r="U85" s="247">
        <f t="shared" si="35"/>
        <v>5.2210965310574842E-3</v>
      </c>
      <c r="V85" s="378">
        <f t="shared" si="36"/>
        <v>42.483783908388155</v>
      </c>
      <c r="W85" s="58"/>
      <c r="X85" s="153">
        <f t="shared" si="37"/>
        <v>44632</v>
      </c>
      <c r="Y85" s="380">
        <f t="shared" si="38"/>
        <v>14.098000000000001</v>
      </c>
      <c r="Z85" s="380">
        <f t="shared" si="39"/>
        <v>14.119245012764546</v>
      </c>
      <c r="AA85" s="381">
        <f t="shared" si="40"/>
        <v>14.22809254825177</v>
      </c>
      <c r="AB85" s="193">
        <f t="shared" si="41"/>
        <v>44632</v>
      </c>
      <c r="AC85" s="420">
        <f t="shared" si="42"/>
        <v>7.6501846693848704E-3</v>
      </c>
      <c r="AD85" s="165">
        <f>(INDEX(Models!$BJ85:$BT85,,AH85)*(1-AF85)+INDEX(Models!$BJ85:$BT85,,AH85+1)*AF85-ERP_i)*AE85*Ramure*Pc/MaxiM</f>
        <v>4.2966559382407206E-7</v>
      </c>
      <c r="AE85" s="301">
        <f t="shared" si="43"/>
        <v>0.5</v>
      </c>
      <c r="AF85" s="173">
        <f t="shared" si="44"/>
        <v>5.2210965310574842E-3</v>
      </c>
      <c r="AG85" s="802">
        <f t="shared" si="45"/>
        <v>0</v>
      </c>
      <c r="AH85" s="172">
        <f t="shared" si="46"/>
        <v>6</v>
      </c>
      <c r="AI85" s="221">
        <f t="shared" si="47"/>
        <v>5.2210965310574842E-3</v>
      </c>
      <c r="AJ85" s="261" t="b">
        <f t="shared" si="48"/>
        <v>0</v>
      </c>
      <c r="AK85" s="261" t="b">
        <f t="shared" si="49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50"/>
        <v>44633</v>
      </c>
      <c r="B86" s="610">
        <v>8.979000000000001</v>
      </c>
      <c r="C86" s="385"/>
      <c r="D86" s="388">
        <f t="shared" si="51"/>
        <v>8.9926540260990446</v>
      </c>
      <c r="E86" s="380">
        <f t="shared" si="52"/>
        <v>9.0625850333182196</v>
      </c>
      <c r="F86" s="380">
        <f t="shared" si="53"/>
        <v>9.0625850333182196</v>
      </c>
      <c r="G86" s="110">
        <f t="shared" si="54"/>
        <v>0.20908193364200378</v>
      </c>
      <c r="I86" s="375">
        <f t="shared" si="28"/>
        <v>9.0625850333182196</v>
      </c>
      <c r="J86" s="85">
        <v>2022</v>
      </c>
      <c r="K86" s="193">
        <f t="shared" si="29"/>
        <v>44633</v>
      </c>
      <c r="L86" s="431">
        <f t="shared" si="30"/>
        <v>1.5183533203230182E-3</v>
      </c>
      <c r="M86" s="847"/>
      <c r="N86" s="847"/>
      <c r="O86" s="320">
        <f t="shared" si="31"/>
        <v>7.7164525311571811E-3</v>
      </c>
      <c r="P86" s="165">
        <f>(INDEX(Models!$BJ86:$BT86,,T86)*(1-R86)+INDEX(Models!$BJ86:$BT86,,T86+1)*R86-ERP_i)*Q86*Ramure*Pc/MaxiM</f>
        <v>4.1487086687238266E-7</v>
      </c>
      <c r="Q86" s="301">
        <f t="shared" si="32"/>
        <v>0.5</v>
      </c>
      <c r="R86" s="173">
        <f t="shared" si="33"/>
        <v>5.7159697779032674E-3</v>
      </c>
      <c r="S86" s="802">
        <f t="shared" si="55"/>
        <v>0</v>
      </c>
      <c r="T86" s="172">
        <f t="shared" si="34"/>
        <v>6</v>
      </c>
      <c r="U86" s="247">
        <f t="shared" si="35"/>
        <v>5.7159697779032674E-3</v>
      </c>
      <c r="V86" s="378">
        <f t="shared" si="36"/>
        <v>42.944869116470805</v>
      </c>
      <c r="W86" s="58"/>
      <c r="X86" s="153">
        <f t="shared" si="37"/>
        <v>44633</v>
      </c>
      <c r="Y86" s="380">
        <f t="shared" si="38"/>
        <v>8.979000000000001</v>
      </c>
      <c r="Z86" s="380">
        <f t="shared" si="39"/>
        <v>8.9926540260990446</v>
      </c>
      <c r="AA86" s="381">
        <f t="shared" si="40"/>
        <v>9.0625850333182196</v>
      </c>
      <c r="AB86" s="193">
        <f t="shared" si="41"/>
        <v>44633</v>
      </c>
      <c r="AC86" s="420">
        <f t="shared" si="42"/>
        <v>7.7164525311571811E-3</v>
      </c>
      <c r="AD86" s="165">
        <f>(INDEX(Models!$BJ86:$BT86,,AH86)*(1-AF86)+INDEX(Models!$BJ86:$BT86,,AH86+1)*AF86-ERP_i)*AE86*Ramure*Pc/MaxiM</f>
        <v>4.1487086687238266E-7</v>
      </c>
      <c r="AE86" s="301">
        <f t="shared" si="43"/>
        <v>0.5</v>
      </c>
      <c r="AF86" s="173">
        <f t="shared" si="44"/>
        <v>5.7159697779032674E-3</v>
      </c>
      <c r="AG86" s="802">
        <f t="shared" si="45"/>
        <v>0</v>
      </c>
      <c r="AH86" s="172">
        <f t="shared" si="46"/>
        <v>6</v>
      </c>
      <c r="AI86" s="221">
        <f t="shared" si="47"/>
        <v>5.7159697779032674E-3</v>
      </c>
      <c r="AJ86" s="261" t="b">
        <f t="shared" si="48"/>
        <v>0</v>
      </c>
      <c r="AK86" s="261" t="b">
        <f t="shared" si="49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50"/>
        <v>44634</v>
      </c>
      <c r="B87" s="610">
        <v>13.370000000000001</v>
      </c>
      <c r="C87" s="385"/>
      <c r="D87" s="388">
        <f t="shared" si="51"/>
        <v>13.390514558819085</v>
      </c>
      <c r="E87" s="380">
        <f t="shared" si="52"/>
        <v>13.495546119986868</v>
      </c>
      <c r="F87" s="380">
        <f t="shared" si="53"/>
        <v>13.495546182179719</v>
      </c>
      <c r="G87" s="110">
        <f t="shared" si="54"/>
        <v>0.30801753412451016</v>
      </c>
      <c r="I87" s="375">
        <f t="shared" si="28"/>
        <v>13.495546182179719</v>
      </c>
      <c r="J87" s="85">
        <v>2022</v>
      </c>
      <c r="K87" s="193">
        <f t="shared" si="29"/>
        <v>44634</v>
      </c>
      <c r="L87" s="431">
        <f t="shared" si="30"/>
        <v>1.5320216955794219E-3</v>
      </c>
      <c r="M87" s="847"/>
      <c r="N87" s="847"/>
      <c r="O87" s="320">
        <f t="shared" si="31"/>
        <v>7.7826832818741936E-3</v>
      </c>
      <c r="P87" s="165">
        <f>(INDEX(Models!$BJ87:$BT87,,T87)*(1-R87)+INDEX(Models!$BJ87:$BT87,,T87+1)*R87-ERP_i)*Q87*Ramure*Pc/MaxiM</f>
        <v>4.0234684599573735E-7</v>
      </c>
      <c r="Q87" s="301">
        <f t="shared" si="32"/>
        <v>0.5</v>
      </c>
      <c r="R87" s="173">
        <f t="shared" si="33"/>
        <v>6.2305390109409012E-3</v>
      </c>
      <c r="S87" s="802">
        <f t="shared" si="55"/>
        <v>0</v>
      </c>
      <c r="T87" s="172">
        <f t="shared" si="34"/>
        <v>6</v>
      </c>
      <c r="U87" s="247">
        <f t="shared" si="35"/>
        <v>6.2305390109409012E-3</v>
      </c>
      <c r="V87" s="378">
        <f t="shared" si="36"/>
        <v>43.406602550205363</v>
      </c>
      <c r="W87" s="58"/>
      <c r="X87" s="153">
        <f t="shared" si="37"/>
        <v>44634</v>
      </c>
      <c r="Y87" s="380">
        <f t="shared" si="38"/>
        <v>13.370000000000001</v>
      </c>
      <c r="Z87" s="380">
        <f t="shared" si="39"/>
        <v>13.390514558819085</v>
      </c>
      <c r="AA87" s="381">
        <f t="shared" si="40"/>
        <v>13.495546119986868</v>
      </c>
      <c r="AB87" s="193">
        <f t="shared" si="41"/>
        <v>44634</v>
      </c>
      <c r="AC87" s="420">
        <f t="shared" si="42"/>
        <v>7.7826832818741936E-3</v>
      </c>
      <c r="AD87" s="165">
        <f>(INDEX(Models!$BJ87:$BT87,,AH87)*(1-AF87)+INDEX(Models!$BJ87:$BT87,,AH87+1)*AF87-ERP_i)*AE87*Ramure*Pc/MaxiM</f>
        <v>4.0234684599573735E-7</v>
      </c>
      <c r="AE87" s="301">
        <f t="shared" si="43"/>
        <v>0.5</v>
      </c>
      <c r="AF87" s="173">
        <f t="shared" si="44"/>
        <v>6.2305390109409012E-3</v>
      </c>
      <c r="AG87" s="802">
        <f t="shared" si="45"/>
        <v>0</v>
      </c>
      <c r="AH87" s="172">
        <f t="shared" si="46"/>
        <v>6</v>
      </c>
      <c r="AI87" s="221">
        <f t="shared" si="47"/>
        <v>6.2305390109409012E-3</v>
      </c>
      <c r="AJ87" s="261" t="b">
        <f t="shared" si="48"/>
        <v>0</v>
      </c>
      <c r="AK87" s="261" t="b">
        <f t="shared" si="49"/>
        <v>0</v>
      </c>
      <c r="AL87" s="261"/>
      <c r="AM87" s="261"/>
      <c r="AN87" s="75"/>
    </row>
    <row r="88" spans="1:40" s="6" customFormat="1" ht="11.25" x14ac:dyDescent="0.2">
      <c r="A88" s="56">
        <f t="shared" si="50"/>
        <v>44635</v>
      </c>
      <c r="B88" s="610">
        <v>15.844000000000001</v>
      </c>
      <c r="C88" s="385"/>
      <c r="D88" s="388">
        <f t="shared" si="51"/>
        <v>15.86852782292554</v>
      </c>
      <c r="E88" s="380">
        <f t="shared" si="52"/>
        <v>15.994063306799225</v>
      </c>
      <c r="F88" s="380">
        <f t="shared" si="53"/>
        <v>15.994063855850605</v>
      </c>
      <c r="G88" s="110">
        <f t="shared" si="54"/>
        <v>0.36117065611042848</v>
      </c>
      <c r="I88" s="375">
        <f t="shared" si="28"/>
        <v>15.994063855850605</v>
      </c>
      <c r="J88" s="85">
        <v>2022</v>
      </c>
      <c r="K88" s="193">
        <f t="shared" si="29"/>
        <v>44635</v>
      </c>
      <c r="L88" s="431">
        <f t="shared" si="30"/>
        <v>1.5456898837271638E-3</v>
      </c>
      <c r="M88" s="847"/>
      <c r="N88" s="847"/>
      <c r="O88" s="320">
        <f t="shared" si="31"/>
        <v>7.8488800166446448E-3</v>
      </c>
      <c r="P88" s="165">
        <f>(INDEX(Models!$BJ88:$BT88,,T88)*(1-R88)+INDEX(Models!$BJ88:$BT88,,T88+1)*R88-ERP_i)*Q88*Ramure*Pc/MaxiM</f>
        <v>3.9283316368429409E-7</v>
      </c>
      <c r="Q88" s="301">
        <f t="shared" si="32"/>
        <v>0.5</v>
      </c>
      <c r="R88" s="173">
        <f t="shared" si="33"/>
        <v>6.7655429425725021E-3</v>
      </c>
      <c r="S88" s="802">
        <f t="shared" si="55"/>
        <v>0</v>
      </c>
      <c r="T88" s="172">
        <f t="shared" si="34"/>
        <v>6</v>
      </c>
      <c r="U88" s="247">
        <f t="shared" si="35"/>
        <v>6.7655429425725021E-3</v>
      </c>
      <c r="V88" s="378">
        <f t="shared" si="36"/>
        <v>43.86844294185061</v>
      </c>
      <c r="W88" s="58"/>
      <c r="X88" s="153">
        <f t="shared" si="37"/>
        <v>44635</v>
      </c>
      <c r="Y88" s="380">
        <f t="shared" si="38"/>
        <v>15.844000000000001</v>
      </c>
      <c r="Z88" s="380">
        <f t="shared" si="39"/>
        <v>15.86852782292554</v>
      </c>
      <c r="AA88" s="381">
        <f t="shared" si="40"/>
        <v>15.994063306799225</v>
      </c>
      <c r="AB88" s="193">
        <f t="shared" si="41"/>
        <v>44635</v>
      </c>
      <c r="AC88" s="420">
        <f t="shared" si="42"/>
        <v>7.8488800166446448E-3</v>
      </c>
      <c r="AD88" s="165">
        <f>(INDEX(Models!$BJ88:$BT88,,AH88)*(1-AF88)+INDEX(Models!$BJ88:$BT88,,AH88+1)*AF88-ERP_i)*AE88*Ramure*Pc/MaxiM</f>
        <v>3.9283316368429409E-7</v>
      </c>
      <c r="AE88" s="301">
        <f t="shared" si="43"/>
        <v>0.5</v>
      </c>
      <c r="AF88" s="173">
        <f t="shared" si="44"/>
        <v>6.7655429425725021E-3</v>
      </c>
      <c r="AG88" s="802">
        <f t="shared" si="45"/>
        <v>0</v>
      </c>
      <c r="AH88" s="172">
        <f t="shared" si="46"/>
        <v>6</v>
      </c>
      <c r="AI88" s="221">
        <f t="shared" si="47"/>
        <v>6.7655429425725021E-3</v>
      </c>
      <c r="AJ88" s="261" t="b">
        <f t="shared" si="48"/>
        <v>0</v>
      </c>
      <c r="AK88" s="261" t="b">
        <f t="shared" si="49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50"/>
        <v>44636</v>
      </c>
      <c r="B89" s="610">
        <v>13.304</v>
      </c>
      <c r="C89" s="385"/>
      <c r="D89" s="388">
        <f t="shared" si="51"/>
        <v>13.324778097789585</v>
      </c>
      <c r="E89" s="380">
        <f t="shared" si="52"/>
        <v>13.4310857594933</v>
      </c>
      <c r="F89" s="380">
        <f t="shared" si="53"/>
        <v>13.431085760338645</v>
      </c>
      <c r="G89" s="110">
        <f t="shared" si="54"/>
        <v>0.30011369532643634</v>
      </c>
      <c r="I89" s="375">
        <f t="shared" si="28"/>
        <v>13.431085760338645</v>
      </c>
      <c r="J89" s="85">
        <v>2022</v>
      </c>
      <c r="K89" s="193">
        <f t="shared" si="29"/>
        <v>44636</v>
      </c>
      <c r="L89" s="431">
        <f t="shared" si="30"/>
        <v>1.5593578847689082E-3</v>
      </c>
      <c r="M89" s="847"/>
      <c r="N89" s="847"/>
      <c r="O89" s="320">
        <f t="shared" si="31"/>
        <v>7.9150460065058083E-3</v>
      </c>
      <c r="P89" s="165">
        <f>(INDEX(Models!$BJ89:$BT89,,T89)*(1-R89)+INDEX(Models!$BJ89:$BT89,,T89+1)*R89-ERP_i)*Q89*Ramure*Pc/MaxiM</f>
        <v>3.8710999777353285E-7</v>
      </c>
      <c r="Q89" s="301">
        <f t="shared" si="32"/>
        <v>0.5</v>
      </c>
      <c r="R89" s="173">
        <f t="shared" si="33"/>
        <v>7.3217442353444295E-3</v>
      </c>
      <c r="S89" s="802">
        <f t="shared" si="55"/>
        <v>0</v>
      </c>
      <c r="T89" s="172">
        <f t="shared" si="34"/>
        <v>6</v>
      </c>
      <c r="U89" s="247">
        <f t="shared" si="35"/>
        <v>7.3217442353444295E-3</v>
      </c>
      <c r="V89" s="378">
        <f t="shared" si="36"/>
        <v>44.329849180175081</v>
      </c>
      <c r="W89" s="58"/>
      <c r="X89" s="153">
        <f t="shared" si="37"/>
        <v>44636</v>
      </c>
      <c r="Y89" s="380">
        <f t="shared" si="38"/>
        <v>13.304</v>
      </c>
      <c r="Z89" s="380">
        <f t="shared" si="39"/>
        <v>13.324778097789585</v>
      </c>
      <c r="AA89" s="381">
        <f t="shared" si="40"/>
        <v>13.4310857594933</v>
      </c>
      <c r="AB89" s="193">
        <f t="shared" si="41"/>
        <v>44636</v>
      </c>
      <c r="AC89" s="420">
        <f t="shared" si="42"/>
        <v>7.9150460065058083E-3</v>
      </c>
      <c r="AD89" s="165">
        <f>(INDEX(Models!$BJ89:$BT89,,AH89)*(1-AF89)+INDEX(Models!$BJ89:$BT89,,AH89+1)*AF89-ERP_i)*AE89*Ramure*Pc/MaxiM</f>
        <v>3.8710999777353285E-7</v>
      </c>
      <c r="AE89" s="301">
        <f t="shared" si="43"/>
        <v>0.5</v>
      </c>
      <c r="AF89" s="173">
        <f t="shared" si="44"/>
        <v>7.3217442353444295E-3</v>
      </c>
      <c r="AG89" s="802">
        <f t="shared" si="45"/>
        <v>0</v>
      </c>
      <c r="AH89" s="172">
        <f t="shared" si="46"/>
        <v>6</v>
      </c>
      <c r="AI89" s="221">
        <f t="shared" si="47"/>
        <v>7.3217442353444295E-3</v>
      </c>
      <c r="AJ89" s="261" t="b">
        <f t="shared" si="48"/>
        <v>0</v>
      </c>
      <c r="AK89" s="261" t="b">
        <f t="shared" si="49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50"/>
        <v>44637</v>
      </c>
      <c r="B90" s="610">
        <v>12.777000000000001</v>
      </c>
      <c r="C90" s="385"/>
      <c r="D90" s="388">
        <f t="shared" si="51"/>
        <v>12.797130214697422</v>
      </c>
      <c r="E90" s="380">
        <f t="shared" si="52"/>
        <v>12.900088201183433</v>
      </c>
      <c r="F90" s="380">
        <f t="shared" si="53"/>
        <v>12.900088201183433</v>
      </c>
      <c r="G90" s="110">
        <f t="shared" si="54"/>
        <v>0.28526267260163368</v>
      </c>
      <c r="I90" s="375">
        <f t="shared" si="28"/>
        <v>12.900088201183433</v>
      </c>
      <c r="J90" s="85">
        <v>2022</v>
      </c>
      <c r="K90" s="193">
        <f t="shared" si="29"/>
        <v>44637</v>
      </c>
      <c r="L90" s="431">
        <f t="shared" si="30"/>
        <v>1.5730256987072089E-3</v>
      </c>
      <c r="M90" s="847"/>
      <c r="N90" s="847"/>
      <c r="O90" s="320">
        <f t="shared" si="31"/>
        <v>7.9811846927191898E-3</v>
      </c>
      <c r="P90" s="165">
        <f>(INDEX(Models!$BJ90:$BT90,,T90)*(1-R90)+INDEX(Models!$BJ90:$BT90,,T90+1)*R90-ERP_i)*Q90*Ramure*Pc/MaxiM</f>
        <v>3.8600156905747951E-7</v>
      </c>
      <c r="Q90" s="301">
        <f t="shared" si="32"/>
        <v>0.5</v>
      </c>
      <c r="R90" s="173">
        <f t="shared" si="33"/>
        <v>7.8999299611086787E-3</v>
      </c>
      <c r="S90" s="802">
        <f t="shared" si="55"/>
        <v>0</v>
      </c>
      <c r="T90" s="172">
        <f t="shared" si="34"/>
        <v>6</v>
      </c>
      <c r="U90" s="247">
        <f t="shared" si="35"/>
        <v>7.8999299611086787E-3</v>
      </c>
      <c r="V90" s="378">
        <f t="shared" si="36"/>
        <v>44.790280310879965</v>
      </c>
      <c r="W90" s="58"/>
      <c r="X90" s="153">
        <f t="shared" si="37"/>
        <v>44637</v>
      </c>
      <c r="Y90" s="380">
        <f t="shared" si="38"/>
        <v>12.777000000000001</v>
      </c>
      <c r="Z90" s="380">
        <f t="shared" si="39"/>
        <v>12.797130214697422</v>
      </c>
      <c r="AA90" s="381">
        <f t="shared" si="40"/>
        <v>12.900088201183433</v>
      </c>
      <c r="AB90" s="193">
        <f t="shared" si="41"/>
        <v>44637</v>
      </c>
      <c r="AC90" s="420">
        <f t="shared" si="42"/>
        <v>7.9811846927191898E-3</v>
      </c>
      <c r="AD90" s="165">
        <f>(INDEX(Models!$BJ90:$BT90,,AH90)*(1-AF90)+INDEX(Models!$BJ90:$BT90,,AH90+1)*AF90-ERP_i)*AE90*Ramure*Pc/MaxiM</f>
        <v>3.8600156905747951E-7</v>
      </c>
      <c r="AE90" s="301">
        <f t="shared" si="43"/>
        <v>0.5</v>
      </c>
      <c r="AF90" s="173">
        <f t="shared" si="44"/>
        <v>7.8999299611086787E-3</v>
      </c>
      <c r="AG90" s="802">
        <f t="shared" si="45"/>
        <v>0</v>
      </c>
      <c r="AH90" s="172">
        <f t="shared" si="46"/>
        <v>6</v>
      </c>
      <c r="AI90" s="221">
        <f t="shared" si="47"/>
        <v>7.8999299611086787E-3</v>
      </c>
      <c r="AJ90" s="261" t="b">
        <f t="shared" si="48"/>
        <v>0</v>
      </c>
      <c r="AK90" s="261" t="b">
        <f t="shared" si="49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50"/>
        <v>44638</v>
      </c>
      <c r="B91" s="610">
        <v>15.081</v>
      </c>
      <c r="C91" s="385"/>
      <c r="D91" s="388">
        <f t="shared" si="51"/>
        <v>15.104966950242522</v>
      </c>
      <c r="E91" s="380">
        <f t="shared" si="52"/>
        <v>15.227507264585563</v>
      </c>
      <c r="F91" s="380">
        <f t="shared" si="53"/>
        <v>15.227507547270084</v>
      </c>
      <c r="G91" s="110">
        <f t="shared" si="54"/>
        <v>0.33328756929236319</v>
      </c>
      <c r="I91" s="375">
        <f t="shared" si="28"/>
        <v>15.227507547270084</v>
      </c>
      <c r="J91" s="85">
        <v>2022</v>
      </c>
      <c r="K91" s="193">
        <f t="shared" si="29"/>
        <v>44638</v>
      </c>
      <c r="L91" s="431">
        <f t="shared" si="30"/>
        <v>1.5866933255446192E-3</v>
      </c>
      <c r="M91" s="847"/>
      <c r="N91" s="847"/>
      <c r="O91" s="320">
        <f t="shared" si="31"/>
        <v>8.0472996803641183E-3</v>
      </c>
      <c r="P91" s="165">
        <f>(INDEX(Models!$BJ91:$BT91,,T91)*(1-R91)+INDEX(Models!$BJ91:$BT91,,T91+1)*R91-ERP_i)*Q91*Ramure*Pc/MaxiM</f>
        <v>3.9037998563371398E-7</v>
      </c>
      <c r="Q91" s="301">
        <f t="shared" si="32"/>
        <v>0.5</v>
      </c>
      <c r="R91" s="173">
        <f t="shared" si="33"/>
        <v>8.500912039734106E-3</v>
      </c>
      <c r="S91" s="802">
        <f t="shared" si="55"/>
        <v>0</v>
      </c>
      <c r="T91" s="172">
        <f t="shared" si="34"/>
        <v>6</v>
      </c>
      <c r="U91" s="247">
        <f t="shared" si="35"/>
        <v>8.500912039734106E-3</v>
      </c>
      <c r="V91" s="378">
        <f t="shared" si="36"/>
        <v>45.249195536047353</v>
      </c>
      <c r="W91" s="58"/>
      <c r="X91" s="153">
        <f t="shared" si="37"/>
        <v>44638</v>
      </c>
      <c r="Y91" s="380">
        <f t="shared" si="38"/>
        <v>15.081</v>
      </c>
      <c r="Z91" s="380">
        <f t="shared" si="39"/>
        <v>15.104966950242522</v>
      </c>
      <c r="AA91" s="381">
        <f t="shared" si="40"/>
        <v>15.227507264585563</v>
      </c>
      <c r="AB91" s="193">
        <f t="shared" si="41"/>
        <v>44638</v>
      </c>
      <c r="AC91" s="420">
        <f t="shared" si="42"/>
        <v>8.0472996803641183E-3</v>
      </c>
      <c r="AD91" s="165">
        <f>(INDEX(Models!$BJ91:$BT91,,AH91)*(1-AF91)+INDEX(Models!$BJ91:$BT91,,AH91+1)*AF91-ERP_i)*AE91*Ramure*Pc/MaxiM</f>
        <v>3.9037998563371398E-7</v>
      </c>
      <c r="AE91" s="301">
        <f t="shared" si="43"/>
        <v>0.5</v>
      </c>
      <c r="AF91" s="173">
        <f t="shared" si="44"/>
        <v>8.500912039734106E-3</v>
      </c>
      <c r="AG91" s="802">
        <f t="shared" si="45"/>
        <v>0</v>
      </c>
      <c r="AH91" s="172">
        <f t="shared" si="46"/>
        <v>6</v>
      </c>
      <c r="AI91" s="221">
        <f t="shared" si="47"/>
        <v>8.500912039734106E-3</v>
      </c>
      <c r="AJ91" s="261" t="b">
        <f t="shared" si="48"/>
        <v>0</v>
      </c>
      <c r="AK91" s="261" t="b">
        <f t="shared" si="49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50"/>
        <v>44639</v>
      </c>
      <c r="B92" s="610">
        <v>27.71</v>
      </c>
      <c r="C92" s="385"/>
      <c r="D92" s="388">
        <f t="shared" si="51"/>
        <v>27.754417080158404</v>
      </c>
      <c r="E92" s="380">
        <f t="shared" si="52"/>
        <v>27.981441560691003</v>
      </c>
      <c r="F92" s="380">
        <f t="shared" si="53"/>
        <v>27.981446472007683</v>
      </c>
      <c r="G92" s="110">
        <f t="shared" si="54"/>
        <v>0.60626527982544565</v>
      </c>
      <c r="I92" s="375">
        <f t="shared" si="28"/>
        <v>27.981446472007683</v>
      </c>
      <c r="J92" s="85">
        <v>2022</v>
      </c>
      <c r="K92" s="193">
        <f t="shared" si="29"/>
        <v>44639</v>
      </c>
      <c r="L92" s="431">
        <f t="shared" si="30"/>
        <v>1.6003607652836926E-3</v>
      </c>
      <c r="M92" s="847"/>
      <c r="N92" s="847"/>
      <c r="O92" s="320">
        <f t="shared" si="31"/>
        <v>8.1133947312967882E-3</v>
      </c>
      <c r="P92" s="165">
        <f>(INDEX(Models!$BJ92:$BT92,,T92)*(1-R92)+INDEX(Models!$BJ92:$BT92,,T92+1)*R92-ERP_i)*Q92*Ramure*Pc/MaxiM</f>
        <v>4.011694545431627E-7</v>
      </c>
      <c r="Q92" s="301">
        <f t="shared" si="32"/>
        <v>0.5</v>
      </c>
      <c r="R92" s="173">
        <f t="shared" si="33"/>
        <v>9.1255276539406929E-3</v>
      </c>
      <c r="S92" s="802">
        <f t="shared" si="55"/>
        <v>0</v>
      </c>
      <c r="T92" s="172">
        <f t="shared" si="34"/>
        <v>6</v>
      </c>
      <c r="U92" s="247">
        <f t="shared" si="35"/>
        <v>9.1255276539406929E-3</v>
      </c>
      <c r="V92" s="378">
        <f t="shared" si="36"/>
        <v>45.706054213171782</v>
      </c>
      <c r="W92" s="58"/>
      <c r="X92" s="153">
        <f t="shared" si="37"/>
        <v>44639</v>
      </c>
      <c r="Y92" s="380">
        <f t="shared" si="38"/>
        <v>27.71</v>
      </c>
      <c r="Z92" s="380">
        <f t="shared" si="39"/>
        <v>27.754417080158404</v>
      </c>
      <c r="AA92" s="381">
        <f t="shared" si="40"/>
        <v>27.981441560691003</v>
      </c>
      <c r="AB92" s="193">
        <f t="shared" si="41"/>
        <v>44639</v>
      </c>
      <c r="AC92" s="420">
        <f t="shared" si="42"/>
        <v>8.1133947312967882E-3</v>
      </c>
      <c r="AD92" s="165">
        <f>(INDEX(Models!$BJ92:$BT92,,AH92)*(1-AF92)+INDEX(Models!$BJ92:$BT92,,AH92+1)*AF92-ERP_i)*AE92*Ramure*Pc/MaxiM</f>
        <v>4.011694545431627E-7</v>
      </c>
      <c r="AE92" s="301">
        <f t="shared" si="43"/>
        <v>0.5</v>
      </c>
      <c r="AF92" s="173">
        <f t="shared" si="44"/>
        <v>9.1255276539406929E-3</v>
      </c>
      <c r="AG92" s="802">
        <f t="shared" si="45"/>
        <v>0</v>
      </c>
      <c r="AH92" s="172">
        <f t="shared" si="46"/>
        <v>6</v>
      </c>
      <c r="AI92" s="221">
        <f t="shared" si="47"/>
        <v>9.1255276539406929E-3</v>
      </c>
      <c r="AJ92" s="261" t="b">
        <f t="shared" si="48"/>
        <v>0</v>
      </c>
      <c r="AK92" s="261" t="b">
        <f t="shared" si="49"/>
        <v>0</v>
      </c>
      <c r="AL92" s="261"/>
      <c r="AM92" s="261"/>
      <c r="AN92" s="75"/>
    </row>
    <row r="93" spans="1:40" s="6" customFormat="1" ht="11.25" x14ac:dyDescent="0.2">
      <c r="A93" s="56">
        <f t="shared" si="50"/>
        <v>44640</v>
      </c>
      <c r="B93" s="610">
        <v>33.215000000000003</v>
      </c>
      <c r="C93" s="385"/>
      <c r="D93" s="388">
        <f t="shared" si="51"/>
        <v>33.26869660844595</v>
      </c>
      <c r="E93" s="380">
        <f t="shared" si="52"/>
        <v>33.543061197222798</v>
      </c>
      <c r="F93" s="380">
        <f t="shared" si="53"/>
        <v>33.543069625939346</v>
      </c>
      <c r="G93" s="110">
        <f t="shared" si="54"/>
        <v>0.71948879386735898</v>
      </c>
      <c r="I93" s="375">
        <f t="shared" si="28"/>
        <v>33.543069625939346</v>
      </c>
      <c r="J93" s="85">
        <v>2022</v>
      </c>
      <c r="K93" s="193">
        <f t="shared" si="29"/>
        <v>44640</v>
      </c>
      <c r="L93" s="431">
        <f t="shared" si="30"/>
        <v>1.6140280179269828E-3</v>
      </c>
      <c r="M93" s="847"/>
      <c r="N93" s="847"/>
      <c r="O93" s="320">
        <f t="shared" si="31"/>
        <v>8.1794737565444066E-3</v>
      </c>
      <c r="P93" s="165">
        <f>(INDEX(Models!$BJ93:$BT93,,T93)*(1-R93)+INDEX(Models!$BJ93:$BT93,,T93+1)*R93-ERP_i)*Q93*Ramure*Pc/MaxiM</f>
        <v>4.1931094285696652E-7</v>
      </c>
      <c r="Q93" s="301">
        <f t="shared" si="32"/>
        <v>0.5</v>
      </c>
      <c r="R93" s="173">
        <f t="shared" si="33"/>
        <v>9.7746396365621692E-3</v>
      </c>
      <c r="S93" s="802">
        <f t="shared" si="55"/>
        <v>0</v>
      </c>
      <c r="T93" s="172">
        <f t="shared" si="34"/>
        <v>6</v>
      </c>
      <c r="U93" s="247">
        <f t="shared" si="35"/>
        <v>9.7746396365621692E-3</v>
      </c>
      <c r="V93" s="378">
        <f t="shared" si="36"/>
        <v>46.164714033041705</v>
      </c>
      <c r="W93" s="58"/>
      <c r="X93" s="153">
        <f t="shared" si="37"/>
        <v>44640</v>
      </c>
      <c r="Y93" s="380">
        <f t="shared" si="38"/>
        <v>33.215000000000003</v>
      </c>
      <c r="Z93" s="380">
        <f t="shared" si="39"/>
        <v>33.26869660844595</v>
      </c>
      <c r="AA93" s="381">
        <f t="shared" si="40"/>
        <v>33.543061197222798</v>
      </c>
      <c r="AB93" s="193">
        <f t="shared" si="41"/>
        <v>44640</v>
      </c>
      <c r="AC93" s="420">
        <f t="shared" si="42"/>
        <v>8.1794737565444066E-3</v>
      </c>
      <c r="AD93" s="165">
        <f>(INDEX(Models!$BJ93:$BT93,,AH93)*(1-AF93)+INDEX(Models!$BJ93:$BT93,,AH93+1)*AF93-ERP_i)*AE93*Ramure*Pc/MaxiM</f>
        <v>4.1931094285696652E-7</v>
      </c>
      <c r="AE93" s="301">
        <f t="shared" si="43"/>
        <v>0.5</v>
      </c>
      <c r="AF93" s="173">
        <f t="shared" si="44"/>
        <v>9.7746396365621692E-3</v>
      </c>
      <c r="AG93" s="802">
        <f t="shared" si="45"/>
        <v>0</v>
      </c>
      <c r="AH93" s="172">
        <f t="shared" si="46"/>
        <v>6</v>
      </c>
      <c r="AI93" s="221">
        <f t="shared" si="47"/>
        <v>9.7746396365621692E-3</v>
      </c>
      <c r="AJ93" s="261" t="b">
        <f t="shared" si="48"/>
        <v>0</v>
      </c>
      <c r="AK93" s="261" t="b">
        <f t="shared" si="49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50"/>
        <v>44641</v>
      </c>
      <c r="B94" s="610">
        <v>44.673999999999999</v>
      </c>
      <c r="C94" s="385"/>
      <c r="D94" s="388">
        <f t="shared" si="51"/>
        <v>44.746834202031806</v>
      </c>
      <c r="E94" s="380">
        <f t="shared" si="52"/>
        <v>45.118863633340339</v>
      </c>
      <c r="F94" s="380">
        <f t="shared" si="53"/>
        <v>45.118882566979195</v>
      </c>
      <c r="G94" s="110">
        <f t="shared" si="54"/>
        <v>0.95808448194069973</v>
      </c>
      <c r="I94" s="375">
        <f t="shared" si="28"/>
        <v>45.118882566979195</v>
      </c>
      <c r="J94" s="85">
        <v>2022</v>
      </c>
      <c r="K94" s="193">
        <f t="shared" si="29"/>
        <v>44641</v>
      </c>
      <c r="L94" s="431">
        <f t="shared" si="30"/>
        <v>1.6276950834770432E-3</v>
      </c>
      <c r="M94" s="847"/>
      <c r="N94" s="847"/>
      <c r="O94" s="320">
        <f t="shared" si="31"/>
        <v>8.2455408082048754E-3</v>
      </c>
      <c r="P94" s="165">
        <f>(INDEX(Models!$BJ94:$BT94,,T94)*(1-R94)+INDEX(Models!$BJ94:$BT94,,T94+1)*R94-ERP_i)*Q94*Ramure*Pc/MaxiM</f>
        <v>4.4636704858654155E-7</v>
      </c>
      <c r="Q94" s="301">
        <f t="shared" si="32"/>
        <v>0.5</v>
      </c>
      <c r="R94" s="173">
        <f t="shared" si="33"/>
        <v>1.0449136826262376E-2</v>
      </c>
      <c r="S94" s="802">
        <f t="shared" si="55"/>
        <v>0</v>
      </c>
      <c r="T94" s="172">
        <f t="shared" si="34"/>
        <v>6</v>
      </c>
      <c r="U94" s="247">
        <f t="shared" si="35"/>
        <v>1.0449136826262376E-2</v>
      </c>
      <c r="V94" s="378">
        <f t="shared" si="36"/>
        <v>46.62845463842077</v>
      </c>
      <c r="W94" s="58"/>
      <c r="X94" s="153">
        <f t="shared" si="37"/>
        <v>44641</v>
      </c>
      <c r="Y94" s="380">
        <f t="shared" si="38"/>
        <v>44.673999999999999</v>
      </c>
      <c r="Z94" s="380">
        <f t="shared" si="39"/>
        <v>44.746834202031806</v>
      </c>
      <c r="AA94" s="381">
        <f t="shared" si="40"/>
        <v>45.118863633340339</v>
      </c>
      <c r="AB94" s="193">
        <f t="shared" si="41"/>
        <v>44641</v>
      </c>
      <c r="AC94" s="420">
        <f t="shared" si="42"/>
        <v>8.2455408082048754E-3</v>
      </c>
      <c r="AD94" s="165">
        <f>(INDEX(Models!$BJ94:$BT94,,AH94)*(1-AF94)+INDEX(Models!$BJ94:$BT94,,AH94+1)*AF94-ERP_i)*AE94*Ramure*Pc/MaxiM</f>
        <v>4.4636704858654155E-7</v>
      </c>
      <c r="AE94" s="301">
        <f t="shared" si="43"/>
        <v>0.5</v>
      </c>
      <c r="AF94" s="173">
        <f t="shared" si="44"/>
        <v>1.0449136826262376E-2</v>
      </c>
      <c r="AG94" s="802">
        <f t="shared" si="45"/>
        <v>0</v>
      </c>
      <c r="AH94" s="172">
        <f t="shared" si="46"/>
        <v>6</v>
      </c>
      <c r="AI94" s="221">
        <f t="shared" si="47"/>
        <v>1.0449136826262376E-2</v>
      </c>
      <c r="AJ94" s="261" t="b">
        <f t="shared" si="48"/>
        <v>0</v>
      </c>
      <c r="AK94" s="261" t="b">
        <f t="shared" si="49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50"/>
        <v>44642</v>
      </c>
      <c r="B95" s="610">
        <v>43.602000000000004</v>
      </c>
      <c r="C95" s="385"/>
      <c r="D95" s="388">
        <f t="shared" si="51"/>
        <v>43.673684324187349</v>
      </c>
      <c r="E95" s="380">
        <f t="shared" si="52"/>
        <v>44.039724904829711</v>
      </c>
      <c r="F95" s="380">
        <f t="shared" si="53"/>
        <v>44.0397438016956</v>
      </c>
      <c r="G95" s="110">
        <f t="shared" si="54"/>
        <v>0.9258136381229235</v>
      </c>
      <c r="I95" s="375">
        <f t="shared" si="28"/>
        <v>44.0397438016956</v>
      </c>
      <c r="J95" s="85">
        <v>2022</v>
      </c>
      <c r="K95" s="193">
        <f t="shared" si="29"/>
        <v>44642</v>
      </c>
      <c r="L95" s="431">
        <f t="shared" si="30"/>
        <v>1.6413619619365383E-3</v>
      </c>
      <c r="M95" s="847"/>
      <c r="N95" s="847"/>
      <c r="O95" s="320">
        <f t="shared" si="31"/>
        <v>8.3116000709218263E-3</v>
      </c>
      <c r="P95" s="165">
        <f>(INDEX(Models!$BJ95:$BT95,,T95)*(1-R95)+INDEX(Models!$BJ95:$BT95,,T95+1)*R95-ERP_i)*Q95*Ramure*Pc/MaxiM</f>
        <v>4.7995219379070268E-7</v>
      </c>
      <c r="Q95" s="301">
        <f t="shared" si="32"/>
        <v>0.5</v>
      </c>
      <c r="R95" s="173">
        <f t="shared" si="33"/>
        <v>1.1149934387437086E-2</v>
      </c>
      <c r="S95" s="802">
        <f t="shared" si="55"/>
        <v>0</v>
      </c>
      <c r="T95" s="172">
        <f t="shared" si="34"/>
        <v>6</v>
      </c>
      <c r="U95" s="247">
        <f t="shared" si="35"/>
        <v>1.1149934387437086E-2</v>
      </c>
      <c r="V95" s="378">
        <f t="shared" si="36"/>
        <v>47.095868959720583</v>
      </c>
      <c r="W95" s="58"/>
      <c r="X95" s="153">
        <f t="shared" si="37"/>
        <v>44642</v>
      </c>
      <c r="Y95" s="380">
        <f t="shared" si="38"/>
        <v>43.602000000000004</v>
      </c>
      <c r="Z95" s="380">
        <f t="shared" si="39"/>
        <v>43.673684324187349</v>
      </c>
      <c r="AA95" s="381">
        <f t="shared" si="40"/>
        <v>44.039724904829711</v>
      </c>
      <c r="AB95" s="193">
        <f t="shared" si="41"/>
        <v>44642</v>
      </c>
      <c r="AC95" s="420">
        <f t="shared" si="42"/>
        <v>8.3116000709218263E-3</v>
      </c>
      <c r="AD95" s="165">
        <f>(INDEX(Models!$BJ95:$BT95,,AH95)*(1-AF95)+INDEX(Models!$BJ95:$BT95,,AH95+1)*AF95-ERP_i)*AE95*Ramure*Pc/MaxiM</f>
        <v>4.7995219379070268E-7</v>
      </c>
      <c r="AE95" s="301">
        <f t="shared" si="43"/>
        <v>0.5</v>
      </c>
      <c r="AF95" s="173">
        <f t="shared" si="44"/>
        <v>1.1149934387437086E-2</v>
      </c>
      <c r="AG95" s="802">
        <f t="shared" si="45"/>
        <v>0</v>
      </c>
      <c r="AH95" s="172">
        <f t="shared" si="46"/>
        <v>6</v>
      </c>
      <c r="AI95" s="221">
        <f t="shared" si="47"/>
        <v>1.1149934387437086E-2</v>
      </c>
      <c r="AJ95" s="261" t="b">
        <f t="shared" si="48"/>
        <v>0</v>
      </c>
      <c r="AK95" s="261" t="b">
        <f t="shared" si="49"/>
        <v>0</v>
      </c>
      <c r="AL95" s="261"/>
      <c r="AM95" s="261"/>
      <c r="AN95" s="75"/>
    </row>
    <row r="96" spans="1:40" s="6" customFormat="1" ht="11.25" x14ac:dyDescent="0.2">
      <c r="A96" s="56">
        <f t="shared" si="50"/>
        <v>44643</v>
      </c>
      <c r="B96" s="610">
        <v>46.515000000000001</v>
      </c>
      <c r="C96" s="385"/>
      <c r="D96" s="388">
        <f t="shared" si="51"/>
        <v>46.592111279185154</v>
      </c>
      <c r="E96" s="380">
        <f t="shared" si="52"/>
        <v>46.985741652750036</v>
      </c>
      <c r="F96" s="380">
        <f t="shared" si="53"/>
        <v>46.985765354828146</v>
      </c>
      <c r="G96" s="110">
        <f t="shared" si="54"/>
        <v>0.97791361654124831</v>
      </c>
      <c r="I96" s="375">
        <f t="shared" si="28"/>
        <v>46.985765354828146</v>
      </c>
      <c r="J96" s="85">
        <v>2022</v>
      </c>
      <c r="K96" s="193">
        <f t="shared" si="29"/>
        <v>44643</v>
      </c>
      <c r="L96" s="431">
        <f t="shared" si="30"/>
        <v>1.6550286533077996E-3</v>
      </c>
      <c r="M96" s="847"/>
      <c r="N96" s="847"/>
      <c r="O96" s="320">
        <f t="shared" si="31"/>
        <v>8.3776558530036429E-3</v>
      </c>
      <c r="P96" s="165">
        <f>(INDEX(Models!$BJ96:$BT96,,T96)*(1-R96)+INDEX(Models!$BJ96:$BT96,,T96+1)*R96-ERP_i)*Q96*Ramure*Pc/MaxiM</f>
        <v>5.2088732781267712E-7</v>
      </c>
      <c r="Q96" s="301">
        <f t="shared" si="32"/>
        <v>0.5</v>
      </c>
      <c r="R96" s="173">
        <f t="shared" si="33"/>
        <v>1.1877974089731728E-2</v>
      </c>
      <c r="S96" s="802">
        <f t="shared" si="55"/>
        <v>0</v>
      </c>
      <c r="T96" s="172">
        <f t="shared" si="34"/>
        <v>6</v>
      </c>
      <c r="U96" s="247">
        <f t="shared" si="35"/>
        <v>1.1877974089731728E-2</v>
      </c>
      <c r="V96" s="378">
        <f t="shared" si="36"/>
        <v>47.565550217045171</v>
      </c>
      <c r="W96" s="58"/>
      <c r="X96" s="153">
        <f t="shared" si="37"/>
        <v>44643</v>
      </c>
      <c r="Y96" s="380">
        <f t="shared" si="38"/>
        <v>46.515000000000001</v>
      </c>
      <c r="Z96" s="380">
        <f t="shared" si="39"/>
        <v>46.592111279185154</v>
      </c>
      <c r="AA96" s="381">
        <f t="shared" si="40"/>
        <v>46.985741652750036</v>
      </c>
      <c r="AB96" s="193">
        <f t="shared" si="41"/>
        <v>44643</v>
      </c>
      <c r="AC96" s="420">
        <f t="shared" si="42"/>
        <v>8.3776558530036429E-3</v>
      </c>
      <c r="AD96" s="165">
        <f>(INDEX(Models!$BJ96:$BT96,,AH96)*(1-AF96)+INDEX(Models!$BJ96:$BT96,,AH96+1)*AF96-ERP_i)*AE96*Ramure*Pc/MaxiM</f>
        <v>5.2088732781267712E-7</v>
      </c>
      <c r="AE96" s="301">
        <f t="shared" si="43"/>
        <v>0.5</v>
      </c>
      <c r="AF96" s="173">
        <f t="shared" si="44"/>
        <v>1.1877974089731728E-2</v>
      </c>
      <c r="AG96" s="802">
        <f t="shared" si="45"/>
        <v>0</v>
      </c>
      <c r="AH96" s="172">
        <f t="shared" si="46"/>
        <v>6</v>
      </c>
      <c r="AI96" s="221">
        <f t="shared" si="47"/>
        <v>1.1877974089731728E-2</v>
      </c>
      <c r="AJ96" s="261" t="b">
        <f t="shared" si="48"/>
        <v>0</v>
      </c>
      <c r="AK96" s="261" t="b">
        <f t="shared" si="49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50"/>
        <v>44644</v>
      </c>
      <c r="B97" s="610">
        <v>46.209000000000003</v>
      </c>
      <c r="C97" s="385"/>
      <c r="D97" s="388">
        <f t="shared" si="51"/>
        <v>46.286237620580692</v>
      </c>
      <c r="E97" s="380">
        <f t="shared" si="52"/>
        <v>46.68039344583034</v>
      </c>
      <c r="F97" s="380">
        <f t="shared" si="53"/>
        <v>46.68041860984021</v>
      </c>
      <c r="G97" s="110">
        <f t="shared" si="54"/>
        <v>0.96196415199830654</v>
      </c>
      <c r="I97" s="375">
        <f t="shared" si="28"/>
        <v>46.68041860984021</v>
      </c>
      <c r="J97" s="85">
        <v>2022</v>
      </c>
      <c r="K97" s="193">
        <f t="shared" si="29"/>
        <v>44644</v>
      </c>
      <c r="L97" s="431">
        <f t="shared" si="30"/>
        <v>1.6686951575936027E-3</v>
      </c>
      <c r="M97" s="847"/>
      <c r="N97" s="847"/>
      <c r="O97" s="320">
        <f t="shared" si="31"/>
        <v>8.4437125772523908E-3</v>
      </c>
      <c r="P97" s="165">
        <f>(INDEX(Models!$BJ97:$BT97,,T97)*(1-R97)+INDEX(Models!$BJ97:$BT97,,T97+1)*R97-ERP_i)*Q97*Ramure*Pc/MaxiM</f>
        <v>5.7004436122050177E-7</v>
      </c>
      <c r="Q97" s="301">
        <f t="shared" si="32"/>
        <v>0.5</v>
      </c>
      <c r="R97" s="173">
        <f t="shared" si="33"/>
        <v>1.2634224542291544E-2</v>
      </c>
      <c r="S97" s="802">
        <f t="shared" si="55"/>
        <v>0</v>
      </c>
      <c r="T97" s="172">
        <f t="shared" si="34"/>
        <v>6</v>
      </c>
      <c r="U97" s="247">
        <f t="shared" si="35"/>
        <v>1.2634224542291544E-2</v>
      </c>
      <c r="V97" s="378">
        <f t="shared" si="36"/>
        <v>48.036092065084524</v>
      </c>
      <c r="W97" s="58"/>
      <c r="X97" s="153">
        <f t="shared" si="37"/>
        <v>44644</v>
      </c>
      <c r="Y97" s="380">
        <f t="shared" si="38"/>
        <v>46.209000000000003</v>
      </c>
      <c r="Z97" s="380">
        <f t="shared" si="39"/>
        <v>46.286237620580692</v>
      </c>
      <c r="AA97" s="381">
        <f t="shared" si="40"/>
        <v>46.68039344583034</v>
      </c>
      <c r="AB97" s="193">
        <f t="shared" si="41"/>
        <v>44644</v>
      </c>
      <c r="AC97" s="420">
        <f t="shared" si="42"/>
        <v>8.4437125772523908E-3</v>
      </c>
      <c r="AD97" s="165">
        <f>(INDEX(Models!$BJ97:$BT97,,AH97)*(1-AF97)+INDEX(Models!$BJ97:$BT97,,AH97+1)*AF97-ERP_i)*AE97*Ramure*Pc/MaxiM</f>
        <v>5.7004436122050177E-7</v>
      </c>
      <c r="AE97" s="301">
        <f t="shared" si="43"/>
        <v>0.5</v>
      </c>
      <c r="AF97" s="173">
        <f t="shared" si="44"/>
        <v>1.2634224542291544E-2</v>
      </c>
      <c r="AG97" s="802">
        <f t="shared" si="45"/>
        <v>0</v>
      </c>
      <c r="AH97" s="172">
        <f t="shared" si="46"/>
        <v>6</v>
      </c>
      <c r="AI97" s="221">
        <f t="shared" si="47"/>
        <v>1.2634224542291544E-2</v>
      </c>
      <c r="AJ97" s="261" t="b">
        <f t="shared" si="48"/>
        <v>0</v>
      </c>
      <c r="AK97" s="261" t="b">
        <f t="shared" si="49"/>
        <v>0</v>
      </c>
      <c r="AL97" s="261"/>
      <c r="AM97" s="261"/>
      <c r="AN97" s="75"/>
    </row>
    <row r="98" spans="1:40" s="6" customFormat="1" ht="11.25" x14ac:dyDescent="0.2">
      <c r="A98" s="56">
        <f t="shared" si="50"/>
        <v>44645</v>
      </c>
      <c r="B98" s="610">
        <v>38.491999999999997</v>
      </c>
      <c r="C98" s="385"/>
      <c r="D98" s="388">
        <f t="shared" si="51"/>
        <v>38.556866586934724</v>
      </c>
      <c r="E98" s="380">
        <f t="shared" si="52"/>
        <v>38.887792946270743</v>
      </c>
      <c r="F98" s="380">
        <f t="shared" si="53"/>
        <v>38.887810174833888</v>
      </c>
      <c r="G98" s="110">
        <f t="shared" si="54"/>
        <v>0.7935497168487422</v>
      </c>
      <c r="I98" s="375">
        <f t="shared" si="28"/>
        <v>38.887810174833888</v>
      </c>
      <c r="J98" s="85">
        <v>2022</v>
      </c>
      <c r="K98" s="193">
        <f t="shared" si="29"/>
        <v>44645</v>
      </c>
      <c r="L98" s="431">
        <f t="shared" si="30"/>
        <v>1.682361474796501E-3</v>
      </c>
      <c r="M98" s="847"/>
      <c r="N98" s="847"/>
      <c r="O98" s="320">
        <f t="shared" si="31"/>
        <v>8.509774771564959E-3</v>
      </c>
      <c r="P98" s="165">
        <f>(INDEX(Models!$BJ98:$BT98,,T98)*(1-R98)+INDEX(Models!$BJ98:$BT98,,T98+1)*R98-ERP_i)*Q98*Ramure*Pc/MaxiM</f>
        <v>6.2835138163358087E-7</v>
      </c>
      <c r="Q98" s="301">
        <f t="shared" si="32"/>
        <v>0.5</v>
      </c>
      <c r="R98" s="173">
        <f t="shared" si="33"/>
        <v>1.3419681377538784E-2</v>
      </c>
      <c r="S98" s="802">
        <f t="shared" si="55"/>
        <v>0</v>
      </c>
      <c r="T98" s="172">
        <f t="shared" si="34"/>
        <v>6</v>
      </c>
      <c r="U98" s="247">
        <f t="shared" si="35"/>
        <v>1.3419681377538784E-2</v>
      </c>
      <c r="V98" s="378">
        <f t="shared" si="36"/>
        <v>48.506088590840946</v>
      </c>
      <c r="W98" s="58"/>
      <c r="X98" s="153">
        <f t="shared" si="37"/>
        <v>44645</v>
      </c>
      <c r="Y98" s="380">
        <f t="shared" si="38"/>
        <v>38.491999999999997</v>
      </c>
      <c r="Z98" s="380">
        <f t="shared" si="39"/>
        <v>38.556866586934724</v>
      </c>
      <c r="AA98" s="381">
        <f t="shared" si="40"/>
        <v>38.887792946270743</v>
      </c>
      <c r="AB98" s="193">
        <f t="shared" si="41"/>
        <v>44645</v>
      </c>
      <c r="AC98" s="420">
        <f t="shared" si="42"/>
        <v>8.509774771564959E-3</v>
      </c>
      <c r="AD98" s="165">
        <f>(INDEX(Models!$BJ98:$BT98,,AH98)*(1-AF98)+INDEX(Models!$BJ98:$BT98,,AH98+1)*AF98-ERP_i)*AE98*Ramure*Pc/MaxiM</f>
        <v>6.2835138163358087E-7</v>
      </c>
      <c r="AE98" s="301">
        <f t="shared" si="43"/>
        <v>0.5</v>
      </c>
      <c r="AF98" s="173">
        <f t="shared" si="44"/>
        <v>1.3419681377538784E-2</v>
      </c>
      <c r="AG98" s="802">
        <f t="shared" si="45"/>
        <v>0</v>
      </c>
      <c r="AH98" s="172">
        <f t="shared" si="46"/>
        <v>6</v>
      </c>
      <c r="AI98" s="221">
        <f t="shared" si="47"/>
        <v>1.3419681377538784E-2</v>
      </c>
      <c r="AJ98" s="261" t="b">
        <f t="shared" si="48"/>
        <v>0</v>
      </c>
      <c r="AK98" s="261" t="b">
        <f t="shared" si="49"/>
        <v>0</v>
      </c>
      <c r="AL98" s="261"/>
      <c r="AM98" s="261"/>
      <c r="AN98" s="75"/>
    </row>
    <row r="99" spans="1:40" s="6" customFormat="1" ht="11.25" x14ac:dyDescent="0.2">
      <c r="A99" s="56">
        <f t="shared" si="50"/>
        <v>44646</v>
      </c>
      <c r="B99" s="610">
        <v>42.277000000000001</v>
      </c>
      <c r="C99" s="385"/>
      <c r="D99" s="388">
        <f t="shared" si="51"/>
        <v>42.348824775855725</v>
      </c>
      <c r="E99" s="380">
        <f t="shared" si="52"/>
        <v>42.715143312018427</v>
      </c>
      <c r="F99" s="380">
        <f t="shared" si="53"/>
        <v>42.715167261365842</v>
      </c>
      <c r="G99" s="110">
        <f t="shared" si="54"/>
        <v>0.86325148642072369</v>
      </c>
      <c r="I99" s="375">
        <f t="shared" si="28"/>
        <v>42.715167261365842</v>
      </c>
      <c r="J99" s="85">
        <v>2022</v>
      </c>
      <c r="K99" s="193">
        <f t="shared" si="29"/>
        <v>44646</v>
      </c>
      <c r="L99" s="431">
        <f t="shared" si="30"/>
        <v>1.6960276049189371E-3</v>
      </c>
      <c r="M99" s="847"/>
      <c r="N99" s="847"/>
      <c r="O99" s="320">
        <f t="shared" si="31"/>
        <v>8.5758470593642923E-3</v>
      </c>
      <c r="P99" s="165">
        <f>(INDEX(Models!$BJ99:$BT99,,T99)*(1-R99)+INDEX(Models!$BJ99:$BT99,,T99+1)*R99-ERP_i)*Q99*Ramure*Pc/MaxiM</f>
        <v>6.9679844964021453E-7</v>
      </c>
      <c r="Q99" s="301">
        <f t="shared" si="32"/>
        <v>0.5</v>
      </c>
      <c r="R99" s="173">
        <f t="shared" si="33"/>
        <v>1.4235367378942401E-2</v>
      </c>
      <c r="S99" s="802">
        <f t="shared" si="55"/>
        <v>0</v>
      </c>
      <c r="T99" s="172">
        <f t="shared" si="34"/>
        <v>6</v>
      </c>
      <c r="U99" s="247">
        <f t="shared" si="35"/>
        <v>1.4235367378942401E-2</v>
      </c>
      <c r="V99" s="378">
        <f t="shared" si="36"/>
        <v>48.974134316777658</v>
      </c>
      <c r="W99" s="58"/>
      <c r="X99" s="153">
        <f t="shared" si="37"/>
        <v>44646</v>
      </c>
      <c r="Y99" s="380">
        <f t="shared" si="38"/>
        <v>42.277000000000001</v>
      </c>
      <c r="Z99" s="380">
        <f t="shared" si="39"/>
        <v>42.348824775855725</v>
      </c>
      <c r="AA99" s="381">
        <f t="shared" si="40"/>
        <v>42.715143312018427</v>
      </c>
      <c r="AB99" s="193">
        <f t="shared" si="41"/>
        <v>44646</v>
      </c>
      <c r="AC99" s="420">
        <f t="shared" si="42"/>
        <v>8.5758470593642923E-3</v>
      </c>
      <c r="AD99" s="165">
        <f>(INDEX(Models!$BJ99:$BT99,,AH99)*(1-AF99)+INDEX(Models!$BJ99:$BT99,,AH99+1)*AF99-ERP_i)*AE99*Ramure*Pc/MaxiM</f>
        <v>6.9679844964021453E-7</v>
      </c>
      <c r="AE99" s="301">
        <f t="shared" si="43"/>
        <v>0.5</v>
      </c>
      <c r="AF99" s="173">
        <f t="shared" si="44"/>
        <v>1.4235367378942401E-2</v>
      </c>
      <c r="AG99" s="802">
        <f t="shared" si="45"/>
        <v>0</v>
      </c>
      <c r="AH99" s="172">
        <f t="shared" si="46"/>
        <v>6</v>
      </c>
      <c r="AI99" s="221">
        <f t="shared" si="47"/>
        <v>1.4235367378942401E-2</v>
      </c>
      <c r="AJ99" s="261" t="b">
        <f t="shared" si="48"/>
        <v>0</v>
      </c>
      <c r="AK99" s="261" t="b">
        <f t="shared" si="49"/>
        <v>0</v>
      </c>
      <c r="AL99" s="261"/>
      <c r="AM99" s="261"/>
      <c r="AN99" s="75"/>
    </row>
    <row r="100" spans="1:40" s="6" customFormat="1" ht="11.25" x14ac:dyDescent="0.2">
      <c r="A100" s="56">
        <f t="shared" si="50"/>
        <v>44647</v>
      </c>
      <c r="B100" s="610">
        <v>44.241</v>
      </c>
      <c r="C100" s="385"/>
      <c r="D100" s="388">
        <f t="shared" si="51"/>
        <v>44.316768092474298</v>
      </c>
      <c r="E100" s="380">
        <f t="shared" si="52"/>
        <v>44.703089246036235</v>
      </c>
      <c r="F100" s="380">
        <f t="shared" si="53"/>
        <v>44.703118513444139</v>
      </c>
      <c r="G100" s="110">
        <f t="shared" si="54"/>
        <v>0.8948634060810241</v>
      </c>
      <c r="I100" s="375">
        <f t="shared" si="28"/>
        <v>44.703118513444139</v>
      </c>
      <c r="J100" s="85">
        <v>2022</v>
      </c>
      <c r="K100" s="193">
        <f t="shared" si="29"/>
        <v>44647</v>
      </c>
      <c r="L100" s="431">
        <f t="shared" si="30"/>
        <v>1.7096935479635755E-3</v>
      </c>
      <c r="M100" s="847"/>
      <c r="N100" s="847"/>
      <c r="O100" s="320">
        <f t="shared" si="31"/>
        <v>8.641934149913091E-3</v>
      </c>
      <c r="P100" s="165">
        <f>(INDEX(Models!$BJ100:$BT100,,T100)*(1-R100)+INDEX(Models!$BJ100:$BT100,,T100+1)*R100-ERP_i)*Q100*Ramure*Pc/MaxiM</f>
        <v>7.7041929410313449E-7</v>
      </c>
      <c r="Q100" s="301">
        <f t="shared" si="32"/>
        <v>0.5</v>
      </c>
      <c r="R100" s="173">
        <f t="shared" si="33"/>
        <v>1.5082332546906978E-2</v>
      </c>
      <c r="S100" s="802">
        <f t="shared" si="55"/>
        <v>0</v>
      </c>
      <c r="T100" s="172">
        <f t="shared" si="34"/>
        <v>6</v>
      </c>
      <c r="U100" s="247">
        <f t="shared" si="35"/>
        <v>1.5082332546906978E-2</v>
      </c>
      <c r="V100" s="378">
        <f t="shared" si="36"/>
        <v>49.438824495553213</v>
      </c>
      <c r="W100" s="58"/>
      <c r="X100" s="153">
        <f t="shared" si="37"/>
        <v>44647</v>
      </c>
      <c r="Y100" s="380">
        <f t="shared" si="38"/>
        <v>44.241</v>
      </c>
      <c r="Z100" s="380">
        <f t="shared" si="39"/>
        <v>44.316768092474298</v>
      </c>
      <c r="AA100" s="381">
        <f t="shared" si="40"/>
        <v>44.703089246036235</v>
      </c>
      <c r="AB100" s="193">
        <f t="shared" si="41"/>
        <v>44647</v>
      </c>
      <c r="AC100" s="420">
        <f t="shared" si="42"/>
        <v>8.641934149913091E-3</v>
      </c>
      <c r="AD100" s="165">
        <f>(INDEX(Models!$BJ100:$BT100,,AH100)*(1-AF100)+INDEX(Models!$BJ100:$BT100,,AH100+1)*AF100-ERP_i)*AE100*Ramure*Pc/MaxiM</f>
        <v>7.7041929410313449E-7</v>
      </c>
      <c r="AE100" s="301">
        <f t="shared" si="43"/>
        <v>0.5</v>
      </c>
      <c r="AF100" s="173">
        <f t="shared" si="44"/>
        <v>1.5082332546906978E-2</v>
      </c>
      <c r="AG100" s="802">
        <f t="shared" si="45"/>
        <v>0</v>
      </c>
      <c r="AH100" s="172">
        <f t="shared" si="46"/>
        <v>6</v>
      </c>
      <c r="AI100" s="221">
        <f t="shared" si="47"/>
        <v>1.5082332546906978E-2</v>
      </c>
      <c r="AJ100" s="261" t="b">
        <f t="shared" si="48"/>
        <v>0</v>
      </c>
      <c r="AK100" s="261" t="b">
        <f t="shared" si="49"/>
        <v>0</v>
      </c>
      <c r="AL100" s="261"/>
      <c r="AM100" s="261"/>
      <c r="AN100" s="75"/>
    </row>
    <row r="101" spans="1:40" s="6" customFormat="1" ht="11.25" x14ac:dyDescent="0.2">
      <c r="A101" s="56">
        <f t="shared" si="50"/>
        <v>44648</v>
      </c>
      <c r="B101" s="610">
        <v>38.003999999999998</v>
      </c>
      <c r="C101" s="385"/>
      <c r="D101" s="388">
        <f t="shared" si="51"/>
        <v>38.069607612476034</v>
      </c>
      <c r="E101" s="380">
        <f t="shared" si="52"/>
        <v>38.404031486642886</v>
      </c>
      <c r="F101" s="380">
        <f t="shared" si="53"/>
        <v>38.404052832194026</v>
      </c>
      <c r="G101" s="110">
        <f t="shared" si="54"/>
        <v>0.76162199173321754</v>
      </c>
      <c r="I101" s="375">
        <f t="shared" si="28"/>
        <v>38.404052832194026</v>
      </c>
      <c r="J101" s="85">
        <v>2022</v>
      </c>
      <c r="K101" s="193">
        <f t="shared" si="29"/>
        <v>44648</v>
      </c>
      <c r="L101" s="431">
        <f t="shared" si="30"/>
        <v>1.7233593039328587E-3</v>
      </c>
      <c r="M101" s="847"/>
      <c r="N101" s="847"/>
      <c r="O101" s="320">
        <f t="shared" si="31"/>
        <v>8.7080408285563609E-3</v>
      </c>
      <c r="P101" s="165">
        <f>(INDEX(Models!$BJ101:$BT101,,T101)*(1-R101)+INDEX(Models!$BJ101:$BT101,,T101+1)*R101-ERP_i)*Q101*Ramure*Pc/MaxiM</f>
        <v>8.4283324578298095E-7</v>
      </c>
      <c r="Q101" s="301">
        <f t="shared" si="32"/>
        <v>0.5</v>
      </c>
      <c r="R101" s="173">
        <f t="shared" si="33"/>
        <v>1.5961654096571219E-2</v>
      </c>
      <c r="S101" s="802">
        <f t="shared" si="55"/>
        <v>0</v>
      </c>
      <c r="T101" s="172">
        <f t="shared" si="34"/>
        <v>6</v>
      </c>
      <c r="U101" s="247">
        <f t="shared" si="35"/>
        <v>1.5961654096571219E-2</v>
      </c>
      <c r="V101" s="378">
        <f t="shared" si="36"/>
        <v>49.898754900274902</v>
      </c>
      <c r="W101" s="58"/>
      <c r="X101" s="153">
        <f t="shared" si="37"/>
        <v>44648</v>
      </c>
      <c r="Y101" s="380">
        <f t="shared" si="38"/>
        <v>38.003999999999998</v>
      </c>
      <c r="Z101" s="380">
        <f t="shared" si="39"/>
        <v>38.069607612476034</v>
      </c>
      <c r="AA101" s="381">
        <f t="shared" si="40"/>
        <v>38.404031486642886</v>
      </c>
      <c r="AB101" s="193">
        <f t="shared" si="41"/>
        <v>44648</v>
      </c>
      <c r="AC101" s="420">
        <f t="shared" si="42"/>
        <v>8.7080408285563609E-3</v>
      </c>
      <c r="AD101" s="165">
        <f>(INDEX(Models!$BJ101:$BT101,,AH101)*(1-AF101)+INDEX(Models!$BJ101:$BT101,,AH101+1)*AF101-ERP_i)*AE101*Ramure*Pc/MaxiM</f>
        <v>8.4283324578298095E-7</v>
      </c>
      <c r="AE101" s="301">
        <f t="shared" si="43"/>
        <v>0.5</v>
      </c>
      <c r="AF101" s="173">
        <f t="shared" si="44"/>
        <v>1.5961654096571219E-2</v>
      </c>
      <c r="AG101" s="802">
        <f t="shared" si="45"/>
        <v>0</v>
      </c>
      <c r="AH101" s="172">
        <f t="shared" si="46"/>
        <v>6</v>
      </c>
      <c r="AI101" s="221">
        <f t="shared" si="47"/>
        <v>1.5961654096571219E-2</v>
      </c>
      <c r="AJ101" s="261" t="b">
        <f t="shared" si="48"/>
        <v>0</v>
      </c>
      <c r="AK101" s="261" t="b">
        <f t="shared" si="49"/>
        <v>0</v>
      </c>
      <c r="AL101" s="261"/>
      <c r="AM101" s="261"/>
      <c r="AN101" s="75"/>
    </row>
    <row r="102" spans="1:40" s="6" customFormat="1" ht="11.25" x14ac:dyDescent="0.2">
      <c r="A102" s="56">
        <f t="shared" si="50"/>
        <v>44649</v>
      </c>
      <c r="B102" s="610">
        <v>28.940999999999999</v>
      </c>
      <c r="C102" s="385"/>
      <c r="D102" s="388">
        <f t="shared" si="51"/>
        <v>28.991358711178435</v>
      </c>
      <c r="E102" s="380">
        <f t="shared" si="52"/>
        <v>29.247985565632689</v>
      </c>
      <c r="F102" s="380">
        <f t="shared" si="53"/>
        <v>29.247996056103595</v>
      </c>
      <c r="G102" s="110">
        <f t="shared" si="54"/>
        <v>0.57476732252189611</v>
      </c>
      <c r="I102" s="375">
        <f t="shared" si="28"/>
        <v>29.247996056103595</v>
      </c>
      <c r="J102" s="85">
        <v>2022</v>
      </c>
      <c r="K102" s="193">
        <f t="shared" si="29"/>
        <v>44649</v>
      </c>
      <c r="L102" s="431">
        <f t="shared" si="30"/>
        <v>1.7370248728294513E-3</v>
      </c>
      <c r="M102" s="847"/>
      <c r="N102" s="847"/>
      <c r="O102" s="320">
        <f t="shared" si="31"/>
        <v>8.7741719469322868E-3</v>
      </c>
      <c r="P102" s="165">
        <f>(INDEX(Models!$BJ102:$BT102,,T102)*(1-R102)+INDEX(Models!$BJ102:$BT102,,T102+1)*R102-ERP_i)*Q102*Ramure*Pc/MaxiM</f>
        <v>9.1375827335969697E-7</v>
      </c>
      <c r="Q102" s="301">
        <f t="shared" si="32"/>
        <v>0.5</v>
      </c>
      <c r="R102" s="173">
        <f t="shared" si="33"/>
        <v>1.6874436380957602E-2</v>
      </c>
      <c r="S102" s="802">
        <f t="shared" si="55"/>
        <v>0</v>
      </c>
      <c r="T102" s="172">
        <f t="shared" si="34"/>
        <v>6</v>
      </c>
      <c r="U102" s="247">
        <f t="shared" si="35"/>
        <v>1.6874436380957602E-2</v>
      </c>
      <c r="V102" s="378">
        <f t="shared" si="36"/>
        <v>50.352521448665314</v>
      </c>
      <c r="W102" s="58"/>
      <c r="X102" s="153">
        <f t="shared" si="37"/>
        <v>44649</v>
      </c>
      <c r="Y102" s="380">
        <f t="shared" si="38"/>
        <v>28.940999999999999</v>
      </c>
      <c r="Z102" s="380">
        <f t="shared" si="39"/>
        <v>28.991358711178435</v>
      </c>
      <c r="AA102" s="381">
        <f t="shared" si="40"/>
        <v>29.247985565632689</v>
      </c>
      <c r="AB102" s="193">
        <f t="shared" si="41"/>
        <v>44649</v>
      </c>
      <c r="AC102" s="420">
        <f t="shared" si="42"/>
        <v>8.7741719469322868E-3</v>
      </c>
      <c r="AD102" s="165">
        <f>(INDEX(Models!$BJ102:$BT102,,AH102)*(1-AF102)+INDEX(Models!$BJ102:$BT102,,AH102+1)*AF102-ERP_i)*AE102*Ramure*Pc/MaxiM</f>
        <v>9.1375827335969697E-7</v>
      </c>
      <c r="AE102" s="301">
        <f t="shared" si="43"/>
        <v>0.5</v>
      </c>
      <c r="AF102" s="173">
        <f t="shared" si="44"/>
        <v>1.6874436380957602E-2</v>
      </c>
      <c r="AG102" s="802">
        <f t="shared" si="45"/>
        <v>0</v>
      </c>
      <c r="AH102" s="172">
        <f t="shared" si="46"/>
        <v>6</v>
      </c>
      <c r="AI102" s="221">
        <f t="shared" si="47"/>
        <v>1.6874436380957602E-2</v>
      </c>
      <c r="AJ102" s="261" t="b">
        <f t="shared" si="48"/>
        <v>0</v>
      </c>
      <c r="AK102" s="261" t="b">
        <f t="shared" si="49"/>
        <v>0</v>
      </c>
      <c r="AL102" s="261"/>
      <c r="AM102" s="261"/>
      <c r="AN102" s="75"/>
    </row>
    <row r="103" spans="1:40" s="6" customFormat="1" ht="11.25" x14ac:dyDescent="0.2">
      <c r="A103" s="56">
        <f t="shared" si="50"/>
        <v>44650</v>
      </c>
      <c r="B103" s="610">
        <v>8.06</v>
      </c>
      <c r="C103" s="385"/>
      <c r="D103" s="388">
        <f t="shared" si="51"/>
        <v>8.0741353100019939</v>
      </c>
      <c r="E103" s="380">
        <f t="shared" si="52"/>
        <v>8.146149983745957</v>
      </c>
      <c r="F103" s="380">
        <f t="shared" si="53"/>
        <v>8.146149983745957</v>
      </c>
      <c r="G103" s="110">
        <f t="shared" si="54"/>
        <v>0.15866525767549869</v>
      </c>
      <c r="I103" s="375">
        <f t="shared" si="28"/>
        <v>8.146149983745957</v>
      </c>
      <c r="J103" s="85">
        <v>2022</v>
      </c>
      <c r="K103" s="193">
        <f t="shared" si="29"/>
        <v>44650</v>
      </c>
      <c r="L103" s="431">
        <f t="shared" si="30"/>
        <v>1.7506902546559067E-3</v>
      </c>
      <c r="M103" s="847"/>
      <c r="N103" s="847"/>
      <c r="O103" s="320">
        <f t="shared" si="31"/>
        <v>8.8403324131835111E-3</v>
      </c>
      <c r="P103" s="165">
        <f>(INDEX(Models!$BJ103:$BT103,,T103)*(1-R103)+INDEX(Models!$BJ103:$BT103,,T103+1)*R103-ERP_i)*Q103*Ramure*Pc/MaxiM</f>
        <v>9.8289003087708058E-7</v>
      </c>
      <c r="Q103" s="301">
        <f t="shared" si="32"/>
        <v>0.5</v>
      </c>
      <c r="R103" s="173">
        <f t="shared" si="33"/>
        <v>1.7821810732575941E-2</v>
      </c>
      <c r="S103" s="802">
        <f t="shared" si="55"/>
        <v>0</v>
      </c>
      <c r="T103" s="172">
        <f t="shared" si="34"/>
        <v>6</v>
      </c>
      <c r="U103" s="247">
        <f t="shared" si="35"/>
        <v>1.7821810732575941E-2</v>
      </c>
      <c r="V103" s="378">
        <f t="shared" si="36"/>
        <v>50.798720501186232</v>
      </c>
      <c r="W103" s="58"/>
      <c r="X103" s="153">
        <f t="shared" si="37"/>
        <v>44650</v>
      </c>
      <c r="Y103" s="380">
        <f t="shared" si="38"/>
        <v>8.06</v>
      </c>
      <c r="Z103" s="380">
        <f t="shared" si="39"/>
        <v>8.0741353100019939</v>
      </c>
      <c r="AA103" s="381">
        <f t="shared" si="40"/>
        <v>8.146149983745957</v>
      </c>
      <c r="AB103" s="193">
        <f t="shared" si="41"/>
        <v>44650</v>
      </c>
      <c r="AC103" s="420">
        <f t="shared" si="42"/>
        <v>8.8403324131835111E-3</v>
      </c>
      <c r="AD103" s="165">
        <f>(INDEX(Models!$BJ103:$BT103,,AH103)*(1-AF103)+INDEX(Models!$BJ103:$BT103,,AH103+1)*AF103-ERP_i)*AE103*Ramure*Pc/MaxiM</f>
        <v>9.8289003087708058E-7</v>
      </c>
      <c r="AE103" s="301">
        <f t="shared" si="43"/>
        <v>0.5</v>
      </c>
      <c r="AF103" s="173">
        <f t="shared" si="44"/>
        <v>1.7821810732575941E-2</v>
      </c>
      <c r="AG103" s="802">
        <f t="shared" si="45"/>
        <v>0</v>
      </c>
      <c r="AH103" s="172">
        <f t="shared" si="46"/>
        <v>6</v>
      </c>
      <c r="AI103" s="221">
        <f t="shared" si="47"/>
        <v>1.7821810732575941E-2</v>
      </c>
      <c r="AJ103" s="261" t="b">
        <f t="shared" si="48"/>
        <v>0</v>
      </c>
      <c r="AK103" s="261" t="b">
        <f t="shared" si="49"/>
        <v>0</v>
      </c>
      <c r="AL103" s="261"/>
      <c r="AM103" s="261"/>
      <c r="AN103" s="75"/>
    </row>
    <row r="104" spans="1:40" s="6" customFormat="1" ht="11.25" x14ac:dyDescent="0.2">
      <c r="A104" s="56">
        <f t="shared" si="50"/>
        <v>44651</v>
      </c>
      <c r="B104" s="610">
        <v>28.149000000000001</v>
      </c>
      <c r="C104" s="385"/>
      <c r="D104" s="388">
        <f t="shared" si="51"/>
        <v>28.198752622856833</v>
      </c>
      <c r="E104" s="380">
        <f t="shared" si="52"/>
        <v>28.452162582288171</v>
      </c>
      <c r="F104" s="380">
        <f t="shared" si="53"/>
        <v>28.452173225194628</v>
      </c>
      <c r="G104" s="110">
        <f t="shared" si="54"/>
        <v>0.54939903721822503</v>
      </c>
      <c r="I104" s="375">
        <f t="shared" si="28"/>
        <v>28.452173225194628</v>
      </c>
      <c r="J104" s="85">
        <v>2022</v>
      </c>
      <c r="K104" s="193">
        <f t="shared" si="29"/>
        <v>44651</v>
      </c>
      <c r="L104" s="431">
        <f t="shared" si="30"/>
        <v>1.7643554494146674E-3</v>
      </c>
      <c r="M104" s="847"/>
      <c r="N104" s="847"/>
      <c r="O104" s="320">
        <f t="shared" si="31"/>
        <v>8.9065271821934314E-3</v>
      </c>
      <c r="P104" s="165">
        <f>(INDEX(Models!$BJ104:$BT104,,T104)*(1-R104)+INDEX(Models!$BJ104:$BT104,,T104+1)*R104-ERP_i)*Q104*Ramure*Pc/MaxiM</f>
        <v>1.0498987577586389E-6</v>
      </c>
      <c r="Q104" s="301">
        <f t="shared" si="32"/>
        <v>0.5</v>
      </c>
      <c r="R104" s="173">
        <f t="shared" si="33"/>
        <v>1.8804935216240198E-2</v>
      </c>
      <c r="S104" s="802">
        <f t="shared" si="55"/>
        <v>0</v>
      </c>
      <c r="T104" s="172">
        <f t="shared" si="34"/>
        <v>6</v>
      </c>
      <c r="U104" s="247">
        <f t="shared" si="35"/>
        <v>1.8804935216240198E-2</v>
      </c>
      <c r="V104" s="378">
        <f t="shared" si="36"/>
        <v>51.235948862269929</v>
      </c>
      <c r="W104" s="58"/>
      <c r="X104" s="153">
        <f t="shared" si="37"/>
        <v>44651</v>
      </c>
      <c r="Y104" s="380">
        <f t="shared" si="38"/>
        <v>28.149000000000001</v>
      </c>
      <c r="Z104" s="380">
        <f t="shared" si="39"/>
        <v>28.198752622856833</v>
      </c>
      <c r="AA104" s="381">
        <f t="shared" si="40"/>
        <v>28.452162582288171</v>
      </c>
      <c r="AB104" s="193">
        <f t="shared" si="41"/>
        <v>44651</v>
      </c>
      <c r="AC104" s="420">
        <f t="shared" si="42"/>
        <v>8.9065271821934314E-3</v>
      </c>
      <c r="AD104" s="165">
        <f>(INDEX(Models!$BJ104:$BT104,,AH104)*(1-AF104)+INDEX(Models!$BJ104:$BT104,,AH104+1)*AF104-ERP_i)*AE104*Ramure*Pc/MaxiM</f>
        <v>1.0498987577586389E-6</v>
      </c>
      <c r="AE104" s="301">
        <f t="shared" si="43"/>
        <v>0.5</v>
      </c>
      <c r="AF104" s="173">
        <f t="shared" si="44"/>
        <v>1.8804935216240198E-2</v>
      </c>
      <c r="AG104" s="802">
        <f t="shared" si="45"/>
        <v>0</v>
      </c>
      <c r="AH104" s="172">
        <f t="shared" si="46"/>
        <v>6</v>
      </c>
      <c r="AI104" s="221">
        <f t="shared" si="47"/>
        <v>1.8804935216240198E-2</v>
      </c>
      <c r="AJ104" s="261" t="b">
        <f t="shared" si="48"/>
        <v>0</v>
      </c>
      <c r="AK104" s="261" t="b">
        <f t="shared" si="49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50"/>
        <v>44652</v>
      </c>
      <c r="B105" s="610">
        <v>30.961000000000002</v>
      </c>
      <c r="C105" s="385"/>
      <c r="D105" s="388">
        <f t="shared" si="51"/>
        <v>31.01614734447918</v>
      </c>
      <c r="E105" s="380">
        <f t="shared" si="52"/>
        <v>31.296967562133752</v>
      </c>
      <c r="F105" s="380">
        <f t="shared" si="53"/>
        <v>31.296982474541696</v>
      </c>
      <c r="G105" s="110">
        <f t="shared" si="54"/>
        <v>0.59928958519892495</v>
      </c>
      <c r="I105" s="375">
        <f t="shared" si="28"/>
        <v>31.296982474541696</v>
      </c>
      <c r="J105" s="85">
        <v>2022</v>
      </c>
      <c r="K105" s="193">
        <f t="shared" si="29"/>
        <v>44652</v>
      </c>
      <c r="L105" s="431">
        <f t="shared" si="30"/>
        <v>1.778020457108509E-3</v>
      </c>
      <c r="M105" s="847"/>
      <c r="N105" s="847"/>
      <c r="O105" s="320">
        <f t="shared" si="31"/>
        <v>8.9727612458638788E-3</v>
      </c>
      <c r="P105" s="165">
        <f>(INDEX(Models!$BJ105:$BT105,,T105)*(1-R105)+INDEX(Models!$BJ105:$BT105,,T105+1)*R105-ERP_i)*Q105*Ramure*Pc/MaxiM</f>
        <v>1.1144258824013407E-6</v>
      </c>
      <c r="Q105" s="301">
        <f t="shared" si="32"/>
        <v>0.5</v>
      </c>
      <c r="R105" s="173">
        <f t="shared" si="33"/>
        <v>1.9824994285525435E-2</v>
      </c>
      <c r="S105" s="802">
        <f t="shared" si="55"/>
        <v>0</v>
      </c>
      <c r="T105" s="172">
        <f t="shared" si="34"/>
        <v>6</v>
      </c>
      <c r="U105" s="247">
        <f t="shared" si="35"/>
        <v>1.9824994285525435E-2</v>
      </c>
      <c r="V105" s="378">
        <f t="shared" si="36"/>
        <v>51.662803781735356</v>
      </c>
      <c r="W105" s="58"/>
      <c r="X105" s="153">
        <f t="shared" si="37"/>
        <v>44652</v>
      </c>
      <c r="Y105" s="380">
        <f t="shared" si="38"/>
        <v>30.961000000000002</v>
      </c>
      <c r="Z105" s="380">
        <f t="shared" si="39"/>
        <v>31.01614734447918</v>
      </c>
      <c r="AA105" s="381">
        <f t="shared" si="40"/>
        <v>31.296967562133752</v>
      </c>
      <c r="AB105" s="193">
        <f t="shared" si="41"/>
        <v>44652</v>
      </c>
      <c r="AC105" s="420">
        <f t="shared" si="42"/>
        <v>8.9727612458638788E-3</v>
      </c>
      <c r="AD105" s="165">
        <f>(INDEX(Models!$BJ105:$BT105,,AH105)*(1-AF105)+INDEX(Models!$BJ105:$BT105,,AH105+1)*AF105-ERP_i)*AE105*Ramure*Pc/MaxiM</f>
        <v>1.1144258824013407E-6</v>
      </c>
      <c r="AE105" s="301">
        <f t="shared" si="43"/>
        <v>0.5</v>
      </c>
      <c r="AF105" s="173">
        <f t="shared" si="44"/>
        <v>1.9824994285525435E-2</v>
      </c>
      <c r="AG105" s="802">
        <f t="shared" si="45"/>
        <v>0</v>
      </c>
      <c r="AH105" s="172">
        <f t="shared" si="46"/>
        <v>6</v>
      </c>
      <c r="AI105" s="221">
        <f t="shared" si="47"/>
        <v>1.9824994285525435E-2</v>
      </c>
      <c r="AJ105" s="261" t="b">
        <f t="shared" si="48"/>
        <v>0</v>
      </c>
      <c r="AK105" s="261" t="b">
        <f t="shared" si="49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50"/>
        <v>44653</v>
      </c>
      <c r="B106" s="610">
        <v>21.099</v>
      </c>
      <c r="C106" s="385"/>
      <c r="D106" s="388">
        <f t="shared" si="51"/>
        <v>21.136870619907178</v>
      </c>
      <c r="E106" s="380">
        <f t="shared" si="52"/>
        <v>21.329670355404645</v>
      </c>
      <c r="F106" s="380">
        <f t="shared" si="53"/>
        <v>21.329674123347726</v>
      </c>
      <c r="G106" s="110">
        <f t="shared" si="54"/>
        <v>0.40514279219355148</v>
      </c>
      <c r="I106" s="375">
        <f t="shared" si="28"/>
        <v>21.329674123347726</v>
      </c>
      <c r="J106" s="85">
        <v>2022</v>
      </c>
      <c r="K106" s="193">
        <f t="shared" si="29"/>
        <v>44653</v>
      </c>
      <c r="L106" s="431">
        <f t="shared" si="30"/>
        <v>1.7916852777397629E-3</v>
      </c>
      <c r="M106" s="847"/>
      <c r="N106" s="847"/>
      <c r="O106" s="320">
        <f t="shared" si="31"/>
        <v>9.0390396234424717E-3</v>
      </c>
      <c r="P106" s="165">
        <f>(INDEX(Models!$BJ106:$BT106,,T106)*(1-R106)+INDEX(Models!$BJ106:$BT106,,T106+1)*R106-ERP_i)*Q106*Ramure*Pc/MaxiM</f>
        <v>1.1760802990564489E-6</v>
      </c>
      <c r="Q106" s="301">
        <f t="shared" si="32"/>
        <v>0.5</v>
      </c>
      <c r="R106" s="173">
        <f t="shared" si="33"/>
        <v>2.0883198334964798E-2</v>
      </c>
      <c r="S106" s="802">
        <f t="shared" si="55"/>
        <v>0</v>
      </c>
      <c r="T106" s="172">
        <f t="shared" si="34"/>
        <v>6</v>
      </c>
      <c r="U106" s="247">
        <f t="shared" si="35"/>
        <v>2.0883198334964798E-2</v>
      </c>
      <c r="V106" s="378">
        <f t="shared" si="36"/>
        <v>52.077882957849049</v>
      </c>
      <c r="W106" s="58"/>
      <c r="X106" s="153">
        <f t="shared" si="37"/>
        <v>44653</v>
      </c>
      <c r="Y106" s="380">
        <f t="shared" si="38"/>
        <v>21.099</v>
      </c>
      <c r="Z106" s="380">
        <f t="shared" si="39"/>
        <v>21.136870619907178</v>
      </c>
      <c r="AA106" s="381">
        <f t="shared" si="40"/>
        <v>21.329670355404645</v>
      </c>
      <c r="AB106" s="193">
        <f t="shared" si="41"/>
        <v>44653</v>
      </c>
      <c r="AC106" s="420">
        <f t="shared" si="42"/>
        <v>9.0390396234424717E-3</v>
      </c>
      <c r="AD106" s="165">
        <f>(INDEX(Models!$BJ106:$BT106,,AH106)*(1-AF106)+INDEX(Models!$BJ106:$BT106,,AH106+1)*AF106-ERP_i)*AE106*Ramure*Pc/MaxiM</f>
        <v>1.1760802990564489E-6</v>
      </c>
      <c r="AE106" s="301">
        <f t="shared" si="43"/>
        <v>0.5</v>
      </c>
      <c r="AF106" s="173">
        <f t="shared" si="44"/>
        <v>2.0883198334964798E-2</v>
      </c>
      <c r="AG106" s="802">
        <f t="shared" si="45"/>
        <v>0</v>
      </c>
      <c r="AH106" s="172">
        <f t="shared" si="46"/>
        <v>6</v>
      </c>
      <c r="AI106" s="221">
        <f t="shared" si="47"/>
        <v>2.0883198334964798E-2</v>
      </c>
      <c r="AJ106" s="261" t="b">
        <f t="shared" si="48"/>
        <v>0</v>
      </c>
      <c r="AK106" s="261" t="b">
        <f t="shared" si="49"/>
        <v>0</v>
      </c>
      <c r="AL106" s="261"/>
      <c r="AM106" s="261"/>
      <c r="AN106" s="75"/>
    </row>
    <row r="107" spans="1:40" s="6" customFormat="1" ht="11.25" x14ac:dyDescent="0.2">
      <c r="A107" s="56">
        <f t="shared" si="50"/>
        <v>44654</v>
      </c>
      <c r="B107" s="610">
        <v>28.806000000000001</v>
      </c>
      <c r="C107" s="385"/>
      <c r="D107" s="388">
        <f t="shared" si="51"/>
        <v>28.858098966409617</v>
      </c>
      <c r="E107" s="380">
        <f t="shared" si="52"/>
        <v>29.123277102922909</v>
      </c>
      <c r="F107" s="380">
        <f t="shared" si="53"/>
        <v>29.123289882556353</v>
      </c>
      <c r="G107" s="110">
        <f t="shared" si="54"/>
        <v>0.54885257106438157</v>
      </c>
      <c r="I107" s="375">
        <f t="shared" si="28"/>
        <v>29.123289882556353</v>
      </c>
      <c r="J107" s="85">
        <v>2022</v>
      </c>
      <c r="K107" s="193">
        <f t="shared" si="29"/>
        <v>44654</v>
      </c>
      <c r="L107" s="431">
        <f t="shared" si="30"/>
        <v>1.8053499113112048E-3</v>
      </c>
      <c r="M107" s="847"/>
      <c r="N107" s="847"/>
      <c r="O107" s="320">
        <f t="shared" si="31"/>
        <v>9.1053673519000122E-3</v>
      </c>
      <c r="P107" s="165">
        <f>(INDEX(Models!$BJ107:$BT107,,T107)*(1-R107)+INDEX(Models!$BJ107:$BT107,,T107+1)*R107-ERP_i)*Q107*Ramure*Pc/MaxiM</f>
        <v>1.2343351885134431E-6</v>
      </c>
      <c r="Q107" s="301">
        <f t="shared" si="32"/>
        <v>0.5</v>
      </c>
      <c r="R107" s="173">
        <f t="shared" si="33"/>
        <v>2.1980783139778366E-2</v>
      </c>
      <c r="S107" s="802">
        <f t="shared" si="55"/>
        <v>0</v>
      </c>
      <c r="T107" s="172">
        <f t="shared" si="34"/>
        <v>6</v>
      </c>
      <c r="U107" s="247">
        <f t="shared" si="35"/>
        <v>2.1980783139778366E-2</v>
      </c>
      <c r="V107" s="378">
        <f t="shared" si="36"/>
        <v>52.483997712300969</v>
      </c>
      <c r="W107" s="58"/>
      <c r="X107" s="153">
        <f t="shared" si="37"/>
        <v>44654</v>
      </c>
      <c r="Y107" s="380">
        <f t="shared" si="38"/>
        <v>28.806000000000001</v>
      </c>
      <c r="Z107" s="380">
        <f t="shared" si="39"/>
        <v>28.858098966409617</v>
      </c>
      <c r="AA107" s="381">
        <f t="shared" si="40"/>
        <v>29.123277102922909</v>
      </c>
      <c r="AB107" s="193">
        <f t="shared" si="41"/>
        <v>44654</v>
      </c>
      <c r="AC107" s="420">
        <f t="shared" si="42"/>
        <v>9.1053673519000122E-3</v>
      </c>
      <c r="AD107" s="165">
        <f>(INDEX(Models!$BJ107:$BT107,,AH107)*(1-AF107)+INDEX(Models!$BJ107:$BT107,,AH107+1)*AF107-ERP_i)*AE107*Ramure*Pc/MaxiM</f>
        <v>1.2343351885134431E-6</v>
      </c>
      <c r="AE107" s="301">
        <f t="shared" si="43"/>
        <v>0.5</v>
      </c>
      <c r="AF107" s="173">
        <f t="shared" si="44"/>
        <v>2.1980783139778366E-2</v>
      </c>
      <c r="AG107" s="802">
        <f t="shared" si="45"/>
        <v>0</v>
      </c>
      <c r="AH107" s="172">
        <f t="shared" si="46"/>
        <v>6</v>
      </c>
      <c r="AI107" s="221">
        <f t="shared" si="47"/>
        <v>2.1980783139778366E-2</v>
      </c>
      <c r="AJ107" s="261" t="b">
        <f t="shared" si="48"/>
        <v>0</v>
      </c>
      <c r="AK107" s="261" t="b">
        <f t="shared" si="49"/>
        <v>0</v>
      </c>
      <c r="AL107" s="261"/>
      <c r="AM107" s="261"/>
      <c r="AN107" s="75"/>
    </row>
    <row r="108" spans="1:40" s="6" customFormat="1" ht="11.25" x14ac:dyDescent="0.2">
      <c r="A108" s="56">
        <f t="shared" si="50"/>
        <v>44655</v>
      </c>
      <c r="B108" s="610">
        <v>44.734999999999999</v>
      </c>
      <c r="C108" s="385"/>
      <c r="D108" s="388">
        <f t="shared" si="51"/>
        <v>44.816521896798058</v>
      </c>
      <c r="E108" s="380">
        <f t="shared" si="52"/>
        <v>45.231372715818971</v>
      </c>
      <c r="F108" s="380">
        <f t="shared" si="53"/>
        <v>45.231418078824802</v>
      </c>
      <c r="G108" s="110">
        <f t="shared" si="54"/>
        <v>0.84589692891075996</v>
      </c>
      <c r="I108" s="375">
        <f t="shared" si="28"/>
        <v>45.231418078824802</v>
      </c>
      <c r="J108" s="85">
        <v>2022</v>
      </c>
      <c r="K108" s="193">
        <f t="shared" si="29"/>
        <v>44655</v>
      </c>
      <c r="L108" s="431">
        <f t="shared" si="30"/>
        <v>1.8190143578251661E-3</v>
      </c>
      <c r="M108" s="847"/>
      <c r="N108" s="847"/>
      <c r="O108" s="320">
        <f t="shared" si="31"/>
        <v>9.1717494763501987E-3</v>
      </c>
      <c r="P108" s="165">
        <f>(INDEX(Models!$BJ108:$BT108,,T108)*(1-R108)+INDEX(Models!$BJ108:$BT108,,T108+1)*R108-ERP_i)*Q108*Ramure*Pc/MaxiM</f>
        <v>1.2860232448344364E-6</v>
      </c>
      <c r="Q108" s="301">
        <f t="shared" si="32"/>
        <v>0.5</v>
      </c>
      <c r="R108" s="173">
        <f t="shared" si="33"/>
        <v>2.3119009174631038E-2</v>
      </c>
      <c r="S108" s="802">
        <f t="shared" si="55"/>
        <v>0</v>
      </c>
      <c r="T108" s="172">
        <f t="shared" si="34"/>
        <v>6</v>
      </c>
      <c r="U108" s="247">
        <f t="shared" si="35"/>
        <v>2.3119009174631038E-2</v>
      </c>
      <c r="V108" s="378">
        <f t="shared" si="36"/>
        <v>52.884678742698725</v>
      </c>
      <c r="W108" s="58"/>
      <c r="X108" s="153">
        <f t="shared" si="37"/>
        <v>44655</v>
      </c>
      <c r="Y108" s="380">
        <f t="shared" si="38"/>
        <v>44.734999999999999</v>
      </c>
      <c r="Z108" s="380">
        <f t="shared" si="39"/>
        <v>44.816521896798058</v>
      </c>
      <c r="AA108" s="381">
        <f t="shared" si="40"/>
        <v>45.231372715818971</v>
      </c>
      <c r="AB108" s="193">
        <f t="shared" si="41"/>
        <v>44655</v>
      </c>
      <c r="AC108" s="420">
        <f t="shared" si="42"/>
        <v>9.1717494763501987E-3</v>
      </c>
      <c r="AD108" s="165">
        <f>(INDEX(Models!$BJ108:$BT108,,AH108)*(1-AF108)+INDEX(Models!$BJ108:$BT108,,AH108+1)*AF108-ERP_i)*AE108*Ramure*Pc/MaxiM</f>
        <v>1.2860232448344364E-6</v>
      </c>
      <c r="AE108" s="301">
        <f t="shared" si="43"/>
        <v>0.5</v>
      </c>
      <c r="AF108" s="173">
        <f t="shared" si="44"/>
        <v>2.3119009174631038E-2</v>
      </c>
      <c r="AG108" s="802">
        <f t="shared" si="45"/>
        <v>0</v>
      </c>
      <c r="AH108" s="172">
        <f t="shared" si="46"/>
        <v>6</v>
      </c>
      <c r="AI108" s="221">
        <f t="shared" si="47"/>
        <v>2.3119009174631038E-2</v>
      </c>
      <c r="AJ108" s="261" t="b">
        <f t="shared" si="48"/>
        <v>0</v>
      </c>
      <c r="AK108" s="261" t="b">
        <f t="shared" si="49"/>
        <v>0</v>
      </c>
      <c r="AL108" s="261"/>
      <c r="AM108" s="261"/>
      <c r="AN108" s="75"/>
    </row>
    <row r="109" spans="1:40" s="6" customFormat="1" ht="11.25" x14ac:dyDescent="0.2">
      <c r="A109" s="56">
        <f t="shared" si="50"/>
        <v>44656</v>
      </c>
      <c r="B109" s="610">
        <v>53.536999999999999</v>
      </c>
      <c r="C109" s="385"/>
      <c r="D109" s="388">
        <f t="shared" si="51"/>
        <v>53.635296260588497</v>
      </c>
      <c r="E109" s="380">
        <f t="shared" si="52"/>
        <v>54.135409515750503</v>
      </c>
      <c r="F109" s="380">
        <f t="shared" si="53"/>
        <v>54.135481479246074</v>
      </c>
      <c r="G109" s="110">
        <f t="shared" si="54"/>
        <v>1.0048310592931589</v>
      </c>
      <c r="I109" s="375">
        <f t="shared" si="28"/>
        <v>54.135481479246074</v>
      </c>
      <c r="J109" s="85">
        <v>2022</v>
      </c>
      <c r="K109" s="193">
        <f t="shared" si="29"/>
        <v>44656</v>
      </c>
      <c r="L109" s="431">
        <f t="shared" si="30"/>
        <v>1.8326786172844223E-3</v>
      </c>
      <c r="M109" s="847"/>
      <c r="N109" s="847"/>
      <c r="O109" s="320">
        <f t="shared" si="31"/>
        <v>9.2381910404963005E-3</v>
      </c>
      <c r="P109" s="165">
        <f>(INDEX(Models!$BJ109:$BT109,,T109)*(1-R109)+INDEX(Models!$BJ109:$BT109,,T109+1)*R109-ERP_i)*Q109*Ramure*Pc/MaxiM</f>
        <v>1.3293221673420596E-6</v>
      </c>
      <c r="Q109" s="301">
        <f t="shared" si="32"/>
        <v>0.5</v>
      </c>
      <c r="R109" s="173">
        <f t="shared" si="33"/>
        <v>2.4299160802649766E-2</v>
      </c>
      <c r="S109" s="802">
        <f t="shared" si="55"/>
        <v>0</v>
      </c>
      <c r="T109" s="172">
        <f t="shared" si="34"/>
        <v>6</v>
      </c>
      <c r="U109" s="247">
        <f t="shared" si="35"/>
        <v>2.4299160802649766E-2</v>
      </c>
      <c r="V109" s="378">
        <f t="shared" si="36"/>
        <v>53.279603078412229</v>
      </c>
      <c r="W109" s="58"/>
      <c r="X109" s="153">
        <f t="shared" si="37"/>
        <v>44656</v>
      </c>
      <c r="Y109" s="380">
        <f t="shared" si="38"/>
        <v>53.536999999999999</v>
      </c>
      <c r="Z109" s="380">
        <f t="shared" si="39"/>
        <v>53.635296260588497</v>
      </c>
      <c r="AA109" s="381">
        <f t="shared" si="40"/>
        <v>54.135409515750503</v>
      </c>
      <c r="AB109" s="193">
        <f t="shared" si="41"/>
        <v>44656</v>
      </c>
      <c r="AC109" s="420">
        <f t="shared" si="42"/>
        <v>9.2381910404963005E-3</v>
      </c>
      <c r="AD109" s="165">
        <f>(INDEX(Models!$BJ109:$BT109,,AH109)*(1-AF109)+INDEX(Models!$BJ109:$BT109,,AH109+1)*AF109-ERP_i)*AE109*Ramure*Pc/MaxiM</f>
        <v>1.3293221673420596E-6</v>
      </c>
      <c r="AE109" s="301">
        <f t="shared" si="43"/>
        <v>0.5</v>
      </c>
      <c r="AF109" s="173">
        <f t="shared" si="44"/>
        <v>2.4299160802649766E-2</v>
      </c>
      <c r="AG109" s="802">
        <f t="shared" si="45"/>
        <v>0</v>
      </c>
      <c r="AH109" s="172">
        <f t="shared" si="46"/>
        <v>6</v>
      </c>
      <c r="AI109" s="221">
        <f t="shared" si="47"/>
        <v>2.4299160802649766E-2</v>
      </c>
      <c r="AJ109" s="261" t="b">
        <f t="shared" si="48"/>
        <v>0</v>
      </c>
      <c r="AK109" s="261" t="b">
        <f t="shared" si="49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50"/>
        <v>44657</v>
      </c>
      <c r="B110" s="610">
        <v>13.059000000000001</v>
      </c>
      <c r="C110" s="385"/>
      <c r="D110" s="388">
        <f t="shared" si="51"/>
        <v>13.083155989419158</v>
      </c>
      <c r="E110" s="380">
        <f t="shared" si="52"/>
        <v>13.206034136650299</v>
      </c>
      <c r="F110" s="380">
        <f t="shared" si="53"/>
        <v>13.206034136650299</v>
      </c>
      <c r="G110" s="110">
        <f t="shared" si="54"/>
        <v>0.24332699621115017</v>
      </c>
      <c r="I110" s="375">
        <f t="shared" si="28"/>
        <v>13.206034136650299</v>
      </c>
      <c r="J110" s="85">
        <v>2022</v>
      </c>
      <c r="K110" s="193">
        <f t="shared" si="29"/>
        <v>44657</v>
      </c>
      <c r="L110" s="431">
        <f t="shared" si="30"/>
        <v>1.8463426896914159E-3</v>
      </c>
      <c r="M110" s="847"/>
      <c r="N110" s="847"/>
      <c r="O110" s="320">
        <f t="shared" si="31"/>
        <v>9.3046970770824331E-3</v>
      </c>
      <c r="P110" s="165">
        <f>(INDEX(Models!$BJ110:$BT110,,T110)*(1-R110)+INDEX(Models!$BJ110:$BT110,,T110+1)*R110-ERP_i)*Q110*Ramure*Pc/MaxiM</f>
        <v>1.3631900424110028E-6</v>
      </c>
      <c r="Q110" s="301">
        <f t="shared" si="32"/>
        <v>0.5</v>
      </c>
      <c r="R110" s="173">
        <f t="shared" si="33"/>
        <v>2.5522545325689969E-2</v>
      </c>
      <c r="S110" s="802">
        <f t="shared" si="55"/>
        <v>0</v>
      </c>
      <c r="T110" s="172">
        <f t="shared" si="34"/>
        <v>6</v>
      </c>
      <c r="U110" s="247">
        <f t="shared" si="35"/>
        <v>2.5522545325689969E-2</v>
      </c>
      <c r="V110" s="378">
        <f t="shared" si="36"/>
        <v>53.668447814845557</v>
      </c>
      <c r="W110" s="58"/>
      <c r="X110" s="153">
        <f t="shared" si="37"/>
        <v>44657</v>
      </c>
      <c r="Y110" s="380">
        <f t="shared" si="38"/>
        <v>13.059000000000001</v>
      </c>
      <c r="Z110" s="380">
        <f t="shared" si="39"/>
        <v>13.083155989419158</v>
      </c>
      <c r="AA110" s="381">
        <f t="shared" si="40"/>
        <v>13.206034136650299</v>
      </c>
      <c r="AB110" s="193">
        <f t="shared" si="41"/>
        <v>44657</v>
      </c>
      <c r="AC110" s="420">
        <f t="shared" si="42"/>
        <v>9.3046970770824331E-3</v>
      </c>
      <c r="AD110" s="165">
        <f>(INDEX(Models!$BJ110:$BT110,,AH110)*(1-AF110)+INDEX(Models!$BJ110:$BT110,,AH110+1)*AF110-ERP_i)*AE110*Ramure*Pc/MaxiM</f>
        <v>1.3631900424110028E-6</v>
      </c>
      <c r="AE110" s="301">
        <f t="shared" si="43"/>
        <v>0.5</v>
      </c>
      <c r="AF110" s="173">
        <f t="shared" si="44"/>
        <v>2.5522545325689969E-2</v>
      </c>
      <c r="AG110" s="802">
        <f t="shared" si="45"/>
        <v>0</v>
      </c>
      <c r="AH110" s="172">
        <f t="shared" si="46"/>
        <v>6</v>
      </c>
      <c r="AI110" s="221">
        <f t="shared" si="47"/>
        <v>2.5522545325689969E-2</v>
      </c>
      <c r="AJ110" s="261" t="b">
        <f t="shared" si="48"/>
        <v>0</v>
      </c>
      <c r="AK110" s="261" t="b">
        <f t="shared" si="49"/>
        <v>0</v>
      </c>
      <c r="AL110" s="261"/>
      <c r="AM110" s="261"/>
      <c r="AN110" s="75"/>
    </row>
    <row r="111" spans="1:40" s="6" customFormat="1" ht="11.25" x14ac:dyDescent="0.2">
      <c r="A111" s="56">
        <f t="shared" si="50"/>
        <v>44658</v>
      </c>
      <c r="B111" s="610">
        <v>44.264000000000003</v>
      </c>
      <c r="C111" s="385"/>
      <c r="D111" s="388">
        <f t="shared" si="51"/>
        <v>44.346484753221297</v>
      </c>
      <c r="E111" s="380">
        <f t="shared" si="52"/>
        <v>44.765999134244474</v>
      </c>
      <c r="F111" s="380">
        <f t="shared" si="53"/>
        <v>44.766045147251283</v>
      </c>
      <c r="G111" s="110">
        <f t="shared" si="54"/>
        <v>0.81893164029085308</v>
      </c>
      <c r="I111" s="375">
        <f t="shared" si="28"/>
        <v>44.766045147251283</v>
      </c>
      <c r="J111" s="85">
        <v>2022</v>
      </c>
      <c r="K111" s="193">
        <f t="shared" si="29"/>
        <v>44658</v>
      </c>
      <c r="L111" s="431">
        <f t="shared" si="30"/>
        <v>1.8600065750488115E-3</v>
      </c>
      <c r="M111" s="847"/>
      <c r="N111" s="847"/>
      <c r="O111" s="320">
        <f t="shared" si="31"/>
        <v>9.371272598320218E-3</v>
      </c>
      <c r="P111" s="165">
        <f>(INDEX(Models!$BJ111:$BT111,,T111)*(1-R111)+INDEX(Models!$BJ111:$BT111,,T111+1)*R111-ERP_i)*Q111*Ramure*Pc/MaxiM</f>
        <v>1.3864988974620276E-6</v>
      </c>
      <c r="Q111" s="301">
        <f t="shared" si="32"/>
        <v>0.5</v>
      </c>
      <c r="R111" s="173">
        <f t="shared" si="33"/>
        <v>2.6790491886638977E-2</v>
      </c>
      <c r="S111" s="802">
        <f t="shared" si="55"/>
        <v>0</v>
      </c>
      <c r="T111" s="172">
        <f t="shared" si="34"/>
        <v>6</v>
      </c>
      <c r="U111" s="247">
        <f t="shared" si="35"/>
        <v>2.6790491886638977E-2</v>
      </c>
      <c r="V111" s="378">
        <f t="shared" si="36"/>
        <v>54.050890144203947</v>
      </c>
      <c r="W111" s="58"/>
      <c r="X111" s="153">
        <f t="shared" si="37"/>
        <v>44658</v>
      </c>
      <c r="Y111" s="380">
        <f t="shared" si="38"/>
        <v>44.264000000000003</v>
      </c>
      <c r="Z111" s="380">
        <f t="shared" si="39"/>
        <v>44.346484753221297</v>
      </c>
      <c r="AA111" s="381">
        <f t="shared" si="40"/>
        <v>44.765999134244474</v>
      </c>
      <c r="AB111" s="193">
        <f t="shared" si="41"/>
        <v>44658</v>
      </c>
      <c r="AC111" s="420">
        <f t="shared" si="42"/>
        <v>9.371272598320218E-3</v>
      </c>
      <c r="AD111" s="165">
        <f>(INDEX(Models!$BJ111:$BT111,,AH111)*(1-AF111)+INDEX(Models!$BJ111:$BT111,,AH111+1)*AF111-ERP_i)*AE111*Ramure*Pc/MaxiM</f>
        <v>1.3864988974620276E-6</v>
      </c>
      <c r="AE111" s="301">
        <f t="shared" si="43"/>
        <v>0.5</v>
      </c>
      <c r="AF111" s="173">
        <f t="shared" si="44"/>
        <v>2.6790491886638977E-2</v>
      </c>
      <c r="AG111" s="802">
        <f t="shared" si="45"/>
        <v>0</v>
      </c>
      <c r="AH111" s="172">
        <f t="shared" si="46"/>
        <v>6</v>
      </c>
      <c r="AI111" s="221">
        <f t="shared" si="47"/>
        <v>2.6790491886638977E-2</v>
      </c>
      <c r="AJ111" s="261" t="b">
        <f t="shared" si="48"/>
        <v>0</v>
      </c>
      <c r="AK111" s="261" t="b">
        <f t="shared" si="49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50"/>
        <v>44659</v>
      </c>
      <c r="B112" s="610">
        <v>37.704999999999998</v>
      </c>
      <c r="C112" s="385"/>
      <c r="D112" s="388">
        <f t="shared" si="51"/>
        <v>37.775779354830107</v>
      </c>
      <c r="E112" s="380">
        <f t="shared" si="52"/>
        <v>38.135701150056939</v>
      </c>
      <c r="F112" s="380">
        <f t="shared" si="53"/>
        <v>38.135731064829805</v>
      </c>
      <c r="G112" s="110">
        <f t="shared" si="54"/>
        <v>0.6927673556080457</v>
      </c>
      <c r="I112" s="375">
        <f t="shared" si="28"/>
        <v>38.135731064829805</v>
      </c>
      <c r="J112" s="85">
        <v>2022</v>
      </c>
      <c r="K112" s="193">
        <f t="shared" si="29"/>
        <v>44659</v>
      </c>
      <c r="L112" s="431">
        <f t="shared" si="30"/>
        <v>1.8736702733589405E-3</v>
      </c>
      <c r="M112" s="847"/>
      <c r="N112" s="847"/>
      <c r="O112" s="320">
        <f t="shared" si="31"/>
        <v>9.437922586256E-3</v>
      </c>
      <c r="P112" s="165">
        <f>(INDEX(Models!$BJ112:$BT112,,T112)*(1-R112)+INDEX(Models!$BJ112:$BT112,,T112+1)*R112-ERP_i)*Q112*Ramure*Pc/MaxiM</f>
        <v>1.39802783628899E-6</v>
      </c>
      <c r="Q112" s="301">
        <f t="shared" si="32"/>
        <v>0.5</v>
      </c>
      <c r="R112" s="173">
        <f t="shared" si="33"/>
        <v>2.810435021438256E-2</v>
      </c>
      <c r="S112" s="802">
        <f t="shared" si="55"/>
        <v>0</v>
      </c>
      <c r="T112" s="172">
        <f t="shared" si="34"/>
        <v>6</v>
      </c>
      <c r="U112" s="247">
        <f t="shared" si="35"/>
        <v>2.810435021438256E-2</v>
      </c>
      <c r="V112" s="378">
        <f t="shared" si="36"/>
        <v>54.426607372605417</v>
      </c>
      <c r="W112" s="58"/>
      <c r="X112" s="153">
        <f t="shared" si="37"/>
        <v>44659</v>
      </c>
      <c r="Y112" s="380">
        <f t="shared" si="38"/>
        <v>37.704999999999998</v>
      </c>
      <c r="Z112" s="380">
        <f t="shared" si="39"/>
        <v>37.775779354830107</v>
      </c>
      <c r="AA112" s="381">
        <f t="shared" si="40"/>
        <v>38.135701150056939</v>
      </c>
      <c r="AB112" s="193">
        <f t="shared" si="41"/>
        <v>44659</v>
      </c>
      <c r="AC112" s="420">
        <f t="shared" si="42"/>
        <v>9.437922586256E-3</v>
      </c>
      <c r="AD112" s="165">
        <f>(INDEX(Models!$BJ112:$BT112,,AH112)*(1-AF112)+INDEX(Models!$BJ112:$BT112,,AH112+1)*AF112-ERP_i)*AE112*Ramure*Pc/MaxiM</f>
        <v>1.39802783628899E-6</v>
      </c>
      <c r="AE112" s="301">
        <f t="shared" si="43"/>
        <v>0.5</v>
      </c>
      <c r="AF112" s="173">
        <f t="shared" si="44"/>
        <v>2.810435021438256E-2</v>
      </c>
      <c r="AG112" s="802">
        <f t="shared" si="45"/>
        <v>0</v>
      </c>
      <c r="AH112" s="172">
        <f t="shared" si="46"/>
        <v>6</v>
      </c>
      <c r="AI112" s="221">
        <f t="shared" si="47"/>
        <v>2.810435021438256E-2</v>
      </c>
      <c r="AJ112" s="261" t="b">
        <f t="shared" si="48"/>
        <v>0</v>
      </c>
      <c r="AK112" s="261" t="b">
        <f t="shared" si="49"/>
        <v>0</v>
      </c>
      <c r="AL112" s="261"/>
      <c r="AM112" s="261"/>
      <c r="AN112" s="75"/>
    </row>
    <row r="113" spans="1:40" s="6" customFormat="1" ht="11.25" x14ac:dyDescent="0.2">
      <c r="A113" s="56">
        <f t="shared" si="50"/>
        <v>44660</v>
      </c>
      <c r="B113" s="610">
        <v>35.076999999999998</v>
      </c>
      <c r="C113" s="385"/>
      <c r="D113" s="388">
        <f t="shared" si="51"/>
        <v>35.14332718870736</v>
      </c>
      <c r="E113" s="380">
        <f t="shared" si="52"/>
        <v>35.480557540292011</v>
      </c>
      <c r="F113" s="380">
        <f t="shared" si="53"/>
        <v>35.480581616370678</v>
      </c>
      <c r="G113" s="110">
        <f t="shared" si="54"/>
        <v>0.64014595406523178</v>
      </c>
      <c r="I113" s="375">
        <f t="shared" si="28"/>
        <v>35.480581616370678</v>
      </c>
      <c r="J113" s="85">
        <v>2022</v>
      </c>
      <c r="K113" s="193">
        <f t="shared" si="29"/>
        <v>44660</v>
      </c>
      <c r="L113" s="431">
        <f t="shared" si="30"/>
        <v>1.8873337846245786E-3</v>
      </c>
      <c r="M113" s="847"/>
      <c r="N113" s="847"/>
      <c r="O113" s="320">
        <f t="shared" si="31"/>
        <v>9.5046519830386707E-3</v>
      </c>
      <c r="P113" s="165">
        <f>(INDEX(Models!$BJ113:$BT113,,T113)*(1-R113)+INDEX(Models!$BJ113:$BT113,,T113+1)*R113-ERP_i)*Q113*Ramure*Pc/MaxiM</f>
        <v>1.396455712659035E-6</v>
      </c>
      <c r="Q113" s="301">
        <f t="shared" si="32"/>
        <v>0.5</v>
      </c>
      <c r="R113" s="173">
        <f t="shared" si="33"/>
        <v>2.9465489201948594E-2</v>
      </c>
      <c r="S113" s="802">
        <f t="shared" si="55"/>
        <v>0</v>
      </c>
      <c r="T113" s="172">
        <f t="shared" si="34"/>
        <v>6</v>
      </c>
      <c r="U113" s="247">
        <f t="shared" si="35"/>
        <v>2.9465489201948594E-2</v>
      </c>
      <c r="V113" s="378">
        <f t="shared" si="36"/>
        <v>54.795276914538682</v>
      </c>
      <c r="W113" s="58"/>
      <c r="X113" s="153">
        <f t="shared" si="37"/>
        <v>44660</v>
      </c>
      <c r="Y113" s="380">
        <f t="shared" si="38"/>
        <v>35.076999999999998</v>
      </c>
      <c r="Z113" s="380">
        <f t="shared" si="39"/>
        <v>35.14332718870736</v>
      </c>
      <c r="AA113" s="381">
        <f t="shared" si="40"/>
        <v>35.480557540292011</v>
      </c>
      <c r="AB113" s="193">
        <f t="shared" si="41"/>
        <v>44660</v>
      </c>
      <c r="AC113" s="420">
        <f t="shared" si="42"/>
        <v>9.5046519830386707E-3</v>
      </c>
      <c r="AD113" s="165">
        <f>(INDEX(Models!$BJ113:$BT113,,AH113)*(1-AF113)+INDEX(Models!$BJ113:$BT113,,AH113+1)*AF113-ERP_i)*AE113*Ramure*Pc/MaxiM</f>
        <v>1.396455712659035E-6</v>
      </c>
      <c r="AE113" s="301">
        <f t="shared" si="43"/>
        <v>0.5</v>
      </c>
      <c r="AF113" s="173">
        <f t="shared" si="44"/>
        <v>2.9465489201948594E-2</v>
      </c>
      <c r="AG113" s="802">
        <f t="shared" si="45"/>
        <v>0</v>
      </c>
      <c r="AH113" s="172">
        <f t="shared" si="46"/>
        <v>6</v>
      </c>
      <c r="AI113" s="221">
        <f t="shared" si="47"/>
        <v>2.9465489201948594E-2</v>
      </c>
      <c r="AJ113" s="261" t="b">
        <f t="shared" si="48"/>
        <v>0</v>
      </c>
      <c r="AK113" s="261" t="b">
        <f t="shared" si="49"/>
        <v>0</v>
      </c>
      <c r="AL113" s="261"/>
      <c r="AM113" s="261"/>
      <c r="AN113" s="75"/>
    </row>
    <row r="114" spans="1:40" s="6" customFormat="1" ht="11.25" x14ac:dyDescent="0.2">
      <c r="A114" s="56">
        <f t="shared" si="50"/>
        <v>44661</v>
      </c>
      <c r="B114" s="610">
        <v>57.469000000000001</v>
      </c>
      <c r="C114" s="385"/>
      <c r="D114" s="388">
        <f t="shared" si="51"/>
        <v>57.578456479299092</v>
      </c>
      <c r="E114" s="380">
        <f t="shared" si="52"/>
        <v>58.134892608775154</v>
      </c>
      <c r="F114" s="380">
        <f t="shared" si="53"/>
        <v>58.134973098692676</v>
      </c>
      <c r="G114" s="110">
        <f t="shared" si="54"/>
        <v>1.0419247187108809</v>
      </c>
      <c r="I114" s="375">
        <f t="shared" si="28"/>
        <v>58.134973098692676</v>
      </c>
      <c r="J114" s="85">
        <v>2022</v>
      </c>
      <c r="K114" s="193">
        <f t="shared" si="29"/>
        <v>44661</v>
      </c>
      <c r="L114" s="431">
        <f t="shared" si="30"/>
        <v>1.9009971088482791E-3</v>
      </c>
      <c r="M114" s="847"/>
      <c r="N114" s="847"/>
      <c r="O114" s="320">
        <f t="shared" si="31"/>
        <v>9.5714656810437868E-3</v>
      </c>
      <c r="P114" s="165">
        <f>(INDEX(Models!$BJ114:$BT114,,T114)*(1-R114)+INDEX(Models!$BJ114:$BT114,,T114+1)*R114-ERP_i)*Q114*Ramure*Pc/MaxiM</f>
        <v>1.3845352158071207E-6</v>
      </c>
      <c r="Q114" s="301">
        <f t="shared" si="32"/>
        <v>0.5</v>
      </c>
      <c r="R114" s="173">
        <f t="shared" si="33"/>
        <v>3.0875295308291119E-2</v>
      </c>
      <c r="S114" s="802">
        <f t="shared" si="55"/>
        <v>0</v>
      </c>
      <c r="T114" s="172">
        <f t="shared" si="34"/>
        <v>6</v>
      </c>
      <c r="U114" s="247">
        <f t="shared" si="35"/>
        <v>3.0875295308291119E-2</v>
      </c>
      <c r="V114" s="378">
        <f t="shared" si="36"/>
        <v>55.156576063483165</v>
      </c>
      <c r="W114" s="58"/>
      <c r="X114" s="153">
        <f t="shared" si="37"/>
        <v>44661</v>
      </c>
      <c r="Y114" s="380">
        <f t="shared" si="38"/>
        <v>57.469000000000001</v>
      </c>
      <c r="Z114" s="380">
        <f t="shared" si="39"/>
        <v>57.578456479299092</v>
      </c>
      <c r="AA114" s="381">
        <f t="shared" si="40"/>
        <v>58.134892608775154</v>
      </c>
      <c r="AB114" s="193">
        <f t="shared" si="41"/>
        <v>44661</v>
      </c>
      <c r="AC114" s="420">
        <f t="shared" si="42"/>
        <v>9.5714656810437868E-3</v>
      </c>
      <c r="AD114" s="165">
        <f>(INDEX(Models!$BJ114:$BT114,,AH114)*(1-AF114)+INDEX(Models!$BJ114:$BT114,,AH114+1)*AF114-ERP_i)*AE114*Ramure*Pc/MaxiM</f>
        <v>1.3845352158071207E-6</v>
      </c>
      <c r="AE114" s="301">
        <f t="shared" si="43"/>
        <v>0.5</v>
      </c>
      <c r="AF114" s="173">
        <f t="shared" si="44"/>
        <v>3.0875295308291119E-2</v>
      </c>
      <c r="AG114" s="802">
        <f t="shared" si="45"/>
        <v>0</v>
      </c>
      <c r="AH114" s="172">
        <f t="shared" si="46"/>
        <v>6</v>
      </c>
      <c r="AI114" s="221">
        <f t="shared" si="47"/>
        <v>3.0875295308291119E-2</v>
      </c>
      <c r="AJ114" s="261" t="b">
        <f t="shared" si="48"/>
        <v>0</v>
      </c>
      <c r="AK114" s="261" t="b">
        <f t="shared" si="49"/>
        <v>0</v>
      </c>
      <c r="AL114" s="261"/>
      <c r="AM114" s="261"/>
      <c r="AN114" s="75"/>
    </row>
    <row r="115" spans="1:40" s="6" customFormat="1" ht="11.25" x14ac:dyDescent="0.2">
      <c r="A115" s="56">
        <f t="shared" si="50"/>
        <v>44662</v>
      </c>
      <c r="B115" s="610">
        <v>46.363</v>
      </c>
      <c r="C115" s="385"/>
      <c r="D115" s="388">
        <f t="shared" si="51"/>
        <v>46.451939682260722</v>
      </c>
      <c r="E115" s="380">
        <f t="shared" si="52"/>
        <v>46.904017891429618</v>
      </c>
      <c r="F115" s="380">
        <f t="shared" si="53"/>
        <v>46.904067064445634</v>
      </c>
      <c r="G115" s="110">
        <f t="shared" si="54"/>
        <v>0.83521587336431424</v>
      </c>
      <c r="I115" s="375">
        <f t="shared" si="28"/>
        <v>46.904067064445634</v>
      </c>
      <c r="J115" s="85">
        <v>2022</v>
      </c>
      <c r="K115" s="193">
        <f t="shared" si="29"/>
        <v>44662</v>
      </c>
      <c r="L115" s="431">
        <f t="shared" si="30"/>
        <v>1.9146602460324846E-3</v>
      </c>
      <c r="M115" s="847"/>
      <c r="N115" s="847"/>
      <c r="O115" s="320">
        <f t="shared" si="31"/>
        <v>9.6383685128071106E-3</v>
      </c>
      <c r="P115" s="165">
        <f>(INDEX(Models!$BJ115:$BT115,,T115)*(1-R115)+INDEX(Models!$BJ115:$BT115,,T115+1)*R115-ERP_i)*Q115*Ramure*Pc/MaxiM</f>
        <v>1.3711506705913551E-6</v>
      </c>
      <c r="Q115" s="301">
        <f t="shared" si="32"/>
        <v>0.5</v>
      </c>
      <c r="R115" s="173">
        <f t="shared" si="33"/>
        <v>3.2335170774188224E-2</v>
      </c>
      <c r="S115" s="802">
        <f t="shared" si="55"/>
        <v>0</v>
      </c>
      <c r="T115" s="172">
        <f t="shared" si="34"/>
        <v>6</v>
      </c>
      <c r="U115" s="247">
        <f t="shared" si="35"/>
        <v>3.2335170774188224E-2</v>
      </c>
      <c r="V115" s="378">
        <f t="shared" si="36"/>
        <v>55.510181874713794</v>
      </c>
      <c r="W115" s="58"/>
      <c r="X115" s="153">
        <f t="shared" si="37"/>
        <v>44662</v>
      </c>
      <c r="Y115" s="380">
        <f t="shared" si="38"/>
        <v>46.363</v>
      </c>
      <c r="Z115" s="380">
        <f t="shared" si="39"/>
        <v>46.451939682260722</v>
      </c>
      <c r="AA115" s="381">
        <f t="shared" si="40"/>
        <v>46.904017891429618</v>
      </c>
      <c r="AB115" s="193">
        <f t="shared" si="41"/>
        <v>44662</v>
      </c>
      <c r="AC115" s="420">
        <f t="shared" si="42"/>
        <v>9.6383685128071106E-3</v>
      </c>
      <c r="AD115" s="165">
        <f>(INDEX(Models!$BJ115:$BT115,,AH115)*(1-AF115)+INDEX(Models!$BJ115:$BT115,,AH115+1)*AF115-ERP_i)*AE115*Ramure*Pc/MaxiM</f>
        <v>1.3711506705913551E-6</v>
      </c>
      <c r="AE115" s="301">
        <f t="shared" si="43"/>
        <v>0.5</v>
      </c>
      <c r="AF115" s="173">
        <f t="shared" si="44"/>
        <v>3.2335170774188224E-2</v>
      </c>
      <c r="AG115" s="802">
        <f t="shared" si="45"/>
        <v>0</v>
      </c>
      <c r="AH115" s="172">
        <f t="shared" si="46"/>
        <v>6</v>
      </c>
      <c r="AI115" s="221">
        <f t="shared" si="47"/>
        <v>3.2335170774188224E-2</v>
      </c>
      <c r="AJ115" s="261" t="b">
        <f t="shared" si="48"/>
        <v>0</v>
      </c>
      <c r="AK115" s="261" t="b">
        <f t="shared" si="49"/>
        <v>0</v>
      </c>
      <c r="AL115" s="261"/>
      <c r="AM115" s="261"/>
      <c r="AN115" s="75"/>
    </row>
    <row r="116" spans="1:40" s="6" customFormat="1" ht="11.25" x14ac:dyDescent="0.2">
      <c r="A116" s="56">
        <f t="shared" si="50"/>
        <v>44663</v>
      </c>
      <c r="B116" s="610">
        <v>38.683999999999997</v>
      </c>
      <c r="C116" s="385"/>
      <c r="D116" s="388">
        <f t="shared" si="51"/>
        <v>38.758739376193802</v>
      </c>
      <c r="E116" s="380">
        <f t="shared" si="52"/>
        <v>39.138593723286384</v>
      </c>
      <c r="F116" s="380">
        <f t="shared" si="53"/>
        <v>39.138623490789477</v>
      </c>
      <c r="G116" s="110">
        <f t="shared" si="54"/>
        <v>0.69256901438543383</v>
      </c>
      <c r="I116" s="375">
        <f t="shared" si="28"/>
        <v>39.138623490789477</v>
      </c>
      <c r="J116" s="85">
        <v>2022</v>
      </c>
      <c r="K116" s="193">
        <f t="shared" si="29"/>
        <v>44663</v>
      </c>
      <c r="L116" s="431">
        <f t="shared" si="30"/>
        <v>1.9283231961798597E-3</v>
      </c>
      <c r="M116" s="847"/>
      <c r="N116" s="847"/>
      <c r="O116" s="320">
        <f t="shared" si="31"/>
        <v>9.7053652407182636E-3</v>
      </c>
      <c r="P116" s="165">
        <f>(INDEX(Models!$BJ116:$BT116,,T116)*(1-R116)+INDEX(Models!$BJ116:$BT116,,T116+1)*R116-ERP_i)*Q116*Ramure*Pc/MaxiM</f>
        <v>1.3561834060270498E-6</v>
      </c>
      <c r="Q116" s="301">
        <f t="shared" si="32"/>
        <v>0.5</v>
      </c>
      <c r="R116" s="173">
        <f t="shared" si="33"/>
        <v>3.3846531642816549E-2</v>
      </c>
      <c r="S116" s="802">
        <f t="shared" si="55"/>
        <v>0</v>
      </c>
      <c r="T116" s="172">
        <f t="shared" si="34"/>
        <v>6</v>
      </c>
      <c r="U116" s="247">
        <f t="shared" si="35"/>
        <v>3.3846531642816549E-2</v>
      </c>
      <c r="V116" s="378">
        <f t="shared" si="36"/>
        <v>55.855771996156406</v>
      </c>
      <c r="W116" s="58"/>
      <c r="X116" s="153">
        <f t="shared" si="37"/>
        <v>44663</v>
      </c>
      <c r="Y116" s="380">
        <f t="shared" si="38"/>
        <v>38.683999999999997</v>
      </c>
      <c r="Z116" s="380">
        <f t="shared" si="39"/>
        <v>38.758739376193802</v>
      </c>
      <c r="AA116" s="381">
        <f t="shared" si="40"/>
        <v>39.138593723286384</v>
      </c>
      <c r="AB116" s="193">
        <f t="shared" si="41"/>
        <v>44663</v>
      </c>
      <c r="AC116" s="420">
        <f t="shared" si="42"/>
        <v>9.7053652407182636E-3</v>
      </c>
      <c r="AD116" s="165">
        <f>(INDEX(Models!$BJ116:$BT116,,AH116)*(1-AF116)+INDEX(Models!$BJ116:$BT116,,AH116+1)*AF116-ERP_i)*AE116*Ramure*Pc/MaxiM</f>
        <v>1.3561834060270498E-6</v>
      </c>
      <c r="AE116" s="301">
        <f t="shared" si="43"/>
        <v>0.5</v>
      </c>
      <c r="AF116" s="173">
        <f t="shared" si="44"/>
        <v>3.3846531642816549E-2</v>
      </c>
      <c r="AG116" s="802">
        <f t="shared" si="45"/>
        <v>0</v>
      </c>
      <c r="AH116" s="172">
        <f t="shared" si="46"/>
        <v>6</v>
      </c>
      <c r="AI116" s="221">
        <f t="shared" si="47"/>
        <v>3.3846531642816549E-2</v>
      </c>
      <c r="AJ116" s="261" t="b">
        <f t="shared" si="48"/>
        <v>0</v>
      </c>
      <c r="AK116" s="261" t="b">
        <f t="shared" si="49"/>
        <v>0</v>
      </c>
      <c r="AL116" s="261"/>
      <c r="AM116" s="261"/>
      <c r="AN116" s="75"/>
    </row>
    <row r="117" spans="1:40" s="6" customFormat="1" ht="11.25" x14ac:dyDescent="0.2">
      <c r="A117" s="56">
        <f t="shared" si="50"/>
        <v>44664</v>
      </c>
      <c r="B117" s="610">
        <v>8.9450000000000003</v>
      </c>
      <c r="C117" s="385"/>
      <c r="D117" s="388">
        <f t="shared" si="51"/>
        <v>8.9624048644081782</v>
      </c>
      <c r="E117" s="380">
        <f t="shared" si="52"/>
        <v>9.0508539778178534</v>
      </c>
      <c r="F117" s="380">
        <f t="shared" si="53"/>
        <v>9.0508539778178534</v>
      </c>
      <c r="G117" s="110">
        <f t="shared" si="54"/>
        <v>0.15918324645427892</v>
      </c>
      <c r="I117" s="375">
        <f t="shared" si="28"/>
        <v>9.0508539778178534</v>
      </c>
      <c r="J117" s="85">
        <v>2022</v>
      </c>
      <c r="K117" s="193">
        <f t="shared" si="29"/>
        <v>44664</v>
      </c>
      <c r="L117" s="431">
        <f t="shared" si="30"/>
        <v>1.9419859592928468E-3</v>
      </c>
      <c r="M117" s="847"/>
      <c r="N117" s="847"/>
      <c r="O117" s="320">
        <f t="shared" si="31"/>
        <v>9.7724605464247199E-3</v>
      </c>
      <c r="P117" s="165">
        <f>(INDEX(Models!$BJ117:$BT117,,T117)*(1-R117)+INDEX(Models!$BJ117:$BT117,,T117+1)*R117-ERP_i)*Q117*Ramure*Pc/MaxiM</f>
        <v>1.3395081427721727E-6</v>
      </c>
      <c r="Q117" s="301">
        <f t="shared" si="32"/>
        <v>0.5</v>
      </c>
      <c r="R117" s="173">
        <f t="shared" si="33"/>
        <v>3.54108055757381E-2</v>
      </c>
      <c r="S117" s="802">
        <f t="shared" si="55"/>
        <v>0</v>
      </c>
      <c r="T117" s="172">
        <f t="shared" si="34"/>
        <v>6</v>
      </c>
      <c r="U117" s="247">
        <f t="shared" si="35"/>
        <v>3.54108055757381E-2</v>
      </c>
      <c r="V117" s="378">
        <f t="shared" si="36"/>
        <v>56.193024186555142</v>
      </c>
      <c r="W117" s="58"/>
      <c r="X117" s="153">
        <f t="shared" si="37"/>
        <v>44664</v>
      </c>
      <c r="Y117" s="380">
        <f t="shared" si="38"/>
        <v>8.9450000000000003</v>
      </c>
      <c r="Z117" s="380">
        <f t="shared" si="39"/>
        <v>8.9624048644081782</v>
      </c>
      <c r="AA117" s="381">
        <f t="shared" si="40"/>
        <v>9.0508539778178534</v>
      </c>
      <c r="AB117" s="193">
        <f t="shared" si="41"/>
        <v>44664</v>
      </c>
      <c r="AC117" s="420">
        <f t="shared" si="42"/>
        <v>9.7724605464247199E-3</v>
      </c>
      <c r="AD117" s="165">
        <f>(INDEX(Models!$BJ117:$BT117,,AH117)*(1-AF117)+INDEX(Models!$BJ117:$BT117,,AH117+1)*AF117-ERP_i)*AE117*Ramure*Pc/MaxiM</f>
        <v>1.3395081427721727E-6</v>
      </c>
      <c r="AE117" s="301">
        <f t="shared" si="43"/>
        <v>0.5</v>
      </c>
      <c r="AF117" s="173">
        <f t="shared" si="44"/>
        <v>3.54108055757381E-2</v>
      </c>
      <c r="AG117" s="802">
        <f t="shared" si="45"/>
        <v>0</v>
      </c>
      <c r="AH117" s="172">
        <f t="shared" si="46"/>
        <v>6</v>
      </c>
      <c r="AI117" s="221">
        <f t="shared" si="47"/>
        <v>3.54108055757381E-2</v>
      </c>
      <c r="AJ117" s="261" t="b">
        <f t="shared" si="48"/>
        <v>0</v>
      </c>
      <c r="AK117" s="261" t="b">
        <f t="shared" si="49"/>
        <v>0</v>
      </c>
      <c r="AL117" s="261"/>
      <c r="AM117" s="261"/>
      <c r="AN117" s="75"/>
    </row>
    <row r="118" spans="1:40" s="6" customFormat="1" ht="11.25" x14ac:dyDescent="0.2">
      <c r="A118" s="56">
        <f t="shared" si="50"/>
        <v>44665</v>
      </c>
      <c r="B118" s="610">
        <v>41.292999999999999</v>
      </c>
      <c r="C118" s="385"/>
      <c r="D118" s="388">
        <f t="shared" si="51"/>
        <v>41.373912832032659</v>
      </c>
      <c r="E118" s="380">
        <f t="shared" si="52"/>
        <v>41.785063610080542</v>
      </c>
      <c r="F118" s="380">
        <f t="shared" si="53"/>
        <v>41.785097562255523</v>
      </c>
      <c r="G118" s="110">
        <f t="shared" si="54"/>
        <v>0.73056967748969304</v>
      </c>
      <c r="I118" s="375">
        <f t="shared" si="28"/>
        <v>41.785097562255523</v>
      </c>
      <c r="J118" s="85">
        <v>2022</v>
      </c>
      <c r="K118" s="193">
        <f t="shared" si="29"/>
        <v>44665</v>
      </c>
      <c r="L118" s="431">
        <f t="shared" si="30"/>
        <v>1.9556485353741104E-3</v>
      </c>
      <c r="M118" s="847"/>
      <c r="N118" s="847"/>
      <c r="O118" s="320">
        <f t="shared" si="31"/>
        <v>9.8396590198967168E-3</v>
      </c>
      <c r="P118" s="165">
        <f>(INDEX(Models!$BJ118:$BT118,,T118)*(1-R118)+INDEX(Models!$BJ118:$BT118,,T118+1)*R118-ERP_i)*Q118*Ramure*Pc/MaxiM</f>
        <v>1.3209926572252071E-6</v>
      </c>
      <c r="Q118" s="301">
        <f t="shared" si="32"/>
        <v>0.5</v>
      </c>
      <c r="R118" s="173">
        <f t="shared" si="33"/>
        <v>3.7029429455301674E-2</v>
      </c>
      <c r="S118" s="802">
        <f t="shared" si="55"/>
        <v>0</v>
      </c>
      <c r="T118" s="172">
        <f t="shared" si="34"/>
        <v>6</v>
      </c>
      <c r="U118" s="247">
        <f t="shared" si="35"/>
        <v>3.7029429455301674E-2</v>
      </c>
      <c r="V118" s="378">
        <f t="shared" si="36"/>
        <v>56.521616317891073</v>
      </c>
      <c r="W118" s="58"/>
      <c r="X118" s="153">
        <f t="shared" si="37"/>
        <v>44665</v>
      </c>
      <c r="Y118" s="380">
        <f t="shared" si="38"/>
        <v>41.292999999999999</v>
      </c>
      <c r="Z118" s="380">
        <f t="shared" si="39"/>
        <v>41.373912832032659</v>
      </c>
      <c r="AA118" s="381">
        <f t="shared" si="40"/>
        <v>41.785063610080542</v>
      </c>
      <c r="AB118" s="193">
        <f t="shared" si="41"/>
        <v>44665</v>
      </c>
      <c r="AC118" s="420">
        <f t="shared" si="42"/>
        <v>9.8396590198967168E-3</v>
      </c>
      <c r="AD118" s="165">
        <f>(INDEX(Models!$BJ118:$BT118,,AH118)*(1-AF118)+INDEX(Models!$BJ118:$BT118,,AH118+1)*AF118-ERP_i)*AE118*Ramure*Pc/MaxiM</f>
        <v>1.3209926572252071E-6</v>
      </c>
      <c r="AE118" s="301">
        <f t="shared" si="43"/>
        <v>0.5</v>
      </c>
      <c r="AF118" s="173">
        <f t="shared" si="44"/>
        <v>3.7029429455301674E-2</v>
      </c>
      <c r="AG118" s="802">
        <f t="shared" si="45"/>
        <v>0</v>
      </c>
      <c r="AH118" s="172">
        <f t="shared" si="46"/>
        <v>6</v>
      </c>
      <c r="AI118" s="221">
        <f t="shared" si="47"/>
        <v>3.7029429455301674E-2</v>
      </c>
      <c r="AJ118" s="261" t="b">
        <f t="shared" si="48"/>
        <v>0</v>
      </c>
      <c r="AK118" s="261" t="b">
        <f t="shared" si="49"/>
        <v>0</v>
      </c>
      <c r="AL118" s="261"/>
      <c r="AM118" s="261"/>
      <c r="AN118" s="75"/>
    </row>
    <row r="119" spans="1:40" s="6" customFormat="1" ht="11.25" customHeight="1" x14ac:dyDescent="0.2">
      <c r="A119" s="56">
        <f t="shared" si="50"/>
        <v>44666</v>
      </c>
      <c r="B119" s="610">
        <v>45.247999999999998</v>
      </c>
      <c r="C119" s="385"/>
      <c r="D119" s="388">
        <f t="shared" si="51"/>
        <v>45.337283207103553</v>
      </c>
      <c r="E119" s="380">
        <f t="shared" si="52"/>
        <v>45.790932378274377</v>
      </c>
      <c r="F119" s="380">
        <f t="shared" si="53"/>
        <v>45.790974578011351</v>
      </c>
      <c r="G119" s="110">
        <f t="shared" si="54"/>
        <v>0.79604163649370052</v>
      </c>
      <c r="I119" s="375">
        <f t="shared" si="28"/>
        <v>45.790974578011351</v>
      </c>
      <c r="J119" s="85">
        <v>2022</v>
      </c>
      <c r="K119" s="193">
        <f t="shared" si="29"/>
        <v>44666</v>
      </c>
      <c r="L119" s="431">
        <f t="shared" si="30"/>
        <v>1.9693109244262041E-3</v>
      </c>
      <c r="M119" s="847"/>
      <c r="N119" s="847"/>
      <c r="O119" s="320">
        <f t="shared" si="31"/>
        <v>9.9069651481055593E-3</v>
      </c>
      <c r="P119" s="165">
        <f>(INDEX(Models!$BJ119:$BT119,,T119)*(1-R119)+INDEX(Models!$BJ119:$BT119,,T119+1)*R119-ERP_i)*Q119*Ramure*Pc/MaxiM</f>
        <v>1.3004974398920354E-6</v>
      </c>
      <c r="Q119" s="301">
        <f t="shared" si="32"/>
        <v>0.5</v>
      </c>
      <c r="R119" s="173">
        <f t="shared" si="33"/>
        <v>3.8703846764833176E-2</v>
      </c>
      <c r="S119" s="802">
        <f t="shared" si="55"/>
        <v>0</v>
      </c>
      <c r="T119" s="172">
        <f t="shared" si="34"/>
        <v>6</v>
      </c>
      <c r="U119" s="247">
        <f t="shared" si="35"/>
        <v>3.8703846764833176E-2</v>
      </c>
      <c r="V119" s="378">
        <f t="shared" si="36"/>
        <v>56.841226363139171</v>
      </c>
      <c r="W119" s="58"/>
      <c r="X119" s="153">
        <f t="shared" si="37"/>
        <v>44666</v>
      </c>
      <c r="Y119" s="380">
        <f t="shared" si="38"/>
        <v>45.247999999999998</v>
      </c>
      <c r="Z119" s="380">
        <f t="shared" si="39"/>
        <v>45.337283207103553</v>
      </c>
      <c r="AA119" s="381">
        <f t="shared" si="40"/>
        <v>45.790932378274377</v>
      </c>
      <c r="AB119" s="193">
        <f t="shared" si="41"/>
        <v>44666</v>
      </c>
      <c r="AC119" s="420">
        <f t="shared" si="42"/>
        <v>9.9069651481055593E-3</v>
      </c>
      <c r="AD119" s="165">
        <f>(INDEX(Models!$BJ119:$BT119,,AH119)*(1-AF119)+INDEX(Models!$BJ119:$BT119,,AH119+1)*AF119-ERP_i)*AE119*Ramure*Pc/MaxiM</f>
        <v>1.3004974398920354E-6</v>
      </c>
      <c r="AE119" s="301">
        <f t="shared" si="43"/>
        <v>0.5</v>
      </c>
      <c r="AF119" s="173">
        <f t="shared" si="44"/>
        <v>3.8703846764833176E-2</v>
      </c>
      <c r="AG119" s="802">
        <f t="shared" si="45"/>
        <v>0</v>
      </c>
      <c r="AH119" s="172">
        <f t="shared" si="46"/>
        <v>6</v>
      </c>
      <c r="AI119" s="221">
        <f t="shared" si="47"/>
        <v>3.8703846764833176E-2</v>
      </c>
      <c r="AJ119" s="261" t="b">
        <f t="shared" si="48"/>
        <v>0</v>
      </c>
      <c r="AK119" s="261" t="b">
        <f t="shared" si="49"/>
        <v>0</v>
      </c>
      <c r="AL119" s="261"/>
      <c r="AM119" s="261"/>
      <c r="AN119" s="75"/>
    </row>
    <row r="120" spans="1:40" s="6" customFormat="1" ht="11.25" x14ac:dyDescent="0.2">
      <c r="A120" s="56">
        <f t="shared" si="50"/>
        <v>44667</v>
      </c>
      <c r="B120" s="610">
        <v>41.170999999999999</v>
      </c>
      <c r="C120" s="385"/>
      <c r="D120" s="388">
        <f t="shared" si="51"/>
        <v>41.252803200136668</v>
      </c>
      <c r="E120" s="380">
        <f t="shared" si="52"/>
        <v>41.668419992786383</v>
      </c>
      <c r="F120" s="380">
        <f t="shared" si="53"/>
        <v>41.668451970182822</v>
      </c>
      <c r="G120" s="110">
        <f t="shared" si="54"/>
        <v>0.72038276564707304</v>
      </c>
      <c r="I120" s="375">
        <f t="shared" si="28"/>
        <v>41.668451970182822</v>
      </c>
      <c r="J120" s="85">
        <v>2022</v>
      </c>
      <c r="K120" s="193">
        <f t="shared" si="29"/>
        <v>44667</v>
      </c>
      <c r="L120" s="431">
        <f t="shared" si="30"/>
        <v>1.9829731264516814E-3</v>
      </c>
      <c r="M120" s="847"/>
      <c r="N120" s="847"/>
      <c r="O120" s="320">
        <f t="shared" si="31"/>
        <v>9.9743833032706411E-3</v>
      </c>
      <c r="P120" s="165">
        <f>(INDEX(Models!$BJ120:$BT120,,T120)*(1-R120)+INDEX(Models!$BJ120:$BT120,,T120+1)*R120-ERP_i)*Q120*Ramure*Pc/MaxiM</f>
        <v>1.2778753477497746E-6</v>
      </c>
      <c r="Q120" s="301">
        <f t="shared" si="32"/>
        <v>0.5</v>
      </c>
      <c r="R120" s="173">
        <f t="shared" si="33"/>
        <v>4.0435504738475569E-2</v>
      </c>
      <c r="S120" s="802">
        <f t="shared" si="55"/>
        <v>0</v>
      </c>
      <c r="T120" s="172">
        <f t="shared" si="34"/>
        <v>6</v>
      </c>
      <c r="U120" s="247">
        <f t="shared" si="35"/>
        <v>4.0435504738475569E-2</v>
      </c>
      <c r="V120" s="378">
        <f t="shared" si="36"/>
        <v>57.151532417958741</v>
      </c>
      <c r="W120" s="58"/>
      <c r="X120" s="153">
        <f t="shared" si="37"/>
        <v>44667</v>
      </c>
      <c r="Y120" s="380">
        <f t="shared" si="38"/>
        <v>41.170999999999999</v>
      </c>
      <c r="Z120" s="380">
        <f t="shared" si="39"/>
        <v>41.252803200136668</v>
      </c>
      <c r="AA120" s="381">
        <f t="shared" si="40"/>
        <v>41.668419992786383</v>
      </c>
      <c r="AB120" s="193">
        <f t="shared" si="41"/>
        <v>44667</v>
      </c>
      <c r="AC120" s="420">
        <f t="shared" si="42"/>
        <v>9.9743833032706411E-3</v>
      </c>
      <c r="AD120" s="165">
        <f>(INDEX(Models!$BJ120:$BT120,,AH120)*(1-AF120)+INDEX(Models!$BJ120:$BT120,,AH120+1)*AF120-ERP_i)*AE120*Ramure*Pc/MaxiM</f>
        <v>1.2778753477497746E-6</v>
      </c>
      <c r="AE120" s="301">
        <f t="shared" si="43"/>
        <v>0.5</v>
      </c>
      <c r="AF120" s="173">
        <f t="shared" si="44"/>
        <v>4.0435504738475569E-2</v>
      </c>
      <c r="AG120" s="802">
        <f t="shared" si="45"/>
        <v>0</v>
      </c>
      <c r="AH120" s="172">
        <f t="shared" si="46"/>
        <v>6</v>
      </c>
      <c r="AI120" s="221">
        <f t="shared" si="47"/>
        <v>4.0435504738475569E-2</v>
      </c>
      <c r="AJ120" s="261" t="b">
        <f t="shared" si="48"/>
        <v>0</v>
      </c>
      <c r="AK120" s="261" t="b">
        <f t="shared" si="49"/>
        <v>0</v>
      </c>
      <c r="AL120" s="261"/>
      <c r="AM120" s="261"/>
      <c r="AN120" s="75"/>
    </row>
    <row r="121" spans="1:40" s="6" customFormat="1" ht="11.25" x14ac:dyDescent="0.2">
      <c r="A121" s="56">
        <f t="shared" si="50"/>
        <v>44668</v>
      </c>
      <c r="B121" s="610">
        <v>57.02</v>
      </c>
      <c r="C121" s="385"/>
      <c r="D121" s="388">
        <f t="shared" si="51"/>
        <v>57.134075903723819</v>
      </c>
      <c r="E121" s="380">
        <f t="shared" si="52"/>
        <v>57.713631442606662</v>
      </c>
      <c r="F121" s="380">
        <f t="shared" si="53"/>
        <v>57.713702978018006</v>
      </c>
      <c r="G121" s="110">
        <f t="shared" si="54"/>
        <v>0.99247108915005056</v>
      </c>
      <c r="I121" s="375">
        <f t="shared" si="28"/>
        <v>57.713702978018006</v>
      </c>
      <c r="J121" s="85">
        <v>2022</v>
      </c>
      <c r="K121" s="193">
        <f t="shared" si="29"/>
        <v>44668</v>
      </c>
      <c r="L121" s="431">
        <f t="shared" si="30"/>
        <v>1.9966351414529848E-3</v>
      </c>
      <c r="M121" s="847"/>
      <c r="N121" s="847"/>
      <c r="O121" s="320">
        <f t="shared" si="31"/>
        <v>1.0041917730635029E-2</v>
      </c>
      <c r="P121" s="165">
        <f>(INDEX(Models!$BJ121:$BT121,,T121)*(1-R121)+INDEX(Models!$BJ121:$BT121,,T121+1)*R121-ERP_i)*Q121*Ramure*Pc/MaxiM</f>
        <v>1.2529638011756448E-6</v>
      </c>
      <c r="Q121" s="301">
        <f t="shared" si="32"/>
        <v>0.5</v>
      </c>
      <c r="R121" s="173">
        <f t="shared" si="33"/>
        <v>4.2225851273152357E-2</v>
      </c>
      <c r="S121" s="802">
        <f t="shared" si="55"/>
        <v>0</v>
      </c>
      <c r="T121" s="172">
        <f t="shared" si="34"/>
        <v>6</v>
      </c>
      <c r="U121" s="247">
        <f t="shared" si="35"/>
        <v>4.2225851273152357E-2</v>
      </c>
      <c r="V121" s="378">
        <f t="shared" si="36"/>
        <v>57.452554391695251</v>
      </c>
      <c r="W121" s="58"/>
      <c r="X121" s="153">
        <f t="shared" si="37"/>
        <v>44668</v>
      </c>
      <c r="Y121" s="380">
        <f t="shared" si="38"/>
        <v>57.02</v>
      </c>
      <c r="Z121" s="380">
        <f t="shared" si="39"/>
        <v>57.134075903723819</v>
      </c>
      <c r="AA121" s="381">
        <f t="shared" si="40"/>
        <v>57.713631442606662</v>
      </c>
      <c r="AB121" s="193">
        <f t="shared" si="41"/>
        <v>44668</v>
      </c>
      <c r="AC121" s="420">
        <f t="shared" si="42"/>
        <v>1.0041917730635029E-2</v>
      </c>
      <c r="AD121" s="165">
        <f>(INDEX(Models!$BJ121:$BT121,,AH121)*(1-AF121)+INDEX(Models!$BJ121:$BT121,,AH121+1)*AF121-ERP_i)*AE121*Ramure*Pc/MaxiM</f>
        <v>1.2529638011756448E-6</v>
      </c>
      <c r="AE121" s="301">
        <f t="shared" si="43"/>
        <v>0.5</v>
      </c>
      <c r="AF121" s="173">
        <f t="shared" si="44"/>
        <v>4.2225851273152357E-2</v>
      </c>
      <c r="AG121" s="802">
        <f t="shared" si="45"/>
        <v>0</v>
      </c>
      <c r="AH121" s="172">
        <f t="shared" si="46"/>
        <v>6</v>
      </c>
      <c r="AI121" s="221">
        <f t="shared" si="47"/>
        <v>4.2225851273152357E-2</v>
      </c>
      <c r="AJ121" s="261" t="b">
        <f t="shared" si="48"/>
        <v>0</v>
      </c>
      <c r="AK121" s="261" t="b">
        <f t="shared" si="49"/>
        <v>0</v>
      </c>
      <c r="AL121" s="261"/>
      <c r="AM121" s="261"/>
      <c r="AN121" s="75"/>
    </row>
    <row r="122" spans="1:40" s="18" customFormat="1" ht="11.25" x14ac:dyDescent="0.2">
      <c r="A122" s="56">
        <f t="shared" si="50"/>
        <v>44669</v>
      </c>
      <c r="B122" s="610">
        <v>36.375999999999998</v>
      </c>
      <c r="C122" s="385"/>
      <c r="D122" s="388">
        <f t="shared" si="51"/>
        <v>36.44927386478841</v>
      </c>
      <c r="E122" s="380">
        <f t="shared" si="52"/>
        <v>36.821523729811226</v>
      </c>
      <c r="F122" s="380">
        <f t="shared" si="53"/>
        <v>36.821545007941346</v>
      </c>
      <c r="G122" s="110">
        <f t="shared" si="54"/>
        <v>0.62994515798606388</v>
      </c>
      <c r="H122" s="17"/>
      <c r="I122" s="375">
        <f t="shared" si="28"/>
        <v>36.821545007941346</v>
      </c>
      <c r="J122" s="85">
        <v>2022</v>
      </c>
      <c r="K122" s="193">
        <f t="shared" si="29"/>
        <v>44669</v>
      </c>
      <c r="L122" s="447">
        <f t="shared" si="30"/>
        <v>2.0102969694328898E-3</v>
      </c>
      <c r="M122" s="847"/>
      <c r="N122" s="847"/>
      <c r="O122" s="320">
        <f t="shared" si="31"/>
        <v>1.0109572535735002E-2</v>
      </c>
      <c r="P122" s="165">
        <f>(INDEX(Models!$BJ122:$BT122,,T122)*(1-R122)+INDEX(Models!$BJ122:$BT122,,T122+1)*R122-ERP_i)*Q122*Ramure*Pc/MaxiM</f>
        <v>1.2259907581127457E-6</v>
      </c>
      <c r="Q122" s="301">
        <f t="shared" si="32"/>
        <v>0.5</v>
      </c>
      <c r="R122" s="173">
        <f t="shared" si="33"/>
        <v>4.4076331595875269E-2</v>
      </c>
      <c r="S122" s="802">
        <f t="shared" si="55"/>
        <v>0</v>
      </c>
      <c r="T122" s="172">
        <f t="shared" si="34"/>
        <v>6</v>
      </c>
      <c r="U122" s="247">
        <f t="shared" si="35"/>
        <v>4.4076331595875269E-2</v>
      </c>
      <c r="V122" s="378">
        <f t="shared" si="36"/>
        <v>57.744671838264289</v>
      </c>
      <c r="W122" s="429"/>
      <c r="X122" s="153">
        <f t="shared" si="37"/>
        <v>44669</v>
      </c>
      <c r="Y122" s="380">
        <f t="shared" si="38"/>
        <v>36.375999999999998</v>
      </c>
      <c r="Z122" s="380">
        <f t="shared" si="39"/>
        <v>36.44927386478841</v>
      </c>
      <c r="AA122" s="381">
        <f t="shared" si="40"/>
        <v>36.821523729811226</v>
      </c>
      <c r="AB122" s="193">
        <f t="shared" si="41"/>
        <v>44669</v>
      </c>
      <c r="AC122" s="446">
        <f t="shared" si="42"/>
        <v>1.0109572535735002E-2</v>
      </c>
      <c r="AD122" s="165">
        <f>(INDEX(Models!$BJ122:$BT122,,AH122)*(1-AF122)+INDEX(Models!$BJ122:$BT122,,AH122+1)*AF122-ERP_i)*AE122*Ramure*Pc/MaxiM</f>
        <v>1.2259907581127457E-6</v>
      </c>
      <c r="AE122" s="301">
        <f t="shared" si="43"/>
        <v>0.5</v>
      </c>
      <c r="AF122" s="173">
        <f t="shared" si="44"/>
        <v>4.4076331595875269E-2</v>
      </c>
      <c r="AG122" s="802">
        <f t="shared" si="45"/>
        <v>0</v>
      </c>
      <c r="AH122" s="172">
        <f t="shared" si="46"/>
        <v>6</v>
      </c>
      <c r="AI122" s="221">
        <f t="shared" si="47"/>
        <v>4.4076331595875269E-2</v>
      </c>
      <c r="AJ122" s="261" t="b">
        <f t="shared" si="48"/>
        <v>0</v>
      </c>
      <c r="AK122" s="261" t="b">
        <f t="shared" si="49"/>
        <v>0</v>
      </c>
      <c r="AL122" s="261"/>
      <c r="AM122" s="261"/>
      <c r="AN122" s="261"/>
    </row>
    <row r="123" spans="1:40" s="18" customFormat="1" ht="11.25" x14ac:dyDescent="0.2">
      <c r="A123" s="56">
        <f t="shared" si="50"/>
        <v>44670</v>
      </c>
      <c r="B123" s="610">
        <v>11.968</v>
      </c>
      <c r="C123" s="385"/>
      <c r="D123" s="388">
        <f t="shared" si="51"/>
        <v>11.992271861893062</v>
      </c>
      <c r="E123" s="380">
        <f t="shared" si="52"/>
        <v>12.115576343034617</v>
      </c>
      <c r="F123" s="380">
        <f t="shared" si="53"/>
        <v>12.115576343034617</v>
      </c>
      <c r="G123" s="110">
        <f t="shared" si="54"/>
        <v>0.20624465014917454</v>
      </c>
      <c r="H123" s="430"/>
      <c r="I123" s="375">
        <f t="shared" si="28"/>
        <v>12.115576343034617</v>
      </c>
      <c r="J123" s="85">
        <v>2022</v>
      </c>
      <c r="K123" s="193">
        <f t="shared" si="29"/>
        <v>44670</v>
      </c>
      <c r="L123" s="431">
        <f t="shared" si="30"/>
        <v>2.023958610393839E-3</v>
      </c>
      <c r="M123" s="847"/>
      <c r="N123" s="847"/>
      <c r="O123" s="320">
        <f t="shared" si="31"/>
        <v>1.0177351671135704E-2</v>
      </c>
      <c r="P123" s="165">
        <f>(INDEX(Models!$BJ123:$BT123,,T123)*(1-R123)+INDEX(Models!$BJ123:$BT123,,T123+1)*R123-ERP_i)*Q123*Ramure*Pc/MaxiM</f>
        <v>1.2014174484584414E-6</v>
      </c>
      <c r="Q123" s="301">
        <f t="shared" si="32"/>
        <v>0.5</v>
      </c>
      <c r="R123" s="173">
        <f t="shared" si="33"/>
        <v>4.5988384680512126E-2</v>
      </c>
      <c r="S123" s="802">
        <f t="shared" si="55"/>
        <v>0</v>
      </c>
      <c r="T123" s="172">
        <f t="shared" si="34"/>
        <v>6</v>
      </c>
      <c r="U123" s="247">
        <f t="shared" si="35"/>
        <v>4.5988384680512126E-2</v>
      </c>
      <c r="V123" s="378">
        <f t="shared" si="36"/>
        <v>58.028102124247404</v>
      </c>
      <c r="W123" s="429"/>
      <c r="X123" s="153">
        <f t="shared" si="37"/>
        <v>44670</v>
      </c>
      <c r="Y123" s="380">
        <f t="shared" si="38"/>
        <v>11.968</v>
      </c>
      <c r="Z123" s="380">
        <f t="shared" si="39"/>
        <v>11.992271861893062</v>
      </c>
      <c r="AA123" s="381">
        <f t="shared" si="40"/>
        <v>12.115576343034617</v>
      </c>
      <c r="AB123" s="193">
        <f t="shared" si="41"/>
        <v>44670</v>
      </c>
      <c r="AC123" s="432">
        <f t="shared" si="42"/>
        <v>1.0177351671135704E-2</v>
      </c>
      <c r="AD123" s="165">
        <f>(INDEX(Models!$BJ123:$BT123,,AH123)*(1-AF123)+INDEX(Models!$BJ123:$BT123,,AH123+1)*AF123-ERP_i)*AE123*Ramure*Pc/MaxiM</f>
        <v>1.2014174484584414E-6</v>
      </c>
      <c r="AE123" s="301">
        <f t="shared" si="43"/>
        <v>0.5</v>
      </c>
      <c r="AF123" s="173">
        <f t="shared" si="44"/>
        <v>4.5988384680512126E-2</v>
      </c>
      <c r="AG123" s="802">
        <f t="shared" si="45"/>
        <v>0</v>
      </c>
      <c r="AH123" s="172">
        <f t="shared" si="46"/>
        <v>6</v>
      </c>
      <c r="AI123" s="221">
        <f t="shared" si="47"/>
        <v>4.5988384680512126E-2</v>
      </c>
      <c r="AJ123" s="261" t="b">
        <f t="shared" si="48"/>
        <v>0</v>
      </c>
      <c r="AK123" s="261" t="b">
        <f t="shared" si="49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50"/>
        <v>44671</v>
      </c>
      <c r="B124" s="610">
        <v>11.993</v>
      </c>
      <c r="C124" s="385"/>
      <c r="D124" s="388">
        <f t="shared" si="51"/>
        <v>12.017487072782428</v>
      </c>
      <c r="E124" s="380">
        <f t="shared" si="52"/>
        <v>12.141883816288592</v>
      </c>
      <c r="F124" s="380">
        <f t="shared" si="53"/>
        <v>12.141883816288592</v>
      </c>
      <c r="G124" s="110">
        <f t="shared" si="54"/>
        <v>0.20570078621960114</v>
      </c>
      <c r="I124" s="375">
        <f t="shared" si="28"/>
        <v>12.141883816288592</v>
      </c>
      <c r="J124" s="85">
        <v>2022</v>
      </c>
      <c r="K124" s="193">
        <f t="shared" si="29"/>
        <v>44671</v>
      </c>
      <c r="L124" s="431">
        <f t="shared" si="30"/>
        <v>2.0376200643382747E-3</v>
      </c>
      <c r="M124" s="847"/>
      <c r="N124" s="847"/>
      <c r="O124" s="320">
        <f t="shared" si="31"/>
        <v>1.0245258922613297E-2</v>
      </c>
      <c r="P124" s="165">
        <f>(INDEX(Models!$BJ124:$BT124,,T124)*(1-R124)+INDEX(Models!$BJ124:$BT124,,T124+1)*R124-ERP_i)*Q124*Ramure*Pc/MaxiM</f>
        <v>1.1796694692900889E-6</v>
      </c>
      <c r="Q124" s="301">
        <f t="shared" si="32"/>
        <v>0.5</v>
      </c>
      <c r="R124" s="173">
        <f t="shared" si="33"/>
        <v>4.7963439409181338E-2</v>
      </c>
      <c r="S124" s="802">
        <f t="shared" si="55"/>
        <v>0</v>
      </c>
      <c r="T124" s="172">
        <f t="shared" si="34"/>
        <v>6</v>
      </c>
      <c r="U124" s="247">
        <f t="shared" si="35"/>
        <v>4.7963439409181338E-2</v>
      </c>
      <c r="V124" s="378">
        <f t="shared" si="36"/>
        <v>58.303062776924122</v>
      </c>
      <c r="W124" s="58"/>
      <c r="X124" s="153">
        <f t="shared" si="37"/>
        <v>44671</v>
      </c>
      <c r="Y124" s="380">
        <f t="shared" si="38"/>
        <v>11.993</v>
      </c>
      <c r="Z124" s="380">
        <f t="shared" si="39"/>
        <v>12.017487072782428</v>
      </c>
      <c r="AA124" s="381">
        <f t="shared" si="40"/>
        <v>12.141883816288592</v>
      </c>
      <c r="AB124" s="193">
        <f t="shared" si="41"/>
        <v>44671</v>
      </c>
      <c r="AC124" s="420">
        <f t="shared" si="42"/>
        <v>1.0245258922613297E-2</v>
      </c>
      <c r="AD124" s="165">
        <f>(INDEX(Models!$BJ124:$BT124,,AH124)*(1-AF124)+INDEX(Models!$BJ124:$BT124,,AH124+1)*AF124-ERP_i)*AE124*Ramure*Pc/MaxiM</f>
        <v>1.1796694692900889E-6</v>
      </c>
      <c r="AE124" s="301">
        <f t="shared" si="43"/>
        <v>0.5</v>
      </c>
      <c r="AF124" s="173">
        <f t="shared" si="44"/>
        <v>4.7963439409181338E-2</v>
      </c>
      <c r="AG124" s="802">
        <f t="shared" si="45"/>
        <v>0</v>
      </c>
      <c r="AH124" s="172">
        <f t="shared" si="46"/>
        <v>6</v>
      </c>
      <c r="AI124" s="221">
        <f t="shared" si="47"/>
        <v>4.7963439409181338E-2</v>
      </c>
      <c r="AJ124" s="261" t="b">
        <f t="shared" si="48"/>
        <v>0</v>
      </c>
      <c r="AK124" s="261" t="b">
        <f t="shared" si="49"/>
        <v>0</v>
      </c>
      <c r="AL124" s="261"/>
      <c r="AM124" s="261"/>
      <c r="AN124" s="75"/>
    </row>
    <row r="125" spans="1:40" s="6" customFormat="1" ht="11.25" x14ac:dyDescent="0.2">
      <c r="A125" s="56">
        <f t="shared" si="50"/>
        <v>44672</v>
      </c>
      <c r="B125" s="610">
        <v>11.511000000000001</v>
      </c>
      <c r="C125" s="385"/>
      <c r="D125" s="388">
        <f t="shared" si="51"/>
        <v>11.534660834432191</v>
      </c>
      <c r="E125" s="380">
        <f t="shared" si="52"/>
        <v>11.654860886678643</v>
      </c>
      <c r="F125" s="380">
        <f t="shared" si="53"/>
        <v>11.654860886678643</v>
      </c>
      <c r="G125" s="110">
        <f t="shared" si="54"/>
        <v>0.19653460111101317</v>
      </c>
      <c r="I125" s="375">
        <f t="shared" si="28"/>
        <v>11.654860886678643</v>
      </c>
      <c r="J125" s="85">
        <v>2022</v>
      </c>
      <c r="K125" s="193">
        <f t="shared" si="29"/>
        <v>44672</v>
      </c>
      <c r="L125" s="431">
        <f t="shared" si="30"/>
        <v>2.0512813312689726E-3</v>
      </c>
      <c r="M125" s="847"/>
      <c r="N125" s="847"/>
      <c r="O125" s="320">
        <f t="shared" si="31"/>
        <v>1.0313297894772687E-2</v>
      </c>
      <c r="P125" s="165">
        <f>(INDEX(Models!$BJ125:$BT125,,T125)*(1-R125)+INDEX(Models!$BJ125:$BT125,,T125+1)*R125-ERP_i)*Q125*Ramure*Pc/MaxiM</f>
        <v>1.1612169704068216E-6</v>
      </c>
      <c r="Q125" s="301">
        <f t="shared" si="32"/>
        <v>0.5</v>
      </c>
      <c r="R125" s="173">
        <f t="shared" si="33"/>
        <v>5.0002910474654404E-2</v>
      </c>
      <c r="S125" s="802">
        <f t="shared" si="55"/>
        <v>0</v>
      </c>
      <c r="T125" s="172">
        <f t="shared" si="34"/>
        <v>6</v>
      </c>
      <c r="U125" s="247">
        <f t="shared" si="35"/>
        <v>5.0002910474654404E-2</v>
      </c>
      <c r="V125" s="378">
        <f t="shared" si="36"/>
        <v>58.569771267551204</v>
      </c>
      <c r="W125" s="58"/>
      <c r="X125" s="153">
        <f t="shared" si="37"/>
        <v>44672</v>
      </c>
      <c r="Y125" s="380">
        <f t="shared" si="38"/>
        <v>11.511000000000001</v>
      </c>
      <c r="Z125" s="380">
        <f t="shared" si="39"/>
        <v>11.534660834432191</v>
      </c>
      <c r="AA125" s="381">
        <f t="shared" si="40"/>
        <v>11.654860886678643</v>
      </c>
      <c r="AB125" s="193">
        <f t="shared" si="41"/>
        <v>44672</v>
      </c>
      <c r="AC125" s="420">
        <f t="shared" si="42"/>
        <v>1.0313297894772687E-2</v>
      </c>
      <c r="AD125" s="165">
        <f>(INDEX(Models!$BJ125:$BT125,,AH125)*(1-AF125)+INDEX(Models!$BJ125:$BT125,,AH125+1)*AF125-ERP_i)*AE125*Ramure*Pc/MaxiM</f>
        <v>1.1612169704068216E-6</v>
      </c>
      <c r="AE125" s="301">
        <f t="shared" si="43"/>
        <v>0.5</v>
      </c>
      <c r="AF125" s="173">
        <f t="shared" si="44"/>
        <v>5.0002910474654404E-2</v>
      </c>
      <c r="AG125" s="802">
        <f t="shared" si="45"/>
        <v>0</v>
      </c>
      <c r="AH125" s="172">
        <f t="shared" si="46"/>
        <v>6</v>
      </c>
      <c r="AI125" s="221">
        <f t="shared" si="47"/>
        <v>5.0002910474654404E-2</v>
      </c>
      <c r="AJ125" s="261" t="b">
        <f t="shared" si="48"/>
        <v>0</v>
      </c>
      <c r="AK125" s="261" t="b">
        <f t="shared" si="49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50"/>
        <v>44673</v>
      </c>
      <c r="B126" s="610">
        <v>30.618000000000002</v>
      </c>
      <c r="C126" s="385"/>
      <c r="D126" s="388">
        <f t="shared" si="51"/>
        <v>30.681355231650574</v>
      </c>
      <c r="E126" s="380">
        <f t="shared" si="52"/>
        <v>31.003214231989077</v>
      </c>
      <c r="F126" s="380">
        <f t="shared" si="53"/>
        <v>31.003225427552021</v>
      </c>
      <c r="G126" s="110">
        <f t="shared" si="54"/>
        <v>0.52046209864774262</v>
      </c>
      <c r="I126" s="375">
        <f t="shared" si="28"/>
        <v>31.003225427552021</v>
      </c>
      <c r="J126" s="85">
        <v>2022</v>
      </c>
      <c r="K126" s="193">
        <f t="shared" si="29"/>
        <v>44673</v>
      </c>
      <c r="L126" s="431">
        <f t="shared" si="30"/>
        <v>2.0649424111883752E-3</v>
      </c>
      <c r="M126" s="847"/>
      <c r="N126" s="847"/>
      <c r="O126" s="320">
        <f t="shared" si="31"/>
        <v>1.0381471996100627E-2</v>
      </c>
      <c r="P126" s="165">
        <f>(INDEX(Models!$BJ126:$BT126,,T126)*(1-R126)+INDEX(Models!$BJ126:$BT126,,T126+1)*R126-ERP_i)*Q126*Ramure*Pc/MaxiM</f>
        <v>1.1465747021984447E-6</v>
      </c>
      <c r="Q126" s="301">
        <f t="shared" si="32"/>
        <v>0.5</v>
      </c>
      <c r="R126" s="173">
        <f t="shared" si="33"/>
        <v>5.2108194021536859E-2</v>
      </c>
      <c r="S126" s="802">
        <f t="shared" si="55"/>
        <v>0</v>
      </c>
      <c r="T126" s="172">
        <f t="shared" si="34"/>
        <v>6</v>
      </c>
      <c r="U126" s="247">
        <f t="shared" si="35"/>
        <v>5.2108194021536859E-2</v>
      </c>
      <c r="V126" s="378">
        <f t="shared" si="36"/>
        <v>58.828445011025046</v>
      </c>
      <c r="W126" s="58"/>
      <c r="X126" s="153">
        <f t="shared" si="37"/>
        <v>44673</v>
      </c>
      <c r="Y126" s="380">
        <f t="shared" si="38"/>
        <v>30.618000000000002</v>
      </c>
      <c r="Z126" s="380">
        <f t="shared" si="39"/>
        <v>30.681355231650574</v>
      </c>
      <c r="AA126" s="381">
        <f t="shared" si="40"/>
        <v>31.003214231989077</v>
      </c>
      <c r="AB126" s="193">
        <f t="shared" si="41"/>
        <v>44673</v>
      </c>
      <c r="AC126" s="420">
        <f t="shared" si="42"/>
        <v>1.0381471996100627E-2</v>
      </c>
      <c r="AD126" s="165">
        <f>(INDEX(Models!$BJ126:$BT126,,AH126)*(1-AF126)+INDEX(Models!$BJ126:$BT126,,AH126+1)*AF126-ERP_i)*AE126*Ramure*Pc/MaxiM</f>
        <v>1.1465747021984447E-6</v>
      </c>
      <c r="AE126" s="301">
        <f t="shared" si="43"/>
        <v>0.5</v>
      </c>
      <c r="AF126" s="173">
        <f t="shared" si="44"/>
        <v>5.2108194021536859E-2</v>
      </c>
      <c r="AG126" s="802">
        <f t="shared" si="45"/>
        <v>0</v>
      </c>
      <c r="AH126" s="172">
        <f t="shared" si="46"/>
        <v>6</v>
      </c>
      <c r="AI126" s="221">
        <f t="shared" si="47"/>
        <v>5.2108194021536859E-2</v>
      </c>
      <c r="AJ126" s="261" t="b">
        <f t="shared" si="48"/>
        <v>0</v>
      </c>
      <c r="AK126" s="261" t="b">
        <f t="shared" si="49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50"/>
        <v>44674</v>
      </c>
      <c r="B127" s="610">
        <v>10.052</v>
      </c>
      <c r="C127" s="385"/>
      <c r="D127" s="388">
        <f t="shared" si="51"/>
        <v>10.072937641463531</v>
      </c>
      <c r="E127" s="380">
        <f t="shared" si="52"/>
        <v>10.179309228480937</v>
      </c>
      <c r="F127" s="380">
        <f t="shared" si="53"/>
        <v>10.179309228480937</v>
      </c>
      <c r="G127" s="110">
        <f t="shared" si="54"/>
        <v>0.1701439987837691</v>
      </c>
      <c r="I127" s="375">
        <f t="shared" si="28"/>
        <v>10.179309228480937</v>
      </c>
      <c r="J127" s="85">
        <v>2022</v>
      </c>
      <c r="K127" s="193">
        <f t="shared" si="29"/>
        <v>44674</v>
      </c>
      <c r="L127" s="431">
        <f t="shared" si="30"/>
        <v>2.078603304099147E-3</v>
      </c>
      <c r="M127" s="847"/>
      <c r="N127" s="847"/>
      <c r="O127" s="320">
        <f t="shared" si="31"/>
        <v>1.0449784423464269E-2</v>
      </c>
      <c r="P127" s="165">
        <f>(INDEX(Models!$BJ127:$BT127,,T127)*(1-R127)+INDEX(Models!$BJ127:$BT127,,T127+1)*R127-ERP_i)*Q127*Ramure*Pc/MaxiM</f>
        <v>1.1363023665032961E-6</v>
      </c>
      <c r="Q127" s="301">
        <f t="shared" si="32"/>
        <v>0.5</v>
      </c>
      <c r="R127" s="173">
        <f t="shared" si="33"/>
        <v>5.4280663025570247E-2</v>
      </c>
      <c r="S127" s="802">
        <f t="shared" si="55"/>
        <v>0</v>
      </c>
      <c r="T127" s="172">
        <f t="shared" si="34"/>
        <v>6</v>
      </c>
      <c r="U127" s="247">
        <f t="shared" si="35"/>
        <v>5.4280663025570247E-2</v>
      </c>
      <c r="V127" s="378">
        <f t="shared" si="36"/>
        <v>59.079301354985695</v>
      </c>
      <c r="W127" s="58"/>
      <c r="X127" s="153">
        <f t="shared" si="37"/>
        <v>44674</v>
      </c>
      <c r="Y127" s="380">
        <f t="shared" si="38"/>
        <v>10.052</v>
      </c>
      <c r="Z127" s="380">
        <f t="shared" si="39"/>
        <v>10.072937641463531</v>
      </c>
      <c r="AA127" s="381">
        <f t="shared" si="40"/>
        <v>10.179309228480937</v>
      </c>
      <c r="AB127" s="193">
        <f t="shared" si="41"/>
        <v>44674</v>
      </c>
      <c r="AC127" s="420">
        <f t="shared" si="42"/>
        <v>1.0449784423464269E-2</v>
      </c>
      <c r="AD127" s="165">
        <f>(INDEX(Models!$BJ127:$BT127,,AH127)*(1-AF127)+INDEX(Models!$BJ127:$BT127,,AH127+1)*AF127-ERP_i)*AE127*Ramure*Pc/MaxiM</f>
        <v>1.1363023665032961E-6</v>
      </c>
      <c r="AE127" s="301">
        <f t="shared" si="43"/>
        <v>0.5</v>
      </c>
      <c r="AF127" s="173">
        <f t="shared" si="44"/>
        <v>5.4280663025570247E-2</v>
      </c>
      <c r="AG127" s="802">
        <f t="shared" si="45"/>
        <v>0</v>
      </c>
      <c r="AH127" s="172">
        <f t="shared" si="46"/>
        <v>6</v>
      </c>
      <c r="AI127" s="221">
        <f t="shared" si="47"/>
        <v>5.4280663025570247E-2</v>
      </c>
      <c r="AJ127" s="261" t="b">
        <f t="shared" si="48"/>
        <v>0</v>
      </c>
      <c r="AK127" s="261" t="b">
        <f t="shared" si="49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50"/>
        <v>44675</v>
      </c>
      <c r="B128" s="610">
        <v>36.042000000000002</v>
      </c>
      <c r="C128" s="385"/>
      <c r="D128" s="388">
        <f t="shared" si="51"/>
        <v>36.117567486581052</v>
      </c>
      <c r="E128" s="380">
        <f t="shared" si="52"/>
        <v>36.5014989451752</v>
      </c>
      <c r="F128" s="380">
        <f t="shared" si="53"/>
        <v>36.501517073169801</v>
      </c>
      <c r="G128" s="110">
        <f t="shared" si="54"/>
        <v>0.60755939386382218</v>
      </c>
      <c r="I128" s="375">
        <f t="shared" si="28"/>
        <v>36.501517073169801</v>
      </c>
      <c r="J128" s="85">
        <v>2022</v>
      </c>
      <c r="K128" s="193">
        <f t="shared" si="29"/>
        <v>44675</v>
      </c>
      <c r="L128" s="431">
        <f t="shared" si="30"/>
        <v>2.0922640100036194E-3</v>
      </c>
      <c r="M128" s="847"/>
      <c r="N128" s="847"/>
      <c r="O128" s="320">
        <f t="shared" si="31"/>
        <v>1.0518238146077587E-2</v>
      </c>
      <c r="P128" s="165">
        <f>(INDEX(Models!$BJ128:$BT128,,T128)*(1-R128)+INDEX(Models!$BJ128:$BT128,,T128+1)*R128-ERP_i)*Q128*Ramure*Pc/MaxiM</f>
        <v>1.1303354497779161E-6</v>
      </c>
      <c r="Q128" s="301">
        <f t="shared" si="32"/>
        <v>0.5</v>
      </c>
      <c r="R128" s="173">
        <f t="shared" si="33"/>
        <v>5.6521662412151751E-2</v>
      </c>
      <c r="S128" s="802">
        <f t="shared" si="55"/>
        <v>0</v>
      </c>
      <c r="T128" s="172">
        <f t="shared" si="34"/>
        <v>6</v>
      </c>
      <c r="U128" s="247">
        <f t="shared" si="35"/>
        <v>5.6521662412151751E-2</v>
      </c>
      <c r="V128" s="378">
        <f t="shared" si="36"/>
        <v>59.322557636724362</v>
      </c>
      <c r="W128" s="58"/>
      <c r="X128" s="153">
        <f t="shared" si="37"/>
        <v>44675</v>
      </c>
      <c r="Y128" s="380">
        <f t="shared" si="38"/>
        <v>36.042000000000002</v>
      </c>
      <c r="Z128" s="380">
        <f t="shared" si="39"/>
        <v>36.117567486581052</v>
      </c>
      <c r="AA128" s="381">
        <f t="shared" si="40"/>
        <v>36.5014989451752</v>
      </c>
      <c r="AB128" s="193">
        <f t="shared" si="41"/>
        <v>44675</v>
      </c>
      <c r="AC128" s="420">
        <f t="shared" si="42"/>
        <v>1.0518238146077587E-2</v>
      </c>
      <c r="AD128" s="165">
        <f>(INDEX(Models!$BJ128:$BT128,,AH128)*(1-AF128)+INDEX(Models!$BJ128:$BT128,,AH128+1)*AF128-ERP_i)*AE128*Ramure*Pc/MaxiM</f>
        <v>1.1303354497779161E-6</v>
      </c>
      <c r="AE128" s="301">
        <f t="shared" si="43"/>
        <v>0.5</v>
      </c>
      <c r="AF128" s="173">
        <f t="shared" si="44"/>
        <v>5.6521662412151751E-2</v>
      </c>
      <c r="AG128" s="802">
        <f t="shared" si="45"/>
        <v>0</v>
      </c>
      <c r="AH128" s="172">
        <f t="shared" si="46"/>
        <v>6</v>
      </c>
      <c r="AI128" s="221">
        <f t="shared" si="47"/>
        <v>5.6521662412151751E-2</v>
      </c>
      <c r="AJ128" s="261" t="b">
        <f t="shared" si="48"/>
        <v>0</v>
      </c>
      <c r="AK128" s="261" t="b">
        <f t="shared" si="49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50"/>
        <v>44676</v>
      </c>
      <c r="B129" s="610">
        <v>47.564999999999998</v>
      </c>
      <c r="C129" s="385"/>
      <c r="D129" s="388">
        <f t="shared" si="51"/>
        <v>47.665379692273504</v>
      </c>
      <c r="E129" s="380">
        <f t="shared" si="52"/>
        <v>48.175404796741311</v>
      </c>
      <c r="F129" s="380">
        <f t="shared" si="53"/>
        <v>48.17544330333763</v>
      </c>
      <c r="G129" s="110">
        <f t="shared" si="54"/>
        <v>0.79862722086004989</v>
      </c>
      <c r="I129" s="375">
        <f t="shared" si="28"/>
        <v>48.17544330333763</v>
      </c>
      <c r="J129" s="85">
        <v>2022</v>
      </c>
      <c r="K129" s="193">
        <f t="shared" si="29"/>
        <v>44676</v>
      </c>
      <c r="L129" s="431">
        <f t="shared" si="30"/>
        <v>2.105924528904568E-3</v>
      </c>
      <c r="M129" s="847"/>
      <c r="N129" s="847"/>
      <c r="O129" s="320">
        <f t="shared" si="31"/>
        <v>1.0586835888970192E-2</v>
      </c>
      <c r="P129" s="165">
        <f>(INDEX(Models!$BJ129:$BT129,,T129)*(1-R129)+INDEX(Models!$BJ129:$BT129,,T129+1)*R129-ERP_i)*Q129*Ramure*Pc/MaxiM</f>
        <v>1.1220991782295025E-6</v>
      </c>
      <c r="Q129" s="301">
        <f t="shared" si="32"/>
        <v>0.5</v>
      </c>
      <c r="R129" s="173">
        <f t="shared" si="33"/>
        <v>5.8832503917117591E-2</v>
      </c>
      <c r="S129" s="802">
        <f t="shared" si="55"/>
        <v>0</v>
      </c>
      <c r="T129" s="172">
        <f t="shared" si="34"/>
        <v>6</v>
      </c>
      <c r="U129" s="247">
        <f t="shared" si="35"/>
        <v>5.8832503917117591E-2</v>
      </c>
      <c r="V129" s="378">
        <f t="shared" si="36"/>
        <v>59.558431523015855</v>
      </c>
      <c r="W129" s="58"/>
      <c r="X129" s="153">
        <f t="shared" si="37"/>
        <v>44676</v>
      </c>
      <c r="Y129" s="380">
        <f t="shared" si="38"/>
        <v>47.564999999999998</v>
      </c>
      <c r="Z129" s="380">
        <f t="shared" si="39"/>
        <v>47.665379692273504</v>
      </c>
      <c r="AA129" s="381">
        <f t="shared" si="40"/>
        <v>48.175404796741311</v>
      </c>
      <c r="AB129" s="193">
        <f t="shared" si="41"/>
        <v>44676</v>
      </c>
      <c r="AC129" s="420">
        <f t="shared" si="42"/>
        <v>1.0586835888970192E-2</v>
      </c>
      <c r="AD129" s="165">
        <f>(INDEX(Models!$BJ129:$BT129,,AH129)*(1-AF129)+INDEX(Models!$BJ129:$BT129,,AH129+1)*AF129-ERP_i)*AE129*Ramure*Pc/MaxiM</f>
        <v>1.1220991782295025E-6</v>
      </c>
      <c r="AE129" s="301">
        <f t="shared" si="43"/>
        <v>0.5</v>
      </c>
      <c r="AF129" s="173">
        <f t="shared" si="44"/>
        <v>5.8832503917117591E-2</v>
      </c>
      <c r="AG129" s="802">
        <f t="shared" si="45"/>
        <v>0</v>
      </c>
      <c r="AH129" s="172">
        <f t="shared" si="46"/>
        <v>6</v>
      </c>
      <c r="AI129" s="221">
        <f t="shared" si="47"/>
        <v>5.8832503917117591E-2</v>
      </c>
      <c r="AJ129" s="261" t="b">
        <f t="shared" si="48"/>
        <v>0</v>
      </c>
      <c r="AK129" s="261" t="b">
        <f t="shared" si="49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50"/>
        <v>44677</v>
      </c>
      <c r="B130" s="610">
        <v>59.387999999999998</v>
      </c>
      <c r="C130" s="385"/>
      <c r="D130" s="388">
        <f t="shared" si="51"/>
        <v>59.514145281342053</v>
      </c>
      <c r="E130" s="380">
        <f t="shared" si="52"/>
        <v>60.155133121709419</v>
      </c>
      <c r="F130" s="380">
        <f t="shared" si="53"/>
        <v>60.155199341869753</v>
      </c>
      <c r="G130" s="110">
        <f t="shared" si="54"/>
        <v>0.99332396763607889</v>
      </c>
      <c r="I130" s="375">
        <f t="shared" si="28"/>
        <v>60.155199341869753</v>
      </c>
      <c r="J130" s="85">
        <v>2022</v>
      </c>
      <c r="K130" s="193">
        <f t="shared" si="29"/>
        <v>44677</v>
      </c>
      <c r="L130" s="431">
        <f t="shared" si="30"/>
        <v>2.1195848608045464E-3</v>
      </c>
      <c r="M130" s="847"/>
      <c r="N130" s="847"/>
      <c r="O130" s="320">
        <f t="shared" si="31"/>
        <v>1.0655580116005774E-2</v>
      </c>
      <c r="P130" s="165">
        <f>(INDEX(Models!$BJ130:$BT130,,T130)*(1-R130)+INDEX(Models!$BJ130:$BT130,,T130+1)*R130-ERP_i)*Q130*Ramure*Pc/MaxiM</f>
        <v>1.111421714035582E-6</v>
      </c>
      <c r="Q130" s="301">
        <f t="shared" si="32"/>
        <v>0.5</v>
      </c>
      <c r="R130" s="173">
        <f t="shared" si="33"/>
        <v>6.1214460694976554E-2</v>
      </c>
      <c r="S130" s="802">
        <f t="shared" si="55"/>
        <v>0</v>
      </c>
      <c r="T130" s="172">
        <f t="shared" si="34"/>
        <v>6</v>
      </c>
      <c r="U130" s="247">
        <f t="shared" si="35"/>
        <v>6.1214460694976554E-2</v>
      </c>
      <c r="V130" s="378">
        <f t="shared" si="36"/>
        <v>59.787140253777565</v>
      </c>
      <c r="W130" s="58"/>
      <c r="X130" s="153">
        <f t="shared" si="37"/>
        <v>44677</v>
      </c>
      <c r="Y130" s="380">
        <f t="shared" si="38"/>
        <v>59.387999999999998</v>
      </c>
      <c r="Z130" s="380">
        <f t="shared" si="39"/>
        <v>59.514145281342053</v>
      </c>
      <c r="AA130" s="381">
        <f t="shared" si="40"/>
        <v>60.155133121709419</v>
      </c>
      <c r="AB130" s="193">
        <f t="shared" si="41"/>
        <v>44677</v>
      </c>
      <c r="AC130" s="420">
        <f t="shared" si="42"/>
        <v>1.0655580116005774E-2</v>
      </c>
      <c r="AD130" s="165">
        <f>(INDEX(Models!$BJ130:$BT130,,AH130)*(1-AF130)+INDEX(Models!$BJ130:$BT130,,AH130+1)*AF130-ERP_i)*AE130*Ramure*Pc/MaxiM</f>
        <v>1.111421714035582E-6</v>
      </c>
      <c r="AE130" s="301">
        <f t="shared" si="43"/>
        <v>0.5</v>
      </c>
      <c r="AF130" s="173">
        <f t="shared" si="44"/>
        <v>6.1214460694976554E-2</v>
      </c>
      <c r="AG130" s="802">
        <f t="shared" si="45"/>
        <v>0</v>
      </c>
      <c r="AH130" s="172">
        <f t="shared" si="46"/>
        <v>6</v>
      </c>
      <c r="AI130" s="221">
        <f t="shared" si="47"/>
        <v>6.1214460694976554E-2</v>
      </c>
      <c r="AJ130" s="261" t="b">
        <f t="shared" si="48"/>
        <v>0</v>
      </c>
      <c r="AK130" s="261" t="b">
        <f t="shared" si="49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50"/>
        <v>44678</v>
      </c>
      <c r="B131" s="610">
        <v>47.204999999999998</v>
      </c>
      <c r="C131" s="385"/>
      <c r="D131" s="388">
        <f t="shared" si="51"/>
        <v>47.30591510714266</v>
      </c>
      <c r="E131" s="380">
        <f t="shared" si="52"/>
        <v>47.818745957657683</v>
      </c>
      <c r="F131" s="380">
        <f t="shared" si="53"/>
        <v>47.818782462690812</v>
      </c>
      <c r="G131" s="110">
        <f t="shared" si="54"/>
        <v>0.78663303934035966</v>
      </c>
      <c r="I131" s="375">
        <f t="shared" si="28"/>
        <v>47.818782462690812</v>
      </c>
      <c r="J131" s="85">
        <v>2022</v>
      </c>
      <c r="K131" s="193">
        <f t="shared" si="29"/>
        <v>44678</v>
      </c>
      <c r="L131" s="431">
        <f t="shared" si="30"/>
        <v>2.1332450057059971E-3</v>
      </c>
      <c r="M131" s="847"/>
      <c r="N131" s="847"/>
      <c r="O131" s="320">
        <f t="shared" si="31"/>
        <v>1.0724473012511025E-2</v>
      </c>
      <c r="P131" s="165">
        <f>(INDEX(Models!$BJ131:$BT131,,T131)*(1-R131)+INDEX(Models!$BJ131:$BT131,,T131+1)*R131-ERP_i)*Q131*Ramure*Pc/MaxiM</f>
        <v>1.0981216308769138E-6</v>
      </c>
      <c r="Q131" s="301">
        <f t="shared" si="32"/>
        <v>0.5</v>
      </c>
      <c r="R131" s="173">
        <f t="shared" si="33"/>
        <v>6.3668761682111497E-2</v>
      </c>
      <c r="S131" s="802">
        <f t="shared" si="55"/>
        <v>0</v>
      </c>
      <c r="T131" s="172">
        <f t="shared" si="34"/>
        <v>6</v>
      </c>
      <c r="U131" s="247">
        <f t="shared" si="35"/>
        <v>6.3668761682111497E-2</v>
      </c>
      <c r="V131" s="378">
        <f t="shared" si="36"/>
        <v>60.008901023544595</v>
      </c>
      <c r="W131" s="58"/>
      <c r="X131" s="153">
        <f t="shared" si="37"/>
        <v>44678</v>
      </c>
      <c r="Y131" s="380">
        <f t="shared" si="38"/>
        <v>47.204999999999998</v>
      </c>
      <c r="Z131" s="380">
        <f t="shared" si="39"/>
        <v>47.30591510714266</v>
      </c>
      <c r="AA131" s="381">
        <f t="shared" si="40"/>
        <v>47.818745957657683</v>
      </c>
      <c r="AB131" s="193">
        <f t="shared" si="41"/>
        <v>44678</v>
      </c>
      <c r="AC131" s="420">
        <f t="shared" si="42"/>
        <v>1.0724473012511025E-2</v>
      </c>
      <c r="AD131" s="165">
        <f>(INDEX(Models!$BJ131:$BT131,,AH131)*(1-AF131)+INDEX(Models!$BJ131:$BT131,,AH131+1)*AF131-ERP_i)*AE131*Ramure*Pc/MaxiM</f>
        <v>1.0981216308769138E-6</v>
      </c>
      <c r="AE131" s="301">
        <f t="shared" si="43"/>
        <v>0.5</v>
      </c>
      <c r="AF131" s="173">
        <f t="shared" si="44"/>
        <v>6.3668761682111497E-2</v>
      </c>
      <c r="AG131" s="802">
        <f t="shared" si="45"/>
        <v>0</v>
      </c>
      <c r="AH131" s="172">
        <f t="shared" si="46"/>
        <v>6</v>
      </c>
      <c r="AI131" s="221">
        <f t="shared" si="47"/>
        <v>6.3668761682111497E-2</v>
      </c>
      <c r="AJ131" s="261" t="b">
        <f t="shared" si="48"/>
        <v>0</v>
      </c>
      <c r="AK131" s="261" t="b">
        <f t="shared" si="49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50"/>
        <v>44679</v>
      </c>
      <c r="B132" s="610">
        <v>25.166</v>
      </c>
      <c r="C132" s="385"/>
      <c r="D132" s="388">
        <f t="shared" si="51"/>
        <v>25.220145255031031</v>
      </c>
      <c r="E132" s="380">
        <f t="shared" si="52"/>
        <v>25.495329513986846</v>
      </c>
      <c r="F132" s="380">
        <f t="shared" si="53"/>
        <v>25.495334159248106</v>
      </c>
      <c r="G132" s="110">
        <f t="shared" si="54"/>
        <v>0.41787337610770642</v>
      </c>
      <c r="I132" s="375">
        <f t="shared" si="28"/>
        <v>25.495334159248106</v>
      </c>
      <c r="J132" s="85">
        <v>2022</v>
      </c>
      <c r="K132" s="193">
        <f t="shared" si="29"/>
        <v>44679</v>
      </c>
      <c r="L132" s="431">
        <f t="shared" si="30"/>
        <v>2.1469049636115844E-3</v>
      </c>
      <c r="M132" s="847"/>
      <c r="N132" s="847"/>
      <c r="O132" s="320">
        <f t="shared" si="31"/>
        <v>1.0793516467588525E-2</v>
      </c>
      <c r="P132" s="165">
        <f>(INDEX(Models!$BJ132:$BT132,,T132)*(1-R132)+INDEX(Models!$BJ132:$BT132,,T132+1)*R132-ERP_i)*Q132*Ramure*Pc/MaxiM</f>
        <v>1.0820077419272878E-6</v>
      </c>
      <c r="Q132" s="301">
        <f t="shared" si="32"/>
        <v>0.5</v>
      </c>
      <c r="R132" s="173">
        <f t="shared" si="33"/>
        <v>6.6196585724988821E-2</v>
      </c>
      <c r="S132" s="802">
        <f t="shared" si="55"/>
        <v>0</v>
      </c>
      <c r="T132" s="172">
        <f t="shared" si="34"/>
        <v>6</v>
      </c>
      <c r="U132" s="247">
        <f t="shared" si="35"/>
        <v>6.6196585724988821E-2</v>
      </c>
      <c r="V132" s="378">
        <f t="shared" si="36"/>
        <v>60.223930966492027</v>
      </c>
      <c r="W132" s="58"/>
      <c r="X132" s="153">
        <f t="shared" si="37"/>
        <v>44679</v>
      </c>
      <c r="Y132" s="380">
        <f t="shared" si="38"/>
        <v>25.166</v>
      </c>
      <c r="Z132" s="380">
        <f t="shared" si="39"/>
        <v>25.220145255031031</v>
      </c>
      <c r="AA132" s="381">
        <f t="shared" si="40"/>
        <v>25.495329513986846</v>
      </c>
      <c r="AB132" s="193">
        <f t="shared" si="41"/>
        <v>44679</v>
      </c>
      <c r="AC132" s="420">
        <f t="shared" si="42"/>
        <v>1.0793516467588525E-2</v>
      </c>
      <c r="AD132" s="165">
        <f>(INDEX(Models!$BJ132:$BT132,,AH132)*(1-AF132)+INDEX(Models!$BJ132:$BT132,,AH132+1)*AF132-ERP_i)*AE132*Ramure*Pc/MaxiM</f>
        <v>1.0820077419272878E-6</v>
      </c>
      <c r="AE132" s="301">
        <f t="shared" si="43"/>
        <v>0.5</v>
      </c>
      <c r="AF132" s="173">
        <f t="shared" si="44"/>
        <v>6.6196585724988821E-2</v>
      </c>
      <c r="AG132" s="802">
        <f t="shared" si="45"/>
        <v>0</v>
      </c>
      <c r="AH132" s="172">
        <f t="shared" si="46"/>
        <v>6</v>
      </c>
      <c r="AI132" s="221">
        <f t="shared" si="47"/>
        <v>6.6196585724988821E-2</v>
      </c>
      <c r="AJ132" s="261" t="b">
        <f t="shared" si="48"/>
        <v>0</v>
      </c>
      <c r="AK132" s="261" t="b">
        <f t="shared" si="49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50"/>
        <v>44680</v>
      </c>
      <c r="B133" s="610">
        <v>45.611000000000004</v>
      </c>
      <c r="C133" s="385"/>
      <c r="D133" s="388">
        <f t="shared" si="51"/>
        <v>45.709758893087994</v>
      </c>
      <c r="E133" s="380">
        <f t="shared" si="52"/>
        <v>46.211743759158672</v>
      </c>
      <c r="F133" s="380">
        <f t="shared" si="53"/>
        <v>46.211775667555173</v>
      </c>
      <c r="G133" s="110">
        <f t="shared" si="54"/>
        <v>0.75474327355912474</v>
      </c>
      <c r="I133" s="375">
        <f t="shared" si="28"/>
        <v>46.211775667555173</v>
      </c>
      <c r="J133" s="85">
        <v>2022</v>
      </c>
      <c r="K133" s="193">
        <f t="shared" si="29"/>
        <v>44680</v>
      </c>
      <c r="L133" s="431">
        <f t="shared" si="30"/>
        <v>2.1605647345237511E-3</v>
      </c>
      <c r="M133" s="847"/>
      <c r="N133" s="847"/>
      <c r="O133" s="320">
        <f t="shared" si="31"/>
        <v>1.0862712056200922E-2</v>
      </c>
      <c r="P133" s="165">
        <f>(INDEX(Models!$BJ133:$BT133,,T133)*(1-R133)+INDEX(Models!$BJ133:$BT133,,T133+1)*R133-ERP_i)*Q133*Ramure*Pc/MaxiM</f>
        <v>1.062878963050707E-6</v>
      </c>
      <c r="Q133" s="301">
        <f t="shared" si="32"/>
        <v>0.5</v>
      </c>
      <c r="R133" s="173">
        <f t="shared" si="33"/>
        <v>6.8799055486120891E-2</v>
      </c>
      <c r="S133" s="802">
        <f t="shared" si="55"/>
        <v>0</v>
      </c>
      <c r="T133" s="172">
        <f t="shared" si="34"/>
        <v>6</v>
      </c>
      <c r="U133" s="247">
        <f t="shared" si="35"/>
        <v>6.8799055486120891E-2</v>
      </c>
      <c r="V133" s="378">
        <f t="shared" si="36"/>
        <v>60.432447181014311</v>
      </c>
      <c r="W133" s="58"/>
      <c r="X133" s="153">
        <f t="shared" si="37"/>
        <v>44680</v>
      </c>
      <c r="Y133" s="380">
        <f t="shared" si="38"/>
        <v>45.611000000000004</v>
      </c>
      <c r="Z133" s="380">
        <f t="shared" si="39"/>
        <v>45.709758893087994</v>
      </c>
      <c r="AA133" s="381">
        <f t="shared" si="40"/>
        <v>46.211743759158672</v>
      </c>
      <c r="AB133" s="193">
        <f t="shared" si="41"/>
        <v>44680</v>
      </c>
      <c r="AC133" s="420">
        <f t="shared" si="42"/>
        <v>1.0862712056200922E-2</v>
      </c>
      <c r="AD133" s="165">
        <f>(INDEX(Models!$BJ133:$BT133,,AH133)*(1-AF133)+INDEX(Models!$BJ133:$BT133,,AH133+1)*AF133-ERP_i)*AE133*Ramure*Pc/MaxiM</f>
        <v>1.062878963050707E-6</v>
      </c>
      <c r="AE133" s="301">
        <f t="shared" si="43"/>
        <v>0.5</v>
      </c>
      <c r="AF133" s="173">
        <f t="shared" si="44"/>
        <v>6.8799055486120891E-2</v>
      </c>
      <c r="AG133" s="802">
        <f t="shared" si="45"/>
        <v>0</v>
      </c>
      <c r="AH133" s="172">
        <f t="shared" si="46"/>
        <v>6</v>
      </c>
      <c r="AI133" s="221">
        <f t="shared" si="47"/>
        <v>6.8799055486120891E-2</v>
      </c>
      <c r="AJ133" s="261" t="b">
        <f t="shared" si="48"/>
        <v>0</v>
      </c>
      <c r="AK133" s="261" t="b">
        <f t="shared" si="49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50"/>
        <v>44681</v>
      </c>
      <c r="B134" s="610">
        <v>44.986000000000004</v>
      </c>
      <c r="C134" s="385"/>
      <c r="D134" s="388">
        <f t="shared" si="51"/>
        <v>45.084022778698788</v>
      </c>
      <c r="E134" s="380">
        <f t="shared" si="52"/>
        <v>45.582331609337274</v>
      </c>
      <c r="F134" s="380">
        <f t="shared" si="53"/>
        <v>45.582361552210081</v>
      </c>
      <c r="G134" s="110">
        <f t="shared" si="54"/>
        <v>0.74191852914569245</v>
      </c>
      <c r="I134" s="375">
        <f t="shared" si="28"/>
        <v>45.582361552210081</v>
      </c>
      <c r="J134" s="85">
        <v>2022</v>
      </c>
      <c r="K134" s="193">
        <f t="shared" si="29"/>
        <v>44681</v>
      </c>
      <c r="L134" s="431">
        <f t="shared" si="30"/>
        <v>2.1742243184451615E-3</v>
      </c>
      <c r="M134" s="847"/>
      <c r="N134" s="847"/>
      <c r="O134" s="320">
        <f t="shared" si="31"/>
        <v>1.0932061021126205E-2</v>
      </c>
      <c r="P134" s="165">
        <f>(INDEX(Models!$BJ134:$BT134,,T134)*(1-R134)+INDEX(Models!$BJ134:$BT134,,T134+1)*R134-ERP_i)*Q134*Ramure*Pc/MaxiM</f>
        <v>1.0405242181876006E-6</v>
      </c>
      <c r="Q134" s="301">
        <f t="shared" si="32"/>
        <v>0.5</v>
      </c>
      <c r="R134" s="173">
        <f t="shared" si="33"/>
        <v>7.1477231143400016E-2</v>
      </c>
      <c r="S134" s="802">
        <f t="shared" si="55"/>
        <v>0</v>
      </c>
      <c r="T134" s="172">
        <f t="shared" si="34"/>
        <v>6</v>
      </c>
      <c r="U134" s="247">
        <f t="shared" si="35"/>
        <v>7.1477231143400016E-2</v>
      </c>
      <c r="V134" s="378">
        <f t="shared" si="36"/>
        <v>60.634666711845171</v>
      </c>
      <c r="W134" s="58"/>
      <c r="X134" s="153">
        <f t="shared" si="37"/>
        <v>44681</v>
      </c>
      <c r="Y134" s="380">
        <f t="shared" si="38"/>
        <v>44.986000000000004</v>
      </c>
      <c r="Z134" s="380">
        <f t="shared" si="39"/>
        <v>45.084022778698788</v>
      </c>
      <c r="AA134" s="381">
        <f t="shared" si="40"/>
        <v>45.582331609337274</v>
      </c>
      <c r="AB134" s="193">
        <f t="shared" si="41"/>
        <v>44681</v>
      </c>
      <c r="AC134" s="420">
        <f t="shared" si="42"/>
        <v>1.0932061021126205E-2</v>
      </c>
      <c r="AD134" s="165">
        <f>(INDEX(Models!$BJ134:$BT134,,AH134)*(1-AF134)+INDEX(Models!$BJ134:$BT134,,AH134+1)*AF134-ERP_i)*AE134*Ramure*Pc/MaxiM</f>
        <v>1.0405242181876006E-6</v>
      </c>
      <c r="AE134" s="301">
        <f t="shared" si="43"/>
        <v>0.5</v>
      </c>
      <c r="AF134" s="173">
        <f t="shared" si="44"/>
        <v>7.1477231143400016E-2</v>
      </c>
      <c r="AG134" s="802">
        <f t="shared" si="45"/>
        <v>0</v>
      </c>
      <c r="AH134" s="172">
        <f t="shared" si="46"/>
        <v>6</v>
      </c>
      <c r="AI134" s="221">
        <f t="shared" si="47"/>
        <v>7.1477231143400016E-2</v>
      </c>
      <c r="AJ134" s="261" t="b">
        <f t="shared" si="48"/>
        <v>0</v>
      </c>
      <c r="AK134" s="261" t="b">
        <f t="shared" si="49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50"/>
        <v>44682</v>
      </c>
      <c r="B135" s="610">
        <v>51.035000000000004</v>
      </c>
      <c r="C135" s="385"/>
      <c r="D135" s="388">
        <f t="shared" si="51"/>
        <v>51.146903477209811</v>
      </c>
      <c r="E135" s="380">
        <f t="shared" si="52"/>
        <v>51.715858821026515</v>
      </c>
      <c r="F135" s="380">
        <f t="shared" si="53"/>
        <v>51.715899228512008</v>
      </c>
      <c r="G135" s="110">
        <f t="shared" si="54"/>
        <v>0.83898647444982966</v>
      </c>
      <c r="I135" s="375">
        <f t="shared" si="28"/>
        <v>51.715899228512008</v>
      </c>
      <c r="J135" s="85">
        <v>2022</v>
      </c>
      <c r="K135" s="193">
        <f t="shared" si="29"/>
        <v>44682</v>
      </c>
      <c r="L135" s="431">
        <f t="shared" si="30"/>
        <v>2.1878837153782582E-3</v>
      </c>
      <c r="M135" s="847"/>
      <c r="N135" s="847"/>
      <c r="O135" s="320">
        <f t="shared" si="31"/>
        <v>1.1001564254896939E-2</v>
      </c>
      <c r="P135" s="165">
        <f>(INDEX(Models!$BJ135:$BT135,,T135)*(1-R135)+INDEX(Models!$BJ135:$BT135,,T135+1)*R135-ERP_i)*Q135*Ramure*Pc/MaxiM</f>
        <v>1.014746963503088E-6</v>
      </c>
      <c r="Q135" s="301">
        <f t="shared" si="32"/>
        <v>0.5</v>
      </c>
      <c r="R135" s="173">
        <f t="shared" si="33"/>
        <v>7.4232103901460011E-2</v>
      </c>
      <c r="S135" s="802">
        <f t="shared" si="55"/>
        <v>0</v>
      </c>
      <c r="T135" s="172">
        <f t="shared" si="34"/>
        <v>6</v>
      </c>
      <c r="U135" s="247">
        <f t="shared" si="35"/>
        <v>7.4232103901460011E-2</v>
      </c>
      <c r="V135" s="378">
        <f t="shared" si="36"/>
        <v>60.829333537612072</v>
      </c>
      <c r="W135" s="58"/>
      <c r="X135" s="153">
        <f t="shared" si="37"/>
        <v>44682</v>
      </c>
      <c r="Y135" s="380">
        <f t="shared" si="38"/>
        <v>51.035000000000004</v>
      </c>
      <c r="Z135" s="380">
        <f t="shared" si="39"/>
        <v>51.146903477209811</v>
      </c>
      <c r="AA135" s="381">
        <f t="shared" si="40"/>
        <v>51.715858821026515</v>
      </c>
      <c r="AB135" s="193">
        <f t="shared" si="41"/>
        <v>44682</v>
      </c>
      <c r="AC135" s="420">
        <f t="shared" si="42"/>
        <v>1.1001564254896939E-2</v>
      </c>
      <c r="AD135" s="165">
        <f>(INDEX(Models!$BJ135:$BT135,,AH135)*(1-AF135)+INDEX(Models!$BJ135:$BT135,,AH135+1)*AF135-ERP_i)*AE135*Ramure*Pc/MaxiM</f>
        <v>1.014746963503088E-6</v>
      </c>
      <c r="AE135" s="301">
        <f t="shared" si="43"/>
        <v>0.5</v>
      </c>
      <c r="AF135" s="173">
        <f t="shared" si="44"/>
        <v>7.4232103901460011E-2</v>
      </c>
      <c r="AG135" s="802">
        <f t="shared" si="45"/>
        <v>0</v>
      </c>
      <c r="AH135" s="172">
        <f t="shared" si="46"/>
        <v>6</v>
      </c>
      <c r="AI135" s="221">
        <f t="shared" si="47"/>
        <v>7.4232103901460011E-2</v>
      </c>
      <c r="AJ135" s="261" t="b">
        <f t="shared" si="48"/>
        <v>0</v>
      </c>
      <c r="AK135" s="261" t="b">
        <f t="shared" si="49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50"/>
        <v>44683</v>
      </c>
      <c r="B136" s="610">
        <v>32.802999999999997</v>
      </c>
      <c r="C136" s="385"/>
      <c r="D136" s="388">
        <f t="shared" si="51"/>
        <v>32.875376552666943</v>
      </c>
      <c r="E136" s="380">
        <f t="shared" si="52"/>
        <v>33.243421865549678</v>
      </c>
      <c r="F136" s="380">
        <f t="shared" si="53"/>
        <v>33.243433014495245</v>
      </c>
      <c r="G136" s="110">
        <f t="shared" si="54"/>
        <v>0.53761858813121932</v>
      </c>
      <c r="I136" s="375">
        <f t="shared" si="28"/>
        <v>33.243433014495245</v>
      </c>
      <c r="J136" s="85">
        <v>2022</v>
      </c>
      <c r="K136" s="193">
        <f t="shared" si="29"/>
        <v>44683</v>
      </c>
      <c r="L136" s="431">
        <f t="shared" si="30"/>
        <v>2.2015429253258167E-3</v>
      </c>
      <c r="M136" s="847"/>
      <c r="N136" s="847"/>
      <c r="O136" s="320">
        <f t="shared" si="31"/>
        <v>1.1071222281847695E-2</v>
      </c>
      <c r="P136" s="165">
        <f>(INDEX(Models!$BJ136:$BT136,,T136)*(1-R136)+INDEX(Models!$BJ136:$BT136,,T136+1)*R136-ERP_i)*Q136*Ramure*Pc/MaxiM</f>
        <v>9.8797263665247727E-7</v>
      </c>
      <c r="Q136" s="301">
        <f t="shared" si="32"/>
        <v>0.5</v>
      </c>
      <c r="R136" s="173">
        <f t="shared" si="33"/>
        <v>7.7064589336895112E-2</v>
      </c>
      <c r="S136" s="802">
        <f t="shared" si="55"/>
        <v>0</v>
      </c>
      <c r="T136" s="172">
        <f t="shared" si="34"/>
        <v>6</v>
      </c>
      <c r="U136" s="247">
        <f t="shared" si="35"/>
        <v>7.7064589336895112E-2</v>
      </c>
      <c r="V136" s="378">
        <f t="shared" si="36"/>
        <v>61.015335624437732</v>
      </c>
      <c r="W136" s="58"/>
      <c r="X136" s="153">
        <f t="shared" si="37"/>
        <v>44683</v>
      </c>
      <c r="Y136" s="380">
        <f t="shared" si="38"/>
        <v>32.802999999999997</v>
      </c>
      <c r="Z136" s="380">
        <f t="shared" si="39"/>
        <v>32.875376552666943</v>
      </c>
      <c r="AA136" s="381">
        <f t="shared" si="40"/>
        <v>33.243421865549678</v>
      </c>
      <c r="AB136" s="193">
        <f t="shared" si="41"/>
        <v>44683</v>
      </c>
      <c r="AC136" s="420">
        <f t="shared" si="42"/>
        <v>1.1071222281847695E-2</v>
      </c>
      <c r="AD136" s="165">
        <f>(INDEX(Models!$BJ136:$BT136,,AH136)*(1-AF136)+INDEX(Models!$BJ136:$BT136,,AH136+1)*AF136-ERP_i)*AE136*Ramure*Pc/MaxiM</f>
        <v>9.8797263665247727E-7</v>
      </c>
      <c r="AE136" s="301">
        <f t="shared" si="43"/>
        <v>0.5</v>
      </c>
      <c r="AF136" s="173">
        <f t="shared" si="44"/>
        <v>7.7064589336895112E-2</v>
      </c>
      <c r="AG136" s="802">
        <f t="shared" si="45"/>
        <v>0</v>
      </c>
      <c r="AH136" s="172">
        <f t="shared" si="46"/>
        <v>6</v>
      </c>
      <c r="AI136" s="221">
        <f t="shared" si="47"/>
        <v>7.7064589336895112E-2</v>
      </c>
      <c r="AJ136" s="261" t="b">
        <f t="shared" si="48"/>
        <v>0</v>
      </c>
      <c r="AK136" s="261" t="b">
        <f t="shared" si="49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50"/>
        <v>44684</v>
      </c>
      <c r="B137" s="610">
        <v>36.56</v>
      </c>
      <c r="C137" s="385"/>
      <c r="D137" s="388">
        <f t="shared" si="51"/>
        <v>36.641167585823744</v>
      </c>
      <c r="E137" s="380">
        <f t="shared" si="52"/>
        <v>37.053987364853157</v>
      </c>
      <c r="F137" s="380">
        <f t="shared" si="53"/>
        <v>37.054002471299164</v>
      </c>
      <c r="G137" s="110">
        <f t="shared" si="54"/>
        <v>0.59745259109991411</v>
      </c>
      <c r="I137" s="375">
        <f t="shared" si="28"/>
        <v>37.054002471299164</v>
      </c>
      <c r="J137" s="85">
        <v>2022</v>
      </c>
      <c r="K137" s="193">
        <f t="shared" si="29"/>
        <v>44684</v>
      </c>
      <c r="L137" s="431">
        <f t="shared" si="30"/>
        <v>2.2152019482901686E-3</v>
      </c>
      <c r="M137" s="847"/>
      <c r="N137" s="847"/>
      <c r="O137" s="320">
        <f t="shared" si="31"/>
        <v>1.1141035240406669E-2</v>
      </c>
      <c r="P137" s="165">
        <f>(INDEX(Models!$BJ137:$BT137,,T137)*(1-R137)+INDEX(Models!$BJ137:$BT137,,T137+1)*R137-ERP_i)*Q137*Ramure*Pc/MaxiM</f>
        <v>9.5941604869832007E-7</v>
      </c>
      <c r="Q137" s="301">
        <f t="shared" si="32"/>
        <v>0.5</v>
      </c>
      <c r="R137" s="173">
        <f t="shared" si="33"/>
        <v>7.9975520602458883E-2</v>
      </c>
      <c r="S137" s="802">
        <f t="shared" si="55"/>
        <v>0</v>
      </c>
      <c r="T137" s="172">
        <f t="shared" si="34"/>
        <v>6</v>
      </c>
      <c r="U137" s="247">
        <f t="shared" si="35"/>
        <v>7.9975520602458883E-2</v>
      </c>
      <c r="V137" s="378">
        <f t="shared" si="36"/>
        <v>61.193106153379226</v>
      </c>
      <c r="W137" s="58"/>
      <c r="X137" s="153">
        <f t="shared" si="37"/>
        <v>44684</v>
      </c>
      <c r="Y137" s="380">
        <f t="shared" si="38"/>
        <v>36.56</v>
      </c>
      <c r="Z137" s="380">
        <f t="shared" si="39"/>
        <v>36.641167585823744</v>
      </c>
      <c r="AA137" s="381">
        <f t="shared" si="40"/>
        <v>37.053987364853157</v>
      </c>
      <c r="AB137" s="193">
        <f t="shared" si="41"/>
        <v>44684</v>
      </c>
      <c r="AC137" s="420">
        <f t="shared" si="42"/>
        <v>1.1141035240406669E-2</v>
      </c>
      <c r="AD137" s="165">
        <f>(INDEX(Models!$BJ137:$BT137,,AH137)*(1-AF137)+INDEX(Models!$BJ137:$BT137,,AH137+1)*AF137-ERP_i)*AE137*Ramure*Pc/MaxiM</f>
        <v>9.5941604869832007E-7</v>
      </c>
      <c r="AE137" s="301">
        <f t="shared" si="43"/>
        <v>0.5</v>
      </c>
      <c r="AF137" s="173">
        <f t="shared" si="44"/>
        <v>7.9975520602458883E-2</v>
      </c>
      <c r="AG137" s="802">
        <f t="shared" si="45"/>
        <v>0</v>
      </c>
      <c r="AH137" s="172">
        <f t="shared" si="46"/>
        <v>6</v>
      </c>
      <c r="AI137" s="221">
        <f t="shared" si="47"/>
        <v>7.9975520602458883E-2</v>
      </c>
      <c r="AJ137" s="261" t="b">
        <f t="shared" si="48"/>
        <v>0</v>
      </c>
      <c r="AK137" s="261" t="b">
        <f t="shared" si="49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50"/>
        <v>44685</v>
      </c>
      <c r="B138" s="610">
        <v>20.576000000000001</v>
      </c>
      <c r="C138" s="385"/>
      <c r="D138" s="388">
        <f t="shared" si="51"/>
        <v>20.621963485708026</v>
      </c>
      <c r="E138" s="380">
        <f t="shared" si="52"/>
        <v>20.855777668922329</v>
      </c>
      <c r="F138" s="380">
        <f t="shared" si="53"/>
        <v>20.855778646437024</v>
      </c>
      <c r="G138" s="110">
        <f t="shared" si="54"/>
        <v>0.33531534708199001</v>
      </c>
      <c r="I138" s="375">
        <f t="shared" si="28"/>
        <v>20.855778646437024</v>
      </c>
      <c r="J138" s="85">
        <v>2022</v>
      </c>
      <c r="K138" s="193">
        <f t="shared" si="29"/>
        <v>44685</v>
      </c>
      <c r="L138" s="431">
        <f t="shared" si="30"/>
        <v>2.2288607842739783E-3</v>
      </c>
      <c r="M138" s="847"/>
      <c r="N138" s="847"/>
      <c r="O138" s="320">
        <f t="shared" si="31"/>
        <v>1.1211002865777272E-2</v>
      </c>
      <c r="P138" s="165">
        <f>(INDEX(Models!$BJ138:$BT138,,T138)*(1-R138)+INDEX(Models!$BJ138:$BT138,,T138+1)*R138-ERP_i)*Q138*Ramure*Pc/MaxiM</f>
        <v>9.2902587202515228E-7</v>
      </c>
      <c r="Q138" s="301">
        <f t="shared" si="32"/>
        <v>0.5</v>
      </c>
      <c r="R138" s="173">
        <f t="shared" si="33"/>
        <v>8.2965641518749272E-2</v>
      </c>
      <c r="S138" s="802">
        <f t="shared" si="55"/>
        <v>0</v>
      </c>
      <c r="T138" s="172">
        <f t="shared" si="34"/>
        <v>6</v>
      </c>
      <c r="U138" s="247">
        <f t="shared" si="35"/>
        <v>8.2965641518749272E-2</v>
      </c>
      <c r="V138" s="378">
        <f t="shared" si="36"/>
        <v>61.363078152617511</v>
      </c>
      <c r="W138" s="58"/>
      <c r="X138" s="153">
        <f t="shared" si="37"/>
        <v>44685</v>
      </c>
      <c r="Y138" s="380">
        <f t="shared" si="38"/>
        <v>20.576000000000001</v>
      </c>
      <c r="Z138" s="380">
        <f t="shared" si="39"/>
        <v>20.621963485708026</v>
      </c>
      <c r="AA138" s="381">
        <f t="shared" si="40"/>
        <v>20.855777668922329</v>
      </c>
      <c r="AB138" s="193">
        <f t="shared" si="41"/>
        <v>44685</v>
      </c>
      <c r="AC138" s="420">
        <f t="shared" si="42"/>
        <v>1.1211002865777272E-2</v>
      </c>
      <c r="AD138" s="165">
        <f>(INDEX(Models!$BJ138:$BT138,,AH138)*(1-AF138)+INDEX(Models!$BJ138:$BT138,,AH138+1)*AF138-ERP_i)*AE138*Ramure*Pc/MaxiM</f>
        <v>9.2902587202515228E-7</v>
      </c>
      <c r="AE138" s="301">
        <f t="shared" si="43"/>
        <v>0.5</v>
      </c>
      <c r="AF138" s="173">
        <f t="shared" si="44"/>
        <v>8.2965641518749272E-2</v>
      </c>
      <c r="AG138" s="802">
        <f t="shared" si="45"/>
        <v>0</v>
      </c>
      <c r="AH138" s="172">
        <f t="shared" si="46"/>
        <v>6</v>
      </c>
      <c r="AI138" s="221">
        <f t="shared" si="47"/>
        <v>8.2965641518749272E-2</v>
      </c>
      <c r="AJ138" s="261" t="b">
        <f t="shared" si="48"/>
        <v>0</v>
      </c>
      <c r="AK138" s="261" t="b">
        <f t="shared" si="49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50"/>
        <v>44686</v>
      </c>
      <c r="B139" s="610">
        <v>41.416000000000004</v>
      </c>
      <c r="C139" s="385"/>
      <c r="D139" s="388">
        <f t="shared" si="51"/>
        <v>41.509084929612321</v>
      </c>
      <c r="E139" s="380">
        <f t="shared" si="52"/>
        <v>41.982696959734227</v>
      </c>
      <c r="F139" s="380">
        <f t="shared" si="53"/>
        <v>41.982717028924689</v>
      </c>
      <c r="G139" s="110">
        <f t="shared" si="54"/>
        <v>0.67314948174334999</v>
      </c>
      <c r="I139" s="375">
        <f t="shared" si="28"/>
        <v>41.982717028924689</v>
      </c>
      <c r="J139" s="85">
        <v>2022</v>
      </c>
      <c r="K139" s="193">
        <f t="shared" si="29"/>
        <v>44686</v>
      </c>
      <c r="L139" s="431">
        <f t="shared" si="30"/>
        <v>2.2425194332797993E-3</v>
      </c>
      <c r="M139" s="847"/>
      <c r="N139" s="847"/>
      <c r="O139" s="320">
        <f t="shared" si="31"/>
        <v>1.128112447316452E-2</v>
      </c>
      <c r="P139" s="165">
        <f>(INDEX(Models!$BJ139:$BT139,,T139)*(1-R139)+INDEX(Models!$BJ139:$BT139,,T139+1)*R139-ERP_i)*Q139*Ramure*Pc/MaxiM</f>
        <v>8.9675577455300845E-7</v>
      </c>
      <c r="Q139" s="301">
        <f t="shared" si="32"/>
        <v>0.5</v>
      </c>
      <c r="R139" s="173">
        <f t="shared" si="33"/>
        <v>8.6035599585325667E-2</v>
      </c>
      <c r="S139" s="802">
        <f t="shared" si="55"/>
        <v>0</v>
      </c>
      <c r="T139" s="172">
        <f t="shared" si="34"/>
        <v>6</v>
      </c>
      <c r="U139" s="247">
        <f t="shared" si="35"/>
        <v>8.6035599585325667E-2</v>
      </c>
      <c r="V139" s="378">
        <f t="shared" si="36"/>
        <v>61.525684534397733</v>
      </c>
      <c r="W139" s="58"/>
      <c r="X139" s="153">
        <f t="shared" si="37"/>
        <v>44686</v>
      </c>
      <c r="Y139" s="380">
        <f t="shared" si="38"/>
        <v>41.416000000000004</v>
      </c>
      <c r="Z139" s="380">
        <f t="shared" si="39"/>
        <v>41.509084929612321</v>
      </c>
      <c r="AA139" s="381">
        <f t="shared" si="40"/>
        <v>41.982696959734227</v>
      </c>
      <c r="AB139" s="193">
        <f t="shared" si="41"/>
        <v>44686</v>
      </c>
      <c r="AC139" s="420">
        <f t="shared" si="42"/>
        <v>1.128112447316452E-2</v>
      </c>
      <c r="AD139" s="165">
        <f>(INDEX(Models!$BJ139:$BT139,,AH139)*(1-AF139)+INDEX(Models!$BJ139:$BT139,,AH139+1)*AF139-ERP_i)*AE139*Ramure*Pc/MaxiM</f>
        <v>8.9675577455300845E-7</v>
      </c>
      <c r="AE139" s="301">
        <f t="shared" si="43"/>
        <v>0.5</v>
      </c>
      <c r="AF139" s="173">
        <f t="shared" si="44"/>
        <v>8.6035599585325667E-2</v>
      </c>
      <c r="AG139" s="802">
        <f t="shared" si="45"/>
        <v>0</v>
      </c>
      <c r="AH139" s="172">
        <f t="shared" si="46"/>
        <v>6</v>
      </c>
      <c r="AI139" s="221">
        <f t="shared" si="47"/>
        <v>8.6035599585325667E-2</v>
      </c>
      <c r="AJ139" s="261" t="b">
        <f t="shared" si="48"/>
        <v>0</v>
      </c>
      <c r="AK139" s="261" t="b">
        <f t="shared" si="49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50"/>
        <v>44687</v>
      </c>
      <c r="B140" s="610">
        <v>43.416000000000004</v>
      </c>
      <c r="C140" s="385"/>
      <c r="D140" s="388">
        <f t="shared" si="51"/>
        <v>43.514175721395262</v>
      </c>
      <c r="E140" s="380">
        <f t="shared" si="52"/>
        <v>44.013793854374406</v>
      </c>
      <c r="F140" s="380">
        <f t="shared" si="53"/>
        <v>44.0138157587295</v>
      </c>
      <c r="G140" s="110">
        <f t="shared" si="54"/>
        <v>0.70387529545624139</v>
      </c>
      <c r="I140" s="375">
        <f t="shared" si="28"/>
        <v>44.0138157587295</v>
      </c>
      <c r="J140" s="85">
        <v>2022</v>
      </c>
      <c r="K140" s="193">
        <f t="shared" si="29"/>
        <v>44687</v>
      </c>
      <c r="L140" s="431">
        <f t="shared" si="30"/>
        <v>2.2561778953101852E-3</v>
      </c>
      <c r="M140" s="847"/>
      <c r="N140" s="847"/>
      <c r="O140" s="320">
        <f t="shared" si="31"/>
        <v>1.1351398941709039E-2</v>
      </c>
      <c r="P140" s="165">
        <f>(INDEX(Models!$BJ140:$BT140,,T140)*(1-R140)+INDEX(Models!$BJ140:$BT140,,T140+1)*R140-ERP_i)*Q140*Ramure*Pc/MaxiM</f>
        <v>8.6256518528233856E-7</v>
      </c>
      <c r="Q140" s="301">
        <f t="shared" si="32"/>
        <v>0.5</v>
      </c>
      <c r="R140" s="173">
        <f t="shared" si="33"/>
        <v>8.9185938946667043E-2</v>
      </c>
      <c r="S140" s="802">
        <f t="shared" si="55"/>
        <v>0</v>
      </c>
      <c r="T140" s="172">
        <f t="shared" si="34"/>
        <v>6</v>
      </c>
      <c r="U140" s="247">
        <f t="shared" si="35"/>
        <v>8.9185938946667043E-2</v>
      </c>
      <c r="V140" s="378">
        <f t="shared" si="36"/>
        <v>61.681358101310515</v>
      </c>
      <c r="W140" s="58"/>
      <c r="X140" s="153">
        <f t="shared" si="37"/>
        <v>44687</v>
      </c>
      <c r="Y140" s="380">
        <f t="shared" si="38"/>
        <v>43.416000000000004</v>
      </c>
      <c r="Z140" s="380">
        <f t="shared" si="39"/>
        <v>43.514175721395262</v>
      </c>
      <c r="AA140" s="381">
        <f t="shared" si="40"/>
        <v>44.013793854374406</v>
      </c>
      <c r="AB140" s="193">
        <f t="shared" si="41"/>
        <v>44687</v>
      </c>
      <c r="AC140" s="420">
        <f t="shared" si="42"/>
        <v>1.1351398941709039E-2</v>
      </c>
      <c r="AD140" s="165">
        <f>(INDEX(Models!$BJ140:$BT140,,AH140)*(1-AF140)+INDEX(Models!$BJ140:$BT140,,AH140+1)*AF140-ERP_i)*AE140*Ramure*Pc/MaxiM</f>
        <v>8.6256518528233856E-7</v>
      </c>
      <c r="AE140" s="301">
        <f t="shared" si="43"/>
        <v>0.5</v>
      </c>
      <c r="AF140" s="173">
        <f t="shared" si="44"/>
        <v>8.9185938946667043E-2</v>
      </c>
      <c r="AG140" s="802">
        <f t="shared" si="45"/>
        <v>0</v>
      </c>
      <c r="AH140" s="172">
        <f t="shared" si="46"/>
        <v>6</v>
      </c>
      <c r="AI140" s="221">
        <f t="shared" si="47"/>
        <v>8.9185938946667043E-2</v>
      </c>
      <c r="AJ140" s="261" t="b">
        <f t="shared" si="48"/>
        <v>0</v>
      </c>
      <c r="AK140" s="261" t="b">
        <f t="shared" si="49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50"/>
        <v>44688</v>
      </c>
      <c r="B141" s="610">
        <v>49.936</v>
      </c>
      <c r="C141" s="385"/>
      <c r="D141" s="388">
        <f t="shared" si="51"/>
        <v>50.049604402385128</v>
      </c>
      <c r="E141" s="380">
        <f t="shared" si="52"/>
        <v>50.627867024437592</v>
      </c>
      <c r="F141" s="380">
        <f t="shared" si="53"/>
        <v>50.627897365958461</v>
      </c>
      <c r="G141" s="110">
        <f t="shared" si="54"/>
        <v>0.8076267082391837</v>
      </c>
      <c r="I141" s="375">
        <f t="shared" si="28"/>
        <v>50.627897365958461</v>
      </c>
      <c r="J141" s="85">
        <v>2022</v>
      </c>
      <c r="K141" s="193">
        <f t="shared" si="29"/>
        <v>44688</v>
      </c>
      <c r="L141" s="431">
        <f t="shared" si="30"/>
        <v>2.2698361703676895E-3</v>
      </c>
      <c r="M141" s="847"/>
      <c r="N141" s="847"/>
      <c r="O141" s="320">
        <f t="shared" si="31"/>
        <v>1.1421824699297391E-2</v>
      </c>
      <c r="P141" s="165">
        <f>(INDEX(Models!$BJ141:$BT141,,T141)*(1-R141)+INDEX(Models!$BJ141:$BT141,,T141+1)*R141-ERP_i)*Q141*Ramure*Pc/MaxiM</f>
        <v>8.2642010515904147E-7</v>
      </c>
      <c r="Q141" s="301">
        <f t="shared" si="32"/>
        <v>0.5</v>
      </c>
      <c r="R141" s="173">
        <f t="shared" si="33"/>
        <v>9.2417093351819385E-2</v>
      </c>
      <c r="S141" s="802">
        <f t="shared" si="55"/>
        <v>0</v>
      </c>
      <c r="T141" s="172">
        <f t="shared" si="34"/>
        <v>6</v>
      </c>
      <c r="U141" s="247">
        <f t="shared" si="35"/>
        <v>9.2417093351819385E-2</v>
      </c>
      <c r="V141" s="378">
        <f t="shared" si="36"/>
        <v>61.83053154298819</v>
      </c>
      <c r="W141" s="58"/>
      <c r="X141" s="153">
        <f t="shared" si="37"/>
        <v>44688</v>
      </c>
      <c r="Y141" s="380">
        <f t="shared" si="38"/>
        <v>49.936</v>
      </c>
      <c r="Z141" s="380">
        <f t="shared" si="39"/>
        <v>50.049604402385128</v>
      </c>
      <c r="AA141" s="381">
        <f t="shared" si="40"/>
        <v>50.627867024437592</v>
      </c>
      <c r="AB141" s="193">
        <f t="shared" si="41"/>
        <v>44688</v>
      </c>
      <c r="AC141" s="420">
        <f t="shared" si="42"/>
        <v>1.1421824699297391E-2</v>
      </c>
      <c r="AD141" s="165">
        <f>(INDEX(Models!$BJ141:$BT141,,AH141)*(1-AF141)+INDEX(Models!$BJ141:$BT141,,AH141+1)*AF141-ERP_i)*AE141*Ramure*Pc/MaxiM</f>
        <v>8.2642010515904147E-7</v>
      </c>
      <c r="AE141" s="301">
        <f t="shared" si="43"/>
        <v>0.5</v>
      </c>
      <c r="AF141" s="173">
        <f t="shared" si="44"/>
        <v>9.2417093351819385E-2</v>
      </c>
      <c r="AG141" s="802">
        <f t="shared" si="45"/>
        <v>0</v>
      </c>
      <c r="AH141" s="172">
        <f t="shared" si="46"/>
        <v>6</v>
      </c>
      <c r="AI141" s="221">
        <f t="shared" si="47"/>
        <v>9.2417093351819385E-2</v>
      </c>
      <c r="AJ141" s="261" t="b">
        <f t="shared" si="48"/>
        <v>0</v>
      </c>
      <c r="AK141" s="261" t="b">
        <f t="shared" si="49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50"/>
        <v>44689</v>
      </c>
      <c r="B142" s="610">
        <v>56.639000000000003</v>
      </c>
      <c r="C142" s="385"/>
      <c r="D142" s="388">
        <f t="shared" si="51"/>
        <v>56.768630842589403</v>
      </c>
      <c r="E142" s="380">
        <f t="shared" si="52"/>
        <v>57.428623539004143</v>
      </c>
      <c r="F142" s="380">
        <f t="shared" si="53"/>
        <v>57.428663358551631</v>
      </c>
      <c r="G142" s="110">
        <f t="shared" si="54"/>
        <v>0.91392077280216044</v>
      </c>
      <c r="I142" s="375">
        <f t="shared" si="28"/>
        <v>57.428663358551631</v>
      </c>
      <c r="J142" s="85">
        <v>2022</v>
      </c>
      <c r="K142" s="193">
        <f t="shared" si="29"/>
        <v>44689</v>
      </c>
      <c r="L142" s="431">
        <f t="shared" si="30"/>
        <v>2.2834942584548656E-3</v>
      </c>
      <c r="M142" s="847"/>
      <c r="N142" s="847"/>
      <c r="O142" s="320">
        <f t="shared" si="31"/>
        <v>1.1492399708422207E-2</v>
      </c>
      <c r="P142" s="165">
        <f>(INDEX(Models!$BJ142:$BT142,,T142)*(1-R142)+INDEX(Models!$BJ142:$BT142,,T142+1)*R142-ERP_i)*Q142*Ramure*Pc/MaxiM</f>
        <v>7.9059353887642558E-7</v>
      </c>
      <c r="Q142" s="301">
        <f t="shared" si="32"/>
        <v>0.5</v>
      </c>
      <c r="R142" s="173">
        <f t="shared" si="33"/>
        <v>9.5729379149952332E-2</v>
      </c>
      <c r="S142" s="802">
        <f t="shared" si="55"/>
        <v>0</v>
      </c>
      <c r="T142" s="172">
        <f t="shared" si="34"/>
        <v>6</v>
      </c>
      <c r="U142" s="247">
        <f t="shared" si="35"/>
        <v>9.5729379149952332E-2</v>
      </c>
      <c r="V142" s="378">
        <f t="shared" si="36"/>
        <v>61.973637298913815</v>
      </c>
      <c r="W142" s="58"/>
      <c r="X142" s="153">
        <f t="shared" si="37"/>
        <v>44689</v>
      </c>
      <c r="Y142" s="380">
        <f t="shared" si="38"/>
        <v>56.639000000000003</v>
      </c>
      <c r="Z142" s="380">
        <f t="shared" si="39"/>
        <v>56.768630842589403</v>
      </c>
      <c r="AA142" s="381">
        <f t="shared" si="40"/>
        <v>57.428623539004143</v>
      </c>
      <c r="AB142" s="193">
        <f t="shared" si="41"/>
        <v>44689</v>
      </c>
      <c r="AC142" s="420">
        <f t="shared" si="42"/>
        <v>1.1492399708422207E-2</v>
      </c>
      <c r="AD142" s="165">
        <f>(INDEX(Models!$BJ142:$BT142,,AH142)*(1-AF142)+INDEX(Models!$BJ142:$BT142,,AH142+1)*AF142-ERP_i)*AE142*Ramure*Pc/MaxiM</f>
        <v>7.9059353887642558E-7</v>
      </c>
      <c r="AE142" s="301">
        <f t="shared" si="43"/>
        <v>0.5</v>
      </c>
      <c r="AF142" s="173">
        <f t="shared" si="44"/>
        <v>9.5729379149952332E-2</v>
      </c>
      <c r="AG142" s="802">
        <f t="shared" si="45"/>
        <v>0</v>
      </c>
      <c r="AH142" s="172">
        <f t="shared" si="46"/>
        <v>6</v>
      </c>
      <c r="AI142" s="221">
        <f t="shared" si="47"/>
        <v>9.5729379149952332E-2</v>
      </c>
      <c r="AJ142" s="261" t="b">
        <f t="shared" si="48"/>
        <v>0</v>
      </c>
      <c r="AK142" s="261" t="b">
        <f t="shared" si="49"/>
        <v>0</v>
      </c>
      <c r="AL142" s="261"/>
      <c r="AM142" s="261"/>
      <c r="AN142" s="75"/>
    </row>
    <row r="143" spans="1:40" s="6" customFormat="1" ht="11.25" customHeight="1" x14ac:dyDescent="0.2">
      <c r="A143" s="56">
        <f t="shared" si="50"/>
        <v>44690</v>
      </c>
      <c r="B143" s="610">
        <v>59.929000000000002</v>
      </c>
      <c r="C143" s="385"/>
      <c r="D143" s="388">
        <f t="shared" si="51"/>
        <v>60.06698299971692</v>
      </c>
      <c r="E143" s="380">
        <f t="shared" si="52"/>
        <v>60.769670075474693</v>
      </c>
      <c r="F143" s="380">
        <f t="shared" si="53"/>
        <v>60.769713742557045</v>
      </c>
      <c r="G143" s="110">
        <f t="shared" si="54"/>
        <v>0.96486763641979034</v>
      </c>
      <c r="I143" s="375">
        <f t="shared" ref="I143:I206" si="56">Wh_hp</f>
        <v>60.769713742557045</v>
      </c>
      <c r="J143" s="85">
        <v>2022</v>
      </c>
      <c r="K143" s="193">
        <f t="shared" ref="K143:K206" si="57">t</f>
        <v>44690</v>
      </c>
      <c r="L143" s="431">
        <f t="shared" ref="L143:L206" si="58">IF(t&lt;T0,0,IF(t&lt;Tvie,1-EXP((T0-t)*PertePVj),1-EXP((T0-t)*PertePVj)+Pspv))</f>
        <v>2.2971521595743782E-3</v>
      </c>
      <c r="M143" s="847"/>
      <c r="N143" s="847"/>
      <c r="O143" s="320">
        <f t="shared" ref="O143:O206" si="59">IF(t&lt;T0,0,IF(t&lt;Tnet,Salim_i*(1-EXP((T0-t)/Tau_ij)),Resal+(Salim-Resal)*(1-EXP((Tnet-t)/(Tau_j)))))*Salcycl</f>
        <v>1.1563121453268575E-2</v>
      </c>
      <c r="P143" s="165">
        <f>(INDEX(Models!$BJ143:$BT143,,T143)*(1-R143)+INDEX(Models!$BJ143:$BT143,,T143+1)*R143-ERP_i)*Q143*Ramure*Pc/MaxiM</f>
        <v>7.5653636293644051E-7</v>
      </c>
      <c r="Q143" s="301">
        <f t="shared" ref="Q143:Q206" si="60">IF(OR(t&lt;Ttai,Notai),Dd+PousD*Croivg,Dens+PousD*(Croivg-Croi_tai))</f>
        <v>0.5</v>
      </c>
      <c r="R143" s="173">
        <f t="shared" ref="R143:R206" si="61">(Hp_vg-S143)/(INDEX(Echel_vg,T143+1)-S143)</f>
        <v>9.9122988367297715E-2</v>
      </c>
      <c r="S143" s="802">
        <f t="shared" si="55"/>
        <v>0</v>
      </c>
      <c r="T143" s="172">
        <f t="shared" ref="T143:T206" si="62">MIN(MATCH(Hp_vg,Echel_vg),10)</f>
        <v>6</v>
      </c>
      <c r="U143" s="247">
        <f t="shared" ref="U143:U206" si="63">IF(OR(t&lt;Ttai,Notai),Hdd+PousH*Croivg,Hdtf+PousH*(Croivg-Croi_tai))</f>
        <v>9.9122988367297715E-2</v>
      </c>
      <c r="V143" s="378">
        <f t="shared" ref="V143:V206" si="64">MaxiM*(1-Ppv)*(1-Pvg)*(1-Psa)</f>
        <v>62.111107744141009</v>
      </c>
      <c r="W143" s="58"/>
      <c r="X143" s="153">
        <f t="shared" ref="X143:X206" si="65">t</f>
        <v>44690</v>
      </c>
      <c r="Y143" s="380">
        <f t="shared" ref="Y143:Y206" si="66">Wh_pvt_s*(1-Ppv)</f>
        <v>59.929000000000002</v>
      </c>
      <c r="Z143" s="380">
        <f t="shared" ref="Z143:Z206" si="67">Wh_sa_s*(1-Psa_s)</f>
        <v>60.06698299971692</v>
      </c>
      <c r="AA143" s="381">
        <f t="shared" ref="AA143:AA206" si="68">Wh_hp*(1-Pvg_s*MEDIAN((-Sdif+Wh/Env_an)/Csdif,0,1))</f>
        <v>60.769670075474693</v>
      </c>
      <c r="AB143" s="193">
        <f t="shared" ref="AB143:AB206" si="69">t</f>
        <v>44690</v>
      </c>
      <c r="AC143" s="420">
        <f t="shared" ref="AC143:AC206" si="70">IF(t&lt;T0,0,IF(OR(t&lt;Tnet,NoTnet),Salim_i*(1-EXP((T0-t)/Tau_ij)),Resal_s+(Salim-Resal_s)*(1-EXP((Tnet_s-t)/Tau_j))))*Salcycl</f>
        <v>1.1563121453268575E-2</v>
      </c>
      <c r="AD143" s="165">
        <f>(INDEX(Models!$BJ143:$BT143,,AH143)*(1-AF143)+INDEX(Models!$BJ143:$BT143,,AH143+1)*AF143-ERP_i)*AE143*Ramure*Pc/MaxiM</f>
        <v>7.5653636293644051E-7</v>
      </c>
      <c r="AE143" s="301">
        <f t="shared" ref="AE143:AE206" si="71">Dd+PousD*Croivg</f>
        <v>0.5</v>
      </c>
      <c r="AF143" s="173">
        <f t="shared" ref="AF143:AF206" si="72">(Hp_vg_s-AG143)/(INDEX(Echel_vg,AH143+1)-AG143)</f>
        <v>9.9122988367297715E-2</v>
      </c>
      <c r="AG143" s="802">
        <f t="shared" ref="AG143:AG206" si="73">INDEX(Echel_vg,AH143)</f>
        <v>0</v>
      </c>
      <c r="AH143" s="172">
        <f t="shared" ref="AH143:AH206" si="74">MIN(MATCH(Hp_vg_s,Echel_vg),10)</f>
        <v>6</v>
      </c>
      <c r="AI143" s="221">
        <f t="shared" ref="AI143:AI206" si="75">Hdd+PousH*Croivg</f>
        <v>9.9122988367297715E-2</v>
      </c>
      <c r="AJ143" s="261" t="b">
        <f t="shared" ref="AJ143:AJ206" si="76">t&lt;Tnet</f>
        <v>0</v>
      </c>
      <c r="AK143" s="261" t="b">
        <f t="shared" ref="AK143:AK206" si="77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0" si="78">A143+1</f>
        <v>44691</v>
      </c>
      <c r="B144" s="610">
        <v>58.701999999999998</v>
      </c>
      <c r="C144" s="385"/>
      <c r="D144" s="388">
        <f t="shared" ref="D144:D200" si="79">Wh/(1-Ppv)</f>
        <v>58.83796334665152</v>
      </c>
      <c r="E144" s="380">
        <f t="shared" ref="E144:E200" si="80">Wh_pvt/(1-Psa)</f>
        <v>59.530540881091049</v>
      </c>
      <c r="F144" s="380">
        <f t="shared" ref="F144:F200" si="81">Wh_sa/(1-Pvg*MEDIAN((-Sdif+Wh/Env_an)/Csdif,0,1))</f>
        <v>59.530580514371692</v>
      </c>
      <c r="G144" s="110">
        <f t="shared" ref="G144:G200" si="82">+Wh_hp/MaxiM</f>
        <v>0.94310432782841691</v>
      </c>
      <c r="I144" s="375">
        <f t="shared" si="56"/>
        <v>59.530580514371692</v>
      </c>
      <c r="J144" s="85">
        <v>2022</v>
      </c>
      <c r="K144" s="193">
        <f t="shared" si="57"/>
        <v>44691</v>
      </c>
      <c r="L144" s="431">
        <f t="shared" si="58"/>
        <v>2.3108098737285587E-3</v>
      </c>
      <c r="M144" s="847"/>
      <c r="N144" s="847"/>
      <c r="O144" s="320">
        <f t="shared" si="59"/>
        <v>1.1633986928204044E-2</v>
      </c>
      <c r="P144" s="165">
        <f>(INDEX(Models!$BJ144:$BT144,,T144)*(1-R144)+INDEX(Models!$BJ144:$BT144,,T144+1)*R144-ERP_i)*Q144*Ramure*Pc/MaxiM</f>
        <v>7.2466364669573187E-7</v>
      </c>
      <c r="Q144" s="301">
        <f t="shared" si="60"/>
        <v>0.5</v>
      </c>
      <c r="R144" s="173">
        <f t="shared" si="61"/>
        <v>0.10259798191401595</v>
      </c>
      <c r="S144" s="802">
        <f t="shared" ref="S144:S207" si="83">INDEX(Echel_vg,T144)</f>
        <v>0</v>
      </c>
      <c r="T144" s="172">
        <f t="shared" si="62"/>
        <v>6</v>
      </c>
      <c r="U144" s="247">
        <f t="shared" si="63"/>
        <v>0.10259798191401595</v>
      </c>
      <c r="V144" s="378">
        <f t="shared" si="64"/>
        <v>62.243375213430575</v>
      </c>
      <c r="W144" s="58"/>
      <c r="X144" s="153">
        <f t="shared" si="65"/>
        <v>44691</v>
      </c>
      <c r="Y144" s="380">
        <f t="shared" si="66"/>
        <v>58.701999999999998</v>
      </c>
      <c r="Z144" s="380">
        <f t="shared" si="67"/>
        <v>58.83796334665152</v>
      </c>
      <c r="AA144" s="381">
        <f t="shared" si="68"/>
        <v>59.530540881091049</v>
      </c>
      <c r="AB144" s="193">
        <f t="shared" si="69"/>
        <v>44691</v>
      </c>
      <c r="AC144" s="420">
        <f t="shared" si="70"/>
        <v>1.1633986928204044E-2</v>
      </c>
      <c r="AD144" s="165">
        <f>(INDEX(Models!$BJ144:$BT144,,AH144)*(1-AF144)+INDEX(Models!$BJ144:$BT144,,AH144+1)*AF144-ERP_i)*AE144*Ramure*Pc/MaxiM</f>
        <v>7.2466364669573187E-7</v>
      </c>
      <c r="AE144" s="301">
        <f t="shared" si="71"/>
        <v>0.5</v>
      </c>
      <c r="AF144" s="173">
        <f t="shared" si="72"/>
        <v>0.10259798191401595</v>
      </c>
      <c r="AG144" s="802">
        <f t="shared" si="73"/>
        <v>0</v>
      </c>
      <c r="AH144" s="172">
        <f t="shared" si="74"/>
        <v>6</v>
      </c>
      <c r="AI144" s="221">
        <f t="shared" si="75"/>
        <v>0.10259798191401595</v>
      </c>
      <c r="AJ144" s="261" t="b">
        <f t="shared" si="76"/>
        <v>0</v>
      </c>
      <c r="AK144" s="261" t="b">
        <f t="shared" si="77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8"/>
        <v>44692</v>
      </c>
      <c r="B145" s="610">
        <v>62.620000000000005</v>
      </c>
      <c r="C145" s="385"/>
      <c r="D145" s="388">
        <f t="shared" si="79"/>
        <v>62.765897282121799</v>
      </c>
      <c r="E145" s="380">
        <f t="shared" si="80"/>
        <v>63.509272852662235</v>
      </c>
      <c r="F145" s="380">
        <f t="shared" si="81"/>
        <v>63.50931701883222</v>
      </c>
      <c r="G145" s="110">
        <f t="shared" si="82"/>
        <v>1.003994301636711</v>
      </c>
      <c r="I145" s="375">
        <f t="shared" si="56"/>
        <v>63.50931701883222</v>
      </c>
      <c r="J145" s="85">
        <v>2022</v>
      </c>
      <c r="K145" s="193">
        <f t="shared" si="57"/>
        <v>44692</v>
      </c>
      <c r="L145" s="431">
        <f t="shared" si="58"/>
        <v>2.3244674009201827E-3</v>
      </c>
      <c r="M145" s="847"/>
      <c r="N145" s="847"/>
      <c r="O145" s="320">
        <f t="shared" si="59"/>
        <v>1.1704992627848626E-2</v>
      </c>
      <c r="P145" s="165">
        <f>(INDEX(Models!$BJ145:$BT145,,T145)*(1-R145)+INDEX(Models!$BJ145:$BT145,,T145+1)*R145-ERP_i)*Q145*Ramure*Pc/MaxiM</f>
        <v>6.9542819944903838E-7</v>
      </c>
      <c r="Q145" s="301">
        <f t="shared" si="60"/>
        <v>0.5</v>
      </c>
      <c r="R145" s="173">
        <f t="shared" si="61"/>
        <v>0.10615428297238022</v>
      </c>
      <c r="S145" s="802">
        <f t="shared" si="83"/>
        <v>0</v>
      </c>
      <c r="T145" s="172">
        <f t="shared" si="62"/>
        <v>6</v>
      </c>
      <c r="U145" s="247">
        <f t="shared" si="63"/>
        <v>0.10615428297238022</v>
      </c>
      <c r="V145" s="378">
        <f t="shared" si="64"/>
        <v>62.370871924190112</v>
      </c>
      <c r="W145" s="58"/>
      <c r="X145" s="153">
        <f t="shared" si="65"/>
        <v>44692</v>
      </c>
      <c r="Y145" s="380">
        <f t="shared" si="66"/>
        <v>62.620000000000005</v>
      </c>
      <c r="Z145" s="380">
        <f t="shared" si="67"/>
        <v>62.765897282121799</v>
      </c>
      <c r="AA145" s="381">
        <f t="shared" si="68"/>
        <v>63.509272852662235</v>
      </c>
      <c r="AB145" s="193">
        <f t="shared" si="69"/>
        <v>44692</v>
      </c>
      <c r="AC145" s="420">
        <f t="shared" si="70"/>
        <v>1.1704992627848626E-2</v>
      </c>
      <c r="AD145" s="165">
        <f>(INDEX(Models!$BJ145:$BT145,,AH145)*(1-AF145)+INDEX(Models!$BJ145:$BT145,,AH145+1)*AF145-ERP_i)*AE145*Ramure*Pc/MaxiM</f>
        <v>6.9542819944903838E-7</v>
      </c>
      <c r="AE145" s="301">
        <f t="shared" si="71"/>
        <v>0.5</v>
      </c>
      <c r="AF145" s="173">
        <f t="shared" si="72"/>
        <v>0.10615428297238022</v>
      </c>
      <c r="AG145" s="802">
        <f t="shared" si="73"/>
        <v>0</v>
      </c>
      <c r="AH145" s="172">
        <f t="shared" si="74"/>
        <v>6</v>
      </c>
      <c r="AI145" s="221">
        <f t="shared" si="75"/>
        <v>0.10615428297238022</v>
      </c>
      <c r="AJ145" s="261" t="b">
        <f t="shared" si="76"/>
        <v>0</v>
      </c>
      <c r="AK145" s="261" t="b">
        <f t="shared" si="77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8"/>
        <v>44693</v>
      </c>
      <c r="B146" s="610">
        <v>47.682000000000002</v>
      </c>
      <c r="C146" s="385"/>
      <c r="D146" s="388">
        <f t="shared" si="79"/>
        <v>47.793747744072782</v>
      </c>
      <c r="E146" s="380">
        <f t="shared" si="80"/>
        <v>48.363280238908622</v>
      </c>
      <c r="F146" s="380">
        <f t="shared" si="81"/>
        <v>48.363301649060638</v>
      </c>
      <c r="G146" s="110">
        <f t="shared" si="82"/>
        <v>0.76298470756274483</v>
      </c>
      <c r="I146" s="375">
        <f t="shared" si="56"/>
        <v>48.363301649060638</v>
      </c>
      <c r="J146" s="85">
        <v>2022</v>
      </c>
      <c r="K146" s="193">
        <f t="shared" si="57"/>
        <v>44693</v>
      </c>
      <c r="L146" s="431">
        <f t="shared" si="58"/>
        <v>2.3381247411516926E-3</v>
      </c>
      <c r="M146" s="847"/>
      <c r="N146" s="847"/>
      <c r="O146" s="320">
        <f t="shared" si="59"/>
        <v>1.1776134538898614E-2</v>
      </c>
      <c r="P146" s="165">
        <f>(INDEX(Models!$BJ146:$BT146,,T146)*(1-R146)+INDEX(Models!$BJ146:$BT146,,T146+1)*R146-ERP_i)*Q146*Ramure*Pc/MaxiM</f>
        <v>6.6932190846622096E-7</v>
      </c>
      <c r="Q146" s="301">
        <f t="shared" si="60"/>
        <v>0.5</v>
      </c>
      <c r="R146" s="173">
        <f t="shared" si="61"/>
        <v>0.10979167062020895</v>
      </c>
      <c r="S146" s="802">
        <f t="shared" si="83"/>
        <v>0</v>
      </c>
      <c r="T146" s="172">
        <f t="shared" si="62"/>
        <v>6</v>
      </c>
      <c r="U146" s="247">
        <f t="shared" si="63"/>
        <v>0.10979167062020895</v>
      </c>
      <c r="V146" s="378">
        <f t="shared" si="64"/>
        <v>62.494029986846819</v>
      </c>
      <c r="W146" s="58"/>
      <c r="X146" s="153">
        <f t="shared" si="65"/>
        <v>44693</v>
      </c>
      <c r="Y146" s="380">
        <f t="shared" si="66"/>
        <v>47.682000000000002</v>
      </c>
      <c r="Z146" s="380">
        <f t="shared" si="67"/>
        <v>47.793747744072782</v>
      </c>
      <c r="AA146" s="381">
        <f t="shared" si="68"/>
        <v>48.363280238908622</v>
      </c>
      <c r="AB146" s="193">
        <f t="shared" si="69"/>
        <v>44693</v>
      </c>
      <c r="AC146" s="420">
        <f t="shared" si="70"/>
        <v>1.1776134538898614E-2</v>
      </c>
      <c r="AD146" s="165">
        <f>(INDEX(Models!$BJ146:$BT146,,AH146)*(1-AF146)+INDEX(Models!$BJ146:$BT146,,AH146+1)*AF146-ERP_i)*AE146*Ramure*Pc/MaxiM</f>
        <v>6.6932190846622096E-7</v>
      </c>
      <c r="AE146" s="301">
        <f t="shared" si="71"/>
        <v>0.5</v>
      </c>
      <c r="AF146" s="173">
        <f t="shared" si="72"/>
        <v>0.10979167062020895</v>
      </c>
      <c r="AG146" s="802">
        <f t="shared" si="73"/>
        <v>0</v>
      </c>
      <c r="AH146" s="172">
        <f t="shared" si="74"/>
        <v>6</v>
      </c>
      <c r="AI146" s="221">
        <f t="shared" si="75"/>
        <v>0.10979167062020895</v>
      </c>
      <c r="AJ146" s="261" t="b">
        <f t="shared" si="76"/>
        <v>0</v>
      </c>
      <c r="AK146" s="261" t="b">
        <f t="shared" si="77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8"/>
        <v>44694</v>
      </c>
      <c r="B147" s="610">
        <v>50.527000000000001</v>
      </c>
      <c r="C147" s="385"/>
      <c r="D147" s="388">
        <f t="shared" si="79"/>
        <v>50.646108601231496</v>
      </c>
      <c r="E147" s="380">
        <f t="shared" si="80"/>
        <v>51.253327692625142</v>
      </c>
      <c r="F147" s="380">
        <f t="shared" si="81"/>
        <v>51.253351704584936</v>
      </c>
      <c r="G147" s="110">
        <f t="shared" si="82"/>
        <v>0.80696922219698586</v>
      </c>
      <c r="I147" s="375">
        <f t="shared" si="56"/>
        <v>51.253351704584936</v>
      </c>
      <c r="J147" s="85">
        <v>2022</v>
      </c>
      <c r="K147" s="193">
        <f t="shared" si="57"/>
        <v>44694</v>
      </c>
      <c r="L147" s="431">
        <f t="shared" si="58"/>
        <v>2.3517818944257529E-3</v>
      </c>
      <c r="M147" s="847"/>
      <c r="N147" s="847"/>
      <c r="O147" s="320">
        <f t="shared" si="59"/>
        <v>1.1847408133872691E-2</v>
      </c>
      <c r="P147" s="165">
        <f>(INDEX(Models!$BJ147:$BT147,,T147)*(1-R147)+INDEX(Models!$BJ147:$BT147,,T147+1)*R147-ERP_i)*Q147*Ramure*Pc/MaxiM</f>
        <v>6.4687692361778342E-7</v>
      </c>
      <c r="Q147" s="301">
        <f t="shared" si="60"/>
        <v>0.5</v>
      </c>
      <c r="R147" s="173">
        <f t="shared" si="61"/>
        <v>0.11350977374566107</v>
      </c>
      <c r="S147" s="802">
        <f t="shared" si="83"/>
        <v>0</v>
      </c>
      <c r="T147" s="172">
        <f t="shared" si="62"/>
        <v>6</v>
      </c>
      <c r="U147" s="247">
        <f t="shared" si="63"/>
        <v>0.11350977374566107</v>
      </c>
      <c r="V147" s="378">
        <f t="shared" si="64"/>
        <v>62.613281395481636</v>
      </c>
      <c r="W147" s="58"/>
      <c r="X147" s="153">
        <f t="shared" si="65"/>
        <v>44694</v>
      </c>
      <c r="Y147" s="380">
        <f t="shared" si="66"/>
        <v>50.527000000000001</v>
      </c>
      <c r="Z147" s="380">
        <f t="shared" si="67"/>
        <v>50.646108601231496</v>
      </c>
      <c r="AA147" s="381">
        <f t="shared" si="68"/>
        <v>51.253327692625142</v>
      </c>
      <c r="AB147" s="193">
        <f t="shared" si="69"/>
        <v>44694</v>
      </c>
      <c r="AC147" s="420">
        <f t="shared" si="70"/>
        <v>1.1847408133872691E-2</v>
      </c>
      <c r="AD147" s="165">
        <f>(INDEX(Models!$BJ147:$BT147,,AH147)*(1-AF147)+INDEX(Models!$BJ147:$BT147,,AH147+1)*AF147-ERP_i)*AE147*Ramure*Pc/MaxiM</f>
        <v>6.4687692361778342E-7</v>
      </c>
      <c r="AE147" s="301">
        <f t="shared" si="71"/>
        <v>0.5</v>
      </c>
      <c r="AF147" s="173">
        <f t="shared" si="72"/>
        <v>0.11350977374566107</v>
      </c>
      <c r="AG147" s="802">
        <f t="shared" si="73"/>
        <v>0</v>
      </c>
      <c r="AH147" s="172">
        <f t="shared" si="74"/>
        <v>6</v>
      </c>
      <c r="AI147" s="221">
        <f t="shared" si="75"/>
        <v>0.11350977374566107</v>
      </c>
      <c r="AJ147" s="261" t="b">
        <f t="shared" si="76"/>
        <v>0</v>
      </c>
      <c r="AK147" s="261" t="b">
        <f t="shared" si="77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8"/>
        <v>44695</v>
      </c>
      <c r="B148" s="610">
        <v>56.566000000000003</v>
      </c>
      <c r="C148" s="385"/>
      <c r="D148" s="388">
        <f t="shared" si="79"/>
        <v>56.700120668838991</v>
      </c>
      <c r="E148" s="380">
        <f t="shared" si="80"/>
        <v>57.384070407339181</v>
      </c>
      <c r="F148" s="380">
        <f t="shared" si="81"/>
        <v>57.384101419419501</v>
      </c>
      <c r="G148" s="110">
        <f t="shared" si="82"/>
        <v>0.90175106691616058</v>
      </c>
      <c r="I148" s="375">
        <f t="shared" si="56"/>
        <v>57.384101419419501</v>
      </c>
      <c r="J148" s="85">
        <v>2022</v>
      </c>
      <c r="K148" s="193">
        <f t="shared" si="57"/>
        <v>44695</v>
      </c>
      <c r="L148" s="431">
        <f t="shared" si="58"/>
        <v>2.3654388607448062E-3</v>
      </c>
      <c r="M148" s="847"/>
      <c r="N148" s="847"/>
      <c r="O148" s="320">
        <f t="shared" si="59"/>
        <v>1.1918808366942098E-2</v>
      </c>
      <c r="P148" s="165">
        <f>(INDEX(Models!$BJ148:$BT148,,T148)*(1-R148)+INDEX(Models!$BJ148:$BT148,,T148+1)*R148-ERP_i)*Q148*Ramure*Pc/MaxiM</f>
        <v>6.2866665890958398E-7</v>
      </c>
      <c r="Q148" s="301">
        <f t="shared" si="60"/>
        <v>0.5</v>
      </c>
      <c r="R148" s="173">
        <f t="shared" si="61"/>
        <v>0.11730806531126342</v>
      </c>
      <c r="S148" s="802">
        <f t="shared" si="83"/>
        <v>0</v>
      </c>
      <c r="T148" s="172">
        <f t="shared" si="62"/>
        <v>6</v>
      </c>
      <c r="U148" s="247">
        <f t="shared" si="63"/>
        <v>0.11730806531126342</v>
      </c>
      <c r="V148" s="378">
        <f t="shared" si="64"/>
        <v>62.729058033986391</v>
      </c>
      <c r="W148" s="58"/>
      <c r="X148" s="153">
        <f t="shared" si="65"/>
        <v>44695</v>
      </c>
      <c r="Y148" s="380">
        <f t="shared" si="66"/>
        <v>56.566000000000003</v>
      </c>
      <c r="Z148" s="380">
        <f t="shared" si="67"/>
        <v>56.700120668838991</v>
      </c>
      <c r="AA148" s="381">
        <f t="shared" si="68"/>
        <v>57.384070407339181</v>
      </c>
      <c r="AB148" s="193">
        <f t="shared" si="69"/>
        <v>44695</v>
      </c>
      <c r="AC148" s="420">
        <f t="shared" si="70"/>
        <v>1.1918808366942098E-2</v>
      </c>
      <c r="AD148" s="165">
        <f>(INDEX(Models!$BJ148:$BT148,,AH148)*(1-AF148)+INDEX(Models!$BJ148:$BT148,,AH148+1)*AF148-ERP_i)*AE148*Ramure*Pc/MaxiM</f>
        <v>6.2866665890958398E-7</v>
      </c>
      <c r="AE148" s="301">
        <f t="shared" si="71"/>
        <v>0.5</v>
      </c>
      <c r="AF148" s="173">
        <f t="shared" si="72"/>
        <v>0.11730806531126342</v>
      </c>
      <c r="AG148" s="802">
        <f t="shared" si="73"/>
        <v>0</v>
      </c>
      <c r="AH148" s="172">
        <f t="shared" si="74"/>
        <v>6</v>
      </c>
      <c r="AI148" s="221">
        <f t="shared" si="75"/>
        <v>0.11730806531126342</v>
      </c>
      <c r="AJ148" s="261" t="b">
        <f t="shared" si="76"/>
        <v>0</v>
      </c>
      <c r="AK148" s="261" t="b">
        <f t="shared" si="77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8"/>
        <v>44696</v>
      </c>
      <c r="B149" s="610">
        <v>58.392000000000003</v>
      </c>
      <c r="C149" s="385"/>
      <c r="D149" s="388">
        <f t="shared" si="79"/>
        <v>58.53125144512336</v>
      </c>
      <c r="E149" s="380">
        <f t="shared" si="80"/>
        <v>59.241577489511791</v>
      </c>
      <c r="F149" s="380">
        <f t="shared" si="81"/>
        <v>59.241610255931469</v>
      </c>
      <c r="G149" s="110">
        <f t="shared" si="82"/>
        <v>0.92921332477327057</v>
      </c>
      <c r="I149" s="375">
        <f t="shared" si="56"/>
        <v>59.241610255931469</v>
      </c>
      <c r="J149" s="85">
        <v>2022</v>
      </c>
      <c r="K149" s="193">
        <f t="shared" si="57"/>
        <v>44696</v>
      </c>
      <c r="L149" s="431">
        <f t="shared" si="58"/>
        <v>2.3790956401114061E-3</v>
      </c>
      <c r="M149" s="847"/>
      <c r="N149" s="847"/>
      <c r="O149" s="320">
        <f t="shared" si="59"/>
        <v>1.1990329671997377E-2</v>
      </c>
      <c r="P149" s="165">
        <f>(INDEX(Models!$BJ149:$BT149,,T149)*(1-R149)+INDEX(Models!$BJ149:$BT149,,T149+1)*R149-ERP_i)*Q149*Ramure*Pc/MaxiM</f>
        <v>6.1532168962005805E-7</v>
      </c>
      <c r="Q149" s="301">
        <f t="shared" si="60"/>
        <v>0.5</v>
      </c>
      <c r="R149" s="173">
        <f t="shared" si="61"/>
        <v>0.12118585702630305</v>
      </c>
      <c r="S149" s="802">
        <f t="shared" si="83"/>
        <v>0</v>
      </c>
      <c r="T149" s="172">
        <f t="shared" si="62"/>
        <v>6</v>
      </c>
      <c r="U149" s="247">
        <f t="shared" si="63"/>
        <v>0.12118585702630305</v>
      </c>
      <c r="V149" s="378">
        <f t="shared" si="64"/>
        <v>62.84024863815155</v>
      </c>
      <c r="W149" s="58"/>
      <c r="X149" s="153">
        <f t="shared" si="65"/>
        <v>44696</v>
      </c>
      <c r="Y149" s="380">
        <f t="shared" si="66"/>
        <v>58.392000000000003</v>
      </c>
      <c r="Z149" s="380">
        <f t="shared" si="67"/>
        <v>58.53125144512336</v>
      </c>
      <c r="AA149" s="381">
        <f t="shared" si="68"/>
        <v>59.241577489511791</v>
      </c>
      <c r="AB149" s="193">
        <f t="shared" si="69"/>
        <v>44696</v>
      </c>
      <c r="AC149" s="420">
        <f t="shared" si="70"/>
        <v>1.1990329671997377E-2</v>
      </c>
      <c r="AD149" s="165">
        <f>(INDEX(Models!$BJ149:$BT149,,AH149)*(1-AF149)+INDEX(Models!$BJ149:$BT149,,AH149+1)*AF149-ERP_i)*AE149*Ramure*Pc/MaxiM</f>
        <v>6.1532168962005805E-7</v>
      </c>
      <c r="AE149" s="301">
        <f t="shared" si="71"/>
        <v>0.5</v>
      </c>
      <c r="AF149" s="173">
        <f t="shared" si="72"/>
        <v>0.12118585702630305</v>
      </c>
      <c r="AG149" s="802">
        <f t="shared" si="73"/>
        <v>0</v>
      </c>
      <c r="AH149" s="172">
        <f t="shared" si="74"/>
        <v>6</v>
      </c>
      <c r="AI149" s="221">
        <f t="shared" si="75"/>
        <v>0.12118585702630305</v>
      </c>
      <c r="AJ149" s="261" t="b">
        <f t="shared" si="76"/>
        <v>0</v>
      </c>
      <c r="AK149" s="261" t="b">
        <f t="shared" si="77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8"/>
        <v>44697</v>
      </c>
      <c r="B150" s="610">
        <v>57.07</v>
      </c>
      <c r="C150" s="385"/>
      <c r="D150" s="388">
        <f t="shared" si="79"/>
        <v>57.206881894368728</v>
      </c>
      <c r="E150" s="380">
        <f t="shared" si="80"/>
        <v>57.905334062917177</v>
      </c>
      <c r="F150" s="380">
        <f t="shared" si="81"/>
        <v>57.905364539166378</v>
      </c>
      <c r="G150" s="110">
        <f t="shared" si="82"/>
        <v>0.90665584920305575</v>
      </c>
      <c r="I150" s="375">
        <f t="shared" si="56"/>
        <v>57.905364539166378</v>
      </c>
      <c r="J150" s="85">
        <v>2022</v>
      </c>
      <c r="K150" s="193">
        <f t="shared" si="57"/>
        <v>44697</v>
      </c>
      <c r="L150" s="431">
        <f t="shared" si="58"/>
        <v>2.3927522325282169E-3</v>
      </c>
      <c r="M150" s="847"/>
      <c r="N150" s="847"/>
      <c r="O150" s="320">
        <f t="shared" si="59"/>
        <v>1.2061965963093115E-2</v>
      </c>
      <c r="P150" s="165">
        <f>(INDEX(Models!$BJ150:$BT150,,T150)*(1-R150)+INDEX(Models!$BJ150:$BT150,,T150+1)*R150-ERP_i)*Q150*Ramure*Pc/MaxiM</f>
        <v>6.0729305440263404E-7</v>
      </c>
      <c r="Q150" s="301">
        <f t="shared" si="60"/>
        <v>0.5</v>
      </c>
      <c r="R150" s="173">
        <f t="shared" si="61"/>
        <v>0.12514229448742917</v>
      </c>
      <c r="S150" s="802">
        <f t="shared" si="83"/>
        <v>0</v>
      </c>
      <c r="T150" s="172">
        <f t="shared" si="62"/>
        <v>6</v>
      </c>
      <c r="U150" s="247">
        <f t="shared" si="63"/>
        <v>0.12514229448742917</v>
      </c>
      <c r="V150" s="378">
        <f t="shared" si="64"/>
        <v>62.945598849369887</v>
      </c>
      <c r="W150" s="58"/>
      <c r="X150" s="153">
        <f t="shared" si="65"/>
        <v>44697</v>
      </c>
      <c r="Y150" s="380">
        <f t="shared" si="66"/>
        <v>57.07</v>
      </c>
      <c r="Z150" s="380">
        <f t="shared" si="67"/>
        <v>57.206881894368728</v>
      </c>
      <c r="AA150" s="381">
        <f t="shared" si="68"/>
        <v>57.905334062917177</v>
      </c>
      <c r="AB150" s="193">
        <f t="shared" si="69"/>
        <v>44697</v>
      </c>
      <c r="AC150" s="420">
        <f t="shared" si="70"/>
        <v>1.2061965963093115E-2</v>
      </c>
      <c r="AD150" s="165">
        <f>(INDEX(Models!$BJ150:$BT150,,AH150)*(1-AF150)+INDEX(Models!$BJ150:$BT150,,AH150+1)*AF150-ERP_i)*AE150*Ramure*Pc/MaxiM</f>
        <v>6.0729305440263404E-7</v>
      </c>
      <c r="AE150" s="301">
        <f t="shared" si="71"/>
        <v>0.5</v>
      </c>
      <c r="AF150" s="173">
        <f t="shared" si="72"/>
        <v>0.12514229448742917</v>
      </c>
      <c r="AG150" s="802">
        <f t="shared" si="73"/>
        <v>0</v>
      </c>
      <c r="AH150" s="172">
        <f t="shared" si="74"/>
        <v>6</v>
      </c>
      <c r="AI150" s="221">
        <f t="shared" si="75"/>
        <v>0.12514229448742917</v>
      </c>
      <c r="AJ150" s="261" t="b">
        <f t="shared" si="76"/>
        <v>0</v>
      </c>
      <c r="AK150" s="261" t="b">
        <f t="shared" si="77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8"/>
        <v>44698</v>
      </c>
      <c r="B151" s="610">
        <v>60.948</v>
      </c>
      <c r="C151" s="385"/>
      <c r="D151" s="388">
        <f t="shared" si="79"/>
        <v>61.095019582862847</v>
      </c>
      <c r="E151" s="380">
        <f t="shared" si="80"/>
        <v>61.845434185514186</v>
      </c>
      <c r="F151" s="380">
        <f t="shared" si="81"/>
        <v>61.845469570151174</v>
      </c>
      <c r="G151" s="110">
        <f t="shared" si="82"/>
        <v>0.96673301677574652</v>
      </c>
      <c r="I151" s="375">
        <f t="shared" si="56"/>
        <v>61.845469570151174</v>
      </c>
      <c r="J151" s="85">
        <v>2022</v>
      </c>
      <c r="K151" s="193">
        <f t="shared" si="57"/>
        <v>44698</v>
      </c>
      <c r="L151" s="431">
        <f t="shared" si="58"/>
        <v>2.4064086379977923E-3</v>
      </c>
      <c r="M151" s="847"/>
      <c r="N151" s="847"/>
      <c r="O151" s="320">
        <f t="shared" si="59"/>
        <v>1.2133710637399138E-2</v>
      </c>
      <c r="P151" s="165">
        <f>(INDEX(Models!$BJ151:$BT151,,T151)*(1-R151)+INDEX(Models!$BJ151:$BT151,,T151+1)*R151-ERP_i)*Q151*Ramure*Pc/MaxiM</f>
        <v>6.0069347329481497E-7</v>
      </c>
      <c r="Q151" s="301">
        <f t="shared" si="60"/>
        <v>0.5</v>
      </c>
      <c r="R151" s="173">
        <f t="shared" si="61"/>
        <v>0.12917635284740298</v>
      </c>
      <c r="S151" s="802">
        <f t="shared" si="83"/>
        <v>0</v>
      </c>
      <c r="T151" s="172">
        <f t="shared" si="62"/>
        <v>6</v>
      </c>
      <c r="U151" s="247">
        <f t="shared" si="63"/>
        <v>0.12917635284740298</v>
      </c>
      <c r="V151" s="378">
        <f t="shared" si="64"/>
        <v>63.045326064646773</v>
      </c>
      <c r="W151" s="58"/>
      <c r="X151" s="153">
        <f t="shared" si="65"/>
        <v>44698</v>
      </c>
      <c r="Y151" s="380">
        <f t="shared" si="66"/>
        <v>60.948</v>
      </c>
      <c r="Z151" s="380">
        <f t="shared" si="67"/>
        <v>61.095019582862847</v>
      </c>
      <c r="AA151" s="381">
        <f t="shared" si="68"/>
        <v>61.845434185514186</v>
      </c>
      <c r="AB151" s="193">
        <f t="shared" si="69"/>
        <v>44698</v>
      </c>
      <c r="AC151" s="420">
        <f t="shared" si="70"/>
        <v>1.2133710637399138E-2</v>
      </c>
      <c r="AD151" s="165">
        <f>(INDEX(Models!$BJ151:$BT151,,AH151)*(1-AF151)+INDEX(Models!$BJ151:$BT151,,AH151+1)*AF151-ERP_i)*AE151*Ramure*Pc/MaxiM</f>
        <v>6.0069347329481497E-7</v>
      </c>
      <c r="AE151" s="301">
        <f t="shared" si="71"/>
        <v>0.5</v>
      </c>
      <c r="AF151" s="173">
        <f t="shared" si="72"/>
        <v>0.12917635284740298</v>
      </c>
      <c r="AG151" s="802">
        <f t="shared" si="73"/>
        <v>0</v>
      </c>
      <c r="AH151" s="172">
        <f t="shared" si="74"/>
        <v>6</v>
      </c>
      <c r="AI151" s="221">
        <f t="shared" si="75"/>
        <v>0.12917635284740298</v>
      </c>
      <c r="AJ151" s="261" t="b">
        <f t="shared" si="76"/>
        <v>0</v>
      </c>
      <c r="AK151" s="261" t="b">
        <f t="shared" si="77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8"/>
        <v>44699</v>
      </c>
      <c r="B152" s="610">
        <v>58.192999999999998</v>
      </c>
      <c r="C152" s="385"/>
      <c r="D152" s="388">
        <f t="shared" si="79"/>
        <v>58.334172480755001</v>
      </c>
      <c r="E152" s="380">
        <f t="shared" si="80"/>
        <v>59.054971274015827</v>
      </c>
      <c r="F152" s="380">
        <f t="shared" si="81"/>
        <v>59.055002518702814</v>
      </c>
      <c r="G152" s="110">
        <f t="shared" si="82"/>
        <v>0.92165538649133005</v>
      </c>
      <c r="I152" s="375">
        <f t="shared" si="56"/>
        <v>59.055002518702814</v>
      </c>
      <c r="J152" s="85">
        <v>2022</v>
      </c>
      <c r="K152" s="193">
        <f t="shared" si="57"/>
        <v>44699</v>
      </c>
      <c r="L152" s="431">
        <f t="shared" si="58"/>
        <v>2.4200648565225746E-3</v>
      </c>
      <c r="M152" s="847"/>
      <c r="N152" s="847"/>
      <c r="O152" s="320">
        <f t="shared" si="59"/>
        <v>1.2205556580771359E-2</v>
      </c>
      <c r="P152" s="165">
        <f>(INDEX(Models!$BJ152:$BT152,,T152)*(1-R152)+INDEX(Models!$BJ152:$BT152,,T152+1)*R152-ERP_i)*Q152*Ramure*Pc/MaxiM</f>
        <v>5.9575511788199E-7</v>
      </c>
      <c r="Q152" s="301">
        <f t="shared" si="60"/>
        <v>0.5</v>
      </c>
      <c r="R152" s="173">
        <f t="shared" si="61"/>
        <v>0.13328683307136008</v>
      </c>
      <c r="S152" s="802">
        <f t="shared" si="83"/>
        <v>0</v>
      </c>
      <c r="T152" s="172">
        <f t="shared" si="62"/>
        <v>6</v>
      </c>
      <c r="U152" s="247">
        <f t="shared" si="63"/>
        <v>0.13328683307136008</v>
      </c>
      <c r="V152" s="378">
        <f t="shared" si="64"/>
        <v>63.139647391827438</v>
      </c>
      <c r="W152" s="58"/>
      <c r="X152" s="153">
        <f t="shared" si="65"/>
        <v>44699</v>
      </c>
      <c r="Y152" s="380">
        <f t="shared" si="66"/>
        <v>58.192999999999998</v>
      </c>
      <c r="Z152" s="380">
        <f t="shared" si="67"/>
        <v>58.334172480755001</v>
      </c>
      <c r="AA152" s="381">
        <f t="shared" si="68"/>
        <v>59.054971274015827</v>
      </c>
      <c r="AB152" s="193">
        <f t="shared" si="69"/>
        <v>44699</v>
      </c>
      <c r="AC152" s="420">
        <f t="shared" si="70"/>
        <v>1.2205556580771359E-2</v>
      </c>
      <c r="AD152" s="165">
        <f>(INDEX(Models!$BJ152:$BT152,,AH152)*(1-AF152)+INDEX(Models!$BJ152:$BT152,,AH152+1)*AF152-ERP_i)*AE152*Ramure*Pc/MaxiM</f>
        <v>5.9575511788199E-7</v>
      </c>
      <c r="AE152" s="301">
        <f t="shared" si="71"/>
        <v>0.5</v>
      </c>
      <c r="AF152" s="173">
        <f t="shared" si="72"/>
        <v>0.13328683307136008</v>
      </c>
      <c r="AG152" s="802">
        <f t="shared" si="73"/>
        <v>0</v>
      </c>
      <c r="AH152" s="172">
        <f t="shared" si="74"/>
        <v>6</v>
      </c>
      <c r="AI152" s="221">
        <f t="shared" si="75"/>
        <v>0.13328683307136008</v>
      </c>
      <c r="AJ152" s="261" t="b">
        <f t="shared" si="76"/>
        <v>0</v>
      </c>
      <c r="AK152" s="261" t="b">
        <f t="shared" si="77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8"/>
        <v>44700</v>
      </c>
      <c r="B153" s="610">
        <v>56.95</v>
      </c>
      <c r="C153" s="385"/>
      <c r="D153" s="388">
        <f t="shared" si="79"/>
        <v>57.088938542209938</v>
      </c>
      <c r="E153" s="380">
        <f t="shared" si="80"/>
        <v>57.798560143350464</v>
      </c>
      <c r="F153" s="380">
        <f t="shared" si="81"/>
        <v>57.798589542149266</v>
      </c>
      <c r="G153" s="110">
        <f t="shared" si="82"/>
        <v>0.90069736119417132</v>
      </c>
      <c r="I153" s="375">
        <f t="shared" si="56"/>
        <v>57.798589542149266</v>
      </c>
      <c r="J153" s="85">
        <v>2022</v>
      </c>
      <c r="K153" s="193">
        <f t="shared" si="57"/>
        <v>44700</v>
      </c>
      <c r="L153" s="431">
        <f t="shared" si="58"/>
        <v>2.4337208881052286E-3</v>
      </c>
      <c r="M153" s="847"/>
      <c r="N153" s="847"/>
      <c r="O153" s="320">
        <f t="shared" si="59"/>
        <v>1.2277496176038714E-2</v>
      </c>
      <c r="P153" s="165">
        <f>(INDEX(Models!$BJ153:$BT153,,T153)*(1-R153)+INDEX(Models!$BJ153:$BT153,,T153+1)*R153-ERP_i)*Q153*Ramure*Pc/MaxiM</f>
        <v>5.9272685800120572E-7</v>
      </c>
      <c r="Q153" s="301">
        <f t="shared" si="60"/>
        <v>0.5</v>
      </c>
      <c r="R153" s="173">
        <f t="shared" si="61"/>
        <v>0.13747235883865655</v>
      </c>
      <c r="S153" s="802">
        <f t="shared" si="83"/>
        <v>0</v>
      </c>
      <c r="T153" s="172">
        <f t="shared" si="62"/>
        <v>6</v>
      </c>
      <c r="U153" s="247">
        <f t="shared" si="63"/>
        <v>0.13747235883865655</v>
      </c>
      <c r="V153" s="378">
        <f t="shared" si="64"/>
        <v>63.228779904348116</v>
      </c>
      <c r="W153" s="58"/>
      <c r="X153" s="153">
        <f t="shared" si="65"/>
        <v>44700</v>
      </c>
      <c r="Y153" s="380">
        <f t="shared" si="66"/>
        <v>56.95</v>
      </c>
      <c r="Z153" s="380">
        <f t="shared" si="67"/>
        <v>57.088938542209938</v>
      </c>
      <c r="AA153" s="381">
        <f t="shared" si="68"/>
        <v>57.798560143350464</v>
      </c>
      <c r="AB153" s="193">
        <f t="shared" si="69"/>
        <v>44700</v>
      </c>
      <c r="AC153" s="420">
        <f t="shared" si="70"/>
        <v>1.2277496176038714E-2</v>
      </c>
      <c r="AD153" s="165">
        <f>(INDEX(Models!$BJ153:$BT153,,AH153)*(1-AF153)+INDEX(Models!$BJ153:$BT153,,AH153+1)*AF153-ERP_i)*AE153*Ramure*Pc/MaxiM</f>
        <v>5.9272685800120572E-7</v>
      </c>
      <c r="AE153" s="301">
        <f t="shared" si="71"/>
        <v>0.5</v>
      </c>
      <c r="AF153" s="173">
        <f t="shared" si="72"/>
        <v>0.13747235883865655</v>
      </c>
      <c r="AG153" s="802">
        <f t="shared" si="73"/>
        <v>0</v>
      </c>
      <c r="AH153" s="172">
        <f t="shared" si="74"/>
        <v>6</v>
      </c>
      <c r="AI153" s="221">
        <f t="shared" si="75"/>
        <v>0.13747235883865655</v>
      </c>
      <c r="AJ153" s="261" t="b">
        <f t="shared" si="76"/>
        <v>0</v>
      </c>
      <c r="AK153" s="261" t="b">
        <f t="shared" si="77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8"/>
        <v>44701</v>
      </c>
      <c r="B154" s="610">
        <v>54.125</v>
      </c>
      <c r="C154" s="385"/>
      <c r="D154" s="388">
        <f t="shared" si="79"/>
        <v>54.257789250983215</v>
      </c>
      <c r="E154" s="380">
        <f t="shared" si="80"/>
        <v>54.936225336694058</v>
      </c>
      <c r="F154" s="380">
        <f t="shared" si="81"/>
        <v>54.936251111183481</v>
      </c>
      <c r="G154" s="110">
        <f t="shared" si="82"/>
        <v>0.85488042128189201</v>
      </c>
      <c r="I154" s="375">
        <f t="shared" si="56"/>
        <v>54.936251111183481</v>
      </c>
      <c r="J154" s="85">
        <v>2022</v>
      </c>
      <c r="K154" s="193">
        <f t="shared" si="57"/>
        <v>44701</v>
      </c>
      <c r="L154" s="431">
        <f t="shared" si="58"/>
        <v>2.4473767327483076E-3</v>
      </c>
      <c r="M154" s="847"/>
      <c r="N154" s="847"/>
      <c r="O154" s="320">
        <f t="shared" si="59"/>
        <v>1.2349521314084282E-2</v>
      </c>
      <c r="P154" s="165">
        <f>(INDEX(Models!$BJ154:$BT154,,T154)*(1-R154)+INDEX(Models!$BJ154:$BT154,,T154+1)*R154-ERP_i)*Q154*Ramure*Pc/MaxiM</f>
        <v>5.9187447083873809E-7</v>
      </c>
      <c r="Q154" s="301">
        <f t="shared" si="60"/>
        <v>0.5</v>
      </c>
      <c r="R154" s="173">
        <f t="shared" si="61"/>
        <v>0.14173137414631723</v>
      </c>
      <c r="S154" s="802">
        <f t="shared" si="83"/>
        <v>0</v>
      </c>
      <c r="T154" s="172">
        <f t="shared" si="62"/>
        <v>6</v>
      </c>
      <c r="U154" s="247">
        <f t="shared" si="63"/>
        <v>0.14173137414631723</v>
      </c>
      <c r="V154" s="378">
        <f t="shared" si="64"/>
        <v>63.312940630345487</v>
      </c>
      <c r="W154" s="58"/>
      <c r="X154" s="153">
        <f t="shared" si="65"/>
        <v>44701</v>
      </c>
      <c r="Y154" s="380">
        <f t="shared" si="66"/>
        <v>54.125</v>
      </c>
      <c r="Z154" s="380">
        <f t="shared" si="67"/>
        <v>54.257789250983215</v>
      </c>
      <c r="AA154" s="381">
        <f t="shared" si="68"/>
        <v>54.936225336694058</v>
      </c>
      <c r="AB154" s="193">
        <f t="shared" si="69"/>
        <v>44701</v>
      </c>
      <c r="AC154" s="420">
        <f t="shared" si="70"/>
        <v>1.2349521314084282E-2</v>
      </c>
      <c r="AD154" s="165">
        <f>(INDEX(Models!$BJ154:$BT154,,AH154)*(1-AF154)+INDEX(Models!$BJ154:$BT154,,AH154+1)*AF154-ERP_i)*AE154*Ramure*Pc/MaxiM</f>
        <v>5.9187447083873809E-7</v>
      </c>
      <c r="AE154" s="301">
        <f t="shared" si="71"/>
        <v>0.5</v>
      </c>
      <c r="AF154" s="173">
        <f t="shared" si="72"/>
        <v>0.14173137414631723</v>
      </c>
      <c r="AG154" s="802">
        <f t="shared" si="73"/>
        <v>0</v>
      </c>
      <c r="AH154" s="172">
        <f t="shared" si="74"/>
        <v>6</v>
      </c>
      <c r="AI154" s="221">
        <f t="shared" si="75"/>
        <v>0.14173137414631723</v>
      </c>
      <c r="AJ154" s="261" t="b">
        <f t="shared" si="76"/>
        <v>0</v>
      </c>
      <c r="AK154" s="261" t="b">
        <f t="shared" si="77"/>
        <v>0</v>
      </c>
      <c r="AL154" s="261"/>
      <c r="AM154" s="261"/>
      <c r="AN154" s="75"/>
    </row>
    <row r="155" spans="1:40" s="6" customFormat="1" ht="11.25" x14ac:dyDescent="0.2">
      <c r="A155" s="56">
        <f t="shared" si="78"/>
        <v>44702</v>
      </c>
      <c r="B155" s="610">
        <v>56.681000000000004</v>
      </c>
      <c r="C155" s="385"/>
      <c r="D155" s="388">
        <f t="shared" si="79"/>
        <v>56.820837922580225</v>
      </c>
      <c r="E155" s="380">
        <f t="shared" si="80"/>
        <v>57.535522515841748</v>
      </c>
      <c r="F155" s="380">
        <f t="shared" si="81"/>
        <v>57.535551497709676</v>
      </c>
      <c r="G155" s="110">
        <f t="shared" si="82"/>
        <v>0.89412993816914454</v>
      </c>
      <c r="I155" s="375">
        <f t="shared" si="56"/>
        <v>57.535551497709676</v>
      </c>
      <c r="J155" s="85">
        <v>2022</v>
      </c>
      <c r="K155" s="193">
        <f t="shared" si="57"/>
        <v>44702</v>
      </c>
      <c r="L155" s="431">
        <f t="shared" si="58"/>
        <v>2.4610323904542541E-3</v>
      </c>
      <c r="M155" s="847"/>
      <c r="N155" s="847"/>
      <c r="O155" s="320">
        <f t="shared" si="59"/>
        <v>1.2421623407778125E-2</v>
      </c>
      <c r="P155" s="165">
        <f>(INDEX(Models!$BJ155:$BT155,,T155)*(1-R155)+INDEX(Models!$BJ155:$BT155,,T155+1)*R155-ERP_i)*Q155*Ramure*Pc/MaxiM</f>
        <v>5.9348075029414623E-7</v>
      </c>
      <c r="Q155" s="301">
        <f t="shared" si="60"/>
        <v>0.5</v>
      </c>
      <c r="R155" s="173">
        <f t="shared" si="61"/>
        <v>0.14606214166726009</v>
      </c>
      <c r="S155" s="802">
        <f t="shared" si="83"/>
        <v>0</v>
      </c>
      <c r="T155" s="172">
        <f t="shared" si="62"/>
        <v>6</v>
      </c>
      <c r="U155" s="247">
        <f t="shared" si="63"/>
        <v>0.14606214166726009</v>
      </c>
      <c r="V155" s="378">
        <f t="shared" si="64"/>
        <v>63.392346562502553</v>
      </c>
      <c r="W155" s="58"/>
      <c r="X155" s="153">
        <f t="shared" si="65"/>
        <v>44702</v>
      </c>
      <c r="Y155" s="380">
        <f t="shared" si="66"/>
        <v>56.681000000000004</v>
      </c>
      <c r="Z155" s="380">
        <f t="shared" si="67"/>
        <v>56.820837922580225</v>
      </c>
      <c r="AA155" s="381">
        <f t="shared" si="68"/>
        <v>57.535522515841748</v>
      </c>
      <c r="AB155" s="193">
        <f t="shared" si="69"/>
        <v>44702</v>
      </c>
      <c r="AC155" s="420">
        <f t="shared" si="70"/>
        <v>1.2421623407778125E-2</v>
      </c>
      <c r="AD155" s="165">
        <f>(INDEX(Models!$BJ155:$BT155,,AH155)*(1-AF155)+INDEX(Models!$BJ155:$BT155,,AH155+1)*AF155-ERP_i)*AE155*Ramure*Pc/MaxiM</f>
        <v>5.9348075029414623E-7</v>
      </c>
      <c r="AE155" s="301">
        <f t="shared" si="71"/>
        <v>0.5</v>
      </c>
      <c r="AF155" s="173">
        <f t="shared" si="72"/>
        <v>0.14606214166726009</v>
      </c>
      <c r="AG155" s="802">
        <f t="shared" si="73"/>
        <v>0</v>
      </c>
      <c r="AH155" s="172">
        <f t="shared" si="74"/>
        <v>6</v>
      </c>
      <c r="AI155" s="221">
        <f t="shared" si="75"/>
        <v>0.14606214166726009</v>
      </c>
      <c r="AJ155" s="261" t="b">
        <f t="shared" si="76"/>
        <v>0</v>
      </c>
      <c r="AK155" s="261" t="b">
        <f t="shared" si="77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8"/>
        <v>44703</v>
      </c>
      <c r="B156" s="610">
        <v>43.828000000000003</v>
      </c>
      <c r="C156" s="385"/>
      <c r="D156" s="388">
        <f t="shared" si="79"/>
        <v>43.936729691629843</v>
      </c>
      <c r="E156" s="380">
        <f t="shared" si="80"/>
        <v>44.492611183980486</v>
      </c>
      <c r="F156" s="380">
        <f t="shared" si="81"/>
        <v>44.49262600996402</v>
      </c>
      <c r="G156" s="110">
        <f t="shared" si="82"/>
        <v>0.6905610816729042</v>
      </c>
      <c r="I156" s="375">
        <f t="shared" si="56"/>
        <v>44.49262600996402</v>
      </c>
      <c r="J156" s="85">
        <v>2022</v>
      </c>
      <c r="K156" s="193">
        <f t="shared" si="57"/>
        <v>44703</v>
      </c>
      <c r="L156" s="431">
        <f t="shared" si="58"/>
        <v>2.4746878612258438E-3</v>
      </c>
      <c r="M156" s="847"/>
      <c r="N156" s="847"/>
      <c r="O156" s="320">
        <f t="shared" si="59"/>
        <v>1.2493793408798456E-2</v>
      </c>
      <c r="P156" s="165">
        <f>(INDEX(Models!$BJ156:$BT156,,T156)*(1-R156)+INDEX(Models!$BJ156:$BT156,,T156+1)*R156-ERP_i)*Q156*Ramure*Pc/MaxiM</f>
        <v>5.9723375672550132E-7</v>
      </c>
      <c r="Q156" s="301">
        <f t="shared" si="60"/>
        <v>0.5</v>
      </c>
      <c r="R156" s="173">
        <f t="shared" si="61"/>
        <v>0.15046274191281567</v>
      </c>
      <c r="S156" s="802">
        <f t="shared" si="83"/>
        <v>0</v>
      </c>
      <c r="T156" s="172">
        <f t="shared" si="62"/>
        <v>6</v>
      </c>
      <c r="U156" s="247">
        <f t="shared" si="63"/>
        <v>0.15046274191281567</v>
      </c>
      <c r="V156" s="378">
        <f t="shared" si="64"/>
        <v>63.467214692688877</v>
      </c>
      <c r="W156" s="58"/>
      <c r="X156" s="153">
        <f t="shared" si="65"/>
        <v>44703</v>
      </c>
      <c r="Y156" s="380">
        <f t="shared" si="66"/>
        <v>43.828000000000003</v>
      </c>
      <c r="Z156" s="380">
        <f t="shared" si="67"/>
        <v>43.936729691629843</v>
      </c>
      <c r="AA156" s="381">
        <f t="shared" si="68"/>
        <v>44.492611183980486</v>
      </c>
      <c r="AB156" s="193">
        <f t="shared" si="69"/>
        <v>44703</v>
      </c>
      <c r="AC156" s="420">
        <f t="shared" si="70"/>
        <v>1.2493793408798456E-2</v>
      </c>
      <c r="AD156" s="165">
        <f>(INDEX(Models!$BJ156:$BT156,,AH156)*(1-AF156)+INDEX(Models!$BJ156:$BT156,,AH156+1)*AF156-ERP_i)*AE156*Ramure*Pc/MaxiM</f>
        <v>5.9723375672550132E-7</v>
      </c>
      <c r="AE156" s="301">
        <f t="shared" si="71"/>
        <v>0.5</v>
      </c>
      <c r="AF156" s="173">
        <f t="shared" si="72"/>
        <v>0.15046274191281567</v>
      </c>
      <c r="AG156" s="802">
        <f t="shared" si="73"/>
        <v>0</v>
      </c>
      <c r="AH156" s="172">
        <f t="shared" si="74"/>
        <v>6</v>
      </c>
      <c r="AI156" s="221">
        <f t="shared" si="75"/>
        <v>0.15046274191281567</v>
      </c>
      <c r="AJ156" s="261" t="b">
        <f t="shared" si="76"/>
        <v>0</v>
      </c>
      <c r="AK156" s="261" t="b">
        <f t="shared" si="77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8"/>
        <v>44704</v>
      </c>
      <c r="B157" s="610">
        <v>20.853999999999999</v>
      </c>
      <c r="C157" s="385"/>
      <c r="D157" s="388">
        <f t="shared" si="79"/>
        <v>20.906021354929127</v>
      </c>
      <c r="E157" s="380">
        <f t="shared" si="80"/>
        <v>21.172070049298895</v>
      </c>
      <c r="F157" s="380">
        <f t="shared" si="81"/>
        <v>21.172070560817748</v>
      </c>
      <c r="G157" s="110">
        <f t="shared" si="82"/>
        <v>0.32821407753119519</v>
      </c>
      <c r="I157" s="375">
        <f t="shared" si="56"/>
        <v>21.172070560817748</v>
      </c>
      <c r="J157" s="85">
        <v>2022</v>
      </c>
      <c r="K157" s="193">
        <f t="shared" si="57"/>
        <v>44704</v>
      </c>
      <c r="L157" s="431">
        <f t="shared" si="58"/>
        <v>2.4883431450654081E-3</v>
      </c>
      <c r="M157" s="847"/>
      <c r="N157" s="847"/>
      <c r="O157" s="320">
        <f t="shared" si="59"/>
        <v>1.2566021827354501E-2</v>
      </c>
      <c r="P157" s="165">
        <f>(INDEX(Models!$BJ157:$BT157,,T157)*(1-R157)+INDEX(Models!$BJ157:$BT157,,T157+1)*R157-ERP_i)*Q157*Ramure*Pc/MaxiM</f>
        <v>5.9941497462856265E-7</v>
      </c>
      <c r="Q157" s="301">
        <f t="shared" si="60"/>
        <v>0.5</v>
      </c>
      <c r="R157" s="173">
        <f t="shared" si="61"/>
        <v>0.15493107324458802</v>
      </c>
      <c r="S157" s="802">
        <f t="shared" si="83"/>
        <v>0</v>
      </c>
      <c r="T157" s="172">
        <f t="shared" si="62"/>
        <v>6</v>
      </c>
      <c r="U157" s="247">
        <f t="shared" si="63"/>
        <v>0.15493107324458802</v>
      </c>
      <c r="V157" s="378">
        <f t="shared" si="64"/>
        <v>63.537762184048901</v>
      </c>
      <c r="W157" s="58"/>
      <c r="X157" s="153">
        <f t="shared" si="65"/>
        <v>44704</v>
      </c>
      <c r="Y157" s="380">
        <f t="shared" si="66"/>
        <v>20.853999999999999</v>
      </c>
      <c r="Z157" s="380">
        <f t="shared" si="67"/>
        <v>20.906021354929127</v>
      </c>
      <c r="AA157" s="381">
        <f t="shared" si="68"/>
        <v>21.172070049298895</v>
      </c>
      <c r="AB157" s="193">
        <f t="shared" si="69"/>
        <v>44704</v>
      </c>
      <c r="AC157" s="420">
        <f t="shared" si="70"/>
        <v>1.2566021827354501E-2</v>
      </c>
      <c r="AD157" s="165">
        <f>(INDEX(Models!$BJ157:$BT157,,AH157)*(1-AF157)+INDEX(Models!$BJ157:$BT157,,AH157+1)*AF157-ERP_i)*AE157*Ramure*Pc/MaxiM</f>
        <v>5.9941497462856265E-7</v>
      </c>
      <c r="AE157" s="301">
        <f t="shared" si="71"/>
        <v>0.5</v>
      </c>
      <c r="AF157" s="173">
        <f t="shared" si="72"/>
        <v>0.15493107324458802</v>
      </c>
      <c r="AG157" s="802">
        <f t="shared" si="73"/>
        <v>0</v>
      </c>
      <c r="AH157" s="172">
        <f t="shared" si="74"/>
        <v>6</v>
      </c>
      <c r="AI157" s="221">
        <f t="shared" si="75"/>
        <v>0.15493107324458802</v>
      </c>
      <c r="AJ157" s="261" t="b">
        <f t="shared" si="76"/>
        <v>0</v>
      </c>
      <c r="AK157" s="261" t="b">
        <f t="shared" si="77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8"/>
        <v>44705</v>
      </c>
      <c r="B158" s="610">
        <v>17.913</v>
      </c>
      <c r="C158" s="385"/>
      <c r="D158" s="388">
        <f t="shared" si="79"/>
        <v>17.957930711068613</v>
      </c>
      <c r="E158" s="380">
        <f t="shared" si="80"/>
        <v>18.1877934787436</v>
      </c>
      <c r="F158" s="380">
        <f t="shared" si="81"/>
        <v>18.1877934787436</v>
      </c>
      <c r="G158" s="110">
        <f t="shared" si="82"/>
        <v>0.28163214981528645</v>
      </c>
      <c r="I158" s="375">
        <f t="shared" si="56"/>
        <v>18.1877934787436</v>
      </c>
      <c r="J158" s="85">
        <v>2022</v>
      </c>
      <c r="K158" s="193">
        <f t="shared" si="57"/>
        <v>44705</v>
      </c>
      <c r="L158" s="431">
        <f t="shared" si="58"/>
        <v>2.5019982419756115E-3</v>
      </c>
      <c r="M158" s="847"/>
      <c r="N158" s="847"/>
      <c r="O158" s="320">
        <f t="shared" si="59"/>
        <v>1.2638298754801122E-2</v>
      </c>
      <c r="P158" s="165">
        <f>(INDEX(Models!$BJ158:$BT158,,T158)*(1-R158)+INDEX(Models!$BJ158:$BT158,,T158+1)*R158-ERP_i)*Q158*Ramure*Pc/MaxiM</f>
        <v>5.9987713548303645E-7</v>
      </c>
      <c r="Q158" s="301">
        <f t="shared" si="60"/>
        <v>0.5</v>
      </c>
      <c r="R158" s="173">
        <f t="shared" si="61"/>
        <v>0.15946485277541753</v>
      </c>
      <c r="S158" s="802">
        <f t="shared" si="83"/>
        <v>0</v>
      </c>
      <c r="T158" s="172">
        <f t="shared" si="62"/>
        <v>6</v>
      </c>
      <c r="U158" s="247">
        <f t="shared" si="63"/>
        <v>0.15946485277541753</v>
      </c>
      <c r="V158" s="378">
        <f t="shared" si="64"/>
        <v>63.604205933695539</v>
      </c>
      <c r="W158" s="58"/>
      <c r="X158" s="153">
        <f t="shared" si="65"/>
        <v>44705</v>
      </c>
      <c r="Y158" s="380">
        <f t="shared" si="66"/>
        <v>17.913</v>
      </c>
      <c r="Z158" s="380">
        <f t="shared" si="67"/>
        <v>17.957930711068613</v>
      </c>
      <c r="AA158" s="381">
        <f t="shared" si="68"/>
        <v>18.1877934787436</v>
      </c>
      <c r="AB158" s="193">
        <f t="shared" si="69"/>
        <v>44705</v>
      </c>
      <c r="AC158" s="420">
        <f t="shared" si="70"/>
        <v>1.2638298754801122E-2</v>
      </c>
      <c r="AD158" s="165">
        <f>(INDEX(Models!$BJ158:$BT158,,AH158)*(1-AF158)+INDEX(Models!$BJ158:$BT158,,AH158+1)*AF158-ERP_i)*AE158*Ramure*Pc/MaxiM</f>
        <v>5.9987713548303645E-7</v>
      </c>
      <c r="AE158" s="301">
        <f t="shared" si="71"/>
        <v>0.5</v>
      </c>
      <c r="AF158" s="173">
        <f t="shared" si="72"/>
        <v>0.15946485277541753</v>
      </c>
      <c r="AG158" s="802">
        <f t="shared" si="73"/>
        <v>0</v>
      </c>
      <c r="AH158" s="172">
        <f t="shared" si="74"/>
        <v>6</v>
      </c>
      <c r="AI158" s="221">
        <f t="shared" si="75"/>
        <v>0.15946485277541753</v>
      </c>
      <c r="AJ158" s="261" t="b">
        <f t="shared" si="76"/>
        <v>0</v>
      </c>
      <c r="AK158" s="261" t="b">
        <f t="shared" si="77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8"/>
        <v>44706</v>
      </c>
      <c r="B159" s="610">
        <v>43.657000000000004</v>
      </c>
      <c r="C159" s="385"/>
      <c r="D159" s="388">
        <f t="shared" si="79"/>
        <v>43.767102850237315</v>
      </c>
      <c r="E159" s="380">
        <f t="shared" si="80"/>
        <v>44.330571629706078</v>
      </c>
      <c r="F159" s="380">
        <f t="shared" si="81"/>
        <v>44.330586248471548</v>
      </c>
      <c r="G159" s="110">
        <f t="shared" si="82"/>
        <v>0.68571082231981462</v>
      </c>
      <c r="I159" s="375">
        <f t="shared" si="56"/>
        <v>44.330586248471548</v>
      </c>
      <c r="J159" s="85">
        <v>2022</v>
      </c>
      <c r="K159" s="193">
        <f t="shared" si="57"/>
        <v>44706</v>
      </c>
      <c r="L159" s="431">
        <f t="shared" si="58"/>
        <v>2.5156531519590075E-3</v>
      </c>
      <c r="M159" s="847"/>
      <c r="N159" s="847"/>
      <c r="O159" s="320">
        <f t="shared" si="59"/>
        <v>1.2710613889110768E-2</v>
      </c>
      <c r="P159" s="165">
        <f>(INDEX(Models!$BJ159:$BT159,,T159)*(1-R159)+INDEX(Models!$BJ159:$BT159,,T159+1)*R159-ERP_i)*Q159*Ramure*Pc/MaxiM</f>
        <v>5.9847116724940672E-7</v>
      </c>
      <c r="Q159" s="301">
        <f t="shared" si="60"/>
        <v>0.5</v>
      </c>
      <c r="R159" s="173">
        <f t="shared" si="61"/>
        <v>0.16406161819313461</v>
      </c>
      <c r="S159" s="802">
        <f t="shared" si="83"/>
        <v>0</v>
      </c>
      <c r="T159" s="172">
        <f t="shared" si="62"/>
        <v>6</v>
      </c>
      <c r="U159" s="247">
        <f t="shared" si="63"/>
        <v>0.16406161819313461</v>
      </c>
      <c r="V159" s="378">
        <f t="shared" si="64"/>
        <v>63.666762792928125</v>
      </c>
      <c r="W159" s="58"/>
      <c r="X159" s="153">
        <f t="shared" si="65"/>
        <v>44706</v>
      </c>
      <c r="Y159" s="380">
        <f t="shared" si="66"/>
        <v>43.657000000000004</v>
      </c>
      <c r="Z159" s="380">
        <f t="shared" si="67"/>
        <v>43.767102850237315</v>
      </c>
      <c r="AA159" s="381">
        <f t="shared" si="68"/>
        <v>44.330571629706078</v>
      </c>
      <c r="AB159" s="193">
        <f t="shared" si="69"/>
        <v>44706</v>
      </c>
      <c r="AC159" s="420">
        <f t="shared" si="70"/>
        <v>1.2710613889110768E-2</v>
      </c>
      <c r="AD159" s="165">
        <f>(INDEX(Models!$BJ159:$BT159,,AH159)*(1-AF159)+INDEX(Models!$BJ159:$BT159,,AH159+1)*AF159-ERP_i)*AE159*Ramure*Pc/MaxiM</f>
        <v>5.9847116724940672E-7</v>
      </c>
      <c r="AE159" s="301">
        <f t="shared" si="71"/>
        <v>0.5</v>
      </c>
      <c r="AF159" s="173">
        <f t="shared" si="72"/>
        <v>0.16406161819313461</v>
      </c>
      <c r="AG159" s="802">
        <f t="shared" si="73"/>
        <v>0</v>
      </c>
      <c r="AH159" s="172">
        <f t="shared" si="74"/>
        <v>6</v>
      </c>
      <c r="AI159" s="221">
        <f t="shared" si="75"/>
        <v>0.16406161819313461</v>
      </c>
      <c r="AJ159" s="261" t="b">
        <f t="shared" si="76"/>
        <v>0</v>
      </c>
      <c r="AK159" s="261" t="b">
        <f t="shared" si="77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8"/>
        <v>44707</v>
      </c>
      <c r="B160" s="610">
        <v>29.129000000000001</v>
      </c>
      <c r="C160" s="385"/>
      <c r="D160" s="388">
        <f t="shared" si="79"/>
        <v>29.202863031438493</v>
      </c>
      <c r="E160" s="380">
        <f t="shared" si="80"/>
        <v>29.580995613459869</v>
      </c>
      <c r="F160" s="380">
        <f t="shared" si="81"/>
        <v>29.580999563850057</v>
      </c>
      <c r="G160" s="110">
        <f t="shared" si="82"/>
        <v>0.45709987666593893</v>
      </c>
      <c r="I160" s="375">
        <f t="shared" si="56"/>
        <v>29.580999563850057</v>
      </c>
      <c r="J160" s="85">
        <v>2022</v>
      </c>
      <c r="K160" s="193">
        <f t="shared" si="57"/>
        <v>44707</v>
      </c>
      <c r="L160" s="431">
        <f t="shared" si="58"/>
        <v>2.5293078750181497E-3</v>
      </c>
      <c r="M160" s="847"/>
      <c r="N160" s="847"/>
      <c r="O160" s="320">
        <f t="shared" si="59"/>
        <v>1.2782956563142914E-2</v>
      </c>
      <c r="P160" s="165">
        <f>(INDEX(Models!$BJ160:$BT160,,T160)*(1-R160)+INDEX(Models!$BJ160:$BT160,,T160+1)*R160-ERP_i)*Q160*Ramure*Pc/MaxiM</f>
        <v>5.9504356288703637E-7</v>
      </c>
      <c r="Q160" s="301">
        <f t="shared" si="60"/>
        <v>0.5</v>
      </c>
      <c r="R160" s="173">
        <f t="shared" si="61"/>
        <v>0.16871873053396694</v>
      </c>
      <c r="S160" s="802">
        <f t="shared" si="83"/>
        <v>0</v>
      </c>
      <c r="T160" s="172">
        <f t="shared" si="62"/>
        <v>6</v>
      </c>
      <c r="U160" s="247">
        <f t="shared" si="63"/>
        <v>0.16871873053396694</v>
      </c>
      <c r="V160" s="378">
        <f t="shared" si="64"/>
        <v>63.725649565839824</v>
      </c>
      <c r="W160" s="58"/>
      <c r="X160" s="153">
        <f t="shared" si="65"/>
        <v>44707</v>
      </c>
      <c r="Y160" s="380">
        <f t="shared" si="66"/>
        <v>29.129000000000001</v>
      </c>
      <c r="Z160" s="380">
        <f t="shared" si="67"/>
        <v>29.202863031438493</v>
      </c>
      <c r="AA160" s="381">
        <f t="shared" si="68"/>
        <v>29.580995613459869</v>
      </c>
      <c r="AB160" s="193">
        <f t="shared" si="69"/>
        <v>44707</v>
      </c>
      <c r="AC160" s="420">
        <f t="shared" si="70"/>
        <v>1.2782956563142914E-2</v>
      </c>
      <c r="AD160" s="165">
        <f>(INDEX(Models!$BJ160:$BT160,,AH160)*(1-AF160)+INDEX(Models!$BJ160:$BT160,,AH160+1)*AF160-ERP_i)*AE160*Ramure*Pc/MaxiM</f>
        <v>5.9504356288703637E-7</v>
      </c>
      <c r="AE160" s="301">
        <f t="shared" si="71"/>
        <v>0.5</v>
      </c>
      <c r="AF160" s="173">
        <f t="shared" si="72"/>
        <v>0.16871873053396694</v>
      </c>
      <c r="AG160" s="802">
        <f t="shared" si="73"/>
        <v>0</v>
      </c>
      <c r="AH160" s="172">
        <f t="shared" si="74"/>
        <v>6</v>
      </c>
      <c r="AI160" s="221">
        <f t="shared" si="75"/>
        <v>0.16871873053396694</v>
      </c>
      <c r="AJ160" s="261" t="b">
        <f t="shared" si="76"/>
        <v>0</v>
      </c>
      <c r="AK160" s="261" t="b">
        <f t="shared" si="77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8"/>
        <v>44708</v>
      </c>
      <c r="B161" s="610">
        <v>45.611000000000004</v>
      </c>
      <c r="C161" s="385"/>
      <c r="D161" s="388">
        <f t="shared" si="79"/>
        <v>45.727282761226085</v>
      </c>
      <c r="E161" s="380">
        <f t="shared" si="80"/>
        <v>46.322776683091043</v>
      </c>
      <c r="F161" s="380">
        <f t="shared" si="81"/>
        <v>46.32279287527755</v>
      </c>
      <c r="G161" s="110">
        <f t="shared" si="82"/>
        <v>0.71511782037506055</v>
      </c>
      <c r="I161" s="375">
        <f t="shared" si="56"/>
        <v>46.32279287527755</v>
      </c>
      <c r="J161" s="85">
        <v>2022</v>
      </c>
      <c r="K161" s="193">
        <f t="shared" si="57"/>
        <v>44708</v>
      </c>
      <c r="L161" s="431">
        <f t="shared" si="58"/>
        <v>2.5429624111555915E-3</v>
      </c>
      <c r="M161" s="847"/>
      <c r="N161" s="847"/>
      <c r="O161" s="320">
        <f t="shared" si="59"/>
        <v>1.2855315775626383E-2</v>
      </c>
      <c r="P161" s="165">
        <f>(INDEX(Models!$BJ161:$BT161,,T161)*(1-R161)+INDEX(Models!$BJ161:$BT161,,T161+1)*R161-ERP_i)*Q161*Ramure*Pc/MaxiM</f>
        <v>5.8943679789296976E-7</v>
      </c>
      <c r="Q161" s="301">
        <f t="shared" si="60"/>
        <v>0.5</v>
      </c>
      <c r="R161" s="173">
        <f t="shared" si="61"/>
        <v>0.17343337792494279</v>
      </c>
      <c r="S161" s="802">
        <f t="shared" si="83"/>
        <v>0</v>
      </c>
      <c r="T161" s="172">
        <f t="shared" si="62"/>
        <v>6</v>
      </c>
      <c r="U161" s="247">
        <f t="shared" si="63"/>
        <v>0.17343337792494279</v>
      </c>
      <c r="V161" s="378">
        <f t="shared" si="64"/>
        <v>63.781083003428847</v>
      </c>
      <c r="W161" s="58"/>
      <c r="X161" s="153">
        <f t="shared" si="65"/>
        <v>44708</v>
      </c>
      <c r="Y161" s="380">
        <f t="shared" si="66"/>
        <v>45.611000000000004</v>
      </c>
      <c r="Z161" s="380">
        <f t="shared" si="67"/>
        <v>45.727282761226085</v>
      </c>
      <c r="AA161" s="381">
        <f t="shared" si="68"/>
        <v>46.322776683091043</v>
      </c>
      <c r="AB161" s="193">
        <f t="shared" si="69"/>
        <v>44708</v>
      </c>
      <c r="AC161" s="420">
        <f t="shared" si="70"/>
        <v>1.2855315775626383E-2</v>
      </c>
      <c r="AD161" s="165">
        <f>(INDEX(Models!$BJ161:$BT161,,AH161)*(1-AF161)+INDEX(Models!$BJ161:$BT161,,AH161+1)*AF161-ERP_i)*AE161*Ramure*Pc/MaxiM</f>
        <v>5.8943679789296976E-7</v>
      </c>
      <c r="AE161" s="301">
        <f t="shared" si="71"/>
        <v>0.5</v>
      </c>
      <c r="AF161" s="173">
        <f t="shared" si="72"/>
        <v>0.17343337792494279</v>
      </c>
      <c r="AG161" s="802">
        <f t="shared" si="73"/>
        <v>0</v>
      </c>
      <c r="AH161" s="172">
        <f t="shared" si="74"/>
        <v>6</v>
      </c>
      <c r="AI161" s="221">
        <f t="shared" si="75"/>
        <v>0.17343337792494279</v>
      </c>
      <c r="AJ161" s="261" t="b">
        <f t="shared" si="76"/>
        <v>0</v>
      </c>
      <c r="AK161" s="261" t="b">
        <f t="shared" si="77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8"/>
        <v>44709</v>
      </c>
      <c r="B162" s="610">
        <v>59.88</v>
      </c>
      <c r="C162" s="385"/>
      <c r="D162" s="388">
        <f t="shared" si="79"/>
        <v>60.033482607818769</v>
      </c>
      <c r="E162" s="380">
        <f t="shared" si="80"/>
        <v>60.819740767816945</v>
      </c>
      <c r="F162" s="380">
        <f t="shared" si="81"/>
        <v>60.819773004939982</v>
      </c>
      <c r="G162" s="110">
        <f t="shared" si="82"/>
        <v>0.93806862341552533</v>
      </c>
      <c r="I162" s="375">
        <f t="shared" si="56"/>
        <v>60.819773004939982</v>
      </c>
      <c r="J162" s="85">
        <v>2022</v>
      </c>
      <c r="K162" s="193">
        <f t="shared" si="57"/>
        <v>44709</v>
      </c>
      <c r="L162" s="431">
        <f t="shared" si="58"/>
        <v>2.5566167603738865E-3</v>
      </c>
      <c r="M162" s="847"/>
      <c r="N162" s="847"/>
      <c r="O162" s="320">
        <f t="shared" si="59"/>
        <v>1.2927680224744224E-2</v>
      </c>
      <c r="P162" s="165">
        <f>(INDEX(Models!$BJ162:$BT162,,T162)*(1-R162)+INDEX(Models!$BJ162:$BT162,,T162+1)*R162-ERP_i)*Q162*Ramure*Pc/MaxiM</f>
        <v>5.8148979850892663E-7</v>
      </c>
      <c r="Q162" s="301">
        <f t="shared" si="60"/>
        <v>0.5</v>
      </c>
      <c r="R162" s="173">
        <f t="shared" si="61"/>
        <v>0.17820258030648517</v>
      </c>
      <c r="S162" s="802">
        <f t="shared" si="83"/>
        <v>0</v>
      </c>
      <c r="T162" s="172">
        <f t="shared" si="62"/>
        <v>6</v>
      </c>
      <c r="U162" s="247">
        <f t="shared" si="63"/>
        <v>0.17820258030648517</v>
      </c>
      <c r="V162" s="378">
        <f t="shared" si="64"/>
        <v>63.833279809922175</v>
      </c>
      <c r="W162" s="58"/>
      <c r="X162" s="153">
        <f t="shared" si="65"/>
        <v>44709</v>
      </c>
      <c r="Y162" s="380">
        <f t="shared" si="66"/>
        <v>59.88</v>
      </c>
      <c r="Z162" s="380">
        <f t="shared" si="67"/>
        <v>60.033482607818769</v>
      </c>
      <c r="AA162" s="381">
        <f t="shared" si="68"/>
        <v>60.819740767816945</v>
      </c>
      <c r="AB162" s="193">
        <f t="shared" si="69"/>
        <v>44709</v>
      </c>
      <c r="AC162" s="420">
        <f t="shared" si="70"/>
        <v>1.2927680224744224E-2</v>
      </c>
      <c r="AD162" s="165">
        <f>(INDEX(Models!$BJ162:$BT162,,AH162)*(1-AF162)+INDEX(Models!$BJ162:$BT162,,AH162+1)*AF162-ERP_i)*AE162*Ramure*Pc/MaxiM</f>
        <v>5.8148979850892663E-7</v>
      </c>
      <c r="AE162" s="301">
        <f t="shared" si="71"/>
        <v>0.5</v>
      </c>
      <c r="AF162" s="173">
        <f t="shared" si="72"/>
        <v>0.17820258030648517</v>
      </c>
      <c r="AG162" s="802">
        <f t="shared" si="73"/>
        <v>0</v>
      </c>
      <c r="AH162" s="172">
        <f t="shared" si="74"/>
        <v>6</v>
      </c>
      <c r="AI162" s="221">
        <f t="shared" si="75"/>
        <v>0.17820258030648517</v>
      </c>
      <c r="AJ162" s="261" t="b">
        <f t="shared" si="76"/>
        <v>0</v>
      </c>
      <c r="AK162" s="261" t="b">
        <f t="shared" si="77"/>
        <v>0</v>
      </c>
      <c r="AL162" s="261"/>
      <c r="AM162" s="261"/>
      <c r="AN162" s="75"/>
    </row>
    <row r="163" spans="1:40" s="6" customFormat="1" ht="11.25" x14ac:dyDescent="0.2">
      <c r="A163" s="56">
        <f t="shared" si="78"/>
        <v>44710</v>
      </c>
      <c r="B163" s="610">
        <v>65.119</v>
      </c>
      <c r="C163" s="385"/>
      <c r="D163" s="388">
        <f t="shared" si="79"/>
        <v>65.286804775950031</v>
      </c>
      <c r="E163" s="380">
        <f t="shared" si="80"/>
        <v>66.146714602119488</v>
      </c>
      <c r="F163" s="380">
        <f t="shared" si="81"/>
        <v>66.146752375052458</v>
      </c>
      <c r="G163" s="110">
        <f t="shared" si="82"/>
        <v>1.0193725542453587</v>
      </c>
      <c r="I163" s="375">
        <f t="shared" si="56"/>
        <v>66.146752375052458</v>
      </c>
      <c r="J163" s="85">
        <v>2022</v>
      </c>
      <c r="K163" s="193">
        <f t="shared" si="57"/>
        <v>44710</v>
      </c>
      <c r="L163" s="431">
        <f t="shared" si="58"/>
        <v>2.5702709226756992E-3</v>
      </c>
      <c r="M163" s="847"/>
      <c r="N163" s="847"/>
      <c r="O163" s="320">
        <f t="shared" si="59"/>
        <v>1.3000038344185665E-2</v>
      </c>
      <c r="P163" s="165">
        <f>(INDEX(Models!$BJ163:$BT163,,T163)*(1-R163)+INDEX(Models!$BJ163:$BT163,,T163+1)*R163-ERP_i)*Q163*Ramure*Pc/MaxiM</f>
        <v>5.7104743030038617E-7</v>
      </c>
      <c r="Q163" s="301">
        <f t="shared" si="60"/>
        <v>0.5</v>
      </c>
      <c r="R163" s="173">
        <f t="shared" si="61"/>
        <v>0.18302319513770715</v>
      </c>
      <c r="S163" s="802">
        <f t="shared" si="83"/>
        <v>0</v>
      </c>
      <c r="T163" s="172">
        <f t="shared" si="62"/>
        <v>6</v>
      </c>
      <c r="U163" s="247">
        <f t="shared" si="63"/>
        <v>0.18302319513770715</v>
      </c>
      <c r="V163" s="378">
        <f t="shared" si="64"/>
        <v>63.881453084841588</v>
      </c>
      <c r="W163" s="58"/>
      <c r="X163" s="153">
        <f t="shared" si="65"/>
        <v>44710</v>
      </c>
      <c r="Y163" s="380">
        <f t="shared" si="66"/>
        <v>65.119</v>
      </c>
      <c r="Z163" s="380">
        <f t="shared" si="67"/>
        <v>65.286804775950031</v>
      </c>
      <c r="AA163" s="381">
        <f t="shared" si="68"/>
        <v>66.146714602119488</v>
      </c>
      <c r="AB163" s="193">
        <f t="shared" si="69"/>
        <v>44710</v>
      </c>
      <c r="AC163" s="420">
        <f t="shared" si="70"/>
        <v>1.3000038344185665E-2</v>
      </c>
      <c r="AD163" s="165">
        <f>(INDEX(Models!$BJ163:$BT163,,AH163)*(1-AF163)+INDEX(Models!$BJ163:$BT163,,AH163+1)*AF163-ERP_i)*AE163*Ramure*Pc/MaxiM</f>
        <v>5.7104743030038617E-7</v>
      </c>
      <c r="AE163" s="301">
        <f t="shared" si="71"/>
        <v>0.5</v>
      </c>
      <c r="AF163" s="173">
        <f t="shared" si="72"/>
        <v>0.18302319513770715</v>
      </c>
      <c r="AG163" s="802">
        <f t="shared" si="73"/>
        <v>0</v>
      </c>
      <c r="AH163" s="172">
        <f t="shared" si="74"/>
        <v>6</v>
      </c>
      <c r="AI163" s="221">
        <f t="shared" si="75"/>
        <v>0.18302319513770715</v>
      </c>
      <c r="AJ163" s="261" t="b">
        <f t="shared" si="76"/>
        <v>0</v>
      </c>
      <c r="AK163" s="261" t="b">
        <f t="shared" si="77"/>
        <v>0</v>
      </c>
      <c r="AL163" s="261"/>
      <c r="AM163" s="261"/>
      <c r="AN163" s="75"/>
    </row>
    <row r="164" spans="1:40" s="6" customFormat="1" ht="11.25" x14ac:dyDescent="0.2">
      <c r="A164" s="56">
        <f t="shared" si="78"/>
        <v>44711</v>
      </c>
      <c r="B164" s="610">
        <v>52.371000000000002</v>
      </c>
      <c r="C164" s="385"/>
      <c r="D164" s="388">
        <f t="shared" si="79"/>
        <v>52.506673300455525</v>
      </c>
      <c r="E164" s="380">
        <f t="shared" si="80"/>
        <v>53.202151959451733</v>
      </c>
      <c r="F164" s="380">
        <f t="shared" si="81"/>
        <v>53.20217402589779</v>
      </c>
      <c r="G164" s="110">
        <f t="shared" si="82"/>
        <v>0.81925917983831276</v>
      </c>
      <c r="I164" s="375">
        <f t="shared" si="56"/>
        <v>53.20217402589779</v>
      </c>
      <c r="J164" s="85">
        <v>2022</v>
      </c>
      <c r="K164" s="193">
        <f t="shared" si="57"/>
        <v>44711</v>
      </c>
      <c r="L164" s="431">
        <f t="shared" si="58"/>
        <v>2.5839248980633611E-3</v>
      </c>
      <c r="M164" s="847"/>
      <c r="N164" s="847"/>
      <c r="O164" s="320">
        <f t="shared" si="59"/>
        <v>1.307237834150525E-2</v>
      </c>
      <c r="P164" s="165">
        <f>(INDEX(Models!$BJ164:$BT164,,T164)*(1-R164)+INDEX(Models!$BJ164:$BT164,,T164+1)*R164-ERP_i)*Q164*Ramure*Pc/MaxiM</f>
        <v>5.5913511976439482E-7</v>
      </c>
      <c r="Q164" s="301">
        <f t="shared" si="60"/>
        <v>0.5</v>
      </c>
      <c r="R164" s="173">
        <f t="shared" si="61"/>
        <v>0.1878919240777947</v>
      </c>
      <c r="S164" s="802">
        <f t="shared" si="83"/>
        <v>0</v>
      </c>
      <c r="T164" s="172">
        <f t="shared" si="62"/>
        <v>6</v>
      </c>
      <c r="U164" s="247">
        <f t="shared" si="63"/>
        <v>0.1878919240777947</v>
      </c>
      <c r="V164" s="378">
        <f t="shared" si="64"/>
        <v>63.924816136415799</v>
      </c>
      <c r="W164" s="58"/>
      <c r="X164" s="153">
        <f t="shared" si="65"/>
        <v>44711</v>
      </c>
      <c r="Y164" s="380">
        <f t="shared" si="66"/>
        <v>52.371000000000002</v>
      </c>
      <c r="Z164" s="380">
        <f t="shared" si="67"/>
        <v>52.506673300455525</v>
      </c>
      <c r="AA164" s="381">
        <f t="shared" si="68"/>
        <v>53.202151959451733</v>
      </c>
      <c r="AB164" s="193">
        <f t="shared" si="69"/>
        <v>44711</v>
      </c>
      <c r="AC164" s="420">
        <f t="shared" si="70"/>
        <v>1.307237834150525E-2</v>
      </c>
      <c r="AD164" s="165">
        <f>(INDEX(Models!$BJ164:$BT164,,AH164)*(1-AF164)+INDEX(Models!$BJ164:$BT164,,AH164+1)*AF164-ERP_i)*AE164*Ramure*Pc/MaxiM</f>
        <v>5.5913511976439482E-7</v>
      </c>
      <c r="AE164" s="301">
        <f t="shared" si="71"/>
        <v>0.5</v>
      </c>
      <c r="AF164" s="173">
        <f t="shared" si="72"/>
        <v>0.1878919240777947</v>
      </c>
      <c r="AG164" s="802">
        <f t="shared" si="73"/>
        <v>0</v>
      </c>
      <c r="AH164" s="172">
        <f t="shared" si="74"/>
        <v>6</v>
      </c>
      <c r="AI164" s="221">
        <f t="shared" si="75"/>
        <v>0.1878919240777947</v>
      </c>
      <c r="AJ164" s="261" t="b">
        <f t="shared" si="76"/>
        <v>0</v>
      </c>
      <c r="AK164" s="261" t="b">
        <f t="shared" si="77"/>
        <v>0</v>
      </c>
      <c r="AL164" s="261"/>
      <c r="AM164" s="261"/>
      <c r="AN164" s="75"/>
    </row>
    <row r="165" spans="1:40" s="6" customFormat="1" ht="11.25" x14ac:dyDescent="0.2">
      <c r="A165" s="56">
        <f t="shared" si="78"/>
        <v>44712</v>
      </c>
      <c r="B165" s="610">
        <v>61.905999999999999</v>
      </c>
      <c r="C165" s="385"/>
      <c r="D165" s="388">
        <f t="shared" si="79"/>
        <v>62.067224499492553</v>
      </c>
      <c r="E165" s="380">
        <f t="shared" si="80"/>
        <v>62.893945809250873</v>
      </c>
      <c r="F165" s="380">
        <f t="shared" si="81"/>
        <v>62.893978575156851</v>
      </c>
      <c r="G165" s="110">
        <f t="shared" si="82"/>
        <v>0.96783189198103803</v>
      </c>
      <c r="I165" s="375">
        <f t="shared" si="56"/>
        <v>62.893978575156851</v>
      </c>
      <c r="J165" s="85">
        <v>2022</v>
      </c>
      <c r="K165" s="193">
        <f t="shared" si="57"/>
        <v>44712</v>
      </c>
      <c r="L165" s="431">
        <f t="shared" si="58"/>
        <v>2.5975786865396477E-3</v>
      </c>
      <c r="M165" s="847"/>
      <c r="N165" s="847"/>
      <c r="O165" s="320">
        <f t="shared" si="59"/>
        <v>1.3144688238605056E-2</v>
      </c>
      <c r="P165" s="165">
        <f>(INDEX(Models!$BJ165:$BT165,,T165)*(1-R165)+INDEX(Models!$BJ165:$BT165,,T165+1)*R165-ERP_i)*Q165*Ramure*Pc/MaxiM</f>
        <v>5.4606454783917014E-7</v>
      </c>
      <c r="Q165" s="301">
        <f t="shared" si="60"/>
        <v>0.5</v>
      </c>
      <c r="R165" s="173">
        <f t="shared" si="61"/>
        <v>0.19280532062742137</v>
      </c>
      <c r="S165" s="802">
        <f t="shared" si="83"/>
        <v>0</v>
      </c>
      <c r="T165" s="172">
        <f t="shared" si="62"/>
        <v>6</v>
      </c>
      <c r="U165" s="247">
        <f t="shared" si="63"/>
        <v>0.19280532062742137</v>
      </c>
      <c r="V165" s="378">
        <f t="shared" si="64"/>
        <v>63.963585989929832</v>
      </c>
      <c r="W165" s="58"/>
      <c r="X165" s="153">
        <f t="shared" si="65"/>
        <v>44712</v>
      </c>
      <c r="Y165" s="380">
        <f t="shared" si="66"/>
        <v>61.905999999999999</v>
      </c>
      <c r="Z165" s="380">
        <f t="shared" si="67"/>
        <v>62.067224499492553</v>
      </c>
      <c r="AA165" s="381">
        <f t="shared" si="68"/>
        <v>62.893945809250873</v>
      </c>
      <c r="AB165" s="193">
        <f t="shared" si="69"/>
        <v>44712</v>
      </c>
      <c r="AC165" s="420">
        <f t="shared" si="70"/>
        <v>1.3144688238605056E-2</v>
      </c>
      <c r="AD165" s="165">
        <f>(INDEX(Models!$BJ165:$BT165,,AH165)*(1-AF165)+INDEX(Models!$BJ165:$BT165,,AH165+1)*AF165-ERP_i)*AE165*Ramure*Pc/MaxiM</f>
        <v>5.4606454783917014E-7</v>
      </c>
      <c r="AE165" s="301">
        <f t="shared" si="71"/>
        <v>0.5</v>
      </c>
      <c r="AF165" s="173">
        <f t="shared" si="72"/>
        <v>0.19280532062742137</v>
      </c>
      <c r="AG165" s="802">
        <f t="shared" si="73"/>
        <v>0</v>
      </c>
      <c r="AH165" s="172">
        <f t="shared" si="74"/>
        <v>6</v>
      </c>
      <c r="AI165" s="221">
        <f t="shared" si="75"/>
        <v>0.19280532062742137</v>
      </c>
      <c r="AJ165" s="261" t="b">
        <f t="shared" si="76"/>
        <v>0</v>
      </c>
      <c r="AK165" s="261" t="b">
        <f t="shared" si="77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8"/>
        <v>44713</v>
      </c>
      <c r="B166" s="610">
        <v>64.543999999999997</v>
      </c>
      <c r="C166" s="385"/>
      <c r="D166" s="388">
        <f t="shared" si="79"/>
        <v>64.712980624466255</v>
      </c>
      <c r="E166" s="380">
        <f t="shared" si="80"/>
        <v>65.579745225978087</v>
      </c>
      <c r="F166" s="380">
        <f t="shared" si="81"/>
        <v>65.579780102115706</v>
      </c>
      <c r="G166" s="110">
        <f t="shared" si="82"/>
        <v>1.008531837726554</v>
      </c>
      <c r="I166" s="375">
        <f t="shared" si="56"/>
        <v>65.579780102115706</v>
      </c>
      <c r="J166" s="85">
        <v>2022</v>
      </c>
      <c r="K166" s="193">
        <f t="shared" si="57"/>
        <v>44713</v>
      </c>
      <c r="L166" s="431">
        <f t="shared" si="58"/>
        <v>2.6112322881071126E-3</v>
      </c>
      <c r="M166" s="847"/>
      <c r="N166" s="847"/>
      <c r="O166" s="320">
        <f t="shared" si="59"/>
        <v>1.321695591413311E-2</v>
      </c>
      <c r="P166" s="165">
        <f>(INDEX(Models!$BJ166:$BT166,,T166)*(1-R166)+INDEX(Models!$BJ166:$BT166,,T166+1)*R166-ERP_i)*Q166*Ramure*Pc/MaxiM</f>
        <v>5.318123599175554E-7</v>
      </c>
      <c r="Q166" s="301">
        <f t="shared" si="60"/>
        <v>0.5</v>
      </c>
      <c r="R166" s="173">
        <f t="shared" si="61"/>
        <v>0.19775979870450372</v>
      </c>
      <c r="S166" s="802">
        <f t="shared" si="83"/>
        <v>0</v>
      </c>
      <c r="T166" s="172">
        <f t="shared" si="62"/>
        <v>6</v>
      </c>
      <c r="U166" s="247">
        <f t="shared" si="63"/>
        <v>0.19775979870450372</v>
      </c>
      <c r="V166" s="378">
        <f t="shared" si="64"/>
        <v>63.997979623029018</v>
      </c>
      <c r="W166" s="58"/>
      <c r="X166" s="153">
        <f t="shared" si="65"/>
        <v>44713</v>
      </c>
      <c r="Y166" s="380">
        <f t="shared" si="66"/>
        <v>64.543999999999997</v>
      </c>
      <c r="Z166" s="380">
        <f t="shared" si="67"/>
        <v>64.712980624466255</v>
      </c>
      <c r="AA166" s="381">
        <f t="shared" si="68"/>
        <v>65.579745225978087</v>
      </c>
      <c r="AB166" s="193">
        <f t="shared" si="69"/>
        <v>44713</v>
      </c>
      <c r="AC166" s="420">
        <f t="shared" si="70"/>
        <v>1.321695591413311E-2</v>
      </c>
      <c r="AD166" s="165">
        <f>(INDEX(Models!$BJ166:$BT166,,AH166)*(1-AF166)+INDEX(Models!$BJ166:$BT166,,AH166+1)*AF166-ERP_i)*AE166*Ramure*Pc/MaxiM</f>
        <v>5.318123599175554E-7</v>
      </c>
      <c r="AE166" s="301">
        <f t="shared" si="71"/>
        <v>0.5</v>
      </c>
      <c r="AF166" s="173">
        <f t="shared" si="72"/>
        <v>0.19775979870450372</v>
      </c>
      <c r="AG166" s="802">
        <f t="shared" si="73"/>
        <v>0</v>
      </c>
      <c r="AH166" s="172">
        <f t="shared" si="74"/>
        <v>6</v>
      </c>
      <c r="AI166" s="221">
        <f t="shared" si="75"/>
        <v>0.19775979870450372</v>
      </c>
      <c r="AJ166" s="261" t="b">
        <f t="shared" si="76"/>
        <v>0</v>
      </c>
      <c r="AK166" s="261" t="b">
        <f t="shared" si="77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8"/>
        <v>44714</v>
      </c>
      <c r="B167" s="610">
        <v>46.491</v>
      </c>
      <c r="C167" s="385"/>
      <c r="D167" s="388">
        <f t="shared" si="79"/>
        <v>46.613354728384593</v>
      </c>
      <c r="E167" s="380">
        <f t="shared" si="80"/>
        <v>47.24115036632849</v>
      </c>
      <c r="F167" s="380">
        <f t="shared" si="81"/>
        <v>47.241165214979837</v>
      </c>
      <c r="G167" s="110">
        <f t="shared" si="82"/>
        <v>0.72610163147968887</v>
      </c>
      <c r="I167" s="375">
        <f t="shared" si="56"/>
        <v>47.241165214979837</v>
      </c>
      <c r="J167" s="85">
        <v>2022</v>
      </c>
      <c r="K167" s="193">
        <f t="shared" si="57"/>
        <v>44714</v>
      </c>
      <c r="L167" s="431">
        <f t="shared" si="58"/>
        <v>2.6248857027680872E-3</v>
      </c>
      <c r="M167" s="847"/>
      <c r="N167" s="847"/>
      <c r="O167" s="320">
        <f t="shared" si="59"/>
        <v>1.3289169147569396E-2</v>
      </c>
      <c r="P167" s="165">
        <f>(INDEX(Models!$BJ167:$BT167,,T167)*(1-R167)+INDEX(Models!$BJ167:$BT167,,T167+1)*R167-ERP_i)*Q167*Ramure*Pc/MaxiM</f>
        <v>5.1635822870040649E-7</v>
      </c>
      <c r="Q167" s="301">
        <f t="shared" si="60"/>
        <v>0.5</v>
      </c>
      <c r="R167" s="173">
        <f t="shared" si="61"/>
        <v>0.20275164211891628</v>
      </c>
      <c r="S167" s="802">
        <f t="shared" si="83"/>
        <v>0</v>
      </c>
      <c r="T167" s="172">
        <f t="shared" si="62"/>
        <v>6</v>
      </c>
      <c r="U167" s="247">
        <f t="shared" si="63"/>
        <v>0.20275164211891628</v>
      </c>
      <c r="V167" s="378">
        <f t="shared" si="64"/>
        <v>64.028213945900731</v>
      </c>
      <c r="W167" s="58"/>
      <c r="X167" s="153">
        <f t="shared" si="65"/>
        <v>44714</v>
      </c>
      <c r="Y167" s="380">
        <f t="shared" si="66"/>
        <v>46.491</v>
      </c>
      <c r="Z167" s="380">
        <f t="shared" si="67"/>
        <v>46.613354728384593</v>
      </c>
      <c r="AA167" s="381">
        <f t="shared" si="68"/>
        <v>47.24115036632849</v>
      </c>
      <c r="AB167" s="193">
        <f t="shared" si="69"/>
        <v>44714</v>
      </c>
      <c r="AC167" s="420">
        <f t="shared" si="70"/>
        <v>1.3289169147569396E-2</v>
      </c>
      <c r="AD167" s="165">
        <f>(INDEX(Models!$BJ167:$BT167,,AH167)*(1-AF167)+INDEX(Models!$BJ167:$BT167,,AH167+1)*AF167-ERP_i)*AE167*Ramure*Pc/MaxiM</f>
        <v>5.1635822870040649E-7</v>
      </c>
      <c r="AE167" s="301">
        <f t="shared" si="71"/>
        <v>0.5</v>
      </c>
      <c r="AF167" s="173">
        <f t="shared" si="72"/>
        <v>0.20275164211891628</v>
      </c>
      <c r="AG167" s="802">
        <f t="shared" si="73"/>
        <v>0</v>
      </c>
      <c r="AH167" s="172">
        <f t="shared" si="74"/>
        <v>6</v>
      </c>
      <c r="AI167" s="221">
        <f t="shared" si="75"/>
        <v>0.20275164211891628</v>
      </c>
      <c r="AJ167" s="261" t="b">
        <f t="shared" si="76"/>
        <v>0</v>
      </c>
      <c r="AK167" s="261" t="b">
        <f t="shared" si="77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8"/>
        <v>44715</v>
      </c>
      <c r="B168" s="610">
        <v>61.556000000000004</v>
      </c>
      <c r="C168" s="385"/>
      <c r="D168" s="388">
        <f t="shared" si="79"/>
        <v>61.718847582092515</v>
      </c>
      <c r="E168" s="380">
        <f t="shared" si="80"/>
        <v>62.554660142558447</v>
      </c>
      <c r="F168" s="380">
        <f t="shared" si="81"/>
        <v>62.554689658440559</v>
      </c>
      <c r="G168" s="110">
        <f t="shared" si="82"/>
        <v>0.96099403965304475</v>
      </c>
      <c r="I168" s="375">
        <f t="shared" si="56"/>
        <v>62.554689658440559</v>
      </c>
      <c r="J168" s="85">
        <v>2022</v>
      </c>
      <c r="K168" s="193">
        <f t="shared" si="57"/>
        <v>44715</v>
      </c>
      <c r="L168" s="431">
        <f t="shared" si="58"/>
        <v>2.638538930525347E-3</v>
      </c>
      <c r="M168" s="847"/>
      <c r="N168" s="847"/>
      <c r="O168" s="320">
        <f t="shared" si="59"/>
        <v>1.3361315664750887E-2</v>
      </c>
      <c r="P168" s="165">
        <f>(INDEX(Models!$BJ168:$BT168,,T168)*(1-R168)+INDEX(Models!$BJ168:$BT168,,T168+1)*R168-ERP_i)*Q168*Ramure*Pc/MaxiM</f>
        <v>4.9968506869627993E-7</v>
      </c>
      <c r="Q168" s="301">
        <f t="shared" si="60"/>
        <v>0.5</v>
      </c>
      <c r="R168" s="173">
        <f t="shared" si="61"/>
        <v>0.20777701490118819</v>
      </c>
      <c r="S168" s="802">
        <f t="shared" si="83"/>
        <v>0</v>
      </c>
      <c r="T168" s="172">
        <f t="shared" si="62"/>
        <v>6</v>
      </c>
      <c r="U168" s="247">
        <f t="shared" si="63"/>
        <v>0.20777701490118819</v>
      </c>
      <c r="V168" s="378">
        <f t="shared" si="64"/>
        <v>64.054505799295384</v>
      </c>
      <c r="W168" s="58"/>
      <c r="X168" s="153">
        <f t="shared" si="65"/>
        <v>44715</v>
      </c>
      <c r="Y168" s="380">
        <f t="shared" si="66"/>
        <v>61.556000000000004</v>
      </c>
      <c r="Z168" s="380">
        <f t="shared" si="67"/>
        <v>61.718847582092515</v>
      </c>
      <c r="AA168" s="381">
        <f t="shared" si="68"/>
        <v>62.554660142558447</v>
      </c>
      <c r="AB168" s="193">
        <f t="shared" si="69"/>
        <v>44715</v>
      </c>
      <c r="AC168" s="420">
        <f t="shared" si="70"/>
        <v>1.3361315664750887E-2</v>
      </c>
      <c r="AD168" s="165">
        <f>(INDEX(Models!$BJ168:$BT168,,AH168)*(1-AF168)+INDEX(Models!$BJ168:$BT168,,AH168+1)*AF168-ERP_i)*AE168*Ramure*Pc/MaxiM</f>
        <v>4.9968506869627993E-7</v>
      </c>
      <c r="AE168" s="301">
        <f t="shared" si="71"/>
        <v>0.5</v>
      </c>
      <c r="AF168" s="173">
        <f t="shared" si="72"/>
        <v>0.20777701490118819</v>
      </c>
      <c r="AG168" s="802">
        <f t="shared" si="73"/>
        <v>0</v>
      </c>
      <c r="AH168" s="172">
        <f t="shared" si="74"/>
        <v>6</v>
      </c>
      <c r="AI168" s="221">
        <f t="shared" si="75"/>
        <v>0.20777701490118819</v>
      </c>
      <c r="AJ168" s="261" t="b">
        <f t="shared" si="76"/>
        <v>0</v>
      </c>
      <c r="AK168" s="261" t="b">
        <f t="shared" si="77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8"/>
        <v>44716</v>
      </c>
      <c r="B169" s="610">
        <v>31.286000000000001</v>
      </c>
      <c r="C169" s="385"/>
      <c r="D169" s="388">
        <f t="shared" si="79"/>
        <v>31.369197132784254</v>
      </c>
      <c r="E169" s="380">
        <f t="shared" si="80"/>
        <v>31.796329409606255</v>
      </c>
      <c r="F169" s="380">
        <f t="shared" si="81"/>
        <v>31.79633352939906</v>
      </c>
      <c r="G169" s="110">
        <f t="shared" si="82"/>
        <v>0.48825559640788335</v>
      </c>
      <c r="I169" s="375">
        <f t="shared" si="56"/>
        <v>31.79633352939906</v>
      </c>
      <c r="J169" s="85">
        <v>2022</v>
      </c>
      <c r="K169" s="193">
        <f t="shared" si="57"/>
        <v>44716</v>
      </c>
      <c r="L169" s="431">
        <f t="shared" si="58"/>
        <v>2.6521919713814457E-3</v>
      </c>
      <c r="M169" s="847"/>
      <c r="N169" s="847"/>
      <c r="O169" s="320">
        <f t="shared" si="59"/>
        <v>1.3433383184568272E-2</v>
      </c>
      <c r="P169" s="165">
        <f>(INDEX(Models!$BJ169:$BT169,,T169)*(1-R169)+INDEX(Models!$BJ169:$BT169,,T169+1)*R169-ERP_i)*Q169*Ramure*Pc/MaxiM</f>
        <v>4.8177923632881792E-7</v>
      </c>
      <c r="Q169" s="301">
        <f t="shared" si="60"/>
        <v>0.5</v>
      </c>
      <c r="R169" s="173">
        <f t="shared" si="61"/>
        <v>0.21283197243084798</v>
      </c>
      <c r="S169" s="802">
        <f t="shared" si="83"/>
        <v>0</v>
      </c>
      <c r="T169" s="172">
        <f t="shared" si="62"/>
        <v>6</v>
      </c>
      <c r="U169" s="247">
        <f t="shared" si="63"/>
        <v>0.21283197243084798</v>
      </c>
      <c r="V169" s="378">
        <f t="shared" si="64"/>
        <v>64.077071949396029</v>
      </c>
      <c r="W169" s="58"/>
      <c r="X169" s="153">
        <f t="shared" si="65"/>
        <v>44716</v>
      </c>
      <c r="Y169" s="380">
        <f t="shared" si="66"/>
        <v>31.286000000000001</v>
      </c>
      <c r="Z169" s="380">
        <f t="shared" si="67"/>
        <v>31.369197132784254</v>
      </c>
      <c r="AA169" s="381">
        <f t="shared" si="68"/>
        <v>31.796329409606255</v>
      </c>
      <c r="AB169" s="193">
        <f t="shared" si="69"/>
        <v>44716</v>
      </c>
      <c r="AC169" s="420">
        <f t="shared" si="70"/>
        <v>1.3433383184568272E-2</v>
      </c>
      <c r="AD169" s="165">
        <f>(INDEX(Models!$BJ169:$BT169,,AH169)*(1-AF169)+INDEX(Models!$BJ169:$BT169,,AH169+1)*AF169-ERP_i)*AE169*Ramure*Pc/MaxiM</f>
        <v>4.8177923632881792E-7</v>
      </c>
      <c r="AE169" s="301">
        <f t="shared" si="71"/>
        <v>0.5</v>
      </c>
      <c r="AF169" s="173">
        <f t="shared" si="72"/>
        <v>0.21283197243084798</v>
      </c>
      <c r="AG169" s="802">
        <f t="shared" si="73"/>
        <v>0</v>
      </c>
      <c r="AH169" s="172">
        <f t="shared" si="74"/>
        <v>6</v>
      </c>
      <c r="AI169" s="221">
        <f t="shared" si="75"/>
        <v>0.21283197243084798</v>
      </c>
      <c r="AJ169" s="261" t="b">
        <f t="shared" si="76"/>
        <v>0</v>
      </c>
      <c r="AK169" s="261" t="b">
        <f t="shared" si="77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8"/>
        <v>44717</v>
      </c>
      <c r="B170" s="610">
        <v>34.573999999999998</v>
      </c>
      <c r="C170" s="385"/>
      <c r="D170" s="388">
        <f t="shared" si="79"/>
        <v>34.666415283797349</v>
      </c>
      <c r="E170" s="380">
        <f t="shared" si="80"/>
        <v>35.141007218297119</v>
      </c>
      <c r="F170" s="380">
        <f t="shared" si="81"/>
        <v>35.141012790309702</v>
      </c>
      <c r="G170" s="110">
        <f t="shared" si="82"/>
        <v>0.53940838522480206</v>
      </c>
      <c r="I170" s="375">
        <f t="shared" si="56"/>
        <v>35.141012790309702</v>
      </c>
      <c r="J170" s="85">
        <v>2022</v>
      </c>
      <c r="K170" s="193">
        <f t="shared" si="57"/>
        <v>44717</v>
      </c>
      <c r="L170" s="431">
        <f t="shared" si="58"/>
        <v>2.6658448253387146E-3</v>
      </c>
      <c r="M170" s="847"/>
      <c r="N170" s="847"/>
      <c r="O170" s="320">
        <f t="shared" si="59"/>
        <v>1.350535946655103E-2</v>
      </c>
      <c r="P170" s="165">
        <f>(INDEX(Models!$BJ170:$BT170,,T170)*(1-R170)+INDEX(Models!$BJ170:$BT170,,T170+1)*R170-ERP_i)*Q170*Ramure*Pc/MaxiM</f>
        <v>4.6361363329866525E-7</v>
      </c>
      <c r="Q170" s="301">
        <f t="shared" si="60"/>
        <v>0.5</v>
      </c>
      <c r="R170" s="173">
        <f t="shared" si="61"/>
        <v>0.21791247330111993</v>
      </c>
      <c r="S170" s="802">
        <f t="shared" si="83"/>
        <v>0</v>
      </c>
      <c r="T170" s="172">
        <f t="shared" si="62"/>
        <v>6</v>
      </c>
      <c r="U170" s="247">
        <f t="shared" si="63"/>
        <v>0.21791247330111993</v>
      </c>
      <c r="V170" s="378">
        <f t="shared" si="64"/>
        <v>64.096129018679974</v>
      </c>
      <c r="W170" s="58"/>
      <c r="X170" s="153">
        <f t="shared" si="65"/>
        <v>44717</v>
      </c>
      <c r="Y170" s="380">
        <f t="shared" si="66"/>
        <v>34.573999999999998</v>
      </c>
      <c r="Z170" s="380">
        <f t="shared" si="67"/>
        <v>34.666415283797349</v>
      </c>
      <c r="AA170" s="381">
        <f t="shared" si="68"/>
        <v>35.141007218297119</v>
      </c>
      <c r="AB170" s="193">
        <f t="shared" si="69"/>
        <v>44717</v>
      </c>
      <c r="AC170" s="420">
        <f t="shared" si="70"/>
        <v>1.350535946655103E-2</v>
      </c>
      <c r="AD170" s="165">
        <f>(INDEX(Models!$BJ170:$BT170,,AH170)*(1-AF170)+INDEX(Models!$BJ170:$BT170,,AH170+1)*AF170-ERP_i)*AE170*Ramure*Pc/MaxiM</f>
        <v>4.6361363329866525E-7</v>
      </c>
      <c r="AE170" s="301">
        <f t="shared" si="71"/>
        <v>0.5</v>
      </c>
      <c r="AF170" s="173">
        <f t="shared" si="72"/>
        <v>0.21791247330111993</v>
      </c>
      <c r="AG170" s="802">
        <f t="shared" si="73"/>
        <v>0</v>
      </c>
      <c r="AH170" s="172">
        <f t="shared" si="74"/>
        <v>6</v>
      </c>
      <c r="AI170" s="221">
        <f t="shared" si="75"/>
        <v>0.21791247330111993</v>
      </c>
      <c r="AJ170" s="261" t="b">
        <f t="shared" si="76"/>
        <v>0</v>
      </c>
      <c r="AK170" s="261" t="b">
        <f t="shared" si="77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8"/>
        <v>44718</v>
      </c>
      <c r="B171" s="610">
        <v>55.289000000000001</v>
      </c>
      <c r="C171" s="385"/>
      <c r="D171" s="388">
        <f t="shared" si="79"/>
        <v>55.437544762175065</v>
      </c>
      <c r="E171" s="380">
        <f t="shared" si="80"/>
        <v>56.200593275796628</v>
      </c>
      <c r="F171" s="380">
        <f t="shared" si="81"/>
        <v>56.200613424709161</v>
      </c>
      <c r="G171" s="110">
        <f t="shared" si="82"/>
        <v>0.86238281371828152</v>
      </c>
      <c r="I171" s="375">
        <f t="shared" si="56"/>
        <v>56.200613424709161</v>
      </c>
      <c r="J171" s="85">
        <v>2022</v>
      </c>
      <c r="K171" s="193">
        <f t="shared" si="57"/>
        <v>44718</v>
      </c>
      <c r="L171" s="431">
        <f t="shared" si="58"/>
        <v>2.6794974924000403E-3</v>
      </c>
      <c r="M171" s="847"/>
      <c r="N171" s="847"/>
      <c r="O171" s="320">
        <f t="shared" si="59"/>
        <v>1.3577232359043038E-2</v>
      </c>
      <c r="P171" s="165">
        <f>(INDEX(Models!$BJ171:$BT171,,T171)*(1-R171)+INDEX(Models!$BJ171:$BT171,,T171+1)*R171-ERP_i)*Q171*Ramure*Pc/MaxiM</f>
        <v>4.4624822022857249E-7</v>
      </c>
      <c r="Q171" s="301">
        <f t="shared" si="60"/>
        <v>0.5</v>
      </c>
      <c r="R171" s="173">
        <f t="shared" si="61"/>
        <v>0.22301439184825989</v>
      </c>
      <c r="S171" s="802">
        <f t="shared" si="83"/>
        <v>0</v>
      </c>
      <c r="T171" s="172">
        <f t="shared" si="62"/>
        <v>6</v>
      </c>
      <c r="U171" s="247">
        <f t="shared" si="63"/>
        <v>0.22301439184825989</v>
      </c>
      <c r="V171" s="378">
        <f t="shared" si="64"/>
        <v>64.111893546529956</v>
      </c>
      <c r="W171" s="58"/>
      <c r="X171" s="153">
        <f t="shared" si="65"/>
        <v>44718</v>
      </c>
      <c r="Y171" s="380">
        <f t="shared" si="66"/>
        <v>55.289000000000001</v>
      </c>
      <c r="Z171" s="380">
        <f t="shared" si="67"/>
        <v>55.437544762175065</v>
      </c>
      <c r="AA171" s="381">
        <f t="shared" si="68"/>
        <v>56.200593275796628</v>
      </c>
      <c r="AB171" s="193">
        <f t="shared" si="69"/>
        <v>44718</v>
      </c>
      <c r="AC171" s="420">
        <f t="shared" si="70"/>
        <v>1.3577232359043038E-2</v>
      </c>
      <c r="AD171" s="165">
        <f>(INDEX(Models!$BJ171:$BT171,,AH171)*(1-AF171)+INDEX(Models!$BJ171:$BT171,,AH171+1)*AF171-ERP_i)*AE171*Ramure*Pc/MaxiM</f>
        <v>4.4624822022857249E-7</v>
      </c>
      <c r="AE171" s="301">
        <f t="shared" si="71"/>
        <v>0.5</v>
      </c>
      <c r="AF171" s="173">
        <f t="shared" si="72"/>
        <v>0.22301439184825989</v>
      </c>
      <c r="AG171" s="802">
        <f t="shared" si="73"/>
        <v>0</v>
      </c>
      <c r="AH171" s="172">
        <f t="shared" si="74"/>
        <v>6</v>
      </c>
      <c r="AI171" s="221">
        <f t="shared" si="75"/>
        <v>0.22301439184825989</v>
      </c>
      <c r="AJ171" s="261" t="b">
        <f t="shared" si="76"/>
        <v>0</v>
      </c>
      <c r="AK171" s="261" t="b">
        <f t="shared" si="77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8"/>
        <v>44719</v>
      </c>
      <c r="B172" s="610">
        <v>28.871000000000002</v>
      </c>
      <c r="C172" s="385"/>
      <c r="D172" s="388">
        <f t="shared" si="79"/>
        <v>28.948963901336754</v>
      </c>
      <c r="E172" s="380">
        <f t="shared" si="80"/>
        <v>29.349555688968792</v>
      </c>
      <c r="F172" s="380">
        <f t="shared" si="81"/>
        <v>29.349558396562763</v>
      </c>
      <c r="G172" s="110">
        <f t="shared" si="82"/>
        <v>0.45023280204699911</v>
      </c>
      <c r="I172" s="375">
        <f t="shared" si="56"/>
        <v>29.349558396562763</v>
      </c>
      <c r="J172" s="85">
        <v>2022</v>
      </c>
      <c r="K172" s="193">
        <f t="shared" si="57"/>
        <v>44719</v>
      </c>
      <c r="L172" s="431">
        <f t="shared" si="58"/>
        <v>2.6931499725677543E-3</v>
      </c>
      <c r="M172" s="847"/>
      <c r="N172" s="847"/>
      <c r="O172" s="320">
        <f t="shared" si="59"/>
        <v>1.3648989847659042E-2</v>
      </c>
      <c r="P172" s="165">
        <f>(INDEX(Models!$BJ172:$BT172,,T172)*(1-R172)+INDEX(Models!$BJ172:$BT172,,T172+1)*R172-ERP_i)*Q172*Ramure*Pc/MaxiM</f>
        <v>4.298478910667359E-7</v>
      </c>
      <c r="Q172" s="301">
        <f t="shared" si="60"/>
        <v>0.5</v>
      </c>
      <c r="R172" s="173">
        <f t="shared" si="61"/>
        <v>0.22813353126608588</v>
      </c>
      <c r="S172" s="802">
        <f t="shared" si="83"/>
        <v>0</v>
      </c>
      <c r="T172" s="172">
        <f t="shared" si="62"/>
        <v>6</v>
      </c>
      <c r="U172" s="247">
        <f t="shared" si="63"/>
        <v>0.22813353126608588</v>
      </c>
      <c r="V172" s="378">
        <f t="shared" si="64"/>
        <v>64.124582042985438</v>
      </c>
      <c r="W172" s="58"/>
      <c r="X172" s="153">
        <f t="shared" si="65"/>
        <v>44719</v>
      </c>
      <c r="Y172" s="380">
        <f t="shared" si="66"/>
        <v>28.871000000000002</v>
      </c>
      <c r="Z172" s="380">
        <f t="shared" si="67"/>
        <v>28.948963901336754</v>
      </c>
      <c r="AA172" s="381">
        <f t="shared" si="68"/>
        <v>29.349555688968792</v>
      </c>
      <c r="AB172" s="193">
        <f t="shared" si="69"/>
        <v>44719</v>
      </c>
      <c r="AC172" s="420">
        <f t="shared" si="70"/>
        <v>1.3648989847659042E-2</v>
      </c>
      <c r="AD172" s="165">
        <f>(INDEX(Models!$BJ172:$BT172,,AH172)*(1-AF172)+INDEX(Models!$BJ172:$BT172,,AH172+1)*AF172-ERP_i)*AE172*Ramure*Pc/MaxiM</f>
        <v>4.298478910667359E-7</v>
      </c>
      <c r="AE172" s="301">
        <f t="shared" si="71"/>
        <v>0.5</v>
      </c>
      <c r="AF172" s="173">
        <f t="shared" si="72"/>
        <v>0.22813353126608588</v>
      </c>
      <c r="AG172" s="802">
        <f t="shared" si="73"/>
        <v>0</v>
      </c>
      <c r="AH172" s="172">
        <f t="shared" si="74"/>
        <v>6</v>
      </c>
      <c r="AI172" s="221">
        <f t="shared" si="75"/>
        <v>0.22813353126608588</v>
      </c>
      <c r="AJ172" s="261" t="b">
        <f t="shared" si="76"/>
        <v>0</v>
      </c>
      <c r="AK172" s="261" t="b">
        <f t="shared" si="77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8"/>
        <v>44720</v>
      </c>
      <c r="B173" s="610">
        <v>26.016000000000002</v>
      </c>
      <c r="C173" s="385"/>
      <c r="D173" s="388">
        <f t="shared" si="79"/>
        <v>26.086611298571178</v>
      </c>
      <c r="E173" s="380">
        <f t="shared" si="80"/>
        <v>26.44951504645071</v>
      </c>
      <c r="F173" s="380">
        <f t="shared" si="81"/>
        <v>26.449516701435005</v>
      </c>
      <c r="G173" s="110">
        <f t="shared" si="82"/>
        <v>0.40564792697044694</v>
      </c>
      <c r="I173" s="375">
        <f t="shared" si="56"/>
        <v>26.449516701435005</v>
      </c>
      <c r="J173" s="85">
        <v>2022</v>
      </c>
      <c r="K173" s="193">
        <f t="shared" si="57"/>
        <v>44720</v>
      </c>
      <c r="L173" s="431">
        <f t="shared" si="58"/>
        <v>2.7068022658445212E-3</v>
      </c>
      <c r="M173" s="847"/>
      <c r="N173" s="847"/>
      <c r="O173" s="320">
        <f t="shared" si="59"/>
        <v>1.3720620103703186E-2</v>
      </c>
      <c r="P173" s="165">
        <f>(INDEX(Models!$BJ173:$BT173,,T173)*(1-R173)+INDEX(Models!$BJ173:$BT173,,T173+1)*R173-ERP_i)*Q173*Ramure*Pc/MaxiM</f>
        <v>4.1458406891069662E-7</v>
      </c>
      <c r="Q173" s="301">
        <f t="shared" si="60"/>
        <v>0.5</v>
      </c>
      <c r="R173" s="173">
        <f t="shared" si="61"/>
        <v>0.23326563721935237</v>
      </c>
      <c r="S173" s="802">
        <f t="shared" si="83"/>
        <v>0</v>
      </c>
      <c r="T173" s="172">
        <f t="shared" si="62"/>
        <v>6</v>
      </c>
      <c r="U173" s="247">
        <f t="shared" si="63"/>
        <v>0.23326563721935237</v>
      </c>
      <c r="V173" s="378">
        <f t="shared" si="64"/>
        <v>64.134410932005537</v>
      </c>
      <c r="W173" s="58"/>
      <c r="X173" s="153">
        <f t="shared" si="65"/>
        <v>44720</v>
      </c>
      <c r="Y173" s="380">
        <f t="shared" si="66"/>
        <v>26.016000000000002</v>
      </c>
      <c r="Z173" s="380">
        <f t="shared" si="67"/>
        <v>26.086611298571178</v>
      </c>
      <c r="AA173" s="381">
        <f t="shared" si="68"/>
        <v>26.44951504645071</v>
      </c>
      <c r="AB173" s="193">
        <f t="shared" si="69"/>
        <v>44720</v>
      </c>
      <c r="AC173" s="420">
        <f t="shared" si="70"/>
        <v>1.3720620103703186E-2</v>
      </c>
      <c r="AD173" s="165">
        <f>(INDEX(Models!$BJ173:$BT173,,AH173)*(1-AF173)+INDEX(Models!$BJ173:$BT173,,AH173+1)*AF173-ERP_i)*AE173*Ramure*Pc/MaxiM</f>
        <v>4.1458406891069662E-7</v>
      </c>
      <c r="AE173" s="301">
        <f t="shared" si="71"/>
        <v>0.5</v>
      </c>
      <c r="AF173" s="173">
        <f t="shared" si="72"/>
        <v>0.23326563721935237</v>
      </c>
      <c r="AG173" s="802">
        <f t="shared" si="73"/>
        <v>0</v>
      </c>
      <c r="AH173" s="172">
        <f t="shared" si="74"/>
        <v>6</v>
      </c>
      <c r="AI173" s="221">
        <f t="shared" si="75"/>
        <v>0.23326563721935237</v>
      </c>
      <c r="AJ173" s="261" t="b">
        <f t="shared" si="76"/>
        <v>0</v>
      </c>
      <c r="AK173" s="261" t="b">
        <f t="shared" si="77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8"/>
        <v>44721</v>
      </c>
      <c r="B174" s="610">
        <v>53.460999999999999</v>
      </c>
      <c r="C174" s="385"/>
      <c r="D174" s="388">
        <f t="shared" si="79"/>
        <v>53.606834948517253</v>
      </c>
      <c r="E174" s="380">
        <f t="shared" si="80"/>
        <v>54.356526220656804</v>
      </c>
      <c r="F174" s="380">
        <f t="shared" si="81"/>
        <v>54.356542817414159</v>
      </c>
      <c r="G174" s="110">
        <f t="shared" si="82"/>
        <v>0.83348400703398962</v>
      </c>
      <c r="I174" s="375">
        <f t="shared" si="56"/>
        <v>54.356542817414159</v>
      </c>
      <c r="J174" s="85">
        <v>2022</v>
      </c>
      <c r="K174" s="193">
        <f t="shared" si="57"/>
        <v>44721</v>
      </c>
      <c r="L174" s="431">
        <f t="shared" si="58"/>
        <v>2.7204543722327834E-3</v>
      </c>
      <c r="M174" s="847"/>
      <c r="N174" s="847"/>
      <c r="O174" s="320">
        <f t="shared" si="59"/>
        <v>1.3792111532223867E-2</v>
      </c>
      <c r="P174" s="165">
        <f>(INDEX(Models!$BJ174:$BT174,,T174)*(1-R174)+INDEX(Models!$BJ174:$BT174,,T174+1)*R174-ERP_i)*Q174*Ramure*Pc/MaxiM</f>
        <v>4.00634170888912E-7</v>
      </c>
      <c r="Q174" s="301">
        <f t="shared" si="60"/>
        <v>0.5</v>
      </c>
      <c r="R174" s="173">
        <f t="shared" si="61"/>
        <v>0.23840641186365824</v>
      </c>
      <c r="S174" s="802">
        <f t="shared" si="83"/>
        <v>0</v>
      </c>
      <c r="T174" s="172">
        <f t="shared" si="62"/>
        <v>6</v>
      </c>
      <c r="U174" s="247">
        <f t="shared" si="63"/>
        <v>0.23840641186365824</v>
      </c>
      <c r="V174" s="378">
        <f t="shared" si="64"/>
        <v>64.141596543957363</v>
      </c>
      <c r="W174" s="58"/>
      <c r="X174" s="153">
        <f t="shared" si="65"/>
        <v>44721</v>
      </c>
      <c r="Y174" s="380">
        <f t="shared" si="66"/>
        <v>53.460999999999999</v>
      </c>
      <c r="Z174" s="380">
        <f t="shared" si="67"/>
        <v>53.606834948517253</v>
      </c>
      <c r="AA174" s="381">
        <f t="shared" si="68"/>
        <v>54.356526220656804</v>
      </c>
      <c r="AB174" s="193">
        <f t="shared" si="69"/>
        <v>44721</v>
      </c>
      <c r="AC174" s="420">
        <f t="shared" si="70"/>
        <v>1.3792111532223867E-2</v>
      </c>
      <c r="AD174" s="165">
        <f>(INDEX(Models!$BJ174:$BT174,,AH174)*(1-AF174)+INDEX(Models!$BJ174:$BT174,,AH174+1)*AF174-ERP_i)*AE174*Ramure*Pc/MaxiM</f>
        <v>4.00634170888912E-7</v>
      </c>
      <c r="AE174" s="301">
        <f t="shared" si="71"/>
        <v>0.5</v>
      </c>
      <c r="AF174" s="173">
        <f t="shared" si="72"/>
        <v>0.23840641186365824</v>
      </c>
      <c r="AG174" s="802">
        <f t="shared" si="73"/>
        <v>0</v>
      </c>
      <c r="AH174" s="172">
        <f t="shared" si="74"/>
        <v>6</v>
      </c>
      <c r="AI174" s="221">
        <f t="shared" si="75"/>
        <v>0.23840641186365824</v>
      </c>
      <c r="AJ174" s="261" t="b">
        <f t="shared" si="76"/>
        <v>0</v>
      </c>
      <c r="AK174" s="261" t="b">
        <f t="shared" si="77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8"/>
        <v>44722</v>
      </c>
      <c r="B175" s="610">
        <v>65.775000000000006</v>
      </c>
      <c r="C175" s="385"/>
      <c r="D175" s="388">
        <f t="shared" si="79"/>
        <v>65.955328879663355</v>
      </c>
      <c r="E175" s="380">
        <f t="shared" si="80"/>
        <v>66.882551983526412</v>
      </c>
      <c r="F175" s="380">
        <f t="shared" si="81"/>
        <v>66.882577946073681</v>
      </c>
      <c r="G175" s="110">
        <f t="shared" si="82"/>
        <v>1.0253895155984705</v>
      </c>
      <c r="I175" s="375">
        <f t="shared" si="56"/>
        <v>66.882577946073681</v>
      </c>
      <c r="J175" s="85">
        <v>2022</v>
      </c>
      <c r="K175" s="193">
        <f t="shared" si="57"/>
        <v>44722</v>
      </c>
      <c r="L175" s="431">
        <f t="shared" si="58"/>
        <v>2.7341062917352055E-3</v>
      </c>
      <c r="M175" s="847"/>
      <c r="N175" s="847"/>
      <c r="O175" s="320">
        <f t="shared" si="59"/>
        <v>1.3863452819375621E-2</v>
      </c>
      <c r="P175" s="165">
        <f>(INDEX(Models!$BJ175:$BT175,,T175)*(1-R175)+INDEX(Models!$BJ175:$BT175,,T175+1)*R175-ERP_i)*Q175*Ramure*Pc/MaxiM</f>
        <v>3.8818101923777704E-7</v>
      </c>
      <c r="Q175" s="301">
        <f t="shared" si="60"/>
        <v>0.5</v>
      </c>
      <c r="R175" s="173">
        <f t="shared" si="61"/>
        <v>0.24355152817466977</v>
      </c>
      <c r="S175" s="802">
        <f t="shared" si="83"/>
        <v>0</v>
      </c>
      <c r="T175" s="172">
        <f t="shared" si="62"/>
        <v>6</v>
      </c>
      <c r="U175" s="247">
        <f t="shared" si="63"/>
        <v>0.24355152817466977</v>
      </c>
      <c r="V175" s="378">
        <f t="shared" si="64"/>
        <v>64.14635511619241</v>
      </c>
      <c r="W175" s="58"/>
      <c r="X175" s="153">
        <f t="shared" si="65"/>
        <v>44722</v>
      </c>
      <c r="Y175" s="380">
        <f t="shared" si="66"/>
        <v>65.775000000000006</v>
      </c>
      <c r="Z175" s="380">
        <f t="shared" si="67"/>
        <v>65.955328879663355</v>
      </c>
      <c r="AA175" s="381">
        <f t="shared" si="68"/>
        <v>66.882551983526412</v>
      </c>
      <c r="AB175" s="193">
        <f t="shared" si="69"/>
        <v>44722</v>
      </c>
      <c r="AC175" s="420">
        <f t="shared" si="70"/>
        <v>1.3863452819375621E-2</v>
      </c>
      <c r="AD175" s="165">
        <f>(INDEX(Models!$BJ175:$BT175,,AH175)*(1-AF175)+INDEX(Models!$BJ175:$BT175,,AH175+1)*AF175-ERP_i)*AE175*Ramure*Pc/MaxiM</f>
        <v>3.8818101923777704E-7</v>
      </c>
      <c r="AE175" s="301">
        <f t="shared" si="71"/>
        <v>0.5</v>
      </c>
      <c r="AF175" s="173">
        <f t="shared" si="72"/>
        <v>0.24355152817466977</v>
      </c>
      <c r="AG175" s="802">
        <f t="shared" si="73"/>
        <v>0</v>
      </c>
      <c r="AH175" s="172">
        <f t="shared" si="74"/>
        <v>6</v>
      </c>
      <c r="AI175" s="221">
        <f t="shared" si="75"/>
        <v>0.24355152817466977</v>
      </c>
      <c r="AJ175" s="261" t="b">
        <f t="shared" si="76"/>
        <v>0</v>
      </c>
      <c r="AK175" s="261" t="b">
        <f t="shared" si="77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8"/>
        <v>44723</v>
      </c>
      <c r="B176" s="610">
        <v>62.977000000000004</v>
      </c>
      <c r="C176" s="385"/>
      <c r="D176" s="388">
        <f t="shared" si="79"/>
        <v>63.150522354541863</v>
      </c>
      <c r="E176" s="380">
        <f t="shared" si="80"/>
        <v>64.042937179013052</v>
      </c>
      <c r="F176" s="380">
        <f t="shared" si="81"/>
        <v>64.04296071880799</v>
      </c>
      <c r="G176" s="110">
        <f t="shared" si="82"/>
        <v>0.98173151281285631</v>
      </c>
      <c r="I176" s="375">
        <f t="shared" si="56"/>
        <v>64.04296071880799</v>
      </c>
      <c r="J176" s="85">
        <v>2022</v>
      </c>
      <c r="K176" s="193">
        <f t="shared" si="57"/>
        <v>44723</v>
      </c>
      <c r="L176" s="431">
        <f t="shared" si="58"/>
        <v>2.7477580243543409E-3</v>
      </c>
      <c r="M176" s="847"/>
      <c r="N176" s="847"/>
      <c r="O176" s="320">
        <f t="shared" si="59"/>
        <v>1.3934632978757735E-2</v>
      </c>
      <c r="P176" s="165">
        <f>(INDEX(Models!$BJ176:$BT176,,T176)*(1-R176)+INDEX(Models!$BJ176:$BT176,,T176+1)*R176-ERP_i)*Q176*Ramure*Pc/MaxiM</f>
        <v>3.7741220299242841E-7</v>
      </c>
      <c r="Q176" s="301">
        <f t="shared" si="60"/>
        <v>0.5</v>
      </c>
      <c r="R176" s="173">
        <f t="shared" si="61"/>
        <v>0.2486966444856813</v>
      </c>
      <c r="S176" s="802">
        <f t="shared" si="83"/>
        <v>0</v>
      </c>
      <c r="T176" s="172">
        <f t="shared" si="62"/>
        <v>6</v>
      </c>
      <c r="U176" s="247">
        <f t="shared" si="63"/>
        <v>0.2486966444856813</v>
      </c>
      <c r="V176" s="378">
        <f t="shared" si="64"/>
        <v>64.148902788357574</v>
      </c>
      <c r="W176" s="58"/>
      <c r="X176" s="153">
        <f t="shared" si="65"/>
        <v>44723</v>
      </c>
      <c r="Y176" s="380">
        <f t="shared" si="66"/>
        <v>62.977000000000004</v>
      </c>
      <c r="Z176" s="380">
        <f t="shared" si="67"/>
        <v>63.150522354541863</v>
      </c>
      <c r="AA176" s="381">
        <f t="shared" si="68"/>
        <v>64.042937179013052</v>
      </c>
      <c r="AB176" s="193">
        <f t="shared" si="69"/>
        <v>44723</v>
      </c>
      <c r="AC176" s="420">
        <f t="shared" si="70"/>
        <v>1.3934632978757735E-2</v>
      </c>
      <c r="AD176" s="165">
        <f>(INDEX(Models!$BJ176:$BT176,,AH176)*(1-AF176)+INDEX(Models!$BJ176:$BT176,,AH176+1)*AF176-ERP_i)*AE176*Ramure*Pc/MaxiM</f>
        <v>3.7741220299242841E-7</v>
      </c>
      <c r="AE176" s="301">
        <f t="shared" si="71"/>
        <v>0.5</v>
      </c>
      <c r="AF176" s="173">
        <f t="shared" si="72"/>
        <v>0.2486966444856813</v>
      </c>
      <c r="AG176" s="802">
        <f t="shared" si="73"/>
        <v>0</v>
      </c>
      <c r="AH176" s="172">
        <f t="shared" si="74"/>
        <v>6</v>
      </c>
      <c r="AI176" s="221">
        <f t="shared" si="75"/>
        <v>0.2486966444856813</v>
      </c>
      <c r="AJ176" s="261" t="b">
        <f t="shared" si="76"/>
        <v>0</v>
      </c>
      <c r="AK176" s="261" t="b">
        <f t="shared" si="77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8"/>
        <v>44724</v>
      </c>
      <c r="B177" s="610">
        <v>50.783000000000001</v>
      </c>
      <c r="C177" s="385"/>
      <c r="D177" s="388">
        <f t="shared" si="79"/>
        <v>50.923620974302217</v>
      </c>
      <c r="E177" s="380">
        <f t="shared" si="80"/>
        <v>51.646969914130239</v>
      </c>
      <c r="F177" s="380">
        <f t="shared" si="81"/>
        <v>51.646983281304863</v>
      </c>
      <c r="G177" s="110">
        <f t="shared" si="82"/>
        <v>0.7916278950623179</v>
      </c>
      <c r="I177" s="375">
        <f t="shared" si="56"/>
        <v>51.646983281304863</v>
      </c>
      <c r="J177" s="85">
        <v>2022</v>
      </c>
      <c r="K177" s="193">
        <f t="shared" si="57"/>
        <v>44724</v>
      </c>
      <c r="L177" s="431">
        <f t="shared" si="58"/>
        <v>2.7614095700927432E-3</v>
      </c>
      <c r="M177" s="847"/>
      <c r="N177" s="847"/>
      <c r="O177" s="320">
        <f t="shared" si="59"/>
        <v>1.4005641396401087E-2</v>
      </c>
      <c r="P177" s="165">
        <f>(INDEX(Models!$BJ177:$BT177,,T177)*(1-R177)+INDEX(Models!$BJ177:$BT177,,T177+1)*R177-ERP_i)*Q177*Ramure*Pc/MaxiM</f>
        <v>3.6851579648599761E-7</v>
      </c>
      <c r="Q177" s="301">
        <f t="shared" si="60"/>
        <v>0.5</v>
      </c>
      <c r="R177" s="173">
        <f t="shared" si="61"/>
        <v>0.2538374191299872</v>
      </c>
      <c r="S177" s="802">
        <f t="shared" si="83"/>
        <v>0</v>
      </c>
      <c r="T177" s="172">
        <f t="shared" si="62"/>
        <v>6</v>
      </c>
      <c r="U177" s="247">
        <f t="shared" si="63"/>
        <v>0.2538374191299872</v>
      </c>
      <c r="V177" s="378">
        <f t="shared" si="64"/>
        <v>64.150082059985124</v>
      </c>
      <c r="W177" s="58"/>
      <c r="X177" s="153">
        <f t="shared" si="65"/>
        <v>44724</v>
      </c>
      <c r="Y177" s="380">
        <f t="shared" si="66"/>
        <v>50.783000000000001</v>
      </c>
      <c r="Z177" s="380">
        <f t="shared" si="67"/>
        <v>50.923620974302217</v>
      </c>
      <c r="AA177" s="381">
        <f t="shared" si="68"/>
        <v>51.646969914130239</v>
      </c>
      <c r="AB177" s="193">
        <f t="shared" si="69"/>
        <v>44724</v>
      </c>
      <c r="AC177" s="420">
        <f t="shared" si="70"/>
        <v>1.4005641396401087E-2</v>
      </c>
      <c r="AD177" s="165">
        <f>(INDEX(Models!$BJ177:$BT177,,AH177)*(1-AF177)+INDEX(Models!$BJ177:$BT177,,AH177+1)*AF177-ERP_i)*AE177*Ramure*Pc/MaxiM</f>
        <v>3.6851579648599761E-7</v>
      </c>
      <c r="AE177" s="301">
        <f t="shared" si="71"/>
        <v>0.5</v>
      </c>
      <c r="AF177" s="173">
        <f t="shared" si="72"/>
        <v>0.2538374191299872</v>
      </c>
      <c r="AG177" s="802">
        <f t="shared" si="73"/>
        <v>0</v>
      </c>
      <c r="AH177" s="172">
        <f t="shared" si="74"/>
        <v>6</v>
      </c>
      <c r="AI177" s="221">
        <f t="shared" si="75"/>
        <v>0.2538374191299872</v>
      </c>
      <c r="AJ177" s="261" t="b">
        <f t="shared" si="76"/>
        <v>0</v>
      </c>
      <c r="AK177" s="261" t="b">
        <f t="shared" si="77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8"/>
        <v>44725</v>
      </c>
      <c r="B178" s="610">
        <v>56.774000000000001</v>
      </c>
      <c r="C178" s="385"/>
      <c r="D178" s="388">
        <f t="shared" si="79"/>
        <v>56.931989740335951</v>
      </c>
      <c r="E178" s="380">
        <f t="shared" si="80"/>
        <v>57.744833027339418</v>
      </c>
      <c r="F178" s="380">
        <f t="shared" si="81"/>
        <v>57.744850509610608</v>
      </c>
      <c r="G178" s="110">
        <f t="shared" si="82"/>
        <v>0.88501620532134062</v>
      </c>
      <c r="I178" s="375">
        <f t="shared" si="56"/>
        <v>57.744850509610608</v>
      </c>
      <c r="J178" s="85">
        <v>2022</v>
      </c>
      <c r="K178" s="193">
        <f t="shared" si="57"/>
        <v>44725</v>
      </c>
      <c r="L178" s="431">
        <f t="shared" si="58"/>
        <v>2.7750609289528549E-3</v>
      </c>
      <c r="M178" s="847"/>
      <c r="N178" s="847"/>
      <c r="O178" s="320">
        <f t="shared" si="59"/>
        <v>1.4076467874080106E-2</v>
      </c>
      <c r="P178" s="165">
        <f>(INDEX(Models!$BJ178:$BT178,,T178)*(1-R178)+INDEX(Models!$BJ178:$BT178,,T178+1)*R178-ERP_i)*Q178*Ramure*Pc/MaxiM</f>
        <v>3.622552563725368E-7</v>
      </c>
      <c r="Q178" s="301">
        <f t="shared" si="60"/>
        <v>0.5</v>
      </c>
      <c r="R178" s="173">
        <f t="shared" si="61"/>
        <v>0.25896952508325372</v>
      </c>
      <c r="S178" s="802">
        <f t="shared" si="83"/>
        <v>0</v>
      </c>
      <c r="T178" s="172">
        <f t="shared" si="62"/>
        <v>6</v>
      </c>
      <c r="U178" s="247">
        <f t="shared" si="63"/>
        <v>0.25896952508325372</v>
      </c>
      <c r="V178" s="378">
        <f t="shared" si="64"/>
        <v>64.150233950858421</v>
      </c>
      <c r="W178" s="58"/>
      <c r="X178" s="153">
        <f t="shared" si="65"/>
        <v>44725</v>
      </c>
      <c r="Y178" s="380">
        <f t="shared" si="66"/>
        <v>56.774000000000001</v>
      </c>
      <c r="Z178" s="380">
        <f t="shared" si="67"/>
        <v>56.931989740335951</v>
      </c>
      <c r="AA178" s="381">
        <f t="shared" si="68"/>
        <v>57.744833027339418</v>
      </c>
      <c r="AB178" s="193">
        <f t="shared" si="69"/>
        <v>44725</v>
      </c>
      <c r="AC178" s="420">
        <f t="shared" si="70"/>
        <v>1.4076467874080106E-2</v>
      </c>
      <c r="AD178" s="165">
        <f>(INDEX(Models!$BJ178:$BT178,,AH178)*(1-AF178)+INDEX(Models!$BJ178:$BT178,,AH178+1)*AF178-ERP_i)*AE178*Ramure*Pc/MaxiM</f>
        <v>3.622552563725368E-7</v>
      </c>
      <c r="AE178" s="301">
        <f t="shared" si="71"/>
        <v>0.5</v>
      </c>
      <c r="AF178" s="173">
        <f t="shared" si="72"/>
        <v>0.25896952508325372</v>
      </c>
      <c r="AG178" s="802">
        <f t="shared" si="73"/>
        <v>0</v>
      </c>
      <c r="AH178" s="172">
        <f t="shared" si="74"/>
        <v>6</v>
      </c>
      <c r="AI178" s="221">
        <f t="shared" si="75"/>
        <v>0.25896952508325372</v>
      </c>
      <c r="AJ178" s="261" t="b">
        <f t="shared" si="76"/>
        <v>0</v>
      </c>
      <c r="AK178" s="261" t="b">
        <f t="shared" si="77"/>
        <v>0</v>
      </c>
      <c r="AL178" s="261"/>
      <c r="AM178" s="261"/>
      <c r="AN178" s="75"/>
    </row>
    <row r="179" spans="1:40" s="6" customFormat="1" ht="11.25" x14ac:dyDescent="0.2">
      <c r="A179" s="56">
        <f t="shared" si="78"/>
        <v>44726</v>
      </c>
      <c r="B179" s="610">
        <v>57.715000000000003</v>
      </c>
      <c r="C179" s="385"/>
      <c r="D179" s="388">
        <f t="shared" si="79"/>
        <v>57.876400618764251</v>
      </c>
      <c r="E179" s="380">
        <f t="shared" si="80"/>
        <v>58.706933636396471</v>
      </c>
      <c r="F179" s="380">
        <f t="shared" si="81"/>
        <v>58.706951596633296</v>
      </c>
      <c r="G179" s="110">
        <f t="shared" si="82"/>
        <v>0.89970469786884688</v>
      </c>
      <c r="I179" s="375">
        <f t="shared" si="56"/>
        <v>58.706951596633296</v>
      </c>
      <c r="J179" s="85">
        <v>2022</v>
      </c>
      <c r="K179" s="193">
        <f t="shared" si="57"/>
        <v>44726</v>
      </c>
      <c r="L179" s="431">
        <f t="shared" si="58"/>
        <v>2.7887121009373406E-3</v>
      </c>
      <c r="M179" s="847"/>
      <c r="N179" s="847"/>
      <c r="O179" s="320">
        <f t="shared" si="59"/>
        <v>1.4147102670634404E-2</v>
      </c>
      <c r="P179" s="165">
        <f>(INDEX(Models!$BJ179:$BT179,,T179)*(1-R179)+INDEX(Models!$BJ179:$BT179,,T179+1)*R179-ERP_i)*Q179*Ramure*Pc/MaxiM</f>
        <v>3.5709443716524107E-7</v>
      </c>
      <c r="Q179" s="301">
        <f t="shared" si="60"/>
        <v>0.5</v>
      </c>
      <c r="R179" s="173">
        <f t="shared" si="61"/>
        <v>0.26408866450107965</v>
      </c>
      <c r="S179" s="802">
        <f t="shared" si="83"/>
        <v>0</v>
      </c>
      <c r="T179" s="172">
        <f t="shared" si="62"/>
        <v>6</v>
      </c>
      <c r="U179" s="247">
        <f t="shared" si="63"/>
        <v>0.26408866450107965</v>
      </c>
      <c r="V179" s="378">
        <f t="shared" si="64"/>
        <v>64.148822590093587</v>
      </c>
      <c r="W179" s="58"/>
      <c r="X179" s="153">
        <f t="shared" si="65"/>
        <v>44726</v>
      </c>
      <c r="Y179" s="380">
        <f t="shared" si="66"/>
        <v>57.715000000000003</v>
      </c>
      <c r="Z179" s="380">
        <f t="shared" si="67"/>
        <v>57.876400618764251</v>
      </c>
      <c r="AA179" s="381">
        <f t="shared" si="68"/>
        <v>58.706933636396471</v>
      </c>
      <c r="AB179" s="193">
        <f t="shared" si="69"/>
        <v>44726</v>
      </c>
      <c r="AC179" s="420">
        <f t="shared" si="70"/>
        <v>1.4147102670634404E-2</v>
      </c>
      <c r="AD179" s="165">
        <f>(INDEX(Models!$BJ179:$BT179,,AH179)*(1-AF179)+INDEX(Models!$BJ179:$BT179,,AH179+1)*AF179-ERP_i)*AE179*Ramure*Pc/MaxiM</f>
        <v>3.5709443716524107E-7</v>
      </c>
      <c r="AE179" s="301">
        <f t="shared" si="71"/>
        <v>0.5</v>
      </c>
      <c r="AF179" s="173">
        <f t="shared" si="72"/>
        <v>0.26408866450107965</v>
      </c>
      <c r="AG179" s="802">
        <f t="shared" si="73"/>
        <v>0</v>
      </c>
      <c r="AH179" s="172">
        <f t="shared" si="74"/>
        <v>6</v>
      </c>
      <c r="AI179" s="221">
        <f t="shared" si="75"/>
        <v>0.26408866450107965</v>
      </c>
      <c r="AJ179" s="261" t="b">
        <f t="shared" si="76"/>
        <v>0</v>
      </c>
      <c r="AK179" s="261" t="b">
        <f t="shared" si="77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8"/>
        <v>44727</v>
      </c>
      <c r="B180" s="610">
        <v>61.222999999999999</v>
      </c>
      <c r="C180" s="385"/>
      <c r="D180" s="388">
        <f t="shared" si="79"/>
        <v>61.395051225219632</v>
      </c>
      <c r="E180" s="380">
        <f t="shared" si="80"/>
        <v>62.280526892100532</v>
      </c>
      <c r="F180" s="380">
        <f t="shared" si="81"/>
        <v>62.280547455261207</v>
      </c>
      <c r="G180" s="110">
        <f t="shared" si="82"/>
        <v>0.95444228959191524</v>
      </c>
      <c r="I180" s="375">
        <f t="shared" si="56"/>
        <v>62.280547455261207</v>
      </c>
      <c r="J180" s="85">
        <v>2022</v>
      </c>
      <c r="K180" s="193">
        <f t="shared" si="57"/>
        <v>44727</v>
      </c>
      <c r="L180" s="431">
        <f t="shared" si="58"/>
        <v>2.8023630860488646E-3</v>
      </c>
      <c r="M180" s="847"/>
      <c r="N180" s="847"/>
      <c r="O180" s="320">
        <f t="shared" si="59"/>
        <v>1.4217536540995697E-2</v>
      </c>
      <c r="P180" s="165">
        <f>(INDEX(Models!$BJ180:$BT180,,T180)*(1-R180)+INDEX(Models!$BJ180:$BT180,,T180+1)*R180-ERP_i)*Q180*Ramure*Pc/MaxiM</f>
        <v>3.5315399022571599E-7</v>
      </c>
      <c r="Q180" s="301">
        <f t="shared" si="60"/>
        <v>0.5</v>
      </c>
      <c r="R180" s="173">
        <f t="shared" si="61"/>
        <v>0.26919058304821969</v>
      </c>
      <c r="S180" s="802">
        <f t="shared" si="83"/>
        <v>0</v>
      </c>
      <c r="T180" s="172">
        <f t="shared" si="62"/>
        <v>6</v>
      </c>
      <c r="U180" s="247">
        <f t="shared" si="63"/>
        <v>0.26919058304821969</v>
      </c>
      <c r="V180" s="378">
        <f t="shared" si="64"/>
        <v>64.145312147704459</v>
      </c>
      <c r="W180" s="58"/>
      <c r="X180" s="153">
        <f t="shared" si="65"/>
        <v>44727</v>
      </c>
      <c r="Y180" s="380">
        <f t="shared" si="66"/>
        <v>61.222999999999999</v>
      </c>
      <c r="Z180" s="380">
        <f t="shared" si="67"/>
        <v>61.395051225219632</v>
      </c>
      <c r="AA180" s="381">
        <f t="shared" si="68"/>
        <v>62.280526892100532</v>
      </c>
      <c r="AB180" s="193">
        <f t="shared" si="69"/>
        <v>44727</v>
      </c>
      <c r="AC180" s="420">
        <f t="shared" si="70"/>
        <v>1.4217536540995697E-2</v>
      </c>
      <c r="AD180" s="165">
        <f>(INDEX(Models!$BJ180:$BT180,,AH180)*(1-AF180)+INDEX(Models!$BJ180:$BT180,,AH180+1)*AF180-ERP_i)*AE180*Ramure*Pc/MaxiM</f>
        <v>3.5315399022571599E-7</v>
      </c>
      <c r="AE180" s="301">
        <f t="shared" si="71"/>
        <v>0.5</v>
      </c>
      <c r="AF180" s="173">
        <f t="shared" si="72"/>
        <v>0.26919058304821969</v>
      </c>
      <c r="AG180" s="802">
        <f t="shared" si="73"/>
        <v>0</v>
      </c>
      <c r="AH180" s="172">
        <f t="shared" si="74"/>
        <v>6</v>
      </c>
      <c r="AI180" s="221">
        <f t="shared" si="75"/>
        <v>0.26919058304821969</v>
      </c>
      <c r="AJ180" s="261" t="b">
        <f t="shared" si="76"/>
        <v>0</v>
      </c>
      <c r="AK180" s="261" t="b">
        <f t="shared" si="77"/>
        <v>0</v>
      </c>
      <c r="AL180" s="261"/>
      <c r="AM180" s="261"/>
      <c r="AN180" s="75"/>
    </row>
    <row r="181" spans="1:40" s="6" customFormat="1" ht="11.25" x14ac:dyDescent="0.2">
      <c r="A181" s="56">
        <f t="shared" si="78"/>
        <v>44728</v>
      </c>
      <c r="B181" s="610">
        <v>58.015000000000001</v>
      </c>
      <c r="C181" s="385"/>
      <c r="D181" s="388">
        <f t="shared" si="79"/>
        <v>58.178832399809629</v>
      </c>
      <c r="E181" s="380">
        <f t="shared" si="80"/>
        <v>59.022126422425139</v>
      </c>
      <c r="F181" s="380">
        <f t="shared" si="81"/>
        <v>59.022144290710564</v>
      </c>
      <c r="G181" s="110">
        <f t="shared" si="82"/>
        <v>0.90451747335563815</v>
      </c>
      <c r="I181" s="375">
        <f t="shared" si="56"/>
        <v>59.022144290710564</v>
      </c>
      <c r="J181" s="85">
        <v>2022</v>
      </c>
      <c r="K181" s="193">
        <f t="shared" si="57"/>
        <v>44728</v>
      </c>
      <c r="L181" s="431">
        <f t="shared" si="58"/>
        <v>2.8160138842897586E-3</v>
      </c>
      <c r="M181" s="847"/>
      <c r="N181" s="847"/>
      <c r="O181" s="320">
        <f t="shared" si="59"/>
        <v>1.4287760772629622E-2</v>
      </c>
      <c r="P181" s="165">
        <f>(INDEX(Models!$BJ181:$BT181,,T181)*(1-R181)+INDEX(Models!$BJ181:$BT181,,T181+1)*R181-ERP_i)*Q181*Ramure*Pc/MaxiM</f>
        <v>3.5055571215130353E-7</v>
      </c>
      <c r="Q181" s="301">
        <f t="shared" si="60"/>
        <v>0.5</v>
      </c>
      <c r="R181" s="173">
        <f t="shared" si="61"/>
        <v>0.27427108391849159</v>
      </c>
      <c r="S181" s="802">
        <f t="shared" si="83"/>
        <v>0</v>
      </c>
      <c r="T181" s="172">
        <f t="shared" si="62"/>
        <v>6</v>
      </c>
      <c r="U181" s="247">
        <f t="shared" si="63"/>
        <v>0.27427108391849159</v>
      </c>
      <c r="V181" s="378">
        <f t="shared" si="64"/>
        <v>64.139166942420232</v>
      </c>
      <c r="W181" s="58"/>
      <c r="X181" s="153">
        <f t="shared" si="65"/>
        <v>44728</v>
      </c>
      <c r="Y181" s="380">
        <f t="shared" si="66"/>
        <v>58.015000000000001</v>
      </c>
      <c r="Z181" s="380">
        <f t="shared" si="67"/>
        <v>58.178832399809629</v>
      </c>
      <c r="AA181" s="381">
        <f t="shared" si="68"/>
        <v>59.022126422425139</v>
      </c>
      <c r="AB181" s="193">
        <f t="shared" si="69"/>
        <v>44728</v>
      </c>
      <c r="AC181" s="420">
        <f t="shared" si="70"/>
        <v>1.4287760772629622E-2</v>
      </c>
      <c r="AD181" s="165">
        <f>(INDEX(Models!$BJ181:$BT181,,AH181)*(1-AF181)+INDEX(Models!$BJ181:$BT181,,AH181+1)*AF181-ERP_i)*AE181*Ramure*Pc/MaxiM</f>
        <v>3.5055571215130353E-7</v>
      </c>
      <c r="AE181" s="301">
        <f t="shared" si="71"/>
        <v>0.5</v>
      </c>
      <c r="AF181" s="173">
        <f t="shared" si="72"/>
        <v>0.27427108391849159</v>
      </c>
      <c r="AG181" s="802">
        <f t="shared" si="73"/>
        <v>0</v>
      </c>
      <c r="AH181" s="172">
        <f t="shared" si="74"/>
        <v>6</v>
      </c>
      <c r="AI181" s="221">
        <f t="shared" si="75"/>
        <v>0.27427108391849159</v>
      </c>
      <c r="AJ181" s="261" t="b">
        <f t="shared" si="76"/>
        <v>0</v>
      </c>
      <c r="AK181" s="261" t="b">
        <f t="shared" si="77"/>
        <v>0</v>
      </c>
      <c r="AL181" s="261"/>
      <c r="AM181" s="261"/>
      <c r="AN181" s="75"/>
    </row>
    <row r="182" spans="1:40" s="6" customFormat="1" ht="11.25" x14ac:dyDescent="0.2">
      <c r="A182" s="56">
        <f t="shared" si="78"/>
        <v>44729</v>
      </c>
      <c r="B182" s="610">
        <v>58.185000000000002</v>
      </c>
      <c r="C182" s="385"/>
      <c r="D182" s="388">
        <f t="shared" si="79"/>
        <v>58.350111238088388</v>
      </c>
      <c r="E182" s="380">
        <f t="shared" si="80"/>
        <v>59.200092383886535</v>
      </c>
      <c r="F182" s="380">
        <f t="shared" si="81"/>
        <v>59.20011033031976</v>
      </c>
      <c r="G182" s="110">
        <f t="shared" si="82"/>
        <v>0.90729973651479612</v>
      </c>
      <c r="I182" s="375">
        <f t="shared" si="56"/>
        <v>59.20011033031976</v>
      </c>
      <c r="J182" s="85">
        <v>2022</v>
      </c>
      <c r="K182" s="193">
        <f t="shared" si="57"/>
        <v>44729</v>
      </c>
      <c r="L182" s="431">
        <f t="shared" si="58"/>
        <v>2.8296644956626871E-3</v>
      </c>
      <c r="M182" s="847"/>
      <c r="N182" s="847"/>
      <c r="O182" s="320">
        <f t="shared" si="59"/>
        <v>1.4357767219118444E-2</v>
      </c>
      <c r="P182" s="165">
        <f>(INDEX(Models!$BJ182:$BT182,,T182)*(1-R182)+INDEX(Models!$BJ182:$BT182,,T182+1)*R182-ERP_i)*Q182*Ramure*Pc/MaxiM</f>
        <v>3.4942224413242455E-7</v>
      </c>
      <c r="Q182" s="301">
        <f t="shared" si="60"/>
        <v>0.5</v>
      </c>
      <c r="R182" s="173">
        <f t="shared" si="61"/>
        <v>0.27932604144815137</v>
      </c>
      <c r="S182" s="802">
        <f t="shared" si="83"/>
        <v>0</v>
      </c>
      <c r="T182" s="172">
        <f t="shared" si="62"/>
        <v>6</v>
      </c>
      <c r="U182" s="247">
        <f t="shared" si="63"/>
        <v>0.27932604144815137</v>
      </c>
      <c r="V182" s="378">
        <f t="shared" si="64"/>
        <v>64.129851432642766</v>
      </c>
      <c r="W182" s="58"/>
      <c r="X182" s="153">
        <f t="shared" si="65"/>
        <v>44729</v>
      </c>
      <c r="Y182" s="380">
        <f t="shared" si="66"/>
        <v>58.185000000000002</v>
      </c>
      <c r="Z182" s="380">
        <f t="shared" si="67"/>
        <v>58.350111238088388</v>
      </c>
      <c r="AA182" s="381">
        <f t="shared" si="68"/>
        <v>59.200092383886535</v>
      </c>
      <c r="AB182" s="193">
        <f t="shared" si="69"/>
        <v>44729</v>
      </c>
      <c r="AC182" s="420">
        <f t="shared" si="70"/>
        <v>1.4357767219118444E-2</v>
      </c>
      <c r="AD182" s="165">
        <f>(INDEX(Models!$BJ182:$BT182,,AH182)*(1-AF182)+INDEX(Models!$BJ182:$BT182,,AH182+1)*AF182-ERP_i)*AE182*Ramure*Pc/MaxiM</f>
        <v>3.4942224413242455E-7</v>
      </c>
      <c r="AE182" s="301">
        <f t="shared" si="71"/>
        <v>0.5</v>
      </c>
      <c r="AF182" s="173">
        <f t="shared" si="72"/>
        <v>0.27932604144815137</v>
      </c>
      <c r="AG182" s="802">
        <f t="shared" si="73"/>
        <v>0</v>
      </c>
      <c r="AH182" s="172">
        <f t="shared" si="74"/>
        <v>6</v>
      </c>
      <c r="AI182" s="221">
        <f t="shared" si="75"/>
        <v>0.27932604144815137</v>
      </c>
      <c r="AJ182" s="261" t="b">
        <f t="shared" si="76"/>
        <v>0</v>
      </c>
      <c r="AK182" s="261" t="b">
        <f t="shared" si="77"/>
        <v>0</v>
      </c>
      <c r="AL182" s="261"/>
      <c r="AM182" s="261"/>
      <c r="AN182" s="75"/>
    </row>
    <row r="183" spans="1:40" s="6" customFormat="1" ht="11.25" x14ac:dyDescent="0.2">
      <c r="A183" s="56">
        <f t="shared" si="78"/>
        <v>44730</v>
      </c>
      <c r="B183" s="610">
        <v>61.954999999999998</v>
      </c>
      <c r="C183" s="385"/>
      <c r="D183" s="388">
        <f t="shared" si="79"/>
        <v>62.131659875539057</v>
      </c>
      <c r="E183" s="380">
        <f t="shared" si="80"/>
        <v>63.041189686562369</v>
      </c>
      <c r="F183" s="380">
        <f t="shared" si="81"/>
        <v>63.041210680811361</v>
      </c>
      <c r="G183" s="110">
        <f t="shared" si="82"/>
        <v>0.96628293611581972</v>
      </c>
      <c r="I183" s="375">
        <f t="shared" si="56"/>
        <v>63.041210680811361</v>
      </c>
      <c r="J183" s="85">
        <v>2022</v>
      </c>
      <c r="K183" s="193">
        <f t="shared" si="57"/>
        <v>44730</v>
      </c>
      <c r="L183" s="431">
        <f t="shared" si="58"/>
        <v>2.8433149201702035E-3</v>
      </c>
      <c r="M183" s="847"/>
      <c r="N183" s="847"/>
      <c r="O183" s="320">
        <f t="shared" si="59"/>
        <v>1.4427548330630272E-2</v>
      </c>
      <c r="P183" s="165">
        <f>(INDEX(Models!$BJ183:$BT183,,T183)*(1-R183)+INDEX(Models!$BJ183:$BT183,,T183+1)*R183-ERP_i)*Q183*Ramure*Pc/MaxiM</f>
        <v>3.4987679298269842E-7</v>
      </c>
      <c r="Q183" s="301">
        <f t="shared" si="60"/>
        <v>0.5</v>
      </c>
      <c r="R183" s="173">
        <f t="shared" si="61"/>
        <v>0.28435141423042332</v>
      </c>
      <c r="S183" s="802">
        <f t="shared" si="83"/>
        <v>0</v>
      </c>
      <c r="T183" s="172">
        <f t="shared" si="62"/>
        <v>6</v>
      </c>
      <c r="U183" s="247">
        <f t="shared" si="63"/>
        <v>0.28435141423042332</v>
      </c>
      <c r="V183" s="378">
        <f t="shared" si="64"/>
        <v>64.116830216353421</v>
      </c>
      <c r="W183" s="58"/>
      <c r="X183" s="153">
        <f t="shared" si="65"/>
        <v>44730</v>
      </c>
      <c r="Y183" s="380">
        <f t="shared" si="66"/>
        <v>61.954999999999998</v>
      </c>
      <c r="Z183" s="380">
        <f t="shared" si="67"/>
        <v>62.131659875539057</v>
      </c>
      <c r="AA183" s="381">
        <f t="shared" si="68"/>
        <v>63.041189686562369</v>
      </c>
      <c r="AB183" s="193">
        <f t="shared" si="69"/>
        <v>44730</v>
      </c>
      <c r="AC183" s="420">
        <f t="shared" si="70"/>
        <v>1.4427548330630272E-2</v>
      </c>
      <c r="AD183" s="165">
        <f>(INDEX(Models!$BJ183:$BT183,,AH183)*(1-AF183)+INDEX(Models!$BJ183:$BT183,,AH183+1)*AF183-ERP_i)*AE183*Ramure*Pc/MaxiM</f>
        <v>3.4987679298269842E-7</v>
      </c>
      <c r="AE183" s="301">
        <f t="shared" si="71"/>
        <v>0.5</v>
      </c>
      <c r="AF183" s="173">
        <f t="shared" si="72"/>
        <v>0.28435141423042332</v>
      </c>
      <c r="AG183" s="802">
        <f t="shared" si="73"/>
        <v>0</v>
      </c>
      <c r="AH183" s="172">
        <f t="shared" si="74"/>
        <v>6</v>
      </c>
      <c r="AI183" s="221">
        <f t="shared" si="75"/>
        <v>0.28435141423042332</v>
      </c>
      <c r="AJ183" s="261" t="b">
        <f t="shared" si="76"/>
        <v>0</v>
      </c>
      <c r="AK183" s="261" t="b">
        <f t="shared" si="77"/>
        <v>0</v>
      </c>
      <c r="AL183" s="261"/>
      <c r="AM183" s="261"/>
      <c r="AN183" s="75"/>
    </row>
    <row r="184" spans="1:40" s="6" customFormat="1" ht="11.25" x14ac:dyDescent="0.2">
      <c r="A184" s="56">
        <f t="shared" si="78"/>
        <v>44731</v>
      </c>
      <c r="B184" s="610">
        <v>62.451000000000001</v>
      </c>
      <c r="C184" s="385"/>
      <c r="D184" s="388">
        <f t="shared" si="79"/>
        <v>62.6299315322239</v>
      </c>
      <c r="E184" s="380">
        <f t="shared" si="80"/>
        <v>63.55124003498684</v>
      </c>
      <c r="F184" s="380">
        <f t="shared" si="81"/>
        <v>63.551261625570454</v>
      </c>
      <c r="G184" s="110">
        <f t="shared" si="82"/>
        <v>0.97428112468024908</v>
      </c>
      <c r="I184" s="375">
        <f t="shared" si="56"/>
        <v>63.551261625570454</v>
      </c>
      <c r="J184" s="85">
        <v>2022</v>
      </c>
      <c r="K184" s="193">
        <f t="shared" si="57"/>
        <v>44731</v>
      </c>
      <c r="L184" s="431">
        <f t="shared" si="58"/>
        <v>2.8569651578149724E-3</v>
      </c>
      <c r="M184" s="847"/>
      <c r="N184" s="847"/>
      <c r="O184" s="320">
        <f t="shared" si="59"/>
        <v>1.4497097181042166E-2</v>
      </c>
      <c r="P184" s="165">
        <f>(INDEX(Models!$BJ184:$BT184,,T184)*(1-R184)+INDEX(Models!$BJ184:$BT184,,T184+1)*R184-ERP_i)*Q184*Ramure*Pc/MaxiM</f>
        <v>3.5269332029430561E-7</v>
      </c>
      <c r="Q184" s="301">
        <f t="shared" si="60"/>
        <v>0.5</v>
      </c>
      <c r="R184" s="173">
        <f t="shared" si="61"/>
        <v>0.28934325764483582</v>
      </c>
      <c r="S184" s="802">
        <f t="shared" si="83"/>
        <v>0</v>
      </c>
      <c r="T184" s="172">
        <f t="shared" si="62"/>
        <v>6</v>
      </c>
      <c r="U184" s="247">
        <f t="shared" si="63"/>
        <v>0.28934325764483582</v>
      </c>
      <c r="V184" s="378">
        <f t="shared" si="64"/>
        <v>64.099567987865285</v>
      </c>
      <c r="W184" s="58"/>
      <c r="X184" s="153">
        <f t="shared" si="65"/>
        <v>44731</v>
      </c>
      <c r="Y184" s="380">
        <f t="shared" si="66"/>
        <v>62.451000000000001</v>
      </c>
      <c r="Z184" s="380">
        <f t="shared" si="67"/>
        <v>62.6299315322239</v>
      </c>
      <c r="AA184" s="381">
        <f t="shared" si="68"/>
        <v>63.55124003498684</v>
      </c>
      <c r="AB184" s="193">
        <f t="shared" si="69"/>
        <v>44731</v>
      </c>
      <c r="AC184" s="420">
        <f t="shared" si="70"/>
        <v>1.4497097181042166E-2</v>
      </c>
      <c r="AD184" s="165">
        <f>(INDEX(Models!$BJ184:$BT184,,AH184)*(1-AF184)+INDEX(Models!$BJ184:$BT184,,AH184+1)*AF184-ERP_i)*AE184*Ramure*Pc/MaxiM</f>
        <v>3.5269332029430561E-7</v>
      </c>
      <c r="AE184" s="301">
        <f t="shared" si="71"/>
        <v>0.5</v>
      </c>
      <c r="AF184" s="173">
        <f t="shared" si="72"/>
        <v>0.28934325764483582</v>
      </c>
      <c r="AG184" s="802">
        <f t="shared" si="73"/>
        <v>0</v>
      </c>
      <c r="AH184" s="172">
        <f t="shared" si="74"/>
        <v>6</v>
      </c>
      <c r="AI184" s="221">
        <f t="shared" si="75"/>
        <v>0.28934325764483582</v>
      </c>
      <c r="AJ184" s="261" t="b">
        <f t="shared" si="76"/>
        <v>0</v>
      </c>
      <c r="AK184" s="261" t="b">
        <f t="shared" si="77"/>
        <v>0</v>
      </c>
      <c r="AL184" s="261"/>
      <c r="AM184" s="261"/>
      <c r="AN184" s="75"/>
    </row>
    <row r="185" spans="1:40" s="6" customFormat="1" ht="11.25" x14ac:dyDescent="0.2">
      <c r="A185" s="56">
        <f t="shared" si="78"/>
        <v>44732</v>
      </c>
      <c r="B185" s="610">
        <v>33.768999999999998</v>
      </c>
      <c r="C185" s="385"/>
      <c r="D185" s="388">
        <f t="shared" si="79"/>
        <v>33.866216877225483</v>
      </c>
      <c r="E185" s="380">
        <f t="shared" si="80"/>
        <v>34.366817951696383</v>
      </c>
      <c r="F185" s="380">
        <f t="shared" si="81"/>
        <v>34.366821926226663</v>
      </c>
      <c r="G185" s="110">
        <f t="shared" si="82"/>
        <v>0.52700208670546922</v>
      </c>
      <c r="I185" s="375">
        <f t="shared" si="56"/>
        <v>34.366821926226663</v>
      </c>
      <c r="J185" s="85">
        <v>2022</v>
      </c>
      <c r="K185" s="193">
        <f t="shared" si="57"/>
        <v>44732</v>
      </c>
      <c r="L185" s="431">
        <f t="shared" si="58"/>
        <v>2.8706152085993253E-3</v>
      </c>
      <c r="M185" s="847"/>
      <c r="N185" s="847"/>
      <c r="O185" s="320">
        <f t="shared" si="59"/>
        <v>1.4566407491508643E-2</v>
      </c>
      <c r="P185" s="165">
        <f>(INDEX(Models!$BJ185:$BT185,,T185)*(1-R185)+INDEX(Models!$BJ185:$BT185,,T185+1)*R185-ERP_i)*Q185*Ramure*Pc/MaxiM</f>
        <v>3.5662713544026054E-7</v>
      </c>
      <c r="Q185" s="301">
        <f t="shared" si="60"/>
        <v>0.5</v>
      </c>
      <c r="R185" s="173">
        <f t="shared" si="61"/>
        <v>0.29429773572191814</v>
      </c>
      <c r="S185" s="802">
        <f t="shared" si="83"/>
        <v>0</v>
      </c>
      <c r="T185" s="172">
        <f t="shared" si="62"/>
        <v>6</v>
      </c>
      <c r="U185" s="247">
        <f t="shared" si="63"/>
        <v>0.29429773572191814</v>
      </c>
      <c r="V185" s="378">
        <f t="shared" si="64"/>
        <v>64.077529699274535</v>
      </c>
      <c r="W185" s="58"/>
      <c r="X185" s="153">
        <f t="shared" si="65"/>
        <v>44732</v>
      </c>
      <c r="Y185" s="380">
        <f t="shared" si="66"/>
        <v>33.768999999999998</v>
      </c>
      <c r="Z185" s="380">
        <f t="shared" si="67"/>
        <v>33.866216877225483</v>
      </c>
      <c r="AA185" s="381">
        <f t="shared" si="68"/>
        <v>34.366817951696383</v>
      </c>
      <c r="AB185" s="193">
        <f t="shared" si="69"/>
        <v>44732</v>
      </c>
      <c r="AC185" s="420">
        <f t="shared" si="70"/>
        <v>1.4566407491508643E-2</v>
      </c>
      <c r="AD185" s="165">
        <f>(INDEX(Models!$BJ185:$BT185,,AH185)*(1-AF185)+INDEX(Models!$BJ185:$BT185,,AH185+1)*AF185-ERP_i)*AE185*Ramure*Pc/MaxiM</f>
        <v>3.5662713544026054E-7</v>
      </c>
      <c r="AE185" s="301">
        <f t="shared" si="71"/>
        <v>0.5</v>
      </c>
      <c r="AF185" s="173">
        <f t="shared" si="72"/>
        <v>0.29429773572191814</v>
      </c>
      <c r="AG185" s="802">
        <f t="shared" si="73"/>
        <v>0</v>
      </c>
      <c r="AH185" s="172">
        <f t="shared" si="74"/>
        <v>6</v>
      </c>
      <c r="AI185" s="221">
        <f t="shared" si="75"/>
        <v>0.29429773572191814</v>
      </c>
      <c r="AJ185" s="261" t="b">
        <f t="shared" si="76"/>
        <v>0</v>
      </c>
      <c r="AK185" s="261" t="b">
        <f t="shared" si="77"/>
        <v>0</v>
      </c>
      <c r="AL185" s="261"/>
      <c r="AM185" s="261"/>
      <c r="AN185" s="75"/>
    </row>
    <row r="186" spans="1:40" s="6" customFormat="1" ht="11.25" x14ac:dyDescent="0.2">
      <c r="A186" s="56">
        <f t="shared" si="78"/>
        <v>44733</v>
      </c>
      <c r="B186" s="610">
        <v>22.724</v>
      </c>
      <c r="C186" s="385"/>
      <c r="D186" s="388">
        <f t="shared" si="79"/>
        <v>22.789731626943837</v>
      </c>
      <c r="E186" s="380">
        <f t="shared" si="80"/>
        <v>23.128224141951456</v>
      </c>
      <c r="F186" s="380">
        <f t="shared" si="81"/>
        <v>23.128224796765007</v>
      </c>
      <c r="G186" s="110">
        <f t="shared" si="82"/>
        <v>0.35478420667119676</v>
      </c>
      <c r="I186" s="375">
        <f t="shared" si="56"/>
        <v>23.128224796765007</v>
      </c>
      <c r="J186" s="85">
        <v>2022</v>
      </c>
      <c r="K186" s="193">
        <f t="shared" si="57"/>
        <v>44733</v>
      </c>
      <c r="L186" s="431">
        <f t="shared" si="58"/>
        <v>2.8842650725260377E-3</v>
      </c>
      <c r="M186" s="847"/>
      <c r="N186" s="847"/>
      <c r="O186" s="320">
        <f t="shared" si="59"/>
        <v>1.4635473650293763E-2</v>
      </c>
      <c r="P186" s="165">
        <f>(INDEX(Models!$BJ186:$BT186,,T186)*(1-R186)+INDEX(Models!$BJ186:$BT186,,T186+1)*R186-ERP_i)*Q186*Ramure*Pc/MaxiM</f>
        <v>3.6175711727435202E-7</v>
      </c>
      <c r="Q186" s="301">
        <f t="shared" si="60"/>
        <v>0.5</v>
      </c>
      <c r="R186" s="173">
        <f t="shared" si="61"/>
        <v>0.29921113227154483</v>
      </c>
      <c r="S186" s="802">
        <f t="shared" si="83"/>
        <v>0</v>
      </c>
      <c r="T186" s="172">
        <f t="shared" si="62"/>
        <v>6</v>
      </c>
      <c r="U186" s="247">
        <f t="shared" si="63"/>
        <v>0.29921113227154483</v>
      </c>
      <c r="V186" s="378">
        <f t="shared" si="64"/>
        <v>64.050180350502401</v>
      </c>
      <c r="W186" s="58"/>
      <c r="X186" s="153">
        <f t="shared" si="65"/>
        <v>44733</v>
      </c>
      <c r="Y186" s="380">
        <f t="shared" si="66"/>
        <v>22.724</v>
      </c>
      <c r="Z186" s="380">
        <f t="shared" si="67"/>
        <v>22.789731626943837</v>
      </c>
      <c r="AA186" s="381">
        <f t="shared" si="68"/>
        <v>23.128224141951456</v>
      </c>
      <c r="AB186" s="193">
        <f t="shared" si="69"/>
        <v>44733</v>
      </c>
      <c r="AC186" s="420">
        <f t="shared" si="70"/>
        <v>1.4635473650293763E-2</v>
      </c>
      <c r="AD186" s="165">
        <f>(INDEX(Models!$BJ186:$BT186,,AH186)*(1-AF186)+INDEX(Models!$BJ186:$BT186,,AH186+1)*AF186-ERP_i)*AE186*Ramure*Pc/MaxiM</f>
        <v>3.6175711727435202E-7</v>
      </c>
      <c r="AE186" s="301">
        <f t="shared" si="71"/>
        <v>0.5</v>
      </c>
      <c r="AF186" s="173">
        <f t="shared" si="72"/>
        <v>0.29921113227154483</v>
      </c>
      <c r="AG186" s="802">
        <f t="shared" si="73"/>
        <v>0</v>
      </c>
      <c r="AH186" s="172">
        <f t="shared" si="74"/>
        <v>6</v>
      </c>
      <c r="AI186" s="221">
        <f t="shared" si="75"/>
        <v>0.29921113227154483</v>
      </c>
      <c r="AJ186" s="261" t="b">
        <f t="shared" si="76"/>
        <v>0</v>
      </c>
      <c r="AK186" s="261" t="b">
        <f t="shared" si="77"/>
        <v>0</v>
      </c>
      <c r="AL186" s="261"/>
      <c r="AM186" s="261"/>
      <c r="AN186" s="75"/>
    </row>
    <row r="187" spans="1:40" s="6" customFormat="1" ht="11.25" x14ac:dyDescent="0.2">
      <c r="A187" s="56">
        <f t="shared" si="78"/>
        <v>44734</v>
      </c>
      <c r="B187" s="610">
        <v>47.140999999999998</v>
      </c>
      <c r="C187" s="385"/>
      <c r="D187" s="388">
        <f t="shared" si="79"/>
        <v>47.278007635658959</v>
      </c>
      <c r="E187" s="380">
        <f t="shared" si="80"/>
        <v>47.983572028975154</v>
      </c>
      <c r="F187" s="380">
        <f t="shared" si="81"/>
        <v>47.983583041866694</v>
      </c>
      <c r="G187" s="110">
        <f t="shared" si="82"/>
        <v>0.73638259303495235</v>
      </c>
      <c r="I187" s="375">
        <f t="shared" si="56"/>
        <v>47.983583041866694</v>
      </c>
      <c r="J187" s="85">
        <v>2022</v>
      </c>
      <c r="K187" s="193">
        <f t="shared" si="57"/>
        <v>44734</v>
      </c>
      <c r="L187" s="431">
        <f t="shared" si="58"/>
        <v>2.8979147495975521E-3</v>
      </c>
      <c r="M187" s="847"/>
      <c r="N187" s="847"/>
      <c r="O187" s="320">
        <f t="shared" si="59"/>
        <v>1.4704290728713033E-2</v>
      </c>
      <c r="P187" s="165">
        <f>(INDEX(Models!$BJ187:$BT187,,T187)*(1-R187)+INDEX(Models!$BJ187:$BT187,,T187+1)*R187-ERP_i)*Q187*Ramure*Pc/MaxiM</f>
        <v>3.6816220921186338E-7</v>
      </c>
      <c r="Q187" s="301">
        <f t="shared" si="60"/>
        <v>0.5</v>
      </c>
      <c r="R187" s="173">
        <f t="shared" si="61"/>
        <v>0.30407986121163244</v>
      </c>
      <c r="S187" s="802">
        <f t="shared" si="83"/>
        <v>0</v>
      </c>
      <c r="T187" s="172">
        <f t="shared" si="62"/>
        <v>6</v>
      </c>
      <c r="U187" s="247">
        <f t="shared" si="63"/>
        <v>0.30407986121163244</v>
      </c>
      <c r="V187" s="378">
        <f t="shared" si="64"/>
        <v>64.016985069788845</v>
      </c>
      <c r="W187" s="58"/>
      <c r="X187" s="153">
        <f t="shared" si="65"/>
        <v>44734</v>
      </c>
      <c r="Y187" s="380">
        <f t="shared" si="66"/>
        <v>47.140999999999998</v>
      </c>
      <c r="Z187" s="380">
        <f t="shared" si="67"/>
        <v>47.278007635658959</v>
      </c>
      <c r="AA187" s="381">
        <f t="shared" si="68"/>
        <v>47.983572028975154</v>
      </c>
      <c r="AB187" s="193">
        <f t="shared" si="69"/>
        <v>44734</v>
      </c>
      <c r="AC187" s="420">
        <f t="shared" si="70"/>
        <v>1.4704290728713033E-2</v>
      </c>
      <c r="AD187" s="165">
        <f>(INDEX(Models!$BJ187:$BT187,,AH187)*(1-AF187)+INDEX(Models!$BJ187:$BT187,,AH187+1)*AF187-ERP_i)*AE187*Ramure*Pc/MaxiM</f>
        <v>3.6816220921186338E-7</v>
      </c>
      <c r="AE187" s="301">
        <f t="shared" si="71"/>
        <v>0.5</v>
      </c>
      <c r="AF187" s="173">
        <f t="shared" si="72"/>
        <v>0.30407986121163244</v>
      </c>
      <c r="AG187" s="802">
        <f t="shared" si="73"/>
        <v>0</v>
      </c>
      <c r="AH187" s="172">
        <f t="shared" si="74"/>
        <v>6</v>
      </c>
      <c r="AI187" s="221">
        <f t="shared" si="75"/>
        <v>0.30407986121163244</v>
      </c>
      <c r="AJ187" s="261" t="b">
        <f t="shared" si="76"/>
        <v>0</v>
      </c>
      <c r="AK187" s="261" t="b">
        <f t="shared" si="77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8"/>
        <v>44735</v>
      </c>
      <c r="B188" s="610">
        <v>46.612000000000002</v>
      </c>
      <c r="C188" s="385"/>
      <c r="D188" s="388">
        <f t="shared" si="79"/>
        <v>46.748110125721048</v>
      </c>
      <c r="E188" s="380">
        <f t="shared" si="80"/>
        <v>47.449068307661463</v>
      </c>
      <c r="F188" s="380">
        <f t="shared" si="81"/>
        <v>47.44907922821023</v>
      </c>
      <c r="G188" s="110">
        <f t="shared" si="82"/>
        <v>0.72856956628982839</v>
      </c>
      <c r="I188" s="375">
        <f t="shared" si="56"/>
        <v>47.44907922821023</v>
      </c>
      <c r="J188" s="85">
        <v>2022</v>
      </c>
      <c r="K188" s="193">
        <f t="shared" si="57"/>
        <v>44735</v>
      </c>
      <c r="L188" s="431">
        <f t="shared" si="58"/>
        <v>2.9115642398164221E-3</v>
      </c>
      <c r="M188" s="847"/>
      <c r="N188" s="847"/>
      <c r="O188" s="320">
        <f t="shared" si="59"/>
        <v>1.4772854493061463E-2</v>
      </c>
      <c r="P188" s="165">
        <f>(INDEX(Models!$BJ188:$BT188,,T188)*(1-R188)+INDEX(Models!$BJ188:$BT188,,T188+1)*R188-ERP_i)*Q188*Ramure*Pc/MaxiM</f>
        <v>3.7591813578492209E-7</v>
      </c>
      <c r="Q188" s="301">
        <f t="shared" si="60"/>
        <v>0.5</v>
      </c>
      <c r="R188" s="173">
        <f t="shared" si="61"/>
        <v>0.30890047604285437</v>
      </c>
      <c r="S188" s="802">
        <f t="shared" si="83"/>
        <v>0</v>
      </c>
      <c r="T188" s="172">
        <f t="shared" si="62"/>
        <v>6</v>
      </c>
      <c r="U188" s="247">
        <f t="shared" si="63"/>
        <v>0.30890047604285437</v>
      </c>
      <c r="V188" s="378">
        <f t="shared" si="64"/>
        <v>63.977409107220758</v>
      </c>
      <c r="W188" s="58"/>
      <c r="X188" s="153">
        <f t="shared" si="65"/>
        <v>44735</v>
      </c>
      <c r="Y188" s="380">
        <f t="shared" si="66"/>
        <v>46.612000000000002</v>
      </c>
      <c r="Z188" s="380">
        <f t="shared" si="67"/>
        <v>46.748110125721048</v>
      </c>
      <c r="AA188" s="381">
        <f t="shared" si="68"/>
        <v>47.449068307661463</v>
      </c>
      <c r="AB188" s="193">
        <f t="shared" si="69"/>
        <v>44735</v>
      </c>
      <c r="AC188" s="420">
        <f t="shared" si="70"/>
        <v>1.4772854493061463E-2</v>
      </c>
      <c r="AD188" s="165">
        <f>(INDEX(Models!$BJ188:$BT188,,AH188)*(1-AF188)+INDEX(Models!$BJ188:$BT188,,AH188+1)*AF188-ERP_i)*AE188*Ramure*Pc/MaxiM</f>
        <v>3.7591813578492209E-7</v>
      </c>
      <c r="AE188" s="301">
        <f t="shared" si="71"/>
        <v>0.5</v>
      </c>
      <c r="AF188" s="173">
        <f t="shared" si="72"/>
        <v>0.30890047604285437</v>
      </c>
      <c r="AG188" s="802">
        <f t="shared" si="73"/>
        <v>0</v>
      </c>
      <c r="AH188" s="172">
        <f t="shared" si="74"/>
        <v>6</v>
      </c>
      <c r="AI188" s="221">
        <f t="shared" si="75"/>
        <v>0.30890047604285437</v>
      </c>
      <c r="AJ188" s="261" t="b">
        <f t="shared" si="76"/>
        <v>0</v>
      </c>
      <c r="AK188" s="261" t="b">
        <f t="shared" si="77"/>
        <v>0</v>
      </c>
      <c r="AL188" s="261"/>
      <c r="AM188" s="261"/>
      <c r="AN188" s="75"/>
    </row>
    <row r="189" spans="1:40" s="6" customFormat="1" ht="11.25" x14ac:dyDescent="0.2">
      <c r="A189" s="56">
        <f t="shared" si="78"/>
        <v>44736</v>
      </c>
      <c r="B189" s="610">
        <v>50.14</v>
      </c>
      <c r="C189" s="385"/>
      <c r="D189" s="388">
        <f t="shared" si="79"/>
        <v>50.287100507451918</v>
      </c>
      <c r="E189" s="380">
        <f t="shared" si="80"/>
        <v>51.044662584105936</v>
      </c>
      <c r="F189" s="380">
        <f t="shared" si="81"/>
        <v>51.044676183708283</v>
      </c>
      <c r="G189" s="110">
        <f t="shared" si="82"/>
        <v>0.78428397002187822</v>
      </c>
      <c r="I189" s="375">
        <f t="shared" si="56"/>
        <v>51.044676183708283</v>
      </c>
      <c r="J189" s="85">
        <v>2022</v>
      </c>
      <c r="K189" s="193">
        <f t="shared" si="57"/>
        <v>44736</v>
      </c>
      <c r="L189" s="431">
        <f t="shared" si="58"/>
        <v>2.9252135431853121E-3</v>
      </c>
      <c r="M189" s="847"/>
      <c r="N189" s="847"/>
      <c r="O189" s="320">
        <f t="shared" si="59"/>
        <v>1.4841161412435423E-2</v>
      </c>
      <c r="P189" s="165">
        <f>(INDEX(Models!$BJ189:$BT189,,T189)*(1-R189)+INDEX(Models!$BJ189:$BT189,,T189+1)*R189-ERP_i)*Q189*Ramure*Pc/MaxiM</f>
        <v>3.8510008925739926E-7</v>
      </c>
      <c r="Q189" s="301">
        <f t="shared" si="60"/>
        <v>0.5</v>
      </c>
      <c r="R189" s="173">
        <f t="shared" si="61"/>
        <v>0.31366967842439675</v>
      </c>
      <c r="S189" s="802">
        <f t="shared" si="83"/>
        <v>0</v>
      </c>
      <c r="T189" s="172">
        <f t="shared" si="62"/>
        <v>6</v>
      </c>
      <c r="U189" s="247">
        <f t="shared" si="63"/>
        <v>0.31366967842439675</v>
      </c>
      <c r="V189" s="378">
        <f t="shared" si="64"/>
        <v>63.930917838668577</v>
      </c>
      <c r="W189" s="58"/>
      <c r="X189" s="153">
        <f t="shared" si="65"/>
        <v>44736</v>
      </c>
      <c r="Y189" s="380">
        <f t="shared" si="66"/>
        <v>50.14</v>
      </c>
      <c r="Z189" s="380">
        <f t="shared" si="67"/>
        <v>50.287100507451918</v>
      </c>
      <c r="AA189" s="381">
        <f t="shared" si="68"/>
        <v>51.044662584105936</v>
      </c>
      <c r="AB189" s="193">
        <f t="shared" si="69"/>
        <v>44736</v>
      </c>
      <c r="AC189" s="420">
        <f t="shared" si="70"/>
        <v>1.4841161412435423E-2</v>
      </c>
      <c r="AD189" s="165">
        <f>(INDEX(Models!$BJ189:$BT189,,AH189)*(1-AF189)+INDEX(Models!$BJ189:$BT189,,AH189+1)*AF189-ERP_i)*AE189*Ramure*Pc/MaxiM</f>
        <v>3.8510008925739926E-7</v>
      </c>
      <c r="AE189" s="301">
        <f t="shared" si="71"/>
        <v>0.5</v>
      </c>
      <c r="AF189" s="173">
        <f t="shared" si="72"/>
        <v>0.31366967842439675</v>
      </c>
      <c r="AG189" s="802">
        <f t="shared" si="73"/>
        <v>0</v>
      </c>
      <c r="AH189" s="172">
        <f t="shared" si="74"/>
        <v>6</v>
      </c>
      <c r="AI189" s="221">
        <f t="shared" si="75"/>
        <v>0.31366967842439675</v>
      </c>
      <c r="AJ189" s="261" t="b">
        <f t="shared" si="76"/>
        <v>0</v>
      </c>
      <c r="AK189" s="261" t="b">
        <f t="shared" si="77"/>
        <v>0</v>
      </c>
      <c r="AL189" s="261"/>
      <c r="AM189" s="261"/>
      <c r="AN189" s="75"/>
    </row>
    <row r="190" spans="1:40" s="6" customFormat="1" ht="11.25" x14ac:dyDescent="0.2">
      <c r="A190" s="56">
        <f t="shared" si="78"/>
        <v>44737</v>
      </c>
      <c r="B190" s="610">
        <v>41.768000000000001</v>
      </c>
      <c r="C190" s="385"/>
      <c r="D190" s="388">
        <f t="shared" si="79"/>
        <v>41.891112225493082</v>
      </c>
      <c r="E190" s="380">
        <f t="shared" si="80"/>
        <v>42.525128235754778</v>
      </c>
      <c r="F190" s="380">
        <f t="shared" si="81"/>
        <v>42.525136744519635</v>
      </c>
      <c r="G190" s="110">
        <f t="shared" si="82"/>
        <v>0.65388178877117842</v>
      </c>
      <c r="I190" s="375">
        <f t="shared" si="56"/>
        <v>42.525136744519635</v>
      </c>
      <c r="J190" s="85">
        <v>2022</v>
      </c>
      <c r="K190" s="193">
        <f t="shared" si="57"/>
        <v>44737</v>
      </c>
      <c r="L190" s="431">
        <f t="shared" si="58"/>
        <v>2.9388626597065537E-3</v>
      </c>
      <c r="M190" s="847"/>
      <c r="N190" s="847"/>
      <c r="O190" s="320">
        <f t="shared" si="59"/>
        <v>1.4909208662388483E-2</v>
      </c>
      <c r="P190" s="165">
        <f>(INDEX(Models!$BJ190:$BT190,,T190)*(1-R190)+INDEX(Models!$BJ190:$BT190,,T190+1)*R190-ERP_i)*Q190*Ramure*Pc/MaxiM</f>
        <v>3.9578604030252714E-7</v>
      </c>
      <c r="Q190" s="301">
        <f t="shared" si="60"/>
        <v>0.5</v>
      </c>
      <c r="R190" s="173">
        <f t="shared" si="61"/>
        <v>0.31838432581537263</v>
      </c>
      <c r="S190" s="802">
        <f t="shared" si="83"/>
        <v>0</v>
      </c>
      <c r="T190" s="172">
        <f t="shared" si="62"/>
        <v>6</v>
      </c>
      <c r="U190" s="247">
        <f t="shared" si="63"/>
        <v>0.31838432581537263</v>
      </c>
      <c r="V190" s="378">
        <f t="shared" si="64"/>
        <v>63.876976761459296</v>
      </c>
      <c r="W190" s="58"/>
      <c r="X190" s="153">
        <f t="shared" si="65"/>
        <v>44737</v>
      </c>
      <c r="Y190" s="380">
        <f t="shared" si="66"/>
        <v>41.768000000000001</v>
      </c>
      <c r="Z190" s="380">
        <f t="shared" si="67"/>
        <v>41.891112225493082</v>
      </c>
      <c r="AA190" s="381">
        <f t="shared" si="68"/>
        <v>42.525128235754778</v>
      </c>
      <c r="AB190" s="193">
        <f t="shared" si="69"/>
        <v>44737</v>
      </c>
      <c r="AC190" s="420">
        <f t="shared" si="70"/>
        <v>1.4909208662388483E-2</v>
      </c>
      <c r="AD190" s="165">
        <f>(INDEX(Models!$BJ190:$BT190,,AH190)*(1-AF190)+INDEX(Models!$BJ190:$BT190,,AH190+1)*AF190-ERP_i)*AE190*Ramure*Pc/MaxiM</f>
        <v>3.9578604030252714E-7</v>
      </c>
      <c r="AE190" s="301">
        <f t="shared" si="71"/>
        <v>0.5</v>
      </c>
      <c r="AF190" s="173">
        <f t="shared" si="72"/>
        <v>0.31838432581537263</v>
      </c>
      <c r="AG190" s="802">
        <f t="shared" si="73"/>
        <v>0</v>
      </c>
      <c r="AH190" s="172">
        <f t="shared" si="74"/>
        <v>6</v>
      </c>
      <c r="AI190" s="221">
        <f t="shared" si="75"/>
        <v>0.31838432581537263</v>
      </c>
      <c r="AJ190" s="261" t="b">
        <f t="shared" si="76"/>
        <v>0</v>
      </c>
      <c r="AK190" s="261" t="b">
        <f t="shared" si="77"/>
        <v>0</v>
      </c>
      <c r="AL190" s="261"/>
      <c r="AM190" s="261"/>
      <c r="AN190" s="75"/>
    </row>
    <row r="191" spans="1:40" s="6" customFormat="1" ht="11.25" x14ac:dyDescent="0.2">
      <c r="A191" s="56">
        <f t="shared" si="78"/>
        <v>44738</v>
      </c>
      <c r="B191" s="610">
        <v>13.063000000000001</v>
      </c>
      <c r="C191" s="385"/>
      <c r="D191" s="388">
        <f t="shared" si="79"/>
        <v>13.101682870515617</v>
      </c>
      <c r="E191" s="380">
        <f t="shared" si="80"/>
        <v>13.300890225268683</v>
      </c>
      <c r="F191" s="380">
        <f t="shared" si="81"/>
        <v>13.300890225268683</v>
      </c>
      <c r="G191" s="110">
        <f t="shared" si="82"/>
        <v>0.20469877592773375</v>
      </c>
      <c r="I191" s="375">
        <f t="shared" si="56"/>
        <v>13.300890225268683</v>
      </c>
      <c r="J191" s="85">
        <v>2022</v>
      </c>
      <c r="K191" s="193">
        <f t="shared" si="57"/>
        <v>44738</v>
      </c>
      <c r="L191" s="431">
        <f t="shared" si="58"/>
        <v>2.9525115893829224E-3</v>
      </c>
      <c r="M191" s="847"/>
      <c r="N191" s="847"/>
      <c r="O191" s="320">
        <f t="shared" si="59"/>
        <v>1.4976994124394618E-2</v>
      </c>
      <c r="P191" s="165">
        <f>(INDEX(Models!$BJ191:$BT191,,T191)*(1-R191)+INDEX(Models!$BJ191:$BT191,,T191+1)*R191-ERP_i)*Q191*Ramure*Pc/MaxiM</f>
        <v>4.0804960852250102E-7</v>
      </c>
      <c r="Q191" s="301">
        <f t="shared" si="60"/>
        <v>0.5</v>
      </c>
      <c r="R191" s="173">
        <f t="shared" si="61"/>
        <v>0.3230414381562049</v>
      </c>
      <c r="S191" s="802">
        <f t="shared" si="83"/>
        <v>0</v>
      </c>
      <c r="T191" s="172">
        <f t="shared" si="62"/>
        <v>6</v>
      </c>
      <c r="U191" s="247">
        <f t="shared" si="63"/>
        <v>0.3230414381562049</v>
      </c>
      <c r="V191" s="378">
        <f t="shared" si="64"/>
        <v>63.815695088766347</v>
      </c>
      <c r="W191" s="58"/>
      <c r="X191" s="153">
        <f t="shared" si="65"/>
        <v>44738</v>
      </c>
      <c r="Y191" s="380">
        <f t="shared" si="66"/>
        <v>13.063000000000001</v>
      </c>
      <c r="Z191" s="380">
        <f t="shared" si="67"/>
        <v>13.101682870515617</v>
      </c>
      <c r="AA191" s="381">
        <f t="shared" si="68"/>
        <v>13.300890225268683</v>
      </c>
      <c r="AB191" s="193">
        <f t="shared" si="69"/>
        <v>44738</v>
      </c>
      <c r="AC191" s="420">
        <f t="shared" si="70"/>
        <v>1.4976994124394618E-2</v>
      </c>
      <c r="AD191" s="165">
        <f>(INDEX(Models!$BJ191:$BT191,,AH191)*(1-AF191)+INDEX(Models!$BJ191:$BT191,,AH191+1)*AF191-ERP_i)*AE191*Ramure*Pc/MaxiM</f>
        <v>4.0804960852250102E-7</v>
      </c>
      <c r="AE191" s="301">
        <f t="shared" si="71"/>
        <v>0.5</v>
      </c>
      <c r="AF191" s="173">
        <f t="shared" si="72"/>
        <v>0.3230414381562049</v>
      </c>
      <c r="AG191" s="802">
        <f t="shared" si="73"/>
        <v>0</v>
      </c>
      <c r="AH191" s="172">
        <f t="shared" si="74"/>
        <v>6</v>
      </c>
      <c r="AI191" s="221">
        <f t="shared" si="75"/>
        <v>0.3230414381562049</v>
      </c>
      <c r="AJ191" s="261" t="b">
        <f t="shared" si="76"/>
        <v>0</v>
      </c>
      <c r="AK191" s="261" t="b">
        <f t="shared" si="77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8"/>
        <v>44739</v>
      </c>
      <c r="B192" s="610">
        <v>19.218</v>
      </c>
      <c r="C192" s="385"/>
      <c r="D192" s="388">
        <f t="shared" si="79"/>
        <v>19.275173254303525</v>
      </c>
      <c r="E192" s="380">
        <f t="shared" si="80"/>
        <v>19.56958824523079</v>
      </c>
      <c r="F192" s="380">
        <f t="shared" si="81"/>
        <v>19.569588262631058</v>
      </c>
      <c r="G192" s="110">
        <f t="shared" si="82"/>
        <v>0.30146931783178854</v>
      </c>
      <c r="I192" s="375">
        <f t="shared" si="56"/>
        <v>19.569588262631058</v>
      </c>
      <c r="J192" s="85">
        <v>2022</v>
      </c>
      <c r="K192" s="193">
        <f t="shared" si="57"/>
        <v>44739</v>
      </c>
      <c r="L192" s="431">
        <f t="shared" si="58"/>
        <v>2.9661603322169716E-3</v>
      </c>
      <c r="M192" s="847"/>
      <c r="N192" s="847"/>
      <c r="O192" s="320">
        <f t="shared" si="59"/>
        <v>1.5044516381125906E-2</v>
      </c>
      <c r="P192" s="165">
        <f>(INDEX(Models!$BJ192:$BT192,,T192)*(1-R192)+INDEX(Models!$BJ192:$BT192,,T192+1)*R192-ERP_i)*Q192*Ramure*Pc/MaxiM</f>
        <v>4.2356380177715319E-7</v>
      </c>
      <c r="Q192" s="301">
        <f t="shared" si="60"/>
        <v>0.5</v>
      </c>
      <c r="R192" s="173">
        <f t="shared" si="61"/>
        <v>0.32763820357392204</v>
      </c>
      <c r="S192" s="802">
        <f t="shared" si="83"/>
        <v>0</v>
      </c>
      <c r="T192" s="172">
        <f t="shared" si="62"/>
        <v>6</v>
      </c>
      <c r="U192" s="247">
        <f t="shared" si="63"/>
        <v>0.32763820357392204</v>
      </c>
      <c r="V192" s="378">
        <f t="shared" si="64"/>
        <v>63.747753885062394</v>
      </c>
      <c r="W192" s="58"/>
      <c r="X192" s="153">
        <f t="shared" si="65"/>
        <v>44739</v>
      </c>
      <c r="Y192" s="380">
        <f t="shared" si="66"/>
        <v>19.218</v>
      </c>
      <c r="Z192" s="380">
        <f t="shared" si="67"/>
        <v>19.275173254303525</v>
      </c>
      <c r="AA192" s="381">
        <f t="shared" si="68"/>
        <v>19.56958824523079</v>
      </c>
      <c r="AB192" s="193">
        <f t="shared" si="69"/>
        <v>44739</v>
      </c>
      <c r="AC192" s="420">
        <f t="shared" si="70"/>
        <v>1.5044516381125906E-2</v>
      </c>
      <c r="AD192" s="165">
        <f>(INDEX(Models!$BJ192:$BT192,,AH192)*(1-AF192)+INDEX(Models!$BJ192:$BT192,,AH192+1)*AF192-ERP_i)*AE192*Ramure*Pc/MaxiM</f>
        <v>4.2356380177715319E-7</v>
      </c>
      <c r="AE192" s="301">
        <f t="shared" si="71"/>
        <v>0.5</v>
      </c>
      <c r="AF192" s="173">
        <f t="shared" si="72"/>
        <v>0.32763820357392204</v>
      </c>
      <c r="AG192" s="802">
        <f t="shared" si="73"/>
        <v>0</v>
      </c>
      <c r="AH192" s="172">
        <f t="shared" si="74"/>
        <v>6</v>
      </c>
      <c r="AI192" s="221">
        <f t="shared" si="75"/>
        <v>0.32763820357392204</v>
      </c>
      <c r="AJ192" s="261" t="b">
        <f t="shared" si="76"/>
        <v>0</v>
      </c>
      <c r="AK192" s="261" t="b">
        <f t="shared" si="77"/>
        <v>0</v>
      </c>
      <c r="AL192" s="261"/>
      <c r="AM192" s="261"/>
      <c r="AN192" s="75"/>
    </row>
    <row r="193" spans="1:40" s="6" customFormat="1" ht="11.25" x14ac:dyDescent="0.2">
      <c r="A193" s="56">
        <f t="shared" si="78"/>
        <v>44740</v>
      </c>
      <c r="B193" s="610">
        <v>66.504999999999995</v>
      </c>
      <c r="C193" s="385"/>
      <c r="D193" s="388">
        <f t="shared" si="79"/>
        <v>66.703764470245574</v>
      </c>
      <c r="E193" s="380">
        <f t="shared" si="80"/>
        <v>67.727243312753757</v>
      </c>
      <c r="F193" s="380">
        <f t="shared" si="81"/>
        <v>67.727273228607245</v>
      </c>
      <c r="G193" s="110">
        <f t="shared" si="82"/>
        <v>1.0444694332725444</v>
      </c>
      <c r="I193" s="375">
        <f t="shared" si="56"/>
        <v>67.727273228607245</v>
      </c>
      <c r="J193" s="85">
        <v>2022</v>
      </c>
      <c r="K193" s="193">
        <f t="shared" si="57"/>
        <v>44740</v>
      </c>
      <c r="L193" s="431">
        <f t="shared" si="58"/>
        <v>2.979808888211144E-3</v>
      </c>
      <c r="M193" s="847"/>
      <c r="N193" s="847"/>
      <c r="O193" s="320">
        <f t="shared" si="59"/>
        <v>1.5111774707585724E-2</v>
      </c>
      <c r="P193" s="165">
        <f>(INDEX(Models!$BJ193:$BT193,,T193)*(1-R193)+INDEX(Models!$BJ193:$BT193,,T193+1)*R193-ERP_i)*Q193*Ramure*Pc/MaxiM</f>
        <v>4.4171058525369686E-7</v>
      </c>
      <c r="Q193" s="301">
        <f t="shared" si="60"/>
        <v>0.5</v>
      </c>
      <c r="R193" s="173">
        <f t="shared" si="61"/>
        <v>0.33217198310475154</v>
      </c>
      <c r="S193" s="802">
        <f t="shared" si="83"/>
        <v>0</v>
      </c>
      <c r="T193" s="172">
        <f t="shared" si="62"/>
        <v>6</v>
      </c>
      <c r="U193" s="247">
        <f t="shared" si="63"/>
        <v>0.33217198310475154</v>
      </c>
      <c r="V193" s="378">
        <f t="shared" si="64"/>
        <v>63.673476581909846</v>
      </c>
      <c r="W193" s="58"/>
      <c r="X193" s="153">
        <f t="shared" si="65"/>
        <v>44740</v>
      </c>
      <c r="Y193" s="380">
        <f t="shared" si="66"/>
        <v>66.504999999999995</v>
      </c>
      <c r="Z193" s="380">
        <f t="shared" si="67"/>
        <v>66.703764470245574</v>
      </c>
      <c r="AA193" s="381">
        <f t="shared" si="68"/>
        <v>67.727243312753757</v>
      </c>
      <c r="AB193" s="193">
        <f t="shared" si="69"/>
        <v>44740</v>
      </c>
      <c r="AC193" s="420">
        <f t="shared" si="70"/>
        <v>1.5111774707585724E-2</v>
      </c>
      <c r="AD193" s="165">
        <f>(INDEX(Models!$BJ193:$BT193,,AH193)*(1-AF193)+INDEX(Models!$BJ193:$BT193,,AH193+1)*AF193-ERP_i)*AE193*Ramure*Pc/MaxiM</f>
        <v>4.4171058525369686E-7</v>
      </c>
      <c r="AE193" s="301">
        <f t="shared" si="71"/>
        <v>0.5</v>
      </c>
      <c r="AF193" s="173">
        <f t="shared" si="72"/>
        <v>0.33217198310475154</v>
      </c>
      <c r="AG193" s="802">
        <f t="shared" si="73"/>
        <v>0</v>
      </c>
      <c r="AH193" s="172">
        <f t="shared" si="74"/>
        <v>6</v>
      </c>
      <c r="AI193" s="221">
        <f t="shared" si="75"/>
        <v>0.33217198310475154</v>
      </c>
      <c r="AJ193" s="261" t="b">
        <f t="shared" si="76"/>
        <v>0</v>
      </c>
      <c r="AK193" s="261" t="b">
        <f t="shared" si="77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8"/>
        <v>44741</v>
      </c>
      <c r="B194" s="610">
        <v>64.533000000000001</v>
      </c>
      <c r="C194" s="385"/>
      <c r="D194" s="388">
        <f t="shared" si="79"/>
        <v>64.726756779828477</v>
      </c>
      <c r="E194" s="380">
        <f t="shared" si="80"/>
        <v>65.724371841504109</v>
      </c>
      <c r="F194" s="380">
        <f t="shared" si="81"/>
        <v>65.72440224563708</v>
      </c>
      <c r="G194" s="110">
        <f t="shared" si="82"/>
        <v>1.0147785265653377</v>
      </c>
      <c r="I194" s="375">
        <f t="shared" si="56"/>
        <v>65.72440224563708</v>
      </c>
      <c r="J194" s="85">
        <v>2022</v>
      </c>
      <c r="K194" s="193">
        <f t="shared" si="57"/>
        <v>44741</v>
      </c>
      <c r="L194" s="431">
        <f t="shared" si="58"/>
        <v>2.993457257367993E-3</v>
      </c>
      <c r="M194" s="847"/>
      <c r="N194" s="847"/>
      <c r="O194" s="320">
        <f t="shared" si="59"/>
        <v>1.517876905817222E-2</v>
      </c>
      <c r="P194" s="165">
        <f>(INDEX(Models!$BJ194:$BT194,,T194)*(1-R194)+INDEX(Models!$BJ194:$BT194,,T194+1)*R194-ERP_i)*Q194*Ramure*Pc/MaxiM</f>
        <v>4.6260037272926715E-7</v>
      </c>
      <c r="Q194" s="301">
        <f t="shared" si="60"/>
        <v>0.5</v>
      </c>
      <c r="R194" s="173">
        <f t="shared" si="61"/>
        <v>0.33664031443652387</v>
      </c>
      <c r="S194" s="802">
        <f t="shared" si="83"/>
        <v>0</v>
      </c>
      <c r="T194" s="172">
        <f t="shared" si="62"/>
        <v>6</v>
      </c>
      <c r="U194" s="247">
        <f t="shared" si="63"/>
        <v>0.33664031443652387</v>
      </c>
      <c r="V194" s="378">
        <f t="shared" si="64"/>
        <v>63.593186405334315</v>
      </c>
      <c r="W194" s="58"/>
      <c r="X194" s="153">
        <f t="shared" si="65"/>
        <v>44741</v>
      </c>
      <c r="Y194" s="380">
        <f t="shared" si="66"/>
        <v>64.533000000000001</v>
      </c>
      <c r="Z194" s="380">
        <f t="shared" si="67"/>
        <v>64.726756779828477</v>
      </c>
      <c r="AA194" s="381">
        <f t="shared" si="68"/>
        <v>65.724371841504109</v>
      </c>
      <c r="AB194" s="193">
        <f t="shared" si="69"/>
        <v>44741</v>
      </c>
      <c r="AC194" s="420">
        <f t="shared" si="70"/>
        <v>1.517876905817222E-2</v>
      </c>
      <c r="AD194" s="165">
        <f>(INDEX(Models!$BJ194:$BT194,,AH194)*(1-AF194)+INDEX(Models!$BJ194:$BT194,,AH194+1)*AF194-ERP_i)*AE194*Ramure*Pc/MaxiM</f>
        <v>4.6260037272926715E-7</v>
      </c>
      <c r="AE194" s="301">
        <f t="shared" si="71"/>
        <v>0.5</v>
      </c>
      <c r="AF194" s="173">
        <f t="shared" si="72"/>
        <v>0.33664031443652387</v>
      </c>
      <c r="AG194" s="802">
        <f t="shared" si="73"/>
        <v>0</v>
      </c>
      <c r="AH194" s="172">
        <f t="shared" si="74"/>
        <v>6</v>
      </c>
      <c r="AI194" s="221">
        <f t="shared" si="75"/>
        <v>0.33664031443652387</v>
      </c>
      <c r="AJ194" s="261" t="b">
        <f t="shared" si="76"/>
        <v>0</v>
      </c>
      <c r="AK194" s="261" t="b">
        <f t="shared" si="77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8"/>
        <v>44742</v>
      </c>
      <c r="B195" s="610">
        <v>15.852</v>
      </c>
      <c r="C195" s="385"/>
      <c r="D195" s="388">
        <f t="shared" si="79"/>
        <v>15.899812412395368</v>
      </c>
      <c r="E195" s="380">
        <f t="shared" si="80"/>
        <v>16.145965733793666</v>
      </c>
      <c r="F195" s="380">
        <f t="shared" si="81"/>
        <v>16.145965733793666</v>
      </c>
      <c r="G195" s="110">
        <f t="shared" si="82"/>
        <v>0.249609346445237</v>
      </c>
      <c r="I195" s="375">
        <f t="shared" si="56"/>
        <v>16.145965733793666</v>
      </c>
      <c r="J195" s="85">
        <v>2022</v>
      </c>
      <c r="K195" s="193">
        <f t="shared" si="57"/>
        <v>44742</v>
      </c>
      <c r="L195" s="431">
        <f t="shared" si="58"/>
        <v>3.0071054396901831E-3</v>
      </c>
      <c r="M195" s="847"/>
      <c r="N195" s="847"/>
      <c r="O195" s="320">
        <f t="shared" si="59"/>
        <v>1.5245500049779934E-2</v>
      </c>
      <c r="P195" s="165">
        <f>(INDEX(Models!$BJ195:$BT195,,T195)*(1-R195)+INDEX(Models!$BJ195:$BT195,,T195+1)*R195-ERP_i)*Q195*Ramure*Pc/MaxiM</f>
        <v>4.8634120341544623E-7</v>
      </c>
      <c r="Q195" s="301">
        <f t="shared" si="60"/>
        <v>0.5</v>
      </c>
      <c r="R195" s="173">
        <f t="shared" si="61"/>
        <v>0.34104091468207948</v>
      </c>
      <c r="S195" s="802">
        <f t="shared" si="83"/>
        <v>0</v>
      </c>
      <c r="T195" s="172">
        <f t="shared" si="62"/>
        <v>6</v>
      </c>
      <c r="U195" s="247">
        <f t="shared" si="63"/>
        <v>0.34104091468207948</v>
      </c>
      <c r="V195" s="378">
        <f t="shared" si="64"/>
        <v>63.507206425850278</v>
      </c>
      <c r="W195" s="58"/>
      <c r="X195" s="153">
        <f t="shared" si="65"/>
        <v>44742</v>
      </c>
      <c r="Y195" s="380">
        <f t="shared" si="66"/>
        <v>15.852</v>
      </c>
      <c r="Z195" s="380">
        <f t="shared" si="67"/>
        <v>15.899812412395368</v>
      </c>
      <c r="AA195" s="381">
        <f t="shared" si="68"/>
        <v>16.145965733793666</v>
      </c>
      <c r="AB195" s="193">
        <f t="shared" si="69"/>
        <v>44742</v>
      </c>
      <c r="AC195" s="420">
        <f t="shared" si="70"/>
        <v>1.5245500049779934E-2</v>
      </c>
      <c r="AD195" s="165">
        <f>(INDEX(Models!$BJ195:$BT195,,AH195)*(1-AF195)+INDEX(Models!$BJ195:$BT195,,AH195+1)*AF195-ERP_i)*AE195*Ramure*Pc/MaxiM</f>
        <v>4.8634120341544623E-7</v>
      </c>
      <c r="AE195" s="301">
        <f t="shared" si="71"/>
        <v>0.5</v>
      </c>
      <c r="AF195" s="173">
        <f t="shared" si="72"/>
        <v>0.34104091468207948</v>
      </c>
      <c r="AG195" s="802">
        <f t="shared" si="73"/>
        <v>0</v>
      </c>
      <c r="AH195" s="172">
        <f t="shared" si="74"/>
        <v>6</v>
      </c>
      <c r="AI195" s="221">
        <f t="shared" si="75"/>
        <v>0.34104091468207948</v>
      </c>
      <c r="AJ195" s="261" t="b">
        <f t="shared" si="76"/>
        <v>0</v>
      </c>
      <c r="AK195" s="261" t="b">
        <f t="shared" si="77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8"/>
        <v>44743</v>
      </c>
      <c r="B196" s="610">
        <v>53.777999999999999</v>
      </c>
      <c r="C196" s="385"/>
      <c r="D196" s="388">
        <f t="shared" si="79"/>
        <v>53.940942286709436</v>
      </c>
      <c r="E196" s="380">
        <f t="shared" si="80"/>
        <v>54.779727777032164</v>
      </c>
      <c r="F196" s="380">
        <f t="shared" si="81"/>
        <v>54.779749779399616</v>
      </c>
      <c r="G196" s="110">
        <f t="shared" si="82"/>
        <v>0.84802121092076865</v>
      </c>
      <c r="I196" s="375">
        <f t="shared" si="56"/>
        <v>54.779749779399616</v>
      </c>
      <c r="J196" s="85">
        <v>2022</v>
      </c>
      <c r="K196" s="193">
        <f t="shared" si="57"/>
        <v>44743</v>
      </c>
      <c r="L196" s="431">
        <f t="shared" si="58"/>
        <v>3.0207534351802678E-3</v>
      </c>
      <c r="M196" s="847"/>
      <c r="N196" s="847"/>
      <c r="O196" s="320">
        <f t="shared" si="59"/>
        <v>1.5311968941079893E-2</v>
      </c>
      <c r="P196" s="165">
        <f>(INDEX(Models!$BJ196:$BT196,,T196)*(1-R196)+INDEX(Models!$BJ196:$BT196,,T196+1)*R196-ERP_i)*Q196*Ramure*Pc/MaxiM</f>
        <v>5.1303851080527204E-7</v>
      </c>
      <c r="Q196" s="301">
        <f t="shared" si="60"/>
        <v>0.5</v>
      </c>
      <c r="R196" s="173">
        <f t="shared" si="61"/>
        <v>0.34537168220302233</v>
      </c>
      <c r="S196" s="802">
        <f t="shared" si="83"/>
        <v>0</v>
      </c>
      <c r="T196" s="172">
        <f t="shared" si="62"/>
        <v>6</v>
      </c>
      <c r="U196" s="247">
        <f t="shared" si="63"/>
        <v>0.34537168220302233</v>
      </c>
      <c r="V196" s="378">
        <f t="shared" si="64"/>
        <v>63.415859553128868</v>
      </c>
      <c r="W196" s="58"/>
      <c r="X196" s="153">
        <f t="shared" si="65"/>
        <v>44743</v>
      </c>
      <c r="Y196" s="380">
        <f t="shared" si="66"/>
        <v>53.777999999999999</v>
      </c>
      <c r="Z196" s="380">
        <f t="shared" si="67"/>
        <v>53.940942286709436</v>
      </c>
      <c r="AA196" s="381">
        <f t="shared" si="68"/>
        <v>54.779727777032164</v>
      </c>
      <c r="AB196" s="193">
        <f t="shared" si="69"/>
        <v>44743</v>
      </c>
      <c r="AC196" s="420">
        <f t="shared" si="70"/>
        <v>1.5311968941079893E-2</v>
      </c>
      <c r="AD196" s="165">
        <f>(INDEX(Models!$BJ196:$BT196,,AH196)*(1-AF196)+INDEX(Models!$BJ196:$BT196,,AH196+1)*AF196-ERP_i)*AE196*Ramure*Pc/MaxiM</f>
        <v>5.1303851080527204E-7</v>
      </c>
      <c r="AE196" s="301">
        <f t="shared" si="71"/>
        <v>0.5</v>
      </c>
      <c r="AF196" s="173">
        <f t="shared" si="72"/>
        <v>0.34537168220302233</v>
      </c>
      <c r="AG196" s="802">
        <f t="shared" si="73"/>
        <v>0</v>
      </c>
      <c r="AH196" s="172">
        <f t="shared" si="74"/>
        <v>6</v>
      </c>
      <c r="AI196" s="221">
        <f t="shared" si="75"/>
        <v>0.34537168220302233</v>
      </c>
      <c r="AJ196" s="261" t="b">
        <f t="shared" si="76"/>
        <v>0</v>
      </c>
      <c r="AK196" s="261" t="b">
        <f t="shared" si="77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8"/>
        <v>44744</v>
      </c>
      <c r="B197" s="610">
        <v>59.709000000000003</v>
      </c>
      <c r="C197" s="385"/>
      <c r="D197" s="388">
        <f t="shared" si="79"/>
        <v>59.890732513232685</v>
      </c>
      <c r="E197" s="380">
        <f t="shared" si="80"/>
        <v>60.826127505223965</v>
      </c>
      <c r="F197" s="380">
        <f t="shared" si="81"/>
        <v>60.826157831959122</v>
      </c>
      <c r="G197" s="110">
        <f t="shared" si="82"/>
        <v>0.94298007746801948</v>
      </c>
      <c r="I197" s="375">
        <f t="shared" si="56"/>
        <v>60.826157831959122</v>
      </c>
      <c r="J197" s="85">
        <v>2022</v>
      </c>
      <c r="K197" s="193">
        <f t="shared" si="57"/>
        <v>44744</v>
      </c>
      <c r="L197" s="431">
        <f t="shared" si="58"/>
        <v>3.0344012438406898E-3</v>
      </c>
      <c r="M197" s="847"/>
      <c r="N197" s="847"/>
      <c r="O197" s="320">
        <f t="shared" si="59"/>
        <v>1.5378177608149491E-2</v>
      </c>
      <c r="P197" s="165">
        <f>(INDEX(Models!$BJ197:$BT197,,T197)*(1-R197)+INDEX(Models!$BJ197:$BT197,,T197+1)*R197-ERP_i)*Q197*Ramure*Pc/MaxiM</f>
        <v>5.4279491355757647E-7</v>
      </c>
      <c r="Q197" s="301">
        <f t="shared" si="60"/>
        <v>0.5</v>
      </c>
      <c r="R197" s="173">
        <f t="shared" si="61"/>
        <v>0.34963069751068299</v>
      </c>
      <c r="S197" s="802">
        <f t="shared" si="83"/>
        <v>0</v>
      </c>
      <c r="T197" s="172">
        <f t="shared" si="62"/>
        <v>6</v>
      </c>
      <c r="U197" s="247">
        <f t="shared" si="63"/>
        <v>0.34963069751068299</v>
      </c>
      <c r="V197" s="378">
        <f t="shared" si="64"/>
        <v>63.319468551576307</v>
      </c>
      <c r="W197" s="58"/>
      <c r="X197" s="153">
        <f t="shared" si="65"/>
        <v>44744</v>
      </c>
      <c r="Y197" s="380">
        <f t="shared" si="66"/>
        <v>59.709000000000003</v>
      </c>
      <c r="Z197" s="380">
        <f t="shared" si="67"/>
        <v>59.890732513232685</v>
      </c>
      <c r="AA197" s="381">
        <f t="shared" si="68"/>
        <v>60.826127505223965</v>
      </c>
      <c r="AB197" s="193">
        <f t="shared" si="69"/>
        <v>44744</v>
      </c>
      <c r="AC197" s="420">
        <f t="shared" si="70"/>
        <v>1.5378177608149491E-2</v>
      </c>
      <c r="AD197" s="165">
        <f>(INDEX(Models!$BJ197:$BT197,,AH197)*(1-AF197)+INDEX(Models!$BJ197:$BT197,,AH197+1)*AF197-ERP_i)*AE197*Ramure*Pc/MaxiM</f>
        <v>5.4279491355757647E-7</v>
      </c>
      <c r="AE197" s="301">
        <f t="shared" si="71"/>
        <v>0.5</v>
      </c>
      <c r="AF197" s="173">
        <f t="shared" si="72"/>
        <v>0.34963069751068299</v>
      </c>
      <c r="AG197" s="802">
        <f t="shared" si="73"/>
        <v>0</v>
      </c>
      <c r="AH197" s="172">
        <f t="shared" si="74"/>
        <v>6</v>
      </c>
      <c r="AI197" s="221">
        <f t="shared" si="75"/>
        <v>0.34963069751068299</v>
      </c>
      <c r="AJ197" s="261" t="b">
        <f t="shared" si="76"/>
        <v>0</v>
      </c>
      <c r="AK197" s="261" t="b">
        <f t="shared" si="77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8"/>
        <v>44745</v>
      </c>
      <c r="B198" s="610">
        <v>55.529000000000003</v>
      </c>
      <c r="C198" s="385"/>
      <c r="D198" s="388">
        <f t="shared" si="79"/>
        <v>55.698772580583693</v>
      </c>
      <c r="E198" s="380">
        <f t="shared" si="80"/>
        <v>56.572485314283988</v>
      </c>
      <c r="F198" s="380">
        <f t="shared" si="81"/>
        <v>56.572512342917904</v>
      </c>
      <c r="G198" s="110">
        <f t="shared" si="82"/>
        <v>0.87836821531267584</v>
      </c>
      <c r="I198" s="375">
        <f t="shared" si="56"/>
        <v>56.572512342917904</v>
      </c>
      <c r="J198" s="85">
        <v>2022</v>
      </c>
      <c r="K198" s="193">
        <f t="shared" si="57"/>
        <v>44745</v>
      </c>
      <c r="L198" s="431">
        <f t="shared" si="58"/>
        <v>3.0480488656741134E-3</v>
      </c>
      <c r="M198" s="847"/>
      <c r="N198" s="847"/>
      <c r="O198" s="320">
        <f t="shared" si="59"/>
        <v>1.5444128516653579E-2</v>
      </c>
      <c r="P198" s="165">
        <f>(INDEX(Models!$BJ198:$BT198,,T198)*(1-R198)+INDEX(Models!$BJ198:$BT198,,T198+1)*R198-ERP_i)*Q198*Ramure*Pc/MaxiM</f>
        <v>5.7824539929237372E-7</v>
      </c>
      <c r="Q198" s="301">
        <f t="shared" si="60"/>
        <v>0.5</v>
      </c>
      <c r="R198" s="173">
        <f t="shared" si="61"/>
        <v>0.35381622327797946</v>
      </c>
      <c r="S198" s="802">
        <f t="shared" si="83"/>
        <v>0</v>
      </c>
      <c r="T198" s="172">
        <f t="shared" si="62"/>
        <v>6</v>
      </c>
      <c r="U198" s="247">
        <f t="shared" si="63"/>
        <v>0.35381622327797946</v>
      </c>
      <c r="V198" s="378">
        <f t="shared" si="64"/>
        <v>63.218355870171152</v>
      </c>
      <c r="W198" s="58"/>
      <c r="X198" s="153">
        <f t="shared" si="65"/>
        <v>44745</v>
      </c>
      <c r="Y198" s="380">
        <f t="shared" si="66"/>
        <v>55.529000000000003</v>
      </c>
      <c r="Z198" s="380">
        <f t="shared" si="67"/>
        <v>55.698772580583693</v>
      </c>
      <c r="AA198" s="381">
        <f t="shared" si="68"/>
        <v>56.572485314283988</v>
      </c>
      <c r="AB198" s="193">
        <f t="shared" si="69"/>
        <v>44745</v>
      </c>
      <c r="AC198" s="420">
        <f t="shared" si="70"/>
        <v>1.5444128516653579E-2</v>
      </c>
      <c r="AD198" s="165">
        <f>(INDEX(Models!$BJ198:$BT198,,AH198)*(1-AF198)+INDEX(Models!$BJ198:$BT198,,AH198+1)*AF198-ERP_i)*AE198*Ramure*Pc/MaxiM</f>
        <v>5.7824539929237372E-7</v>
      </c>
      <c r="AE198" s="301">
        <f t="shared" si="71"/>
        <v>0.5</v>
      </c>
      <c r="AF198" s="173">
        <f t="shared" si="72"/>
        <v>0.35381622327797946</v>
      </c>
      <c r="AG198" s="802">
        <f t="shared" si="73"/>
        <v>0</v>
      </c>
      <c r="AH198" s="172">
        <f t="shared" si="74"/>
        <v>6</v>
      </c>
      <c r="AI198" s="221">
        <f t="shared" si="75"/>
        <v>0.35381622327797946</v>
      </c>
      <c r="AJ198" s="261" t="b">
        <f t="shared" si="76"/>
        <v>0</v>
      </c>
      <c r="AK198" s="261" t="b">
        <f t="shared" si="77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8"/>
        <v>44746</v>
      </c>
      <c r="B199" s="610">
        <v>51.691000000000003</v>
      </c>
      <c r="C199" s="385"/>
      <c r="D199" s="388">
        <f t="shared" si="79"/>
        <v>51.849748182200791</v>
      </c>
      <c r="E199" s="380">
        <f t="shared" si="80"/>
        <v>52.666597882418245</v>
      </c>
      <c r="F199" s="380">
        <f t="shared" si="81"/>
        <v>52.666622044945932</v>
      </c>
      <c r="G199" s="110">
        <f t="shared" si="82"/>
        <v>0.8190249153064042</v>
      </c>
      <c r="I199" s="375">
        <f t="shared" si="56"/>
        <v>52.666622044945932</v>
      </c>
      <c r="J199" s="85">
        <v>2022</v>
      </c>
      <c r="K199" s="193">
        <f t="shared" si="57"/>
        <v>44746</v>
      </c>
      <c r="L199" s="431">
        <f t="shared" si="58"/>
        <v>3.0616963006829812E-3</v>
      </c>
      <c r="M199" s="847"/>
      <c r="N199" s="847"/>
      <c r="O199" s="320">
        <f t="shared" si="59"/>
        <v>1.5509824690805521E-2</v>
      </c>
      <c r="P199" s="165">
        <f>(INDEX(Models!$BJ199:$BT199,,T199)*(1-R199)+INDEX(Models!$BJ199:$BT199,,T199+1)*R199-ERP_i)*Q199*Ramure*Pc/MaxiM</f>
        <v>6.1875201258763895E-7</v>
      </c>
      <c r="Q199" s="301">
        <f t="shared" si="60"/>
        <v>0.5</v>
      </c>
      <c r="R199" s="173">
        <f t="shared" si="61"/>
        <v>0.35792670350193656</v>
      </c>
      <c r="S199" s="802">
        <f t="shared" si="83"/>
        <v>0</v>
      </c>
      <c r="T199" s="172">
        <f t="shared" si="62"/>
        <v>6</v>
      </c>
      <c r="U199" s="247">
        <f t="shared" si="63"/>
        <v>0.35792670350193656</v>
      </c>
      <c r="V199" s="378">
        <f t="shared" si="64"/>
        <v>63.112844023404577</v>
      </c>
      <c r="W199" s="58"/>
      <c r="X199" s="153">
        <f t="shared" si="65"/>
        <v>44746</v>
      </c>
      <c r="Y199" s="380">
        <f t="shared" si="66"/>
        <v>51.691000000000003</v>
      </c>
      <c r="Z199" s="380">
        <f t="shared" si="67"/>
        <v>51.849748182200791</v>
      </c>
      <c r="AA199" s="381">
        <f t="shared" si="68"/>
        <v>52.666597882418245</v>
      </c>
      <c r="AB199" s="193">
        <f t="shared" si="69"/>
        <v>44746</v>
      </c>
      <c r="AC199" s="420">
        <f t="shared" si="70"/>
        <v>1.5509824690805521E-2</v>
      </c>
      <c r="AD199" s="165">
        <f>(INDEX(Models!$BJ199:$BT199,,AH199)*(1-AF199)+INDEX(Models!$BJ199:$BT199,,AH199+1)*AF199-ERP_i)*AE199*Ramure*Pc/MaxiM</f>
        <v>6.1875201258763895E-7</v>
      </c>
      <c r="AE199" s="301">
        <f t="shared" si="71"/>
        <v>0.5</v>
      </c>
      <c r="AF199" s="173">
        <f t="shared" si="72"/>
        <v>0.35792670350193656</v>
      </c>
      <c r="AG199" s="802">
        <f t="shared" si="73"/>
        <v>0</v>
      </c>
      <c r="AH199" s="172">
        <f t="shared" si="74"/>
        <v>6</v>
      </c>
      <c r="AI199" s="221">
        <f t="shared" si="75"/>
        <v>0.35792670350193656</v>
      </c>
      <c r="AJ199" s="261" t="b">
        <f t="shared" si="76"/>
        <v>0</v>
      </c>
      <c r="AK199" s="261" t="b">
        <f t="shared" si="77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8"/>
        <v>44747</v>
      </c>
      <c r="B200" s="610">
        <v>61.981999999999999</v>
      </c>
      <c r="C200" s="385"/>
      <c r="D200" s="388">
        <f t="shared" si="79"/>
        <v>62.17320396171624</v>
      </c>
      <c r="E200" s="380">
        <f t="shared" si="80"/>
        <v>63.156889548544591</v>
      </c>
      <c r="F200" s="380">
        <f t="shared" si="81"/>
        <v>63.156930543219005</v>
      </c>
      <c r="G200" s="110">
        <f t="shared" si="82"/>
        <v>0.98379042039042131</v>
      </c>
      <c r="I200" s="375">
        <f t="shared" si="56"/>
        <v>63.156930543219005</v>
      </c>
      <c r="J200" s="85">
        <v>2022</v>
      </c>
      <c r="K200" s="193">
        <f t="shared" si="57"/>
        <v>44747</v>
      </c>
      <c r="L200" s="431">
        <f t="shared" si="58"/>
        <v>3.0753435488699576E-3</v>
      </c>
      <c r="M200" s="847"/>
      <c r="N200" s="847"/>
      <c r="O200" s="320">
        <f t="shared" si="59"/>
        <v>1.5575269679363415E-2</v>
      </c>
      <c r="P200" s="165">
        <f>(INDEX(Models!$BJ200:$BT200,,T200)*(1-R200)+INDEX(Models!$BJ200:$BT200,,T200+1)*R200-ERP_i)*Q200*Ramure*Pc/MaxiM</f>
        <v>6.644792823940236E-7</v>
      </c>
      <c r="Q200" s="301">
        <f t="shared" si="60"/>
        <v>0.5</v>
      </c>
      <c r="R200" s="173">
        <f t="shared" si="61"/>
        <v>0.3619607618619104</v>
      </c>
      <c r="S200" s="802">
        <f t="shared" si="83"/>
        <v>0</v>
      </c>
      <c r="T200" s="172">
        <f t="shared" si="62"/>
        <v>6</v>
      </c>
      <c r="U200" s="247">
        <f t="shared" si="63"/>
        <v>0.3619607618619104</v>
      </c>
      <c r="V200" s="378">
        <f t="shared" si="64"/>
        <v>63.003255329201913</v>
      </c>
      <c r="W200" s="58"/>
      <c r="X200" s="153">
        <f t="shared" si="65"/>
        <v>44747</v>
      </c>
      <c r="Y200" s="380">
        <f t="shared" si="66"/>
        <v>61.981999999999999</v>
      </c>
      <c r="Z200" s="380">
        <f t="shared" si="67"/>
        <v>62.17320396171624</v>
      </c>
      <c r="AA200" s="381">
        <f t="shared" si="68"/>
        <v>63.156889548544591</v>
      </c>
      <c r="AB200" s="193">
        <f t="shared" si="69"/>
        <v>44747</v>
      </c>
      <c r="AC200" s="420">
        <f t="shared" si="70"/>
        <v>1.5575269679363415E-2</v>
      </c>
      <c r="AD200" s="165">
        <f>(INDEX(Models!$BJ200:$BT200,,AH200)*(1-AF200)+INDEX(Models!$BJ200:$BT200,,AH200+1)*AF200-ERP_i)*AE200*Ramure*Pc/MaxiM</f>
        <v>6.644792823940236E-7</v>
      </c>
      <c r="AE200" s="301">
        <f t="shared" si="71"/>
        <v>0.5</v>
      </c>
      <c r="AF200" s="173">
        <f t="shared" si="72"/>
        <v>0.3619607618619104</v>
      </c>
      <c r="AG200" s="802">
        <f t="shared" si="73"/>
        <v>0</v>
      </c>
      <c r="AH200" s="172">
        <f t="shared" si="74"/>
        <v>6</v>
      </c>
      <c r="AI200" s="221">
        <f t="shared" si="75"/>
        <v>0.3619607618619104</v>
      </c>
      <c r="AJ200" s="261" t="b">
        <f t="shared" si="76"/>
        <v>0</v>
      </c>
      <c r="AK200" s="261" t="b">
        <f t="shared" si="77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ref="A201:A207" si="84">A200+1</f>
        <v>44748</v>
      </c>
      <c r="B201" s="610">
        <v>45.631</v>
      </c>
      <c r="C201" s="385"/>
      <c r="D201" s="388">
        <f t="shared" ref="D201:D206" si="85">Wh/(1-Ppv)</f>
        <v>45.772390484414487</v>
      </c>
      <c r="E201" s="380">
        <f t="shared" ref="E201:E232" si="86">Wh_pvt/(1-Psa)</f>
        <v>46.499667016020062</v>
      </c>
      <c r="F201" s="380">
        <f t="shared" ref="F201:F228" si="87">Wh_sa/(1-Pvg*MEDIAN((-Sdif+Wh/Env_an)/Csdif,0,1))</f>
        <v>46.499687245486641</v>
      </c>
      <c r="G201" s="110">
        <f t="shared" ref="G201:G232" si="88">+Wh_hp/MaxiM</f>
        <v>0.72556926492661267</v>
      </c>
      <c r="I201" s="375">
        <f t="shared" si="56"/>
        <v>46.499687245486641</v>
      </c>
      <c r="J201" s="85">
        <v>2022</v>
      </c>
      <c r="K201" s="193">
        <f t="shared" si="57"/>
        <v>44748</v>
      </c>
      <c r="L201" s="431">
        <f t="shared" si="58"/>
        <v>3.0889906102375964E-3</v>
      </c>
      <c r="M201" s="847"/>
      <c r="N201" s="847"/>
      <c r="O201" s="320">
        <f t="shared" si="59"/>
        <v>1.564046751893975E-2</v>
      </c>
      <c r="P201" s="165">
        <f>(INDEX(Models!$BJ201:$BT201,,T201)*(1-R201)+INDEX(Models!$BJ201:$BT201,,T201+1)*R201-ERP_i)*Q201*Ramure*Pc/MaxiM</f>
        <v>7.1558623263331214E-7</v>
      </c>
      <c r="Q201" s="301">
        <f t="shared" si="60"/>
        <v>0.5</v>
      </c>
      <c r="R201" s="173">
        <f t="shared" si="61"/>
        <v>0.36591719932303651</v>
      </c>
      <c r="S201" s="802">
        <f t="shared" si="83"/>
        <v>0</v>
      </c>
      <c r="T201" s="172">
        <f t="shared" si="62"/>
        <v>6</v>
      </c>
      <c r="U201" s="247">
        <f t="shared" si="63"/>
        <v>0.36591719932303651</v>
      </c>
      <c r="V201" s="378">
        <f t="shared" si="64"/>
        <v>62.889911968973387</v>
      </c>
      <c r="W201" s="58"/>
      <c r="X201" s="153">
        <f t="shared" si="65"/>
        <v>44748</v>
      </c>
      <c r="Y201" s="380">
        <f t="shared" si="66"/>
        <v>45.631</v>
      </c>
      <c r="Z201" s="380">
        <f t="shared" si="67"/>
        <v>45.772390484414487</v>
      </c>
      <c r="AA201" s="381">
        <f t="shared" si="68"/>
        <v>46.499667016020062</v>
      </c>
      <c r="AB201" s="193">
        <f t="shared" si="69"/>
        <v>44748</v>
      </c>
      <c r="AC201" s="420">
        <f t="shared" si="70"/>
        <v>1.564046751893975E-2</v>
      </c>
      <c r="AD201" s="165">
        <f>(INDEX(Models!$BJ201:$BT201,,AH201)*(1-AF201)+INDEX(Models!$BJ201:$BT201,,AH201+1)*AF201-ERP_i)*AE201*Ramure*Pc/MaxiM</f>
        <v>7.1558623263331214E-7</v>
      </c>
      <c r="AE201" s="301">
        <f t="shared" si="71"/>
        <v>0.5</v>
      </c>
      <c r="AF201" s="173">
        <f t="shared" si="72"/>
        <v>0.36591719932303651</v>
      </c>
      <c r="AG201" s="802">
        <f t="shared" si="73"/>
        <v>0</v>
      </c>
      <c r="AH201" s="172">
        <f t="shared" si="74"/>
        <v>6</v>
      </c>
      <c r="AI201" s="221">
        <f t="shared" si="75"/>
        <v>0.36591719932303651</v>
      </c>
      <c r="AJ201" s="261" t="b">
        <f t="shared" si="76"/>
        <v>0</v>
      </c>
      <c r="AK201" s="261" t="b">
        <f t="shared" si="77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84"/>
        <v>44749</v>
      </c>
      <c r="B202" s="610">
        <v>61.511000000000003</v>
      </c>
      <c r="C202" s="385"/>
      <c r="D202" s="388">
        <f t="shared" si="85"/>
        <v>61.702440304190709</v>
      </c>
      <c r="E202" s="380">
        <f t="shared" si="86"/>
        <v>62.686965596343434</v>
      </c>
      <c r="F202" s="380">
        <f t="shared" si="87"/>
        <v>62.68701261444199</v>
      </c>
      <c r="G202" s="110">
        <f t="shared" si="88"/>
        <v>0.97989367057772225</v>
      </c>
      <c r="I202" s="375">
        <f t="shared" si="56"/>
        <v>62.68701261444199</v>
      </c>
      <c r="J202" s="85">
        <v>2022</v>
      </c>
      <c r="K202" s="193">
        <f t="shared" si="57"/>
        <v>44749</v>
      </c>
      <c r="L202" s="431">
        <f t="shared" si="58"/>
        <v>3.1026374847884508E-3</v>
      </c>
      <c r="M202" s="847"/>
      <c r="N202" s="847"/>
      <c r="O202" s="320">
        <f t="shared" si="59"/>
        <v>1.5705422694923952E-2</v>
      </c>
      <c r="P202" s="165">
        <f>(INDEX(Models!$BJ202:$BT202,,T202)*(1-R202)+INDEX(Models!$BJ202:$BT202,,T202+1)*R202-ERP_i)*Q202*Ramure*Pc/MaxiM</f>
        <v>7.7222617146251562E-7</v>
      </c>
      <c r="Q202" s="301">
        <f t="shared" si="60"/>
        <v>0.5</v>
      </c>
      <c r="R202" s="173">
        <f t="shared" si="61"/>
        <v>0.36979499103807612</v>
      </c>
      <c r="S202" s="802">
        <f t="shared" si="83"/>
        <v>0</v>
      </c>
      <c r="T202" s="172">
        <f t="shared" si="62"/>
        <v>6</v>
      </c>
      <c r="U202" s="247">
        <f t="shared" si="63"/>
        <v>0.36979499103807612</v>
      </c>
      <c r="V202" s="378">
        <f t="shared" si="64"/>
        <v>62.773135986647759</v>
      </c>
      <c r="W202" s="58"/>
      <c r="X202" s="153">
        <f t="shared" si="65"/>
        <v>44749</v>
      </c>
      <c r="Y202" s="380">
        <f t="shared" si="66"/>
        <v>61.511000000000003</v>
      </c>
      <c r="Z202" s="380">
        <f t="shared" si="67"/>
        <v>61.702440304190709</v>
      </c>
      <c r="AA202" s="381">
        <f t="shared" si="68"/>
        <v>62.686965596343434</v>
      </c>
      <c r="AB202" s="193">
        <f t="shared" si="69"/>
        <v>44749</v>
      </c>
      <c r="AC202" s="420">
        <f t="shared" si="70"/>
        <v>1.5705422694923952E-2</v>
      </c>
      <c r="AD202" s="165">
        <f>(INDEX(Models!$BJ202:$BT202,,AH202)*(1-AF202)+INDEX(Models!$BJ202:$BT202,,AH202+1)*AF202-ERP_i)*AE202*Ramure*Pc/MaxiM</f>
        <v>7.7222617146251562E-7</v>
      </c>
      <c r="AE202" s="301">
        <f t="shared" si="71"/>
        <v>0.5</v>
      </c>
      <c r="AF202" s="173">
        <f t="shared" si="72"/>
        <v>0.36979499103807612</v>
      </c>
      <c r="AG202" s="802">
        <f t="shared" si="73"/>
        <v>0</v>
      </c>
      <c r="AH202" s="172">
        <f t="shared" si="74"/>
        <v>6</v>
      </c>
      <c r="AI202" s="221">
        <f t="shared" si="75"/>
        <v>0.36979499103807612</v>
      </c>
      <c r="AJ202" s="261" t="b">
        <f t="shared" si="76"/>
        <v>0</v>
      </c>
      <c r="AK202" s="261" t="b">
        <f t="shared" si="77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84"/>
        <v>44750</v>
      </c>
      <c r="B203" s="610">
        <v>64.5</v>
      </c>
      <c r="C203" s="385"/>
      <c r="D203" s="388">
        <f t="shared" si="85"/>
        <v>64.701628661333899</v>
      </c>
      <c r="E203" s="380">
        <f t="shared" si="86"/>
        <v>65.738331356792784</v>
      </c>
      <c r="F203" s="380">
        <f t="shared" si="87"/>
        <v>65.738386218533648</v>
      </c>
      <c r="G203" s="110">
        <f t="shared" si="88"/>
        <v>1.0294757370422234</v>
      </c>
      <c r="I203" s="375">
        <f t="shared" si="56"/>
        <v>65.738386218533648</v>
      </c>
      <c r="J203" s="85">
        <v>2022</v>
      </c>
      <c r="K203" s="193">
        <f t="shared" si="57"/>
        <v>44750</v>
      </c>
      <c r="L203" s="431">
        <f t="shared" si="58"/>
        <v>3.1162841725249635E-3</v>
      </c>
      <c r="M203" s="847"/>
      <c r="N203" s="847"/>
      <c r="O203" s="320">
        <f t="shared" si="59"/>
        <v>1.5770140100335277E-2</v>
      </c>
      <c r="P203" s="165">
        <f>(INDEX(Models!$BJ203:$BT203,,T203)*(1-R203)+INDEX(Models!$BJ203:$BT203,,T203+1)*R203-ERP_i)*Q203*Ramure*Pc/MaxiM</f>
        <v>8.3454651106537661E-7</v>
      </c>
      <c r="Q203" s="301">
        <f t="shared" si="60"/>
        <v>0.5</v>
      </c>
      <c r="R203" s="173">
        <f t="shared" si="61"/>
        <v>0.37359328260367852</v>
      </c>
      <c r="S203" s="802">
        <f t="shared" si="83"/>
        <v>0</v>
      </c>
      <c r="T203" s="172">
        <f t="shared" si="62"/>
        <v>6</v>
      </c>
      <c r="U203" s="247">
        <f t="shared" si="63"/>
        <v>0.37359328260367852</v>
      </c>
      <c r="V203" s="378">
        <f t="shared" si="64"/>
        <v>62.653249298826907</v>
      </c>
      <c r="W203" s="58"/>
      <c r="X203" s="153">
        <f t="shared" si="65"/>
        <v>44750</v>
      </c>
      <c r="Y203" s="380">
        <f t="shared" si="66"/>
        <v>64.5</v>
      </c>
      <c r="Z203" s="380">
        <f t="shared" si="67"/>
        <v>64.701628661333899</v>
      </c>
      <c r="AA203" s="381">
        <f t="shared" si="68"/>
        <v>65.738331356792784</v>
      </c>
      <c r="AB203" s="193">
        <f t="shared" si="69"/>
        <v>44750</v>
      </c>
      <c r="AC203" s="420">
        <f t="shared" si="70"/>
        <v>1.5770140100335277E-2</v>
      </c>
      <c r="AD203" s="165">
        <f>(INDEX(Models!$BJ203:$BT203,,AH203)*(1-AF203)+INDEX(Models!$BJ203:$BT203,,AH203+1)*AF203-ERP_i)*AE203*Ramure*Pc/MaxiM</f>
        <v>8.3454651106537661E-7</v>
      </c>
      <c r="AE203" s="301">
        <f t="shared" si="71"/>
        <v>0.5</v>
      </c>
      <c r="AF203" s="173">
        <f t="shared" si="72"/>
        <v>0.37359328260367852</v>
      </c>
      <c r="AG203" s="802">
        <f t="shared" si="73"/>
        <v>0</v>
      </c>
      <c r="AH203" s="172">
        <f t="shared" si="74"/>
        <v>6</v>
      </c>
      <c r="AI203" s="221">
        <f t="shared" si="75"/>
        <v>0.37359328260367852</v>
      </c>
      <c r="AJ203" s="261" t="b">
        <f t="shared" si="76"/>
        <v>0</v>
      </c>
      <c r="AK203" s="261" t="b">
        <f t="shared" si="77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84"/>
        <v>44751</v>
      </c>
      <c r="B204" s="610">
        <v>63.503999999999998</v>
      </c>
      <c r="C204" s="385"/>
      <c r="D204" s="388">
        <f t="shared" si="85"/>
        <v>63.703387185554725</v>
      </c>
      <c r="E204" s="380">
        <f t="shared" si="86"/>
        <v>64.728336114342227</v>
      </c>
      <c r="F204" s="380">
        <f t="shared" si="87"/>
        <v>64.728394543927067</v>
      </c>
      <c r="G204" s="110">
        <f t="shared" si="88"/>
        <v>1.0155672058317351</v>
      </c>
      <c r="I204" s="375">
        <f t="shared" si="56"/>
        <v>64.728394543927067</v>
      </c>
      <c r="J204" s="85">
        <v>2022</v>
      </c>
      <c r="K204" s="193">
        <f t="shared" si="57"/>
        <v>44751</v>
      </c>
      <c r="L204" s="431">
        <f t="shared" si="58"/>
        <v>3.1299306734499099E-3</v>
      </c>
      <c r="M204" s="847"/>
      <c r="N204" s="847"/>
      <c r="O204" s="320">
        <f t="shared" si="59"/>
        <v>1.5834624992938761E-2</v>
      </c>
      <c r="P204" s="165">
        <f>(INDEX(Models!$BJ204:$BT204,,T204)*(1-R204)+INDEX(Models!$BJ204:$BT204,,T204+1)*R204-ERP_i)*Q204*Ramure*Pc/MaxiM</f>
        <v>9.0268861532535906E-7</v>
      </c>
      <c r="Q204" s="301">
        <f t="shared" si="60"/>
        <v>0.5</v>
      </c>
      <c r="R204" s="173">
        <f t="shared" si="61"/>
        <v>0.37731138572913059</v>
      </c>
      <c r="S204" s="802">
        <f t="shared" si="83"/>
        <v>0</v>
      </c>
      <c r="T204" s="172">
        <f t="shared" si="62"/>
        <v>6</v>
      </c>
      <c r="U204" s="247">
        <f t="shared" si="63"/>
        <v>0.37731138572913059</v>
      </c>
      <c r="V204" s="378">
        <f t="shared" si="64"/>
        <v>62.530573688612876</v>
      </c>
      <c r="W204" s="58"/>
      <c r="X204" s="153">
        <f t="shared" si="65"/>
        <v>44751</v>
      </c>
      <c r="Y204" s="380">
        <f t="shared" si="66"/>
        <v>63.503999999999998</v>
      </c>
      <c r="Z204" s="380">
        <f t="shared" si="67"/>
        <v>63.703387185554725</v>
      </c>
      <c r="AA204" s="381">
        <f t="shared" si="68"/>
        <v>64.728336114342227</v>
      </c>
      <c r="AB204" s="193">
        <f t="shared" si="69"/>
        <v>44751</v>
      </c>
      <c r="AC204" s="420">
        <f t="shared" si="70"/>
        <v>1.5834624992938761E-2</v>
      </c>
      <c r="AD204" s="165">
        <f>(INDEX(Models!$BJ204:$BT204,,AH204)*(1-AF204)+INDEX(Models!$BJ204:$BT204,,AH204+1)*AF204-ERP_i)*AE204*Ramure*Pc/MaxiM</f>
        <v>9.0268861532535906E-7</v>
      </c>
      <c r="AE204" s="301">
        <f t="shared" si="71"/>
        <v>0.5</v>
      </c>
      <c r="AF204" s="173">
        <f t="shared" si="72"/>
        <v>0.37731138572913059</v>
      </c>
      <c r="AG204" s="802">
        <f t="shared" si="73"/>
        <v>0</v>
      </c>
      <c r="AH204" s="172">
        <f t="shared" si="74"/>
        <v>6</v>
      </c>
      <c r="AI204" s="221">
        <f t="shared" si="75"/>
        <v>0.37731138572913059</v>
      </c>
      <c r="AJ204" s="261" t="b">
        <f t="shared" si="76"/>
        <v>0</v>
      </c>
      <c r="AK204" s="261" t="b">
        <f t="shared" si="77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84"/>
        <v>44752</v>
      </c>
      <c r="B205" s="610">
        <v>62.835999999999999</v>
      </c>
      <c r="C205" s="385"/>
      <c r="D205" s="388">
        <f t="shared" si="85"/>
        <v>63.034152711895814</v>
      </c>
      <c r="E205" s="380">
        <f t="shared" si="86"/>
        <v>64.052516169184713</v>
      </c>
      <c r="F205" s="380">
        <f t="shared" si="87"/>
        <v>64.052578735294119</v>
      </c>
      <c r="G205" s="110">
        <f t="shared" si="88"/>
        <v>1.0069050210726642</v>
      </c>
      <c r="I205" s="375">
        <f t="shared" si="56"/>
        <v>64.052578735294119</v>
      </c>
      <c r="J205" s="85">
        <v>2022</v>
      </c>
      <c r="K205" s="193">
        <f t="shared" si="57"/>
        <v>44752</v>
      </c>
      <c r="L205" s="431">
        <f t="shared" si="58"/>
        <v>3.1435769875656216E-3</v>
      </c>
      <c r="M205" s="847"/>
      <c r="N205" s="847"/>
      <c r="O205" s="320">
        <f t="shared" si="59"/>
        <v>1.5898882950968734E-2</v>
      </c>
      <c r="P205" s="165">
        <f>(INDEX(Models!$BJ205:$BT205,,T205)*(1-R205)+INDEX(Models!$BJ205:$BT205,,T205+1)*R205-ERP_i)*Q205*Ramure*Pc/MaxiM</f>
        <v>9.767929823860959E-7</v>
      </c>
      <c r="Q205" s="301">
        <f t="shared" si="60"/>
        <v>0.5</v>
      </c>
      <c r="R205" s="173">
        <f t="shared" si="61"/>
        <v>0.38094877337695932</v>
      </c>
      <c r="S205" s="802">
        <f t="shared" si="83"/>
        <v>0</v>
      </c>
      <c r="T205" s="172">
        <f t="shared" si="62"/>
        <v>6</v>
      </c>
      <c r="U205" s="247">
        <f t="shared" si="63"/>
        <v>0.38094877337695932</v>
      </c>
      <c r="V205" s="378">
        <f t="shared" si="64"/>
        <v>62.405091527957914</v>
      </c>
      <c r="W205" s="58"/>
      <c r="X205" s="153">
        <f t="shared" si="65"/>
        <v>44752</v>
      </c>
      <c r="Y205" s="380">
        <f t="shared" si="66"/>
        <v>62.835999999999999</v>
      </c>
      <c r="Z205" s="380">
        <f t="shared" si="67"/>
        <v>63.034152711895814</v>
      </c>
      <c r="AA205" s="381">
        <f t="shared" si="68"/>
        <v>64.052516169184713</v>
      </c>
      <c r="AB205" s="193">
        <f t="shared" si="69"/>
        <v>44752</v>
      </c>
      <c r="AC205" s="420">
        <f t="shared" si="70"/>
        <v>1.5898882950968734E-2</v>
      </c>
      <c r="AD205" s="165">
        <f>(INDEX(Models!$BJ205:$BT205,,AH205)*(1-AF205)+INDEX(Models!$BJ205:$BT205,,AH205+1)*AF205-ERP_i)*AE205*Ramure*Pc/MaxiM</f>
        <v>9.767929823860959E-7</v>
      </c>
      <c r="AE205" s="301">
        <f t="shared" si="71"/>
        <v>0.5</v>
      </c>
      <c r="AF205" s="173">
        <f t="shared" si="72"/>
        <v>0.38094877337695932</v>
      </c>
      <c r="AG205" s="802">
        <f t="shared" si="73"/>
        <v>0</v>
      </c>
      <c r="AH205" s="172">
        <f t="shared" si="74"/>
        <v>6</v>
      </c>
      <c r="AI205" s="221">
        <f t="shared" si="75"/>
        <v>0.38094877337695932</v>
      </c>
      <c r="AJ205" s="261" t="b">
        <f t="shared" si="76"/>
        <v>0</v>
      </c>
      <c r="AK205" s="261" t="b">
        <f t="shared" si="77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84"/>
        <v>44753</v>
      </c>
      <c r="B206" s="610">
        <v>61.755000000000003</v>
      </c>
      <c r="C206" s="385"/>
      <c r="D206" s="388">
        <f t="shared" si="85"/>
        <v>61.950591840539126</v>
      </c>
      <c r="E206" s="380">
        <f t="shared" si="86"/>
        <v>62.955546176876815</v>
      </c>
      <c r="F206" s="380">
        <f t="shared" si="87"/>
        <v>62.955611805473744</v>
      </c>
      <c r="G206" s="110">
        <f t="shared" si="88"/>
        <v>0.99162718608860145</v>
      </c>
      <c r="I206" s="375">
        <f t="shared" si="56"/>
        <v>62.955611805473744</v>
      </c>
      <c r="J206" s="85">
        <v>2022</v>
      </c>
      <c r="K206" s="193">
        <f t="shared" si="57"/>
        <v>44753</v>
      </c>
      <c r="L206" s="431">
        <f t="shared" si="58"/>
        <v>3.1572231148747631E-3</v>
      </c>
      <c r="M206" s="847"/>
      <c r="N206" s="847"/>
      <c r="O206" s="320">
        <f t="shared" si="59"/>
        <v>1.59629198278134E-2</v>
      </c>
      <c r="P206" s="165">
        <f>(INDEX(Models!$BJ206:$BT206,,T206)*(1-R206)+INDEX(Models!$BJ206:$BT206,,T206+1)*R206-ERP_i)*Q206*Ramure*Pc/MaxiM</f>
        <v>1.055078193340271E-6</v>
      </c>
      <c r="Q206" s="301">
        <f t="shared" si="60"/>
        <v>0.5</v>
      </c>
      <c r="R206" s="173">
        <f t="shared" si="61"/>
        <v>0.38450507443532361</v>
      </c>
      <c r="S206" s="802">
        <f t="shared" si="83"/>
        <v>0</v>
      </c>
      <c r="T206" s="172">
        <f t="shared" si="62"/>
        <v>6</v>
      </c>
      <c r="U206" s="247">
        <f t="shared" si="63"/>
        <v>0.38450507443532361</v>
      </c>
      <c r="V206" s="378">
        <f t="shared" si="64"/>
        <v>62.276428164744594</v>
      </c>
      <c r="W206" s="58"/>
      <c r="X206" s="153">
        <f t="shared" si="65"/>
        <v>44753</v>
      </c>
      <c r="Y206" s="380">
        <f t="shared" si="66"/>
        <v>61.755000000000003</v>
      </c>
      <c r="Z206" s="380">
        <f t="shared" si="67"/>
        <v>61.950591840539126</v>
      </c>
      <c r="AA206" s="381">
        <f t="shared" si="68"/>
        <v>62.955546176876815</v>
      </c>
      <c r="AB206" s="193">
        <f t="shared" si="69"/>
        <v>44753</v>
      </c>
      <c r="AC206" s="420">
        <f t="shared" si="70"/>
        <v>1.59629198278134E-2</v>
      </c>
      <c r="AD206" s="165">
        <f>(INDEX(Models!$BJ206:$BT206,,AH206)*(1-AF206)+INDEX(Models!$BJ206:$BT206,,AH206+1)*AF206-ERP_i)*AE206*Ramure*Pc/MaxiM</f>
        <v>1.055078193340271E-6</v>
      </c>
      <c r="AE206" s="301">
        <f t="shared" si="71"/>
        <v>0.5</v>
      </c>
      <c r="AF206" s="173">
        <f t="shared" si="72"/>
        <v>0.38450507443532361</v>
      </c>
      <c r="AG206" s="802">
        <f t="shared" si="73"/>
        <v>0</v>
      </c>
      <c r="AH206" s="172">
        <f t="shared" si="74"/>
        <v>6</v>
      </c>
      <c r="AI206" s="221">
        <f t="shared" si="75"/>
        <v>0.38450507443532361</v>
      </c>
      <c r="AJ206" s="261" t="b">
        <f t="shared" si="76"/>
        <v>0</v>
      </c>
      <c r="AK206" s="261" t="b">
        <f t="shared" si="77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84"/>
        <v>44754</v>
      </c>
      <c r="B207" s="610">
        <v>60.786999999999999</v>
      </c>
      <c r="C207" s="385"/>
      <c r="D207" s="388">
        <f t="shared" ref="D207:D270" si="89">Wh/(1-Ppv)</f>
        <v>60.980360738852731</v>
      </c>
      <c r="E207" s="380">
        <f t="shared" si="86"/>
        <v>61.973595547282308</v>
      </c>
      <c r="F207" s="380">
        <f t="shared" si="87"/>
        <v>61.973663730586807</v>
      </c>
      <c r="G207" s="110">
        <f t="shared" si="88"/>
        <v>0.97815776528630827</v>
      </c>
      <c r="I207" s="375">
        <f t="shared" ref="I207:I270" si="90">Wh_hp</f>
        <v>61.973663730586807</v>
      </c>
      <c r="J207" s="85">
        <v>2022</v>
      </c>
      <c r="K207" s="193">
        <f t="shared" ref="K207:K270" si="91">t</f>
        <v>44754</v>
      </c>
      <c r="L207" s="431">
        <f t="shared" ref="L207:L270" si="92">IF(t&lt;T0,0,IF(t&lt;Tvie,1-EXP((T0-t)*PertePVj),1-EXP((T0-t)*PertePVj)+Pspv))</f>
        <v>3.1708690553798879E-3</v>
      </c>
      <c r="M207" s="847"/>
      <c r="N207" s="847"/>
      <c r="O207" s="320">
        <f t="shared" ref="O207:O270" si="93">IF(t&lt;T0,0,IF(t&lt;Tnet,Salim_i*(1-EXP((T0-t)/Tau_ij)),Resal+(Salim-Resal)*(1-EXP((Tnet-t)/(Tau_j)))))*Salcycl</f>
        <v>1.6026741706018959E-2</v>
      </c>
      <c r="P207" s="165">
        <f>(INDEX(Models!$BJ207:$BT207,,T207)*(1-R207)+INDEX(Models!$BJ207:$BT207,,T207+1)*R207-ERP_i)*Q207*Ramure*Pc/MaxiM</f>
        <v>1.1356333891965528E-6</v>
      </c>
      <c r="Q207" s="301">
        <f t="shared" ref="Q207:Q270" si="94">IF(OR(t&lt;Ttai,Notai),Dd+PousD*Croivg,Dens+PousD*(Croivg-Croi_tai))</f>
        <v>0.5</v>
      </c>
      <c r="R207" s="173">
        <f t="shared" ref="R207:R270" si="95">(Hp_vg-S207)/(INDEX(Echel_vg,T207+1)-S207)</f>
        <v>0.38798006798204182</v>
      </c>
      <c r="S207" s="802">
        <f t="shared" si="83"/>
        <v>0</v>
      </c>
      <c r="T207" s="172">
        <f t="shared" ref="T207:T270" si="96">MIN(MATCH(Hp_vg,Echel_vg),10)</f>
        <v>6</v>
      </c>
      <c r="U207" s="247">
        <f t="shared" ref="U207:U270" si="97">IF(OR(t&lt;Ttai,Notai),Hdd+PousH*Croivg,Hdtf+PousH*(Croivg-Croi_tai))</f>
        <v>0.38798006798204182</v>
      </c>
      <c r="V207" s="378">
        <f t="shared" ref="V207:V270" si="98">MaxiM*(1-Ppv)*(1-Pvg)*(1-Psa)</f>
        <v>62.144369756342655</v>
      </c>
      <c r="W207" s="58"/>
      <c r="X207" s="153">
        <f t="shared" ref="X207:X270" si="99">t</f>
        <v>44754</v>
      </c>
      <c r="Y207" s="380">
        <f t="shared" ref="Y207:Y270" si="100">Wh_pvt_s*(1-Ppv)</f>
        <v>60.786999999999999</v>
      </c>
      <c r="Z207" s="380">
        <f t="shared" ref="Z207:Z270" si="101">Wh_sa_s*(1-Psa_s)</f>
        <v>60.980360738852731</v>
      </c>
      <c r="AA207" s="381">
        <f t="shared" ref="AA207:AA270" si="102">Wh_hp*(1-Pvg_s*MEDIAN((-Sdif+Wh/Env_an)/Csdif,0,1))</f>
        <v>61.973595547282308</v>
      </c>
      <c r="AB207" s="193">
        <f t="shared" ref="AB207:AB270" si="103">t</f>
        <v>44754</v>
      </c>
      <c r="AC207" s="420">
        <f t="shared" ref="AC207:AC270" si="104">IF(t&lt;T0,0,IF(OR(t&lt;Tnet,NoTnet),Salim_i*(1-EXP((T0-t)/Tau_ij)),Resal_s+(Salim-Resal_s)*(1-EXP((Tnet_s-t)/Tau_j))))*Salcycl</f>
        <v>1.6026741706018959E-2</v>
      </c>
      <c r="AD207" s="165">
        <f>(INDEX(Models!$BJ207:$BT207,,AH207)*(1-AF207)+INDEX(Models!$BJ207:$BT207,,AH207+1)*AF207-ERP_i)*AE207*Ramure*Pc/MaxiM</f>
        <v>1.1356333891965528E-6</v>
      </c>
      <c r="AE207" s="301">
        <f t="shared" ref="AE207:AE270" si="105">Dd+PousD*Croivg</f>
        <v>0.5</v>
      </c>
      <c r="AF207" s="173">
        <f t="shared" ref="AF207:AF270" si="106">(Hp_vg_s-AG207)/(INDEX(Echel_vg,AH207+1)-AG207)</f>
        <v>0.38798006798204182</v>
      </c>
      <c r="AG207" s="802">
        <f t="shared" ref="AG207:AG270" si="107">INDEX(Echel_vg,AH207)</f>
        <v>0</v>
      </c>
      <c r="AH207" s="172">
        <f t="shared" ref="AH207:AH270" si="108">MIN(MATCH(Hp_vg_s,Echel_vg),10)</f>
        <v>6</v>
      </c>
      <c r="AI207" s="221">
        <f t="shared" ref="AI207:AI270" si="109">Hdd+PousH*Croivg</f>
        <v>0.38798006798204182</v>
      </c>
      <c r="AJ207" s="261" t="b">
        <f t="shared" ref="AJ207:AJ270" si="110">t&lt;Tnet</f>
        <v>0</v>
      </c>
      <c r="AK207" s="261" t="b">
        <f t="shared" ref="AK207:AK270" si="111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12">A207+1</f>
        <v>44755</v>
      </c>
      <c r="B208" s="610">
        <v>59.582000000000001</v>
      </c>
      <c r="C208" s="385"/>
      <c r="D208" s="388">
        <f t="shared" si="89"/>
        <v>59.772345920758319</v>
      </c>
      <c r="E208" s="380">
        <f t="shared" si="86"/>
        <v>60.749832279268901</v>
      </c>
      <c r="F208" s="380">
        <f t="shared" si="87"/>
        <v>60.749902162317959</v>
      </c>
      <c r="G208" s="110">
        <f t="shared" si="88"/>
        <v>0.9608650664403493</v>
      </c>
      <c r="I208" s="375">
        <f t="shared" si="90"/>
        <v>60.749902162317959</v>
      </c>
      <c r="J208" s="85">
        <v>2022</v>
      </c>
      <c r="K208" s="193">
        <f t="shared" si="91"/>
        <v>44755</v>
      </c>
      <c r="L208" s="431">
        <f t="shared" si="92"/>
        <v>3.1845148090835496E-3</v>
      </c>
      <c r="M208" s="847"/>
      <c r="N208" s="847"/>
      <c r="O208" s="320">
        <f t="shared" si="93"/>
        <v>1.609035485097389E-2</v>
      </c>
      <c r="P208" s="165">
        <f>(INDEX(Models!$BJ208:$BT208,,T208)*(1-R208)+INDEX(Models!$BJ208:$BT208,,T208+1)*R208-ERP_i)*Q208*Ramure*Pc/MaxiM</f>
        <v>1.2184605257958818E-6</v>
      </c>
      <c r="Q208" s="301">
        <f t="shared" si="94"/>
        <v>0.5</v>
      </c>
      <c r="R208" s="173">
        <f t="shared" si="95"/>
        <v>0.39137367719938726</v>
      </c>
      <c r="S208" s="802">
        <f t="shared" ref="S208:S271" si="113">INDEX(Echel_vg,T208)</f>
        <v>0</v>
      </c>
      <c r="T208" s="172">
        <f t="shared" si="96"/>
        <v>6</v>
      </c>
      <c r="U208" s="247">
        <f t="shared" si="97"/>
        <v>0.39137367719938726</v>
      </c>
      <c r="V208" s="378">
        <f t="shared" si="98"/>
        <v>62.008702389372893</v>
      </c>
      <c r="W208" s="58"/>
      <c r="X208" s="153">
        <f t="shared" si="99"/>
        <v>44755</v>
      </c>
      <c r="Y208" s="380">
        <f t="shared" si="100"/>
        <v>59.582000000000001</v>
      </c>
      <c r="Z208" s="380">
        <f t="shared" si="101"/>
        <v>59.772345920758319</v>
      </c>
      <c r="AA208" s="381">
        <f t="shared" si="102"/>
        <v>60.749832279268901</v>
      </c>
      <c r="AB208" s="193">
        <f t="shared" si="103"/>
        <v>44755</v>
      </c>
      <c r="AC208" s="420">
        <f t="shared" si="104"/>
        <v>1.609035485097389E-2</v>
      </c>
      <c r="AD208" s="165">
        <f>(INDEX(Models!$BJ208:$BT208,,AH208)*(1-AF208)+INDEX(Models!$BJ208:$BT208,,AH208+1)*AF208-ERP_i)*AE208*Ramure*Pc/MaxiM</f>
        <v>1.2184605257958818E-6</v>
      </c>
      <c r="AE208" s="301">
        <f t="shared" si="105"/>
        <v>0.5</v>
      </c>
      <c r="AF208" s="173">
        <f t="shared" si="106"/>
        <v>0.39137367719938726</v>
      </c>
      <c r="AG208" s="802">
        <f t="shared" si="107"/>
        <v>0</v>
      </c>
      <c r="AH208" s="172">
        <f t="shared" si="108"/>
        <v>6</v>
      </c>
      <c r="AI208" s="221">
        <f t="shared" si="109"/>
        <v>0.39137367719938726</v>
      </c>
      <c r="AJ208" s="261" t="b">
        <f t="shared" si="110"/>
        <v>0</v>
      </c>
      <c r="AK208" s="261" t="b">
        <f t="shared" si="111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12"/>
        <v>44756</v>
      </c>
      <c r="B209" s="610">
        <v>59.422000000000004</v>
      </c>
      <c r="C209" s="385"/>
      <c r="D209" s="388">
        <f t="shared" si="89"/>
        <v>59.612650817752971</v>
      </c>
      <c r="E209" s="380">
        <f t="shared" si="86"/>
        <v>60.59143058876878</v>
      </c>
      <c r="F209" s="380">
        <f t="shared" si="87"/>
        <v>60.591505110474671</v>
      </c>
      <c r="G209" s="110">
        <f t="shared" si="88"/>
        <v>0.96044532487327849</v>
      </c>
      <c r="I209" s="375">
        <f t="shared" si="90"/>
        <v>60.591505110474671</v>
      </c>
      <c r="J209" s="85">
        <v>2022</v>
      </c>
      <c r="K209" s="193">
        <f t="shared" si="91"/>
        <v>44756</v>
      </c>
      <c r="L209" s="431">
        <f t="shared" si="92"/>
        <v>3.1981603759883015E-3</v>
      </c>
      <c r="M209" s="847"/>
      <c r="N209" s="847"/>
      <c r="O209" s="320">
        <f t="shared" si="93"/>
        <v>1.6153765664632329E-2</v>
      </c>
      <c r="P209" s="165">
        <f>(INDEX(Models!$BJ209:$BT209,,T209)*(1-R209)+INDEX(Models!$BJ209:$BT209,,T209+1)*R209-ERP_i)*Q209*Ramure*Pc/MaxiM</f>
        <v>1.3035634363532975E-6</v>
      </c>
      <c r="Q209" s="301">
        <f t="shared" si="94"/>
        <v>0.5</v>
      </c>
      <c r="R209" s="173">
        <f t="shared" si="95"/>
        <v>0.39468596299752018</v>
      </c>
      <c r="S209" s="802">
        <f t="shared" si="113"/>
        <v>0</v>
      </c>
      <c r="T209" s="172">
        <f t="shared" si="96"/>
        <v>6</v>
      </c>
      <c r="U209" s="247">
        <f t="shared" si="97"/>
        <v>0.39468596299752018</v>
      </c>
      <c r="V209" s="378">
        <f t="shared" si="98"/>
        <v>61.869212212382529</v>
      </c>
      <c r="W209" s="58"/>
      <c r="X209" s="153">
        <f t="shared" si="99"/>
        <v>44756</v>
      </c>
      <c r="Y209" s="380">
        <f t="shared" si="100"/>
        <v>59.422000000000004</v>
      </c>
      <c r="Z209" s="380">
        <f t="shared" si="101"/>
        <v>59.612650817752971</v>
      </c>
      <c r="AA209" s="381">
        <f t="shared" si="102"/>
        <v>60.59143058876878</v>
      </c>
      <c r="AB209" s="193">
        <f t="shared" si="103"/>
        <v>44756</v>
      </c>
      <c r="AC209" s="420">
        <f t="shared" si="104"/>
        <v>1.6153765664632329E-2</v>
      </c>
      <c r="AD209" s="165">
        <f>(INDEX(Models!$BJ209:$BT209,,AH209)*(1-AF209)+INDEX(Models!$BJ209:$BT209,,AH209+1)*AF209-ERP_i)*AE209*Ramure*Pc/MaxiM</f>
        <v>1.3035634363532975E-6</v>
      </c>
      <c r="AE209" s="301">
        <f t="shared" si="105"/>
        <v>0.5</v>
      </c>
      <c r="AF209" s="173">
        <f t="shared" si="106"/>
        <v>0.39468596299752018</v>
      </c>
      <c r="AG209" s="802">
        <f t="shared" si="107"/>
        <v>0</v>
      </c>
      <c r="AH209" s="172">
        <f t="shared" si="108"/>
        <v>6</v>
      </c>
      <c r="AI209" s="221">
        <f t="shared" si="109"/>
        <v>0.39468596299752018</v>
      </c>
      <c r="AJ209" s="261" t="b">
        <f t="shared" si="110"/>
        <v>0</v>
      </c>
      <c r="AK209" s="261" t="b">
        <f t="shared" si="111"/>
        <v>0</v>
      </c>
      <c r="AL209" s="261"/>
      <c r="AM209" s="261"/>
      <c r="AN209" s="75"/>
    </row>
    <row r="210" spans="1:40" s="6" customFormat="1" ht="11.25" x14ac:dyDescent="0.2">
      <c r="A210" s="56">
        <f t="shared" si="112"/>
        <v>44757</v>
      </c>
      <c r="B210" s="610">
        <v>56.800000000000004</v>
      </c>
      <c r="C210" s="385"/>
      <c r="D210" s="388">
        <f t="shared" si="89"/>
        <v>56.983018386453381</v>
      </c>
      <c r="E210" s="380">
        <f t="shared" si="86"/>
        <v>57.92234391634679</v>
      </c>
      <c r="F210" s="380">
        <f t="shared" si="87"/>
        <v>57.922415298819374</v>
      </c>
      <c r="G210" s="110">
        <f t="shared" si="88"/>
        <v>0.92020024723409855</v>
      </c>
      <c r="I210" s="375">
        <f t="shared" si="90"/>
        <v>57.922415298819374</v>
      </c>
      <c r="J210" s="85">
        <v>2022</v>
      </c>
      <c r="K210" s="193">
        <f t="shared" si="91"/>
        <v>44757</v>
      </c>
      <c r="L210" s="431">
        <f t="shared" si="92"/>
        <v>3.2118057560966973E-3</v>
      </c>
      <c r="M210" s="847"/>
      <c r="N210" s="847"/>
      <c r="O210" s="320">
        <f t="shared" si="93"/>
        <v>1.6216980639630417E-2</v>
      </c>
      <c r="P210" s="165">
        <f>(INDEX(Models!$BJ210:$BT210,,T210)*(1-R210)+INDEX(Models!$BJ210:$BT210,,T210+1)*R210-ERP_i)*Q210*Ramure*Pc/MaxiM</f>
        <v>1.390948104051574E-6</v>
      </c>
      <c r="Q210" s="301">
        <f t="shared" si="94"/>
        <v>0.5</v>
      </c>
      <c r="R210" s="173">
        <f t="shared" si="95"/>
        <v>0.39791711740267255</v>
      </c>
      <c r="S210" s="802">
        <f t="shared" si="113"/>
        <v>0</v>
      </c>
      <c r="T210" s="172">
        <f t="shared" si="96"/>
        <v>6</v>
      </c>
      <c r="U210" s="247">
        <f t="shared" si="97"/>
        <v>0.39791711740267255</v>
      </c>
      <c r="V210" s="378">
        <f t="shared" si="98"/>
        <v>61.725685429984701</v>
      </c>
      <c r="W210" s="58"/>
      <c r="X210" s="153">
        <f t="shared" si="99"/>
        <v>44757</v>
      </c>
      <c r="Y210" s="380">
        <f t="shared" si="100"/>
        <v>56.800000000000004</v>
      </c>
      <c r="Z210" s="380">
        <f t="shared" si="101"/>
        <v>56.983018386453381</v>
      </c>
      <c r="AA210" s="381">
        <f t="shared" si="102"/>
        <v>57.92234391634679</v>
      </c>
      <c r="AB210" s="193">
        <f t="shared" si="103"/>
        <v>44757</v>
      </c>
      <c r="AC210" s="420">
        <f t="shared" si="104"/>
        <v>1.6216980639630417E-2</v>
      </c>
      <c r="AD210" s="165">
        <f>(INDEX(Models!$BJ210:$BT210,,AH210)*(1-AF210)+INDEX(Models!$BJ210:$BT210,,AH210+1)*AF210-ERP_i)*AE210*Ramure*Pc/MaxiM</f>
        <v>1.390948104051574E-6</v>
      </c>
      <c r="AE210" s="301">
        <f t="shared" si="105"/>
        <v>0.5</v>
      </c>
      <c r="AF210" s="173">
        <f t="shared" si="106"/>
        <v>0.39791711740267255</v>
      </c>
      <c r="AG210" s="802">
        <f t="shared" si="107"/>
        <v>0</v>
      </c>
      <c r="AH210" s="172">
        <f t="shared" si="108"/>
        <v>6</v>
      </c>
      <c r="AI210" s="221">
        <f t="shared" si="109"/>
        <v>0.39791711740267255</v>
      </c>
      <c r="AJ210" s="261" t="b">
        <f t="shared" si="110"/>
        <v>0</v>
      </c>
      <c r="AK210" s="261" t="b">
        <f t="shared" si="111"/>
        <v>0</v>
      </c>
      <c r="AL210" s="261"/>
      <c r="AM210" s="261"/>
      <c r="AN210" s="75"/>
    </row>
    <row r="211" spans="1:40" s="6" customFormat="1" ht="11.25" x14ac:dyDescent="0.2">
      <c r="A211" s="56">
        <f t="shared" si="112"/>
        <v>44758</v>
      </c>
      <c r="B211" s="610">
        <v>57.968000000000004</v>
      </c>
      <c r="C211" s="385"/>
      <c r="D211" s="388">
        <f t="shared" si="89"/>
        <v>58.155577964158063</v>
      </c>
      <c r="E211" s="380">
        <f t="shared" si="86"/>
        <v>59.118019698123021</v>
      </c>
      <c r="F211" s="380">
        <f t="shared" si="87"/>
        <v>59.11809989916042</v>
      </c>
      <c r="G211" s="110">
        <f t="shared" si="88"/>
        <v>0.94137645138913217</v>
      </c>
      <c r="I211" s="375">
        <f t="shared" si="90"/>
        <v>59.11809989916042</v>
      </c>
      <c r="J211" s="85">
        <v>2022</v>
      </c>
      <c r="K211" s="193">
        <f t="shared" si="91"/>
        <v>44758</v>
      </c>
      <c r="L211" s="431">
        <f t="shared" si="92"/>
        <v>3.2254509494112904E-3</v>
      </c>
      <c r="M211" s="847"/>
      <c r="N211" s="847"/>
      <c r="O211" s="320">
        <f t="shared" si="93"/>
        <v>1.6280006314141015E-2</v>
      </c>
      <c r="P211" s="165">
        <f>(INDEX(Models!$BJ211:$BT211,,T211)*(1-R211)+INDEX(Models!$BJ211:$BT211,,T211+1)*R211-ERP_i)*Q211*Ramure*Pc/MaxiM</f>
        <v>1.4806229248314723E-6</v>
      </c>
      <c r="Q211" s="301">
        <f t="shared" si="94"/>
        <v>0.5</v>
      </c>
      <c r="R211" s="173">
        <f t="shared" si="95"/>
        <v>0.40106745676401395</v>
      </c>
      <c r="S211" s="802">
        <f t="shared" si="113"/>
        <v>0</v>
      </c>
      <c r="T211" s="172">
        <f t="shared" si="96"/>
        <v>6</v>
      </c>
      <c r="U211" s="247">
        <f t="shared" si="97"/>
        <v>0.40106745676401395</v>
      </c>
      <c r="V211" s="378">
        <f t="shared" si="98"/>
        <v>61.577908313390338</v>
      </c>
      <c r="W211" s="58"/>
      <c r="X211" s="153">
        <f t="shared" si="99"/>
        <v>44758</v>
      </c>
      <c r="Y211" s="380">
        <f t="shared" si="100"/>
        <v>57.968000000000004</v>
      </c>
      <c r="Z211" s="380">
        <f t="shared" si="101"/>
        <v>58.155577964158063</v>
      </c>
      <c r="AA211" s="381">
        <f t="shared" si="102"/>
        <v>59.118019698123021</v>
      </c>
      <c r="AB211" s="193">
        <f t="shared" si="103"/>
        <v>44758</v>
      </c>
      <c r="AC211" s="420">
        <f t="shared" si="104"/>
        <v>1.6280006314141015E-2</v>
      </c>
      <c r="AD211" s="165">
        <f>(INDEX(Models!$BJ211:$BT211,,AH211)*(1-AF211)+INDEX(Models!$BJ211:$BT211,,AH211+1)*AF211-ERP_i)*AE211*Ramure*Pc/MaxiM</f>
        <v>1.4806229248314723E-6</v>
      </c>
      <c r="AE211" s="301">
        <f t="shared" si="105"/>
        <v>0.5</v>
      </c>
      <c r="AF211" s="173">
        <f t="shared" si="106"/>
        <v>0.40106745676401395</v>
      </c>
      <c r="AG211" s="802">
        <f t="shared" si="107"/>
        <v>0</v>
      </c>
      <c r="AH211" s="172">
        <f t="shared" si="108"/>
        <v>6</v>
      </c>
      <c r="AI211" s="221">
        <f t="shared" si="109"/>
        <v>0.40106745676401395</v>
      </c>
      <c r="AJ211" s="261" t="b">
        <f t="shared" si="110"/>
        <v>0</v>
      </c>
      <c r="AK211" s="261" t="b">
        <f t="shared" si="111"/>
        <v>0</v>
      </c>
      <c r="AL211" s="261"/>
      <c r="AM211" s="261"/>
      <c r="AN211" s="75"/>
    </row>
    <row r="212" spans="1:40" s="6" customFormat="1" ht="11.25" x14ac:dyDescent="0.2">
      <c r="A212" s="56">
        <f t="shared" si="112"/>
        <v>44759</v>
      </c>
      <c r="B212" s="610">
        <v>58.386000000000003</v>
      </c>
      <c r="C212" s="385"/>
      <c r="D212" s="388">
        <f t="shared" si="89"/>
        <v>58.575732417991027</v>
      </c>
      <c r="E212" s="380">
        <f t="shared" si="86"/>
        <v>59.548931629285029</v>
      </c>
      <c r="F212" s="380">
        <f t="shared" si="87"/>
        <v>59.549018604675425</v>
      </c>
      <c r="G212" s="110">
        <f t="shared" si="88"/>
        <v>0.95051459960694673</v>
      </c>
      <c r="I212" s="375">
        <f t="shared" si="90"/>
        <v>59.549018604675425</v>
      </c>
      <c r="J212" s="85">
        <v>2022</v>
      </c>
      <c r="K212" s="193">
        <f t="shared" si="91"/>
        <v>44759</v>
      </c>
      <c r="L212" s="431">
        <f t="shared" si="92"/>
        <v>3.2390959559346344E-3</v>
      </c>
      <c r="M212" s="847"/>
      <c r="N212" s="847"/>
      <c r="O212" s="320">
        <f t="shared" si="93"/>
        <v>1.6342849227800511E-2</v>
      </c>
      <c r="P212" s="165">
        <f>(INDEX(Models!$BJ212:$BT212,,T212)*(1-R212)+INDEX(Models!$BJ212:$BT212,,T212+1)*R212-ERP_i)*Q212*Ramure*Pc/MaxiM</f>
        <v>1.5716748362913767E-6</v>
      </c>
      <c r="Q212" s="301">
        <f t="shared" si="94"/>
        <v>0.5</v>
      </c>
      <c r="R212" s="173">
        <f t="shared" si="95"/>
        <v>0.40413741483059029</v>
      </c>
      <c r="S212" s="802">
        <f t="shared" si="113"/>
        <v>0</v>
      </c>
      <c r="T212" s="172">
        <f t="shared" si="96"/>
        <v>6</v>
      </c>
      <c r="U212" s="247">
        <f t="shared" si="97"/>
        <v>0.40413741483059029</v>
      </c>
      <c r="V212" s="378">
        <f t="shared" si="98"/>
        <v>61.425667251244477</v>
      </c>
      <c r="W212" s="58"/>
      <c r="X212" s="153">
        <f t="shared" si="99"/>
        <v>44759</v>
      </c>
      <c r="Y212" s="380">
        <f t="shared" si="100"/>
        <v>58.386000000000003</v>
      </c>
      <c r="Z212" s="380">
        <f t="shared" si="101"/>
        <v>58.575732417991027</v>
      </c>
      <c r="AA212" s="381">
        <f t="shared" si="102"/>
        <v>59.548931629285029</v>
      </c>
      <c r="AB212" s="193">
        <f t="shared" si="103"/>
        <v>44759</v>
      </c>
      <c r="AC212" s="420">
        <f t="shared" si="104"/>
        <v>1.6342849227800511E-2</v>
      </c>
      <c r="AD212" s="165">
        <f>(INDEX(Models!$BJ212:$BT212,,AH212)*(1-AF212)+INDEX(Models!$BJ212:$BT212,,AH212+1)*AF212-ERP_i)*AE212*Ramure*Pc/MaxiM</f>
        <v>1.5716748362913767E-6</v>
      </c>
      <c r="AE212" s="301">
        <f t="shared" si="105"/>
        <v>0.5</v>
      </c>
      <c r="AF212" s="173">
        <f t="shared" si="106"/>
        <v>0.40413741483059029</v>
      </c>
      <c r="AG212" s="802">
        <f t="shared" si="107"/>
        <v>0</v>
      </c>
      <c r="AH212" s="172">
        <f t="shared" si="108"/>
        <v>6</v>
      </c>
      <c r="AI212" s="221">
        <f t="shared" si="109"/>
        <v>0.40413741483059029</v>
      </c>
      <c r="AJ212" s="261" t="b">
        <f t="shared" si="110"/>
        <v>0</v>
      </c>
      <c r="AK212" s="261" t="b">
        <f t="shared" si="111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12"/>
        <v>44760</v>
      </c>
      <c r="B213" s="610">
        <v>60.167999999999999</v>
      </c>
      <c r="C213" s="385"/>
      <c r="D213" s="388">
        <f t="shared" si="89"/>
        <v>60.364349581279782</v>
      </c>
      <c r="E213" s="380">
        <f t="shared" si="86"/>
        <v>61.371175373382314</v>
      </c>
      <c r="F213" s="380">
        <f t="shared" si="87"/>
        <v>61.371274698126008</v>
      </c>
      <c r="G213" s="110">
        <f t="shared" si="88"/>
        <v>0.98203404800323957</v>
      </c>
      <c r="I213" s="375">
        <f t="shared" si="90"/>
        <v>61.371274698126008</v>
      </c>
      <c r="J213" s="85">
        <v>2022</v>
      </c>
      <c r="K213" s="193">
        <f t="shared" si="91"/>
        <v>44760</v>
      </c>
      <c r="L213" s="431">
        <f t="shared" si="92"/>
        <v>3.2527407756692828E-3</v>
      </c>
      <c r="M213" s="847"/>
      <c r="N213" s="847"/>
      <c r="O213" s="320">
        <f t="shared" si="93"/>
        <v>1.6405515879026292E-2</v>
      </c>
      <c r="P213" s="165">
        <f>(INDEX(Models!$BJ213:$BT213,,T213)*(1-R213)+INDEX(Models!$BJ213:$BT213,,T213+1)*R213-ERP_i)*Q213*Ramure*Pc/MaxiM</f>
        <v>1.6610559716878265E-6</v>
      </c>
      <c r="Q213" s="301">
        <f t="shared" si="94"/>
        <v>0.5</v>
      </c>
      <c r="R213" s="173">
        <f t="shared" si="95"/>
        <v>0.40712753574688071</v>
      </c>
      <c r="S213" s="802">
        <f t="shared" si="113"/>
        <v>0</v>
      </c>
      <c r="T213" s="172">
        <f t="shared" si="96"/>
        <v>6</v>
      </c>
      <c r="U213" s="247">
        <f t="shared" si="97"/>
        <v>0.40712753574688071</v>
      </c>
      <c r="V213" s="378">
        <f t="shared" si="98"/>
        <v>61.268748835393438</v>
      </c>
      <c r="W213" s="58"/>
      <c r="X213" s="153">
        <f t="shared" si="99"/>
        <v>44760</v>
      </c>
      <c r="Y213" s="380">
        <f t="shared" si="100"/>
        <v>60.167999999999999</v>
      </c>
      <c r="Z213" s="380">
        <f t="shared" si="101"/>
        <v>60.364349581279782</v>
      </c>
      <c r="AA213" s="381">
        <f t="shared" si="102"/>
        <v>61.371175373382314</v>
      </c>
      <c r="AB213" s="193">
        <f t="shared" si="103"/>
        <v>44760</v>
      </c>
      <c r="AC213" s="420">
        <f t="shared" si="104"/>
        <v>1.6405515879026292E-2</v>
      </c>
      <c r="AD213" s="165">
        <f>(INDEX(Models!$BJ213:$BT213,,AH213)*(1-AF213)+INDEX(Models!$BJ213:$BT213,,AH213+1)*AF213-ERP_i)*AE213*Ramure*Pc/MaxiM</f>
        <v>1.6610559716878265E-6</v>
      </c>
      <c r="AE213" s="301">
        <f t="shared" si="105"/>
        <v>0.5</v>
      </c>
      <c r="AF213" s="173">
        <f t="shared" si="106"/>
        <v>0.40712753574688071</v>
      </c>
      <c r="AG213" s="802">
        <f t="shared" si="107"/>
        <v>0</v>
      </c>
      <c r="AH213" s="172">
        <f t="shared" si="108"/>
        <v>6</v>
      </c>
      <c r="AI213" s="221">
        <f t="shared" si="109"/>
        <v>0.40712753574688071</v>
      </c>
      <c r="AJ213" s="261" t="b">
        <f t="shared" si="110"/>
        <v>0</v>
      </c>
      <c r="AK213" s="261" t="b">
        <f t="shared" si="111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12"/>
        <v>44761</v>
      </c>
      <c r="B214" s="610">
        <v>44.195</v>
      </c>
      <c r="C214" s="385"/>
      <c r="D214" s="388">
        <f t="shared" si="89"/>
        <v>44.339830976923608</v>
      </c>
      <c r="E214" s="380">
        <f t="shared" si="86"/>
        <v>45.082245975472048</v>
      </c>
      <c r="F214" s="380">
        <f t="shared" si="87"/>
        <v>45.082293640742087</v>
      </c>
      <c r="G214" s="110">
        <f t="shared" si="88"/>
        <v>0.72323977889124491</v>
      </c>
      <c r="I214" s="375">
        <f t="shared" si="90"/>
        <v>45.082293640742087</v>
      </c>
      <c r="J214" s="85">
        <v>2022</v>
      </c>
      <c r="K214" s="193">
        <f t="shared" si="91"/>
        <v>44761</v>
      </c>
      <c r="L214" s="431">
        <f t="shared" si="92"/>
        <v>3.2663854086179001E-3</v>
      </c>
      <c r="M214" s="847"/>
      <c r="N214" s="847"/>
      <c r="O214" s="320">
        <f t="shared" si="93"/>
        <v>1.6468012684025653E-2</v>
      </c>
      <c r="P214" s="165">
        <f>(INDEX(Models!$BJ214:$BT214,,T214)*(1-R214)+INDEX(Models!$BJ214:$BT214,,T214+1)*R214-ERP_i)*Q214*Ramure*Pc/MaxiM</f>
        <v>1.7486669521990517E-6</v>
      </c>
      <c r="Q214" s="301">
        <f t="shared" si="94"/>
        <v>0.5</v>
      </c>
      <c r="R214" s="173">
        <f t="shared" si="95"/>
        <v>0.41003846701244445</v>
      </c>
      <c r="S214" s="802">
        <f t="shared" si="113"/>
        <v>0</v>
      </c>
      <c r="T214" s="172">
        <f t="shared" si="96"/>
        <v>6</v>
      </c>
      <c r="U214" s="247">
        <f t="shared" si="97"/>
        <v>0.41003846701244445</v>
      </c>
      <c r="V214" s="378">
        <f t="shared" si="98"/>
        <v>61.106939544342474</v>
      </c>
      <c r="W214" s="58"/>
      <c r="X214" s="153">
        <f t="shared" si="99"/>
        <v>44761</v>
      </c>
      <c r="Y214" s="380">
        <f t="shared" si="100"/>
        <v>44.195</v>
      </c>
      <c r="Z214" s="380">
        <f t="shared" si="101"/>
        <v>44.339830976923608</v>
      </c>
      <c r="AA214" s="381">
        <f t="shared" si="102"/>
        <v>45.082245975472048</v>
      </c>
      <c r="AB214" s="193">
        <f t="shared" si="103"/>
        <v>44761</v>
      </c>
      <c r="AC214" s="420">
        <f t="shared" si="104"/>
        <v>1.6468012684025653E-2</v>
      </c>
      <c r="AD214" s="165">
        <f>(INDEX(Models!$BJ214:$BT214,,AH214)*(1-AF214)+INDEX(Models!$BJ214:$BT214,,AH214+1)*AF214-ERP_i)*AE214*Ramure*Pc/MaxiM</f>
        <v>1.7486669521990517E-6</v>
      </c>
      <c r="AE214" s="301">
        <f t="shared" si="105"/>
        <v>0.5</v>
      </c>
      <c r="AF214" s="173">
        <f t="shared" si="106"/>
        <v>0.41003846701244445</v>
      </c>
      <c r="AG214" s="802">
        <f t="shared" si="107"/>
        <v>0</v>
      </c>
      <c r="AH214" s="172">
        <f t="shared" si="108"/>
        <v>6</v>
      </c>
      <c r="AI214" s="221">
        <f t="shared" si="109"/>
        <v>0.41003846701244445</v>
      </c>
      <c r="AJ214" s="261" t="b">
        <f t="shared" si="110"/>
        <v>0</v>
      </c>
      <c r="AK214" s="261" t="b">
        <f t="shared" si="111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12"/>
        <v>44762</v>
      </c>
      <c r="B215" s="610">
        <v>41.500999999999998</v>
      </c>
      <c r="C215" s="385"/>
      <c r="D215" s="388">
        <f t="shared" si="89"/>
        <v>41.637572480817767</v>
      </c>
      <c r="E215" s="380">
        <f t="shared" si="86"/>
        <v>42.337424758185115</v>
      </c>
      <c r="F215" s="380">
        <f t="shared" si="87"/>
        <v>42.337467031367346</v>
      </c>
      <c r="G215" s="110">
        <f t="shared" si="88"/>
        <v>0.68101325323779016</v>
      </c>
      <c r="I215" s="375">
        <f t="shared" si="90"/>
        <v>42.337467031367346</v>
      </c>
      <c r="J215" s="85">
        <v>2022</v>
      </c>
      <c r="K215" s="193">
        <f t="shared" si="91"/>
        <v>44762</v>
      </c>
      <c r="L215" s="431">
        <f t="shared" si="92"/>
        <v>3.2800298547829287E-3</v>
      </c>
      <c r="M215" s="847"/>
      <c r="N215" s="847"/>
      <c r="O215" s="320">
        <f t="shared" si="93"/>
        <v>1.653034593777564E-2</v>
      </c>
      <c r="P215" s="165">
        <f>(INDEX(Models!$BJ215:$BT215,,T215)*(1-R215)+INDEX(Models!$BJ215:$BT215,,T215+1)*R215-ERP_i)*Q215*Ramure*Pc/MaxiM</f>
        <v>1.8344140959649363E-6</v>
      </c>
      <c r="Q215" s="301">
        <f t="shared" si="94"/>
        <v>0.5</v>
      </c>
      <c r="R215" s="173">
        <f t="shared" si="95"/>
        <v>0.41287095244787958</v>
      </c>
      <c r="S215" s="802">
        <f t="shared" si="113"/>
        <v>0</v>
      </c>
      <c r="T215" s="172">
        <f t="shared" si="96"/>
        <v>6</v>
      </c>
      <c r="U215" s="247">
        <f t="shared" si="97"/>
        <v>0.41287095244787958</v>
      </c>
      <c r="V215" s="378">
        <f t="shared" si="98"/>
        <v>60.940025925516466</v>
      </c>
      <c r="W215" s="58"/>
      <c r="X215" s="153">
        <f t="shared" si="99"/>
        <v>44762</v>
      </c>
      <c r="Y215" s="380">
        <f t="shared" si="100"/>
        <v>41.500999999999998</v>
      </c>
      <c r="Z215" s="380">
        <f t="shared" si="101"/>
        <v>41.637572480817767</v>
      </c>
      <c r="AA215" s="381">
        <f t="shared" si="102"/>
        <v>42.337424758185115</v>
      </c>
      <c r="AB215" s="193">
        <f t="shared" si="103"/>
        <v>44762</v>
      </c>
      <c r="AC215" s="420">
        <f t="shared" si="104"/>
        <v>1.653034593777564E-2</v>
      </c>
      <c r="AD215" s="165">
        <f>(INDEX(Models!$BJ215:$BT215,,AH215)*(1-AF215)+INDEX(Models!$BJ215:$BT215,,AH215+1)*AF215-ERP_i)*AE215*Ramure*Pc/MaxiM</f>
        <v>1.8344140959649363E-6</v>
      </c>
      <c r="AE215" s="301">
        <f t="shared" si="105"/>
        <v>0.5</v>
      </c>
      <c r="AF215" s="173">
        <f t="shared" si="106"/>
        <v>0.41287095244787958</v>
      </c>
      <c r="AG215" s="802">
        <f t="shared" si="107"/>
        <v>0</v>
      </c>
      <c r="AH215" s="172">
        <f t="shared" si="108"/>
        <v>6</v>
      </c>
      <c r="AI215" s="221">
        <f t="shared" si="109"/>
        <v>0.41287095244787958</v>
      </c>
      <c r="AJ215" s="261" t="b">
        <f t="shared" si="110"/>
        <v>0</v>
      </c>
      <c r="AK215" s="261" t="b">
        <f t="shared" si="111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12"/>
        <v>44763</v>
      </c>
      <c r="B216" s="610">
        <v>57.265999999999998</v>
      </c>
      <c r="C216" s="385"/>
      <c r="D216" s="388">
        <f t="shared" si="89"/>
        <v>57.455238832867082</v>
      </c>
      <c r="E216" s="380">
        <f t="shared" si="86"/>
        <v>58.424651129052975</v>
      </c>
      <c r="F216" s="380">
        <f t="shared" si="87"/>
        <v>58.424753973984458</v>
      </c>
      <c r="G216" s="110">
        <f t="shared" si="88"/>
        <v>0.94237402113099733</v>
      </c>
      <c r="I216" s="375">
        <f t="shared" si="90"/>
        <v>58.424753973984458</v>
      </c>
      <c r="J216" s="85">
        <v>2022</v>
      </c>
      <c r="K216" s="193">
        <f t="shared" si="91"/>
        <v>44763</v>
      </c>
      <c r="L216" s="431">
        <f t="shared" si="92"/>
        <v>3.2936741141668113E-3</v>
      </c>
      <c r="M216" s="847"/>
      <c r="N216" s="847"/>
      <c r="O216" s="320">
        <f t="shared" si="93"/>
        <v>1.6592521777230234E-2</v>
      </c>
      <c r="P216" s="165">
        <f>(INDEX(Models!$BJ216:$BT216,,T216)*(1-R216)+INDEX(Models!$BJ216:$BT216,,T216+1)*R216-ERP_i)*Q216*Ramure*Pc/MaxiM</f>
        <v>1.9182092080256652E-6</v>
      </c>
      <c r="Q216" s="301">
        <f t="shared" si="94"/>
        <v>0.5</v>
      </c>
      <c r="R216" s="173">
        <f t="shared" si="95"/>
        <v>0.41562582520593955</v>
      </c>
      <c r="S216" s="802">
        <f t="shared" si="113"/>
        <v>0</v>
      </c>
      <c r="T216" s="172">
        <f t="shared" si="96"/>
        <v>6</v>
      </c>
      <c r="U216" s="247">
        <f t="shared" si="97"/>
        <v>0.41562582520593955</v>
      </c>
      <c r="V216" s="378">
        <f t="shared" si="98"/>
        <v>60.767794604808245</v>
      </c>
      <c r="W216" s="58"/>
      <c r="X216" s="153">
        <f t="shared" si="99"/>
        <v>44763</v>
      </c>
      <c r="Y216" s="380">
        <f t="shared" si="100"/>
        <v>57.265999999999998</v>
      </c>
      <c r="Z216" s="380">
        <f t="shared" si="101"/>
        <v>57.455238832867082</v>
      </c>
      <c r="AA216" s="381">
        <f t="shared" si="102"/>
        <v>58.424651129052975</v>
      </c>
      <c r="AB216" s="193">
        <f t="shared" si="103"/>
        <v>44763</v>
      </c>
      <c r="AC216" s="420">
        <f t="shared" si="104"/>
        <v>1.6592521777230234E-2</v>
      </c>
      <c r="AD216" s="165">
        <f>(INDEX(Models!$BJ216:$BT216,,AH216)*(1-AF216)+INDEX(Models!$BJ216:$BT216,,AH216+1)*AF216-ERP_i)*AE216*Ramure*Pc/MaxiM</f>
        <v>1.9182092080256652E-6</v>
      </c>
      <c r="AE216" s="301">
        <f t="shared" si="105"/>
        <v>0.5</v>
      </c>
      <c r="AF216" s="173">
        <f t="shared" si="106"/>
        <v>0.41562582520593955</v>
      </c>
      <c r="AG216" s="802">
        <f t="shared" si="107"/>
        <v>0</v>
      </c>
      <c r="AH216" s="172">
        <f t="shared" si="108"/>
        <v>6</v>
      </c>
      <c r="AI216" s="221">
        <f t="shared" si="109"/>
        <v>0.41562582520593955</v>
      </c>
      <c r="AJ216" s="261" t="b">
        <f t="shared" si="110"/>
        <v>0</v>
      </c>
      <c r="AK216" s="261" t="b">
        <f t="shared" si="111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12"/>
        <v>44764</v>
      </c>
      <c r="B217" s="610">
        <v>49.183999999999997</v>
      </c>
      <c r="C217" s="385"/>
      <c r="D217" s="388">
        <f t="shared" si="89"/>
        <v>49.347206914896056</v>
      </c>
      <c r="E217" s="380">
        <f t="shared" si="86"/>
        <v>50.182981699402049</v>
      </c>
      <c r="F217" s="380">
        <f t="shared" si="87"/>
        <v>50.183055073170451</v>
      </c>
      <c r="G217" s="110">
        <f t="shared" si="88"/>
        <v>0.81175024489745151</v>
      </c>
      <c r="I217" s="375">
        <f t="shared" si="90"/>
        <v>50.183055073170451</v>
      </c>
      <c r="J217" s="85">
        <v>2022</v>
      </c>
      <c r="K217" s="193">
        <f t="shared" si="91"/>
        <v>44764</v>
      </c>
      <c r="L217" s="431">
        <f t="shared" si="92"/>
        <v>3.3073181867724344E-3</v>
      </c>
      <c r="M217" s="847"/>
      <c r="N217" s="847"/>
      <c r="O217" s="320">
        <f t="shared" si="93"/>
        <v>1.6654546146984965E-2</v>
      </c>
      <c r="P217" s="165">
        <f>(INDEX(Models!$BJ217:$BT217,,T217)*(1-R217)+INDEX(Models!$BJ217:$BT217,,T217+1)*R217-ERP_i)*Q217*Ramure*Pc/MaxiM</f>
        <v>1.9999693399819735E-6</v>
      </c>
      <c r="Q217" s="301">
        <f t="shared" si="94"/>
        <v>0.5</v>
      </c>
      <c r="R217" s="173">
        <f t="shared" si="95"/>
        <v>0.41830400086321867</v>
      </c>
      <c r="S217" s="802">
        <f t="shared" si="113"/>
        <v>0</v>
      </c>
      <c r="T217" s="172">
        <f t="shared" si="96"/>
        <v>6</v>
      </c>
      <c r="U217" s="247">
        <f t="shared" si="97"/>
        <v>0.41830400086321867</v>
      </c>
      <c r="V217" s="378">
        <f t="shared" si="98"/>
        <v>60.590032285990041</v>
      </c>
      <c r="W217" s="58"/>
      <c r="X217" s="153">
        <f t="shared" si="99"/>
        <v>44764</v>
      </c>
      <c r="Y217" s="380">
        <f t="shared" si="100"/>
        <v>49.183999999999997</v>
      </c>
      <c r="Z217" s="380">
        <f t="shared" si="101"/>
        <v>49.347206914896056</v>
      </c>
      <c r="AA217" s="381">
        <f t="shared" si="102"/>
        <v>50.182981699402049</v>
      </c>
      <c r="AB217" s="193">
        <f t="shared" si="103"/>
        <v>44764</v>
      </c>
      <c r="AC217" s="420">
        <f t="shared" si="104"/>
        <v>1.6654546146984965E-2</v>
      </c>
      <c r="AD217" s="165">
        <f>(INDEX(Models!$BJ217:$BT217,,AH217)*(1-AF217)+INDEX(Models!$BJ217:$BT217,,AH217+1)*AF217-ERP_i)*AE217*Ramure*Pc/MaxiM</f>
        <v>1.9999693399819735E-6</v>
      </c>
      <c r="AE217" s="301">
        <f t="shared" si="105"/>
        <v>0.5</v>
      </c>
      <c r="AF217" s="173">
        <f t="shared" si="106"/>
        <v>0.41830400086321867</v>
      </c>
      <c r="AG217" s="802">
        <f t="shared" si="107"/>
        <v>0</v>
      </c>
      <c r="AH217" s="172">
        <f t="shared" si="108"/>
        <v>6</v>
      </c>
      <c r="AI217" s="221">
        <f t="shared" si="109"/>
        <v>0.41830400086321867</v>
      </c>
      <c r="AJ217" s="261" t="b">
        <f t="shared" si="110"/>
        <v>0</v>
      </c>
      <c r="AK217" s="261" t="b">
        <f t="shared" si="111"/>
        <v>0</v>
      </c>
      <c r="AL217" s="261"/>
      <c r="AM217" s="261"/>
      <c r="AN217" s="75"/>
    </row>
    <row r="218" spans="1:40" s="6" customFormat="1" ht="11.25" x14ac:dyDescent="0.2">
      <c r="A218" s="56">
        <f t="shared" si="112"/>
        <v>44765</v>
      </c>
      <c r="B218" s="610">
        <v>46.539000000000001</v>
      </c>
      <c r="C218" s="385"/>
      <c r="D218" s="388">
        <f t="shared" si="89"/>
        <v>46.694069232938041</v>
      </c>
      <c r="E218" s="380">
        <f t="shared" si="86"/>
        <v>47.487897092048861</v>
      </c>
      <c r="F218" s="380">
        <f t="shared" si="87"/>
        <v>47.487963460820495</v>
      </c>
      <c r="G218" s="110">
        <f t="shared" si="88"/>
        <v>0.77042948068930261</v>
      </c>
      <c r="I218" s="375">
        <f t="shared" si="90"/>
        <v>47.487963460820495</v>
      </c>
      <c r="J218" s="85">
        <v>2022</v>
      </c>
      <c r="K218" s="193">
        <f t="shared" si="91"/>
        <v>44765</v>
      </c>
      <c r="L218" s="431">
        <f t="shared" si="92"/>
        <v>3.3209620726020184E-3</v>
      </c>
      <c r="M218" s="847"/>
      <c r="N218" s="847"/>
      <c r="O218" s="320">
        <f t="shared" si="93"/>
        <v>1.6716424767601133E-2</v>
      </c>
      <c r="P218" s="165">
        <f>(INDEX(Models!$BJ218:$BT218,,T218)*(1-R218)+INDEX(Models!$BJ218:$BT218,,T218+1)*R218-ERP_i)*Q218*Ramure*Pc/MaxiM</f>
        <v>2.0796165233358378E-6</v>
      </c>
      <c r="Q218" s="301">
        <f t="shared" si="94"/>
        <v>0.5</v>
      </c>
      <c r="R218" s="173">
        <f t="shared" si="95"/>
        <v>0.42090647062435077</v>
      </c>
      <c r="S218" s="802">
        <f t="shared" si="113"/>
        <v>0</v>
      </c>
      <c r="T218" s="172">
        <f t="shared" si="96"/>
        <v>6</v>
      </c>
      <c r="U218" s="247">
        <f t="shared" si="97"/>
        <v>0.42090647062435077</v>
      </c>
      <c r="V218" s="378">
        <f t="shared" si="98"/>
        <v>60.406525743994507</v>
      </c>
      <c r="W218" s="58"/>
      <c r="X218" s="153">
        <f t="shared" si="99"/>
        <v>44765</v>
      </c>
      <c r="Y218" s="380">
        <f t="shared" si="100"/>
        <v>46.539000000000001</v>
      </c>
      <c r="Z218" s="380">
        <f t="shared" si="101"/>
        <v>46.694069232938041</v>
      </c>
      <c r="AA218" s="381">
        <f t="shared" si="102"/>
        <v>47.487897092048861</v>
      </c>
      <c r="AB218" s="193">
        <f t="shared" si="103"/>
        <v>44765</v>
      </c>
      <c r="AC218" s="420">
        <f t="shared" si="104"/>
        <v>1.6716424767601133E-2</v>
      </c>
      <c r="AD218" s="165">
        <f>(INDEX(Models!$BJ218:$BT218,,AH218)*(1-AF218)+INDEX(Models!$BJ218:$BT218,,AH218+1)*AF218-ERP_i)*AE218*Ramure*Pc/MaxiM</f>
        <v>2.0796165233358378E-6</v>
      </c>
      <c r="AE218" s="301">
        <f t="shared" si="105"/>
        <v>0.5</v>
      </c>
      <c r="AF218" s="173">
        <f t="shared" si="106"/>
        <v>0.42090647062435077</v>
      </c>
      <c r="AG218" s="802">
        <f t="shared" si="107"/>
        <v>0</v>
      </c>
      <c r="AH218" s="172">
        <f t="shared" si="108"/>
        <v>6</v>
      </c>
      <c r="AI218" s="221">
        <f t="shared" si="109"/>
        <v>0.42090647062435077</v>
      </c>
      <c r="AJ218" s="261" t="b">
        <f t="shared" si="110"/>
        <v>0</v>
      </c>
      <c r="AK218" s="261" t="b">
        <f t="shared" si="111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12"/>
        <v>44766</v>
      </c>
      <c r="B219" s="610">
        <v>56.661000000000001</v>
      </c>
      <c r="C219" s="385"/>
      <c r="D219" s="388">
        <f t="shared" si="89"/>
        <v>56.850574253026231</v>
      </c>
      <c r="E219" s="380">
        <f t="shared" si="86"/>
        <v>57.820699378139707</v>
      </c>
      <c r="F219" s="380">
        <f t="shared" si="87"/>
        <v>57.820813582801875</v>
      </c>
      <c r="G219" s="110">
        <f t="shared" si="88"/>
        <v>0.94095552714109032</v>
      </c>
      <c r="I219" s="375">
        <f t="shared" si="90"/>
        <v>57.820813582801875</v>
      </c>
      <c r="J219" s="85">
        <v>2022</v>
      </c>
      <c r="K219" s="193">
        <f t="shared" si="91"/>
        <v>44766</v>
      </c>
      <c r="L219" s="431">
        <f t="shared" si="92"/>
        <v>3.3346057716583388E-3</v>
      </c>
      <c r="M219" s="847"/>
      <c r="N219" s="847"/>
      <c r="O219" s="320">
        <f t="shared" si="93"/>
        <v>1.6778163106761917E-2</v>
      </c>
      <c r="P219" s="165">
        <f>(INDEX(Models!$BJ219:$BT219,,T219)*(1-R219)+INDEX(Models!$BJ219:$BT219,,T219+1)*R219-ERP_i)*Q219*Ramure*Pc/MaxiM</f>
        <v>2.1570969376007343E-6</v>
      </c>
      <c r="Q219" s="301">
        <f t="shared" si="94"/>
        <v>0.5</v>
      </c>
      <c r="R219" s="173">
        <f t="shared" si="95"/>
        <v>0.42343429466722804</v>
      </c>
      <c r="S219" s="802">
        <f t="shared" si="113"/>
        <v>0</v>
      </c>
      <c r="T219" s="172">
        <f t="shared" si="96"/>
        <v>6</v>
      </c>
      <c r="U219" s="247">
        <f t="shared" si="97"/>
        <v>0.42343429466722804</v>
      </c>
      <c r="V219" s="378">
        <f t="shared" si="98"/>
        <v>60.216437500210176</v>
      </c>
      <c r="W219" s="58"/>
      <c r="X219" s="153">
        <f t="shared" si="99"/>
        <v>44766</v>
      </c>
      <c r="Y219" s="380">
        <f t="shared" si="100"/>
        <v>56.661000000000001</v>
      </c>
      <c r="Z219" s="380">
        <f t="shared" si="101"/>
        <v>56.850574253026231</v>
      </c>
      <c r="AA219" s="381">
        <f t="shared" si="102"/>
        <v>57.820699378139707</v>
      </c>
      <c r="AB219" s="193">
        <f t="shared" si="103"/>
        <v>44766</v>
      </c>
      <c r="AC219" s="420">
        <f t="shared" si="104"/>
        <v>1.6778163106761917E-2</v>
      </c>
      <c r="AD219" s="165">
        <f>(INDEX(Models!$BJ219:$BT219,,AH219)*(1-AF219)+INDEX(Models!$BJ219:$BT219,,AH219+1)*AF219-ERP_i)*AE219*Ramure*Pc/MaxiM</f>
        <v>2.1570969376007343E-6</v>
      </c>
      <c r="AE219" s="301">
        <f t="shared" si="105"/>
        <v>0.5</v>
      </c>
      <c r="AF219" s="173">
        <f t="shared" si="106"/>
        <v>0.42343429466722804</v>
      </c>
      <c r="AG219" s="802">
        <f t="shared" si="107"/>
        <v>0</v>
      </c>
      <c r="AH219" s="172">
        <f t="shared" si="108"/>
        <v>6</v>
      </c>
      <c r="AI219" s="221">
        <f t="shared" si="109"/>
        <v>0.42343429466722804</v>
      </c>
      <c r="AJ219" s="261" t="b">
        <f t="shared" si="110"/>
        <v>0</v>
      </c>
      <c r="AK219" s="261" t="b">
        <f t="shared" si="111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12"/>
        <v>44767</v>
      </c>
      <c r="B220" s="610">
        <v>29.891000000000002</v>
      </c>
      <c r="C220" s="385"/>
      <c r="D220" s="388">
        <f t="shared" si="89"/>
        <v>29.9914187463419</v>
      </c>
      <c r="E220" s="380">
        <f t="shared" si="86"/>
        <v>30.505117802722733</v>
      </c>
      <c r="F220" s="380">
        <f t="shared" si="87"/>
        <v>30.505137185195856</v>
      </c>
      <c r="G220" s="110">
        <f t="shared" si="88"/>
        <v>0.49802126368242788</v>
      </c>
      <c r="I220" s="375">
        <f t="shared" si="90"/>
        <v>30.505137185195856</v>
      </c>
      <c r="J220" s="85">
        <v>2022</v>
      </c>
      <c r="K220" s="193">
        <f t="shared" si="91"/>
        <v>44767</v>
      </c>
      <c r="L220" s="431">
        <f t="shared" si="92"/>
        <v>3.3482492839438383E-3</v>
      </c>
      <c r="M220" s="847"/>
      <c r="N220" s="847"/>
      <c r="O220" s="320">
        <f t="shared" si="93"/>
        <v>1.6839766353401304E-2</v>
      </c>
      <c r="P220" s="165">
        <f>(INDEX(Models!$BJ220:$BT220,,T220)*(1-R220)+INDEX(Models!$BJ220:$BT220,,T220+1)*R220-ERP_i)*Q220*Ramure*Pc/MaxiM</f>
        <v>2.2460564189484432E-6</v>
      </c>
      <c r="Q220" s="301">
        <f t="shared" si="94"/>
        <v>0.5</v>
      </c>
      <c r="R220" s="173">
        <f t="shared" si="95"/>
        <v>0.42588859565436304</v>
      </c>
      <c r="S220" s="802">
        <f t="shared" si="113"/>
        <v>0</v>
      </c>
      <c r="T220" s="172">
        <f t="shared" si="96"/>
        <v>6</v>
      </c>
      <c r="U220" s="247">
        <f t="shared" si="97"/>
        <v>0.42588859565436304</v>
      </c>
      <c r="V220" s="378">
        <f t="shared" si="98"/>
        <v>60.019428958394293</v>
      </c>
      <c r="W220" s="58"/>
      <c r="X220" s="153">
        <f t="shared" si="99"/>
        <v>44767</v>
      </c>
      <c r="Y220" s="380">
        <f t="shared" si="100"/>
        <v>29.891000000000002</v>
      </c>
      <c r="Z220" s="380">
        <f t="shared" si="101"/>
        <v>29.9914187463419</v>
      </c>
      <c r="AA220" s="381">
        <f t="shared" si="102"/>
        <v>30.505117802722733</v>
      </c>
      <c r="AB220" s="193">
        <f t="shared" si="103"/>
        <v>44767</v>
      </c>
      <c r="AC220" s="420">
        <f t="shared" si="104"/>
        <v>1.6839766353401304E-2</v>
      </c>
      <c r="AD220" s="165">
        <f>(INDEX(Models!$BJ220:$BT220,,AH220)*(1-AF220)+INDEX(Models!$BJ220:$BT220,,AH220+1)*AF220-ERP_i)*AE220*Ramure*Pc/MaxiM</f>
        <v>2.2460564189484432E-6</v>
      </c>
      <c r="AE220" s="301">
        <f t="shared" si="105"/>
        <v>0.5</v>
      </c>
      <c r="AF220" s="173">
        <f t="shared" si="106"/>
        <v>0.42588859565436304</v>
      </c>
      <c r="AG220" s="802">
        <f t="shared" si="107"/>
        <v>0</v>
      </c>
      <c r="AH220" s="172">
        <f t="shared" si="108"/>
        <v>6</v>
      </c>
      <c r="AI220" s="221">
        <f t="shared" si="109"/>
        <v>0.42588859565436304</v>
      </c>
      <c r="AJ220" s="261" t="b">
        <f t="shared" si="110"/>
        <v>0</v>
      </c>
      <c r="AK220" s="261" t="b">
        <f t="shared" si="111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12"/>
        <v>44768</v>
      </c>
      <c r="B221" s="610">
        <v>52.974000000000004</v>
      </c>
      <c r="C221" s="385"/>
      <c r="D221" s="388">
        <f t="shared" si="89"/>
        <v>53.152693647947991</v>
      </c>
      <c r="E221" s="380">
        <f t="shared" si="86"/>
        <v>54.066484241352434</v>
      </c>
      <c r="F221" s="380">
        <f t="shared" si="87"/>
        <v>54.066590490635548</v>
      </c>
      <c r="G221" s="110">
        <f t="shared" si="88"/>
        <v>0.88561501199706127</v>
      </c>
      <c r="I221" s="375">
        <f t="shared" si="90"/>
        <v>54.066590490635548</v>
      </c>
      <c r="J221" s="85">
        <v>2022</v>
      </c>
      <c r="K221" s="193">
        <f t="shared" si="91"/>
        <v>44768</v>
      </c>
      <c r="L221" s="431">
        <f t="shared" si="92"/>
        <v>3.3618926094610702E-3</v>
      </c>
      <c r="M221" s="847"/>
      <c r="N221" s="847"/>
      <c r="O221" s="320">
        <f t="shared" si="93"/>
        <v>1.6901239394914055E-2</v>
      </c>
      <c r="P221" s="165">
        <f>(INDEX(Models!$BJ221:$BT221,,T221)*(1-R221)+INDEX(Models!$BJ221:$BT221,,T221+1)*R221-ERP_i)*Q221*Ramure*Pc/MaxiM</f>
        <v>2.3489978103831941E-6</v>
      </c>
      <c r="Q221" s="301">
        <f t="shared" si="94"/>
        <v>0.5</v>
      </c>
      <c r="R221" s="173">
        <f t="shared" si="95"/>
        <v>0.42827055243222195</v>
      </c>
      <c r="S221" s="802">
        <f t="shared" si="113"/>
        <v>0</v>
      </c>
      <c r="T221" s="172">
        <f t="shared" si="96"/>
        <v>6</v>
      </c>
      <c r="U221" s="247">
        <f t="shared" si="97"/>
        <v>0.42827055243222195</v>
      </c>
      <c r="V221" s="378">
        <f t="shared" si="98"/>
        <v>59.816036255828742</v>
      </c>
      <c r="W221" s="58"/>
      <c r="X221" s="153">
        <f t="shared" si="99"/>
        <v>44768</v>
      </c>
      <c r="Y221" s="380">
        <f t="shared" si="100"/>
        <v>52.974000000000004</v>
      </c>
      <c r="Z221" s="380">
        <f t="shared" si="101"/>
        <v>53.152693647947991</v>
      </c>
      <c r="AA221" s="381">
        <f t="shared" si="102"/>
        <v>54.066484241352434</v>
      </c>
      <c r="AB221" s="193">
        <f t="shared" si="103"/>
        <v>44768</v>
      </c>
      <c r="AC221" s="420">
        <f t="shared" si="104"/>
        <v>1.6901239394914055E-2</v>
      </c>
      <c r="AD221" s="165">
        <f>(INDEX(Models!$BJ221:$BT221,,AH221)*(1-AF221)+INDEX(Models!$BJ221:$BT221,,AH221+1)*AF221-ERP_i)*AE221*Ramure*Pc/MaxiM</f>
        <v>2.3489978103831941E-6</v>
      </c>
      <c r="AE221" s="301">
        <f t="shared" si="105"/>
        <v>0.5</v>
      </c>
      <c r="AF221" s="173">
        <f t="shared" si="106"/>
        <v>0.42827055243222195</v>
      </c>
      <c r="AG221" s="802">
        <f t="shared" si="107"/>
        <v>0</v>
      </c>
      <c r="AH221" s="172">
        <f t="shared" si="108"/>
        <v>6</v>
      </c>
      <c r="AI221" s="221">
        <f t="shared" si="109"/>
        <v>0.42827055243222195</v>
      </c>
      <c r="AJ221" s="261" t="b">
        <f t="shared" si="110"/>
        <v>0</v>
      </c>
      <c r="AK221" s="261" t="b">
        <f t="shared" si="111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12"/>
        <v>44769</v>
      </c>
      <c r="B222" s="610">
        <v>59.957000000000001</v>
      </c>
      <c r="C222" s="385"/>
      <c r="D222" s="388">
        <f t="shared" si="89"/>
        <v>60.160072475255291</v>
      </c>
      <c r="E222" s="380">
        <f t="shared" si="86"/>
        <v>61.198151430747217</v>
      </c>
      <c r="F222" s="380">
        <f t="shared" si="87"/>
        <v>61.198302360762852</v>
      </c>
      <c r="G222" s="110">
        <f t="shared" si="88"/>
        <v>1.0058752442346579</v>
      </c>
      <c r="I222" s="375">
        <f t="shared" si="90"/>
        <v>61.198302360762852</v>
      </c>
      <c r="J222" s="85">
        <v>2022</v>
      </c>
      <c r="K222" s="193">
        <f t="shared" si="91"/>
        <v>44769</v>
      </c>
      <c r="L222" s="431">
        <f t="shared" si="92"/>
        <v>3.3755357482126991E-3</v>
      </c>
      <c r="M222" s="847"/>
      <c r="N222" s="847"/>
      <c r="O222" s="320">
        <f t="shared" si="93"/>
        <v>1.6962586797521693E-2</v>
      </c>
      <c r="P222" s="165">
        <f>(INDEX(Models!$BJ222:$BT222,,T222)*(1-R222)+INDEX(Models!$BJ222:$BT222,,T222+1)*R222-ERP_i)*Q222*Ramure*Pc/MaxiM</f>
        <v>2.466245137805225E-6</v>
      </c>
      <c r="Q222" s="301">
        <f t="shared" si="94"/>
        <v>0.5</v>
      </c>
      <c r="R222" s="173">
        <f t="shared" si="95"/>
        <v>0.43058139393718781</v>
      </c>
      <c r="S222" s="802">
        <f t="shared" si="113"/>
        <v>0</v>
      </c>
      <c r="T222" s="172">
        <f t="shared" si="96"/>
        <v>6</v>
      </c>
      <c r="U222" s="247">
        <f t="shared" si="97"/>
        <v>0.43058139393718781</v>
      </c>
      <c r="V222" s="378">
        <f t="shared" si="98"/>
        <v>59.606795518284756</v>
      </c>
      <c r="W222" s="58"/>
      <c r="X222" s="153">
        <f t="shared" si="99"/>
        <v>44769</v>
      </c>
      <c r="Y222" s="380">
        <f t="shared" si="100"/>
        <v>59.957000000000001</v>
      </c>
      <c r="Z222" s="380">
        <f t="shared" si="101"/>
        <v>60.160072475255291</v>
      </c>
      <c r="AA222" s="381">
        <f t="shared" si="102"/>
        <v>61.198151430747217</v>
      </c>
      <c r="AB222" s="193">
        <f t="shared" si="103"/>
        <v>44769</v>
      </c>
      <c r="AC222" s="420">
        <f t="shared" si="104"/>
        <v>1.6962586797521693E-2</v>
      </c>
      <c r="AD222" s="165">
        <f>(INDEX(Models!$BJ222:$BT222,,AH222)*(1-AF222)+INDEX(Models!$BJ222:$BT222,,AH222+1)*AF222-ERP_i)*AE222*Ramure*Pc/MaxiM</f>
        <v>2.466245137805225E-6</v>
      </c>
      <c r="AE222" s="301">
        <f t="shared" si="105"/>
        <v>0.5</v>
      </c>
      <c r="AF222" s="173">
        <f t="shared" si="106"/>
        <v>0.43058139393718781</v>
      </c>
      <c r="AG222" s="802">
        <f t="shared" si="107"/>
        <v>0</v>
      </c>
      <c r="AH222" s="172">
        <f t="shared" si="108"/>
        <v>6</v>
      </c>
      <c r="AI222" s="221">
        <f t="shared" si="109"/>
        <v>0.43058139393718781</v>
      </c>
      <c r="AJ222" s="261" t="b">
        <f t="shared" si="110"/>
        <v>0</v>
      </c>
      <c r="AK222" s="261" t="b">
        <f t="shared" si="111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12"/>
        <v>44770</v>
      </c>
      <c r="B223" s="610">
        <v>47.108000000000004</v>
      </c>
      <c r="C223" s="385"/>
      <c r="D223" s="388">
        <f t="shared" si="89"/>
        <v>47.268200377917687</v>
      </c>
      <c r="E223" s="380">
        <f t="shared" si="86"/>
        <v>48.086821423489432</v>
      </c>
      <c r="F223" s="380">
        <f t="shared" si="87"/>
        <v>48.086909443668787</v>
      </c>
      <c r="G223" s="110">
        <f t="shared" si="88"/>
        <v>0.7931669468984881</v>
      </c>
      <c r="I223" s="375">
        <f t="shared" si="90"/>
        <v>48.086909443668787</v>
      </c>
      <c r="J223" s="85">
        <v>2022</v>
      </c>
      <c r="K223" s="193">
        <f t="shared" si="91"/>
        <v>44770</v>
      </c>
      <c r="L223" s="431">
        <f t="shared" si="92"/>
        <v>3.3891787002012785E-3</v>
      </c>
      <c r="M223" s="847"/>
      <c r="N223" s="847"/>
      <c r="O223" s="320">
        <f t="shared" si="93"/>
        <v>1.7023812789835693E-2</v>
      </c>
      <c r="P223" s="165">
        <f>(INDEX(Models!$BJ223:$BT223,,T223)*(1-R223)+INDEX(Models!$BJ223:$BT223,,T223+1)*R223-ERP_i)*Q223*Ramure*Pc/MaxiM</f>
        <v>2.5981183223194529E-6</v>
      </c>
      <c r="Q223" s="301">
        <f t="shared" si="94"/>
        <v>0.5</v>
      </c>
      <c r="R223" s="173">
        <f t="shared" si="95"/>
        <v>0.43282239332376932</v>
      </c>
      <c r="S223" s="802">
        <f t="shared" si="113"/>
        <v>0</v>
      </c>
      <c r="T223" s="172">
        <f t="shared" si="96"/>
        <v>6</v>
      </c>
      <c r="U223" s="247">
        <f t="shared" si="97"/>
        <v>0.43282239332376932</v>
      </c>
      <c r="V223" s="378">
        <f t="shared" si="98"/>
        <v>59.392242730646366</v>
      </c>
      <c r="W223" s="58"/>
      <c r="X223" s="153">
        <f t="shared" si="99"/>
        <v>44770</v>
      </c>
      <c r="Y223" s="380">
        <f t="shared" si="100"/>
        <v>47.108000000000004</v>
      </c>
      <c r="Z223" s="380">
        <f t="shared" si="101"/>
        <v>47.268200377917687</v>
      </c>
      <c r="AA223" s="381">
        <f t="shared" si="102"/>
        <v>48.086821423489432</v>
      </c>
      <c r="AB223" s="193">
        <f t="shared" si="103"/>
        <v>44770</v>
      </c>
      <c r="AC223" s="420">
        <f t="shared" si="104"/>
        <v>1.7023812789835693E-2</v>
      </c>
      <c r="AD223" s="165">
        <f>(INDEX(Models!$BJ223:$BT223,,AH223)*(1-AF223)+INDEX(Models!$BJ223:$BT223,,AH223+1)*AF223-ERP_i)*AE223*Ramure*Pc/MaxiM</f>
        <v>2.5981183223194529E-6</v>
      </c>
      <c r="AE223" s="301">
        <f t="shared" si="105"/>
        <v>0.5</v>
      </c>
      <c r="AF223" s="173">
        <f t="shared" si="106"/>
        <v>0.43282239332376932</v>
      </c>
      <c r="AG223" s="802">
        <f t="shared" si="107"/>
        <v>0</v>
      </c>
      <c r="AH223" s="172">
        <f t="shared" si="108"/>
        <v>6</v>
      </c>
      <c r="AI223" s="221">
        <f t="shared" si="109"/>
        <v>0.43282239332376932</v>
      </c>
      <c r="AJ223" s="261" t="b">
        <f t="shared" si="110"/>
        <v>0</v>
      </c>
      <c r="AK223" s="261" t="b">
        <f t="shared" si="111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12"/>
        <v>44771</v>
      </c>
      <c r="B224" s="610">
        <v>29.263999999999999</v>
      </c>
      <c r="C224" s="385"/>
      <c r="D224" s="388">
        <f t="shared" si="89"/>
        <v>29.363920177890474</v>
      </c>
      <c r="E224" s="380">
        <f t="shared" si="86"/>
        <v>29.874320592601116</v>
      </c>
      <c r="F224" s="380">
        <f t="shared" si="87"/>
        <v>29.87434338366489</v>
      </c>
      <c r="G224" s="110">
        <f t="shared" si="88"/>
        <v>0.4945496199429894</v>
      </c>
      <c r="I224" s="375">
        <f t="shared" si="90"/>
        <v>29.87434338366489</v>
      </c>
      <c r="J224" s="85">
        <v>2022</v>
      </c>
      <c r="K224" s="193">
        <f t="shared" si="91"/>
        <v>44771</v>
      </c>
      <c r="L224" s="431">
        <f t="shared" si="92"/>
        <v>3.40282146542914E-3</v>
      </c>
      <c r="M224" s="847"/>
      <c r="N224" s="847"/>
      <c r="O224" s="320">
        <f t="shared" si="93"/>
        <v>1.7084921249625025E-2</v>
      </c>
      <c r="P224" s="165">
        <f>(INDEX(Models!$BJ224:$BT224,,T224)*(1-R224)+INDEX(Models!$BJ224:$BT224,,T224+1)*R224-ERP_i)*Q224*Ramure*Pc/MaxiM</f>
        <v>2.744932649322224E-6</v>
      </c>
      <c r="Q224" s="301">
        <f t="shared" si="94"/>
        <v>0.5</v>
      </c>
      <c r="R224" s="173">
        <f t="shared" si="95"/>
        <v>0.43499486232780271</v>
      </c>
      <c r="S224" s="802">
        <f t="shared" si="113"/>
        <v>0</v>
      </c>
      <c r="T224" s="172">
        <f t="shared" si="96"/>
        <v>6</v>
      </c>
      <c r="U224" s="247">
        <f t="shared" si="97"/>
        <v>0.43499486232780271</v>
      </c>
      <c r="V224" s="378">
        <f t="shared" si="98"/>
        <v>59.172913733215445</v>
      </c>
      <c r="W224" s="58"/>
      <c r="X224" s="153">
        <f t="shared" si="99"/>
        <v>44771</v>
      </c>
      <c r="Y224" s="380">
        <f t="shared" si="100"/>
        <v>29.263999999999999</v>
      </c>
      <c r="Z224" s="380">
        <f t="shared" si="101"/>
        <v>29.363920177890474</v>
      </c>
      <c r="AA224" s="381">
        <f t="shared" si="102"/>
        <v>29.874320592601116</v>
      </c>
      <c r="AB224" s="193">
        <f t="shared" si="103"/>
        <v>44771</v>
      </c>
      <c r="AC224" s="420">
        <f t="shared" si="104"/>
        <v>1.7084921249625025E-2</v>
      </c>
      <c r="AD224" s="165">
        <f>(INDEX(Models!$BJ224:$BT224,,AH224)*(1-AF224)+INDEX(Models!$BJ224:$BT224,,AH224+1)*AF224-ERP_i)*AE224*Ramure*Pc/MaxiM</f>
        <v>2.744932649322224E-6</v>
      </c>
      <c r="AE224" s="301">
        <f t="shared" si="105"/>
        <v>0.5</v>
      </c>
      <c r="AF224" s="173">
        <f t="shared" si="106"/>
        <v>0.43499486232780271</v>
      </c>
      <c r="AG224" s="802">
        <f t="shared" si="107"/>
        <v>0</v>
      </c>
      <c r="AH224" s="172">
        <f t="shared" si="108"/>
        <v>6</v>
      </c>
      <c r="AI224" s="221">
        <f t="shared" si="109"/>
        <v>0.43499486232780271</v>
      </c>
      <c r="AJ224" s="261" t="b">
        <f t="shared" si="110"/>
        <v>0</v>
      </c>
      <c r="AK224" s="261" t="b">
        <f t="shared" si="111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12"/>
        <v>44772</v>
      </c>
      <c r="B225" s="610">
        <v>48.131</v>
      </c>
      <c r="C225" s="385"/>
      <c r="D225" s="388">
        <f t="shared" si="89"/>
        <v>48.296001552769134</v>
      </c>
      <c r="E225" s="380">
        <f t="shared" si="86"/>
        <v>49.13852658694455</v>
      </c>
      <c r="F225" s="380">
        <f t="shared" si="87"/>
        <v>49.138631982876142</v>
      </c>
      <c r="G225" s="110">
        <f t="shared" si="88"/>
        <v>0.81648004652472239</v>
      </c>
      <c r="I225" s="375">
        <f t="shared" si="90"/>
        <v>49.138631982876142</v>
      </c>
      <c r="J225" s="85">
        <v>2022</v>
      </c>
      <c r="K225" s="193">
        <f t="shared" si="91"/>
        <v>44772</v>
      </c>
      <c r="L225" s="431">
        <f t="shared" si="92"/>
        <v>3.41646404389917E-3</v>
      </c>
      <c r="M225" s="847"/>
      <c r="N225" s="847"/>
      <c r="O225" s="320">
        <f t="shared" si="93"/>
        <v>1.7145915693761699E-2</v>
      </c>
      <c r="P225" s="165">
        <f>(INDEX(Models!$BJ225:$BT225,,T225)*(1-R225)+INDEX(Models!$BJ225:$BT225,,T225+1)*R225-ERP_i)*Q225*Ramure*Pc/MaxiM</f>
        <v>2.906998142473331E-6</v>
      </c>
      <c r="Q225" s="301">
        <f t="shared" si="94"/>
        <v>0.5</v>
      </c>
      <c r="R225" s="173">
        <f t="shared" si="95"/>
        <v>0.43710014587468515</v>
      </c>
      <c r="S225" s="802">
        <f t="shared" si="113"/>
        <v>0</v>
      </c>
      <c r="T225" s="172">
        <f t="shared" si="96"/>
        <v>6</v>
      </c>
      <c r="U225" s="247">
        <f t="shared" si="97"/>
        <v>0.43710014587468515</v>
      </c>
      <c r="V225" s="378">
        <f t="shared" si="98"/>
        <v>58.949344228008982</v>
      </c>
      <c r="W225" s="58"/>
      <c r="X225" s="153">
        <f t="shared" si="99"/>
        <v>44772</v>
      </c>
      <c r="Y225" s="380">
        <f t="shared" si="100"/>
        <v>48.131</v>
      </c>
      <c r="Z225" s="380">
        <f t="shared" si="101"/>
        <v>48.296001552769134</v>
      </c>
      <c r="AA225" s="381">
        <f t="shared" si="102"/>
        <v>49.13852658694455</v>
      </c>
      <c r="AB225" s="193">
        <f t="shared" si="103"/>
        <v>44772</v>
      </c>
      <c r="AC225" s="420">
        <f t="shared" si="104"/>
        <v>1.7145915693761699E-2</v>
      </c>
      <c r="AD225" s="165">
        <f>(INDEX(Models!$BJ225:$BT225,,AH225)*(1-AF225)+INDEX(Models!$BJ225:$BT225,,AH225+1)*AF225-ERP_i)*AE225*Ramure*Pc/MaxiM</f>
        <v>2.906998142473331E-6</v>
      </c>
      <c r="AE225" s="301">
        <f t="shared" si="105"/>
        <v>0.5</v>
      </c>
      <c r="AF225" s="173">
        <f t="shared" si="106"/>
        <v>0.43710014587468515</v>
      </c>
      <c r="AG225" s="802">
        <f t="shared" si="107"/>
        <v>0</v>
      </c>
      <c r="AH225" s="172">
        <f t="shared" si="108"/>
        <v>6</v>
      </c>
      <c r="AI225" s="221">
        <f t="shared" si="109"/>
        <v>0.43710014587468515</v>
      </c>
      <c r="AJ225" s="261" t="b">
        <f t="shared" si="110"/>
        <v>0</v>
      </c>
      <c r="AK225" s="261" t="b">
        <f t="shared" si="111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12"/>
        <v>44773</v>
      </c>
      <c r="B226" s="610">
        <v>58.941000000000003</v>
      </c>
      <c r="C226" s="385"/>
      <c r="D226" s="388">
        <f t="shared" si="89"/>
        <v>59.143869768319405</v>
      </c>
      <c r="E226" s="380">
        <f t="shared" si="86"/>
        <v>60.179364005027502</v>
      </c>
      <c r="F226" s="380">
        <f t="shared" si="87"/>
        <v>60.179550846641447</v>
      </c>
      <c r="G226" s="110">
        <f t="shared" si="88"/>
        <v>1.003728264484145</v>
      </c>
      <c r="I226" s="375">
        <f t="shared" si="90"/>
        <v>60.179550846641447</v>
      </c>
      <c r="J226" s="85">
        <v>2022</v>
      </c>
      <c r="K226" s="193">
        <f t="shared" si="91"/>
        <v>44773</v>
      </c>
      <c r="L226" s="431">
        <f t="shared" si="92"/>
        <v>3.4301064356135891E-3</v>
      </c>
      <c r="M226" s="847"/>
      <c r="N226" s="847"/>
      <c r="O226" s="320">
        <f t="shared" si="93"/>
        <v>1.7206799271284923E-2</v>
      </c>
      <c r="P226" s="165">
        <f>(INDEX(Models!$BJ226:$BT226,,T226)*(1-R226)+INDEX(Models!$BJ226:$BT226,,T226+1)*R226-ERP_i)*Q226*Ramure*Pc/MaxiM</f>
        <v>3.1047359330313414E-6</v>
      </c>
      <c r="Q226" s="301">
        <f t="shared" si="94"/>
        <v>0.5</v>
      </c>
      <c r="R226" s="173">
        <f t="shared" si="95"/>
        <v>0.43913961694015824</v>
      </c>
      <c r="S226" s="802">
        <f t="shared" si="113"/>
        <v>0</v>
      </c>
      <c r="T226" s="172">
        <f t="shared" si="96"/>
        <v>6</v>
      </c>
      <c r="U226" s="247">
        <f t="shared" si="97"/>
        <v>0.43913961694015824</v>
      </c>
      <c r="V226" s="378">
        <f t="shared" si="98"/>
        <v>58.722068597213486</v>
      </c>
      <c r="W226" s="58"/>
      <c r="X226" s="153">
        <f t="shared" si="99"/>
        <v>44773</v>
      </c>
      <c r="Y226" s="380">
        <f t="shared" si="100"/>
        <v>58.941000000000003</v>
      </c>
      <c r="Z226" s="380">
        <f t="shared" si="101"/>
        <v>59.143869768319405</v>
      </c>
      <c r="AA226" s="381">
        <f t="shared" si="102"/>
        <v>60.179364005027502</v>
      </c>
      <c r="AB226" s="193">
        <f t="shared" si="103"/>
        <v>44773</v>
      </c>
      <c r="AC226" s="420">
        <f t="shared" si="104"/>
        <v>1.7206799271284923E-2</v>
      </c>
      <c r="AD226" s="165">
        <f>(INDEX(Models!$BJ226:$BT226,,AH226)*(1-AF226)+INDEX(Models!$BJ226:$BT226,,AH226+1)*AF226-ERP_i)*AE226*Ramure*Pc/MaxiM</f>
        <v>3.1047359330313414E-6</v>
      </c>
      <c r="AE226" s="301">
        <f t="shared" si="105"/>
        <v>0.5</v>
      </c>
      <c r="AF226" s="173">
        <f t="shared" si="106"/>
        <v>0.43913961694015824</v>
      </c>
      <c r="AG226" s="802">
        <f t="shared" si="107"/>
        <v>0</v>
      </c>
      <c r="AH226" s="172">
        <f t="shared" si="108"/>
        <v>6</v>
      </c>
      <c r="AI226" s="221">
        <f t="shared" si="109"/>
        <v>0.43913961694015824</v>
      </c>
      <c r="AJ226" s="261" t="b">
        <f t="shared" si="110"/>
        <v>0</v>
      </c>
      <c r="AK226" s="261" t="b">
        <f t="shared" si="111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12"/>
        <v>44774</v>
      </c>
      <c r="B227" s="610">
        <v>58.423999999999999</v>
      </c>
      <c r="C227" s="385"/>
      <c r="D227" s="388">
        <f t="shared" si="89"/>
        <v>58.625892838766013</v>
      </c>
      <c r="E227" s="380">
        <f t="shared" si="86"/>
        <v>59.656007406510781</v>
      </c>
      <c r="F227" s="380">
        <f t="shared" si="87"/>
        <v>59.656206328517612</v>
      </c>
      <c r="G227" s="110">
        <f t="shared" si="88"/>
        <v>0.99884389410994978</v>
      </c>
      <c r="I227" s="375">
        <f t="shared" si="90"/>
        <v>59.656206328517612</v>
      </c>
      <c r="J227" s="85">
        <v>2022</v>
      </c>
      <c r="K227" s="193">
        <f t="shared" si="91"/>
        <v>44774</v>
      </c>
      <c r="L227" s="431">
        <f t="shared" si="92"/>
        <v>3.4437486405752837E-3</v>
      </c>
      <c r="M227" s="847"/>
      <c r="N227" s="847"/>
      <c r="O227" s="320">
        <f t="shared" si="93"/>
        <v>1.7267574759492591E-2</v>
      </c>
      <c r="P227" s="165">
        <f>(INDEX(Models!$BJ227:$BT227,,T227)*(1-R227)+INDEX(Models!$BJ227:$BT227,,T227+1)*R227-ERP_i)*Q227*Ramure*Pc/MaxiM</f>
        <v>3.3399891913996997E-6</v>
      </c>
      <c r="Q227" s="301">
        <f t="shared" si="94"/>
        <v>0.5</v>
      </c>
      <c r="R227" s="173">
        <f t="shared" si="95"/>
        <v>0.44111467166882745</v>
      </c>
      <c r="S227" s="802">
        <f t="shared" si="113"/>
        <v>0</v>
      </c>
      <c r="T227" s="172">
        <f t="shared" si="96"/>
        <v>6</v>
      </c>
      <c r="U227" s="247">
        <f t="shared" si="97"/>
        <v>0.44111467166882745</v>
      </c>
      <c r="V227" s="378">
        <f t="shared" si="98"/>
        <v>58.491622186647135</v>
      </c>
      <c r="W227" s="58"/>
      <c r="X227" s="153">
        <f t="shared" si="99"/>
        <v>44774</v>
      </c>
      <c r="Y227" s="380">
        <f t="shared" si="100"/>
        <v>58.423999999999999</v>
      </c>
      <c r="Z227" s="380">
        <f t="shared" si="101"/>
        <v>58.625892838766013</v>
      </c>
      <c r="AA227" s="381">
        <f t="shared" si="102"/>
        <v>59.656007406510781</v>
      </c>
      <c r="AB227" s="193">
        <f t="shared" si="103"/>
        <v>44774</v>
      </c>
      <c r="AC227" s="420">
        <f t="shared" si="104"/>
        <v>1.7267574759492591E-2</v>
      </c>
      <c r="AD227" s="165">
        <f>(INDEX(Models!$BJ227:$BT227,,AH227)*(1-AF227)+INDEX(Models!$BJ227:$BT227,,AH227+1)*AF227-ERP_i)*AE227*Ramure*Pc/MaxiM</f>
        <v>3.3399891913996997E-6</v>
      </c>
      <c r="AE227" s="301">
        <f t="shared" si="105"/>
        <v>0.5</v>
      </c>
      <c r="AF227" s="173">
        <f t="shared" si="106"/>
        <v>0.44111467166882745</v>
      </c>
      <c r="AG227" s="802">
        <f t="shared" si="107"/>
        <v>0</v>
      </c>
      <c r="AH227" s="172">
        <f t="shared" si="108"/>
        <v>6</v>
      </c>
      <c r="AI227" s="221">
        <f t="shared" si="109"/>
        <v>0.44111467166882745</v>
      </c>
      <c r="AJ227" s="261" t="b">
        <f t="shared" si="110"/>
        <v>0</v>
      </c>
      <c r="AK227" s="261" t="b">
        <f t="shared" si="111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12"/>
        <v>44775</v>
      </c>
      <c r="B228" s="610">
        <v>58.435000000000002</v>
      </c>
      <c r="C228" s="385"/>
      <c r="D228" s="388">
        <f t="shared" si="89"/>
        <v>58.637733552235922</v>
      </c>
      <c r="E228" s="380">
        <f t="shared" si="86"/>
        <v>59.671740057447458</v>
      </c>
      <c r="F228" s="380">
        <f t="shared" si="87"/>
        <v>59.671955685390998</v>
      </c>
      <c r="G228" s="110">
        <f t="shared" si="88"/>
        <v>1.0030289075718304</v>
      </c>
      <c r="I228" s="375">
        <f t="shared" si="90"/>
        <v>59.671955685390998</v>
      </c>
      <c r="J228" s="85">
        <v>2022</v>
      </c>
      <c r="K228" s="193">
        <f t="shared" si="91"/>
        <v>44775</v>
      </c>
      <c r="L228" s="431">
        <f t="shared" si="92"/>
        <v>3.4573906587865855E-3</v>
      </c>
      <c r="M228" s="847"/>
      <c r="N228" s="847"/>
      <c r="O228" s="320">
        <f t="shared" si="93"/>
        <v>1.7328244562938373E-2</v>
      </c>
      <c r="P228" s="165">
        <f>(INDEX(Models!$BJ228:$BT228,,T228)*(1-R228)+INDEX(Models!$BJ228:$BT228,,T228+1)*R228-ERP_i)*Q228*Ramure*Pc/MaxiM</f>
        <v>3.6135558331254691E-6</v>
      </c>
      <c r="Q228" s="301">
        <f t="shared" si="94"/>
        <v>0.5</v>
      </c>
      <c r="R228" s="173">
        <f t="shared" si="95"/>
        <v>0.44302672475346427</v>
      </c>
      <c r="S228" s="802">
        <f t="shared" si="113"/>
        <v>0</v>
      </c>
      <c r="T228" s="172">
        <f t="shared" si="96"/>
        <v>6</v>
      </c>
      <c r="U228" s="247">
        <f t="shared" si="97"/>
        <v>0.44302672475346427</v>
      </c>
      <c r="V228" s="378">
        <f t="shared" si="98"/>
        <v>58.258540266263729</v>
      </c>
      <c r="W228" s="58"/>
      <c r="X228" s="153">
        <f t="shared" si="99"/>
        <v>44775</v>
      </c>
      <c r="Y228" s="380">
        <f t="shared" si="100"/>
        <v>58.435000000000002</v>
      </c>
      <c r="Z228" s="380">
        <f t="shared" si="101"/>
        <v>58.637733552235922</v>
      </c>
      <c r="AA228" s="381">
        <f t="shared" si="102"/>
        <v>59.671740057447458</v>
      </c>
      <c r="AB228" s="193">
        <f t="shared" si="103"/>
        <v>44775</v>
      </c>
      <c r="AC228" s="420">
        <f t="shared" si="104"/>
        <v>1.7328244562938373E-2</v>
      </c>
      <c r="AD228" s="165">
        <f>(INDEX(Models!$BJ228:$BT228,,AH228)*(1-AF228)+INDEX(Models!$BJ228:$BT228,,AH228+1)*AF228-ERP_i)*AE228*Ramure*Pc/MaxiM</f>
        <v>3.6135558331254691E-6</v>
      </c>
      <c r="AE228" s="301">
        <f t="shared" si="105"/>
        <v>0.5</v>
      </c>
      <c r="AF228" s="173">
        <f t="shared" si="106"/>
        <v>0.44302672475346427</v>
      </c>
      <c r="AG228" s="802">
        <f t="shared" si="107"/>
        <v>0</v>
      </c>
      <c r="AH228" s="172">
        <f t="shared" si="108"/>
        <v>6</v>
      </c>
      <c r="AI228" s="221">
        <f t="shared" si="109"/>
        <v>0.44302672475346427</v>
      </c>
      <c r="AJ228" s="261" t="b">
        <f t="shared" si="110"/>
        <v>0</v>
      </c>
      <c r="AK228" s="261" t="b">
        <f t="shared" si="111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12"/>
        <v>44776</v>
      </c>
      <c r="B229" s="610">
        <v>58.02</v>
      </c>
      <c r="C229" s="385"/>
      <c r="D229" s="388">
        <f t="shared" si="89"/>
        <v>58.222090768708476</v>
      </c>
      <c r="E229" s="380">
        <f t="shared" si="86"/>
        <v>59.252419882461169</v>
      </c>
      <c r="F229" s="380">
        <f t="shared" ref="F229:F260" si="114">Wh_sa/(1-Pvg*MEDIAN((-Sdif+Wh/Env_an)/Csdif,0,1))</f>
        <v>59.252652502044675</v>
      </c>
      <c r="G229" s="110">
        <f t="shared" si="88"/>
        <v>0.9999421269352573</v>
      </c>
      <c r="I229" s="375">
        <f t="shared" si="90"/>
        <v>59.252652502044675</v>
      </c>
      <c r="J229" s="85">
        <v>2022</v>
      </c>
      <c r="K229" s="193">
        <f t="shared" si="91"/>
        <v>44776</v>
      </c>
      <c r="L229" s="431">
        <f t="shared" si="92"/>
        <v>3.4710324902500478E-3</v>
      </c>
      <c r="M229" s="847"/>
      <c r="N229" s="847"/>
      <c r="O229" s="320">
        <f t="shared" si="93"/>
        <v>1.7388810715183479E-2</v>
      </c>
      <c r="P229" s="165">
        <f>(INDEX(Models!$BJ229:$BT229,,T229)*(1-R229)+INDEX(Models!$BJ229:$BT229,,T229+1)*R229-ERP_i)*Q229*Ramure*Pc/MaxiM</f>
        <v>3.9262177670178813E-6</v>
      </c>
      <c r="Q229" s="301">
        <f t="shared" si="94"/>
        <v>0.5</v>
      </c>
      <c r="R229" s="173">
        <f t="shared" si="95"/>
        <v>0.44487720507618722</v>
      </c>
      <c r="S229" s="802">
        <f t="shared" si="113"/>
        <v>0</v>
      </c>
      <c r="T229" s="172">
        <f t="shared" si="96"/>
        <v>6</v>
      </c>
      <c r="U229" s="247">
        <f t="shared" si="97"/>
        <v>0.44487720507618722</v>
      </c>
      <c r="V229" s="378">
        <f t="shared" si="98"/>
        <v>58.02335797071899</v>
      </c>
      <c r="W229" s="58"/>
      <c r="X229" s="153">
        <f t="shared" si="99"/>
        <v>44776</v>
      </c>
      <c r="Y229" s="380">
        <f t="shared" si="100"/>
        <v>58.02</v>
      </c>
      <c r="Z229" s="380">
        <f t="shared" si="101"/>
        <v>58.222090768708476</v>
      </c>
      <c r="AA229" s="381">
        <f t="shared" si="102"/>
        <v>59.252419882461169</v>
      </c>
      <c r="AB229" s="193">
        <f t="shared" si="103"/>
        <v>44776</v>
      </c>
      <c r="AC229" s="420">
        <f t="shared" si="104"/>
        <v>1.7388810715183479E-2</v>
      </c>
      <c r="AD229" s="165">
        <f>(INDEX(Models!$BJ229:$BT229,,AH229)*(1-AF229)+INDEX(Models!$BJ229:$BT229,,AH229+1)*AF229-ERP_i)*AE229*Ramure*Pc/MaxiM</f>
        <v>3.9262177670178813E-6</v>
      </c>
      <c r="AE229" s="301">
        <f t="shared" si="105"/>
        <v>0.5</v>
      </c>
      <c r="AF229" s="173">
        <f t="shared" si="106"/>
        <v>0.44487720507618722</v>
      </c>
      <c r="AG229" s="802">
        <f t="shared" si="107"/>
        <v>0</v>
      </c>
      <c r="AH229" s="172">
        <f t="shared" si="108"/>
        <v>6</v>
      </c>
      <c r="AI229" s="221">
        <f t="shared" si="109"/>
        <v>0.44487720507618722</v>
      </c>
      <c r="AJ229" s="261" t="b">
        <f t="shared" si="110"/>
        <v>0</v>
      </c>
      <c r="AK229" s="261" t="b">
        <f t="shared" si="111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12"/>
        <v>44777</v>
      </c>
      <c r="B230" s="610">
        <v>55.350999999999999</v>
      </c>
      <c r="C230" s="385"/>
      <c r="D230" s="388">
        <f t="shared" si="89"/>
        <v>55.544554673007362</v>
      </c>
      <c r="E230" s="380">
        <f t="shared" si="86"/>
        <v>56.530979269696587</v>
      </c>
      <c r="F230" s="380">
        <f t="shared" si="114"/>
        <v>56.531206587752195</v>
      </c>
      <c r="G230" s="110">
        <f t="shared" si="88"/>
        <v>0.95785140290530657</v>
      </c>
      <c r="I230" s="375">
        <f t="shared" si="90"/>
        <v>56.531206587752195</v>
      </c>
      <c r="J230" s="85">
        <v>2022</v>
      </c>
      <c r="K230" s="193">
        <f t="shared" si="91"/>
        <v>44777</v>
      </c>
      <c r="L230" s="431">
        <f t="shared" si="92"/>
        <v>3.4846741349683352E-3</v>
      </c>
      <c r="M230" s="847"/>
      <c r="N230" s="847"/>
      <c r="O230" s="320">
        <f t="shared" si="93"/>
        <v>1.7449274883125851E-2</v>
      </c>
      <c r="P230" s="165">
        <f>(INDEX(Models!$BJ230:$BT230,,T230)*(1-R230)+INDEX(Models!$BJ230:$BT230,,T230+1)*R230-ERP_i)*Q230*Ramure*Pc/MaxiM</f>
        <v>4.2787385451994633E-6</v>
      </c>
      <c r="Q230" s="301">
        <f t="shared" si="94"/>
        <v>0.5</v>
      </c>
      <c r="R230" s="173">
        <f t="shared" si="95"/>
        <v>0.44666755161086402</v>
      </c>
      <c r="S230" s="802">
        <f t="shared" si="113"/>
        <v>0</v>
      </c>
      <c r="T230" s="172">
        <f t="shared" si="96"/>
        <v>6</v>
      </c>
      <c r="U230" s="247">
        <f t="shared" si="97"/>
        <v>0.44666755161086402</v>
      </c>
      <c r="V230" s="378">
        <f t="shared" si="98"/>
        <v>57.786610294577777</v>
      </c>
      <c r="W230" s="58"/>
      <c r="X230" s="153">
        <f t="shared" si="99"/>
        <v>44777</v>
      </c>
      <c r="Y230" s="380">
        <f t="shared" si="100"/>
        <v>55.350999999999999</v>
      </c>
      <c r="Z230" s="380">
        <f t="shared" si="101"/>
        <v>55.544554673007362</v>
      </c>
      <c r="AA230" s="381">
        <f t="shared" si="102"/>
        <v>56.530979269696587</v>
      </c>
      <c r="AB230" s="193">
        <f t="shared" si="103"/>
        <v>44777</v>
      </c>
      <c r="AC230" s="420">
        <f t="shared" si="104"/>
        <v>1.7449274883125851E-2</v>
      </c>
      <c r="AD230" s="165">
        <f>(INDEX(Models!$BJ230:$BT230,,AH230)*(1-AF230)+INDEX(Models!$BJ230:$BT230,,AH230+1)*AF230-ERP_i)*AE230*Ramure*Pc/MaxiM</f>
        <v>4.2787385451994633E-6</v>
      </c>
      <c r="AE230" s="301">
        <f t="shared" si="105"/>
        <v>0.5</v>
      </c>
      <c r="AF230" s="173">
        <f t="shared" si="106"/>
        <v>0.44666755161086402</v>
      </c>
      <c r="AG230" s="802">
        <f t="shared" si="107"/>
        <v>0</v>
      </c>
      <c r="AH230" s="172">
        <f t="shared" si="108"/>
        <v>6</v>
      </c>
      <c r="AI230" s="221">
        <f t="shared" si="109"/>
        <v>0.44666755161086402</v>
      </c>
      <c r="AJ230" s="261" t="b">
        <f t="shared" si="110"/>
        <v>0</v>
      </c>
      <c r="AK230" s="261" t="b">
        <f t="shared" si="111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12"/>
        <v>44778</v>
      </c>
      <c r="B231" s="610">
        <v>44.183</v>
      </c>
      <c r="C231" s="385"/>
      <c r="D231" s="388">
        <f t="shared" si="89"/>
        <v>44.338108697016416</v>
      </c>
      <c r="E231" s="380">
        <f t="shared" si="86"/>
        <v>45.128288712801712</v>
      </c>
      <c r="F231" s="380">
        <f t="shared" si="114"/>
        <v>45.128429594310724</v>
      </c>
      <c r="G231" s="110">
        <f t="shared" si="88"/>
        <v>0.7677467970124382</v>
      </c>
      <c r="I231" s="375">
        <f t="shared" si="90"/>
        <v>45.128429594310724</v>
      </c>
      <c r="J231" s="85">
        <v>2022</v>
      </c>
      <c r="K231" s="193">
        <f t="shared" si="91"/>
        <v>44778</v>
      </c>
      <c r="L231" s="431">
        <f t="shared" si="92"/>
        <v>3.4983155929440013E-3</v>
      </c>
      <c r="M231" s="847"/>
      <c r="N231" s="847"/>
      <c r="O231" s="320">
        <f t="shared" si="93"/>
        <v>1.7509638373704624E-2</v>
      </c>
      <c r="P231" s="165">
        <f>(INDEX(Models!$BJ231:$BT231,,T231)*(1-R231)+INDEX(Models!$BJ231:$BT231,,T231+1)*R231-ERP_i)*Q231*Ramure*Pc/MaxiM</f>
        <v>4.6718607174753132E-6</v>
      </c>
      <c r="Q231" s="301">
        <f t="shared" si="94"/>
        <v>0.5</v>
      </c>
      <c r="R231" s="173">
        <f t="shared" si="95"/>
        <v>0.44839920958450635</v>
      </c>
      <c r="S231" s="802">
        <f t="shared" si="113"/>
        <v>0</v>
      </c>
      <c r="T231" s="172">
        <f t="shared" si="96"/>
        <v>6</v>
      </c>
      <c r="U231" s="247">
        <f t="shared" si="97"/>
        <v>0.44839920958450635</v>
      </c>
      <c r="V231" s="378">
        <f t="shared" si="98"/>
        <v>57.548832095386864</v>
      </c>
      <c r="W231" s="58"/>
      <c r="X231" s="153">
        <f t="shared" si="99"/>
        <v>44778</v>
      </c>
      <c r="Y231" s="380">
        <f t="shared" si="100"/>
        <v>44.183</v>
      </c>
      <c r="Z231" s="380">
        <f t="shared" si="101"/>
        <v>44.338108697016416</v>
      </c>
      <c r="AA231" s="381">
        <f t="shared" si="102"/>
        <v>45.128288712801712</v>
      </c>
      <c r="AB231" s="193">
        <f t="shared" si="103"/>
        <v>44778</v>
      </c>
      <c r="AC231" s="420">
        <f t="shared" si="104"/>
        <v>1.7509638373704624E-2</v>
      </c>
      <c r="AD231" s="165">
        <f>(INDEX(Models!$BJ231:$BT231,,AH231)*(1-AF231)+INDEX(Models!$BJ231:$BT231,,AH231+1)*AF231-ERP_i)*AE231*Ramure*Pc/MaxiM</f>
        <v>4.6718607174753132E-6</v>
      </c>
      <c r="AE231" s="301">
        <f t="shared" si="105"/>
        <v>0.5</v>
      </c>
      <c r="AF231" s="173">
        <f t="shared" si="106"/>
        <v>0.44839920958450635</v>
      </c>
      <c r="AG231" s="802">
        <f t="shared" si="107"/>
        <v>0</v>
      </c>
      <c r="AH231" s="172">
        <f t="shared" si="108"/>
        <v>6</v>
      </c>
      <c r="AI231" s="221">
        <f t="shared" si="109"/>
        <v>0.44839920958450635</v>
      </c>
      <c r="AJ231" s="261" t="b">
        <f t="shared" si="110"/>
        <v>0</v>
      </c>
      <c r="AK231" s="261" t="b">
        <f t="shared" si="111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12"/>
        <v>44779</v>
      </c>
      <c r="B232" s="610">
        <v>52.719000000000001</v>
      </c>
      <c r="C232" s="385"/>
      <c r="D232" s="388">
        <f t="shared" si="89"/>
        <v>52.904799373307128</v>
      </c>
      <c r="E232" s="380">
        <f t="shared" si="86"/>
        <v>53.850955389799843</v>
      </c>
      <c r="F232" s="380">
        <f t="shared" si="114"/>
        <v>53.85119889796897</v>
      </c>
      <c r="G232" s="110">
        <f t="shared" si="88"/>
        <v>0.91988232085733579</v>
      </c>
      <c r="I232" s="375">
        <f t="shared" si="90"/>
        <v>53.85119889796897</v>
      </c>
      <c r="J232" s="85">
        <v>2022</v>
      </c>
      <c r="K232" s="193">
        <f t="shared" si="91"/>
        <v>44779</v>
      </c>
      <c r="L232" s="431">
        <f t="shared" si="92"/>
        <v>3.5119568641794885E-3</v>
      </c>
      <c r="M232" s="847"/>
      <c r="N232" s="847"/>
      <c r="O232" s="320">
        <f t="shared" si="93"/>
        <v>1.7569902142756239E-2</v>
      </c>
      <c r="P232" s="165">
        <f>(INDEX(Models!$BJ232:$BT232,,T232)*(1-R232)+INDEX(Models!$BJ232:$BT232,,T232+1)*R232-ERP_i)*Q232*Ramure*Pc/MaxiM</f>
        <v>5.1063028852455556E-6</v>
      </c>
      <c r="Q232" s="301">
        <f t="shared" si="94"/>
        <v>0.5</v>
      </c>
      <c r="R232" s="173">
        <f t="shared" si="95"/>
        <v>0.4500736268940379</v>
      </c>
      <c r="S232" s="802">
        <f t="shared" si="113"/>
        <v>0</v>
      </c>
      <c r="T232" s="172">
        <f t="shared" si="96"/>
        <v>6</v>
      </c>
      <c r="U232" s="247">
        <f t="shared" si="97"/>
        <v>0.4500736268940379</v>
      </c>
      <c r="V232" s="378">
        <f t="shared" si="98"/>
        <v>57.310558094057477</v>
      </c>
      <c r="W232" s="58"/>
      <c r="X232" s="153">
        <f t="shared" si="99"/>
        <v>44779</v>
      </c>
      <c r="Y232" s="380">
        <f t="shared" si="100"/>
        <v>52.719000000000001</v>
      </c>
      <c r="Z232" s="380">
        <f t="shared" si="101"/>
        <v>52.904799373307128</v>
      </c>
      <c r="AA232" s="381">
        <f t="shared" si="102"/>
        <v>53.850955389799843</v>
      </c>
      <c r="AB232" s="193">
        <f t="shared" si="103"/>
        <v>44779</v>
      </c>
      <c r="AC232" s="420">
        <f t="shared" si="104"/>
        <v>1.7569902142756239E-2</v>
      </c>
      <c r="AD232" s="165">
        <f>(INDEX(Models!$BJ232:$BT232,,AH232)*(1-AF232)+INDEX(Models!$BJ232:$BT232,,AH232+1)*AF232-ERP_i)*AE232*Ramure*Pc/MaxiM</f>
        <v>5.1063028852455556E-6</v>
      </c>
      <c r="AE232" s="301">
        <f t="shared" si="105"/>
        <v>0.5</v>
      </c>
      <c r="AF232" s="173">
        <f t="shared" si="106"/>
        <v>0.4500736268940379</v>
      </c>
      <c r="AG232" s="802">
        <f t="shared" si="107"/>
        <v>0</v>
      </c>
      <c r="AH232" s="172">
        <f t="shared" si="108"/>
        <v>6</v>
      </c>
      <c r="AI232" s="221">
        <f t="shared" si="109"/>
        <v>0.4500736268940379</v>
      </c>
      <c r="AJ232" s="261" t="b">
        <f t="shared" si="110"/>
        <v>0</v>
      </c>
      <c r="AK232" s="261" t="b">
        <f t="shared" si="111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12"/>
        <v>44780</v>
      </c>
      <c r="B233" s="610">
        <v>55.585000000000001</v>
      </c>
      <c r="C233" s="385"/>
      <c r="D233" s="388">
        <f t="shared" si="89"/>
        <v>55.78166371918217</v>
      </c>
      <c r="E233" s="380">
        <f t="shared" ref="E233:E296" si="115">Wh_pvt/(1-Psa)</f>
        <v>56.782747348349247</v>
      </c>
      <c r="F233" s="380">
        <f t="shared" si="114"/>
        <v>56.783052579043542</v>
      </c>
      <c r="G233" s="110">
        <f t="shared" ref="G233:G296" si="116">+Wh_hp/MaxiM</f>
        <v>0.9739741472897927</v>
      </c>
      <c r="I233" s="375">
        <f t="shared" si="90"/>
        <v>56.783052579043542</v>
      </c>
      <c r="J233" s="85">
        <v>2022</v>
      </c>
      <c r="K233" s="193">
        <f t="shared" si="91"/>
        <v>44780</v>
      </c>
      <c r="L233" s="431">
        <f t="shared" si="92"/>
        <v>3.5255979486775724E-3</v>
      </c>
      <c r="M233" s="847"/>
      <c r="N233" s="847"/>
      <c r="O233" s="320">
        <f t="shared" si="93"/>
        <v>1.7630066805779183E-2</v>
      </c>
      <c r="P233" s="165">
        <f>(INDEX(Models!$BJ233:$BT233,,T233)*(1-R233)+INDEX(Models!$BJ233:$BT233,,T233+1)*R233-ERP_i)*Q233*Ramure*Pc/MaxiM</f>
        <v>5.5829551687982419E-6</v>
      </c>
      <c r="Q233" s="301">
        <f t="shared" si="94"/>
        <v>0.5</v>
      </c>
      <c r="R233" s="173">
        <f t="shared" si="95"/>
        <v>0.45169225077360148</v>
      </c>
      <c r="S233" s="802">
        <f t="shared" si="113"/>
        <v>0</v>
      </c>
      <c r="T233" s="172">
        <f t="shared" si="96"/>
        <v>6</v>
      </c>
      <c r="U233" s="247">
        <f t="shared" si="97"/>
        <v>0.45169225077360148</v>
      </c>
      <c r="V233" s="378">
        <f t="shared" si="98"/>
        <v>57.070291461790077</v>
      </c>
      <c r="W233" s="58"/>
      <c r="X233" s="153">
        <f t="shared" si="99"/>
        <v>44780</v>
      </c>
      <c r="Y233" s="380">
        <f t="shared" si="100"/>
        <v>55.585000000000001</v>
      </c>
      <c r="Z233" s="380">
        <f t="shared" si="101"/>
        <v>55.78166371918217</v>
      </c>
      <c r="AA233" s="381">
        <f t="shared" si="102"/>
        <v>56.782747348349247</v>
      </c>
      <c r="AB233" s="193">
        <f t="shared" si="103"/>
        <v>44780</v>
      </c>
      <c r="AC233" s="420">
        <f t="shared" si="104"/>
        <v>1.7630066805779183E-2</v>
      </c>
      <c r="AD233" s="165">
        <f>(INDEX(Models!$BJ233:$BT233,,AH233)*(1-AF233)+INDEX(Models!$BJ233:$BT233,,AH233+1)*AF233-ERP_i)*AE233*Ramure*Pc/MaxiM</f>
        <v>5.5829551687982419E-6</v>
      </c>
      <c r="AE233" s="301">
        <f t="shared" si="105"/>
        <v>0.5</v>
      </c>
      <c r="AF233" s="173">
        <f t="shared" si="106"/>
        <v>0.45169225077360148</v>
      </c>
      <c r="AG233" s="802">
        <f t="shared" si="107"/>
        <v>0</v>
      </c>
      <c r="AH233" s="172">
        <f t="shared" si="108"/>
        <v>6</v>
      </c>
      <c r="AI233" s="221">
        <f t="shared" si="109"/>
        <v>0.45169225077360148</v>
      </c>
      <c r="AJ233" s="261" t="b">
        <f t="shared" si="110"/>
        <v>0</v>
      </c>
      <c r="AK233" s="261" t="b">
        <f t="shared" si="111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12"/>
        <v>44781</v>
      </c>
      <c r="B234" s="610">
        <v>57.026000000000003</v>
      </c>
      <c r="C234" s="385"/>
      <c r="D234" s="388">
        <f t="shared" si="89"/>
        <v>57.228545491328198</v>
      </c>
      <c r="E234" s="380">
        <f t="shared" si="115"/>
        <v>58.259157719483461</v>
      </c>
      <c r="F234" s="380">
        <f t="shared" si="114"/>
        <v>58.259512816427666</v>
      </c>
      <c r="G234" s="110">
        <f t="shared" si="116"/>
        <v>1.0035125626922681</v>
      </c>
      <c r="I234" s="375">
        <f t="shared" si="90"/>
        <v>58.259512816427666</v>
      </c>
      <c r="J234" s="85">
        <v>2022</v>
      </c>
      <c r="K234" s="193">
        <f t="shared" si="91"/>
        <v>44781</v>
      </c>
      <c r="L234" s="431">
        <f t="shared" si="92"/>
        <v>3.5392388464404734E-3</v>
      </c>
      <c r="M234" s="847"/>
      <c r="N234" s="847"/>
      <c r="O234" s="320">
        <f t="shared" si="93"/>
        <v>1.7690132650348914E-2</v>
      </c>
      <c r="P234" s="165">
        <f>(INDEX(Models!$BJ234:$BT234,,T234)*(1-R234)+INDEX(Models!$BJ234:$BT234,,T234+1)*R234-ERP_i)*Q234*Ramure*Pc/MaxiM</f>
        <v>6.0950894889706721E-6</v>
      </c>
      <c r="Q234" s="301">
        <f t="shared" si="94"/>
        <v>0.5</v>
      </c>
      <c r="R234" s="173">
        <f t="shared" si="95"/>
        <v>0.453256524706523</v>
      </c>
      <c r="S234" s="802">
        <f t="shared" si="113"/>
        <v>0</v>
      </c>
      <c r="T234" s="172">
        <f t="shared" si="96"/>
        <v>6</v>
      </c>
      <c r="U234" s="247">
        <f t="shared" si="97"/>
        <v>0.453256524706523</v>
      </c>
      <c r="V234" s="378">
        <f t="shared" si="98"/>
        <v>56.826393729449812</v>
      </c>
      <c r="W234" s="58"/>
      <c r="X234" s="153">
        <f t="shared" si="99"/>
        <v>44781</v>
      </c>
      <c r="Y234" s="380">
        <f t="shared" si="100"/>
        <v>57.026000000000003</v>
      </c>
      <c r="Z234" s="380">
        <f t="shared" si="101"/>
        <v>57.228545491328198</v>
      </c>
      <c r="AA234" s="381">
        <f t="shared" si="102"/>
        <v>58.259157719483461</v>
      </c>
      <c r="AB234" s="193">
        <f t="shared" si="103"/>
        <v>44781</v>
      </c>
      <c r="AC234" s="420">
        <f t="shared" si="104"/>
        <v>1.7690132650348914E-2</v>
      </c>
      <c r="AD234" s="165">
        <f>(INDEX(Models!$BJ234:$BT234,,AH234)*(1-AF234)+INDEX(Models!$BJ234:$BT234,,AH234+1)*AF234-ERP_i)*AE234*Ramure*Pc/MaxiM</f>
        <v>6.0950894889706721E-6</v>
      </c>
      <c r="AE234" s="301">
        <f t="shared" si="105"/>
        <v>0.5</v>
      </c>
      <c r="AF234" s="173">
        <f t="shared" si="106"/>
        <v>0.453256524706523</v>
      </c>
      <c r="AG234" s="802">
        <f t="shared" si="107"/>
        <v>0</v>
      </c>
      <c r="AH234" s="172">
        <f t="shared" si="108"/>
        <v>6</v>
      </c>
      <c r="AI234" s="221">
        <f t="shared" si="109"/>
        <v>0.453256524706523</v>
      </c>
      <c r="AJ234" s="261" t="b">
        <f t="shared" si="110"/>
        <v>0</v>
      </c>
      <c r="AK234" s="261" t="b">
        <f t="shared" si="111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12"/>
        <v>44782</v>
      </c>
      <c r="B235" s="610">
        <v>54.369</v>
      </c>
      <c r="C235" s="385"/>
      <c r="D235" s="388">
        <f t="shared" si="89"/>
        <v>54.562855253025731</v>
      </c>
      <c r="E235" s="380">
        <f t="shared" si="115"/>
        <v>55.548852927934853</v>
      </c>
      <c r="F235" s="380">
        <f t="shared" si="114"/>
        <v>55.54920055473837</v>
      </c>
      <c r="G235" s="110">
        <f t="shared" si="116"/>
        <v>0.96093603603975941</v>
      </c>
      <c r="I235" s="375">
        <f t="shared" si="90"/>
        <v>55.54920055473837</v>
      </c>
      <c r="J235" s="85">
        <v>2022</v>
      </c>
      <c r="K235" s="193">
        <f t="shared" si="91"/>
        <v>44782</v>
      </c>
      <c r="L235" s="431">
        <f t="shared" si="92"/>
        <v>3.5528795574710781E-3</v>
      </c>
      <c r="M235" s="847"/>
      <c r="N235" s="847"/>
      <c r="O235" s="320">
        <f t="shared" si="93"/>
        <v>1.7750099649911522E-2</v>
      </c>
      <c r="P235" s="165">
        <f>(INDEX(Models!$BJ235:$BT235,,T235)*(1-R235)+INDEX(Models!$BJ235:$BT235,,T235+1)*R235-ERP_i)*Q235*Ramure*Pc/MaxiM</f>
        <v>6.6278674887120925E-6</v>
      </c>
      <c r="Q235" s="301">
        <f t="shared" si="94"/>
        <v>0.5</v>
      </c>
      <c r="R235" s="173">
        <f t="shared" si="95"/>
        <v>0.4547678855751513</v>
      </c>
      <c r="S235" s="802">
        <f t="shared" si="113"/>
        <v>0</v>
      </c>
      <c r="T235" s="172">
        <f t="shared" si="96"/>
        <v>6</v>
      </c>
      <c r="U235" s="247">
        <f t="shared" si="97"/>
        <v>0.4547678855751513</v>
      </c>
      <c r="V235" s="378">
        <f t="shared" si="98"/>
        <v>56.579187220956236</v>
      </c>
      <c r="W235" s="58"/>
      <c r="X235" s="153">
        <f t="shared" si="99"/>
        <v>44782</v>
      </c>
      <c r="Y235" s="380">
        <f t="shared" si="100"/>
        <v>54.369</v>
      </c>
      <c r="Z235" s="380">
        <f t="shared" si="101"/>
        <v>54.562855253025731</v>
      </c>
      <c r="AA235" s="381">
        <f t="shared" si="102"/>
        <v>55.548852927934853</v>
      </c>
      <c r="AB235" s="193">
        <f t="shared" si="103"/>
        <v>44782</v>
      </c>
      <c r="AC235" s="420">
        <f t="shared" si="104"/>
        <v>1.7750099649911522E-2</v>
      </c>
      <c r="AD235" s="165">
        <f>(INDEX(Models!$BJ235:$BT235,,AH235)*(1-AF235)+INDEX(Models!$BJ235:$BT235,,AH235+1)*AF235-ERP_i)*AE235*Ramure*Pc/MaxiM</f>
        <v>6.6278674887120925E-6</v>
      </c>
      <c r="AE235" s="301">
        <f t="shared" si="105"/>
        <v>0.5</v>
      </c>
      <c r="AF235" s="173">
        <f t="shared" si="106"/>
        <v>0.4547678855751513</v>
      </c>
      <c r="AG235" s="802">
        <f t="shared" si="107"/>
        <v>0</v>
      </c>
      <c r="AH235" s="172">
        <f t="shared" si="108"/>
        <v>6</v>
      </c>
      <c r="AI235" s="221">
        <f t="shared" si="109"/>
        <v>0.4547678855751513</v>
      </c>
      <c r="AJ235" s="261" t="b">
        <f t="shared" si="110"/>
        <v>0</v>
      </c>
      <c r="AK235" s="261" t="b">
        <f t="shared" si="111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12"/>
        <v>44783</v>
      </c>
      <c r="B236" s="610">
        <v>52.801000000000002</v>
      </c>
      <c r="C236" s="385"/>
      <c r="D236" s="388">
        <f t="shared" si="89"/>
        <v>52.989989862979201</v>
      </c>
      <c r="E236" s="380">
        <f t="shared" si="115"/>
        <v>53.95085279673588</v>
      </c>
      <c r="F236" s="380">
        <f t="shared" si="114"/>
        <v>53.951205583725304</v>
      </c>
      <c r="G236" s="110">
        <f t="shared" si="116"/>
        <v>0.93736747223695971</v>
      </c>
      <c r="I236" s="375">
        <f t="shared" si="90"/>
        <v>53.951205583725304</v>
      </c>
      <c r="J236" s="85">
        <v>2022</v>
      </c>
      <c r="K236" s="193">
        <f t="shared" si="91"/>
        <v>44783</v>
      </c>
      <c r="L236" s="431">
        <f t="shared" si="92"/>
        <v>3.566520081771718E-3</v>
      </c>
      <c r="M236" s="847"/>
      <c r="N236" s="847"/>
      <c r="O236" s="320">
        <f t="shared" si="93"/>
        <v>1.7809967478675581E-2</v>
      </c>
      <c r="P236" s="165">
        <f>(INDEX(Models!$BJ236:$BT236,,T236)*(1-R236)+INDEX(Models!$BJ236:$BT236,,T236+1)*R236-ERP_i)*Q236*Ramure*Pc/MaxiM</f>
        <v>7.1815657400062695E-6</v>
      </c>
      <c r="Q236" s="301">
        <f t="shared" si="94"/>
        <v>0.5</v>
      </c>
      <c r="R236" s="173">
        <f t="shared" si="95"/>
        <v>0.45622776104104845</v>
      </c>
      <c r="S236" s="802">
        <f t="shared" si="113"/>
        <v>0</v>
      </c>
      <c r="T236" s="172">
        <f t="shared" si="96"/>
        <v>6</v>
      </c>
      <c r="U236" s="247">
        <f t="shared" si="97"/>
        <v>0.45622776104104845</v>
      </c>
      <c r="V236" s="378">
        <f t="shared" si="98"/>
        <v>56.328993309010116</v>
      </c>
      <c r="W236" s="58"/>
      <c r="X236" s="153">
        <f t="shared" si="99"/>
        <v>44783</v>
      </c>
      <c r="Y236" s="380">
        <f t="shared" si="100"/>
        <v>52.801000000000002</v>
      </c>
      <c r="Z236" s="380">
        <f t="shared" si="101"/>
        <v>52.989989862979201</v>
      </c>
      <c r="AA236" s="381">
        <f t="shared" si="102"/>
        <v>53.95085279673588</v>
      </c>
      <c r="AB236" s="193">
        <f t="shared" si="103"/>
        <v>44783</v>
      </c>
      <c r="AC236" s="420">
        <f t="shared" si="104"/>
        <v>1.7809967478675581E-2</v>
      </c>
      <c r="AD236" s="165">
        <f>(INDEX(Models!$BJ236:$BT236,,AH236)*(1-AF236)+INDEX(Models!$BJ236:$BT236,,AH236+1)*AF236-ERP_i)*AE236*Ramure*Pc/MaxiM</f>
        <v>7.1815657400062695E-6</v>
      </c>
      <c r="AE236" s="301">
        <f t="shared" si="105"/>
        <v>0.5</v>
      </c>
      <c r="AF236" s="173">
        <f t="shared" si="106"/>
        <v>0.45622776104104845</v>
      </c>
      <c r="AG236" s="802">
        <f t="shared" si="107"/>
        <v>0</v>
      </c>
      <c r="AH236" s="172">
        <f t="shared" si="108"/>
        <v>6</v>
      </c>
      <c r="AI236" s="221">
        <f t="shared" si="109"/>
        <v>0.45622776104104845</v>
      </c>
      <c r="AJ236" s="261" t="b">
        <f t="shared" si="110"/>
        <v>0</v>
      </c>
      <c r="AK236" s="261" t="b">
        <f t="shared" si="111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12"/>
        <v>44784</v>
      </c>
      <c r="B237" s="610">
        <v>49.831000000000003</v>
      </c>
      <c r="C237" s="385"/>
      <c r="D237" s="388">
        <f t="shared" si="89"/>
        <v>50.010043980027007</v>
      </c>
      <c r="E237" s="380">
        <f t="shared" si="115"/>
        <v>50.919970383845083</v>
      </c>
      <c r="F237" s="380">
        <f t="shared" si="114"/>
        <v>50.920302507199573</v>
      </c>
      <c r="G237" s="110">
        <f t="shared" si="116"/>
        <v>0.88863007459677434</v>
      </c>
      <c r="I237" s="375">
        <f t="shared" si="90"/>
        <v>50.920302507199573</v>
      </c>
      <c r="J237" s="85">
        <v>2022</v>
      </c>
      <c r="K237" s="193">
        <f t="shared" si="91"/>
        <v>44784</v>
      </c>
      <c r="L237" s="431">
        <f t="shared" si="92"/>
        <v>3.5801604193451686E-3</v>
      </c>
      <c r="M237" s="847"/>
      <c r="N237" s="847"/>
      <c r="O237" s="320">
        <f t="shared" si="93"/>
        <v>1.7869735527316074E-2</v>
      </c>
      <c r="P237" s="165">
        <f>(INDEX(Models!$BJ237:$BT237,,T237)*(1-R237)+INDEX(Models!$BJ237:$BT237,,T237+1)*R237-ERP_i)*Q237*Ramure*Pc/MaxiM</f>
        <v>7.7564540504396467E-6</v>
      </c>
      <c r="Q237" s="301">
        <f t="shared" si="94"/>
        <v>0.5</v>
      </c>
      <c r="R237" s="173">
        <f t="shared" si="95"/>
        <v>0.45763756714739096</v>
      </c>
      <c r="S237" s="802">
        <f t="shared" si="113"/>
        <v>0</v>
      </c>
      <c r="T237" s="172">
        <f t="shared" si="96"/>
        <v>6</v>
      </c>
      <c r="U237" s="247">
        <f t="shared" si="97"/>
        <v>0.45763756714739096</v>
      </c>
      <c r="V237" s="378">
        <f t="shared" si="98"/>
        <v>56.076133287318378</v>
      </c>
      <c r="W237" s="58"/>
      <c r="X237" s="153">
        <f t="shared" si="99"/>
        <v>44784</v>
      </c>
      <c r="Y237" s="380">
        <f t="shared" si="100"/>
        <v>49.831000000000003</v>
      </c>
      <c r="Z237" s="380">
        <f t="shared" si="101"/>
        <v>50.010043980027007</v>
      </c>
      <c r="AA237" s="381">
        <f t="shared" si="102"/>
        <v>50.919970383845083</v>
      </c>
      <c r="AB237" s="193">
        <f t="shared" si="103"/>
        <v>44784</v>
      </c>
      <c r="AC237" s="420">
        <f t="shared" si="104"/>
        <v>1.7869735527316074E-2</v>
      </c>
      <c r="AD237" s="165">
        <f>(INDEX(Models!$BJ237:$BT237,,AH237)*(1-AF237)+INDEX(Models!$BJ237:$BT237,,AH237+1)*AF237-ERP_i)*AE237*Ramure*Pc/MaxiM</f>
        <v>7.7564540504396467E-6</v>
      </c>
      <c r="AE237" s="301">
        <f t="shared" si="105"/>
        <v>0.5</v>
      </c>
      <c r="AF237" s="173">
        <f t="shared" si="106"/>
        <v>0.45763756714739096</v>
      </c>
      <c r="AG237" s="802">
        <f t="shared" si="107"/>
        <v>0</v>
      </c>
      <c r="AH237" s="172">
        <f t="shared" si="108"/>
        <v>6</v>
      </c>
      <c r="AI237" s="221">
        <f t="shared" si="109"/>
        <v>0.45763756714739096</v>
      </c>
      <c r="AJ237" s="261" t="b">
        <f t="shared" si="110"/>
        <v>0</v>
      </c>
      <c r="AK237" s="261" t="b">
        <f t="shared" si="111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12"/>
        <v>44785</v>
      </c>
      <c r="B238" s="610">
        <v>0</v>
      </c>
      <c r="C238" s="385"/>
      <c r="D238" s="388">
        <f t="shared" si="89"/>
        <v>0</v>
      </c>
      <c r="E238" s="380">
        <f t="shared" si="115"/>
        <v>0</v>
      </c>
      <c r="F238" s="380">
        <f t="shared" si="114"/>
        <v>0</v>
      </c>
      <c r="G238" s="110">
        <f t="shared" si="116"/>
        <v>0</v>
      </c>
      <c r="I238" s="375">
        <f t="shared" si="90"/>
        <v>0</v>
      </c>
      <c r="J238" s="85">
        <v>2022</v>
      </c>
      <c r="K238" s="193">
        <f t="shared" si="91"/>
        <v>44785</v>
      </c>
      <c r="L238" s="431">
        <f t="shared" si="92"/>
        <v>3.5938005701937614E-3</v>
      </c>
      <c r="M238" s="847"/>
      <c r="N238" s="847"/>
      <c r="O238" s="320">
        <f t="shared" si="93"/>
        <v>1.7929402919202007E-2</v>
      </c>
      <c r="P238" s="165">
        <f>(INDEX(Models!$BJ238:$BT238,,T238)*(1-R238)+INDEX(Models!$BJ238:$BT238,,T238+1)*R238-ERP_i)*Q238*Ramure*Pc/MaxiM</f>
        <v>8.3527942370272533E-6</v>
      </c>
      <c r="Q238" s="301">
        <f t="shared" si="94"/>
        <v>0.5</v>
      </c>
      <c r="R238" s="173">
        <f t="shared" si="95"/>
        <v>0.45899870613495702</v>
      </c>
      <c r="S238" s="802">
        <f t="shared" si="113"/>
        <v>0</v>
      </c>
      <c r="T238" s="172">
        <f t="shared" si="96"/>
        <v>6</v>
      </c>
      <c r="U238" s="247">
        <f t="shared" si="97"/>
        <v>0.45899870613495702</v>
      </c>
      <c r="V238" s="378">
        <f t="shared" si="98"/>
        <v>55.820928366256638</v>
      </c>
      <c r="W238" s="58"/>
      <c r="X238" s="153">
        <f t="shared" si="99"/>
        <v>44785</v>
      </c>
      <c r="Y238" s="380">
        <f t="shared" si="100"/>
        <v>0</v>
      </c>
      <c r="Z238" s="380">
        <f t="shared" si="101"/>
        <v>0</v>
      </c>
      <c r="AA238" s="381">
        <f t="shared" si="102"/>
        <v>0</v>
      </c>
      <c r="AB238" s="193">
        <f t="shared" si="103"/>
        <v>44785</v>
      </c>
      <c r="AC238" s="420">
        <f t="shared" si="104"/>
        <v>1.7929402919202007E-2</v>
      </c>
      <c r="AD238" s="165">
        <f>(INDEX(Models!$BJ238:$BT238,,AH238)*(1-AF238)+INDEX(Models!$BJ238:$BT238,,AH238+1)*AF238-ERP_i)*AE238*Ramure*Pc/MaxiM</f>
        <v>8.3527942370272533E-6</v>
      </c>
      <c r="AE238" s="301">
        <f t="shared" si="105"/>
        <v>0.5</v>
      </c>
      <c r="AF238" s="173">
        <f t="shared" si="106"/>
        <v>0.45899870613495702</v>
      </c>
      <c r="AG238" s="802">
        <f t="shared" si="107"/>
        <v>0</v>
      </c>
      <c r="AH238" s="172">
        <f t="shared" si="108"/>
        <v>6</v>
      </c>
      <c r="AI238" s="221">
        <f t="shared" si="109"/>
        <v>0.45899870613495702</v>
      </c>
      <c r="AJ238" s="261" t="b">
        <f t="shared" si="110"/>
        <v>0</v>
      </c>
      <c r="AK238" s="261" t="b">
        <f t="shared" si="111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12"/>
        <v>44786</v>
      </c>
      <c r="B239" s="610">
        <v>37.035000000000004</v>
      </c>
      <c r="C239" s="385"/>
      <c r="D239" s="388">
        <f t="shared" si="89"/>
        <v>37.169085264807869</v>
      </c>
      <c r="E239" s="380">
        <f t="shared" si="115"/>
        <v>37.849967132293422</v>
      </c>
      <c r="F239" s="380">
        <f t="shared" si="114"/>
        <v>37.850144925351806</v>
      </c>
      <c r="G239" s="110">
        <f t="shared" si="116"/>
        <v>0.66652944181844587</v>
      </c>
      <c r="I239" s="375">
        <f t="shared" si="90"/>
        <v>37.850144925351806</v>
      </c>
      <c r="J239" s="85">
        <v>2022</v>
      </c>
      <c r="K239" s="193">
        <f t="shared" si="91"/>
        <v>44786</v>
      </c>
      <c r="L239" s="431">
        <f t="shared" si="92"/>
        <v>3.60744053432005E-3</v>
      </c>
      <c r="M239" s="847"/>
      <c r="N239" s="847"/>
      <c r="O239" s="320">
        <f t="shared" si="93"/>
        <v>1.798896852686108E-2</v>
      </c>
      <c r="P239" s="165">
        <f>(INDEX(Models!$BJ239:$BT239,,T239)*(1-R239)+INDEX(Models!$BJ239:$BT239,,T239+1)*R239-ERP_i)*Q239*Ramure*Pc/MaxiM</f>
        <v>8.9708388136044764E-6</v>
      </c>
      <c r="Q239" s="301">
        <f t="shared" si="94"/>
        <v>0.5</v>
      </c>
      <c r="R239" s="173">
        <f t="shared" si="95"/>
        <v>0.46031256446270064</v>
      </c>
      <c r="S239" s="802">
        <f t="shared" si="113"/>
        <v>0</v>
      </c>
      <c r="T239" s="172">
        <f t="shared" si="96"/>
        <v>6</v>
      </c>
      <c r="U239" s="247">
        <f t="shared" si="97"/>
        <v>0.46031256446270064</v>
      </c>
      <c r="V239" s="378">
        <f t="shared" si="98"/>
        <v>55.563699672873931</v>
      </c>
      <c r="W239" s="58"/>
      <c r="X239" s="153">
        <f t="shared" si="99"/>
        <v>44786</v>
      </c>
      <c r="Y239" s="380">
        <f t="shared" si="100"/>
        <v>37.035000000000004</v>
      </c>
      <c r="Z239" s="380">
        <f t="shared" si="101"/>
        <v>37.169085264807869</v>
      </c>
      <c r="AA239" s="381">
        <f t="shared" si="102"/>
        <v>37.849967132293422</v>
      </c>
      <c r="AB239" s="193">
        <f t="shared" si="103"/>
        <v>44786</v>
      </c>
      <c r="AC239" s="420">
        <f t="shared" si="104"/>
        <v>1.798896852686108E-2</v>
      </c>
      <c r="AD239" s="165">
        <f>(INDEX(Models!$BJ239:$BT239,,AH239)*(1-AF239)+INDEX(Models!$BJ239:$BT239,,AH239+1)*AF239-ERP_i)*AE239*Ramure*Pc/MaxiM</f>
        <v>8.9708388136044764E-6</v>
      </c>
      <c r="AE239" s="301">
        <f t="shared" si="105"/>
        <v>0.5</v>
      </c>
      <c r="AF239" s="173">
        <f t="shared" si="106"/>
        <v>0.46031256446270064</v>
      </c>
      <c r="AG239" s="802">
        <f t="shared" si="107"/>
        <v>0</v>
      </c>
      <c r="AH239" s="172">
        <f t="shared" si="108"/>
        <v>6</v>
      </c>
      <c r="AI239" s="221">
        <f t="shared" si="109"/>
        <v>0.46031256446270064</v>
      </c>
      <c r="AJ239" s="261" t="b">
        <f t="shared" si="110"/>
        <v>0</v>
      </c>
      <c r="AK239" s="261" t="b">
        <f t="shared" si="111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12"/>
        <v>44787</v>
      </c>
      <c r="B240" s="610">
        <v>37.103000000000002</v>
      </c>
      <c r="C240" s="385"/>
      <c r="D240" s="388">
        <f t="shared" si="89"/>
        <v>37.237841213670031</v>
      </c>
      <c r="E240" s="380">
        <f t="shared" si="115"/>
        <v>37.922278846351254</v>
      </c>
      <c r="F240" s="380">
        <f t="shared" si="114"/>
        <v>37.922472113762595</v>
      </c>
      <c r="G240" s="110">
        <f t="shared" si="116"/>
        <v>0.67087944988692028</v>
      </c>
      <c r="I240" s="375">
        <f t="shared" si="90"/>
        <v>37.922472113762595</v>
      </c>
      <c r="J240" s="85">
        <v>2022</v>
      </c>
      <c r="K240" s="193">
        <f t="shared" si="91"/>
        <v>44787</v>
      </c>
      <c r="L240" s="431">
        <f t="shared" si="92"/>
        <v>3.6210803117268098E-3</v>
      </c>
      <c r="M240" s="847"/>
      <c r="N240" s="847"/>
      <c r="O240" s="320">
        <f t="shared" si="93"/>
        <v>1.8048430988399786E-2</v>
      </c>
      <c r="P240" s="165">
        <f>(INDEX(Models!$BJ240:$BT240,,T240)*(1-R240)+INDEX(Models!$BJ240:$BT240,,T240+1)*R240-ERP_i)*Q240*Ramure*Pc/MaxiM</f>
        <v>9.6188622669099002E-6</v>
      </c>
      <c r="Q240" s="301">
        <f t="shared" si="94"/>
        <v>0.5</v>
      </c>
      <c r="R240" s="173">
        <f t="shared" si="95"/>
        <v>0.46158051102364955</v>
      </c>
      <c r="S240" s="802">
        <f t="shared" si="113"/>
        <v>0</v>
      </c>
      <c r="T240" s="172">
        <f t="shared" si="96"/>
        <v>6</v>
      </c>
      <c r="U240" s="247">
        <f t="shared" si="97"/>
        <v>0.46158051102364955</v>
      </c>
      <c r="V240" s="378">
        <f t="shared" si="98"/>
        <v>55.304767805632224</v>
      </c>
      <c r="W240" s="58"/>
      <c r="X240" s="153">
        <f t="shared" si="99"/>
        <v>44787</v>
      </c>
      <c r="Y240" s="380">
        <f t="shared" si="100"/>
        <v>37.103000000000002</v>
      </c>
      <c r="Z240" s="380">
        <f t="shared" si="101"/>
        <v>37.237841213670031</v>
      </c>
      <c r="AA240" s="381">
        <f t="shared" si="102"/>
        <v>37.922278846351254</v>
      </c>
      <c r="AB240" s="193">
        <f t="shared" si="103"/>
        <v>44787</v>
      </c>
      <c r="AC240" s="420">
        <f t="shared" si="104"/>
        <v>1.8048430988399786E-2</v>
      </c>
      <c r="AD240" s="165">
        <f>(INDEX(Models!$BJ240:$BT240,,AH240)*(1-AF240)+INDEX(Models!$BJ240:$BT240,,AH240+1)*AF240-ERP_i)*AE240*Ramure*Pc/MaxiM</f>
        <v>9.6188622669099002E-6</v>
      </c>
      <c r="AE240" s="301">
        <f t="shared" si="105"/>
        <v>0.5</v>
      </c>
      <c r="AF240" s="173">
        <f t="shared" si="106"/>
        <v>0.46158051102364955</v>
      </c>
      <c r="AG240" s="802">
        <f t="shared" si="107"/>
        <v>0</v>
      </c>
      <c r="AH240" s="172">
        <f t="shared" si="108"/>
        <v>6</v>
      </c>
      <c r="AI240" s="221">
        <f t="shared" si="109"/>
        <v>0.46158051102364955</v>
      </c>
      <c r="AJ240" s="261" t="b">
        <f t="shared" si="110"/>
        <v>0</v>
      </c>
      <c r="AK240" s="261" t="b">
        <f t="shared" si="111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12"/>
        <v>44788</v>
      </c>
      <c r="B241" s="610">
        <v>37.524999999999999</v>
      </c>
      <c r="C241" s="385"/>
      <c r="D241" s="388">
        <f t="shared" si="89"/>
        <v>37.66189042268195</v>
      </c>
      <c r="E241" s="380">
        <f t="shared" si="115"/>
        <v>38.356440747935075</v>
      </c>
      <c r="F241" s="380">
        <f t="shared" si="114"/>
        <v>38.356655660783957</v>
      </c>
      <c r="G241" s="110">
        <f t="shared" si="116"/>
        <v>0.68171852587818882</v>
      </c>
      <c r="I241" s="375">
        <f t="shared" si="90"/>
        <v>38.356655660783957</v>
      </c>
      <c r="J241" s="85">
        <v>2022</v>
      </c>
      <c r="K241" s="193">
        <f t="shared" si="91"/>
        <v>44788</v>
      </c>
      <c r="L241" s="431">
        <f t="shared" si="92"/>
        <v>3.6347199024164834E-3</v>
      </c>
      <c r="M241" s="847"/>
      <c r="N241" s="847"/>
      <c r="O241" s="320">
        <f t="shared" si="93"/>
        <v>1.810778872360605E-2</v>
      </c>
      <c r="P241" s="165">
        <f>(INDEX(Models!$BJ241:$BT241,,T241)*(1-R241)+INDEX(Models!$BJ241:$BT241,,T241+1)*R241-ERP_i)*Q241*Ramure*Pc/MaxiM</f>
        <v>1.0274786961575312E-5</v>
      </c>
      <c r="Q241" s="301">
        <f t="shared" si="94"/>
        <v>0.5</v>
      </c>
      <c r="R241" s="173">
        <f t="shared" si="95"/>
        <v>0.46280389554668977</v>
      </c>
      <c r="S241" s="802">
        <f t="shared" si="113"/>
        <v>0</v>
      </c>
      <c r="T241" s="172">
        <f t="shared" si="96"/>
        <v>6</v>
      </c>
      <c r="U241" s="247">
        <f t="shared" si="97"/>
        <v>0.46280389554668977</v>
      </c>
      <c r="V241" s="378">
        <f t="shared" si="98"/>
        <v>55.044454956492189</v>
      </c>
      <c r="W241" s="58"/>
      <c r="X241" s="153">
        <f t="shared" si="99"/>
        <v>44788</v>
      </c>
      <c r="Y241" s="380">
        <f t="shared" si="100"/>
        <v>37.524999999999999</v>
      </c>
      <c r="Z241" s="380">
        <f t="shared" si="101"/>
        <v>37.66189042268195</v>
      </c>
      <c r="AA241" s="381">
        <f t="shared" si="102"/>
        <v>38.356440747935075</v>
      </c>
      <c r="AB241" s="193">
        <f t="shared" si="103"/>
        <v>44788</v>
      </c>
      <c r="AC241" s="420">
        <f t="shared" si="104"/>
        <v>1.810778872360605E-2</v>
      </c>
      <c r="AD241" s="165">
        <f>(INDEX(Models!$BJ241:$BT241,,AH241)*(1-AF241)+INDEX(Models!$BJ241:$BT241,,AH241+1)*AF241-ERP_i)*AE241*Ramure*Pc/MaxiM</f>
        <v>1.0274786961575312E-5</v>
      </c>
      <c r="AE241" s="301">
        <f t="shared" si="105"/>
        <v>0.5</v>
      </c>
      <c r="AF241" s="173">
        <f t="shared" si="106"/>
        <v>0.46280389554668977</v>
      </c>
      <c r="AG241" s="802">
        <f t="shared" si="107"/>
        <v>0</v>
      </c>
      <c r="AH241" s="172">
        <f t="shared" si="108"/>
        <v>6</v>
      </c>
      <c r="AI241" s="221">
        <f t="shared" si="109"/>
        <v>0.46280389554668977</v>
      </c>
      <c r="AJ241" s="261" t="b">
        <f t="shared" si="110"/>
        <v>0</v>
      </c>
      <c r="AK241" s="261" t="b">
        <f t="shared" si="111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12"/>
        <v>44789</v>
      </c>
      <c r="B242" s="610">
        <v>38.866999999999997</v>
      </c>
      <c r="C242" s="385"/>
      <c r="D242" s="388">
        <f t="shared" si="89"/>
        <v>39.009320015715339</v>
      </c>
      <c r="E242" s="380">
        <f t="shared" si="115"/>
        <v>39.73111680189254</v>
      </c>
      <c r="F242" s="380">
        <f t="shared" si="114"/>
        <v>39.731371026563743</v>
      </c>
      <c r="G242" s="110">
        <f t="shared" si="116"/>
        <v>0.70946763352873421</v>
      </c>
      <c r="I242" s="375">
        <f t="shared" si="90"/>
        <v>39.731371026563743</v>
      </c>
      <c r="J242" s="85">
        <v>2022</v>
      </c>
      <c r="K242" s="193">
        <f t="shared" si="91"/>
        <v>44789</v>
      </c>
      <c r="L242" s="431">
        <f t="shared" si="92"/>
        <v>3.6483593063915132E-3</v>
      </c>
      <c r="M242" s="847"/>
      <c r="N242" s="847"/>
      <c r="O242" s="320">
        <f t="shared" si="93"/>
        <v>1.8167039949473971E-2</v>
      </c>
      <c r="P242" s="165">
        <f>(INDEX(Models!$BJ242:$BT242,,T242)*(1-R242)+INDEX(Models!$BJ242:$BT242,,T242+1)*R242-ERP_i)*Q242*Ramure*Pc/MaxiM</f>
        <v>1.0938535682187115E-5</v>
      </c>
      <c r="Q242" s="301">
        <f t="shared" si="94"/>
        <v>0.5</v>
      </c>
      <c r="R242" s="173">
        <f t="shared" si="95"/>
        <v>0.46398404717470854</v>
      </c>
      <c r="S242" s="802">
        <f t="shared" si="113"/>
        <v>0</v>
      </c>
      <c r="T242" s="172">
        <f t="shared" si="96"/>
        <v>6</v>
      </c>
      <c r="U242" s="247">
        <f t="shared" si="97"/>
        <v>0.46398404717470854</v>
      </c>
      <c r="V242" s="378">
        <f t="shared" si="98"/>
        <v>54.78308200108696</v>
      </c>
      <c r="W242" s="58"/>
      <c r="X242" s="153">
        <f t="shared" si="99"/>
        <v>44789</v>
      </c>
      <c r="Y242" s="380">
        <f t="shared" si="100"/>
        <v>38.866999999999997</v>
      </c>
      <c r="Z242" s="380">
        <f t="shared" si="101"/>
        <v>39.009320015715339</v>
      </c>
      <c r="AA242" s="381">
        <f t="shared" si="102"/>
        <v>39.73111680189254</v>
      </c>
      <c r="AB242" s="193">
        <f t="shared" si="103"/>
        <v>44789</v>
      </c>
      <c r="AC242" s="420">
        <f t="shared" si="104"/>
        <v>1.8167039949473971E-2</v>
      </c>
      <c r="AD242" s="165">
        <f>(INDEX(Models!$BJ242:$BT242,,AH242)*(1-AF242)+INDEX(Models!$BJ242:$BT242,,AH242+1)*AF242-ERP_i)*AE242*Ramure*Pc/MaxiM</f>
        <v>1.0938535682187115E-5</v>
      </c>
      <c r="AE242" s="301">
        <f t="shared" si="105"/>
        <v>0.5</v>
      </c>
      <c r="AF242" s="173">
        <f t="shared" si="106"/>
        <v>0.46398404717470854</v>
      </c>
      <c r="AG242" s="802">
        <f t="shared" si="107"/>
        <v>0</v>
      </c>
      <c r="AH242" s="172">
        <f t="shared" si="108"/>
        <v>6</v>
      </c>
      <c r="AI242" s="221">
        <f t="shared" si="109"/>
        <v>0.46398404717470854</v>
      </c>
      <c r="AJ242" s="261" t="b">
        <f t="shared" si="110"/>
        <v>0</v>
      </c>
      <c r="AK242" s="261" t="b">
        <f t="shared" si="111"/>
        <v>0</v>
      </c>
      <c r="AL242" s="261"/>
      <c r="AM242" s="261"/>
      <c r="AN242" s="75"/>
    </row>
    <row r="243" spans="1:40" s="6" customFormat="1" ht="11.25" x14ac:dyDescent="0.2">
      <c r="A243" s="56">
        <f t="shared" si="112"/>
        <v>44790</v>
      </c>
      <c r="B243" s="610">
        <v>27.035</v>
      </c>
      <c r="C243" s="385"/>
      <c r="D243" s="388">
        <f t="shared" si="89"/>
        <v>27.134366008262564</v>
      </c>
      <c r="E243" s="380">
        <f t="shared" si="115"/>
        <v>27.638103125162413</v>
      </c>
      <c r="F243" s="380">
        <f t="shared" si="114"/>
        <v>27.638192909314213</v>
      </c>
      <c r="G243" s="110">
        <f t="shared" si="116"/>
        <v>0.49586010815829257</v>
      </c>
      <c r="I243" s="375">
        <f t="shared" si="90"/>
        <v>27.638192909314213</v>
      </c>
      <c r="J243" s="85">
        <v>2022</v>
      </c>
      <c r="K243" s="193">
        <f t="shared" si="91"/>
        <v>44790</v>
      </c>
      <c r="L243" s="431">
        <f t="shared" si="92"/>
        <v>3.6619985236546748E-3</v>
      </c>
      <c r="M243" s="847"/>
      <c r="N243" s="847"/>
      <c r="O243" s="320">
        <f t="shared" si="93"/>
        <v>1.8226182694905488E-2</v>
      </c>
      <c r="P243" s="165">
        <f>(INDEX(Models!$BJ243:$BT243,,T243)*(1-R243)+INDEX(Models!$BJ243:$BT243,,T243+1)*R243-ERP_i)*Q243*Ramure*Pc/MaxiM</f>
        <v>1.1610018102831821E-5</v>
      </c>
      <c r="Q243" s="301">
        <f t="shared" si="94"/>
        <v>0.5</v>
      </c>
      <c r="R243" s="173">
        <f t="shared" si="95"/>
        <v>0.46512227320956118</v>
      </c>
      <c r="S243" s="802">
        <f t="shared" si="113"/>
        <v>0</v>
      </c>
      <c r="T243" s="172">
        <f t="shared" si="96"/>
        <v>6</v>
      </c>
      <c r="U243" s="247">
        <f t="shared" si="97"/>
        <v>0.46512227320956118</v>
      </c>
      <c r="V243" s="378">
        <f t="shared" si="98"/>
        <v>54.520969729719155</v>
      </c>
      <c r="W243" s="58"/>
      <c r="X243" s="153">
        <f t="shared" si="99"/>
        <v>44790</v>
      </c>
      <c r="Y243" s="380">
        <f t="shared" si="100"/>
        <v>27.035</v>
      </c>
      <c r="Z243" s="380">
        <f t="shared" si="101"/>
        <v>27.134366008262564</v>
      </c>
      <c r="AA243" s="381">
        <f t="shared" si="102"/>
        <v>27.638103125162413</v>
      </c>
      <c r="AB243" s="193">
        <f t="shared" si="103"/>
        <v>44790</v>
      </c>
      <c r="AC243" s="420">
        <f t="shared" si="104"/>
        <v>1.8226182694905488E-2</v>
      </c>
      <c r="AD243" s="165">
        <f>(INDEX(Models!$BJ243:$BT243,,AH243)*(1-AF243)+INDEX(Models!$BJ243:$BT243,,AH243+1)*AF243-ERP_i)*AE243*Ramure*Pc/MaxiM</f>
        <v>1.1610018102831821E-5</v>
      </c>
      <c r="AE243" s="301">
        <f t="shared" si="105"/>
        <v>0.5</v>
      </c>
      <c r="AF243" s="173">
        <f t="shared" si="106"/>
        <v>0.46512227320956118</v>
      </c>
      <c r="AG243" s="802">
        <f t="shared" si="107"/>
        <v>0</v>
      </c>
      <c r="AH243" s="172">
        <f t="shared" si="108"/>
        <v>6</v>
      </c>
      <c r="AI243" s="221">
        <f t="shared" si="109"/>
        <v>0.46512227320956118</v>
      </c>
      <c r="AJ243" s="261" t="b">
        <f t="shared" si="110"/>
        <v>0</v>
      </c>
      <c r="AK243" s="261" t="b">
        <f t="shared" si="111"/>
        <v>0</v>
      </c>
      <c r="AL243" s="261"/>
      <c r="AM243" s="261"/>
      <c r="AN243" s="75"/>
    </row>
    <row r="244" spans="1:40" s="6" customFormat="1" ht="11.25" x14ac:dyDescent="0.2">
      <c r="A244" s="56">
        <f t="shared" si="112"/>
        <v>44791</v>
      </c>
      <c r="B244" s="610">
        <v>41.250999999999998</v>
      </c>
      <c r="C244" s="385"/>
      <c r="D244" s="388">
        <f t="shared" si="89"/>
        <v>41.403183094646444</v>
      </c>
      <c r="E244" s="380">
        <f t="shared" si="115"/>
        <v>42.174350146735662</v>
      </c>
      <c r="F244" s="380">
        <f t="shared" si="114"/>
        <v>42.174690936516853</v>
      </c>
      <c r="G244" s="110">
        <f t="shared" si="116"/>
        <v>0.76026563361272825</v>
      </c>
      <c r="I244" s="375">
        <f t="shared" si="90"/>
        <v>42.174690936516853</v>
      </c>
      <c r="J244" s="85">
        <v>2022</v>
      </c>
      <c r="K244" s="193">
        <f t="shared" si="91"/>
        <v>44791</v>
      </c>
      <c r="L244" s="431">
        <f t="shared" si="92"/>
        <v>3.6756375542082997E-3</v>
      </c>
      <c r="M244" s="847"/>
      <c r="N244" s="847"/>
      <c r="O244" s="320">
        <f t="shared" si="93"/>
        <v>1.8285214814362852E-2</v>
      </c>
      <c r="P244" s="165">
        <f>(INDEX(Models!$BJ244:$BT244,,T244)*(1-R244)+INDEX(Models!$BJ244:$BT244,,T244+1)*R244-ERP_i)*Q244*Ramure*Pc/MaxiM</f>
        <v>1.2289129674593104E-5</v>
      </c>
      <c r="Q244" s="301">
        <f t="shared" si="94"/>
        <v>0.5</v>
      </c>
      <c r="R244" s="173">
        <f t="shared" si="95"/>
        <v>0.46621985801437477</v>
      </c>
      <c r="S244" s="802">
        <f t="shared" si="113"/>
        <v>0</v>
      </c>
      <c r="T244" s="172">
        <f t="shared" si="96"/>
        <v>6</v>
      </c>
      <c r="U244" s="247">
        <f t="shared" si="97"/>
        <v>0.46621985801437477</v>
      </c>
      <c r="V244" s="378">
        <f t="shared" si="98"/>
        <v>54.258438842810804</v>
      </c>
      <c r="W244" s="58"/>
      <c r="X244" s="153">
        <f t="shared" si="99"/>
        <v>44791</v>
      </c>
      <c r="Y244" s="380">
        <f t="shared" si="100"/>
        <v>41.250999999999998</v>
      </c>
      <c r="Z244" s="380">
        <f t="shared" si="101"/>
        <v>41.403183094646444</v>
      </c>
      <c r="AA244" s="381">
        <f t="shared" si="102"/>
        <v>42.174350146735662</v>
      </c>
      <c r="AB244" s="193">
        <f t="shared" si="103"/>
        <v>44791</v>
      </c>
      <c r="AC244" s="420">
        <f t="shared" si="104"/>
        <v>1.8285214814362852E-2</v>
      </c>
      <c r="AD244" s="165">
        <f>(INDEX(Models!$BJ244:$BT244,,AH244)*(1-AF244)+INDEX(Models!$BJ244:$BT244,,AH244+1)*AF244-ERP_i)*AE244*Ramure*Pc/MaxiM</f>
        <v>1.2289129674593104E-5</v>
      </c>
      <c r="AE244" s="301">
        <f t="shared" si="105"/>
        <v>0.5</v>
      </c>
      <c r="AF244" s="173">
        <f t="shared" si="106"/>
        <v>0.46621985801437477</v>
      </c>
      <c r="AG244" s="802">
        <f t="shared" si="107"/>
        <v>0</v>
      </c>
      <c r="AH244" s="172">
        <f t="shared" si="108"/>
        <v>6</v>
      </c>
      <c r="AI244" s="221">
        <f t="shared" si="109"/>
        <v>0.46621985801437477</v>
      </c>
      <c r="AJ244" s="261" t="b">
        <f t="shared" si="110"/>
        <v>0</v>
      </c>
      <c r="AK244" s="261" t="b">
        <f t="shared" si="111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12"/>
        <v>44792</v>
      </c>
      <c r="B245" s="610">
        <v>40.837000000000003</v>
      </c>
      <c r="C245" s="385"/>
      <c r="D245" s="388">
        <f t="shared" si="89"/>
        <v>40.98821686106389</v>
      </c>
      <c r="E245" s="380">
        <f t="shared" si="115"/>
        <v>41.754160781508581</v>
      </c>
      <c r="F245" s="380">
        <f t="shared" si="114"/>
        <v>41.754513954757151</v>
      </c>
      <c r="G245" s="110">
        <f t="shared" si="116"/>
        <v>0.75629600808182351</v>
      </c>
      <c r="I245" s="375">
        <f t="shared" si="90"/>
        <v>41.754513954757151</v>
      </c>
      <c r="J245" s="85">
        <v>2022</v>
      </c>
      <c r="K245" s="193">
        <f t="shared" si="91"/>
        <v>44792</v>
      </c>
      <c r="L245" s="431">
        <f t="shared" si="92"/>
        <v>3.6892763980550525E-3</v>
      </c>
      <c r="M245" s="847"/>
      <c r="N245" s="847"/>
      <c r="O245" s="320">
        <f t="shared" si="93"/>
        <v>1.8344134000267114E-2</v>
      </c>
      <c r="P245" s="165">
        <f>(INDEX(Models!$BJ245:$BT245,,T245)*(1-R245)+INDEX(Models!$BJ245:$BT245,,T245+1)*R245-ERP_i)*Q245*Ramure*Pc/MaxiM</f>
        <v>1.2975750502675992E-5</v>
      </c>
      <c r="Q245" s="301">
        <f t="shared" si="94"/>
        <v>0.5</v>
      </c>
      <c r="R245" s="173">
        <f t="shared" si="95"/>
        <v>0.46727806206381411</v>
      </c>
      <c r="S245" s="802">
        <f t="shared" si="113"/>
        <v>0</v>
      </c>
      <c r="T245" s="172">
        <f t="shared" si="96"/>
        <v>6</v>
      </c>
      <c r="U245" s="247">
        <f t="shared" si="97"/>
        <v>0.46727806206381411</v>
      </c>
      <c r="V245" s="378">
        <f t="shared" si="98"/>
        <v>53.995809952649623</v>
      </c>
      <c r="W245" s="58"/>
      <c r="X245" s="153">
        <f t="shared" si="99"/>
        <v>44792</v>
      </c>
      <c r="Y245" s="380">
        <f t="shared" si="100"/>
        <v>40.837000000000003</v>
      </c>
      <c r="Z245" s="380">
        <f t="shared" si="101"/>
        <v>40.98821686106389</v>
      </c>
      <c r="AA245" s="381">
        <f t="shared" si="102"/>
        <v>41.754160781508581</v>
      </c>
      <c r="AB245" s="193">
        <f t="shared" si="103"/>
        <v>44792</v>
      </c>
      <c r="AC245" s="420">
        <f t="shared" si="104"/>
        <v>1.8344134000267114E-2</v>
      </c>
      <c r="AD245" s="165">
        <f>(INDEX(Models!$BJ245:$BT245,,AH245)*(1-AF245)+INDEX(Models!$BJ245:$BT245,,AH245+1)*AF245-ERP_i)*AE245*Ramure*Pc/MaxiM</f>
        <v>1.2975750502675992E-5</v>
      </c>
      <c r="AE245" s="301">
        <f t="shared" si="105"/>
        <v>0.5</v>
      </c>
      <c r="AF245" s="173">
        <f t="shared" si="106"/>
        <v>0.46727806206381411</v>
      </c>
      <c r="AG245" s="802">
        <f t="shared" si="107"/>
        <v>0</v>
      </c>
      <c r="AH245" s="172">
        <f t="shared" si="108"/>
        <v>6</v>
      </c>
      <c r="AI245" s="221">
        <f t="shared" si="109"/>
        <v>0.46727806206381411</v>
      </c>
      <c r="AJ245" s="261" t="b">
        <f t="shared" si="110"/>
        <v>0</v>
      </c>
      <c r="AK245" s="261" t="b">
        <f t="shared" si="111"/>
        <v>0</v>
      </c>
      <c r="AL245" s="261"/>
      <c r="AM245" s="261"/>
      <c r="AN245" s="75"/>
    </row>
    <row r="246" spans="1:40" s="6" customFormat="1" ht="11.25" x14ac:dyDescent="0.2">
      <c r="A246" s="56">
        <f t="shared" si="112"/>
        <v>44793</v>
      </c>
      <c r="B246" s="610">
        <v>53.295000000000002</v>
      </c>
      <c r="C246" s="385"/>
      <c r="D246" s="388">
        <f t="shared" si="89"/>
        <v>53.493080332512157</v>
      </c>
      <c r="E246" s="380">
        <f t="shared" si="115"/>
        <v>54.49596620867225</v>
      </c>
      <c r="F246" s="380">
        <f t="shared" si="114"/>
        <v>54.496702481805315</v>
      </c>
      <c r="G246" s="110">
        <f t="shared" si="116"/>
        <v>0.99184097700781626</v>
      </c>
      <c r="I246" s="375">
        <f t="shared" si="90"/>
        <v>54.496702481805315</v>
      </c>
      <c r="J246" s="85">
        <v>2022</v>
      </c>
      <c r="K246" s="193">
        <f t="shared" si="91"/>
        <v>44793</v>
      </c>
      <c r="L246" s="431">
        <f t="shared" si="92"/>
        <v>3.7029150551975976E-3</v>
      </c>
      <c r="M246" s="847"/>
      <c r="N246" s="847"/>
      <c r="O246" s="320">
        <f t="shared" si="93"/>
        <v>1.8402937793962758E-2</v>
      </c>
      <c r="P246" s="165">
        <f>(INDEX(Models!$BJ246:$BT246,,T246)*(1-R246)+INDEX(Models!$BJ246:$BT246,,T246+1)*R246-ERP_i)*Q246*Ramure*Pc/MaxiM</f>
        <v>1.3669744214314825E-5</v>
      </c>
      <c r="Q246" s="301">
        <f t="shared" si="94"/>
        <v>0.5</v>
      </c>
      <c r="R246" s="173">
        <f t="shared" si="95"/>
        <v>0.46829812113309938</v>
      </c>
      <c r="S246" s="802">
        <f t="shared" si="113"/>
        <v>0</v>
      </c>
      <c r="T246" s="172">
        <f t="shared" si="96"/>
        <v>6</v>
      </c>
      <c r="U246" s="247">
        <f t="shared" si="97"/>
        <v>0.46829812113309938</v>
      </c>
      <c r="V246" s="378">
        <f t="shared" si="98"/>
        <v>53.73340358378816</v>
      </c>
      <c r="W246" s="58"/>
      <c r="X246" s="153">
        <f t="shared" si="99"/>
        <v>44793</v>
      </c>
      <c r="Y246" s="380">
        <f t="shared" si="100"/>
        <v>53.295000000000002</v>
      </c>
      <c r="Z246" s="380">
        <f t="shared" si="101"/>
        <v>53.493080332512157</v>
      </c>
      <c r="AA246" s="381">
        <f t="shared" si="102"/>
        <v>54.49596620867225</v>
      </c>
      <c r="AB246" s="193">
        <f t="shared" si="103"/>
        <v>44793</v>
      </c>
      <c r="AC246" s="420">
        <f t="shared" si="104"/>
        <v>1.8402937793962758E-2</v>
      </c>
      <c r="AD246" s="165">
        <f>(INDEX(Models!$BJ246:$BT246,,AH246)*(1-AF246)+INDEX(Models!$BJ246:$BT246,,AH246+1)*AF246-ERP_i)*AE246*Ramure*Pc/MaxiM</f>
        <v>1.3669744214314825E-5</v>
      </c>
      <c r="AE246" s="301">
        <f t="shared" si="105"/>
        <v>0.5</v>
      </c>
      <c r="AF246" s="173">
        <f t="shared" si="106"/>
        <v>0.46829812113309938</v>
      </c>
      <c r="AG246" s="802">
        <f t="shared" si="107"/>
        <v>0</v>
      </c>
      <c r="AH246" s="172">
        <f t="shared" si="108"/>
        <v>6</v>
      </c>
      <c r="AI246" s="221">
        <f t="shared" si="109"/>
        <v>0.46829812113309938</v>
      </c>
      <c r="AJ246" s="261" t="b">
        <f t="shared" si="110"/>
        <v>0</v>
      </c>
      <c r="AK246" s="261" t="b">
        <f t="shared" si="111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12"/>
        <v>44794</v>
      </c>
      <c r="B247" s="610">
        <v>38.459000000000003</v>
      </c>
      <c r="C247" s="385"/>
      <c r="D247" s="388">
        <f t="shared" si="89"/>
        <v>38.602468139060569</v>
      </c>
      <c r="E247" s="380">
        <f t="shared" si="115"/>
        <v>39.328536781669612</v>
      </c>
      <c r="F247" s="380">
        <f t="shared" si="114"/>
        <v>39.328875280006322</v>
      </c>
      <c r="G247" s="110">
        <f t="shared" si="116"/>
        <v>0.71923348642542873</v>
      </c>
      <c r="I247" s="375">
        <f t="shared" si="90"/>
        <v>39.328875280006322</v>
      </c>
      <c r="J247" s="85">
        <v>2022</v>
      </c>
      <c r="K247" s="193">
        <f t="shared" si="91"/>
        <v>44794</v>
      </c>
      <c r="L247" s="431">
        <f t="shared" si="92"/>
        <v>3.7165535256382665E-3</v>
      </c>
      <c r="M247" s="847"/>
      <c r="N247" s="847"/>
      <c r="O247" s="320">
        <f t="shared" si="93"/>
        <v>1.8461623595095122E-2</v>
      </c>
      <c r="P247" s="165">
        <f>(INDEX(Models!$BJ247:$BT247,,T247)*(1-R247)+INDEX(Models!$BJ247:$BT247,,T247+1)*R247-ERP_i)*Q247*Ramure*Pc/MaxiM</f>
        <v>1.4370861136969424E-5</v>
      </c>
      <c r="Q247" s="301">
        <f t="shared" si="94"/>
        <v>0.5</v>
      </c>
      <c r="R247" s="173">
        <f t="shared" si="95"/>
        <v>0.4692812456167636</v>
      </c>
      <c r="S247" s="802">
        <f t="shared" si="113"/>
        <v>0</v>
      </c>
      <c r="T247" s="172">
        <f t="shared" si="96"/>
        <v>6</v>
      </c>
      <c r="U247" s="247">
        <f t="shared" si="97"/>
        <v>0.4692812456167636</v>
      </c>
      <c r="V247" s="378">
        <f t="shared" si="98"/>
        <v>53.471896187314528</v>
      </c>
      <c r="W247" s="58"/>
      <c r="X247" s="153">
        <f t="shared" si="99"/>
        <v>44794</v>
      </c>
      <c r="Y247" s="380">
        <f t="shared" si="100"/>
        <v>38.459000000000003</v>
      </c>
      <c r="Z247" s="380">
        <f t="shared" si="101"/>
        <v>38.602468139060569</v>
      </c>
      <c r="AA247" s="381">
        <f t="shared" si="102"/>
        <v>39.328536781669612</v>
      </c>
      <c r="AB247" s="193">
        <f t="shared" si="103"/>
        <v>44794</v>
      </c>
      <c r="AC247" s="420">
        <f t="shared" si="104"/>
        <v>1.8461623595095122E-2</v>
      </c>
      <c r="AD247" s="165">
        <f>(INDEX(Models!$BJ247:$BT247,,AH247)*(1-AF247)+INDEX(Models!$BJ247:$BT247,,AH247+1)*AF247-ERP_i)*AE247*Ramure*Pc/MaxiM</f>
        <v>1.4370861136969424E-5</v>
      </c>
      <c r="AE247" s="301">
        <f t="shared" si="105"/>
        <v>0.5</v>
      </c>
      <c r="AF247" s="173">
        <f t="shared" si="106"/>
        <v>0.4692812456167636</v>
      </c>
      <c r="AG247" s="802">
        <f t="shared" si="107"/>
        <v>0</v>
      </c>
      <c r="AH247" s="172">
        <f t="shared" si="108"/>
        <v>6</v>
      </c>
      <c r="AI247" s="221">
        <f t="shared" si="109"/>
        <v>0.4692812456167636</v>
      </c>
      <c r="AJ247" s="261" t="b">
        <f t="shared" si="110"/>
        <v>0</v>
      </c>
      <c r="AK247" s="261" t="b">
        <f t="shared" si="111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12"/>
        <v>44795</v>
      </c>
      <c r="B248" s="610">
        <v>28.132000000000001</v>
      </c>
      <c r="C248" s="385"/>
      <c r="D248" s="388">
        <f t="shared" si="89"/>
        <v>28.237330659544988</v>
      </c>
      <c r="E248" s="380">
        <f t="shared" si="115"/>
        <v>28.770159440426852</v>
      </c>
      <c r="F248" s="380">
        <f t="shared" si="114"/>
        <v>28.770301944261828</v>
      </c>
      <c r="G248" s="110">
        <f t="shared" si="116"/>
        <v>0.52867840501544627</v>
      </c>
      <c r="I248" s="375">
        <f t="shared" si="90"/>
        <v>28.770301944261828</v>
      </c>
      <c r="J248" s="85">
        <v>2022</v>
      </c>
      <c r="K248" s="193">
        <f t="shared" si="91"/>
        <v>44795</v>
      </c>
      <c r="L248" s="431">
        <f t="shared" si="92"/>
        <v>3.7301918093798347E-3</v>
      </c>
      <c r="M248" s="847"/>
      <c r="N248" s="847"/>
      <c r="O248" s="320">
        <f t="shared" si="93"/>
        <v>1.8520188669276346E-2</v>
      </c>
      <c r="P248" s="165">
        <f>(INDEX(Models!$BJ248:$BT248,,T248)*(1-R248)+INDEX(Models!$BJ248:$BT248,,T248+1)*R248-ERP_i)*Q248*Ramure*Pc/MaxiM</f>
        <v>1.5161590689097971E-5</v>
      </c>
      <c r="Q248" s="301">
        <f t="shared" si="94"/>
        <v>0.5</v>
      </c>
      <c r="R248" s="173">
        <f t="shared" si="95"/>
        <v>0.470228619968382</v>
      </c>
      <c r="S248" s="802">
        <f t="shared" si="113"/>
        <v>0</v>
      </c>
      <c r="T248" s="172">
        <f t="shared" si="96"/>
        <v>6</v>
      </c>
      <c r="U248" s="247">
        <f t="shared" si="97"/>
        <v>0.470228619968382</v>
      </c>
      <c r="V248" s="378">
        <f t="shared" si="98"/>
        <v>53.21139003986989</v>
      </c>
      <c r="W248" s="58"/>
      <c r="X248" s="153">
        <f t="shared" si="99"/>
        <v>44795</v>
      </c>
      <c r="Y248" s="380">
        <f t="shared" si="100"/>
        <v>28.132000000000001</v>
      </c>
      <c r="Z248" s="380">
        <f t="shared" si="101"/>
        <v>28.237330659544988</v>
      </c>
      <c r="AA248" s="381">
        <f t="shared" si="102"/>
        <v>28.770159440426852</v>
      </c>
      <c r="AB248" s="193">
        <f t="shared" si="103"/>
        <v>44795</v>
      </c>
      <c r="AC248" s="420">
        <f t="shared" si="104"/>
        <v>1.8520188669276346E-2</v>
      </c>
      <c r="AD248" s="165">
        <f>(INDEX(Models!$BJ248:$BT248,,AH248)*(1-AF248)+INDEX(Models!$BJ248:$BT248,,AH248+1)*AF248-ERP_i)*AE248*Ramure*Pc/MaxiM</f>
        <v>1.5161590689097971E-5</v>
      </c>
      <c r="AE248" s="301">
        <f t="shared" si="105"/>
        <v>0.5</v>
      </c>
      <c r="AF248" s="173">
        <f t="shared" si="106"/>
        <v>0.470228619968382</v>
      </c>
      <c r="AG248" s="802">
        <f t="shared" si="107"/>
        <v>0</v>
      </c>
      <c r="AH248" s="172">
        <f t="shared" si="108"/>
        <v>6</v>
      </c>
      <c r="AI248" s="221">
        <f t="shared" si="109"/>
        <v>0.470228619968382</v>
      </c>
      <c r="AJ248" s="261" t="b">
        <f t="shared" si="110"/>
        <v>0</v>
      </c>
      <c r="AK248" s="261" t="b">
        <f t="shared" si="111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12"/>
        <v>44796</v>
      </c>
      <c r="B249" s="610">
        <v>47.59</v>
      </c>
      <c r="C249" s="385"/>
      <c r="D249" s="388">
        <f t="shared" si="89"/>
        <v>47.768838405818876</v>
      </c>
      <c r="E249" s="380">
        <f t="shared" si="115"/>
        <v>48.673118268569944</v>
      </c>
      <c r="F249" s="380">
        <f t="shared" si="114"/>
        <v>48.673786569897885</v>
      </c>
      <c r="G249" s="110">
        <f t="shared" si="116"/>
        <v>0.8987474159158183</v>
      </c>
      <c r="I249" s="375">
        <f t="shared" si="90"/>
        <v>48.673786569897885</v>
      </c>
      <c r="J249" s="85">
        <v>2022</v>
      </c>
      <c r="K249" s="193">
        <f t="shared" si="91"/>
        <v>44796</v>
      </c>
      <c r="L249" s="431">
        <f t="shared" si="92"/>
        <v>3.7438299064246339E-3</v>
      </c>
      <c r="M249" s="847"/>
      <c r="N249" s="847"/>
      <c r="O249" s="320">
        <f t="shared" si="93"/>
        <v>1.8578630153946622E-2</v>
      </c>
      <c r="P249" s="165">
        <f>(INDEX(Models!$BJ249:$BT249,,T249)*(1-R249)+INDEX(Models!$BJ249:$BT249,,T249+1)*R249-ERP_i)*Q249*Ramure*Pc/MaxiM</f>
        <v>1.6052033778989854E-5</v>
      </c>
      <c r="Q249" s="301">
        <f t="shared" si="94"/>
        <v>0.5</v>
      </c>
      <c r="R249" s="173">
        <f t="shared" si="95"/>
        <v>0.47114140225276829</v>
      </c>
      <c r="S249" s="802">
        <f t="shared" si="113"/>
        <v>0</v>
      </c>
      <c r="T249" s="172">
        <f t="shared" si="96"/>
        <v>6</v>
      </c>
      <c r="U249" s="247">
        <f t="shared" si="97"/>
        <v>0.47114140225276829</v>
      </c>
      <c r="V249" s="378">
        <f t="shared" si="98"/>
        <v>52.951350579864389</v>
      </c>
      <c r="W249" s="58"/>
      <c r="X249" s="153">
        <f t="shared" si="99"/>
        <v>44796</v>
      </c>
      <c r="Y249" s="380">
        <f t="shared" si="100"/>
        <v>47.59</v>
      </c>
      <c r="Z249" s="380">
        <f t="shared" si="101"/>
        <v>47.768838405818876</v>
      </c>
      <c r="AA249" s="381">
        <f t="shared" si="102"/>
        <v>48.673118268569944</v>
      </c>
      <c r="AB249" s="193">
        <f t="shared" si="103"/>
        <v>44796</v>
      </c>
      <c r="AC249" s="420">
        <f t="shared" si="104"/>
        <v>1.8578630153946622E-2</v>
      </c>
      <c r="AD249" s="165">
        <f>(INDEX(Models!$BJ249:$BT249,,AH249)*(1-AF249)+INDEX(Models!$BJ249:$BT249,,AH249+1)*AF249-ERP_i)*AE249*Ramure*Pc/MaxiM</f>
        <v>1.6052033778989854E-5</v>
      </c>
      <c r="AE249" s="301">
        <f t="shared" si="105"/>
        <v>0.5</v>
      </c>
      <c r="AF249" s="173">
        <f t="shared" si="106"/>
        <v>0.47114140225276829</v>
      </c>
      <c r="AG249" s="802">
        <f t="shared" si="107"/>
        <v>0</v>
      </c>
      <c r="AH249" s="172">
        <f t="shared" si="108"/>
        <v>6</v>
      </c>
      <c r="AI249" s="221">
        <f t="shared" si="109"/>
        <v>0.47114140225276829</v>
      </c>
      <c r="AJ249" s="261" t="b">
        <f t="shared" si="110"/>
        <v>0</v>
      </c>
      <c r="AK249" s="261" t="b">
        <f t="shared" si="111"/>
        <v>0</v>
      </c>
      <c r="AL249" s="261"/>
      <c r="AM249" s="261"/>
      <c r="AN249" s="75"/>
    </row>
    <row r="250" spans="1:40" s="6" customFormat="1" ht="11.25" x14ac:dyDescent="0.2">
      <c r="A250" s="56">
        <f t="shared" si="112"/>
        <v>44797</v>
      </c>
      <c r="B250" s="610">
        <v>51.689</v>
      </c>
      <c r="C250" s="385"/>
      <c r="D250" s="388">
        <f t="shared" si="89"/>
        <v>51.883952280902605</v>
      </c>
      <c r="E250" s="380">
        <f t="shared" si="115"/>
        <v>52.869274036610264</v>
      </c>
      <c r="F250" s="380">
        <f t="shared" si="114"/>
        <v>52.870150667804495</v>
      </c>
      <c r="G250" s="110">
        <f t="shared" si="116"/>
        <v>0.98097847526493054</v>
      </c>
      <c r="I250" s="375">
        <f t="shared" si="90"/>
        <v>52.870150667804495</v>
      </c>
      <c r="J250" s="85">
        <v>2022</v>
      </c>
      <c r="K250" s="193">
        <f t="shared" si="91"/>
        <v>44797</v>
      </c>
      <c r="L250" s="431">
        <f t="shared" si="92"/>
        <v>3.7574678167754394E-3</v>
      </c>
      <c r="M250" s="847"/>
      <c r="N250" s="847"/>
      <c r="O250" s="320">
        <f t="shared" si="93"/>
        <v>1.8636945062369428E-2</v>
      </c>
      <c r="P250" s="165">
        <f>(INDEX(Models!$BJ250:$BT250,,T250)*(1-R250)+INDEX(Models!$BJ250:$BT250,,T250+1)*R250-ERP_i)*Q250*Ramure*Pc/MaxiM</f>
        <v>1.704396909809741E-5</v>
      </c>
      <c r="Q250" s="301">
        <f t="shared" si="94"/>
        <v>0.5</v>
      </c>
      <c r="R250" s="173">
        <f t="shared" si="95"/>
        <v>0.47202072380243254</v>
      </c>
      <c r="S250" s="802">
        <f t="shared" si="113"/>
        <v>0</v>
      </c>
      <c r="T250" s="172">
        <f t="shared" si="96"/>
        <v>6</v>
      </c>
      <c r="U250" s="247">
        <f t="shared" si="97"/>
        <v>0.47202072380243254</v>
      </c>
      <c r="V250" s="378">
        <f t="shared" si="98"/>
        <v>52.691243859000942</v>
      </c>
      <c r="W250" s="58"/>
      <c r="X250" s="153">
        <f t="shared" si="99"/>
        <v>44797</v>
      </c>
      <c r="Y250" s="380">
        <f t="shared" si="100"/>
        <v>51.689</v>
      </c>
      <c r="Z250" s="380">
        <f t="shared" si="101"/>
        <v>51.883952280902605</v>
      </c>
      <c r="AA250" s="381">
        <f t="shared" si="102"/>
        <v>52.869274036610264</v>
      </c>
      <c r="AB250" s="193">
        <f t="shared" si="103"/>
        <v>44797</v>
      </c>
      <c r="AC250" s="420">
        <f t="shared" si="104"/>
        <v>1.8636945062369428E-2</v>
      </c>
      <c r="AD250" s="165">
        <f>(INDEX(Models!$BJ250:$BT250,,AH250)*(1-AF250)+INDEX(Models!$BJ250:$BT250,,AH250+1)*AF250-ERP_i)*AE250*Ramure*Pc/MaxiM</f>
        <v>1.704396909809741E-5</v>
      </c>
      <c r="AE250" s="301">
        <f t="shared" si="105"/>
        <v>0.5</v>
      </c>
      <c r="AF250" s="173">
        <f t="shared" si="106"/>
        <v>0.47202072380243254</v>
      </c>
      <c r="AG250" s="802">
        <f t="shared" si="107"/>
        <v>0</v>
      </c>
      <c r="AH250" s="172">
        <f t="shared" si="108"/>
        <v>6</v>
      </c>
      <c r="AI250" s="221">
        <f t="shared" si="109"/>
        <v>0.47202072380243254</v>
      </c>
      <c r="AJ250" s="261" t="b">
        <f t="shared" si="110"/>
        <v>0</v>
      </c>
      <c r="AK250" s="261" t="b">
        <f t="shared" si="111"/>
        <v>0</v>
      </c>
      <c r="AL250" s="261"/>
      <c r="AM250" s="261"/>
      <c r="AN250" s="75"/>
    </row>
    <row r="251" spans="1:40" s="6" customFormat="1" ht="11.25" x14ac:dyDescent="0.2">
      <c r="A251" s="56">
        <f t="shared" si="112"/>
        <v>44798</v>
      </c>
      <c r="B251" s="610">
        <v>33.152999999999999</v>
      </c>
      <c r="C251" s="385"/>
      <c r="D251" s="388">
        <f t="shared" si="89"/>
        <v>33.278496723370836</v>
      </c>
      <c r="E251" s="380">
        <f t="shared" si="115"/>
        <v>33.912495240200698</v>
      </c>
      <c r="F251" s="380">
        <f t="shared" si="114"/>
        <v>33.91278728080961</v>
      </c>
      <c r="G251" s="110">
        <f t="shared" si="116"/>
        <v>0.63231632934658932</v>
      </c>
      <c r="I251" s="375">
        <f t="shared" si="90"/>
        <v>33.91278728080961</v>
      </c>
      <c r="J251" s="85">
        <v>2022</v>
      </c>
      <c r="K251" s="193">
        <f t="shared" si="91"/>
        <v>44798</v>
      </c>
      <c r="L251" s="431">
        <f t="shared" si="92"/>
        <v>3.7711055404345828E-3</v>
      </c>
      <c r="M251" s="847"/>
      <c r="N251" s="847"/>
      <c r="O251" s="320">
        <f t="shared" si="93"/>
        <v>1.8695130285733202E-2</v>
      </c>
      <c r="P251" s="165">
        <f>(INDEX(Models!$BJ251:$BT251,,T251)*(1-R251)+INDEX(Models!$BJ251:$BT251,,T251+1)*R251-ERP_i)*Q251*Ramure*Pc/MaxiM</f>
        <v>1.8139204793425823E-5</v>
      </c>
      <c r="Q251" s="301">
        <f t="shared" si="94"/>
        <v>0.5</v>
      </c>
      <c r="R251" s="173">
        <f t="shared" si="95"/>
        <v>0.47286768897039716</v>
      </c>
      <c r="S251" s="802">
        <f t="shared" si="113"/>
        <v>0</v>
      </c>
      <c r="T251" s="172">
        <f t="shared" si="96"/>
        <v>6</v>
      </c>
      <c r="U251" s="247">
        <f t="shared" si="97"/>
        <v>0.47286768897039716</v>
      </c>
      <c r="V251" s="378">
        <f t="shared" si="98"/>
        <v>52.430536089694812</v>
      </c>
      <c r="W251" s="58"/>
      <c r="X251" s="153">
        <f t="shared" si="99"/>
        <v>44798</v>
      </c>
      <c r="Y251" s="380">
        <f t="shared" si="100"/>
        <v>33.152999999999999</v>
      </c>
      <c r="Z251" s="380">
        <f t="shared" si="101"/>
        <v>33.278496723370836</v>
      </c>
      <c r="AA251" s="381">
        <f t="shared" si="102"/>
        <v>33.912495240200698</v>
      </c>
      <c r="AB251" s="193">
        <f t="shared" si="103"/>
        <v>44798</v>
      </c>
      <c r="AC251" s="420">
        <f t="shared" si="104"/>
        <v>1.8695130285733202E-2</v>
      </c>
      <c r="AD251" s="165">
        <f>(INDEX(Models!$BJ251:$BT251,,AH251)*(1-AF251)+INDEX(Models!$BJ251:$BT251,,AH251+1)*AF251-ERP_i)*AE251*Ramure*Pc/MaxiM</f>
        <v>1.8139204793425823E-5</v>
      </c>
      <c r="AE251" s="301">
        <f t="shared" si="105"/>
        <v>0.5</v>
      </c>
      <c r="AF251" s="173">
        <f t="shared" si="106"/>
        <v>0.47286768897039716</v>
      </c>
      <c r="AG251" s="802">
        <f t="shared" si="107"/>
        <v>0</v>
      </c>
      <c r="AH251" s="172">
        <f t="shared" si="108"/>
        <v>6</v>
      </c>
      <c r="AI251" s="221">
        <f t="shared" si="109"/>
        <v>0.47286768897039716</v>
      </c>
      <c r="AJ251" s="261" t="b">
        <f t="shared" si="110"/>
        <v>0</v>
      </c>
      <c r="AK251" s="261" t="b">
        <f t="shared" si="111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12"/>
        <v>44799</v>
      </c>
      <c r="B252" s="610">
        <v>38.21</v>
      </c>
      <c r="C252" s="385"/>
      <c r="D252" s="388">
        <f t="shared" si="89"/>
        <v>38.355164443108784</v>
      </c>
      <c r="E252" s="380">
        <f t="shared" si="115"/>
        <v>39.088192453432612</v>
      </c>
      <c r="F252" s="380">
        <f t="shared" si="114"/>
        <v>39.08865945369719</v>
      </c>
      <c r="G252" s="110">
        <f t="shared" si="116"/>
        <v>0.73242619018273014</v>
      </c>
      <c r="I252" s="375">
        <f t="shared" si="90"/>
        <v>39.08865945369719</v>
      </c>
      <c r="J252" s="85">
        <v>2022</v>
      </c>
      <c r="K252" s="193">
        <f t="shared" si="91"/>
        <v>44799</v>
      </c>
      <c r="L252" s="431">
        <f t="shared" si="92"/>
        <v>3.7847430774048396E-3</v>
      </c>
      <c r="M252" s="847"/>
      <c r="N252" s="847"/>
      <c r="O252" s="320">
        <f t="shared" si="93"/>
        <v>1.8753182593365475E-2</v>
      </c>
      <c r="P252" s="165">
        <f>(INDEX(Models!$BJ252:$BT252,,T252)*(1-R252)+INDEX(Models!$BJ252:$BT252,,T252+1)*R252-ERP_i)*Q252*Ramure*Pc/MaxiM</f>
        <v>1.9339576642866055E-5</v>
      </c>
      <c r="Q252" s="301">
        <f t="shared" si="94"/>
        <v>0.5</v>
      </c>
      <c r="R252" s="173">
        <f t="shared" si="95"/>
        <v>0.4736833749718008</v>
      </c>
      <c r="S252" s="802">
        <f t="shared" si="113"/>
        <v>0</v>
      </c>
      <c r="T252" s="172">
        <f t="shared" si="96"/>
        <v>6</v>
      </c>
      <c r="U252" s="247">
        <f t="shared" si="97"/>
        <v>0.4736833749718008</v>
      </c>
      <c r="V252" s="378">
        <f t="shared" si="98"/>
        <v>52.168693646260976</v>
      </c>
      <c r="W252" s="58"/>
      <c r="X252" s="153">
        <f t="shared" si="99"/>
        <v>44799</v>
      </c>
      <c r="Y252" s="380">
        <f t="shared" si="100"/>
        <v>38.21</v>
      </c>
      <c r="Z252" s="380">
        <f t="shared" si="101"/>
        <v>38.355164443108784</v>
      </c>
      <c r="AA252" s="381">
        <f t="shared" si="102"/>
        <v>39.088192453432612</v>
      </c>
      <c r="AB252" s="193">
        <f t="shared" si="103"/>
        <v>44799</v>
      </c>
      <c r="AC252" s="420">
        <f t="shared" si="104"/>
        <v>1.8753182593365475E-2</v>
      </c>
      <c r="AD252" s="165">
        <f>(INDEX(Models!$BJ252:$BT252,,AH252)*(1-AF252)+INDEX(Models!$BJ252:$BT252,,AH252+1)*AF252-ERP_i)*AE252*Ramure*Pc/MaxiM</f>
        <v>1.9339576642866055E-5</v>
      </c>
      <c r="AE252" s="301">
        <f t="shared" si="105"/>
        <v>0.5</v>
      </c>
      <c r="AF252" s="173">
        <f t="shared" si="106"/>
        <v>0.4736833749718008</v>
      </c>
      <c r="AG252" s="802">
        <f t="shared" si="107"/>
        <v>0</v>
      </c>
      <c r="AH252" s="172">
        <f t="shared" si="108"/>
        <v>6</v>
      </c>
      <c r="AI252" s="221">
        <f t="shared" si="109"/>
        <v>0.4736833749718008</v>
      </c>
      <c r="AJ252" s="261" t="b">
        <f t="shared" si="110"/>
        <v>0</v>
      </c>
      <c r="AK252" s="261" t="b">
        <f t="shared" si="111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12"/>
        <v>44800</v>
      </c>
      <c r="B253" s="610">
        <v>48.17</v>
      </c>
      <c r="C253" s="385"/>
      <c r="D253" s="388">
        <f t="shared" si="89"/>
        <v>48.353665617086946</v>
      </c>
      <c r="E253" s="380">
        <f t="shared" si="115"/>
        <v>49.280689528414577</v>
      </c>
      <c r="F253" s="380">
        <f t="shared" si="114"/>
        <v>49.281602441092893</v>
      </c>
      <c r="G253" s="110">
        <f t="shared" si="116"/>
        <v>0.92803637153886342</v>
      </c>
      <c r="I253" s="375">
        <f t="shared" si="90"/>
        <v>49.281602441092893</v>
      </c>
      <c r="J253" s="85">
        <v>2022</v>
      </c>
      <c r="K253" s="193">
        <f t="shared" si="91"/>
        <v>44800</v>
      </c>
      <c r="L253" s="431">
        <f t="shared" si="92"/>
        <v>3.7983804276886524E-3</v>
      </c>
      <c r="M253" s="847"/>
      <c r="N253" s="847"/>
      <c r="O253" s="320">
        <f t="shared" si="93"/>
        <v>1.8811098631100136E-2</v>
      </c>
      <c r="P253" s="165">
        <f>(INDEX(Models!$BJ253:$BT253,,T253)*(1-R253)+INDEX(Models!$BJ253:$BT253,,T253+1)*R253-ERP_i)*Q253*Ramure*Pc/MaxiM</f>
        <v>2.0646968710128228E-5</v>
      </c>
      <c r="Q253" s="301">
        <f t="shared" si="94"/>
        <v>0.5</v>
      </c>
      <c r="R253" s="173">
        <f t="shared" si="95"/>
        <v>0.47446883180704802</v>
      </c>
      <c r="S253" s="802">
        <f t="shared" si="113"/>
        <v>0</v>
      </c>
      <c r="T253" s="172">
        <f t="shared" si="96"/>
        <v>6</v>
      </c>
      <c r="U253" s="247">
        <f t="shared" si="97"/>
        <v>0.47446883180704802</v>
      </c>
      <c r="V253" s="378">
        <f t="shared" si="98"/>
        <v>51.905183063725822</v>
      </c>
      <c r="W253" s="58"/>
      <c r="X253" s="153">
        <f t="shared" si="99"/>
        <v>44800</v>
      </c>
      <c r="Y253" s="380">
        <f t="shared" si="100"/>
        <v>48.17</v>
      </c>
      <c r="Z253" s="380">
        <f t="shared" si="101"/>
        <v>48.353665617086946</v>
      </c>
      <c r="AA253" s="381">
        <f t="shared" si="102"/>
        <v>49.280689528414577</v>
      </c>
      <c r="AB253" s="193">
        <f t="shared" si="103"/>
        <v>44800</v>
      </c>
      <c r="AC253" s="420">
        <f t="shared" si="104"/>
        <v>1.8811098631100136E-2</v>
      </c>
      <c r="AD253" s="165">
        <f>(INDEX(Models!$BJ253:$BT253,,AH253)*(1-AF253)+INDEX(Models!$BJ253:$BT253,,AH253+1)*AF253-ERP_i)*AE253*Ramure*Pc/MaxiM</f>
        <v>2.0646968710128228E-5</v>
      </c>
      <c r="AE253" s="301">
        <f t="shared" si="105"/>
        <v>0.5</v>
      </c>
      <c r="AF253" s="173">
        <f t="shared" si="106"/>
        <v>0.47446883180704802</v>
      </c>
      <c r="AG253" s="802">
        <f t="shared" si="107"/>
        <v>0</v>
      </c>
      <c r="AH253" s="172">
        <f t="shared" si="108"/>
        <v>6</v>
      </c>
      <c r="AI253" s="221">
        <f t="shared" si="109"/>
        <v>0.47446883180704802</v>
      </c>
      <c r="AJ253" s="261" t="b">
        <f t="shared" si="110"/>
        <v>0</v>
      </c>
      <c r="AK253" s="261" t="b">
        <f t="shared" si="111"/>
        <v>0</v>
      </c>
      <c r="AL253" s="261"/>
      <c r="AM253" s="261"/>
      <c r="AN253" s="75"/>
    </row>
    <row r="254" spans="1:40" s="6" customFormat="1" ht="11.25" x14ac:dyDescent="0.2">
      <c r="A254" s="56">
        <f t="shared" si="112"/>
        <v>44801</v>
      </c>
      <c r="B254" s="610">
        <v>50.64</v>
      </c>
      <c r="C254" s="385"/>
      <c r="D254" s="388">
        <f t="shared" si="89"/>
        <v>50.833779260773753</v>
      </c>
      <c r="E254" s="380">
        <f t="shared" si="115"/>
        <v>51.811402126824383</v>
      </c>
      <c r="F254" s="380">
        <f t="shared" si="114"/>
        <v>51.812510018223612</v>
      </c>
      <c r="G254" s="110">
        <f t="shared" si="116"/>
        <v>0.98064454410122714</v>
      </c>
      <c r="I254" s="375">
        <f t="shared" si="90"/>
        <v>51.812510018223612</v>
      </c>
      <c r="J254" s="85">
        <v>2022</v>
      </c>
      <c r="K254" s="193">
        <f t="shared" si="91"/>
        <v>44801</v>
      </c>
      <c r="L254" s="431">
        <f t="shared" si="92"/>
        <v>3.8120175912885745E-3</v>
      </c>
      <c r="M254" s="847"/>
      <c r="N254" s="847"/>
      <c r="O254" s="320">
        <f t="shared" si="93"/>
        <v>1.8868874917872269E-2</v>
      </c>
      <c r="P254" s="165">
        <f>(INDEX(Models!$BJ254:$BT254,,T254)*(1-R254)+INDEX(Models!$BJ254:$BT254,,T254+1)*R254-ERP_i)*Q254*Ramure*Pc/MaxiM</f>
        <v>2.1990740356997952E-5</v>
      </c>
      <c r="Q254" s="301">
        <f t="shared" si="94"/>
        <v>0.5</v>
      </c>
      <c r="R254" s="173">
        <f t="shared" si="95"/>
        <v>0.47522508225960786</v>
      </c>
      <c r="S254" s="802">
        <f t="shared" si="113"/>
        <v>0</v>
      </c>
      <c r="T254" s="172">
        <f t="shared" si="96"/>
        <v>6</v>
      </c>
      <c r="U254" s="247">
        <f t="shared" si="97"/>
        <v>0.47522508225960786</v>
      </c>
      <c r="V254" s="378">
        <f t="shared" si="98"/>
        <v>51.639474785056194</v>
      </c>
      <c r="W254" s="58"/>
      <c r="X254" s="153">
        <f t="shared" si="99"/>
        <v>44801</v>
      </c>
      <c r="Y254" s="380">
        <f t="shared" si="100"/>
        <v>50.64</v>
      </c>
      <c r="Z254" s="380">
        <f t="shared" si="101"/>
        <v>50.833779260773753</v>
      </c>
      <c r="AA254" s="381">
        <f t="shared" si="102"/>
        <v>51.811402126824383</v>
      </c>
      <c r="AB254" s="193">
        <f t="shared" si="103"/>
        <v>44801</v>
      </c>
      <c r="AC254" s="420">
        <f t="shared" si="104"/>
        <v>1.8868874917872269E-2</v>
      </c>
      <c r="AD254" s="165">
        <f>(INDEX(Models!$BJ254:$BT254,,AH254)*(1-AF254)+INDEX(Models!$BJ254:$BT254,,AH254+1)*AF254-ERP_i)*AE254*Ramure*Pc/MaxiM</f>
        <v>2.1990740356997952E-5</v>
      </c>
      <c r="AE254" s="301">
        <f t="shared" si="105"/>
        <v>0.5</v>
      </c>
      <c r="AF254" s="173">
        <f t="shared" si="106"/>
        <v>0.47522508225960786</v>
      </c>
      <c r="AG254" s="802">
        <f t="shared" si="107"/>
        <v>0</v>
      </c>
      <c r="AH254" s="172">
        <f t="shared" si="108"/>
        <v>6</v>
      </c>
      <c r="AI254" s="221">
        <f t="shared" si="109"/>
        <v>0.47522508225960786</v>
      </c>
      <c r="AJ254" s="261" t="b">
        <f t="shared" si="110"/>
        <v>0</v>
      </c>
      <c r="AK254" s="261" t="b">
        <f t="shared" si="111"/>
        <v>0</v>
      </c>
      <c r="AL254" s="261"/>
      <c r="AM254" s="261"/>
      <c r="AN254" s="75"/>
    </row>
    <row r="255" spans="1:40" s="6" customFormat="1" ht="11.25" x14ac:dyDescent="0.2">
      <c r="A255" s="56">
        <f t="shared" si="112"/>
        <v>44802</v>
      </c>
      <c r="B255" s="610">
        <v>35.392000000000003</v>
      </c>
      <c r="C255" s="385"/>
      <c r="D255" s="388">
        <f t="shared" si="89"/>
        <v>35.527917540035929</v>
      </c>
      <c r="E255" s="380">
        <f t="shared" si="115"/>
        <v>36.21330901708361</v>
      </c>
      <c r="F255" s="380">
        <f t="shared" si="114"/>
        <v>36.213779119220973</v>
      </c>
      <c r="G255" s="110">
        <f t="shared" si="116"/>
        <v>0.68894138104323632</v>
      </c>
      <c r="I255" s="375">
        <f t="shared" si="90"/>
        <v>36.213779119220973</v>
      </c>
      <c r="J255" s="85">
        <v>2022</v>
      </c>
      <c r="K255" s="193">
        <f t="shared" si="91"/>
        <v>44802</v>
      </c>
      <c r="L255" s="431">
        <f t="shared" si="92"/>
        <v>3.8256545682071597E-3</v>
      </c>
      <c r="M255" s="847"/>
      <c r="N255" s="847"/>
      <c r="O255" s="320">
        <f t="shared" si="93"/>
        <v>1.892650784064899E-2</v>
      </c>
      <c r="P255" s="165">
        <f>(INDEX(Models!$BJ255:$BT255,,T255)*(1-R255)+INDEX(Models!$BJ255:$BT255,,T255+1)*R255-ERP_i)*Q255*Ramure*Pc/MaxiM</f>
        <v>2.3362767076617863E-5</v>
      </c>
      <c r="Q255" s="301">
        <f t="shared" si="94"/>
        <v>0.5</v>
      </c>
      <c r="R255" s="173">
        <f t="shared" si="95"/>
        <v>0.47595312196190248</v>
      </c>
      <c r="S255" s="802">
        <f t="shared" si="113"/>
        <v>0</v>
      </c>
      <c r="T255" s="172">
        <f t="shared" si="96"/>
        <v>6</v>
      </c>
      <c r="U255" s="247">
        <f t="shared" si="97"/>
        <v>0.47595312196190248</v>
      </c>
      <c r="V255" s="378">
        <f t="shared" si="98"/>
        <v>51.371036126407787</v>
      </c>
      <c r="W255" s="58"/>
      <c r="X255" s="153">
        <f t="shared" si="99"/>
        <v>44802</v>
      </c>
      <c r="Y255" s="380">
        <f t="shared" si="100"/>
        <v>35.392000000000003</v>
      </c>
      <c r="Z255" s="380">
        <f t="shared" si="101"/>
        <v>35.527917540035929</v>
      </c>
      <c r="AA255" s="381">
        <f t="shared" si="102"/>
        <v>36.21330901708361</v>
      </c>
      <c r="AB255" s="193">
        <f t="shared" si="103"/>
        <v>44802</v>
      </c>
      <c r="AC255" s="420">
        <f t="shared" si="104"/>
        <v>1.892650784064899E-2</v>
      </c>
      <c r="AD255" s="165">
        <f>(INDEX(Models!$BJ255:$BT255,,AH255)*(1-AF255)+INDEX(Models!$BJ255:$BT255,,AH255+1)*AF255-ERP_i)*AE255*Ramure*Pc/MaxiM</f>
        <v>2.3362767076617863E-5</v>
      </c>
      <c r="AE255" s="301">
        <f t="shared" si="105"/>
        <v>0.5</v>
      </c>
      <c r="AF255" s="173">
        <f t="shared" si="106"/>
        <v>0.47595312196190248</v>
      </c>
      <c r="AG255" s="802">
        <f t="shared" si="107"/>
        <v>0</v>
      </c>
      <c r="AH255" s="172">
        <f t="shared" si="108"/>
        <v>6</v>
      </c>
      <c r="AI255" s="221">
        <f t="shared" si="109"/>
        <v>0.47595312196190248</v>
      </c>
      <c r="AJ255" s="261" t="b">
        <f t="shared" si="110"/>
        <v>0</v>
      </c>
      <c r="AK255" s="261" t="b">
        <f t="shared" si="111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12"/>
        <v>44803</v>
      </c>
      <c r="B256" s="610">
        <v>49.669000000000004</v>
      </c>
      <c r="C256" s="385"/>
      <c r="D256" s="388">
        <f t="shared" si="89"/>
        <v>49.860428713086627</v>
      </c>
      <c r="E256" s="380">
        <f t="shared" si="115"/>
        <v>50.825295805813617</v>
      </c>
      <c r="F256" s="380">
        <f t="shared" si="114"/>
        <v>50.826504126845201</v>
      </c>
      <c r="G256" s="110">
        <f t="shared" si="116"/>
        <v>0.972007789981572</v>
      </c>
      <c r="I256" s="375">
        <f t="shared" si="90"/>
        <v>50.826504126845201</v>
      </c>
      <c r="J256" s="85">
        <v>2022</v>
      </c>
      <c r="K256" s="193">
        <f t="shared" si="91"/>
        <v>44803</v>
      </c>
      <c r="L256" s="431">
        <f t="shared" si="92"/>
        <v>3.8392913584470723E-3</v>
      </c>
      <c r="M256" s="847"/>
      <c r="N256" s="847"/>
      <c r="O256" s="320">
        <f t="shared" si="93"/>
        <v>1.8983993647836792E-2</v>
      </c>
      <c r="P256" s="165">
        <f>(INDEX(Models!$BJ256:$BT256,,T256)*(1-R256)+INDEX(Models!$BJ256:$BT256,,T256+1)*R256-ERP_i)*Q256*Ramure*Pc/MaxiM</f>
        <v>2.4763681261175412E-5</v>
      </c>
      <c r="Q256" s="301">
        <f t="shared" si="94"/>
        <v>0.5</v>
      </c>
      <c r="R256" s="173">
        <f t="shared" si="95"/>
        <v>0.47665391952307717</v>
      </c>
      <c r="S256" s="802">
        <f t="shared" si="113"/>
        <v>0</v>
      </c>
      <c r="T256" s="172">
        <f t="shared" si="96"/>
        <v>6</v>
      </c>
      <c r="U256" s="247">
        <f t="shared" si="97"/>
        <v>0.47665391952307717</v>
      </c>
      <c r="V256" s="378">
        <f t="shared" si="98"/>
        <v>51.099334106839059</v>
      </c>
      <c r="W256" s="58"/>
      <c r="X256" s="153">
        <f t="shared" si="99"/>
        <v>44803</v>
      </c>
      <c r="Y256" s="380">
        <f t="shared" si="100"/>
        <v>49.669000000000004</v>
      </c>
      <c r="Z256" s="380">
        <f t="shared" si="101"/>
        <v>49.860428713086627</v>
      </c>
      <c r="AA256" s="381">
        <f t="shared" si="102"/>
        <v>50.825295805813617</v>
      </c>
      <c r="AB256" s="193">
        <f t="shared" si="103"/>
        <v>44803</v>
      </c>
      <c r="AC256" s="420">
        <f t="shared" si="104"/>
        <v>1.8983993647836792E-2</v>
      </c>
      <c r="AD256" s="165">
        <f>(INDEX(Models!$BJ256:$BT256,,AH256)*(1-AF256)+INDEX(Models!$BJ256:$BT256,,AH256+1)*AF256-ERP_i)*AE256*Ramure*Pc/MaxiM</f>
        <v>2.4763681261175412E-5</v>
      </c>
      <c r="AE256" s="301">
        <f t="shared" si="105"/>
        <v>0.5</v>
      </c>
      <c r="AF256" s="173">
        <f t="shared" si="106"/>
        <v>0.47665391952307717</v>
      </c>
      <c r="AG256" s="802">
        <f t="shared" si="107"/>
        <v>0</v>
      </c>
      <c r="AH256" s="172">
        <f t="shared" si="108"/>
        <v>6</v>
      </c>
      <c r="AI256" s="221">
        <f t="shared" si="109"/>
        <v>0.47665391952307717</v>
      </c>
      <c r="AJ256" s="261" t="b">
        <f t="shared" si="110"/>
        <v>0</v>
      </c>
      <c r="AK256" s="261" t="b">
        <f t="shared" si="111"/>
        <v>0</v>
      </c>
      <c r="AL256" s="261"/>
      <c r="AM256" s="261"/>
      <c r="AN256" s="75"/>
    </row>
    <row r="257" spans="1:40" s="6" customFormat="1" ht="11.25" x14ac:dyDescent="0.2">
      <c r="A257" s="56">
        <f t="shared" si="112"/>
        <v>44804</v>
      </c>
      <c r="B257" s="610">
        <v>25.147000000000002</v>
      </c>
      <c r="C257" s="385"/>
      <c r="D257" s="388">
        <f t="shared" si="89"/>
        <v>25.244264331924867</v>
      </c>
      <c r="E257" s="380">
        <f t="shared" si="115"/>
        <v>25.734279194263927</v>
      </c>
      <c r="F257" s="380">
        <f t="shared" si="114"/>
        <v>25.734466772860397</v>
      </c>
      <c r="G257" s="110">
        <f t="shared" si="116"/>
        <v>0.4947781713481893</v>
      </c>
      <c r="I257" s="375">
        <f t="shared" si="90"/>
        <v>25.734466772860397</v>
      </c>
      <c r="J257" s="85">
        <v>2022</v>
      </c>
      <c r="K257" s="193">
        <f t="shared" si="91"/>
        <v>44804</v>
      </c>
      <c r="L257" s="431">
        <f t="shared" si="92"/>
        <v>3.8529279620107548E-3</v>
      </c>
      <c r="M257" s="847"/>
      <c r="N257" s="847"/>
      <c r="O257" s="320">
        <f t="shared" si="93"/>
        <v>1.9041328441337515E-2</v>
      </c>
      <c r="P257" s="165">
        <f>(INDEX(Models!$BJ257:$BT257,,T257)*(1-R257)+INDEX(Models!$BJ257:$BT257,,T257+1)*R257-ERP_i)*Q257*Ramure*Pc/MaxiM</f>
        <v>2.6194192065576598E-5</v>
      </c>
      <c r="Q257" s="301">
        <f t="shared" si="94"/>
        <v>0.5</v>
      </c>
      <c r="R257" s="173">
        <f t="shared" si="95"/>
        <v>0.47732841671277737</v>
      </c>
      <c r="S257" s="802">
        <f t="shared" si="113"/>
        <v>0</v>
      </c>
      <c r="T257" s="172">
        <f t="shared" si="96"/>
        <v>6</v>
      </c>
      <c r="U257" s="247">
        <f t="shared" si="97"/>
        <v>0.47732841671277737</v>
      </c>
      <c r="V257" s="378">
        <f t="shared" si="98"/>
        <v>50.823835900472943</v>
      </c>
      <c r="W257" s="58"/>
      <c r="X257" s="153">
        <f t="shared" si="99"/>
        <v>44804</v>
      </c>
      <c r="Y257" s="380">
        <f t="shared" si="100"/>
        <v>25.147000000000002</v>
      </c>
      <c r="Z257" s="380">
        <f t="shared" si="101"/>
        <v>25.244264331924867</v>
      </c>
      <c r="AA257" s="381">
        <f t="shared" si="102"/>
        <v>25.734279194263927</v>
      </c>
      <c r="AB257" s="193">
        <f t="shared" si="103"/>
        <v>44804</v>
      </c>
      <c r="AC257" s="420">
        <f t="shared" si="104"/>
        <v>1.9041328441337515E-2</v>
      </c>
      <c r="AD257" s="165">
        <f>(INDEX(Models!$BJ257:$BT257,,AH257)*(1-AF257)+INDEX(Models!$BJ257:$BT257,,AH257+1)*AF257-ERP_i)*AE257*Ramure*Pc/MaxiM</f>
        <v>2.6194192065576598E-5</v>
      </c>
      <c r="AE257" s="301">
        <f t="shared" si="105"/>
        <v>0.5</v>
      </c>
      <c r="AF257" s="173">
        <f t="shared" si="106"/>
        <v>0.47732841671277737</v>
      </c>
      <c r="AG257" s="802">
        <f t="shared" si="107"/>
        <v>0</v>
      </c>
      <c r="AH257" s="172">
        <f t="shared" si="108"/>
        <v>6</v>
      </c>
      <c r="AI257" s="221">
        <f t="shared" si="109"/>
        <v>0.47732841671277737</v>
      </c>
      <c r="AJ257" s="261" t="b">
        <f t="shared" si="110"/>
        <v>0</v>
      </c>
      <c r="AK257" s="261" t="b">
        <f t="shared" si="111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12"/>
        <v>44805</v>
      </c>
      <c r="B258" s="610">
        <v>43.241</v>
      </c>
      <c r="C258" s="385"/>
      <c r="D258" s="388">
        <f t="shared" si="89"/>
        <v>43.408843086407188</v>
      </c>
      <c r="E258" s="380">
        <f t="shared" si="115"/>
        <v>44.254029021109602</v>
      </c>
      <c r="F258" s="380">
        <f t="shared" si="114"/>
        <v>44.255000274929195</v>
      </c>
      <c r="G258" s="110">
        <f t="shared" si="116"/>
        <v>0.85550699589553814</v>
      </c>
      <c r="I258" s="375">
        <f t="shared" si="90"/>
        <v>44.255000274929195</v>
      </c>
      <c r="J258" s="85">
        <v>2022</v>
      </c>
      <c r="K258" s="193">
        <f t="shared" si="91"/>
        <v>44805</v>
      </c>
      <c r="L258" s="431">
        <f t="shared" si="92"/>
        <v>3.8665643789006499E-3</v>
      </c>
      <c r="M258" s="847"/>
      <c r="N258" s="847"/>
      <c r="O258" s="320">
        <f t="shared" si="93"/>
        <v>1.9098508167454186E-2</v>
      </c>
      <c r="P258" s="165">
        <f>(INDEX(Models!$BJ258:$BT258,,T258)*(1-R258)+INDEX(Models!$BJ258:$BT258,,T258+1)*R258-ERP_i)*Q258*Ramure*Pc/MaxiM</f>
        <v>2.7655090324653253E-5</v>
      </c>
      <c r="Q258" s="301">
        <f t="shared" si="94"/>
        <v>0.5</v>
      </c>
      <c r="R258" s="173">
        <f t="shared" si="95"/>
        <v>0.47797752869539883</v>
      </c>
      <c r="S258" s="802">
        <f t="shared" si="113"/>
        <v>0</v>
      </c>
      <c r="T258" s="172">
        <f t="shared" si="96"/>
        <v>6</v>
      </c>
      <c r="U258" s="247">
        <f t="shared" si="97"/>
        <v>0.47797752869539883</v>
      </c>
      <c r="V258" s="378">
        <f t="shared" si="98"/>
        <v>50.544008836956294</v>
      </c>
      <c r="W258" s="58"/>
      <c r="X258" s="153">
        <f t="shared" si="99"/>
        <v>44805</v>
      </c>
      <c r="Y258" s="380">
        <f t="shared" si="100"/>
        <v>43.241</v>
      </c>
      <c r="Z258" s="380">
        <f t="shared" si="101"/>
        <v>43.408843086407188</v>
      </c>
      <c r="AA258" s="381">
        <f t="shared" si="102"/>
        <v>44.254029021109602</v>
      </c>
      <c r="AB258" s="193">
        <f t="shared" si="103"/>
        <v>44805</v>
      </c>
      <c r="AC258" s="420">
        <f t="shared" si="104"/>
        <v>1.9098508167454186E-2</v>
      </c>
      <c r="AD258" s="165">
        <f>(INDEX(Models!$BJ258:$BT258,,AH258)*(1-AF258)+INDEX(Models!$BJ258:$BT258,,AH258+1)*AF258-ERP_i)*AE258*Ramure*Pc/MaxiM</f>
        <v>2.7655090324653253E-5</v>
      </c>
      <c r="AE258" s="301">
        <f t="shared" si="105"/>
        <v>0.5</v>
      </c>
      <c r="AF258" s="173">
        <f t="shared" si="106"/>
        <v>0.47797752869539883</v>
      </c>
      <c r="AG258" s="802">
        <f t="shared" si="107"/>
        <v>0</v>
      </c>
      <c r="AH258" s="172">
        <f t="shared" si="108"/>
        <v>6</v>
      </c>
      <c r="AI258" s="221">
        <f t="shared" si="109"/>
        <v>0.47797752869539883</v>
      </c>
      <c r="AJ258" s="261" t="b">
        <f t="shared" si="110"/>
        <v>0</v>
      </c>
      <c r="AK258" s="261" t="b">
        <f t="shared" si="111"/>
        <v>0</v>
      </c>
      <c r="AL258" s="261"/>
      <c r="AM258" s="261"/>
      <c r="AN258" s="75"/>
    </row>
    <row r="259" spans="1:40" s="6" customFormat="1" ht="11.25" x14ac:dyDescent="0.2">
      <c r="A259" s="56">
        <f t="shared" si="112"/>
        <v>44806</v>
      </c>
      <c r="B259" s="610">
        <v>40.874000000000002</v>
      </c>
      <c r="C259" s="385"/>
      <c r="D259" s="388">
        <f t="shared" si="89"/>
        <v>41.033217114040042</v>
      </c>
      <c r="E259" s="380">
        <f t="shared" si="115"/>
        <v>41.834580619860411</v>
      </c>
      <c r="F259" s="380">
        <f t="shared" si="114"/>
        <v>41.8354747145045</v>
      </c>
      <c r="G259" s="110">
        <f t="shared" si="116"/>
        <v>0.8132557673091978</v>
      </c>
      <c r="I259" s="375">
        <f t="shared" si="90"/>
        <v>41.8354747145045</v>
      </c>
      <c r="J259" s="85">
        <v>2022</v>
      </c>
      <c r="K259" s="193">
        <f t="shared" si="91"/>
        <v>44806</v>
      </c>
      <c r="L259" s="431">
        <f t="shared" si="92"/>
        <v>3.8802006091196439E-3</v>
      </c>
      <c r="M259" s="847"/>
      <c r="N259" s="847"/>
      <c r="O259" s="320">
        <f t="shared" si="93"/>
        <v>1.9155528606875468E-2</v>
      </c>
      <c r="P259" s="165">
        <f>(INDEX(Models!$BJ259:$BT259,,T259)*(1-R259)+INDEX(Models!$BJ259:$BT259,,T259+1)*R259-ERP_i)*Q259*Ramure*Pc/MaxiM</f>
        <v>2.9147253829916742E-5</v>
      </c>
      <c r="Q259" s="301">
        <f t="shared" si="94"/>
        <v>0.5</v>
      </c>
      <c r="R259" s="173">
        <f t="shared" si="95"/>
        <v>0.47860214430960546</v>
      </c>
      <c r="S259" s="802">
        <f t="shared" si="113"/>
        <v>0</v>
      </c>
      <c r="T259" s="172">
        <f t="shared" si="96"/>
        <v>6</v>
      </c>
      <c r="U259" s="247">
        <f t="shared" si="97"/>
        <v>0.47860214430960546</v>
      </c>
      <c r="V259" s="378">
        <f t="shared" si="98"/>
        <v>50.259320397936349</v>
      </c>
      <c r="W259" s="58"/>
      <c r="X259" s="153">
        <f t="shared" si="99"/>
        <v>44806</v>
      </c>
      <c r="Y259" s="380">
        <f t="shared" si="100"/>
        <v>40.874000000000002</v>
      </c>
      <c r="Z259" s="380">
        <f t="shared" si="101"/>
        <v>41.033217114040042</v>
      </c>
      <c r="AA259" s="381">
        <f t="shared" si="102"/>
        <v>41.834580619860411</v>
      </c>
      <c r="AB259" s="193">
        <f t="shared" si="103"/>
        <v>44806</v>
      </c>
      <c r="AC259" s="420">
        <f t="shared" si="104"/>
        <v>1.9155528606875468E-2</v>
      </c>
      <c r="AD259" s="165">
        <f>(INDEX(Models!$BJ259:$BT259,,AH259)*(1-AF259)+INDEX(Models!$BJ259:$BT259,,AH259+1)*AF259-ERP_i)*AE259*Ramure*Pc/MaxiM</f>
        <v>2.9147253829916742E-5</v>
      </c>
      <c r="AE259" s="301">
        <f t="shared" si="105"/>
        <v>0.5</v>
      </c>
      <c r="AF259" s="173">
        <f t="shared" si="106"/>
        <v>0.47860214430960546</v>
      </c>
      <c r="AG259" s="802">
        <f t="shared" si="107"/>
        <v>0</v>
      </c>
      <c r="AH259" s="172">
        <f t="shared" si="108"/>
        <v>6</v>
      </c>
      <c r="AI259" s="221">
        <f t="shared" si="109"/>
        <v>0.47860214430960546</v>
      </c>
      <c r="AJ259" s="261" t="b">
        <f t="shared" si="110"/>
        <v>0</v>
      </c>
      <c r="AK259" s="261" t="b">
        <f t="shared" si="111"/>
        <v>0</v>
      </c>
      <c r="AL259" s="261"/>
      <c r="AM259" s="261"/>
      <c r="AN259" s="75"/>
    </row>
    <row r="260" spans="1:40" s="6" customFormat="1" ht="11.25" x14ac:dyDescent="0.2">
      <c r="A260" s="56">
        <f t="shared" si="112"/>
        <v>44807</v>
      </c>
      <c r="B260" s="610">
        <v>37.603000000000002</v>
      </c>
      <c r="C260" s="385"/>
      <c r="D260" s="388">
        <f t="shared" si="89"/>
        <v>37.749992303670041</v>
      </c>
      <c r="E260" s="380">
        <f t="shared" si="115"/>
        <v>38.489466771743331</v>
      </c>
      <c r="F260" s="380">
        <f t="shared" si="114"/>
        <v>38.490229957550994</v>
      </c>
      <c r="G260" s="110">
        <f t="shared" si="116"/>
        <v>0.75251481868546954</v>
      </c>
      <c r="I260" s="375">
        <f t="shared" si="90"/>
        <v>38.490229957550994</v>
      </c>
      <c r="J260" s="85">
        <v>2022</v>
      </c>
      <c r="K260" s="193">
        <f t="shared" si="91"/>
        <v>44807</v>
      </c>
      <c r="L260" s="431">
        <f t="shared" si="92"/>
        <v>3.8938366526699575E-3</v>
      </c>
      <c r="M260" s="847"/>
      <c r="N260" s="847"/>
      <c r="O260" s="320">
        <f t="shared" si="93"/>
        <v>1.9212385363991752E-2</v>
      </c>
      <c r="P260" s="165">
        <f>(INDEX(Models!$BJ260:$BT260,,T260)*(1-R260)+INDEX(Models!$BJ260:$BT260,,T260+1)*R260-ERP_i)*Q260*Ramure*Pc/MaxiM</f>
        <v>3.0671653013791693E-5</v>
      </c>
      <c r="Q260" s="301">
        <f t="shared" si="94"/>
        <v>0.5</v>
      </c>
      <c r="R260" s="173">
        <f t="shared" si="95"/>
        <v>0.47920312638823093</v>
      </c>
      <c r="S260" s="802">
        <f t="shared" si="113"/>
        <v>0</v>
      </c>
      <c r="T260" s="172">
        <f t="shared" si="96"/>
        <v>6</v>
      </c>
      <c r="U260" s="247">
        <f t="shared" si="97"/>
        <v>0.47920312638823093</v>
      </c>
      <c r="V260" s="378">
        <f t="shared" si="98"/>
        <v>49.969238220729743</v>
      </c>
      <c r="W260" s="58"/>
      <c r="X260" s="153">
        <f t="shared" si="99"/>
        <v>44807</v>
      </c>
      <c r="Y260" s="380">
        <f t="shared" si="100"/>
        <v>37.603000000000002</v>
      </c>
      <c r="Z260" s="380">
        <f t="shared" si="101"/>
        <v>37.749992303670041</v>
      </c>
      <c r="AA260" s="381">
        <f t="shared" si="102"/>
        <v>38.489466771743331</v>
      </c>
      <c r="AB260" s="193">
        <f t="shared" si="103"/>
        <v>44807</v>
      </c>
      <c r="AC260" s="420">
        <f t="shared" si="104"/>
        <v>1.9212385363991752E-2</v>
      </c>
      <c r="AD260" s="165">
        <f>(INDEX(Models!$BJ260:$BT260,,AH260)*(1-AF260)+INDEX(Models!$BJ260:$BT260,,AH260+1)*AF260-ERP_i)*AE260*Ramure*Pc/MaxiM</f>
        <v>3.0671653013791693E-5</v>
      </c>
      <c r="AE260" s="301">
        <f t="shared" si="105"/>
        <v>0.5</v>
      </c>
      <c r="AF260" s="173">
        <f t="shared" si="106"/>
        <v>0.47920312638823093</v>
      </c>
      <c r="AG260" s="802">
        <f t="shared" si="107"/>
        <v>0</v>
      </c>
      <c r="AH260" s="172">
        <f t="shared" si="108"/>
        <v>6</v>
      </c>
      <c r="AI260" s="221">
        <f t="shared" si="109"/>
        <v>0.47920312638823093</v>
      </c>
      <c r="AJ260" s="261" t="b">
        <f t="shared" si="110"/>
        <v>0</v>
      </c>
      <c r="AK260" s="261" t="b">
        <f t="shared" si="111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12"/>
        <v>44808</v>
      </c>
      <c r="B261" s="610">
        <v>49.306000000000004</v>
      </c>
      <c r="C261" s="385"/>
      <c r="D261" s="388">
        <f t="shared" si="89"/>
        <v>49.499417613563956</v>
      </c>
      <c r="E261" s="380">
        <f t="shared" si="115"/>
        <v>50.471965647269521</v>
      </c>
      <c r="F261" s="380">
        <f t="shared" ref="F261:F292" si="117">Wh_sa/(1-Pvg*MEDIAN((-Sdif+Wh/Env_an)/Csdif,0,1))</f>
        <v>50.473575037917115</v>
      </c>
      <c r="G261" s="110">
        <f t="shared" si="116"/>
        <v>0.99256623455752202</v>
      </c>
      <c r="I261" s="375">
        <f t="shared" si="90"/>
        <v>50.473575037917115</v>
      </c>
      <c r="J261" s="85">
        <v>2022</v>
      </c>
      <c r="K261" s="193">
        <f t="shared" si="91"/>
        <v>44808</v>
      </c>
      <c r="L261" s="431">
        <f t="shared" si="92"/>
        <v>3.9074725095543661E-3</v>
      </c>
      <c r="M261" s="847"/>
      <c r="N261" s="847"/>
      <c r="O261" s="320">
        <f t="shared" si="93"/>
        <v>1.9269073855818445E-2</v>
      </c>
      <c r="P261" s="165">
        <f>(INDEX(Models!$BJ261:$BT261,,T261)*(1-R261)+INDEX(Models!$BJ261:$BT261,,T261+1)*R261-ERP_i)*Q261*Ramure*Pc/MaxiM</f>
        <v>3.2228041877108942E-5</v>
      </c>
      <c r="Q261" s="301">
        <f t="shared" si="94"/>
        <v>0.5</v>
      </c>
      <c r="R261" s="173">
        <f t="shared" si="95"/>
        <v>0.47978131211399516</v>
      </c>
      <c r="S261" s="802">
        <f t="shared" si="113"/>
        <v>0</v>
      </c>
      <c r="T261" s="172">
        <f t="shared" si="96"/>
        <v>6</v>
      </c>
      <c r="U261" s="247">
        <f t="shared" si="97"/>
        <v>0.47978131211399516</v>
      </c>
      <c r="V261" s="378">
        <f t="shared" si="98"/>
        <v>49.675257336539559</v>
      </c>
      <c r="W261" s="58"/>
      <c r="X261" s="153">
        <f t="shared" si="99"/>
        <v>44808</v>
      </c>
      <c r="Y261" s="380">
        <f t="shared" si="100"/>
        <v>49.306000000000004</v>
      </c>
      <c r="Z261" s="380">
        <f t="shared" si="101"/>
        <v>49.499417613563956</v>
      </c>
      <c r="AA261" s="381">
        <f t="shared" si="102"/>
        <v>50.471965647269521</v>
      </c>
      <c r="AB261" s="193">
        <f t="shared" si="103"/>
        <v>44808</v>
      </c>
      <c r="AC261" s="420">
        <f t="shared" si="104"/>
        <v>1.9269073855818445E-2</v>
      </c>
      <c r="AD261" s="165">
        <f>(INDEX(Models!$BJ261:$BT261,,AH261)*(1-AF261)+INDEX(Models!$BJ261:$BT261,,AH261+1)*AF261-ERP_i)*AE261*Ramure*Pc/MaxiM</f>
        <v>3.2228041877108942E-5</v>
      </c>
      <c r="AE261" s="301">
        <f t="shared" si="105"/>
        <v>0.5</v>
      </c>
      <c r="AF261" s="173">
        <f t="shared" si="106"/>
        <v>0.47978131211399516</v>
      </c>
      <c r="AG261" s="802">
        <f t="shared" si="107"/>
        <v>0</v>
      </c>
      <c r="AH261" s="172">
        <f t="shared" si="108"/>
        <v>6</v>
      </c>
      <c r="AI261" s="221">
        <f t="shared" si="109"/>
        <v>0.47978131211399516</v>
      </c>
      <c r="AJ261" s="261" t="b">
        <f t="shared" si="110"/>
        <v>0</v>
      </c>
      <c r="AK261" s="261" t="b">
        <f t="shared" si="111"/>
        <v>0</v>
      </c>
      <c r="AL261" s="261"/>
      <c r="AM261" s="261"/>
      <c r="AN261" s="75"/>
    </row>
    <row r="262" spans="1:40" s="6" customFormat="1" ht="11.25" x14ac:dyDescent="0.2">
      <c r="A262" s="56">
        <f t="shared" si="112"/>
        <v>44809</v>
      </c>
      <c r="B262" s="610">
        <v>41.259</v>
      </c>
      <c r="C262" s="385"/>
      <c r="D262" s="388">
        <f t="shared" si="89"/>
        <v>41.421417860390271</v>
      </c>
      <c r="E262" s="380">
        <f t="shared" si="115"/>
        <v>42.237686033694423</v>
      </c>
      <c r="F262" s="380">
        <f t="shared" si="117"/>
        <v>42.238772053964766</v>
      </c>
      <c r="G262" s="110">
        <f t="shared" si="116"/>
        <v>0.83555060673440906</v>
      </c>
      <c r="I262" s="375">
        <f t="shared" si="90"/>
        <v>42.238772053964766</v>
      </c>
      <c r="J262" s="85">
        <v>2022</v>
      </c>
      <c r="K262" s="193">
        <f t="shared" si="91"/>
        <v>44809</v>
      </c>
      <c r="L262" s="431">
        <f t="shared" si="92"/>
        <v>3.9211081797753122E-3</v>
      </c>
      <c r="M262" s="847"/>
      <c r="N262" s="847"/>
      <c r="O262" s="320">
        <f t="shared" si="93"/>
        <v>1.932558930081987E-2</v>
      </c>
      <c r="P262" s="165">
        <f>(INDEX(Models!$BJ262:$BT262,,T262)*(1-R262)+INDEX(Models!$BJ262:$BT262,,T262+1)*R262-ERP_i)*Q262*Ramure*Pc/MaxiM</f>
        <v>3.3606154696028898E-5</v>
      </c>
      <c r="Q262" s="301">
        <f t="shared" si="94"/>
        <v>0.5</v>
      </c>
      <c r="R262" s="173">
        <f t="shared" si="95"/>
        <v>0.48033751340676706</v>
      </c>
      <c r="S262" s="802">
        <f t="shared" si="113"/>
        <v>0</v>
      </c>
      <c r="T262" s="172">
        <f t="shared" si="96"/>
        <v>6</v>
      </c>
      <c r="U262" s="247">
        <f t="shared" si="97"/>
        <v>0.48033751340676706</v>
      </c>
      <c r="V262" s="378">
        <f t="shared" si="98"/>
        <v>49.379024958698317</v>
      </c>
      <c r="W262" s="58"/>
      <c r="X262" s="153">
        <f t="shared" si="99"/>
        <v>44809</v>
      </c>
      <c r="Y262" s="380">
        <f t="shared" si="100"/>
        <v>41.259</v>
      </c>
      <c r="Z262" s="380">
        <f t="shared" si="101"/>
        <v>41.421417860390271</v>
      </c>
      <c r="AA262" s="381">
        <f t="shared" si="102"/>
        <v>42.237686033694423</v>
      </c>
      <c r="AB262" s="193">
        <f t="shared" si="103"/>
        <v>44809</v>
      </c>
      <c r="AC262" s="420">
        <f t="shared" si="104"/>
        <v>1.932558930081987E-2</v>
      </c>
      <c r="AD262" s="165">
        <f>(INDEX(Models!$BJ262:$BT262,,AH262)*(1-AF262)+INDEX(Models!$BJ262:$BT262,,AH262+1)*AF262-ERP_i)*AE262*Ramure*Pc/MaxiM</f>
        <v>3.3606154696028898E-5</v>
      </c>
      <c r="AE262" s="301">
        <f t="shared" si="105"/>
        <v>0.5</v>
      </c>
      <c r="AF262" s="173">
        <f t="shared" si="106"/>
        <v>0.48033751340676706</v>
      </c>
      <c r="AG262" s="802">
        <f t="shared" si="107"/>
        <v>0</v>
      </c>
      <c r="AH262" s="172">
        <f t="shared" si="108"/>
        <v>6</v>
      </c>
      <c r="AI262" s="221">
        <f t="shared" si="109"/>
        <v>0.48033751340676706</v>
      </c>
      <c r="AJ262" s="261" t="b">
        <f t="shared" si="110"/>
        <v>0</v>
      </c>
      <c r="AK262" s="261" t="b">
        <f t="shared" si="111"/>
        <v>0</v>
      </c>
      <c r="AL262" s="261"/>
      <c r="AM262" s="261"/>
      <c r="AN262" s="75"/>
    </row>
    <row r="263" spans="1:40" s="6" customFormat="1" ht="11.25" x14ac:dyDescent="0.2">
      <c r="A263" s="56">
        <f t="shared" si="112"/>
        <v>44810</v>
      </c>
      <c r="B263" s="610">
        <v>44.972000000000001</v>
      </c>
      <c r="C263" s="385"/>
      <c r="D263" s="388">
        <f t="shared" si="89"/>
        <v>45.149652308321969</v>
      </c>
      <c r="E263" s="380">
        <f t="shared" si="115"/>
        <v>46.042035669145861</v>
      </c>
      <c r="F263" s="380">
        <f t="shared" si="117"/>
        <v>46.043442826632116</v>
      </c>
      <c r="G263" s="110">
        <f t="shared" si="116"/>
        <v>0.91629189404818701</v>
      </c>
      <c r="I263" s="375">
        <f t="shared" si="90"/>
        <v>46.043442826632116</v>
      </c>
      <c r="J263" s="85">
        <v>2022</v>
      </c>
      <c r="K263" s="193">
        <f t="shared" si="91"/>
        <v>44810</v>
      </c>
      <c r="L263" s="431">
        <f t="shared" si="92"/>
        <v>3.9347436633353494E-3</v>
      </c>
      <c r="M263" s="847"/>
      <c r="N263" s="847"/>
      <c r="O263" s="320">
        <f t="shared" si="93"/>
        <v>1.9381926707943153E-2</v>
      </c>
      <c r="P263" s="165">
        <f>(INDEX(Models!$BJ263:$BT263,,T263)*(1-R263)+INDEX(Models!$BJ263:$BT263,,T263+1)*R263-ERP_i)*Q263*Ramure*Pc/MaxiM</f>
        <v>3.4712334313101618E-5</v>
      </c>
      <c r="Q263" s="301">
        <f t="shared" si="94"/>
        <v>0.5</v>
      </c>
      <c r="R263" s="173">
        <f t="shared" si="95"/>
        <v>0.4808725173383987</v>
      </c>
      <c r="S263" s="802">
        <f t="shared" si="113"/>
        <v>0</v>
      </c>
      <c r="T263" s="172">
        <f t="shared" si="96"/>
        <v>6</v>
      </c>
      <c r="U263" s="247">
        <f t="shared" si="97"/>
        <v>0.4808725173383987</v>
      </c>
      <c r="V263" s="378">
        <f t="shared" si="98"/>
        <v>49.080226089393562</v>
      </c>
      <c r="W263" s="58"/>
      <c r="X263" s="153">
        <f t="shared" si="99"/>
        <v>44810</v>
      </c>
      <c r="Y263" s="380">
        <f t="shared" si="100"/>
        <v>44.972000000000001</v>
      </c>
      <c r="Z263" s="380">
        <f t="shared" si="101"/>
        <v>45.149652308321969</v>
      </c>
      <c r="AA263" s="381">
        <f t="shared" si="102"/>
        <v>46.042035669145861</v>
      </c>
      <c r="AB263" s="193">
        <f t="shared" si="103"/>
        <v>44810</v>
      </c>
      <c r="AC263" s="420">
        <f t="shared" si="104"/>
        <v>1.9381926707943153E-2</v>
      </c>
      <c r="AD263" s="165">
        <f>(INDEX(Models!$BJ263:$BT263,,AH263)*(1-AF263)+INDEX(Models!$BJ263:$BT263,,AH263+1)*AF263-ERP_i)*AE263*Ramure*Pc/MaxiM</f>
        <v>3.4712334313101618E-5</v>
      </c>
      <c r="AE263" s="301">
        <f t="shared" si="105"/>
        <v>0.5</v>
      </c>
      <c r="AF263" s="173">
        <f t="shared" si="106"/>
        <v>0.4808725173383987</v>
      </c>
      <c r="AG263" s="802">
        <f t="shared" si="107"/>
        <v>0</v>
      </c>
      <c r="AH263" s="172">
        <f t="shared" si="108"/>
        <v>6</v>
      </c>
      <c r="AI263" s="221">
        <f t="shared" si="109"/>
        <v>0.4808725173383987</v>
      </c>
      <c r="AJ263" s="261" t="b">
        <f t="shared" si="110"/>
        <v>0</v>
      </c>
      <c r="AK263" s="261" t="b">
        <f t="shared" si="111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112"/>
        <v>44811</v>
      </c>
      <c r="B264" s="610">
        <v>36.875999999999998</v>
      </c>
      <c r="C264" s="385"/>
      <c r="D264" s="388">
        <f t="shared" si="89"/>
        <v>37.022177587046855</v>
      </c>
      <c r="E264" s="380">
        <f t="shared" si="115"/>
        <v>37.756083389155592</v>
      </c>
      <c r="F264" s="380">
        <f t="shared" si="117"/>
        <v>37.756957549064502</v>
      </c>
      <c r="G264" s="110">
        <f t="shared" si="116"/>
        <v>0.75597879879147822</v>
      </c>
      <c r="I264" s="375">
        <f t="shared" si="90"/>
        <v>37.756957549064502</v>
      </c>
      <c r="J264" s="85">
        <v>2022</v>
      </c>
      <c r="K264" s="193">
        <f t="shared" si="91"/>
        <v>44811</v>
      </c>
      <c r="L264" s="431">
        <f t="shared" si="92"/>
        <v>3.9483789602370312E-3</v>
      </c>
      <c r="M264" s="847"/>
      <c r="N264" s="847"/>
      <c r="O264" s="320">
        <f t="shared" si="93"/>
        <v>1.9438080866182577E-2</v>
      </c>
      <c r="P264" s="165">
        <f>(INDEX(Models!$BJ264:$BT264,,T264)*(1-R264)+INDEX(Models!$BJ264:$BT264,,T264+1)*R264-ERP_i)*Q264*Ramure*Pc/MaxiM</f>
        <v>3.5541713528293834E-5</v>
      </c>
      <c r="Q264" s="301">
        <f t="shared" si="94"/>
        <v>0.5</v>
      </c>
      <c r="R264" s="173">
        <f t="shared" si="95"/>
        <v>0.48138708657143631</v>
      </c>
      <c r="S264" s="802">
        <f t="shared" si="113"/>
        <v>0</v>
      </c>
      <c r="T264" s="172">
        <f t="shared" si="96"/>
        <v>6</v>
      </c>
      <c r="U264" s="247">
        <f t="shared" si="97"/>
        <v>0.48138708657143631</v>
      </c>
      <c r="V264" s="378">
        <f t="shared" si="98"/>
        <v>48.77854137691569</v>
      </c>
      <c r="W264" s="58"/>
      <c r="X264" s="153">
        <f t="shared" si="99"/>
        <v>44811</v>
      </c>
      <c r="Y264" s="380">
        <f t="shared" si="100"/>
        <v>36.875999999999998</v>
      </c>
      <c r="Z264" s="380">
        <f t="shared" si="101"/>
        <v>37.022177587046855</v>
      </c>
      <c r="AA264" s="381">
        <f t="shared" si="102"/>
        <v>37.756083389155592</v>
      </c>
      <c r="AB264" s="193">
        <f t="shared" si="103"/>
        <v>44811</v>
      </c>
      <c r="AC264" s="420">
        <f t="shared" si="104"/>
        <v>1.9438080866182577E-2</v>
      </c>
      <c r="AD264" s="165">
        <f>(INDEX(Models!$BJ264:$BT264,,AH264)*(1-AF264)+INDEX(Models!$BJ264:$BT264,,AH264+1)*AF264-ERP_i)*AE264*Ramure*Pc/MaxiM</f>
        <v>3.5541713528293834E-5</v>
      </c>
      <c r="AE264" s="301">
        <f t="shared" si="105"/>
        <v>0.5</v>
      </c>
      <c r="AF264" s="173">
        <f t="shared" si="106"/>
        <v>0.48138708657143631</v>
      </c>
      <c r="AG264" s="802">
        <f t="shared" si="107"/>
        <v>0</v>
      </c>
      <c r="AH264" s="172">
        <f t="shared" si="108"/>
        <v>6</v>
      </c>
      <c r="AI264" s="221">
        <f t="shared" si="109"/>
        <v>0.48138708657143631</v>
      </c>
      <c r="AJ264" s="261" t="b">
        <f t="shared" si="110"/>
        <v>0</v>
      </c>
      <c r="AK264" s="261" t="b">
        <f t="shared" si="111"/>
        <v>0</v>
      </c>
      <c r="AL264" s="261"/>
      <c r="AM264" s="261"/>
      <c r="AN264" s="75"/>
    </row>
    <row r="265" spans="1:40" s="6" customFormat="1" ht="11.25" x14ac:dyDescent="0.2">
      <c r="A265" s="56">
        <f t="shared" si="112"/>
        <v>44812</v>
      </c>
      <c r="B265" s="610">
        <v>41.014000000000003</v>
      </c>
      <c r="C265" s="385"/>
      <c r="D265" s="388">
        <f t="shared" si="89"/>
        <v>41.177144425596531</v>
      </c>
      <c r="E265" s="380">
        <f t="shared" si="115"/>
        <v>41.995812745126116</v>
      </c>
      <c r="F265" s="380">
        <f t="shared" si="117"/>
        <v>41.996995184866542</v>
      </c>
      <c r="G265" s="110">
        <f t="shared" si="116"/>
        <v>0.84610243435874732</v>
      </c>
      <c r="I265" s="375">
        <f t="shared" si="90"/>
        <v>41.996995184866542</v>
      </c>
      <c r="J265" s="85">
        <v>2022</v>
      </c>
      <c r="K265" s="193">
        <f t="shared" si="91"/>
        <v>44812</v>
      </c>
      <c r="L265" s="431">
        <f t="shared" si="92"/>
        <v>3.962014070483022E-3</v>
      </c>
      <c r="M265" s="847"/>
      <c r="N265" s="847"/>
      <c r="O265" s="320">
        <f t="shared" si="93"/>
        <v>1.9494046335002645E-2</v>
      </c>
      <c r="P265" s="165">
        <f>(INDEX(Models!$BJ265:$BT265,,T265)*(1-R265)+INDEX(Models!$BJ265:$BT265,,T265+1)*R265-ERP_i)*Q265*Ramure*Pc/MaxiM</f>
        <v>3.6089377224325696E-5</v>
      </c>
      <c r="Q265" s="301">
        <f t="shared" si="94"/>
        <v>0.5</v>
      </c>
      <c r="R265" s="173">
        <f t="shared" si="95"/>
        <v>0.48188195981828214</v>
      </c>
      <c r="S265" s="802">
        <f t="shared" si="113"/>
        <v>0</v>
      </c>
      <c r="T265" s="172">
        <f t="shared" si="96"/>
        <v>6</v>
      </c>
      <c r="U265" s="247">
        <f t="shared" si="97"/>
        <v>0.48188195981828214</v>
      </c>
      <c r="V265" s="378">
        <f t="shared" si="98"/>
        <v>48.47365155659849</v>
      </c>
      <c r="W265" s="58"/>
      <c r="X265" s="153">
        <f t="shared" si="99"/>
        <v>44812</v>
      </c>
      <c r="Y265" s="380">
        <f t="shared" si="100"/>
        <v>41.014000000000003</v>
      </c>
      <c r="Z265" s="380">
        <f t="shared" si="101"/>
        <v>41.177144425596531</v>
      </c>
      <c r="AA265" s="381">
        <f t="shared" si="102"/>
        <v>41.995812745126116</v>
      </c>
      <c r="AB265" s="193">
        <f t="shared" si="103"/>
        <v>44812</v>
      </c>
      <c r="AC265" s="420">
        <f t="shared" si="104"/>
        <v>1.9494046335002645E-2</v>
      </c>
      <c r="AD265" s="165">
        <f>(INDEX(Models!$BJ265:$BT265,,AH265)*(1-AF265)+INDEX(Models!$BJ265:$BT265,,AH265+1)*AF265-ERP_i)*AE265*Ramure*Pc/MaxiM</f>
        <v>3.6089377224325696E-5</v>
      </c>
      <c r="AE265" s="301">
        <f t="shared" si="105"/>
        <v>0.5</v>
      </c>
      <c r="AF265" s="173">
        <f t="shared" si="106"/>
        <v>0.48188195981828214</v>
      </c>
      <c r="AG265" s="802">
        <f t="shared" si="107"/>
        <v>0</v>
      </c>
      <c r="AH265" s="172">
        <f t="shared" si="108"/>
        <v>6</v>
      </c>
      <c r="AI265" s="221">
        <f t="shared" si="109"/>
        <v>0.48188195981828214</v>
      </c>
      <c r="AJ265" s="261" t="b">
        <f t="shared" si="110"/>
        <v>0</v>
      </c>
      <c r="AK265" s="261" t="b">
        <f t="shared" si="111"/>
        <v>0</v>
      </c>
      <c r="AL265" s="261"/>
      <c r="AM265" s="261"/>
      <c r="AN265" s="75"/>
    </row>
    <row r="266" spans="1:40" s="6" customFormat="1" ht="11.25" x14ac:dyDescent="0.2">
      <c r="A266" s="56">
        <f t="shared" si="112"/>
        <v>44813</v>
      </c>
      <c r="B266" s="610">
        <v>19.54</v>
      </c>
      <c r="C266" s="385"/>
      <c r="D266" s="388">
        <f t="shared" si="89"/>
        <v>19.617994259142144</v>
      </c>
      <c r="E266" s="380">
        <f t="shared" si="115"/>
        <v>20.00916987728807</v>
      </c>
      <c r="F266" s="380">
        <f t="shared" si="117"/>
        <v>20.009279692511022</v>
      </c>
      <c r="G266" s="110">
        <f t="shared" si="116"/>
        <v>0.40567425775734517</v>
      </c>
      <c r="I266" s="375">
        <f t="shared" si="90"/>
        <v>20.009279692511022</v>
      </c>
      <c r="J266" s="85">
        <v>2022</v>
      </c>
      <c r="K266" s="193">
        <f t="shared" si="91"/>
        <v>44813</v>
      </c>
      <c r="L266" s="431">
        <f t="shared" si="92"/>
        <v>3.9756489940758755E-3</v>
      </c>
      <c r="M266" s="847"/>
      <c r="N266" s="847"/>
      <c r="O266" s="320">
        <f t="shared" si="93"/>
        <v>1.9549817435951793E-2</v>
      </c>
      <c r="P266" s="165">
        <f>(INDEX(Models!$BJ266:$BT266,,T266)*(1-R266)+INDEX(Models!$BJ266:$BT266,,T266+1)*R266-ERP_i)*Q266*Ramure*Pc/MaxiM</f>
        <v>3.6350339714416248E-5</v>
      </c>
      <c r="Q266" s="301">
        <f t="shared" si="94"/>
        <v>0.5</v>
      </c>
      <c r="R266" s="173">
        <f t="shared" si="95"/>
        <v>0.48235785231763734</v>
      </c>
      <c r="S266" s="802">
        <f t="shared" si="113"/>
        <v>0</v>
      </c>
      <c r="T266" s="172">
        <f t="shared" si="96"/>
        <v>6</v>
      </c>
      <c r="U266" s="247">
        <f t="shared" si="97"/>
        <v>0.48235785231763734</v>
      </c>
      <c r="V266" s="378">
        <f t="shared" si="98"/>
        <v>48.165237446382633</v>
      </c>
      <c r="W266" s="58"/>
      <c r="X266" s="153">
        <f t="shared" si="99"/>
        <v>44813</v>
      </c>
      <c r="Y266" s="380">
        <f t="shared" si="100"/>
        <v>19.54</v>
      </c>
      <c r="Z266" s="380">
        <f t="shared" si="101"/>
        <v>19.617994259142144</v>
      </c>
      <c r="AA266" s="381">
        <f t="shared" si="102"/>
        <v>20.00916987728807</v>
      </c>
      <c r="AB266" s="193">
        <f t="shared" si="103"/>
        <v>44813</v>
      </c>
      <c r="AC266" s="420">
        <f t="shared" si="104"/>
        <v>1.9549817435951793E-2</v>
      </c>
      <c r="AD266" s="165">
        <f>(INDEX(Models!$BJ266:$BT266,,AH266)*(1-AF266)+INDEX(Models!$BJ266:$BT266,,AH266+1)*AF266-ERP_i)*AE266*Ramure*Pc/MaxiM</f>
        <v>3.6350339714416248E-5</v>
      </c>
      <c r="AE266" s="301">
        <f t="shared" si="105"/>
        <v>0.5</v>
      </c>
      <c r="AF266" s="173">
        <f t="shared" si="106"/>
        <v>0.48235785231763734</v>
      </c>
      <c r="AG266" s="802">
        <f t="shared" si="107"/>
        <v>0</v>
      </c>
      <c r="AH266" s="172">
        <f t="shared" si="108"/>
        <v>6</v>
      </c>
      <c r="AI266" s="221">
        <f t="shared" si="109"/>
        <v>0.48235785231763734</v>
      </c>
      <c r="AJ266" s="261" t="b">
        <f t="shared" si="110"/>
        <v>0</v>
      </c>
      <c r="AK266" s="261" t="b">
        <f t="shared" si="111"/>
        <v>0</v>
      </c>
      <c r="AL266" s="261"/>
      <c r="AM266" s="261"/>
      <c r="AN266" s="75"/>
    </row>
    <row r="267" spans="1:40" s="6" customFormat="1" ht="11.25" x14ac:dyDescent="0.2">
      <c r="A267" s="56">
        <f t="shared" si="112"/>
        <v>44814</v>
      </c>
      <c r="B267" s="610">
        <v>45.552</v>
      </c>
      <c r="C267" s="385"/>
      <c r="D267" s="388">
        <f t="shared" si="89"/>
        <v>45.734447688109263</v>
      </c>
      <c r="E267" s="380">
        <f t="shared" si="115"/>
        <v>46.649019833225587</v>
      </c>
      <c r="F267" s="380">
        <f t="shared" si="117"/>
        <v>46.650597773955901</v>
      </c>
      <c r="G267" s="110">
        <f t="shared" si="116"/>
        <v>0.95191326424392619</v>
      </c>
      <c r="I267" s="375">
        <f t="shared" si="90"/>
        <v>46.650597773955901</v>
      </c>
      <c r="J267" s="85">
        <v>2022</v>
      </c>
      <c r="K267" s="193">
        <f t="shared" si="91"/>
        <v>44814</v>
      </c>
      <c r="L267" s="431">
        <f t="shared" si="92"/>
        <v>3.989283731017923E-3</v>
      </c>
      <c r="M267" s="847"/>
      <c r="N267" s="847"/>
      <c r="O267" s="320">
        <f t="shared" si="93"/>
        <v>1.9605388245797994E-2</v>
      </c>
      <c r="P267" s="165">
        <f>(INDEX(Models!$BJ267:$BT267,,T267)*(1-R267)+INDEX(Models!$BJ267:$BT267,,T267+1)*R267-ERP_i)*Q267*Ramure*Pc/MaxiM</f>
        <v>3.6319521121132529E-5</v>
      </c>
      <c r="Q267" s="301">
        <f t="shared" si="94"/>
        <v>0.5</v>
      </c>
      <c r="R267" s="173">
        <f t="shared" si="95"/>
        <v>0.48281545632530221</v>
      </c>
      <c r="S267" s="802">
        <f t="shared" si="113"/>
        <v>0</v>
      </c>
      <c r="T267" s="172">
        <f t="shared" si="96"/>
        <v>6</v>
      </c>
      <c r="U267" s="247">
        <f t="shared" si="97"/>
        <v>0.48281545632530221</v>
      </c>
      <c r="V267" s="378">
        <f t="shared" si="98"/>
        <v>47.852979952476424</v>
      </c>
      <c r="W267" s="58"/>
      <c r="X267" s="153">
        <f t="shared" si="99"/>
        <v>44814</v>
      </c>
      <c r="Y267" s="380">
        <f t="shared" si="100"/>
        <v>45.552</v>
      </c>
      <c r="Z267" s="380">
        <f t="shared" si="101"/>
        <v>45.734447688109263</v>
      </c>
      <c r="AA267" s="381">
        <f t="shared" si="102"/>
        <v>46.649019833225587</v>
      </c>
      <c r="AB267" s="193">
        <f t="shared" si="103"/>
        <v>44814</v>
      </c>
      <c r="AC267" s="420">
        <f t="shared" si="104"/>
        <v>1.9605388245797994E-2</v>
      </c>
      <c r="AD267" s="165">
        <f>(INDEX(Models!$BJ267:$BT267,,AH267)*(1-AF267)+INDEX(Models!$BJ267:$BT267,,AH267+1)*AF267-ERP_i)*AE267*Ramure*Pc/MaxiM</f>
        <v>3.6319521121132529E-5</v>
      </c>
      <c r="AE267" s="301">
        <f t="shared" si="105"/>
        <v>0.5</v>
      </c>
      <c r="AF267" s="173">
        <f t="shared" si="106"/>
        <v>0.48281545632530221</v>
      </c>
      <c r="AG267" s="802">
        <f t="shared" si="107"/>
        <v>0</v>
      </c>
      <c r="AH267" s="172">
        <f t="shared" si="108"/>
        <v>6</v>
      </c>
      <c r="AI267" s="221">
        <f t="shared" si="109"/>
        <v>0.48281545632530221</v>
      </c>
      <c r="AJ267" s="261" t="b">
        <f t="shared" si="110"/>
        <v>0</v>
      </c>
      <c r="AK267" s="261" t="b">
        <f t="shared" si="111"/>
        <v>0</v>
      </c>
      <c r="AL267" s="261"/>
      <c r="AM267" s="261"/>
      <c r="AN267" s="75"/>
    </row>
    <row r="268" spans="1:40" s="6" customFormat="1" ht="11.25" x14ac:dyDescent="0.2">
      <c r="A268" s="56">
        <f t="shared" si="112"/>
        <v>44815</v>
      </c>
      <c r="B268" s="610">
        <v>47.125</v>
      </c>
      <c r="C268" s="385"/>
      <c r="D268" s="388">
        <f t="shared" si="89"/>
        <v>47.314395659354055</v>
      </c>
      <c r="E268" s="380">
        <f t="shared" si="115"/>
        <v>48.263288228466813</v>
      </c>
      <c r="F268" s="380">
        <f t="shared" si="117"/>
        <v>48.265005171653357</v>
      </c>
      <c r="G268" s="110">
        <f t="shared" si="116"/>
        <v>0.99134182662532366</v>
      </c>
      <c r="I268" s="375">
        <f t="shared" si="90"/>
        <v>48.265005171653357</v>
      </c>
      <c r="J268" s="85">
        <v>2022</v>
      </c>
      <c r="K268" s="193">
        <f t="shared" si="91"/>
        <v>44815</v>
      </c>
      <c r="L268" s="431">
        <f t="shared" si="92"/>
        <v>4.0029182813119402E-3</v>
      </c>
      <c r="M268" s="847"/>
      <c r="N268" s="847"/>
      <c r="O268" s="320">
        <f t="shared" si="93"/>
        <v>1.9660752591512752E-2</v>
      </c>
      <c r="P268" s="165">
        <f>(INDEX(Models!$BJ268:$BT268,,T268)*(1-R268)+INDEX(Models!$BJ268:$BT268,,T268+1)*R268-ERP_i)*Q268*Ramure*Pc/MaxiM</f>
        <v>3.6018738427082589E-5</v>
      </c>
      <c r="Q268" s="301">
        <f t="shared" si="94"/>
        <v>0.5</v>
      </c>
      <c r="R268" s="173">
        <f t="shared" si="95"/>
        <v>0.48325544161663891</v>
      </c>
      <c r="S268" s="802">
        <f t="shared" si="113"/>
        <v>0</v>
      </c>
      <c r="T268" s="172">
        <f t="shared" si="96"/>
        <v>6</v>
      </c>
      <c r="U268" s="247">
        <f t="shared" si="97"/>
        <v>0.48325544161663891</v>
      </c>
      <c r="V268" s="378">
        <f t="shared" si="98"/>
        <v>47.536558773194017</v>
      </c>
      <c r="W268" s="58"/>
      <c r="X268" s="153">
        <f t="shared" si="99"/>
        <v>44815</v>
      </c>
      <c r="Y268" s="380">
        <f t="shared" si="100"/>
        <v>47.125</v>
      </c>
      <c r="Z268" s="380">
        <f t="shared" si="101"/>
        <v>47.314395659354055</v>
      </c>
      <c r="AA268" s="381">
        <f t="shared" si="102"/>
        <v>48.263288228466813</v>
      </c>
      <c r="AB268" s="193">
        <f t="shared" si="103"/>
        <v>44815</v>
      </c>
      <c r="AC268" s="420">
        <f t="shared" si="104"/>
        <v>1.9660752591512752E-2</v>
      </c>
      <c r="AD268" s="165">
        <f>(INDEX(Models!$BJ268:$BT268,,AH268)*(1-AF268)+INDEX(Models!$BJ268:$BT268,,AH268+1)*AF268-ERP_i)*AE268*Ramure*Pc/MaxiM</f>
        <v>3.6018738427082589E-5</v>
      </c>
      <c r="AE268" s="301">
        <f t="shared" si="105"/>
        <v>0.5</v>
      </c>
      <c r="AF268" s="173">
        <f t="shared" si="106"/>
        <v>0.48325544161663891</v>
      </c>
      <c r="AG268" s="802">
        <f t="shared" si="107"/>
        <v>0</v>
      </c>
      <c r="AH268" s="172">
        <f t="shared" si="108"/>
        <v>6</v>
      </c>
      <c r="AI268" s="221">
        <f t="shared" si="109"/>
        <v>0.48325544161663891</v>
      </c>
      <c r="AJ268" s="261" t="b">
        <f t="shared" si="110"/>
        <v>0</v>
      </c>
      <c r="AK268" s="261" t="b">
        <f t="shared" si="111"/>
        <v>0</v>
      </c>
      <c r="AL268" s="261"/>
      <c r="AM268" s="261"/>
      <c r="AN268" s="75"/>
    </row>
    <row r="269" spans="1:40" s="6" customFormat="1" ht="11.25" x14ac:dyDescent="0.2">
      <c r="A269" s="56">
        <f t="shared" si="112"/>
        <v>44816</v>
      </c>
      <c r="B269" s="610">
        <v>36.605000000000004</v>
      </c>
      <c r="C269" s="385"/>
      <c r="D269" s="388">
        <f t="shared" si="89"/>
        <v>36.752618828364298</v>
      </c>
      <c r="E269" s="380">
        <f t="shared" si="115"/>
        <v>37.491803631324231</v>
      </c>
      <c r="F269" s="380">
        <f t="shared" si="117"/>
        <v>37.492707900154691</v>
      </c>
      <c r="G269" s="110">
        <f t="shared" si="116"/>
        <v>0.77526374393809117</v>
      </c>
      <c r="I269" s="375">
        <f t="shared" si="90"/>
        <v>37.492707900154691</v>
      </c>
      <c r="J269" s="85">
        <v>2022</v>
      </c>
      <c r="K269" s="193">
        <f t="shared" si="91"/>
        <v>44816</v>
      </c>
      <c r="L269" s="431">
        <f t="shared" si="92"/>
        <v>4.0165526449604805E-3</v>
      </c>
      <c r="M269" s="847"/>
      <c r="N269" s="847"/>
      <c r="O269" s="320">
        <f t="shared" si="93"/>
        <v>1.9715904047420879E-2</v>
      </c>
      <c r="P269" s="165">
        <f>(INDEX(Models!$BJ269:$BT269,,T269)*(1-R269)+INDEX(Models!$BJ269:$BT269,,T269+1)*R269-ERP_i)*Q269*Ramure*Pc/MaxiM</f>
        <v>3.552270495858807E-5</v>
      </c>
      <c r="Q269" s="301">
        <f t="shared" si="94"/>
        <v>0.5</v>
      </c>
      <c r="R269" s="173">
        <f t="shared" si="95"/>
        <v>0.4836784559982259</v>
      </c>
      <c r="S269" s="802">
        <f t="shared" si="113"/>
        <v>0</v>
      </c>
      <c r="T269" s="172">
        <f t="shared" si="96"/>
        <v>6</v>
      </c>
      <c r="U269" s="247">
        <f t="shared" si="97"/>
        <v>0.4836784559982259</v>
      </c>
      <c r="V269" s="378">
        <f t="shared" si="98"/>
        <v>47.215651223416948</v>
      </c>
      <c r="W269" s="58"/>
      <c r="X269" s="153">
        <f t="shared" si="99"/>
        <v>44816</v>
      </c>
      <c r="Y269" s="380">
        <f t="shared" si="100"/>
        <v>36.605000000000004</v>
      </c>
      <c r="Z269" s="380">
        <f t="shared" si="101"/>
        <v>36.752618828364298</v>
      </c>
      <c r="AA269" s="381">
        <f t="shared" si="102"/>
        <v>37.491803631324231</v>
      </c>
      <c r="AB269" s="193">
        <f t="shared" si="103"/>
        <v>44816</v>
      </c>
      <c r="AC269" s="420">
        <f t="shared" si="104"/>
        <v>1.9715904047420879E-2</v>
      </c>
      <c r="AD269" s="165">
        <f>(INDEX(Models!$BJ269:$BT269,,AH269)*(1-AF269)+INDEX(Models!$BJ269:$BT269,,AH269+1)*AF269-ERP_i)*AE269*Ramure*Pc/MaxiM</f>
        <v>3.552270495858807E-5</v>
      </c>
      <c r="AE269" s="301">
        <f t="shared" si="105"/>
        <v>0.5</v>
      </c>
      <c r="AF269" s="173">
        <f t="shared" si="106"/>
        <v>0.4836784559982259</v>
      </c>
      <c r="AG269" s="802">
        <f t="shared" si="107"/>
        <v>0</v>
      </c>
      <c r="AH269" s="172">
        <f t="shared" si="108"/>
        <v>6</v>
      </c>
      <c r="AI269" s="221">
        <f t="shared" si="109"/>
        <v>0.4836784559982259</v>
      </c>
      <c r="AJ269" s="261" t="b">
        <f t="shared" si="110"/>
        <v>0</v>
      </c>
      <c r="AK269" s="261" t="b">
        <f t="shared" si="111"/>
        <v>0</v>
      </c>
      <c r="AL269" s="261"/>
      <c r="AM269" s="261"/>
      <c r="AN269" s="75"/>
    </row>
    <row r="270" spans="1:40" s="6" customFormat="1" ht="11.25" x14ac:dyDescent="0.2">
      <c r="A270" s="56">
        <f t="shared" si="112"/>
        <v>44817</v>
      </c>
      <c r="B270" s="610">
        <v>14.031000000000001</v>
      </c>
      <c r="C270" s="385"/>
      <c r="D270" s="388">
        <f t="shared" si="89"/>
        <v>14.087776370679919</v>
      </c>
      <c r="E270" s="380">
        <f t="shared" si="115"/>
        <v>14.371921268140474</v>
      </c>
      <c r="F270" s="380">
        <f t="shared" si="117"/>
        <v>14.371921268140474</v>
      </c>
      <c r="G270" s="110">
        <f t="shared" si="116"/>
        <v>0.2992222167457832</v>
      </c>
      <c r="I270" s="375">
        <f t="shared" si="90"/>
        <v>14.371921268140474</v>
      </c>
      <c r="J270" s="85">
        <v>2022</v>
      </c>
      <c r="K270" s="193">
        <f t="shared" si="91"/>
        <v>44817</v>
      </c>
      <c r="L270" s="431">
        <f t="shared" si="92"/>
        <v>4.0301868219659864E-3</v>
      </c>
      <c r="M270" s="847"/>
      <c r="N270" s="847"/>
      <c r="O270" s="320">
        <f t="shared" si="93"/>
        <v>1.977083593482E-2</v>
      </c>
      <c r="P270" s="165">
        <f>(INDEX(Models!$BJ270:$BT270,,T270)*(1-R270)+INDEX(Models!$BJ270:$BT270,,T270+1)*R270-ERP_i)*Q270*Ramure*Pc/MaxiM</f>
        <v>3.4827951909437102E-5</v>
      </c>
      <c r="Q270" s="301">
        <f t="shared" si="94"/>
        <v>0.5</v>
      </c>
      <c r="R270" s="173">
        <f t="shared" si="95"/>
        <v>0.48408512582643598</v>
      </c>
      <c r="S270" s="802">
        <f t="shared" si="113"/>
        <v>0</v>
      </c>
      <c r="T270" s="172">
        <f t="shared" si="96"/>
        <v>6</v>
      </c>
      <c r="U270" s="247">
        <f t="shared" si="97"/>
        <v>0.48408512582643598</v>
      </c>
      <c r="V270" s="378">
        <f t="shared" si="98"/>
        <v>46.889938459773418</v>
      </c>
      <c r="W270" s="58"/>
      <c r="X270" s="153">
        <f t="shared" si="99"/>
        <v>44817</v>
      </c>
      <c r="Y270" s="380">
        <f t="shared" si="100"/>
        <v>14.031000000000001</v>
      </c>
      <c r="Z270" s="380">
        <f t="shared" si="101"/>
        <v>14.087776370679919</v>
      </c>
      <c r="AA270" s="381">
        <f t="shared" si="102"/>
        <v>14.371921268140474</v>
      </c>
      <c r="AB270" s="193">
        <f t="shared" si="103"/>
        <v>44817</v>
      </c>
      <c r="AC270" s="420">
        <f t="shared" si="104"/>
        <v>1.977083593482E-2</v>
      </c>
      <c r="AD270" s="165">
        <f>(INDEX(Models!$BJ270:$BT270,,AH270)*(1-AF270)+INDEX(Models!$BJ270:$BT270,,AH270+1)*AF270-ERP_i)*AE270*Ramure*Pc/MaxiM</f>
        <v>3.4827951909437102E-5</v>
      </c>
      <c r="AE270" s="301">
        <f t="shared" si="105"/>
        <v>0.5</v>
      </c>
      <c r="AF270" s="173">
        <f t="shared" si="106"/>
        <v>0.48408512582643598</v>
      </c>
      <c r="AG270" s="802">
        <f t="shared" si="107"/>
        <v>0</v>
      </c>
      <c r="AH270" s="172">
        <f t="shared" si="108"/>
        <v>6</v>
      </c>
      <c r="AI270" s="221">
        <f t="shared" si="109"/>
        <v>0.48408512582643598</v>
      </c>
      <c r="AJ270" s="261" t="b">
        <f t="shared" si="110"/>
        <v>0</v>
      </c>
      <c r="AK270" s="261" t="b">
        <f t="shared" si="111"/>
        <v>0</v>
      </c>
      <c r="AL270" s="261"/>
      <c r="AM270" s="261"/>
      <c r="AN270" s="75"/>
    </row>
    <row r="271" spans="1:40" s="6" customFormat="1" ht="11.25" x14ac:dyDescent="0.2">
      <c r="A271" s="56">
        <f t="shared" si="112"/>
        <v>44818</v>
      </c>
      <c r="B271" s="610">
        <v>37.701999999999998</v>
      </c>
      <c r="C271" s="385"/>
      <c r="D271" s="388">
        <f t="shared" ref="D271:D334" si="118">Wh/(1-Ppv)</f>
        <v>37.855079156947298</v>
      </c>
      <c r="E271" s="380">
        <f t="shared" si="115"/>
        <v>38.620756562148088</v>
      </c>
      <c r="F271" s="380">
        <f t="shared" si="117"/>
        <v>38.621710894977937</v>
      </c>
      <c r="G271" s="110">
        <f t="shared" si="116"/>
        <v>0.80975901474063472</v>
      </c>
      <c r="I271" s="375">
        <f t="shared" ref="I271:I334" si="119">Wh_hp</f>
        <v>38.621710894977937</v>
      </c>
      <c r="J271" s="85">
        <v>2022</v>
      </c>
      <c r="K271" s="193">
        <f t="shared" ref="K271:K334" si="120">t</f>
        <v>44818</v>
      </c>
      <c r="L271" s="431">
        <f t="shared" ref="L271:L334" si="121">IF(t&lt;T0,0,IF(t&lt;Tvie,1-EXP((T0-t)*PertePVj),1-EXP((T0-t)*PertePVj)+Pspv))</f>
        <v>4.0438208123310115E-3</v>
      </c>
      <c r="M271" s="847"/>
      <c r="N271" s="847"/>
      <c r="O271" s="320">
        <f t="shared" ref="O271:O334" si="122">IF(t&lt;T0,0,IF(t&lt;Tnet,Salim_i*(1-EXP((T0-t)/Tau_ij)),Resal+(Salim-Resal)*(1-EXP((Tnet-t)/(Tau_j)))))*Salcycl</f>
        <v>1.9825541324356721E-2</v>
      </c>
      <c r="P271" s="165">
        <f>(INDEX(Models!$BJ271:$BT271,,T271)*(1-R271)+INDEX(Models!$BJ271:$BT271,,T271+1)*R271-ERP_i)*Q271*Ramure*Pc/MaxiM</f>
        <v>3.3930879684846832E-5</v>
      </c>
      <c r="Q271" s="301">
        <f t="shared" ref="Q271:Q334" si="123">IF(OR(t&lt;Ttai,Notai),Dd+PousD*Croivg,Dens+PousD*(Croivg-Croi_tai))</f>
        <v>0.5</v>
      </c>
      <c r="R271" s="173">
        <f t="shared" ref="R271:R334" si="124">(Hp_vg-S271)/(INDEX(Echel_vg,T271+1)-S271)</f>
        <v>0.48447605653087156</v>
      </c>
      <c r="S271" s="802">
        <f t="shared" si="113"/>
        <v>0</v>
      </c>
      <c r="T271" s="172">
        <f t="shared" ref="T271:T334" si="125">MIN(MATCH(Hp_vg,Echel_vg),10)</f>
        <v>6</v>
      </c>
      <c r="U271" s="247">
        <f t="shared" ref="U271:U334" si="126">IF(OR(t&lt;Ttai,Notai),Hdd+PousH*Croivg,Hdtf+PousH*(Croivg-Croi_tai))</f>
        <v>0.48447605653087156</v>
      </c>
      <c r="V271" s="378">
        <f t="shared" ref="V271:V334" si="127">MaxiM*(1-Ppv)*(1-Pvg)*(1-Psa)</f>
        <v>46.559101720482353</v>
      </c>
      <c r="W271" s="58"/>
      <c r="X271" s="153">
        <f t="shared" ref="X271:X334" si="128">t</f>
        <v>44818</v>
      </c>
      <c r="Y271" s="380">
        <f t="shared" ref="Y271:Y334" si="129">Wh_pvt_s*(1-Ppv)</f>
        <v>37.701999999999998</v>
      </c>
      <c r="Z271" s="380">
        <f t="shared" ref="Z271:Z334" si="130">Wh_sa_s*(1-Psa_s)</f>
        <v>37.855079156947298</v>
      </c>
      <c r="AA271" s="381">
        <f t="shared" ref="AA271:AA334" si="131">Wh_hp*(1-Pvg_s*MEDIAN((-Sdif+Wh/Env_an)/Csdif,0,1))</f>
        <v>38.620756562148088</v>
      </c>
      <c r="AB271" s="193">
        <f t="shared" ref="AB271:AB334" si="132">t</f>
        <v>44818</v>
      </c>
      <c r="AC271" s="420">
        <f t="shared" ref="AC271:AC334" si="133">IF(t&lt;T0,0,IF(OR(t&lt;Tnet,NoTnet),Salim_i*(1-EXP((T0-t)/Tau_ij)),Resal_s+(Salim-Resal_s)*(1-EXP((Tnet_s-t)/Tau_j))))*Salcycl</f>
        <v>1.9825541324356721E-2</v>
      </c>
      <c r="AD271" s="165">
        <f>(INDEX(Models!$BJ271:$BT271,,AH271)*(1-AF271)+INDEX(Models!$BJ271:$BT271,,AH271+1)*AF271-ERP_i)*AE271*Ramure*Pc/MaxiM</f>
        <v>3.3930879684846832E-5</v>
      </c>
      <c r="AE271" s="301">
        <f t="shared" ref="AE271:AE334" si="134">Dd+PousD*Croivg</f>
        <v>0.5</v>
      </c>
      <c r="AF271" s="173">
        <f t="shared" ref="AF271:AF334" si="135">(Hp_vg_s-AG271)/(INDEX(Echel_vg,AH271+1)-AG271)</f>
        <v>0.48447605653087156</v>
      </c>
      <c r="AG271" s="802">
        <f t="shared" ref="AG271:AG334" si="136">INDEX(Echel_vg,AH271)</f>
        <v>0</v>
      </c>
      <c r="AH271" s="172">
        <f t="shared" ref="AH271:AH334" si="137">MIN(MATCH(Hp_vg_s,Echel_vg),10)</f>
        <v>6</v>
      </c>
      <c r="AI271" s="221">
        <f t="shared" ref="AI271:AI334" si="138">Hdd+PousH*Croivg</f>
        <v>0.48447605653087156</v>
      </c>
      <c r="AJ271" s="261" t="b">
        <f t="shared" ref="AJ271:AJ334" si="139">t&lt;Tnet</f>
        <v>0</v>
      </c>
      <c r="AK271" s="261" t="b">
        <f t="shared" ref="AK271:AK334" si="140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41">A271+1</f>
        <v>44819</v>
      </c>
      <c r="B272" s="610">
        <v>42.829000000000001</v>
      </c>
      <c r="C272" s="385"/>
      <c r="D272" s="388">
        <f t="shared" si="118"/>
        <v>43.003484687451689</v>
      </c>
      <c r="E272" s="380">
        <f t="shared" si="115"/>
        <v>43.875734868846408</v>
      </c>
      <c r="F272" s="380">
        <f t="shared" si="117"/>
        <v>43.877024170324354</v>
      </c>
      <c r="G272" s="110">
        <f t="shared" si="116"/>
        <v>0.92657372206131183</v>
      </c>
      <c r="I272" s="375">
        <f t="shared" si="119"/>
        <v>43.877024170324354</v>
      </c>
      <c r="J272" s="85">
        <v>2022</v>
      </c>
      <c r="K272" s="193">
        <f t="shared" si="120"/>
        <v>44819</v>
      </c>
      <c r="L272" s="431">
        <f t="shared" si="121"/>
        <v>4.0574546160582203E-3</v>
      </c>
      <c r="M272" s="847"/>
      <c r="N272" s="847"/>
      <c r="O272" s="320">
        <f t="shared" si="122"/>
        <v>1.9880013041423832E-2</v>
      </c>
      <c r="P272" s="165">
        <f>(INDEX(Models!$BJ272:$BT272,,T272)*(1-R272)+INDEX(Models!$BJ272:$BT272,,T272+1)*R272-ERP_i)*Q272*Ramure*Pc/MaxiM</f>
        <v>3.2827738623269782E-5</v>
      </c>
      <c r="Q272" s="301">
        <f t="shared" si="123"/>
        <v>0.5</v>
      </c>
      <c r="R272" s="173">
        <f t="shared" si="124"/>
        <v>0.48485183314076963</v>
      </c>
      <c r="S272" s="802">
        <f t="shared" ref="S272:S335" si="142">INDEX(Echel_vg,T272)</f>
        <v>0</v>
      </c>
      <c r="T272" s="172">
        <f t="shared" si="125"/>
        <v>6</v>
      </c>
      <c r="U272" s="247">
        <f t="shared" si="126"/>
        <v>0.48485183314076963</v>
      </c>
      <c r="V272" s="378">
        <f t="shared" si="127"/>
        <v>46.222822321197718</v>
      </c>
      <c r="W272" s="58"/>
      <c r="X272" s="153">
        <f t="shared" si="128"/>
        <v>44819</v>
      </c>
      <c r="Y272" s="380">
        <f t="shared" si="129"/>
        <v>42.829000000000001</v>
      </c>
      <c r="Z272" s="380">
        <f t="shared" si="130"/>
        <v>43.003484687451689</v>
      </c>
      <c r="AA272" s="381">
        <f t="shared" si="131"/>
        <v>43.875734868846408</v>
      </c>
      <c r="AB272" s="193">
        <f t="shared" si="132"/>
        <v>44819</v>
      </c>
      <c r="AC272" s="420">
        <f t="shared" si="133"/>
        <v>1.9880013041423832E-2</v>
      </c>
      <c r="AD272" s="165">
        <f>(INDEX(Models!$BJ272:$BT272,,AH272)*(1-AF272)+INDEX(Models!$BJ272:$BT272,,AH272+1)*AF272-ERP_i)*AE272*Ramure*Pc/MaxiM</f>
        <v>3.2827738623269782E-5</v>
      </c>
      <c r="AE272" s="301">
        <f t="shared" si="134"/>
        <v>0.5</v>
      </c>
      <c r="AF272" s="173">
        <f t="shared" si="135"/>
        <v>0.48485183314076963</v>
      </c>
      <c r="AG272" s="802">
        <f t="shared" si="136"/>
        <v>0</v>
      </c>
      <c r="AH272" s="172">
        <f t="shared" si="137"/>
        <v>6</v>
      </c>
      <c r="AI272" s="221">
        <f t="shared" si="138"/>
        <v>0.48485183314076963</v>
      </c>
      <c r="AJ272" s="261" t="b">
        <f t="shared" si="139"/>
        <v>0</v>
      </c>
      <c r="AK272" s="261" t="b">
        <f t="shared" si="140"/>
        <v>0</v>
      </c>
      <c r="AL272" s="261"/>
      <c r="AM272" s="261"/>
      <c r="AN272" s="75"/>
    </row>
    <row r="273" spans="1:40" s="6" customFormat="1" ht="11.25" x14ac:dyDescent="0.2">
      <c r="A273" s="56">
        <f t="shared" si="141"/>
        <v>44820</v>
      </c>
      <c r="B273" s="610">
        <v>28.78</v>
      </c>
      <c r="C273" s="385"/>
      <c r="D273" s="388">
        <f t="shared" si="118"/>
        <v>28.89764486196329</v>
      </c>
      <c r="E273" s="380">
        <f t="shared" si="115"/>
        <v>29.485414295380384</v>
      </c>
      <c r="F273" s="380">
        <f t="shared" si="117"/>
        <v>29.485848749759754</v>
      </c>
      <c r="G273" s="110">
        <f t="shared" si="116"/>
        <v>0.62726736594079913</v>
      </c>
      <c r="I273" s="375">
        <f t="shared" si="119"/>
        <v>29.485848749759754</v>
      </c>
      <c r="J273" s="85">
        <v>2022</v>
      </c>
      <c r="K273" s="193">
        <f t="shared" si="120"/>
        <v>44820</v>
      </c>
      <c r="L273" s="431">
        <f t="shared" si="121"/>
        <v>4.0710882331500553E-3</v>
      </c>
      <c r="M273" s="847"/>
      <c r="N273" s="847"/>
      <c r="O273" s="320">
        <f t="shared" si="122"/>
        <v>1.9934243674818712E-2</v>
      </c>
      <c r="P273" s="165">
        <f>(INDEX(Models!$BJ273:$BT273,,T273)*(1-R273)+INDEX(Models!$BJ273:$BT273,,T273+1)*R273-ERP_i)*Q273*Ramure*Pc/MaxiM</f>
        <v>3.1514608526774466E-5</v>
      </c>
      <c r="Q273" s="301">
        <f t="shared" si="123"/>
        <v>0.5</v>
      </c>
      <c r="R273" s="173">
        <f t="shared" si="124"/>
        <v>0.48521302081266526</v>
      </c>
      <c r="S273" s="802">
        <f t="shared" si="142"/>
        <v>0</v>
      </c>
      <c r="T273" s="172">
        <f t="shared" si="125"/>
        <v>6</v>
      </c>
      <c r="U273" s="247">
        <f t="shared" si="126"/>
        <v>0.48521302081266526</v>
      </c>
      <c r="V273" s="378">
        <f t="shared" si="127"/>
        <v>45.880781655926633</v>
      </c>
      <c r="W273" s="58"/>
      <c r="X273" s="153">
        <f t="shared" si="128"/>
        <v>44820</v>
      </c>
      <c r="Y273" s="380">
        <f t="shared" si="129"/>
        <v>28.78</v>
      </c>
      <c r="Z273" s="380">
        <f t="shared" si="130"/>
        <v>28.89764486196329</v>
      </c>
      <c r="AA273" s="381">
        <f t="shared" si="131"/>
        <v>29.485414295380384</v>
      </c>
      <c r="AB273" s="193">
        <f t="shared" si="132"/>
        <v>44820</v>
      </c>
      <c r="AC273" s="420">
        <f t="shared" si="133"/>
        <v>1.9934243674818712E-2</v>
      </c>
      <c r="AD273" s="165">
        <f>(INDEX(Models!$BJ273:$BT273,,AH273)*(1-AF273)+INDEX(Models!$BJ273:$BT273,,AH273+1)*AF273-ERP_i)*AE273*Ramure*Pc/MaxiM</f>
        <v>3.1514608526774466E-5</v>
      </c>
      <c r="AE273" s="301">
        <f t="shared" si="134"/>
        <v>0.5</v>
      </c>
      <c r="AF273" s="173">
        <f t="shared" si="135"/>
        <v>0.48521302081266526</v>
      </c>
      <c r="AG273" s="802">
        <f t="shared" si="136"/>
        <v>0</v>
      </c>
      <c r="AH273" s="172">
        <f t="shared" si="137"/>
        <v>6</v>
      </c>
      <c r="AI273" s="221">
        <f t="shared" si="138"/>
        <v>0.48521302081266526</v>
      </c>
      <c r="AJ273" s="261" t="b">
        <f t="shared" si="139"/>
        <v>0</v>
      </c>
      <c r="AK273" s="261" t="b">
        <f t="shared" si="140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41"/>
        <v>44821</v>
      </c>
      <c r="B274" s="610">
        <v>46.212000000000003</v>
      </c>
      <c r="C274" s="385"/>
      <c r="D274" s="388">
        <f t="shared" si="118"/>
        <v>46.40153736489917</v>
      </c>
      <c r="E274" s="380">
        <f t="shared" si="115"/>
        <v>47.347938643677097</v>
      </c>
      <c r="F274" s="380">
        <f t="shared" si="117"/>
        <v>47.349358526733653</v>
      </c>
      <c r="G274" s="110">
        <f t="shared" si="116"/>
        <v>1.0149198133359907</v>
      </c>
      <c r="I274" s="375">
        <f t="shared" si="119"/>
        <v>47.349358526733653</v>
      </c>
      <c r="J274" s="85">
        <v>2022</v>
      </c>
      <c r="K274" s="193">
        <f t="shared" si="120"/>
        <v>44821</v>
      </c>
      <c r="L274" s="431">
        <f t="shared" si="121"/>
        <v>4.08472166360907E-3</v>
      </c>
      <c r="M274" s="847"/>
      <c r="N274" s="847"/>
      <c r="O274" s="320">
        <f t="shared" si="122"/>
        <v>1.9988225588872813E-2</v>
      </c>
      <c r="P274" s="165">
        <f>(INDEX(Models!$BJ274:$BT274,,T274)*(1-R274)+INDEX(Models!$BJ274:$BT274,,T274+1)*R274-ERP_i)*Q274*Ramure*Pc/MaxiM</f>
        <v>2.9987376824747546E-5</v>
      </c>
      <c r="Q274" s="301">
        <f t="shared" si="123"/>
        <v>0.5</v>
      </c>
      <c r="R274" s="173">
        <f t="shared" si="124"/>
        <v>0.48556016535776358</v>
      </c>
      <c r="S274" s="802">
        <f t="shared" si="142"/>
        <v>0</v>
      </c>
      <c r="T274" s="172">
        <f t="shared" si="125"/>
        <v>6</v>
      </c>
      <c r="U274" s="247">
        <f t="shared" si="126"/>
        <v>0.48556016535776358</v>
      </c>
      <c r="V274" s="378">
        <f t="shared" si="127"/>
        <v>45.532661194290284</v>
      </c>
      <c r="W274" s="58"/>
      <c r="X274" s="153">
        <f t="shared" si="128"/>
        <v>44821</v>
      </c>
      <c r="Y274" s="380">
        <f t="shared" si="129"/>
        <v>46.212000000000003</v>
      </c>
      <c r="Z274" s="380">
        <f t="shared" si="130"/>
        <v>46.40153736489917</v>
      </c>
      <c r="AA274" s="381">
        <f t="shared" si="131"/>
        <v>47.347938643677097</v>
      </c>
      <c r="AB274" s="193">
        <f t="shared" si="132"/>
        <v>44821</v>
      </c>
      <c r="AC274" s="420">
        <f t="shared" si="133"/>
        <v>1.9988225588872813E-2</v>
      </c>
      <c r="AD274" s="165">
        <f>(INDEX(Models!$BJ274:$BT274,,AH274)*(1-AF274)+INDEX(Models!$BJ274:$BT274,,AH274+1)*AF274-ERP_i)*AE274*Ramure*Pc/MaxiM</f>
        <v>2.9987376824747546E-5</v>
      </c>
      <c r="AE274" s="301">
        <f t="shared" si="134"/>
        <v>0.5</v>
      </c>
      <c r="AF274" s="173">
        <f t="shared" si="135"/>
        <v>0.48556016535776358</v>
      </c>
      <c r="AG274" s="802">
        <f t="shared" si="136"/>
        <v>0</v>
      </c>
      <c r="AH274" s="172">
        <f t="shared" si="137"/>
        <v>6</v>
      </c>
      <c r="AI274" s="221">
        <f t="shared" si="138"/>
        <v>0.48556016535776358</v>
      </c>
      <c r="AJ274" s="261" t="b">
        <f t="shared" si="139"/>
        <v>0</v>
      </c>
      <c r="AK274" s="261" t="b">
        <f t="shared" si="140"/>
        <v>0</v>
      </c>
      <c r="AL274" s="261"/>
      <c r="AM274" s="261"/>
      <c r="AN274" s="75"/>
    </row>
    <row r="275" spans="1:40" s="6" customFormat="1" ht="11.25" x14ac:dyDescent="0.2">
      <c r="A275" s="56">
        <f t="shared" si="141"/>
        <v>44822</v>
      </c>
      <c r="B275" s="610">
        <v>45.265999999999998</v>
      </c>
      <c r="C275" s="385"/>
      <c r="D275" s="388">
        <f t="shared" si="118"/>
        <v>45.452279573042418</v>
      </c>
      <c r="E275" s="380">
        <f t="shared" si="115"/>
        <v>46.381862587491028</v>
      </c>
      <c r="F275" s="380">
        <f t="shared" si="117"/>
        <v>46.383172558229617</v>
      </c>
      <c r="G275" s="110">
        <f t="shared" si="116"/>
        <v>1.0019679371990162</v>
      </c>
      <c r="I275" s="375">
        <f t="shared" si="119"/>
        <v>46.383172558229617</v>
      </c>
      <c r="J275" s="85">
        <v>2022</v>
      </c>
      <c r="K275" s="193">
        <f t="shared" si="120"/>
        <v>44822</v>
      </c>
      <c r="L275" s="431">
        <f t="shared" si="121"/>
        <v>4.0983549074379289E-3</v>
      </c>
      <c r="M275" s="847"/>
      <c r="N275" s="847"/>
      <c r="O275" s="320">
        <f t="shared" si="122"/>
        <v>2.0041950939230189E-2</v>
      </c>
      <c r="P275" s="165">
        <f>(INDEX(Models!$BJ275:$BT275,,T275)*(1-R275)+INDEX(Models!$BJ275:$BT275,,T275+1)*R275-ERP_i)*Q275*Ramure*Pc/MaxiM</f>
        <v>2.8242370375719052E-5</v>
      </c>
      <c r="Q275" s="301">
        <f t="shared" si="123"/>
        <v>0.5</v>
      </c>
      <c r="R275" s="173">
        <f t="shared" si="124"/>
        <v>0.48589379376762143</v>
      </c>
      <c r="S275" s="802">
        <f t="shared" si="142"/>
        <v>0</v>
      </c>
      <c r="T275" s="172">
        <f t="shared" si="125"/>
        <v>6</v>
      </c>
      <c r="U275" s="247">
        <f t="shared" si="126"/>
        <v>0.48589379376762143</v>
      </c>
      <c r="V275" s="378">
        <f t="shared" si="127"/>
        <v>45.177094315552949</v>
      </c>
      <c r="W275" s="58"/>
      <c r="X275" s="153">
        <f t="shared" si="128"/>
        <v>44822</v>
      </c>
      <c r="Y275" s="380">
        <f t="shared" si="129"/>
        <v>45.265999999999998</v>
      </c>
      <c r="Z275" s="380">
        <f t="shared" si="130"/>
        <v>45.452279573042418</v>
      </c>
      <c r="AA275" s="381">
        <f t="shared" si="131"/>
        <v>46.381862587491028</v>
      </c>
      <c r="AB275" s="193">
        <f t="shared" si="132"/>
        <v>44822</v>
      </c>
      <c r="AC275" s="420">
        <f t="shared" si="133"/>
        <v>2.0041950939230189E-2</v>
      </c>
      <c r="AD275" s="165">
        <f>(INDEX(Models!$BJ275:$BT275,,AH275)*(1-AF275)+INDEX(Models!$BJ275:$BT275,,AH275+1)*AF275-ERP_i)*AE275*Ramure*Pc/MaxiM</f>
        <v>2.8242370375719052E-5</v>
      </c>
      <c r="AE275" s="301">
        <f t="shared" si="134"/>
        <v>0.5</v>
      </c>
      <c r="AF275" s="173">
        <f t="shared" si="135"/>
        <v>0.48589379376762143</v>
      </c>
      <c r="AG275" s="802">
        <f t="shared" si="136"/>
        <v>0</v>
      </c>
      <c r="AH275" s="172">
        <f t="shared" si="137"/>
        <v>6</v>
      </c>
      <c r="AI275" s="221">
        <f t="shared" si="138"/>
        <v>0.48589379376762143</v>
      </c>
      <c r="AJ275" s="261" t="b">
        <f t="shared" si="139"/>
        <v>0</v>
      </c>
      <c r="AK275" s="261" t="b">
        <f t="shared" si="140"/>
        <v>0</v>
      </c>
      <c r="AL275" s="261"/>
      <c r="AM275" s="261"/>
      <c r="AN275" s="75"/>
    </row>
    <row r="276" spans="1:40" s="6" customFormat="1" ht="11.25" x14ac:dyDescent="0.2">
      <c r="A276" s="56">
        <f t="shared" si="141"/>
        <v>44823</v>
      </c>
      <c r="B276" s="610">
        <v>45.624000000000002</v>
      </c>
      <c r="C276" s="385"/>
      <c r="D276" s="388">
        <f t="shared" si="118"/>
        <v>45.812379955006463</v>
      </c>
      <c r="E276" s="380">
        <f t="shared" si="115"/>
        <v>46.751878194723162</v>
      </c>
      <c r="F276" s="380">
        <f t="shared" si="117"/>
        <v>46.753120968509741</v>
      </c>
      <c r="G276" s="110">
        <f t="shared" si="116"/>
        <v>1.0180864621196524</v>
      </c>
      <c r="I276" s="375">
        <f t="shared" si="119"/>
        <v>46.753120968509741</v>
      </c>
      <c r="J276" s="85">
        <v>2022</v>
      </c>
      <c r="K276" s="193">
        <f t="shared" si="120"/>
        <v>44823</v>
      </c>
      <c r="L276" s="431">
        <f t="shared" si="121"/>
        <v>4.1119879646391855E-3</v>
      </c>
      <c r="M276" s="847"/>
      <c r="N276" s="847"/>
      <c r="O276" s="320">
        <f t="shared" si="122"/>
        <v>2.00954116924171E-2</v>
      </c>
      <c r="P276" s="165">
        <f>(INDEX(Models!$BJ276:$BT276,,T276)*(1-R276)+INDEX(Models!$BJ276:$BT276,,T276+1)*R276-ERP_i)*Q276*Ramure*Pc/MaxiM</f>
        <v>2.6581621950259305E-5</v>
      </c>
      <c r="Q276" s="301">
        <f t="shared" si="123"/>
        <v>0.5</v>
      </c>
      <c r="R276" s="173">
        <f t="shared" si="124"/>
        <v>0.48621441473688304</v>
      </c>
      <c r="S276" s="802">
        <f t="shared" si="142"/>
        <v>0</v>
      </c>
      <c r="T276" s="172">
        <f t="shared" si="125"/>
        <v>6</v>
      </c>
      <c r="U276" s="247">
        <f t="shared" si="126"/>
        <v>0.48621441473688304</v>
      </c>
      <c r="V276" s="378">
        <f t="shared" si="127"/>
        <v>44.81348264371475</v>
      </c>
      <c r="W276" s="58"/>
      <c r="X276" s="153">
        <f t="shared" si="128"/>
        <v>44823</v>
      </c>
      <c r="Y276" s="380">
        <f t="shared" si="129"/>
        <v>45.624000000000002</v>
      </c>
      <c r="Z276" s="380">
        <f t="shared" si="130"/>
        <v>45.812379955006463</v>
      </c>
      <c r="AA276" s="381">
        <f t="shared" si="131"/>
        <v>46.751878194723162</v>
      </c>
      <c r="AB276" s="193">
        <f t="shared" si="132"/>
        <v>44823</v>
      </c>
      <c r="AC276" s="420">
        <f t="shared" si="133"/>
        <v>2.00954116924171E-2</v>
      </c>
      <c r="AD276" s="165">
        <f>(INDEX(Models!$BJ276:$BT276,,AH276)*(1-AF276)+INDEX(Models!$BJ276:$BT276,,AH276+1)*AF276-ERP_i)*AE276*Ramure*Pc/MaxiM</f>
        <v>2.6581621950259305E-5</v>
      </c>
      <c r="AE276" s="301">
        <f t="shared" si="134"/>
        <v>0.5</v>
      </c>
      <c r="AF276" s="173">
        <f t="shared" si="135"/>
        <v>0.48621441473688304</v>
      </c>
      <c r="AG276" s="802">
        <f t="shared" si="136"/>
        <v>0</v>
      </c>
      <c r="AH276" s="172">
        <f t="shared" si="137"/>
        <v>6</v>
      </c>
      <c r="AI276" s="221">
        <f t="shared" si="138"/>
        <v>0.48621441473688304</v>
      </c>
      <c r="AJ276" s="261" t="b">
        <f t="shared" si="139"/>
        <v>0</v>
      </c>
      <c r="AK276" s="261" t="b">
        <f t="shared" si="140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41"/>
        <v>44824</v>
      </c>
      <c r="B277" s="610">
        <v>45.984999999999999</v>
      </c>
      <c r="C277" s="385"/>
      <c r="D277" s="388">
        <f t="shared" si="118"/>
        <v>46.175502615667739</v>
      </c>
      <c r="E277" s="380">
        <f t="shared" si="115"/>
        <v>47.125005484649293</v>
      </c>
      <c r="F277" s="380">
        <f t="shared" si="117"/>
        <v>47.126194805421548</v>
      </c>
      <c r="G277" s="110">
        <f t="shared" si="116"/>
        <v>1.0347038043559282</v>
      </c>
      <c r="I277" s="375">
        <f t="shared" si="119"/>
        <v>47.126194805421548</v>
      </c>
      <c r="J277" s="85">
        <v>2022</v>
      </c>
      <c r="K277" s="193">
        <f t="shared" si="120"/>
        <v>44824</v>
      </c>
      <c r="L277" s="431">
        <f t="shared" si="121"/>
        <v>4.1256208352152823E-3</v>
      </c>
      <c r="M277" s="847"/>
      <c r="N277" s="847"/>
      <c r="O277" s="320">
        <f t="shared" si="122"/>
        <v>2.0148599649306115E-2</v>
      </c>
      <c r="P277" s="165">
        <f>(INDEX(Models!$BJ277:$BT277,,T277)*(1-R277)+INDEX(Models!$BJ277:$BT277,,T277+1)*R277-ERP_i)*Q277*Ramure*Pc/MaxiM</f>
        <v>2.5236936212865205E-5</v>
      </c>
      <c r="Q277" s="301">
        <f t="shared" si="123"/>
        <v>0.5</v>
      </c>
      <c r="R277" s="173">
        <f t="shared" si="124"/>
        <v>0.48652251918194178</v>
      </c>
      <c r="S277" s="802">
        <f t="shared" si="142"/>
        <v>0</v>
      </c>
      <c r="T277" s="172">
        <f t="shared" si="125"/>
        <v>6</v>
      </c>
      <c r="U277" s="247">
        <f t="shared" si="126"/>
        <v>0.48652251918194178</v>
      </c>
      <c r="V277" s="378">
        <f t="shared" si="127"/>
        <v>44.442670266032586</v>
      </c>
      <c r="W277" s="58"/>
      <c r="X277" s="153">
        <f t="shared" si="128"/>
        <v>44824</v>
      </c>
      <c r="Y277" s="380">
        <f t="shared" si="129"/>
        <v>45.984999999999999</v>
      </c>
      <c r="Z277" s="380">
        <f t="shared" si="130"/>
        <v>46.175502615667739</v>
      </c>
      <c r="AA277" s="381">
        <f t="shared" si="131"/>
        <v>47.125005484649293</v>
      </c>
      <c r="AB277" s="193">
        <f t="shared" si="132"/>
        <v>44824</v>
      </c>
      <c r="AC277" s="420">
        <f t="shared" si="133"/>
        <v>2.0148599649306115E-2</v>
      </c>
      <c r="AD277" s="165">
        <f>(INDEX(Models!$BJ277:$BT277,,AH277)*(1-AF277)+INDEX(Models!$BJ277:$BT277,,AH277+1)*AF277-ERP_i)*AE277*Ramure*Pc/MaxiM</f>
        <v>2.5236936212865205E-5</v>
      </c>
      <c r="AE277" s="301">
        <f t="shared" si="134"/>
        <v>0.5</v>
      </c>
      <c r="AF277" s="173">
        <f t="shared" si="135"/>
        <v>0.48652251918194178</v>
      </c>
      <c r="AG277" s="802">
        <f t="shared" si="136"/>
        <v>0</v>
      </c>
      <c r="AH277" s="172">
        <f t="shared" si="137"/>
        <v>6</v>
      </c>
      <c r="AI277" s="221">
        <f t="shared" si="138"/>
        <v>0.48652251918194178</v>
      </c>
      <c r="AJ277" s="261" t="b">
        <f t="shared" si="139"/>
        <v>0</v>
      </c>
      <c r="AK277" s="261" t="b">
        <f t="shared" si="140"/>
        <v>0</v>
      </c>
      <c r="AL277" s="261"/>
      <c r="AM277" s="261"/>
      <c r="AN277" s="75"/>
    </row>
    <row r="278" spans="1:40" s="6" customFormat="1" ht="11.25" x14ac:dyDescent="0.2">
      <c r="A278" s="56">
        <f t="shared" si="141"/>
        <v>44825</v>
      </c>
      <c r="B278" s="610">
        <v>44.627000000000002</v>
      </c>
      <c r="C278" s="385"/>
      <c r="D278" s="388">
        <f t="shared" si="118"/>
        <v>44.812490258003166</v>
      </c>
      <c r="E278" s="380">
        <f t="shared" si="115"/>
        <v>45.736435148690205</v>
      </c>
      <c r="F278" s="380">
        <f t="shared" si="117"/>
        <v>45.737542651525196</v>
      </c>
      <c r="G278" s="110">
        <f t="shared" si="116"/>
        <v>1.0127421343989176</v>
      </c>
      <c r="I278" s="375">
        <f t="shared" si="119"/>
        <v>45.737542651525196</v>
      </c>
      <c r="J278" s="85">
        <v>2022</v>
      </c>
      <c r="K278" s="193">
        <f t="shared" si="120"/>
        <v>44825</v>
      </c>
      <c r="L278" s="431">
        <f t="shared" si="121"/>
        <v>4.139253519168884E-3</v>
      </c>
      <c r="M278" s="847"/>
      <c r="N278" s="847"/>
      <c r="O278" s="320">
        <f t="shared" si="122"/>
        <v>2.0201506472537135E-2</v>
      </c>
      <c r="P278" s="165">
        <f>(INDEX(Models!$BJ278:$BT278,,T278)*(1-R278)+INDEX(Models!$BJ278:$BT278,,T278+1)*R278-ERP_i)*Q278*Ramure*Pc/MaxiM</f>
        <v>2.4214305596430853E-5</v>
      </c>
      <c r="Q278" s="301">
        <f t="shared" si="123"/>
        <v>0.5</v>
      </c>
      <c r="R278" s="173">
        <f t="shared" si="124"/>
        <v>0.48681858075452944</v>
      </c>
      <c r="S278" s="802">
        <f t="shared" si="142"/>
        <v>0</v>
      </c>
      <c r="T278" s="172">
        <f t="shared" si="125"/>
        <v>6</v>
      </c>
      <c r="U278" s="247">
        <f t="shared" si="126"/>
        <v>0.48681858075452944</v>
      </c>
      <c r="V278" s="378">
        <f t="shared" si="127"/>
        <v>44.065511332247482</v>
      </c>
      <c r="W278" s="58"/>
      <c r="X278" s="153">
        <f t="shared" si="128"/>
        <v>44825</v>
      </c>
      <c r="Y278" s="380">
        <f t="shared" si="129"/>
        <v>44.627000000000002</v>
      </c>
      <c r="Z278" s="380">
        <f t="shared" si="130"/>
        <v>44.812490258003166</v>
      </c>
      <c r="AA278" s="381">
        <f t="shared" si="131"/>
        <v>45.736435148690205</v>
      </c>
      <c r="AB278" s="193">
        <f t="shared" si="132"/>
        <v>44825</v>
      </c>
      <c r="AC278" s="420">
        <f t="shared" si="133"/>
        <v>2.0201506472537135E-2</v>
      </c>
      <c r="AD278" s="165">
        <f>(INDEX(Models!$BJ278:$BT278,,AH278)*(1-AF278)+INDEX(Models!$BJ278:$BT278,,AH278+1)*AF278-ERP_i)*AE278*Ramure*Pc/MaxiM</f>
        <v>2.4214305596430853E-5</v>
      </c>
      <c r="AE278" s="301">
        <f t="shared" si="134"/>
        <v>0.5</v>
      </c>
      <c r="AF278" s="173">
        <f t="shared" si="135"/>
        <v>0.48681858075452944</v>
      </c>
      <c r="AG278" s="802">
        <f t="shared" si="136"/>
        <v>0</v>
      </c>
      <c r="AH278" s="172">
        <f t="shared" si="137"/>
        <v>6</v>
      </c>
      <c r="AI278" s="221">
        <f t="shared" si="138"/>
        <v>0.48681858075452944</v>
      </c>
      <c r="AJ278" s="261" t="b">
        <f t="shared" si="139"/>
        <v>0</v>
      </c>
      <c r="AK278" s="261" t="b">
        <f t="shared" si="140"/>
        <v>0</v>
      </c>
      <c r="AL278" s="261"/>
      <c r="AM278" s="261"/>
      <c r="AN278" s="75"/>
    </row>
    <row r="279" spans="1:40" s="6" customFormat="1" ht="11.25" x14ac:dyDescent="0.2">
      <c r="A279" s="56">
        <f t="shared" si="141"/>
        <v>44826</v>
      </c>
      <c r="B279" s="610">
        <v>43.378</v>
      </c>
      <c r="C279" s="385"/>
      <c r="D279" s="388">
        <f t="shared" si="118"/>
        <v>43.558895126464989</v>
      </c>
      <c r="E279" s="380">
        <f t="shared" si="115"/>
        <v>44.459380928206798</v>
      </c>
      <c r="F279" s="380">
        <f t="shared" si="117"/>
        <v>44.460416215759921</v>
      </c>
      <c r="G279" s="110">
        <f t="shared" si="116"/>
        <v>0.99302083431977306</v>
      </c>
      <c r="I279" s="375">
        <f t="shared" si="119"/>
        <v>44.460416215759921</v>
      </c>
      <c r="J279" s="85">
        <v>2022</v>
      </c>
      <c r="K279" s="193">
        <f t="shared" si="120"/>
        <v>44826</v>
      </c>
      <c r="L279" s="431">
        <f t="shared" si="121"/>
        <v>4.1528860165024328E-3</v>
      </c>
      <c r="M279" s="847"/>
      <c r="N279" s="847"/>
      <c r="O279" s="320">
        <f t="shared" si="122"/>
        <v>2.0254123717915039E-2</v>
      </c>
      <c r="P279" s="165">
        <f>(INDEX(Models!$BJ279:$BT279,,T279)*(1-R279)+INDEX(Models!$BJ279:$BT279,,T279+1)*R279-ERP_i)*Q279*Ramure*Pc/MaxiM</f>
        <v>2.3520095008286759E-5</v>
      </c>
      <c r="Q279" s="301">
        <f t="shared" si="123"/>
        <v>0.5</v>
      </c>
      <c r="R279" s="173">
        <f t="shared" si="124"/>
        <v>0.48710305634933959</v>
      </c>
      <c r="S279" s="802">
        <f t="shared" si="142"/>
        <v>0</v>
      </c>
      <c r="T279" s="172">
        <f t="shared" si="125"/>
        <v>6</v>
      </c>
      <c r="U279" s="247">
        <f t="shared" si="126"/>
        <v>0.48710305634933959</v>
      </c>
      <c r="V279" s="378">
        <f t="shared" si="127"/>
        <v>43.682859743457577</v>
      </c>
      <c r="W279" s="58"/>
      <c r="X279" s="153">
        <f t="shared" si="128"/>
        <v>44826</v>
      </c>
      <c r="Y279" s="380">
        <f t="shared" si="129"/>
        <v>43.378</v>
      </c>
      <c r="Z279" s="380">
        <f t="shared" si="130"/>
        <v>43.558895126464989</v>
      </c>
      <c r="AA279" s="381">
        <f t="shared" si="131"/>
        <v>44.459380928206798</v>
      </c>
      <c r="AB279" s="193">
        <f t="shared" si="132"/>
        <v>44826</v>
      </c>
      <c r="AC279" s="420">
        <f t="shared" si="133"/>
        <v>2.0254123717915039E-2</v>
      </c>
      <c r="AD279" s="165">
        <f>(INDEX(Models!$BJ279:$BT279,,AH279)*(1-AF279)+INDEX(Models!$BJ279:$BT279,,AH279+1)*AF279-ERP_i)*AE279*Ramure*Pc/MaxiM</f>
        <v>2.3520095008286759E-5</v>
      </c>
      <c r="AE279" s="301">
        <f t="shared" si="134"/>
        <v>0.5</v>
      </c>
      <c r="AF279" s="173">
        <f t="shared" si="135"/>
        <v>0.48710305634933959</v>
      </c>
      <c r="AG279" s="802">
        <f t="shared" si="136"/>
        <v>0</v>
      </c>
      <c r="AH279" s="172">
        <f t="shared" si="137"/>
        <v>6</v>
      </c>
      <c r="AI279" s="221">
        <f t="shared" si="138"/>
        <v>0.48710305634933959</v>
      </c>
      <c r="AJ279" s="261" t="b">
        <f t="shared" si="139"/>
        <v>0</v>
      </c>
      <c r="AK279" s="261" t="b">
        <f t="shared" si="140"/>
        <v>0</v>
      </c>
      <c r="AL279" s="261"/>
      <c r="AM279" s="261"/>
      <c r="AN279" s="75"/>
    </row>
    <row r="280" spans="1:40" s="6" customFormat="1" ht="11.25" x14ac:dyDescent="0.2">
      <c r="A280" s="56">
        <f t="shared" si="141"/>
        <v>44827</v>
      </c>
      <c r="B280" s="610">
        <v>31.786999999999999</v>
      </c>
      <c r="C280" s="385"/>
      <c r="D280" s="388">
        <f t="shared" si="118"/>
        <v>31.919995245193824</v>
      </c>
      <c r="E280" s="380">
        <f t="shared" si="115"/>
        <v>32.581611885552441</v>
      </c>
      <c r="F280" s="380">
        <f t="shared" si="117"/>
        <v>32.582079960856511</v>
      </c>
      <c r="G280" s="110">
        <f t="shared" si="116"/>
        <v>0.73417952556713773</v>
      </c>
      <c r="I280" s="375">
        <f t="shared" si="119"/>
        <v>32.582079960856511</v>
      </c>
      <c r="J280" s="85">
        <v>2022</v>
      </c>
      <c r="K280" s="193">
        <f t="shared" si="120"/>
        <v>44827</v>
      </c>
      <c r="L280" s="431">
        <f t="shared" si="121"/>
        <v>4.1665183272184825E-3</v>
      </c>
      <c r="M280" s="847"/>
      <c r="N280" s="847"/>
      <c r="O280" s="320">
        <f t="shared" si="122"/>
        <v>2.0306442869758499E-2</v>
      </c>
      <c r="P280" s="165">
        <f>(INDEX(Models!$BJ280:$BT280,,T280)*(1-R280)+INDEX(Models!$BJ280:$BT280,,T280+1)*R280-ERP_i)*Q280*Ramure*Pc/MaxiM</f>
        <v>2.3161099069898804E-5</v>
      </c>
      <c r="Q280" s="301">
        <f t="shared" si="123"/>
        <v>0.5</v>
      </c>
      <c r="R280" s="173">
        <f t="shared" si="124"/>
        <v>0.48737638660490484</v>
      </c>
      <c r="S280" s="802">
        <f t="shared" si="142"/>
        <v>0</v>
      </c>
      <c r="T280" s="172">
        <f t="shared" si="125"/>
        <v>6</v>
      </c>
      <c r="U280" s="247">
        <f t="shared" si="126"/>
        <v>0.48737638660490484</v>
      </c>
      <c r="V280" s="378">
        <f t="shared" si="127"/>
        <v>43.295569163046899</v>
      </c>
      <c r="W280" s="58"/>
      <c r="X280" s="153">
        <f t="shared" si="128"/>
        <v>44827</v>
      </c>
      <c r="Y280" s="380">
        <f t="shared" si="129"/>
        <v>31.787000000000003</v>
      </c>
      <c r="Z280" s="380">
        <f t="shared" si="130"/>
        <v>31.919995245193828</v>
      </c>
      <c r="AA280" s="381">
        <f t="shared" si="131"/>
        <v>32.581611885552441</v>
      </c>
      <c r="AB280" s="193">
        <f t="shared" si="132"/>
        <v>44827</v>
      </c>
      <c r="AC280" s="420">
        <f t="shared" si="133"/>
        <v>2.0306442869758499E-2</v>
      </c>
      <c r="AD280" s="165">
        <f>(INDEX(Models!$BJ280:$BT280,,AH280)*(1-AF280)+INDEX(Models!$BJ280:$BT280,,AH280+1)*AF280-ERP_i)*AE280*Ramure*Pc/MaxiM</f>
        <v>2.3161099069898804E-5</v>
      </c>
      <c r="AE280" s="301">
        <f t="shared" si="134"/>
        <v>0.5</v>
      </c>
      <c r="AF280" s="173">
        <f t="shared" si="135"/>
        <v>0.48737638660490484</v>
      </c>
      <c r="AG280" s="802">
        <f t="shared" si="136"/>
        <v>0</v>
      </c>
      <c r="AH280" s="172">
        <f t="shared" si="137"/>
        <v>6</v>
      </c>
      <c r="AI280" s="221">
        <f t="shared" si="138"/>
        <v>0.48737638660490484</v>
      </c>
      <c r="AJ280" s="261" t="b">
        <f t="shared" si="139"/>
        <v>0</v>
      </c>
      <c r="AK280" s="261" t="b">
        <f t="shared" si="140"/>
        <v>0</v>
      </c>
      <c r="AL280" s="261"/>
      <c r="AM280" s="261"/>
      <c r="AN280" s="75"/>
    </row>
    <row r="281" spans="1:40" s="6" customFormat="1" ht="11.25" x14ac:dyDescent="0.2">
      <c r="A281" s="56">
        <f t="shared" si="141"/>
        <v>44828</v>
      </c>
      <c r="B281" s="610">
        <v>19.635000000000002</v>
      </c>
      <c r="C281" s="385"/>
      <c r="D281" s="388">
        <f t="shared" si="118"/>
        <v>19.717421789592631</v>
      </c>
      <c r="E281" s="380">
        <f t="shared" si="115"/>
        <v>20.12718008732833</v>
      </c>
      <c r="F281" s="380">
        <f t="shared" si="117"/>
        <v>20.127284995760309</v>
      </c>
      <c r="G281" s="110">
        <f t="shared" si="116"/>
        <v>0.45763617100383408</v>
      </c>
      <c r="I281" s="375">
        <f t="shared" si="119"/>
        <v>20.127284995760309</v>
      </c>
      <c r="J281" s="85">
        <v>2022</v>
      </c>
      <c r="K281" s="193">
        <f t="shared" si="120"/>
        <v>44828</v>
      </c>
      <c r="L281" s="431">
        <f t="shared" si="121"/>
        <v>4.1801504513198084E-3</v>
      </c>
      <c r="M281" s="847"/>
      <c r="N281" s="847"/>
      <c r="O281" s="320">
        <f t="shared" si="122"/>
        <v>2.0358455380129301E-2</v>
      </c>
      <c r="P281" s="165">
        <f>(INDEX(Models!$BJ281:$BT281,,T281)*(1-R281)+INDEX(Models!$BJ281:$BT281,,T281+1)*R281-ERP_i)*Q281*Ramure*Pc/MaxiM</f>
        <v>2.3144337494983814E-5</v>
      </c>
      <c r="Q281" s="301">
        <f t="shared" si="123"/>
        <v>0.5</v>
      </c>
      <c r="R281" s="173">
        <f t="shared" si="124"/>
        <v>0.48763899639704089</v>
      </c>
      <c r="S281" s="802">
        <f t="shared" si="142"/>
        <v>0</v>
      </c>
      <c r="T281" s="172">
        <f t="shared" si="125"/>
        <v>6</v>
      </c>
      <c r="U281" s="247">
        <f t="shared" si="126"/>
        <v>0.48763899639704089</v>
      </c>
      <c r="V281" s="378">
        <f t="shared" si="127"/>
        <v>42.904493013628716</v>
      </c>
      <c r="W281" s="58"/>
      <c r="X281" s="153">
        <f t="shared" si="128"/>
        <v>44828</v>
      </c>
      <c r="Y281" s="380">
        <f t="shared" si="129"/>
        <v>19.635000000000002</v>
      </c>
      <c r="Z281" s="380">
        <f t="shared" si="130"/>
        <v>19.717421789592631</v>
      </c>
      <c r="AA281" s="381">
        <f t="shared" si="131"/>
        <v>20.12718008732833</v>
      </c>
      <c r="AB281" s="193">
        <f t="shared" si="132"/>
        <v>44828</v>
      </c>
      <c r="AC281" s="420">
        <f t="shared" si="133"/>
        <v>2.0358455380129301E-2</v>
      </c>
      <c r="AD281" s="165">
        <f>(INDEX(Models!$BJ281:$BT281,,AH281)*(1-AF281)+INDEX(Models!$BJ281:$BT281,,AH281+1)*AF281-ERP_i)*AE281*Ramure*Pc/MaxiM</f>
        <v>2.3144337494983814E-5</v>
      </c>
      <c r="AE281" s="301">
        <f t="shared" si="134"/>
        <v>0.5</v>
      </c>
      <c r="AF281" s="173">
        <f t="shared" si="135"/>
        <v>0.48763899639704089</v>
      </c>
      <c r="AG281" s="802">
        <f t="shared" si="136"/>
        <v>0</v>
      </c>
      <c r="AH281" s="172">
        <f t="shared" si="137"/>
        <v>6</v>
      </c>
      <c r="AI281" s="221">
        <f t="shared" si="138"/>
        <v>0.48763899639704089</v>
      </c>
      <c r="AJ281" s="261" t="b">
        <f t="shared" si="139"/>
        <v>0</v>
      </c>
      <c r="AK281" s="261" t="b">
        <f t="shared" si="140"/>
        <v>0</v>
      </c>
      <c r="AL281" s="261"/>
      <c r="AM281" s="261"/>
      <c r="AN281" s="75"/>
    </row>
    <row r="282" spans="1:40" s="6" customFormat="1" ht="11.25" x14ac:dyDescent="0.2">
      <c r="A282" s="56">
        <f t="shared" si="141"/>
        <v>44829</v>
      </c>
      <c r="B282" s="610">
        <v>31.429000000000002</v>
      </c>
      <c r="C282" s="385"/>
      <c r="D282" s="388">
        <f t="shared" si="118"/>
        <v>31.561361481949827</v>
      </c>
      <c r="E282" s="380">
        <f t="shared" si="115"/>
        <v>32.218955279418203</v>
      </c>
      <c r="F282" s="380">
        <f t="shared" si="117"/>
        <v>32.219433852063254</v>
      </c>
      <c r="G282" s="110">
        <f t="shared" si="116"/>
        <v>0.73931712031272478</v>
      </c>
      <c r="I282" s="375">
        <f t="shared" si="119"/>
        <v>32.219433852063254</v>
      </c>
      <c r="J282" s="85">
        <v>2022</v>
      </c>
      <c r="K282" s="193">
        <f t="shared" si="120"/>
        <v>44829</v>
      </c>
      <c r="L282" s="431">
        <f t="shared" si="121"/>
        <v>4.1937823888086312E-3</v>
      </c>
      <c r="M282" s="847"/>
      <c r="N282" s="847"/>
      <c r="O282" s="320">
        <f t="shared" si="122"/>
        <v>2.0410152711824642E-2</v>
      </c>
      <c r="P282" s="165">
        <f>(INDEX(Models!$BJ282:$BT282,,T282)*(1-R282)+INDEX(Models!$BJ282:$BT282,,T282+1)*R282-ERP_i)*Q282*Ramure*Pc/MaxiM</f>
        <v>2.3667012292325736E-5</v>
      </c>
      <c r="Q282" s="301">
        <f t="shared" si="123"/>
        <v>0.5</v>
      </c>
      <c r="R282" s="173">
        <f t="shared" si="124"/>
        <v>0.48789129532425918</v>
      </c>
      <c r="S282" s="802">
        <f t="shared" si="142"/>
        <v>0</v>
      </c>
      <c r="T282" s="172">
        <f t="shared" si="125"/>
        <v>6</v>
      </c>
      <c r="U282" s="247">
        <f t="shared" si="126"/>
        <v>0.48789129532425918</v>
      </c>
      <c r="V282" s="378">
        <f t="shared" si="127"/>
        <v>42.510476402827571</v>
      </c>
      <c r="W282" s="58"/>
      <c r="X282" s="153">
        <f t="shared" si="128"/>
        <v>44829</v>
      </c>
      <c r="Y282" s="380">
        <f t="shared" si="129"/>
        <v>31.429000000000002</v>
      </c>
      <c r="Z282" s="380">
        <f t="shared" si="130"/>
        <v>31.561361481949827</v>
      </c>
      <c r="AA282" s="381">
        <f t="shared" si="131"/>
        <v>32.218955279418203</v>
      </c>
      <c r="AB282" s="193">
        <f t="shared" si="132"/>
        <v>44829</v>
      </c>
      <c r="AC282" s="420">
        <f t="shared" si="133"/>
        <v>2.0410152711824642E-2</v>
      </c>
      <c r="AD282" s="165">
        <f>(INDEX(Models!$BJ282:$BT282,,AH282)*(1-AF282)+INDEX(Models!$BJ282:$BT282,,AH282+1)*AF282-ERP_i)*AE282*Ramure*Pc/MaxiM</f>
        <v>2.3667012292325736E-5</v>
      </c>
      <c r="AE282" s="301">
        <f t="shared" si="134"/>
        <v>0.5</v>
      </c>
      <c r="AF282" s="173">
        <f t="shared" si="135"/>
        <v>0.48789129532425918</v>
      </c>
      <c r="AG282" s="802">
        <f t="shared" si="136"/>
        <v>0</v>
      </c>
      <c r="AH282" s="172">
        <f t="shared" si="137"/>
        <v>6</v>
      </c>
      <c r="AI282" s="221">
        <f t="shared" si="138"/>
        <v>0.48789129532425918</v>
      </c>
      <c r="AJ282" s="261" t="b">
        <f t="shared" si="139"/>
        <v>0</v>
      </c>
      <c r="AK282" s="261" t="b">
        <f t="shared" si="140"/>
        <v>0</v>
      </c>
      <c r="AL282" s="261"/>
      <c r="AM282" s="261"/>
      <c r="AN282" s="75"/>
    </row>
    <row r="283" spans="1:40" s="6" customFormat="1" ht="11.25" x14ac:dyDescent="0.2">
      <c r="A283" s="56">
        <f t="shared" si="141"/>
        <v>44830</v>
      </c>
      <c r="B283" s="610">
        <v>33.896999999999998</v>
      </c>
      <c r="C283" s="385"/>
      <c r="D283" s="388">
        <f t="shared" si="118"/>
        <v>34.040221308451279</v>
      </c>
      <c r="E283" s="380">
        <f t="shared" si="115"/>
        <v>34.751285656830085</v>
      </c>
      <c r="F283" s="380">
        <f t="shared" si="117"/>
        <v>34.75190503320507</v>
      </c>
      <c r="G283" s="110">
        <f t="shared" si="116"/>
        <v>0.80487405198436868</v>
      </c>
      <c r="I283" s="375">
        <f t="shared" si="119"/>
        <v>34.75190503320507</v>
      </c>
      <c r="J283" s="85">
        <v>2022</v>
      </c>
      <c r="K283" s="193">
        <f t="shared" si="120"/>
        <v>44830</v>
      </c>
      <c r="L283" s="431">
        <f t="shared" si="121"/>
        <v>4.2074141396878373E-3</v>
      </c>
      <c r="M283" s="847"/>
      <c r="N283" s="847"/>
      <c r="O283" s="320">
        <f t="shared" si="122"/>
        <v>2.0461526384968436E-2</v>
      </c>
      <c r="P283" s="165">
        <f>(INDEX(Models!$BJ283:$BT283,,T283)*(1-R283)+INDEX(Models!$BJ283:$BT283,,T283+1)*R283-ERP_i)*Q283*Ramure*Pc/MaxiM</f>
        <v>2.4710767782804062E-5</v>
      </c>
      <c r="Q283" s="301">
        <f t="shared" si="123"/>
        <v>0.5</v>
      </c>
      <c r="R283" s="173">
        <f t="shared" si="124"/>
        <v>0.4881336781846371</v>
      </c>
      <c r="S283" s="802">
        <f t="shared" si="142"/>
        <v>0</v>
      </c>
      <c r="T283" s="172">
        <f t="shared" si="125"/>
        <v>6</v>
      </c>
      <c r="U283" s="247">
        <f t="shared" si="126"/>
        <v>0.4881336781846371</v>
      </c>
      <c r="V283" s="378">
        <f t="shared" si="127"/>
        <v>42.114373585461244</v>
      </c>
      <c r="W283" s="58"/>
      <c r="X283" s="153">
        <f t="shared" si="128"/>
        <v>44830</v>
      </c>
      <c r="Y283" s="380">
        <f t="shared" si="129"/>
        <v>33.896999999999998</v>
      </c>
      <c r="Z283" s="380">
        <f t="shared" si="130"/>
        <v>34.040221308451279</v>
      </c>
      <c r="AA283" s="381">
        <f t="shared" si="131"/>
        <v>34.751285656830085</v>
      </c>
      <c r="AB283" s="193">
        <f t="shared" si="132"/>
        <v>44830</v>
      </c>
      <c r="AC283" s="420">
        <f t="shared" si="133"/>
        <v>2.0461526384968436E-2</v>
      </c>
      <c r="AD283" s="165">
        <f>(INDEX(Models!$BJ283:$BT283,,AH283)*(1-AF283)+INDEX(Models!$BJ283:$BT283,,AH283+1)*AF283-ERP_i)*AE283*Ramure*Pc/MaxiM</f>
        <v>2.4710767782804062E-5</v>
      </c>
      <c r="AE283" s="301">
        <f t="shared" si="134"/>
        <v>0.5</v>
      </c>
      <c r="AF283" s="173">
        <f t="shared" si="135"/>
        <v>0.4881336781846371</v>
      </c>
      <c r="AG283" s="802">
        <f t="shared" si="136"/>
        <v>0</v>
      </c>
      <c r="AH283" s="172">
        <f t="shared" si="137"/>
        <v>6</v>
      </c>
      <c r="AI283" s="221">
        <f t="shared" si="138"/>
        <v>0.4881336781846371</v>
      </c>
      <c r="AJ283" s="261" t="b">
        <f t="shared" si="139"/>
        <v>0</v>
      </c>
      <c r="AK283" s="261" t="b">
        <f t="shared" si="140"/>
        <v>0</v>
      </c>
      <c r="AL283" s="261"/>
      <c r="AM283" s="261"/>
      <c r="AN283" s="75"/>
    </row>
    <row r="284" spans="1:40" s="6" customFormat="1" ht="11.25" x14ac:dyDescent="0.2">
      <c r="A284" s="56">
        <f t="shared" si="141"/>
        <v>44831</v>
      </c>
      <c r="B284" s="610">
        <v>16.588000000000001</v>
      </c>
      <c r="C284" s="385"/>
      <c r="D284" s="388">
        <f t="shared" si="118"/>
        <v>16.658315511123433</v>
      </c>
      <c r="E284" s="380">
        <f t="shared" si="115"/>
        <v>17.007176373430465</v>
      </c>
      <c r="F284" s="380">
        <f t="shared" si="117"/>
        <v>17.007238726948835</v>
      </c>
      <c r="G284" s="110">
        <f t="shared" si="116"/>
        <v>0.39762231067235182</v>
      </c>
      <c r="I284" s="375">
        <f t="shared" si="119"/>
        <v>17.007238726948835</v>
      </c>
      <c r="J284" s="85">
        <v>2022</v>
      </c>
      <c r="K284" s="193">
        <f t="shared" si="120"/>
        <v>44831</v>
      </c>
      <c r="L284" s="431">
        <f t="shared" si="121"/>
        <v>4.2210457039597582E-3</v>
      </c>
      <c r="M284" s="847"/>
      <c r="N284" s="847"/>
      <c r="O284" s="320">
        <f t="shared" si="122"/>
        <v>2.0512568026991335E-2</v>
      </c>
      <c r="P284" s="165">
        <f>(INDEX(Models!$BJ284:$BT284,,T284)*(1-R284)+INDEX(Models!$BJ284:$BT284,,T284+1)*R284-ERP_i)*Q284*Ramure*Pc/MaxiM</f>
        <v>2.6286701927360757E-5</v>
      </c>
      <c r="Q284" s="301">
        <f t="shared" si="123"/>
        <v>0.5</v>
      </c>
      <c r="R284" s="173">
        <f t="shared" si="124"/>
        <v>0.48836652544370635</v>
      </c>
      <c r="S284" s="802">
        <f t="shared" si="142"/>
        <v>0</v>
      </c>
      <c r="T284" s="172">
        <f t="shared" si="125"/>
        <v>6</v>
      </c>
      <c r="U284" s="247">
        <f t="shared" si="126"/>
        <v>0.48836652544370635</v>
      </c>
      <c r="V284" s="378">
        <f t="shared" si="127"/>
        <v>41.717037314205562</v>
      </c>
      <c r="W284" s="58"/>
      <c r="X284" s="153">
        <f t="shared" si="128"/>
        <v>44831</v>
      </c>
      <c r="Y284" s="380">
        <f t="shared" si="129"/>
        <v>16.588000000000001</v>
      </c>
      <c r="Z284" s="380">
        <f t="shared" si="130"/>
        <v>16.658315511123433</v>
      </c>
      <c r="AA284" s="381">
        <f t="shared" si="131"/>
        <v>17.007176373430465</v>
      </c>
      <c r="AB284" s="193">
        <f t="shared" si="132"/>
        <v>44831</v>
      </c>
      <c r="AC284" s="420">
        <f t="shared" si="133"/>
        <v>2.0512568026991335E-2</v>
      </c>
      <c r="AD284" s="165">
        <f>(INDEX(Models!$BJ284:$BT284,,AH284)*(1-AF284)+INDEX(Models!$BJ284:$BT284,,AH284+1)*AF284-ERP_i)*AE284*Ramure*Pc/MaxiM</f>
        <v>2.6286701927360757E-5</v>
      </c>
      <c r="AE284" s="301">
        <f t="shared" si="134"/>
        <v>0.5</v>
      </c>
      <c r="AF284" s="173">
        <f t="shared" si="135"/>
        <v>0.48836652544370635</v>
      </c>
      <c r="AG284" s="802">
        <f t="shared" si="136"/>
        <v>0</v>
      </c>
      <c r="AH284" s="172">
        <f t="shared" si="137"/>
        <v>6</v>
      </c>
      <c r="AI284" s="221">
        <f t="shared" si="138"/>
        <v>0.48836652544370635</v>
      </c>
      <c r="AJ284" s="261" t="b">
        <f t="shared" si="139"/>
        <v>0</v>
      </c>
      <c r="AK284" s="261" t="b">
        <f t="shared" si="140"/>
        <v>0</v>
      </c>
      <c r="AL284" s="261"/>
      <c r="AM284" s="261"/>
      <c r="AN284" s="75"/>
    </row>
    <row r="285" spans="1:40" s="6" customFormat="1" ht="11.25" x14ac:dyDescent="0.2">
      <c r="A285" s="56">
        <f t="shared" si="141"/>
        <v>44832</v>
      </c>
      <c r="B285" s="610">
        <v>18.95</v>
      </c>
      <c r="C285" s="385"/>
      <c r="D285" s="388">
        <f t="shared" si="118"/>
        <v>19.030588396532671</v>
      </c>
      <c r="E285" s="380">
        <f t="shared" si="115"/>
        <v>19.430135507961591</v>
      </c>
      <c r="F285" s="380">
        <f t="shared" si="117"/>
        <v>19.430260578992954</v>
      </c>
      <c r="G285" s="110">
        <f t="shared" si="116"/>
        <v>0.45861315321942331</v>
      </c>
      <c r="I285" s="375">
        <f t="shared" si="119"/>
        <v>19.430260578992954</v>
      </c>
      <c r="J285" s="85">
        <v>2022</v>
      </c>
      <c r="K285" s="193">
        <f t="shared" si="120"/>
        <v>44832</v>
      </c>
      <c r="L285" s="431">
        <f t="shared" si="121"/>
        <v>4.2346770816269474E-3</v>
      </c>
      <c r="M285" s="847"/>
      <c r="N285" s="847"/>
      <c r="O285" s="320">
        <f t="shared" si="122"/>
        <v>2.0563269425743543E-2</v>
      </c>
      <c r="P285" s="165">
        <f>(INDEX(Models!$BJ285:$BT285,,T285)*(1-R285)+INDEX(Models!$BJ285:$BT285,,T285+1)*R285-ERP_i)*Q285*Ramure*Pc/MaxiM</f>
        <v>2.8405952759396727E-5</v>
      </c>
      <c r="Q285" s="301">
        <f t="shared" si="123"/>
        <v>0.5</v>
      </c>
      <c r="R285" s="173">
        <f t="shared" si="124"/>
        <v>0.488590203692993</v>
      </c>
      <c r="S285" s="802">
        <f t="shared" si="142"/>
        <v>0</v>
      </c>
      <c r="T285" s="172">
        <f t="shared" si="125"/>
        <v>6</v>
      </c>
      <c r="U285" s="247">
        <f t="shared" si="126"/>
        <v>0.488590203692993</v>
      </c>
      <c r="V285" s="378">
        <f t="shared" si="127"/>
        <v>41.319320109167187</v>
      </c>
      <c r="W285" s="58"/>
      <c r="X285" s="153">
        <f t="shared" si="128"/>
        <v>44832</v>
      </c>
      <c r="Y285" s="380">
        <f t="shared" si="129"/>
        <v>18.95</v>
      </c>
      <c r="Z285" s="380">
        <f t="shared" si="130"/>
        <v>19.030588396532671</v>
      </c>
      <c r="AA285" s="381">
        <f t="shared" si="131"/>
        <v>19.430135507961591</v>
      </c>
      <c r="AB285" s="193">
        <f t="shared" si="132"/>
        <v>44832</v>
      </c>
      <c r="AC285" s="420">
        <f t="shared" si="133"/>
        <v>2.0563269425743543E-2</v>
      </c>
      <c r="AD285" s="165">
        <f>(INDEX(Models!$BJ285:$BT285,,AH285)*(1-AF285)+INDEX(Models!$BJ285:$BT285,,AH285+1)*AF285-ERP_i)*AE285*Ramure*Pc/MaxiM</f>
        <v>2.8405952759396727E-5</v>
      </c>
      <c r="AE285" s="301">
        <f t="shared" si="134"/>
        <v>0.5</v>
      </c>
      <c r="AF285" s="173">
        <f t="shared" si="135"/>
        <v>0.488590203692993</v>
      </c>
      <c r="AG285" s="802">
        <f t="shared" si="136"/>
        <v>0</v>
      </c>
      <c r="AH285" s="172">
        <f t="shared" si="137"/>
        <v>6</v>
      </c>
      <c r="AI285" s="221">
        <f t="shared" si="138"/>
        <v>0.488590203692993</v>
      </c>
      <c r="AJ285" s="261" t="b">
        <f t="shared" si="139"/>
        <v>0</v>
      </c>
      <c r="AK285" s="261" t="b">
        <f t="shared" si="140"/>
        <v>0</v>
      </c>
      <c r="AL285" s="261"/>
      <c r="AM285" s="261"/>
      <c r="AN285" s="75"/>
    </row>
    <row r="286" spans="1:40" s="6" customFormat="1" ht="11.25" x14ac:dyDescent="0.2">
      <c r="A286" s="56">
        <f t="shared" si="141"/>
        <v>44833</v>
      </c>
      <c r="B286" s="610">
        <v>24.526</v>
      </c>
      <c r="C286" s="385"/>
      <c r="D286" s="388">
        <f t="shared" si="118"/>
        <v>24.630638545494513</v>
      </c>
      <c r="E286" s="380">
        <f t="shared" si="115"/>
        <v>25.149051603633584</v>
      </c>
      <c r="F286" s="380">
        <f t="shared" si="117"/>
        <v>25.149385845472246</v>
      </c>
      <c r="G286" s="110">
        <f t="shared" si="116"/>
        <v>0.59932357137384829</v>
      </c>
      <c r="I286" s="375">
        <f t="shared" si="119"/>
        <v>25.149385845472246</v>
      </c>
      <c r="J286" s="85">
        <v>2022</v>
      </c>
      <c r="K286" s="193">
        <f t="shared" si="120"/>
        <v>44833</v>
      </c>
      <c r="L286" s="431">
        <f t="shared" si="121"/>
        <v>4.2483082726920696E-3</v>
      </c>
      <c r="M286" s="847"/>
      <c r="N286" s="847"/>
      <c r="O286" s="320">
        <f t="shared" si="122"/>
        <v>2.0613622585440545E-2</v>
      </c>
      <c r="P286" s="165">
        <f>(INDEX(Models!$BJ286:$BT286,,T286)*(1-R286)+INDEX(Models!$BJ286:$BT286,,T286+1)*R286-ERP_i)*Q286*Ramure*Pc/MaxiM</f>
        <v>3.1079575627124978E-5</v>
      </c>
      <c r="Q286" s="301">
        <f t="shared" si="123"/>
        <v>0.5</v>
      </c>
      <c r="R286" s="173">
        <f t="shared" si="124"/>
        <v>0.48880506609890323</v>
      </c>
      <c r="S286" s="802">
        <f t="shared" si="142"/>
        <v>0</v>
      </c>
      <c r="T286" s="172">
        <f t="shared" si="125"/>
        <v>6</v>
      </c>
      <c r="U286" s="247">
        <f t="shared" si="126"/>
        <v>0.48880506609890323</v>
      </c>
      <c r="V286" s="378">
        <f t="shared" si="127"/>
        <v>40.922074259800027</v>
      </c>
      <c r="W286" s="58"/>
      <c r="X286" s="153">
        <f t="shared" si="128"/>
        <v>44833</v>
      </c>
      <c r="Y286" s="380">
        <f t="shared" si="129"/>
        <v>24.526</v>
      </c>
      <c r="Z286" s="380">
        <f t="shared" si="130"/>
        <v>24.630638545494513</v>
      </c>
      <c r="AA286" s="381">
        <f t="shared" si="131"/>
        <v>25.149051603633584</v>
      </c>
      <c r="AB286" s="193">
        <f t="shared" si="132"/>
        <v>44833</v>
      </c>
      <c r="AC286" s="420">
        <f t="shared" si="133"/>
        <v>2.0613622585440545E-2</v>
      </c>
      <c r="AD286" s="165">
        <f>(INDEX(Models!$BJ286:$BT286,,AH286)*(1-AF286)+INDEX(Models!$BJ286:$BT286,,AH286+1)*AF286-ERP_i)*AE286*Ramure*Pc/MaxiM</f>
        <v>3.1079575627124978E-5</v>
      </c>
      <c r="AE286" s="301">
        <f t="shared" si="134"/>
        <v>0.5</v>
      </c>
      <c r="AF286" s="173">
        <f t="shared" si="135"/>
        <v>0.48880506609890323</v>
      </c>
      <c r="AG286" s="802">
        <f t="shared" si="136"/>
        <v>0</v>
      </c>
      <c r="AH286" s="172">
        <f t="shared" si="137"/>
        <v>6</v>
      </c>
      <c r="AI286" s="221">
        <f t="shared" si="138"/>
        <v>0.48880506609890323</v>
      </c>
      <c r="AJ286" s="261" t="b">
        <f t="shared" si="139"/>
        <v>0</v>
      </c>
      <c r="AK286" s="261" t="b">
        <f t="shared" si="140"/>
        <v>0</v>
      </c>
      <c r="AL286" s="261"/>
      <c r="AM286" s="261"/>
      <c r="AN286" s="75"/>
    </row>
    <row r="287" spans="1:40" s="6" customFormat="1" ht="11.25" x14ac:dyDescent="0.2">
      <c r="A287" s="56">
        <f t="shared" si="141"/>
        <v>44834</v>
      </c>
      <c r="B287" s="610">
        <v>26.301000000000002</v>
      </c>
      <c r="C287" s="385"/>
      <c r="D287" s="388">
        <f t="shared" si="118"/>
        <v>26.413573044408039</v>
      </c>
      <c r="E287" s="380">
        <f t="shared" si="115"/>
        <v>26.970889245033433</v>
      </c>
      <c r="F287" s="380">
        <f t="shared" si="117"/>
        <v>26.97135071424043</v>
      </c>
      <c r="G287" s="110">
        <f t="shared" si="116"/>
        <v>0.64897717149270051</v>
      </c>
      <c r="I287" s="375">
        <f t="shared" si="119"/>
        <v>26.97135071424043</v>
      </c>
      <c r="J287" s="85">
        <v>2022</v>
      </c>
      <c r="K287" s="193">
        <f t="shared" si="120"/>
        <v>44834</v>
      </c>
      <c r="L287" s="431">
        <f t="shared" si="121"/>
        <v>4.2619392771576781E-3</v>
      </c>
      <c r="M287" s="847"/>
      <c r="N287" s="847"/>
      <c r="O287" s="320">
        <f t="shared" si="122"/>
        <v>2.0663619785099216E-2</v>
      </c>
      <c r="P287" s="165">
        <f>(INDEX(Models!$BJ287:$BT287,,T287)*(1-R287)+INDEX(Models!$BJ287:$BT287,,T287+1)*R287-ERP_i)*Q287*Ramure*Pc/MaxiM</f>
        <v>3.4318409597152703E-5</v>
      </c>
      <c r="Q287" s="301">
        <f t="shared" si="123"/>
        <v>0.5</v>
      </c>
      <c r="R287" s="173">
        <f t="shared" si="124"/>
        <v>0.48901145284171221</v>
      </c>
      <c r="S287" s="802">
        <f t="shared" si="142"/>
        <v>0</v>
      </c>
      <c r="T287" s="172">
        <f t="shared" si="125"/>
        <v>6</v>
      </c>
      <c r="U287" s="247">
        <f t="shared" si="126"/>
        <v>0.48901145284171221</v>
      </c>
      <c r="V287" s="378">
        <f t="shared" si="127"/>
        <v>40.526151826021113</v>
      </c>
      <c r="W287" s="58"/>
      <c r="X287" s="153">
        <f t="shared" si="128"/>
        <v>44834</v>
      </c>
      <c r="Y287" s="380">
        <f t="shared" si="129"/>
        <v>26.301000000000002</v>
      </c>
      <c r="Z287" s="380">
        <f t="shared" si="130"/>
        <v>26.413573044408039</v>
      </c>
      <c r="AA287" s="381">
        <f t="shared" si="131"/>
        <v>26.970889245033433</v>
      </c>
      <c r="AB287" s="193">
        <f t="shared" si="132"/>
        <v>44834</v>
      </c>
      <c r="AC287" s="420">
        <f t="shared" si="133"/>
        <v>2.0663619785099216E-2</v>
      </c>
      <c r="AD287" s="165">
        <f>(INDEX(Models!$BJ287:$BT287,,AH287)*(1-AF287)+INDEX(Models!$BJ287:$BT287,,AH287+1)*AF287-ERP_i)*AE287*Ramure*Pc/MaxiM</f>
        <v>3.4318409597152703E-5</v>
      </c>
      <c r="AE287" s="301">
        <f t="shared" si="134"/>
        <v>0.5</v>
      </c>
      <c r="AF287" s="173">
        <f t="shared" si="135"/>
        <v>0.48901145284171221</v>
      </c>
      <c r="AG287" s="802">
        <f t="shared" si="136"/>
        <v>0</v>
      </c>
      <c r="AH287" s="172">
        <f t="shared" si="137"/>
        <v>6</v>
      </c>
      <c r="AI287" s="221">
        <f t="shared" si="138"/>
        <v>0.48901145284171221</v>
      </c>
      <c r="AJ287" s="261" t="b">
        <f t="shared" si="139"/>
        <v>0</v>
      </c>
      <c r="AK287" s="261" t="b">
        <f t="shared" si="140"/>
        <v>0</v>
      </c>
      <c r="AL287" s="261"/>
      <c r="AM287" s="261"/>
      <c r="AN287" s="75"/>
    </row>
    <row r="288" spans="1:40" s="6" customFormat="1" ht="11.25" x14ac:dyDescent="0.2">
      <c r="A288" s="56">
        <f t="shared" si="141"/>
        <v>44835</v>
      </c>
      <c r="B288" s="610">
        <v>35.898000000000003</v>
      </c>
      <c r="C288" s="385"/>
      <c r="D288" s="388">
        <f t="shared" si="118"/>
        <v>36.052143466466823</v>
      </c>
      <c r="E288" s="380">
        <f t="shared" si="115"/>
        <v>36.814695593949907</v>
      </c>
      <c r="F288" s="380">
        <f t="shared" si="117"/>
        <v>36.815887882487736</v>
      </c>
      <c r="G288" s="110">
        <f t="shared" si="116"/>
        <v>0.89448399571165826</v>
      </c>
      <c r="I288" s="375">
        <f t="shared" si="119"/>
        <v>36.815887882487736</v>
      </c>
      <c r="J288" s="85">
        <v>2022</v>
      </c>
      <c r="K288" s="193">
        <f t="shared" si="120"/>
        <v>44835</v>
      </c>
      <c r="L288" s="431">
        <f t="shared" si="121"/>
        <v>4.2755700950262154E-3</v>
      </c>
      <c r="M288" s="847"/>
      <c r="N288" s="847"/>
      <c r="O288" s="320">
        <f t="shared" si="122"/>
        <v>2.0713253639082066E-2</v>
      </c>
      <c r="P288" s="165">
        <f>(INDEX(Models!$BJ288:$BT288,,T288)*(1-R288)+INDEX(Models!$BJ288:$BT288,,T288+1)*R288-ERP_i)*Q288*Ramure*Pc/MaxiM</f>
        <v>3.813293267999949E-5</v>
      </c>
      <c r="Q288" s="301">
        <f t="shared" si="123"/>
        <v>0.5</v>
      </c>
      <c r="R288" s="173">
        <f t="shared" si="124"/>
        <v>0.48920969154446048</v>
      </c>
      <c r="S288" s="802">
        <f t="shared" si="142"/>
        <v>0</v>
      </c>
      <c r="T288" s="172">
        <f t="shared" si="125"/>
        <v>6</v>
      </c>
      <c r="U288" s="247">
        <f t="shared" si="126"/>
        <v>0.48920969154446048</v>
      </c>
      <c r="V288" s="378">
        <f t="shared" si="127"/>
        <v>40.132404639983186</v>
      </c>
      <c r="W288" s="58"/>
      <c r="X288" s="153">
        <f t="shared" si="128"/>
        <v>44835</v>
      </c>
      <c r="Y288" s="380">
        <f t="shared" si="129"/>
        <v>35.898000000000003</v>
      </c>
      <c r="Z288" s="380">
        <f t="shared" si="130"/>
        <v>36.052143466466823</v>
      </c>
      <c r="AA288" s="381">
        <f t="shared" si="131"/>
        <v>36.814695593949907</v>
      </c>
      <c r="AB288" s="193">
        <f t="shared" si="132"/>
        <v>44835</v>
      </c>
      <c r="AC288" s="420">
        <f t="shared" si="133"/>
        <v>2.0713253639082066E-2</v>
      </c>
      <c r="AD288" s="165">
        <f>(INDEX(Models!$BJ288:$BT288,,AH288)*(1-AF288)+INDEX(Models!$BJ288:$BT288,,AH288+1)*AF288-ERP_i)*AE288*Ramure*Pc/MaxiM</f>
        <v>3.813293267999949E-5</v>
      </c>
      <c r="AE288" s="301">
        <f t="shared" si="134"/>
        <v>0.5</v>
      </c>
      <c r="AF288" s="173">
        <f t="shared" si="135"/>
        <v>0.48920969154446048</v>
      </c>
      <c r="AG288" s="802">
        <f t="shared" si="136"/>
        <v>0</v>
      </c>
      <c r="AH288" s="172">
        <f t="shared" si="137"/>
        <v>6</v>
      </c>
      <c r="AI288" s="221">
        <f t="shared" si="138"/>
        <v>0.48920969154446048</v>
      </c>
      <c r="AJ288" s="261" t="b">
        <f t="shared" si="139"/>
        <v>0</v>
      </c>
      <c r="AK288" s="261" t="b">
        <f t="shared" si="140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41"/>
        <v>44836</v>
      </c>
      <c r="B289" s="610">
        <v>37.332999999999998</v>
      </c>
      <c r="C289" s="385"/>
      <c r="D289" s="388">
        <f t="shared" si="118"/>
        <v>37.493818513600303</v>
      </c>
      <c r="E289" s="380">
        <f t="shared" si="115"/>
        <v>38.288790176653031</v>
      </c>
      <c r="F289" s="380">
        <f t="shared" si="117"/>
        <v>38.290278052871017</v>
      </c>
      <c r="G289" s="110">
        <f t="shared" si="116"/>
        <v>0.93946019939157543</v>
      </c>
      <c r="I289" s="375">
        <f t="shared" si="119"/>
        <v>38.290278052871017</v>
      </c>
      <c r="J289" s="85">
        <v>2022</v>
      </c>
      <c r="K289" s="193">
        <f t="shared" si="120"/>
        <v>44836</v>
      </c>
      <c r="L289" s="431">
        <f t="shared" si="121"/>
        <v>4.2892007263003462E-3</v>
      </c>
      <c r="M289" s="847"/>
      <c r="N289" s="847"/>
      <c r="O289" s="320">
        <f t="shared" si="122"/>
        <v>2.0762517159329662E-2</v>
      </c>
      <c r="P289" s="165">
        <f>(INDEX(Models!$BJ289:$BT289,,T289)*(1-R289)+INDEX(Models!$BJ289:$BT289,,T289+1)*R289-ERP_i)*Q289*Ramure*Pc/MaxiM</f>
        <v>4.2536373048149874E-5</v>
      </c>
      <c r="Q289" s="301">
        <f t="shared" si="123"/>
        <v>0.5</v>
      </c>
      <c r="R289" s="173">
        <f t="shared" si="124"/>
        <v>0.48940009769161685</v>
      </c>
      <c r="S289" s="802">
        <f t="shared" si="142"/>
        <v>0</v>
      </c>
      <c r="T289" s="172">
        <f t="shared" si="125"/>
        <v>6</v>
      </c>
      <c r="U289" s="247">
        <f t="shared" si="126"/>
        <v>0.48940009769161685</v>
      </c>
      <c r="V289" s="378">
        <f t="shared" si="127"/>
        <v>39.73863148957124</v>
      </c>
      <c r="W289" s="58"/>
      <c r="X289" s="153">
        <f t="shared" si="128"/>
        <v>44836</v>
      </c>
      <c r="Y289" s="380">
        <f t="shared" si="129"/>
        <v>37.332999999999998</v>
      </c>
      <c r="Z289" s="380">
        <f t="shared" si="130"/>
        <v>37.493818513600303</v>
      </c>
      <c r="AA289" s="381">
        <f t="shared" si="131"/>
        <v>38.288790176653031</v>
      </c>
      <c r="AB289" s="193">
        <f t="shared" si="132"/>
        <v>44836</v>
      </c>
      <c r="AC289" s="420">
        <f t="shared" si="133"/>
        <v>2.0762517159329662E-2</v>
      </c>
      <c r="AD289" s="165">
        <f>(INDEX(Models!$BJ289:$BT289,,AH289)*(1-AF289)+INDEX(Models!$BJ289:$BT289,,AH289+1)*AF289-ERP_i)*AE289*Ramure*Pc/MaxiM</f>
        <v>4.2536373048149874E-5</v>
      </c>
      <c r="AE289" s="301">
        <f t="shared" si="134"/>
        <v>0.5</v>
      </c>
      <c r="AF289" s="173">
        <f t="shared" si="135"/>
        <v>0.48940009769161685</v>
      </c>
      <c r="AG289" s="802">
        <f t="shared" si="136"/>
        <v>0</v>
      </c>
      <c r="AH289" s="172">
        <f t="shared" si="137"/>
        <v>6</v>
      </c>
      <c r="AI289" s="221">
        <f t="shared" si="138"/>
        <v>0.48940009769161685</v>
      </c>
      <c r="AJ289" s="261" t="b">
        <f t="shared" si="139"/>
        <v>0</v>
      </c>
      <c r="AK289" s="261" t="b">
        <f t="shared" si="140"/>
        <v>0</v>
      </c>
      <c r="AL289" s="261"/>
      <c r="AM289" s="261"/>
      <c r="AN289" s="75"/>
    </row>
    <row r="290" spans="1:40" s="6" customFormat="1" ht="11.25" x14ac:dyDescent="0.2">
      <c r="A290" s="56">
        <f t="shared" si="141"/>
        <v>44837</v>
      </c>
      <c r="B290" s="610">
        <v>33.808999999999997</v>
      </c>
      <c r="C290" s="385"/>
      <c r="D290" s="388">
        <f t="shared" si="118"/>
        <v>33.955103075929031</v>
      </c>
      <c r="E290" s="380">
        <f t="shared" si="115"/>
        <v>34.676775453016575</v>
      </c>
      <c r="F290" s="380">
        <f t="shared" si="117"/>
        <v>34.678087657716873</v>
      </c>
      <c r="G290" s="110">
        <f t="shared" si="116"/>
        <v>0.85934556142821672</v>
      </c>
      <c r="I290" s="375">
        <f t="shared" si="119"/>
        <v>34.678087657716873</v>
      </c>
      <c r="J290" s="85">
        <v>2022</v>
      </c>
      <c r="K290" s="193">
        <f t="shared" si="120"/>
        <v>44837</v>
      </c>
      <c r="L290" s="431">
        <f t="shared" si="121"/>
        <v>4.3028311709825129E-3</v>
      </c>
      <c r="M290" s="847"/>
      <c r="N290" s="847"/>
      <c r="O290" s="320">
        <f t="shared" si="122"/>
        <v>2.0811403818827734E-2</v>
      </c>
      <c r="P290" s="165">
        <f>(INDEX(Models!$BJ290:$BT290,,T290)*(1-R290)+INDEX(Models!$BJ290:$BT290,,T290+1)*R290-ERP_i)*Q290*Ramure*Pc/MaxiM</f>
        <v>4.7354138960677838E-5</v>
      </c>
      <c r="Q290" s="301">
        <f t="shared" si="123"/>
        <v>0.5</v>
      </c>
      <c r="R290" s="173">
        <f t="shared" si="124"/>
        <v>0.48958297503740494</v>
      </c>
      <c r="S290" s="802">
        <f t="shared" si="142"/>
        <v>0</v>
      </c>
      <c r="T290" s="172">
        <f t="shared" si="125"/>
        <v>6</v>
      </c>
      <c r="U290" s="247">
        <f t="shared" si="126"/>
        <v>0.48958297503740494</v>
      </c>
      <c r="V290" s="378">
        <f t="shared" si="127"/>
        <v>39.342355192166799</v>
      </c>
      <c r="W290" s="58"/>
      <c r="X290" s="153">
        <f t="shared" si="128"/>
        <v>44837</v>
      </c>
      <c r="Y290" s="380">
        <f t="shared" si="129"/>
        <v>33.808999999999997</v>
      </c>
      <c r="Z290" s="380">
        <f t="shared" si="130"/>
        <v>33.955103075929031</v>
      </c>
      <c r="AA290" s="381">
        <f t="shared" si="131"/>
        <v>34.676775453016575</v>
      </c>
      <c r="AB290" s="193">
        <f t="shared" si="132"/>
        <v>44837</v>
      </c>
      <c r="AC290" s="420">
        <f t="shared" si="133"/>
        <v>2.0811403818827734E-2</v>
      </c>
      <c r="AD290" s="165">
        <f>(INDEX(Models!$BJ290:$BT290,,AH290)*(1-AF290)+INDEX(Models!$BJ290:$BT290,,AH290+1)*AF290-ERP_i)*AE290*Ramure*Pc/MaxiM</f>
        <v>4.7354138960677838E-5</v>
      </c>
      <c r="AE290" s="301">
        <f t="shared" si="134"/>
        <v>0.5</v>
      </c>
      <c r="AF290" s="173">
        <f t="shared" si="135"/>
        <v>0.48958297503740494</v>
      </c>
      <c r="AG290" s="802">
        <f t="shared" si="136"/>
        <v>0</v>
      </c>
      <c r="AH290" s="172">
        <f t="shared" si="137"/>
        <v>6</v>
      </c>
      <c r="AI290" s="221">
        <f t="shared" si="138"/>
        <v>0.48958297503740494</v>
      </c>
      <c r="AJ290" s="261" t="b">
        <f t="shared" si="139"/>
        <v>0</v>
      </c>
      <c r="AK290" s="261" t="b">
        <f t="shared" si="140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41"/>
        <v>44838</v>
      </c>
      <c r="B291" s="610">
        <v>39.378999999999998</v>
      </c>
      <c r="C291" s="385"/>
      <c r="D291" s="388">
        <f t="shared" si="118"/>
        <v>39.549714818545176</v>
      </c>
      <c r="E291" s="380">
        <f t="shared" si="115"/>
        <v>40.392294347015103</v>
      </c>
      <c r="F291" s="380">
        <f t="shared" si="117"/>
        <v>40.394405046621038</v>
      </c>
      <c r="G291" s="110">
        <f t="shared" si="116"/>
        <v>1.0111694837797944</v>
      </c>
      <c r="I291" s="375">
        <f t="shared" si="119"/>
        <v>40.394405046621038</v>
      </c>
      <c r="J291" s="85">
        <v>2022</v>
      </c>
      <c r="K291" s="193">
        <f t="shared" si="120"/>
        <v>44838</v>
      </c>
      <c r="L291" s="431">
        <f t="shared" si="121"/>
        <v>4.31646142907538E-3</v>
      </c>
      <c r="M291" s="847"/>
      <c r="N291" s="847"/>
      <c r="O291" s="320">
        <f t="shared" si="122"/>
        <v>2.0859907615824565E-2</v>
      </c>
      <c r="P291" s="165">
        <f>(INDEX(Models!$BJ291:$BT291,,T291)*(1-R291)+INDEX(Models!$BJ291:$BT291,,T291+1)*R291-ERP_i)*Q291*Ramure*Pc/MaxiM</f>
        <v>5.2252276113536888E-5</v>
      </c>
      <c r="Q291" s="301">
        <f t="shared" si="123"/>
        <v>0.5</v>
      </c>
      <c r="R291" s="173">
        <f t="shared" si="124"/>
        <v>0.48975861600373538</v>
      </c>
      <c r="S291" s="802">
        <f t="shared" si="142"/>
        <v>0</v>
      </c>
      <c r="T291" s="172">
        <f t="shared" si="125"/>
        <v>6</v>
      </c>
      <c r="U291" s="247">
        <f t="shared" si="126"/>
        <v>0.48975861600373538</v>
      </c>
      <c r="V291" s="378">
        <f t="shared" si="127"/>
        <v>38.944015451098878</v>
      </c>
      <c r="W291" s="58"/>
      <c r="X291" s="153">
        <f t="shared" si="128"/>
        <v>44838</v>
      </c>
      <c r="Y291" s="380">
        <f t="shared" si="129"/>
        <v>39.378999999999998</v>
      </c>
      <c r="Z291" s="380">
        <f t="shared" si="130"/>
        <v>39.549714818545176</v>
      </c>
      <c r="AA291" s="381">
        <f t="shared" si="131"/>
        <v>40.392294347015103</v>
      </c>
      <c r="AB291" s="193">
        <f t="shared" si="132"/>
        <v>44838</v>
      </c>
      <c r="AC291" s="420">
        <f t="shared" si="133"/>
        <v>2.0859907615824565E-2</v>
      </c>
      <c r="AD291" s="165">
        <f>(INDEX(Models!$BJ291:$BT291,,AH291)*(1-AF291)+INDEX(Models!$BJ291:$BT291,,AH291+1)*AF291-ERP_i)*AE291*Ramure*Pc/MaxiM</f>
        <v>5.2252276113536888E-5</v>
      </c>
      <c r="AE291" s="301">
        <f t="shared" si="134"/>
        <v>0.5</v>
      </c>
      <c r="AF291" s="173">
        <f t="shared" si="135"/>
        <v>0.48975861600373538</v>
      </c>
      <c r="AG291" s="802">
        <f t="shared" si="136"/>
        <v>0</v>
      </c>
      <c r="AH291" s="172">
        <f t="shared" si="137"/>
        <v>6</v>
      </c>
      <c r="AI291" s="221">
        <f t="shared" si="138"/>
        <v>0.48975861600373538</v>
      </c>
      <c r="AJ291" s="261" t="b">
        <f t="shared" si="139"/>
        <v>0</v>
      </c>
      <c r="AK291" s="261" t="b">
        <f t="shared" si="140"/>
        <v>0</v>
      </c>
      <c r="AL291" s="261"/>
      <c r="AM291" s="261"/>
      <c r="AN291" s="75"/>
    </row>
    <row r="292" spans="1:40" s="6" customFormat="1" ht="11.25" x14ac:dyDescent="0.2">
      <c r="A292" s="56">
        <f t="shared" si="141"/>
        <v>44839</v>
      </c>
      <c r="B292" s="610">
        <v>39.637</v>
      </c>
      <c r="C292" s="385"/>
      <c r="D292" s="388">
        <f t="shared" si="118"/>
        <v>39.809378250405516</v>
      </c>
      <c r="E292" s="380">
        <f t="shared" si="115"/>
        <v>40.659487761309933</v>
      </c>
      <c r="F292" s="380">
        <f t="shared" si="117"/>
        <v>40.661814891212074</v>
      </c>
      <c r="G292" s="110">
        <f t="shared" si="116"/>
        <v>1.0283561778969417</v>
      </c>
      <c r="I292" s="375">
        <f t="shared" si="119"/>
        <v>40.661814891212074</v>
      </c>
      <c r="J292" s="85">
        <v>2022</v>
      </c>
      <c r="K292" s="193">
        <f t="shared" si="120"/>
        <v>44839</v>
      </c>
      <c r="L292" s="431">
        <f t="shared" si="121"/>
        <v>4.3300915005815011E-3</v>
      </c>
      <c r="M292" s="847"/>
      <c r="N292" s="847"/>
      <c r="O292" s="320">
        <f t="shared" si="122"/>
        <v>2.0908023138288184E-2</v>
      </c>
      <c r="P292" s="165">
        <f>(INDEX(Models!$BJ292:$BT292,,T292)*(1-R292)+INDEX(Models!$BJ292:$BT292,,T292+1)*R292-ERP_i)*Q292*Ramure*Pc/MaxiM</f>
        <v>5.7231333829321081E-5</v>
      </c>
      <c r="Q292" s="301">
        <f t="shared" si="123"/>
        <v>0.5</v>
      </c>
      <c r="R292" s="173">
        <f t="shared" si="124"/>
        <v>0.48992730206771706</v>
      </c>
      <c r="S292" s="802">
        <f t="shared" si="142"/>
        <v>0</v>
      </c>
      <c r="T292" s="172">
        <f t="shared" si="125"/>
        <v>6</v>
      </c>
      <c r="U292" s="247">
        <f t="shared" si="126"/>
        <v>0.48992730206771706</v>
      </c>
      <c r="V292" s="378">
        <f t="shared" si="127"/>
        <v>38.544038390531533</v>
      </c>
      <c r="W292" s="58"/>
      <c r="X292" s="153">
        <f t="shared" si="128"/>
        <v>44839</v>
      </c>
      <c r="Y292" s="380">
        <f t="shared" si="129"/>
        <v>39.637</v>
      </c>
      <c r="Z292" s="380">
        <f t="shared" si="130"/>
        <v>39.809378250405516</v>
      </c>
      <c r="AA292" s="381">
        <f t="shared" si="131"/>
        <v>40.659487761309933</v>
      </c>
      <c r="AB292" s="193">
        <f t="shared" si="132"/>
        <v>44839</v>
      </c>
      <c r="AC292" s="420">
        <f t="shared" si="133"/>
        <v>2.0908023138288184E-2</v>
      </c>
      <c r="AD292" s="165">
        <f>(INDEX(Models!$BJ292:$BT292,,AH292)*(1-AF292)+INDEX(Models!$BJ292:$BT292,,AH292+1)*AF292-ERP_i)*AE292*Ramure*Pc/MaxiM</f>
        <v>5.7231333829321081E-5</v>
      </c>
      <c r="AE292" s="301">
        <f t="shared" si="134"/>
        <v>0.5</v>
      </c>
      <c r="AF292" s="173">
        <f t="shared" si="135"/>
        <v>0.48992730206771706</v>
      </c>
      <c r="AG292" s="802">
        <f t="shared" si="136"/>
        <v>0</v>
      </c>
      <c r="AH292" s="172">
        <f t="shared" si="137"/>
        <v>6</v>
      </c>
      <c r="AI292" s="221">
        <f t="shared" si="138"/>
        <v>0.48992730206771706</v>
      </c>
      <c r="AJ292" s="261" t="b">
        <f t="shared" si="139"/>
        <v>0</v>
      </c>
      <c r="AK292" s="261" t="b">
        <f t="shared" si="140"/>
        <v>0</v>
      </c>
      <c r="AL292" s="261"/>
      <c r="AM292" s="261"/>
      <c r="AN292" s="75"/>
    </row>
    <row r="293" spans="1:40" s="6" customFormat="1" ht="11.25" x14ac:dyDescent="0.2">
      <c r="A293" s="56">
        <f t="shared" si="141"/>
        <v>44840</v>
      </c>
      <c r="B293" s="610">
        <v>15.887</v>
      </c>
      <c r="C293" s="385"/>
      <c r="D293" s="388">
        <f t="shared" si="118"/>
        <v>15.956309763955408</v>
      </c>
      <c r="E293" s="380">
        <f t="shared" si="115"/>
        <v>16.297843220776173</v>
      </c>
      <c r="F293" s="380">
        <f t="shared" ref="F293:F324" si="143">Wh_sa/(1-Pvg*MEDIAN((-Sdif+Wh/Env_an)/Csdif,0,1))</f>
        <v>16.298012203209971</v>
      </c>
      <c r="G293" s="110">
        <f t="shared" si="116"/>
        <v>0.41649155971495294</v>
      </c>
      <c r="I293" s="375">
        <f t="shared" si="119"/>
        <v>16.298012203209971</v>
      </c>
      <c r="J293" s="85">
        <v>2022</v>
      </c>
      <c r="K293" s="193">
        <f t="shared" si="120"/>
        <v>44840</v>
      </c>
      <c r="L293" s="431">
        <f t="shared" si="121"/>
        <v>4.3437213855033185E-3</v>
      </c>
      <c r="M293" s="847"/>
      <c r="N293" s="847"/>
      <c r="O293" s="320">
        <f t="shared" si="122"/>
        <v>2.095574562807076E-2</v>
      </c>
      <c r="P293" s="165">
        <f>(INDEX(Models!$BJ293:$BT293,,T293)*(1-R293)+INDEX(Models!$BJ293:$BT293,,T293+1)*R293-ERP_i)*Q293*Ramure*Pc/MaxiM</f>
        <v>6.2291656711159157E-5</v>
      </c>
      <c r="Q293" s="301">
        <f t="shared" si="123"/>
        <v>0.5</v>
      </c>
      <c r="R293" s="173">
        <f t="shared" si="124"/>
        <v>0.49008930413875623</v>
      </c>
      <c r="S293" s="802">
        <f t="shared" si="142"/>
        <v>0</v>
      </c>
      <c r="T293" s="172">
        <f t="shared" si="125"/>
        <v>6</v>
      </c>
      <c r="U293" s="247">
        <f t="shared" si="126"/>
        <v>0.49008930413875623</v>
      </c>
      <c r="V293" s="378">
        <f t="shared" si="127"/>
        <v>38.142849991273685</v>
      </c>
      <c r="W293" s="58"/>
      <c r="X293" s="153">
        <f t="shared" si="128"/>
        <v>44840</v>
      </c>
      <c r="Y293" s="380">
        <f t="shared" si="129"/>
        <v>15.887000000000002</v>
      </c>
      <c r="Z293" s="380">
        <f t="shared" si="130"/>
        <v>15.95630976395541</v>
      </c>
      <c r="AA293" s="381">
        <f t="shared" si="131"/>
        <v>16.297843220776173</v>
      </c>
      <c r="AB293" s="193">
        <f t="shared" si="132"/>
        <v>44840</v>
      </c>
      <c r="AC293" s="420">
        <f t="shared" si="133"/>
        <v>2.095574562807076E-2</v>
      </c>
      <c r="AD293" s="165">
        <f>(INDEX(Models!$BJ293:$BT293,,AH293)*(1-AF293)+INDEX(Models!$BJ293:$BT293,,AH293+1)*AF293-ERP_i)*AE293*Ramure*Pc/MaxiM</f>
        <v>6.2291656711159157E-5</v>
      </c>
      <c r="AE293" s="301">
        <f t="shared" si="134"/>
        <v>0.5</v>
      </c>
      <c r="AF293" s="173">
        <f t="shared" si="135"/>
        <v>0.49008930413875623</v>
      </c>
      <c r="AG293" s="802">
        <f t="shared" si="136"/>
        <v>0</v>
      </c>
      <c r="AH293" s="172">
        <f t="shared" si="137"/>
        <v>6</v>
      </c>
      <c r="AI293" s="221">
        <f t="shared" si="138"/>
        <v>0.49008930413875623</v>
      </c>
      <c r="AJ293" s="261" t="b">
        <f t="shared" si="139"/>
        <v>0</v>
      </c>
      <c r="AK293" s="261" t="b">
        <f t="shared" si="140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41"/>
        <v>44841</v>
      </c>
      <c r="B294" s="610">
        <v>30.516000000000002</v>
      </c>
      <c r="C294" s="385"/>
      <c r="D294" s="388">
        <f t="shared" si="118"/>
        <v>30.649550853631389</v>
      </c>
      <c r="E294" s="380">
        <f t="shared" si="115"/>
        <v>31.307096015432055</v>
      </c>
      <c r="F294" s="380">
        <f t="shared" si="143"/>
        <v>31.308629885145589</v>
      </c>
      <c r="G294" s="110">
        <f t="shared" si="116"/>
        <v>0.80855137385660925</v>
      </c>
      <c r="I294" s="375">
        <f t="shared" si="119"/>
        <v>31.308629885145589</v>
      </c>
      <c r="J294" s="85">
        <v>2022</v>
      </c>
      <c r="K294" s="193">
        <f t="shared" si="120"/>
        <v>44841</v>
      </c>
      <c r="L294" s="431">
        <f t="shared" si="121"/>
        <v>4.357351083843497E-3</v>
      </c>
      <c r="M294" s="847"/>
      <c r="N294" s="847"/>
      <c r="O294" s="320">
        <f t="shared" si="122"/>
        <v>2.100307104423044E-2</v>
      </c>
      <c r="P294" s="165">
        <f>(INDEX(Models!$BJ294:$BT294,,T294)*(1-R294)+INDEX(Models!$BJ294:$BT294,,T294+1)*R294-ERP_i)*Q294*Ramure*Pc/MaxiM</f>
        <v>6.7433372998821205E-5</v>
      </c>
      <c r="Q294" s="301">
        <f t="shared" si="123"/>
        <v>0.5</v>
      </c>
      <c r="R294" s="173">
        <f t="shared" si="124"/>
        <v>0.49024488292527907</v>
      </c>
      <c r="S294" s="802">
        <f t="shared" si="142"/>
        <v>0</v>
      </c>
      <c r="T294" s="172">
        <f t="shared" si="125"/>
        <v>6</v>
      </c>
      <c r="U294" s="247">
        <f t="shared" si="126"/>
        <v>0.49024488292527907</v>
      </c>
      <c r="V294" s="378">
        <f t="shared" si="127"/>
        <v>37.740876089695867</v>
      </c>
      <c r="W294" s="58"/>
      <c r="X294" s="153">
        <f t="shared" si="128"/>
        <v>44841</v>
      </c>
      <c r="Y294" s="380">
        <f t="shared" si="129"/>
        <v>30.516000000000002</v>
      </c>
      <c r="Z294" s="380">
        <f t="shared" si="130"/>
        <v>30.649550853631389</v>
      </c>
      <c r="AA294" s="381">
        <f t="shared" si="131"/>
        <v>31.307096015432055</v>
      </c>
      <c r="AB294" s="193">
        <f t="shared" si="132"/>
        <v>44841</v>
      </c>
      <c r="AC294" s="420">
        <f t="shared" si="133"/>
        <v>2.100307104423044E-2</v>
      </c>
      <c r="AD294" s="165">
        <f>(INDEX(Models!$BJ294:$BT294,,AH294)*(1-AF294)+INDEX(Models!$BJ294:$BT294,,AH294+1)*AF294-ERP_i)*AE294*Ramure*Pc/MaxiM</f>
        <v>6.7433372998821205E-5</v>
      </c>
      <c r="AE294" s="301">
        <f t="shared" si="134"/>
        <v>0.5</v>
      </c>
      <c r="AF294" s="173">
        <f t="shared" si="135"/>
        <v>0.49024488292527907</v>
      </c>
      <c r="AG294" s="802">
        <f t="shared" si="136"/>
        <v>0</v>
      </c>
      <c r="AH294" s="172">
        <f t="shared" si="137"/>
        <v>6</v>
      </c>
      <c r="AI294" s="221">
        <f t="shared" si="138"/>
        <v>0.49024488292527907</v>
      </c>
      <c r="AJ294" s="261" t="b">
        <f t="shared" si="139"/>
        <v>0</v>
      </c>
      <c r="AK294" s="261" t="b">
        <f t="shared" si="140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41"/>
        <v>44842</v>
      </c>
      <c r="B295" s="610">
        <v>15.433</v>
      </c>
      <c r="C295" s="385"/>
      <c r="D295" s="388">
        <f t="shared" si="118"/>
        <v>15.50075349273399</v>
      </c>
      <c r="E295" s="380">
        <f t="shared" si="115"/>
        <v>15.834060402856311</v>
      </c>
      <c r="F295" s="380">
        <f t="shared" si="143"/>
        <v>15.834246656032258</v>
      </c>
      <c r="G295" s="110">
        <f t="shared" si="116"/>
        <v>0.41330108873123034</v>
      </c>
      <c r="I295" s="375">
        <f t="shared" si="119"/>
        <v>15.834246656032258</v>
      </c>
      <c r="J295" s="85">
        <v>2022</v>
      </c>
      <c r="K295" s="193">
        <f t="shared" si="120"/>
        <v>44842</v>
      </c>
      <c r="L295" s="431">
        <f t="shared" si="121"/>
        <v>4.37098059560459E-3</v>
      </c>
      <c r="M295" s="847"/>
      <c r="N295" s="847"/>
      <c r="O295" s="320">
        <f t="shared" si="122"/>
        <v>2.1049996124948209E-2</v>
      </c>
      <c r="P295" s="165">
        <f>(INDEX(Models!$BJ295:$BT295,,T295)*(1-R295)+INDEX(Models!$BJ295:$BT295,,T295+1)*R295-ERP_i)*Q295*Ramure*Pc/MaxiM</f>
        <v>7.2656382759563509E-5</v>
      </c>
      <c r="Q295" s="301">
        <f t="shared" si="123"/>
        <v>0.5</v>
      </c>
      <c r="R295" s="173">
        <f t="shared" si="124"/>
        <v>0.49039428929114026</v>
      </c>
      <c r="S295" s="802">
        <f t="shared" si="142"/>
        <v>0</v>
      </c>
      <c r="T295" s="172">
        <f t="shared" si="125"/>
        <v>6</v>
      </c>
      <c r="U295" s="247">
        <f t="shared" si="126"/>
        <v>0.49039428929114026</v>
      </c>
      <c r="V295" s="378">
        <f t="shared" si="127"/>
        <v>37.338542377917399</v>
      </c>
      <c r="W295" s="58"/>
      <c r="X295" s="153">
        <f t="shared" si="128"/>
        <v>44842</v>
      </c>
      <c r="Y295" s="380">
        <f t="shared" si="129"/>
        <v>15.433</v>
      </c>
      <c r="Z295" s="380">
        <f t="shared" si="130"/>
        <v>15.50075349273399</v>
      </c>
      <c r="AA295" s="381">
        <f t="shared" si="131"/>
        <v>15.834060402856311</v>
      </c>
      <c r="AB295" s="193">
        <f t="shared" si="132"/>
        <v>44842</v>
      </c>
      <c r="AC295" s="420">
        <f t="shared" si="133"/>
        <v>2.1049996124948209E-2</v>
      </c>
      <c r="AD295" s="165">
        <f>(INDEX(Models!$BJ295:$BT295,,AH295)*(1-AF295)+INDEX(Models!$BJ295:$BT295,,AH295+1)*AF295-ERP_i)*AE295*Ramure*Pc/MaxiM</f>
        <v>7.2656382759563509E-5</v>
      </c>
      <c r="AE295" s="301">
        <f t="shared" si="134"/>
        <v>0.5</v>
      </c>
      <c r="AF295" s="173">
        <f t="shared" si="135"/>
        <v>0.49039428929114026</v>
      </c>
      <c r="AG295" s="802">
        <f t="shared" si="136"/>
        <v>0</v>
      </c>
      <c r="AH295" s="172">
        <f t="shared" si="137"/>
        <v>6</v>
      </c>
      <c r="AI295" s="221">
        <f t="shared" si="138"/>
        <v>0.49039428929114026</v>
      </c>
      <c r="AJ295" s="261" t="b">
        <f t="shared" si="139"/>
        <v>0</v>
      </c>
      <c r="AK295" s="261" t="b">
        <f t="shared" si="140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41"/>
        <v>44843</v>
      </c>
      <c r="B296" s="610">
        <v>36.041000000000004</v>
      </c>
      <c r="C296" s="385"/>
      <c r="D296" s="388">
        <f t="shared" si="118"/>
        <v>36.199721658714608</v>
      </c>
      <c r="E296" s="380">
        <f t="shared" si="115"/>
        <v>36.979868128880575</v>
      </c>
      <c r="F296" s="380">
        <f t="shared" si="143"/>
        <v>36.982646782683823</v>
      </c>
      <c r="G296" s="110">
        <f t="shared" si="116"/>
        <v>0.97575889036469377</v>
      </c>
      <c r="I296" s="375">
        <f t="shared" si="119"/>
        <v>36.982646782683823</v>
      </c>
      <c r="J296" s="85">
        <v>2022</v>
      </c>
      <c r="K296" s="193">
        <f t="shared" si="120"/>
        <v>44843</v>
      </c>
      <c r="L296" s="431">
        <f t="shared" si="121"/>
        <v>4.3846099207890399E-3</v>
      </c>
      <c r="M296" s="847"/>
      <c r="N296" s="847"/>
      <c r="O296" s="320">
        <f t="shared" si="122"/>
        <v>2.1096518447470833E-2</v>
      </c>
      <c r="P296" s="165">
        <f>(INDEX(Models!$BJ296:$BT296,,T296)*(1-R296)+INDEX(Models!$BJ296:$BT296,,T296+1)*R296-ERP_i)*Q296*Ramure*Pc/MaxiM</f>
        <v>7.7828925197352691E-5</v>
      </c>
      <c r="Q296" s="301">
        <f t="shared" si="123"/>
        <v>0.5</v>
      </c>
      <c r="R296" s="173">
        <f t="shared" si="124"/>
        <v>0.49053776460180282</v>
      </c>
      <c r="S296" s="802">
        <f t="shared" si="142"/>
        <v>0</v>
      </c>
      <c r="T296" s="172">
        <f t="shared" si="125"/>
        <v>6</v>
      </c>
      <c r="U296" s="247">
        <f t="shared" si="126"/>
        <v>0.49053776460180282</v>
      </c>
      <c r="V296" s="378">
        <f t="shared" si="127"/>
        <v>36.936279259584218</v>
      </c>
      <c r="W296" s="58"/>
      <c r="X296" s="153">
        <f t="shared" si="128"/>
        <v>44843</v>
      </c>
      <c r="Y296" s="380">
        <f t="shared" si="129"/>
        <v>36.041000000000004</v>
      </c>
      <c r="Z296" s="380">
        <f t="shared" si="130"/>
        <v>36.199721658714608</v>
      </c>
      <c r="AA296" s="381">
        <f t="shared" si="131"/>
        <v>36.979868128880575</v>
      </c>
      <c r="AB296" s="193">
        <f t="shared" si="132"/>
        <v>44843</v>
      </c>
      <c r="AC296" s="420">
        <f t="shared" si="133"/>
        <v>2.1096518447470833E-2</v>
      </c>
      <c r="AD296" s="165">
        <f>(INDEX(Models!$BJ296:$BT296,,AH296)*(1-AF296)+INDEX(Models!$BJ296:$BT296,,AH296+1)*AF296-ERP_i)*AE296*Ramure*Pc/MaxiM</f>
        <v>7.7828925197352691E-5</v>
      </c>
      <c r="AE296" s="301">
        <f t="shared" si="134"/>
        <v>0.5</v>
      </c>
      <c r="AF296" s="173">
        <f t="shared" si="135"/>
        <v>0.49053776460180282</v>
      </c>
      <c r="AG296" s="802">
        <f t="shared" si="136"/>
        <v>0</v>
      </c>
      <c r="AH296" s="172">
        <f t="shared" si="137"/>
        <v>6</v>
      </c>
      <c r="AI296" s="221">
        <f t="shared" si="138"/>
        <v>0.49053776460180282</v>
      </c>
      <c r="AJ296" s="261" t="b">
        <f t="shared" si="139"/>
        <v>0</v>
      </c>
      <c r="AK296" s="261" t="b">
        <f t="shared" si="140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41"/>
        <v>44844</v>
      </c>
      <c r="B297" s="610">
        <v>31.556000000000001</v>
      </c>
      <c r="C297" s="385"/>
      <c r="D297" s="388">
        <f t="shared" si="118"/>
        <v>31.695403963716664</v>
      </c>
      <c r="E297" s="380">
        <f t="shared" ref="E297:E360" si="144">Wh_pvt/(1-Psa)</f>
        <v>32.380002587830994</v>
      </c>
      <c r="F297" s="380">
        <f t="shared" si="143"/>
        <v>32.382160198719454</v>
      </c>
      <c r="G297" s="110">
        <f t="shared" ref="G297:G360" si="145">+Wh_hp/MaxiM</f>
        <v>0.86371716040583202</v>
      </c>
      <c r="I297" s="375">
        <f t="shared" si="119"/>
        <v>32.382160198719454</v>
      </c>
      <c r="J297" s="85">
        <v>2022</v>
      </c>
      <c r="K297" s="193">
        <f t="shared" si="120"/>
        <v>44844</v>
      </c>
      <c r="L297" s="431">
        <f t="shared" si="121"/>
        <v>4.3982390593995113E-3</v>
      </c>
      <c r="M297" s="847"/>
      <c r="N297" s="847"/>
      <c r="O297" s="320">
        <f t="shared" si="122"/>
        <v>2.1142636485508411E-2</v>
      </c>
      <c r="P297" s="165">
        <f>(INDEX(Models!$BJ297:$BT297,,T297)*(1-R297)+INDEX(Models!$BJ297:$BT297,,T297+1)*R297-ERP_i)*Q297*Ramure*Pc/MaxiM</f>
        <v>8.2735781691418449E-5</v>
      </c>
      <c r="Q297" s="301">
        <f t="shared" si="123"/>
        <v>0.5</v>
      </c>
      <c r="R297" s="173">
        <f t="shared" si="124"/>
        <v>0.4906755410603939</v>
      </c>
      <c r="S297" s="802">
        <f t="shared" si="142"/>
        <v>0</v>
      </c>
      <c r="T297" s="172">
        <f t="shared" si="125"/>
        <v>6</v>
      </c>
      <c r="U297" s="247">
        <f t="shared" si="126"/>
        <v>0.4906755410603939</v>
      </c>
      <c r="V297" s="378">
        <f t="shared" si="127"/>
        <v>36.534519824905999</v>
      </c>
      <c r="W297" s="58"/>
      <c r="X297" s="153">
        <f t="shared" si="128"/>
        <v>44844</v>
      </c>
      <c r="Y297" s="380">
        <f t="shared" si="129"/>
        <v>31.555999999999997</v>
      </c>
      <c r="Z297" s="380">
        <f t="shared" si="130"/>
        <v>31.695403963716661</v>
      </c>
      <c r="AA297" s="381">
        <f t="shared" si="131"/>
        <v>32.380002587830994</v>
      </c>
      <c r="AB297" s="193">
        <f t="shared" si="132"/>
        <v>44844</v>
      </c>
      <c r="AC297" s="420">
        <f t="shared" si="133"/>
        <v>2.1142636485508411E-2</v>
      </c>
      <c r="AD297" s="165">
        <f>(INDEX(Models!$BJ297:$BT297,,AH297)*(1-AF297)+INDEX(Models!$BJ297:$BT297,,AH297+1)*AF297-ERP_i)*AE297*Ramure*Pc/MaxiM</f>
        <v>8.2735781691418449E-5</v>
      </c>
      <c r="AE297" s="301">
        <f t="shared" si="134"/>
        <v>0.5</v>
      </c>
      <c r="AF297" s="173">
        <f t="shared" si="135"/>
        <v>0.4906755410603939</v>
      </c>
      <c r="AG297" s="802">
        <f t="shared" si="136"/>
        <v>0</v>
      </c>
      <c r="AH297" s="172">
        <f t="shared" si="137"/>
        <v>6</v>
      </c>
      <c r="AI297" s="221">
        <f t="shared" si="138"/>
        <v>0.4906755410603939</v>
      </c>
      <c r="AJ297" s="261" t="b">
        <f t="shared" si="139"/>
        <v>0</v>
      </c>
      <c r="AK297" s="261" t="b">
        <f t="shared" si="140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41"/>
        <v>44845</v>
      </c>
      <c r="B298" s="610">
        <v>25.379000000000001</v>
      </c>
      <c r="C298" s="385"/>
      <c r="D298" s="388">
        <f t="shared" si="118"/>
        <v>25.491464978905135</v>
      </c>
      <c r="E298" s="380">
        <f t="shared" si="144"/>
        <v>26.043279082489548</v>
      </c>
      <c r="F298" s="380">
        <f t="shared" si="143"/>
        <v>26.044587044663935</v>
      </c>
      <c r="G298" s="110">
        <f t="shared" si="145"/>
        <v>0.70233783837080854</v>
      </c>
      <c r="I298" s="375">
        <f t="shared" si="119"/>
        <v>26.044587044663935</v>
      </c>
      <c r="J298" s="85">
        <v>2022</v>
      </c>
      <c r="K298" s="193">
        <f t="shared" si="120"/>
        <v>44845</v>
      </c>
      <c r="L298" s="431">
        <f t="shared" si="121"/>
        <v>4.4118680114384468E-3</v>
      </c>
      <c r="M298" s="847"/>
      <c r="N298" s="847"/>
      <c r="O298" s="320">
        <f t="shared" si="122"/>
        <v>2.1188349663519471E-2</v>
      </c>
      <c r="P298" s="165">
        <f>(INDEX(Models!$BJ298:$BT298,,T298)*(1-R298)+INDEX(Models!$BJ298:$BT298,,T298+1)*R298-ERP_i)*Q298*Ramure*Pc/MaxiM</f>
        <v>8.7368867379603602E-5</v>
      </c>
      <c r="Q298" s="301">
        <f t="shared" si="123"/>
        <v>0.5</v>
      </c>
      <c r="R298" s="173">
        <f t="shared" si="124"/>
        <v>0.49080784203376021</v>
      </c>
      <c r="S298" s="802">
        <f t="shared" si="142"/>
        <v>0</v>
      </c>
      <c r="T298" s="172">
        <f t="shared" si="125"/>
        <v>6</v>
      </c>
      <c r="U298" s="247">
        <f t="shared" si="126"/>
        <v>0.49080784203376021</v>
      </c>
      <c r="V298" s="378">
        <f t="shared" si="127"/>
        <v>36.13368918489379</v>
      </c>
      <c r="W298" s="58"/>
      <c r="X298" s="153">
        <f t="shared" si="128"/>
        <v>44845</v>
      </c>
      <c r="Y298" s="380">
        <f t="shared" si="129"/>
        <v>25.379000000000001</v>
      </c>
      <c r="Z298" s="380">
        <f t="shared" si="130"/>
        <v>25.491464978905135</v>
      </c>
      <c r="AA298" s="381">
        <f t="shared" si="131"/>
        <v>26.043279082489548</v>
      </c>
      <c r="AB298" s="193">
        <f t="shared" si="132"/>
        <v>44845</v>
      </c>
      <c r="AC298" s="420">
        <f t="shared" si="133"/>
        <v>2.1188349663519471E-2</v>
      </c>
      <c r="AD298" s="165">
        <f>(INDEX(Models!$BJ298:$BT298,,AH298)*(1-AF298)+INDEX(Models!$BJ298:$BT298,,AH298+1)*AF298-ERP_i)*AE298*Ramure*Pc/MaxiM</f>
        <v>8.7368867379603602E-5</v>
      </c>
      <c r="AE298" s="301">
        <f t="shared" si="134"/>
        <v>0.5</v>
      </c>
      <c r="AF298" s="173">
        <f t="shared" si="135"/>
        <v>0.49080784203376021</v>
      </c>
      <c r="AG298" s="802">
        <f t="shared" si="136"/>
        <v>0</v>
      </c>
      <c r="AH298" s="172">
        <f t="shared" si="137"/>
        <v>6</v>
      </c>
      <c r="AI298" s="221">
        <f t="shared" si="138"/>
        <v>0.49080784203376021</v>
      </c>
      <c r="AJ298" s="261" t="b">
        <f t="shared" si="139"/>
        <v>0</v>
      </c>
      <c r="AK298" s="261" t="b">
        <f t="shared" si="140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41"/>
        <v>44846</v>
      </c>
      <c r="B299" s="610">
        <v>25.282</v>
      </c>
      <c r="C299" s="385"/>
      <c r="D299" s="388">
        <f t="shared" si="118"/>
        <v>25.394382759051769</v>
      </c>
      <c r="E299" s="380">
        <f t="shared" si="144"/>
        <v>25.945296318352508</v>
      </c>
      <c r="F299" s="380">
        <f t="shared" si="143"/>
        <v>25.946681721732432</v>
      </c>
      <c r="G299" s="110">
        <f t="shared" si="145"/>
        <v>0.70747413674660797</v>
      </c>
      <c r="I299" s="375">
        <f t="shared" si="119"/>
        <v>25.946681721732432</v>
      </c>
      <c r="J299" s="85">
        <v>2022</v>
      </c>
      <c r="K299" s="193">
        <f t="shared" si="120"/>
        <v>44846</v>
      </c>
      <c r="L299" s="431">
        <f t="shared" si="121"/>
        <v>4.4254967769086218E-3</v>
      </c>
      <c r="M299" s="847"/>
      <c r="N299" s="847"/>
      <c r="O299" s="320">
        <f t="shared" si="122"/>
        <v>2.123365840732554E-2</v>
      </c>
      <c r="P299" s="165">
        <f>(INDEX(Models!$BJ299:$BT299,,T299)*(1-R299)+INDEX(Models!$BJ299:$BT299,,T299+1)*R299-ERP_i)*Q299*Ramure*Pc/MaxiM</f>
        <v>9.1719886614762084E-5</v>
      </c>
      <c r="Q299" s="301">
        <f t="shared" si="123"/>
        <v>0.5</v>
      </c>
      <c r="R299" s="173">
        <f t="shared" si="124"/>
        <v>0.49093488236866167</v>
      </c>
      <c r="S299" s="802">
        <f t="shared" si="142"/>
        <v>0</v>
      </c>
      <c r="T299" s="172">
        <f t="shared" si="125"/>
        <v>6</v>
      </c>
      <c r="U299" s="247">
        <f t="shared" si="126"/>
        <v>0.49093488236866167</v>
      </c>
      <c r="V299" s="378">
        <f t="shared" si="127"/>
        <v>35.734212300040767</v>
      </c>
      <c r="W299" s="58"/>
      <c r="X299" s="153">
        <f t="shared" si="128"/>
        <v>44846</v>
      </c>
      <c r="Y299" s="380">
        <f t="shared" si="129"/>
        <v>25.282</v>
      </c>
      <c r="Z299" s="380">
        <f t="shared" si="130"/>
        <v>25.394382759051769</v>
      </c>
      <c r="AA299" s="381">
        <f t="shared" si="131"/>
        <v>25.945296318352508</v>
      </c>
      <c r="AB299" s="193">
        <f t="shared" si="132"/>
        <v>44846</v>
      </c>
      <c r="AC299" s="420">
        <f t="shared" si="133"/>
        <v>2.123365840732554E-2</v>
      </c>
      <c r="AD299" s="165">
        <f>(INDEX(Models!$BJ299:$BT299,,AH299)*(1-AF299)+INDEX(Models!$BJ299:$BT299,,AH299+1)*AF299-ERP_i)*AE299*Ramure*Pc/MaxiM</f>
        <v>9.1719886614762084E-5</v>
      </c>
      <c r="AE299" s="301">
        <f t="shared" si="134"/>
        <v>0.5</v>
      </c>
      <c r="AF299" s="173">
        <f t="shared" si="135"/>
        <v>0.49093488236866167</v>
      </c>
      <c r="AG299" s="802">
        <f t="shared" si="136"/>
        <v>0</v>
      </c>
      <c r="AH299" s="172">
        <f t="shared" si="137"/>
        <v>6</v>
      </c>
      <c r="AI299" s="221">
        <f t="shared" si="138"/>
        <v>0.49093488236866167</v>
      </c>
      <c r="AJ299" s="261" t="b">
        <f t="shared" si="139"/>
        <v>0</v>
      </c>
      <c r="AK299" s="261" t="b">
        <f t="shared" si="140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41"/>
        <v>44847</v>
      </c>
      <c r="B300" s="610">
        <v>22.901</v>
      </c>
      <c r="C300" s="385"/>
      <c r="D300" s="388">
        <f t="shared" si="118"/>
        <v>23.003113705311886</v>
      </c>
      <c r="E300" s="380">
        <f t="shared" si="144"/>
        <v>23.503228665147503</v>
      </c>
      <c r="F300" s="380">
        <f t="shared" si="143"/>
        <v>23.504348128002412</v>
      </c>
      <c r="G300" s="110">
        <f t="shared" si="145"/>
        <v>0.64805196175916713</v>
      </c>
      <c r="I300" s="375">
        <f t="shared" si="119"/>
        <v>23.504348128002412</v>
      </c>
      <c r="J300" s="85">
        <v>2022</v>
      </c>
      <c r="K300" s="193">
        <f t="shared" si="120"/>
        <v>44847</v>
      </c>
      <c r="L300" s="431">
        <f t="shared" si="121"/>
        <v>4.4391253558123678E-3</v>
      </c>
      <c r="M300" s="847"/>
      <c r="N300" s="847"/>
      <c r="O300" s="320">
        <f t="shared" si="122"/>
        <v>2.1278564190511738E-2</v>
      </c>
      <c r="P300" s="165">
        <f>(INDEX(Models!$BJ300:$BT300,,T300)*(1-R300)+INDEX(Models!$BJ300:$BT300,,T300+1)*R300-ERP_i)*Q300*Ramure*Pc/MaxiM</f>
        <v>9.5780365802401466E-5</v>
      </c>
      <c r="Q300" s="301">
        <f t="shared" si="123"/>
        <v>0.5</v>
      </c>
      <c r="R300" s="173">
        <f t="shared" si="124"/>
        <v>0.49105686869825582</v>
      </c>
      <c r="S300" s="802">
        <f t="shared" si="142"/>
        <v>0</v>
      </c>
      <c r="T300" s="172">
        <f t="shared" si="125"/>
        <v>6</v>
      </c>
      <c r="U300" s="247">
        <f t="shared" si="126"/>
        <v>0.49105686869825582</v>
      </c>
      <c r="V300" s="378">
        <f t="shared" si="127"/>
        <v>35.336513982310862</v>
      </c>
      <c r="W300" s="58"/>
      <c r="X300" s="153">
        <f t="shared" si="128"/>
        <v>44847</v>
      </c>
      <c r="Y300" s="380">
        <f t="shared" si="129"/>
        <v>22.901</v>
      </c>
      <c r="Z300" s="380">
        <f t="shared" si="130"/>
        <v>23.003113705311886</v>
      </c>
      <c r="AA300" s="381">
        <f t="shared" si="131"/>
        <v>23.503228665147503</v>
      </c>
      <c r="AB300" s="193">
        <f t="shared" si="132"/>
        <v>44847</v>
      </c>
      <c r="AC300" s="420">
        <f t="shared" si="133"/>
        <v>2.1278564190511738E-2</v>
      </c>
      <c r="AD300" s="165">
        <f>(INDEX(Models!$BJ300:$BT300,,AH300)*(1-AF300)+INDEX(Models!$BJ300:$BT300,,AH300+1)*AF300-ERP_i)*AE300*Ramure*Pc/MaxiM</f>
        <v>9.5780365802401466E-5</v>
      </c>
      <c r="AE300" s="301">
        <f t="shared" si="134"/>
        <v>0.5</v>
      </c>
      <c r="AF300" s="173">
        <f t="shared" si="135"/>
        <v>0.49105686869825582</v>
      </c>
      <c r="AG300" s="802">
        <f t="shared" si="136"/>
        <v>0</v>
      </c>
      <c r="AH300" s="172">
        <f t="shared" si="137"/>
        <v>6</v>
      </c>
      <c r="AI300" s="221">
        <f t="shared" si="138"/>
        <v>0.49105686869825582</v>
      </c>
      <c r="AJ300" s="261" t="b">
        <f t="shared" si="139"/>
        <v>0</v>
      </c>
      <c r="AK300" s="261" t="b">
        <f t="shared" si="140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41"/>
        <v>44848</v>
      </c>
      <c r="B301" s="610">
        <v>15.393000000000001</v>
      </c>
      <c r="C301" s="385"/>
      <c r="D301" s="388">
        <f t="shared" si="118"/>
        <v>15.461847800748142</v>
      </c>
      <c r="E301" s="380">
        <f t="shared" si="144"/>
        <v>15.79872511560165</v>
      </c>
      <c r="F301" s="380">
        <f t="shared" si="143"/>
        <v>15.799040866811126</v>
      </c>
      <c r="G301" s="110">
        <f t="shared" si="145"/>
        <v>0.44050734216395782</v>
      </c>
      <c r="I301" s="375">
        <f t="shared" si="119"/>
        <v>15.799040866811126</v>
      </c>
      <c r="J301" s="85">
        <v>2022</v>
      </c>
      <c r="K301" s="193">
        <f t="shared" si="120"/>
        <v>44848</v>
      </c>
      <c r="L301" s="431">
        <f t="shared" si="121"/>
        <v>4.4527537481522383E-3</v>
      </c>
      <c r="M301" s="847"/>
      <c r="N301" s="847"/>
      <c r="O301" s="320">
        <f t="shared" si="122"/>
        <v>2.1323069576090922E-2</v>
      </c>
      <c r="P301" s="165">
        <f>(INDEX(Models!$BJ301:$BT301,,T301)*(1-R301)+INDEX(Models!$BJ301:$BT301,,T301+1)*R301-ERP_i)*Q301*Ramure*Pc/MaxiM</f>
        <v>9.9541688506896205E-5</v>
      </c>
      <c r="Q301" s="301">
        <f t="shared" si="123"/>
        <v>0.5</v>
      </c>
      <c r="R301" s="173">
        <f t="shared" si="124"/>
        <v>0.49117399973903664</v>
      </c>
      <c r="S301" s="802">
        <f t="shared" si="142"/>
        <v>0</v>
      </c>
      <c r="T301" s="172">
        <f t="shared" si="125"/>
        <v>6</v>
      </c>
      <c r="U301" s="247">
        <f t="shared" si="126"/>
        <v>0.49117399973903664</v>
      </c>
      <c r="V301" s="378">
        <f t="shared" si="127"/>
        <v>34.941018896520987</v>
      </c>
      <c r="W301" s="58"/>
      <c r="X301" s="153">
        <f t="shared" si="128"/>
        <v>44848</v>
      </c>
      <c r="Y301" s="380">
        <f t="shared" si="129"/>
        <v>15.393000000000001</v>
      </c>
      <c r="Z301" s="380">
        <f t="shared" si="130"/>
        <v>15.461847800748142</v>
      </c>
      <c r="AA301" s="381">
        <f t="shared" si="131"/>
        <v>15.79872511560165</v>
      </c>
      <c r="AB301" s="193">
        <f t="shared" si="132"/>
        <v>44848</v>
      </c>
      <c r="AC301" s="420">
        <f t="shared" si="133"/>
        <v>2.1323069576090922E-2</v>
      </c>
      <c r="AD301" s="165">
        <f>(INDEX(Models!$BJ301:$BT301,,AH301)*(1-AF301)+INDEX(Models!$BJ301:$BT301,,AH301+1)*AF301-ERP_i)*AE301*Ramure*Pc/MaxiM</f>
        <v>9.9541688506896205E-5</v>
      </c>
      <c r="AE301" s="301">
        <f t="shared" si="134"/>
        <v>0.5</v>
      </c>
      <c r="AF301" s="173">
        <f t="shared" si="135"/>
        <v>0.49117399973903664</v>
      </c>
      <c r="AG301" s="802">
        <f t="shared" si="136"/>
        <v>0</v>
      </c>
      <c r="AH301" s="172">
        <f t="shared" si="137"/>
        <v>6</v>
      </c>
      <c r="AI301" s="221">
        <f t="shared" si="138"/>
        <v>0.49117399973903664</v>
      </c>
      <c r="AJ301" s="261" t="b">
        <f t="shared" si="139"/>
        <v>0</v>
      </c>
      <c r="AK301" s="261" t="b">
        <f t="shared" si="140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41"/>
        <v>44849</v>
      </c>
      <c r="B302" s="610">
        <v>34.308999999999997</v>
      </c>
      <c r="C302" s="385"/>
      <c r="D302" s="388">
        <f t="shared" si="118"/>
        <v>34.462924584443641</v>
      </c>
      <c r="E302" s="380">
        <f t="shared" si="144"/>
        <v>35.215377839995242</v>
      </c>
      <c r="F302" s="380">
        <f t="shared" si="143"/>
        <v>35.21896935140299</v>
      </c>
      <c r="G302" s="110">
        <f t="shared" si="145"/>
        <v>0.99307672042316641</v>
      </c>
      <c r="I302" s="375">
        <f t="shared" si="119"/>
        <v>35.21896935140299</v>
      </c>
      <c r="J302" s="85">
        <v>2022</v>
      </c>
      <c r="K302" s="193">
        <f t="shared" si="120"/>
        <v>44849</v>
      </c>
      <c r="L302" s="431">
        <f t="shared" si="121"/>
        <v>4.466381953931009E-3</v>
      </c>
      <c r="M302" s="847"/>
      <c r="N302" s="847"/>
      <c r="O302" s="320">
        <f t="shared" si="122"/>
        <v>2.1367178252934032E-2</v>
      </c>
      <c r="P302" s="165">
        <f>(INDEX(Models!$BJ302:$BT302,,T302)*(1-R302)+INDEX(Models!$BJ302:$BT302,,T302+1)*R302-ERP_i)*Q302*Ramure*Pc/MaxiM</f>
        <v>1.0299513283891623E-4</v>
      </c>
      <c r="Q302" s="301">
        <f t="shared" si="123"/>
        <v>0.5</v>
      </c>
      <c r="R302" s="173">
        <f t="shared" si="124"/>
        <v>0.49128646657840264</v>
      </c>
      <c r="S302" s="802">
        <f t="shared" si="142"/>
        <v>0</v>
      </c>
      <c r="T302" s="172">
        <f t="shared" si="125"/>
        <v>6</v>
      </c>
      <c r="U302" s="247">
        <f t="shared" si="126"/>
        <v>0.49128646657840264</v>
      </c>
      <c r="V302" s="378">
        <f t="shared" si="127"/>
        <v>34.548151564376759</v>
      </c>
      <c r="W302" s="58"/>
      <c r="X302" s="153">
        <f t="shared" si="128"/>
        <v>44849</v>
      </c>
      <c r="Y302" s="380">
        <f t="shared" si="129"/>
        <v>34.308999999999997</v>
      </c>
      <c r="Z302" s="380">
        <f t="shared" si="130"/>
        <v>34.462924584443641</v>
      </c>
      <c r="AA302" s="381">
        <f t="shared" si="131"/>
        <v>35.215377839995242</v>
      </c>
      <c r="AB302" s="193">
        <f t="shared" si="132"/>
        <v>44849</v>
      </c>
      <c r="AC302" s="420">
        <f t="shared" si="133"/>
        <v>2.1367178252934032E-2</v>
      </c>
      <c r="AD302" s="165">
        <f>(INDEX(Models!$BJ302:$BT302,,AH302)*(1-AF302)+INDEX(Models!$BJ302:$BT302,,AH302+1)*AF302-ERP_i)*AE302*Ramure*Pc/MaxiM</f>
        <v>1.0299513283891623E-4</v>
      </c>
      <c r="AE302" s="301">
        <f t="shared" si="134"/>
        <v>0.5</v>
      </c>
      <c r="AF302" s="173">
        <f t="shared" si="135"/>
        <v>0.49128646657840264</v>
      </c>
      <c r="AG302" s="802">
        <f t="shared" si="136"/>
        <v>0</v>
      </c>
      <c r="AH302" s="172">
        <f t="shared" si="137"/>
        <v>6</v>
      </c>
      <c r="AI302" s="221">
        <f t="shared" si="138"/>
        <v>0.49128646657840264</v>
      </c>
      <c r="AJ302" s="261" t="b">
        <f t="shared" si="139"/>
        <v>0</v>
      </c>
      <c r="AK302" s="261" t="b">
        <f t="shared" si="140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41"/>
        <v>44850</v>
      </c>
      <c r="B303" s="610">
        <v>30.077000000000002</v>
      </c>
      <c r="C303" s="385"/>
      <c r="D303" s="388">
        <f t="shared" si="118"/>
        <v>30.212351636644513</v>
      </c>
      <c r="E303" s="380">
        <f t="shared" si="144"/>
        <v>30.873378299769257</v>
      </c>
      <c r="F303" s="380">
        <f t="shared" si="143"/>
        <v>30.876096250256072</v>
      </c>
      <c r="G303" s="110">
        <f t="shared" si="145"/>
        <v>0.88054643156421264</v>
      </c>
      <c r="I303" s="375">
        <f t="shared" si="119"/>
        <v>30.876096250256072</v>
      </c>
      <c r="J303" s="85">
        <v>2022</v>
      </c>
      <c r="K303" s="193">
        <f t="shared" si="120"/>
        <v>44850</v>
      </c>
      <c r="L303" s="431">
        <f t="shared" si="121"/>
        <v>4.4800099731510112E-3</v>
      </c>
      <c r="M303" s="847"/>
      <c r="N303" s="847"/>
      <c r="O303" s="320">
        <f t="shared" si="122"/>
        <v>2.1410895066500832E-2</v>
      </c>
      <c r="P303" s="165">
        <f>(INDEX(Models!$BJ303:$BT303,,T303)*(1-R303)+INDEX(Models!$BJ303:$BT303,,T303+1)*R303-ERP_i)*Q303*Ramure*Pc/MaxiM</f>
        <v>1.0613736575395142E-4</v>
      </c>
      <c r="Q303" s="301">
        <f t="shared" si="123"/>
        <v>0.5</v>
      </c>
      <c r="R303" s="173">
        <f t="shared" si="124"/>
        <v>0.49139445295303563</v>
      </c>
      <c r="S303" s="802">
        <f t="shared" si="142"/>
        <v>0</v>
      </c>
      <c r="T303" s="172">
        <f t="shared" si="125"/>
        <v>6</v>
      </c>
      <c r="U303" s="247">
        <f t="shared" si="126"/>
        <v>0.49139445295303563</v>
      </c>
      <c r="V303" s="378">
        <f t="shared" si="127"/>
        <v>34.156580718843699</v>
      </c>
      <c r="W303" s="58"/>
      <c r="X303" s="153">
        <f t="shared" si="128"/>
        <v>44850</v>
      </c>
      <c r="Y303" s="380">
        <f t="shared" si="129"/>
        <v>30.077000000000002</v>
      </c>
      <c r="Z303" s="380">
        <f t="shared" si="130"/>
        <v>30.212351636644513</v>
      </c>
      <c r="AA303" s="381">
        <f t="shared" si="131"/>
        <v>30.873378299769257</v>
      </c>
      <c r="AB303" s="193">
        <f t="shared" si="132"/>
        <v>44850</v>
      </c>
      <c r="AC303" s="420">
        <f t="shared" si="133"/>
        <v>2.1410895066500832E-2</v>
      </c>
      <c r="AD303" s="165">
        <f>(INDEX(Models!$BJ303:$BT303,,AH303)*(1-AF303)+INDEX(Models!$BJ303:$BT303,,AH303+1)*AF303-ERP_i)*AE303*Ramure*Pc/MaxiM</f>
        <v>1.0613736575395142E-4</v>
      </c>
      <c r="AE303" s="301">
        <f t="shared" si="134"/>
        <v>0.5</v>
      </c>
      <c r="AF303" s="173">
        <f t="shared" si="135"/>
        <v>0.49139445295303563</v>
      </c>
      <c r="AG303" s="802">
        <f t="shared" si="136"/>
        <v>0</v>
      </c>
      <c r="AH303" s="172">
        <f t="shared" si="137"/>
        <v>6</v>
      </c>
      <c r="AI303" s="221">
        <f t="shared" si="138"/>
        <v>0.49139445295303563</v>
      </c>
      <c r="AJ303" s="261" t="b">
        <f t="shared" si="139"/>
        <v>0</v>
      </c>
      <c r="AK303" s="261" t="b">
        <f t="shared" si="140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41"/>
        <v>44851</v>
      </c>
      <c r="B304" s="610">
        <v>16.951000000000001</v>
      </c>
      <c r="C304" s="385"/>
      <c r="D304" s="388">
        <f t="shared" si="118"/>
        <v>17.027515487332977</v>
      </c>
      <c r="E304" s="380">
        <f t="shared" si="144"/>
        <v>17.400836977186607</v>
      </c>
      <c r="F304" s="380">
        <f t="shared" si="143"/>
        <v>17.401400956915101</v>
      </c>
      <c r="G304" s="110">
        <f t="shared" si="145"/>
        <v>0.50199171421699296</v>
      </c>
      <c r="I304" s="375">
        <f t="shared" si="119"/>
        <v>17.401400956915101</v>
      </c>
      <c r="J304" s="85">
        <v>2022</v>
      </c>
      <c r="K304" s="193">
        <f t="shared" si="120"/>
        <v>44851</v>
      </c>
      <c r="L304" s="431">
        <f t="shared" si="121"/>
        <v>4.4936378058147985E-3</v>
      </c>
      <c r="M304" s="847"/>
      <c r="N304" s="847"/>
      <c r="O304" s="320">
        <f t="shared" si="122"/>
        <v>2.1454226043441115E-2</v>
      </c>
      <c r="P304" s="165">
        <f>(INDEX(Models!$BJ304:$BT304,,T304)*(1-R304)+INDEX(Models!$BJ304:$BT304,,T304+1)*R304-ERP_i)*Q304*Ramure*Pc/MaxiM</f>
        <v>1.1229425651138699E-4</v>
      </c>
      <c r="Q304" s="301">
        <f t="shared" si="123"/>
        <v>0.5</v>
      </c>
      <c r="R304" s="173">
        <f t="shared" si="124"/>
        <v>0.49149813551828048</v>
      </c>
      <c r="S304" s="802">
        <f t="shared" si="142"/>
        <v>0</v>
      </c>
      <c r="T304" s="172">
        <f t="shared" si="125"/>
        <v>6</v>
      </c>
      <c r="U304" s="247">
        <f t="shared" si="126"/>
        <v>0.49149813551828048</v>
      </c>
      <c r="V304" s="378">
        <f t="shared" si="127"/>
        <v>33.764792044093092</v>
      </c>
      <c r="W304" s="58"/>
      <c r="X304" s="153">
        <f t="shared" si="128"/>
        <v>44851</v>
      </c>
      <c r="Y304" s="380">
        <f t="shared" si="129"/>
        <v>16.951000000000001</v>
      </c>
      <c r="Z304" s="380">
        <f t="shared" si="130"/>
        <v>17.027515487332977</v>
      </c>
      <c r="AA304" s="381">
        <f t="shared" si="131"/>
        <v>17.400836977186607</v>
      </c>
      <c r="AB304" s="193">
        <f t="shared" si="132"/>
        <v>44851</v>
      </c>
      <c r="AC304" s="420">
        <f t="shared" si="133"/>
        <v>2.1454226043441115E-2</v>
      </c>
      <c r="AD304" s="165">
        <f>(INDEX(Models!$BJ304:$BT304,,AH304)*(1-AF304)+INDEX(Models!$BJ304:$BT304,,AH304+1)*AF304-ERP_i)*AE304*Ramure*Pc/MaxiM</f>
        <v>1.1229425651138699E-4</v>
      </c>
      <c r="AE304" s="301">
        <f t="shared" si="134"/>
        <v>0.5</v>
      </c>
      <c r="AF304" s="173">
        <f t="shared" si="135"/>
        <v>0.49149813551828048</v>
      </c>
      <c r="AG304" s="802">
        <f t="shared" si="136"/>
        <v>0</v>
      </c>
      <c r="AH304" s="172">
        <f t="shared" si="137"/>
        <v>6</v>
      </c>
      <c r="AI304" s="221">
        <f t="shared" si="138"/>
        <v>0.49149813551828048</v>
      </c>
      <c r="AJ304" s="261" t="b">
        <f t="shared" si="139"/>
        <v>0</v>
      </c>
      <c r="AK304" s="261" t="b">
        <f t="shared" si="140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41"/>
        <v>44852</v>
      </c>
      <c r="B305" s="610">
        <v>30.240000000000002</v>
      </c>
      <c r="C305" s="385"/>
      <c r="D305" s="388">
        <f t="shared" si="118"/>
        <v>30.376916827753739</v>
      </c>
      <c r="E305" s="380">
        <f t="shared" si="144"/>
        <v>31.044281281052736</v>
      </c>
      <c r="F305" s="380">
        <f t="shared" si="143"/>
        <v>31.04755390716814</v>
      </c>
      <c r="G305" s="110">
        <f t="shared" si="145"/>
        <v>0.90610424252965027</v>
      </c>
      <c r="I305" s="375">
        <f t="shared" si="119"/>
        <v>31.04755390716814</v>
      </c>
      <c r="J305" s="85">
        <v>2022</v>
      </c>
      <c r="K305" s="193">
        <f t="shared" si="120"/>
        <v>44852</v>
      </c>
      <c r="L305" s="431">
        <f t="shared" si="121"/>
        <v>4.5072654519251465E-3</v>
      </c>
      <c r="M305" s="847"/>
      <c r="N305" s="847"/>
      <c r="O305" s="320">
        <f t="shared" si="122"/>
        <v>2.1497178409677381E-2</v>
      </c>
      <c r="P305" s="165">
        <f>(INDEX(Models!$BJ305:$BT305,,T305)*(1-R305)+INDEX(Models!$BJ305:$BT305,,T305+1)*R305-ERP_i)*Q305*Ramure*Pc/MaxiM</f>
        <v>1.2173322197701273E-4</v>
      </c>
      <c r="Q305" s="301">
        <f t="shared" si="123"/>
        <v>0.5</v>
      </c>
      <c r="R305" s="173">
        <f t="shared" si="124"/>
        <v>0.49159768410872096</v>
      </c>
      <c r="S305" s="802">
        <f t="shared" si="142"/>
        <v>0</v>
      </c>
      <c r="T305" s="172">
        <f t="shared" si="125"/>
        <v>6</v>
      </c>
      <c r="U305" s="247">
        <f t="shared" si="126"/>
        <v>0.49159768410872096</v>
      </c>
      <c r="V305" s="378">
        <f t="shared" si="127"/>
        <v>33.373098613100559</v>
      </c>
      <c r="W305" s="58"/>
      <c r="X305" s="153">
        <f t="shared" si="128"/>
        <v>44852</v>
      </c>
      <c r="Y305" s="380">
        <f t="shared" si="129"/>
        <v>30.240000000000002</v>
      </c>
      <c r="Z305" s="380">
        <f t="shared" si="130"/>
        <v>30.376916827753739</v>
      </c>
      <c r="AA305" s="381">
        <f t="shared" si="131"/>
        <v>31.044281281052736</v>
      </c>
      <c r="AB305" s="193">
        <f t="shared" si="132"/>
        <v>44852</v>
      </c>
      <c r="AC305" s="420">
        <f t="shared" si="133"/>
        <v>2.1497178409677381E-2</v>
      </c>
      <c r="AD305" s="165">
        <f>(INDEX(Models!$BJ305:$BT305,,AH305)*(1-AF305)+INDEX(Models!$BJ305:$BT305,,AH305+1)*AF305-ERP_i)*AE305*Ramure*Pc/MaxiM</f>
        <v>1.2173322197701273E-4</v>
      </c>
      <c r="AE305" s="301">
        <f t="shared" si="134"/>
        <v>0.5</v>
      </c>
      <c r="AF305" s="173">
        <f t="shared" si="135"/>
        <v>0.49159768410872096</v>
      </c>
      <c r="AG305" s="802">
        <f t="shared" si="136"/>
        <v>0</v>
      </c>
      <c r="AH305" s="172">
        <f t="shared" si="137"/>
        <v>6</v>
      </c>
      <c r="AI305" s="221">
        <f t="shared" si="138"/>
        <v>0.49159768410872096</v>
      </c>
      <c r="AJ305" s="261" t="b">
        <f t="shared" si="139"/>
        <v>0</v>
      </c>
      <c r="AK305" s="261" t="b">
        <f t="shared" si="140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41"/>
        <v>44853</v>
      </c>
      <c r="B306" s="610">
        <v>16.893000000000001</v>
      </c>
      <c r="C306" s="385"/>
      <c r="D306" s="388">
        <f t="shared" si="118"/>
        <v>16.969718279077771</v>
      </c>
      <c r="E306" s="380">
        <f t="shared" si="144"/>
        <v>17.343288562764631</v>
      </c>
      <c r="F306" s="380">
        <f t="shared" si="143"/>
        <v>17.343995779122771</v>
      </c>
      <c r="G306" s="110">
        <f t="shared" si="145"/>
        <v>0.51214323782290716</v>
      </c>
      <c r="I306" s="375">
        <f t="shared" si="119"/>
        <v>17.343995779122771</v>
      </c>
      <c r="J306" s="85">
        <v>2022</v>
      </c>
      <c r="K306" s="193">
        <f t="shared" si="120"/>
        <v>44853</v>
      </c>
      <c r="L306" s="431">
        <f t="shared" si="121"/>
        <v>4.5208929114843865E-3</v>
      </c>
      <c r="M306" s="847"/>
      <c r="N306" s="847"/>
      <c r="O306" s="320">
        <f t="shared" si="122"/>
        <v>2.1539760601625501E-2</v>
      </c>
      <c r="P306" s="165">
        <f>(INDEX(Models!$BJ306:$BT306,,T306)*(1-R306)+INDEX(Models!$BJ306:$BT306,,T306+1)*R306-ERP_i)*Q306*Ramure*Pc/MaxiM</f>
        <v>1.3451592480341796E-4</v>
      </c>
      <c r="Q306" s="301">
        <f t="shared" si="123"/>
        <v>0.5</v>
      </c>
      <c r="R306" s="173">
        <f t="shared" si="124"/>
        <v>0.49169326199015106</v>
      </c>
      <c r="S306" s="802">
        <f t="shared" si="142"/>
        <v>0</v>
      </c>
      <c r="T306" s="172">
        <f t="shared" si="125"/>
        <v>6</v>
      </c>
      <c r="U306" s="247">
        <f t="shared" si="126"/>
        <v>0.49169326199015106</v>
      </c>
      <c r="V306" s="378">
        <f t="shared" si="127"/>
        <v>32.981820586620479</v>
      </c>
      <c r="W306" s="58"/>
      <c r="X306" s="153">
        <f t="shared" si="128"/>
        <v>44853</v>
      </c>
      <c r="Y306" s="380">
        <f t="shared" si="129"/>
        <v>16.893000000000001</v>
      </c>
      <c r="Z306" s="380">
        <f t="shared" si="130"/>
        <v>16.969718279077771</v>
      </c>
      <c r="AA306" s="381">
        <f t="shared" si="131"/>
        <v>17.343288562764631</v>
      </c>
      <c r="AB306" s="193">
        <f t="shared" si="132"/>
        <v>44853</v>
      </c>
      <c r="AC306" s="420">
        <f t="shared" si="133"/>
        <v>2.1539760601625501E-2</v>
      </c>
      <c r="AD306" s="165">
        <f>(INDEX(Models!$BJ306:$BT306,,AH306)*(1-AF306)+INDEX(Models!$BJ306:$BT306,,AH306+1)*AF306-ERP_i)*AE306*Ramure*Pc/MaxiM</f>
        <v>1.3451592480341796E-4</v>
      </c>
      <c r="AE306" s="301">
        <f t="shared" si="134"/>
        <v>0.5</v>
      </c>
      <c r="AF306" s="173">
        <f t="shared" si="135"/>
        <v>0.49169326199015106</v>
      </c>
      <c r="AG306" s="802">
        <f t="shared" si="136"/>
        <v>0</v>
      </c>
      <c r="AH306" s="172">
        <f t="shared" si="137"/>
        <v>6</v>
      </c>
      <c r="AI306" s="221">
        <f t="shared" si="138"/>
        <v>0.49169326199015106</v>
      </c>
      <c r="AJ306" s="261" t="b">
        <f t="shared" si="139"/>
        <v>0</v>
      </c>
      <c r="AK306" s="261" t="b">
        <f t="shared" si="140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41"/>
        <v>44854</v>
      </c>
      <c r="B307" s="610">
        <v>8.8870000000000005</v>
      </c>
      <c r="C307" s="385"/>
      <c r="D307" s="388">
        <f t="shared" si="118"/>
        <v>8.9274818466302595</v>
      </c>
      <c r="E307" s="380">
        <f t="shared" si="144"/>
        <v>9.1244045846018054</v>
      </c>
      <c r="F307" s="380">
        <f t="shared" si="143"/>
        <v>9.1244045846018054</v>
      </c>
      <c r="G307" s="110">
        <f t="shared" si="145"/>
        <v>0.272639221637625</v>
      </c>
      <c r="I307" s="375">
        <f t="shared" si="119"/>
        <v>9.1244045846018054</v>
      </c>
      <c r="J307" s="85">
        <v>2022</v>
      </c>
      <c r="K307" s="193">
        <f t="shared" si="120"/>
        <v>44854</v>
      </c>
      <c r="L307" s="431">
        <f t="shared" si="121"/>
        <v>4.5345201844950722E-3</v>
      </c>
      <c r="M307" s="847"/>
      <c r="N307" s="847"/>
      <c r="O307" s="320">
        <f t="shared" si="122"/>
        <v>2.1581982270258936E-2</v>
      </c>
      <c r="P307" s="165">
        <f>(INDEX(Models!$BJ307:$BT307,,T307)*(1-R307)+INDEX(Models!$BJ307:$BT307,,T307+1)*R307-ERP_i)*Q307*Ramure*Pc/MaxiM</f>
        <v>1.5070387123558855E-4</v>
      </c>
      <c r="Q307" s="301">
        <f t="shared" si="123"/>
        <v>0.5</v>
      </c>
      <c r="R307" s="173">
        <f t="shared" si="124"/>
        <v>0.49178502610314445</v>
      </c>
      <c r="S307" s="802">
        <f t="shared" si="142"/>
        <v>0</v>
      </c>
      <c r="T307" s="172">
        <f t="shared" si="125"/>
        <v>6</v>
      </c>
      <c r="U307" s="247">
        <f t="shared" si="126"/>
        <v>0.49178502610314445</v>
      </c>
      <c r="V307" s="378">
        <f t="shared" si="127"/>
        <v>32.591278104903758</v>
      </c>
      <c r="W307" s="58"/>
      <c r="X307" s="153">
        <f t="shared" si="128"/>
        <v>44854</v>
      </c>
      <c r="Y307" s="380">
        <f t="shared" si="129"/>
        <v>8.8870000000000005</v>
      </c>
      <c r="Z307" s="380">
        <f t="shared" si="130"/>
        <v>8.9274818466302595</v>
      </c>
      <c r="AA307" s="381">
        <f t="shared" si="131"/>
        <v>9.1244045846018054</v>
      </c>
      <c r="AB307" s="193">
        <f t="shared" si="132"/>
        <v>44854</v>
      </c>
      <c r="AC307" s="420">
        <f t="shared" si="133"/>
        <v>2.1581982270258936E-2</v>
      </c>
      <c r="AD307" s="165">
        <f>(INDEX(Models!$BJ307:$BT307,,AH307)*(1-AF307)+INDEX(Models!$BJ307:$BT307,,AH307+1)*AF307-ERP_i)*AE307*Ramure*Pc/MaxiM</f>
        <v>1.5070387123558855E-4</v>
      </c>
      <c r="AE307" s="301">
        <f t="shared" si="134"/>
        <v>0.5</v>
      </c>
      <c r="AF307" s="173">
        <f t="shared" si="135"/>
        <v>0.49178502610314445</v>
      </c>
      <c r="AG307" s="802">
        <f t="shared" si="136"/>
        <v>0</v>
      </c>
      <c r="AH307" s="172">
        <f t="shared" si="137"/>
        <v>6</v>
      </c>
      <c r="AI307" s="221">
        <f t="shared" si="138"/>
        <v>0.49178502610314445</v>
      </c>
      <c r="AJ307" s="261" t="b">
        <f t="shared" si="139"/>
        <v>0</v>
      </c>
      <c r="AK307" s="261" t="b">
        <f t="shared" si="140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41"/>
        <v>44855</v>
      </c>
      <c r="B308" s="610">
        <v>17.183</v>
      </c>
      <c r="C308" s="385"/>
      <c r="D308" s="388">
        <f t="shared" si="118"/>
        <v>17.261507879956881</v>
      </c>
      <c r="E308" s="380">
        <f t="shared" si="144"/>
        <v>17.643017928666556</v>
      </c>
      <c r="F308" s="380">
        <f t="shared" si="143"/>
        <v>17.644021025065648</v>
      </c>
      <c r="G308" s="110">
        <f t="shared" si="145"/>
        <v>0.53354328519587713</v>
      </c>
      <c r="I308" s="375">
        <f t="shared" si="119"/>
        <v>17.644021025065648</v>
      </c>
      <c r="J308" s="85">
        <v>2022</v>
      </c>
      <c r="K308" s="193">
        <f t="shared" si="120"/>
        <v>44855</v>
      </c>
      <c r="L308" s="431">
        <f t="shared" si="121"/>
        <v>4.5481472709599791E-3</v>
      </c>
      <c r="M308" s="847"/>
      <c r="N308" s="847"/>
      <c r="O308" s="320">
        <f t="shared" si="122"/>
        <v>2.1623854277775953E-2</v>
      </c>
      <c r="P308" s="165">
        <f>(INDEX(Models!$BJ308:$BT308,,T308)*(1-R308)+INDEX(Models!$BJ308:$BT308,,T308+1)*R308-ERP_i)*Q308*Ramure*Pc/MaxiM</f>
        <v>1.7035823718190724E-4</v>
      </c>
      <c r="Q308" s="301">
        <f t="shared" si="123"/>
        <v>0.5</v>
      </c>
      <c r="R308" s="173">
        <f t="shared" si="124"/>
        <v>0.49187312729842975</v>
      </c>
      <c r="S308" s="802">
        <f t="shared" si="142"/>
        <v>0</v>
      </c>
      <c r="T308" s="172">
        <f t="shared" si="125"/>
        <v>6</v>
      </c>
      <c r="U308" s="247">
        <f t="shared" si="126"/>
        <v>0.49187312729842975</v>
      </c>
      <c r="V308" s="378">
        <f t="shared" si="127"/>
        <v>32.201791282378096</v>
      </c>
      <c r="W308" s="58"/>
      <c r="X308" s="153">
        <f t="shared" si="128"/>
        <v>44855</v>
      </c>
      <c r="Y308" s="380">
        <f t="shared" si="129"/>
        <v>17.183</v>
      </c>
      <c r="Z308" s="380">
        <f t="shared" si="130"/>
        <v>17.261507879956881</v>
      </c>
      <c r="AA308" s="381">
        <f t="shared" si="131"/>
        <v>17.643017928666556</v>
      </c>
      <c r="AB308" s="193">
        <f t="shared" si="132"/>
        <v>44855</v>
      </c>
      <c r="AC308" s="420">
        <f t="shared" si="133"/>
        <v>2.1623854277775953E-2</v>
      </c>
      <c r="AD308" s="165">
        <f>(INDEX(Models!$BJ308:$BT308,,AH308)*(1-AF308)+INDEX(Models!$BJ308:$BT308,,AH308+1)*AF308-ERP_i)*AE308*Ramure*Pc/MaxiM</f>
        <v>1.7035823718190724E-4</v>
      </c>
      <c r="AE308" s="301">
        <f t="shared" si="134"/>
        <v>0.5</v>
      </c>
      <c r="AF308" s="173">
        <f t="shared" si="135"/>
        <v>0.49187312729842975</v>
      </c>
      <c r="AG308" s="802">
        <f t="shared" si="136"/>
        <v>0</v>
      </c>
      <c r="AH308" s="172">
        <f t="shared" si="137"/>
        <v>6</v>
      </c>
      <c r="AI308" s="221">
        <f t="shared" si="138"/>
        <v>0.49187312729842975</v>
      </c>
      <c r="AJ308" s="261" t="b">
        <f t="shared" si="139"/>
        <v>0</v>
      </c>
      <c r="AK308" s="261" t="b">
        <f t="shared" si="140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41"/>
        <v>44856</v>
      </c>
      <c r="B309" s="610">
        <v>29.456</v>
      </c>
      <c r="C309" s="385"/>
      <c r="D309" s="388">
        <f t="shared" si="118"/>
        <v>29.590987402021419</v>
      </c>
      <c r="E309" s="380">
        <f t="shared" si="144"/>
        <v>30.246284921166712</v>
      </c>
      <c r="F309" s="380">
        <f t="shared" si="143"/>
        <v>30.251519935948156</v>
      </c>
      <c r="G309" s="110">
        <f t="shared" si="145"/>
        <v>0.92587201949654618</v>
      </c>
      <c r="I309" s="375">
        <f t="shared" si="119"/>
        <v>30.251519935948156</v>
      </c>
      <c r="J309" s="85">
        <v>2022</v>
      </c>
      <c r="K309" s="193">
        <f t="shared" si="120"/>
        <v>44856</v>
      </c>
      <c r="L309" s="431">
        <f t="shared" si="121"/>
        <v>4.5617741708814386E-3</v>
      </c>
      <c r="M309" s="847"/>
      <c r="N309" s="847"/>
      <c r="O309" s="320">
        <f t="shared" si="122"/>
        <v>2.1665388686684887E-2</v>
      </c>
      <c r="P309" s="165">
        <f>(INDEX(Models!$BJ309:$BT309,,T309)*(1-R309)+INDEX(Models!$BJ309:$BT309,,T309+1)*R309-ERP_i)*Q309*Ramure*Pc/MaxiM</f>
        <v>1.9353969381283881E-4</v>
      </c>
      <c r="Q309" s="301">
        <f t="shared" si="123"/>
        <v>0.5</v>
      </c>
      <c r="R309" s="173">
        <f t="shared" si="124"/>
        <v>0.49195771056427567</v>
      </c>
      <c r="S309" s="802">
        <f t="shared" si="142"/>
        <v>0</v>
      </c>
      <c r="T309" s="172">
        <f t="shared" si="125"/>
        <v>6</v>
      </c>
      <c r="U309" s="247">
        <f t="shared" si="126"/>
        <v>0.49195771056427567</v>
      </c>
      <c r="V309" s="378">
        <f t="shared" si="127"/>
        <v>31.813680206765273</v>
      </c>
      <c r="W309" s="58"/>
      <c r="X309" s="153">
        <f t="shared" si="128"/>
        <v>44856</v>
      </c>
      <c r="Y309" s="380">
        <f t="shared" si="129"/>
        <v>29.456</v>
      </c>
      <c r="Z309" s="380">
        <f t="shared" si="130"/>
        <v>29.590987402021419</v>
      </c>
      <c r="AA309" s="381">
        <f t="shared" si="131"/>
        <v>30.246284921166712</v>
      </c>
      <c r="AB309" s="193">
        <f t="shared" si="132"/>
        <v>44856</v>
      </c>
      <c r="AC309" s="420">
        <f t="shared" si="133"/>
        <v>2.1665388686684887E-2</v>
      </c>
      <c r="AD309" s="165">
        <f>(INDEX(Models!$BJ309:$BT309,,AH309)*(1-AF309)+INDEX(Models!$BJ309:$BT309,,AH309+1)*AF309-ERP_i)*AE309*Ramure*Pc/MaxiM</f>
        <v>1.9353969381283881E-4</v>
      </c>
      <c r="AE309" s="301">
        <f t="shared" si="134"/>
        <v>0.5</v>
      </c>
      <c r="AF309" s="173">
        <f t="shared" si="135"/>
        <v>0.49195771056427567</v>
      </c>
      <c r="AG309" s="802">
        <f t="shared" si="136"/>
        <v>0</v>
      </c>
      <c r="AH309" s="172">
        <f t="shared" si="137"/>
        <v>6</v>
      </c>
      <c r="AI309" s="221">
        <f t="shared" si="138"/>
        <v>0.49195771056427567</v>
      </c>
      <c r="AJ309" s="261" t="b">
        <f t="shared" si="139"/>
        <v>0</v>
      </c>
      <c r="AK309" s="261" t="b">
        <f t="shared" si="140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41"/>
        <v>44857</v>
      </c>
      <c r="B310" s="610">
        <v>19.207000000000001</v>
      </c>
      <c r="C310" s="385"/>
      <c r="D310" s="388">
        <f t="shared" si="118"/>
        <v>19.295283657910492</v>
      </c>
      <c r="E310" s="380">
        <f t="shared" si="144"/>
        <v>19.723411844628934</v>
      </c>
      <c r="F310" s="380">
        <f t="shared" si="143"/>
        <v>19.725415747408835</v>
      </c>
      <c r="G310" s="110">
        <f t="shared" si="145"/>
        <v>0.6110846611965276</v>
      </c>
      <c r="I310" s="375">
        <f t="shared" si="119"/>
        <v>19.725415747408835</v>
      </c>
      <c r="J310" s="85">
        <v>2022</v>
      </c>
      <c r="K310" s="193">
        <f t="shared" si="120"/>
        <v>44857</v>
      </c>
      <c r="L310" s="431">
        <f t="shared" si="121"/>
        <v>4.5754008842621152E-3</v>
      </c>
      <c r="M310" s="847"/>
      <c r="N310" s="847"/>
      <c r="O310" s="320">
        <f t="shared" si="122"/>
        <v>2.1706598741182331E-2</v>
      </c>
      <c r="P310" s="165">
        <f>(INDEX(Models!$BJ310:$BT310,,T310)*(1-R310)+INDEX(Models!$BJ310:$BT310,,T310+1)*R310-ERP_i)*Q310*Ramure*Pc/MaxiM</f>
        <v>2.2853967776781294E-4</v>
      </c>
      <c r="Q310" s="301">
        <f t="shared" si="123"/>
        <v>0.5</v>
      </c>
      <c r="R310" s="173">
        <f t="shared" si="124"/>
        <v>0.49203891524609744</v>
      </c>
      <c r="S310" s="802">
        <f t="shared" si="142"/>
        <v>0</v>
      </c>
      <c r="T310" s="172">
        <f t="shared" si="125"/>
        <v>6</v>
      </c>
      <c r="U310" s="247">
        <f t="shared" si="126"/>
        <v>0.49203891524609744</v>
      </c>
      <c r="V310" s="378">
        <f t="shared" si="127"/>
        <v>31.427006186104617</v>
      </c>
      <c r="W310" s="58"/>
      <c r="X310" s="153">
        <f t="shared" si="128"/>
        <v>44857</v>
      </c>
      <c r="Y310" s="380">
        <f t="shared" si="129"/>
        <v>19.207000000000001</v>
      </c>
      <c r="Z310" s="380">
        <f t="shared" si="130"/>
        <v>19.295283657910492</v>
      </c>
      <c r="AA310" s="381">
        <f t="shared" si="131"/>
        <v>19.723411844628934</v>
      </c>
      <c r="AB310" s="193">
        <f t="shared" si="132"/>
        <v>44857</v>
      </c>
      <c r="AC310" s="420">
        <f t="shared" si="133"/>
        <v>2.1706598741182331E-2</v>
      </c>
      <c r="AD310" s="165">
        <f>(INDEX(Models!$BJ310:$BT310,,AH310)*(1-AF310)+INDEX(Models!$BJ310:$BT310,,AH310+1)*AF310-ERP_i)*AE310*Ramure*Pc/MaxiM</f>
        <v>2.2853967776781294E-4</v>
      </c>
      <c r="AE310" s="301">
        <f t="shared" si="134"/>
        <v>0.5</v>
      </c>
      <c r="AF310" s="173">
        <f t="shared" si="135"/>
        <v>0.49203891524609744</v>
      </c>
      <c r="AG310" s="802">
        <f t="shared" si="136"/>
        <v>0</v>
      </c>
      <c r="AH310" s="172">
        <f t="shared" si="137"/>
        <v>6</v>
      </c>
      <c r="AI310" s="221">
        <f t="shared" si="138"/>
        <v>0.49203891524609744</v>
      </c>
      <c r="AJ310" s="261" t="b">
        <f t="shared" si="139"/>
        <v>0</v>
      </c>
      <c r="AK310" s="261" t="b">
        <f t="shared" si="140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41"/>
        <v>44858</v>
      </c>
      <c r="B311" s="610">
        <v>24.917000000000002</v>
      </c>
      <c r="C311" s="385"/>
      <c r="D311" s="388">
        <f t="shared" si="118"/>
        <v>25.03187194651381</v>
      </c>
      <c r="E311" s="380">
        <f t="shared" si="144"/>
        <v>25.588354659815096</v>
      </c>
      <c r="F311" s="380">
        <f t="shared" si="143"/>
        <v>25.593422126687972</v>
      </c>
      <c r="G311" s="110">
        <f t="shared" si="145"/>
        <v>0.80262197508710675</v>
      </c>
      <c r="I311" s="375">
        <f t="shared" si="119"/>
        <v>25.593422126687972</v>
      </c>
      <c r="J311" s="85">
        <v>2022</v>
      </c>
      <c r="K311" s="193">
        <f t="shared" si="120"/>
        <v>44858</v>
      </c>
      <c r="L311" s="431">
        <f t="shared" si="121"/>
        <v>4.5890274111044516E-3</v>
      </c>
      <c r="M311" s="847"/>
      <c r="N311" s="847"/>
      <c r="O311" s="320">
        <f t="shared" si="122"/>
        <v>2.1747498840760032E-2</v>
      </c>
      <c r="P311" s="165">
        <f>(INDEX(Models!$BJ311:$BT311,,T311)*(1-R311)+INDEX(Models!$BJ311:$BT311,,T311+1)*R311-ERP_i)*Q311*Ramure*Pc/MaxiM</f>
        <v>2.757180608167705E-4</v>
      </c>
      <c r="Q311" s="301">
        <f t="shared" si="123"/>
        <v>0.5</v>
      </c>
      <c r="R311" s="173">
        <f t="shared" si="124"/>
        <v>0.49211687525849013</v>
      </c>
      <c r="S311" s="802">
        <f t="shared" si="142"/>
        <v>0</v>
      </c>
      <c r="T311" s="172">
        <f t="shared" si="125"/>
        <v>6</v>
      </c>
      <c r="U311" s="247">
        <f t="shared" si="126"/>
        <v>0.49211687525849013</v>
      </c>
      <c r="V311" s="378">
        <f t="shared" si="127"/>
        <v>31.042089375850122</v>
      </c>
      <c r="W311" s="58"/>
      <c r="X311" s="153">
        <f t="shared" si="128"/>
        <v>44858</v>
      </c>
      <c r="Y311" s="380">
        <f t="shared" si="129"/>
        <v>24.917000000000002</v>
      </c>
      <c r="Z311" s="380">
        <f t="shared" si="130"/>
        <v>25.03187194651381</v>
      </c>
      <c r="AA311" s="381">
        <f t="shared" si="131"/>
        <v>25.588354659815096</v>
      </c>
      <c r="AB311" s="193">
        <f t="shared" si="132"/>
        <v>44858</v>
      </c>
      <c r="AC311" s="420">
        <f t="shared" si="133"/>
        <v>2.1747498840760032E-2</v>
      </c>
      <c r="AD311" s="165">
        <f>(INDEX(Models!$BJ311:$BT311,,AH311)*(1-AF311)+INDEX(Models!$BJ311:$BT311,,AH311+1)*AF311-ERP_i)*AE311*Ramure*Pc/MaxiM</f>
        <v>2.757180608167705E-4</v>
      </c>
      <c r="AE311" s="301">
        <f t="shared" si="134"/>
        <v>0.5</v>
      </c>
      <c r="AF311" s="173">
        <f t="shared" si="135"/>
        <v>0.49211687525849013</v>
      </c>
      <c r="AG311" s="802">
        <f t="shared" si="136"/>
        <v>0</v>
      </c>
      <c r="AH311" s="172">
        <f t="shared" si="137"/>
        <v>6</v>
      </c>
      <c r="AI311" s="221">
        <f t="shared" si="138"/>
        <v>0.49211687525849013</v>
      </c>
      <c r="AJ311" s="261" t="b">
        <f t="shared" si="139"/>
        <v>0</v>
      </c>
      <c r="AK311" s="261" t="b">
        <f t="shared" si="140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41"/>
        <v>44859</v>
      </c>
      <c r="B312" s="610">
        <v>20.942</v>
      </c>
      <c r="C312" s="385"/>
      <c r="D312" s="388">
        <f t="shared" si="118"/>
        <v>21.038834470400506</v>
      </c>
      <c r="E312" s="380">
        <f t="shared" si="144"/>
        <v>21.507440839059399</v>
      </c>
      <c r="F312" s="380">
        <f t="shared" si="143"/>
        <v>21.511387732569521</v>
      </c>
      <c r="G312" s="110">
        <f t="shared" si="145"/>
        <v>0.68295268242026697</v>
      </c>
      <c r="I312" s="375">
        <f t="shared" si="119"/>
        <v>21.511387732569521</v>
      </c>
      <c r="J312" s="85">
        <v>2022</v>
      </c>
      <c r="K312" s="193">
        <f t="shared" si="120"/>
        <v>44859</v>
      </c>
      <c r="L312" s="431">
        <f t="shared" si="121"/>
        <v>4.6026537514111121E-3</v>
      </c>
      <c r="M312" s="847"/>
      <c r="N312" s="847"/>
      <c r="O312" s="320">
        <f t="shared" si="122"/>
        <v>2.1788104506039737E-2</v>
      </c>
      <c r="P312" s="165">
        <f>(INDEX(Models!$BJ312:$BT312,,T312)*(1-R312)+INDEX(Models!$BJ312:$BT312,,T312+1)*R312-ERP_i)*Q312*Ramure*Pc/MaxiM</f>
        <v>3.3529131227226343E-4</v>
      </c>
      <c r="Q312" s="301">
        <f t="shared" si="123"/>
        <v>0.5</v>
      </c>
      <c r="R312" s="173">
        <f t="shared" si="124"/>
        <v>0.49219171928989836</v>
      </c>
      <c r="S312" s="802">
        <f t="shared" si="142"/>
        <v>0</v>
      </c>
      <c r="T312" s="172">
        <f t="shared" si="125"/>
        <v>6</v>
      </c>
      <c r="U312" s="247">
        <f t="shared" si="126"/>
        <v>0.49219171928989836</v>
      </c>
      <c r="V312" s="378">
        <f t="shared" si="127"/>
        <v>30.659254597802875</v>
      </c>
      <c r="W312" s="58"/>
      <c r="X312" s="153">
        <f t="shared" si="128"/>
        <v>44859</v>
      </c>
      <c r="Y312" s="380">
        <f t="shared" si="129"/>
        <v>20.942</v>
      </c>
      <c r="Z312" s="380">
        <f t="shared" si="130"/>
        <v>21.038834470400506</v>
      </c>
      <c r="AA312" s="381">
        <f t="shared" si="131"/>
        <v>21.507440839059399</v>
      </c>
      <c r="AB312" s="193">
        <f t="shared" si="132"/>
        <v>44859</v>
      </c>
      <c r="AC312" s="420">
        <f t="shared" si="133"/>
        <v>2.1788104506039737E-2</v>
      </c>
      <c r="AD312" s="165">
        <f>(INDEX(Models!$BJ312:$BT312,,AH312)*(1-AF312)+INDEX(Models!$BJ312:$BT312,,AH312+1)*AF312-ERP_i)*AE312*Ramure*Pc/MaxiM</f>
        <v>3.3529131227226343E-4</v>
      </c>
      <c r="AE312" s="301">
        <f t="shared" si="134"/>
        <v>0.5</v>
      </c>
      <c r="AF312" s="173">
        <f t="shared" si="135"/>
        <v>0.49219171928989836</v>
      </c>
      <c r="AG312" s="802">
        <f t="shared" si="136"/>
        <v>0</v>
      </c>
      <c r="AH312" s="172">
        <f t="shared" si="137"/>
        <v>6</v>
      </c>
      <c r="AI312" s="221">
        <f t="shared" si="138"/>
        <v>0.49219171928989836</v>
      </c>
      <c r="AJ312" s="261" t="b">
        <f t="shared" si="139"/>
        <v>0</v>
      </c>
      <c r="AK312" s="261" t="b">
        <f t="shared" si="140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41"/>
        <v>44860</v>
      </c>
      <c r="B313" s="610">
        <v>15.652000000000001</v>
      </c>
      <c r="C313" s="385"/>
      <c r="D313" s="388">
        <f t="shared" si="118"/>
        <v>15.72458910470132</v>
      </c>
      <c r="E313" s="380">
        <f t="shared" si="144"/>
        <v>16.07549189174259</v>
      </c>
      <c r="F313" s="380">
        <f t="shared" si="143"/>
        <v>16.077522083526727</v>
      </c>
      <c r="G313" s="110">
        <f t="shared" si="145"/>
        <v>0.51678350209749757</v>
      </c>
      <c r="I313" s="375">
        <f t="shared" si="119"/>
        <v>16.077522083526727</v>
      </c>
      <c r="J313" s="85">
        <v>2022</v>
      </c>
      <c r="K313" s="193">
        <f t="shared" si="120"/>
        <v>44860</v>
      </c>
      <c r="L313" s="431">
        <f t="shared" si="121"/>
        <v>4.6162799051846504E-3</v>
      </c>
      <c r="M313" s="847"/>
      <c r="N313" s="847"/>
      <c r="O313" s="320">
        <f t="shared" si="122"/>
        <v>2.1828432336899014E-2</v>
      </c>
      <c r="P313" s="165">
        <f>(INDEX(Models!$BJ313:$BT313,,T313)*(1-R313)+INDEX(Models!$BJ313:$BT313,,T313+1)*R313-ERP_i)*Q313*Ramure*Pc/MaxiM</f>
        <v>4.0747279462229226E-4</v>
      </c>
      <c r="Q313" s="301">
        <f t="shared" si="123"/>
        <v>0.5</v>
      </c>
      <c r="R313" s="173">
        <f t="shared" si="124"/>
        <v>0.49226357100012785</v>
      </c>
      <c r="S313" s="802">
        <f t="shared" si="142"/>
        <v>0</v>
      </c>
      <c r="T313" s="172">
        <f t="shared" si="125"/>
        <v>6</v>
      </c>
      <c r="U313" s="247">
        <f t="shared" si="126"/>
        <v>0.49226357100012785</v>
      </c>
      <c r="V313" s="378">
        <f t="shared" si="127"/>
        <v>30.278826772478393</v>
      </c>
      <c r="W313" s="58"/>
      <c r="X313" s="153">
        <f t="shared" si="128"/>
        <v>44860</v>
      </c>
      <c r="Y313" s="380">
        <f t="shared" si="129"/>
        <v>15.651999999999999</v>
      </c>
      <c r="Z313" s="380">
        <f t="shared" si="130"/>
        <v>15.724589104701318</v>
      </c>
      <c r="AA313" s="381">
        <f t="shared" si="131"/>
        <v>16.07549189174259</v>
      </c>
      <c r="AB313" s="193">
        <f t="shared" si="132"/>
        <v>44860</v>
      </c>
      <c r="AC313" s="420">
        <f t="shared" si="133"/>
        <v>2.1828432336899014E-2</v>
      </c>
      <c r="AD313" s="165">
        <f>(INDEX(Models!$BJ313:$BT313,,AH313)*(1-AF313)+INDEX(Models!$BJ313:$BT313,,AH313+1)*AF313-ERP_i)*AE313*Ramure*Pc/MaxiM</f>
        <v>4.0747279462229226E-4</v>
      </c>
      <c r="AE313" s="301">
        <f t="shared" si="134"/>
        <v>0.5</v>
      </c>
      <c r="AF313" s="173">
        <f t="shared" si="135"/>
        <v>0.49226357100012785</v>
      </c>
      <c r="AG313" s="802">
        <f t="shared" si="136"/>
        <v>0</v>
      </c>
      <c r="AH313" s="172">
        <f t="shared" si="137"/>
        <v>6</v>
      </c>
      <c r="AI313" s="221">
        <f t="shared" si="138"/>
        <v>0.49226357100012785</v>
      </c>
      <c r="AJ313" s="261" t="b">
        <f t="shared" si="139"/>
        <v>0</v>
      </c>
      <c r="AK313" s="261" t="b">
        <f t="shared" si="140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41"/>
        <v>44861</v>
      </c>
      <c r="B314" s="610">
        <v>14.802</v>
      </c>
      <c r="C314" s="385"/>
      <c r="D314" s="388">
        <f t="shared" si="118"/>
        <v>14.87085063870011</v>
      </c>
      <c r="E314" s="380">
        <f t="shared" si="144"/>
        <v>15.203324540859622</v>
      </c>
      <c r="F314" s="380">
        <f t="shared" si="143"/>
        <v>15.20541089305954</v>
      </c>
      <c r="G314" s="110">
        <f>+Wh_hp/MaxiM</f>
        <v>0.49485555435980977</v>
      </c>
      <c r="I314" s="375">
        <f t="shared" si="119"/>
        <v>15.20541089305954</v>
      </c>
      <c r="J314" s="85">
        <v>2022</v>
      </c>
      <c r="K314" s="193">
        <f t="shared" si="120"/>
        <v>44861</v>
      </c>
      <c r="L314" s="431">
        <f t="shared" si="121"/>
        <v>4.6299058724276199E-3</v>
      </c>
      <c r="M314" s="847"/>
      <c r="N314" s="847"/>
      <c r="O314" s="320">
        <f t="shared" si="122"/>
        <v>2.186849996301626E-2</v>
      </c>
      <c r="P314" s="165">
        <f>(INDEX(Models!$BJ314:$BT314,,T314)*(1-R314)+INDEX(Models!$BJ314:$BT314,,T314+1)*R314-ERP_i)*Q314*Ramure*Pc/MaxiM</f>
        <v>4.9247350015737895E-4</v>
      </c>
      <c r="Q314" s="301">
        <f t="shared" si="123"/>
        <v>0.5</v>
      </c>
      <c r="R314" s="173">
        <f t="shared" si="124"/>
        <v>0.49233254921090513</v>
      </c>
      <c r="S314" s="802">
        <f t="shared" si="142"/>
        <v>0</v>
      </c>
      <c r="T314" s="172">
        <f t="shared" si="125"/>
        <v>6</v>
      </c>
      <c r="U314" s="247">
        <f t="shared" si="126"/>
        <v>0.49233254921090513</v>
      </c>
      <c r="V314" s="378">
        <f t="shared" si="127"/>
        <v>29.90113085519706</v>
      </c>
      <c r="W314" s="58"/>
      <c r="X314" s="153">
        <f t="shared" si="128"/>
        <v>44861</v>
      </c>
      <c r="Y314" s="380">
        <f t="shared" si="129"/>
        <v>14.802</v>
      </c>
      <c r="Z314" s="380">
        <f t="shared" si="130"/>
        <v>14.87085063870011</v>
      </c>
      <c r="AA314" s="381">
        <f t="shared" si="131"/>
        <v>15.203324540859622</v>
      </c>
      <c r="AB314" s="193">
        <f t="shared" si="132"/>
        <v>44861</v>
      </c>
      <c r="AC314" s="420">
        <f t="shared" si="133"/>
        <v>2.186849996301626E-2</v>
      </c>
      <c r="AD314" s="165">
        <f>(INDEX(Models!$BJ314:$BT314,,AH314)*(1-AF314)+INDEX(Models!$BJ314:$BT314,,AH314+1)*AF314-ERP_i)*AE314*Ramure*Pc/MaxiM</f>
        <v>4.9247350015737895E-4</v>
      </c>
      <c r="AE314" s="301">
        <f t="shared" si="134"/>
        <v>0.5</v>
      </c>
      <c r="AF314" s="173">
        <f t="shared" si="135"/>
        <v>0.49233254921090513</v>
      </c>
      <c r="AG314" s="802">
        <f t="shared" si="136"/>
        <v>0</v>
      </c>
      <c r="AH314" s="172">
        <f t="shared" si="137"/>
        <v>6</v>
      </c>
      <c r="AI314" s="221">
        <f t="shared" si="138"/>
        <v>0.49233254921090513</v>
      </c>
      <c r="AJ314" s="261" t="b">
        <f t="shared" si="139"/>
        <v>0</v>
      </c>
      <c r="AK314" s="261" t="b">
        <f t="shared" si="140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41"/>
        <v>44862</v>
      </c>
      <c r="B315" s="610">
        <v>17.029</v>
      </c>
      <c r="C315" s="385"/>
      <c r="D315" s="388">
        <f t="shared" si="118"/>
        <v>17.108443599389769</v>
      </c>
      <c r="E315" s="380">
        <f t="shared" si="144"/>
        <v>17.491656512314666</v>
      </c>
      <c r="F315" s="380">
        <f t="shared" si="143"/>
        <v>17.495740847674913</v>
      </c>
      <c r="G315" s="110">
        <f t="shared" si="145"/>
        <v>0.57653033826873912</v>
      </c>
      <c r="I315" s="375">
        <f t="shared" si="119"/>
        <v>17.495740847674913</v>
      </c>
      <c r="J315" s="85">
        <v>2022</v>
      </c>
      <c r="K315" s="193">
        <f t="shared" si="120"/>
        <v>44862</v>
      </c>
      <c r="L315" s="431">
        <f t="shared" si="121"/>
        <v>4.6435316531424631E-3</v>
      </c>
      <c r="M315" s="847"/>
      <c r="N315" s="847"/>
      <c r="O315" s="320">
        <f t="shared" si="122"/>
        <v>2.1908325987027147E-2</v>
      </c>
      <c r="P315" s="165">
        <f>(INDEX(Models!$BJ315:$BT315,,T315)*(1-R315)+INDEX(Models!$BJ315:$BT315,,T315+1)*R315-ERP_i)*Q315*Ramure*Pc/MaxiM</f>
        <v>5.9050142185717235E-4</v>
      </c>
      <c r="Q315" s="301">
        <f t="shared" si="123"/>
        <v>0.5</v>
      </c>
      <c r="R315" s="173">
        <f t="shared" si="124"/>
        <v>0.49239876808968724</v>
      </c>
      <c r="S315" s="802">
        <f t="shared" si="142"/>
        <v>0</v>
      </c>
      <c r="T315" s="172">
        <f t="shared" si="125"/>
        <v>6</v>
      </c>
      <c r="U315" s="247">
        <f t="shared" si="126"/>
        <v>0.49239876808968724</v>
      </c>
      <c r="V315" s="378">
        <f t="shared" si="127"/>
        <v>29.526491803655677</v>
      </c>
      <c r="W315" s="58"/>
      <c r="X315" s="153">
        <f t="shared" si="128"/>
        <v>44862</v>
      </c>
      <c r="Y315" s="380">
        <f t="shared" si="129"/>
        <v>17.029</v>
      </c>
      <c r="Z315" s="380">
        <f t="shared" si="130"/>
        <v>17.108443599389769</v>
      </c>
      <c r="AA315" s="381">
        <f t="shared" si="131"/>
        <v>17.491656512314666</v>
      </c>
      <c r="AB315" s="193">
        <f t="shared" si="132"/>
        <v>44862</v>
      </c>
      <c r="AC315" s="420">
        <f t="shared" si="133"/>
        <v>2.1908325987027147E-2</v>
      </c>
      <c r="AD315" s="165">
        <f>(INDEX(Models!$BJ315:$BT315,,AH315)*(1-AF315)+INDEX(Models!$BJ315:$BT315,,AH315+1)*AF315-ERP_i)*AE315*Ramure*Pc/MaxiM</f>
        <v>5.9050142185717235E-4</v>
      </c>
      <c r="AE315" s="301">
        <f t="shared" si="134"/>
        <v>0.5</v>
      </c>
      <c r="AF315" s="173">
        <f t="shared" si="135"/>
        <v>0.49239876808968724</v>
      </c>
      <c r="AG315" s="802">
        <f t="shared" si="136"/>
        <v>0</v>
      </c>
      <c r="AH315" s="172">
        <f t="shared" si="137"/>
        <v>6</v>
      </c>
      <c r="AI315" s="221">
        <f t="shared" si="138"/>
        <v>0.49239876808968724</v>
      </c>
      <c r="AJ315" s="261" t="b">
        <f t="shared" si="139"/>
        <v>0</v>
      </c>
      <c r="AK315" s="261" t="b">
        <f t="shared" si="140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41"/>
        <v>44863</v>
      </c>
      <c r="B316" s="610">
        <v>23.963000000000001</v>
      </c>
      <c r="C316" s="385"/>
      <c r="D316" s="388">
        <f t="shared" si="118"/>
        <v>24.075121627166354</v>
      </c>
      <c r="E316" s="380">
        <f t="shared" si="144"/>
        <v>24.61537822338093</v>
      </c>
      <c r="F316" s="380">
        <f t="shared" si="143"/>
        <v>24.628264313045676</v>
      </c>
      <c r="G316" s="110">
        <f t="shared" si="145"/>
        <v>0.82176390767790797</v>
      </c>
      <c r="I316" s="375">
        <f t="shared" si="119"/>
        <v>24.628264313045676</v>
      </c>
      <c r="J316" s="85">
        <v>2022</v>
      </c>
      <c r="K316" s="193">
        <f t="shared" si="120"/>
        <v>44863</v>
      </c>
      <c r="L316" s="431">
        <f t="shared" si="121"/>
        <v>4.6571572473318446E-3</v>
      </c>
      <c r="M316" s="847"/>
      <c r="N316" s="847"/>
      <c r="O316" s="320">
        <f t="shared" si="122"/>
        <v>2.1947929920549138E-2</v>
      </c>
      <c r="P316" s="165">
        <f>(INDEX(Models!$BJ316:$BT316,,T316)*(1-R316)+INDEX(Models!$BJ316:$BT316,,T316+1)*R316-ERP_i)*Q316*Ramure*Pc/MaxiM</f>
        <v>7.0176088979781079E-4</v>
      </c>
      <c r="Q316" s="301">
        <f t="shared" si="123"/>
        <v>0.5</v>
      </c>
      <c r="R316" s="173">
        <f t="shared" si="124"/>
        <v>0.49246233732692341</v>
      </c>
      <c r="S316" s="802">
        <f t="shared" si="142"/>
        <v>0</v>
      </c>
      <c r="T316" s="172">
        <f t="shared" si="125"/>
        <v>6</v>
      </c>
      <c r="U316" s="247">
        <f t="shared" si="126"/>
        <v>0.49246233732692341</v>
      </c>
      <c r="V316" s="378">
        <f t="shared" si="127"/>
        <v>29.155234548431952</v>
      </c>
      <c r="W316" s="58"/>
      <c r="X316" s="153">
        <f t="shared" si="128"/>
        <v>44863</v>
      </c>
      <c r="Y316" s="380">
        <f t="shared" si="129"/>
        <v>23.963000000000001</v>
      </c>
      <c r="Z316" s="380">
        <f t="shared" si="130"/>
        <v>24.075121627166354</v>
      </c>
      <c r="AA316" s="381">
        <f t="shared" si="131"/>
        <v>24.61537822338093</v>
      </c>
      <c r="AB316" s="193">
        <f t="shared" si="132"/>
        <v>44863</v>
      </c>
      <c r="AC316" s="420">
        <f t="shared" si="133"/>
        <v>2.1947929920549138E-2</v>
      </c>
      <c r="AD316" s="165">
        <f>(INDEX(Models!$BJ316:$BT316,,AH316)*(1-AF316)+INDEX(Models!$BJ316:$BT316,,AH316+1)*AF316-ERP_i)*AE316*Ramure*Pc/MaxiM</f>
        <v>7.0176088979781079E-4</v>
      </c>
      <c r="AE316" s="301">
        <f t="shared" si="134"/>
        <v>0.5</v>
      </c>
      <c r="AF316" s="173">
        <f t="shared" si="135"/>
        <v>0.49246233732692341</v>
      </c>
      <c r="AG316" s="802">
        <f t="shared" si="136"/>
        <v>0</v>
      </c>
      <c r="AH316" s="172">
        <f t="shared" si="137"/>
        <v>6</v>
      </c>
      <c r="AI316" s="221">
        <f t="shared" si="138"/>
        <v>0.49246233732692341</v>
      </c>
      <c r="AJ316" s="261" t="b">
        <f t="shared" si="139"/>
        <v>0</v>
      </c>
      <c r="AK316" s="261" t="b">
        <f t="shared" si="140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41"/>
        <v>44864</v>
      </c>
      <c r="B317" s="610">
        <v>20.989000000000001</v>
      </c>
      <c r="C317" s="385"/>
      <c r="D317" s="388">
        <f t="shared" si="118"/>
        <v>21.087495106380242</v>
      </c>
      <c r="E317" s="380">
        <f t="shared" si="144"/>
        <v>21.561576653141241</v>
      </c>
      <c r="F317" s="380">
        <f t="shared" si="143"/>
        <v>21.572507516990949</v>
      </c>
      <c r="G317" s="110">
        <f t="shared" si="145"/>
        <v>0.72891258090082989</v>
      </c>
      <c r="I317" s="375">
        <f t="shared" si="119"/>
        <v>21.572507516990949</v>
      </c>
      <c r="J317" s="85">
        <v>2022</v>
      </c>
      <c r="K317" s="193">
        <f t="shared" si="120"/>
        <v>44864</v>
      </c>
      <c r="L317" s="431">
        <f t="shared" si="121"/>
        <v>4.6707826549983178E-3</v>
      </c>
      <c r="M317" s="847"/>
      <c r="N317" s="847"/>
      <c r="O317" s="320">
        <f t="shared" si="122"/>
        <v>2.1987332113393099E-2</v>
      </c>
      <c r="P317" s="165">
        <f>(INDEX(Models!$BJ317:$BT317,,T317)*(1-R317)+INDEX(Models!$BJ317:$BT317,,T317+1)*R317-ERP_i)*Q317*Ramure*Pc/MaxiM</f>
        <v>8.2650777878842143E-4</v>
      </c>
      <c r="Q317" s="301">
        <f t="shared" si="123"/>
        <v>0.5</v>
      </c>
      <c r="R317" s="173">
        <f t="shared" si="124"/>
        <v>0.49252336230696608</v>
      </c>
      <c r="S317" s="802">
        <f t="shared" si="142"/>
        <v>0</v>
      </c>
      <c r="T317" s="172">
        <f t="shared" si="125"/>
        <v>6</v>
      </c>
      <c r="U317" s="247">
        <f t="shared" si="126"/>
        <v>0.49252336230696608</v>
      </c>
      <c r="V317" s="378">
        <f t="shared" si="127"/>
        <v>28.785734769421133</v>
      </c>
      <c r="W317" s="58"/>
      <c r="X317" s="153">
        <f t="shared" si="128"/>
        <v>44864</v>
      </c>
      <c r="Y317" s="380">
        <f t="shared" si="129"/>
        <v>20.989000000000001</v>
      </c>
      <c r="Z317" s="380">
        <f t="shared" si="130"/>
        <v>21.087495106380242</v>
      </c>
      <c r="AA317" s="381">
        <f t="shared" si="131"/>
        <v>21.561576653141241</v>
      </c>
      <c r="AB317" s="193">
        <f t="shared" si="132"/>
        <v>44864</v>
      </c>
      <c r="AC317" s="420">
        <f t="shared" si="133"/>
        <v>2.1987332113393099E-2</v>
      </c>
      <c r="AD317" s="165">
        <f>(INDEX(Models!$BJ317:$BT317,,AH317)*(1-AF317)+INDEX(Models!$BJ317:$BT317,,AH317+1)*AF317-ERP_i)*AE317*Ramure*Pc/MaxiM</f>
        <v>8.2650777878842143E-4</v>
      </c>
      <c r="AE317" s="301">
        <f t="shared" si="134"/>
        <v>0.5</v>
      </c>
      <c r="AF317" s="173">
        <f t="shared" si="135"/>
        <v>0.49252336230696608</v>
      </c>
      <c r="AG317" s="802">
        <f t="shared" si="136"/>
        <v>0</v>
      </c>
      <c r="AH317" s="172">
        <f t="shared" si="137"/>
        <v>6</v>
      </c>
      <c r="AI317" s="221">
        <f t="shared" si="138"/>
        <v>0.49252336230696608</v>
      </c>
      <c r="AJ317" s="261" t="b">
        <f t="shared" si="139"/>
        <v>0</v>
      </c>
      <c r="AK317" s="261" t="b">
        <f t="shared" si="140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41"/>
        <v>44865</v>
      </c>
      <c r="B318" s="610">
        <v>20.138999999999999</v>
      </c>
      <c r="C318" s="385"/>
      <c r="D318" s="388">
        <f t="shared" si="118"/>
        <v>20.233783293825795</v>
      </c>
      <c r="E318" s="380">
        <f t="shared" si="144"/>
        <v>20.689501713862963</v>
      </c>
      <c r="F318" s="380">
        <f t="shared" si="143"/>
        <v>20.701155143834445</v>
      </c>
      <c r="G318" s="110">
        <f t="shared" si="145"/>
        <v>0.70842258727562379</v>
      </c>
      <c r="I318" s="375">
        <f t="shared" si="119"/>
        <v>20.701155143834445</v>
      </c>
      <c r="J318" s="85">
        <v>2022</v>
      </c>
      <c r="K318" s="193">
        <f t="shared" si="120"/>
        <v>44865</v>
      </c>
      <c r="L318" s="431">
        <f t="shared" si="121"/>
        <v>4.6844078761443253E-3</v>
      </c>
      <c r="M318" s="847"/>
      <c r="N318" s="847"/>
      <c r="O318" s="320">
        <f t="shared" si="122"/>
        <v>2.2026553676341765E-2</v>
      </c>
      <c r="P318" s="165">
        <f>(INDEX(Models!$BJ318:$BT318,,T318)*(1-R318)+INDEX(Models!$BJ318:$BT318,,T318+1)*R318-ERP_i)*Q318*Ramure*Pc/MaxiM</f>
        <v>9.6415100357534966E-4</v>
      </c>
      <c r="Q318" s="301">
        <f t="shared" si="123"/>
        <v>0.5</v>
      </c>
      <c r="R318" s="173">
        <f t="shared" si="124"/>
        <v>0.49258194427282698</v>
      </c>
      <c r="S318" s="802">
        <f t="shared" si="142"/>
        <v>0</v>
      </c>
      <c r="T318" s="172">
        <f t="shared" si="125"/>
        <v>6</v>
      </c>
      <c r="U318" s="247">
        <f t="shared" si="126"/>
        <v>0.49258194427282698</v>
      </c>
      <c r="V318" s="378">
        <f t="shared" si="127"/>
        <v>28.416535195065691</v>
      </c>
      <c r="W318" s="58"/>
      <c r="X318" s="153">
        <f t="shared" si="128"/>
        <v>44865</v>
      </c>
      <c r="Y318" s="380">
        <f t="shared" si="129"/>
        <v>20.138999999999999</v>
      </c>
      <c r="Z318" s="380">
        <f t="shared" si="130"/>
        <v>20.233783293825795</v>
      </c>
      <c r="AA318" s="381">
        <f t="shared" si="131"/>
        <v>20.689501713862963</v>
      </c>
      <c r="AB318" s="193">
        <f t="shared" si="132"/>
        <v>44865</v>
      </c>
      <c r="AC318" s="420">
        <f t="shared" si="133"/>
        <v>2.2026553676341765E-2</v>
      </c>
      <c r="AD318" s="165">
        <f>(INDEX(Models!$BJ318:$BT318,,AH318)*(1-AF318)+INDEX(Models!$BJ318:$BT318,,AH318+1)*AF318-ERP_i)*AE318*Ramure*Pc/MaxiM</f>
        <v>9.6415100357534966E-4</v>
      </c>
      <c r="AE318" s="301">
        <f t="shared" si="134"/>
        <v>0.5</v>
      </c>
      <c r="AF318" s="173">
        <f t="shared" si="135"/>
        <v>0.49258194427282698</v>
      </c>
      <c r="AG318" s="802">
        <f t="shared" si="136"/>
        <v>0</v>
      </c>
      <c r="AH318" s="172">
        <f t="shared" si="137"/>
        <v>6</v>
      </c>
      <c r="AI318" s="221">
        <f t="shared" si="138"/>
        <v>0.49258194427282698</v>
      </c>
      <c r="AJ318" s="261" t="b">
        <f t="shared" si="139"/>
        <v>0</v>
      </c>
      <c r="AK318" s="261" t="b">
        <f t="shared" si="140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41"/>
        <v>44866</v>
      </c>
      <c r="B319" s="610">
        <v>18.368000000000002</v>
      </c>
      <c r="C319" s="385"/>
      <c r="D319" s="388">
        <f t="shared" si="118"/>
        <v>18.454700791677766</v>
      </c>
      <c r="E319" s="380">
        <f t="shared" si="144"/>
        <v>18.871103318509764</v>
      </c>
      <c r="F319" s="380">
        <f t="shared" si="143"/>
        <v>18.881740725335344</v>
      </c>
      <c r="G319" s="110">
        <f t="shared" si="145"/>
        <v>0.65451190734214915</v>
      </c>
      <c r="I319" s="375">
        <f t="shared" si="119"/>
        <v>18.881740725335344</v>
      </c>
      <c r="J319" s="85">
        <v>2022</v>
      </c>
      <c r="K319" s="193">
        <f t="shared" si="120"/>
        <v>44866</v>
      </c>
      <c r="L319" s="431">
        <f t="shared" si="121"/>
        <v>4.6980329107725316E-3</v>
      </c>
      <c r="M319" s="847"/>
      <c r="N319" s="847"/>
      <c r="O319" s="320">
        <f t="shared" si="122"/>
        <v>2.2065616397933051E-2</v>
      </c>
      <c r="P319" s="165">
        <f>(INDEX(Models!$BJ319:$BT319,,T319)*(1-R319)+INDEX(Models!$BJ319:$BT319,,T319+1)*R319-ERP_i)*Q319*Ramure*Pc/MaxiM</f>
        <v>1.1112745574556188E-3</v>
      </c>
      <c r="Q319" s="301">
        <f t="shared" si="123"/>
        <v>0.5</v>
      </c>
      <c r="R319" s="173">
        <f t="shared" si="124"/>
        <v>0.49263818048496866</v>
      </c>
      <c r="S319" s="802">
        <f t="shared" si="142"/>
        <v>0</v>
      </c>
      <c r="T319" s="172">
        <f t="shared" si="125"/>
        <v>6</v>
      </c>
      <c r="U319" s="247">
        <f t="shared" si="126"/>
        <v>0.49263818048496866</v>
      </c>
      <c r="V319" s="378">
        <f t="shared" si="127"/>
        <v>28.048275685729639</v>
      </c>
      <c r="W319" s="58"/>
      <c r="X319" s="153">
        <f t="shared" si="128"/>
        <v>44866</v>
      </c>
      <c r="Y319" s="380">
        <f t="shared" si="129"/>
        <v>18.368000000000002</v>
      </c>
      <c r="Z319" s="380">
        <f t="shared" si="130"/>
        <v>18.454700791677766</v>
      </c>
      <c r="AA319" s="381">
        <f t="shared" si="131"/>
        <v>18.871103318509764</v>
      </c>
      <c r="AB319" s="193">
        <f t="shared" si="132"/>
        <v>44866</v>
      </c>
      <c r="AC319" s="420">
        <f t="shared" si="133"/>
        <v>2.2065616397933051E-2</v>
      </c>
      <c r="AD319" s="165">
        <f>(INDEX(Models!$BJ319:$BT319,,AH319)*(1-AF319)+INDEX(Models!$BJ319:$BT319,,AH319+1)*AF319-ERP_i)*AE319*Ramure*Pc/MaxiM</f>
        <v>1.1112745574556188E-3</v>
      </c>
      <c r="AE319" s="301">
        <f t="shared" si="134"/>
        <v>0.5</v>
      </c>
      <c r="AF319" s="173">
        <f t="shared" si="135"/>
        <v>0.49263818048496866</v>
      </c>
      <c r="AG319" s="802">
        <f t="shared" si="136"/>
        <v>0</v>
      </c>
      <c r="AH319" s="172">
        <f t="shared" si="137"/>
        <v>6</v>
      </c>
      <c r="AI319" s="221">
        <f t="shared" si="138"/>
        <v>0.49263818048496866</v>
      </c>
      <c r="AJ319" s="261" t="b">
        <f t="shared" si="139"/>
        <v>0</v>
      </c>
      <c r="AK319" s="261" t="b">
        <f t="shared" si="140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41"/>
        <v>44867</v>
      </c>
      <c r="B320" s="610">
        <v>25.432000000000002</v>
      </c>
      <c r="C320" s="385"/>
      <c r="D320" s="388">
        <f t="shared" si="118"/>
        <v>25.552394136089408</v>
      </c>
      <c r="E320" s="380">
        <f t="shared" si="144"/>
        <v>26.129985515510924</v>
      </c>
      <c r="F320" s="380">
        <f t="shared" si="143"/>
        <v>26.159305907233136</v>
      </c>
      <c r="G320" s="110">
        <f t="shared" si="145"/>
        <v>0.91860123238873836</v>
      </c>
      <c r="I320" s="375">
        <f t="shared" si="119"/>
        <v>26.159305907233136</v>
      </c>
      <c r="J320" s="85">
        <v>2022</v>
      </c>
      <c r="K320" s="193">
        <f t="shared" si="120"/>
        <v>44867</v>
      </c>
      <c r="L320" s="431">
        <f t="shared" si="121"/>
        <v>4.7116577588854902E-3</v>
      </c>
      <c r="M320" s="847"/>
      <c r="N320" s="847"/>
      <c r="O320" s="320">
        <f t="shared" si="122"/>
        <v>2.2104542655741469E-2</v>
      </c>
      <c r="P320" s="165">
        <f>(INDEX(Models!$BJ320:$BT320,,T320)*(1-R320)+INDEX(Models!$BJ320:$BT320,,T320+1)*R320-ERP_i)*Q320*Ramure*Pc/MaxiM</f>
        <v>1.2680482066947084E-3</v>
      </c>
      <c r="Q320" s="301">
        <f t="shared" si="123"/>
        <v>0.5</v>
      </c>
      <c r="R320" s="173">
        <f t="shared" si="124"/>
        <v>0.49269216437432278</v>
      </c>
      <c r="S320" s="802">
        <f t="shared" si="142"/>
        <v>0</v>
      </c>
      <c r="T320" s="172">
        <f t="shared" si="125"/>
        <v>6</v>
      </c>
      <c r="U320" s="247">
        <f t="shared" si="126"/>
        <v>0.49269216437432278</v>
      </c>
      <c r="V320" s="378">
        <f t="shared" si="127"/>
        <v>27.681491270451293</v>
      </c>
      <c r="W320" s="58"/>
      <c r="X320" s="153">
        <f t="shared" si="128"/>
        <v>44867</v>
      </c>
      <c r="Y320" s="380">
        <f t="shared" si="129"/>
        <v>25.432000000000002</v>
      </c>
      <c r="Z320" s="380">
        <f t="shared" si="130"/>
        <v>25.552394136089408</v>
      </c>
      <c r="AA320" s="381">
        <f t="shared" si="131"/>
        <v>26.129985515510924</v>
      </c>
      <c r="AB320" s="193">
        <f t="shared" si="132"/>
        <v>44867</v>
      </c>
      <c r="AC320" s="420">
        <f t="shared" si="133"/>
        <v>2.2104542655741469E-2</v>
      </c>
      <c r="AD320" s="165">
        <f>(INDEX(Models!$BJ320:$BT320,,AH320)*(1-AF320)+INDEX(Models!$BJ320:$BT320,,AH320+1)*AF320-ERP_i)*AE320*Ramure*Pc/MaxiM</f>
        <v>1.2680482066947084E-3</v>
      </c>
      <c r="AE320" s="301">
        <f t="shared" si="134"/>
        <v>0.5</v>
      </c>
      <c r="AF320" s="173">
        <f t="shared" si="135"/>
        <v>0.49269216437432278</v>
      </c>
      <c r="AG320" s="802">
        <f t="shared" si="136"/>
        <v>0</v>
      </c>
      <c r="AH320" s="172">
        <f t="shared" si="137"/>
        <v>6</v>
      </c>
      <c r="AI320" s="221">
        <f t="shared" si="138"/>
        <v>0.49269216437432278</v>
      </c>
      <c r="AJ320" s="261" t="b">
        <f t="shared" si="139"/>
        <v>0</v>
      </c>
      <c r="AK320" s="261" t="b">
        <f t="shared" si="140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41"/>
        <v>44868</v>
      </c>
      <c r="B321" s="610">
        <v>9.2270000000000003</v>
      </c>
      <c r="C321" s="385"/>
      <c r="D321" s="388">
        <f t="shared" si="118"/>
        <v>9.2708071822017697</v>
      </c>
      <c r="E321" s="380">
        <f t="shared" si="144"/>
        <v>9.4807426350937423</v>
      </c>
      <c r="F321" s="380">
        <f t="shared" si="143"/>
        <v>9.4814767533858237</v>
      </c>
      <c r="G321" s="110">
        <f t="shared" si="145"/>
        <v>0.33732004115092845</v>
      </c>
      <c r="I321" s="375">
        <f t="shared" si="119"/>
        <v>9.4814767533858237</v>
      </c>
      <c r="J321" s="85">
        <v>2022</v>
      </c>
      <c r="K321" s="193">
        <f t="shared" si="120"/>
        <v>44868</v>
      </c>
      <c r="L321" s="431">
        <f t="shared" si="121"/>
        <v>4.7252824204856436E-3</v>
      </c>
      <c r="M321" s="847"/>
      <c r="N321" s="847"/>
      <c r="O321" s="320">
        <f t="shared" si="122"/>
        <v>2.2143355322702195E-2</v>
      </c>
      <c r="P321" s="165">
        <f>(INDEX(Models!$BJ321:$BT321,,T321)*(1-R321)+INDEX(Models!$BJ321:$BT321,,T321+1)*R321-ERP_i)*Q321*Ramure*Pc/MaxiM</f>
        <v>1.4346409532019098E-3</v>
      </c>
      <c r="Q321" s="301">
        <f t="shared" si="123"/>
        <v>0.5</v>
      </c>
      <c r="R321" s="173">
        <f t="shared" si="124"/>
        <v>0.492743985689716</v>
      </c>
      <c r="S321" s="802">
        <f t="shared" si="142"/>
        <v>0</v>
      </c>
      <c r="T321" s="172">
        <f t="shared" si="125"/>
        <v>6</v>
      </c>
      <c r="U321" s="247">
        <f t="shared" si="126"/>
        <v>0.492743985689716</v>
      </c>
      <c r="V321" s="378">
        <f t="shared" si="127"/>
        <v>27.316716735311299</v>
      </c>
      <c r="W321" s="58"/>
      <c r="X321" s="153">
        <f t="shared" si="128"/>
        <v>44868</v>
      </c>
      <c r="Y321" s="380">
        <f t="shared" si="129"/>
        <v>9.2270000000000003</v>
      </c>
      <c r="Z321" s="380">
        <f t="shared" si="130"/>
        <v>9.2708071822017697</v>
      </c>
      <c r="AA321" s="381">
        <f t="shared" si="131"/>
        <v>9.4807426350937423</v>
      </c>
      <c r="AB321" s="193">
        <f t="shared" si="132"/>
        <v>44868</v>
      </c>
      <c r="AC321" s="420">
        <f t="shared" si="133"/>
        <v>2.2143355322702195E-2</v>
      </c>
      <c r="AD321" s="165">
        <f>(INDEX(Models!$BJ321:$BT321,,AH321)*(1-AF321)+INDEX(Models!$BJ321:$BT321,,AH321+1)*AF321-ERP_i)*AE321*Ramure*Pc/MaxiM</f>
        <v>1.4346409532019098E-3</v>
      </c>
      <c r="AE321" s="301">
        <f t="shared" si="134"/>
        <v>0.5</v>
      </c>
      <c r="AF321" s="173">
        <f t="shared" si="135"/>
        <v>0.492743985689716</v>
      </c>
      <c r="AG321" s="802">
        <f t="shared" si="136"/>
        <v>0</v>
      </c>
      <c r="AH321" s="172">
        <f t="shared" si="137"/>
        <v>6</v>
      </c>
      <c r="AI321" s="221">
        <f t="shared" si="138"/>
        <v>0.492743985689716</v>
      </c>
      <c r="AJ321" s="261" t="b">
        <f t="shared" si="139"/>
        <v>0</v>
      </c>
      <c r="AK321" s="261" t="b">
        <f t="shared" si="140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41"/>
        <v>44869</v>
      </c>
      <c r="B322" s="610">
        <v>12.807</v>
      </c>
      <c r="C322" s="385"/>
      <c r="D322" s="388">
        <f t="shared" si="118"/>
        <v>12.867980159911939</v>
      </c>
      <c r="E322" s="380">
        <f t="shared" si="144"/>
        <v>13.159893949619118</v>
      </c>
      <c r="F322" s="380">
        <f t="shared" si="143"/>
        <v>13.165201026271244</v>
      </c>
      <c r="G322" s="110">
        <f t="shared" si="145"/>
        <v>0.47456001428775957</v>
      </c>
      <c r="I322" s="375">
        <f t="shared" si="119"/>
        <v>13.165201026271244</v>
      </c>
      <c r="J322" s="85">
        <v>2022</v>
      </c>
      <c r="K322" s="193">
        <f t="shared" si="120"/>
        <v>44869</v>
      </c>
      <c r="L322" s="431">
        <f t="shared" si="121"/>
        <v>4.7389068955757674E-3</v>
      </c>
      <c r="M322" s="847"/>
      <c r="N322" s="847"/>
      <c r="O322" s="320">
        <f t="shared" si="122"/>
        <v>2.21820776690702E-2</v>
      </c>
      <c r="P322" s="165">
        <f>(INDEX(Models!$BJ322:$BT322,,T322)*(1-R322)+INDEX(Models!$BJ322:$BT322,,T322+1)*R322-ERP_i)*Q322*Ramure*Pc/MaxiM</f>
        <v>1.6112198292233333E-3</v>
      </c>
      <c r="Q322" s="301">
        <f t="shared" si="123"/>
        <v>0.5</v>
      </c>
      <c r="R322" s="173">
        <f t="shared" si="124"/>
        <v>0.49279373063988835</v>
      </c>
      <c r="S322" s="802">
        <f t="shared" si="142"/>
        <v>0</v>
      </c>
      <c r="T322" s="172">
        <f t="shared" si="125"/>
        <v>6</v>
      </c>
      <c r="U322" s="247">
        <f t="shared" si="126"/>
        <v>0.49279373063988835</v>
      </c>
      <c r="V322" s="378">
        <f t="shared" si="127"/>
        <v>26.954486606028123</v>
      </c>
      <c r="W322" s="58"/>
      <c r="X322" s="153">
        <f t="shared" si="128"/>
        <v>44869</v>
      </c>
      <c r="Y322" s="380">
        <f t="shared" si="129"/>
        <v>12.807</v>
      </c>
      <c r="Z322" s="380">
        <f t="shared" si="130"/>
        <v>12.867980159911939</v>
      </c>
      <c r="AA322" s="381">
        <f t="shared" si="131"/>
        <v>13.159893949619118</v>
      </c>
      <c r="AB322" s="193">
        <f t="shared" si="132"/>
        <v>44869</v>
      </c>
      <c r="AC322" s="420">
        <f t="shared" si="133"/>
        <v>2.21820776690702E-2</v>
      </c>
      <c r="AD322" s="165">
        <f>(INDEX(Models!$BJ322:$BT322,,AH322)*(1-AF322)+INDEX(Models!$BJ322:$BT322,,AH322+1)*AF322-ERP_i)*AE322*Ramure*Pc/MaxiM</f>
        <v>1.6112198292233333E-3</v>
      </c>
      <c r="AE322" s="301">
        <f t="shared" si="134"/>
        <v>0.5</v>
      </c>
      <c r="AF322" s="173">
        <f t="shared" si="135"/>
        <v>0.49279373063988835</v>
      </c>
      <c r="AG322" s="802">
        <f t="shared" si="136"/>
        <v>0</v>
      </c>
      <c r="AH322" s="172">
        <f t="shared" si="137"/>
        <v>6</v>
      </c>
      <c r="AI322" s="221">
        <f t="shared" si="138"/>
        <v>0.49279373063988835</v>
      </c>
      <c r="AJ322" s="261" t="b">
        <f t="shared" si="139"/>
        <v>0</v>
      </c>
      <c r="AK322" s="261" t="b">
        <f t="shared" si="140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41"/>
        <v>44870</v>
      </c>
      <c r="B323" s="610">
        <v>25.811</v>
      </c>
      <c r="C323" s="385"/>
      <c r="D323" s="388">
        <f t="shared" si="118"/>
        <v>25.934253347773147</v>
      </c>
      <c r="E323" s="380">
        <f t="shared" si="144"/>
        <v>26.523627806363081</v>
      </c>
      <c r="F323" s="380">
        <f t="shared" si="143"/>
        <v>26.569385595807791</v>
      </c>
      <c r="G323" s="110">
        <f t="shared" si="145"/>
        <v>0.97043490362629747</v>
      </c>
      <c r="I323" s="375">
        <f t="shared" si="119"/>
        <v>26.569385595807791</v>
      </c>
      <c r="J323" s="85">
        <v>2022</v>
      </c>
      <c r="K323" s="193">
        <f t="shared" si="120"/>
        <v>44870</v>
      </c>
      <c r="L323" s="431">
        <f t="shared" si="121"/>
        <v>4.752531184158082E-3</v>
      </c>
      <c r="M323" s="847"/>
      <c r="N323" s="847"/>
      <c r="O323" s="320">
        <f t="shared" si="122"/>
        <v>2.2220733260649179E-2</v>
      </c>
      <c r="P323" s="165">
        <f>(INDEX(Models!$BJ323:$BT323,,T323)*(1-R323)+INDEX(Models!$BJ323:$BT323,,T323+1)*R323-ERP_i)*Q323*Ramure*Pc/MaxiM</f>
        <v>1.7979484962241529E-3</v>
      </c>
      <c r="Q323" s="301">
        <f t="shared" si="123"/>
        <v>0.5</v>
      </c>
      <c r="R323" s="173">
        <f t="shared" si="124"/>
        <v>0.49284148203027778</v>
      </c>
      <c r="S323" s="802">
        <f t="shared" si="142"/>
        <v>0</v>
      </c>
      <c r="T323" s="172">
        <f t="shared" si="125"/>
        <v>6</v>
      </c>
      <c r="U323" s="247">
        <f t="shared" si="126"/>
        <v>0.49284148203027778</v>
      </c>
      <c r="V323" s="378">
        <f t="shared" si="127"/>
        <v>26.595335122332784</v>
      </c>
      <c r="W323" s="58"/>
      <c r="X323" s="153">
        <f t="shared" si="128"/>
        <v>44870</v>
      </c>
      <c r="Y323" s="380">
        <f t="shared" si="129"/>
        <v>25.811</v>
      </c>
      <c r="Z323" s="380">
        <f t="shared" si="130"/>
        <v>25.934253347773147</v>
      </c>
      <c r="AA323" s="381">
        <f t="shared" si="131"/>
        <v>26.523627806363081</v>
      </c>
      <c r="AB323" s="193">
        <f t="shared" si="132"/>
        <v>44870</v>
      </c>
      <c r="AC323" s="420">
        <f t="shared" si="133"/>
        <v>2.2220733260649179E-2</v>
      </c>
      <c r="AD323" s="165">
        <f>(INDEX(Models!$BJ323:$BT323,,AH323)*(1-AF323)+INDEX(Models!$BJ323:$BT323,,AH323+1)*AF323-ERP_i)*AE323*Ramure*Pc/MaxiM</f>
        <v>1.7979484962241529E-3</v>
      </c>
      <c r="AE323" s="301">
        <f t="shared" si="134"/>
        <v>0.5</v>
      </c>
      <c r="AF323" s="173">
        <f t="shared" si="135"/>
        <v>0.49284148203027778</v>
      </c>
      <c r="AG323" s="802">
        <f t="shared" si="136"/>
        <v>0</v>
      </c>
      <c r="AH323" s="172">
        <f t="shared" si="137"/>
        <v>6</v>
      </c>
      <c r="AI323" s="221">
        <f t="shared" si="138"/>
        <v>0.49284148203027778</v>
      </c>
      <c r="AJ323" s="261" t="b">
        <f t="shared" si="139"/>
        <v>0</v>
      </c>
      <c r="AK323" s="261" t="b">
        <f t="shared" si="140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41"/>
        <v>44871</v>
      </c>
      <c r="B324" s="610">
        <v>25.875</v>
      </c>
      <c r="C324" s="385"/>
      <c r="D324" s="388">
        <f t="shared" si="118"/>
        <v>25.998914865522696</v>
      </c>
      <c r="E324" s="380">
        <f t="shared" si="144"/>
        <v>26.59080887684912</v>
      </c>
      <c r="F324" s="380">
        <f t="shared" si="143"/>
        <v>26.642580367893142</v>
      </c>
      <c r="G324" s="110">
        <f t="shared" si="145"/>
        <v>0.98604641789278868</v>
      </c>
      <c r="I324" s="375">
        <f t="shared" si="119"/>
        <v>26.642580367893142</v>
      </c>
      <c r="J324" s="85">
        <v>2022</v>
      </c>
      <c r="K324" s="193">
        <f t="shared" si="120"/>
        <v>44871</v>
      </c>
      <c r="L324" s="431">
        <f t="shared" si="121"/>
        <v>4.7661552862354739E-3</v>
      </c>
      <c r="M324" s="847"/>
      <c r="N324" s="847"/>
      <c r="O324" s="320">
        <f t="shared" si="122"/>
        <v>2.2259345853963334E-2</v>
      </c>
      <c r="P324" s="165">
        <f>(INDEX(Models!$BJ324:$BT324,,T324)*(1-R324)+INDEX(Models!$BJ324:$BT324,,T324+1)*R324-ERP_i)*Q324*Ramure*Pc/MaxiM</f>
        <v>1.9825962447710113E-3</v>
      </c>
      <c r="Q324" s="301">
        <f t="shared" si="123"/>
        <v>0.5</v>
      </c>
      <c r="R324" s="173">
        <f t="shared" si="124"/>
        <v>0.49288731939474695</v>
      </c>
      <c r="S324" s="802">
        <f t="shared" si="142"/>
        <v>0</v>
      </c>
      <c r="T324" s="172">
        <f t="shared" si="125"/>
        <v>6</v>
      </c>
      <c r="U324" s="247">
        <f t="shared" si="126"/>
        <v>0.49288731939474695</v>
      </c>
      <c r="V324" s="378">
        <f t="shared" si="127"/>
        <v>26.240121972783225</v>
      </c>
      <c r="W324" s="58"/>
      <c r="X324" s="153">
        <f t="shared" si="128"/>
        <v>44871</v>
      </c>
      <c r="Y324" s="380">
        <f t="shared" si="129"/>
        <v>25.875</v>
      </c>
      <c r="Z324" s="380">
        <f t="shared" si="130"/>
        <v>25.998914865522696</v>
      </c>
      <c r="AA324" s="381">
        <f t="shared" si="131"/>
        <v>26.59080887684912</v>
      </c>
      <c r="AB324" s="193">
        <f t="shared" si="132"/>
        <v>44871</v>
      </c>
      <c r="AC324" s="420">
        <f t="shared" si="133"/>
        <v>2.2259345853963334E-2</v>
      </c>
      <c r="AD324" s="165">
        <f>(INDEX(Models!$BJ324:$BT324,,AH324)*(1-AF324)+INDEX(Models!$BJ324:$BT324,,AH324+1)*AF324-ERP_i)*AE324*Ramure*Pc/MaxiM</f>
        <v>1.9825962447710113E-3</v>
      </c>
      <c r="AE324" s="301">
        <f t="shared" si="134"/>
        <v>0.5</v>
      </c>
      <c r="AF324" s="173">
        <f t="shared" si="135"/>
        <v>0.49288731939474695</v>
      </c>
      <c r="AG324" s="802">
        <f t="shared" si="136"/>
        <v>0</v>
      </c>
      <c r="AH324" s="172">
        <f t="shared" si="137"/>
        <v>6</v>
      </c>
      <c r="AI324" s="221">
        <f t="shared" si="138"/>
        <v>0.49288731939474695</v>
      </c>
      <c r="AJ324" s="261" t="b">
        <f t="shared" si="139"/>
        <v>0</v>
      </c>
      <c r="AK324" s="261" t="b">
        <f t="shared" si="140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41"/>
        <v>44872</v>
      </c>
      <c r="B325" s="610">
        <v>25.670999999999999</v>
      </c>
      <c r="C325" s="385"/>
      <c r="D325" s="388">
        <f t="shared" si="118"/>
        <v>25.79429101572239</v>
      </c>
      <c r="E325" s="380">
        <f t="shared" si="144"/>
        <v>26.38256791334409</v>
      </c>
      <c r="F325" s="380">
        <f t="shared" ref="F325:F356" si="146">Wh_sa/(1-Pvg*MEDIAN((-Sdif+Wh/Env_an)/Csdif,0,1))</f>
        <v>26.438884406158653</v>
      </c>
      <c r="G325" s="110">
        <f t="shared" si="145"/>
        <v>0.99153031564314797</v>
      </c>
      <c r="I325" s="375">
        <f t="shared" si="119"/>
        <v>26.438884406158653</v>
      </c>
      <c r="J325" s="85">
        <v>2022</v>
      </c>
      <c r="K325" s="193">
        <f t="shared" si="120"/>
        <v>44872</v>
      </c>
      <c r="L325" s="431">
        <f t="shared" si="121"/>
        <v>4.7797792018102747E-3</v>
      </c>
      <c r="M325" s="847"/>
      <c r="N325" s="847"/>
      <c r="O325" s="320">
        <f t="shared" si="122"/>
        <v>2.229793928907705E-2</v>
      </c>
      <c r="P325" s="165">
        <f>(INDEX(Models!$BJ325:$BT325,,T325)*(1-R325)+INDEX(Models!$BJ325:$BT325,,T325+1)*R325-ERP_i)*Q325*Ramure*Pc/MaxiM</f>
        <v>2.1560710148247346E-3</v>
      </c>
      <c r="Q325" s="301">
        <f t="shared" si="123"/>
        <v>0.5</v>
      </c>
      <c r="R325" s="173">
        <f t="shared" si="124"/>
        <v>0.49293131912241805</v>
      </c>
      <c r="S325" s="802">
        <f t="shared" si="142"/>
        <v>0</v>
      </c>
      <c r="T325" s="172">
        <f t="shared" si="125"/>
        <v>6</v>
      </c>
      <c r="U325" s="247">
        <f t="shared" si="126"/>
        <v>0.49293131912241805</v>
      </c>
      <c r="V325" s="378">
        <f t="shared" si="127"/>
        <v>25.889607731976476</v>
      </c>
      <c r="W325" s="58"/>
      <c r="X325" s="153">
        <f t="shared" si="128"/>
        <v>44872</v>
      </c>
      <c r="Y325" s="380">
        <f t="shared" si="129"/>
        <v>25.670999999999999</v>
      </c>
      <c r="Z325" s="380">
        <f t="shared" si="130"/>
        <v>25.79429101572239</v>
      </c>
      <c r="AA325" s="381">
        <f t="shared" si="131"/>
        <v>26.38256791334409</v>
      </c>
      <c r="AB325" s="193">
        <f t="shared" si="132"/>
        <v>44872</v>
      </c>
      <c r="AC325" s="420">
        <f t="shared" si="133"/>
        <v>2.229793928907705E-2</v>
      </c>
      <c r="AD325" s="165">
        <f>(INDEX(Models!$BJ325:$BT325,,AH325)*(1-AF325)+INDEX(Models!$BJ325:$BT325,,AH325+1)*AF325-ERP_i)*AE325*Ramure*Pc/MaxiM</f>
        <v>2.1560710148247346E-3</v>
      </c>
      <c r="AE325" s="301">
        <f t="shared" si="134"/>
        <v>0.5</v>
      </c>
      <c r="AF325" s="173">
        <f t="shared" si="135"/>
        <v>0.49293131912241805</v>
      </c>
      <c r="AG325" s="802">
        <f t="shared" si="136"/>
        <v>0</v>
      </c>
      <c r="AH325" s="172">
        <f t="shared" si="137"/>
        <v>6</v>
      </c>
      <c r="AI325" s="221">
        <f t="shared" si="138"/>
        <v>0.49293131912241805</v>
      </c>
      <c r="AJ325" s="261" t="b">
        <f t="shared" si="139"/>
        <v>0</v>
      </c>
      <c r="AK325" s="261" t="b">
        <f t="shared" si="140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41"/>
        <v>44873</v>
      </c>
      <c r="B326" s="610">
        <v>18.574999999999999</v>
      </c>
      <c r="C326" s="385"/>
      <c r="D326" s="388">
        <f t="shared" si="118"/>
        <v>18.664466307501787</v>
      </c>
      <c r="E326" s="380">
        <f t="shared" si="144"/>
        <v>19.090890701283666</v>
      </c>
      <c r="F326" s="380">
        <f t="shared" si="146"/>
        <v>19.117935070519479</v>
      </c>
      <c r="G326" s="110">
        <f t="shared" si="145"/>
        <v>0.72650976700550662</v>
      </c>
      <c r="I326" s="375">
        <f t="shared" si="119"/>
        <v>19.117935070519479</v>
      </c>
      <c r="J326" s="85">
        <v>2022</v>
      </c>
      <c r="K326" s="193">
        <f t="shared" si="120"/>
        <v>44873</v>
      </c>
      <c r="L326" s="431">
        <f t="shared" si="121"/>
        <v>4.7934029308851489E-3</v>
      </c>
      <c r="M326" s="847"/>
      <c r="N326" s="847"/>
      <c r="O326" s="320">
        <f t="shared" si="122"/>
        <v>2.2336537380794188E-2</v>
      </c>
      <c r="P326" s="165">
        <f>(INDEX(Models!$BJ326:$BT326,,T326)*(1-R326)+INDEX(Models!$BJ326:$BT326,,T326+1)*R326-ERP_i)*Q326*Ramure*Pc/MaxiM</f>
        <v>2.3181178257025291E-3</v>
      </c>
      <c r="Q326" s="301">
        <f t="shared" si="123"/>
        <v>0.5</v>
      </c>
      <c r="R326" s="173">
        <f t="shared" si="124"/>
        <v>0.49297355457978409</v>
      </c>
      <c r="S326" s="802">
        <f t="shared" si="142"/>
        <v>0</v>
      </c>
      <c r="T326" s="172">
        <f t="shared" si="125"/>
        <v>6</v>
      </c>
      <c r="U326" s="247">
        <f t="shared" si="126"/>
        <v>0.49297355457978409</v>
      </c>
      <c r="V326" s="378">
        <f t="shared" si="127"/>
        <v>25.544313867470951</v>
      </c>
      <c r="W326" s="58"/>
      <c r="X326" s="153">
        <f t="shared" si="128"/>
        <v>44873</v>
      </c>
      <c r="Y326" s="380">
        <f t="shared" si="129"/>
        <v>18.574999999999999</v>
      </c>
      <c r="Z326" s="380">
        <f t="shared" si="130"/>
        <v>18.664466307501787</v>
      </c>
      <c r="AA326" s="381">
        <f t="shared" si="131"/>
        <v>19.090890701283666</v>
      </c>
      <c r="AB326" s="193">
        <f t="shared" si="132"/>
        <v>44873</v>
      </c>
      <c r="AC326" s="420">
        <f t="shared" si="133"/>
        <v>2.2336537380794188E-2</v>
      </c>
      <c r="AD326" s="165">
        <f>(INDEX(Models!$BJ326:$BT326,,AH326)*(1-AF326)+INDEX(Models!$BJ326:$BT326,,AH326+1)*AF326-ERP_i)*AE326*Ramure*Pc/MaxiM</f>
        <v>2.3181178257025291E-3</v>
      </c>
      <c r="AE326" s="301">
        <f t="shared" si="134"/>
        <v>0.5</v>
      </c>
      <c r="AF326" s="173">
        <f t="shared" si="135"/>
        <v>0.49297355457978409</v>
      </c>
      <c r="AG326" s="802">
        <f t="shared" si="136"/>
        <v>0</v>
      </c>
      <c r="AH326" s="172">
        <f t="shared" si="137"/>
        <v>6</v>
      </c>
      <c r="AI326" s="221">
        <f t="shared" si="138"/>
        <v>0.49297355457978409</v>
      </c>
      <c r="AJ326" s="261" t="b">
        <f t="shared" si="139"/>
        <v>0</v>
      </c>
      <c r="AK326" s="261" t="b">
        <f t="shared" si="140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41"/>
        <v>44874</v>
      </c>
      <c r="B327" s="610">
        <v>10.361000000000001</v>
      </c>
      <c r="C327" s="385"/>
      <c r="D327" s="388">
        <f t="shared" si="118"/>
        <v>10.411046174577637</v>
      </c>
      <c r="E327" s="380">
        <f t="shared" si="144"/>
        <v>10.649326601747157</v>
      </c>
      <c r="F327" s="380">
        <f t="shared" si="146"/>
        <v>10.653499434199968</v>
      </c>
      <c r="G327" s="110">
        <f t="shared" si="145"/>
        <v>0.41021907459704854</v>
      </c>
      <c r="I327" s="375">
        <f t="shared" si="119"/>
        <v>10.653499434199968</v>
      </c>
      <c r="J327" s="85">
        <v>2022</v>
      </c>
      <c r="K327" s="193">
        <f t="shared" si="120"/>
        <v>44874</v>
      </c>
      <c r="L327" s="431">
        <f t="shared" si="121"/>
        <v>4.807026473462539E-3</v>
      </c>
      <c r="M327" s="847"/>
      <c r="N327" s="847"/>
      <c r="O327" s="320">
        <f t="shared" si="122"/>
        <v>2.2375163808989414E-2</v>
      </c>
      <c r="P327" s="165">
        <f>(INDEX(Models!$BJ327:$BT327,,T327)*(1-R327)+INDEX(Models!$BJ327:$BT327,,T327+1)*R327-ERP_i)*Q327*Ramure*Pc/MaxiM</f>
        <v>2.468469321529504E-3</v>
      </c>
      <c r="Q327" s="301">
        <f t="shared" si="123"/>
        <v>0.5</v>
      </c>
      <c r="R327" s="173">
        <f t="shared" si="124"/>
        <v>0.4930140962282536</v>
      </c>
      <c r="S327" s="802">
        <f t="shared" si="142"/>
        <v>0</v>
      </c>
      <c r="T327" s="172">
        <f t="shared" si="125"/>
        <v>6</v>
      </c>
      <c r="U327" s="247">
        <f t="shared" si="126"/>
        <v>0.4930140962282536</v>
      </c>
      <c r="V327" s="378">
        <f t="shared" si="127"/>
        <v>25.204761705530441</v>
      </c>
      <c r="W327" s="58"/>
      <c r="X327" s="153">
        <f t="shared" si="128"/>
        <v>44874</v>
      </c>
      <c r="Y327" s="380">
        <f t="shared" si="129"/>
        <v>10.361000000000001</v>
      </c>
      <c r="Z327" s="380">
        <f t="shared" si="130"/>
        <v>10.411046174577637</v>
      </c>
      <c r="AA327" s="381">
        <f t="shared" si="131"/>
        <v>10.649326601747157</v>
      </c>
      <c r="AB327" s="193">
        <f t="shared" si="132"/>
        <v>44874</v>
      </c>
      <c r="AC327" s="420">
        <f t="shared" si="133"/>
        <v>2.2375163808989414E-2</v>
      </c>
      <c r="AD327" s="165">
        <f>(INDEX(Models!$BJ327:$BT327,,AH327)*(1-AF327)+INDEX(Models!$BJ327:$BT327,,AH327+1)*AF327-ERP_i)*AE327*Ramure*Pc/MaxiM</f>
        <v>2.468469321529504E-3</v>
      </c>
      <c r="AE327" s="301">
        <f t="shared" si="134"/>
        <v>0.5</v>
      </c>
      <c r="AF327" s="173">
        <f t="shared" si="135"/>
        <v>0.4930140962282536</v>
      </c>
      <c r="AG327" s="802">
        <f t="shared" si="136"/>
        <v>0</v>
      </c>
      <c r="AH327" s="172">
        <f t="shared" si="137"/>
        <v>6</v>
      </c>
      <c r="AI327" s="221">
        <f t="shared" si="138"/>
        <v>0.4930140962282536</v>
      </c>
      <c r="AJ327" s="261" t="b">
        <f t="shared" si="139"/>
        <v>0</v>
      </c>
      <c r="AK327" s="261" t="b">
        <f t="shared" si="140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41"/>
        <v>44875</v>
      </c>
      <c r="B328" s="610">
        <v>18.841999999999999</v>
      </c>
      <c r="C328" s="385"/>
      <c r="D328" s="388">
        <f t="shared" si="118"/>
        <v>18.933270668018512</v>
      </c>
      <c r="E328" s="380">
        <f t="shared" si="144"/>
        <v>19.367367789785828</v>
      </c>
      <c r="F328" s="380">
        <f t="shared" si="146"/>
        <v>19.400426866804658</v>
      </c>
      <c r="G328" s="110">
        <f t="shared" si="145"/>
        <v>0.75688965658107343</v>
      </c>
      <c r="I328" s="375">
        <f t="shared" si="119"/>
        <v>19.400426866804658</v>
      </c>
      <c r="J328" s="85">
        <v>2022</v>
      </c>
      <c r="K328" s="193">
        <f t="shared" si="120"/>
        <v>44875</v>
      </c>
      <c r="L328" s="431">
        <f t="shared" si="121"/>
        <v>4.8206498295451095E-3</v>
      </c>
      <c r="M328" s="847"/>
      <c r="N328" s="847"/>
      <c r="O328" s="320">
        <f t="shared" si="122"/>
        <v>2.2413842008837885E-2</v>
      </c>
      <c r="P328" s="165">
        <f>(INDEX(Models!$BJ328:$BT328,,T328)*(1-R328)+INDEX(Models!$BJ328:$BT328,,T328+1)*R328-ERP_i)*Q328*Ramure*Pc/MaxiM</f>
        <v>2.6068462050525447E-3</v>
      </c>
      <c r="Q328" s="301">
        <f t="shared" si="123"/>
        <v>0.5</v>
      </c>
      <c r="R328" s="173">
        <f t="shared" si="124"/>
        <v>0.49305301173728877</v>
      </c>
      <c r="S328" s="802">
        <f t="shared" si="142"/>
        <v>0</v>
      </c>
      <c r="T328" s="172">
        <f t="shared" si="125"/>
        <v>6</v>
      </c>
      <c r="U328" s="247">
        <f t="shared" si="126"/>
        <v>0.49305301173728877</v>
      </c>
      <c r="V328" s="378">
        <f t="shared" si="127"/>
        <v>24.871472479263012</v>
      </c>
      <c r="W328" s="58"/>
      <c r="X328" s="153">
        <f t="shared" si="128"/>
        <v>44875</v>
      </c>
      <c r="Y328" s="380">
        <f t="shared" si="129"/>
        <v>18.841999999999999</v>
      </c>
      <c r="Z328" s="380">
        <f t="shared" si="130"/>
        <v>18.933270668018512</v>
      </c>
      <c r="AA328" s="381">
        <f t="shared" si="131"/>
        <v>19.367367789785828</v>
      </c>
      <c r="AB328" s="193">
        <f t="shared" si="132"/>
        <v>44875</v>
      </c>
      <c r="AC328" s="420">
        <f t="shared" si="133"/>
        <v>2.2413842008837885E-2</v>
      </c>
      <c r="AD328" s="165">
        <f>(INDEX(Models!$BJ328:$BT328,,AH328)*(1-AF328)+INDEX(Models!$BJ328:$BT328,,AH328+1)*AF328-ERP_i)*AE328*Ramure*Pc/MaxiM</f>
        <v>2.6068462050525447E-3</v>
      </c>
      <c r="AE328" s="301">
        <f t="shared" si="134"/>
        <v>0.5</v>
      </c>
      <c r="AF328" s="173">
        <f t="shared" si="135"/>
        <v>0.49305301173728877</v>
      </c>
      <c r="AG328" s="802">
        <f t="shared" si="136"/>
        <v>0</v>
      </c>
      <c r="AH328" s="172">
        <f t="shared" si="137"/>
        <v>6</v>
      </c>
      <c r="AI328" s="221">
        <f t="shared" si="138"/>
        <v>0.49305301173728877</v>
      </c>
      <c r="AJ328" s="261" t="b">
        <f t="shared" si="139"/>
        <v>0</v>
      </c>
      <c r="AK328" s="261" t="b">
        <f t="shared" si="140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41"/>
        <v>44876</v>
      </c>
      <c r="B329" s="610">
        <v>22.417999999999999</v>
      </c>
      <c r="C329" s="385"/>
      <c r="D329" s="388">
        <f t="shared" si="118"/>
        <v>22.526901190177867</v>
      </c>
      <c r="E329" s="380">
        <f t="shared" si="144"/>
        <v>23.04430565349422</v>
      </c>
      <c r="F329" s="380">
        <f t="shared" si="146"/>
        <v>23.099620779371207</v>
      </c>
      <c r="G329" s="110">
        <f t="shared" si="145"/>
        <v>0.91303430565658728</v>
      </c>
      <c r="I329" s="375">
        <f t="shared" si="119"/>
        <v>23.099620779371207</v>
      </c>
      <c r="J329" s="85">
        <v>2022</v>
      </c>
      <c r="K329" s="193">
        <f t="shared" si="120"/>
        <v>44876</v>
      </c>
      <c r="L329" s="431">
        <f t="shared" si="121"/>
        <v>4.8342729991354139E-3</v>
      </c>
      <c r="M329" s="847"/>
      <c r="N329" s="847"/>
      <c r="O329" s="320">
        <f t="shared" si="122"/>
        <v>2.2452595061717474E-2</v>
      </c>
      <c r="P329" s="165">
        <f>(INDEX(Models!$BJ329:$BT329,,T329)*(1-R329)+INDEX(Models!$BJ329:$BT329,,T329+1)*R329-ERP_i)*Q329*Ramure*Pc/MaxiM</f>
        <v>2.7329578609947688E-3</v>
      </c>
      <c r="Q329" s="301">
        <f t="shared" si="123"/>
        <v>0.5</v>
      </c>
      <c r="R329" s="173">
        <f t="shared" si="124"/>
        <v>0.49309036609328588</v>
      </c>
      <c r="S329" s="802">
        <f t="shared" si="142"/>
        <v>0</v>
      </c>
      <c r="T329" s="172">
        <f t="shared" si="125"/>
        <v>6</v>
      </c>
      <c r="U329" s="247">
        <f t="shared" si="126"/>
        <v>0.49309036609328588</v>
      </c>
      <c r="V329" s="378">
        <f t="shared" si="127"/>
        <v>24.544967368614202</v>
      </c>
      <c r="W329" s="58"/>
      <c r="X329" s="153">
        <f t="shared" si="128"/>
        <v>44876</v>
      </c>
      <c r="Y329" s="380">
        <f t="shared" si="129"/>
        <v>22.417999999999999</v>
      </c>
      <c r="Z329" s="380">
        <f t="shared" si="130"/>
        <v>22.526901190177867</v>
      </c>
      <c r="AA329" s="381">
        <f t="shared" si="131"/>
        <v>23.04430565349422</v>
      </c>
      <c r="AB329" s="193">
        <f t="shared" si="132"/>
        <v>44876</v>
      </c>
      <c r="AC329" s="420">
        <f t="shared" si="133"/>
        <v>2.2452595061717474E-2</v>
      </c>
      <c r="AD329" s="165">
        <f>(INDEX(Models!$BJ329:$BT329,,AH329)*(1-AF329)+INDEX(Models!$BJ329:$BT329,,AH329+1)*AF329-ERP_i)*AE329*Ramure*Pc/MaxiM</f>
        <v>2.7329578609947688E-3</v>
      </c>
      <c r="AE329" s="301">
        <f t="shared" si="134"/>
        <v>0.5</v>
      </c>
      <c r="AF329" s="173">
        <f t="shared" si="135"/>
        <v>0.49309036609328588</v>
      </c>
      <c r="AG329" s="802">
        <f t="shared" si="136"/>
        <v>0</v>
      </c>
      <c r="AH329" s="172">
        <f t="shared" si="137"/>
        <v>6</v>
      </c>
      <c r="AI329" s="221">
        <f t="shared" si="138"/>
        <v>0.49309036609328588</v>
      </c>
      <c r="AJ329" s="261" t="b">
        <f t="shared" si="139"/>
        <v>0</v>
      </c>
      <c r="AK329" s="261" t="b">
        <f t="shared" si="140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41"/>
        <v>44877</v>
      </c>
      <c r="B330" s="610">
        <v>22.554000000000002</v>
      </c>
      <c r="C330" s="385"/>
      <c r="D330" s="388">
        <f t="shared" si="118"/>
        <v>22.663872094468687</v>
      </c>
      <c r="E330" s="380">
        <f t="shared" si="144"/>
        <v>23.185343997415391</v>
      </c>
      <c r="F330" s="380">
        <f t="shared" si="146"/>
        <v>23.244988021571906</v>
      </c>
      <c r="G330" s="110">
        <f t="shared" si="145"/>
        <v>0.93073025108622454</v>
      </c>
      <c r="I330" s="375">
        <f t="shared" si="119"/>
        <v>23.244988021571906</v>
      </c>
      <c r="J330" s="85">
        <v>2022</v>
      </c>
      <c r="K330" s="193">
        <f t="shared" si="120"/>
        <v>44877</v>
      </c>
      <c r="L330" s="431">
        <f t="shared" si="121"/>
        <v>4.8478959822360057E-3</v>
      </c>
      <c r="M330" s="847"/>
      <c r="N330" s="847"/>
      <c r="O330" s="320">
        <f t="shared" si="122"/>
        <v>2.2491445587558893E-2</v>
      </c>
      <c r="P330" s="165">
        <f>(INDEX(Models!$BJ330:$BT330,,T330)*(1-R330)+INDEX(Models!$BJ330:$BT330,,T330+1)*R330-ERP_i)*Q330*Ramure*Pc/MaxiM</f>
        <v>2.8465032089375177E-3</v>
      </c>
      <c r="Q330" s="301">
        <f t="shared" si="123"/>
        <v>0.5</v>
      </c>
      <c r="R330" s="173">
        <f t="shared" si="124"/>
        <v>0.49312622170434911</v>
      </c>
      <c r="S330" s="802">
        <f t="shared" si="142"/>
        <v>0</v>
      </c>
      <c r="T330" s="172">
        <f t="shared" si="125"/>
        <v>6</v>
      </c>
      <c r="U330" s="247">
        <f t="shared" si="126"/>
        <v>0.49312622170434911</v>
      </c>
      <c r="V330" s="378">
        <f t="shared" si="127"/>
        <v>24.225767547199013</v>
      </c>
      <c r="W330" s="58"/>
      <c r="X330" s="153">
        <f t="shared" si="128"/>
        <v>44877</v>
      </c>
      <c r="Y330" s="380">
        <f t="shared" si="129"/>
        <v>22.554000000000002</v>
      </c>
      <c r="Z330" s="380">
        <f t="shared" si="130"/>
        <v>22.663872094468687</v>
      </c>
      <c r="AA330" s="381">
        <f t="shared" si="131"/>
        <v>23.185343997415391</v>
      </c>
      <c r="AB330" s="193">
        <f t="shared" si="132"/>
        <v>44877</v>
      </c>
      <c r="AC330" s="420">
        <f t="shared" si="133"/>
        <v>2.2491445587558893E-2</v>
      </c>
      <c r="AD330" s="165">
        <f>(INDEX(Models!$BJ330:$BT330,,AH330)*(1-AF330)+INDEX(Models!$BJ330:$BT330,,AH330+1)*AF330-ERP_i)*AE330*Ramure*Pc/MaxiM</f>
        <v>2.8465032089375177E-3</v>
      </c>
      <c r="AE330" s="301">
        <f t="shared" si="134"/>
        <v>0.5</v>
      </c>
      <c r="AF330" s="173">
        <f t="shared" si="135"/>
        <v>0.49312622170434911</v>
      </c>
      <c r="AG330" s="802">
        <f t="shared" si="136"/>
        <v>0</v>
      </c>
      <c r="AH330" s="172">
        <f t="shared" si="137"/>
        <v>6</v>
      </c>
      <c r="AI330" s="221">
        <f t="shared" si="138"/>
        <v>0.49312622170434911</v>
      </c>
      <c r="AJ330" s="261" t="b">
        <f t="shared" si="139"/>
        <v>0</v>
      </c>
      <c r="AK330" s="261" t="b">
        <f t="shared" si="140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41"/>
        <v>44878</v>
      </c>
      <c r="B331" s="610">
        <v>21.478000000000002</v>
      </c>
      <c r="C331" s="385"/>
      <c r="D331" s="388">
        <f t="shared" si="118"/>
        <v>21.582925799074715</v>
      </c>
      <c r="E331" s="380">
        <f t="shared" si="144"/>
        <v>22.080406535813815</v>
      </c>
      <c r="F331" s="380">
        <f t="shared" si="146"/>
        <v>22.136158270343074</v>
      </c>
      <c r="G331" s="110">
        <f t="shared" si="145"/>
        <v>0.8977839898529697</v>
      </c>
      <c r="I331" s="375">
        <f t="shared" si="119"/>
        <v>22.136158270343074</v>
      </c>
      <c r="J331" s="85">
        <v>2022</v>
      </c>
      <c r="K331" s="193">
        <f t="shared" si="120"/>
        <v>44878</v>
      </c>
      <c r="L331" s="431">
        <f t="shared" si="121"/>
        <v>4.8615187788493275E-3</v>
      </c>
      <c r="M331" s="847"/>
      <c r="N331" s="847"/>
      <c r="O331" s="320">
        <f t="shared" si="122"/>
        <v>2.2530415639413208E-2</v>
      </c>
      <c r="P331" s="165">
        <f>(INDEX(Models!$BJ331:$BT331,,T331)*(1-R331)+INDEX(Models!$BJ331:$BT331,,T331+1)*R331-ERP_i)*Q331*Ramure*Pc/MaxiM</f>
        <v>2.9473350186089296E-3</v>
      </c>
      <c r="Q331" s="301">
        <f t="shared" si="123"/>
        <v>0.5</v>
      </c>
      <c r="R331" s="173">
        <f t="shared" si="124"/>
        <v>0.49316063850109981</v>
      </c>
      <c r="S331" s="802">
        <f t="shared" si="142"/>
        <v>0</v>
      </c>
      <c r="T331" s="172">
        <f t="shared" si="125"/>
        <v>6</v>
      </c>
      <c r="U331" s="247">
        <f t="shared" si="126"/>
        <v>0.49316063850109981</v>
      </c>
      <c r="V331" s="378">
        <f t="shared" si="127"/>
        <v>23.913066214557208</v>
      </c>
      <c r="W331" s="58"/>
      <c r="X331" s="153">
        <f t="shared" si="128"/>
        <v>44878</v>
      </c>
      <c r="Y331" s="380">
        <f t="shared" si="129"/>
        <v>21.478000000000002</v>
      </c>
      <c r="Z331" s="380">
        <f t="shared" si="130"/>
        <v>21.582925799074715</v>
      </c>
      <c r="AA331" s="381">
        <f t="shared" si="131"/>
        <v>22.080406535813815</v>
      </c>
      <c r="AB331" s="193">
        <f t="shared" si="132"/>
        <v>44878</v>
      </c>
      <c r="AC331" s="420">
        <f t="shared" si="133"/>
        <v>2.2530415639413208E-2</v>
      </c>
      <c r="AD331" s="165">
        <f>(INDEX(Models!$BJ331:$BT331,,AH331)*(1-AF331)+INDEX(Models!$BJ331:$BT331,,AH331+1)*AF331-ERP_i)*AE331*Ramure*Pc/MaxiM</f>
        <v>2.9473350186089296E-3</v>
      </c>
      <c r="AE331" s="301">
        <f t="shared" si="134"/>
        <v>0.5</v>
      </c>
      <c r="AF331" s="173">
        <f t="shared" si="135"/>
        <v>0.49316063850109981</v>
      </c>
      <c r="AG331" s="802">
        <f t="shared" si="136"/>
        <v>0</v>
      </c>
      <c r="AH331" s="172">
        <f t="shared" si="137"/>
        <v>6</v>
      </c>
      <c r="AI331" s="221">
        <f t="shared" si="138"/>
        <v>0.49316063850109981</v>
      </c>
      <c r="AJ331" s="261" t="b">
        <f t="shared" si="139"/>
        <v>0</v>
      </c>
      <c r="AK331" s="261" t="b">
        <f t="shared" si="140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41"/>
        <v>44879</v>
      </c>
      <c r="B332" s="610">
        <v>11.607000000000001</v>
      </c>
      <c r="C332" s="385"/>
      <c r="D332" s="388">
        <f t="shared" si="118"/>
        <v>11.663862981174896</v>
      </c>
      <c r="E332" s="380">
        <f t="shared" si="144"/>
        <v>11.933189417160197</v>
      </c>
      <c r="F332" s="380">
        <f t="shared" si="146"/>
        <v>11.943103695327389</v>
      </c>
      <c r="G332" s="110">
        <f t="shared" si="145"/>
        <v>0.4906179890782148</v>
      </c>
      <c r="I332" s="375">
        <f t="shared" si="119"/>
        <v>11.943103695327389</v>
      </c>
      <c r="J332" s="85">
        <v>2022</v>
      </c>
      <c r="K332" s="193">
        <f t="shared" si="120"/>
        <v>44879</v>
      </c>
      <c r="L332" s="431">
        <f t="shared" si="121"/>
        <v>4.8751413889780437E-3</v>
      </c>
      <c r="M332" s="847"/>
      <c r="N332" s="847"/>
      <c r="O332" s="320">
        <f t="shared" si="122"/>
        <v>2.2569526600994337E-2</v>
      </c>
      <c r="P332" s="165">
        <f>(INDEX(Models!$BJ332:$BT332,,T332)*(1-R332)+INDEX(Models!$BJ332:$BT332,,T332+1)*R332-ERP_i)*Q332*Ramure*Pc/MaxiM</f>
        <v>3.0312180479178672E-3</v>
      </c>
      <c r="Q332" s="301">
        <f t="shared" si="123"/>
        <v>0.5</v>
      </c>
      <c r="R332" s="173">
        <f t="shared" si="124"/>
        <v>0.49319367403366149</v>
      </c>
      <c r="S332" s="802">
        <f t="shared" si="142"/>
        <v>0</v>
      </c>
      <c r="T332" s="172">
        <f t="shared" si="125"/>
        <v>6</v>
      </c>
      <c r="U332" s="247">
        <f t="shared" si="126"/>
        <v>0.49319367403366149</v>
      </c>
      <c r="V332" s="378">
        <f t="shared" si="127"/>
        <v>23.605801161035952</v>
      </c>
      <c r="W332" s="58"/>
      <c r="X332" s="153">
        <f t="shared" si="128"/>
        <v>44879</v>
      </c>
      <c r="Y332" s="380">
        <f t="shared" si="129"/>
        <v>11.607000000000001</v>
      </c>
      <c r="Z332" s="380">
        <f t="shared" si="130"/>
        <v>11.663862981174896</v>
      </c>
      <c r="AA332" s="381">
        <f t="shared" si="131"/>
        <v>11.933189417160197</v>
      </c>
      <c r="AB332" s="193">
        <f t="shared" si="132"/>
        <v>44879</v>
      </c>
      <c r="AC332" s="420">
        <f t="shared" si="133"/>
        <v>2.2569526600994337E-2</v>
      </c>
      <c r="AD332" s="165">
        <f>(INDEX(Models!$BJ332:$BT332,,AH332)*(1-AF332)+INDEX(Models!$BJ332:$BT332,,AH332+1)*AF332-ERP_i)*AE332*Ramure*Pc/MaxiM</f>
        <v>3.0312180479178672E-3</v>
      </c>
      <c r="AE332" s="301">
        <f t="shared" si="134"/>
        <v>0.5</v>
      </c>
      <c r="AF332" s="173">
        <f t="shared" si="135"/>
        <v>0.49319367403366149</v>
      </c>
      <c r="AG332" s="802">
        <f t="shared" si="136"/>
        <v>0</v>
      </c>
      <c r="AH332" s="172">
        <f t="shared" si="137"/>
        <v>6</v>
      </c>
      <c r="AI332" s="221">
        <f t="shared" si="138"/>
        <v>0.49319367403366149</v>
      </c>
      <c r="AJ332" s="261" t="b">
        <f t="shared" si="139"/>
        <v>0</v>
      </c>
      <c r="AK332" s="261" t="b">
        <f t="shared" si="140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41"/>
        <v>44880</v>
      </c>
      <c r="B333" s="610">
        <v>13.18</v>
      </c>
      <c r="C333" s="385"/>
      <c r="D333" s="388">
        <f t="shared" si="118"/>
        <v>13.244750456740155</v>
      </c>
      <c r="E333" s="380">
        <f t="shared" si="144"/>
        <v>13.551125122039823</v>
      </c>
      <c r="F333" s="380">
        <f t="shared" si="146"/>
        <v>13.567075240802856</v>
      </c>
      <c r="G333" s="110">
        <f t="shared" si="145"/>
        <v>0.56448066072697189</v>
      </c>
      <c r="I333" s="375">
        <f t="shared" si="119"/>
        <v>13.567075240802856</v>
      </c>
      <c r="J333" s="85">
        <v>2022</v>
      </c>
      <c r="K333" s="193">
        <f t="shared" si="120"/>
        <v>44880</v>
      </c>
      <c r="L333" s="431">
        <f t="shared" si="121"/>
        <v>4.8887638126245969E-3</v>
      </c>
      <c r="M333" s="847"/>
      <c r="N333" s="847"/>
      <c r="O333" s="320">
        <f t="shared" si="122"/>
        <v>2.2608799087935026E-2</v>
      </c>
      <c r="P333" s="165">
        <f>(INDEX(Models!$BJ333:$BT333,,T333)*(1-R333)+INDEX(Models!$BJ333:$BT333,,T333+1)*R333-ERP_i)*Q333*Ramure*Pc/MaxiM</f>
        <v>3.0988268898261236E-3</v>
      </c>
      <c r="Q333" s="301">
        <f t="shared" si="123"/>
        <v>0.5</v>
      </c>
      <c r="R333" s="173">
        <f t="shared" si="124"/>
        <v>0.4932253835649566</v>
      </c>
      <c r="S333" s="802">
        <f t="shared" si="142"/>
        <v>0</v>
      </c>
      <c r="T333" s="172">
        <f t="shared" si="125"/>
        <v>6</v>
      </c>
      <c r="U333" s="247">
        <f t="shared" si="126"/>
        <v>0.4932253835649566</v>
      </c>
      <c r="V333" s="378">
        <f t="shared" si="127"/>
        <v>23.303938639747908</v>
      </c>
      <c r="W333" s="58"/>
      <c r="X333" s="153">
        <f t="shared" si="128"/>
        <v>44880</v>
      </c>
      <c r="Y333" s="380">
        <f t="shared" si="129"/>
        <v>13.18</v>
      </c>
      <c r="Z333" s="380">
        <f t="shared" si="130"/>
        <v>13.244750456740155</v>
      </c>
      <c r="AA333" s="381">
        <f t="shared" si="131"/>
        <v>13.551125122039823</v>
      </c>
      <c r="AB333" s="193">
        <f t="shared" si="132"/>
        <v>44880</v>
      </c>
      <c r="AC333" s="420">
        <f t="shared" si="133"/>
        <v>2.2608799087935026E-2</v>
      </c>
      <c r="AD333" s="165">
        <f>(INDEX(Models!$BJ333:$BT333,,AH333)*(1-AF333)+INDEX(Models!$BJ333:$BT333,,AH333+1)*AF333-ERP_i)*AE333*Ramure*Pc/MaxiM</f>
        <v>3.0988268898261236E-3</v>
      </c>
      <c r="AE333" s="301">
        <f t="shared" si="134"/>
        <v>0.5</v>
      </c>
      <c r="AF333" s="173">
        <f t="shared" si="135"/>
        <v>0.4932253835649566</v>
      </c>
      <c r="AG333" s="802">
        <f t="shared" si="136"/>
        <v>0</v>
      </c>
      <c r="AH333" s="172">
        <f t="shared" si="137"/>
        <v>6</v>
      </c>
      <c r="AI333" s="221">
        <f t="shared" si="138"/>
        <v>0.4932253835649566</v>
      </c>
      <c r="AJ333" s="261" t="b">
        <f t="shared" si="139"/>
        <v>0</v>
      </c>
      <c r="AK333" s="261" t="b">
        <f t="shared" si="140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41"/>
        <v>44881</v>
      </c>
      <c r="B334" s="610">
        <v>22.015000000000001</v>
      </c>
      <c r="C334" s="385"/>
      <c r="D334" s="388">
        <f t="shared" si="118"/>
        <v>22.123457730551412</v>
      </c>
      <c r="E334" s="380">
        <f t="shared" si="144"/>
        <v>22.636126445921761</v>
      </c>
      <c r="F334" s="380">
        <f t="shared" si="146"/>
        <v>22.703232155133165</v>
      </c>
      <c r="G334" s="110">
        <f t="shared" si="145"/>
        <v>0.9566769308675831</v>
      </c>
      <c r="I334" s="375">
        <f t="shared" si="119"/>
        <v>22.703232155133165</v>
      </c>
      <c r="J334" s="85">
        <v>2022</v>
      </c>
      <c r="K334" s="193">
        <f t="shared" si="120"/>
        <v>44881</v>
      </c>
      <c r="L334" s="431">
        <f t="shared" si="121"/>
        <v>4.9023860497916516E-3</v>
      </c>
      <c r="M334" s="847"/>
      <c r="N334" s="847"/>
      <c r="O334" s="320">
        <f t="shared" si="122"/>
        <v>2.2648252853469757E-2</v>
      </c>
      <c r="P334" s="165">
        <f>(INDEX(Models!$BJ334:$BT334,,T334)*(1-R334)+INDEX(Models!$BJ334:$BT334,,T334+1)*R334-ERP_i)*Q334*Ramure*Pc/MaxiM</f>
        <v>3.1498863010933765E-3</v>
      </c>
      <c r="Q334" s="301">
        <f t="shared" si="123"/>
        <v>0.5</v>
      </c>
      <c r="R334" s="173">
        <f t="shared" si="124"/>
        <v>0.49325582016044617</v>
      </c>
      <c r="S334" s="802">
        <f t="shared" si="142"/>
        <v>0</v>
      </c>
      <c r="T334" s="172">
        <f t="shared" si="125"/>
        <v>6</v>
      </c>
      <c r="U334" s="247">
        <f t="shared" si="126"/>
        <v>0.49325582016044617</v>
      </c>
      <c r="V334" s="378">
        <f t="shared" si="127"/>
        <v>23.007468166553277</v>
      </c>
      <c r="W334" s="58"/>
      <c r="X334" s="153">
        <f t="shared" si="128"/>
        <v>44881</v>
      </c>
      <c r="Y334" s="380">
        <f t="shared" si="129"/>
        <v>22.015000000000001</v>
      </c>
      <c r="Z334" s="380">
        <f t="shared" si="130"/>
        <v>22.123457730551412</v>
      </c>
      <c r="AA334" s="381">
        <f t="shared" si="131"/>
        <v>22.636126445921761</v>
      </c>
      <c r="AB334" s="193">
        <f t="shared" si="132"/>
        <v>44881</v>
      </c>
      <c r="AC334" s="420">
        <f t="shared" si="133"/>
        <v>2.2648252853469757E-2</v>
      </c>
      <c r="AD334" s="165">
        <f>(INDEX(Models!$BJ334:$BT334,,AH334)*(1-AF334)+INDEX(Models!$BJ334:$BT334,,AH334+1)*AF334-ERP_i)*AE334*Ramure*Pc/MaxiM</f>
        <v>3.1498863010933765E-3</v>
      </c>
      <c r="AE334" s="301">
        <f t="shared" si="134"/>
        <v>0.5</v>
      </c>
      <c r="AF334" s="173">
        <f t="shared" si="135"/>
        <v>0.49325582016044617</v>
      </c>
      <c r="AG334" s="802">
        <f t="shared" si="136"/>
        <v>0</v>
      </c>
      <c r="AH334" s="172">
        <f t="shared" si="137"/>
        <v>6</v>
      </c>
      <c r="AI334" s="221">
        <f t="shared" si="138"/>
        <v>0.49325582016044617</v>
      </c>
      <c r="AJ334" s="261" t="b">
        <f t="shared" si="139"/>
        <v>0</v>
      </c>
      <c r="AK334" s="261" t="b">
        <f t="shared" si="140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41"/>
        <v>44882</v>
      </c>
      <c r="B335" s="610">
        <v>14.472</v>
      </c>
      <c r="C335" s="385"/>
      <c r="D335" s="388">
        <f t="shared" ref="D335:D379" si="147">Wh/(1-Ppv)</f>
        <v>14.543495943869383</v>
      </c>
      <c r="E335" s="380">
        <f t="shared" si="144"/>
        <v>14.881117345790923</v>
      </c>
      <c r="F335" s="380">
        <f t="shared" si="146"/>
        <v>14.903968962126475</v>
      </c>
      <c r="G335" s="110">
        <f t="shared" si="145"/>
        <v>0.63602001490954252</v>
      </c>
      <c r="I335" s="375">
        <f t="shared" ref="I335:I380" si="148">Wh_hp</f>
        <v>14.903968962126475</v>
      </c>
      <c r="J335" s="85">
        <v>2022</v>
      </c>
      <c r="K335" s="193">
        <f t="shared" ref="K335:K379" si="149">t</f>
        <v>44882</v>
      </c>
      <c r="L335" s="431">
        <f t="shared" ref="L335:L378" si="150">IF(t&lt;T0,0,IF(t&lt;Tvie,1-EXP((T0-t)*PertePVj),1-EXP((T0-t)*PertePVj)+Pspv))</f>
        <v>4.9160081004816503E-3</v>
      </c>
      <c r="M335" s="847"/>
      <c r="N335" s="847"/>
      <c r="O335" s="320">
        <f t="shared" ref="O335:O379" si="151">IF(t&lt;T0,0,IF(t&lt;Tnet,Salim_i*(1-EXP((T0-t)/Tau_ij)),Resal+(Salim-Resal)*(1-EXP((Tnet-t)/(Tau_j)))))*Salcycl</f>
        <v>2.2687906699226126E-2</v>
      </c>
      <c r="P335" s="165">
        <f>(INDEX(Models!$BJ335:$BT335,,T335)*(1-R335)+INDEX(Models!$BJ335:$BT335,,T335+1)*R335-ERP_i)*Q335*Ramure*Pc/MaxiM</f>
        <v>3.1841140360076708E-3</v>
      </c>
      <c r="Q335" s="301">
        <f t="shared" ref="Q335:Q379" si="152">IF(OR(t&lt;Ttai,Notai),Dd+PousD*Croivg,Dens+PousD*(Croivg-Croi_tai))</f>
        <v>0.5</v>
      </c>
      <c r="R335" s="173">
        <f t="shared" ref="R335:R379" si="153">(Hp_vg-S335)/(INDEX(Echel_vg,T335+1)-S335)</f>
        <v>0.49328503477444041</v>
      </c>
      <c r="S335" s="802">
        <f t="shared" si="142"/>
        <v>0</v>
      </c>
      <c r="T335" s="172">
        <f t="shared" ref="T335:T379" si="154">MIN(MATCH(Hp_vg,Echel_vg),10)</f>
        <v>6</v>
      </c>
      <c r="U335" s="247">
        <f t="shared" ref="U335:U379" si="155">IF(OR(t&lt;Ttai,Notai),Hdd+PousH*Croivg,Hdtf+PousH*(Croivg-Croi_tai))</f>
        <v>0.49328503477444041</v>
      </c>
      <c r="V335" s="378">
        <f t="shared" ref="V335:V379" si="156">MaxiM*(1-Ppv)*(1-Pvg)*(1-Psa)</f>
        <v>22.71637962993049</v>
      </c>
      <c r="W335" s="58"/>
      <c r="X335" s="153">
        <f t="shared" ref="X335:X379" si="157">t</f>
        <v>44882</v>
      </c>
      <c r="Y335" s="380">
        <f t="shared" ref="Y335:Y379" si="158">Wh_pvt_s*(1-Ppv)</f>
        <v>14.472</v>
      </c>
      <c r="Z335" s="380">
        <f t="shared" ref="Z335:Z379" si="159">Wh_sa_s*(1-Psa_s)</f>
        <v>14.543495943869383</v>
      </c>
      <c r="AA335" s="381">
        <f t="shared" ref="AA335:AA379" si="160">Wh_hp*(1-Pvg_s*MEDIAN((-Sdif+Wh/Env_an)/Csdif,0,1))</f>
        <v>14.881117345790923</v>
      </c>
      <c r="AB335" s="193">
        <f t="shared" ref="AB335:AB379" si="161">t</f>
        <v>44882</v>
      </c>
      <c r="AC335" s="420">
        <f t="shared" ref="AC335:AC379" si="162">IF(t&lt;T0,0,IF(OR(t&lt;Tnet,NoTnet),Salim_i*(1-EXP((T0-t)/Tau_ij)),Resal_s+(Salim-Resal_s)*(1-EXP((Tnet_s-t)/Tau_j))))*Salcycl</f>
        <v>2.2687906699226126E-2</v>
      </c>
      <c r="AD335" s="165">
        <f>(INDEX(Models!$BJ335:$BT335,,AH335)*(1-AF335)+INDEX(Models!$BJ335:$BT335,,AH335+1)*AF335-ERP_i)*AE335*Ramure*Pc/MaxiM</f>
        <v>3.1841140360076708E-3</v>
      </c>
      <c r="AE335" s="301">
        <f t="shared" ref="AE335:AE379" si="163">Dd+PousD*Croivg</f>
        <v>0.5</v>
      </c>
      <c r="AF335" s="173">
        <f t="shared" ref="AF335:AF379" si="164">(Hp_vg_s-AG335)/(INDEX(Echel_vg,AH335+1)-AG335)</f>
        <v>0.49328503477444041</v>
      </c>
      <c r="AG335" s="802">
        <f t="shared" ref="AG335:AG379" si="165">INDEX(Echel_vg,AH335)</f>
        <v>0</v>
      </c>
      <c r="AH335" s="172">
        <f t="shared" ref="AH335:AH379" si="166">MIN(MATCH(Hp_vg_s,Echel_vg),10)</f>
        <v>6</v>
      </c>
      <c r="AI335" s="221">
        <f t="shared" ref="AI335:AI379" si="167">Hdd+PousH*Croivg</f>
        <v>0.49328503477444041</v>
      </c>
      <c r="AJ335" s="261" t="b">
        <f t="shared" ref="AJ335:AJ380" si="168">t&lt;Tnet</f>
        <v>0</v>
      </c>
      <c r="AK335" s="261" t="b">
        <f t="shared" ref="AK335:AK380" si="16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70">A335+1</f>
        <v>44883</v>
      </c>
      <c r="B336" s="610">
        <v>11.996</v>
      </c>
      <c r="C336" s="385"/>
      <c r="D336" s="388">
        <f t="shared" si="147"/>
        <v>12.055428803064865</v>
      </c>
      <c r="E336" s="380">
        <f t="shared" si="144"/>
        <v>12.335793995276015</v>
      </c>
      <c r="F336" s="380">
        <f t="shared" si="146"/>
        <v>12.349054372733571</v>
      </c>
      <c r="G336" s="110">
        <f t="shared" si="145"/>
        <v>0.53366464637048272</v>
      </c>
      <c r="I336" s="375">
        <f t="shared" si="148"/>
        <v>12.349054372733571</v>
      </c>
      <c r="J336" s="85">
        <v>2022</v>
      </c>
      <c r="K336" s="193">
        <f t="shared" si="149"/>
        <v>44883</v>
      </c>
      <c r="L336" s="431">
        <f t="shared" si="150"/>
        <v>4.9296299646973685E-3</v>
      </c>
      <c r="M336" s="847"/>
      <c r="N336" s="847"/>
      <c r="O336" s="320">
        <f t="shared" si="151"/>
        <v>2.2727778391769128E-2</v>
      </c>
      <c r="P336" s="165">
        <f>(INDEX(Models!$BJ336:$BT336,,T336)*(1-R336)+INDEX(Models!$BJ336:$BT336,,T336+1)*R336-ERP_i)*Q336*Ramure*Pc/MaxiM</f>
        <v>3.201219330391978E-3</v>
      </c>
      <c r="Q336" s="301">
        <f t="shared" si="152"/>
        <v>0.5</v>
      </c>
      <c r="R336" s="173">
        <f t="shared" si="153"/>
        <v>0.49331307633310378</v>
      </c>
      <c r="S336" s="802">
        <f t="shared" ref="S336:S379" si="171">INDEX(Echel_vg,T336)</f>
        <v>0</v>
      </c>
      <c r="T336" s="172">
        <f t="shared" si="154"/>
        <v>6</v>
      </c>
      <c r="U336" s="247">
        <f t="shared" si="155"/>
        <v>0.49331307633310378</v>
      </c>
      <c r="V336" s="378">
        <f t="shared" si="156"/>
        <v>22.430663319562193</v>
      </c>
      <c r="W336" s="58"/>
      <c r="X336" s="153">
        <f t="shared" si="157"/>
        <v>44883</v>
      </c>
      <c r="Y336" s="380">
        <f t="shared" si="158"/>
        <v>11.996</v>
      </c>
      <c r="Z336" s="380">
        <f t="shared" si="159"/>
        <v>12.055428803064865</v>
      </c>
      <c r="AA336" s="381">
        <f t="shared" si="160"/>
        <v>12.335793995276015</v>
      </c>
      <c r="AB336" s="193">
        <f t="shared" si="161"/>
        <v>44883</v>
      </c>
      <c r="AC336" s="420">
        <f t="shared" si="162"/>
        <v>2.2727778391769128E-2</v>
      </c>
      <c r="AD336" s="165">
        <f>(INDEX(Models!$BJ336:$BT336,,AH336)*(1-AF336)+INDEX(Models!$BJ336:$BT336,,AH336+1)*AF336-ERP_i)*AE336*Ramure*Pc/MaxiM</f>
        <v>3.201219330391978E-3</v>
      </c>
      <c r="AE336" s="301">
        <f t="shared" si="163"/>
        <v>0.5</v>
      </c>
      <c r="AF336" s="173">
        <f t="shared" si="164"/>
        <v>0.49331307633310378</v>
      </c>
      <c r="AG336" s="802">
        <f t="shared" si="165"/>
        <v>0</v>
      </c>
      <c r="AH336" s="172">
        <f t="shared" si="166"/>
        <v>6</v>
      </c>
      <c r="AI336" s="221">
        <f t="shared" si="167"/>
        <v>0.49331307633310378</v>
      </c>
      <c r="AJ336" s="261" t="b">
        <f t="shared" si="168"/>
        <v>0</v>
      </c>
      <c r="AK336" s="261" t="b">
        <f t="shared" si="16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70"/>
        <v>44884</v>
      </c>
      <c r="B337" s="610">
        <v>8.609</v>
      </c>
      <c r="C337" s="385"/>
      <c r="D337" s="388">
        <f t="shared" si="147"/>
        <v>8.6517678657122019</v>
      </c>
      <c r="E337" s="380">
        <f t="shared" si="144"/>
        <v>8.8533396817832628</v>
      </c>
      <c r="F337" s="380">
        <f t="shared" si="146"/>
        <v>8.8569305429618339</v>
      </c>
      <c r="G337" s="110">
        <f t="shared" si="145"/>
        <v>0.38757579624374516</v>
      </c>
      <c r="I337" s="375">
        <f t="shared" si="148"/>
        <v>8.8569305429618339</v>
      </c>
      <c r="J337" s="85">
        <v>2022</v>
      </c>
      <c r="K337" s="193">
        <f t="shared" si="149"/>
        <v>44884</v>
      </c>
      <c r="L337" s="431">
        <f t="shared" si="150"/>
        <v>4.9432516424411377E-3</v>
      </c>
      <c r="M337" s="847"/>
      <c r="N337" s="847"/>
      <c r="O337" s="320">
        <f t="shared" si="151"/>
        <v>2.2767884585499162E-2</v>
      </c>
      <c r="P337" s="165">
        <f>(INDEX(Models!$BJ337:$BT337,,T337)*(1-R337)+INDEX(Models!$BJ337:$BT337,,T337+1)*R337-ERP_i)*Q337*Ramure*Pc/MaxiM</f>
        <v>3.2009014581099514E-3</v>
      </c>
      <c r="Q337" s="301">
        <f t="shared" si="152"/>
        <v>0.5</v>
      </c>
      <c r="R337" s="173">
        <f t="shared" si="153"/>
        <v>0.49333999181427429</v>
      </c>
      <c r="S337" s="802">
        <f t="shared" si="171"/>
        <v>0</v>
      </c>
      <c r="T337" s="172">
        <f t="shared" si="154"/>
        <v>6</v>
      </c>
      <c r="U337" s="247">
        <f t="shared" si="155"/>
        <v>0.49333999181427429</v>
      </c>
      <c r="V337" s="378">
        <f t="shared" si="156"/>
        <v>22.150309963242911</v>
      </c>
      <c r="W337" s="58"/>
      <c r="X337" s="153">
        <f t="shared" si="157"/>
        <v>44884</v>
      </c>
      <c r="Y337" s="380">
        <f t="shared" si="158"/>
        <v>8.609</v>
      </c>
      <c r="Z337" s="380">
        <f t="shared" si="159"/>
        <v>8.6517678657122019</v>
      </c>
      <c r="AA337" s="381">
        <f t="shared" si="160"/>
        <v>8.8533396817832628</v>
      </c>
      <c r="AB337" s="193">
        <f t="shared" si="161"/>
        <v>44884</v>
      </c>
      <c r="AC337" s="420">
        <f t="shared" si="162"/>
        <v>2.2767884585499162E-2</v>
      </c>
      <c r="AD337" s="165">
        <f>(INDEX(Models!$BJ337:$BT337,,AH337)*(1-AF337)+INDEX(Models!$BJ337:$BT337,,AH337+1)*AF337-ERP_i)*AE337*Ramure*Pc/MaxiM</f>
        <v>3.2009014581099514E-3</v>
      </c>
      <c r="AE337" s="301">
        <f t="shared" si="163"/>
        <v>0.5</v>
      </c>
      <c r="AF337" s="173">
        <f t="shared" si="164"/>
        <v>0.49333999181427429</v>
      </c>
      <c r="AG337" s="802">
        <f t="shared" si="165"/>
        <v>0</v>
      </c>
      <c r="AH337" s="172">
        <f t="shared" si="166"/>
        <v>6</v>
      </c>
      <c r="AI337" s="221">
        <f t="shared" si="167"/>
        <v>0.49333999181427429</v>
      </c>
      <c r="AJ337" s="261" t="b">
        <f t="shared" si="168"/>
        <v>0</v>
      </c>
      <c r="AK337" s="261" t="b">
        <f t="shared" si="16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70"/>
        <v>44885</v>
      </c>
      <c r="B338" s="610">
        <v>15.497</v>
      </c>
      <c r="C338" s="385"/>
      <c r="D338" s="388">
        <f t="shared" si="147"/>
        <v>15.574199330239193</v>
      </c>
      <c r="E338" s="380">
        <f t="shared" si="144"/>
        <v>15.937710467627788</v>
      </c>
      <c r="F338" s="380">
        <f t="shared" si="146"/>
        <v>15.967385749042172</v>
      </c>
      <c r="G338" s="110">
        <f t="shared" si="145"/>
        <v>0.70748426989144253</v>
      </c>
      <c r="I338" s="375">
        <f t="shared" si="148"/>
        <v>15.967385749042172</v>
      </c>
      <c r="J338" s="85">
        <v>2022</v>
      </c>
      <c r="K338" s="193">
        <f t="shared" si="149"/>
        <v>44885</v>
      </c>
      <c r="L338" s="431">
        <f t="shared" si="150"/>
        <v>4.9568731337155114E-3</v>
      </c>
      <c r="M338" s="847"/>
      <c r="N338" s="847"/>
      <c r="O338" s="320">
        <f t="shared" si="151"/>
        <v>2.2808240752456171E-2</v>
      </c>
      <c r="P338" s="165">
        <f>(INDEX(Models!$BJ338:$BT338,,T338)*(1-R338)+INDEX(Models!$BJ338:$BT338,,T338+1)*R338-ERP_i)*Q338*Ramure*Pc/MaxiM</f>
        <v>3.1852663320639449E-3</v>
      </c>
      <c r="Q338" s="301">
        <f t="shared" si="152"/>
        <v>0.5</v>
      </c>
      <c r="R338" s="173">
        <f t="shared" si="153"/>
        <v>0.49336582632421333</v>
      </c>
      <c r="S338" s="802">
        <f t="shared" si="171"/>
        <v>0</v>
      </c>
      <c r="T338" s="172">
        <f t="shared" si="154"/>
        <v>6</v>
      </c>
      <c r="U338" s="247">
        <f t="shared" si="155"/>
        <v>0.49336582632421333</v>
      </c>
      <c r="V338" s="378">
        <f t="shared" si="156"/>
        <v>21.875257691576685</v>
      </c>
      <c r="W338" s="58"/>
      <c r="X338" s="153">
        <f t="shared" si="157"/>
        <v>44885</v>
      </c>
      <c r="Y338" s="380">
        <f t="shared" si="158"/>
        <v>15.497</v>
      </c>
      <c r="Z338" s="380">
        <f t="shared" si="159"/>
        <v>15.574199330239193</v>
      </c>
      <c r="AA338" s="381">
        <f t="shared" si="160"/>
        <v>15.937710467627788</v>
      </c>
      <c r="AB338" s="193">
        <f t="shared" si="161"/>
        <v>44885</v>
      </c>
      <c r="AC338" s="420">
        <f t="shared" si="162"/>
        <v>2.2808240752456171E-2</v>
      </c>
      <c r="AD338" s="165">
        <f>(INDEX(Models!$BJ338:$BT338,,AH338)*(1-AF338)+INDEX(Models!$BJ338:$BT338,,AH338+1)*AF338-ERP_i)*AE338*Ramure*Pc/MaxiM</f>
        <v>3.1852663320639449E-3</v>
      </c>
      <c r="AE338" s="301">
        <f t="shared" si="163"/>
        <v>0.5</v>
      </c>
      <c r="AF338" s="173">
        <f t="shared" si="164"/>
        <v>0.49336582632421333</v>
      </c>
      <c r="AG338" s="802">
        <f t="shared" si="165"/>
        <v>0</v>
      </c>
      <c r="AH338" s="172">
        <f t="shared" si="166"/>
        <v>6</v>
      </c>
      <c r="AI338" s="221">
        <f t="shared" si="167"/>
        <v>0.49336582632421333</v>
      </c>
      <c r="AJ338" s="261" t="b">
        <f t="shared" si="168"/>
        <v>0</v>
      </c>
      <c r="AK338" s="261" t="b">
        <f t="shared" si="16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70"/>
        <v>44886</v>
      </c>
      <c r="B339" s="610">
        <v>3.5289999999999999</v>
      </c>
      <c r="C339" s="385"/>
      <c r="D339" s="388">
        <f t="shared" si="147"/>
        <v>3.5466284972209445</v>
      </c>
      <c r="E339" s="380">
        <f t="shared" si="144"/>
        <v>3.629559805133463</v>
      </c>
      <c r="F339" s="380">
        <f t="shared" si="146"/>
        <v>3.629559805133463</v>
      </c>
      <c r="G339" s="110">
        <f t="shared" si="145"/>
        <v>0.16282287129885112</v>
      </c>
      <c r="I339" s="375">
        <f t="shared" si="148"/>
        <v>3.629559805133463</v>
      </c>
      <c r="J339" s="85">
        <v>2022</v>
      </c>
      <c r="K339" s="193">
        <f t="shared" si="149"/>
        <v>44886</v>
      </c>
      <c r="L339" s="431">
        <f t="shared" si="150"/>
        <v>4.9704944385231542E-3</v>
      </c>
      <c r="M339" s="847"/>
      <c r="N339" s="847"/>
      <c r="O339" s="320">
        <f t="shared" si="151"/>
        <v>2.2848861119528743E-2</v>
      </c>
      <c r="P339" s="165">
        <f>(INDEX(Models!$BJ339:$BT339,,T339)*(1-R339)+INDEX(Models!$BJ339:$BT339,,T339+1)*R339-ERP_i)*Q339*Ramure*Pc/MaxiM</f>
        <v>3.1676053951669135E-3</v>
      </c>
      <c r="Q339" s="301">
        <f t="shared" si="152"/>
        <v>0.5</v>
      </c>
      <c r="R339" s="173">
        <f t="shared" si="153"/>
        <v>0.49339062317139842</v>
      </c>
      <c r="S339" s="802">
        <f t="shared" si="171"/>
        <v>0</v>
      </c>
      <c r="T339" s="172">
        <f t="shared" si="154"/>
        <v>6</v>
      </c>
      <c r="U339" s="247">
        <f t="shared" si="155"/>
        <v>0.49339062317139842</v>
      </c>
      <c r="V339" s="378">
        <f t="shared" si="156"/>
        <v>21.605205045817648</v>
      </c>
      <c r="W339" s="58"/>
      <c r="X339" s="153">
        <f t="shared" si="157"/>
        <v>44886</v>
      </c>
      <c r="Y339" s="380">
        <f t="shared" si="158"/>
        <v>3.5289999999999999</v>
      </c>
      <c r="Z339" s="380">
        <f t="shared" si="159"/>
        <v>3.5466284972209445</v>
      </c>
      <c r="AA339" s="381">
        <f t="shared" si="160"/>
        <v>3.629559805133463</v>
      </c>
      <c r="AB339" s="193">
        <f t="shared" si="161"/>
        <v>44886</v>
      </c>
      <c r="AC339" s="420">
        <f t="shared" si="162"/>
        <v>2.2848861119528743E-2</v>
      </c>
      <c r="AD339" s="165">
        <f>(INDEX(Models!$BJ339:$BT339,,AH339)*(1-AF339)+INDEX(Models!$BJ339:$BT339,,AH339+1)*AF339-ERP_i)*AE339*Ramure*Pc/MaxiM</f>
        <v>3.1676053951669135E-3</v>
      </c>
      <c r="AE339" s="301">
        <f t="shared" si="163"/>
        <v>0.5</v>
      </c>
      <c r="AF339" s="173">
        <f t="shared" si="164"/>
        <v>0.49339062317139842</v>
      </c>
      <c r="AG339" s="802">
        <f t="shared" si="165"/>
        <v>0</v>
      </c>
      <c r="AH339" s="172">
        <f t="shared" si="166"/>
        <v>6</v>
      </c>
      <c r="AI339" s="221">
        <f t="shared" si="167"/>
        <v>0.49339062317139842</v>
      </c>
      <c r="AJ339" s="261" t="b">
        <f t="shared" si="168"/>
        <v>0</v>
      </c>
      <c r="AK339" s="261" t="b">
        <f t="shared" si="16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70"/>
        <v>44887</v>
      </c>
      <c r="B340" s="610">
        <v>9.902000000000001</v>
      </c>
      <c r="C340" s="385"/>
      <c r="D340" s="388">
        <f t="shared" si="147"/>
        <v>9.9515999239969073</v>
      </c>
      <c r="E340" s="380">
        <f t="shared" si="144"/>
        <v>10.18472584001973</v>
      </c>
      <c r="F340" s="380">
        <f t="shared" si="146"/>
        <v>10.192243033063592</v>
      </c>
      <c r="G340" s="110">
        <f t="shared" si="145"/>
        <v>0.46288873003716768</v>
      </c>
      <c r="I340" s="375">
        <f t="shared" si="148"/>
        <v>10.192243033063592</v>
      </c>
      <c r="J340" s="85">
        <v>2022</v>
      </c>
      <c r="K340" s="193">
        <f t="shared" si="149"/>
        <v>44887</v>
      </c>
      <c r="L340" s="431">
        <f t="shared" si="150"/>
        <v>4.9841155568666196E-3</v>
      </c>
      <c r="M340" s="847"/>
      <c r="N340" s="847"/>
      <c r="O340" s="320">
        <f t="shared" si="151"/>
        <v>2.2889758613509351E-2</v>
      </c>
      <c r="P340" s="165">
        <f>(INDEX(Models!$BJ340:$BT340,,T340)*(1-R340)+INDEX(Models!$BJ340:$BT340,,T340+1)*R340-ERP_i)*Q340*Ramure*Pc/MaxiM</f>
        <v>3.1478860706873209E-3</v>
      </c>
      <c r="Q340" s="301">
        <f t="shared" si="152"/>
        <v>0.5</v>
      </c>
      <c r="R340" s="173">
        <f t="shared" si="153"/>
        <v>0.49341442393746704</v>
      </c>
      <c r="S340" s="802">
        <f t="shared" si="171"/>
        <v>0</v>
      </c>
      <c r="T340" s="172">
        <f t="shared" si="154"/>
        <v>6</v>
      </c>
      <c r="U340" s="247">
        <f t="shared" si="155"/>
        <v>0.49341442393746704</v>
      </c>
      <c r="V340" s="378">
        <f t="shared" si="156"/>
        <v>21.340150455394006</v>
      </c>
      <c r="W340" s="58"/>
      <c r="X340" s="153">
        <f t="shared" si="157"/>
        <v>44887</v>
      </c>
      <c r="Y340" s="380">
        <f t="shared" si="158"/>
        <v>9.902000000000001</v>
      </c>
      <c r="Z340" s="380">
        <f t="shared" si="159"/>
        <v>9.9515999239969073</v>
      </c>
      <c r="AA340" s="381">
        <f t="shared" si="160"/>
        <v>10.18472584001973</v>
      </c>
      <c r="AB340" s="193">
        <f t="shared" si="161"/>
        <v>44887</v>
      </c>
      <c r="AC340" s="420">
        <f t="shared" si="162"/>
        <v>2.2889758613509351E-2</v>
      </c>
      <c r="AD340" s="165">
        <f>(INDEX(Models!$BJ340:$BT340,,AH340)*(1-AF340)+INDEX(Models!$BJ340:$BT340,,AH340+1)*AF340-ERP_i)*AE340*Ramure*Pc/MaxiM</f>
        <v>3.1478860706873209E-3</v>
      </c>
      <c r="AE340" s="301">
        <f t="shared" si="163"/>
        <v>0.5</v>
      </c>
      <c r="AF340" s="173">
        <f t="shared" si="164"/>
        <v>0.49341442393746704</v>
      </c>
      <c r="AG340" s="802">
        <f t="shared" si="165"/>
        <v>0</v>
      </c>
      <c r="AH340" s="172">
        <f t="shared" si="166"/>
        <v>6</v>
      </c>
      <c r="AI340" s="221">
        <f t="shared" si="167"/>
        <v>0.49341442393746704</v>
      </c>
      <c r="AJ340" s="261" t="b">
        <f t="shared" si="168"/>
        <v>0</v>
      </c>
      <c r="AK340" s="261" t="b">
        <f t="shared" si="16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70"/>
        <v>44888</v>
      </c>
      <c r="B341" s="610">
        <v>13.206</v>
      </c>
      <c r="C341" s="385"/>
      <c r="D341" s="388">
        <f t="shared" si="147"/>
        <v>13.272331616008092</v>
      </c>
      <c r="E341" s="380">
        <f t="shared" si="144"/>
        <v>13.583821476657642</v>
      </c>
      <c r="F341" s="380">
        <f t="shared" si="146"/>
        <v>13.60365476086419</v>
      </c>
      <c r="G341" s="110">
        <f t="shared" si="145"/>
        <v>0.62542128137407493</v>
      </c>
      <c r="I341" s="375">
        <f t="shared" si="148"/>
        <v>13.60365476086419</v>
      </c>
      <c r="J341" s="85">
        <v>2022</v>
      </c>
      <c r="K341" s="193">
        <f t="shared" si="149"/>
        <v>44888</v>
      </c>
      <c r="L341" s="431">
        <f t="shared" si="150"/>
        <v>4.99773648874835E-3</v>
      </c>
      <c r="M341" s="847"/>
      <c r="N341" s="847"/>
      <c r="O341" s="320">
        <f t="shared" si="151"/>
        <v>2.2930944814374406E-2</v>
      </c>
      <c r="P341" s="165">
        <f>(INDEX(Models!$BJ341:$BT341,,T341)*(1-R341)+INDEX(Models!$BJ341:$BT341,,T341+1)*R341-ERP_i)*Q341*Ramure*Pc/MaxiM</f>
        <v>3.1260554852864338E-3</v>
      </c>
      <c r="Q341" s="301">
        <f t="shared" si="152"/>
        <v>0.5</v>
      </c>
      <c r="R341" s="173">
        <f t="shared" si="153"/>
        <v>0.49343726854541675</v>
      </c>
      <c r="S341" s="802">
        <f t="shared" si="171"/>
        <v>0</v>
      </c>
      <c r="T341" s="172">
        <f t="shared" si="154"/>
        <v>6</v>
      </c>
      <c r="U341" s="247">
        <f t="shared" si="155"/>
        <v>0.49343726854541675</v>
      </c>
      <c r="V341" s="378">
        <f t="shared" si="156"/>
        <v>21.080092839986555</v>
      </c>
      <c r="W341" s="58"/>
      <c r="X341" s="153">
        <f t="shared" si="157"/>
        <v>44888</v>
      </c>
      <c r="Y341" s="380">
        <f t="shared" si="158"/>
        <v>13.206</v>
      </c>
      <c r="Z341" s="380">
        <f t="shared" si="159"/>
        <v>13.272331616008092</v>
      </c>
      <c r="AA341" s="381">
        <f t="shared" si="160"/>
        <v>13.583821476657642</v>
      </c>
      <c r="AB341" s="193">
        <f t="shared" si="161"/>
        <v>44888</v>
      </c>
      <c r="AC341" s="420">
        <f t="shared" si="162"/>
        <v>2.2930944814374406E-2</v>
      </c>
      <c r="AD341" s="165">
        <f>(INDEX(Models!$BJ341:$BT341,,AH341)*(1-AF341)+INDEX(Models!$BJ341:$BT341,,AH341+1)*AF341-ERP_i)*AE341*Ramure*Pc/MaxiM</f>
        <v>3.1260554852864338E-3</v>
      </c>
      <c r="AE341" s="301">
        <f t="shared" si="163"/>
        <v>0.5</v>
      </c>
      <c r="AF341" s="173">
        <f t="shared" si="164"/>
        <v>0.49343726854541675</v>
      </c>
      <c r="AG341" s="802">
        <f t="shared" si="165"/>
        <v>0</v>
      </c>
      <c r="AH341" s="172">
        <f t="shared" si="166"/>
        <v>6</v>
      </c>
      <c r="AI341" s="221">
        <f t="shared" si="167"/>
        <v>0.49343726854541675</v>
      </c>
      <c r="AJ341" s="261" t="b">
        <f t="shared" si="168"/>
        <v>0</v>
      </c>
      <c r="AK341" s="261" t="b">
        <f t="shared" si="169"/>
        <v>0</v>
      </c>
      <c r="AL341" s="261"/>
      <c r="AM341" s="261"/>
      <c r="AN341" s="75"/>
    </row>
    <row r="342" spans="1:40" s="6" customFormat="1" ht="11.25" x14ac:dyDescent="0.2">
      <c r="A342" s="56">
        <f t="shared" si="170"/>
        <v>44889</v>
      </c>
      <c r="B342" s="610">
        <v>12.278</v>
      </c>
      <c r="C342" s="385"/>
      <c r="D342" s="388">
        <f t="shared" si="147"/>
        <v>12.339839343160856</v>
      </c>
      <c r="E342" s="380">
        <f t="shared" si="144"/>
        <v>12.629980689402526</v>
      </c>
      <c r="F342" s="380">
        <f t="shared" si="146"/>
        <v>12.646209273203628</v>
      </c>
      <c r="G342" s="110">
        <f t="shared" si="145"/>
        <v>0.58850525512246432</v>
      </c>
      <c r="I342" s="375">
        <f t="shared" si="148"/>
        <v>12.646209273203628</v>
      </c>
      <c r="J342" s="85">
        <v>2022</v>
      </c>
      <c r="K342" s="193">
        <f t="shared" si="149"/>
        <v>44889</v>
      </c>
      <c r="L342" s="431">
        <f t="shared" si="150"/>
        <v>5.011357234170899E-3</v>
      </c>
      <c r="M342" s="847"/>
      <c r="N342" s="847"/>
      <c r="O342" s="320">
        <f t="shared" si="151"/>
        <v>2.2972429917103555E-2</v>
      </c>
      <c r="P342" s="165">
        <f>(INDEX(Models!$BJ342:$BT342,,T342)*(1-R342)+INDEX(Models!$BJ342:$BT342,,T342+1)*R342-ERP_i)*Q342*Ramure*Pc/MaxiM</f>
        <v>3.1020679231005821E-3</v>
      </c>
      <c r="Q342" s="301">
        <f t="shared" si="152"/>
        <v>0.5</v>
      </c>
      <c r="R342" s="173">
        <f t="shared" si="153"/>
        <v>0.49345919532516475</v>
      </c>
      <c r="S342" s="802">
        <f t="shared" si="171"/>
        <v>0</v>
      </c>
      <c r="T342" s="172">
        <f t="shared" si="154"/>
        <v>6</v>
      </c>
      <c r="U342" s="247">
        <f t="shared" si="155"/>
        <v>0.49345919532516475</v>
      </c>
      <c r="V342" s="378">
        <f t="shared" si="156"/>
        <v>20.825031006970296</v>
      </c>
      <c r="W342" s="58"/>
      <c r="X342" s="153">
        <f t="shared" si="157"/>
        <v>44889</v>
      </c>
      <c r="Y342" s="380">
        <f t="shared" si="158"/>
        <v>12.278</v>
      </c>
      <c r="Z342" s="380">
        <f t="shared" si="159"/>
        <v>12.339839343160856</v>
      </c>
      <c r="AA342" s="381">
        <f t="shared" si="160"/>
        <v>12.629980689402526</v>
      </c>
      <c r="AB342" s="193">
        <f t="shared" si="161"/>
        <v>44889</v>
      </c>
      <c r="AC342" s="420">
        <f t="shared" si="162"/>
        <v>2.2972429917103555E-2</v>
      </c>
      <c r="AD342" s="165">
        <f>(INDEX(Models!$BJ342:$BT342,,AH342)*(1-AF342)+INDEX(Models!$BJ342:$BT342,,AH342+1)*AF342-ERP_i)*AE342*Ramure*Pc/MaxiM</f>
        <v>3.1020679231005821E-3</v>
      </c>
      <c r="AE342" s="301">
        <f t="shared" si="163"/>
        <v>0.5</v>
      </c>
      <c r="AF342" s="173">
        <f t="shared" si="164"/>
        <v>0.49345919532516475</v>
      </c>
      <c r="AG342" s="802">
        <f t="shared" si="165"/>
        <v>0</v>
      </c>
      <c r="AH342" s="172">
        <f t="shared" si="166"/>
        <v>6</v>
      </c>
      <c r="AI342" s="221">
        <f t="shared" si="167"/>
        <v>0.49345919532516475</v>
      </c>
      <c r="AJ342" s="261" t="b">
        <f t="shared" si="168"/>
        <v>0</v>
      </c>
      <c r="AK342" s="261" t="b">
        <f t="shared" si="16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70"/>
        <v>44890</v>
      </c>
      <c r="B343" s="610">
        <v>4.9830000000000005</v>
      </c>
      <c r="C343" s="385"/>
      <c r="D343" s="388">
        <f t="shared" si="147"/>
        <v>5.0081659225451354</v>
      </c>
      <c r="E343" s="380">
        <f t="shared" si="144"/>
        <v>5.1261400512885871</v>
      </c>
      <c r="F343" s="380">
        <f t="shared" si="146"/>
        <v>5.1261400512885871</v>
      </c>
      <c r="G343" s="110">
        <f t="shared" si="145"/>
        <v>0.24144260693356487</v>
      </c>
      <c r="I343" s="375">
        <f t="shared" si="148"/>
        <v>5.1261400512885871</v>
      </c>
      <c r="J343" s="85">
        <v>2022</v>
      </c>
      <c r="K343" s="193">
        <f t="shared" si="149"/>
        <v>44890</v>
      </c>
      <c r="L343" s="431">
        <f t="shared" si="150"/>
        <v>5.0249777931370421E-3</v>
      </c>
      <c r="M343" s="847"/>
      <c r="N343" s="847"/>
      <c r="O343" s="320">
        <f t="shared" si="151"/>
        <v>2.3014222702283711E-2</v>
      </c>
      <c r="P343" s="165">
        <f>(INDEX(Models!$BJ343:$BT343,,T343)*(1-R343)+INDEX(Models!$BJ343:$BT343,,T343+1)*R343-ERP_i)*Q343*Ramure*Pc/MaxiM</f>
        <v>3.0758869112604854E-3</v>
      </c>
      <c r="Q343" s="301">
        <f t="shared" si="152"/>
        <v>0.5</v>
      </c>
      <c r="R343" s="173">
        <f t="shared" si="153"/>
        <v>0.49348024107656208</v>
      </c>
      <c r="S343" s="802">
        <f t="shared" si="171"/>
        <v>0</v>
      </c>
      <c r="T343" s="172">
        <f t="shared" si="154"/>
        <v>6</v>
      </c>
      <c r="U343" s="247">
        <f t="shared" si="155"/>
        <v>0.49348024107656208</v>
      </c>
      <c r="V343" s="378">
        <f t="shared" si="156"/>
        <v>20.574963626399583</v>
      </c>
      <c r="W343" s="58"/>
      <c r="X343" s="153">
        <f t="shared" si="157"/>
        <v>44890</v>
      </c>
      <c r="Y343" s="380">
        <f t="shared" si="158"/>
        <v>4.9830000000000005</v>
      </c>
      <c r="Z343" s="380">
        <f t="shared" si="159"/>
        <v>5.0081659225451354</v>
      </c>
      <c r="AA343" s="381">
        <f t="shared" si="160"/>
        <v>5.1261400512885871</v>
      </c>
      <c r="AB343" s="193">
        <f t="shared" si="161"/>
        <v>44890</v>
      </c>
      <c r="AC343" s="420">
        <f t="shared" si="162"/>
        <v>2.3014222702283711E-2</v>
      </c>
      <c r="AD343" s="165">
        <f>(INDEX(Models!$BJ343:$BT343,,AH343)*(1-AF343)+INDEX(Models!$BJ343:$BT343,,AH343+1)*AF343-ERP_i)*AE343*Ramure*Pc/MaxiM</f>
        <v>3.0758869112604854E-3</v>
      </c>
      <c r="AE343" s="301">
        <f t="shared" si="163"/>
        <v>0.5</v>
      </c>
      <c r="AF343" s="173">
        <f t="shared" si="164"/>
        <v>0.49348024107656208</v>
      </c>
      <c r="AG343" s="802">
        <f t="shared" si="165"/>
        <v>0</v>
      </c>
      <c r="AH343" s="172">
        <f t="shared" si="166"/>
        <v>6</v>
      </c>
      <c r="AI343" s="221">
        <f t="shared" si="167"/>
        <v>0.49348024107656208</v>
      </c>
      <c r="AJ343" s="261" t="b">
        <f t="shared" si="168"/>
        <v>0</v>
      </c>
      <c r="AK343" s="261" t="b">
        <f t="shared" si="169"/>
        <v>0</v>
      </c>
      <c r="AL343" s="261"/>
      <c r="AM343" s="261"/>
      <c r="AN343" s="75"/>
    </row>
    <row r="344" spans="1:40" s="6" customFormat="1" ht="11.25" x14ac:dyDescent="0.2">
      <c r="A344" s="56">
        <f t="shared" si="170"/>
        <v>44891</v>
      </c>
      <c r="B344" s="610">
        <v>9.9649999999999999</v>
      </c>
      <c r="C344" s="385"/>
      <c r="D344" s="388">
        <f t="shared" si="147"/>
        <v>10.015463898024711</v>
      </c>
      <c r="E344" s="380">
        <f t="shared" si="144"/>
        <v>10.251833560998774</v>
      </c>
      <c r="F344" s="380">
        <f t="shared" si="146"/>
        <v>10.260327974722742</v>
      </c>
      <c r="G344" s="110">
        <f t="shared" si="145"/>
        <v>0.48907612252262156</v>
      </c>
      <c r="I344" s="375">
        <f t="shared" si="148"/>
        <v>10.260327974722742</v>
      </c>
      <c r="J344" s="85">
        <v>2022</v>
      </c>
      <c r="K344" s="193">
        <f t="shared" si="149"/>
        <v>44891</v>
      </c>
      <c r="L344" s="431">
        <f t="shared" si="150"/>
        <v>5.0385981656489998E-3</v>
      </c>
      <c r="M344" s="847"/>
      <c r="N344" s="847"/>
      <c r="O344" s="320">
        <f t="shared" si="151"/>
        <v>2.3056330515673611E-2</v>
      </c>
      <c r="P344" s="165">
        <f>(INDEX(Models!$BJ344:$BT344,,T344)*(1-R344)+INDEX(Models!$BJ344:$BT344,,T344+1)*R344-ERP_i)*Q344*Ramure*Pc/MaxiM</f>
        <v>3.0474714914414487E-3</v>
      </c>
      <c r="Q344" s="301">
        <f t="shared" si="152"/>
        <v>0.5</v>
      </c>
      <c r="R344" s="173">
        <f t="shared" si="153"/>
        <v>0.49350044112996044</v>
      </c>
      <c r="S344" s="802">
        <f t="shared" si="171"/>
        <v>0</v>
      </c>
      <c r="T344" s="172">
        <f t="shared" si="154"/>
        <v>6</v>
      </c>
      <c r="U344" s="247">
        <f t="shared" si="155"/>
        <v>0.49350044112996044</v>
      </c>
      <c r="V344" s="378">
        <f t="shared" si="156"/>
        <v>20.329889514288396</v>
      </c>
      <c r="W344" s="58"/>
      <c r="X344" s="153">
        <f t="shared" si="157"/>
        <v>44891</v>
      </c>
      <c r="Y344" s="380">
        <f t="shared" si="158"/>
        <v>9.9649999999999999</v>
      </c>
      <c r="Z344" s="380">
        <f t="shared" si="159"/>
        <v>10.015463898024711</v>
      </c>
      <c r="AA344" s="381">
        <f t="shared" si="160"/>
        <v>10.251833560998774</v>
      </c>
      <c r="AB344" s="193">
        <f t="shared" si="161"/>
        <v>44891</v>
      </c>
      <c r="AC344" s="420">
        <f t="shared" si="162"/>
        <v>2.3056330515673611E-2</v>
      </c>
      <c r="AD344" s="165">
        <f>(INDEX(Models!$BJ344:$BT344,,AH344)*(1-AF344)+INDEX(Models!$BJ344:$BT344,,AH344+1)*AF344-ERP_i)*AE344*Ramure*Pc/MaxiM</f>
        <v>3.0474714914414487E-3</v>
      </c>
      <c r="AE344" s="301">
        <f t="shared" si="163"/>
        <v>0.5</v>
      </c>
      <c r="AF344" s="173">
        <f t="shared" si="164"/>
        <v>0.49350044112996044</v>
      </c>
      <c r="AG344" s="802">
        <f t="shared" si="165"/>
        <v>0</v>
      </c>
      <c r="AH344" s="172">
        <f t="shared" si="166"/>
        <v>6</v>
      </c>
      <c r="AI344" s="221">
        <f t="shared" si="167"/>
        <v>0.49350044112996044</v>
      </c>
      <c r="AJ344" s="261" t="b">
        <f t="shared" si="168"/>
        <v>0</v>
      </c>
      <c r="AK344" s="261" t="b">
        <f t="shared" si="16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70"/>
        <v>44892</v>
      </c>
      <c r="B345" s="610">
        <v>14.246</v>
      </c>
      <c r="C345" s="385"/>
      <c r="D345" s="388">
        <f t="shared" si="147"/>
        <v>14.318339376966316</v>
      </c>
      <c r="E345" s="380">
        <f t="shared" si="144"/>
        <v>14.656895477043099</v>
      </c>
      <c r="F345" s="380">
        <f t="shared" si="146"/>
        <v>14.682791656561243</v>
      </c>
      <c r="G345" s="110">
        <f t="shared" si="145"/>
        <v>0.70830650988730037</v>
      </c>
      <c r="I345" s="375">
        <f t="shared" si="148"/>
        <v>14.682791656561243</v>
      </c>
      <c r="J345" s="85">
        <v>2022</v>
      </c>
      <c r="K345" s="193">
        <f t="shared" si="149"/>
        <v>44892</v>
      </c>
      <c r="L345" s="431">
        <f t="shared" si="150"/>
        <v>5.0522183517096586E-3</v>
      </c>
      <c r="M345" s="847"/>
      <c r="N345" s="847"/>
      <c r="O345" s="320">
        <f t="shared" si="151"/>
        <v>2.3098759256833003E-2</v>
      </c>
      <c r="P345" s="165">
        <f>(INDEX(Models!$BJ345:$BT345,,T345)*(1-R345)+INDEX(Models!$BJ345:$BT345,,T345+1)*R345-ERP_i)*Q345*Ramure*Pc/MaxiM</f>
        <v>3.0171205584769538E-3</v>
      </c>
      <c r="Q345" s="301">
        <f t="shared" si="152"/>
        <v>0.5</v>
      </c>
      <c r="R345" s="173">
        <f t="shared" si="153"/>
        <v>0.49351982940442102</v>
      </c>
      <c r="S345" s="802">
        <f t="shared" si="171"/>
        <v>0</v>
      </c>
      <c r="T345" s="172">
        <f t="shared" si="154"/>
        <v>6</v>
      </c>
      <c r="U345" s="247">
        <f t="shared" si="155"/>
        <v>0.49351982940442102</v>
      </c>
      <c r="V345" s="378">
        <f t="shared" si="156"/>
        <v>20.087507539773039</v>
      </c>
      <c r="W345" s="58"/>
      <c r="X345" s="153">
        <f t="shared" si="157"/>
        <v>44892</v>
      </c>
      <c r="Y345" s="380">
        <f t="shared" si="158"/>
        <v>14.246</v>
      </c>
      <c r="Z345" s="380">
        <f t="shared" si="159"/>
        <v>14.318339376966316</v>
      </c>
      <c r="AA345" s="381">
        <f t="shared" si="160"/>
        <v>14.656895477043099</v>
      </c>
      <c r="AB345" s="193">
        <f t="shared" si="161"/>
        <v>44892</v>
      </c>
      <c r="AC345" s="420">
        <f t="shared" si="162"/>
        <v>2.3098759256833003E-2</v>
      </c>
      <c r="AD345" s="165">
        <f>(INDEX(Models!$BJ345:$BT345,,AH345)*(1-AF345)+INDEX(Models!$BJ345:$BT345,,AH345+1)*AF345-ERP_i)*AE345*Ramure*Pc/MaxiM</f>
        <v>3.0171205584769538E-3</v>
      </c>
      <c r="AE345" s="301">
        <f t="shared" si="163"/>
        <v>0.5</v>
      </c>
      <c r="AF345" s="173">
        <f t="shared" si="164"/>
        <v>0.49351982940442102</v>
      </c>
      <c r="AG345" s="802">
        <f t="shared" si="165"/>
        <v>0</v>
      </c>
      <c r="AH345" s="172">
        <f t="shared" si="166"/>
        <v>6</v>
      </c>
      <c r="AI345" s="221">
        <f t="shared" si="167"/>
        <v>0.49351982940442102</v>
      </c>
      <c r="AJ345" s="261" t="b">
        <f t="shared" si="168"/>
        <v>0</v>
      </c>
      <c r="AK345" s="261" t="b">
        <f t="shared" si="16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70"/>
        <v>44893</v>
      </c>
      <c r="B346" s="610">
        <v>9.7279999999999998</v>
      </c>
      <c r="C346" s="385"/>
      <c r="D346" s="388">
        <f t="shared" si="147"/>
        <v>9.7775313935145149</v>
      </c>
      <c r="E346" s="380">
        <f t="shared" si="144"/>
        <v>10.00915846809492</v>
      </c>
      <c r="F346" s="380">
        <f t="shared" si="146"/>
        <v>10.017285117579057</v>
      </c>
      <c r="G346" s="110">
        <f t="shared" si="145"/>
        <v>0.4891024123313305</v>
      </c>
      <c r="I346" s="375">
        <f t="shared" si="148"/>
        <v>10.017285117579057</v>
      </c>
      <c r="J346" s="85">
        <v>2022</v>
      </c>
      <c r="K346" s="193">
        <f t="shared" si="149"/>
        <v>44893</v>
      </c>
      <c r="L346" s="431">
        <f t="shared" si="150"/>
        <v>5.0658383513213501E-3</v>
      </c>
      <c r="M346" s="847"/>
      <c r="N346" s="847"/>
      <c r="O346" s="320">
        <f t="shared" si="151"/>
        <v>2.3141513376847528E-2</v>
      </c>
      <c r="P346" s="165">
        <f>(INDEX(Models!$BJ346:$BT346,,T346)*(1-R346)+INDEX(Models!$BJ346:$BT346,,T346+1)*R346-ERP_i)*Q346*Ramure*Pc/MaxiM</f>
        <v>2.9862005766327841E-3</v>
      </c>
      <c r="Q346" s="301">
        <f t="shared" si="152"/>
        <v>0.5</v>
      </c>
      <c r="R346" s="173">
        <f t="shared" si="153"/>
        <v>0.49353843846365575</v>
      </c>
      <c r="S346" s="802">
        <f t="shared" si="171"/>
        <v>0</v>
      </c>
      <c r="T346" s="172">
        <f t="shared" si="154"/>
        <v>6</v>
      </c>
      <c r="U346" s="247">
        <f t="shared" si="155"/>
        <v>0.49353843846365575</v>
      </c>
      <c r="V346" s="378">
        <f t="shared" si="156"/>
        <v>19.846201492491165</v>
      </c>
      <c r="W346" s="58"/>
      <c r="X346" s="153">
        <f t="shared" si="157"/>
        <v>44893</v>
      </c>
      <c r="Y346" s="380">
        <f t="shared" si="158"/>
        <v>9.7279999999999998</v>
      </c>
      <c r="Z346" s="380">
        <f t="shared" si="159"/>
        <v>9.7775313935145149</v>
      </c>
      <c r="AA346" s="381">
        <f t="shared" si="160"/>
        <v>10.00915846809492</v>
      </c>
      <c r="AB346" s="193">
        <f t="shared" si="161"/>
        <v>44893</v>
      </c>
      <c r="AC346" s="420">
        <f t="shared" si="162"/>
        <v>2.3141513376847528E-2</v>
      </c>
      <c r="AD346" s="165">
        <f>(INDEX(Models!$BJ346:$BT346,,AH346)*(1-AF346)+INDEX(Models!$BJ346:$BT346,,AH346+1)*AF346-ERP_i)*AE346*Ramure*Pc/MaxiM</f>
        <v>2.9862005766327841E-3</v>
      </c>
      <c r="AE346" s="301">
        <f t="shared" si="163"/>
        <v>0.5</v>
      </c>
      <c r="AF346" s="173">
        <f t="shared" si="164"/>
        <v>0.49353843846365575</v>
      </c>
      <c r="AG346" s="802">
        <f t="shared" si="165"/>
        <v>0</v>
      </c>
      <c r="AH346" s="172">
        <f t="shared" si="166"/>
        <v>6</v>
      </c>
      <c r="AI346" s="221">
        <f t="shared" si="167"/>
        <v>0.49353843846365575</v>
      </c>
      <c r="AJ346" s="261" t="b">
        <f t="shared" si="168"/>
        <v>0</v>
      </c>
      <c r="AK346" s="261" t="b">
        <f t="shared" si="16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70"/>
        <v>44894</v>
      </c>
      <c r="B347" s="610">
        <v>10.782</v>
      </c>
      <c r="C347" s="385"/>
      <c r="D347" s="388">
        <f t="shared" si="147"/>
        <v>10.837046323426449</v>
      </c>
      <c r="E347" s="380">
        <f t="shared" si="144"/>
        <v>11.094262311768178</v>
      </c>
      <c r="F347" s="380">
        <f t="shared" si="146"/>
        <v>11.10599499175243</v>
      </c>
      <c r="G347" s="110">
        <f t="shared" si="145"/>
        <v>0.54885984241316521</v>
      </c>
      <c r="I347" s="375">
        <f t="shared" si="148"/>
        <v>11.10599499175243</v>
      </c>
      <c r="J347" s="85">
        <v>2022</v>
      </c>
      <c r="K347" s="193">
        <f t="shared" si="149"/>
        <v>44894</v>
      </c>
      <c r="L347" s="431">
        <f t="shared" si="150"/>
        <v>5.0794581644866277E-3</v>
      </c>
      <c r="M347" s="847"/>
      <c r="N347" s="847"/>
      <c r="O347" s="320">
        <f t="shared" si="151"/>
        <v>2.3184595885107958E-2</v>
      </c>
      <c r="P347" s="165">
        <f>(INDEX(Models!$BJ347:$BT347,,T347)*(1-R347)+INDEX(Models!$BJ347:$BT347,,T347+1)*R347-ERP_i)*Q347*Ramure*Pc/MaxiM</f>
        <v>2.9590953150267947E-3</v>
      </c>
      <c r="Q347" s="301">
        <f t="shared" si="152"/>
        <v>0.5</v>
      </c>
      <c r="R347" s="173">
        <f t="shared" si="153"/>
        <v>0.49355629956978492</v>
      </c>
      <c r="S347" s="802">
        <f t="shared" si="171"/>
        <v>0</v>
      </c>
      <c r="T347" s="172">
        <f t="shared" si="154"/>
        <v>6</v>
      </c>
      <c r="U347" s="247">
        <f t="shared" si="155"/>
        <v>0.49355629956978492</v>
      </c>
      <c r="V347" s="378">
        <f t="shared" si="156"/>
        <v>19.606943176331985</v>
      </c>
      <c r="W347" s="58"/>
      <c r="X347" s="153">
        <f t="shared" si="157"/>
        <v>44894</v>
      </c>
      <c r="Y347" s="380">
        <f t="shared" si="158"/>
        <v>10.782</v>
      </c>
      <c r="Z347" s="380">
        <f t="shared" si="159"/>
        <v>10.837046323426449</v>
      </c>
      <c r="AA347" s="381">
        <f t="shared" si="160"/>
        <v>11.094262311768178</v>
      </c>
      <c r="AB347" s="193">
        <f t="shared" si="161"/>
        <v>44894</v>
      </c>
      <c r="AC347" s="420">
        <f t="shared" si="162"/>
        <v>2.3184595885107958E-2</v>
      </c>
      <c r="AD347" s="165">
        <f>(INDEX(Models!$BJ347:$BT347,,AH347)*(1-AF347)+INDEX(Models!$BJ347:$BT347,,AH347+1)*AF347-ERP_i)*AE347*Ramure*Pc/MaxiM</f>
        <v>2.9590953150267947E-3</v>
      </c>
      <c r="AE347" s="301">
        <f t="shared" si="163"/>
        <v>0.5</v>
      </c>
      <c r="AF347" s="173">
        <f t="shared" si="164"/>
        <v>0.49355629956978492</v>
      </c>
      <c r="AG347" s="802">
        <f t="shared" si="165"/>
        <v>0</v>
      </c>
      <c r="AH347" s="172">
        <f t="shared" si="166"/>
        <v>6</v>
      </c>
      <c r="AI347" s="221">
        <f t="shared" si="167"/>
        <v>0.49355629956978492</v>
      </c>
      <c r="AJ347" s="261" t="b">
        <f t="shared" si="168"/>
        <v>0</v>
      </c>
      <c r="AK347" s="261" t="b">
        <f t="shared" si="16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70"/>
        <v>44895</v>
      </c>
      <c r="B348" s="610">
        <v>4.6189999999999998</v>
      </c>
      <c r="C348" s="385"/>
      <c r="D348" s="388">
        <f t="shared" si="147"/>
        <v>4.6426453539446308</v>
      </c>
      <c r="E348" s="380">
        <f t="shared" si="144"/>
        <v>4.7530492210096416</v>
      </c>
      <c r="F348" s="380">
        <f t="shared" si="146"/>
        <v>4.7530492210096416</v>
      </c>
      <c r="G348" s="110">
        <f t="shared" si="145"/>
        <v>0.23775172064015462</v>
      </c>
      <c r="I348" s="375">
        <f t="shared" si="148"/>
        <v>4.7530492210096416</v>
      </c>
      <c r="J348" s="85">
        <v>2022</v>
      </c>
      <c r="K348" s="193">
        <f t="shared" si="149"/>
        <v>44895</v>
      </c>
      <c r="L348" s="431">
        <f t="shared" si="150"/>
        <v>5.093077791208156E-3</v>
      </c>
      <c r="M348" s="847"/>
      <c r="N348" s="847"/>
      <c r="O348" s="320">
        <f t="shared" si="151"/>
        <v>2.322800836502981E-2</v>
      </c>
      <c r="P348" s="165">
        <f>(INDEX(Models!$BJ348:$BT348,,T348)*(1-R348)+INDEX(Models!$BJ348:$BT348,,T348+1)*R348-ERP_i)*Q348*Ramure*Pc/MaxiM</f>
        <v>2.9357125292217632E-3</v>
      </c>
      <c r="Q348" s="301">
        <f t="shared" si="152"/>
        <v>0.5</v>
      </c>
      <c r="R348" s="173">
        <f t="shared" si="153"/>
        <v>0.49357344273499398</v>
      </c>
      <c r="S348" s="802">
        <f t="shared" si="171"/>
        <v>0</v>
      </c>
      <c r="T348" s="172">
        <f t="shared" si="154"/>
        <v>6</v>
      </c>
      <c r="U348" s="247">
        <f t="shared" si="155"/>
        <v>0.49357344273499398</v>
      </c>
      <c r="V348" s="378">
        <f t="shared" si="156"/>
        <v>19.37079543074271</v>
      </c>
      <c r="W348" s="58"/>
      <c r="X348" s="153">
        <f t="shared" si="157"/>
        <v>44895</v>
      </c>
      <c r="Y348" s="380">
        <f t="shared" si="158"/>
        <v>4.6189999999999998</v>
      </c>
      <c r="Z348" s="380">
        <f t="shared" si="159"/>
        <v>4.6426453539446308</v>
      </c>
      <c r="AA348" s="381">
        <f t="shared" si="160"/>
        <v>4.7530492210096416</v>
      </c>
      <c r="AB348" s="193">
        <f t="shared" si="161"/>
        <v>44895</v>
      </c>
      <c r="AC348" s="420">
        <f t="shared" si="162"/>
        <v>2.322800836502981E-2</v>
      </c>
      <c r="AD348" s="165">
        <f>(INDEX(Models!$BJ348:$BT348,,AH348)*(1-AF348)+INDEX(Models!$BJ348:$BT348,,AH348+1)*AF348-ERP_i)*AE348*Ramure*Pc/MaxiM</f>
        <v>2.9357125292217632E-3</v>
      </c>
      <c r="AE348" s="301">
        <f t="shared" si="163"/>
        <v>0.5</v>
      </c>
      <c r="AF348" s="173">
        <f t="shared" si="164"/>
        <v>0.49357344273499398</v>
      </c>
      <c r="AG348" s="802">
        <f t="shared" si="165"/>
        <v>0</v>
      </c>
      <c r="AH348" s="172">
        <f t="shared" si="166"/>
        <v>6</v>
      </c>
      <c r="AI348" s="221">
        <f t="shared" si="167"/>
        <v>0.49357344273499398</v>
      </c>
      <c r="AJ348" s="261" t="b">
        <f t="shared" si="168"/>
        <v>0</v>
      </c>
      <c r="AK348" s="261" t="b">
        <f t="shared" si="16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70"/>
        <v>44896</v>
      </c>
      <c r="B349" s="610">
        <v>4.359</v>
      </c>
      <c r="C349" s="385"/>
      <c r="D349" s="388">
        <f t="shared" si="147"/>
        <v>4.381374352274876</v>
      </c>
      <c r="E349" s="380">
        <f t="shared" si="144"/>
        <v>4.4857659812276731</v>
      </c>
      <c r="F349" s="380">
        <f t="shared" si="146"/>
        <v>4.4857659812276731</v>
      </c>
      <c r="G349" s="110">
        <f t="shared" si="145"/>
        <v>0.22709284814239356</v>
      </c>
      <c r="I349" s="375">
        <f t="shared" si="148"/>
        <v>4.4857659812276731</v>
      </c>
      <c r="J349" s="85">
        <v>2022</v>
      </c>
      <c r="K349" s="193">
        <f t="shared" si="149"/>
        <v>44896</v>
      </c>
      <c r="L349" s="431">
        <f t="shared" si="150"/>
        <v>5.1066972314883774E-3</v>
      </c>
      <c r="M349" s="847"/>
      <c r="N349" s="847"/>
      <c r="O349" s="320">
        <f t="shared" si="151"/>
        <v>2.3271750998527786E-2</v>
      </c>
      <c r="P349" s="165">
        <f>(INDEX(Models!$BJ349:$BT349,,T349)*(1-R349)+INDEX(Models!$BJ349:$BT349,,T349+1)*R349-ERP_i)*Q349*Ramure*Pc/MaxiM</f>
        <v>2.9159594681486445E-3</v>
      </c>
      <c r="Q349" s="301">
        <f t="shared" si="152"/>
        <v>0.5</v>
      </c>
      <c r="R349" s="173">
        <f t="shared" si="153"/>
        <v>0.49358989677116949</v>
      </c>
      <c r="S349" s="802">
        <f t="shared" si="171"/>
        <v>0</v>
      </c>
      <c r="T349" s="172">
        <f t="shared" si="154"/>
        <v>6</v>
      </c>
      <c r="U349" s="247">
        <f t="shared" si="155"/>
        <v>0.49358989677116949</v>
      </c>
      <c r="V349" s="378">
        <f t="shared" si="156"/>
        <v>19.138820831350422</v>
      </c>
      <c r="W349" s="58"/>
      <c r="X349" s="153">
        <f t="shared" si="157"/>
        <v>44896</v>
      </c>
      <c r="Y349" s="380">
        <f t="shared" si="158"/>
        <v>4.359</v>
      </c>
      <c r="Z349" s="380">
        <f t="shared" si="159"/>
        <v>4.381374352274876</v>
      </c>
      <c r="AA349" s="381">
        <f t="shared" si="160"/>
        <v>4.4857659812276731</v>
      </c>
      <c r="AB349" s="193">
        <f t="shared" si="161"/>
        <v>44896</v>
      </c>
      <c r="AC349" s="420">
        <f t="shared" si="162"/>
        <v>2.3271750998527786E-2</v>
      </c>
      <c r="AD349" s="165">
        <f>(INDEX(Models!$BJ349:$BT349,,AH349)*(1-AF349)+INDEX(Models!$BJ349:$BT349,,AH349+1)*AF349-ERP_i)*AE349*Ramure*Pc/MaxiM</f>
        <v>2.9159594681486445E-3</v>
      </c>
      <c r="AE349" s="301">
        <f t="shared" si="163"/>
        <v>0.5</v>
      </c>
      <c r="AF349" s="173">
        <f t="shared" si="164"/>
        <v>0.49358989677116949</v>
      </c>
      <c r="AG349" s="802">
        <f t="shared" si="165"/>
        <v>0</v>
      </c>
      <c r="AH349" s="172">
        <f t="shared" si="166"/>
        <v>6</v>
      </c>
      <c r="AI349" s="221">
        <f t="shared" si="167"/>
        <v>0.49358989677116949</v>
      </c>
      <c r="AJ349" s="261" t="b">
        <f t="shared" si="168"/>
        <v>0</v>
      </c>
      <c r="AK349" s="261" t="b">
        <f t="shared" si="16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70"/>
        <v>44897</v>
      </c>
      <c r="B350" s="610">
        <v>5.5620000000000003</v>
      </c>
      <c r="C350" s="385"/>
      <c r="D350" s="388">
        <f t="shared" si="147"/>
        <v>5.5906257733103919</v>
      </c>
      <c r="E350" s="380">
        <f t="shared" si="144"/>
        <v>5.724087583959065</v>
      </c>
      <c r="F350" s="380">
        <f t="shared" si="146"/>
        <v>5.724087583959065</v>
      </c>
      <c r="G350" s="110">
        <f t="shared" si="145"/>
        <v>0.29324490727547209</v>
      </c>
      <c r="I350" s="375">
        <f t="shared" si="148"/>
        <v>5.724087583959065</v>
      </c>
      <c r="J350" s="85">
        <v>2022</v>
      </c>
      <c r="K350" s="193">
        <f t="shared" si="149"/>
        <v>44897</v>
      </c>
      <c r="L350" s="431">
        <f t="shared" si="150"/>
        <v>5.1203164853299565E-3</v>
      </c>
      <c r="M350" s="847"/>
      <c r="N350" s="847"/>
      <c r="O350" s="320">
        <f t="shared" si="151"/>
        <v>2.3315822598990368E-2</v>
      </c>
      <c r="P350" s="165">
        <f>(INDEX(Models!$BJ350:$BT350,,T350)*(1-R350)+INDEX(Models!$BJ350:$BT350,,T350+1)*R350-ERP_i)*Q350*Ramure*Pc/MaxiM</f>
        <v>2.8997412637507582E-3</v>
      </c>
      <c r="Q350" s="301">
        <f t="shared" si="152"/>
        <v>0.5</v>
      </c>
      <c r="R350" s="173">
        <f t="shared" si="153"/>
        <v>0.49360568933759141</v>
      </c>
      <c r="S350" s="802">
        <f t="shared" si="171"/>
        <v>0</v>
      </c>
      <c r="T350" s="172">
        <f t="shared" si="154"/>
        <v>6</v>
      </c>
      <c r="U350" s="247">
        <f t="shared" si="155"/>
        <v>0.49360568933759141</v>
      </c>
      <c r="V350" s="378">
        <f t="shared" si="156"/>
        <v>18.912081681545683</v>
      </c>
      <c r="W350" s="58"/>
      <c r="X350" s="153">
        <f t="shared" si="157"/>
        <v>44897</v>
      </c>
      <c r="Y350" s="380">
        <f t="shared" si="158"/>
        <v>5.5620000000000003</v>
      </c>
      <c r="Z350" s="380">
        <f t="shared" si="159"/>
        <v>5.5906257733103919</v>
      </c>
      <c r="AA350" s="381">
        <f t="shared" si="160"/>
        <v>5.724087583959065</v>
      </c>
      <c r="AB350" s="193">
        <f t="shared" si="161"/>
        <v>44897</v>
      </c>
      <c r="AC350" s="420">
        <f t="shared" si="162"/>
        <v>2.3315822598990368E-2</v>
      </c>
      <c r="AD350" s="165">
        <f>(INDEX(Models!$BJ350:$BT350,,AH350)*(1-AF350)+INDEX(Models!$BJ350:$BT350,,AH350+1)*AF350-ERP_i)*AE350*Ramure*Pc/MaxiM</f>
        <v>2.8997412637507582E-3</v>
      </c>
      <c r="AE350" s="301">
        <f t="shared" si="163"/>
        <v>0.5</v>
      </c>
      <c r="AF350" s="173">
        <f t="shared" si="164"/>
        <v>0.49360568933759141</v>
      </c>
      <c r="AG350" s="802">
        <f t="shared" si="165"/>
        <v>0</v>
      </c>
      <c r="AH350" s="172">
        <f t="shared" si="166"/>
        <v>6</v>
      </c>
      <c r="AI350" s="221">
        <f t="shared" si="167"/>
        <v>0.49360568933759141</v>
      </c>
      <c r="AJ350" s="261" t="b">
        <f t="shared" si="168"/>
        <v>0</v>
      </c>
      <c r="AK350" s="261" t="b">
        <f t="shared" si="16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70"/>
        <v>44898</v>
      </c>
      <c r="B351" s="610">
        <v>10.003</v>
      </c>
      <c r="C351" s="385"/>
      <c r="D351" s="388">
        <f t="shared" si="147"/>
        <v>10.054619769905957</v>
      </c>
      <c r="E351" s="380">
        <f t="shared" si="144"/>
        <v>10.295115950143687</v>
      </c>
      <c r="F351" s="380">
        <f t="shared" si="146"/>
        <v>10.305110354856382</v>
      </c>
      <c r="G351" s="110">
        <f t="shared" si="145"/>
        <v>0.53413207924143435</v>
      </c>
      <c r="I351" s="375">
        <f t="shared" si="148"/>
        <v>10.305110354856382</v>
      </c>
      <c r="J351" s="85">
        <v>2022</v>
      </c>
      <c r="K351" s="193">
        <f t="shared" si="149"/>
        <v>44898</v>
      </c>
      <c r="L351" s="431">
        <f t="shared" si="150"/>
        <v>5.1339355527353359E-3</v>
      </c>
      <c r="M351" s="847"/>
      <c r="N351" s="847"/>
      <c r="O351" s="320">
        <f t="shared" si="151"/>
        <v>2.3360220652432241E-2</v>
      </c>
      <c r="P351" s="165">
        <f>(INDEX(Models!$BJ351:$BT351,,T351)*(1-R351)+INDEX(Models!$BJ351:$BT351,,T351+1)*R351-ERP_i)*Q351*Ramure*Pc/MaxiM</f>
        <v>2.8869592749146073E-3</v>
      </c>
      <c r="Q351" s="301">
        <f t="shared" si="152"/>
        <v>0.5</v>
      </c>
      <c r="R351" s="173">
        <f t="shared" si="153"/>
        <v>0.49362084698675401</v>
      </c>
      <c r="S351" s="802">
        <f t="shared" si="171"/>
        <v>0</v>
      </c>
      <c r="T351" s="172">
        <f t="shared" si="154"/>
        <v>6</v>
      </c>
      <c r="U351" s="247">
        <f t="shared" si="155"/>
        <v>0.49362084698675401</v>
      </c>
      <c r="V351" s="378">
        <f t="shared" si="156"/>
        <v>18.691639991025752</v>
      </c>
      <c r="W351" s="58"/>
      <c r="X351" s="153">
        <f t="shared" si="157"/>
        <v>44898</v>
      </c>
      <c r="Y351" s="380">
        <f t="shared" si="158"/>
        <v>10.003</v>
      </c>
      <c r="Z351" s="380">
        <f t="shared" si="159"/>
        <v>10.054619769905957</v>
      </c>
      <c r="AA351" s="381">
        <f t="shared" si="160"/>
        <v>10.295115950143687</v>
      </c>
      <c r="AB351" s="193">
        <f t="shared" si="161"/>
        <v>44898</v>
      </c>
      <c r="AC351" s="420">
        <f t="shared" si="162"/>
        <v>2.3360220652432241E-2</v>
      </c>
      <c r="AD351" s="165">
        <f>(INDEX(Models!$BJ351:$BT351,,AH351)*(1-AF351)+INDEX(Models!$BJ351:$BT351,,AH351+1)*AF351-ERP_i)*AE351*Ramure*Pc/MaxiM</f>
        <v>2.8869592749146073E-3</v>
      </c>
      <c r="AE351" s="301">
        <f t="shared" si="163"/>
        <v>0.5</v>
      </c>
      <c r="AF351" s="173">
        <f t="shared" si="164"/>
        <v>0.49362084698675401</v>
      </c>
      <c r="AG351" s="802">
        <f t="shared" si="165"/>
        <v>0</v>
      </c>
      <c r="AH351" s="172">
        <f t="shared" si="166"/>
        <v>6</v>
      </c>
      <c r="AI351" s="221">
        <f t="shared" si="167"/>
        <v>0.49362084698675401</v>
      </c>
      <c r="AJ351" s="261" t="b">
        <f t="shared" si="168"/>
        <v>0</v>
      </c>
      <c r="AK351" s="261" t="b">
        <f t="shared" si="16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70"/>
        <v>44899</v>
      </c>
      <c r="B352" s="610">
        <v>13.375999999999999</v>
      </c>
      <c r="C352" s="385"/>
      <c r="D352" s="388">
        <f t="shared" si="147"/>
        <v>13.445209950090712</v>
      </c>
      <c r="E352" s="380">
        <f t="shared" si="144"/>
        <v>13.767435982015984</v>
      </c>
      <c r="F352" s="380">
        <f t="shared" si="146"/>
        <v>13.791486870148061</v>
      </c>
      <c r="G352" s="110">
        <f t="shared" si="145"/>
        <v>0.72304400846371464</v>
      </c>
      <c r="I352" s="375">
        <f t="shared" si="148"/>
        <v>13.791486870148061</v>
      </c>
      <c r="J352" s="85">
        <v>2022</v>
      </c>
      <c r="K352" s="193">
        <f t="shared" si="149"/>
        <v>44899</v>
      </c>
      <c r="L352" s="431">
        <f t="shared" si="150"/>
        <v>5.1475544337071799E-3</v>
      </c>
      <c r="M352" s="847"/>
      <c r="N352" s="847"/>
      <c r="O352" s="320">
        <f t="shared" si="151"/>
        <v>2.3404941366437865E-2</v>
      </c>
      <c r="P352" s="165">
        <f>(INDEX(Models!$BJ352:$BT352,,T352)*(1-R352)+INDEX(Models!$BJ352:$BT352,,T352+1)*R352-ERP_i)*Q352*Ramure*Pc/MaxiM</f>
        <v>2.8799677826399691E-3</v>
      </c>
      <c r="Q352" s="301">
        <f t="shared" si="152"/>
        <v>0.5</v>
      </c>
      <c r="R352" s="173">
        <f t="shared" si="153"/>
        <v>0.49363539520838901</v>
      </c>
      <c r="S352" s="802">
        <f t="shared" si="171"/>
        <v>0</v>
      </c>
      <c r="T352" s="172">
        <f t="shared" si="154"/>
        <v>6</v>
      </c>
      <c r="U352" s="247">
        <f t="shared" si="155"/>
        <v>0.49363539520838901</v>
      </c>
      <c r="V352" s="378">
        <f t="shared" si="156"/>
        <v>18.478511917647044</v>
      </c>
      <c r="W352" s="58"/>
      <c r="X352" s="153">
        <f t="shared" si="157"/>
        <v>44899</v>
      </c>
      <c r="Y352" s="380">
        <f t="shared" si="158"/>
        <v>13.375999999999999</v>
      </c>
      <c r="Z352" s="380">
        <f t="shared" si="159"/>
        <v>13.445209950090712</v>
      </c>
      <c r="AA352" s="381">
        <f t="shared" si="160"/>
        <v>13.767435982015984</v>
      </c>
      <c r="AB352" s="193">
        <f t="shared" si="161"/>
        <v>44899</v>
      </c>
      <c r="AC352" s="420">
        <f t="shared" si="162"/>
        <v>2.3404941366437865E-2</v>
      </c>
      <c r="AD352" s="165">
        <f>(INDEX(Models!$BJ352:$BT352,,AH352)*(1-AF352)+INDEX(Models!$BJ352:$BT352,,AH352+1)*AF352-ERP_i)*AE352*Ramure*Pc/MaxiM</f>
        <v>2.8799677826399691E-3</v>
      </c>
      <c r="AE352" s="301">
        <f t="shared" si="163"/>
        <v>0.5</v>
      </c>
      <c r="AF352" s="173">
        <f t="shared" si="164"/>
        <v>0.49363539520838901</v>
      </c>
      <c r="AG352" s="802">
        <f t="shared" si="165"/>
        <v>0</v>
      </c>
      <c r="AH352" s="172">
        <f t="shared" si="166"/>
        <v>6</v>
      </c>
      <c r="AI352" s="221">
        <f t="shared" si="167"/>
        <v>0.49363539520838901</v>
      </c>
      <c r="AJ352" s="261" t="b">
        <f t="shared" si="168"/>
        <v>0</v>
      </c>
      <c r="AK352" s="261" t="b">
        <f t="shared" si="16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70"/>
        <v>44900</v>
      </c>
      <c r="B353" s="610">
        <v>18.536999999999999</v>
      </c>
      <c r="C353" s="385"/>
      <c r="D353" s="388">
        <f t="shared" si="147"/>
        <v>18.633169011194678</v>
      </c>
      <c r="E353" s="380">
        <f t="shared" si="144"/>
        <v>19.080608903141663</v>
      </c>
      <c r="F353" s="380">
        <f t="shared" si="146"/>
        <v>19.13564349995163</v>
      </c>
      <c r="G353" s="110">
        <f t="shared" si="145"/>
        <v>1.0144026581276957</v>
      </c>
      <c r="I353" s="375">
        <f t="shared" si="148"/>
        <v>19.13564349995163</v>
      </c>
      <c r="J353" s="85">
        <v>2022</v>
      </c>
      <c r="K353" s="193">
        <f t="shared" si="149"/>
        <v>44900</v>
      </c>
      <c r="L353" s="431">
        <f t="shared" si="150"/>
        <v>5.1611731282479312E-3</v>
      </c>
      <c r="M353" s="847"/>
      <c r="N353" s="847"/>
      <c r="O353" s="320">
        <f t="shared" si="151"/>
        <v>2.3449979726449504E-2</v>
      </c>
      <c r="P353" s="165">
        <f>(INDEX(Models!$BJ353:$BT353,,T353)*(1-R353)+INDEX(Models!$BJ353:$BT353,,T353+1)*R353-ERP_i)*Q353*Ramure*Pc/MaxiM</f>
        <v>2.8760254030708267E-3</v>
      </c>
      <c r="Q353" s="301">
        <f t="shared" si="152"/>
        <v>0.5</v>
      </c>
      <c r="R353" s="173">
        <f t="shared" si="153"/>
        <v>0.49364935847175795</v>
      </c>
      <c r="S353" s="802">
        <f t="shared" si="171"/>
        <v>0</v>
      </c>
      <c r="T353" s="172">
        <f t="shared" si="154"/>
        <v>6</v>
      </c>
      <c r="U353" s="247">
        <f t="shared" si="155"/>
        <v>0.49364935847175795</v>
      </c>
      <c r="V353" s="378">
        <f t="shared" si="156"/>
        <v>18.273808582298209</v>
      </c>
      <c r="W353" s="58"/>
      <c r="X353" s="153">
        <f t="shared" si="157"/>
        <v>44900</v>
      </c>
      <c r="Y353" s="380">
        <f t="shared" si="158"/>
        <v>18.536999999999999</v>
      </c>
      <c r="Z353" s="380">
        <f t="shared" si="159"/>
        <v>18.633169011194678</v>
      </c>
      <c r="AA353" s="381">
        <f t="shared" si="160"/>
        <v>19.080608903141663</v>
      </c>
      <c r="AB353" s="193">
        <f t="shared" si="161"/>
        <v>44900</v>
      </c>
      <c r="AC353" s="420">
        <f t="shared" si="162"/>
        <v>2.3449979726449504E-2</v>
      </c>
      <c r="AD353" s="165">
        <f>(INDEX(Models!$BJ353:$BT353,,AH353)*(1-AF353)+INDEX(Models!$BJ353:$BT353,,AH353+1)*AF353-ERP_i)*AE353*Ramure*Pc/MaxiM</f>
        <v>2.8760254030708267E-3</v>
      </c>
      <c r="AE353" s="301">
        <f t="shared" si="163"/>
        <v>0.5</v>
      </c>
      <c r="AF353" s="173">
        <f t="shared" si="164"/>
        <v>0.49364935847175795</v>
      </c>
      <c r="AG353" s="802">
        <f t="shared" si="165"/>
        <v>0</v>
      </c>
      <c r="AH353" s="172">
        <f t="shared" si="166"/>
        <v>6</v>
      </c>
      <c r="AI353" s="221">
        <f t="shared" si="167"/>
        <v>0.49364935847175795</v>
      </c>
      <c r="AJ353" s="261" t="b">
        <f t="shared" si="168"/>
        <v>0</v>
      </c>
      <c r="AK353" s="261" t="b">
        <f t="shared" si="169"/>
        <v>0</v>
      </c>
      <c r="AL353" s="261"/>
      <c r="AM353" s="261"/>
      <c r="AN353" s="75"/>
    </row>
    <row r="354" spans="1:40" s="6" customFormat="1" ht="11.25" x14ac:dyDescent="0.2">
      <c r="A354" s="56">
        <f t="shared" si="170"/>
        <v>44901</v>
      </c>
      <c r="B354" s="610">
        <v>12.109</v>
      </c>
      <c r="C354" s="385"/>
      <c r="D354" s="388">
        <f t="shared" si="147"/>
        <v>12.171987499108267</v>
      </c>
      <c r="E354" s="380">
        <f t="shared" si="144"/>
        <v>12.464853336144273</v>
      </c>
      <c r="F354" s="380">
        <f t="shared" si="146"/>
        <v>12.483813947652854</v>
      </c>
      <c r="G354" s="110">
        <f t="shared" si="145"/>
        <v>0.6688880177929607</v>
      </c>
      <c r="I354" s="375">
        <f t="shared" si="148"/>
        <v>12.483813947652854</v>
      </c>
      <c r="J354" s="85">
        <v>2022</v>
      </c>
      <c r="K354" s="193">
        <f t="shared" si="149"/>
        <v>44901</v>
      </c>
      <c r="L354" s="431">
        <f t="shared" si="150"/>
        <v>5.1747916363602542E-3</v>
      </c>
      <c r="M354" s="847"/>
      <c r="N354" s="847"/>
      <c r="O354" s="320">
        <f t="shared" si="151"/>
        <v>2.3495329558895318E-2</v>
      </c>
      <c r="P354" s="165">
        <f>(INDEX(Models!$BJ354:$BT354,,T354)*(1-R354)+INDEX(Models!$BJ354:$BT354,,T354+1)*R354-ERP_i)*Q354*Ramure*Pc/MaxiM</f>
        <v>2.8750063012598372E-3</v>
      </c>
      <c r="Q354" s="301">
        <f t="shared" si="152"/>
        <v>0.5</v>
      </c>
      <c r="R354" s="173">
        <f t="shared" si="153"/>
        <v>0.49366276026628092</v>
      </c>
      <c r="S354" s="802">
        <f t="shared" si="171"/>
        <v>0</v>
      </c>
      <c r="T354" s="172">
        <f t="shared" si="154"/>
        <v>6</v>
      </c>
      <c r="U354" s="247">
        <f t="shared" si="155"/>
        <v>0.49366276026628092</v>
      </c>
      <c r="V354" s="378">
        <f t="shared" si="156"/>
        <v>18.078591012483685</v>
      </c>
      <c r="W354" s="58"/>
      <c r="X354" s="153">
        <f t="shared" si="157"/>
        <v>44901</v>
      </c>
      <c r="Y354" s="380">
        <f t="shared" si="158"/>
        <v>12.109</v>
      </c>
      <c r="Z354" s="380">
        <f t="shared" si="159"/>
        <v>12.171987499108267</v>
      </c>
      <c r="AA354" s="381">
        <f t="shared" si="160"/>
        <v>12.464853336144273</v>
      </c>
      <c r="AB354" s="193">
        <f t="shared" si="161"/>
        <v>44901</v>
      </c>
      <c r="AC354" s="420">
        <f t="shared" si="162"/>
        <v>2.3495329558895318E-2</v>
      </c>
      <c r="AD354" s="165">
        <f>(INDEX(Models!$BJ354:$BT354,,AH354)*(1-AF354)+INDEX(Models!$BJ354:$BT354,,AH354+1)*AF354-ERP_i)*AE354*Ramure*Pc/MaxiM</f>
        <v>2.8750063012598372E-3</v>
      </c>
      <c r="AE354" s="301">
        <f t="shared" si="163"/>
        <v>0.5</v>
      </c>
      <c r="AF354" s="173">
        <f t="shared" si="164"/>
        <v>0.49366276026628092</v>
      </c>
      <c r="AG354" s="802">
        <f t="shared" si="165"/>
        <v>0</v>
      </c>
      <c r="AH354" s="172">
        <f t="shared" si="166"/>
        <v>6</v>
      </c>
      <c r="AI354" s="221">
        <f t="shared" si="167"/>
        <v>0.49366276026628092</v>
      </c>
      <c r="AJ354" s="261" t="b">
        <f t="shared" si="168"/>
        <v>0</v>
      </c>
      <c r="AK354" s="261" t="b">
        <f t="shared" si="169"/>
        <v>0</v>
      </c>
      <c r="AL354" s="261"/>
      <c r="AM354" s="261"/>
      <c r="AN354" s="75"/>
    </row>
    <row r="355" spans="1:40" s="6" customFormat="1" ht="11.25" x14ac:dyDescent="0.2">
      <c r="A355" s="56">
        <f t="shared" si="170"/>
        <v>44902</v>
      </c>
      <c r="B355" s="610">
        <v>14.855</v>
      </c>
      <c r="C355" s="385"/>
      <c r="D355" s="388">
        <f t="shared" si="147"/>
        <v>14.932475806171029</v>
      </c>
      <c r="E355" s="380">
        <f t="shared" si="144"/>
        <v>15.292475726460236</v>
      </c>
      <c r="F355" s="380">
        <f t="shared" si="146"/>
        <v>15.32586816121578</v>
      </c>
      <c r="G355" s="110">
        <f t="shared" si="145"/>
        <v>0.82958957321273918</v>
      </c>
      <c r="I355" s="375">
        <f t="shared" si="148"/>
        <v>15.32586816121578</v>
      </c>
      <c r="J355" s="85">
        <v>2022</v>
      </c>
      <c r="K355" s="193">
        <f t="shared" si="149"/>
        <v>44902</v>
      </c>
      <c r="L355" s="431">
        <f t="shared" si="150"/>
        <v>5.1884099580465914E-3</v>
      </c>
      <c r="M355" s="847"/>
      <c r="N355" s="847"/>
      <c r="O355" s="320">
        <f t="shared" si="151"/>
        <v>2.354098360060217E-2</v>
      </c>
      <c r="P355" s="165">
        <f>(INDEX(Models!$BJ355:$BT355,,T355)*(1-R355)+INDEX(Models!$BJ355:$BT355,,T355+1)*R355-ERP_i)*Q355*Ramure*Pc/MaxiM</f>
        <v>2.8767736044172654E-3</v>
      </c>
      <c r="Q355" s="301">
        <f t="shared" si="152"/>
        <v>0.5</v>
      </c>
      <c r="R355" s="173">
        <f t="shared" si="153"/>
        <v>0.49367562314056596</v>
      </c>
      <c r="S355" s="802">
        <f t="shared" si="171"/>
        <v>0</v>
      </c>
      <c r="T355" s="172">
        <f t="shared" si="154"/>
        <v>6</v>
      </c>
      <c r="U355" s="247">
        <f t="shared" si="155"/>
        <v>0.49367562314056596</v>
      </c>
      <c r="V355" s="378">
        <f t="shared" si="156"/>
        <v>17.893919911677813</v>
      </c>
      <c r="W355" s="58"/>
      <c r="X355" s="153">
        <f t="shared" si="157"/>
        <v>44902</v>
      </c>
      <c r="Y355" s="380">
        <f t="shared" si="158"/>
        <v>14.855</v>
      </c>
      <c r="Z355" s="380">
        <f t="shared" si="159"/>
        <v>14.932475806171029</v>
      </c>
      <c r="AA355" s="381">
        <f t="shared" si="160"/>
        <v>15.292475726460236</v>
      </c>
      <c r="AB355" s="193">
        <f t="shared" si="161"/>
        <v>44902</v>
      </c>
      <c r="AC355" s="420">
        <f t="shared" si="162"/>
        <v>2.354098360060217E-2</v>
      </c>
      <c r="AD355" s="165">
        <f>(INDEX(Models!$BJ355:$BT355,,AH355)*(1-AF355)+INDEX(Models!$BJ355:$BT355,,AH355+1)*AF355-ERP_i)*AE355*Ramure*Pc/MaxiM</f>
        <v>2.8767736044172654E-3</v>
      </c>
      <c r="AE355" s="301">
        <f t="shared" si="163"/>
        <v>0.5</v>
      </c>
      <c r="AF355" s="173">
        <f t="shared" si="164"/>
        <v>0.49367562314056596</v>
      </c>
      <c r="AG355" s="802">
        <f t="shared" si="165"/>
        <v>0</v>
      </c>
      <c r="AH355" s="172">
        <f t="shared" si="166"/>
        <v>6</v>
      </c>
      <c r="AI355" s="221">
        <f t="shared" si="167"/>
        <v>0.49367562314056596</v>
      </c>
      <c r="AJ355" s="261" t="b">
        <f t="shared" si="168"/>
        <v>0</v>
      </c>
      <c r="AK355" s="261" t="b">
        <f t="shared" si="16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70"/>
        <v>44903</v>
      </c>
      <c r="B356" s="610">
        <v>4.7860000000000005</v>
      </c>
      <c r="C356" s="385"/>
      <c r="D356" s="388">
        <f t="shared" si="147"/>
        <v>4.8110270981221053</v>
      </c>
      <c r="E356" s="380">
        <f t="shared" si="144"/>
        <v>4.9272457155162224</v>
      </c>
      <c r="F356" s="380">
        <f t="shared" si="146"/>
        <v>4.9272457155162224</v>
      </c>
      <c r="G356" s="110">
        <f t="shared" si="145"/>
        <v>0.26929911132309114</v>
      </c>
      <c r="I356" s="375">
        <f t="shared" si="148"/>
        <v>4.9272457155162224</v>
      </c>
      <c r="J356" s="85">
        <v>2022</v>
      </c>
      <c r="K356" s="193">
        <f t="shared" si="149"/>
        <v>44903</v>
      </c>
      <c r="L356" s="431">
        <f t="shared" si="150"/>
        <v>5.2020280933094964E-3</v>
      </c>
      <c r="M356" s="847"/>
      <c r="N356" s="847"/>
      <c r="O356" s="320">
        <f t="shared" si="151"/>
        <v>2.3586933573890266E-2</v>
      </c>
      <c r="P356" s="165">
        <f>(INDEX(Models!$BJ356:$BT356,,T356)*(1-R356)+INDEX(Models!$BJ356:$BT356,,T356+1)*R356-ERP_i)*Q356*Ramure*Pc/MaxiM</f>
        <v>2.8811779468689452E-3</v>
      </c>
      <c r="Q356" s="301">
        <f t="shared" si="152"/>
        <v>0.5</v>
      </c>
      <c r="R356" s="173">
        <f t="shared" si="153"/>
        <v>0.49368796873990001</v>
      </c>
      <c r="S356" s="802">
        <f t="shared" si="171"/>
        <v>0</v>
      </c>
      <c r="T356" s="172">
        <f t="shared" si="154"/>
        <v>6</v>
      </c>
      <c r="U356" s="247">
        <f t="shared" si="155"/>
        <v>0.49368796873990001</v>
      </c>
      <c r="V356" s="378">
        <f t="shared" si="156"/>
        <v>17.720855664543336</v>
      </c>
      <c r="W356" s="58"/>
      <c r="X356" s="153">
        <f t="shared" si="157"/>
        <v>44903</v>
      </c>
      <c r="Y356" s="380">
        <f t="shared" si="158"/>
        <v>4.7860000000000005</v>
      </c>
      <c r="Z356" s="380">
        <f t="shared" si="159"/>
        <v>4.8110270981221053</v>
      </c>
      <c r="AA356" s="381">
        <f t="shared" si="160"/>
        <v>4.9272457155162224</v>
      </c>
      <c r="AB356" s="193">
        <f t="shared" si="161"/>
        <v>44903</v>
      </c>
      <c r="AC356" s="420">
        <f t="shared" si="162"/>
        <v>2.3586933573890266E-2</v>
      </c>
      <c r="AD356" s="165">
        <f>(INDEX(Models!$BJ356:$BT356,,AH356)*(1-AF356)+INDEX(Models!$BJ356:$BT356,,AH356+1)*AF356-ERP_i)*AE356*Ramure*Pc/MaxiM</f>
        <v>2.8811779468689452E-3</v>
      </c>
      <c r="AE356" s="301">
        <f t="shared" si="163"/>
        <v>0.5</v>
      </c>
      <c r="AF356" s="173">
        <f t="shared" si="164"/>
        <v>0.49368796873990001</v>
      </c>
      <c r="AG356" s="802">
        <f t="shared" si="165"/>
        <v>0</v>
      </c>
      <c r="AH356" s="172">
        <f t="shared" si="166"/>
        <v>6</v>
      </c>
      <c r="AI356" s="221">
        <f t="shared" si="167"/>
        <v>0.49368796873990001</v>
      </c>
      <c r="AJ356" s="261" t="b">
        <f t="shared" si="168"/>
        <v>0</v>
      </c>
      <c r="AK356" s="261" t="b">
        <f t="shared" si="169"/>
        <v>0</v>
      </c>
      <c r="AL356" s="261"/>
      <c r="AM356" s="261"/>
      <c r="AN356" s="75"/>
    </row>
    <row r="357" spans="1:40" s="6" customFormat="1" ht="11.25" x14ac:dyDescent="0.2">
      <c r="A357" s="56">
        <f t="shared" si="170"/>
        <v>44904</v>
      </c>
      <c r="B357" s="610">
        <v>7.9690000000000003</v>
      </c>
      <c r="C357" s="385"/>
      <c r="D357" s="388">
        <f t="shared" si="147"/>
        <v>8.0107814003050439</v>
      </c>
      <c r="E357" s="380">
        <f t="shared" si="144"/>
        <v>8.2046840965431791</v>
      </c>
      <c r="F357" s="380">
        <f t="shared" ref="F357:F379" si="172">Wh_sa/(1-Pvg*MEDIAN((-Sdif+Wh/Env_an)/Csdif,0,1))</f>
        <v>8.2098937851281431</v>
      </c>
      <c r="G357" s="110">
        <f t="shared" si="145"/>
        <v>0.45278035201766237</v>
      </c>
      <c r="I357" s="375">
        <f t="shared" si="148"/>
        <v>8.2098937851281431</v>
      </c>
      <c r="J357" s="85">
        <v>2022</v>
      </c>
      <c r="K357" s="193">
        <f t="shared" si="149"/>
        <v>44904</v>
      </c>
      <c r="L357" s="431">
        <f t="shared" si="150"/>
        <v>5.2156460421516337E-3</v>
      </c>
      <c r="M357" s="847"/>
      <c r="N357" s="847"/>
      <c r="O357" s="320">
        <f t="shared" si="151"/>
        <v>2.363317026670558E-2</v>
      </c>
      <c r="P357" s="165">
        <f>(INDEX(Models!$BJ357:$BT357,,T357)*(1-R357)+INDEX(Models!$BJ357:$BT357,,T357+1)*R357-ERP_i)*Q357*Ramure*Pc/MaxiM</f>
        <v>2.8880561782021704E-3</v>
      </c>
      <c r="Q357" s="301">
        <f t="shared" si="152"/>
        <v>0.5</v>
      </c>
      <c r="R357" s="173">
        <f t="shared" si="153"/>
        <v>0.49369981784226008</v>
      </c>
      <c r="S357" s="802">
        <f t="shared" si="171"/>
        <v>0</v>
      </c>
      <c r="T357" s="172">
        <f t="shared" si="154"/>
        <v>6</v>
      </c>
      <c r="U357" s="247">
        <f t="shared" si="155"/>
        <v>0.49369981784226008</v>
      </c>
      <c r="V357" s="378">
        <f t="shared" si="156"/>
        <v>17.560458329533216</v>
      </c>
      <c r="W357" s="58"/>
      <c r="X357" s="153">
        <f t="shared" si="157"/>
        <v>44904</v>
      </c>
      <c r="Y357" s="380">
        <f t="shared" si="158"/>
        <v>7.9690000000000012</v>
      </c>
      <c r="Z357" s="380">
        <f t="shared" si="159"/>
        <v>8.0107814003050439</v>
      </c>
      <c r="AA357" s="381">
        <f t="shared" si="160"/>
        <v>8.2046840965431791</v>
      </c>
      <c r="AB357" s="193">
        <f t="shared" si="161"/>
        <v>44904</v>
      </c>
      <c r="AC357" s="420">
        <f t="shared" si="162"/>
        <v>2.363317026670558E-2</v>
      </c>
      <c r="AD357" s="165">
        <f>(INDEX(Models!$BJ357:$BT357,,AH357)*(1-AF357)+INDEX(Models!$BJ357:$BT357,,AH357+1)*AF357-ERP_i)*AE357*Ramure*Pc/MaxiM</f>
        <v>2.8880561782021704E-3</v>
      </c>
      <c r="AE357" s="301">
        <f t="shared" si="163"/>
        <v>0.5</v>
      </c>
      <c r="AF357" s="173">
        <f t="shared" si="164"/>
        <v>0.49369981784226008</v>
      </c>
      <c r="AG357" s="802">
        <f t="shared" si="165"/>
        <v>0</v>
      </c>
      <c r="AH357" s="172">
        <f t="shared" si="166"/>
        <v>6</v>
      </c>
      <c r="AI357" s="221">
        <f t="shared" si="167"/>
        <v>0.49369981784226008</v>
      </c>
      <c r="AJ357" s="261" t="b">
        <f t="shared" si="168"/>
        <v>0</v>
      </c>
      <c r="AK357" s="261" t="b">
        <f t="shared" si="16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70"/>
        <v>44905</v>
      </c>
      <c r="B358" s="610">
        <v>11.605</v>
      </c>
      <c r="C358" s="385"/>
      <c r="D358" s="388">
        <f t="shared" si="147"/>
        <v>11.666004615680791</v>
      </c>
      <c r="E358" s="380">
        <f t="shared" si="144"/>
        <v>11.948952019047876</v>
      </c>
      <c r="F358" s="380">
        <f t="shared" si="172"/>
        <v>11.96710133124366</v>
      </c>
      <c r="G358" s="110">
        <f t="shared" si="145"/>
        <v>0.66550446728550694</v>
      </c>
      <c r="I358" s="375">
        <f t="shared" si="148"/>
        <v>11.96710133124366</v>
      </c>
      <c r="J358" s="85">
        <v>2022</v>
      </c>
      <c r="K358" s="193">
        <f t="shared" si="149"/>
        <v>44905</v>
      </c>
      <c r="L358" s="431">
        <f t="shared" si="150"/>
        <v>5.2292638045755568E-3</v>
      </c>
      <c r="M358" s="847"/>
      <c r="N358" s="847"/>
      <c r="O358" s="320">
        <f t="shared" si="151"/>
        <v>2.3679683617110387E-2</v>
      </c>
      <c r="P358" s="165">
        <f>(INDEX(Models!$BJ358:$BT358,,T358)*(1-R358)+INDEX(Models!$BJ358:$BT358,,T358+1)*R358-ERP_i)*Q358*Ramure*Pc/MaxiM</f>
        <v>2.8972302938202782E-3</v>
      </c>
      <c r="Q358" s="301">
        <f t="shared" si="152"/>
        <v>0.5</v>
      </c>
      <c r="R358" s="173">
        <f t="shared" si="153"/>
        <v>0.49371119039290462</v>
      </c>
      <c r="S358" s="802">
        <f t="shared" si="171"/>
        <v>0</v>
      </c>
      <c r="T358" s="172">
        <f t="shared" si="154"/>
        <v>6</v>
      </c>
      <c r="U358" s="247">
        <f t="shared" si="155"/>
        <v>0.49371119039290462</v>
      </c>
      <c r="V358" s="378">
        <f t="shared" si="156"/>
        <v>17.413787622850144</v>
      </c>
      <c r="W358" s="58"/>
      <c r="X358" s="153">
        <f t="shared" si="157"/>
        <v>44905</v>
      </c>
      <c r="Y358" s="380">
        <f t="shared" si="158"/>
        <v>11.605</v>
      </c>
      <c r="Z358" s="380">
        <f t="shared" si="159"/>
        <v>11.666004615680791</v>
      </c>
      <c r="AA358" s="381">
        <f t="shared" si="160"/>
        <v>11.948952019047876</v>
      </c>
      <c r="AB358" s="193">
        <f t="shared" si="161"/>
        <v>44905</v>
      </c>
      <c r="AC358" s="420">
        <f t="shared" si="162"/>
        <v>2.3679683617110387E-2</v>
      </c>
      <c r="AD358" s="165">
        <f>(INDEX(Models!$BJ358:$BT358,,AH358)*(1-AF358)+INDEX(Models!$BJ358:$BT358,,AH358+1)*AF358-ERP_i)*AE358*Ramure*Pc/MaxiM</f>
        <v>2.8972302938202782E-3</v>
      </c>
      <c r="AE358" s="301">
        <f t="shared" si="163"/>
        <v>0.5</v>
      </c>
      <c r="AF358" s="173">
        <f t="shared" si="164"/>
        <v>0.49371119039290462</v>
      </c>
      <c r="AG358" s="802">
        <f t="shared" si="165"/>
        <v>0</v>
      </c>
      <c r="AH358" s="172">
        <f t="shared" si="166"/>
        <v>6</v>
      </c>
      <c r="AI358" s="221">
        <f t="shared" si="167"/>
        <v>0.49371119039290462</v>
      </c>
      <c r="AJ358" s="261" t="b">
        <f t="shared" si="168"/>
        <v>0</v>
      </c>
      <c r="AK358" s="261" t="b">
        <f t="shared" si="16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70"/>
        <v>44906</v>
      </c>
      <c r="B359" s="610">
        <v>13.197000000000001</v>
      </c>
      <c r="C359" s="385"/>
      <c r="D359" s="388">
        <f t="shared" si="147"/>
        <v>13.266554974057978</v>
      </c>
      <c r="E359" s="380">
        <f t="shared" si="144"/>
        <v>13.588973242198534</v>
      </c>
      <c r="F359" s="380">
        <f t="shared" si="172"/>
        <v>13.615221721331118</v>
      </c>
      <c r="G359" s="110">
        <f t="shared" si="145"/>
        <v>0.76310269344441695</v>
      </c>
      <c r="I359" s="375">
        <f t="shared" si="148"/>
        <v>13.615221721331118</v>
      </c>
      <c r="J359" s="85">
        <v>2022</v>
      </c>
      <c r="K359" s="193">
        <f t="shared" si="149"/>
        <v>44906</v>
      </c>
      <c r="L359" s="431">
        <f t="shared" si="150"/>
        <v>5.2428813805835972E-3</v>
      </c>
      <c r="M359" s="847"/>
      <c r="N359" s="847"/>
      <c r="O359" s="320">
        <f t="shared" si="151"/>
        <v>2.3726462801422942E-2</v>
      </c>
      <c r="P359" s="165">
        <f>(INDEX(Models!$BJ359:$BT359,,T359)*(1-R359)+INDEX(Models!$BJ359:$BT359,,T359+1)*R359-ERP_i)*Q359*Ramure*Pc/MaxiM</f>
        <v>2.909352245770823E-3</v>
      </c>
      <c r="Q359" s="301">
        <f t="shared" si="152"/>
        <v>0.5</v>
      </c>
      <c r="R359" s="173">
        <f t="shared" si="153"/>
        <v>0.49372210553759593</v>
      </c>
      <c r="S359" s="802">
        <f t="shared" si="171"/>
        <v>0</v>
      </c>
      <c r="T359" s="172">
        <f t="shared" si="154"/>
        <v>6</v>
      </c>
      <c r="U359" s="247">
        <f t="shared" si="155"/>
        <v>0.49372210553759593</v>
      </c>
      <c r="V359" s="378">
        <f t="shared" si="156"/>
        <v>17.276865317686493</v>
      </c>
      <c r="W359" s="58"/>
      <c r="X359" s="153">
        <f t="shared" si="157"/>
        <v>44906</v>
      </c>
      <c r="Y359" s="380">
        <f t="shared" si="158"/>
        <v>13.197000000000001</v>
      </c>
      <c r="Z359" s="380">
        <f t="shared" si="159"/>
        <v>13.266554974057978</v>
      </c>
      <c r="AA359" s="381">
        <f t="shared" si="160"/>
        <v>13.588973242198534</v>
      </c>
      <c r="AB359" s="193">
        <f t="shared" si="161"/>
        <v>44906</v>
      </c>
      <c r="AC359" s="420">
        <f t="shared" si="162"/>
        <v>2.3726462801422942E-2</v>
      </c>
      <c r="AD359" s="165">
        <f>(INDEX(Models!$BJ359:$BT359,,AH359)*(1-AF359)+INDEX(Models!$BJ359:$BT359,,AH359+1)*AF359-ERP_i)*AE359*Ramure*Pc/MaxiM</f>
        <v>2.909352245770823E-3</v>
      </c>
      <c r="AE359" s="301">
        <f t="shared" si="163"/>
        <v>0.5</v>
      </c>
      <c r="AF359" s="173">
        <f t="shared" si="164"/>
        <v>0.49372210553759593</v>
      </c>
      <c r="AG359" s="802">
        <f t="shared" si="165"/>
        <v>0</v>
      </c>
      <c r="AH359" s="172">
        <f t="shared" si="166"/>
        <v>6</v>
      </c>
      <c r="AI359" s="221">
        <f t="shared" si="167"/>
        <v>0.49372210553759593</v>
      </c>
      <c r="AJ359" s="261" t="b">
        <f t="shared" si="168"/>
        <v>0</v>
      </c>
      <c r="AK359" s="261" t="b">
        <f t="shared" si="16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70"/>
        <v>44907</v>
      </c>
      <c r="B360" s="610">
        <v>6.0430000000000001</v>
      </c>
      <c r="C360" s="385"/>
      <c r="D360" s="388">
        <f t="shared" si="147"/>
        <v>6.0749328771979076</v>
      </c>
      <c r="E360" s="380">
        <f t="shared" si="144"/>
        <v>6.2228723091726756</v>
      </c>
      <c r="F360" s="380">
        <f t="shared" si="172"/>
        <v>6.2242364696996182</v>
      </c>
      <c r="G360" s="110">
        <f t="shared" si="145"/>
        <v>0.3514951314545039</v>
      </c>
      <c r="I360" s="375">
        <f t="shared" si="148"/>
        <v>6.2242364696996182</v>
      </c>
      <c r="J360" s="85">
        <v>2022</v>
      </c>
      <c r="K360" s="193">
        <f t="shared" si="149"/>
        <v>44907</v>
      </c>
      <c r="L360" s="431">
        <f t="shared" si="150"/>
        <v>5.2564987701785304E-3</v>
      </c>
      <c r="M360" s="847"/>
      <c r="N360" s="847"/>
      <c r="O360" s="320">
        <f t="shared" si="151"/>
        <v>2.3773496325274326E-2</v>
      </c>
      <c r="P360" s="165">
        <f>(INDEX(Models!$BJ360:$BT360,,T360)*(1-R360)+INDEX(Models!$BJ360:$BT360,,T360+1)*R360-ERP_i)*Q360*Ramure*Pc/MaxiM</f>
        <v>2.9250943621791118E-3</v>
      </c>
      <c r="Q360" s="301">
        <f t="shared" si="152"/>
        <v>0.5</v>
      </c>
      <c r="R360" s="173">
        <f t="shared" si="153"/>
        <v>0.49373258165451067</v>
      </c>
      <c r="S360" s="802">
        <f t="shared" si="171"/>
        <v>0</v>
      </c>
      <c r="T360" s="172">
        <f t="shared" si="154"/>
        <v>6</v>
      </c>
      <c r="U360" s="247">
        <f t="shared" si="155"/>
        <v>0.49373258165451067</v>
      </c>
      <c r="V360" s="378">
        <f t="shared" si="156"/>
        <v>17.145741064175105</v>
      </c>
      <c r="W360" s="58"/>
      <c r="X360" s="153">
        <f t="shared" si="157"/>
        <v>44907</v>
      </c>
      <c r="Y360" s="380">
        <f t="shared" si="158"/>
        <v>6.0430000000000001</v>
      </c>
      <c r="Z360" s="380">
        <f t="shared" si="159"/>
        <v>6.0749328771979076</v>
      </c>
      <c r="AA360" s="381">
        <f t="shared" si="160"/>
        <v>6.2228723091726756</v>
      </c>
      <c r="AB360" s="193">
        <f t="shared" si="161"/>
        <v>44907</v>
      </c>
      <c r="AC360" s="420">
        <f t="shared" si="162"/>
        <v>2.3773496325274326E-2</v>
      </c>
      <c r="AD360" s="165">
        <f>(INDEX(Models!$BJ360:$BT360,,AH360)*(1-AF360)+INDEX(Models!$BJ360:$BT360,,AH360+1)*AF360-ERP_i)*AE360*Ramure*Pc/MaxiM</f>
        <v>2.9250943621791118E-3</v>
      </c>
      <c r="AE360" s="301">
        <f t="shared" si="163"/>
        <v>0.5</v>
      </c>
      <c r="AF360" s="173">
        <f t="shared" si="164"/>
        <v>0.49373258165451067</v>
      </c>
      <c r="AG360" s="802">
        <f t="shared" si="165"/>
        <v>0</v>
      </c>
      <c r="AH360" s="172">
        <f t="shared" si="166"/>
        <v>6</v>
      </c>
      <c r="AI360" s="221">
        <f t="shared" si="167"/>
        <v>0.49373258165451067</v>
      </c>
      <c r="AJ360" s="261" t="b">
        <f t="shared" si="168"/>
        <v>0</v>
      </c>
      <c r="AK360" s="261" t="b">
        <f t="shared" si="16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70"/>
        <v>44908</v>
      </c>
      <c r="B361" s="610">
        <v>5.6930000000000005</v>
      </c>
      <c r="C361" s="385"/>
      <c r="D361" s="388">
        <f t="shared" si="147"/>
        <v>5.7231617260304928</v>
      </c>
      <c r="E361" s="380">
        <f t="shared" ref="E361:E379" si="173">Wh_pvt/(1-Psa)</f>
        <v>5.8628185916648796</v>
      </c>
      <c r="F361" s="380">
        <f t="shared" si="172"/>
        <v>5.8636677565978781</v>
      </c>
      <c r="G361" s="110">
        <f t="shared" ref="G361:G379" si="174">+Wh_hp/MaxiM</f>
        <v>0.33352260382075172</v>
      </c>
      <c r="I361" s="375">
        <f t="shared" si="148"/>
        <v>5.8636677565978781</v>
      </c>
      <c r="J361" s="85">
        <v>2022</v>
      </c>
      <c r="K361" s="193">
        <f t="shared" si="149"/>
        <v>44908</v>
      </c>
      <c r="L361" s="431">
        <f t="shared" si="150"/>
        <v>5.2701159733627989E-3</v>
      </c>
      <c r="M361" s="847"/>
      <c r="N361" s="847"/>
      <c r="O361" s="320">
        <f t="shared" si="151"/>
        <v>2.3820772116834033E-2</v>
      </c>
      <c r="P361" s="165">
        <f>(INDEX(Models!$BJ361:$BT361,,T361)*(1-R361)+INDEX(Models!$BJ361:$BT361,,T361+1)*R361-ERP_i)*Q361*Ramure*Pc/MaxiM</f>
        <v>2.941897745963117E-3</v>
      </c>
      <c r="Q361" s="301">
        <f t="shared" si="152"/>
        <v>0.5</v>
      </c>
      <c r="R361" s="173">
        <f t="shared" si="153"/>
        <v>0.49374263638488658</v>
      </c>
      <c r="S361" s="802">
        <f t="shared" si="171"/>
        <v>0</v>
      </c>
      <c r="T361" s="172">
        <f t="shared" si="154"/>
        <v>6</v>
      </c>
      <c r="U361" s="247">
        <f t="shared" si="155"/>
        <v>0.49374263638488658</v>
      </c>
      <c r="V361" s="378">
        <f t="shared" si="156"/>
        <v>17.02155672171628</v>
      </c>
      <c r="W361" s="58"/>
      <c r="X361" s="153">
        <f t="shared" si="157"/>
        <v>44908</v>
      </c>
      <c r="Y361" s="380">
        <f t="shared" si="158"/>
        <v>5.6930000000000005</v>
      </c>
      <c r="Z361" s="380">
        <f t="shared" si="159"/>
        <v>5.7231617260304928</v>
      </c>
      <c r="AA361" s="381">
        <f t="shared" si="160"/>
        <v>5.8628185916648796</v>
      </c>
      <c r="AB361" s="193">
        <f t="shared" si="161"/>
        <v>44908</v>
      </c>
      <c r="AC361" s="420">
        <f t="shared" si="162"/>
        <v>2.3820772116834033E-2</v>
      </c>
      <c r="AD361" s="165">
        <f>(INDEX(Models!$BJ361:$BT361,,AH361)*(1-AF361)+INDEX(Models!$BJ361:$BT361,,AH361+1)*AF361-ERP_i)*AE361*Ramure*Pc/MaxiM</f>
        <v>2.941897745963117E-3</v>
      </c>
      <c r="AE361" s="301">
        <f t="shared" si="163"/>
        <v>0.5</v>
      </c>
      <c r="AF361" s="173">
        <f t="shared" si="164"/>
        <v>0.49374263638488658</v>
      </c>
      <c r="AG361" s="802">
        <f t="shared" si="165"/>
        <v>0</v>
      </c>
      <c r="AH361" s="172">
        <f t="shared" si="166"/>
        <v>6</v>
      </c>
      <c r="AI361" s="221">
        <f t="shared" si="167"/>
        <v>0.49374263638488658</v>
      </c>
      <c r="AJ361" s="261" t="b">
        <f t="shared" si="168"/>
        <v>0</v>
      </c>
      <c r="AK361" s="261" t="b">
        <f t="shared" si="16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70"/>
        <v>44909</v>
      </c>
      <c r="B362" s="610">
        <v>12.965</v>
      </c>
      <c r="C362" s="385"/>
      <c r="D362" s="388">
        <f t="shared" si="147"/>
        <v>13.033867475569769</v>
      </c>
      <c r="E362" s="380">
        <f t="shared" si="173"/>
        <v>13.352570331194611</v>
      </c>
      <c r="F362" s="380">
        <f t="shared" si="172"/>
        <v>13.378981463837262</v>
      </c>
      <c r="G362" s="110">
        <f t="shared" si="174"/>
        <v>0.76615687100183216</v>
      </c>
      <c r="I362" s="375">
        <f t="shared" si="148"/>
        <v>13.378981463837262</v>
      </c>
      <c r="J362" s="85">
        <v>2022</v>
      </c>
      <c r="K362" s="193">
        <f t="shared" si="149"/>
        <v>44909</v>
      </c>
      <c r="L362" s="431">
        <f t="shared" si="150"/>
        <v>5.2837329901390673E-3</v>
      </c>
      <c r="M362" s="847"/>
      <c r="N362" s="847"/>
      <c r="O362" s="320">
        <f t="shared" si="151"/>
        <v>2.3868277621446436E-2</v>
      </c>
      <c r="P362" s="165">
        <f>(INDEX(Models!$BJ362:$BT362,,T362)*(1-R362)+INDEX(Models!$BJ362:$BT362,,T362+1)*R362-ERP_i)*Q362*Ramure*Pc/MaxiM</f>
        <v>2.9595453002833295E-3</v>
      </c>
      <c r="Q362" s="301">
        <f t="shared" si="152"/>
        <v>0.5</v>
      </c>
      <c r="R362" s="173">
        <f t="shared" si="153"/>
        <v>0.49375228666245591</v>
      </c>
      <c r="S362" s="802">
        <f t="shared" si="171"/>
        <v>0</v>
      </c>
      <c r="T362" s="172">
        <f t="shared" si="154"/>
        <v>6</v>
      </c>
      <c r="U362" s="247">
        <f t="shared" si="155"/>
        <v>0.49375228666245591</v>
      </c>
      <c r="V362" s="378">
        <f t="shared" si="156"/>
        <v>16.905412736084081</v>
      </c>
      <c r="W362" s="58"/>
      <c r="X362" s="153">
        <f t="shared" si="157"/>
        <v>44909</v>
      </c>
      <c r="Y362" s="380">
        <f t="shared" si="158"/>
        <v>12.965</v>
      </c>
      <c r="Z362" s="380">
        <f t="shared" si="159"/>
        <v>13.033867475569769</v>
      </c>
      <c r="AA362" s="381">
        <f t="shared" si="160"/>
        <v>13.352570331194611</v>
      </c>
      <c r="AB362" s="193">
        <f t="shared" si="161"/>
        <v>44909</v>
      </c>
      <c r="AC362" s="420">
        <f t="shared" si="162"/>
        <v>2.3868277621446436E-2</v>
      </c>
      <c r="AD362" s="165">
        <f>(INDEX(Models!$BJ362:$BT362,,AH362)*(1-AF362)+INDEX(Models!$BJ362:$BT362,,AH362+1)*AF362-ERP_i)*AE362*Ramure*Pc/MaxiM</f>
        <v>2.9595453002833295E-3</v>
      </c>
      <c r="AE362" s="301">
        <f t="shared" si="163"/>
        <v>0.5</v>
      </c>
      <c r="AF362" s="173">
        <f t="shared" si="164"/>
        <v>0.49375228666245591</v>
      </c>
      <c r="AG362" s="802">
        <f t="shared" si="165"/>
        <v>0</v>
      </c>
      <c r="AH362" s="172">
        <f t="shared" si="166"/>
        <v>6</v>
      </c>
      <c r="AI362" s="221">
        <f t="shared" si="167"/>
        <v>0.49375228666245591</v>
      </c>
      <c r="AJ362" s="261" t="b">
        <f t="shared" si="168"/>
        <v>0</v>
      </c>
      <c r="AK362" s="261" t="b">
        <f t="shared" si="169"/>
        <v>0</v>
      </c>
      <c r="AL362" s="261"/>
      <c r="AM362" s="261"/>
      <c r="AN362" s="75"/>
    </row>
    <row r="363" spans="1:40" s="6" customFormat="1" ht="11.25" x14ac:dyDescent="0.2">
      <c r="A363" s="56">
        <f t="shared" si="170"/>
        <v>44910</v>
      </c>
      <c r="B363" s="610">
        <v>6.9249999999999998</v>
      </c>
      <c r="C363" s="385"/>
      <c r="D363" s="388">
        <f t="shared" si="147"/>
        <v>6.961879511178954</v>
      </c>
      <c r="E363" s="380">
        <f t="shared" si="173"/>
        <v>7.1324594096857661</v>
      </c>
      <c r="F363" s="380">
        <f t="shared" si="172"/>
        <v>7.1358666165073297</v>
      </c>
      <c r="G363" s="110">
        <f t="shared" si="174"/>
        <v>0.41121018219268435</v>
      </c>
      <c r="I363" s="375">
        <f t="shared" si="148"/>
        <v>7.1358666165073297</v>
      </c>
      <c r="J363" s="85">
        <v>2022</v>
      </c>
      <c r="K363" s="193">
        <f t="shared" si="149"/>
        <v>44910</v>
      </c>
      <c r="L363" s="431">
        <f t="shared" si="150"/>
        <v>5.297349820509778E-3</v>
      </c>
      <c r="M363" s="847"/>
      <c r="N363" s="847"/>
      <c r="O363" s="320">
        <f t="shared" si="151"/>
        <v>2.3915999896917398E-2</v>
      </c>
      <c r="P363" s="165">
        <f>(INDEX(Models!$BJ363:$BT363,,T363)*(1-R363)+INDEX(Models!$BJ363:$BT363,,T363+1)*R363-ERP_i)*Q363*Ramure*Pc/MaxiM</f>
        <v>2.9778079185631334E-3</v>
      </c>
      <c r="Q363" s="301">
        <f t="shared" si="152"/>
        <v>0.5</v>
      </c>
      <c r="R363" s="173">
        <f t="shared" si="153"/>
        <v>0.49376154874171241</v>
      </c>
      <c r="S363" s="802">
        <f t="shared" si="171"/>
        <v>0</v>
      </c>
      <c r="T363" s="172">
        <f t="shared" si="154"/>
        <v>6</v>
      </c>
      <c r="U363" s="247">
        <f t="shared" si="155"/>
        <v>0.49376154874171241</v>
      </c>
      <c r="V363" s="378">
        <f t="shared" si="156"/>
        <v>16.798409258733155</v>
      </c>
      <c r="W363" s="58"/>
      <c r="X363" s="153">
        <f t="shared" si="157"/>
        <v>44910</v>
      </c>
      <c r="Y363" s="380">
        <f t="shared" si="158"/>
        <v>6.9249999999999998</v>
      </c>
      <c r="Z363" s="380">
        <f t="shared" si="159"/>
        <v>6.961879511178954</v>
      </c>
      <c r="AA363" s="381">
        <f t="shared" si="160"/>
        <v>7.1324594096857661</v>
      </c>
      <c r="AB363" s="193">
        <f t="shared" si="161"/>
        <v>44910</v>
      </c>
      <c r="AC363" s="420">
        <f t="shared" si="162"/>
        <v>2.3915999896917398E-2</v>
      </c>
      <c r="AD363" s="165">
        <f>(INDEX(Models!$BJ363:$BT363,,AH363)*(1-AF363)+INDEX(Models!$BJ363:$BT363,,AH363+1)*AF363-ERP_i)*AE363*Ramure*Pc/MaxiM</f>
        <v>2.9778079185631334E-3</v>
      </c>
      <c r="AE363" s="301">
        <f t="shared" si="163"/>
        <v>0.5</v>
      </c>
      <c r="AF363" s="173">
        <f t="shared" si="164"/>
        <v>0.49376154874171241</v>
      </c>
      <c r="AG363" s="802">
        <f t="shared" si="165"/>
        <v>0</v>
      </c>
      <c r="AH363" s="172">
        <f t="shared" si="166"/>
        <v>6</v>
      </c>
      <c r="AI363" s="221">
        <f t="shared" si="167"/>
        <v>0.49376154874171241</v>
      </c>
      <c r="AJ363" s="261" t="b">
        <f t="shared" si="168"/>
        <v>0</v>
      </c>
      <c r="AK363" s="261" t="b">
        <f t="shared" si="16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70"/>
        <v>44911</v>
      </c>
      <c r="B364" s="610">
        <v>5.8120000000000003</v>
      </c>
      <c r="C364" s="385"/>
      <c r="D364" s="388">
        <f t="shared" si="147"/>
        <v>5.8430321477877651</v>
      </c>
      <c r="E364" s="380">
        <f t="shared" si="173"/>
        <v>5.9864919972659356</v>
      </c>
      <c r="F364" s="380">
        <f t="shared" si="172"/>
        <v>5.9877220322580982</v>
      </c>
      <c r="G364" s="110">
        <f t="shared" si="174"/>
        <v>0.34701820543399242</v>
      </c>
      <c r="I364" s="375">
        <f t="shared" si="148"/>
        <v>5.9877220322580982</v>
      </c>
      <c r="J364" s="85">
        <v>2022</v>
      </c>
      <c r="K364" s="193">
        <f t="shared" si="149"/>
        <v>44911</v>
      </c>
      <c r="L364" s="431">
        <f t="shared" si="150"/>
        <v>5.3109664644774845E-3</v>
      </c>
      <c r="M364" s="847"/>
      <c r="N364" s="847"/>
      <c r="O364" s="320">
        <f t="shared" si="151"/>
        <v>2.3963925708693795E-2</v>
      </c>
      <c r="P364" s="165">
        <f>(INDEX(Models!$BJ364:$BT364,,T364)*(1-R364)+INDEX(Models!$BJ364:$BT364,,T364+1)*R364-ERP_i)*Q364*Ramure*Pc/MaxiM</f>
        <v>2.9964448417369154E-3</v>
      </c>
      <c r="Q364" s="301">
        <f t="shared" si="152"/>
        <v>0.5</v>
      </c>
      <c r="R364" s="173">
        <f t="shared" si="153"/>
        <v>0.49377043822505762</v>
      </c>
      <c r="S364" s="802">
        <f t="shared" si="171"/>
        <v>0</v>
      </c>
      <c r="T364" s="172">
        <f t="shared" si="154"/>
        <v>6</v>
      </c>
      <c r="U364" s="247">
        <f t="shared" si="155"/>
        <v>0.49377043822505762</v>
      </c>
      <c r="V364" s="378">
        <f t="shared" si="156"/>
        <v>16.70164612668858</v>
      </c>
      <c r="W364" s="58"/>
      <c r="X364" s="153">
        <f t="shared" si="157"/>
        <v>44911</v>
      </c>
      <c r="Y364" s="380">
        <f t="shared" si="158"/>
        <v>5.8120000000000003</v>
      </c>
      <c r="Z364" s="380">
        <f t="shared" si="159"/>
        <v>5.8430321477877651</v>
      </c>
      <c r="AA364" s="381">
        <f t="shared" si="160"/>
        <v>5.9864919972659356</v>
      </c>
      <c r="AB364" s="193">
        <f t="shared" si="161"/>
        <v>44911</v>
      </c>
      <c r="AC364" s="420">
        <f t="shared" si="162"/>
        <v>2.3963925708693795E-2</v>
      </c>
      <c r="AD364" s="165">
        <f>(INDEX(Models!$BJ364:$BT364,,AH364)*(1-AF364)+INDEX(Models!$BJ364:$BT364,,AH364+1)*AF364-ERP_i)*AE364*Ramure*Pc/MaxiM</f>
        <v>2.9964448417369154E-3</v>
      </c>
      <c r="AE364" s="301">
        <f t="shared" si="163"/>
        <v>0.5</v>
      </c>
      <c r="AF364" s="173">
        <f t="shared" si="164"/>
        <v>0.49377043822505762</v>
      </c>
      <c r="AG364" s="802">
        <f t="shared" si="165"/>
        <v>0</v>
      </c>
      <c r="AH364" s="172">
        <f t="shared" si="166"/>
        <v>6</v>
      </c>
      <c r="AI364" s="221">
        <f t="shared" si="167"/>
        <v>0.49377043822505762</v>
      </c>
      <c r="AJ364" s="261" t="b">
        <f t="shared" si="168"/>
        <v>0</v>
      </c>
      <c r="AK364" s="261" t="b">
        <f t="shared" si="16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70"/>
        <v>44912</v>
      </c>
      <c r="B365" s="610">
        <v>3.7530000000000001</v>
      </c>
      <c r="C365" s="385"/>
      <c r="D365" s="388">
        <f t="shared" si="147"/>
        <v>3.7730901312763296</v>
      </c>
      <c r="E365" s="380">
        <f t="shared" si="173"/>
        <v>3.8659187328041593</v>
      </c>
      <c r="F365" s="380">
        <f t="shared" si="172"/>
        <v>3.8659187328041593</v>
      </c>
      <c r="G365" s="110">
        <f t="shared" si="174"/>
        <v>0.22518258004884492</v>
      </c>
      <c r="I365" s="375">
        <f t="shared" si="148"/>
        <v>3.8659187328041593</v>
      </c>
      <c r="J365" s="85">
        <v>2022</v>
      </c>
      <c r="K365" s="193">
        <f t="shared" si="149"/>
        <v>44912</v>
      </c>
      <c r="L365" s="431">
        <f t="shared" si="150"/>
        <v>5.3245829220447405E-3</v>
      </c>
      <c r="M365" s="847"/>
      <c r="N365" s="847"/>
      <c r="O365" s="320">
        <f t="shared" si="151"/>
        <v>2.4012041624190163E-2</v>
      </c>
      <c r="P365" s="165">
        <f>(INDEX(Models!$BJ365:$BT365,,T365)*(1-R365)+INDEX(Models!$BJ365:$BT365,,T365+1)*R365-ERP_i)*Q365*Ramure*Pc/MaxiM</f>
        <v>3.0152044251970261E-3</v>
      </c>
      <c r="Q365" s="301">
        <f t="shared" si="152"/>
        <v>0.5</v>
      </c>
      <c r="R365" s="173">
        <f t="shared" si="153"/>
        <v>0.49377897008887006</v>
      </c>
      <c r="S365" s="802">
        <f t="shared" si="171"/>
        <v>0</v>
      </c>
      <c r="T365" s="172">
        <f t="shared" si="154"/>
        <v>6</v>
      </c>
      <c r="U365" s="247">
        <f t="shared" si="155"/>
        <v>0.49377897008887006</v>
      </c>
      <c r="V365" s="378">
        <f t="shared" si="156"/>
        <v>16.616222875591077</v>
      </c>
      <c r="W365" s="58"/>
      <c r="X365" s="153">
        <f t="shared" si="157"/>
        <v>44912</v>
      </c>
      <c r="Y365" s="380">
        <f t="shared" si="158"/>
        <v>3.7530000000000001</v>
      </c>
      <c r="Z365" s="380">
        <f t="shared" si="159"/>
        <v>3.7730901312763296</v>
      </c>
      <c r="AA365" s="381">
        <f t="shared" si="160"/>
        <v>3.8659187328041593</v>
      </c>
      <c r="AB365" s="193">
        <f t="shared" si="161"/>
        <v>44912</v>
      </c>
      <c r="AC365" s="420">
        <f t="shared" si="162"/>
        <v>2.4012041624190163E-2</v>
      </c>
      <c r="AD365" s="165">
        <f>(INDEX(Models!$BJ365:$BT365,,AH365)*(1-AF365)+INDEX(Models!$BJ365:$BT365,,AH365+1)*AF365-ERP_i)*AE365*Ramure*Pc/MaxiM</f>
        <v>3.0152044251970261E-3</v>
      </c>
      <c r="AE365" s="301">
        <f t="shared" si="163"/>
        <v>0.5</v>
      </c>
      <c r="AF365" s="173">
        <f t="shared" si="164"/>
        <v>0.49377897008887006</v>
      </c>
      <c r="AG365" s="802">
        <f t="shared" si="165"/>
        <v>0</v>
      </c>
      <c r="AH365" s="172">
        <f t="shared" si="166"/>
        <v>6</v>
      </c>
      <c r="AI365" s="221">
        <f t="shared" si="167"/>
        <v>0.49377897008887006</v>
      </c>
      <c r="AJ365" s="261" t="b">
        <f t="shared" si="168"/>
        <v>0</v>
      </c>
      <c r="AK365" s="261" t="b">
        <f t="shared" si="16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70"/>
        <v>44913</v>
      </c>
      <c r="B366" s="610">
        <v>15.104000000000001</v>
      </c>
      <c r="C366" s="385"/>
      <c r="D366" s="388">
        <f t="shared" si="147"/>
        <v>15.185060879737122</v>
      </c>
      <c r="E366" s="380">
        <f t="shared" si="173"/>
        <v>15.559425864527936</v>
      </c>
      <c r="F366" s="380">
        <f t="shared" si="172"/>
        <v>15.600858513413073</v>
      </c>
      <c r="G366" s="110">
        <f t="shared" si="174"/>
        <v>0.9126553298422676</v>
      </c>
      <c r="I366" s="375">
        <f t="shared" si="148"/>
        <v>15.600858513413073</v>
      </c>
      <c r="J366" s="85">
        <v>2022</v>
      </c>
      <c r="K366" s="193">
        <f t="shared" si="149"/>
        <v>44913</v>
      </c>
      <c r="L366" s="431">
        <f t="shared" si="150"/>
        <v>5.3381991932142103E-3</v>
      </c>
      <c r="M366" s="847"/>
      <c r="N366" s="847"/>
      <c r="O366" s="320">
        <f t="shared" si="151"/>
        <v>2.4060334105532995E-2</v>
      </c>
      <c r="P366" s="165">
        <f>(INDEX(Models!$BJ366:$BT366,,T366)*(1-R366)+INDEX(Models!$BJ366:$BT366,,T366+1)*R366-ERP_i)*Q366*Ramure*Pc/MaxiM</f>
        <v>3.032714312223672E-3</v>
      </c>
      <c r="Q366" s="301">
        <f t="shared" si="152"/>
        <v>0.5</v>
      </c>
      <c r="R366" s="173">
        <f t="shared" si="153"/>
        <v>0.49378715870853934</v>
      </c>
      <c r="S366" s="802">
        <f t="shared" si="171"/>
        <v>0</v>
      </c>
      <c r="T366" s="172">
        <f t="shared" si="154"/>
        <v>6</v>
      </c>
      <c r="U366" s="247">
        <f t="shared" si="155"/>
        <v>0.49378715870853934</v>
      </c>
      <c r="V366" s="378">
        <f t="shared" si="156"/>
        <v>16.543257158730544</v>
      </c>
      <c r="W366" s="58"/>
      <c r="X366" s="153">
        <f t="shared" si="157"/>
        <v>44913</v>
      </c>
      <c r="Y366" s="380">
        <f t="shared" si="158"/>
        <v>15.104000000000001</v>
      </c>
      <c r="Z366" s="380">
        <f t="shared" si="159"/>
        <v>15.185060879737122</v>
      </c>
      <c r="AA366" s="381">
        <f t="shared" si="160"/>
        <v>15.559425864527936</v>
      </c>
      <c r="AB366" s="193">
        <f t="shared" si="161"/>
        <v>44913</v>
      </c>
      <c r="AC366" s="420">
        <f t="shared" si="162"/>
        <v>2.4060334105532995E-2</v>
      </c>
      <c r="AD366" s="165">
        <f>(INDEX(Models!$BJ366:$BT366,,AH366)*(1-AF366)+INDEX(Models!$BJ366:$BT366,,AH366+1)*AF366-ERP_i)*AE366*Ramure*Pc/MaxiM</f>
        <v>3.032714312223672E-3</v>
      </c>
      <c r="AE366" s="301">
        <f t="shared" si="163"/>
        <v>0.5</v>
      </c>
      <c r="AF366" s="173">
        <f t="shared" si="164"/>
        <v>0.49378715870853934</v>
      </c>
      <c r="AG366" s="802">
        <f t="shared" si="165"/>
        <v>0</v>
      </c>
      <c r="AH366" s="172">
        <f t="shared" si="166"/>
        <v>6</v>
      </c>
      <c r="AI366" s="221">
        <f t="shared" si="167"/>
        <v>0.49378715870853934</v>
      </c>
      <c r="AJ366" s="261" t="b">
        <f t="shared" si="168"/>
        <v>0</v>
      </c>
      <c r="AK366" s="261" t="b">
        <f t="shared" si="16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70"/>
        <v>44914</v>
      </c>
      <c r="B367" s="610">
        <v>14.462</v>
      </c>
      <c r="C367" s="385"/>
      <c r="D367" s="388">
        <f t="shared" si="147"/>
        <v>14.539814400849581</v>
      </c>
      <c r="E367" s="380">
        <f t="shared" si="173"/>
        <v>14.89901153519995</v>
      </c>
      <c r="F367" s="380">
        <f t="shared" si="172"/>
        <v>14.936536539370893</v>
      </c>
      <c r="G367" s="110">
        <f t="shared" si="174"/>
        <v>0.87687190523618852</v>
      </c>
      <c r="I367" s="375">
        <f t="shared" si="148"/>
        <v>14.936536539370893</v>
      </c>
      <c r="J367" s="85">
        <v>2022</v>
      </c>
      <c r="K367" s="193">
        <f t="shared" si="149"/>
        <v>44914</v>
      </c>
      <c r="L367" s="431">
        <f t="shared" si="150"/>
        <v>5.3518152779883366E-3</v>
      </c>
      <c r="M367" s="847"/>
      <c r="N367" s="847"/>
      <c r="O367" s="320">
        <f t="shared" si="151"/>
        <v>2.4108789600017458E-2</v>
      </c>
      <c r="P367" s="165">
        <f>(INDEX(Models!$BJ367:$BT367,,T367)*(1-R367)+INDEX(Models!$BJ367:$BT367,,T367+1)*R367-ERP_i)*Q367*Ramure*Pc/MaxiM</f>
        <v>3.0460442616736224E-3</v>
      </c>
      <c r="Q367" s="301">
        <f t="shared" si="152"/>
        <v>0.5</v>
      </c>
      <c r="R367" s="173">
        <f t="shared" si="153"/>
        <v>0.49379501788250557</v>
      </c>
      <c r="S367" s="802">
        <f t="shared" si="171"/>
        <v>0</v>
      </c>
      <c r="T367" s="172">
        <f t="shared" si="154"/>
        <v>6</v>
      </c>
      <c r="U367" s="247">
        <f t="shared" si="155"/>
        <v>0.49379501788250557</v>
      </c>
      <c r="V367" s="378">
        <f t="shared" si="156"/>
        <v>16.483891669897126</v>
      </c>
      <c r="W367" s="58"/>
      <c r="X367" s="153">
        <f t="shared" si="157"/>
        <v>44914</v>
      </c>
      <c r="Y367" s="380">
        <f t="shared" si="158"/>
        <v>14.462</v>
      </c>
      <c r="Z367" s="380">
        <f t="shared" si="159"/>
        <v>14.539814400849581</v>
      </c>
      <c r="AA367" s="381">
        <f t="shared" si="160"/>
        <v>14.89901153519995</v>
      </c>
      <c r="AB367" s="193">
        <f t="shared" si="161"/>
        <v>44914</v>
      </c>
      <c r="AC367" s="420">
        <f t="shared" si="162"/>
        <v>2.4108789600017458E-2</v>
      </c>
      <c r="AD367" s="165">
        <f>(INDEX(Models!$BJ367:$BT367,,AH367)*(1-AF367)+INDEX(Models!$BJ367:$BT367,,AH367+1)*AF367-ERP_i)*AE367*Ramure*Pc/MaxiM</f>
        <v>3.0460442616736224E-3</v>
      </c>
      <c r="AE367" s="301">
        <f t="shared" si="163"/>
        <v>0.5</v>
      </c>
      <c r="AF367" s="173">
        <f t="shared" si="164"/>
        <v>0.49379501788250557</v>
      </c>
      <c r="AG367" s="802">
        <f t="shared" si="165"/>
        <v>0</v>
      </c>
      <c r="AH367" s="172">
        <f t="shared" si="166"/>
        <v>6</v>
      </c>
      <c r="AI367" s="221">
        <f t="shared" si="167"/>
        <v>0.49379501788250557</v>
      </c>
      <c r="AJ367" s="261" t="b">
        <f t="shared" si="168"/>
        <v>0</v>
      </c>
      <c r="AK367" s="261" t="b">
        <f t="shared" si="16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70"/>
        <v>44915</v>
      </c>
      <c r="B368" s="610">
        <v>4.3659999999999997</v>
      </c>
      <c r="C368" s="385"/>
      <c r="D368" s="388">
        <f t="shared" si="147"/>
        <v>4.389551838283416</v>
      </c>
      <c r="E368" s="380">
        <f t="shared" si="173"/>
        <v>4.4982170424996788</v>
      </c>
      <c r="F368" s="380">
        <f t="shared" si="172"/>
        <v>4.4982170424996788</v>
      </c>
      <c r="G368" s="110">
        <f t="shared" si="174"/>
        <v>0.26477296498631281</v>
      </c>
      <c r="I368" s="375">
        <f t="shared" si="148"/>
        <v>4.4982170424996788</v>
      </c>
      <c r="J368" s="85">
        <v>2022</v>
      </c>
      <c r="K368" s="193">
        <f t="shared" si="149"/>
        <v>44915</v>
      </c>
      <c r="L368" s="431">
        <f t="shared" si="150"/>
        <v>5.3654311763696727E-3</v>
      </c>
      <c r="M368" s="847"/>
      <c r="N368" s="847"/>
      <c r="O368" s="320">
        <f t="shared" si="151"/>
        <v>2.4157394627600557E-2</v>
      </c>
      <c r="P368" s="165">
        <f>(INDEX(Models!$BJ368:$BT368,,T368)*(1-R368)+INDEX(Models!$BJ368:$BT368,,T368+1)*R368-ERP_i)*Q368*Ramure*Pc/MaxiM</f>
        <v>3.0549053705784665E-3</v>
      </c>
      <c r="Q368" s="301">
        <f t="shared" si="152"/>
        <v>0.5</v>
      </c>
      <c r="R368" s="173">
        <f t="shared" si="153"/>
        <v>0.49380256085534391</v>
      </c>
      <c r="S368" s="802">
        <f t="shared" si="171"/>
        <v>0</v>
      </c>
      <c r="T368" s="172">
        <f t="shared" si="154"/>
        <v>6</v>
      </c>
      <c r="U368" s="247">
        <f t="shared" si="155"/>
        <v>0.49380256085534391</v>
      </c>
      <c r="V368" s="378">
        <f t="shared" si="156"/>
        <v>16.439224765175933</v>
      </c>
      <c r="W368" s="58"/>
      <c r="X368" s="153">
        <f t="shared" si="157"/>
        <v>44915</v>
      </c>
      <c r="Y368" s="380">
        <f t="shared" si="158"/>
        <v>4.3659999999999997</v>
      </c>
      <c r="Z368" s="380">
        <f t="shared" si="159"/>
        <v>4.389551838283416</v>
      </c>
      <c r="AA368" s="381">
        <f t="shared" si="160"/>
        <v>4.4982170424996788</v>
      </c>
      <c r="AB368" s="193">
        <f t="shared" si="161"/>
        <v>44915</v>
      </c>
      <c r="AC368" s="420">
        <f t="shared" si="162"/>
        <v>2.4157394627600557E-2</v>
      </c>
      <c r="AD368" s="165">
        <f>(INDEX(Models!$BJ368:$BT368,,AH368)*(1-AF368)+INDEX(Models!$BJ368:$BT368,,AH368+1)*AF368-ERP_i)*AE368*Ramure*Pc/MaxiM</f>
        <v>3.0549053705784665E-3</v>
      </c>
      <c r="AE368" s="301">
        <f t="shared" si="163"/>
        <v>0.5</v>
      </c>
      <c r="AF368" s="173">
        <f t="shared" si="164"/>
        <v>0.49380256085534391</v>
      </c>
      <c r="AG368" s="802">
        <f t="shared" si="165"/>
        <v>0</v>
      </c>
      <c r="AH368" s="172">
        <f t="shared" si="166"/>
        <v>6</v>
      </c>
      <c r="AI368" s="221">
        <f t="shared" si="167"/>
        <v>0.49380256085534391</v>
      </c>
      <c r="AJ368" s="261" t="b">
        <f t="shared" si="168"/>
        <v>0</v>
      </c>
      <c r="AK368" s="261" t="b">
        <f t="shared" si="16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70"/>
        <v>44916</v>
      </c>
      <c r="B369" s="610">
        <v>15.483000000000001</v>
      </c>
      <c r="C369" s="385"/>
      <c r="D369" s="388">
        <f t="shared" si="147"/>
        <v>15.566734193123461</v>
      </c>
      <c r="E369" s="380">
        <f t="shared" si="173"/>
        <v>15.952892065907147</v>
      </c>
      <c r="F369" s="380">
        <f t="shared" si="172"/>
        <v>15.99787926279242</v>
      </c>
      <c r="G369" s="110">
        <f t="shared" si="174"/>
        <v>0.94325601759093924</v>
      </c>
      <c r="I369" s="375">
        <f t="shared" si="148"/>
        <v>15.99787926279242</v>
      </c>
      <c r="J369" s="85">
        <v>2022</v>
      </c>
      <c r="K369" s="193">
        <f t="shared" si="149"/>
        <v>44916</v>
      </c>
      <c r="L369" s="431">
        <f t="shared" si="150"/>
        <v>5.3790468883607723E-3</v>
      </c>
      <c r="M369" s="847"/>
      <c r="N369" s="847"/>
      <c r="O369" s="320">
        <f t="shared" si="151"/>
        <v>2.4206135864790507E-2</v>
      </c>
      <c r="P369" s="165">
        <f>(INDEX(Models!$BJ369:$BT369,,T369)*(1-R369)+INDEX(Models!$BJ369:$BT369,,T369+1)*R369-ERP_i)*Q369*Ramure*Pc/MaxiM</f>
        <v>3.0590246612682438E-3</v>
      </c>
      <c r="Q369" s="301">
        <f t="shared" si="152"/>
        <v>0.5</v>
      </c>
      <c r="R369" s="173">
        <f t="shared" si="153"/>
        <v>0.49380980033993083</v>
      </c>
      <c r="S369" s="802">
        <f t="shared" si="171"/>
        <v>0</v>
      </c>
      <c r="T369" s="172">
        <f t="shared" si="154"/>
        <v>6</v>
      </c>
      <c r="U369" s="247">
        <f t="shared" si="155"/>
        <v>0.49380980033993083</v>
      </c>
      <c r="V369" s="378">
        <f t="shared" si="156"/>
        <v>16.410354526342111</v>
      </c>
      <c r="W369" s="58"/>
      <c r="X369" s="153">
        <f t="shared" si="157"/>
        <v>44916</v>
      </c>
      <c r="Y369" s="380">
        <f t="shared" si="158"/>
        <v>15.483000000000001</v>
      </c>
      <c r="Z369" s="380">
        <f t="shared" si="159"/>
        <v>15.566734193123461</v>
      </c>
      <c r="AA369" s="381">
        <f t="shared" si="160"/>
        <v>15.952892065907147</v>
      </c>
      <c r="AB369" s="193">
        <f t="shared" si="161"/>
        <v>44916</v>
      </c>
      <c r="AC369" s="420">
        <f t="shared" si="162"/>
        <v>2.4206135864790507E-2</v>
      </c>
      <c r="AD369" s="165">
        <f>(INDEX(Models!$BJ369:$BT369,,AH369)*(1-AF369)+INDEX(Models!$BJ369:$BT369,,AH369+1)*AF369-ERP_i)*AE369*Ramure*Pc/MaxiM</f>
        <v>3.0590246612682438E-3</v>
      </c>
      <c r="AE369" s="301">
        <f t="shared" si="163"/>
        <v>0.5</v>
      </c>
      <c r="AF369" s="173">
        <f t="shared" si="164"/>
        <v>0.49380980033993083</v>
      </c>
      <c r="AG369" s="802">
        <f t="shared" si="165"/>
        <v>0</v>
      </c>
      <c r="AH369" s="172">
        <f t="shared" si="166"/>
        <v>6</v>
      </c>
      <c r="AI369" s="221">
        <f t="shared" si="167"/>
        <v>0.49380980033993083</v>
      </c>
      <c r="AJ369" s="261" t="b">
        <f t="shared" si="168"/>
        <v>0</v>
      </c>
      <c r="AK369" s="261" t="b">
        <f t="shared" si="16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70"/>
        <v>44917</v>
      </c>
      <c r="B370" s="610">
        <v>15.413</v>
      </c>
      <c r="C370" s="385"/>
      <c r="D370" s="388">
        <f t="shared" si="147"/>
        <v>15.496567758496695</v>
      </c>
      <c r="E370" s="380">
        <f t="shared" si="173"/>
        <v>15.881780344310757</v>
      </c>
      <c r="F370" s="380">
        <f>Wh_sa/(1-Pvg*MEDIAN((-Sdif+Wh/Env_an)/Csdif,0,1))</f>
        <v>15.926304409611507</v>
      </c>
      <c r="G370" s="110">
        <f t="shared" si="174"/>
        <v>0.93966255218877848</v>
      </c>
      <c r="I370" s="375">
        <f t="shared" si="148"/>
        <v>15.926304409611507</v>
      </c>
      <c r="J370" s="85">
        <v>2022</v>
      </c>
      <c r="K370" s="193">
        <f t="shared" si="149"/>
        <v>44917</v>
      </c>
      <c r="L370" s="431">
        <f t="shared" si="150"/>
        <v>5.3926624139641888E-3</v>
      </c>
      <c r="M370" s="847"/>
      <c r="N370" s="847"/>
      <c r="O370" s="320">
        <f t="shared" si="151"/>
        <v>2.4255000224332815E-2</v>
      </c>
      <c r="P370" s="165">
        <f>(INDEX(Models!$BJ370:$BT370,,T370)*(1-R370)+INDEX(Models!$BJ370:$BT370,,T370+1)*R370-ERP_i)*Q370*Ramure*Pc/MaxiM</f>
        <v>3.0581511637738949E-3</v>
      </c>
      <c r="Q370" s="301">
        <f t="shared" si="152"/>
        <v>0.5</v>
      </c>
      <c r="R370" s="173">
        <f t="shared" si="153"/>
        <v>0.49381674853872809</v>
      </c>
      <c r="S370" s="802">
        <f t="shared" si="171"/>
        <v>0</v>
      </c>
      <c r="T370" s="172">
        <f t="shared" si="154"/>
        <v>6</v>
      </c>
      <c r="U370" s="247">
        <f t="shared" si="155"/>
        <v>0.49381674853872809</v>
      </c>
      <c r="V370" s="378">
        <f t="shared" si="156"/>
        <v>16.39837875042619</v>
      </c>
      <c r="W370" s="58"/>
      <c r="X370" s="153">
        <f t="shared" si="157"/>
        <v>44917</v>
      </c>
      <c r="Y370" s="380">
        <f t="shared" si="158"/>
        <v>15.413</v>
      </c>
      <c r="Z370" s="380">
        <f t="shared" si="159"/>
        <v>15.496567758496695</v>
      </c>
      <c r="AA370" s="381">
        <f t="shared" si="160"/>
        <v>15.881780344310757</v>
      </c>
      <c r="AB370" s="193">
        <f t="shared" si="161"/>
        <v>44917</v>
      </c>
      <c r="AC370" s="420">
        <f t="shared" si="162"/>
        <v>2.4255000224332815E-2</v>
      </c>
      <c r="AD370" s="165">
        <f>(INDEX(Models!$BJ370:$BT370,,AH370)*(1-AF370)+INDEX(Models!$BJ370:$BT370,,AH370+1)*AF370-ERP_i)*AE370*Ramure*Pc/MaxiM</f>
        <v>3.0581511637738949E-3</v>
      </c>
      <c r="AE370" s="301">
        <f t="shared" si="163"/>
        <v>0.5</v>
      </c>
      <c r="AF370" s="173">
        <f t="shared" si="164"/>
        <v>0.49381674853872809</v>
      </c>
      <c r="AG370" s="802">
        <f t="shared" si="165"/>
        <v>0</v>
      </c>
      <c r="AH370" s="172">
        <f t="shared" si="166"/>
        <v>6</v>
      </c>
      <c r="AI370" s="221">
        <f t="shared" si="167"/>
        <v>0.49381674853872809</v>
      </c>
      <c r="AJ370" s="261" t="b">
        <f t="shared" si="168"/>
        <v>0</v>
      </c>
      <c r="AK370" s="261" t="b">
        <f t="shared" si="16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70"/>
        <v>44918</v>
      </c>
      <c r="B371" s="610">
        <v>15.123000000000001</v>
      </c>
      <c r="C371" s="385"/>
      <c r="D371" s="388">
        <f t="shared" si="147"/>
        <v>15.20520355370501</v>
      </c>
      <c r="E371" s="380">
        <f t="shared" si="173"/>
        <v>15.583955620416006</v>
      </c>
      <c r="F371" s="380">
        <f t="shared" si="172"/>
        <v>15.626325591893499</v>
      </c>
      <c r="G371" s="110">
        <f t="shared" si="174"/>
        <v>0.92157223292512369</v>
      </c>
      <c r="I371" s="375">
        <f t="shared" si="148"/>
        <v>15.626325591893499</v>
      </c>
      <c r="J371" s="85">
        <v>2022</v>
      </c>
      <c r="K371" s="193">
        <f t="shared" si="149"/>
        <v>44918</v>
      </c>
      <c r="L371" s="431">
        <f t="shared" si="150"/>
        <v>5.4062777531825867E-3</v>
      </c>
      <c r="M371" s="847"/>
      <c r="N371" s="847"/>
      <c r="O371" s="320">
        <f t="shared" si="151"/>
        <v>2.4303974930139468E-2</v>
      </c>
      <c r="P371" s="165">
        <f>(INDEX(Models!$BJ371:$BT371,,T371)*(1-R371)+INDEX(Models!$BJ371:$BT371,,T371+1)*R371-ERP_i)*Q371*Ramure*Pc/MaxiM</f>
        <v>3.0520231504229298E-3</v>
      </c>
      <c r="Q371" s="301">
        <f t="shared" si="152"/>
        <v>0.5</v>
      </c>
      <c r="R371" s="173">
        <f t="shared" si="153"/>
        <v>0.49381674853872809</v>
      </c>
      <c r="S371" s="802">
        <f t="shared" si="171"/>
        <v>0</v>
      </c>
      <c r="T371" s="172">
        <f t="shared" si="154"/>
        <v>6</v>
      </c>
      <c r="U371" s="247">
        <f t="shared" si="155"/>
        <v>0.49381674853872809</v>
      </c>
      <c r="V371" s="378">
        <f t="shared" si="156"/>
        <v>16.404395597751812</v>
      </c>
      <c r="W371" s="58"/>
      <c r="X371" s="153">
        <f t="shared" si="157"/>
        <v>44918</v>
      </c>
      <c r="Y371" s="380">
        <f t="shared" si="158"/>
        <v>15.123000000000001</v>
      </c>
      <c r="Z371" s="380">
        <f t="shared" si="159"/>
        <v>15.20520355370501</v>
      </c>
      <c r="AA371" s="381">
        <f t="shared" si="160"/>
        <v>15.583955620416006</v>
      </c>
      <c r="AB371" s="193">
        <f t="shared" si="161"/>
        <v>44918</v>
      </c>
      <c r="AC371" s="420">
        <f t="shared" si="162"/>
        <v>2.4303974930139468E-2</v>
      </c>
      <c r="AD371" s="165">
        <f>(INDEX(Models!$BJ371:$BT371,,AH371)*(1-AF371)+INDEX(Models!$BJ371:$BT371,,AH371+1)*AF371-ERP_i)*AE371*Ramure*Pc/MaxiM</f>
        <v>3.0520231504229298E-3</v>
      </c>
      <c r="AE371" s="301">
        <f t="shared" si="163"/>
        <v>0.5</v>
      </c>
      <c r="AF371" s="173">
        <f t="shared" si="164"/>
        <v>0.49381674853872809</v>
      </c>
      <c r="AG371" s="802">
        <f t="shared" si="165"/>
        <v>0</v>
      </c>
      <c r="AH371" s="172">
        <f t="shared" si="166"/>
        <v>6</v>
      </c>
      <c r="AI371" s="221">
        <f t="shared" si="167"/>
        <v>0.49381674853872809</v>
      </c>
      <c r="AJ371" s="261" t="b">
        <f t="shared" si="168"/>
        <v>0</v>
      </c>
      <c r="AK371" s="261" t="b">
        <f t="shared" si="16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70"/>
        <v>44919</v>
      </c>
      <c r="B372" s="610">
        <v>16.362000000000002</v>
      </c>
      <c r="C372" s="385"/>
      <c r="D372" s="388">
        <f t="shared" si="147"/>
        <v>16.451163544591079</v>
      </c>
      <c r="E372" s="380">
        <f t="shared" si="173"/>
        <v>16.861799756461959</v>
      </c>
      <c r="F372" s="380">
        <f t="shared" si="172"/>
        <v>16.912921484564905</v>
      </c>
      <c r="G372" s="110">
        <f t="shared" si="174"/>
        <v>0.99587360774251188</v>
      </c>
      <c r="I372" s="375">
        <f t="shared" si="148"/>
        <v>16.912921484564905</v>
      </c>
      <c r="J372" s="85">
        <v>2022</v>
      </c>
      <c r="K372" s="193">
        <f t="shared" si="149"/>
        <v>44919</v>
      </c>
      <c r="L372" s="431">
        <f t="shared" si="150"/>
        <v>5.4198929060184087E-3</v>
      </c>
      <c r="M372" s="847"/>
      <c r="N372" s="847"/>
      <c r="O372" s="320">
        <f t="shared" si="151"/>
        <v>2.4353047586958346E-2</v>
      </c>
      <c r="P372" s="165">
        <f>(INDEX(Models!$BJ372:$BT372,,T372)*(1-R372)+INDEX(Models!$BJ372:$BT372,,T372+1)*R372-ERP_i)*Q372*Ramure*Pc/MaxiM</f>
        <v>3.0404890434604682E-3</v>
      </c>
      <c r="Q372" s="301">
        <f t="shared" si="152"/>
        <v>0.5</v>
      </c>
      <c r="R372" s="173">
        <f t="shared" si="153"/>
        <v>0.49381674853872809</v>
      </c>
      <c r="S372" s="802">
        <f t="shared" si="171"/>
        <v>0</v>
      </c>
      <c r="T372" s="172">
        <f t="shared" si="154"/>
        <v>6</v>
      </c>
      <c r="U372" s="247">
        <f t="shared" si="155"/>
        <v>0.49381674853872809</v>
      </c>
      <c r="V372" s="378">
        <f t="shared" si="156"/>
        <v>16.429501690567314</v>
      </c>
      <c r="W372" s="58"/>
      <c r="X372" s="153">
        <f t="shared" si="157"/>
        <v>44919</v>
      </c>
      <c r="Y372" s="380">
        <f t="shared" si="158"/>
        <v>16.362000000000002</v>
      </c>
      <c r="Z372" s="380">
        <f t="shared" si="159"/>
        <v>16.451163544591079</v>
      </c>
      <c r="AA372" s="381">
        <f t="shared" si="160"/>
        <v>16.861799756461959</v>
      </c>
      <c r="AB372" s="193">
        <f t="shared" si="161"/>
        <v>44919</v>
      </c>
      <c r="AC372" s="420">
        <f t="shared" si="162"/>
        <v>2.4353047586958346E-2</v>
      </c>
      <c r="AD372" s="165">
        <f>(INDEX(Models!$BJ372:$BT372,,AH372)*(1-AF372)+INDEX(Models!$BJ372:$BT372,,AH372+1)*AF372-ERP_i)*AE372*Ramure*Pc/MaxiM</f>
        <v>3.0404890434604682E-3</v>
      </c>
      <c r="AE372" s="301">
        <f t="shared" si="163"/>
        <v>0.5</v>
      </c>
      <c r="AF372" s="173">
        <f t="shared" si="164"/>
        <v>0.49381674853872809</v>
      </c>
      <c r="AG372" s="802">
        <f t="shared" si="165"/>
        <v>0</v>
      </c>
      <c r="AH372" s="172">
        <f t="shared" si="166"/>
        <v>6</v>
      </c>
      <c r="AI372" s="221">
        <f t="shared" si="167"/>
        <v>0.49381674853872809</v>
      </c>
      <c r="AJ372" s="261" t="b">
        <f t="shared" si="168"/>
        <v>0</v>
      </c>
      <c r="AK372" s="261" t="b">
        <f t="shared" si="16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70"/>
        <v>44920</v>
      </c>
      <c r="B373" s="610">
        <v>9.0730000000000004</v>
      </c>
      <c r="C373" s="385"/>
      <c r="D373" s="388">
        <f t="shared" si="147"/>
        <v>9.1225675425596755</v>
      </c>
      <c r="E373" s="380">
        <f t="shared" si="173"/>
        <v>9.3507463843695202</v>
      </c>
      <c r="F373" s="380">
        <f t="shared" si="172"/>
        <v>9.3608811966692667</v>
      </c>
      <c r="G373" s="110">
        <f t="shared" si="174"/>
        <v>0.54961611651127351</v>
      </c>
      <c r="I373" s="375">
        <f t="shared" si="148"/>
        <v>9.3608811966692667</v>
      </c>
      <c r="J373" s="85">
        <v>2022</v>
      </c>
      <c r="K373" s="193">
        <f t="shared" si="149"/>
        <v>44920</v>
      </c>
      <c r="L373" s="431">
        <f t="shared" si="150"/>
        <v>5.4335078724742081E-3</v>
      </c>
      <c r="M373" s="847"/>
      <c r="N373" s="847"/>
      <c r="O373" s="320">
        <f t="shared" si="151"/>
        <v>2.4402206244333997E-2</v>
      </c>
      <c r="P373" s="165">
        <f>(INDEX(Models!$BJ373:$BT373,,T373)*(1-R373)+INDEX(Models!$BJ373:$BT373,,T373+1)*R373-ERP_i)*Q373*Ramure*Pc/MaxiM</f>
        <v>3.0232016710892776E-3</v>
      </c>
      <c r="Q373" s="301">
        <f t="shared" si="152"/>
        <v>0.5</v>
      </c>
      <c r="R373" s="173">
        <f t="shared" si="153"/>
        <v>0.49381674853872809</v>
      </c>
      <c r="S373" s="802">
        <f t="shared" si="171"/>
        <v>0</v>
      </c>
      <c r="T373" s="172">
        <f t="shared" si="154"/>
        <v>6</v>
      </c>
      <c r="U373" s="247">
        <f t="shared" si="155"/>
        <v>0.49381674853872809</v>
      </c>
      <c r="V373" s="378">
        <f t="shared" si="156"/>
        <v>16.475816968278686</v>
      </c>
      <c r="W373" s="58"/>
      <c r="X373" s="153">
        <f t="shared" si="157"/>
        <v>44920</v>
      </c>
      <c r="Y373" s="380">
        <f t="shared" si="158"/>
        <v>9.0730000000000004</v>
      </c>
      <c r="Z373" s="380">
        <f t="shared" si="159"/>
        <v>9.1225675425596755</v>
      </c>
      <c r="AA373" s="381">
        <f t="shared" si="160"/>
        <v>9.3507463843695202</v>
      </c>
      <c r="AB373" s="193">
        <f t="shared" si="161"/>
        <v>44920</v>
      </c>
      <c r="AC373" s="420">
        <f t="shared" si="162"/>
        <v>2.4402206244333997E-2</v>
      </c>
      <c r="AD373" s="165">
        <f>(INDEX(Models!$BJ373:$BT373,,AH373)*(1-AF373)+INDEX(Models!$BJ373:$BT373,,AH373+1)*AF373-ERP_i)*AE373*Ramure*Pc/MaxiM</f>
        <v>3.0232016710892776E-3</v>
      </c>
      <c r="AE373" s="301">
        <f t="shared" si="163"/>
        <v>0.5</v>
      </c>
      <c r="AF373" s="173">
        <f t="shared" si="164"/>
        <v>0.49381674853872809</v>
      </c>
      <c r="AG373" s="802">
        <f t="shared" si="165"/>
        <v>0</v>
      </c>
      <c r="AH373" s="172">
        <f t="shared" si="166"/>
        <v>6</v>
      </c>
      <c r="AI373" s="221">
        <f t="shared" si="167"/>
        <v>0.49381674853872809</v>
      </c>
      <c r="AJ373" s="261" t="b">
        <f t="shared" si="168"/>
        <v>0</v>
      </c>
      <c r="AK373" s="261" t="b">
        <f t="shared" si="16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70"/>
        <v>44921</v>
      </c>
      <c r="B374" s="610">
        <v>15.162000000000001</v>
      </c>
      <c r="C374" s="385"/>
      <c r="D374" s="388">
        <f t="shared" si="147"/>
        <v>15.245041611501115</v>
      </c>
      <c r="E374" s="380">
        <f t="shared" si="173"/>
        <v>15.627147871527816</v>
      </c>
      <c r="F374" s="380">
        <f t="shared" si="172"/>
        <v>15.668548082708286</v>
      </c>
      <c r="G374" s="110">
        <f t="shared" si="174"/>
        <v>0.91615568542632697</v>
      </c>
      <c r="I374" s="375">
        <f t="shared" si="148"/>
        <v>15.668548082708286</v>
      </c>
      <c r="J374" s="85">
        <v>2022</v>
      </c>
      <c r="K374" s="193">
        <f t="shared" si="149"/>
        <v>44921</v>
      </c>
      <c r="L374" s="431">
        <f t="shared" si="150"/>
        <v>5.4471226525525385E-3</v>
      </c>
      <c r="M374" s="847"/>
      <c r="N374" s="847"/>
      <c r="O374" s="320">
        <f t="shared" si="151"/>
        <v>2.4451439454469266E-2</v>
      </c>
      <c r="P374" s="165">
        <f>(INDEX(Models!$BJ374:$BT374,,T374)*(1-R374)+INDEX(Models!$BJ374:$BT374,,T374+1)*R374-ERP_i)*Q374*Ramure*Pc/MaxiM</f>
        <v>3.0001958406961418E-3</v>
      </c>
      <c r="Q374" s="301">
        <f t="shared" si="152"/>
        <v>0.5</v>
      </c>
      <c r="R374" s="173">
        <f t="shared" si="153"/>
        <v>0.49381674853872809</v>
      </c>
      <c r="S374" s="802">
        <f t="shared" si="171"/>
        <v>0</v>
      </c>
      <c r="T374" s="172">
        <f t="shared" si="154"/>
        <v>6</v>
      </c>
      <c r="U374" s="247">
        <f t="shared" si="155"/>
        <v>0.49381674853872809</v>
      </c>
      <c r="V374" s="378">
        <f t="shared" si="156"/>
        <v>16.543649380375054</v>
      </c>
      <c r="W374" s="58"/>
      <c r="X374" s="153">
        <f t="shared" si="157"/>
        <v>44921</v>
      </c>
      <c r="Y374" s="380">
        <f t="shared" si="158"/>
        <v>15.162000000000001</v>
      </c>
      <c r="Z374" s="380">
        <f t="shared" si="159"/>
        <v>15.245041611501115</v>
      </c>
      <c r="AA374" s="381">
        <f t="shared" si="160"/>
        <v>15.627147871527816</v>
      </c>
      <c r="AB374" s="193">
        <f t="shared" si="161"/>
        <v>44921</v>
      </c>
      <c r="AC374" s="420">
        <f t="shared" si="162"/>
        <v>2.4451439454469266E-2</v>
      </c>
      <c r="AD374" s="165">
        <f>(INDEX(Models!$BJ374:$BT374,,AH374)*(1-AF374)+INDEX(Models!$BJ374:$BT374,,AH374+1)*AF374-ERP_i)*AE374*Ramure*Pc/MaxiM</f>
        <v>3.0001958406961418E-3</v>
      </c>
      <c r="AE374" s="301">
        <f t="shared" si="163"/>
        <v>0.5</v>
      </c>
      <c r="AF374" s="173">
        <f t="shared" si="164"/>
        <v>0.49381674853872809</v>
      </c>
      <c r="AG374" s="802">
        <f t="shared" si="165"/>
        <v>0</v>
      </c>
      <c r="AH374" s="172">
        <f t="shared" si="166"/>
        <v>6</v>
      </c>
      <c r="AI374" s="221">
        <f t="shared" si="167"/>
        <v>0.49381674853872809</v>
      </c>
      <c r="AJ374" s="261" t="b">
        <f t="shared" si="168"/>
        <v>0</v>
      </c>
      <c r="AK374" s="261" t="b">
        <f t="shared" si="16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70"/>
        <v>44922</v>
      </c>
      <c r="B375" s="610">
        <v>6.5250000000000004</v>
      </c>
      <c r="C375" s="385"/>
      <c r="D375" s="388">
        <f t="shared" si="147"/>
        <v>6.560826952103592</v>
      </c>
      <c r="E375" s="380">
        <f t="shared" si="173"/>
        <v>6.7256093329870401</v>
      </c>
      <c r="F375" s="380">
        <f t="shared" si="172"/>
        <v>6.728249126275637</v>
      </c>
      <c r="G375" s="110">
        <f t="shared" si="174"/>
        <v>0.39131824568505219</v>
      </c>
      <c r="I375" s="375">
        <f t="shared" si="148"/>
        <v>6.728249126275637</v>
      </c>
      <c r="J375" s="85">
        <v>2022</v>
      </c>
      <c r="K375" s="193">
        <f t="shared" si="149"/>
        <v>44922</v>
      </c>
      <c r="L375" s="431">
        <f t="shared" si="150"/>
        <v>5.4607372462559534E-3</v>
      </c>
      <c r="M375" s="847"/>
      <c r="N375" s="847"/>
      <c r="O375" s="320">
        <f t="shared" si="151"/>
        <v>2.4500736323657953E-2</v>
      </c>
      <c r="P375" s="165">
        <f>(INDEX(Models!$BJ375:$BT375,,T375)*(1-R375)+INDEX(Models!$BJ375:$BT375,,T375+1)*R375-ERP_i)*Q375*Ramure*Pc/MaxiM</f>
        <v>2.9745072343711331E-3</v>
      </c>
      <c r="Q375" s="301">
        <f t="shared" si="152"/>
        <v>0.5</v>
      </c>
      <c r="R375" s="173">
        <f t="shared" si="153"/>
        <v>0.49381674853872809</v>
      </c>
      <c r="S375" s="802">
        <f t="shared" si="171"/>
        <v>0</v>
      </c>
      <c r="T375" s="172">
        <f t="shared" si="154"/>
        <v>6</v>
      </c>
      <c r="U375" s="247">
        <f t="shared" si="155"/>
        <v>0.49381674853872809</v>
      </c>
      <c r="V375" s="378">
        <f t="shared" si="156"/>
        <v>16.631334849727807</v>
      </c>
      <c r="W375" s="58"/>
      <c r="X375" s="153">
        <f t="shared" si="157"/>
        <v>44922</v>
      </c>
      <c r="Y375" s="380">
        <f t="shared" si="158"/>
        <v>6.5250000000000004</v>
      </c>
      <c r="Z375" s="380">
        <f t="shared" si="159"/>
        <v>6.560826952103592</v>
      </c>
      <c r="AA375" s="381">
        <f t="shared" si="160"/>
        <v>6.7256093329870401</v>
      </c>
      <c r="AB375" s="193">
        <f t="shared" si="161"/>
        <v>44922</v>
      </c>
      <c r="AC375" s="420">
        <f t="shared" si="162"/>
        <v>2.4500736323657953E-2</v>
      </c>
      <c r="AD375" s="165">
        <f>(INDEX(Models!$BJ375:$BT375,,AH375)*(1-AF375)+INDEX(Models!$BJ375:$BT375,,AH375+1)*AF375-ERP_i)*AE375*Ramure*Pc/MaxiM</f>
        <v>2.9745072343711331E-3</v>
      </c>
      <c r="AE375" s="301">
        <f t="shared" si="163"/>
        <v>0.5</v>
      </c>
      <c r="AF375" s="173">
        <f t="shared" si="164"/>
        <v>0.49381674853872809</v>
      </c>
      <c r="AG375" s="802">
        <f t="shared" si="165"/>
        <v>0</v>
      </c>
      <c r="AH375" s="172">
        <f t="shared" si="166"/>
        <v>6</v>
      </c>
      <c r="AI375" s="221">
        <f t="shared" si="167"/>
        <v>0.49381674853872809</v>
      </c>
      <c r="AJ375" s="261" t="b">
        <f t="shared" si="168"/>
        <v>0</v>
      </c>
      <c r="AK375" s="261" t="b">
        <f t="shared" si="16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70"/>
        <v>44923</v>
      </c>
      <c r="B376" s="610">
        <v>13.364000000000001</v>
      </c>
      <c r="C376" s="385"/>
      <c r="D376" s="388">
        <f t="shared" si="147"/>
        <v>13.43756193942326</v>
      </c>
      <c r="E376" s="380">
        <f t="shared" si="173"/>
        <v>13.775757990478082</v>
      </c>
      <c r="F376" s="380">
        <f t="shared" si="172"/>
        <v>13.804733458354512</v>
      </c>
      <c r="G376" s="110">
        <f t="shared" si="174"/>
        <v>0.7977801922395924</v>
      </c>
      <c r="I376" s="375">
        <f t="shared" si="148"/>
        <v>13.804733458354512</v>
      </c>
      <c r="J376" s="85">
        <v>2022</v>
      </c>
      <c r="K376" s="193">
        <f t="shared" si="149"/>
        <v>44923</v>
      </c>
      <c r="L376" s="431">
        <f t="shared" si="150"/>
        <v>5.4743516535870063E-3</v>
      </c>
      <c r="M376" s="847"/>
      <c r="N376" s="847"/>
      <c r="O376" s="320">
        <f t="shared" si="151"/>
        <v>2.45500865570219E-2</v>
      </c>
      <c r="P376" s="165">
        <f>(INDEX(Models!$BJ376:$BT376,,T376)*(1-R376)+INDEX(Models!$BJ376:$BT376,,T376+1)*R376-ERP_i)*Q376*Ramure*Pc/MaxiM</f>
        <v>2.9476154204911976E-3</v>
      </c>
      <c r="Q376" s="301">
        <f t="shared" si="152"/>
        <v>0.5</v>
      </c>
      <c r="R376" s="173">
        <f t="shared" si="153"/>
        <v>0.49381674853872809</v>
      </c>
      <c r="S376" s="802">
        <f t="shared" si="171"/>
        <v>0</v>
      </c>
      <c r="T376" s="172">
        <f t="shared" si="154"/>
        <v>6</v>
      </c>
      <c r="U376" s="247">
        <f t="shared" si="155"/>
        <v>0.49381674853872809</v>
      </c>
      <c r="V376" s="378">
        <f t="shared" si="156"/>
        <v>16.73723505753852</v>
      </c>
      <c r="W376" s="58"/>
      <c r="X376" s="153">
        <f t="shared" si="157"/>
        <v>44923</v>
      </c>
      <c r="Y376" s="380">
        <f t="shared" si="158"/>
        <v>13.364000000000001</v>
      </c>
      <c r="Z376" s="380">
        <f t="shared" si="159"/>
        <v>13.43756193942326</v>
      </c>
      <c r="AA376" s="381">
        <f t="shared" si="160"/>
        <v>13.775757990478082</v>
      </c>
      <c r="AB376" s="193">
        <f t="shared" si="161"/>
        <v>44923</v>
      </c>
      <c r="AC376" s="420">
        <f t="shared" si="162"/>
        <v>2.45500865570219E-2</v>
      </c>
      <c r="AD376" s="165">
        <f>(INDEX(Models!$BJ376:$BT376,,AH376)*(1-AF376)+INDEX(Models!$BJ376:$BT376,,AH376+1)*AF376-ERP_i)*AE376*Ramure*Pc/MaxiM</f>
        <v>2.9476154204911976E-3</v>
      </c>
      <c r="AE376" s="301">
        <f t="shared" si="163"/>
        <v>0.5</v>
      </c>
      <c r="AF376" s="173">
        <f t="shared" si="164"/>
        <v>0.49381674853872809</v>
      </c>
      <c r="AG376" s="802">
        <f t="shared" si="165"/>
        <v>0</v>
      </c>
      <c r="AH376" s="172">
        <f t="shared" si="166"/>
        <v>6</v>
      </c>
      <c r="AI376" s="221">
        <f t="shared" si="167"/>
        <v>0.49381674853872809</v>
      </c>
      <c r="AJ376" s="261" t="b">
        <f t="shared" si="168"/>
        <v>0</v>
      </c>
      <c r="AK376" s="261" t="b">
        <f t="shared" si="169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70"/>
        <v>44924</v>
      </c>
      <c r="B377" s="610">
        <v>10.182</v>
      </c>
      <c r="C377" s="385"/>
      <c r="D377" s="388">
        <f t="shared" si="147"/>
        <v>10.238186819884778</v>
      </c>
      <c r="E377" s="380">
        <f t="shared" si="173"/>
        <v>10.496392625559263</v>
      </c>
      <c r="F377" s="380">
        <f t="shared" si="172"/>
        <v>10.509716295214137</v>
      </c>
      <c r="G377" s="110">
        <f t="shared" si="174"/>
        <v>0.60292521789860976</v>
      </c>
      <c r="I377" s="375">
        <f t="shared" si="148"/>
        <v>10.509716295214137</v>
      </c>
      <c r="J377" s="85">
        <v>2022</v>
      </c>
      <c r="K377" s="193">
        <f t="shared" si="149"/>
        <v>44924</v>
      </c>
      <c r="L377" s="431">
        <f t="shared" si="150"/>
        <v>5.4879658745482507E-3</v>
      </c>
      <c r="M377" s="847"/>
      <c r="N377" s="847"/>
      <c r="O377" s="320">
        <f t="shared" si="151"/>
        <v>2.4599480496350707E-2</v>
      </c>
      <c r="P377" s="165">
        <f>(INDEX(Models!$BJ377:$BT377,,T377)*(1-R377)+INDEX(Models!$BJ377:$BT377,,T377+1)*R377-ERP_i)*Q377*Ramure*Pc/MaxiM</f>
        <v>2.9198836819311542E-3</v>
      </c>
      <c r="Q377" s="301">
        <f t="shared" si="152"/>
        <v>0.5</v>
      </c>
      <c r="R377" s="173">
        <f t="shared" si="153"/>
        <v>0.49381674853872809</v>
      </c>
      <c r="S377" s="802">
        <f t="shared" si="171"/>
        <v>0</v>
      </c>
      <c r="T377" s="172">
        <f t="shared" si="154"/>
        <v>6</v>
      </c>
      <c r="U377" s="247">
        <f t="shared" si="155"/>
        <v>0.49381674853872809</v>
      </c>
      <c r="V377" s="378">
        <f t="shared" si="156"/>
        <v>16.85973035700782</v>
      </c>
      <c r="W377" s="58"/>
      <c r="X377" s="153">
        <f t="shared" si="157"/>
        <v>44924</v>
      </c>
      <c r="Y377" s="380">
        <f t="shared" si="158"/>
        <v>10.182</v>
      </c>
      <c r="Z377" s="380">
        <f t="shared" si="159"/>
        <v>10.238186819884778</v>
      </c>
      <c r="AA377" s="381">
        <f t="shared" si="160"/>
        <v>10.496392625559263</v>
      </c>
      <c r="AB377" s="193">
        <f t="shared" si="161"/>
        <v>44924</v>
      </c>
      <c r="AC377" s="420">
        <f t="shared" si="162"/>
        <v>2.4599480496350707E-2</v>
      </c>
      <c r="AD377" s="165">
        <f>(INDEX(Models!$BJ377:$BT377,,AH377)*(1-AF377)+INDEX(Models!$BJ377:$BT377,,AH377+1)*AF377-ERP_i)*AE377*Ramure*Pc/MaxiM</f>
        <v>2.9198836819311542E-3</v>
      </c>
      <c r="AE377" s="301">
        <f t="shared" si="163"/>
        <v>0.5</v>
      </c>
      <c r="AF377" s="173">
        <f t="shared" si="164"/>
        <v>0.49381674853872809</v>
      </c>
      <c r="AG377" s="802">
        <f t="shared" si="165"/>
        <v>0</v>
      </c>
      <c r="AH377" s="172">
        <f t="shared" si="166"/>
        <v>6</v>
      </c>
      <c r="AI377" s="221">
        <f t="shared" si="167"/>
        <v>0.49381674853872809</v>
      </c>
      <c r="AJ377" s="261" t="b">
        <f t="shared" si="168"/>
        <v>0</v>
      </c>
      <c r="AK377" s="261" t="b">
        <f t="shared" si="169"/>
        <v>0</v>
      </c>
      <c r="AL377" s="261"/>
      <c r="AM377" s="261"/>
      <c r="AN377" s="75"/>
    </row>
    <row r="378" spans="1:40" s="6" customFormat="1" ht="11.25" x14ac:dyDescent="0.2">
      <c r="A378" s="56">
        <f t="shared" si="170"/>
        <v>44925</v>
      </c>
      <c r="B378" s="610">
        <v>12.199</v>
      </c>
      <c r="C378" s="385"/>
      <c r="D378" s="388">
        <f t="shared" si="147"/>
        <v>12.266485047694188</v>
      </c>
      <c r="E378" s="380">
        <f t="shared" si="173"/>
        <v>12.576481600092951</v>
      </c>
      <c r="F378" s="380">
        <f t="shared" si="172"/>
        <v>12.598220111558174</v>
      </c>
      <c r="G378" s="110">
        <f t="shared" si="174"/>
        <v>0.71686799117986855</v>
      </c>
      <c r="I378" s="375">
        <f t="shared" si="148"/>
        <v>12.598220111558174</v>
      </c>
      <c r="J378" s="85">
        <v>2022</v>
      </c>
      <c r="K378" s="193">
        <f t="shared" si="149"/>
        <v>44925</v>
      </c>
      <c r="L378" s="431">
        <f t="shared" si="150"/>
        <v>5.5015799091422402E-3</v>
      </c>
      <c r="M378" s="847"/>
      <c r="N378" s="847"/>
      <c r="O378" s="320">
        <f t="shared" si="151"/>
        <v>2.4648909150908477E-2</v>
      </c>
      <c r="P378" s="165">
        <f>(INDEX(Models!$BJ378:$BT378,,T378)*(1-R378)+INDEX(Models!$BJ378:$BT378,,T378+1)*R378-ERP_i)*Q378*Ramure*Pc/MaxiM</f>
        <v>2.8916620689272534E-3</v>
      </c>
      <c r="Q378" s="301">
        <f t="shared" si="152"/>
        <v>0.5</v>
      </c>
      <c r="R378" s="173">
        <f t="shared" si="153"/>
        <v>0.49381674853872809</v>
      </c>
      <c r="S378" s="802">
        <f t="shared" si="171"/>
        <v>0</v>
      </c>
      <c r="T378" s="172">
        <f t="shared" si="154"/>
        <v>6</v>
      </c>
      <c r="U378" s="247">
        <f t="shared" si="155"/>
        <v>0.49381674853872809</v>
      </c>
      <c r="V378" s="378">
        <f t="shared" si="156"/>
        <v>16.997201469846491</v>
      </c>
      <c r="W378" s="58"/>
      <c r="X378" s="153">
        <f t="shared" si="157"/>
        <v>44925</v>
      </c>
      <c r="Y378" s="380">
        <f t="shared" si="158"/>
        <v>12.199</v>
      </c>
      <c r="Z378" s="380">
        <f t="shared" si="159"/>
        <v>12.266485047694188</v>
      </c>
      <c r="AA378" s="381">
        <f t="shared" si="160"/>
        <v>12.576481600092951</v>
      </c>
      <c r="AB378" s="193">
        <f t="shared" si="161"/>
        <v>44925</v>
      </c>
      <c r="AC378" s="420">
        <f t="shared" si="162"/>
        <v>2.4648909150908477E-2</v>
      </c>
      <c r="AD378" s="165">
        <f>(INDEX(Models!$BJ378:$BT378,,AH378)*(1-AF378)+INDEX(Models!$BJ378:$BT378,,AH378+1)*AF378-ERP_i)*AE378*Ramure*Pc/MaxiM</f>
        <v>2.8916620689272534E-3</v>
      </c>
      <c r="AE378" s="301">
        <f t="shared" si="163"/>
        <v>0.5</v>
      </c>
      <c r="AF378" s="173">
        <f t="shared" si="164"/>
        <v>0.49381674853872809</v>
      </c>
      <c r="AG378" s="802">
        <f t="shared" si="165"/>
        <v>0</v>
      </c>
      <c r="AH378" s="172">
        <f t="shared" si="166"/>
        <v>6</v>
      </c>
      <c r="AI378" s="221">
        <f t="shared" si="167"/>
        <v>0.49381674853872809</v>
      </c>
      <c r="AJ378" s="261" t="b">
        <f t="shared" si="168"/>
        <v>0</v>
      </c>
      <c r="AK378" s="261" t="b">
        <f t="shared" si="169"/>
        <v>0</v>
      </c>
      <c r="AL378" s="261"/>
      <c r="AM378" s="261"/>
      <c r="AN378" s="75"/>
    </row>
    <row r="379" spans="1:40" s="18" customFormat="1" ht="12.75" x14ac:dyDescent="0.2">
      <c r="A379" s="56">
        <f t="shared" si="170"/>
        <v>44926</v>
      </c>
      <c r="B379" s="610">
        <v>11.092000000000001</v>
      </c>
      <c r="C379" s="385"/>
      <c r="D379" s="388">
        <f t="shared" si="147"/>
        <v>11.1535137896253</v>
      </c>
      <c r="E379" s="380">
        <f t="shared" si="173"/>
        <v>11.435963378363722</v>
      </c>
      <c r="F379" s="380">
        <f t="shared" si="172"/>
        <v>11.452210730428593</v>
      </c>
      <c r="G379" s="110">
        <f t="shared" si="174"/>
        <v>0.64590243554329607</v>
      </c>
      <c r="I379" s="375">
        <f t="shared" si="148"/>
        <v>11.452210730428593</v>
      </c>
      <c r="J379" s="85">
        <v>2022</v>
      </c>
      <c r="K379" s="193">
        <f t="shared" si="149"/>
        <v>44926</v>
      </c>
      <c r="L379" s="431">
        <f>IF(t&lt;T0,0,IF(t&lt;Tvie,1-EXP((T0-t)*PertePVj),1-EXP((T0-t)*PertePVj)+Pspv))</f>
        <v>5.5151937573716392E-3</v>
      </c>
      <c r="M379" s="847"/>
      <c r="N379" s="847"/>
      <c r="O379" s="320">
        <f t="shared" si="151"/>
        <v>2.4698364221137914E-2</v>
      </c>
      <c r="P379" s="165">
        <f>(INDEX(Models!$BJ379:$BT379,,T379)*(1-R379)+INDEX(Models!$BJ379:$BT379,,T379+1)*R379-ERP_i)*Q379*Ramure*Pc/MaxiM</f>
        <v>2.863283925547886E-3</v>
      </c>
      <c r="Q379" s="302">
        <f t="shared" si="152"/>
        <v>0.5</v>
      </c>
      <c r="R379" s="173">
        <f t="shared" si="153"/>
        <v>0.49381674853872809</v>
      </c>
      <c r="S379" s="802">
        <f t="shared" si="171"/>
        <v>0</v>
      </c>
      <c r="T379" s="172">
        <f t="shared" si="154"/>
        <v>6</v>
      </c>
      <c r="U379" s="303">
        <f t="shared" si="155"/>
        <v>0.49381674853872809</v>
      </c>
      <c r="V379" s="378">
        <f t="shared" si="156"/>
        <v>17.148029483316137</v>
      </c>
      <c r="W379" s="387"/>
      <c r="X379" s="153">
        <f t="shared" si="157"/>
        <v>44926</v>
      </c>
      <c r="Y379" s="380">
        <f t="shared" si="158"/>
        <v>11.092000000000001</v>
      </c>
      <c r="Z379" s="380">
        <f t="shared" si="159"/>
        <v>11.1535137896253</v>
      </c>
      <c r="AA379" s="381">
        <f t="shared" si="160"/>
        <v>11.435963378363722</v>
      </c>
      <c r="AB379" s="193">
        <f t="shared" si="161"/>
        <v>44926</v>
      </c>
      <c r="AC379" s="420">
        <f t="shared" si="162"/>
        <v>2.4698364221137914E-2</v>
      </c>
      <c r="AD379" s="165">
        <f>(INDEX(Models!$BJ379:$BT379,,AH379)*(1-AF379)+INDEX(Models!$BJ379:$BT379,,AH379+1)*AF379-ERP_i)*AE379*Ramure*Pc/MaxiM</f>
        <v>2.863283925547886E-3</v>
      </c>
      <c r="AE379" s="302">
        <f t="shared" si="163"/>
        <v>0.5</v>
      </c>
      <c r="AF379" s="173">
        <f t="shared" si="164"/>
        <v>0.49381674853872809</v>
      </c>
      <c r="AG379" s="802">
        <f t="shared" si="165"/>
        <v>0</v>
      </c>
      <c r="AH379" s="172">
        <f t="shared" si="166"/>
        <v>6</v>
      </c>
      <c r="AI379" s="218">
        <f t="shared" si="167"/>
        <v>0.49381674853872809</v>
      </c>
      <c r="AJ379" s="261" t="b">
        <f t="shared" si="168"/>
        <v>0</v>
      </c>
      <c r="AK379" s="261" t="b">
        <f t="shared" si="169"/>
        <v>0</v>
      </c>
      <c r="AL379" s="261"/>
      <c r="AM379" s="261"/>
      <c r="AN379" s="261"/>
    </row>
    <row r="380" spans="1:40" s="18" customFormat="1" ht="12" thickBot="1" x14ac:dyDescent="0.25">
      <c r="A380" s="103"/>
      <c r="B380" s="1157">
        <f>39.07*0.05</f>
        <v>1.9535</v>
      </c>
      <c r="C380" s="846"/>
      <c r="D380" s="389"/>
      <c r="E380" s="390"/>
      <c r="F380" s="390"/>
      <c r="G380" s="97"/>
      <c r="I380" s="376">
        <f t="shared" si="148"/>
        <v>0</v>
      </c>
      <c r="J380" s="147">
        <v>2022</v>
      </c>
      <c r="K380" s="195"/>
      <c r="L380" s="464"/>
      <c r="M380" s="848"/>
      <c r="N380" s="848"/>
      <c r="O380" s="465"/>
      <c r="P380" s="224"/>
      <c r="Q380" s="225"/>
      <c r="R380" s="225"/>
      <c r="S380" s="225"/>
      <c r="T380" s="225"/>
      <c r="U380" s="304"/>
      <c r="V380" s="379"/>
      <c r="W380" s="58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68"/>
        <v>1</v>
      </c>
      <c r="AK380" s="261" t="b">
        <f t="shared" si="16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3"/>
      <c r="I381" s="369">
        <f>MIN(I15:I380)</f>
        <v>0</v>
      </c>
      <c r="J381" s="161">
        <f>MIN(J15:J380)</f>
        <v>2022</v>
      </c>
      <c r="K381" s="196" t="s">
        <v>7</v>
      </c>
      <c r="L381" s="142">
        <f t="shared" ref="L381:T381" si="175">MIN(L15:L380)</f>
        <v>5.4742026824727841E-4</v>
      </c>
      <c r="M381" s="838"/>
      <c r="N381" s="838"/>
      <c r="O381" s="47">
        <f t="shared" si="175"/>
        <v>2.871284039389784E-3</v>
      </c>
      <c r="P381" s="164">
        <f t="shared" si="175"/>
        <v>6.8879188521336048E-9</v>
      </c>
      <c r="Q381" s="306">
        <f t="shared" si="175"/>
        <v>0.5</v>
      </c>
      <c r="R381" s="307">
        <f t="shared" si="175"/>
        <v>0</v>
      </c>
      <c r="S381" s="802">
        <f t="shared" si="175"/>
        <v>-1</v>
      </c>
      <c r="T381" s="172">
        <f t="shared" si="175"/>
        <v>5</v>
      </c>
      <c r="U381" s="248">
        <f>+MIN(U15:U380)</f>
        <v>-6.1819784251008437E-3</v>
      </c>
      <c r="V381" s="368">
        <f>MIN(V15:V380)</f>
        <v>16.39837875042619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76">MIN(AC15:AC380)</f>
        <v>2.871284039389784E-3</v>
      </c>
      <c r="AD381" s="164">
        <f t="shared" si="176"/>
        <v>6.8879188521336048E-9</v>
      </c>
      <c r="AE381" s="306">
        <f t="shared" si="176"/>
        <v>0.5</v>
      </c>
      <c r="AF381" s="307">
        <f t="shared" si="176"/>
        <v>0</v>
      </c>
      <c r="AG381" s="802">
        <f t="shared" si="176"/>
        <v>-1</v>
      </c>
      <c r="AH381" s="172">
        <f t="shared" si="176"/>
        <v>5</v>
      </c>
      <c r="AI381" s="222">
        <f>MIN(AI15:AI380)</f>
        <v>-6.1819784251008437E-3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31.777486111111113</v>
      </c>
      <c r="C382" s="370"/>
      <c r="D382" s="370">
        <f>AVERAGE(D15:D380)</f>
        <v>31.955780694950054</v>
      </c>
      <c r="E382" s="370">
        <f>AVERAGE(E15:E380)</f>
        <v>32.434382316151286</v>
      </c>
      <c r="F382" s="371">
        <f>AVERAGE(F15:F380)</f>
        <v>32.438423115622633</v>
      </c>
      <c r="G382" s="126">
        <f>AVERAGE(G15:G380)</f>
        <v>0.70737485267961286</v>
      </c>
      <c r="H382" s="94"/>
      <c r="I382" s="371">
        <f>AVERAGE(I15:I380)</f>
        <v>31.818016116143514</v>
      </c>
      <c r="J382" s="162">
        <f>AVERAGE(J15:J380)</f>
        <v>2022</v>
      </c>
      <c r="K382" s="196" t="s">
        <v>8</v>
      </c>
      <c r="L382" s="143">
        <f t="shared" ref="L382:V382" si="177">AVERAGE(L15:L380)</f>
        <v>3.0333641666199672E-3</v>
      </c>
      <c r="M382" s="836"/>
      <c r="N382" s="836"/>
      <c r="O382" s="48">
        <f t="shared" si="177"/>
        <v>1.4747171564663084E-2</v>
      </c>
      <c r="P382" s="165">
        <f t="shared" si="177"/>
        <v>4.9292738737534479E-4</v>
      </c>
      <c r="Q382" s="308">
        <f t="shared" si="177"/>
        <v>0.5</v>
      </c>
      <c r="R382" s="173">
        <f t="shared" si="177"/>
        <v>0.42712627610828946</v>
      </c>
      <c r="S382" s="802">
        <f t="shared" si="177"/>
        <v>-0.15342465753424658</v>
      </c>
      <c r="T382" s="172">
        <f t="shared" si="177"/>
        <v>5.8465753424657532</v>
      </c>
      <c r="U382" s="247">
        <f t="shared" si="177"/>
        <v>0.27370161857404313</v>
      </c>
      <c r="V382" s="370">
        <f t="shared" si="177"/>
        <v>43.174041790739544</v>
      </c>
      <c r="X382" s="112" t="s">
        <v>8</v>
      </c>
      <c r="Y382" s="370">
        <f>AVERAGE(Y15:Y380)</f>
        <v>31.336826027397262</v>
      </c>
      <c r="Z382" s="370">
        <f>AVERAGE(Z15:Z380)</f>
        <v>31.430480190375533</v>
      </c>
      <c r="AA382" s="370">
        <f>AVERAGE(AA15:AA380)</f>
        <v>31.901214387666609</v>
      </c>
      <c r="AB382" s="196" t="s">
        <v>8</v>
      </c>
      <c r="AC382" s="48">
        <f t="shared" ref="AC382:AH382" si="178">AVERAGE(AC15:AC380)</f>
        <v>1.4747171564663084E-2</v>
      </c>
      <c r="AD382" s="165">
        <f t="shared" si="178"/>
        <v>4.9292738737534479E-4</v>
      </c>
      <c r="AE382" s="308">
        <f t="shared" si="178"/>
        <v>0.5</v>
      </c>
      <c r="AF382" s="173">
        <f t="shared" si="178"/>
        <v>0.42712627610828946</v>
      </c>
      <c r="AG382" s="802">
        <f t="shared" si="178"/>
        <v>-0.15342465753424658</v>
      </c>
      <c r="AH382" s="172">
        <f t="shared" si="178"/>
        <v>5.8465753424657532</v>
      </c>
      <c r="AI382" s="221">
        <f>AVERAGE(AI15:AI380)</f>
        <v>0.27370161857404313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66.504999999999995</v>
      </c>
      <c r="C383" s="372"/>
      <c r="D383" s="372">
        <f>MAX(D15:D380)</f>
        <v>66.703764470245574</v>
      </c>
      <c r="E383" s="372">
        <f>MAX(E15:E380)</f>
        <v>67.727243312753757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163">
        <f>MAX(J15:J380)</f>
        <v>2022</v>
      </c>
      <c r="K383" s="196" t="s">
        <v>9</v>
      </c>
      <c r="L383" s="144">
        <f t="shared" ref="L383:T383" si="179">MAX(L15:L380)</f>
        <v>5.5151937573716392E-3</v>
      </c>
      <c r="M383" s="839"/>
      <c r="N383" s="839"/>
      <c r="O383" s="49">
        <f t="shared" si="179"/>
        <v>2.4698364221137914E-2</v>
      </c>
      <c r="P383" s="166">
        <f t="shared" si="179"/>
        <v>3.201219330391978E-3</v>
      </c>
      <c r="Q383" s="309">
        <f t="shared" si="179"/>
        <v>0.5</v>
      </c>
      <c r="R383" s="310">
        <f t="shared" si="179"/>
        <v>0.99972666974443469</v>
      </c>
      <c r="S383" s="803">
        <f t="shared" si="179"/>
        <v>0</v>
      </c>
      <c r="T383" s="229">
        <f t="shared" si="179"/>
        <v>6</v>
      </c>
      <c r="U383" s="249">
        <f>+MAX(U15:U380)</f>
        <v>0.49381674853872809</v>
      </c>
      <c r="V383" s="372">
        <f>MAX(V15:V380)</f>
        <v>64.150233950858421</v>
      </c>
      <c r="X383" s="112" t="s">
        <v>9</v>
      </c>
      <c r="Y383" s="372">
        <f>MAX(Y15:Y380)</f>
        <v>66.504999999999995</v>
      </c>
      <c r="Z383" s="372">
        <f>MAX(Z15:Z380)</f>
        <v>66.703764470245574</v>
      </c>
      <c r="AA383" s="372">
        <f>MAX(AA15:AA380)</f>
        <v>67.727243312753757</v>
      </c>
      <c r="AB383" s="196" t="s">
        <v>9</v>
      </c>
      <c r="AC383" s="49">
        <f t="shared" ref="AC383:AH383" si="180">MAX(AC15:AC380)</f>
        <v>2.4698364221137914E-2</v>
      </c>
      <c r="AD383" s="166">
        <f t="shared" si="180"/>
        <v>3.201219330391978E-3</v>
      </c>
      <c r="AE383" s="309">
        <f t="shared" si="180"/>
        <v>0.5</v>
      </c>
      <c r="AF383" s="310">
        <f t="shared" si="180"/>
        <v>0.99972666974443469</v>
      </c>
      <c r="AG383" s="803">
        <f t="shared" si="180"/>
        <v>0</v>
      </c>
      <c r="AH383" s="229">
        <f t="shared" si="180"/>
        <v>6</v>
      </c>
      <c r="AI383" s="223">
        <f>MAX(AI15:AI380)</f>
        <v>0.49381674853872809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  <row r="385" spans="6:6" x14ac:dyDescent="0.25">
      <c r="F385" s="398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B20" sqref="B2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'2022'!An+1</f>
        <v>2023</v>
      </c>
      <c r="K1" s="1250"/>
      <c r="L1" s="113" t="str">
        <f>"Calcul pertes et enveloppes en "&amp;TEXT(An,0)</f>
        <v>Calcul pertes et enveloppes en 2023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2023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466"/>
      <c r="H3" s="75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0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253.65868414830871</v>
      </c>
      <c r="AK4" s="825">
        <f>AM12-AK12</f>
        <v>-8.3096946973766794E-2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329"/>
      <c r="I5" s="154"/>
      <c r="K5" s="188"/>
      <c r="L5" s="500"/>
      <c r="M5" s="499"/>
      <c r="N5" s="499"/>
      <c r="O5" s="422"/>
      <c r="P5" s="502"/>
      <c r="Q5" s="502"/>
      <c r="R5" s="489"/>
      <c r="S5" s="493"/>
      <c r="T5" s="493"/>
      <c r="U5" s="507"/>
      <c r="V5" s="501"/>
      <c r="W5" s="502"/>
      <c r="X5" s="503"/>
      <c r="Y5" s="504"/>
      <c r="Z5" s="232">
        <f>Wh_Psa_s-Wh_Psa</f>
        <v>253.77854537262832</v>
      </c>
      <c r="AA5" s="233">
        <f>Wh_Pvg_s-Wh_Pvg</f>
        <v>-8.3096946973766794E-2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2729.5859799453883</v>
      </c>
      <c r="AK5" s="510">
        <f>SUMIF(AK15:AK380,"VRAI",Wh)</f>
        <v>0</v>
      </c>
      <c r="AL5" s="510">
        <f>SUMIF(AJ15:AJ380,"VRAI",Wh_s)</f>
        <v>2729.5859799453883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525"/>
      <c r="AD6" s="456"/>
      <c r="AE6" s="456"/>
      <c r="AF6" s="456"/>
      <c r="AG6" s="456"/>
      <c r="AH6" s="456"/>
      <c r="AI6" s="456"/>
      <c r="AJ6" s="510">
        <f>SUMIF(AJ15:AJ380,"FAUX",Wh)</f>
        <v>8680.2503497104917</v>
      </c>
      <c r="AK6" s="510">
        <f>SUMIF(AK15:AK380,"FAUX",Wh)</f>
        <v>11409.83632965588</v>
      </c>
      <c r="AL6" s="510">
        <f>SUMIF(AJ15:AJ380,"FAUX",Wh_s)</f>
        <v>8426.5806820640373</v>
      </c>
      <c r="AM6" s="510">
        <f>SUMIF(AK15:AK380,"FAUX",Wh_s)</f>
        <v>11156.166662009433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AND(YEAR(Tnet)=An,Resal_2023="I")</f>
        <v>0</v>
      </c>
      <c r="F7" s="316" t="b">
        <f>YEAR(Tnet)=An</f>
        <v>1</v>
      </c>
      <c r="H7" s="330"/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25"/>
      <c r="AD7" s="244"/>
      <c r="AE7" s="244"/>
      <c r="AF7" s="487"/>
      <c r="AG7" s="487"/>
      <c r="AH7" s="487"/>
      <c r="AI7" s="512"/>
      <c r="AJ7" s="510">
        <f>SUMIF(AJ15:AJ380,"VRAI",Wh_pvt)</f>
        <v>2747.4924726723802</v>
      </c>
      <c r="AK7" s="510">
        <f>SUMIF(AK15:AK380,"VRAI",Wh_sa)</f>
        <v>0</v>
      </c>
      <c r="AL7" s="510">
        <f>SUMIF(AJ15:AJ380,"VRAI",Wh_pvt_s)</f>
        <v>2747.4924726723802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AND(YEAR(Tnet)=An,Resal_2023&lt;&gt;"I")</f>
        <v>1</v>
      </c>
      <c r="F8" s="317" t="b">
        <f>YEAR(Ttai)=An</f>
        <v>0</v>
      </c>
      <c r="H8" s="331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8753.8880758371306</v>
      </c>
      <c r="AK8" s="510">
        <f>SUMIF(AK15:AK380,"FAUX",Wh_sa)</f>
        <v>11640.229631375762</v>
      </c>
      <c r="AL8" s="510">
        <f>SUMIF(AJ15:AJ380,"FAUX",Wh_pvt_s)</f>
        <v>8498.07711729933</v>
      </c>
      <c r="AM8" s="510">
        <f>SUMIF(AK15:AK380,"FAUX",Wh_sa_s)</f>
        <v>11640.229631375762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11501.380548509505</v>
      </c>
      <c r="E9" s="180">
        <f>SUM(E$15:E$380)</f>
        <v>11640.229631375762</v>
      </c>
      <c r="F9" s="180">
        <f>SUM(F$15:F$380)</f>
        <v>11644.042730330064</v>
      </c>
      <c r="H9" s="1251">
        <f>+SUM(Wh)</f>
        <v>11409.83632965588</v>
      </c>
      <c r="I9" s="1252"/>
      <c r="J9" s="1253"/>
      <c r="K9" s="187"/>
      <c r="L9" s="114"/>
      <c r="M9" s="114"/>
      <c r="N9" s="114"/>
      <c r="O9" s="219">
        <f>Tnet_2023</f>
        <v>45046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11156.166662009433</v>
      </c>
      <c r="Y9" s="1246"/>
      <c r="Z9" s="510">
        <f>SUM(Z$15:Z$380)</f>
        <v>11245.56958997171</v>
      </c>
      <c r="AA9" s="510">
        <f>SUM(AA$15:AA$380)</f>
        <v>11640.229631375762</v>
      </c>
      <c r="AB9" s="510">
        <f>F9</f>
        <v>11644.042730330064</v>
      </c>
      <c r="AC9" s="321">
        <f>IF(An_Tnet,Tnet,'2022'!Tnet_s)</f>
        <v>45046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2827.6046499435711</v>
      </c>
      <c r="AK9" s="510">
        <f>SUMIF(AK15:AK380,"VRAI",Wh_hp)</f>
        <v>0</v>
      </c>
      <c r="AL9" s="510">
        <f>SUMIF(AJ15:AJ380,"VRAI",Wh_sa_s)</f>
        <v>2827.6046499435711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H10" s="28"/>
      <c r="K10" s="189"/>
      <c r="L10" s="114"/>
      <c r="M10" s="114"/>
      <c r="N10" s="114"/>
      <c r="O10" s="198">
        <f>IF(Inflex,'2022'!Resal+('2022'!Salim-'2022'!Resal)*(1-EXP(('2022'!Tnet-Tnet)/('2022'!Tau_j))),IF(An_Tnet,Resal_2023,'2022'!Resal))</f>
        <v>0</v>
      </c>
      <c r="P10" s="416" t="b">
        <f>NOT(Acti_tai)</f>
        <v>1</v>
      </c>
      <c r="Q10" s="253">
        <f>IF(Acti_tai,'2022'!PousD,Dens-Dd)</f>
        <v>0</v>
      </c>
      <c r="R10" s="270"/>
      <c r="S10" s="271"/>
      <c r="T10" s="272"/>
      <c r="U10" s="262">
        <f>IF(Acti_tai,'2022'!PousH,Hdtf-Hdd)</f>
        <v>0.5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IF(OR(Inflex,GainD),'2022'!Resal_s+('2022'!Salim-'2022'!Resal_s)*(1-EXP(('2022'!Tnet_s-Tnet)/('2022'!Tau_j))),IF(Acti_net,'2022'!Resal+('2022'!Salim-'2022'!Resal)*(1-EXP(('2022'!Tnet-Tnet)/'2022'!Tau_j)),'2022'!Resal_s))</f>
        <v>3.042494311351579E-2</v>
      </c>
      <c r="AD10" s="422"/>
      <c r="AE10" s="422"/>
      <c r="AF10" s="256"/>
      <c r="AG10" s="257"/>
      <c r="AH10" s="258"/>
      <c r="AI10" s="517"/>
      <c r="AJ10" s="510">
        <f>SUMIF(AJ15:AJ380,"FAUX",Wh_sa)</f>
        <v>8812.6249814321909</v>
      </c>
      <c r="AK10" s="510">
        <f>SUMIF(AK15:AK380,"FAUX",Wh_hp)</f>
        <v>11644.042730330064</v>
      </c>
      <c r="AL10" s="510">
        <f>SUMIF(AJ15:AJ380,"FAUX",Wh_sa_s)</f>
        <v>8812.6249814321909</v>
      </c>
      <c r="AM10" s="510">
        <f>SUMIF(AK15:AK380,"FAUX",Wh_hp)</f>
        <v>11644.042730330064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91.544218853625352</v>
      </c>
      <c r="E11" s="51">
        <f>(E$9-D$9)*Prod_an/D$9</f>
        <v>137.74392590045338</v>
      </c>
      <c r="F11" s="182">
        <f>(F$9-E$9)*Prod_an/E$9</f>
        <v>3.7376268643448003</v>
      </c>
      <c r="G11" s="181" t="s">
        <v>6</v>
      </c>
      <c r="H11" s="330"/>
      <c r="K11" s="190"/>
      <c r="L11" s="178">
        <f>Tvie_2023</f>
        <v>44522</v>
      </c>
      <c r="M11" s="835"/>
      <c r="N11" s="835"/>
      <c r="O11" s="198">
        <f>IF(An_Tnet,Salim_2023,'2022'!Salim)</f>
        <v>0.08</v>
      </c>
      <c r="P11" s="252">
        <f>Ttai_2023</f>
        <v>44562</v>
      </c>
      <c r="Q11" s="268">
        <f>Dens_2023</f>
        <v>0.5</v>
      </c>
      <c r="R11" s="273"/>
      <c r="S11" s="226"/>
      <c r="T11" s="226"/>
      <c r="U11" s="262">
        <f>Htf_2023</f>
        <v>0.99381674853872815</v>
      </c>
      <c r="V11" s="422"/>
      <c r="W11" s="513"/>
      <c r="X11" s="520" t="s">
        <v>43</v>
      </c>
      <c r="Y11" s="50">
        <f>Z$9-Prod_an_s</f>
        <v>89.402927962277317</v>
      </c>
      <c r="Z11" s="51">
        <f>(AA$9-Z$9)*Prod_an_s/Z$9</f>
        <v>391.52247127308169</v>
      </c>
      <c r="AA11" s="182">
        <f>(AB$9-AA$9)*Prod_an_s/AA$9</f>
        <v>3.6545299173710335</v>
      </c>
      <c r="AB11" s="521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79.590054596090383</v>
      </c>
      <c r="AK11" s="825">
        <f>IF($AK7=0,0,($AK9-$AK7)*$AK5/$AK7)</f>
        <v>0</v>
      </c>
      <c r="AL11" s="824">
        <f>IF($AL7=0,0,($AL9-$AL7)*$AL5/$AL7)</f>
        <v>79.590054596090383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4.4469433272544157E-2</v>
      </c>
      <c r="H12" s="28"/>
      <c r="K12" s="187"/>
      <c r="L12" s="200">
        <f>Pspv_2023</f>
        <v>0</v>
      </c>
      <c r="M12" s="208"/>
      <c r="N12" s="208"/>
      <c r="O12" s="201">
        <f>IF(An_Tnet,Tau_2023*365,'2022'!Tau_j)</f>
        <v>1095</v>
      </c>
      <c r="P12" s="277">
        <f>INDEX(Croivg,MIN(MAX(Ttai-$A$15,0)+1,366))</f>
        <v>2.3909964587625958E-6</v>
      </c>
      <c r="Q12" s="276">
        <f>'2022'!Df</f>
        <v>0.5</v>
      </c>
      <c r="R12" s="274"/>
      <c r="S12" s="275"/>
      <c r="T12" s="275"/>
      <c r="U12" s="263">
        <f>'2022'!Hdf</f>
        <v>0.49381674853872809</v>
      </c>
      <c r="V12" s="512"/>
      <c r="W12" s="499"/>
      <c r="X12" s="500"/>
      <c r="Y12" s="499"/>
      <c r="Z12" s="422"/>
      <c r="AA12" s="422"/>
      <c r="AB12" s="526"/>
      <c r="AC12" s="314" t="b">
        <f>NOT(An_Tnet)</f>
        <v>0</v>
      </c>
      <c r="AD12" s="422"/>
      <c r="AE12" s="292">
        <f>'2022'!Df_s</f>
        <v>0.5</v>
      </c>
      <c r="AF12" s="199"/>
      <c r="AG12" s="199"/>
      <c r="AH12" s="199"/>
      <c r="AI12" s="293">
        <f>'2022'!Hdf_s</f>
        <v>0.49381674853872809</v>
      </c>
      <c r="AJ12" s="824">
        <f>IF($AJ8=0,0,($AJ10-$AJ8)*$AJ6/$AJ8)</f>
        <v>58.242810613463035</v>
      </c>
      <c r="AK12" s="825">
        <f>IF($AK8=0,0,($AK10-$AK8)*$AK6/$AK8)</f>
        <v>3.7376268643448003</v>
      </c>
      <c r="AL12" s="824">
        <f>IF($AL8=0,0,($AL10-$AL8)*$AL6/$AL8)</f>
        <v>311.90149476177174</v>
      </c>
      <c r="AM12" s="825">
        <f>IF($AM8=0,0,($AM10-$AM8)*$AM6/$AM8)</f>
        <v>3.6545299173710335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723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137.8328652095534</v>
      </c>
      <c r="AK13" s="73">
        <f>+AK11+AK12</f>
        <v>3.7376268643448003</v>
      </c>
      <c r="AL13" s="73">
        <f>+AL11+AL12</f>
        <v>391.49154935786214</v>
      </c>
      <c r="AM13" s="73">
        <f>+AM11+AM12</f>
        <v>3.6545299173710335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384"/>
      <c r="D14" s="53" t="s">
        <v>30</v>
      </c>
      <c r="E14" s="158" t="s">
        <v>29</v>
      </c>
      <c r="F14" s="158" t="str">
        <f>"Hors pertes "&amp; TEXT(An,0)</f>
        <v>Hors pertes 2023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2023</v>
      </c>
      <c r="W14" s="829" t="s">
        <v>116</v>
      </c>
      <c r="X14" s="254" t="s">
        <v>2</v>
      </c>
      <c r="Y14" s="107" t="str">
        <f>"Wh / Jour "&amp; TEXT(An,0)</f>
        <v>Wh / Jour 2023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326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56">
        <f>DATE(An,1,1)</f>
        <v>44927</v>
      </c>
      <c r="B15" s="405">
        <f>'2022'!Wh/'2022'!Env_an*'2023'!Env_an</f>
        <v>0</v>
      </c>
      <c r="C15" s="385"/>
      <c r="D15" s="388">
        <f t="shared" ref="D15:D78" si="0">Wh/(1-Ppv)</f>
        <v>0</v>
      </c>
      <c r="E15" s="380">
        <f t="shared" ref="E15:E79" si="1">Wh_pvt/(1-Psa)</f>
        <v>0</v>
      </c>
      <c r="F15" s="380">
        <f t="shared" ref="F15:F78" si="2">Wh_sa/(1-Pvg*MEDIAN((-Sdif+Wh/Env_an)/Csdif,0,1))</f>
        <v>0</v>
      </c>
      <c r="G15" s="110">
        <f>+Wh_hp/MaxiM</f>
        <v>0</v>
      </c>
      <c r="H15" s="409" t="b">
        <f>Wh_hp&gt;='2022'!Maxi_hp</f>
        <v>1</v>
      </c>
      <c r="I15" s="391">
        <f>IF(H15,Wh_hp,'2022'!Maxi_hp)</f>
        <v>0</v>
      </c>
      <c r="J15" s="84">
        <f>IF(H15,An,'2022'!An_max)</f>
        <v>2023</v>
      </c>
      <c r="K15" s="193">
        <f t="shared" ref="K15:K78" si="3">t</f>
        <v>44927</v>
      </c>
      <c r="L15" s="142">
        <f>IF(t&lt;Tvie,1-EXP((T0-t)*PertePVj)+'2022'!Pspv,1-EXP((T0-t)*PertePVj)+Pspv)</f>
        <v>5.5288074192387793E-3</v>
      </c>
      <c r="M15" s="838"/>
      <c r="N15" s="838"/>
      <c r="O15" s="417">
        <f>IF(t&lt;Tnet,'2022'!Resal+('2022'!Salim-'2022'!Resal)*(1-EXP(('2022'!Tnet-t)/('2022'!Tau_j))),Resal+(Salim-Resal)*(1-EXP((Tnet-t)/(Tau_j))))*Salcycl</f>
        <v>2.4747838115258724E-2</v>
      </c>
      <c r="P15" s="298">
        <f>(INDEX(Models!$BJ15:$BT15,,T15)*(1-R15)+INDEX(Models!$BJ15:$BT15,,T15+1)*R15-ERP_i)*Q15*Ramure*Pc/MaxiM</f>
        <v>2.8350701957137701E-3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0.49381794403695745</v>
      </c>
      <c r="S15" s="801">
        <f t="shared" ref="S15:S78" si="6">INDEX(Echel_vg,T15)</f>
        <v>0</v>
      </c>
      <c r="T15" s="245">
        <f t="shared" ref="T15:T78" si="7">MIN(MATCH(Hp_vg,Echel_vg),10)</f>
        <v>6</v>
      </c>
      <c r="U15" s="246">
        <f>IF(OR(t&lt;Ttai,Notai),Hdd+PousH*Croivg,Hdtf+PousH*(Croivg-Croi_tai))</f>
        <v>0.49381794403695745</v>
      </c>
      <c r="V15" s="377">
        <f t="shared" ref="V15:V78" si="8">MaxiM*(1-Ppv)*(1-Pvg)*(1-Psa)</f>
        <v>17.310595754353805</v>
      </c>
      <c r="W15" s="397">
        <f t="shared" ref="W15:W78" si="9">Wh*(A15&gt;Tmaj)</f>
        <v>0</v>
      </c>
      <c r="X15" s="418">
        <f t="shared" ref="X15:X78" si="10">t</f>
        <v>44927</v>
      </c>
      <c r="Y15" s="380">
        <f t="shared" ref="Y15:Y78" si="11">Wh_pvt_s*(1-Ppv)</f>
        <v>0</v>
      </c>
      <c r="Z15" s="380">
        <f t="shared" ref="Z15:Z78" si="12">Wh_sa_s*(1-Psa_s)</f>
        <v>0</v>
      </c>
      <c r="AA15" s="381">
        <f t="shared" ref="AA15:AA78" si="13">Wh_hp*(1-Pvg_s*MEDIAN((-Sdif+Wh/Env_an)/Csdif,0,1))</f>
        <v>0</v>
      </c>
      <c r="AB15" s="419">
        <f t="shared" ref="AB15:AB78" si="14">t</f>
        <v>44927</v>
      </c>
      <c r="AC15" s="420">
        <f>IF(OR(t&lt;Tnet,NoTnet),'2022'!Resal_s+('2022'!Salim-'2022'!Resal_s)*(1-EXP(('2022'!Tnet_s-t)/'2022'!Tau_j)),Resal_s+(Salim-Resal_s)*(1-EXP((Tnet_s-t)/Tau_j)))*Salcycl</f>
        <v>2.4747838115258724E-2</v>
      </c>
      <c r="AD15" s="227">
        <f>(INDEX(Models!$BJ15:$BT15,,AH15)*(1-AF15)+INDEX(Models!$BJ15:$BT15,,AH15+1)*AF15-ERP_i)*AE15*Ramure*Pc/MaxiM</f>
        <v>2.8350701957137701E-3</v>
      </c>
      <c r="AE15" s="299">
        <f t="shared" ref="AE15:AE78" si="15">IF(OR(t&lt;Ttai,Notai),Dd_s+PousD*Croivg,Dens_s+PousD*(Croivg-Croi_tai))</f>
        <v>0.5</v>
      </c>
      <c r="AF15" s="300">
        <f t="shared" ref="AF15:AF78" si="16">(Hp_vg_s-AG15)/(INDEX(Echel_vg,AH15+1)-AG15)</f>
        <v>0.49381794403695745</v>
      </c>
      <c r="AG15" s="245">
        <f t="shared" ref="AG15:AG78" si="17">INDEX(Echel_vg,AH15)</f>
        <v>0</v>
      </c>
      <c r="AH15" s="245">
        <f t="shared" ref="AH15:AH78" si="18">MIN(MATCH(Hp_vg_s,Echel_vg),10)</f>
        <v>6</v>
      </c>
      <c r="AI15" s="220">
        <f>IF(OR(t&lt;Ttai,Notai),Hdd_s+PousH*Croivg,Hdtai_s+PousH*(Croivg-Croi_tai))</f>
        <v>0.49381794403695745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21">A15+1</f>
        <v>44928</v>
      </c>
      <c r="B16" s="406">
        <f>'2022'!Wh/'2022'!Env_an*'2023'!Env_an</f>
        <v>0</v>
      </c>
      <c r="C16" s="385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>+Wh_hp/MaxiM</f>
        <v>0</v>
      </c>
      <c r="H16" s="409" t="b">
        <f>Wh_hp&gt;='2022'!Maxi_hp</f>
        <v>1</v>
      </c>
      <c r="I16" s="385">
        <f>IF(H16,Wh_hp,'2022'!Maxi_hp)</f>
        <v>0</v>
      </c>
      <c r="J16" s="85">
        <f>IF(H16,An,'2022'!An_max)</f>
        <v>2023</v>
      </c>
      <c r="K16" s="193">
        <f t="shared" si="3"/>
        <v>44928</v>
      </c>
      <c r="L16" s="143">
        <f>IF(t&lt;Tvie,1-EXP((T0-t)*PertePVj)+'2022'!Pspv,1-EXP((T0-t)*PertePVj)+Pspv)</f>
        <v>5.5424208947463249E-3</v>
      </c>
      <c r="M16" s="836"/>
      <c r="N16" s="836"/>
      <c r="O16" s="48">
        <f>IF(t&lt;Tnet,'2022'!Resal+('2022'!Salim-'2022'!Resal)*(1-EXP(('2022'!Tnet-t)/('2022'!Tau_j))),Resal+(Salim-Resal)*(1-EXP((Tnet-t)/(Tau_j))))*Salcycl</f>
        <v>2.4797323958822164E-2</v>
      </c>
      <c r="P16" s="165">
        <f>(INDEX(Models!$BJ16:$BT16,,T16)*(1-R16)+INDEX(Models!$BJ16:$BT16,,T16+1)*R16-ERP_i)*Q16*Ramure*Pc/MaxiM</f>
        <v>2.8097474291701578E-3</v>
      </c>
      <c r="Q16" s="301">
        <f t="shared" si="4"/>
        <v>0.5</v>
      </c>
      <c r="R16" s="173">
        <f t="shared" si="5"/>
        <v>0.49384715865095169</v>
      </c>
      <c r="S16" s="802">
        <f t="shared" si="6"/>
        <v>0</v>
      </c>
      <c r="T16" s="172">
        <f t="shared" si="7"/>
        <v>6</v>
      </c>
      <c r="U16" s="247">
        <f t="shared" ref="U16:U78" si="22">IF(OR(t&lt;Ttai,Notai),Hdd+PousH*Croivg,Hdtf+PousH*(Croivg-Croi_tai))</f>
        <v>0.49384715865095169</v>
      </c>
      <c r="V16" s="378">
        <f t="shared" si="8"/>
        <v>17.483239478244275</v>
      </c>
      <c r="W16" s="397">
        <f t="shared" si="9"/>
        <v>0</v>
      </c>
      <c r="X16" s="153">
        <f t="shared" si="10"/>
        <v>44928</v>
      </c>
      <c r="Y16" s="380">
        <f t="shared" si="11"/>
        <v>0</v>
      </c>
      <c r="Z16" s="380">
        <f t="shared" si="12"/>
        <v>0</v>
      </c>
      <c r="AA16" s="381">
        <f t="shared" si="13"/>
        <v>0</v>
      </c>
      <c r="AB16" s="193">
        <f t="shared" si="14"/>
        <v>44928</v>
      </c>
      <c r="AC16" s="420">
        <f>IF(OR(t&lt;Tnet,NoTnet),'2022'!Resal_s+('2022'!Salim-'2022'!Resal_s)*(1-EXP(('2022'!Tnet_s-t)/'2022'!Tau_j)),Resal_s+(Salim-Resal_s)*(1-EXP((Tnet_s-t)/Tau_j)))*Salcycl</f>
        <v>2.4797323958822164E-2</v>
      </c>
      <c r="AD16" s="227">
        <f>(INDEX(Models!$BJ16:$BT16,,AH16)*(1-AF16)+INDEX(Models!$BJ16:$BT16,,AH16+1)*AF16-ERP_i)*AE16*Ramure*Pc/MaxiM</f>
        <v>2.8097474291701578E-3</v>
      </c>
      <c r="AE16" s="301">
        <f t="shared" si="15"/>
        <v>0.5</v>
      </c>
      <c r="AF16" s="173">
        <f t="shared" si="16"/>
        <v>0.49384715865095169</v>
      </c>
      <c r="AG16" s="172">
        <f t="shared" si="17"/>
        <v>0</v>
      </c>
      <c r="AH16" s="172">
        <f t="shared" si="18"/>
        <v>6</v>
      </c>
      <c r="AI16" s="221">
        <f t="shared" ref="AI16:AI78" si="23">IF(OR(t&lt;Ttai,Notai),Hdd_s+PousH*Croivg,Hdtai_s+PousH*(Croivg-Croi_tai))</f>
        <v>0.49384715865095169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21"/>
        <v>44929</v>
      </c>
      <c r="B17" s="406">
        <f>'2022'!Wh/'2022'!Env_an*'2023'!Env_an</f>
        <v>0</v>
      </c>
      <c r="C17" s="385"/>
      <c r="D17" s="388">
        <f t="shared" si="0"/>
        <v>0</v>
      </c>
      <c r="E17" s="380">
        <f>Wh_pvt/(1-Psa)</f>
        <v>0</v>
      </c>
      <c r="F17" s="380">
        <f t="shared" si="2"/>
        <v>0</v>
      </c>
      <c r="G17" s="110">
        <f t="shared" ref="G17:G79" si="24">+Wh_hp/MaxiM</f>
        <v>0</v>
      </c>
      <c r="H17" s="409" t="b">
        <f>Wh_hp&gt;='2022'!Maxi_hp</f>
        <v>1</v>
      </c>
      <c r="I17" s="385">
        <f>IF(H17,Wh_hp,'2022'!Maxi_hp)</f>
        <v>0</v>
      </c>
      <c r="J17" s="85">
        <f>IF(H17,An,'2022'!An_max)</f>
        <v>2023</v>
      </c>
      <c r="K17" s="193">
        <f t="shared" si="3"/>
        <v>44929</v>
      </c>
      <c r="L17" s="143">
        <f>IF(t&lt;Tvie,1-EXP((T0-t)*PertePVj)+'2022'!Pspv,1-EXP((T0-t)*PertePVj)+Pspv)</f>
        <v>5.5560341838968297E-3</v>
      </c>
      <c r="M17" s="836"/>
      <c r="N17" s="836"/>
      <c r="O17" s="48">
        <f>IF(t&lt;Tnet,'2022'!Resal+('2022'!Salim-'2022'!Resal)*(1-EXP(('2022'!Tnet-t)/('2022'!Tau_j))),Resal+(Salim-Resal)*(1-EXP((Tnet-t)/(Tau_j))))*Salcycl</f>
        <v>2.4846815597347804E-2</v>
      </c>
      <c r="P17" s="165">
        <f>(INDEX(Models!$BJ17:$BT17,,T17)*(1-R17)+INDEX(Models!$BJ17:$BT17,,T17+1)*R17-ERP_i)*Q17*Ramure*Pc/MaxiM</f>
        <v>2.7873634220761385E-3</v>
      </c>
      <c r="Q17" s="301">
        <f t="shared" si="4"/>
        <v>0.5</v>
      </c>
      <c r="R17" s="173">
        <f t="shared" si="5"/>
        <v>0.49387759524644131</v>
      </c>
      <c r="S17" s="802">
        <f t="shared" si="6"/>
        <v>0</v>
      </c>
      <c r="T17" s="172">
        <f t="shared" si="7"/>
        <v>6</v>
      </c>
      <c r="U17" s="247">
        <f t="shared" si="22"/>
        <v>0.49387759524644131</v>
      </c>
      <c r="V17" s="378">
        <f t="shared" si="8"/>
        <v>17.664345525292397</v>
      </c>
      <c r="W17" s="397">
        <f t="shared" si="9"/>
        <v>0</v>
      </c>
      <c r="X17" s="153">
        <f t="shared" si="10"/>
        <v>44929</v>
      </c>
      <c r="Y17" s="380">
        <f t="shared" si="11"/>
        <v>0</v>
      </c>
      <c r="Z17" s="380">
        <f t="shared" si="12"/>
        <v>0</v>
      </c>
      <c r="AA17" s="381">
        <f t="shared" si="13"/>
        <v>0</v>
      </c>
      <c r="AB17" s="193">
        <f t="shared" si="14"/>
        <v>44929</v>
      </c>
      <c r="AC17" s="420">
        <f>IF(OR(t&lt;Tnet,NoTnet),'2022'!Resal_s+('2022'!Salim-'2022'!Resal_s)*(1-EXP(('2022'!Tnet_s-t)/'2022'!Tau_j)),Resal_s+(Salim-Resal_s)*(1-EXP((Tnet_s-t)/Tau_j)))*Salcycl</f>
        <v>2.4846815597347804E-2</v>
      </c>
      <c r="AD17" s="227">
        <f>(INDEX(Models!$BJ17:$BT17,,AH17)*(1-AF17)+INDEX(Models!$BJ17:$BT17,,AH17+1)*AF17-ERP_i)*AE17*Ramure*Pc/MaxiM</f>
        <v>2.7873634220761385E-3</v>
      </c>
      <c r="AE17" s="301">
        <f t="shared" si="15"/>
        <v>0.5</v>
      </c>
      <c r="AF17" s="173">
        <f t="shared" si="16"/>
        <v>0.49387759524644131</v>
      </c>
      <c r="AG17" s="172">
        <f t="shared" si="17"/>
        <v>0</v>
      </c>
      <c r="AH17" s="172">
        <f t="shared" si="18"/>
        <v>6</v>
      </c>
      <c r="AI17" s="221">
        <f t="shared" si="23"/>
        <v>0.49387759524644131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21"/>
        <v>44930</v>
      </c>
      <c r="B18" s="406">
        <f>'2022'!Wh/'2022'!Env_an*'2023'!Env_an</f>
        <v>0</v>
      </c>
      <c r="C18" s="385"/>
      <c r="D18" s="388">
        <f t="shared" si="0"/>
        <v>0</v>
      </c>
      <c r="E18" s="380">
        <f>Wh_pvt/(1-Psa)</f>
        <v>0</v>
      </c>
      <c r="F18" s="380">
        <f t="shared" si="2"/>
        <v>0</v>
      </c>
      <c r="G18" s="110">
        <f>+Wh_hp/MaxiM</f>
        <v>0</v>
      </c>
      <c r="H18" s="409" t="b">
        <f>Wh_hp&gt;='2022'!Maxi_hp</f>
        <v>1</v>
      </c>
      <c r="I18" s="385">
        <f>IF(H18,Wh_hp,'2022'!Maxi_hp)</f>
        <v>0</v>
      </c>
      <c r="J18" s="85">
        <f>IF(H18,An,'2022'!An_max)</f>
        <v>2023</v>
      </c>
      <c r="K18" s="193">
        <f>t</f>
        <v>44930</v>
      </c>
      <c r="L18" s="143">
        <f>IF(t&lt;Tvie,1-EXP((T0-t)*PertePVj)+'2022'!Pspv,1-EXP((T0-t)*PertePVj)+Pspv)</f>
        <v>5.569647286692847E-3</v>
      </c>
      <c r="M18" s="836"/>
      <c r="N18" s="836"/>
      <c r="O18" s="48">
        <f>IF(t&lt;Tnet,'2022'!Resal+('2022'!Salim-'2022'!Resal)*(1-EXP(('2022'!Tnet-t)/('2022'!Tau_j))),Resal+(Salim-Resal)*(1-EXP((Tnet-t)/(Tau_j))))*Salcycl</f>
        <v>2.4896307592230021E-2</v>
      </c>
      <c r="P18" s="165">
        <f>(INDEX(Models!$BJ18:$BT18,,T18)*(1-R18)+INDEX(Models!$BJ18:$BT18,,T18+1)*R18-ERP_i)*Q18*Ramure*Pc/MaxiM</f>
        <v>2.7680965048673739E-3</v>
      </c>
      <c r="Q18" s="301">
        <f>IF(OR(t&lt;Ttai,Notai),Dd+PousD*Croivg,Dens+PousD*(Croivg-Croi_tai))</f>
        <v>0.5</v>
      </c>
      <c r="R18" s="173">
        <f t="shared" si="5"/>
        <v>0.49390930477773642</v>
      </c>
      <c r="S18" s="802">
        <f t="shared" si="6"/>
        <v>0</v>
      </c>
      <c r="T18" s="172">
        <f t="shared" si="7"/>
        <v>6</v>
      </c>
      <c r="U18" s="247">
        <f t="shared" si="22"/>
        <v>0.49390930477773642</v>
      </c>
      <c r="V18" s="378">
        <f t="shared" si="8"/>
        <v>17.852296505613857</v>
      </c>
      <c r="W18" s="397">
        <f t="shared" si="9"/>
        <v>0</v>
      </c>
      <c r="X18" s="153">
        <f t="shared" si="10"/>
        <v>44930</v>
      </c>
      <c r="Y18" s="380">
        <f t="shared" si="11"/>
        <v>0</v>
      </c>
      <c r="Z18" s="380">
        <f>Wh_sa_s*(1-Psa_s)</f>
        <v>0</v>
      </c>
      <c r="AA18" s="381">
        <f t="shared" si="13"/>
        <v>0</v>
      </c>
      <c r="AB18" s="193">
        <f>t</f>
        <v>44930</v>
      </c>
      <c r="AC18" s="420">
        <f>IF(OR(t&lt;Tnet,NoTnet),'2022'!Resal_s+('2022'!Salim-'2022'!Resal_s)*(1-EXP(('2022'!Tnet_s-t)/'2022'!Tau_j)),Resal_s+(Salim-Resal_s)*(1-EXP((Tnet_s-t)/Tau_j)))*Salcycl</f>
        <v>2.4896307592230021E-2</v>
      </c>
      <c r="AD18" s="227">
        <f>(INDEX(Models!$BJ18:$BT18,,AH18)*(1-AF18)+INDEX(Models!$BJ18:$BT18,,AH18+1)*AF18-ERP_i)*AE18*Ramure*Pc/MaxiM</f>
        <v>2.7680965048673739E-3</v>
      </c>
      <c r="AE18" s="301">
        <f t="shared" si="15"/>
        <v>0.5</v>
      </c>
      <c r="AF18" s="173">
        <f t="shared" si="16"/>
        <v>0.49390930477773642</v>
      </c>
      <c r="AG18" s="172">
        <f t="shared" si="17"/>
        <v>0</v>
      </c>
      <c r="AH18" s="172">
        <f t="shared" si="18"/>
        <v>6</v>
      </c>
      <c r="AI18" s="221">
        <f t="shared" si="23"/>
        <v>0.49390930477773642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21"/>
        <v>44931</v>
      </c>
      <c r="B19" s="406">
        <f>'2022'!Wh/'2022'!Env_an*'2023'!Env_an</f>
        <v>0</v>
      </c>
      <c r="C19" s="385"/>
      <c r="D19" s="388">
        <f t="shared" si="0"/>
        <v>0</v>
      </c>
      <c r="E19" s="380">
        <f>Wh_pvt/(1-Psa)</f>
        <v>0</v>
      </c>
      <c r="F19" s="380">
        <f t="shared" si="2"/>
        <v>0</v>
      </c>
      <c r="G19" s="110">
        <f>+Wh_hp/MaxiM</f>
        <v>0</v>
      </c>
      <c r="H19" s="409" t="b">
        <f>Wh_hp&gt;='2022'!Maxi_hp</f>
        <v>1</v>
      </c>
      <c r="I19" s="385">
        <f>IF(H19,Wh_hp,'2022'!Maxi_hp)</f>
        <v>0</v>
      </c>
      <c r="J19" s="85">
        <f>IF(H19,An,'2022'!An_max)</f>
        <v>2023</v>
      </c>
      <c r="K19" s="193">
        <f t="shared" si="3"/>
        <v>44931</v>
      </c>
      <c r="L19" s="143">
        <f>IF(t&lt;Tvie,1-EXP((T0-t)*PertePVj)+'2022'!Pspv,1-EXP((T0-t)*PertePVj)+Pspv)</f>
        <v>5.5832602031369305E-3</v>
      </c>
      <c r="M19" s="836"/>
      <c r="N19" s="836"/>
      <c r="O19" s="48">
        <f>IF(t&lt;Tnet,'2022'!Resal+('2022'!Salim-'2022'!Resal)*(1-EXP(('2022'!Tnet-t)/('2022'!Tau_j))),Resal+(Salim-Resal)*(1-EXP((Tnet-t)/(Tau_j))))*Salcycl</f>
        <v>2.4945795210161149E-2</v>
      </c>
      <c r="P19" s="165">
        <f>(INDEX(Models!$BJ19:$BT19,,T19)*(1-R19)+INDEX(Models!$BJ19:$BT19,,T19+1)*R19-ERP_i)*Q19*Ramure*Pc/MaxiM</f>
        <v>2.7521047372977042E-3</v>
      </c>
      <c r="Q19" s="301">
        <f t="shared" si="4"/>
        <v>0.5</v>
      </c>
      <c r="R19" s="173">
        <f t="shared" si="5"/>
        <v>0.4939423403102981</v>
      </c>
      <c r="S19" s="802">
        <f t="shared" si="6"/>
        <v>0</v>
      </c>
      <c r="T19" s="172">
        <f t="shared" si="7"/>
        <v>6</v>
      </c>
      <c r="U19" s="247">
        <f t="shared" si="22"/>
        <v>0.4939423403102981</v>
      </c>
      <c r="V19" s="378">
        <f t="shared" si="8"/>
        <v>18.045475406365792</v>
      </c>
      <c r="W19" s="397">
        <f t="shared" si="9"/>
        <v>0</v>
      </c>
      <c r="X19" s="153">
        <f t="shared" si="10"/>
        <v>44931</v>
      </c>
      <c r="Y19" s="380">
        <f t="shared" si="11"/>
        <v>0</v>
      </c>
      <c r="Z19" s="380">
        <f t="shared" si="12"/>
        <v>0</v>
      </c>
      <c r="AA19" s="381">
        <f t="shared" si="13"/>
        <v>0</v>
      </c>
      <c r="AB19" s="193">
        <f t="shared" si="14"/>
        <v>44931</v>
      </c>
      <c r="AC19" s="420">
        <f>IF(OR(t&lt;Tnet,NoTnet),'2022'!Resal_s+('2022'!Salim-'2022'!Resal_s)*(1-EXP(('2022'!Tnet_s-t)/'2022'!Tau_j)),Resal_s+(Salim-Resal_s)*(1-EXP((Tnet_s-t)/Tau_j)))*Salcycl</f>
        <v>2.4945795210161149E-2</v>
      </c>
      <c r="AD19" s="227">
        <f>(INDEX(Models!$BJ19:$BT19,,AH19)*(1-AF19)+INDEX(Models!$BJ19:$BT19,,AH19+1)*AF19-ERP_i)*AE19*Ramure*Pc/MaxiM</f>
        <v>2.7521047372977042E-3</v>
      </c>
      <c r="AE19" s="301">
        <f t="shared" si="15"/>
        <v>0.5</v>
      </c>
      <c r="AF19" s="173">
        <f t="shared" si="16"/>
        <v>0.4939423403102981</v>
      </c>
      <c r="AG19" s="172">
        <f t="shared" si="17"/>
        <v>0</v>
      </c>
      <c r="AH19" s="172">
        <f t="shared" si="18"/>
        <v>6</v>
      </c>
      <c r="AI19" s="221">
        <f t="shared" si="23"/>
        <v>0.4939423403102981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21"/>
        <v>44932</v>
      </c>
      <c r="B20" s="406">
        <f>'2022'!Wh/'2022'!Env_an*'2023'!Env_an</f>
        <v>0</v>
      </c>
      <c r="C20" s="385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4"/>
        <v>0</v>
      </c>
      <c r="H20" s="409" t="b">
        <f>Wh_hp&gt;='2022'!Maxi_hp</f>
        <v>1</v>
      </c>
      <c r="I20" s="385">
        <f>IF(H20,Wh_hp,'2022'!Maxi_hp)</f>
        <v>0</v>
      </c>
      <c r="J20" s="85">
        <f>IF(H20,An,'2022'!An_max)</f>
        <v>2023</v>
      </c>
      <c r="K20" s="193">
        <f t="shared" si="3"/>
        <v>44932</v>
      </c>
      <c r="L20" s="143">
        <f>IF(t&lt;Tvie,1-EXP((T0-t)*PertePVj)+'2022'!Pspv,1-EXP((T0-t)*PertePVj)+Pspv)</f>
        <v>5.5968729332316336E-3</v>
      </c>
      <c r="M20" s="836"/>
      <c r="N20" s="836"/>
      <c r="O20" s="48">
        <f>IF(t&lt;Tnet,'2022'!Resal+('2022'!Salim-'2022'!Resal)*(1-EXP(('2022'!Tnet-t)/('2022'!Tau_j))),Resal+(Salim-Resal)*(1-EXP((Tnet-t)/(Tau_j))))*Salcycl</f>
        <v>2.4995274406374075E-2</v>
      </c>
      <c r="P20" s="165">
        <f>(INDEX(Models!$BJ20:$BT20,,T20)*(1-R20)+INDEX(Models!$BJ20:$BT20,,T20+1)*R20-ERP_i)*Q20*Ramure*Pc/MaxiM</f>
        <v>2.739529059683049E-3</v>
      </c>
      <c r="Q20" s="301">
        <f t="shared" si="4"/>
        <v>0.5</v>
      </c>
      <c r="R20" s="173">
        <f t="shared" si="5"/>
        <v>0.4939767571070488</v>
      </c>
      <c r="S20" s="802">
        <f t="shared" si="6"/>
        <v>0</v>
      </c>
      <c r="T20" s="172">
        <f t="shared" si="7"/>
        <v>6</v>
      </c>
      <c r="U20" s="247">
        <f t="shared" si="22"/>
        <v>0.4939767571070488</v>
      </c>
      <c r="V20" s="378">
        <f t="shared" si="8"/>
        <v>18.242265596980836</v>
      </c>
      <c r="W20" s="397">
        <f t="shared" si="9"/>
        <v>0</v>
      </c>
      <c r="X20" s="153">
        <f t="shared" si="10"/>
        <v>44932</v>
      </c>
      <c r="Y20" s="380">
        <f t="shared" si="11"/>
        <v>0</v>
      </c>
      <c r="Z20" s="380">
        <f t="shared" si="12"/>
        <v>0</v>
      </c>
      <c r="AA20" s="381">
        <f t="shared" si="13"/>
        <v>0</v>
      </c>
      <c r="AB20" s="193">
        <f t="shared" si="14"/>
        <v>44932</v>
      </c>
      <c r="AC20" s="420">
        <f>IF(OR(t&lt;Tnet,NoTnet),'2022'!Resal_s+('2022'!Salim-'2022'!Resal_s)*(1-EXP(('2022'!Tnet_s-t)/'2022'!Tau_j)),Resal_s+(Salim-Resal_s)*(1-EXP((Tnet_s-t)/Tau_j)))*Salcycl</f>
        <v>2.4995274406374075E-2</v>
      </c>
      <c r="AD20" s="227">
        <f>(INDEX(Models!$BJ20:$BT20,,AH20)*(1-AF20)+INDEX(Models!$BJ20:$BT20,,AH20+1)*AF20-ERP_i)*AE20*Ramure*Pc/MaxiM</f>
        <v>2.739529059683049E-3</v>
      </c>
      <c r="AE20" s="301">
        <f>IF(OR(t&lt;Ttai,Notai),Dd_s+PousD*Croivg,Dens_s+PousD*(Croivg-Croi_tai))</f>
        <v>0.5</v>
      </c>
      <c r="AF20" s="173">
        <f t="shared" si="16"/>
        <v>0.4939767571070488</v>
      </c>
      <c r="AG20" s="172">
        <f t="shared" si="17"/>
        <v>0</v>
      </c>
      <c r="AH20" s="172">
        <f t="shared" si="18"/>
        <v>6</v>
      </c>
      <c r="AI20" s="221">
        <f>IF(OR(t&lt;Ttai,Notai),Hdd_s+PousH*Croivg,Hdtai_s+PousH*(Croivg-Croi_tai))</f>
        <v>0.4939767571070488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21"/>
        <v>44933</v>
      </c>
      <c r="B21" s="406">
        <f>'2022'!Wh/'2022'!Env_an*'2023'!Env_an</f>
        <v>5.9597530917997057</v>
      </c>
      <c r="C21" s="385"/>
      <c r="D21" s="388">
        <f t="shared" si="0"/>
        <v>5.9933788568340081</v>
      </c>
      <c r="E21" s="380">
        <f t="shared" si="1"/>
        <v>6.1473373331119578</v>
      </c>
      <c r="F21" s="380">
        <f t="shared" si="2"/>
        <v>6.1478931826104555</v>
      </c>
      <c r="G21" s="110">
        <f t="shared" si="24"/>
        <v>0.32232530988740876</v>
      </c>
      <c r="H21" s="409" t="b">
        <f>Wh_hp&gt;='2022'!Maxi_hp</f>
        <v>0</v>
      </c>
      <c r="I21" s="385">
        <f>IF(H21,Wh_hp,'2022'!Maxi_hp)</f>
        <v>6.1641621547056991</v>
      </c>
      <c r="J21" s="85">
        <f>IF(H21,An,'2022'!An_max)</f>
        <v>2022</v>
      </c>
      <c r="K21" s="193">
        <f t="shared" si="3"/>
        <v>44933</v>
      </c>
      <c r="L21" s="143">
        <f>IF(t&lt;Tvie,1-EXP((T0-t)*PertePVj)+'2022'!Pspv,1-EXP((T0-t)*PertePVj)+Pspv)</f>
        <v>5.6104854769793988E-3</v>
      </c>
      <c r="M21" s="836"/>
      <c r="N21" s="836"/>
      <c r="O21" s="48">
        <f>IF(t&lt;Tnet,'2022'!Resal+('2022'!Salim-'2022'!Resal)*(1-EXP(('2022'!Tnet-t)/('2022'!Tau_j))),Resal+(Salim-Resal)*(1-EXP((Tnet-t)/(Tau_j))))*Salcycl</f>
        <v>2.5044741802059456E-2</v>
      </c>
      <c r="P21" s="165">
        <f>(INDEX(Models!$BJ21:$BT21,,T21)*(1-R21)+INDEX(Models!$BJ21:$BT21,,T21+1)*R21-ERP_i)*Q21*Ramure*Pc/MaxiM</f>
        <v>2.7304965982940768E-3</v>
      </c>
      <c r="Q21" s="301">
        <f t="shared" si="4"/>
        <v>0.5</v>
      </c>
      <c r="R21" s="173">
        <f t="shared" si="5"/>
        <v>0.49401261271811198</v>
      </c>
      <c r="S21" s="802">
        <f t="shared" si="6"/>
        <v>0</v>
      </c>
      <c r="T21" s="172">
        <f t="shared" si="7"/>
        <v>6</v>
      </c>
      <c r="U21" s="247">
        <f t="shared" si="22"/>
        <v>0.49401261271811198</v>
      </c>
      <c r="V21" s="378">
        <f t="shared" si="8"/>
        <v>18.44105082784386</v>
      </c>
      <c r="W21" s="397">
        <f t="shared" si="9"/>
        <v>5.9597530917997057</v>
      </c>
      <c r="X21" s="153">
        <f t="shared" si="10"/>
        <v>44933</v>
      </c>
      <c r="Y21" s="380">
        <f t="shared" si="11"/>
        <v>5.9597530917997057</v>
      </c>
      <c r="Z21" s="380">
        <f t="shared" si="12"/>
        <v>5.9933788568340081</v>
      </c>
      <c r="AA21" s="381">
        <f t="shared" si="13"/>
        <v>6.1473373331119578</v>
      </c>
      <c r="AB21" s="193">
        <f t="shared" si="14"/>
        <v>44933</v>
      </c>
      <c r="AC21" s="420">
        <f>IF(OR(t&lt;Tnet,NoTnet),'2022'!Resal_s+('2022'!Salim-'2022'!Resal_s)*(1-EXP(('2022'!Tnet_s-t)/'2022'!Tau_j)),Resal_s+(Salim-Resal_s)*(1-EXP((Tnet_s-t)/Tau_j)))*Salcycl</f>
        <v>2.5044741802059456E-2</v>
      </c>
      <c r="AD21" s="227">
        <f>(INDEX(Models!$BJ21:$BT21,,AH21)*(1-AF21)+INDEX(Models!$BJ21:$BT21,,AH21+1)*AF21-ERP_i)*AE21*Ramure*Pc/MaxiM</f>
        <v>2.7304965982940768E-3</v>
      </c>
      <c r="AE21" s="301">
        <f t="shared" si="15"/>
        <v>0.5</v>
      </c>
      <c r="AF21" s="173">
        <f t="shared" si="16"/>
        <v>0.49401261271811198</v>
      </c>
      <c r="AG21" s="172">
        <f t="shared" si="17"/>
        <v>0</v>
      </c>
      <c r="AH21" s="172">
        <f t="shared" si="18"/>
        <v>6</v>
      </c>
      <c r="AI21" s="221">
        <f t="shared" si="23"/>
        <v>0.49401261271811198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21"/>
        <v>44934</v>
      </c>
      <c r="B22" s="406">
        <f>'2022'!Wh/'2022'!Env_an*'2023'!Env_an</f>
        <v>7.7847584278356372</v>
      </c>
      <c r="C22" s="385"/>
      <c r="D22" s="388">
        <f t="shared" si="0"/>
        <v>7.8287882991547564</v>
      </c>
      <c r="E22" s="380">
        <f t="shared" si="1"/>
        <v>8.0303022674023659</v>
      </c>
      <c r="F22" s="380">
        <f t="shared" si="2"/>
        <v>8.033981405885271</v>
      </c>
      <c r="G22" s="110">
        <f t="shared" si="24"/>
        <v>0.41668515178594434</v>
      </c>
      <c r="H22" s="409" t="b">
        <f>Wh_hp&gt;='2022'!Maxi_hp</f>
        <v>0</v>
      </c>
      <c r="I22" s="385">
        <f>IF(H22,Wh_hp,'2022'!Maxi_hp)</f>
        <v>8.052237097122509</v>
      </c>
      <c r="J22" s="85">
        <f>IF(H22,An,'2022'!An_max)</f>
        <v>2022</v>
      </c>
      <c r="K22" s="193">
        <f t="shared" si="3"/>
        <v>44934</v>
      </c>
      <c r="L22" s="143">
        <f>IF(t&lt;Tvie,1-EXP((T0-t)*PertePVj)+'2022'!Pspv,1-EXP((T0-t)*PertePVj)+Pspv)</f>
        <v>5.6240978343830017E-3</v>
      </c>
      <c r="M22" s="836"/>
      <c r="N22" s="836"/>
      <c r="O22" s="48">
        <f>IF(t&lt;Tnet,'2022'!Resal+('2022'!Salim-'2022'!Resal)*(1-EXP(('2022'!Tnet-t)/('2022'!Tau_j))),Resal+(Salim-Resal)*(1-EXP((Tnet-t)/(Tau_j))))*Salcycl</f>
        <v>2.5094194656360692E-2</v>
      </c>
      <c r="P22" s="165">
        <f>(INDEX(Models!$BJ22:$BT22,,T22)*(1-R22)+INDEX(Models!$BJ22:$BT22,,T22+1)*R22-ERP_i)*Q22*Ramure*Pc/MaxiM</f>
        <v>2.7251240467905257E-3</v>
      </c>
      <c r="Q22" s="301">
        <f t="shared" si="4"/>
        <v>0.5</v>
      </c>
      <c r="R22" s="173">
        <f t="shared" si="5"/>
        <v>0.49404996707410914</v>
      </c>
      <c r="S22" s="802">
        <f t="shared" si="6"/>
        <v>0</v>
      </c>
      <c r="T22" s="172">
        <f t="shared" si="7"/>
        <v>6</v>
      </c>
      <c r="U22" s="247">
        <f t="shared" si="22"/>
        <v>0.49404996707410914</v>
      </c>
      <c r="V22" s="378">
        <f t="shared" si="8"/>
        <v>18.640215240432944</v>
      </c>
      <c r="W22" s="397">
        <f t="shared" si="9"/>
        <v>7.7847584278356372</v>
      </c>
      <c r="X22" s="153">
        <f t="shared" si="10"/>
        <v>44934</v>
      </c>
      <c r="Y22" s="380">
        <f t="shared" si="11"/>
        <v>7.7847584278356372</v>
      </c>
      <c r="Z22" s="380">
        <f t="shared" si="12"/>
        <v>7.8287882991547564</v>
      </c>
      <c r="AA22" s="381">
        <f t="shared" si="13"/>
        <v>8.0303022674023659</v>
      </c>
      <c r="AB22" s="193">
        <f t="shared" si="14"/>
        <v>44934</v>
      </c>
      <c r="AC22" s="420">
        <f>IF(OR(t&lt;Tnet,NoTnet),'2022'!Resal_s+('2022'!Salim-'2022'!Resal_s)*(1-EXP(('2022'!Tnet_s-t)/'2022'!Tau_j)),Resal_s+(Salim-Resal_s)*(1-EXP((Tnet_s-t)/Tau_j)))*Salcycl</f>
        <v>2.5094194656360692E-2</v>
      </c>
      <c r="AD22" s="227">
        <f>(INDEX(Models!$BJ22:$BT22,,AH22)*(1-AF22)+INDEX(Models!$BJ22:$BT22,,AH22+1)*AF22-ERP_i)*AE22*Ramure*Pc/MaxiM</f>
        <v>2.7251240467905257E-3</v>
      </c>
      <c r="AE22" s="301">
        <f t="shared" si="15"/>
        <v>0.5</v>
      </c>
      <c r="AF22" s="173">
        <f t="shared" si="16"/>
        <v>0.49404996707410914</v>
      </c>
      <c r="AG22" s="172">
        <f t="shared" si="17"/>
        <v>0</v>
      </c>
      <c r="AH22" s="172">
        <f t="shared" si="18"/>
        <v>6</v>
      </c>
      <c r="AI22" s="221">
        <f t="shared" si="23"/>
        <v>0.49404996707410914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21"/>
        <v>44935</v>
      </c>
      <c r="B23" s="406">
        <f>'2022'!Wh/'2022'!Env_an*'2023'!Env_an</f>
        <v>2.33839054387925</v>
      </c>
      <c r="C23" s="385"/>
      <c r="D23" s="388">
        <f t="shared" si="0"/>
        <v>2.3516484559084136</v>
      </c>
      <c r="E23" s="380">
        <f t="shared" si="1"/>
        <v>2.4123024994121045</v>
      </c>
      <c r="F23" s="380">
        <f t="shared" si="2"/>
        <v>2.4123024994121045</v>
      </c>
      <c r="G23" s="110">
        <f t="shared" si="24"/>
        <v>0.1237657814771479</v>
      </c>
      <c r="H23" s="409" t="b">
        <f>Wh_hp&gt;='2022'!Maxi_hp</f>
        <v>0</v>
      </c>
      <c r="I23" s="385">
        <f>IF(H23,Wh_hp,'2022'!Maxi_hp)</f>
        <v>2.4188853930491918</v>
      </c>
      <c r="J23" s="85">
        <f>IF(H23,An,'2022'!An_max)</f>
        <v>2022</v>
      </c>
      <c r="K23" s="193">
        <f t="shared" si="3"/>
        <v>44935</v>
      </c>
      <c r="L23" s="143">
        <f>IF(t&lt;Tvie,1-EXP((T0-t)*PertePVj)+'2022'!Pspv,1-EXP((T0-t)*PertePVj)+Pspv)</f>
        <v>5.6377100054447737E-3</v>
      </c>
      <c r="M23" s="836"/>
      <c r="N23" s="836"/>
      <c r="O23" s="48">
        <f>IF(t&lt;Tnet,'2022'!Resal+('2022'!Salim-'2022'!Resal)*(1-EXP(('2022'!Tnet-t)/('2022'!Tau_j))),Resal+(Salim-Resal)*(1-EXP((Tnet-t)/(Tau_j))))*Salcycl</f>
        <v>2.5143630833393729E-2</v>
      </c>
      <c r="P23" s="165">
        <f>(INDEX(Models!$BJ23:$BT23,,T23)*(1-R23)+INDEX(Models!$BJ23:$BT23,,T23+1)*R23-ERP_i)*Q23*Ramure*Pc/MaxiM</f>
        <v>2.7229320502160374E-3</v>
      </c>
      <c r="Q23" s="301">
        <f t="shared" si="4"/>
        <v>0.5</v>
      </c>
      <c r="R23" s="173">
        <f t="shared" si="5"/>
        <v>0.49408888258314426</v>
      </c>
      <c r="S23" s="802">
        <f t="shared" si="6"/>
        <v>0</v>
      </c>
      <c r="T23" s="172">
        <f t="shared" si="7"/>
        <v>6</v>
      </c>
      <c r="U23" s="247">
        <f t="shared" si="22"/>
        <v>0.49408888258314426</v>
      </c>
      <c r="V23" s="378">
        <f t="shared" si="8"/>
        <v>18.842229552374164</v>
      </c>
      <c r="W23" s="397">
        <f t="shared" si="9"/>
        <v>2.33839054387925</v>
      </c>
      <c r="X23" s="153">
        <f t="shared" si="10"/>
        <v>44935</v>
      </c>
      <c r="Y23" s="380">
        <f t="shared" si="11"/>
        <v>2.33839054387925</v>
      </c>
      <c r="Z23" s="380">
        <f t="shared" si="12"/>
        <v>2.3516484559084136</v>
      </c>
      <c r="AA23" s="381">
        <f t="shared" si="13"/>
        <v>2.4123024994121045</v>
      </c>
      <c r="AB23" s="193">
        <f t="shared" si="14"/>
        <v>44935</v>
      </c>
      <c r="AC23" s="420">
        <f>IF(OR(t&lt;Tnet,NoTnet),'2022'!Resal_s+('2022'!Salim-'2022'!Resal_s)*(1-EXP(('2022'!Tnet_s-t)/'2022'!Tau_j)),Resal_s+(Salim-Resal_s)*(1-EXP((Tnet_s-t)/Tau_j)))*Salcycl</f>
        <v>2.5143630833393729E-2</v>
      </c>
      <c r="AD23" s="227">
        <f>(INDEX(Models!$BJ23:$BT23,,AH23)*(1-AF23)+INDEX(Models!$BJ23:$BT23,,AH23+1)*AF23-ERP_i)*AE23*Ramure*Pc/MaxiM</f>
        <v>2.7229320502160374E-3</v>
      </c>
      <c r="AE23" s="301">
        <f t="shared" si="15"/>
        <v>0.5</v>
      </c>
      <c r="AF23" s="173">
        <f t="shared" si="16"/>
        <v>0.49408888258314426</v>
      </c>
      <c r="AG23" s="172">
        <f t="shared" si="17"/>
        <v>0</v>
      </c>
      <c r="AH23" s="172">
        <f t="shared" si="18"/>
        <v>6</v>
      </c>
      <c r="AI23" s="221">
        <f t="shared" si="23"/>
        <v>0.49408888258314426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21"/>
        <v>44936</v>
      </c>
      <c r="B24" s="406">
        <f>'2022'!Wh/'2022'!Env_an*'2023'!Env_an</f>
        <v>1.9336454716895226</v>
      </c>
      <c r="C24" s="385"/>
      <c r="D24" s="388">
        <f t="shared" si="0"/>
        <v>1.9446352315363582</v>
      </c>
      <c r="E24" s="380">
        <f t="shared" si="1"/>
        <v>1.9948926595899021</v>
      </c>
      <c r="F24" s="380">
        <f t="shared" si="2"/>
        <v>1.9948926595899021</v>
      </c>
      <c r="G24" s="110">
        <f t="shared" si="24"/>
        <v>0.10122350653503534</v>
      </c>
      <c r="H24" s="409" t="b">
        <f>Wh_hp&gt;='2022'!Maxi_hp</f>
        <v>0</v>
      </c>
      <c r="I24" s="385">
        <f>IF(H24,Wh_hp,'2022'!Maxi_hp)</f>
        <v>2.0003417507562942</v>
      </c>
      <c r="J24" s="85">
        <f>IF(H24,An,'2022'!An_max)</f>
        <v>2022</v>
      </c>
      <c r="K24" s="193">
        <f t="shared" si="3"/>
        <v>44936</v>
      </c>
      <c r="L24" s="143">
        <f>IF(t&lt;Tvie,1-EXP((T0-t)*PertePVj)+'2022'!Pspv,1-EXP((T0-t)*PertePVj)+Pspv)</f>
        <v>5.6513219901673795E-3</v>
      </c>
      <c r="M24" s="836"/>
      <c r="N24" s="836"/>
      <c r="O24" s="48">
        <f>IF(t&lt;Tnet,'2022'!Resal+('2022'!Salim-'2022'!Resal)*(1-EXP(('2022'!Tnet-t)/('2022'!Tau_j))),Resal+(Salim-Resal)*(1-EXP((Tnet-t)/(Tau_j))))*Salcycl</f>
        <v>2.519304876477696E-2</v>
      </c>
      <c r="P24" s="165">
        <f>(INDEX(Models!$BJ24:$BT24,,T24)*(1-R24)+INDEX(Models!$BJ24:$BT24,,T24+1)*R24-ERP_i)*Q24*Ramure*Pc/MaxiM</f>
        <v>2.7257657423443945E-3</v>
      </c>
      <c r="Q24" s="301">
        <f t="shared" si="4"/>
        <v>0.5</v>
      </c>
      <c r="R24" s="173">
        <f t="shared" si="5"/>
        <v>0.49412942423161382</v>
      </c>
      <c r="S24" s="802">
        <f t="shared" si="6"/>
        <v>0</v>
      </c>
      <c r="T24" s="172">
        <f t="shared" si="7"/>
        <v>6</v>
      </c>
      <c r="U24" s="247">
        <f t="shared" si="22"/>
        <v>0.49412942423161382</v>
      </c>
      <c r="V24" s="378">
        <f t="shared" si="8"/>
        <v>19.050661976795926</v>
      </c>
      <c r="W24" s="397">
        <f t="shared" si="9"/>
        <v>1.9336454716895226</v>
      </c>
      <c r="X24" s="153">
        <f t="shared" si="10"/>
        <v>44936</v>
      </c>
      <c r="Y24" s="380">
        <f t="shared" si="11"/>
        <v>1.9336454716895226</v>
      </c>
      <c r="Z24" s="380">
        <f t="shared" si="12"/>
        <v>1.9446352315363582</v>
      </c>
      <c r="AA24" s="381">
        <f t="shared" si="13"/>
        <v>1.9948926595899021</v>
      </c>
      <c r="AB24" s="193">
        <f t="shared" si="14"/>
        <v>44936</v>
      </c>
      <c r="AC24" s="420">
        <f>IF(OR(t&lt;Tnet,NoTnet),'2022'!Resal_s+('2022'!Salim-'2022'!Resal_s)*(1-EXP(('2022'!Tnet_s-t)/'2022'!Tau_j)),Resal_s+(Salim-Resal_s)*(1-EXP((Tnet_s-t)/Tau_j)))*Salcycl</f>
        <v>2.519304876477696E-2</v>
      </c>
      <c r="AD24" s="227">
        <f>(INDEX(Models!$BJ24:$BT24,,AH24)*(1-AF24)+INDEX(Models!$BJ24:$BT24,,AH24+1)*AF24-ERP_i)*AE24*Ramure*Pc/MaxiM</f>
        <v>2.7257657423443945E-3</v>
      </c>
      <c r="AE24" s="301">
        <f t="shared" si="15"/>
        <v>0.5</v>
      </c>
      <c r="AF24" s="173">
        <f t="shared" si="16"/>
        <v>0.49412942423161382</v>
      </c>
      <c r="AG24" s="172">
        <f t="shared" si="17"/>
        <v>0</v>
      </c>
      <c r="AH24" s="172">
        <f t="shared" si="18"/>
        <v>6</v>
      </c>
      <c r="AI24" s="221">
        <f t="shared" si="23"/>
        <v>0.49412942423161382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21"/>
        <v>44937</v>
      </c>
      <c r="B25" s="406">
        <f>'2022'!Wh/'2022'!Env_an*'2023'!Env_an</f>
        <v>19.403707205117193</v>
      </c>
      <c r="C25" s="385"/>
      <c r="D25" s="388">
        <f t="shared" si="0"/>
        <v>19.514254162882928</v>
      </c>
      <c r="E25" s="380">
        <f t="shared" si="1"/>
        <v>20.01959780767632</v>
      </c>
      <c r="F25" s="380">
        <f t="shared" si="2"/>
        <v>20.074424837955934</v>
      </c>
      <c r="G25" s="110">
        <f t="shared" si="24"/>
        <v>1.0071655941106645</v>
      </c>
      <c r="H25" s="409" t="b">
        <f>Wh_hp&gt;='2022'!Maxi_hp</f>
        <v>1</v>
      </c>
      <c r="I25" s="385">
        <f>IF(H25,Wh_hp,'2022'!Maxi_hp)</f>
        <v>20.074424837955934</v>
      </c>
      <c r="J25" s="85">
        <f>IF(H25,An,'2022'!An_max)</f>
        <v>2023</v>
      </c>
      <c r="K25" s="193">
        <f t="shared" si="3"/>
        <v>44937</v>
      </c>
      <c r="L25" s="143">
        <f>IF(t&lt;Tvie,1-EXP((T0-t)*PertePVj)+'2022'!Pspv,1-EXP((T0-t)*PertePVj)+Pspv)</f>
        <v>5.6649337885533724E-3</v>
      </c>
      <c r="M25" s="836"/>
      <c r="N25" s="836"/>
      <c r="O25" s="48">
        <f>IF(t&lt;Tnet,'2022'!Resal+('2022'!Salim-'2022'!Resal)*(1-EXP(('2022'!Tnet-t)/('2022'!Tau_j))),Resal+(Salim-Resal)*(1-EXP((Tnet-t)/(Tau_j))))*Salcycl</f>
        <v>2.5242447408190306E-2</v>
      </c>
      <c r="P25" s="165">
        <f>(INDEX(Models!$BJ25:$BT25,,T25)*(1-R25)+INDEX(Models!$BJ25:$BT25,,T25+1)*R25-ERP_i)*Q25*Ramure*Pc/MaxiM</f>
        <v>2.7311881023834262E-3</v>
      </c>
      <c r="Q25" s="301">
        <f t="shared" si="4"/>
        <v>0.5</v>
      </c>
      <c r="R25" s="173">
        <f t="shared" si="5"/>
        <v>0.4941716596889798</v>
      </c>
      <c r="S25" s="802">
        <f t="shared" si="6"/>
        <v>0</v>
      </c>
      <c r="T25" s="172">
        <f t="shared" si="7"/>
        <v>6</v>
      </c>
      <c r="U25" s="247">
        <f t="shared" si="22"/>
        <v>0.4941716596889798</v>
      </c>
      <c r="V25" s="378">
        <f t="shared" si="8"/>
        <v>19.265657324455002</v>
      </c>
      <c r="W25" s="397">
        <f t="shared" si="9"/>
        <v>19.403707205117193</v>
      </c>
      <c r="X25" s="153">
        <f t="shared" si="10"/>
        <v>44937</v>
      </c>
      <c r="Y25" s="380">
        <f t="shared" si="11"/>
        <v>19.403707205117193</v>
      </c>
      <c r="Z25" s="380">
        <f t="shared" si="12"/>
        <v>19.514254162882928</v>
      </c>
      <c r="AA25" s="381">
        <f t="shared" si="13"/>
        <v>20.01959780767632</v>
      </c>
      <c r="AB25" s="193">
        <f t="shared" si="14"/>
        <v>44937</v>
      </c>
      <c r="AC25" s="420">
        <f>IF(OR(t&lt;Tnet,NoTnet),'2022'!Resal_s+('2022'!Salim-'2022'!Resal_s)*(1-EXP(('2022'!Tnet_s-t)/'2022'!Tau_j)),Resal_s+(Salim-Resal_s)*(1-EXP((Tnet_s-t)/Tau_j)))*Salcycl</f>
        <v>2.5242447408190306E-2</v>
      </c>
      <c r="AD25" s="227">
        <f>(INDEX(Models!$BJ25:$BT25,,AH25)*(1-AF25)+INDEX(Models!$BJ25:$BT25,,AH25+1)*AF25-ERP_i)*AE25*Ramure*Pc/MaxiM</f>
        <v>2.7311881023834262E-3</v>
      </c>
      <c r="AE25" s="301">
        <f t="shared" si="15"/>
        <v>0.5</v>
      </c>
      <c r="AF25" s="173">
        <f t="shared" si="16"/>
        <v>0.4941716596889798</v>
      </c>
      <c r="AG25" s="172">
        <f t="shared" si="17"/>
        <v>0</v>
      </c>
      <c r="AH25" s="172">
        <f t="shared" si="18"/>
        <v>6</v>
      </c>
      <c r="AI25" s="221">
        <f t="shared" si="23"/>
        <v>0.4941716596889798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21"/>
        <v>44938</v>
      </c>
      <c r="B26" s="406">
        <f>'2022'!Wh/'2022'!Env_an*'2023'!Env_an</f>
        <v>17.417817554885204</v>
      </c>
      <c r="C26" s="385"/>
      <c r="D26" s="388">
        <f t="shared" si="0"/>
        <v>17.5172902830531</v>
      </c>
      <c r="E26" s="380">
        <f t="shared" si="1"/>
        <v>17.971830701701467</v>
      </c>
      <c r="F26" s="380">
        <f t="shared" si="2"/>
        <v>18.013686227163575</v>
      </c>
      <c r="G26" s="110">
        <f t="shared" si="24"/>
        <v>0.89343047370013662</v>
      </c>
      <c r="H26" s="409" t="b">
        <f>Wh_hp&gt;='2022'!Maxi_hp</f>
        <v>0</v>
      </c>
      <c r="I26" s="385">
        <f>IF(H26,Wh_hp,'2022'!Maxi_hp)</f>
        <v>18.021186492350228</v>
      </c>
      <c r="J26" s="85">
        <f>IF(H26,An,'2022'!An_max)</f>
        <v>2022</v>
      </c>
      <c r="K26" s="193">
        <f t="shared" si="3"/>
        <v>44938</v>
      </c>
      <c r="L26" s="143">
        <f>IF(t&lt;Tvie,1-EXP((T0-t)*PertePVj)+'2022'!Pspv,1-EXP((T0-t)*PertePVj)+Pspv)</f>
        <v>5.678545400605195E-3</v>
      </c>
      <c r="M26" s="836"/>
      <c r="N26" s="836"/>
      <c r="O26" s="48">
        <f>IF(t&lt;Tnet,'2022'!Resal+('2022'!Salim-'2022'!Resal)*(1-EXP(('2022'!Tnet-t)/('2022'!Tau_j))),Resal+(Salim-Resal)*(1-EXP((Tnet-t)/(Tau_j))))*Salcycl</f>
        <v>2.5291826202510019E-2</v>
      </c>
      <c r="P26" s="165">
        <f>(INDEX(Models!$BJ26:$BT26,,T26)*(1-R26)+INDEX(Models!$BJ26:$BT26,,T26+1)*R26-ERP_i)*Q26*Ramure*Pc/MaxiM</f>
        <v>2.7390883161468277E-3</v>
      </c>
      <c r="Q26" s="301">
        <f t="shared" si="4"/>
        <v>0.5</v>
      </c>
      <c r="R26" s="173">
        <f t="shared" si="5"/>
        <v>0.49421565941665091</v>
      </c>
      <c r="S26" s="802">
        <f t="shared" si="6"/>
        <v>0</v>
      </c>
      <c r="T26" s="172">
        <f t="shared" si="7"/>
        <v>6</v>
      </c>
      <c r="U26" s="247">
        <f t="shared" si="22"/>
        <v>0.49421565941665091</v>
      </c>
      <c r="V26" s="378">
        <f t="shared" si="8"/>
        <v>19.487316887695453</v>
      </c>
      <c r="W26" s="397">
        <f t="shared" si="9"/>
        <v>17.417817554885204</v>
      </c>
      <c r="X26" s="153">
        <f t="shared" si="10"/>
        <v>44938</v>
      </c>
      <c r="Y26" s="380">
        <f t="shared" si="11"/>
        <v>17.417817554885204</v>
      </c>
      <c r="Z26" s="380">
        <f t="shared" si="12"/>
        <v>17.5172902830531</v>
      </c>
      <c r="AA26" s="381">
        <f t="shared" si="13"/>
        <v>17.971830701701467</v>
      </c>
      <c r="AB26" s="193">
        <f t="shared" si="14"/>
        <v>44938</v>
      </c>
      <c r="AC26" s="420">
        <f>IF(OR(t&lt;Tnet,NoTnet),'2022'!Resal_s+('2022'!Salim-'2022'!Resal_s)*(1-EXP(('2022'!Tnet_s-t)/'2022'!Tau_j)),Resal_s+(Salim-Resal_s)*(1-EXP((Tnet_s-t)/Tau_j)))*Salcycl</f>
        <v>2.5291826202510019E-2</v>
      </c>
      <c r="AD26" s="227">
        <f>(INDEX(Models!$BJ26:$BT26,,AH26)*(1-AF26)+INDEX(Models!$BJ26:$BT26,,AH26+1)*AF26-ERP_i)*AE26*Ramure*Pc/MaxiM</f>
        <v>2.7390883161468277E-3</v>
      </c>
      <c r="AE26" s="301">
        <f t="shared" si="15"/>
        <v>0.5</v>
      </c>
      <c r="AF26" s="173">
        <f t="shared" si="16"/>
        <v>0.49421565941665091</v>
      </c>
      <c r="AG26" s="172">
        <f t="shared" si="17"/>
        <v>0</v>
      </c>
      <c r="AH26" s="172">
        <f t="shared" si="18"/>
        <v>6</v>
      </c>
      <c r="AI26" s="221">
        <f t="shared" si="23"/>
        <v>0.49421565941665091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21"/>
        <v>44939</v>
      </c>
      <c r="B27" s="406">
        <f>'2022'!Wh/'2022'!Env_an*'2023'!Env_an</f>
        <v>5.9176275745056959</v>
      </c>
      <c r="C27" s="385"/>
      <c r="D27" s="388">
        <f t="shared" si="0"/>
        <v>5.9515044713089651</v>
      </c>
      <c r="E27" s="380">
        <f t="shared" si="1"/>
        <v>6.1062439284783245</v>
      </c>
      <c r="F27" s="380">
        <f t="shared" si="2"/>
        <v>6.1062474622644718</v>
      </c>
      <c r="G27" s="110">
        <f t="shared" si="24"/>
        <v>0.29932230559537371</v>
      </c>
      <c r="H27" s="409" t="b">
        <f>Wh_hp&gt;='2022'!Maxi_hp</f>
        <v>0</v>
      </c>
      <c r="I27" s="385">
        <f>IF(H27,Wh_hp,'2022'!Maxi_hp)</f>
        <v>6.1230639003066996</v>
      </c>
      <c r="J27" s="85">
        <f>IF(H27,An,'2022'!An_max)</f>
        <v>2022</v>
      </c>
      <c r="K27" s="193">
        <f t="shared" si="3"/>
        <v>44939</v>
      </c>
      <c r="L27" s="143">
        <f>IF(t&lt;Tvie,1-EXP((T0-t)*PertePVj)+'2022'!Pspv,1-EXP((T0-t)*PertePVj)+Pspv)</f>
        <v>5.6921568263256228E-3</v>
      </c>
      <c r="M27" s="836"/>
      <c r="N27" s="836"/>
      <c r="O27" s="48">
        <f>IF(t&lt;Tnet,'2022'!Resal+('2022'!Salim-'2022'!Resal)*(1-EXP(('2022'!Tnet-t)/('2022'!Tau_j))),Resal+(Salim-Resal)*(1-EXP((Tnet-t)/(Tau_j))))*Salcycl</f>
        <v>2.5341185020088142E-2</v>
      </c>
      <c r="P27" s="165">
        <f>(INDEX(Models!$BJ27:$BT27,,T27)*(1-R27)+INDEX(Models!$BJ27:$BT27,,T27+1)*R27-ERP_i)*Q27*Ramure*Pc/MaxiM</f>
        <v>2.7493556752855607E-3</v>
      </c>
      <c r="Q27" s="301">
        <f t="shared" si="4"/>
        <v>0.5</v>
      </c>
      <c r="R27" s="173">
        <f t="shared" si="5"/>
        <v>0.49426149678112002</v>
      </c>
      <c r="S27" s="802">
        <f t="shared" si="6"/>
        <v>0</v>
      </c>
      <c r="T27" s="172">
        <f t="shared" si="7"/>
        <v>6</v>
      </c>
      <c r="U27" s="247">
        <f t="shared" si="22"/>
        <v>0.49426149678112002</v>
      </c>
      <c r="V27" s="378">
        <f t="shared" si="8"/>
        <v>19.715741915813556</v>
      </c>
      <c r="W27" s="397">
        <f t="shared" si="9"/>
        <v>5.9176275745056959</v>
      </c>
      <c r="X27" s="153">
        <f t="shared" si="10"/>
        <v>44939</v>
      </c>
      <c r="Y27" s="380">
        <f t="shared" si="11"/>
        <v>5.9176275745056959</v>
      </c>
      <c r="Z27" s="380">
        <f t="shared" si="12"/>
        <v>5.9515044713089651</v>
      </c>
      <c r="AA27" s="381">
        <f t="shared" si="13"/>
        <v>6.1062439284783245</v>
      </c>
      <c r="AB27" s="193">
        <f t="shared" si="14"/>
        <v>44939</v>
      </c>
      <c r="AC27" s="420">
        <f>IF(OR(t&lt;Tnet,NoTnet),'2022'!Resal_s+('2022'!Salim-'2022'!Resal_s)*(1-EXP(('2022'!Tnet_s-t)/'2022'!Tau_j)),Resal_s+(Salim-Resal_s)*(1-EXP((Tnet_s-t)/Tau_j)))*Salcycl</f>
        <v>2.5341185020088142E-2</v>
      </c>
      <c r="AD27" s="227">
        <f>(INDEX(Models!$BJ27:$BT27,,AH27)*(1-AF27)+INDEX(Models!$BJ27:$BT27,,AH27+1)*AF27-ERP_i)*AE27*Ramure*Pc/MaxiM</f>
        <v>2.7493556752855607E-3</v>
      </c>
      <c r="AE27" s="301">
        <f t="shared" si="15"/>
        <v>0.5</v>
      </c>
      <c r="AF27" s="173">
        <f t="shared" si="16"/>
        <v>0.49426149678112002</v>
      </c>
      <c r="AG27" s="172">
        <f t="shared" si="17"/>
        <v>0</v>
      </c>
      <c r="AH27" s="296">
        <f t="shared" si="18"/>
        <v>6</v>
      </c>
      <c r="AI27" s="221">
        <f t="shared" si="23"/>
        <v>0.49426149678112002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21"/>
        <v>44940</v>
      </c>
      <c r="B28" s="406">
        <f>'2022'!Wh/'2022'!Env_an*'2023'!Env_an</f>
        <v>20.019697359760375</v>
      </c>
      <c r="C28" s="385"/>
      <c r="D28" s="388">
        <f t="shared" si="0"/>
        <v>20.134580606803279</v>
      </c>
      <c r="E28" s="380">
        <f t="shared" si="1"/>
        <v>20.659126660508147</v>
      </c>
      <c r="F28" s="380">
        <f t="shared" si="2"/>
        <v>20.716342707250174</v>
      </c>
      <c r="G28" s="110">
        <f t="shared" si="24"/>
        <v>1.0034416130426371</v>
      </c>
      <c r="H28" s="409" t="b">
        <f>Wh_hp&gt;='2022'!Maxi_hp</f>
        <v>1</v>
      </c>
      <c r="I28" s="385">
        <f>IF(H28,Wh_hp,'2022'!Maxi_hp)</f>
        <v>20.716342707250174</v>
      </c>
      <c r="J28" s="85">
        <f>IF(H28,An,'2022'!An_max)</f>
        <v>2023</v>
      </c>
      <c r="K28" s="193">
        <f t="shared" si="3"/>
        <v>44940</v>
      </c>
      <c r="L28" s="143">
        <f>IF(t&lt;Tvie,1-EXP((T0-t)*PertePVj)+'2022'!Pspv,1-EXP((T0-t)*PertePVj)+Pspv)</f>
        <v>5.7057680657169874E-3</v>
      </c>
      <c r="M28" s="836"/>
      <c r="N28" s="836"/>
      <c r="O28" s="48">
        <f>IF(t&lt;Tnet,'2022'!Resal+('2022'!Salim-'2022'!Resal)*(1-EXP(('2022'!Tnet-t)/('2022'!Tau_j))),Resal+(Salim-Resal)*(1-EXP((Tnet-t)/(Tau_j))))*Salcycl</f>
        <v>2.5390524116761633E-2</v>
      </c>
      <c r="P28" s="165">
        <f>(INDEX(Models!$BJ28:$BT28,,T28)*(1-R28)+INDEX(Models!$BJ28:$BT28,,T28+1)*R28-ERP_i)*Q28*Ramure*Pc/MaxiM</f>
        <v>2.7618797174080506E-3</v>
      </c>
      <c r="Q28" s="301">
        <f t="shared" si="4"/>
        <v>0.5</v>
      </c>
      <c r="R28" s="173">
        <f t="shared" si="5"/>
        <v>0.49430924817150951</v>
      </c>
      <c r="S28" s="802">
        <f t="shared" si="6"/>
        <v>0</v>
      </c>
      <c r="T28" s="172">
        <f t="shared" si="7"/>
        <v>6</v>
      </c>
      <c r="U28" s="247">
        <f t="shared" si="22"/>
        <v>0.49430924817150951</v>
      </c>
      <c r="V28" s="378">
        <f t="shared" si="8"/>
        <v>19.951033622232014</v>
      </c>
      <c r="W28" s="397">
        <f t="shared" si="9"/>
        <v>20.019697359760375</v>
      </c>
      <c r="X28" s="153">
        <f t="shared" si="10"/>
        <v>44940</v>
      </c>
      <c r="Y28" s="380">
        <f t="shared" si="11"/>
        <v>20.019697359760375</v>
      </c>
      <c r="Z28" s="380">
        <f t="shared" si="12"/>
        <v>20.134580606803279</v>
      </c>
      <c r="AA28" s="381">
        <f t="shared" si="13"/>
        <v>20.659126660508147</v>
      </c>
      <c r="AB28" s="193">
        <f t="shared" si="14"/>
        <v>44940</v>
      </c>
      <c r="AC28" s="420">
        <f>IF(OR(t&lt;Tnet,NoTnet),'2022'!Resal_s+('2022'!Salim-'2022'!Resal_s)*(1-EXP(('2022'!Tnet_s-t)/'2022'!Tau_j)),Resal_s+(Salim-Resal_s)*(1-EXP((Tnet_s-t)/Tau_j)))*Salcycl</f>
        <v>2.5390524116761633E-2</v>
      </c>
      <c r="AD28" s="227">
        <f>(INDEX(Models!$BJ28:$BT28,,AH28)*(1-AF28)+INDEX(Models!$BJ28:$BT28,,AH28+1)*AF28-ERP_i)*AE28*Ramure*Pc/MaxiM</f>
        <v>2.7618797174080506E-3</v>
      </c>
      <c r="AE28" s="301">
        <f t="shared" si="15"/>
        <v>0.5</v>
      </c>
      <c r="AF28" s="173">
        <f t="shared" si="16"/>
        <v>0.49430924817150951</v>
      </c>
      <c r="AG28" s="172">
        <f t="shared" si="17"/>
        <v>0</v>
      </c>
      <c r="AH28" s="172">
        <f t="shared" si="18"/>
        <v>6</v>
      </c>
      <c r="AI28" s="221">
        <f t="shared" si="23"/>
        <v>0.49430924817150951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21"/>
        <v>44941</v>
      </c>
      <c r="B29" s="406">
        <f>'2022'!Wh/'2022'!Env_an*'2023'!Env_an</f>
        <v>20.59835914969651</v>
      </c>
      <c r="C29" s="385"/>
      <c r="D29" s="388">
        <f t="shared" si="0"/>
        <v>20.716846649832569</v>
      </c>
      <c r="E29" s="380">
        <f t="shared" si="1"/>
        <v>21.257637636826537</v>
      </c>
      <c r="F29" s="380">
        <f t="shared" si="2"/>
        <v>21.31682487483608</v>
      </c>
      <c r="G29" s="110">
        <f t="shared" si="24"/>
        <v>1.0200594310119342</v>
      </c>
      <c r="H29" s="409" t="b">
        <f>Wh_hp&gt;='2022'!Maxi_hp</f>
        <v>1</v>
      </c>
      <c r="I29" s="385">
        <f>IF(H29,Wh_hp,'2022'!Maxi_hp)</f>
        <v>21.31682487483608</v>
      </c>
      <c r="J29" s="85">
        <f>IF(H29,An,'2022'!An_max)</f>
        <v>2023</v>
      </c>
      <c r="K29" s="193">
        <f t="shared" si="3"/>
        <v>44941</v>
      </c>
      <c r="L29" s="143">
        <f>IF(t&lt;Tvie,1-EXP((T0-t)*PertePVj)+'2022'!Pspv,1-EXP((T0-t)*PertePVj)+Pspv)</f>
        <v>5.7193791187818421E-3</v>
      </c>
      <c r="M29" s="836"/>
      <c r="N29" s="836"/>
      <c r="O29" s="48">
        <f>IF(t&lt;Tnet,'2022'!Resal+('2022'!Salim-'2022'!Resal)*(1-EXP(('2022'!Tnet-t)/('2022'!Tau_j))),Resal+(Salim-Resal)*(1-EXP((Tnet-t)/(Tau_j))))*Salcycl</f>
        <v>2.5439844080186402E-2</v>
      </c>
      <c r="P29" s="165">
        <f>(INDEX(Models!$BJ29:$BT29,,T29)*(1-R29)+INDEX(Models!$BJ29:$BT29,,T29+1)*R29-ERP_i)*Q29*Ramure*Pc/MaxiM</f>
        <v>2.7765503707548444E-3</v>
      </c>
      <c r="Q29" s="301">
        <f t="shared" si="4"/>
        <v>0.5</v>
      </c>
      <c r="R29" s="173">
        <f t="shared" si="5"/>
        <v>0.49435899312168186</v>
      </c>
      <c r="S29" s="802">
        <f t="shared" si="6"/>
        <v>0</v>
      </c>
      <c r="T29" s="172">
        <f t="shared" si="7"/>
        <v>6</v>
      </c>
      <c r="U29" s="247">
        <f t="shared" si="22"/>
        <v>0.49435899312168186</v>
      </c>
      <c r="V29" s="378">
        <f t="shared" si="8"/>
        <v>20.193293178282982</v>
      </c>
      <c r="W29" s="397">
        <f t="shared" si="9"/>
        <v>20.59835914969651</v>
      </c>
      <c r="X29" s="153">
        <f t="shared" si="10"/>
        <v>44941</v>
      </c>
      <c r="Y29" s="380">
        <f t="shared" si="11"/>
        <v>20.59835914969651</v>
      </c>
      <c r="Z29" s="380">
        <f t="shared" si="12"/>
        <v>20.716846649832569</v>
      </c>
      <c r="AA29" s="381">
        <f t="shared" si="13"/>
        <v>21.257637636826537</v>
      </c>
      <c r="AB29" s="193">
        <f t="shared" si="14"/>
        <v>44941</v>
      </c>
      <c r="AC29" s="420">
        <f>IF(OR(t&lt;Tnet,NoTnet),'2022'!Resal_s+('2022'!Salim-'2022'!Resal_s)*(1-EXP(('2022'!Tnet_s-t)/'2022'!Tau_j)),Resal_s+(Salim-Resal_s)*(1-EXP((Tnet_s-t)/Tau_j)))*Salcycl</f>
        <v>2.5439844080186402E-2</v>
      </c>
      <c r="AD29" s="227">
        <f>(INDEX(Models!$BJ29:$BT29,,AH29)*(1-AF29)+INDEX(Models!$BJ29:$BT29,,AH29+1)*AF29-ERP_i)*AE29*Ramure*Pc/MaxiM</f>
        <v>2.7765503707548444E-3</v>
      </c>
      <c r="AE29" s="301">
        <f t="shared" si="15"/>
        <v>0.5</v>
      </c>
      <c r="AF29" s="173">
        <f t="shared" si="16"/>
        <v>0.49435899312168186</v>
      </c>
      <c r="AG29" s="172">
        <f t="shared" si="17"/>
        <v>0</v>
      </c>
      <c r="AH29" s="172">
        <f t="shared" si="18"/>
        <v>6</v>
      </c>
      <c r="AI29" s="221">
        <f t="shared" si="23"/>
        <v>0.49435899312168186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21"/>
        <v>44942</v>
      </c>
      <c r="B30" s="406">
        <f>'2022'!Wh/'2022'!Env_an*'2023'!Env_an</f>
        <v>20.316007642744559</v>
      </c>
      <c r="C30" s="385"/>
      <c r="D30" s="388">
        <f t="shared" si="0"/>
        <v>20.433150691028906</v>
      </c>
      <c r="E30" s="380">
        <f t="shared" si="1"/>
        <v>20.967596823046925</v>
      </c>
      <c r="F30" s="380">
        <f t="shared" si="2"/>
        <v>21.025721709904904</v>
      </c>
      <c r="G30" s="110">
        <f t="shared" si="24"/>
        <v>0.99377767419271157</v>
      </c>
      <c r="H30" s="409" t="b">
        <f>Wh_hp&gt;='2022'!Maxi_hp</f>
        <v>0</v>
      </c>
      <c r="I30" s="385">
        <f>IF(H30,Wh_hp,'2022'!Maxi_hp)</f>
        <v>21.026241804609086</v>
      </c>
      <c r="J30" s="85">
        <f>IF(H30,An,'2022'!An_max)</f>
        <v>2022</v>
      </c>
      <c r="K30" s="193">
        <f t="shared" si="3"/>
        <v>44942</v>
      </c>
      <c r="L30" s="143">
        <f>IF(t&lt;Tvie,1-EXP((T0-t)*PertePVj)+'2022'!Pspv,1-EXP((T0-t)*PertePVj)+Pspv)</f>
        <v>5.7329899855228517E-3</v>
      </c>
      <c r="M30" s="836"/>
      <c r="N30" s="836"/>
      <c r="O30" s="48">
        <f>IF(t&lt;Tnet,'2022'!Resal+('2022'!Salim-'2022'!Resal)*(1-EXP(('2022'!Tnet-t)/('2022'!Tau_j))),Resal+(Salim-Resal)*(1-EXP((Tnet-t)/(Tau_j))))*Salcycl</f>
        <v>2.5489145777096007E-2</v>
      </c>
      <c r="P30" s="165">
        <f>(INDEX(Models!$BJ30:$BT30,,T30)*(1-R30)+INDEX(Models!$BJ30:$BT30,,T30+1)*R30-ERP_i)*Q30*Ramure*Pc/MaxiM</f>
        <v>2.7891606108316654E-3</v>
      </c>
      <c r="Q30" s="301">
        <f t="shared" si="4"/>
        <v>0.5</v>
      </c>
      <c r="R30" s="173">
        <f t="shared" si="5"/>
        <v>0.49441081443707513</v>
      </c>
      <c r="S30" s="802">
        <f t="shared" si="6"/>
        <v>0</v>
      </c>
      <c r="T30" s="172">
        <f t="shared" si="7"/>
        <v>6</v>
      </c>
      <c r="U30" s="247">
        <f t="shared" si="22"/>
        <v>0.49441081443707513</v>
      </c>
      <c r="V30" s="378">
        <f t="shared" si="8"/>
        <v>20.442705725734267</v>
      </c>
      <c r="W30" s="397">
        <f t="shared" si="9"/>
        <v>20.316007642744559</v>
      </c>
      <c r="X30" s="153">
        <f t="shared" si="10"/>
        <v>44942</v>
      </c>
      <c r="Y30" s="380">
        <f t="shared" si="11"/>
        <v>20.316007642744559</v>
      </c>
      <c r="Z30" s="380">
        <f t="shared" si="12"/>
        <v>20.433150691028906</v>
      </c>
      <c r="AA30" s="381">
        <f t="shared" si="13"/>
        <v>20.967596823046925</v>
      </c>
      <c r="AB30" s="193">
        <f t="shared" si="14"/>
        <v>44942</v>
      </c>
      <c r="AC30" s="420">
        <f>IF(OR(t&lt;Tnet,NoTnet),'2022'!Resal_s+('2022'!Salim-'2022'!Resal_s)*(1-EXP(('2022'!Tnet_s-t)/'2022'!Tau_j)),Resal_s+(Salim-Resal_s)*(1-EXP((Tnet_s-t)/Tau_j)))*Salcycl</f>
        <v>2.5489145777096007E-2</v>
      </c>
      <c r="AD30" s="227">
        <f>(INDEX(Models!$BJ30:$BT30,,AH30)*(1-AF30)+INDEX(Models!$BJ30:$BT30,,AH30+1)*AF30-ERP_i)*AE30*Ramure*Pc/MaxiM</f>
        <v>2.7891606108316654E-3</v>
      </c>
      <c r="AE30" s="301">
        <f t="shared" si="15"/>
        <v>0.5</v>
      </c>
      <c r="AF30" s="173">
        <f t="shared" si="16"/>
        <v>0.49441081443707513</v>
      </c>
      <c r="AG30" s="172">
        <f t="shared" si="17"/>
        <v>0</v>
      </c>
      <c r="AH30" s="172">
        <f t="shared" si="18"/>
        <v>6</v>
      </c>
      <c r="AI30" s="221">
        <f t="shared" si="23"/>
        <v>0.49441081443707513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44943</v>
      </c>
      <c r="B31" s="406">
        <f>'2022'!Wh/'2022'!Env_an*'2023'!Env_an</f>
        <v>13.632477233939358</v>
      </c>
      <c r="C31" s="385"/>
      <c r="D31" s="388">
        <f t="shared" si="0"/>
        <v>13.711270429721715</v>
      </c>
      <c r="E31" s="380">
        <f t="shared" si="1"/>
        <v>14.070611767628824</v>
      </c>
      <c r="F31" s="380">
        <f t="shared" si="2"/>
        <v>14.090813889097594</v>
      </c>
      <c r="G31" s="110">
        <f t="shared" si="24"/>
        <v>0.65769278728312652</v>
      </c>
      <c r="H31" s="409" t="b">
        <f>Wh_hp&gt;='2022'!Maxi_hp</f>
        <v>0</v>
      </c>
      <c r="I31" s="385">
        <f>IF(H31,Wh_hp,'2022'!Maxi_hp)</f>
        <v>14.110078337543527</v>
      </c>
      <c r="J31" s="85">
        <f>IF(H31,An,'2022'!An_max)</f>
        <v>2022</v>
      </c>
      <c r="K31" s="193">
        <f t="shared" si="3"/>
        <v>44943</v>
      </c>
      <c r="L31" s="143">
        <f>IF(t&lt;Tvie,1-EXP((T0-t)*PertePVj)+'2022'!Pspv,1-EXP((T0-t)*PertePVj)+Pspv)</f>
        <v>5.7466006659425695E-3</v>
      </c>
      <c r="M31" s="836"/>
      <c r="N31" s="836"/>
      <c r="O31" s="48">
        <f>IF(t&lt;Tnet,'2022'!Resal+('2022'!Salim-'2022'!Resal)*(1-EXP(('2022'!Tnet-t)/('2022'!Tau_j))),Resal+(Salim-Resal)*(1-EXP((Tnet-t)/(Tau_j))))*Salcycl</f>
        <v>2.5538430300082546E-2</v>
      </c>
      <c r="P31" s="165">
        <f>(INDEX(Models!$BJ31:$BT31,,T31)*(1-R31)+INDEX(Models!$BJ31:$BT31,,T31+1)*R31-ERP_i)*Q31*Ramure*Pc/MaxiM</f>
        <v>2.798704623360967E-3</v>
      </c>
      <c r="Q31" s="301">
        <f t="shared" si="4"/>
        <v>0.5</v>
      </c>
      <c r="R31" s="173">
        <f t="shared" si="5"/>
        <v>0.49446479832642926</v>
      </c>
      <c r="S31" s="802">
        <f t="shared" si="6"/>
        <v>0</v>
      </c>
      <c r="T31" s="172">
        <f t="shared" si="7"/>
        <v>6</v>
      </c>
      <c r="U31" s="247">
        <f t="shared" si="22"/>
        <v>0.49446479832642926</v>
      </c>
      <c r="V31" s="378">
        <f t="shared" si="8"/>
        <v>20.69939415971692</v>
      </c>
      <c r="W31" s="397">
        <f t="shared" si="9"/>
        <v>13.632477233939358</v>
      </c>
      <c r="X31" s="153">
        <f t="shared" si="10"/>
        <v>44943</v>
      </c>
      <c r="Y31" s="380">
        <f t="shared" si="11"/>
        <v>13.632477233939358</v>
      </c>
      <c r="Z31" s="380">
        <f t="shared" si="12"/>
        <v>13.711270429721715</v>
      </c>
      <c r="AA31" s="381">
        <f t="shared" si="13"/>
        <v>14.070611767628824</v>
      </c>
      <c r="AB31" s="193">
        <f t="shared" si="14"/>
        <v>44943</v>
      </c>
      <c r="AC31" s="420">
        <f>IF(OR(t&lt;Tnet,NoTnet),'2022'!Resal_s+('2022'!Salim-'2022'!Resal_s)*(1-EXP(('2022'!Tnet_s-t)/'2022'!Tau_j)),Resal_s+(Salim-Resal_s)*(1-EXP((Tnet_s-t)/Tau_j)))*Salcycl</f>
        <v>2.5538430300082546E-2</v>
      </c>
      <c r="AD31" s="227">
        <f>(INDEX(Models!$BJ31:$BT31,,AH31)*(1-AF31)+INDEX(Models!$BJ31:$BT31,,AH31+1)*AF31-ERP_i)*AE31*Ramure*Pc/MaxiM</f>
        <v>2.798704623360967E-3</v>
      </c>
      <c r="AE31" s="301">
        <f t="shared" si="15"/>
        <v>0.5</v>
      </c>
      <c r="AF31" s="173">
        <f t="shared" si="16"/>
        <v>0.49446479832642926</v>
      </c>
      <c r="AG31" s="172">
        <f t="shared" si="17"/>
        <v>0</v>
      </c>
      <c r="AH31" s="172">
        <f t="shared" si="18"/>
        <v>6</v>
      </c>
      <c r="AI31" s="221">
        <f t="shared" si="23"/>
        <v>0.49446479832642926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21"/>
        <v>44944</v>
      </c>
      <c r="B32" s="406">
        <f>'2022'!Wh/'2022'!Env_an*'2023'!Env_an</f>
        <v>4.324820797290239</v>
      </c>
      <c r="C32" s="385"/>
      <c r="D32" s="388">
        <f t="shared" si="0"/>
        <v>4.3498770073729247</v>
      </c>
      <c r="E32" s="380">
        <f t="shared" si="1"/>
        <v>4.4641031342965363</v>
      </c>
      <c r="F32" s="380">
        <f t="shared" si="2"/>
        <v>4.4641031342965363</v>
      </c>
      <c r="G32" s="110">
        <f t="shared" si="24"/>
        <v>0.20572408408956347</v>
      </c>
      <c r="H32" s="409" t="b">
        <f>Wh_hp&gt;='2022'!Maxi_hp</f>
        <v>0</v>
      </c>
      <c r="I32" s="385">
        <f>IF(H32,Wh_hp,'2022'!Maxi_hp)</f>
        <v>4.4766449642017561</v>
      </c>
      <c r="J32" s="85">
        <f>IF(H32,An,'2022'!An_max)</f>
        <v>2022</v>
      </c>
      <c r="K32" s="193">
        <f t="shared" si="3"/>
        <v>44944</v>
      </c>
      <c r="L32" s="143">
        <f>IF(t&lt;Tvie,1-EXP((T0-t)*PertePVj)+'2022'!Pspv,1-EXP((T0-t)*PertePVj)+Pspv)</f>
        <v>5.760211160043438E-3</v>
      </c>
      <c r="M32" s="836"/>
      <c r="N32" s="836"/>
      <c r="O32" s="48">
        <f>IF(t&lt;Tnet,'2022'!Resal+('2022'!Salim-'2022'!Resal)*(1-EXP(('2022'!Tnet-t)/('2022'!Tau_j))),Resal+(Salim-Resal)*(1-EXP((Tnet-t)/(Tau_j))))*Salcycl</f>
        <v>2.5587698914490229E-2</v>
      </c>
      <c r="P32" s="165">
        <f>(INDEX(Models!$BJ32:$BT32,,T32)*(1-R32)+INDEX(Models!$BJ32:$BT32,,T32+1)*R32-ERP_i)*Q32*Ramure*Pc/MaxiM</f>
        <v>2.8052671176430127E-3</v>
      </c>
      <c r="Q32" s="301">
        <f t="shared" si="4"/>
        <v>0.5</v>
      </c>
      <c r="R32" s="173">
        <f t="shared" si="5"/>
        <v>0.49452103453857094</v>
      </c>
      <c r="S32" s="802">
        <f t="shared" si="6"/>
        <v>0</v>
      </c>
      <c r="T32" s="172">
        <f t="shared" si="7"/>
        <v>6</v>
      </c>
      <c r="U32" s="247">
        <f t="shared" si="22"/>
        <v>0.49452103453857094</v>
      </c>
      <c r="V32" s="378">
        <f t="shared" si="8"/>
        <v>20.963459571609231</v>
      </c>
      <c r="W32" s="397">
        <f t="shared" si="9"/>
        <v>4.324820797290239</v>
      </c>
      <c r="X32" s="153">
        <f t="shared" si="10"/>
        <v>44944</v>
      </c>
      <c r="Y32" s="380">
        <f t="shared" si="11"/>
        <v>4.324820797290239</v>
      </c>
      <c r="Z32" s="380">
        <f t="shared" si="12"/>
        <v>4.3498770073729247</v>
      </c>
      <c r="AA32" s="381">
        <f t="shared" si="13"/>
        <v>4.4641031342965363</v>
      </c>
      <c r="AB32" s="193">
        <f t="shared" si="14"/>
        <v>44944</v>
      </c>
      <c r="AC32" s="420">
        <f>IF(OR(t&lt;Tnet,NoTnet),'2022'!Resal_s+('2022'!Salim-'2022'!Resal_s)*(1-EXP(('2022'!Tnet_s-t)/'2022'!Tau_j)),Resal_s+(Salim-Resal_s)*(1-EXP((Tnet_s-t)/Tau_j)))*Salcycl</f>
        <v>2.5587698914490229E-2</v>
      </c>
      <c r="AD32" s="227">
        <f>(INDEX(Models!$BJ32:$BT32,,AH32)*(1-AF32)+INDEX(Models!$BJ32:$BT32,,AH32+1)*AF32-ERP_i)*AE32*Ramure*Pc/MaxiM</f>
        <v>2.8052671176430127E-3</v>
      </c>
      <c r="AE32" s="301">
        <f t="shared" si="15"/>
        <v>0.5</v>
      </c>
      <c r="AF32" s="173">
        <f t="shared" si="16"/>
        <v>0.49452103453857094</v>
      </c>
      <c r="AG32" s="172">
        <f t="shared" si="17"/>
        <v>0</v>
      </c>
      <c r="AH32" s="172">
        <f t="shared" si="18"/>
        <v>6</v>
      </c>
      <c r="AI32" s="221">
        <f t="shared" si="23"/>
        <v>0.49452103453857094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21"/>
        <v>44945</v>
      </c>
      <c r="B33" s="406">
        <f>'2022'!Wh/'2022'!Env_an*'2023'!Env_an</f>
        <v>10.935025832820561</v>
      </c>
      <c r="C33" s="385"/>
      <c r="D33" s="388">
        <f t="shared" si="0"/>
        <v>10.99852937785697</v>
      </c>
      <c r="E33" s="380">
        <f t="shared" si="1"/>
        <v>11.287917180139818</v>
      </c>
      <c r="F33" s="380">
        <f t="shared" si="2"/>
        <v>11.29766203633803</v>
      </c>
      <c r="G33" s="110">
        <f t="shared" si="24"/>
        <v>0.51394971486778152</v>
      </c>
      <c r="H33" s="409" t="b">
        <f>Wh_hp&gt;='2022'!Maxi_hp</f>
        <v>0</v>
      </c>
      <c r="I33" s="385">
        <f>IF(H33,Wh_hp,'2022'!Maxi_hp)</f>
        <v>11.319682789711347</v>
      </c>
      <c r="J33" s="85">
        <f>IF(H33,An,'2022'!An_max)</f>
        <v>2022</v>
      </c>
      <c r="K33" s="193">
        <f t="shared" si="3"/>
        <v>44945</v>
      </c>
      <c r="L33" s="143">
        <f>IF(t&lt;Tvie,1-EXP((T0-t)*PertePVj)+'2022'!Pspv,1-EXP((T0-t)*PertePVj)+Pspv)</f>
        <v>5.7738214678281219E-3</v>
      </c>
      <c r="M33" s="836"/>
      <c r="N33" s="836"/>
      <c r="O33" s="48">
        <f>IF(t&lt;Tnet,'2022'!Resal+('2022'!Salim-'2022'!Resal)*(1-EXP(('2022'!Tnet-t)/('2022'!Tau_j))),Resal+(Salim-Resal)*(1-EXP((Tnet-t)/(Tau_j))))*Salcycl</f>
        <v>2.5636953005998529E-2</v>
      </c>
      <c r="P33" s="165">
        <f>(INDEX(Models!$BJ33:$BT33,,T33)*(1-R33)+INDEX(Models!$BJ33:$BT33,,T33+1)*R33-ERP_i)*Q33*Ramure*Pc/MaxiM</f>
        <v>2.8089346788864309E-3</v>
      </c>
      <c r="Q33" s="301">
        <f t="shared" si="4"/>
        <v>0.5</v>
      </c>
      <c r="R33" s="173">
        <f t="shared" si="5"/>
        <v>0.49457961650443183</v>
      </c>
      <c r="S33" s="802">
        <f t="shared" si="6"/>
        <v>0</v>
      </c>
      <c r="T33" s="172">
        <f t="shared" si="7"/>
        <v>6</v>
      </c>
      <c r="U33" s="247">
        <f t="shared" si="22"/>
        <v>0.49457961650443183</v>
      </c>
      <c r="V33" s="378">
        <f t="shared" si="8"/>
        <v>21.235003020898194</v>
      </c>
      <c r="W33" s="397">
        <f t="shared" si="9"/>
        <v>10.935025832820561</v>
      </c>
      <c r="X33" s="153">
        <f t="shared" si="10"/>
        <v>44945</v>
      </c>
      <c r="Y33" s="380">
        <f t="shared" si="11"/>
        <v>10.935025832820561</v>
      </c>
      <c r="Z33" s="380">
        <f t="shared" si="12"/>
        <v>10.99852937785697</v>
      </c>
      <c r="AA33" s="381">
        <f t="shared" si="13"/>
        <v>11.287917180139818</v>
      </c>
      <c r="AB33" s="193">
        <f t="shared" si="14"/>
        <v>44945</v>
      </c>
      <c r="AC33" s="420">
        <f>IF(OR(t&lt;Tnet,NoTnet),'2022'!Resal_s+('2022'!Salim-'2022'!Resal_s)*(1-EXP(('2022'!Tnet_s-t)/'2022'!Tau_j)),Resal_s+(Salim-Resal_s)*(1-EXP((Tnet_s-t)/Tau_j)))*Salcycl</f>
        <v>2.5636953005998529E-2</v>
      </c>
      <c r="AD33" s="227">
        <f>(INDEX(Models!$BJ33:$BT33,,AH33)*(1-AF33)+INDEX(Models!$BJ33:$BT33,,AH33+1)*AF33-ERP_i)*AE33*Ramure*Pc/MaxiM</f>
        <v>2.8089346788864309E-3</v>
      </c>
      <c r="AE33" s="301">
        <f t="shared" si="15"/>
        <v>0.5</v>
      </c>
      <c r="AF33" s="173">
        <f t="shared" si="16"/>
        <v>0.49457961650443183</v>
      </c>
      <c r="AG33" s="172">
        <f t="shared" si="17"/>
        <v>0</v>
      </c>
      <c r="AH33" s="172">
        <f t="shared" si="18"/>
        <v>6</v>
      </c>
      <c r="AI33" s="221">
        <f t="shared" si="23"/>
        <v>0.49457961650443183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21"/>
        <v>44946</v>
      </c>
      <c r="B34" s="406">
        <f>'2022'!Wh/'2022'!Env_an*'2023'!Env_an</f>
        <v>6.3296941427044864</v>
      </c>
      <c r="C34" s="385"/>
      <c r="D34" s="388">
        <f t="shared" si="0"/>
        <v>6.3665400577492433</v>
      </c>
      <c r="E34" s="380">
        <f t="shared" si="1"/>
        <v>6.5343835001981905</v>
      </c>
      <c r="F34" s="380">
        <f t="shared" si="2"/>
        <v>6.5343835001981905</v>
      </c>
      <c r="G34" s="110">
        <f t="shared" si="24"/>
        <v>0.29338440849477093</v>
      </c>
      <c r="H34" s="409" t="b">
        <f>Wh_hp&gt;='2022'!Maxi_hp</f>
        <v>0</v>
      </c>
      <c r="I34" s="385">
        <f>IF(H34,Wh_hp,'2022'!Maxi_hp)</f>
        <v>6.552768311666</v>
      </c>
      <c r="J34" s="85">
        <f>IF(H34,An,'2022'!An_max)</f>
        <v>2022</v>
      </c>
      <c r="K34" s="193">
        <f t="shared" si="3"/>
        <v>44946</v>
      </c>
      <c r="L34" s="143">
        <f>IF(t&lt;Tvie,1-EXP((T0-t)*PertePVj)+'2022'!Pspv,1-EXP((T0-t)*PertePVj)+Pspv)</f>
        <v>5.7874315892991746E-3</v>
      </c>
      <c r="M34" s="836"/>
      <c r="N34" s="836"/>
      <c r="O34" s="48">
        <f>IF(t&lt;Tnet,'2022'!Resal+('2022'!Salim-'2022'!Resal)*(1-EXP(('2022'!Tnet-t)/('2022'!Tau_j))),Resal+(Salim-Resal)*(1-EXP((Tnet-t)/(Tau_j))))*Salcycl</f>
        <v>2.5686194029452995E-2</v>
      </c>
      <c r="P34" s="165">
        <f>(INDEX(Models!$BJ34:$BT34,,T34)*(1-R34)+INDEX(Models!$BJ34:$BT34,,T34+1)*R34-ERP_i)*Q34*Ramure*Pc/MaxiM</f>
        <v>2.8098086262353297E-3</v>
      </c>
      <c r="Q34" s="301">
        <f t="shared" si="4"/>
        <v>0.5</v>
      </c>
      <c r="R34" s="173">
        <f t="shared" si="5"/>
        <v>0.49464064148447445</v>
      </c>
      <c r="S34" s="802">
        <f t="shared" si="6"/>
        <v>0</v>
      </c>
      <c r="T34" s="172">
        <f t="shared" si="7"/>
        <v>6</v>
      </c>
      <c r="U34" s="247">
        <f t="shared" si="22"/>
        <v>0.49464064148447445</v>
      </c>
      <c r="V34" s="378">
        <f t="shared" si="8"/>
        <v>21.514125259363887</v>
      </c>
      <c r="W34" s="397">
        <f t="shared" si="9"/>
        <v>6.3296941427044864</v>
      </c>
      <c r="X34" s="153">
        <f t="shared" si="10"/>
        <v>44946</v>
      </c>
      <c r="Y34" s="380">
        <f t="shared" si="11"/>
        <v>6.3296941427044864</v>
      </c>
      <c r="Z34" s="380">
        <f t="shared" si="12"/>
        <v>6.3665400577492433</v>
      </c>
      <c r="AA34" s="381">
        <f t="shared" si="13"/>
        <v>6.5343835001981905</v>
      </c>
      <c r="AB34" s="193">
        <f t="shared" si="14"/>
        <v>44946</v>
      </c>
      <c r="AC34" s="420">
        <f>IF(OR(t&lt;Tnet,NoTnet),'2022'!Resal_s+('2022'!Salim-'2022'!Resal_s)*(1-EXP(('2022'!Tnet_s-t)/'2022'!Tau_j)),Resal_s+(Salim-Resal_s)*(1-EXP((Tnet_s-t)/Tau_j)))*Salcycl</f>
        <v>2.5686194029452995E-2</v>
      </c>
      <c r="AD34" s="227">
        <f>(INDEX(Models!$BJ34:$BT34,,AH34)*(1-AF34)+INDEX(Models!$BJ34:$BT34,,AH34+1)*AF34-ERP_i)*AE34*Ramure*Pc/MaxiM</f>
        <v>2.8098086262353297E-3</v>
      </c>
      <c r="AE34" s="301">
        <f t="shared" si="15"/>
        <v>0.5</v>
      </c>
      <c r="AF34" s="173">
        <f t="shared" si="16"/>
        <v>0.49464064148447445</v>
      </c>
      <c r="AG34" s="172">
        <f t="shared" si="17"/>
        <v>0</v>
      </c>
      <c r="AH34" s="172">
        <f t="shared" si="18"/>
        <v>6</v>
      </c>
      <c r="AI34" s="221">
        <f t="shared" si="23"/>
        <v>0.49464064148447445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21"/>
        <v>44947</v>
      </c>
      <c r="B35" s="406">
        <f>'2022'!Wh/'2022'!Env_an*'2023'!Env_an</f>
        <v>17.817685854768282</v>
      </c>
      <c r="C35" s="385"/>
      <c r="D35" s="388">
        <f t="shared" si="0"/>
        <v>17.921650091133774</v>
      </c>
      <c r="E35" s="380">
        <f t="shared" si="1"/>
        <v>18.395054611110933</v>
      </c>
      <c r="F35" s="380">
        <f t="shared" si="2"/>
        <v>18.433305030807151</v>
      </c>
      <c r="G35" s="110">
        <f t="shared" si="24"/>
        <v>0.81669003171041821</v>
      </c>
      <c r="H35" s="409" t="b">
        <f>Wh_hp&gt;='2022'!Maxi_hp</f>
        <v>0</v>
      </c>
      <c r="I35" s="385">
        <f>IF(H35,Wh_hp,'2022'!Maxi_hp)</f>
        <v>18.44683212449177</v>
      </c>
      <c r="J35" s="85">
        <f>IF(H35,An,'2022'!An_max)</f>
        <v>2022</v>
      </c>
      <c r="K35" s="193">
        <f t="shared" si="3"/>
        <v>44947</v>
      </c>
      <c r="L35" s="143">
        <f>IF(t&lt;Tvie,1-EXP((T0-t)*PertePVj)+'2022'!Pspv,1-EXP((T0-t)*PertePVj)+Pspv)</f>
        <v>5.8010415244590385E-3</v>
      </c>
      <c r="M35" s="836"/>
      <c r="N35" s="836"/>
      <c r="O35" s="48">
        <f>IF(t&lt;Tnet,'2022'!Resal+('2022'!Salim-'2022'!Resal)*(1-EXP(('2022'!Tnet-t)/('2022'!Tau_j))),Resal+(Salim-Resal)*(1-EXP((Tnet-t)/(Tau_j))))*Salcycl</f>
        <v>2.5735423459477821E-2</v>
      </c>
      <c r="P35" s="165">
        <f>(INDEX(Models!$BJ35:$BT35,,T35)*(1-R35)+INDEX(Models!$BJ35:$BT35,,T35+1)*R35-ERP_i)*Q35*Ramure*Pc/MaxiM</f>
        <v>2.8079974424660434E-3</v>
      </c>
      <c r="Q35" s="301">
        <f t="shared" si="4"/>
        <v>0.5</v>
      </c>
      <c r="R35" s="173">
        <f t="shared" si="5"/>
        <v>0.49470421072171067</v>
      </c>
      <c r="S35" s="802">
        <f t="shared" si="6"/>
        <v>0</v>
      </c>
      <c r="T35" s="172">
        <f t="shared" si="7"/>
        <v>6</v>
      </c>
      <c r="U35" s="247">
        <f t="shared" si="22"/>
        <v>0.49470421072171067</v>
      </c>
      <c r="V35" s="378">
        <f t="shared" si="8"/>
        <v>21.800926861393293</v>
      </c>
      <c r="W35" s="397">
        <f t="shared" si="9"/>
        <v>17.817685854768282</v>
      </c>
      <c r="X35" s="153">
        <f t="shared" si="10"/>
        <v>44947</v>
      </c>
      <c r="Y35" s="380">
        <f t="shared" si="11"/>
        <v>17.817685854768282</v>
      </c>
      <c r="Z35" s="380">
        <f t="shared" si="12"/>
        <v>17.921650091133774</v>
      </c>
      <c r="AA35" s="381">
        <f t="shared" si="13"/>
        <v>18.395054611110933</v>
      </c>
      <c r="AB35" s="193">
        <f t="shared" si="14"/>
        <v>44947</v>
      </c>
      <c r="AC35" s="420">
        <f>IF(OR(t&lt;Tnet,NoTnet),'2022'!Resal_s+('2022'!Salim-'2022'!Resal_s)*(1-EXP(('2022'!Tnet_s-t)/'2022'!Tau_j)),Resal_s+(Salim-Resal_s)*(1-EXP((Tnet_s-t)/Tau_j)))*Salcycl</f>
        <v>2.5735423459477821E-2</v>
      </c>
      <c r="AD35" s="227">
        <f>(INDEX(Models!$BJ35:$BT35,,AH35)*(1-AF35)+INDEX(Models!$BJ35:$BT35,,AH35+1)*AF35-ERP_i)*AE35*Ramure*Pc/MaxiM</f>
        <v>2.8079974424660434E-3</v>
      </c>
      <c r="AE35" s="301">
        <f t="shared" si="15"/>
        <v>0.5</v>
      </c>
      <c r="AF35" s="173">
        <f t="shared" si="16"/>
        <v>0.49470421072171067</v>
      </c>
      <c r="AG35" s="172">
        <f t="shared" si="17"/>
        <v>0</v>
      </c>
      <c r="AH35" s="172">
        <f t="shared" si="18"/>
        <v>6</v>
      </c>
      <c r="AI35" s="221">
        <f t="shared" si="23"/>
        <v>0.49470421072171067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21"/>
        <v>44948</v>
      </c>
      <c r="B36" s="406">
        <f>'2022'!Wh/'2022'!Env_an*'2023'!Env_an</f>
        <v>21.973364589565612</v>
      </c>
      <c r="C36" s="385"/>
      <c r="D36" s="388">
        <f t="shared" si="0"/>
        <v>22.101879310239447</v>
      </c>
      <c r="E36" s="380">
        <f t="shared" si="1"/>
        <v>22.686851675668507</v>
      </c>
      <c r="F36" s="380">
        <f t="shared" si="2"/>
        <v>22.750130247197134</v>
      </c>
      <c r="G36" s="110">
        <f t="shared" si="24"/>
        <v>0.99444991923847526</v>
      </c>
      <c r="H36" s="409" t="b">
        <f>Wh_hp&gt;='2022'!Maxi_hp</f>
        <v>0</v>
      </c>
      <c r="I36" s="385">
        <f>IF(H36,Wh_hp,'2022'!Maxi_hp)</f>
        <v>22.750634528837967</v>
      </c>
      <c r="J36" s="85">
        <f>IF(H36,An,'2022'!An_max)</f>
        <v>2022</v>
      </c>
      <c r="K36" s="193">
        <f t="shared" si="3"/>
        <v>44948</v>
      </c>
      <c r="L36" s="143">
        <f>IF(t&lt;Tvie,1-EXP((T0-t)*PertePVj)+'2022'!Pspv,1-EXP((T0-t)*PertePVj)+Pspv)</f>
        <v>5.8146512733102673E-3</v>
      </c>
      <c r="M36" s="836"/>
      <c r="N36" s="836"/>
      <c r="O36" s="48">
        <f>IF(t&lt;Tnet,'2022'!Resal+('2022'!Salim-'2022'!Resal)*(1-EXP(('2022'!Tnet-t)/('2022'!Tau_j))),Resal+(Salim-Resal)*(1-EXP((Tnet-t)/(Tau_j))))*Salcycl</f>
        <v>2.5784642743375299E-2</v>
      </c>
      <c r="P36" s="165">
        <f>(INDEX(Models!$BJ36:$BT36,,T36)*(1-R36)+INDEX(Models!$BJ36:$BT36,,T36+1)*R36-ERP_i)*Q36*Ramure*Pc/MaxiM</f>
        <v>2.8036001836988134E-3</v>
      </c>
      <c r="Q36" s="301">
        <f t="shared" si="4"/>
        <v>0.5</v>
      </c>
      <c r="R36" s="173">
        <f t="shared" si="5"/>
        <v>0.49477042960049272</v>
      </c>
      <c r="S36" s="802">
        <f t="shared" si="6"/>
        <v>0</v>
      </c>
      <c r="T36" s="172">
        <f t="shared" si="7"/>
        <v>6</v>
      </c>
      <c r="U36" s="247">
        <f t="shared" si="22"/>
        <v>0.49477042960049272</v>
      </c>
      <c r="V36" s="378">
        <f t="shared" si="8"/>
        <v>22.095508589871262</v>
      </c>
      <c r="W36" s="397">
        <f t="shared" si="9"/>
        <v>21.973364589565612</v>
      </c>
      <c r="X36" s="153">
        <f t="shared" si="10"/>
        <v>44948</v>
      </c>
      <c r="Y36" s="380">
        <f t="shared" si="11"/>
        <v>21.973364589565612</v>
      </c>
      <c r="Z36" s="380">
        <f t="shared" si="12"/>
        <v>22.101879310239447</v>
      </c>
      <c r="AA36" s="381">
        <f t="shared" si="13"/>
        <v>22.686851675668507</v>
      </c>
      <c r="AB36" s="193">
        <f t="shared" si="14"/>
        <v>44948</v>
      </c>
      <c r="AC36" s="420">
        <f>IF(OR(t&lt;Tnet,NoTnet),'2022'!Resal_s+('2022'!Salim-'2022'!Resal_s)*(1-EXP(('2022'!Tnet_s-t)/'2022'!Tau_j)),Resal_s+(Salim-Resal_s)*(1-EXP((Tnet_s-t)/Tau_j)))*Salcycl</f>
        <v>2.5784642743375299E-2</v>
      </c>
      <c r="AD36" s="227">
        <f>(INDEX(Models!$BJ36:$BT36,,AH36)*(1-AF36)+INDEX(Models!$BJ36:$BT36,,AH36+1)*AF36-ERP_i)*AE36*Ramure*Pc/MaxiM</f>
        <v>2.8036001836988134E-3</v>
      </c>
      <c r="AE36" s="301">
        <f t="shared" si="15"/>
        <v>0.5</v>
      </c>
      <c r="AF36" s="173">
        <f t="shared" si="16"/>
        <v>0.49477042960049272</v>
      </c>
      <c r="AG36" s="172">
        <f t="shared" si="17"/>
        <v>0</v>
      </c>
      <c r="AH36" s="172">
        <f t="shared" si="18"/>
        <v>6</v>
      </c>
      <c r="AI36" s="221">
        <f t="shared" si="23"/>
        <v>0.49477042960049272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21"/>
        <v>44949</v>
      </c>
      <c r="B37" s="406">
        <f>'2022'!Wh/'2022'!Env_an*'2023'!Env_an</f>
        <v>22.04578452882587</v>
      </c>
      <c r="C37" s="385"/>
      <c r="D37" s="388">
        <f t="shared" si="0"/>
        <v>22.175026366531991</v>
      </c>
      <c r="E37" s="380">
        <f t="shared" si="1"/>
        <v>22.763084552533908</v>
      </c>
      <c r="F37" s="380">
        <f t="shared" si="2"/>
        <v>22.825474719688621</v>
      </c>
      <c r="G37" s="110">
        <f t="shared" si="24"/>
        <v>0.98413425975288926</v>
      </c>
      <c r="H37" s="409" t="b">
        <f>Wh_hp&gt;='2022'!Maxi_hp</f>
        <v>0</v>
      </c>
      <c r="I37" s="385">
        <f>IF(H37,Wh_hp,'2022'!Maxi_hp)</f>
        <v>22.826917337644495</v>
      </c>
      <c r="J37" s="85">
        <f>IF(H37,An,'2022'!An_max)</f>
        <v>2022</v>
      </c>
      <c r="K37" s="193">
        <f t="shared" si="3"/>
        <v>44949</v>
      </c>
      <c r="L37" s="143">
        <f>IF(t&lt;Tvie,1-EXP((T0-t)*PertePVj)+'2022'!Pspv,1-EXP((T0-t)*PertePVj)+Pspv)</f>
        <v>5.8282608358555255E-3</v>
      </c>
      <c r="M37" s="836"/>
      <c r="N37" s="836"/>
      <c r="O37" s="48">
        <f>IF(t&lt;Tnet,'2022'!Resal+('2022'!Salim-'2022'!Resal)*(1-EXP(('2022'!Tnet-t)/('2022'!Tau_j))),Resal+(Salim-Resal)*(1-EXP((Tnet-t)/(Tau_j))))*Salcycl</f>
        <v>2.5833853256783484E-2</v>
      </c>
      <c r="P37" s="165">
        <f>(INDEX(Models!$BJ37:$BT37,,T37)*(1-R37)+INDEX(Models!$BJ37:$BT37,,T37+1)*R37-ERP_i)*Q37*Ramure*Pc/MaxiM</f>
        <v>2.7964913471369536E-3</v>
      </c>
      <c r="Q37" s="301">
        <f t="shared" si="4"/>
        <v>0.5</v>
      </c>
      <c r="R37" s="173">
        <f t="shared" si="5"/>
        <v>0.49483940781127006</v>
      </c>
      <c r="S37" s="802">
        <f t="shared" si="6"/>
        <v>0</v>
      </c>
      <c r="T37" s="172">
        <f t="shared" si="7"/>
        <v>6</v>
      </c>
      <c r="U37" s="247">
        <f t="shared" si="22"/>
        <v>0.49483940781127006</v>
      </c>
      <c r="V37" s="378">
        <f t="shared" si="8"/>
        <v>22.39977792205287</v>
      </c>
      <c r="W37" s="397">
        <f t="shared" si="9"/>
        <v>22.04578452882587</v>
      </c>
      <c r="X37" s="153">
        <f t="shared" si="10"/>
        <v>44949</v>
      </c>
      <c r="Y37" s="380">
        <f t="shared" si="11"/>
        <v>22.04578452882587</v>
      </c>
      <c r="Z37" s="380">
        <f t="shared" si="12"/>
        <v>22.175026366531991</v>
      </c>
      <c r="AA37" s="381">
        <f t="shared" si="13"/>
        <v>22.763084552533908</v>
      </c>
      <c r="AB37" s="193">
        <f t="shared" si="14"/>
        <v>44949</v>
      </c>
      <c r="AC37" s="420">
        <f>IF(OR(t&lt;Tnet,NoTnet),'2022'!Resal_s+('2022'!Salim-'2022'!Resal_s)*(1-EXP(('2022'!Tnet_s-t)/'2022'!Tau_j)),Resal_s+(Salim-Resal_s)*(1-EXP((Tnet_s-t)/Tau_j)))*Salcycl</f>
        <v>2.5833853256783484E-2</v>
      </c>
      <c r="AD37" s="227">
        <f>(INDEX(Models!$BJ37:$BT37,,AH37)*(1-AF37)+INDEX(Models!$BJ37:$BT37,,AH37+1)*AF37-ERP_i)*AE37*Ramure*Pc/MaxiM</f>
        <v>2.7964913471369536E-3</v>
      </c>
      <c r="AE37" s="301">
        <f t="shared" si="15"/>
        <v>0.5</v>
      </c>
      <c r="AF37" s="173">
        <f t="shared" si="16"/>
        <v>0.49483940781127006</v>
      </c>
      <c r="AG37" s="172">
        <f t="shared" si="17"/>
        <v>0</v>
      </c>
      <c r="AH37" s="172">
        <f t="shared" si="18"/>
        <v>6</v>
      </c>
      <c r="AI37" s="221">
        <f t="shared" si="23"/>
        <v>0.49483940781127006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21"/>
        <v>44950</v>
      </c>
      <c r="B38" s="406">
        <f>'2022'!Wh/'2022'!Env_an*'2023'!Env_an</f>
        <v>22.592332117057662</v>
      </c>
      <c r="C38" s="385"/>
      <c r="D38" s="388">
        <f t="shared" si="0"/>
        <v>22.725089138362314</v>
      </c>
      <c r="E38" s="380">
        <f t="shared" si="1"/>
        <v>23.328912698275335</v>
      </c>
      <c r="F38" s="380">
        <f t="shared" si="2"/>
        <v>23.393329874319136</v>
      </c>
      <c r="G38" s="110">
        <f t="shared" si="24"/>
        <v>0.99456946565514215</v>
      </c>
      <c r="H38" s="409" t="b">
        <f>Wh_hp&gt;='2022'!Maxi_hp</f>
        <v>0</v>
      </c>
      <c r="I38" s="385">
        <f>IF(H38,Wh_hp,'2022'!Maxi_hp)</f>
        <v>23.393832011186525</v>
      </c>
      <c r="J38" s="85">
        <f>IF(H38,An,'2022'!An_max)</f>
        <v>2022</v>
      </c>
      <c r="K38" s="193">
        <f t="shared" si="3"/>
        <v>44950</v>
      </c>
      <c r="L38" s="143">
        <f>IF(t&lt;Tvie,1-EXP((T0-t)*PertePVj)+'2022'!Pspv,1-EXP((T0-t)*PertePVj)+Pspv)</f>
        <v>5.8418702120972554E-3</v>
      </c>
      <c r="M38" s="836"/>
      <c r="N38" s="836"/>
      <c r="O38" s="48">
        <f>IF(t&lt;Tnet,'2022'!Resal+('2022'!Salim-'2022'!Resal)*(1-EXP(('2022'!Tnet-t)/('2022'!Tau_j))),Resal+(Salim-Resal)*(1-EXP((Tnet-t)/(Tau_j))))*Salcycl</f>
        <v>2.588305626252612E-2</v>
      </c>
      <c r="P38" s="165">
        <f>(INDEX(Models!$BJ38:$BT38,,T38)*(1-R38)+INDEX(Models!$BJ38:$BT38,,T38+1)*R38-ERP_i)*Q38*Ramure*Pc/MaxiM</f>
        <v>2.7750998724414481E-3</v>
      </c>
      <c r="Q38" s="301">
        <f t="shared" si="4"/>
        <v>0.5</v>
      </c>
      <c r="R38" s="173">
        <f t="shared" si="5"/>
        <v>0.4949112595214995</v>
      </c>
      <c r="S38" s="802">
        <f t="shared" si="6"/>
        <v>0</v>
      </c>
      <c r="T38" s="172">
        <f t="shared" si="7"/>
        <v>6</v>
      </c>
      <c r="U38" s="247">
        <f t="shared" si="22"/>
        <v>0.4949112595214995</v>
      </c>
      <c r="V38" s="378">
        <f t="shared" si="8"/>
        <v>22.715201989887181</v>
      </c>
      <c r="W38" s="397">
        <f t="shared" si="9"/>
        <v>22.592332117057662</v>
      </c>
      <c r="X38" s="153">
        <f t="shared" si="10"/>
        <v>44950</v>
      </c>
      <c r="Y38" s="380">
        <f t="shared" si="11"/>
        <v>22.592332117057662</v>
      </c>
      <c r="Z38" s="380">
        <f t="shared" si="12"/>
        <v>22.725089138362314</v>
      </c>
      <c r="AA38" s="381">
        <f t="shared" si="13"/>
        <v>23.328912698275335</v>
      </c>
      <c r="AB38" s="193">
        <f t="shared" si="14"/>
        <v>44950</v>
      </c>
      <c r="AC38" s="420">
        <f>IF(OR(t&lt;Tnet,NoTnet),'2022'!Resal_s+('2022'!Salim-'2022'!Resal_s)*(1-EXP(('2022'!Tnet_s-t)/'2022'!Tau_j)),Resal_s+(Salim-Resal_s)*(1-EXP((Tnet_s-t)/Tau_j)))*Salcycl</f>
        <v>2.588305626252612E-2</v>
      </c>
      <c r="AD38" s="227">
        <f>(INDEX(Models!$BJ38:$BT38,,AH38)*(1-AF38)+INDEX(Models!$BJ38:$BT38,,AH38+1)*AF38-ERP_i)*AE38*Ramure*Pc/MaxiM</f>
        <v>2.7750998724414481E-3</v>
      </c>
      <c r="AE38" s="301">
        <f t="shared" si="15"/>
        <v>0.5</v>
      </c>
      <c r="AF38" s="173">
        <f t="shared" si="16"/>
        <v>0.4949112595214995</v>
      </c>
      <c r="AG38" s="172">
        <f t="shared" si="17"/>
        <v>0</v>
      </c>
      <c r="AH38" s="172">
        <f t="shared" si="18"/>
        <v>6</v>
      </c>
      <c r="AI38" s="221">
        <f t="shared" si="23"/>
        <v>0.4949112595214995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21"/>
        <v>44951</v>
      </c>
      <c r="B39" s="406">
        <f>'2022'!Wh/'2022'!Env_an*'2023'!Env_an</f>
        <v>21.157525442495256</v>
      </c>
      <c r="C39" s="385"/>
      <c r="D39" s="388">
        <f t="shared" si="0"/>
        <v>21.282142590062605</v>
      </c>
      <c r="E39" s="380">
        <f t="shared" si="1"/>
        <v>21.848729364908163</v>
      </c>
      <c r="F39" s="380">
        <f t="shared" si="2"/>
        <v>21.901696108665895</v>
      </c>
      <c r="G39" s="110">
        <f t="shared" si="24"/>
        <v>0.91796623816002521</v>
      </c>
      <c r="H39" s="409" t="b">
        <f>Wh_hp&gt;='2022'!Maxi_hp</f>
        <v>0</v>
      </c>
      <c r="I39" s="385">
        <f>IF(H39,Wh_hp,'2022'!Maxi_hp)</f>
        <v>21.908704752489474</v>
      </c>
      <c r="J39" s="85">
        <f>IF(H39,An,'2022'!An_max)</f>
        <v>2022</v>
      </c>
      <c r="K39" s="193">
        <f t="shared" si="3"/>
        <v>44951</v>
      </c>
      <c r="L39" s="143">
        <f>IF(t&lt;Tvie,1-EXP((T0-t)*PertePVj)+'2022'!Pspv,1-EXP((T0-t)*PertePVj)+Pspv)</f>
        <v>5.8554794020381218E-3</v>
      </c>
      <c r="M39" s="836"/>
      <c r="N39" s="836"/>
      <c r="O39" s="48">
        <f>IF(t&lt;Tnet,'2022'!Resal+('2022'!Salim-'2022'!Resal)*(1-EXP(('2022'!Tnet-t)/('2022'!Tau_j))),Resal+(Salim-Resal)*(1-EXP((Tnet-t)/(Tau_j))))*Salcycl</f>
        <v>2.5932252873046634E-2</v>
      </c>
      <c r="P39" s="165">
        <f>(INDEX(Models!$BJ39:$BT39,,T39)*(1-R39)+INDEX(Models!$BJ39:$BT39,,T39+1)*R39-ERP_i)*Q39*Ramure*Pc/MaxiM</f>
        <v>2.7381171922393126E-3</v>
      </c>
      <c r="Q39" s="301">
        <f t="shared" si="4"/>
        <v>0.5</v>
      </c>
      <c r="R39" s="173">
        <f t="shared" si="5"/>
        <v>0.49498610355290773</v>
      </c>
      <c r="S39" s="802">
        <f t="shared" si="6"/>
        <v>0</v>
      </c>
      <c r="T39" s="172">
        <f t="shared" si="7"/>
        <v>6</v>
      </c>
      <c r="U39" s="247">
        <f t="shared" si="22"/>
        <v>0.49498610355290773</v>
      </c>
      <c r="V39" s="378">
        <f t="shared" si="8"/>
        <v>23.040873870882692</v>
      </c>
      <c r="W39" s="397">
        <f t="shared" si="9"/>
        <v>21.157525442495256</v>
      </c>
      <c r="X39" s="153">
        <f t="shared" si="10"/>
        <v>44951</v>
      </c>
      <c r="Y39" s="380">
        <f t="shared" si="11"/>
        <v>21.157525442495256</v>
      </c>
      <c r="Z39" s="380">
        <f t="shared" si="12"/>
        <v>21.282142590062605</v>
      </c>
      <c r="AA39" s="381">
        <f t="shared" si="13"/>
        <v>21.848729364908163</v>
      </c>
      <c r="AB39" s="193">
        <f t="shared" si="14"/>
        <v>44951</v>
      </c>
      <c r="AC39" s="420">
        <f>IF(OR(t&lt;Tnet,NoTnet),'2022'!Resal_s+('2022'!Salim-'2022'!Resal_s)*(1-EXP(('2022'!Tnet_s-t)/'2022'!Tau_j)),Resal_s+(Salim-Resal_s)*(1-EXP((Tnet_s-t)/Tau_j)))*Salcycl</f>
        <v>2.5932252873046634E-2</v>
      </c>
      <c r="AD39" s="227">
        <f>(INDEX(Models!$BJ39:$BT39,,AH39)*(1-AF39)+INDEX(Models!$BJ39:$BT39,,AH39+1)*AF39-ERP_i)*AE39*Ramure*Pc/MaxiM</f>
        <v>2.7381171922393126E-3</v>
      </c>
      <c r="AE39" s="301">
        <f t="shared" si="15"/>
        <v>0.5</v>
      </c>
      <c r="AF39" s="173">
        <f t="shared" si="16"/>
        <v>0.49498610355290773</v>
      </c>
      <c r="AG39" s="172">
        <f t="shared" si="17"/>
        <v>0</v>
      </c>
      <c r="AH39" s="172">
        <f t="shared" si="18"/>
        <v>6</v>
      </c>
      <c r="AI39" s="221">
        <f t="shared" si="23"/>
        <v>0.49498610355290773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44952</v>
      </c>
      <c r="B40" s="406">
        <f>'2022'!Wh/'2022'!Env_an*'2023'!Env_an</f>
        <v>22.76706754629836</v>
      </c>
      <c r="C40" s="385"/>
      <c r="D40" s="388">
        <f t="shared" si="0"/>
        <v>22.901478347339676</v>
      </c>
      <c r="E40" s="380">
        <f t="shared" si="1"/>
        <v>23.512363503405449</v>
      </c>
      <c r="F40" s="380">
        <f t="shared" si="2"/>
        <v>23.573333784844937</v>
      </c>
      <c r="G40" s="110">
        <f t="shared" si="24"/>
        <v>0.97385961197979798</v>
      </c>
      <c r="H40" s="409" t="b">
        <f>Wh_hp&gt;='2022'!Maxi_hp</f>
        <v>0</v>
      </c>
      <c r="I40" s="385">
        <f>IF(H40,Wh_hp,'2022'!Maxi_hp)</f>
        <v>23.575691488486939</v>
      </c>
      <c r="J40" s="85">
        <f>IF(H40,An,'2022'!An_max)</f>
        <v>2022</v>
      </c>
      <c r="K40" s="193">
        <f t="shared" si="3"/>
        <v>44952</v>
      </c>
      <c r="L40" s="143">
        <f>IF(t&lt;Tvie,1-EXP((T0-t)*PertePVj)+'2022'!Pspv,1-EXP((T0-t)*PertePVj)+Pspv)</f>
        <v>5.869088405680567E-3</v>
      </c>
      <c r="M40" s="836"/>
      <c r="N40" s="836"/>
      <c r="O40" s="48">
        <f>IF(t&lt;Tnet,'2022'!Resal+('2022'!Salim-'2022'!Resal)*(1-EXP(('2022'!Tnet-t)/('2022'!Tau_j))),Resal+(Salim-Resal)*(1-EXP((Tnet-t)/(Tau_j))))*Salcycl</f>
        <v>2.5981444016774175E-2</v>
      </c>
      <c r="P40" s="165">
        <f>(INDEX(Models!$BJ40:$BT40,,T40)*(1-R40)+INDEX(Models!$BJ40:$BT40,,T40+1)*R40-ERP_i)*Q40*Ramure*Pc/MaxiM</f>
        <v>2.6863519691075581E-3</v>
      </c>
      <c r="Q40" s="301">
        <f t="shared" si="4"/>
        <v>0.5</v>
      </c>
      <c r="R40" s="173">
        <f t="shared" si="5"/>
        <v>0.49506406356530042</v>
      </c>
      <c r="S40" s="802">
        <f t="shared" si="6"/>
        <v>0</v>
      </c>
      <c r="T40" s="172">
        <f t="shared" si="7"/>
        <v>6</v>
      </c>
      <c r="U40" s="247">
        <f t="shared" si="22"/>
        <v>0.49506406356530042</v>
      </c>
      <c r="V40" s="378">
        <f t="shared" si="8"/>
        <v>23.375839757960858</v>
      </c>
      <c r="W40" s="397">
        <f t="shared" si="9"/>
        <v>22.76706754629836</v>
      </c>
      <c r="X40" s="153">
        <f t="shared" si="10"/>
        <v>44952</v>
      </c>
      <c r="Y40" s="380">
        <f t="shared" si="11"/>
        <v>22.76706754629836</v>
      </c>
      <c r="Z40" s="380">
        <f t="shared" si="12"/>
        <v>22.901478347339676</v>
      </c>
      <c r="AA40" s="381">
        <f t="shared" si="13"/>
        <v>23.512363503405449</v>
      </c>
      <c r="AB40" s="193">
        <f t="shared" si="14"/>
        <v>44952</v>
      </c>
      <c r="AC40" s="420">
        <f>IF(OR(t&lt;Tnet,NoTnet),'2022'!Resal_s+('2022'!Salim-'2022'!Resal_s)*(1-EXP(('2022'!Tnet_s-t)/'2022'!Tau_j)),Resal_s+(Salim-Resal_s)*(1-EXP((Tnet_s-t)/Tau_j)))*Salcycl</f>
        <v>2.5981444016774175E-2</v>
      </c>
      <c r="AD40" s="227">
        <f>(INDEX(Models!$BJ40:$BT40,,AH40)*(1-AF40)+INDEX(Models!$BJ40:$BT40,,AH40+1)*AF40-ERP_i)*AE40*Ramure*Pc/MaxiM</f>
        <v>2.6863519691075581E-3</v>
      </c>
      <c r="AE40" s="301">
        <f t="shared" si="15"/>
        <v>0.5</v>
      </c>
      <c r="AF40" s="173">
        <f t="shared" si="16"/>
        <v>0.49506406356530042</v>
      </c>
      <c r="AG40" s="172">
        <f t="shared" si="17"/>
        <v>0</v>
      </c>
      <c r="AH40" s="172">
        <f t="shared" si="18"/>
        <v>6</v>
      </c>
      <c r="AI40" s="221">
        <f t="shared" si="23"/>
        <v>0.49506406356530042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21"/>
        <v>44953</v>
      </c>
      <c r="B41" s="406">
        <f>'2022'!Wh/'2022'!Env_an*'2023'!Env_an</f>
        <v>19.058325678991604</v>
      </c>
      <c r="C41" s="385"/>
      <c r="D41" s="388">
        <f t="shared" si="0"/>
        <v>19.171103476173254</v>
      </c>
      <c r="E41" s="380">
        <f t="shared" si="1"/>
        <v>19.683476785536197</v>
      </c>
      <c r="F41" s="380">
        <f t="shared" si="2"/>
        <v>19.72064929903992</v>
      </c>
      <c r="G41" s="110">
        <f t="shared" si="24"/>
        <v>0.80290745118569373</v>
      </c>
      <c r="H41" s="409" t="b">
        <f>Wh_hp&gt;='2022'!Maxi_hp</f>
        <v>0</v>
      </c>
      <c r="I41" s="385">
        <f>IF(H41,Wh_hp,'2022'!Maxi_hp)</f>
        <v>19.735165141649773</v>
      </c>
      <c r="J41" s="85">
        <f>IF(H41,An,'2022'!An_max)</f>
        <v>2022</v>
      </c>
      <c r="K41" s="193">
        <f t="shared" si="3"/>
        <v>44953</v>
      </c>
      <c r="L41" s="143">
        <f>IF(t&lt;Tvie,1-EXP((T0-t)*PertePVj)+'2022'!Pspv,1-EXP((T0-t)*PertePVj)+Pspv)</f>
        <v>5.8826972230271446E-3</v>
      </c>
      <c r="M41" s="836"/>
      <c r="N41" s="836"/>
      <c r="O41" s="48">
        <f>IF(t&lt;Tnet,'2022'!Resal+('2022'!Salim-'2022'!Resal)*(1-EXP(('2022'!Tnet-t)/('2022'!Tau_j))),Resal+(Salim-Resal)*(1-EXP((Tnet-t)/(Tau_j))))*Salcycl</f>
        <v>2.6030630408721448E-2</v>
      </c>
      <c r="P41" s="165">
        <f>(INDEX(Models!$BJ41:$BT41,,T41)*(1-R41)+INDEX(Models!$BJ41:$BT41,,T41+1)*R41-ERP_i)*Q41*Ramure*Pc/MaxiM</f>
        <v>2.6205930333756166E-3</v>
      </c>
      <c r="Q41" s="301">
        <f t="shared" si="4"/>
        <v>0.5</v>
      </c>
      <c r="R41" s="173">
        <f t="shared" si="5"/>
        <v>0.49514526824712218</v>
      </c>
      <c r="S41" s="802">
        <f t="shared" si="6"/>
        <v>0</v>
      </c>
      <c r="T41" s="172">
        <f t="shared" si="7"/>
        <v>6</v>
      </c>
      <c r="U41" s="247">
        <f t="shared" si="22"/>
        <v>0.49514526824712218</v>
      </c>
      <c r="V41" s="378">
        <f t="shared" si="8"/>
        <v>23.719146113745555</v>
      </c>
      <c r="W41" s="397">
        <f t="shared" si="9"/>
        <v>19.058325678991604</v>
      </c>
      <c r="X41" s="153">
        <f t="shared" si="10"/>
        <v>44953</v>
      </c>
      <c r="Y41" s="380">
        <f t="shared" si="11"/>
        <v>19.058325678991604</v>
      </c>
      <c r="Z41" s="380">
        <f t="shared" si="12"/>
        <v>19.171103476173254</v>
      </c>
      <c r="AA41" s="381">
        <f t="shared" si="13"/>
        <v>19.683476785536197</v>
      </c>
      <c r="AB41" s="193">
        <f t="shared" si="14"/>
        <v>44953</v>
      </c>
      <c r="AC41" s="420">
        <f>IF(OR(t&lt;Tnet,NoTnet),'2022'!Resal_s+('2022'!Salim-'2022'!Resal_s)*(1-EXP(('2022'!Tnet_s-t)/'2022'!Tau_j)),Resal_s+(Salim-Resal_s)*(1-EXP((Tnet_s-t)/Tau_j)))*Salcycl</f>
        <v>2.6030630408721448E-2</v>
      </c>
      <c r="AD41" s="227">
        <f>(INDEX(Models!$BJ41:$BT41,,AH41)*(1-AF41)+INDEX(Models!$BJ41:$BT41,,AH41+1)*AF41-ERP_i)*AE41*Ramure*Pc/MaxiM</f>
        <v>2.6205930333756166E-3</v>
      </c>
      <c r="AE41" s="301">
        <f t="shared" si="15"/>
        <v>0.5</v>
      </c>
      <c r="AF41" s="173">
        <f t="shared" si="16"/>
        <v>0.49514526824712218</v>
      </c>
      <c r="AG41" s="172">
        <f t="shared" si="17"/>
        <v>0</v>
      </c>
      <c r="AH41" s="172">
        <f t="shared" si="18"/>
        <v>6</v>
      </c>
      <c r="AI41" s="221">
        <f t="shared" si="23"/>
        <v>0.49514526824712218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44954</v>
      </c>
      <c r="B42" s="406">
        <f>'2022'!Wh/'2022'!Env_an*'2023'!Env_an</f>
        <v>4.5453087545629414</v>
      </c>
      <c r="C42" s="385"/>
      <c r="D42" s="388">
        <f t="shared" si="0"/>
        <v>4.5722682465917464</v>
      </c>
      <c r="E42" s="380">
        <f t="shared" si="1"/>
        <v>4.6947052801611262</v>
      </c>
      <c r="F42" s="380">
        <f t="shared" si="2"/>
        <v>4.6947052801611262</v>
      </c>
      <c r="G42" s="110">
        <f t="shared" si="24"/>
        <v>0.18835839568211515</v>
      </c>
      <c r="H42" s="409" t="b">
        <f>Wh_hp&gt;='2022'!Maxi_hp</f>
        <v>0</v>
      </c>
      <c r="I42" s="385">
        <f>IF(H42,Wh_hp,'2022'!Maxi_hp)</f>
        <v>4.7066426478923402</v>
      </c>
      <c r="J42" s="85">
        <f>IF(H42,An,'2022'!An_max)</f>
        <v>2022</v>
      </c>
      <c r="K42" s="193">
        <f t="shared" si="3"/>
        <v>44954</v>
      </c>
      <c r="L42" s="143">
        <f>IF(t&lt;Tvie,1-EXP((T0-t)*PertePVj)+'2022'!Pspv,1-EXP((T0-t)*PertePVj)+Pspv)</f>
        <v>5.8963058540805191E-3</v>
      </c>
      <c r="M42" s="836"/>
      <c r="N42" s="836"/>
      <c r="O42" s="48">
        <f>IF(t&lt;Tnet,'2022'!Resal+('2022'!Salim-'2022'!Resal)*(1-EXP(('2022'!Tnet-t)/('2022'!Tau_j))),Resal+(Salim-Resal)*(1-EXP((Tnet-t)/(Tau_j))))*Salcycl</f>
        <v>2.6079812525564548E-2</v>
      </c>
      <c r="P42" s="165">
        <f>(INDEX(Models!$BJ42:$BT42,,T42)*(1-R42)+INDEX(Models!$BJ42:$BT42,,T42+1)*R42-ERP_i)*Q42*Ramure*Pc/MaxiM</f>
        <v>2.5416020579446912E-3</v>
      </c>
      <c r="Q42" s="301">
        <f t="shared" si="4"/>
        <v>0.5</v>
      </c>
      <c r="R42" s="173">
        <f t="shared" si="5"/>
        <v>0.49522985151296811</v>
      </c>
      <c r="S42" s="802">
        <f t="shared" si="6"/>
        <v>0</v>
      </c>
      <c r="T42" s="172">
        <f t="shared" si="7"/>
        <v>6</v>
      </c>
      <c r="U42" s="247">
        <f t="shared" si="22"/>
        <v>0.49522985151296811</v>
      </c>
      <c r="V42" s="378">
        <f t="shared" si="8"/>
        <v>24.069839690765821</v>
      </c>
      <c r="W42" s="397">
        <f t="shared" si="9"/>
        <v>4.5453087545629414</v>
      </c>
      <c r="X42" s="153">
        <f t="shared" si="10"/>
        <v>44954</v>
      </c>
      <c r="Y42" s="380">
        <f t="shared" si="11"/>
        <v>4.5453087545629414</v>
      </c>
      <c r="Z42" s="380">
        <f t="shared" si="12"/>
        <v>4.5722682465917464</v>
      </c>
      <c r="AA42" s="381">
        <f t="shared" si="13"/>
        <v>4.6947052801611262</v>
      </c>
      <c r="AB42" s="193">
        <f t="shared" si="14"/>
        <v>44954</v>
      </c>
      <c r="AC42" s="420">
        <f>IF(OR(t&lt;Tnet,NoTnet),'2022'!Resal_s+('2022'!Salim-'2022'!Resal_s)*(1-EXP(('2022'!Tnet_s-t)/'2022'!Tau_j)),Resal_s+(Salim-Resal_s)*(1-EXP((Tnet_s-t)/Tau_j)))*Salcycl</f>
        <v>2.6079812525564548E-2</v>
      </c>
      <c r="AD42" s="227">
        <f>(INDEX(Models!$BJ42:$BT42,,AH42)*(1-AF42)+INDEX(Models!$BJ42:$BT42,,AH42+1)*AF42-ERP_i)*AE42*Ramure*Pc/MaxiM</f>
        <v>2.5416020579446912E-3</v>
      </c>
      <c r="AE42" s="301">
        <f t="shared" si="15"/>
        <v>0.5</v>
      </c>
      <c r="AF42" s="173">
        <f t="shared" si="16"/>
        <v>0.49522985151296811</v>
      </c>
      <c r="AG42" s="172">
        <f t="shared" si="17"/>
        <v>0</v>
      </c>
      <c r="AH42" s="172">
        <f t="shared" si="18"/>
        <v>6</v>
      </c>
      <c r="AI42" s="221">
        <f t="shared" si="23"/>
        <v>0.49522985151296811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21"/>
        <v>44955</v>
      </c>
      <c r="B43" s="406">
        <f>'2022'!Wh/'2022'!Env_an*'2023'!Env_an</f>
        <v>6.8303703038619723</v>
      </c>
      <c r="C43" s="385"/>
      <c r="D43" s="388">
        <f t="shared" si="0"/>
        <v>6.8709771902053918</v>
      </c>
      <c r="E43" s="380">
        <f t="shared" si="1"/>
        <v>7.0553257297756584</v>
      </c>
      <c r="F43" s="380">
        <f t="shared" si="2"/>
        <v>7.0553257297756584</v>
      </c>
      <c r="G43" s="110">
        <f t="shared" si="24"/>
        <v>0.27893905179488898</v>
      </c>
      <c r="H43" s="409" t="b">
        <f>Wh_hp&gt;='2022'!Maxi_hp</f>
        <v>0</v>
      </c>
      <c r="I43" s="385">
        <f>IF(H43,Wh_hp,'2022'!Maxi_hp)</f>
        <v>7.0726171921905499</v>
      </c>
      <c r="J43" s="85">
        <f>IF(H43,An,'2022'!An_max)</f>
        <v>2022</v>
      </c>
      <c r="K43" s="193">
        <f t="shared" si="3"/>
        <v>44955</v>
      </c>
      <c r="L43" s="143">
        <f>IF(t&lt;Tvie,1-EXP((T0-t)*PertePVj)+'2022'!Pspv,1-EXP((T0-t)*PertePVj)+Pspv)</f>
        <v>5.909914298843133E-3</v>
      </c>
      <c r="M43" s="836"/>
      <c r="N43" s="836"/>
      <c r="O43" s="48">
        <f>IF(t&lt;Tnet,'2022'!Resal+('2022'!Salim-'2022'!Resal)*(1-EXP(('2022'!Tnet-t)/('2022'!Tau_j))),Resal+(Salim-Resal)*(1-EXP((Tnet-t)/(Tau_j))))*Salcycl</f>
        <v>2.6128990585403918E-2</v>
      </c>
      <c r="P43" s="165">
        <f>(INDEX(Models!$BJ43:$BT43,,T43)*(1-R43)+INDEX(Models!$BJ43:$BT43,,T43+1)*R43-ERP_i)*Q43*Ramure*Pc/MaxiM</f>
        <v>2.4501076115095309E-3</v>
      </c>
      <c r="Q43" s="301">
        <f t="shared" si="4"/>
        <v>0.5</v>
      </c>
      <c r="R43" s="173">
        <f t="shared" si="5"/>
        <v>0.49531795270825341</v>
      </c>
      <c r="S43" s="802">
        <f t="shared" si="6"/>
        <v>0</v>
      </c>
      <c r="T43" s="172">
        <f t="shared" si="7"/>
        <v>6</v>
      </c>
      <c r="U43" s="247">
        <f t="shared" si="22"/>
        <v>0.49531795270825341</v>
      </c>
      <c r="V43" s="378">
        <f t="shared" si="8"/>
        <v>24.426967531965698</v>
      </c>
      <c r="W43" s="397">
        <f t="shared" si="9"/>
        <v>6.8303703038619723</v>
      </c>
      <c r="X43" s="153">
        <f t="shared" si="10"/>
        <v>44955</v>
      </c>
      <c r="Y43" s="380">
        <f t="shared" si="11"/>
        <v>6.8303703038619723</v>
      </c>
      <c r="Z43" s="380">
        <f t="shared" si="12"/>
        <v>6.8709771902053918</v>
      </c>
      <c r="AA43" s="381">
        <f t="shared" si="13"/>
        <v>7.0553257297756584</v>
      </c>
      <c r="AB43" s="193">
        <f t="shared" si="14"/>
        <v>44955</v>
      </c>
      <c r="AC43" s="420">
        <f>IF(OR(t&lt;Tnet,NoTnet),'2022'!Resal_s+('2022'!Salim-'2022'!Resal_s)*(1-EXP(('2022'!Tnet_s-t)/'2022'!Tau_j)),Resal_s+(Salim-Resal_s)*(1-EXP((Tnet_s-t)/Tau_j)))*Salcycl</f>
        <v>2.6128990585403918E-2</v>
      </c>
      <c r="AD43" s="227">
        <f>(INDEX(Models!$BJ43:$BT43,,AH43)*(1-AF43)+INDEX(Models!$BJ43:$BT43,,AH43+1)*AF43-ERP_i)*AE43*Ramure*Pc/MaxiM</f>
        <v>2.4501076115095309E-3</v>
      </c>
      <c r="AE43" s="301">
        <f t="shared" si="15"/>
        <v>0.5</v>
      </c>
      <c r="AF43" s="173">
        <f t="shared" si="16"/>
        <v>0.49531795270825341</v>
      </c>
      <c r="AG43" s="172">
        <f t="shared" si="17"/>
        <v>0</v>
      </c>
      <c r="AH43" s="172">
        <f t="shared" si="18"/>
        <v>6</v>
      </c>
      <c r="AI43" s="221">
        <f t="shared" si="23"/>
        <v>0.49531795270825341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44956</v>
      </c>
      <c r="B44" s="406">
        <f>'2022'!Wh/'2022'!Env_an*'2023'!Env_an</f>
        <v>4.9223169854428841</v>
      </c>
      <c r="C44" s="385"/>
      <c r="D44" s="388">
        <f t="shared" si="0"/>
        <v>4.9516481851636014</v>
      </c>
      <c r="E44" s="380">
        <f t="shared" si="1"/>
        <v>5.0847578117672079</v>
      </c>
      <c r="F44" s="380">
        <f t="shared" si="2"/>
        <v>5.0847578117672079</v>
      </c>
      <c r="G44" s="110">
        <f t="shared" si="24"/>
        <v>0.19809798671851311</v>
      </c>
      <c r="H44" s="409" t="b">
        <f>Wh_hp&gt;='2022'!Maxi_hp</f>
        <v>0</v>
      </c>
      <c r="I44" s="385">
        <f>IF(H44,Wh_hp,'2022'!Maxi_hp)</f>
        <v>5.0966884891748485</v>
      </c>
      <c r="J44" s="85">
        <f>IF(H44,An,'2022'!An_max)</f>
        <v>2022</v>
      </c>
      <c r="K44" s="193">
        <f t="shared" si="3"/>
        <v>44956</v>
      </c>
      <c r="L44" s="143">
        <f>IF(t&lt;Tvie,1-EXP((T0-t)*PertePVj)+'2022'!Pspv,1-EXP((T0-t)*PertePVj)+Pspv)</f>
        <v>5.9235225573175398E-3</v>
      </c>
      <c r="M44" s="836"/>
      <c r="N44" s="836"/>
      <c r="O44" s="48">
        <f>IF(t&lt;Tnet,'2022'!Resal+('2022'!Salim-'2022'!Resal)*(1-EXP(('2022'!Tnet-t)/('2022'!Tau_j))),Resal+(Salim-Resal)*(1-EXP((Tnet-t)/(Tau_j))))*Salcycl</f>
        <v>2.617816453235243E-2</v>
      </c>
      <c r="P44" s="165">
        <f>(INDEX(Models!$BJ44:$BT44,,T44)*(1-R44)+INDEX(Models!$BJ44:$BT44,,T44+1)*R44-ERP_i)*Q44*Ramure*Pc/MaxiM</f>
        <v>2.346021754621226E-3</v>
      </c>
      <c r="Q44" s="301">
        <f t="shared" si="4"/>
        <v>0.5</v>
      </c>
      <c r="R44" s="173">
        <f t="shared" si="5"/>
        <v>0.49540971682124685</v>
      </c>
      <c r="S44" s="802">
        <f t="shared" si="6"/>
        <v>0</v>
      </c>
      <c r="T44" s="172">
        <f t="shared" si="7"/>
        <v>6</v>
      </c>
      <c r="U44" s="247">
        <f t="shared" si="22"/>
        <v>0.49540971682124685</v>
      </c>
      <c r="V44" s="378">
        <f t="shared" si="8"/>
        <v>24.789596320783616</v>
      </c>
      <c r="W44" s="397">
        <f t="shared" si="9"/>
        <v>4.9223169854428841</v>
      </c>
      <c r="X44" s="153">
        <f t="shared" si="10"/>
        <v>44956</v>
      </c>
      <c r="Y44" s="380">
        <f t="shared" si="11"/>
        <v>4.9223169854428841</v>
      </c>
      <c r="Z44" s="380">
        <f t="shared" si="12"/>
        <v>4.9516481851636014</v>
      </c>
      <c r="AA44" s="381">
        <f t="shared" si="13"/>
        <v>5.0847578117672079</v>
      </c>
      <c r="AB44" s="193">
        <f t="shared" si="14"/>
        <v>44956</v>
      </c>
      <c r="AC44" s="420">
        <f>IF(OR(t&lt;Tnet,NoTnet),'2022'!Resal_s+('2022'!Salim-'2022'!Resal_s)*(1-EXP(('2022'!Tnet_s-t)/'2022'!Tau_j)),Resal_s+(Salim-Resal_s)*(1-EXP((Tnet_s-t)/Tau_j)))*Salcycl</f>
        <v>2.617816453235243E-2</v>
      </c>
      <c r="AD44" s="227">
        <f>(INDEX(Models!$BJ44:$BT44,,AH44)*(1-AF44)+INDEX(Models!$BJ44:$BT44,,AH44+1)*AF44-ERP_i)*AE44*Ramure*Pc/MaxiM</f>
        <v>2.346021754621226E-3</v>
      </c>
      <c r="AE44" s="301">
        <f t="shared" si="15"/>
        <v>0.5</v>
      </c>
      <c r="AF44" s="173">
        <f t="shared" si="16"/>
        <v>0.49540971682124685</v>
      </c>
      <c r="AG44" s="172">
        <f t="shared" si="17"/>
        <v>0</v>
      </c>
      <c r="AH44" s="172">
        <f t="shared" si="18"/>
        <v>6</v>
      </c>
      <c r="AI44" s="221">
        <f t="shared" si="23"/>
        <v>0.49540971682124685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44957</v>
      </c>
      <c r="B45" s="406">
        <f>'2022'!Wh/'2022'!Env_an*'2023'!Env_an</f>
        <v>11.412102129560623</v>
      </c>
      <c r="C45" s="385"/>
      <c r="D45" s="388">
        <f t="shared" si="0"/>
        <v>11.480261944385388</v>
      </c>
      <c r="E45" s="380">
        <f t="shared" si="1"/>
        <v>11.789468266603031</v>
      </c>
      <c r="F45" s="380">
        <f t="shared" si="2"/>
        <v>11.795250223290104</v>
      </c>
      <c r="G45" s="110">
        <f t="shared" si="24"/>
        <v>0.45284969236853234</v>
      </c>
      <c r="H45" s="409" t="b">
        <f>Wh_hp&gt;='2022'!Maxi_hp</f>
        <v>0</v>
      </c>
      <c r="I45" s="385">
        <f>IF(H45,Wh_hp,'2022'!Maxi_hp)</f>
        <v>11.815810990102225</v>
      </c>
      <c r="J45" s="85">
        <f>IF(H45,An,'2022'!An_max)</f>
        <v>2022</v>
      </c>
      <c r="K45" s="193">
        <f t="shared" si="3"/>
        <v>44957</v>
      </c>
      <c r="L45" s="143">
        <f>IF(t&lt;Tvie,1-EXP((T0-t)*PertePVj)+'2022'!Pspv,1-EXP((T0-t)*PertePVj)+Pspv)</f>
        <v>5.9371306295062931E-3</v>
      </c>
      <c r="M45" s="836"/>
      <c r="N45" s="836"/>
      <c r="O45" s="48">
        <f>IF(t&lt;Tnet,'2022'!Resal+('2022'!Salim-'2022'!Resal)*(1-EXP(('2022'!Tnet-t)/('2022'!Tau_j))),Resal+(Salim-Resal)*(1-EXP((Tnet-t)/(Tau_j))))*Salcycl</f>
        <v>2.6227334026043915E-2</v>
      </c>
      <c r="P45" s="165">
        <f>(INDEX(Models!$BJ45:$BT45,,T45)*(1-R45)+INDEX(Models!$BJ45:$BT45,,T45+1)*R45-ERP_i)*Q45*Ramure*Pc/MaxiM</f>
        <v>2.2333614110711499E-3</v>
      </c>
      <c r="Q45" s="301">
        <f t="shared" si="4"/>
        <v>0.5</v>
      </c>
      <c r="R45" s="173">
        <f t="shared" si="5"/>
        <v>0.4955052947026769</v>
      </c>
      <c r="S45" s="802">
        <f t="shared" si="6"/>
        <v>0</v>
      </c>
      <c r="T45" s="172">
        <f t="shared" si="7"/>
        <v>6</v>
      </c>
      <c r="U45" s="247">
        <f t="shared" si="22"/>
        <v>0.4955052947026769</v>
      </c>
      <c r="V45" s="378">
        <f t="shared" si="8"/>
        <v>25.15668964039881</v>
      </c>
      <c r="W45" s="397">
        <f t="shared" si="9"/>
        <v>11.412102129560623</v>
      </c>
      <c r="X45" s="153">
        <f t="shared" si="10"/>
        <v>44957</v>
      </c>
      <c r="Y45" s="380">
        <f t="shared" si="11"/>
        <v>11.412102129560623</v>
      </c>
      <c r="Z45" s="380">
        <f t="shared" si="12"/>
        <v>11.480261944385388</v>
      </c>
      <c r="AA45" s="381">
        <f t="shared" si="13"/>
        <v>11.789468266603031</v>
      </c>
      <c r="AB45" s="193">
        <f t="shared" si="14"/>
        <v>44957</v>
      </c>
      <c r="AC45" s="420">
        <f>IF(OR(t&lt;Tnet,NoTnet),'2022'!Resal_s+('2022'!Salim-'2022'!Resal_s)*(1-EXP(('2022'!Tnet_s-t)/'2022'!Tau_j)),Resal_s+(Salim-Resal_s)*(1-EXP((Tnet_s-t)/Tau_j)))*Salcycl</f>
        <v>2.6227334026043915E-2</v>
      </c>
      <c r="AD45" s="227">
        <f>(INDEX(Models!$BJ45:$BT45,,AH45)*(1-AF45)+INDEX(Models!$BJ45:$BT45,,AH45+1)*AF45-ERP_i)*AE45*Ramure*Pc/MaxiM</f>
        <v>2.2333614110711499E-3</v>
      </c>
      <c r="AE45" s="301">
        <f t="shared" si="15"/>
        <v>0.5</v>
      </c>
      <c r="AF45" s="173">
        <f t="shared" si="16"/>
        <v>0.4955052947026769</v>
      </c>
      <c r="AG45" s="172">
        <f t="shared" si="17"/>
        <v>0</v>
      </c>
      <c r="AH45" s="172">
        <f t="shared" si="18"/>
        <v>6</v>
      </c>
      <c r="AI45" s="221">
        <f t="shared" si="23"/>
        <v>0.4955052947026769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44958</v>
      </c>
      <c r="B46" s="406">
        <f>'2022'!Wh/'2022'!Env_an*'2023'!Env_an</f>
        <v>14.710698624663189</v>
      </c>
      <c r="C46" s="385"/>
      <c r="D46" s="388">
        <f t="shared" si="0"/>
        <v>14.798762188800508</v>
      </c>
      <c r="E46" s="380">
        <f t="shared" si="1"/>
        <v>15.198115445536853</v>
      </c>
      <c r="F46" s="380">
        <f t="shared" si="2"/>
        <v>15.210798227685359</v>
      </c>
      <c r="G46" s="110">
        <f t="shared" si="24"/>
        <v>0.57553572970194833</v>
      </c>
      <c r="H46" s="409" t="b">
        <f>Wh_hp&gt;='2022'!Maxi_hp</f>
        <v>0</v>
      </c>
      <c r="I46" s="385">
        <f>IF(H46,Wh_hp,'2022'!Maxi_hp)</f>
        <v>15.230246512611631</v>
      </c>
      <c r="J46" s="85">
        <f>IF(H46,An,'2022'!An_max)</f>
        <v>2022</v>
      </c>
      <c r="K46" s="193">
        <f t="shared" si="3"/>
        <v>44958</v>
      </c>
      <c r="L46" s="143">
        <f>IF(t&lt;Tvie,1-EXP((T0-t)*PertePVj)+'2022'!Pspv,1-EXP((T0-t)*PertePVj)+Pspv)</f>
        <v>5.9507385154120573E-3</v>
      </c>
      <c r="M46" s="836"/>
      <c r="N46" s="836"/>
      <c r="O46" s="48">
        <f>IF(t&lt;Tnet,'2022'!Resal+('2022'!Salim-'2022'!Resal)*(1-EXP(('2022'!Tnet-t)/('2022'!Tau_j))),Resal+(Salim-Resal)*(1-EXP((Tnet-t)/(Tau_j))))*Salcycl</f>
        <v>2.6276498436101942E-2</v>
      </c>
      <c r="P46" s="165">
        <f>(INDEX(Models!$BJ46:$BT46,,T46)*(1-R46)+INDEX(Models!$BJ46:$BT46,,T46+1)*R46-ERP_i)*Q46*Ramure*Pc/MaxiM</f>
        <v>2.112621331222237E-3</v>
      </c>
      <c r="Q46" s="301">
        <f t="shared" si="4"/>
        <v>0.5</v>
      </c>
      <c r="R46" s="173">
        <f t="shared" si="5"/>
        <v>0.49560484329311738</v>
      </c>
      <c r="S46" s="802">
        <f t="shared" si="6"/>
        <v>0</v>
      </c>
      <c r="T46" s="172">
        <f t="shared" si="7"/>
        <v>6</v>
      </c>
      <c r="U46" s="247">
        <f t="shared" si="22"/>
        <v>0.49560484329311738</v>
      </c>
      <c r="V46" s="378">
        <f t="shared" si="8"/>
        <v>25.527295405637023</v>
      </c>
      <c r="W46" s="397">
        <f t="shared" si="9"/>
        <v>14.710698624663189</v>
      </c>
      <c r="X46" s="153">
        <f t="shared" si="10"/>
        <v>44958</v>
      </c>
      <c r="Y46" s="380">
        <f t="shared" si="11"/>
        <v>14.710698624663189</v>
      </c>
      <c r="Z46" s="380">
        <f t="shared" si="12"/>
        <v>14.798762188800508</v>
      </c>
      <c r="AA46" s="381">
        <f t="shared" si="13"/>
        <v>15.198115445536853</v>
      </c>
      <c r="AB46" s="193">
        <f t="shared" si="14"/>
        <v>44958</v>
      </c>
      <c r="AC46" s="420">
        <f>IF(OR(t&lt;Tnet,NoTnet),'2022'!Resal_s+('2022'!Salim-'2022'!Resal_s)*(1-EXP(('2022'!Tnet_s-t)/'2022'!Tau_j)),Resal_s+(Salim-Resal_s)*(1-EXP((Tnet_s-t)/Tau_j)))*Salcycl</f>
        <v>2.6276498436101942E-2</v>
      </c>
      <c r="AD46" s="227">
        <f>(INDEX(Models!$BJ46:$BT46,,AH46)*(1-AF46)+INDEX(Models!$BJ46:$BT46,,AH46+1)*AF46-ERP_i)*AE46*Ramure*Pc/MaxiM</f>
        <v>2.112621331222237E-3</v>
      </c>
      <c r="AE46" s="301">
        <f t="shared" si="15"/>
        <v>0.5</v>
      </c>
      <c r="AF46" s="173">
        <f t="shared" si="16"/>
        <v>0.49560484329311738</v>
      </c>
      <c r="AG46" s="172">
        <f t="shared" si="17"/>
        <v>0</v>
      </c>
      <c r="AH46" s="172">
        <f t="shared" si="18"/>
        <v>6</v>
      </c>
      <c r="AI46" s="221">
        <f t="shared" si="23"/>
        <v>0.49560484329311738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44959</v>
      </c>
      <c r="B47" s="406">
        <f>'2022'!Wh/'2022'!Env_an*'2023'!Env_an</f>
        <v>5.932180652023848</v>
      </c>
      <c r="C47" s="385"/>
      <c r="D47" s="388">
        <f t="shared" si="0"/>
        <v>5.9677745254267727</v>
      </c>
      <c r="E47" s="380">
        <f t="shared" si="1"/>
        <v>6.1291278417260813</v>
      </c>
      <c r="F47" s="380">
        <f t="shared" si="2"/>
        <v>6.1291278417260813</v>
      </c>
      <c r="G47" s="110">
        <f t="shared" si="24"/>
        <v>0.22858317081738688</v>
      </c>
      <c r="H47" s="409" t="b">
        <f>Wh_hp&gt;='2022'!Maxi_hp</f>
        <v>0</v>
      </c>
      <c r="I47" s="385">
        <f>IF(H47,Wh_hp,'2022'!Maxi_hp)</f>
        <v>6.1412851991901132</v>
      </c>
      <c r="J47" s="85">
        <f>IF(H47,An,'2022'!An_max)</f>
        <v>2022</v>
      </c>
      <c r="K47" s="193">
        <f t="shared" si="3"/>
        <v>44959</v>
      </c>
      <c r="L47" s="143">
        <f>IF(t&lt;Tvie,1-EXP((T0-t)*PertePVj)+'2022'!Pspv,1-EXP((T0-t)*PertePVj)+Pspv)</f>
        <v>5.964346215037164E-3</v>
      </c>
      <c r="M47" s="836"/>
      <c r="N47" s="836"/>
      <c r="O47" s="48">
        <f>IF(t&lt;Tnet,'2022'!Resal+('2022'!Salim-'2022'!Resal)*(1-EXP(('2022'!Tnet-t)/('2022'!Tau_j))),Resal+(Salim-Resal)*(1-EXP((Tnet-t)/(Tau_j))))*Salcycl</f>
        <v>2.6325656841556192E-2</v>
      </c>
      <c r="P47" s="165">
        <f>(INDEX(Models!$BJ47:$BT47,,T47)*(1-R47)+INDEX(Models!$BJ47:$BT47,,T47+1)*R47-ERP_i)*Q47*Ramure*Pc/MaxiM</f>
        <v>1.984255501269946E-3</v>
      </c>
      <c r="Q47" s="301">
        <f t="shared" si="4"/>
        <v>0.5</v>
      </c>
      <c r="R47" s="173">
        <f t="shared" si="5"/>
        <v>0.49570852585836228</v>
      </c>
      <c r="S47" s="802">
        <f t="shared" si="6"/>
        <v>0</v>
      </c>
      <c r="T47" s="172">
        <f t="shared" si="7"/>
        <v>6</v>
      </c>
      <c r="U47" s="247">
        <f t="shared" si="22"/>
        <v>0.49570852585836228</v>
      </c>
      <c r="V47" s="378">
        <f t="shared" si="8"/>
        <v>25.900461826475873</v>
      </c>
      <c r="W47" s="397">
        <f t="shared" si="9"/>
        <v>5.932180652023848</v>
      </c>
      <c r="X47" s="153">
        <f t="shared" si="10"/>
        <v>44959</v>
      </c>
      <c r="Y47" s="380">
        <f t="shared" si="11"/>
        <v>5.932180652023848</v>
      </c>
      <c r="Z47" s="380">
        <f t="shared" si="12"/>
        <v>5.9677745254267727</v>
      </c>
      <c r="AA47" s="381">
        <f t="shared" si="13"/>
        <v>6.1291278417260813</v>
      </c>
      <c r="AB47" s="193">
        <f t="shared" si="14"/>
        <v>44959</v>
      </c>
      <c r="AC47" s="420">
        <f>IF(OR(t&lt;Tnet,NoTnet),'2022'!Resal_s+('2022'!Salim-'2022'!Resal_s)*(1-EXP(('2022'!Tnet_s-t)/'2022'!Tau_j)),Resal_s+(Salim-Resal_s)*(1-EXP((Tnet_s-t)/Tau_j)))*Salcycl</f>
        <v>2.6325656841556192E-2</v>
      </c>
      <c r="AD47" s="227">
        <f>(INDEX(Models!$BJ47:$BT47,,AH47)*(1-AF47)+INDEX(Models!$BJ47:$BT47,,AH47+1)*AF47-ERP_i)*AE47*Ramure*Pc/MaxiM</f>
        <v>1.984255501269946E-3</v>
      </c>
      <c r="AE47" s="301">
        <f t="shared" si="15"/>
        <v>0.5</v>
      </c>
      <c r="AF47" s="173">
        <f t="shared" si="16"/>
        <v>0.49570852585836228</v>
      </c>
      <c r="AG47" s="172">
        <f t="shared" si="17"/>
        <v>0</v>
      </c>
      <c r="AH47" s="172">
        <f t="shared" si="18"/>
        <v>6</v>
      </c>
      <c r="AI47" s="221">
        <f t="shared" si="23"/>
        <v>0.49570852585836228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44960</v>
      </c>
      <c r="B48" s="406">
        <f>'2022'!Wh/'2022'!Env_an*'2023'!Env_an</f>
        <v>13.707156902649627</v>
      </c>
      <c r="C48" s="385"/>
      <c r="D48" s="388">
        <f t="shared" si="0"/>
        <v>13.789590436210666</v>
      </c>
      <c r="E48" s="380">
        <f t="shared" si="1"/>
        <v>14.163140549375175</v>
      </c>
      <c r="F48" s="380">
        <f t="shared" si="2"/>
        <v>14.171437054756648</v>
      </c>
      <c r="G48" s="110">
        <f t="shared" si="24"/>
        <v>0.5210164666130499</v>
      </c>
      <c r="H48" s="409" t="b">
        <f>Wh_hp&gt;='2022'!Maxi_hp</f>
        <v>0</v>
      </c>
      <c r="I48" s="385">
        <f>IF(H48,Wh_hp,'2022'!Maxi_hp)</f>
        <v>14.189329287709032</v>
      </c>
      <c r="J48" s="85">
        <f>IF(H48,An,'2022'!An_max)</f>
        <v>2022</v>
      </c>
      <c r="K48" s="193">
        <f t="shared" si="3"/>
        <v>44960</v>
      </c>
      <c r="L48" s="143">
        <f>IF(t&lt;Tvie,1-EXP((T0-t)*PertePVj)+'2022'!Pspv,1-EXP((T0-t)*PertePVj)+Pspv)</f>
        <v>5.9779537283843887E-3</v>
      </c>
      <c r="M48" s="836"/>
      <c r="N48" s="836"/>
      <c r="O48" s="48">
        <f>IF(t&lt;Tnet,'2022'!Resal+('2022'!Salim-'2022'!Resal)*(1-EXP(('2022'!Tnet-t)/('2022'!Tau_j))),Resal+(Salim-Resal)*(1-EXP((Tnet-t)/(Tau_j))))*Salcycl</f>
        <v>2.6374808035142257E-2</v>
      </c>
      <c r="P48" s="165">
        <f>(INDEX(Models!$BJ48:$BT48,,T48)*(1-R48)+INDEX(Models!$BJ48:$BT48,,T48+1)*R48-ERP_i)*Q48*Ramure*Pc/MaxiM</f>
        <v>1.8486766588779195E-3</v>
      </c>
      <c r="Q48" s="301">
        <f t="shared" si="4"/>
        <v>0.5</v>
      </c>
      <c r="R48" s="173">
        <f t="shared" si="5"/>
        <v>0.49581651223299528</v>
      </c>
      <c r="S48" s="802">
        <f t="shared" si="6"/>
        <v>0</v>
      </c>
      <c r="T48" s="172">
        <f t="shared" si="7"/>
        <v>6</v>
      </c>
      <c r="U48" s="247">
        <f t="shared" si="22"/>
        <v>0.49581651223299528</v>
      </c>
      <c r="V48" s="378">
        <f t="shared" si="8"/>
        <v>26.275237413249002</v>
      </c>
      <c r="W48" s="397">
        <f t="shared" si="9"/>
        <v>13.707156902649627</v>
      </c>
      <c r="X48" s="153">
        <f t="shared" si="10"/>
        <v>44960</v>
      </c>
      <c r="Y48" s="380">
        <f t="shared" si="11"/>
        <v>13.707156902649627</v>
      </c>
      <c r="Z48" s="380">
        <f t="shared" si="12"/>
        <v>13.789590436210666</v>
      </c>
      <c r="AA48" s="381">
        <f t="shared" si="13"/>
        <v>14.163140549375175</v>
      </c>
      <c r="AB48" s="193">
        <f t="shared" si="14"/>
        <v>44960</v>
      </c>
      <c r="AC48" s="420">
        <f>IF(OR(t&lt;Tnet,NoTnet),'2022'!Resal_s+('2022'!Salim-'2022'!Resal_s)*(1-EXP(('2022'!Tnet_s-t)/'2022'!Tau_j)),Resal_s+(Salim-Resal_s)*(1-EXP((Tnet_s-t)/Tau_j)))*Salcycl</f>
        <v>2.6374808035142257E-2</v>
      </c>
      <c r="AD48" s="227">
        <f>(INDEX(Models!$BJ48:$BT48,,AH48)*(1-AF48)+INDEX(Models!$BJ48:$BT48,,AH48+1)*AF48-ERP_i)*AE48*Ramure*Pc/MaxiM</f>
        <v>1.8486766588779195E-3</v>
      </c>
      <c r="AE48" s="301">
        <f t="shared" si="15"/>
        <v>0.5</v>
      </c>
      <c r="AF48" s="173">
        <f t="shared" si="16"/>
        <v>0.49581651223299528</v>
      </c>
      <c r="AG48" s="172">
        <f t="shared" si="17"/>
        <v>0</v>
      </c>
      <c r="AH48" s="172">
        <f t="shared" si="18"/>
        <v>6</v>
      </c>
      <c r="AI48" s="221">
        <f t="shared" si="23"/>
        <v>0.49581651223299528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44961</v>
      </c>
      <c r="B49" s="406">
        <f>'2022'!Wh/'2022'!Env_an*'2023'!Env_an</f>
        <v>12.50777284194127</v>
      </c>
      <c r="C49" s="385"/>
      <c r="D49" s="388">
        <f t="shared" si="0"/>
        <v>12.583165647187311</v>
      </c>
      <c r="E49" s="380">
        <f t="shared" si="1"/>
        <v>12.924686935415092</v>
      </c>
      <c r="F49" s="380">
        <f t="shared" si="2"/>
        <v>12.930023496423095</v>
      </c>
      <c r="G49" s="110">
        <f t="shared" si="24"/>
        <v>0.46871566556036992</v>
      </c>
      <c r="H49" s="409" t="b">
        <f>Wh_hp&gt;='2022'!Maxi_hp</f>
        <v>0</v>
      </c>
      <c r="I49" s="385">
        <f>IF(H49,Wh_hp,'2022'!Maxi_hp)</f>
        <v>12.946736780036268</v>
      </c>
      <c r="J49" s="85">
        <f>IF(H49,An,'2022'!An_max)</f>
        <v>2022</v>
      </c>
      <c r="K49" s="193">
        <f t="shared" si="3"/>
        <v>44961</v>
      </c>
      <c r="L49" s="143">
        <f>IF(t&lt;Tvie,1-EXP((T0-t)*PertePVj)+'2022'!Pspv,1-EXP((T0-t)*PertePVj)+Pspv)</f>
        <v>5.9915610554561738E-3</v>
      </c>
      <c r="M49" s="836"/>
      <c r="N49" s="836"/>
      <c r="O49" s="48">
        <f>IF(t&lt;Tnet,'2022'!Resal+('2022'!Salim-'2022'!Resal)*(1-EXP(('2022'!Tnet-t)/('2022'!Tau_j))),Resal+(Salim-Resal)*(1-EXP((Tnet-t)/(Tau_j))))*Salcycl</f>
        <v>2.6423950532370309E-2</v>
      </c>
      <c r="P49" s="165">
        <f>(INDEX(Models!$BJ49:$BT49,,T49)*(1-R49)+INDEX(Models!$BJ49:$BT49,,T49+1)*R49-ERP_i)*Q49*Ramure*Pc/MaxiM</f>
        <v>1.7062562342793747E-3</v>
      </c>
      <c r="Q49" s="301">
        <f t="shared" si="4"/>
        <v>0.5</v>
      </c>
      <c r="R49" s="173">
        <f t="shared" si="5"/>
        <v>0.49592897907236122</v>
      </c>
      <c r="S49" s="802">
        <f t="shared" si="6"/>
        <v>0</v>
      </c>
      <c r="T49" s="172">
        <f t="shared" si="7"/>
        <v>6</v>
      </c>
      <c r="U49" s="247">
        <f t="shared" si="22"/>
        <v>0.49592897907236122</v>
      </c>
      <c r="V49" s="378">
        <f t="shared" si="8"/>
        <v>26.650670974135554</v>
      </c>
      <c r="W49" s="397">
        <f t="shared" si="9"/>
        <v>12.50777284194127</v>
      </c>
      <c r="X49" s="153">
        <f t="shared" si="10"/>
        <v>44961</v>
      </c>
      <c r="Y49" s="380">
        <f t="shared" si="11"/>
        <v>12.50777284194127</v>
      </c>
      <c r="Z49" s="380">
        <f t="shared" si="12"/>
        <v>12.583165647187311</v>
      </c>
      <c r="AA49" s="381">
        <f t="shared" si="13"/>
        <v>12.924686935415092</v>
      </c>
      <c r="AB49" s="193">
        <f t="shared" si="14"/>
        <v>44961</v>
      </c>
      <c r="AC49" s="420">
        <f>IF(OR(t&lt;Tnet,NoTnet),'2022'!Resal_s+('2022'!Salim-'2022'!Resal_s)*(1-EXP(('2022'!Tnet_s-t)/'2022'!Tau_j)),Resal_s+(Salim-Resal_s)*(1-EXP((Tnet_s-t)/Tau_j)))*Salcycl</f>
        <v>2.6423950532370309E-2</v>
      </c>
      <c r="AD49" s="227">
        <f>(INDEX(Models!$BJ49:$BT49,,AH49)*(1-AF49)+INDEX(Models!$BJ49:$BT49,,AH49+1)*AF49-ERP_i)*AE49*Ramure*Pc/MaxiM</f>
        <v>1.7062562342793747E-3</v>
      </c>
      <c r="AE49" s="301">
        <f t="shared" si="15"/>
        <v>0.5</v>
      </c>
      <c r="AF49" s="173">
        <f t="shared" si="16"/>
        <v>0.49592897907236122</v>
      </c>
      <c r="AG49" s="172">
        <f t="shared" si="17"/>
        <v>0</v>
      </c>
      <c r="AH49" s="172">
        <f t="shared" si="18"/>
        <v>6</v>
      </c>
      <c r="AI49" s="221">
        <f t="shared" si="23"/>
        <v>0.49592897907236122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44962</v>
      </c>
      <c r="B50" s="406">
        <f>'2022'!Wh/'2022'!Env_an*'2023'!Env_an</f>
        <v>9.8213991767244657</v>
      </c>
      <c r="C50" s="385"/>
      <c r="D50" s="388">
        <f t="shared" si="0"/>
        <v>9.8807346502014912</v>
      </c>
      <c r="E50" s="380">
        <f t="shared" si="1"/>
        <v>10.149421113532002</v>
      </c>
      <c r="F50" s="380">
        <f t="shared" si="2"/>
        <v>10.150853065575786</v>
      </c>
      <c r="G50" s="110">
        <f t="shared" si="24"/>
        <v>0.36289335998924094</v>
      </c>
      <c r="H50" s="409" t="b">
        <f>Wh_hp&gt;='2022'!Maxi_hp</f>
        <v>0</v>
      </c>
      <c r="I50" s="385">
        <f>IF(H50,Wh_hp,'2022'!Maxi_hp)</f>
        <v>10.165216263192344</v>
      </c>
      <c r="J50" s="85">
        <f>IF(H50,An,'2022'!An_max)</f>
        <v>2022</v>
      </c>
      <c r="K50" s="193">
        <f t="shared" si="3"/>
        <v>44962</v>
      </c>
      <c r="L50" s="143">
        <f>IF(t&lt;Tvie,1-EXP((T0-t)*PertePVj)+'2022'!Pspv,1-EXP((T0-t)*PertePVj)+Pspv)</f>
        <v>6.0051681962550729E-3</v>
      </c>
      <c r="M50" s="836"/>
      <c r="N50" s="836"/>
      <c r="O50" s="48">
        <f>IF(t&lt;Tnet,'2022'!Resal+('2022'!Salim-'2022'!Resal)*(1-EXP(('2022'!Tnet-t)/('2022'!Tau_j))),Resal+(Salim-Resal)*(1-EXP((Tnet-t)/(Tau_j))))*Salcycl</f>
        <v>2.6473082585200557E-2</v>
      </c>
      <c r="P50" s="165">
        <f>(INDEX(Models!$BJ50:$BT50,,T50)*(1-R50)+INDEX(Models!$BJ50:$BT50,,T50+1)*R50-ERP_i)*Q50*Ramure*Pc/MaxiM</f>
        <v>1.5573246212304949E-3</v>
      </c>
      <c r="Q50" s="301">
        <f t="shared" si="4"/>
        <v>0.5</v>
      </c>
      <c r="R50" s="173">
        <f t="shared" si="5"/>
        <v>0.49604611011314209</v>
      </c>
      <c r="S50" s="802">
        <f t="shared" si="6"/>
        <v>0</v>
      </c>
      <c r="T50" s="172">
        <f t="shared" si="7"/>
        <v>6</v>
      </c>
      <c r="U50" s="247">
        <f t="shared" si="22"/>
        <v>0.49604611011314209</v>
      </c>
      <c r="V50" s="378">
        <f t="shared" si="8"/>
        <v>27.025811617803882</v>
      </c>
      <c r="W50" s="397">
        <f t="shared" si="9"/>
        <v>9.8213991767244657</v>
      </c>
      <c r="X50" s="153">
        <f t="shared" si="10"/>
        <v>44962</v>
      </c>
      <c r="Y50" s="380">
        <f t="shared" si="11"/>
        <v>9.8213991767244657</v>
      </c>
      <c r="Z50" s="380">
        <f t="shared" si="12"/>
        <v>9.8807346502014912</v>
      </c>
      <c r="AA50" s="381">
        <f t="shared" si="13"/>
        <v>10.149421113532002</v>
      </c>
      <c r="AB50" s="193">
        <f t="shared" si="14"/>
        <v>44962</v>
      </c>
      <c r="AC50" s="420">
        <f>IF(OR(t&lt;Tnet,NoTnet),'2022'!Resal_s+('2022'!Salim-'2022'!Resal_s)*(1-EXP(('2022'!Tnet_s-t)/'2022'!Tau_j)),Resal_s+(Salim-Resal_s)*(1-EXP((Tnet_s-t)/Tau_j)))*Salcycl</f>
        <v>2.6473082585200557E-2</v>
      </c>
      <c r="AD50" s="227">
        <f>(INDEX(Models!$BJ50:$BT50,,AH50)*(1-AF50)+INDEX(Models!$BJ50:$BT50,,AH50+1)*AF50-ERP_i)*AE50*Ramure*Pc/MaxiM</f>
        <v>1.5573246212304949E-3</v>
      </c>
      <c r="AE50" s="301">
        <f t="shared" si="15"/>
        <v>0.5</v>
      </c>
      <c r="AF50" s="173">
        <f t="shared" si="16"/>
        <v>0.49604611011314209</v>
      </c>
      <c r="AG50" s="172">
        <f t="shared" si="17"/>
        <v>0</v>
      </c>
      <c r="AH50" s="172">
        <f t="shared" si="18"/>
        <v>6</v>
      </c>
      <c r="AI50" s="221">
        <f t="shared" si="23"/>
        <v>0.49604611011314209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44963</v>
      </c>
      <c r="B51" s="406">
        <f>'2022'!Wh/'2022'!Env_an*'2023'!Env_an</f>
        <v>21.569785002070905</v>
      </c>
      <c r="C51" s="385"/>
      <c r="D51" s="388">
        <f t="shared" si="0"/>
        <v>21.700394799049619</v>
      </c>
      <c r="E51" s="380">
        <f t="shared" si="1"/>
        <v>22.291617588088606</v>
      </c>
      <c r="F51" s="380">
        <f t="shared" si="2"/>
        <v>22.313388311031986</v>
      </c>
      <c r="G51" s="110">
        <f t="shared" si="24"/>
        <v>0.78680283981468557</v>
      </c>
      <c r="H51" s="409" t="b">
        <f>Wh_hp&gt;='2022'!Maxi_hp</f>
        <v>0</v>
      </c>
      <c r="I51" s="385">
        <f>IF(H51,Wh_hp,'2022'!Maxi_hp)</f>
        <v>22.322890993589862</v>
      </c>
      <c r="J51" s="85">
        <f>IF(H51,An,'2022'!An_max)</f>
        <v>2022</v>
      </c>
      <c r="K51" s="193">
        <f t="shared" si="3"/>
        <v>44963</v>
      </c>
      <c r="L51" s="143">
        <f>IF(t&lt;Tvie,1-EXP((T0-t)*PertePVj)+'2022'!Pspv,1-EXP((T0-t)*PertePVj)+Pspv)</f>
        <v>6.0187751507836396E-3</v>
      </c>
      <c r="M51" s="836"/>
      <c r="N51" s="836"/>
      <c r="O51" s="48">
        <f>IF(t&lt;Tnet,'2022'!Resal+('2022'!Salim-'2022'!Resal)*(1-EXP(('2022'!Tnet-t)/('2022'!Tau_j))),Resal+(Salim-Resal)*(1-EXP((Tnet-t)/(Tau_j))))*Salcycl</f>
        <v>2.6522202200117851E-2</v>
      </c>
      <c r="P51" s="165">
        <f>(INDEX(Models!$BJ51:$BT51,,T51)*(1-R51)+INDEX(Models!$BJ51:$BT51,,T51+1)*R51-ERP_i)*Q51*Ramure*Pc/MaxiM</f>
        <v>1.4020150898064105E-3</v>
      </c>
      <c r="Q51" s="301">
        <f t="shared" si="4"/>
        <v>0.5</v>
      </c>
      <c r="R51" s="173">
        <f t="shared" si="5"/>
        <v>0.49616809644273624</v>
      </c>
      <c r="S51" s="802">
        <f t="shared" si="6"/>
        <v>0</v>
      </c>
      <c r="T51" s="172">
        <f t="shared" si="7"/>
        <v>6</v>
      </c>
      <c r="U51" s="247">
        <f t="shared" si="22"/>
        <v>0.49616809644273624</v>
      </c>
      <c r="V51" s="378">
        <f t="shared" si="8"/>
        <v>27.402773566767188</v>
      </c>
      <c r="W51" s="397">
        <f t="shared" si="9"/>
        <v>21.569785002070905</v>
      </c>
      <c r="X51" s="153">
        <f t="shared" si="10"/>
        <v>44963</v>
      </c>
      <c r="Y51" s="380">
        <f t="shared" si="11"/>
        <v>21.569785002070905</v>
      </c>
      <c r="Z51" s="380">
        <f t="shared" si="12"/>
        <v>21.700394799049619</v>
      </c>
      <c r="AA51" s="381">
        <f t="shared" si="13"/>
        <v>22.291617588088606</v>
      </c>
      <c r="AB51" s="193">
        <f t="shared" si="14"/>
        <v>44963</v>
      </c>
      <c r="AC51" s="420">
        <f>IF(OR(t&lt;Tnet,NoTnet),'2022'!Resal_s+('2022'!Salim-'2022'!Resal_s)*(1-EXP(('2022'!Tnet_s-t)/'2022'!Tau_j)),Resal_s+(Salim-Resal_s)*(1-EXP((Tnet_s-t)/Tau_j)))*Salcycl</f>
        <v>2.6522202200117851E-2</v>
      </c>
      <c r="AD51" s="227">
        <f>(INDEX(Models!$BJ51:$BT51,,AH51)*(1-AF51)+INDEX(Models!$BJ51:$BT51,,AH51+1)*AF51-ERP_i)*AE51*Ramure*Pc/MaxiM</f>
        <v>1.4020150898064105E-3</v>
      </c>
      <c r="AE51" s="301">
        <f t="shared" si="15"/>
        <v>0.5</v>
      </c>
      <c r="AF51" s="173">
        <f t="shared" si="16"/>
        <v>0.49616809644273624</v>
      </c>
      <c r="AG51" s="172">
        <f t="shared" si="17"/>
        <v>0</v>
      </c>
      <c r="AH51" s="172">
        <f t="shared" si="18"/>
        <v>6</v>
      </c>
      <c r="AI51" s="221">
        <f t="shared" si="23"/>
        <v>0.49616809644273624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44964</v>
      </c>
      <c r="B52" s="406">
        <f>'2022'!Wh/'2022'!Env_an*'2023'!Env_an</f>
        <v>14.779507246640588</v>
      </c>
      <c r="C52" s="385"/>
      <c r="D52" s="388">
        <f t="shared" si="0"/>
        <v>14.869203963782292</v>
      </c>
      <c r="E52" s="380">
        <f t="shared" si="1"/>
        <v>15.275082882965451</v>
      </c>
      <c r="F52" s="380">
        <f t="shared" si="2"/>
        <v>15.281398740485583</v>
      </c>
      <c r="G52" s="110">
        <f t="shared" si="24"/>
        <v>0.53150112794093407</v>
      </c>
      <c r="H52" s="409" t="b">
        <f>Wh_hp&gt;='2022'!Maxi_hp</f>
        <v>0</v>
      </c>
      <c r="I52" s="385">
        <f>IF(H52,Wh_hp,'2022'!Maxi_hp)</f>
        <v>15.294127889599769</v>
      </c>
      <c r="J52" s="85">
        <f>IF(H52,An,'2022'!An_max)</f>
        <v>2022</v>
      </c>
      <c r="K52" s="193">
        <f t="shared" si="3"/>
        <v>44964</v>
      </c>
      <c r="L52" s="143">
        <f>IF(t&lt;Tvie,1-EXP((T0-t)*PertePVj)+'2022'!Pspv,1-EXP((T0-t)*PertePVj)+Pspv)</f>
        <v>6.0323819190444272E-3</v>
      </c>
      <c r="M52" s="836"/>
      <c r="N52" s="836"/>
      <c r="O52" s="48">
        <f>IF(t&lt;Tnet,'2022'!Resal+('2022'!Salim-'2022'!Resal)*(1-EXP(('2022'!Tnet-t)/('2022'!Tau_j))),Resal+(Salim-Resal)*(1-EXP((Tnet-t)/(Tau_j))))*Salcycl</f>
        <v>2.6571307160355238E-2</v>
      </c>
      <c r="P52" s="165">
        <f>(INDEX(Models!$BJ52:$BT52,,T52)*(1-R52)+INDEX(Models!$BJ52:$BT52,,T52+1)*R52-ERP_i)*Q52*Ramure*Pc/MaxiM</f>
        <v>1.2473326754944242E-3</v>
      </c>
      <c r="Q52" s="301">
        <f t="shared" si="4"/>
        <v>0.5</v>
      </c>
      <c r="R52" s="173">
        <f t="shared" si="5"/>
        <v>0.4962951367776377</v>
      </c>
      <c r="S52" s="802">
        <f t="shared" si="6"/>
        <v>0</v>
      </c>
      <c r="T52" s="172">
        <f t="shared" si="7"/>
        <v>6</v>
      </c>
      <c r="U52" s="247">
        <f t="shared" si="22"/>
        <v>0.4962951367776377</v>
      </c>
      <c r="V52" s="378">
        <f t="shared" si="8"/>
        <v>27.783902677251241</v>
      </c>
      <c r="W52" s="397">
        <f t="shared" si="9"/>
        <v>14.779507246640588</v>
      </c>
      <c r="X52" s="153">
        <f t="shared" si="10"/>
        <v>44964</v>
      </c>
      <c r="Y52" s="380">
        <f t="shared" si="11"/>
        <v>14.779507246640588</v>
      </c>
      <c r="Z52" s="380">
        <f t="shared" si="12"/>
        <v>14.869203963782292</v>
      </c>
      <c r="AA52" s="381">
        <f t="shared" si="13"/>
        <v>15.275082882965451</v>
      </c>
      <c r="AB52" s="193">
        <f t="shared" si="14"/>
        <v>44964</v>
      </c>
      <c r="AC52" s="420">
        <f>IF(OR(t&lt;Tnet,NoTnet),'2022'!Resal_s+('2022'!Salim-'2022'!Resal_s)*(1-EXP(('2022'!Tnet_s-t)/'2022'!Tau_j)),Resal_s+(Salim-Resal_s)*(1-EXP((Tnet_s-t)/Tau_j)))*Salcycl</f>
        <v>2.6571307160355238E-2</v>
      </c>
      <c r="AD52" s="227">
        <f>(INDEX(Models!$BJ52:$BT52,,AH52)*(1-AF52)+INDEX(Models!$BJ52:$BT52,,AH52+1)*AF52-ERP_i)*AE52*Ramure*Pc/MaxiM</f>
        <v>1.2473326754944242E-3</v>
      </c>
      <c r="AE52" s="301">
        <f t="shared" si="15"/>
        <v>0.5</v>
      </c>
      <c r="AF52" s="173">
        <f t="shared" si="16"/>
        <v>0.4962951367776377</v>
      </c>
      <c r="AG52" s="172">
        <f t="shared" si="17"/>
        <v>0</v>
      </c>
      <c r="AH52" s="172">
        <f t="shared" si="18"/>
        <v>6</v>
      </c>
      <c r="AI52" s="221">
        <f t="shared" si="23"/>
        <v>0.4962951367776377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44965</v>
      </c>
      <c r="B53" s="406">
        <f>'2022'!Wh/'2022'!Env_an*'2023'!Env_an</f>
        <v>28.642565175437635</v>
      </c>
      <c r="C53" s="385"/>
      <c r="D53" s="388">
        <f t="shared" si="0"/>
        <v>28.816791163448713</v>
      </c>
      <c r="E53" s="380">
        <f t="shared" si="1"/>
        <v>29.604884894817065</v>
      </c>
      <c r="F53" s="380">
        <f t="shared" si="2"/>
        <v>29.637565329868821</v>
      </c>
      <c r="G53" s="110">
        <f t="shared" si="24"/>
        <v>1.0168253644254308</v>
      </c>
      <c r="H53" s="409" t="b">
        <f>Wh_hp&gt;='2022'!Maxi_hp</f>
        <v>1</v>
      </c>
      <c r="I53" s="385">
        <f>IF(H53,Wh_hp,'2022'!Maxi_hp)</f>
        <v>29.637565329868821</v>
      </c>
      <c r="J53" s="85">
        <f>IF(H53,An,'2022'!An_max)</f>
        <v>2023</v>
      </c>
      <c r="K53" s="193">
        <f t="shared" si="3"/>
        <v>44965</v>
      </c>
      <c r="L53" s="143">
        <f>IF(t&lt;Tvie,1-EXP((T0-t)*PertePVj)+'2022'!Pspv,1-EXP((T0-t)*PertePVj)+Pspv)</f>
        <v>6.0459885010398784E-3</v>
      </c>
      <c r="M53" s="836"/>
      <c r="N53" s="836"/>
      <c r="O53" s="48">
        <f>IF(t&lt;Tnet,'2022'!Resal+('2022'!Salim-'2022'!Resal)*(1-EXP(('2022'!Tnet-t)/('2022'!Tau_j))),Resal+(Salim-Resal)*(1-EXP((Tnet-t)/(Tau_j))))*Salcycl</f>
        <v>2.6620395051977507E-2</v>
      </c>
      <c r="P53" s="165">
        <f>(INDEX(Models!$BJ53:$BT53,,T53)*(1-R53)+INDEX(Models!$BJ53:$BT53,,T53+1)*R53-ERP_i)*Q53*Ramure*Pc/MaxiM</f>
        <v>1.1026693551923436E-3</v>
      </c>
      <c r="Q53" s="301">
        <f t="shared" si="4"/>
        <v>0.5</v>
      </c>
      <c r="R53" s="173">
        <f t="shared" si="5"/>
        <v>0.49642743775100395</v>
      </c>
      <c r="S53" s="802">
        <f t="shared" si="6"/>
        <v>0</v>
      </c>
      <c r="T53" s="172">
        <f t="shared" si="7"/>
        <v>6</v>
      </c>
      <c r="U53" s="247">
        <f t="shared" si="22"/>
        <v>0.49642743775100395</v>
      </c>
      <c r="V53" s="378">
        <f t="shared" si="8"/>
        <v>28.168617913679256</v>
      </c>
      <c r="W53" s="397">
        <f t="shared" si="9"/>
        <v>28.642565175437635</v>
      </c>
      <c r="X53" s="153">
        <f t="shared" si="10"/>
        <v>44965</v>
      </c>
      <c r="Y53" s="380">
        <f t="shared" si="11"/>
        <v>28.642565175437635</v>
      </c>
      <c r="Z53" s="380">
        <f t="shared" si="12"/>
        <v>28.816791163448713</v>
      </c>
      <c r="AA53" s="381">
        <f t="shared" si="13"/>
        <v>29.604884894817065</v>
      </c>
      <c r="AB53" s="193">
        <f t="shared" si="14"/>
        <v>44965</v>
      </c>
      <c r="AC53" s="420">
        <f>IF(OR(t&lt;Tnet,NoTnet),'2022'!Resal_s+('2022'!Salim-'2022'!Resal_s)*(1-EXP(('2022'!Tnet_s-t)/'2022'!Tau_j)),Resal_s+(Salim-Resal_s)*(1-EXP((Tnet_s-t)/Tau_j)))*Salcycl</f>
        <v>2.6620395051977507E-2</v>
      </c>
      <c r="AD53" s="227">
        <f>(INDEX(Models!$BJ53:$BT53,,AH53)*(1-AF53)+INDEX(Models!$BJ53:$BT53,,AH53+1)*AF53-ERP_i)*AE53*Ramure*Pc/MaxiM</f>
        <v>1.1026693551923436E-3</v>
      </c>
      <c r="AE53" s="301">
        <f t="shared" si="15"/>
        <v>0.5</v>
      </c>
      <c r="AF53" s="173">
        <f t="shared" si="16"/>
        <v>0.49642743775100395</v>
      </c>
      <c r="AG53" s="172">
        <f t="shared" si="17"/>
        <v>0</v>
      </c>
      <c r="AH53" s="172">
        <f t="shared" si="18"/>
        <v>6</v>
      </c>
      <c r="AI53" s="221">
        <f t="shared" si="23"/>
        <v>0.49642743775100395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44966</v>
      </c>
      <c r="B54" s="406">
        <f>'2022'!Wh/'2022'!Env_an*'2023'!Env_an</f>
        <v>28.866832742205258</v>
      </c>
      <c r="C54" s="385"/>
      <c r="D54" s="388">
        <f t="shared" si="0"/>
        <v>29.04282046890653</v>
      </c>
      <c r="E54" s="380">
        <f t="shared" si="1"/>
        <v>29.838599914043552</v>
      </c>
      <c r="F54" s="380">
        <f t="shared" si="2"/>
        <v>29.867502380139104</v>
      </c>
      <c r="G54" s="110">
        <f t="shared" si="24"/>
        <v>1.0108637230245661</v>
      </c>
      <c r="H54" s="409" t="b">
        <f>Wh_hp&gt;='2022'!Maxi_hp</f>
        <v>1</v>
      </c>
      <c r="I54" s="385">
        <f>IF(H54,Wh_hp,'2022'!Maxi_hp)</f>
        <v>29.867502380139104</v>
      </c>
      <c r="J54" s="85">
        <f>IF(H54,An,'2022'!An_max)</f>
        <v>2023</v>
      </c>
      <c r="K54" s="193">
        <f t="shared" si="3"/>
        <v>44966</v>
      </c>
      <c r="L54" s="143">
        <f>IF(t&lt;Tvie,1-EXP((T0-t)*PertePVj)+'2022'!Pspv,1-EXP((T0-t)*PertePVj)+Pspv)</f>
        <v>6.0595948967727686E-3</v>
      </c>
      <c r="M54" s="836"/>
      <c r="N54" s="836"/>
      <c r="O54" s="48">
        <f>IF(t&lt;Tnet,'2022'!Resal+('2022'!Salim-'2022'!Resal)*(1-EXP(('2022'!Tnet-t)/('2022'!Tau_j))),Resal+(Salim-Resal)*(1-EXP((Tnet-t)/(Tau_j))))*Salcycl</f>
        <v>2.6669463293500131E-2</v>
      </c>
      <c r="P54" s="165">
        <f>(INDEX(Models!$BJ54:$BT54,,T54)*(1-R54)+INDEX(Models!$BJ54:$BT54,,T54+1)*R54-ERP_i)*Q54*Ramure*Pc/MaxiM</f>
        <v>9.6768942135479446E-4</v>
      </c>
      <c r="Q54" s="301">
        <f t="shared" si="4"/>
        <v>0.5</v>
      </c>
      <c r="R54" s="173">
        <f t="shared" si="5"/>
        <v>0.4965652142095951</v>
      </c>
      <c r="S54" s="802">
        <f t="shared" si="6"/>
        <v>0</v>
      </c>
      <c r="T54" s="172">
        <f t="shared" si="7"/>
        <v>6</v>
      </c>
      <c r="U54" s="247">
        <f t="shared" si="22"/>
        <v>0.4965652142095951</v>
      </c>
      <c r="V54" s="378">
        <f t="shared" si="8"/>
        <v>28.556601730482452</v>
      </c>
      <c r="W54" s="397">
        <f t="shared" si="9"/>
        <v>28.866832742205258</v>
      </c>
      <c r="X54" s="153">
        <f t="shared" si="10"/>
        <v>44966</v>
      </c>
      <c r="Y54" s="380">
        <f t="shared" si="11"/>
        <v>28.866832742205258</v>
      </c>
      <c r="Z54" s="380">
        <f t="shared" si="12"/>
        <v>29.04282046890653</v>
      </c>
      <c r="AA54" s="381">
        <f t="shared" si="13"/>
        <v>29.838599914043552</v>
      </c>
      <c r="AB54" s="193">
        <f t="shared" si="14"/>
        <v>44966</v>
      </c>
      <c r="AC54" s="420">
        <f>IF(OR(t&lt;Tnet,NoTnet),'2022'!Resal_s+('2022'!Salim-'2022'!Resal_s)*(1-EXP(('2022'!Tnet_s-t)/'2022'!Tau_j)),Resal_s+(Salim-Resal_s)*(1-EXP((Tnet_s-t)/Tau_j)))*Salcycl</f>
        <v>2.6669463293500131E-2</v>
      </c>
      <c r="AD54" s="227">
        <f>(INDEX(Models!$BJ54:$BT54,,AH54)*(1-AF54)+INDEX(Models!$BJ54:$BT54,,AH54+1)*AF54-ERP_i)*AE54*Ramure*Pc/MaxiM</f>
        <v>9.6768942135479446E-4</v>
      </c>
      <c r="AE54" s="301">
        <f t="shared" si="15"/>
        <v>0.5</v>
      </c>
      <c r="AF54" s="173">
        <f t="shared" si="16"/>
        <v>0.4965652142095951</v>
      </c>
      <c r="AG54" s="172">
        <f t="shared" si="17"/>
        <v>0</v>
      </c>
      <c r="AH54" s="172">
        <f t="shared" si="18"/>
        <v>6</v>
      </c>
      <c r="AI54" s="221">
        <f t="shared" si="23"/>
        <v>0.4965652142095951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21"/>
        <v>44967</v>
      </c>
      <c r="B55" s="406">
        <f>'2022'!Wh/'2022'!Env_an*'2023'!Env_an</f>
        <v>27.858947580354002</v>
      </c>
      <c r="C55" s="385"/>
      <c r="D55" s="388">
        <f t="shared" si="0"/>
        <v>28.029174393286457</v>
      </c>
      <c r="E55" s="380">
        <f t="shared" si="1"/>
        <v>28.798630876403305</v>
      </c>
      <c r="F55" s="380">
        <f t="shared" si="2"/>
        <v>28.8215966457722</v>
      </c>
      <c r="G55" s="110">
        <f t="shared" si="24"/>
        <v>0.96235084315329911</v>
      </c>
      <c r="H55" s="409" t="b">
        <f>Wh_hp&gt;='2022'!Maxi_hp</f>
        <v>0</v>
      </c>
      <c r="I55" s="385">
        <f>IF(H55,Wh_hp,'2022'!Maxi_hp)</f>
        <v>28.822898257849857</v>
      </c>
      <c r="J55" s="85">
        <f>IF(H55,An,'2022'!An_max)</f>
        <v>2022</v>
      </c>
      <c r="K55" s="193">
        <f t="shared" si="3"/>
        <v>44967</v>
      </c>
      <c r="L55" s="143">
        <f>IF(t&lt;Tvie,1-EXP((T0-t)*PertePVj)+'2022'!Pspv,1-EXP((T0-t)*PertePVj)+Pspv)</f>
        <v>6.0732011062455404E-3</v>
      </c>
      <c r="M55" s="836"/>
      <c r="N55" s="836"/>
      <c r="O55" s="48">
        <f>IF(t&lt;Tnet,'2022'!Resal+('2022'!Salim-'2022'!Resal)*(1-EXP(('2022'!Tnet-t)/('2022'!Tau_j))),Resal+(Salim-Resal)*(1-EXP((Tnet-t)/(Tau_j))))*Salcycl</f>
        <v>2.6718509168688082E-2</v>
      </c>
      <c r="P55" s="165">
        <f>(INDEX(Models!$BJ55:$BT55,,T55)*(1-R55)+INDEX(Models!$BJ55:$BT55,,T55+1)*R55-ERP_i)*Q55*Ramure*Pc/MaxiM</f>
        <v>8.4206252822210817E-4</v>
      </c>
      <c r="Q55" s="301">
        <f t="shared" si="4"/>
        <v>0.5</v>
      </c>
      <c r="R55" s="173">
        <f t="shared" si="5"/>
        <v>0.4967086895202576</v>
      </c>
      <c r="S55" s="802">
        <f t="shared" si="6"/>
        <v>0</v>
      </c>
      <c r="T55" s="172">
        <f t="shared" si="7"/>
        <v>6</v>
      </c>
      <c r="U55" s="247">
        <f t="shared" si="22"/>
        <v>0.4967086895202576</v>
      </c>
      <c r="V55" s="378">
        <f t="shared" si="8"/>
        <v>28.947536653817718</v>
      </c>
      <c r="W55" s="397">
        <f t="shared" si="9"/>
        <v>27.858947580354002</v>
      </c>
      <c r="X55" s="153">
        <f t="shared" si="10"/>
        <v>44967</v>
      </c>
      <c r="Y55" s="380">
        <f t="shared" si="11"/>
        <v>27.858947580354002</v>
      </c>
      <c r="Z55" s="380">
        <f t="shared" si="12"/>
        <v>28.029174393286457</v>
      </c>
      <c r="AA55" s="381">
        <f t="shared" si="13"/>
        <v>28.798630876403305</v>
      </c>
      <c r="AB55" s="193">
        <f t="shared" si="14"/>
        <v>44967</v>
      </c>
      <c r="AC55" s="420">
        <f>IF(OR(t&lt;Tnet,NoTnet),'2022'!Resal_s+('2022'!Salim-'2022'!Resal_s)*(1-EXP(('2022'!Tnet_s-t)/'2022'!Tau_j)),Resal_s+(Salim-Resal_s)*(1-EXP((Tnet_s-t)/Tau_j)))*Salcycl</f>
        <v>2.6718509168688082E-2</v>
      </c>
      <c r="AD55" s="227">
        <f>(INDEX(Models!$BJ55:$BT55,,AH55)*(1-AF55)+INDEX(Models!$BJ55:$BT55,,AH55+1)*AF55-ERP_i)*AE55*Ramure*Pc/MaxiM</f>
        <v>8.4206252822210817E-4</v>
      </c>
      <c r="AE55" s="301">
        <f t="shared" si="15"/>
        <v>0.5</v>
      </c>
      <c r="AF55" s="173">
        <f t="shared" si="16"/>
        <v>0.4967086895202576</v>
      </c>
      <c r="AG55" s="172">
        <f t="shared" si="17"/>
        <v>0</v>
      </c>
      <c r="AH55" s="172">
        <f t="shared" si="18"/>
        <v>6</v>
      </c>
      <c r="AI55" s="221">
        <f t="shared" si="23"/>
        <v>0.4967086895202576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21"/>
        <v>44968</v>
      </c>
      <c r="B56" s="406">
        <f>'2022'!Wh/'2022'!Env_an*'2023'!Env_an</f>
        <v>14.563461000741432</v>
      </c>
      <c r="C56" s="385"/>
      <c r="D56" s="388">
        <f t="shared" si="0"/>
        <v>14.652648848216238</v>
      </c>
      <c r="E56" s="380">
        <f t="shared" si="1"/>
        <v>15.055651447943204</v>
      </c>
      <c r="F56" s="380">
        <f t="shared" si="2"/>
        <v>15.058715791061736</v>
      </c>
      <c r="G56" s="110">
        <f t="shared" si="24"/>
        <v>0.49609098226279991</v>
      </c>
      <c r="H56" s="409" t="b">
        <f>Wh_hp&gt;='2022'!Maxi_hp</f>
        <v>0</v>
      </c>
      <c r="I56" s="385">
        <f>IF(H56,Wh_hp,'2022'!Maxi_hp)</f>
        <v>15.066561571107581</v>
      </c>
      <c r="J56" s="85">
        <f>IF(H56,An,'2022'!An_max)</f>
        <v>2022</v>
      </c>
      <c r="K56" s="193">
        <f t="shared" si="3"/>
        <v>44968</v>
      </c>
      <c r="L56" s="143">
        <f>IF(t&lt;Tvie,1-EXP((T0-t)*PertePVj)+'2022'!Pspv,1-EXP((T0-t)*PertePVj)+Pspv)</f>
        <v>6.0868071294606363E-3</v>
      </c>
      <c r="M56" s="836"/>
      <c r="N56" s="836"/>
      <c r="O56" s="48">
        <f>IF(t&lt;Tnet,'2022'!Resal+('2022'!Salim-'2022'!Resal)*(1-EXP(('2022'!Tnet-t)/('2022'!Tau_j))),Resal+(Salim-Resal)*(1-EXP((Tnet-t)/(Tau_j))))*Salcycl</f>
        <v>2.6767529862151564E-2</v>
      </c>
      <c r="P56" s="165">
        <f>(INDEX(Models!$BJ56:$BT56,,T56)*(1-R56)+INDEX(Models!$BJ56:$BT56,,T56+1)*R56-ERP_i)*Q56*Ramure*Pc/MaxiM</f>
        <v>7.2546478125360163E-4</v>
      </c>
      <c r="Q56" s="301">
        <f t="shared" si="4"/>
        <v>0.5</v>
      </c>
      <c r="R56" s="173">
        <f t="shared" si="5"/>
        <v>0.49685809588611879</v>
      </c>
      <c r="S56" s="802">
        <f t="shared" si="6"/>
        <v>0</v>
      </c>
      <c r="T56" s="172">
        <f t="shared" si="7"/>
        <v>6</v>
      </c>
      <c r="U56" s="247">
        <f t="shared" si="22"/>
        <v>0.49685809588611879</v>
      </c>
      <c r="V56" s="378">
        <f t="shared" si="8"/>
        <v>29.341105277359286</v>
      </c>
      <c r="W56" s="397">
        <f t="shared" si="9"/>
        <v>14.563461000741432</v>
      </c>
      <c r="X56" s="153">
        <f t="shared" si="10"/>
        <v>44968</v>
      </c>
      <c r="Y56" s="380">
        <f t="shared" si="11"/>
        <v>14.563461000741432</v>
      </c>
      <c r="Z56" s="380">
        <f t="shared" si="12"/>
        <v>14.652648848216238</v>
      </c>
      <c r="AA56" s="381">
        <f t="shared" si="13"/>
        <v>15.055651447943204</v>
      </c>
      <c r="AB56" s="193">
        <f t="shared" si="14"/>
        <v>44968</v>
      </c>
      <c r="AC56" s="420">
        <f>IF(OR(t&lt;Tnet,NoTnet),'2022'!Resal_s+('2022'!Salim-'2022'!Resal_s)*(1-EXP(('2022'!Tnet_s-t)/'2022'!Tau_j)),Resal_s+(Salim-Resal_s)*(1-EXP((Tnet_s-t)/Tau_j)))*Salcycl</f>
        <v>2.6767529862151564E-2</v>
      </c>
      <c r="AD56" s="227">
        <f>(INDEX(Models!$BJ56:$BT56,,AH56)*(1-AF56)+INDEX(Models!$BJ56:$BT56,,AH56+1)*AF56-ERP_i)*AE56*Ramure*Pc/MaxiM</f>
        <v>7.2546478125360163E-4</v>
      </c>
      <c r="AE56" s="301">
        <f t="shared" si="15"/>
        <v>0.5</v>
      </c>
      <c r="AF56" s="173">
        <f t="shared" si="16"/>
        <v>0.49685809588611879</v>
      </c>
      <c r="AG56" s="172">
        <f t="shared" si="17"/>
        <v>0</v>
      </c>
      <c r="AH56" s="172">
        <f t="shared" si="18"/>
        <v>6</v>
      </c>
      <c r="AI56" s="221">
        <f t="shared" si="23"/>
        <v>0.49685809588611879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21"/>
        <v>44969</v>
      </c>
      <c r="B57" s="406">
        <f>'2022'!Wh/'2022'!Env_an*'2023'!Env_an</f>
        <v>23.287529930448745</v>
      </c>
      <c r="C57" s="385"/>
      <c r="D57" s="388">
        <f t="shared" si="0"/>
        <v>23.43046544566274</v>
      </c>
      <c r="E57" s="380">
        <f t="shared" si="1"/>
        <v>24.076102797993244</v>
      </c>
      <c r="F57" s="380">
        <f t="shared" si="2"/>
        <v>24.08636919869079</v>
      </c>
      <c r="G57" s="110">
        <f t="shared" si="24"/>
        <v>0.78296666299471129</v>
      </c>
      <c r="H57" s="409" t="b">
        <f>Wh_hp&gt;='2022'!Maxi_hp</f>
        <v>0</v>
      </c>
      <c r="I57" s="385">
        <f>IF(H57,Wh_hp,'2022'!Maxi_hp)</f>
        <v>24.090968807798074</v>
      </c>
      <c r="J57" s="85">
        <f>IF(H57,An,'2022'!An_max)</f>
        <v>2022</v>
      </c>
      <c r="K57" s="193">
        <f t="shared" si="3"/>
        <v>44969</v>
      </c>
      <c r="L57" s="143">
        <f>IF(t&lt;Tvie,1-EXP((T0-t)*PertePVj)+'2022'!Pspv,1-EXP((T0-t)*PertePVj)+Pspv)</f>
        <v>6.1004129664208318E-3</v>
      </c>
      <c r="M57" s="836"/>
      <c r="N57" s="836"/>
      <c r="O57" s="48">
        <f>IF(t&lt;Tnet,'2022'!Resal+('2022'!Salim-'2022'!Resal)*(1-EXP(('2022'!Tnet-t)/('2022'!Tau_j))),Resal+(Salim-Resal)*(1-EXP((Tnet-t)/(Tau_j))))*Salcycl</f>
        <v>2.6816522497333656E-2</v>
      </c>
      <c r="P57" s="165">
        <f>(INDEX(Models!$BJ57:$BT57,,T57)*(1-R57)+INDEX(Models!$BJ57:$BT57,,T57+1)*R57-ERP_i)*Q57*Ramure*Pc/MaxiM</f>
        <v>6.175796473464212E-4</v>
      </c>
      <c r="Q57" s="301">
        <f t="shared" si="4"/>
        <v>0.5</v>
      </c>
      <c r="R57" s="173">
        <f t="shared" si="5"/>
        <v>0.49701367467264163</v>
      </c>
      <c r="S57" s="802">
        <f t="shared" si="6"/>
        <v>0</v>
      </c>
      <c r="T57" s="172">
        <f t="shared" si="7"/>
        <v>6</v>
      </c>
      <c r="U57" s="247">
        <f t="shared" si="22"/>
        <v>0.49701367467264163</v>
      </c>
      <c r="V57" s="378">
        <f t="shared" si="8"/>
        <v>29.736990264652562</v>
      </c>
      <c r="W57" s="397">
        <f t="shared" si="9"/>
        <v>23.287529930448745</v>
      </c>
      <c r="X57" s="153">
        <f t="shared" si="10"/>
        <v>44969</v>
      </c>
      <c r="Y57" s="380">
        <f t="shared" si="11"/>
        <v>23.287529930448745</v>
      </c>
      <c r="Z57" s="380">
        <f t="shared" si="12"/>
        <v>23.43046544566274</v>
      </c>
      <c r="AA57" s="381">
        <f t="shared" si="13"/>
        <v>24.076102797993244</v>
      </c>
      <c r="AB57" s="193">
        <f t="shared" si="14"/>
        <v>44969</v>
      </c>
      <c r="AC57" s="420">
        <f>IF(OR(t&lt;Tnet,NoTnet),'2022'!Resal_s+('2022'!Salim-'2022'!Resal_s)*(1-EXP(('2022'!Tnet_s-t)/'2022'!Tau_j)),Resal_s+(Salim-Resal_s)*(1-EXP((Tnet_s-t)/Tau_j)))*Salcycl</f>
        <v>2.6816522497333656E-2</v>
      </c>
      <c r="AD57" s="227">
        <f>(INDEX(Models!$BJ57:$BT57,,AH57)*(1-AF57)+INDEX(Models!$BJ57:$BT57,,AH57+1)*AF57-ERP_i)*AE57*Ramure*Pc/MaxiM</f>
        <v>6.175796473464212E-4</v>
      </c>
      <c r="AE57" s="301">
        <f t="shared" si="15"/>
        <v>0.5</v>
      </c>
      <c r="AF57" s="173">
        <f t="shared" si="16"/>
        <v>0.49701367467264163</v>
      </c>
      <c r="AG57" s="172">
        <f t="shared" si="17"/>
        <v>0</v>
      </c>
      <c r="AH57" s="172">
        <f t="shared" si="18"/>
        <v>6</v>
      </c>
      <c r="AI57" s="221">
        <f t="shared" si="23"/>
        <v>0.49701367467264163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21"/>
        <v>44970</v>
      </c>
      <c r="B58" s="406">
        <f>'2022'!Wh/'2022'!Env_an*'2023'!Env_an</f>
        <v>25.656697554081273</v>
      </c>
      <c r="C58" s="385"/>
      <c r="D58" s="388">
        <f t="shared" si="0"/>
        <v>25.814528059227776</v>
      </c>
      <c r="E58" s="380">
        <f t="shared" si="1"/>
        <v>26.527193969049339</v>
      </c>
      <c r="F58" s="380">
        <f t="shared" si="2"/>
        <v>26.538080104895769</v>
      </c>
      <c r="G58" s="110">
        <f t="shared" si="24"/>
        <v>0.85130364275507586</v>
      </c>
      <c r="H58" s="409" t="b">
        <f>Wh_hp&gt;='2022'!Maxi_hp</f>
        <v>0</v>
      </c>
      <c r="I58" s="385">
        <f>IF(H58,Wh_hp,'2022'!Maxi_hp)</f>
        <v>26.541007451756311</v>
      </c>
      <c r="J58" s="85">
        <f>IF(H58,An,'2022'!An_max)</f>
        <v>2022</v>
      </c>
      <c r="K58" s="193">
        <f t="shared" si="3"/>
        <v>44970</v>
      </c>
      <c r="L58" s="143">
        <f>IF(t&lt;Tvie,1-EXP((T0-t)*PertePVj)+'2022'!Pspv,1-EXP((T0-t)*PertePVj)+Pspv)</f>
        <v>6.1140186171284583E-3</v>
      </c>
      <c r="M58" s="836"/>
      <c r="N58" s="836"/>
      <c r="O58" s="48">
        <f>IF(t&lt;Tnet,'2022'!Resal+('2022'!Salim-'2022'!Resal)*(1-EXP(('2022'!Tnet-t)/('2022'!Tau_j))),Resal+(Salim-Resal)*(1-EXP((Tnet-t)/(Tau_j))))*Salcycl</f>
        <v>2.6865484176466965E-2</v>
      </c>
      <c r="P58" s="165">
        <f>(INDEX(Models!$BJ58:$BT58,,T58)*(1-R58)+INDEX(Models!$BJ58:$BT58,,T58+1)*R58-ERP_i)*Q58*Ramure*Pc/MaxiM</f>
        <v>5.2075956577432244E-4</v>
      </c>
      <c r="Q58" s="301">
        <f t="shared" si="4"/>
        <v>0.5</v>
      </c>
      <c r="R58" s="173">
        <f t="shared" si="5"/>
        <v>0.49717567674368079</v>
      </c>
      <c r="S58" s="802">
        <f t="shared" si="6"/>
        <v>0</v>
      </c>
      <c r="T58" s="172">
        <f t="shared" si="7"/>
        <v>6</v>
      </c>
      <c r="U58" s="247">
        <f t="shared" si="22"/>
        <v>0.49717567674368079</v>
      </c>
      <c r="V58" s="378">
        <f t="shared" si="8"/>
        <v>30.134794116427287</v>
      </c>
      <c r="W58" s="397">
        <f t="shared" si="9"/>
        <v>25.656697554081273</v>
      </c>
      <c r="X58" s="153">
        <f t="shared" si="10"/>
        <v>44970</v>
      </c>
      <c r="Y58" s="380">
        <f t="shared" si="11"/>
        <v>25.656697554081273</v>
      </c>
      <c r="Z58" s="380">
        <f t="shared" si="12"/>
        <v>25.814528059227776</v>
      </c>
      <c r="AA58" s="381">
        <f t="shared" si="13"/>
        <v>26.527193969049339</v>
      </c>
      <c r="AB58" s="193">
        <f t="shared" si="14"/>
        <v>44970</v>
      </c>
      <c r="AC58" s="420">
        <f>IF(OR(t&lt;Tnet,NoTnet),'2022'!Resal_s+('2022'!Salim-'2022'!Resal_s)*(1-EXP(('2022'!Tnet_s-t)/'2022'!Tau_j)),Resal_s+(Salim-Resal_s)*(1-EXP((Tnet_s-t)/Tau_j)))*Salcycl</f>
        <v>2.6865484176466965E-2</v>
      </c>
      <c r="AD58" s="227">
        <f>(INDEX(Models!$BJ58:$BT58,,AH58)*(1-AF58)+INDEX(Models!$BJ58:$BT58,,AH58+1)*AF58-ERP_i)*AE58*Ramure*Pc/MaxiM</f>
        <v>5.2075956577432244E-4</v>
      </c>
      <c r="AE58" s="301">
        <f t="shared" si="15"/>
        <v>0.5</v>
      </c>
      <c r="AF58" s="173">
        <f t="shared" si="16"/>
        <v>0.49717567674368079</v>
      </c>
      <c r="AG58" s="172">
        <f t="shared" si="17"/>
        <v>0</v>
      </c>
      <c r="AH58" s="172">
        <f t="shared" si="18"/>
        <v>6</v>
      </c>
      <c r="AI58" s="221">
        <f t="shared" si="23"/>
        <v>0.49717567674368079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44971</v>
      </c>
      <c r="B59" s="406">
        <f>'2022'!Wh/'2022'!Env_an*'2023'!Env_an</f>
        <v>16.4727638860188</v>
      </c>
      <c r="C59" s="385"/>
      <c r="D59" s="388">
        <f t="shared" si="0"/>
        <v>16.574325119758669</v>
      </c>
      <c r="E59" s="380">
        <f t="shared" si="1"/>
        <v>17.032751614583013</v>
      </c>
      <c r="F59" s="380">
        <f t="shared" si="2"/>
        <v>17.03528826708386</v>
      </c>
      <c r="G59" s="110">
        <f t="shared" si="24"/>
        <v>0.53933154285655627</v>
      </c>
      <c r="H59" s="409" t="b">
        <f>Wh_hp&gt;='2022'!Maxi_hp</f>
        <v>0</v>
      </c>
      <c r="I59" s="385">
        <f>IF(H59,Wh_hp,'2022'!Maxi_hp)</f>
        <v>17.04015432936102</v>
      </c>
      <c r="J59" s="85">
        <f>IF(H59,An,'2022'!An_max)</f>
        <v>2022</v>
      </c>
      <c r="K59" s="193">
        <f t="shared" si="3"/>
        <v>44971</v>
      </c>
      <c r="L59" s="143">
        <f>IF(t&lt;Tvie,1-EXP((T0-t)*PertePVj)+'2022'!Pspv,1-EXP((T0-t)*PertePVj)+Pspv)</f>
        <v>6.1276240815860694E-3</v>
      </c>
      <c r="M59" s="836"/>
      <c r="N59" s="836"/>
      <c r="O59" s="48">
        <f>IF(t&lt;Tnet,'2022'!Resal+('2022'!Salim-'2022'!Resal)*(1-EXP(('2022'!Tnet-t)/('2022'!Tau_j))),Resal+(Salim-Resal)*(1-EXP((Tnet-t)/(Tau_j))))*Salcycl</f>
        <v>2.691441202206294E-2</v>
      </c>
      <c r="P59" s="165">
        <f>(INDEX(Models!$BJ59:$BT59,,T59)*(1-R59)+INDEX(Models!$BJ59:$BT59,,T59+1)*R59-ERP_i)*Q59*Ramure*Pc/MaxiM</f>
        <v>4.3524052744200336E-4</v>
      </c>
      <c r="Q59" s="301">
        <f t="shared" si="4"/>
        <v>0.5</v>
      </c>
      <c r="R59" s="173">
        <f t="shared" si="5"/>
        <v>0.49734436280766253</v>
      </c>
      <c r="S59" s="802">
        <f t="shared" si="6"/>
        <v>0</v>
      </c>
      <c r="T59" s="172">
        <f t="shared" si="7"/>
        <v>6</v>
      </c>
      <c r="U59" s="247">
        <f t="shared" si="22"/>
        <v>0.49734436280766253</v>
      </c>
      <c r="V59" s="378">
        <f t="shared" si="8"/>
        <v>30.534180091310375</v>
      </c>
      <c r="W59" s="397">
        <f t="shared" si="9"/>
        <v>16.4727638860188</v>
      </c>
      <c r="X59" s="153">
        <f t="shared" si="10"/>
        <v>44971</v>
      </c>
      <c r="Y59" s="380">
        <f t="shared" si="11"/>
        <v>16.4727638860188</v>
      </c>
      <c r="Z59" s="380">
        <f t="shared" si="12"/>
        <v>16.574325119758669</v>
      </c>
      <c r="AA59" s="381">
        <f t="shared" si="13"/>
        <v>17.032751614583013</v>
      </c>
      <c r="AB59" s="193">
        <f t="shared" si="14"/>
        <v>44971</v>
      </c>
      <c r="AC59" s="420">
        <f>IF(OR(t&lt;Tnet,NoTnet),'2022'!Resal_s+('2022'!Salim-'2022'!Resal_s)*(1-EXP(('2022'!Tnet_s-t)/'2022'!Tau_j)),Resal_s+(Salim-Resal_s)*(1-EXP((Tnet_s-t)/Tau_j)))*Salcycl</f>
        <v>2.691441202206294E-2</v>
      </c>
      <c r="AD59" s="227">
        <f>(INDEX(Models!$BJ59:$BT59,,AH59)*(1-AF59)+INDEX(Models!$BJ59:$BT59,,AH59+1)*AF59-ERP_i)*AE59*Ramure*Pc/MaxiM</f>
        <v>4.3524052744200336E-4</v>
      </c>
      <c r="AE59" s="301">
        <f t="shared" si="15"/>
        <v>0.5</v>
      </c>
      <c r="AF59" s="173">
        <f t="shared" si="16"/>
        <v>0.49734436280766253</v>
      </c>
      <c r="AG59" s="172">
        <f t="shared" si="17"/>
        <v>0</v>
      </c>
      <c r="AH59" s="172">
        <f t="shared" si="18"/>
        <v>6</v>
      </c>
      <c r="AI59" s="221">
        <f t="shared" si="23"/>
        <v>0.49734436280766253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44972</v>
      </c>
      <c r="B60" s="406">
        <f>'2022'!Wh/'2022'!Env_an*'2023'!Env_an</f>
        <v>21.204314235310875</v>
      </c>
      <c r="C60" s="385"/>
      <c r="D60" s="388">
        <f t="shared" si="0"/>
        <v>21.335339448332196</v>
      </c>
      <c r="E60" s="380">
        <f t="shared" si="1"/>
        <v>21.926551710664679</v>
      </c>
      <c r="F60" s="380">
        <f t="shared" si="2"/>
        <v>21.930906515533202</v>
      </c>
      <c r="G60" s="110">
        <f t="shared" si="24"/>
        <v>0.68534001689802448</v>
      </c>
      <c r="H60" s="409" t="b">
        <f>Wh_hp&gt;='2022'!Maxi_hp</f>
        <v>0</v>
      </c>
      <c r="I60" s="385">
        <f>IF(H60,Wh_hp,'2022'!Maxi_hp)</f>
        <v>21.934451021953191</v>
      </c>
      <c r="J60" s="85">
        <f>IF(H60,An,'2022'!An_max)</f>
        <v>2022</v>
      </c>
      <c r="K60" s="193">
        <f t="shared" si="3"/>
        <v>44972</v>
      </c>
      <c r="L60" s="143">
        <f>IF(t&lt;Tvie,1-EXP((T0-t)*PertePVj)+'2022'!Pspv,1-EXP((T0-t)*PertePVj)+Pspv)</f>
        <v>6.1412293597964407E-3</v>
      </c>
      <c r="M60" s="836"/>
      <c r="N60" s="836"/>
      <c r="O60" s="48">
        <f>IF(t&lt;Tnet,'2022'!Resal+('2022'!Salim-'2022'!Resal)*(1-EXP(('2022'!Tnet-t)/('2022'!Tau_j))),Resal+(Salim-Resal)*(1-EXP((Tnet-t)/(Tau_j))))*Salcycl</f>
        <v>2.6963303219490208E-2</v>
      </c>
      <c r="P60" s="165">
        <f>(INDEX(Models!$BJ60:$BT60,,T60)*(1-R60)+INDEX(Models!$BJ60:$BT60,,T60+1)*R60-ERP_i)*Q60*Ramure*Pc/MaxiM</f>
        <v>3.6061256383227607E-4</v>
      </c>
      <c r="Q60" s="301">
        <f t="shared" si="4"/>
        <v>0.5</v>
      </c>
      <c r="R60" s="173">
        <f t="shared" si="5"/>
        <v>0.49752000377399297</v>
      </c>
      <c r="S60" s="802">
        <f t="shared" si="6"/>
        <v>0</v>
      </c>
      <c r="T60" s="172">
        <f t="shared" si="7"/>
        <v>6</v>
      </c>
      <c r="U60" s="247">
        <f t="shared" si="22"/>
        <v>0.49752000377399297</v>
      </c>
      <c r="V60" s="378">
        <f t="shared" si="8"/>
        <v>30.934830907249086</v>
      </c>
      <c r="W60" s="397">
        <f t="shared" si="9"/>
        <v>21.204314235310875</v>
      </c>
      <c r="X60" s="153">
        <f t="shared" si="10"/>
        <v>44972</v>
      </c>
      <c r="Y60" s="380">
        <f t="shared" si="11"/>
        <v>21.204314235310875</v>
      </c>
      <c r="Z60" s="380">
        <f t="shared" si="12"/>
        <v>21.335339448332196</v>
      </c>
      <c r="AA60" s="381">
        <f t="shared" si="13"/>
        <v>21.926551710664679</v>
      </c>
      <c r="AB60" s="193">
        <f t="shared" si="14"/>
        <v>44972</v>
      </c>
      <c r="AC60" s="420">
        <f>IF(OR(t&lt;Tnet,NoTnet),'2022'!Resal_s+('2022'!Salim-'2022'!Resal_s)*(1-EXP(('2022'!Tnet_s-t)/'2022'!Tau_j)),Resal_s+(Salim-Resal_s)*(1-EXP((Tnet_s-t)/Tau_j)))*Salcycl</f>
        <v>2.6963303219490208E-2</v>
      </c>
      <c r="AD60" s="227">
        <f>(INDEX(Models!$BJ60:$BT60,,AH60)*(1-AF60)+INDEX(Models!$BJ60:$BT60,,AH60+1)*AF60-ERP_i)*AE60*Ramure*Pc/MaxiM</f>
        <v>3.6061256383227607E-4</v>
      </c>
      <c r="AE60" s="301">
        <f t="shared" si="15"/>
        <v>0.5</v>
      </c>
      <c r="AF60" s="173">
        <f t="shared" si="16"/>
        <v>0.49752000377399297</v>
      </c>
      <c r="AG60" s="172">
        <f t="shared" si="17"/>
        <v>0</v>
      </c>
      <c r="AH60" s="172">
        <f t="shared" si="18"/>
        <v>6</v>
      </c>
      <c r="AI60" s="221">
        <f t="shared" si="23"/>
        <v>0.49752000377399297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21"/>
        <v>44973</v>
      </c>
      <c r="B61" s="406">
        <f>'2022'!Wh/'2022'!Env_an*'2023'!Env_an</f>
        <v>10.070391019849678</v>
      </c>
      <c r="C61" s="385"/>
      <c r="D61" s="388">
        <f t="shared" si="0"/>
        <v>10.132756458391096</v>
      </c>
      <c r="E61" s="380">
        <f t="shared" si="1"/>
        <v>10.414062735817586</v>
      </c>
      <c r="F61" s="380">
        <f t="shared" si="2"/>
        <v>10.414156968105665</v>
      </c>
      <c r="G61" s="110">
        <f t="shared" si="24"/>
        <v>0.32127133336590152</v>
      </c>
      <c r="H61" s="409" t="b">
        <f>Wh_hp&gt;='2022'!Maxi_hp</f>
        <v>0</v>
      </c>
      <c r="I61" s="385">
        <f>IF(H61,Wh_hp,'2022'!Maxi_hp)</f>
        <v>10.417141926380237</v>
      </c>
      <c r="J61" s="85">
        <f>IF(H61,An,'2022'!An_max)</f>
        <v>2022</v>
      </c>
      <c r="K61" s="193">
        <f t="shared" si="3"/>
        <v>44973</v>
      </c>
      <c r="L61" s="143">
        <f>IF(t&lt;Tvie,1-EXP((T0-t)*PertePVj)+'2022'!Pspv,1-EXP((T0-t)*PertePVj)+Pspv)</f>
        <v>6.1548344517619036E-3</v>
      </c>
      <c r="M61" s="836"/>
      <c r="N61" s="836"/>
      <c r="O61" s="48">
        <f>IF(t&lt;Tnet,'2022'!Resal+('2022'!Salim-'2022'!Resal)*(1-EXP(('2022'!Tnet-t)/('2022'!Tau_j))),Resal+(Salim-Resal)*(1-EXP((Tnet-t)/(Tau_j))))*Salcycl</f>
        <v>2.7012155060193763E-2</v>
      </c>
      <c r="P61" s="165">
        <f>(INDEX(Models!$BJ61:$BT61,,T61)*(1-R61)+INDEX(Models!$BJ61:$BT61,,T61+1)*R61-ERP_i)*Q61*Ramure*Pc/MaxiM</f>
        <v>2.9648115391227038E-4</v>
      </c>
      <c r="Q61" s="301">
        <f t="shared" si="4"/>
        <v>0.5</v>
      </c>
      <c r="R61" s="173">
        <f t="shared" si="5"/>
        <v>0.49770288111978106</v>
      </c>
      <c r="S61" s="802">
        <f t="shared" si="6"/>
        <v>0</v>
      </c>
      <c r="T61" s="172">
        <f t="shared" si="7"/>
        <v>6</v>
      </c>
      <c r="U61" s="247">
        <f t="shared" si="22"/>
        <v>0.49770288111978106</v>
      </c>
      <c r="V61" s="378">
        <f t="shared" si="8"/>
        <v>31.336429331436765</v>
      </c>
      <c r="W61" s="397">
        <f t="shared" si="9"/>
        <v>10.070391019849678</v>
      </c>
      <c r="X61" s="153">
        <f t="shared" si="10"/>
        <v>44973</v>
      </c>
      <c r="Y61" s="380">
        <f t="shared" si="11"/>
        <v>10.070391019849678</v>
      </c>
      <c r="Z61" s="380">
        <f t="shared" si="12"/>
        <v>10.132756458391096</v>
      </c>
      <c r="AA61" s="381">
        <f t="shared" si="13"/>
        <v>10.414062735817586</v>
      </c>
      <c r="AB61" s="193">
        <f t="shared" si="14"/>
        <v>44973</v>
      </c>
      <c r="AC61" s="420">
        <f>IF(OR(t&lt;Tnet,NoTnet),'2022'!Resal_s+('2022'!Salim-'2022'!Resal_s)*(1-EXP(('2022'!Tnet_s-t)/'2022'!Tau_j)),Resal_s+(Salim-Resal_s)*(1-EXP((Tnet_s-t)/Tau_j)))*Salcycl</f>
        <v>2.7012155060193763E-2</v>
      </c>
      <c r="AD61" s="227">
        <f>(INDEX(Models!$BJ61:$BT61,,AH61)*(1-AF61)+INDEX(Models!$BJ61:$BT61,,AH61+1)*AF61-ERP_i)*AE61*Ramure*Pc/MaxiM</f>
        <v>2.9648115391227038E-4</v>
      </c>
      <c r="AE61" s="301">
        <f t="shared" si="15"/>
        <v>0.5</v>
      </c>
      <c r="AF61" s="173">
        <f t="shared" si="16"/>
        <v>0.49770288111978106</v>
      </c>
      <c r="AG61" s="172">
        <f t="shared" si="17"/>
        <v>0</v>
      </c>
      <c r="AH61" s="172">
        <f t="shared" si="18"/>
        <v>6</v>
      </c>
      <c r="AI61" s="221">
        <f t="shared" si="23"/>
        <v>0.49770288111978106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44974</v>
      </c>
      <c r="B62" s="406">
        <f>'2022'!Wh/'2022'!Env_an*'2023'!Env_an</f>
        <v>12.101501751033645</v>
      </c>
      <c r="C62" s="385"/>
      <c r="D62" s="388">
        <f t="shared" si="0"/>
        <v>12.176612446489413</v>
      </c>
      <c r="E62" s="380">
        <f t="shared" si="1"/>
        <v>12.515288222866969</v>
      </c>
      <c r="F62" s="380">
        <f t="shared" si="2"/>
        <v>12.515640612887911</v>
      </c>
      <c r="G62" s="110">
        <f t="shared" si="24"/>
        <v>0.3812041491852412</v>
      </c>
      <c r="H62" s="409" t="b">
        <f>Wh_hp&gt;='2022'!Maxi_hp</f>
        <v>0</v>
      </c>
      <c r="I62" s="385">
        <f>IF(H62,Wh_hp,'2022'!Maxi_hp)</f>
        <v>12.518314703244648</v>
      </c>
      <c r="J62" s="85">
        <f>IF(H62,An,'2022'!An_max)</f>
        <v>2022</v>
      </c>
      <c r="K62" s="193">
        <f t="shared" si="3"/>
        <v>44974</v>
      </c>
      <c r="L62" s="143">
        <f>IF(t&lt;Tvie,1-EXP((T0-t)*PertePVj)+'2022'!Pspv,1-EXP((T0-t)*PertePVj)+Pspv)</f>
        <v>6.1684393574851226E-3</v>
      </c>
      <c r="M62" s="836"/>
      <c r="N62" s="836"/>
      <c r="O62" s="48">
        <f>IF(t&lt;Tnet,'2022'!Resal+('2022'!Salim-'2022'!Resal)*(1-EXP(('2022'!Tnet-t)/('2022'!Tau_j))),Resal+(Salim-Resal)*(1-EXP((Tnet-t)/(Tau_j))))*Salcycl</f>
        <v>2.7060964985109456E-2</v>
      </c>
      <c r="P62" s="165">
        <f>(INDEX(Models!$BJ62:$BT62,,T62)*(1-R62)+INDEX(Models!$BJ62:$BT62,,T62+1)*R62-ERP_i)*Q62*Ramure*Pc/MaxiM</f>
        <v>2.4246749386785122E-4</v>
      </c>
      <c r="Q62" s="301">
        <f t="shared" si="4"/>
        <v>0.5</v>
      </c>
      <c r="R62" s="173">
        <f t="shared" si="5"/>
        <v>0.49789328726693738</v>
      </c>
      <c r="S62" s="802">
        <f t="shared" si="6"/>
        <v>0</v>
      </c>
      <c r="T62" s="172">
        <f t="shared" si="7"/>
        <v>6</v>
      </c>
      <c r="U62" s="247">
        <f t="shared" si="22"/>
        <v>0.49789328726693738</v>
      </c>
      <c r="V62" s="378">
        <f t="shared" si="8"/>
        <v>31.738658177267997</v>
      </c>
      <c r="W62" s="397">
        <f t="shared" si="9"/>
        <v>12.101501751033645</v>
      </c>
      <c r="X62" s="153">
        <f t="shared" si="10"/>
        <v>44974</v>
      </c>
      <c r="Y62" s="380">
        <f t="shared" si="11"/>
        <v>12.101501751033645</v>
      </c>
      <c r="Z62" s="380">
        <f t="shared" si="12"/>
        <v>12.176612446489413</v>
      </c>
      <c r="AA62" s="381">
        <f t="shared" si="13"/>
        <v>12.515288222866969</v>
      </c>
      <c r="AB62" s="193">
        <f t="shared" si="14"/>
        <v>44974</v>
      </c>
      <c r="AC62" s="420">
        <f>IF(OR(t&lt;Tnet,NoTnet),'2022'!Resal_s+('2022'!Salim-'2022'!Resal_s)*(1-EXP(('2022'!Tnet_s-t)/'2022'!Tau_j)),Resal_s+(Salim-Resal_s)*(1-EXP((Tnet_s-t)/Tau_j)))*Salcycl</f>
        <v>2.7060964985109456E-2</v>
      </c>
      <c r="AD62" s="227">
        <f>(INDEX(Models!$BJ62:$BT62,,AH62)*(1-AF62)+INDEX(Models!$BJ62:$BT62,,AH62+1)*AF62-ERP_i)*AE62*Ramure*Pc/MaxiM</f>
        <v>2.4246749386785122E-4</v>
      </c>
      <c r="AE62" s="301">
        <f t="shared" si="15"/>
        <v>0.5</v>
      </c>
      <c r="AF62" s="173">
        <f t="shared" si="16"/>
        <v>0.49789328726693738</v>
      </c>
      <c r="AG62" s="172">
        <f t="shared" si="17"/>
        <v>0</v>
      </c>
      <c r="AH62" s="172">
        <f t="shared" si="18"/>
        <v>6</v>
      </c>
      <c r="AI62" s="221">
        <f t="shared" si="23"/>
        <v>0.49789328726693738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21"/>
        <v>44975</v>
      </c>
      <c r="B63" s="406">
        <f>'2022'!Wh/'2022'!Env_an*'2023'!Env_an</f>
        <v>28.357076040523879</v>
      </c>
      <c r="C63" s="385"/>
      <c r="D63" s="388">
        <f t="shared" si="0"/>
        <v>28.53347121725788</v>
      </c>
      <c r="E63" s="380">
        <f t="shared" si="1"/>
        <v>29.328560594681797</v>
      </c>
      <c r="F63" s="380">
        <f t="shared" si="2"/>
        <v>29.333396837590914</v>
      </c>
      <c r="G63" s="110">
        <f t="shared" si="24"/>
        <v>0.88223620384936974</v>
      </c>
      <c r="H63" s="409" t="b">
        <f>Wh_hp&gt;='2022'!Maxi_hp</f>
        <v>0</v>
      </c>
      <c r="I63" s="385">
        <f>IF(H63,Wh_hp,'2022'!Maxi_hp)</f>
        <v>29.334371482242279</v>
      </c>
      <c r="J63" s="85">
        <f>IF(H63,An,'2022'!An_max)</f>
        <v>2022</v>
      </c>
      <c r="K63" s="193">
        <f t="shared" si="3"/>
        <v>44975</v>
      </c>
      <c r="L63" s="143">
        <f>IF(t&lt;Tvie,1-EXP((T0-t)*PertePVj)+'2022'!Pspv,1-EXP((T0-t)*PertePVj)+Pspv)</f>
        <v>6.1820440769685403E-3</v>
      </c>
      <c r="M63" s="836"/>
      <c r="N63" s="836"/>
      <c r="O63" s="48">
        <f>IF(t&lt;Tnet,'2022'!Resal+('2022'!Salim-'2022'!Resal)*(1-EXP(('2022'!Tnet-t)/('2022'!Tau_j))),Resal+(Salim-Resal)*(1-EXP((Tnet-t)/(Tau_j))))*Salcycl</f>
        <v>2.710973062783353E-2</v>
      </c>
      <c r="P63" s="165">
        <f>(INDEX(Models!$BJ63:$BT63,,T63)*(1-R63)+INDEX(Models!$BJ63:$BT63,,T63+1)*R63-ERP_i)*Q63*Ramure*Pc/MaxiM</f>
        <v>1.9820866655531985E-4</v>
      </c>
      <c r="Q63" s="301">
        <f t="shared" si="4"/>
        <v>0.5</v>
      </c>
      <c r="R63" s="173">
        <f t="shared" si="5"/>
        <v>0.49809152596968564</v>
      </c>
      <c r="S63" s="802">
        <f t="shared" si="6"/>
        <v>0</v>
      </c>
      <c r="T63" s="172">
        <f t="shared" si="7"/>
        <v>6</v>
      </c>
      <c r="U63" s="247">
        <f t="shared" si="22"/>
        <v>0.49809152596968564</v>
      </c>
      <c r="V63" s="378">
        <f t="shared" si="8"/>
        <v>32.141200302210557</v>
      </c>
      <c r="W63" s="397">
        <f t="shared" si="9"/>
        <v>28.357076040523879</v>
      </c>
      <c r="X63" s="153">
        <f t="shared" si="10"/>
        <v>44975</v>
      </c>
      <c r="Y63" s="380">
        <f t="shared" si="11"/>
        <v>28.357076040523879</v>
      </c>
      <c r="Z63" s="380">
        <f t="shared" si="12"/>
        <v>28.53347121725788</v>
      </c>
      <c r="AA63" s="381">
        <f t="shared" si="13"/>
        <v>29.328560594681797</v>
      </c>
      <c r="AB63" s="193">
        <f t="shared" si="14"/>
        <v>44975</v>
      </c>
      <c r="AC63" s="420">
        <f>IF(OR(t&lt;Tnet,NoTnet),'2022'!Resal_s+('2022'!Salim-'2022'!Resal_s)*(1-EXP(('2022'!Tnet_s-t)/'2022'!Tau_j)),Resal_s+(Salim-Resal_s)*(1-EXP((Tnet_s-t)/Tau_j)))*Salcycl</f>
        <v>2.710973062783353E-2</v>
      </c>
      <c r="AD63" s="227">
        <f>(INDEX(Models!$BJ63:$BT63,,AH63)*(1-AF63)+INDEX(Models!$BJ63:$BT63,,AH63+1)*AF63-ERP_i)*AE63*Ramure*Pc/MaxiM</f>
        <v>1.9820866655531985E-4</v>
      </c>
      <c r="AE63" s="301">
        <f t="shared" si="15"/>
        <v>0.5</v>
      </c>
      <c r="AF63" s="173">
        <f t="shared" si="16"/>
        <v>0.49809152596968564</v>
      </c>
      <c r="AG63" s="172">
        <f t="shared" si="17"/>
        <v>0</v>
      </c>
      <c r="AH63" s="172">
        <f t="shared" si="18"/>
        <v>6</v>
      </c>
      <c r="AI63" s="221">
        <f t="shared" si="23"/>
        <v>0.49809152596968564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44976</v>
      </c>
      <c r="B64" s="406">
        <f>'2022'!Wh/'2022'!Env_an*'2023'!Env_an</f>
        <v>17.117597381206696</v>
      </c>
      <c r="C64" s="385"/>
      <c r="D64" s="388">
        <f t="shared" si="0"/>
        <v>17.224313173180015</v>
      </c>
      <c r="E64" s="380">
        <f t="shared" si="1"/>
        <v>17.70515781388065</v>
      </c>
      <c r="F64" s="380">
        <f t="shared" si="2"/>
        <v>17.706091602620205</v>
      </c>
      <c r="G64" s="110">
        <f t="shared" si="24"/>
        <v>0.52592924089034154</v>
      </c>
      <c r="H64" s="409" t="b">
        <f>Wh_hp&gt;='2022'!Maxi_hp</f>
        <v>0</v>
      </c>
      <c r="I64" s="385">
        <f>IF(H64,Wh_hp,'2022'!Maxi_hp)</f>
        <v>17.708043029969524</v>
      </c>
      <c r="J64" s="85">
        <f>IF(H64,An,'2022'!An_max)</f>
        <v>2022</v>
      </c>
      <c r="K64" s="193">
        <f t="shared" si="3"/>
        <v>44976</v>
      </c>
      <c r="L64" s="143">
        <f>IF(t&lt;Tvie,1-EXP((T0-t)*PertePVj)+'2022'!Pspv,1-EXP((T0-t)*PertePVj)+Pspv)</f>
        <v>6.1956486102148212E-3</v>
      </c>
      <c r="M64" s="836"/>
      <c r="N64" s="836"/>
      <c r="O64" s="48">
        <f>IF(t&lt;Tnet,'2022'!Resal+('2022'!Salim-'2022'!Resal)*(1-EXP(('2022'!Tnet-t)/('2022'!Tau_j))),Resal+(Salim-Resal)*(1-EXP((Tnet-t)/(Tau_j))))*Salcycl</f>
        <v>2.7158449857117749E-2</v>
      </c>
      <c r="P64" s="165">
        <f>(INDEX(Models!$BJ64:$BT64,,T64)*(1-R64)+INDEX(Models!$BJ64:$BT64,,T64+1)*R64-ERP_i)*Q64*Ramure*Pc/MaxiM</f>
        <v>1.6335772840835364E-4</v>
      </c>
      <c r="Q64" s="301">
        <f t="shared" si="4"/>
        <v>0.5</v>
      </c>
      <c r="R64" s="173">
        <f t="shared" si="5"/>
        <v>0.49829791271249463</v>
      </c>
      <c r="S64" s="802">
        <f t="shared" si="6"/>
        <v>0</v>
      </c>
      <c r="T64" s="172">
        <f t="shared" si="7"/>
        <v>6</v>
      </c>
      <c r="U64" s="247">
        <f t="shared" si="22"/>
        <v>0.49829791271249463</v>
      </c>
      <c r="V64" s="378">
        <f t="shared" si="8"/>
        <v>32.543738608466569</v>
      </c>
      <c r="W64" s="397">
        <f t="shared" si="9"/>
        <v>17.117597381206696</v>
      </c>
      <c r="X64" s="153">
        <f t="shared" si="10"/>
        <v>44976</v>
      </c>
      <c r="Y64" s="380">
        <f t="shared" si="11"/>
        <v>17.117597381206696</v>
      </c>
      <c r="Z64" s="380">
        <f t="shared" si="12"/>
        <v>17.224313173180015</v>
      </c>
      <c r="AA64" s="381">
        <f t="shared" si="13"/>
        <v>17.70515781388065</v>
      </c>
      <c r="AB64" s="193">
        <f t="shared" si="14"/>
        <v>44976</v>
      </c>
      <c r="AC64" s="420">
        <f>IF(OR(t&lt;Tnet,NoTnet),'2022'!Resal_s+('2022'!Salim-'2022'!Resal_s)*(1-EXP(('2022'!Tnet_s-t)/'2022'!Tau_j)),Resal_s+(Salim-Resal_s)*(1-EXP((Tnet_s-t)/Tau_j)))*Salcycl</f>
        <v>2.7158449857117749E-2</v>
      </c>
      <c r="AD64" s="227">
        <f>(INDEX(Models!$BJ64:$BT64,,AH64)*(1-AF64)+INDEX(Models!$BJ64:$BT64,,AH64+1)*AF64-ERP_i)*AE64*Ramure*Pc/MaxiM</f>
        <v>1.6335772840835364E-4</v>
      </c>
      <c r="AE64" s="301">
        <f t="shared" si="15"/>
        <v>0.5</v>
      </c>
      <c r="AF64" s="173">
        <f t="shared" si="16"/>
        <v>0.49829791271249463</v>
      </c>
      <c r="AG64" s="172">
        <f t="shared" si="17"/>
        <v>0</v>
      </c>
      <c r="AH64" s="172">
        <f t="shared" si="18"/>
        <v>6</v>
      </c>
      <c r="AI64" s="221">
        <f t="shared" si="23"/>
        <v>0.49829791271249463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21"/>
        <v>44977</v>
      </c>
      <c r="B65" s="406">
        <f>'2022'!Wh/'2022'!Env_an*'2023'!Env_an</f>
        <v>21.554736918210263</v>
      </c>
      <c r="C65" s="385"/>
      <c r="D65" s="388">
        <f t="shared" si="0"/>
        <v>21.689411963585663</v>
      </c>
      <c r="E65" s="380">
        <f t="shared" si="1"/>
        <v>22.296022542671121</v>
      </c>
      <c r="F65" s="380">
        <f t="shared" si="2"/>
        <v>22.297574994821268</v>
      </c>
      <c r="G65" s="110">
        <f t="shared" si="24"/>
        <v>0.65419419716440785</v>
      </c>
      <c r="H65" s="409" t="b">
        <f>Wh_hp&gt;='2022'!Maxi_hp</f>
        <v>0</v>
      </c>
      <c r="I65" s="385">
        <f>IF(H65,Wh_hp,'2022'!Maxi_hp)</f>
        <v>22.299083982726547</v>
      </c>
      <c r="J65" s="85">
        <f>IF(H65,An,'2022'!An_max)</f>
        <v>2022</v>
      </c>
      <c r="K65" s="193">
        <f t="shared" si="3"/>
        <v>44977</v>
      </c>
      <c r="L65" s="143">
        <f>IF(t&lt;Tvie,1-EXP((T0-t)*PertePVj)+'2022'!Pspv,1-EXP((T0-t)*PertePVj)+Pspv)</f>
        <v>6.2092529572265187E-3</v>
      </c>
      <c r="M65" s="836"/>
      <c r="N65" s="836"/>
      <c r="O65" s="48">
        <f>IF(t&lt;Tnet,'2022'!Resal+('2022'!Salim-'2022'!Resal)*(1-EXP(('2022'!Tnet-t)/('2022'!Tau_j))),Resal+(Salim-Resal)*(1-EXP((Tnet-t)/(Tau_j))))*Salcycl</f>
        <v>2.7207120818275983E-2</v>
      </c>
      <c r="P65" s="165">
        <f>(INDEX(Models!$BJ65:$BT65,,T65)*(1-R65)+INDEX(Models!$BJ65:$BT65,,T65+1)*R65-ERP_i)*Q65*Ramure*Pc/MaxiM</f>
        <v>1.3758233384874452E-4</v>
      </c>
      <c r="Q65" s="301">
        <f t="shared" si="4"/>
        <v>0.5</v>
      </c>
      <c r="R65" s="173">
        <f t="shared" si="5"/>
        <v>0.49851277511840492</v>
      </c>
      <c r="S65" s="802">
        <f t="shared" si="6"/>
        <v>0</v>
      </c>
      <c r="T65" s="172">
        <f t="shared" si="7"/>
        <v>6</v>
      </c>
      <c r="U65" s="247">
        <f t="shared" si="22"/>
        <v>0.49851277511840492</v>
      </c>
      <c r="V65" s="378">
        <f t="shared" si="8"/>
        <v>32.946290400047658</v>
      </c>
      <c r="W65" s="397">
        <f t="shared" si="9"/>
        <v>21.554736918210263</v>
      </c>
      <c r="X65" s="153">
        <f t="shared" si="10"/>
        <v>44977</v>
      </c>
      <c r="Y65" s="380">
        <f t="shared" si="11"/>
        <v>21.554736918210263</v>
      </c>
      <c r="Z65" s="380">
        <f t="shared" si="12"/>
        <v>21.689411963585663</v>
      </c>
      <c r="AA65" s="381">
        <f t="shared" si="13"/>
        <v>22.296022542671121</v>
      </c>
      <c r="AB65" s="193">
        <f t="shared" si="14"/>
        <v>44977</v>
      </c>
      <c r="AC65" s="420">
        <f>IF(OR(t&lt;Tnet,NoTnet),'2022'!Resal_s+('2022'!Salim-'2022'!Resal_s)*(1-EXP(('2022'!Tnet_s-t)/'2022'!Tau_j)),Resal_s+(Salim-Resal_s)*(1-EXP((Tnet_s-t)/Tau_j)))*Salcycl</f>
        <v>2.7207120818275983E-2</v>
      </c>
      <c r="AD65" s="227">
        <f>(INDEX(Models!$BJ65:$BT65,,AH65)*(1-AF65)+INDEX(Models!$BJ65:$BT65,,AH65+1)*AF65-ERP_i)*AE65*Ramure*Pc/MaxiM</f>
        <v>1.3758233384874452E-4</v>
      </c>
      <c r="AE65" s="301">
        <f t="shared" si="15"/>
        <v>0.5</v>
      </c>
      <c r="AF65" s="173">
        <f t="shared" si="16"/>
        <v>0.49851277511840492</v>
      </c>
      <c r="AG65" s="172">
        <f t="shared" si="17"/>
        <v>0</v>
      </c>
      <c r="AH65" s="172">
        <f t="shared" si="18"/>
        <v>6</v>
      </c>
      <c r="AI65" s="221">
        <f t="shared" si="23"/>
        <v>0.49851277511840492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21"/>
        <v>44978</v>
      </c>
      <c r="B66" s="406">
        <f>'2022'!Wh/'2022'!Env_an*'2023'!Env_an</f>
        <v>19.005570445682448</v>
      </c>
      <c r="C66" s="385"/>
      <c r="D66" s="388">
        <f t="shared" si="0"/>
        <v>19.124579974304424</v>
      </c>
      <c r="E66" s="380">
        <f t="shared" si="1"/>
        <v>19.660439849931951</v>
      </c>
      <c r="F66" s="380">
        <f t="shared" si="2"/>
        <v>19.661353061540769</v>
      </c>
      <c r="G66" s="110">
        <f t="shared" si="24"/>
        <v>0.56985317610706654</v>
      </c>
      <c r="H66" s="409" t="b">
        <f>Wh_hp&gt;='2022'!Maxi_hp</f>
        <v>0</v>
      </c>
      <c r="I66" s="385">
        <f>IF(H66,Wh_hp,'2022'!Maxi_hp)</f>
        <v>19.662801372105708</v>
      </c>
      <c r="J66" s="85">
        <f>IF(H66,An,'2022'!An_max)</f>
        <v>2022</v>
      </c>
      <c r="K66" s="193">
        <f t="shared" si="3"/>
        <v>44978</v>
      </c>
      <c r="L66" s="143">
        <f>IF(t&lt;Tvie,1-EXP((T0-t)*PertePVj)+'2022'!Pspv,1-EXP((T0-t)*PertePVj)+Pspv)</f>
        <v>6.2228571180060754E-3</v>
      </c>
      <c r="M66" s="836"/>
      <c r="N66" s="836"/>
      <c r="O66" s="48">
        <f>IF(t&lt;Tnet,'2022'!Resal+('2022'!Salim-'2022'!Resal)*(1-EXP(('2022'!Tnet-t)/('2022'!Tau_j))),Resal+(Salim-Resal)*(1-EXP((Tnet-t)/(Tau_j))))*Salcycl</f>
        <v>2.725574197310655E-2</v>
      </c>
      <c r="P66" s="165">
        <f>(INDEX(Models!$BJ66:$BT66,,T66)*(1-R66)+INDEX(Models!$BJ66:$BT66,,T66+1)*R66-ERP_i)*Q66*Ramure*Pc/MaxiM</f>
        <v>1.2046493276579009E-4</v>
      </c>
      <c r="Q66" s="301">
        <f t="shared" si="4"/>
        <v>0.5</v>
      </c>
      <c r="R66" s="173">
        <f t="shared" si="5"/>
        <v>0.49873645336769151</v>
      </c>
      <c r="S66" s="802">
        <f t="shared" si="6"/>
        <v>0</v>
      </c>
      <c r="T66" s="172">
        <f t="shared" si="7"/>
        <v>6</v>
      </c>
      <c r="U66" s="247">
        <f t="shared" si="22"/>
        <v>0.49873645336769151</v>
      </c>
      <c r="V66" s="378">
        <f t="shared" si="8"/>
        <v>33.349228230768517</v>
      </c>
      <c r="W66" s="397">
        <f t="shared" si="9"/>
        <v>19.005570445682448</v>
      </c>
      <c r="X66" s="153">
        <f t="shared" si="10"/>
        <v>44978</v>
      </c>
      <c r="Y66" s="380">
        <f t="shared" si="11"/>
        <v>19.005570445682444</v>
      </c>
      <c r="Z66" s="380">
        <f t="shared" si="12"/>
        <v>19.124579974304421</v>
      </c>
      <c r="AA66" s="381">
        <f t="shared" si="13"/>
        <v>19.660439849931947</v>
      </c>
      <c r="AB66" s="193">
        <f t="shared" si="14"/>
        <v>44978</v>
      </c>
      <c r="AC66" s="420">
        <f>IF(OR(t&lt;Tnet,NoTnet),'2022'!Resal_s+('2022'!Salim-'2022'!Resal_s)*(1-EXP(('2022'!Tnet_s-t)/'2022'!Tau_j)),Resal_s+(Salim-Resal_s)*(1-EXP((Tnet_s-t)/Tau_j)))*Salcycl</f>
        <v>2.725574197310655E-2</v>
      </c>
      <c r="AD66" s="227">
        <f>(INDEX(Models!$BJ66:$BT66,,AH66)*(1-AF66)+INDEX(Models!$BJ66:$BT66,,AH66+1)*AF66-ERP_i)*AE66*Ramure*Pc/MaxiM</f>
        <v>1.2046493276579009E-4</v>
      </c>
      <c r="AE66" s="301">
        <f t="shared" si="15"/>
        <v>0.5</v>
      </c>
      <c r="AF66" s="173">
        <f t="shared" si="16"/>
        <v>0.49873645336769151</v>
      </c>
      <c r="AG66" s="172">
        <f t="shared" si="17"/>
        <v>0</v>
      </c>
      <c r="AH66" s="172">
        <f t="shared" si="18"/>
        <v>6</v>
      </c>
      <c r="AI66" s="221">
        <f t="shared" si="23"/>
        <v>0.49873645336769151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21"/>
        <v>44979</v>
      </c>
      <c r="B67" s="406">
        <f>'2022'!Wh/'2022'!Env_an*'2023'!Env_an</f>
        <v>31.057816186721336</v>
      </c>
      <c r="C67" s="385"/>
      <c r="D67" s="388">
        <f t="shared" si="0"/>
        <v>31.252722575097383</v>
      </c>
      <c r="E67" s="380">
        <f t="shared" si="1"/>
        <v>32.130010408280924</v>
      </c>
      <c r="F67" s="380">
        <f t="shared" si="2"/>
        <v>32.133028703993794</v>
      </c>
      <c r="G67" s="110">
        <f t="shared" si="24"/>
        <v>0.92013990650481192</v>
      </c>
      <c r="H67" s="409" t="b">
        <f>Wh_hp&gt;='2022'!Maxi_hp</f>
        <v>0</v>
      </c>
      <c r="I67" s="385">
        <f>IF(H67,Wh_hp,'2022'!Maxi_hp)</f>
        <v>32.133415210523701</v>
      </c>
      <c r="J67" s="85">
        <f>IF(H67,An,'2022'!An_max)</f>
        <v>2022</v>
      </c>
      <c r="K67" s="193">
        <f t="shared" si="3"/>
        <v>44979</v>
      </c>
      <c r="L67" s="143">
        <f>IF(t&lt;Tvie,1-EXP((T0-t)*PertePVj)+'2022'!Pspv,1-EXP((T0-t)*PertePVj)+Pspv)</f>
        <v>6.2364610925561559E-3</v>
      </c>
      <c r="M67" s="836"/>
      <c r="N67" s="836"/>
      <c r="O67" s="48">
        <f>IF(t&lt;Tnet,'2022'!Resal+('2022'!Salim-'2022'!Resal)*(1-EXP(('2022'!Tnet-t)/('2022'!Tau_j))),Resal+(Salim-Resal)*(1-EXP((Tnet-t)/(Tau_j))))*Salcycl</f>
        <v>2.7304312137957951E-2</v>
      </c>
      <c r="P67" s="165">
        <f>(INDEX(Models!$BJ67:$BT67,,T67)*(1-R67)+INDEX(Models!$BJ67:$BT67,,T67+1)*R67-ERP_i)*Q67*Ramure*Pc/MaxiM</f>
        <v>1.0602558838146832E-4</v>
      </c>
      <c r="Q67" s="301">
        <f t="shared" si="4"/>
        <v>0.5</v>
      </c>
      <c r="R67" s="173">
        <f t="shared" si="5"/>
        <v>0.49896930062676081</v>
      </c>
      <c r="S67" s="802">
        <f t="shared" si="6"/>
        <v>0</v>
      </c>
      <c r="T67" s="172">
        <f t="shared" si="7"/>
        <v>6</v>
      </c>
      <c r="U67" s="247">
        <f t="shared" si="22"/>
        <v>0.49896930062676081</v>
      </c>
      <c r="V67" s="378">
        <f t="shared" si="8"/>
        <v>33.752954641240208</v>
      </c>
      <c r="W67" s="397">
        <f t="shared" si="9"/>
        <v>31.057816186721336</v>
      </c>
      <c r="X67" s="153">
        <f t="shared" si="10"/>
        <v>44979</v>
      </c>
      <c r="Y67" s="380">
        <f t="shared" si="11"/>
        <v>31.057816186721336</v>
      </c>
      <c r="Z67" s="380">
        <f t="shared" si="12"/>
        <v>31.252722575097383</v>
      </c>
      <c r="AA67" s="381">
        <f t="shared" si="13"/>
        <v>32.130010408280924</v>
      </c>
      <c r="AB67" s="193">
        <f t="shared" si="14"/>
        <v>44979</v>
      </c>
      <c r="AC67" s="420">
        <f>IF(OR(t&lt;Tnet,NoTnet),'2022'!Resal_s+('2022'!Salim-'2022'!Resal_s)*(1-EXP(('2022'!Tnet_s-t)/'2022'!Tau_j)),Resal_s+(Salim-Resal_s)*(1-EXP((Tnet_s-t)/Tau_j)))*Salcycl</f>
        <v>2.7304312137957951E-2</v>
      </c>
      <c r="AD67" s="227">
        <f>(INDEX(Models!$BJ67:$BT67,,AH67)*(1-AF67)+INDEX(Models!$BJ67:$BT67,,AH67+1)*AF67-ERP_i)*AE67*Ramure*Pc/MaxiM</f>
        <v>1.0602558838146832E-4</v>
      </c>
      <c r="AE67" s="301">
        <f t="shared" si="15"/>
        <v>0.5</v>
      </c>
      <c r="AF67" s="173">
        <f t="shared" si="16"/>
        <v>0.49896930062676081</v>
      </c>
      <c r="AG67" s="172">
        <f t="shared" si="17"/>
        <v>0</v>
      </c>
      <c r="AH67" s="172">
        <f t="shared" si="18"/>
        <v>6</v>
      </c>
      <c r="AI67" s="221">
        <f t="shared" si="23"/>
        <v>0.49896930062676081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21"/>
        <v>44980</v>
      </c>
      <c r="B68" s="406">
        <f>'2022'!Wh/'2022'!Env_an*'2023'!Env_an</f>
        <v>32.66105885160178</v>
      </c>
      <c r="C68" s="385"/>
      <c r="D68" s="388">
        <f t="shared" si="0"/>
        <v>32.866476461894507</v>
      </c>
      <c r="E68" s="380">
        <f t="shared" si="1"/>
        <v>33.790749095020651</v>
      </c>
      <c r="F68" s="380">
        <f t="shared" si="2"/>
        <v>33.793732345390247</v>
      </c>
      <c r="G68" s="110">
        <f t="shared" si="24"/>
        <v>0.95617927640408285</v>
      </c>
      <c r="H68" s="409" t="b">
        <f>Wh_hp&gt;='2022'!Maxi_hp</f>
        <v>0</v>
      </c>
      <c r="I68" s="385">
        <f>IF(H68,Wh_hp,'2022'!Maxi_hp)</f>
        <v>33.793930327105848</v>
      </c>
      <c r="J68" s="85">
        <f>IF(H68,An,'2022'!An_max)</f>
        <v>2022</v>
      </c>
      <c r="K68" s="193">
        <f t="shared" si="3"/>
        <v>44980</v>
      </c>
      <c r="L68" s="143">
        <f>IF(t&lt;Tvie,1-EXP((T0-t)*PertePVj)+'2022'!Pspv,1-EXP((T0-t)*PertePVj)+Pspv)</f>
        <v>6.2500648808790915E-3</v>
      </c>
      <c r="M68" s="836"/>
      <c r="N68" s="836"/>
      <c r="O68" s="48">
        <f>IF(t&lt;Tnet,'2022'!Resal+('2022'!Salim-'2022'!Resal)*(1-EXP(('2022'!Tnet-t)/('2022'!Tau_j))),Resal+(Salim-Resal)*(1-EXP((Tnet-t)/(Tau_j))))*Salcycl</f>
        <v>2.7352830519591555E-2</v>
      </c>
      <c r="P68" s="165">
        <f>(INDEX(Models!$BJ68:$BT68,,T68)*(1-R68)+INDEX(Models!$BJ68:$BT68,,T68+1)*R68-ERP_i)*Q68*Ramure*Pc/MaxiM</f>
        <v>9.4172769378530617E-5</v>
      </c>
      <c r="Q68" s="301">
        <f t="shared" si="4"/>
        <v>0.5</v>
      </c>
      <c r="R68" s="173">
        <f t="shared" si="5"/>
        <v>0.49921168348713868</v>
      </c>
      <c r="S68" s="802">
        <f t="shared" si="6"/>
        <v>0</v>
      </c>
      <c r="T68" s="172">
        <f t="shared" si="7"/>
        <v>6</v>
      </c>
      <c r="U68" s="247">
        <f t="shared" si="22"/>
        <v>0.49921168348713868</v>
      </c>
      <c r="V68" s="378">
        <f t="shared" si="8"/>
        <v>34.157680592122261</v>
      </c>
      <c r="W68" s="397">
        <f t="shared" si="9"/>
        <v>32.66105885160178</v>
      </c>
      <c r="X68" s="153">
        <f t="shared" si="10"/>
        <v>44980</v>
      </c>
      <c r="Y68" s="380">
        <f t="shared" si="11"/>
        <v>32.66105885160178</v>
      </c>
      <c r="Z68" s="380">
        <f t="shared" si="12"/>
        <v>32.866476461894507</v>
      </c>
      <c r="AA68" s="381">
        <f t="shared" si="13"/>
        <v>33.790749095020651</v>
      </c>
      <c r="AB68" s="193">
        <f t="shared" si="14"/>
        <v>44980</v>
      </c>
      <c r="AC68" s="420">
        <f>IF(OR(t&lt;Tnet,NoTnet),'2022'!Resal_s+('2022'!Salim-'2022'!Resal_s)*(1-EXP(('2022'!Tnet_s-t)/'2022'!Tau_j)),Resal_s+(Salim-Resal_s)*(1-EXP((Tnet_s-t)/Tau_j)))*Salcycl</f>
        <v>2.7352830519591555E-2</v>
      </c>
      <c r="AD68" s="227">
        <f>(INDEX(Models!$BJ68:$BT68,,AH68)*(1-AF68)+INDEX(Models!$BJ68:$BT68,,AH68+1)*AF68-ERP_i)*AE68*Ramure*Pc/MaxiM</f>
        <v>9.4172769378530617E-5</v>
      </c>
      <c r="AE68" s="301">
        <f t="shared" si="15"/>
        <v>0.5</v>
      </c>
      <c r="AF68" s="173">
        <f t="shared" si="16"/>
        <v>0.49921168348713868</v>
      </c>
      <c r="AG68" s="172">
        <f t="shared" si="17"/>
        <v>0</v>
      </c>
      <c r="AH68" s="172">
        <f t="shared" si="18"/>
        <v>6</v>
      </c>
      <c r="AI68" s="221">
        <f t="shared" si="23"/>
        <v>0.49921168348713868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21"/>
        <v>44981</v>
      </c>
      <c r="B69" s="406">
        <f>'2022'!Wh/'2022'!Env_an*'2023'!Env_an</f>
        <v>23.256209215444205</v>
      </c>
      <c r="C69" s="385"/>
      <c r="D69" s="388">
        <f t="shared" si="0"/>
        <v>23.402796574763087</v>
      </c>
      <c r="E69" s="380">
        <f t="shared" si="1"/>
        <v>24.06213014321904</v>
      </c>
      <c r="F69" s="380">
        <f t="shared" si="2"/>
        <v>24.063217294620696</v>
      </c>
      <c r="G69" s="110">
        <f t="shared" si="24"/>
        <v>0.67282562792805956</v>
      </c>
      <c r="H69" s="409" t="b">
        <f>Wh_hp&gt;='2022'!Maxi_hp</f>
        <v>0</v>
      </c>
      <c r="I69" s="385">
        <f>IF(H69,Wh_hp,'2022'!Maxi_hp)</f>
        <v>24.064164791213923</v>
      </c>
      <c r="J69" s="85">
        <f>IF(H69,An,'2022'!An_max)</f>
        <v>2022</v>
      </c>
      <c r="K69" s="193">
        <f t="shared" si="3"/>
        <v>44981</v>
      </c>
      <c r="L69" s="143">
        <f>IF(t&lt;Tvie,1-EXP((T0-t)*PertePVj)+'2022'!Pspv,1-EXP((T0-t)*PertePVj)+Pspv)</f>
        <v>6.2636684829777689E-3</v>
      </c>
      <c r="M69" s="836"/>
      <c r="N69" s="836"/>
      <c r="O69" s="48">
        <f>IF(t&lt;Tnet,'2022'!Resal+('2022'!Salim-'2022'!Resal)*(1-EXP(('2022'!Tnet-t)/('2022'!Tau_j))),Resal+(Salim-Resal)*(1-EXP((Tnet-t)/(Tau_j))))*Salcycl</f>
        <v>2.7401296748524231E-2</v>
      </c>
      <c r="P69" s="165">
        <f>(INDEX(Models!$BJ69:$BT69,,T69)*(1-R69)+INDEX(Models!$BJ69:$BT69,,T69+1)*R69-ERP_i)*Q69*Ramure*Pc/MaxiM</f>
        <v>8.4819859552535379E-5</v>
      </c>
      <c r="Q69" s="301">
        <f t="shared" si="4"/>
        <v>0.5</v>
      </c>
      <c r="R69" s="173">
        <f t="shared" si="5"/>
        <v>0.49946398241435697</v>
      </c>
      <c r="S69" s="802">
        <f t="shared" si="6"/>
        <v>0</v>
      </c>
      <c r="T69" s="172">
        <f t="shared" si="7"/>
        <v>6</v>
      </c>
      <c r="U69" s="247">
        <f t="shared" si="22"/>
        <v>0.49946398241435697</v>
      </c>
      <c r="V69" s="378">
        <f t="shared" si="8"/>
        <v>34.563616948737852</v>
      </c>
      <c r="W69" s="397">
        <f t="shared" si="9"/>
        <v>23.256209215444205</v>
      </c>
      <c r="X69" s="153">
        <f t="shared" si="10"/>
        <v>44981</v>
      </c>
      <c r="Y69" s="380">
        <f t="shared" si="11"/>
        <v>23.256209215444205</v>
      </c>
      <c r="Z69" s="380">
        <f t="shared" si="12"/>
        <v>23.402796574763087</v>
      </c>
      <c r="AA69" s="381">
        <f t="shared" si="13"/>
        <v>24.06213014321904</v>
      </c>
      <c r="AB69" s="193">
        <f t="shared" si="14"/>
        <v>44981</v>
      </c>
      <c r="AC69" s="420">
        <f>IF(OR(t&lt;Tnet,NoTnet),'2022'!Resal_s+('2022'!Salim-'2022'!Resal_s)*(1-EXP(('2022'!Tnet_s-t)/'2022'!Tau_j)),Resal_s+(Salim-Resal_s)*(1-EXP((Tnet_s-t)/Tau_j)))*Salcycl</f>
        <v>2.7401296748524231E-2</v>
      </c>
      <c r="AD69" s="227">
        <f>(INDEX(Models!$BJ69:$BT69,,AH69)*(1-AF69)+INDEX(Models!$BJ69:$BT69,,AH69+1)*AF69-ERP_i)*AE69*Ramure*Pc/MaxiM</f>
        <v>8.4819859552535379E-5</v>
      </c>
      <c r="AE69" s="301">
        <f t="shared" si="15"/>
        <v>0.5</v>
      </c>
      <c r="AF69" s="173">
        <f t="shared" si="16"/>
        <v>0.49946398241435697</v>
      </c>
      <c r="AG69" s="172">
        <f t="shared" si="17"/>
        <v>0</v>
      </c>
      <c r="AH69" s="172">
        <f t="shared" si="18"/>
        <v>6</v>
      </c>
      <c r="AI69" s="221">
        <f t="shared" si="23"/>
        <v>0.49946398241435697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21"/>
        <v>44982</v>
      </c>
      <c r="B70" s="406">
        <f>'2022'!Wh/'2022'!Env_an*'2023'!Env_an</f>
        <v>25.675489716485018</v>
      </c>
      <c r="C70" s="385"/>
      <c r="D70" s="388">
        <f t="shared" si="0"/>
        <v>25.837679858190434</v>
      </c>
      <c r="E70" s="380">
        <f t="shared" si="1"/>
        <v>26.566934530814667</v>
      </c>
      <c r="F70" s="380">
        <f t="shared" si="2"/>
        <v>26.568218036747886</v>
      </c>
      <c r="G70" s="110">
        <f t="shared" si="24"/>
        <v>0.73417257340810926</v>
      </c>
      <c r="H70" s="409" t="b">
        <f>Wh_hp&gt;='2022'!Maxi_hp</f>
        <v>0</v>
      </c>
      <c r="I70" s="385">
        <f>IF(H70,Wh_hp,'2022'!Maxi_hp)</f>
        <v>26.56899815763115</v>
      </c>
      <c r="J70" s="85">
        <f>IF(H70,An,'2022'!An_max)</f>
        <v>2022</v>
      </c>
      <c r="K70" s="193">
        <f t="shared" si="3"/>
        <v>44982</v>
      </c>
      <c r="L70" s="143">
        <f>IF(t&lt;Tvie,1-EXP((T0-t)*PertePVj)+'2022'!Pspv,1-EXP((T0-t)*PertePVj)+Pspv)</f>
        <v>6.2772718988544085E-3</v>
      </c>
      <c r="M70" s="836"/>
      <c r="N70" s="836"/>
      <c r="O70" s="48">
        <f>IF(t&lt;Tnet,'2022'!Resal+('2022'!Salim-'2022'!Resal)*(1-EXP(('2022'!Tnet-t)/('2022'!Tau_j))),Resal+(Salim-Resal)*(1-EXP((Tnet-t)/(Tau_j))))*Salcycl</f>
        <v>2.7449710909566112E-2</v>
      </c>
      <c r="P70" s="165">
        <f>(INDEX(Models!$BJ70:$BT70,,T70)*(1-R70)+INDEX(Models!$BJ70:$BT70,,T70+1)*R70-ERP_i)*Q70*Ramure*Pc/MaxiM</f>
        <v>7.7884204471555778E-5</v>
      </c>
      <c r="Q70" s="301">
        <f t="shared" si="4"/>
        <v>0.5</v>
      </c>
      <c r="R70" s="173">
        <f t="shared" si="5"/>
        <v>0.49972659220649301</v>
      </c>
      <c r="S70" s="802">
        <f t="shared" si="6"/>
        <v>0</v>
      </c>
      <c r="T70" s="172">
        <f t="shared" si="7"/>
        <v>6</v>
      </c>
      <c r="U70" s="247">
        <f t="shared" si="22"/>
        <v>0.49972659220649301</v>
      </c>
      <c r="V70" s="378">
        <f t="shared" si="8"/>
        <v>34.970974499781789</v>
      </c>
      <c r="W70" s="397">
        <f t="shared" si="9"/>
        <v>25.675489716485018</v>
      </c>
      <c r="X70" s="153">
        <f t="shared" si="10"/>
        <v>44982</v>
      </c>
      <c r="Y70" s="380">
        <f t="shared" si="11"/>
        <v>25.675489716485018</v>
      </c>
      <c r="Z70" s="380">
        <f t="shared" si="12"/>
        <v>25.837679858190434</v>
      </c>
      <c r="AA70" s="381">
        <f t="shared" si="13"/>
        <v>26.566934530814667</v>
      </c>
      <c r="AB70" s="193">
        <f t="shared" si="14"/>
        <v>44982</v>
      </c>
      <c r="AC70" s="420">
        <f>IF(OR(t&lt;Tnet,NoTnet),'2022'!Resal_s+('2022'!Salim-'2022'!Resal_s)*(1-EXP(('2022'!Tnet_s-t)/'2022'!Tau_j)),Resal_s+(Salim-Resal_s)*(1-EXP((Tnet_s-t)/Tau_j)))*Salcycl</f>
        <v>2.7449710909566112E-2</v>
      </c>
      <c r="AD70" s="227">
        <f>(INDEX(Models!$BJ70:$BT70,,AH70)*(1-AF70)+INDEX(Models!$BJ70:$BT70,,AH70+1)*AF70-ERP_i)*AE70*Ramure*Pc/MaxiM</f>
        <v>7.7884204471555778E-5</v>
      </c>
      <c r="AE70" s="301">
        <f t="shared" si="15"/>
        <v>0.5</v>
      </c>
      <c r="AF70" s="173">
        <f t="shared" si="16"/>
        <v>0.49972659220649301</v>
      </c>
      <c r="AG70" s="172">
        <f t="shared" si="17"/>
        <v>0</v>
      </c>
      <c r="AH70" s="172">
        <f t="shared" si="18"/>
        <v>6</v>
      </c>
      <c r="AI70" s="221">
        <f t="shared" si="23"/>
        <v>0.49972659220649301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44983</v>
      </c>
      <c r="B71" s="406">
        <f>'2022'!Wh/'2022'!Env_an*'2023'!Env_an</f>
        <v>36.156219560598991</v>
      </c>
      <c r="C71" s="385"/>
      <c r="D71" s="388">
        <f t="shared" si="0"/>
        <v>36.385113767849226</v>
      </c>
      <c r="E71" s="380">
        <f t="shared" si="1"/>
        <v>37.413924619554074</v>
      </c>
      <c r="F71" s="380">
        <f t="shared" si="2"/>
        <v>37.416666766304836</v>
      </c>
      <c r="G71" s="110">
        <f t="shared" si="24"/>
        <v>1.0219405426181236</v>
      </c>
      <c r="H71" s="409" t="b">
        <f>Wh_hp&gt;='2022'!Maxi_hp</f>
        <v>1</v>
      </c>
      <c r="I71" s="385">
        <f>IF(H71,Wh_hp,'2022'!Maxi_hp)</f>
        <v>37.416666766304836</v>
      </c>
      <c r="J71" s="85">
        <f>IF(H71,An,'2022'!An_max)</f>
        <v>2023</v>
      </c>
      <c r="K71" s="193">
        <f t="shared" si="3"/>
        <v>44983</v>
      </c>
      <c r="L71" s="143">
        <f>IF(t&lt;Tvie,1-EXP((T0-t)*PertePVj)+'2022'!Pspv,1-EXP((T0-t)*PertePVj)+Pspv)</f>
        <v>6.2908751285117859E-3</v>
      </c>
      <c r="M71" s="836"/>
      <c r="N71" s="836"/>
      <c r="O71" s="48">
        <f>IF(t&lt;Tnet,'2022'!Resal+('2022'!Salim-'2022'!Resal)*(1-EXP(('2022'!Tnet-t)/('2022'!Tau_j))),Resal+(Salim-Resal)*(1-EXP((Tnet-t)/(Tau_j))))*Salcycl</f>
        <v>2.7498073569302731E-2</v>
      </c>
      <c r="P71" s="165">
        <f>(INDEX(Models!$BJ71:$BT71,,T71)*(1-R71)+INDEX(Models!$BJ71:$BT71,,T71+1)*R71-ERP_i)*Q71*Ramure*Pc/MaxiM</f>
        <v>7.3286772653755053E-5</v>
      </c>
      <c r="Q71" s="301">
        <f t="shared" si="4"/>
        <v>0.5</v>
      </c>
      <c r="R71" s="173">
        <f t="shared" si="5"/>
        <v>0.49999992246205832</v>
      </c>
      <c r="S71" s="802">
        <f t="shared" si="6"/>
        <v>0</v>
      </c>
      <c r="T71" s="172">
        <f t="shared" si="7"/>
        <v>6</v>
      </c>
      <c r="U71" s="247">
        <f t="shared" si="22"/>
        <v>0.49999992246205832</v>
      </c>
      <c r="V71" s="378">
        <f t="shared" si="8"/>
        <v>35.379963953646332</v>
      </c>
      <c r="W71" s="397">
        <f t="shared" si="9"/>
        <v>36.156219560598991</v>
      </c>
      <c r="X71" s="153">
        <f t="shared" si="10"/>
        <v>44983</v>
      </c>
      <c r="Y71" s="380">
        <f t="shared" si="11"/>
        <v>36.156219560598991</v>
      </c>
      <c r="Z71" s="380">
        <f t="shared" si="12"/>
        <v>36.385113767849226</v>
      </c>
      <c r="AA71" s="381">
        <f t="shared" si="13"/>
        <v>37.413924619554074</v>
      </c>
      <c r="AB71" s="193">
        <f t="shared" si="14"/>
        <v>44983</v>
      </c>
      <c r="AC71" s="420">
        <f>IF(OR(t&lt;Tnet,NoTnet),'2022'!Resal_s+('2022'!Salim-'2022'!Resal_s)*(1-EXP(('2022'!Tnet_s-t)/'2022'!Tau_j)),Resal_s+(Salim-Resal_s)*(1-EXP((Tnet_s-t)/Tau_j)))*Salcycl</f>
        <v>2.7498073569302731E-2</v>
      </c>
      <c r="AD71" s="227">
        <f>(INDEX(Models!$BJ71:$BT71,,AH71)*(1-AF71)+INDEX(Models!$BJ71:$BT71,,AH71+1)*AF71-ERP_i)*AE71*Ramure*Pc/MaxiM</f>
        <v>7.3286772653755053E-5</v>
      </c>
      <c r="AE71" s="301">
        <f t="shared" si="15"/>
        <v>0.5</v>
      </c>
      <c r="AF71" s="173">
        <f t="shared" si="16"/>
        <v>0.49999992246205832</v>
      </c>
      <c r="AG71" s="172">
        <f t="shared" si="17"/>
        <v>0</v>
      </c>
      <c r="AH71" s="172">
        <f t="shared" si="18"/>
        <v>6</v>
      </c>
      <c r="AI71" s="221">
        <f t="shared" si="23"/>
        <v>0.49999992246205832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21"/>
        <v>44984</v>
      </c>
      <c r="B72" s="406">
        <f>'2022'!Wh/'2022'!Env_an*'2023'!Env_an</f>
        <v>23.126265706569068</v>
      </c>
      <c r="C72" s="385"/>
      <c r="D72" s="388">
        <f t="shared" si="0"/>
        <v>23.272989762522965</v>
      </c>
      <c r="E72" s="380">
        <f t="shared" si="1"/>
        <v>23.932236378879736</v>
      </c>
      <c r="F72" s="380">
        <f t="shared" si="2"/>
        <v>23.933074415162881</v>
      </c>
      <c r="G72" s="110">
        <f t="shared" si="24"/>
        <v>0.64612797802227451</v>
      </c>
      <c r="H72" s="409" t="b">
        <f>Wh_hp&gt;='2022'!Maxi_hp</f>
        <v>0</v>
      </c>
      <c r="I72" s="385">
        <f>IF(H72,Wh_hp,'2022'!Maxi_hp)</f>
        <v>23.933924564086386</v>
      </c>
      <c r="J72" s="85">
        <f>IF(H72,An,'2022'!An_max)</f>
        <v>2022</v>
      </c>
      <c r="K72" s="193">
        <f t="shared" si="3"/>
        <v>44984</v>
      </c>
      <c r="L72" s="143">
        <f>IF(t&lt;Tvie,1-EXP((T0-t)*PertePVj)+'2022'!Pspv,1-EXP((T0-t)*PertePVj)+Pspv)</f>
        <v>6.3044781719523435E-3</v>
      </c>
      <c r="M72" s="836"/>
      <c r="N72" s="836"/>
      <c r="O72" s="48">
        <f>IF(t&lt;Tnet,'2022'!Resal+('2022'!Salim-'2022'!Resal)*(1-EXP(('2022'!Tnet-t)/('2022'!Tau_j))),Resal+(Salim-Resal)*(1-EXP((Tnet-t)/(Tau_j))))*Salcycl</f>
        <v>2.7546385800307379E-2</v>
      </c>
      <c r="P72" s="165">
        <f>(INDEX(Models!$BJ72:$BT72,,T72)*(1-R72)+INDEX(Models!$BJ72:$BT72,,T72+1)*R72-ERP_i)*Q72*Ramure*Pc/MaxiM</f>
        <v>7.0810334409986066E-5</v>
      </c>
      <c r="Q72" s="301">
        <f t="shared" si="4"/>
        <v>0.5</v>
      </c>
      <c r="R72" s="173">
        <f t="shared" si="5"/>
        <v>0.50028439805686842</v>
      </c>
      <c r="S72" s="802">
        <f t="shared" si="6"/>
        <v>0</v>
      </c>
      <c r="T72" s="172">
        <f t="shared" si="7"/>
        <v>6</v>
      </c>
      <c r="U72" s="247">
        <f t="shared" si="22"/>
        <v>0.50028439805686842</v>
      </c>
      <c r="V72" s="378">
        <f t="shared" si="8"/>
        <v>35.790801003496128</v>
      </c>
      <c r="W72" s="397">
        <f t="shared" si="9"/>
        <v>23.126265706569068</v>
      </c>
      <c r="X72" s="153">
        <f t="shared" si="10"/>
        <v>44984</v>
      </c>
      <c r="Y72" s="380">
        <f t="shared" si="11"/>
        <v>23.126265706569068</v>
      </c>
      <c r="Z72" s="380">
        <f t="shared" si="12"/>
        <v>23.272989762522965</v>
      </c>
      <c r="AA72" s="381">
        <f t="shared" si="13"/>
        <v>23.932236378879736</v>
      </c>
      <c r="AB72" s="193">
        <f t="shared" si="14"/>
        <v>44984</v>
      </c>
      <c r="AC72" s="420">
        <f>IF(OR(t&lt;Tnet,NoTnet),'2022'!Resal_s+('2022'!Salim-'2022'!Resal_s)*(1-EXP(('2022'!Tnet_s-t)/'2022'!Tau_j)),Resal_s+(Salim-Resal_s)*(1-EXP((Tnet_s-t)/Tau_j)))*Salcycl</f>
        <v>2.7546385800307379E-2</v>
      </c>
      <c r="AD72" s="227">
        <f>(INDEX(Models!$BJ72:$BT72,,AH72)*(1-AF72)+INDEX(Models!$BJ72:$BT72,,AH72+1)*AF72-ERP_i)*AE72*Ramure*Pc/MaxiM</f>
        <v>7.0810334409986066E-5</v>
      </c>
      <c r="AE72" s="301">
        <f t="shared" si="15"/>
        <v>0.5</v>
      </c>
      <c r="AF72" s="173">
        <f t="shared" si="16"/>
        <v>0.50028439805686842</v>
      </c>
      <c r="AG72" s="172">
        <f t="shared" si="17"/>
        <v>0</v>
      </c>
      <c r="AH72" s="172">
        <f t="shared" si="18"/>
        <v>6</v>
      </c>
      <c r="AI72" s="221">
        <f t="shared" si="23"/>
        <v>0.50028439805686842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21"/>
        <v>44985</v>
      </c>
      <c r="B73" s="406">
        <f>'2022'!Wh/'2022'!Env_an*'2023'!Env_an</f>
        <v>33.725681419239535</v>
      </c>
      <c r="C73" s="385"/>
      <c r="D73" s="388">
        <f t="shared" si="0"/>
        <v>33.940117833853698</v>
      </c>
      <c r="E73" s="380">
        <f t="shared" si="1"/>
        <v>34.903261079340659</v>
      </c>
      <c r="F73" s="380">
        <f t="shared" si="2"/>
        <v>34.905407342461963</v>
      </c>
      <c r="G73" s="110">
        <f t="shared" si="24"/>
        <v>0.93154525145226363</v>
      </c>
      <c r="H73" s="409" t="b">
        <f>Wh_hp&gt;='2022'!Maxi_hp</f>
        <v>0</v>
      </c>
      <c r="I73" s="385">
        <f>IF(H73,Wh_hp,'2022'!Maxi_hp)</f>
        <v>34.905638121982101</v>
      </c>
      <c r="J73" s="85">
        <f>IF(H73,An,'2022'!An_max)</f>
        <v>2022</v>
      </c>
      <c r="K73" s="193">
        <f t="shared" si="3"/>
        <v>44985</v>
      </c>
      <c r="L73" s="143">
        <f>IF(t&lt;Tvie,1-EXP((T0-t)*PertePVj)+'2022'!Pspv,1-EXP((T0-t)*PertePVj)+Pspv)</f>
        <v>6.3180810291787459E-3</v>
      </c>
      <c r="M73" s="836"/>
      <c r="N73" s="836"/>
      <c r="O73" s="48">
        <f>IF(t&lt;Tnet,'2022'!Resal+('2022'!Salim-'2022'!Resal)*(1-EXP(('2022'!Tnet-t)/('2022'!Tau_j))),Resal+(Salim-Resal)*(1-EXP((Tnet-t)/(Tau_j))))*Salcycl</f>
        <v>2.7594649201906605E-2</v>
      </c>
      <c r="P73" s="165">
        <f>(INDEX(Models!$BJ73:$BT73,,T73)*(1-R73)+INDEX(Models!$BJ73:$BT73,,T73+1)*R73-ERP_i)*Q73*Ramure*Pc/MaxiM</f>
        <v>6.8152148159849482E-5</v>
      </c>
      <c r="Q73" s="301">
        <f t="shared" si="4"/>
        <v>0.5</v>
      </c>
      <c r="R73" s="173">
        <f t="shared" si="5"/>
        <v>0.50058045962945608</v>
      </c>
      <c r="S73" s="802">
        <f t="shared" si="6"/>
        <v>0</v>
      </c>
      <c r="T73" s="172">
        <f t="shared" si="7"/>
        <v>6</v>
      </c>
      <c r="U73" s="247">
        <f t="shared" si="22"/>
        <v>0.50058045962945608</v>
      </c>
      <c r="V73" s="378">
        <f t="shared" si="8"/>
        <v>36.203777110513506</v>
      </c>
      <c r="W73" s="397">
        <f t="shared" si="9"/>
        <v>33.725681419239535</v>
      </c>
      <c r="X73" s="153">
        <f t="shared" si="10"/>
        <v>44985</v>
      </c>
      <c r="Y73" s="380">
        <f t="shared" si="11"/>
        <v>33.725681419239535</v>
      </c>
      <c r="Z73" s="380">
        <f t="shared" si="12"/>
        <v>33.940117833853698</v>
      </c>
      <c r="AA73" s="381">
        <f t="shared" si="13"/>
        <v>34.903261079340659</v>
      </c>
      <c r="AB73" s="193">
        <f t="shared" si="14"/>
        <v>44985</v>
      </c>
      <c r="AC73" s="420">
        <f>IF(OR(t&lt;Tnet,NoTnet),'2022'!Resal_s+('2022'!Salim-'2022'!Resal_s)*(1-EXP(('2022'!Tnet_s-t)/'2022'!Tau_j)),Resal_s+(Salim-Resal_s)*(1-EXP((Tnet_s-t)/Tau_j)))*Salcycl</f>
        <v>2.7594649201906605E-2</v>
      </c>
      <c r="AD73" s="227">
        <f>(INDEX(Models!$BJ73:$BT73,,AH73)*(1-AF73)+INDEX(Models!$BJ73:$BT73,,AH73+1)*AF73-ERP_i)*AE73*Ramure*Pc/MaxiM</f>
        <v>6.8152148159849482E-5</v>
      </c>
      <c r="AE73" s="301">
        <f t="shared" si="15"/>
        <v>0.5</v>
      </c>
      <c r="AF73" s="173">
        <f t="shared" si="16"/>
        <v>0.50058045962945608</v>
      </c>
      <c r="AG73" s="172">
        <f t="shared" si="17"/>
        <v>0</v>
      </c>
      <c r="AH73" s="172">
        <f t="shared" si="18"/>
        <v>6</v>
      </c>
      <c r="AI73" s="221">
        <f t="shared" si="23"/>
        <v>0.50058045962945608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21"/>
        <v>44986</v>
      </c>
      <c r="B74" s="406">
        <f>'2022'!Wh/'2022'!Env_an*'2023'!Env_an</f>
        <v>35.584151888997809</v>
      </c>
      <c r="C74" s="385"/>
      <c r="D74" s="388">
        <f t="shared" si="0"/>
        <v>35.81089515010909</v>
      </c>
      <c r="E74" s="380">
        <f t="shared" si="1"/>
        <v>36.828952958621045</v>
      </c>
      <c r="F74" s="380">
        <f t="shared" si="2"/>
        <v>36.831261568884813</v>
      </c>
      <c r="G74" s="110">
        <f t="shared" si="24"/>
        <v>0.97173483789296788</v>
      </c>
      <c r="H74" s="409" t="b">
        <f>Wh_hp&gt;='2022'!Maxi_hp</f>
        <v>0</v>
      </c>
      <c r="I74" s="385">
        <f>IF(H74,Wh_hp,'2022'!Maxi_hp)</f>
        <v>36.831357903305943</v>
      </c>
      <c r="J74" s="85">
        <f>IF(H74,An,'2022'!An_max)</f>
        <v>2022</v>
      </c>
      <c r="K74" s="193">
        <f t="shared" si="3"/>
        <v>44986</v>
      </c>
      <c r="L74" s="143">
        <f>IF(t&lt;Tvie,1-EXP((T0-t)*PertePVj)+'2022'!Pspv,1-EXP((T0-t)*PertePVj)+Pspv)</f>
        <v>6.3316837001933246E-3</v>
      </c>
      <c r="M74" s="836"/>
      <c r="N74" s="836"/>
      <c r="O74" s="48">
        <f>IF(t&lt;Tnet,'2022'!Resal+('2022'!Salim-'2022'!Resal)*(1-EXP(('2022'!Tnet-t)/('2022'!Tau_j))),Resal+(Salim-Resal)*(1-EXP((Tnet-t)/(Tau_j))))*Salcycl</f>
        <v>2.7642865917360825E-2</v>
      </c>
      <c r="P74" s="165">
        <f>(INDEX(Models!$BJ74:$BT74,,T74)*(1-R74)+INDEX(Models!$BJ74:$BT74,,T74+1)*R74-ERP_i)*Q74*Ramure*Pc/MaxiM</f>
        <v>6.5317948777944229E-5</v>
      </c>
      <c r="Q74" s="301">
        <f t="shared" si="4"/>
        <v>0.5</v>
      </c>
      <c r="R74" s="173">
        <f t="shared" si="5"/>
        <v>0.50088856407451487</v>
      </c>
      <c r="S74" s="802">
        <f t="shared" si="6"/>
        <v>0</v>
      </c>
      <c r="T74" s="172">
        <f t="shared" si="7"/>
        <v>6</v>
      </c>
      <c r="U74" s="247">
        <f t="shared" si="22"/>
        <v>0.50088856407451487</v>
      </c>
      <c r="V74" s="378">
        <f t="shared" si="8"/>
        <v>36.619102920076919</v>
      </c>
      <c r="W74" s="397">
        <f t="shared" si="9"/>
        <v>35.584151888997809</v>
      </c>
      <c r="X74" s="153">
        <f t="shared" si="10"/>
        <v>44986</v>
      </c>
      <c r="Y74" s="380">
        <f t="shared" si="11"/>
        <v>35.584151888997809</v>
      </c>
      <c r="Z74" s="380">
        <f t="shared" si="12"/>
        <v>35.81089515010909</v>
      </c>
      <c r="AA74" s="381">
        <f t="shared" si="13"/>
        <v>36.828952958621045</v>
      </c>
      <c r="AB74" s="193">
        <f t="shared" si="14"/>
        <v>44986</v>
      </c>
      <c r="AC74" s="420">
        <f>IF(OR(t&lt;Tnet,NoTnet),'2022'!Resal_s+('2022'!Salim-'2022'!Resal_s)*(1-EXP(('2022'!Tnet_s-t)/'2022'!Tau_j)),Resal_s+(Salim-Resal_s)*(1-EXP((Tnet_s-t)/Tau_j)))*Salcycl</f>
        <v>2.7642865917360825E-2</v>
      </c>
      <c r="AD74" s="227">
        <f>(INDEX(Models!$BJ74:$BT74,,AH74)*(1-AF74)+INDEX(Models!$BJ74:$BT74,,AH74+1)*AF74-ERP_i)*AE74*Ramure*Pc/MaxiM</f>
        <v>6.5317948777944229E-5</v>
      </c>
      <c r="AE74" s="301">
        <f t="shared" si="15"/>
        <v>0.5</v>
      </c>
      <c r="AF74" s="173">
        <f t="shared" si="16"/>
        <v>0.50088856407451487</v>
      </c>
      <c r="AG74" s="172">
        <f t="shared" si="17"/>
        <v>0</v>
      </c>
      <c r="AH74" s="172">
        <f t="shared" si="18"/>
        <v>6</v>
      </c>
      <c r="AI74" s="221">
        <f t="shared" si="23"/>
        <v>0.50088856407451487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21"/>
        <v>44987</v>
      </c>
      <c r="B75" s="406">
        <f>'2022'!Wh/'2022'!Env_an*'2023'!Env_an</f>
        <v>16.442680214196795</v>
      </c>
      <c r="C75" s="385"/>
      <c r="D75" s="388">
        <f t="shared" si="0"/>
        <v>16.547679979363632</v>
      </c>
      <c r="E75" s="380">
        <f t="shared" si="1"/>
        <v>17.018952449376922</v>
      </c>
      <c r="F75" s="380">
        <f t="shared" si="2"/>
        <v>17.019170542398765</v>
      </c>
      <c r="G75" s="110">
        <f t="shared" si="24"/>
        <v>0.44393096618938827</v>
      </c>
      <c r="H75" s="409" t="b">
        <f>Wh_hp&gt;='2022'!Maxi_hp</f>
        <v>0</v>
      </c>
      <c r="I75" s="385">
        <f>IF(H75,Wh_hp,'2022'!Maxi_hp)</f>
        <v>17.020005743772145</v>
      </c>
      <c r="J75" s="85">
        <f>IF(H75,An,'2022'!An_max)</f>
        <v>2022</v>
      </c>
      <c r="K75" s="193">
        <f t="shared" si="3"/>
        <v>44987</v>
      </c>
      <c r="L75" s="143">
        <f>IF(t&lt;Tvie,1-EXP((T0-t)*PertePVj)+'2022'!Pspv,1-EXP((T0-t)*PertePVj)+Pspv)</f>
        <v>6.3452861849988551E-3</v>
      </c>
      <c r="M75" s="836"/>
      <c r="N75" s="836"/>
      <c r="O75" s="48">
        <f>IF(t&lt;Tnet,'2022'!Resal+('2022'!Salim-'2022'!Resal)*(1-EXP(('2022'!Tnet-t)/('2022'!Tau_j))),Resal+(Salim-Resal)*(1-EXP((Tnet-t)/(Tau_j))))*Salcycl</f>
        <v>2.7691038647360697E-2</v>
      </c>
      <c r="P75" s="165">
        <f>(INDEX(Models!$BJ75:$BT75,,T75)*(1-R75)+INDEX(Models!$BJ75:$BT75,,T75+1)*R75-ERP_i)*Q75*Ramure*Pc/MaxiM</f>
        <v>6.2313317885061994E-5</v>
      </c>
      <c r="Q75" s="301">
        <f t="shared" si="4"/>
        <v>0.5</v>
      </c>
      <c r="R75" s="173">
        <f t="shared" si="5"/>
        <v>0.50120918504377643</v>
      </c>
      <c r="S75" s="802">
        <f t="shared" si="6"/>
        <v>0</v>
      </c>
      <c r="T75" s="172">
        <f t="shared" si="7"/>
        <v>6</v>
      </c>
      <c r="U75" s="247">
        <f t="shared" si="22"/>
        <v>0.50120918504377643</v>
      </c>
      <c r="V75" s="378">
        <f t="shared" si="8"/>
        <v>37.036988999661091</v>
      </c>
      <c r="W75" s="397">
        <f t="shared" si="9"/>
        <v>16.442680214196795</v>
      </c>
      <c r="X75" s="153">
        <f t="shared" si="10"/>
        <v>44987</v>
      </c>
      <c r="Y75" s="380">
        <f t="shared" si="11"/>
        <v>16.442680214196795</v>
      </c>
      <c r="Z75" s="380">
        <f t="shared" si="12"/>
        <v>16.547679979363632</v>
      </c>
      <c r="AA75" s="381">
        <f t="shared" si="13"/>
        <v>17.018952449376922</v>
      </c>
      <c r="AB75" s="193">
        <f t="shared" si="14"/>
        <v>44987</v>
      </c>
      <c r="AC75" s="420">
        <f>IF(OR(t&lt;Tnet,NoTnet),'2022'!Resal_s+('2022'!Salim-'2022'!Resal_s)*(1-EXP(('2022'!Tnet_s-t)/'2022'!Tau_j)),Resal_s+(Salim-Resal_s)*(1-EXP((Tnet_s-t)/Tau_j)))*Salcycl</f>
        <v>2.7691038647360697E-2</v>
      </c>
      <c r="AD75" s="227">
        <f>(INDEX(Models!$BJ75:$BT75,,AH75)*(1-AF75)+INDEX(Models!$BJ75:$BT75,,AH75+1)*AF75-ERP_i)*AE75*Ramure*Pc/MaxiM</f>
        <v>6.2313317885061994E-5</v>
      </c>
      <c r="AE75" s="301">
        <f t="shared" si="15"/>
        <v>0.5</v>
      </c>
      <c r="AF75" s="173">
        <f t="shared" si="16"/>
        <v>0.50120918504377643</v>
      </c>
      <c r="AG75" s="172">
        <f t="shared" si="17"/>
        <v>0</v>
      </c>
      <c r="AH75" s="172">
        <f t="shared" si="18"/>
        <v>6</v>
      </c>
      <c r="AI75" s="221">
        <f t="shared" si="23"/>
        <v>0.50120918504377643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21"/>
        <v>44988</v>
      </c>
      <c r="B76" s="406">
        <f>'2022'!Wh/'2022'!Env_an*'2023'!Env_an</f>
        <v>28.363680417659232</v>
      </c>
      <c r="C76" s="385"/>
      <c r="D76" s="388">
        <f t="shared" si="0"/>
        <v>28.545196136634516</v>
      </c>
      <c r="E76" s="380">
        <f t="shared" si="1"/>
        <v>29.359607293863078</v>
      </c>
      <c r="F76" s="380">
        <f t="shared" si="2"/>
        <v>29.360741527890042</v>
      </c>
      <c r="G76" s="110">
        <f t="shared" si="24"/>
        <v>0.75720451576820536</v>
      </c>
      <c r="H76" s="409" t="b">
        <f>Wh_hp&gt;='2022'!Maxi_hp</f>
        <v>0</v>
      </c>
      <c r="I76" s="385">
        <f>IF(H76,Wh_hp,'2022'!Maxi_hp)</f>
        <v>29.361338384403382</v>
      </c>
      <c r="J76" s="85">
        <f>IF(H76,An,'2022'!An_max)</f>
        <v>2022</v>
      </c>
      <c r="K76" s="193">
        <f t="shared" si="3"/>
        <v>44988</v>
      </c>
      <c r="L76" s="143">
        <f>IF(t&lt;Tvie,1-EXP((T0-t)*PertePVj)+'2022'!Pspv,1-EXP((T0-t)*PertePVj)+Pspv)</f>
        <v>6.3588884835977799E-3</v>
      </c>
      <c r="M76" s="836"/>
      <c r="N76" s="836"/>
      <c r="O76" s="48">
        <f>IF(t&lt;Tnet,'2022'!Resal+('2022'!Salim-'2022'!Resal)*(1-EXP(('2022'!Tnet-t)/('2022'!Tau_j))),Resal+(Salim-Resal)*(1-EXP((Tnet-t)/(Tau_j))))*Salcycl</f>
        <v>2.7739170659779024E-2</v>
      </c>
      <c r="P76" s="165">
        <f>(INDEX(Models!$BJ76:$BT76,,T76)*(1-R76)+INDEX(Models!$BJ76:$BT76,,T76+1)*R76-ERP_i)*Q76*Ramure*Pc/MaxiM</f>
        <v>5.9143691284051831E-5</v>
      </c>
      <c r="Q76" s="301">
        <f t="shared" si="4"/>
        <v>0.5</v>
      </c>
      <c r="R76" s="173">
        <f t="shared" si="5"/>
        <v>0.50154281345363427</v>
      </c>
      <c r="S76" s="802">
        <f t="shared" si="6"/>
        <v>0</v>
      </c>
      <c r="T76" s="172">
        <f t="shared" si="7"/>
        <v>6</v>
      </c>
      <c r="U76" s="247">
        <f t="shared" si="22"/>
        <v>0.50154281345363427</v>
      </c>
      <c r="V76" s="378">
        <f t="shared" si="8"/>
        <v>37.457645838567728</v>
      </c>
      <c r="W76" s="397">
        <f t="shared" si="9"/>
        <v>28.363680417659232</v>
      </c>
      <c r="X76" s="153">
        <f t="shared" si="10"/>
        <v>44988</v>
      </c>
      <c r="Y76" s="380">
        <f t="shared" si="11"/>
        <v>28.363680417659232</v>
      </c>
      <c r="Z76" s="380">
        <f t="shared" si="12"/>
        <v>28.545196136634516</v>
      </c>
      <c r="AA76" s="381">
        <f t="shared" si="13"/>
        <v>29.359607293863078</v>
      </c>
      <c r="AB76" s="193">
        <f t="shared" si="14"/>
        <v>44988</v>
      </c>
      <c r="AC76" s="420">
        <f>IF(OR(t&lt;Tnet,NoTnet),'2022'!Resal_s+('2022'!Salim-'2022'!Resal_s)*(1-EXP(('2022'!Tnet_s-t)/'2022'!Tau_j)),Resal_s+(Salim-Resal_s)*(1-EXP((Tnet_s-t)/Tau_j)))*Salcycl</f>
        <v>2.7739170659779024E-2</v>
      </c>
      <c r="AD76" s="227">
        <f>(INDEX(Models!$BJ76:$BT76,,AH76)*(1-AF76)+INDEX(Models!$BJ76:$BT76,,AH76+1)*AF76-ERP_i)*AE76*Ramure*Pc/MaxiM</f>
        <v>5.9143691284051831E-5</v>
      </c>
      <c r="AE76" s="301">
        <f t="shared" si="15"/>
        <v>0.5</v>
      </c>
      <c r="AF76" s="173">
        <f t="shared" si="16"/>
        <v>0.50154281345363427</v>
      </c>
      <c r="AG76" s="172">
        <f t="shared" si="17"/>
        <v>0</v>
      </c>
      <c r="AH76" s="172">
        <f t="shared" si="18"/>
        <v>6</v>
      </c>
      <c r="AI76" s="221">
        <f t="shared" si="23"/>
        <v>0.50154281345363427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44989</v>
      </c>
      <c r="B77" s="406">
        <f>'2022'!Wh/'2022'!Env_an*'2023'!Env_an</f>
        <v>5.5863421657060783</v>
      </c>
      <c r="C77" s="385"/>
      <c r="D77" s="388">
        <f t="shared" si="0"/>
        <v>5.6221693872554415</v>
      </c>
      <c r="E77" s="380">
        <f t="shared" si="1"/>
        <v>5.7828592338451648</v>
      </c>
      <c r="F77" s="380">
        <f t="shared" si="2"/>
        <v>5.7828592338451648</v>
      </c>
      <c r="G77" s="110">
        <f t="shared" si="24"/>
        <v>0.14746148492834682</v>
      </c>
      <c r="H77" s="409" t="b">
        <f>Wh_hp&gt;='2022'!Maxi_hp</f>
        <v>0</v>
      </c>
      <c r="I77" s="385">
        <f>IF(H77,Wh_hp,'2022'!Maxi_hp)</f>
        <v>5.7831789540560674</v>
      </c>
      <c r="J77" s="85">
        <f>IF(H77,An,'2022'!An_max)</f>
        <v>2022</v>
      </c>
      <c r="K77" s="193">
        <f t="shared" si="3"/>
        <v>44989</v>
      </c>
      <c r="L77" s="143">
        <f>IF(t&lt;Tvie,1-EXP((T0-t)*PertePVj)+'2022'!Pspv,1-EXP((T0-t)*PertePVj)+Pspv)</f>
        <v>6.3724905959926526E-3</v>
      </c>
      <c r="M77" s="836"/>
      <c r="N77" s="836"/>
      <c r="O77" s="48">
        <f>IF(t&lt;Tnet,'2022'!Resal+('2022'!Salim-'2022'!Resal)*(1-EXP(('2022'!Tnet-t)/('2022'!Tau_j))),Resal+(Salim-Resal)*(1-EXP((Tnet-t)/(Tau_j))))*Salcycl</f>
        <v>2.7787265795656681E-2</v>
      </c>
      <c r="P77" s="165">
        <f>(INDEX(Models!$BJ77:$BT77,,T77)*(1-R77)+INDEX(Models!$BJ77:$BT77,,T77+1)*R77-ERP_i)*Q77*Ramure*Pc/MaxiM</f>
        <v>5.5814364278502136E-5</v>
      </c>
      <c r="Q77" s="301">
        <f t="shared" si="4"/>
        <v>0.5</v>
      </c>
      <c r="R77" s="173">
        <f t="shared" si="5"/>
        <v>0.50188995799873259</v>
      </c>
      <c r="S77" s="802">
        <f t="shared" si="6"/>
        <v>0</v>
      </c>
      <c r="T77" s="172">
        <f t="shared" si="7"/>
        <v>6</v>
      </c>
      <c r="U77" s="247">
        <f t="shared" si="22"/>
        <v>0.50188995799873259</v>
      </c>
      <c r="V77" s="378">
        <f t="shared" si="8"/>
        <v>37.881283850381486</v>
      </c>
      <c r="W77" s="397">
        <f t="shared" si="9"/>
        <v>5.5863421657060783</v>
      </c>
      <c r="X77" s="153">
        <f t="shared" si="10"/>
        <v>44989</v>
      </c>
      <c r="Y77" s="380">
        <f t="shared" si="11"/>
        <v>5.5863421657060783</v>
      </c>
      <c r="Z77" s="380">
        <f t="shared" si="12"/>
        <v>5.6221693872554415</v>
      </c>
      <c r="AA77" s="381">
        <f t="shared" si="13"/>
        <v>5.7828592338451648</v>
      </c>
      <c r="AB77" s="193">
        <f t="shared" si="14"/>
        <v>44989</v>
      </c>
      <c r="AC77" s="420">
        <f>IF(OR(t&lt;Tnet,NoTnet),'2022'!Resal_s+('2022'!Salim-'2022'!Resal_s)*(1-EXP(('2022'!Tnet_s-t)/'2022'!Tau_j)),Resal_s+(Salim-Resal_s)*(1-EXP((Tnet_s-t)/Tau_j)))*Salcycl</f>
        <v>2.7787265795656681E-2</v>
      </c>
      <c r="AD77" s="227">
        <f>(INDEX(Models!$BJ77:$BT77,,AH77)*(1-AF77)+INDEX(Models!$BJ77:$BT77,,AH77+1)*AF77-ERP_i)*AE77*Ramure*Pc/MaxiM</f>
        <v>5.5814364278502136E-5</v>
      </c>
      <c r="AE77" s="301">
        <f t="shared" si="15"/>
        <v>0.5</v>
      </c>
      <c r="AF77" s="173">
        <f t="shared" si="16"/>
        <v>0.50188995799873259</v>
      </c>
      <c r="AG77" s="172">
        <f t="shared" si="17"/>
        <v>0</v>
      </c>
      <c r="AH77" s="172">
        <f t="shared" si="18"/>
        <v>6</v>
      </c>
      <c r="AI77" s="221">
        <f t="shared" si="23"/>
        <v>0.50188995799873259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21"/>
        <v>44990</v>
      </c>
      <c r="B78" s="406">
        <f>'2022'!Wh/'2022'!Env_an*'2023'!Env_an</f>
        <v>14.487385220013396</v>
      </c>
      <c r="C78" s="385"/>
      <c r="D78" s="388">
        <f t="shared" si="0"/>
        <v>14.580497626878154</v>
      </c>
      <c r="E78" s="380">
        <f t="shared" si="1"/>
        <v>14.997971078246275</v>
      </c>
      <c r="F78" s="380">
        <f t="shared" si="2"/>
        <v>14.998058736101758</v>
      </c>
      <c r="G78" s="110">
        <f t="shared" si="24"/>
        <v>0.37816301783136408</v>
      </c>
      <c r="H78" s="409" t="b">
        <f>Wh_hp&gt;='2022'!Maxi_hp</f>
        <v>0</v>
      </c>
      <c r="I78" s="385">
        <f>IF(H78,Wh_hp,'2022'!Maxi_hp)</f>
        <v>14.998749007725031</v>
      </c>
      <c r="J78" s="85">
        <f>IF(H78,An,'2022'!An_max)</f>
        <v>2022</v>
      </c>
      <c r="K78" s="193">
        <f t="shared" si="3"/>
        <v>44990</v>
      </c>
      <c r="L78" s="143">
        <f>IF(t&lt;Tvie,1-EXP((T0-t)*PertePVj)+'2022'!Pspv,1-EXP((T0-t)*PertePVj)+Pspv)</f>
        <v>6.3860925221860265E-3</v>
      </c>
      <c r="M78" s="836"/>
      <c r="N78" s="836"/>
      <c r="O78" s="48">
        <f>IF(t&lt;Tnet,'2022'!Resal+('2022'!Salim-'2022'!Resal)*(1-EXP(('2022'!Tnet-t)/('2022'!Tau_j))),Resal+(Salim-Resal)*(1-EXP((Tnet-t)/(Tau_j))))*Salcycl</f>
        <v>2.7835328471438513E-2</v>
      </c>
      <c r="P78" s="165">
        <f>(INDEX(Models!$BJ78:$BT78,,T78)*(1-R78)+INDEX(Models!$BJ78:$BT78,,T78+1)*R78-ERP_i)*Q78*Ramure*Pc/MaxiM</f>
        <v>5.2330495092344436E-5</v>
      </c>
      <c r="Q78" s="301">
        <f t="shared" si="4"/>
        <v>0.5</v>
      </c>
      <c r="R78" s="173">
        <f t="shared" si="5"/>
        <v>0.50225114567062823</v>
      </c>
      <c r="S78" s="802">
        <f t="shared" si="6"/>
        <v>0</v>
      </c>
      <c r="T78" s="172">
        <f t="shared" si="7"/>
        <v>6</v>
      </c>
      <c r="U78" s="247">
        <f t="shared" si="22"/>
        <v>0.50225114567062823</v>
      </c>
      <c r="V78" s="378">
        <f t="shared" si="8"/>
        <v>38.308113364121787</v>
      </c>
      <c r="W78" s="397">
        <f t="shared" si="9"/>
        <v>14.487385220013396</v>
      </c>
      <c r="X78" s="153">
        <f t="shared" si="10"/>
        <v>44990</v>
      </c>
      <c r="Y78" s="380">
        <f t="shared" si="11"/>
        <v>14.487385220013396</v>
      </c>
      <c r="Z78" s="380">
        <f t="shared" si="12"/>
        <v>14.580497626878154</v>
      </c>
      <c r="AA78" s="381">
        <f t="shared" si="13"/>
        <v>14.997971078246275</v>
      </c>
      <c r="AB78" s="193">
        <f t="shared" si="14"/>
        <v>44990</v>
      </c>
      <c r="AC78" s="420">
        <f>IF(OR(t&lt;Tnet,NoTnet),'2022'!Resal_s+('2022'!Salim-'2022'!Resal_s)*(1-EXP(('2022'!Tnet_s-t)/'2022'!Tau_j)),Resal_s+(Salim-Resal_s)*(1-EXP((Tnet_s-t)/Tau_j)))*Salcycl</f>
        <v>2.7835328471438513E-2</v>
      </c>
      <c r="AD78" s="227">
        <f>(INDEX(Models!$BJ78:$BT78,,AH78)*(1-AF78)+INDEX(Models!$BJ78:$BT78,,AH78+1)*AF78-ERP_i)*AE78*Ramure*Pc/MaxiM</f>
        <v>5.2330495092344436E-5</v>
      </c>
      <c r="AE78" s="301">
        <f t="shared" si="15"/>
        <v>0.5</v>
      </c>
      <c r="AF78" s="173">
        <f t="shared" si="16"/>
        <v>0.50225114567062823</v>
      </c>
      <c r="AG78" s="172">
        <f t="shared" si="17"/>
        <v>0</v>
      </c>
      <c r="AH78" s="172">
        <f t="shared" si="18"/>
        <v>6</v>
      </c>
      <c r="AI78" s="221">
        <f t="shared" si="23"/>
        <v>0.50225114567062823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44991</v>
      </c>
      <c r="B79" s="406">
        <f>'2022'!Wh/'2022'!Env_an*'2023'!Env_an</f>
        <v>22.178739761290334</v>
      </c>
      <c r="C79" s="385"/>
      <c r="D79" s="388">
        <f t="shared" ref="D79:D142" si="25">Wh/(1-Ppv)</f>
        <v>22.321591119903115</v>
      </c>
      <c r="E79" s="380">
        <f t="shared" si="1"/>
        <v>22.961844583120776</v>
      </c>
      <c r="F79" s="380">
        <f t="shared" ref="F79:F142" si="26">Wh_sa/(1-Pvg*MEDIAN((-Sdif+Wh/Env_an)/Csdif,0,1))</f>
        <v>22.962279902416874</v>
      </c>
      <c r="G79" s="110">
        <f t="shared" si="24"/>
        <v>0.57250066030277569</v>
      </c>
      <c r="H79" s="409" t="b">
        <f>Wh_hp&gt;='2022'!Maxi_hp</f>
        <v>0</v>
      </c>
      <c r="I79" s="385">
        <f>IF(H79,Wh_hp,'2022'!Maxi_hp)</f>
        <v>22.962955608308192</v>
      </c>
      <c r="J79" s="85">
        <f>IF(H79,An,'2022'!An_max)</f>
        <v>2022</v>
      </c>
      <c r="K79" s="193">
        <f t="shared" ref="K79:K142" si="27">t</f>
        <v>44991</v>
      </c>
      <c r="L79" s="143">
        <f>IF(t&lt;Tvie,1-EXP((T0-t)*PertePVj)+'2022'!Pspv,1-EXP((T0-t)*PertePVj)+Pspv)</f>
        <v>6.3996942621804553E-3</v>
      </c>
      <c r="M79" s="836"/>
      <c r="N79" s="836"/>
      <c r="O79" s="48">
        <f>IF(t&lt;Tnet,'2022'!Resal+('2022'!Salim-'2022'!Resal)*(1-EXP(('2022'!Tnet-t)/('2022'!Tau_j))),Resal+(Salim-Resal)*(1-EXP((Tnet-t)/(Tau_j))))*Salcycl</f>
        <v>2.7883363677511864E-2</v>
      </c>
      <c r="P79" s="165">
        <f>(INDEX(Models!$BJ79:$BT79,,T79)*(1-R79)+INDEX(Models!$BJ79:$BT79,,T79+1)*R79-ERP_i)*Q79*Ramure*Pc/MaxiM</f>
        <v>4.86963329993953E-5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0.50262692228052641</v>
      </c>
      <c r="S79" s="802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0.50262692228052641</v>
      </c>
      <c r="V79" s="378">
        <f t="shared" ref="V79:V142" si="33">MaxiM*(1-Ppv)*(1-Pvg)*(1-Psa)</f>
        <v>38.738960019170463</v>
      </c>
      <c r="W79" s="397">
        <f t="shared" ref="W79:W142" si="34">Wh*(A79&gt;Tmaj)</f>
        <v>22.178739761290334</v>
      </c>
      <c r="X79" s="153">
        <f t="shared" ref="X79:X142" si="35">t</f>
        <v>44991</v>
      </c>
      <c r="Y79" s="380">
        <f t="shared" ref="Y79:Y142" si="36">Wh_pvt_s*(1-Ppv)</f>
        <v>22.178739761290334</v>
      </c>
      <c r="Z79" s="380">
        <f t="shared" ref="Z79:Z142" si="37">Wh_sa_s*(1-Psa_s)</f>
        <v>22.321591119903115</v>
      </c>
      <c r="AA79" s="381">
        <f t="shared" ref="AA79:AA142" si="38">Wh_hp*(1-Pvg_s*MEDIAN((-Sdif+Wh/Env_an)/Csdif,0,1))</f>
        <v>22.961844583120776</v>
      </c>
      <c r="AB79" s="193">
        <f t="shared" ref="AB79:AB142" si="39">t</f>
        <v>44991</v>
      </c>
      <c r="AC79" s="420">
        <f>IF(OR(t&lt;Tnet,NoTnet),'2022'!Resal_s+('2022'!Salim-'2022'!Resal_s)*(1-EXP(('2022'!Tnet_s-t)/'2022'!Tau_j)),Resal_s+(Salim-Resal_s)*(1-EXP((Tnet_s-t)/Tau_j)))*Salcycl</f>
        <v>2.7883363677511864E-2</v>
      </c>
      <c r="AD79" s="227">
        <f>(INDEX(Models!$BJ79:$BT79,,AH79)*(1-AF79)+INDEX(Models!$BJ79:$BT79,,AH79+1)*AF79-ERP_i)*AE79*Ramure*Pc/MaxiM</f>
        <v>4.86963329993953E-5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0.50262692228052641</v>
      </c>
      <c r="AG79" s="172">
        <f t="shared" ref="AG79:AG142" si="42">INDEX(Echel_vg,AH79)</f>
        <v>0</v>
      </c>
      <c r="AH79" s="172">
        <f t="shared" ref="AH79:AH142" si="43">MIN(MATCH(Hp_vg_s,Echel_vg),10)</f>
        <v>6</v>
      </c>
      <c r="AI79" s="221">
        <f t="shared" ref="AI79:AI142" si="44">IF(OR(t&lt;Ttai,Notai),Hdd_s+PousH*Croivg,Hdtai_s+PousH*(Croivg-Croi_tai))</f>
        <v>0.50262692228052641</v>
      </c>
      <c r="AJ79" s="261" t="b">
        <f t="shared" ref="AJ79:AJ142" si="45">t&lt;Tnet</f>
        <v>1</v>
      </c>
      <c r="AK79" s="261" t="b">
        <f t="shared" ref="AK79:AK142" si="46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7">A79+1</f>
        <v>44992</v>
      </c>
      <c r="B80" s="406">
        <f>'2022'!Wh/'2022'!Env_an*'2023'!Env_an</f>
        <v>35.948172065290876</v>
      </c>
      <c r="C80" s="385"/>
      <c r="D80" s="388">
        <f t="shared" si="25"/>
        <v>36.180206431821311</v>
      </c>
      <c r="E80" s="380">
        <f t="shared" ref="E80:E143" si="48">Wh_pvt/(1-Psa)</f>
        <v>37.219806888902532</v>
      </c>
      <c r="F80" s="380">
        <f t="shared" si="26"/>
        <v>37.221286619369266</v>
      </c>
      <c r="G80" s="110">
        <f t="shared" ref="G80:G143" si="49">+Wh_hp/MaxiM</f>
        <v>0.91764544048712537</v>
      </c>
      <c r="H80" s="409" t="b">
        <f>Wh_hp&gt;='2022'!Maxi_hp</f>
        <v>0</v>
      </c>
      <c r="I80" s="385">
        <f>IF(H80,Wh_hp,'2022'!Maxi_hp)</f>
        <v>37.221481723491209</v>
      </c>
      <c r="J80" s="85">
        <f>IF(H80,An,'2022'!An_max)</f>
        <v>2022</v>
      </c>
      <c r="K80" s="193">
        <f t="shared" si="27"/>
        <v>44992</v>
      </c>
      <c r="L80" s="143">
        <f>IF(t&lt;Tvie,1-EXP((T0-t)*PertePVj)+'2022'!Pspv,1-EXP((T0-t)*PertePVj)+Pspv)</f>
        <v>6.4132958159784925E-3</v>
      </c>
      <c r="M80" s="836"/>
      <c r="N80" s="836"/>
      <c r="O80" s="48">
        <f>IF(t&lt;Tnet,'2022'!Resal+('2022'!Salim-'2022'!Resal)*(1-EXP(('2022'!Tnet-t)/('2022'!Tau_j))),Resal+(Salim-Resal)*(1-EXP((Tnet-t)/(Tau_j))))*Salcycl</f>
        <v>2.7931376973134931E-2</v>
      </c>
      <c r="P80" s="165">
        <f>(INDEX(Models!$BJ80:$BT80,,T80)*(1-R80)+INDEX(Models!$BJ80:$BT80,,T80+1)*R80-ERP_i)*Q80*Ramure*Pc/MaxiM</f>
        <v>4.505537561235114E-5</v>
      </c>
      <c r="Q80" s="301">
        <f t="shared" si="28"/>
        <v>0.5</v>
      </c>
      <c r="R80" s="173">
        <f t="shared" si="29"/>
        <v>0.50301785298496193</v>
      </c>
      <c r="S80" s="802">
        <f t="shared" si="30"/>
        <v>0</v>
      </c>
      <c r="T80" s="172">
        <f t="shared" si="31"/>
        <v>6</v>
      </c>
      <c r="U80" s="247">
        <f t="shared" si="32"/>
        <v>0.50301785298496193</v>
      </c>
      <c r="V80" s="378">
        <f t="shared" si="33"/>
        <v>39.174151508993006</v>
      </c>
      <c r="W80" s="397">
        <f t="shared" si="34"/>
        <v>35.948172065290876</v>
      </c>
      <c r="X80" s="153">
        <f t="shared" si="35"/>
        <v>44992</v>
      </c>
      <c r="Y80" s="380">
        <f t="shared" si="36"/>
        <v>35.948172065290876</v>
      </c>
      <c r="Z80" s="380">
        <f t="shared" si="37"/>
        <v>36.180206431821311</v>
      </c>
      <c r="AA80" s="381">
        <f t="shared" si="38"/>
        <v>37.219806888902532</v>
      </c>
      <c r="AB80" s="193">
        <f t="shared" si="39"/>
        <v>44992</v>
      </c>
      <c r="AC80" s="420">
        <f>IF(OR(t&lt;Tnet,NoTnet),'2022'!Resal_s+('2022'!Salim-'2022'!Resal_s)*(1-EXP(('2022'!Tnet_s-t)/'2022'!Tau_j)),Resal_s+(Salim-Resal_s)*(1-EXP((Tnet_s-t)/Tau_j)))*Salcycl</f>
        <v>2.7931376973134931E-2</v>
      </c>
      <c r="AD80" s="227">
        <f>(INDEX(Models!$BJ80:$BT80,,AH80)*(1-AF80)+INDEX(Models!$BJ80:$BT80,,AH80+1)*AF80-ERP_i)*AE80*Ramure*Pc/MaxiM</f>
        <v>4.505537561235114E-5</v>
      </c>
      <c r="AE80" s="301">
        <f t="shared" si="40"/>
        <v>0.5</v>
      </c>
      <c r="AF80" s="173">
        <f t="shared" si="41"/>
        <v>0.50301785298496193</v>
      </c>
      <c r="AG80" s="172">
        <f t="shared" si="42"/>
        <v>0</v>
      </c>
      <c r="AH80" s="172">
        <f t="shared" si="43"/>
        <v>6</v>
      </c>
      <c r="AI80" s="221">
        <f t="shared" si="44"/>
        <v>0.50301785298496193</v>
      </c>
      <c r="AJ80" s="261" t="b">
        <f t="shared" si="45"/>
        <v>1</v>
      </c>
      <c r="AK80" s="261" t="b">
        <f t="shared" si="46"/>
        <v>0</v>
      </c>
      <c r="AL80" s="261"/>
      <c r="AM80" s="261"/>
      <c r="AN80" s="75"/>
    </row>
    <row r="81" spans="1:40" s="6" customFormat="1" ht="11.25" x14ac:dyDescent="0.2">
      <c r="A81" s="56">
        <f t="shared" si="47"/>
        <v>44993</v>
      </c>
      <c r="B81" s="406">
        <f>'2022'!Wh/'2022'!Env_an*'2023'!Env_an</f>
        <v>32.252319144959351</v>
      </c>
      <c r="C81" s="385"/>
      <c r="D81" s="388">
        <f t="shared" si="25"/>
        <v>32.460942283497602</v>
      </c>
      <c r="E81" s="380">
        <f t="shared" si="48"/>
        <v>33.395322518039222</v>
      </c>
      <c r="F81" s="380">
        <f t="shared" si="26"/>
        <v>33.396340434119331</v>
      </c>
      <c r="G81" s="110">
        <f t="shared" si="49"/>
        <v>0.81417304586903394</v>
      </c>
      <c r="H81" s="409" t="b">
        <f>Wh_hp&gt;='2022'!Maxi_hp</f>
        <v>0</v>
      </c>
      <c r="I81" s="385">
        <f>IF(H81,Wh_hp,'2022'!Maxi_hp)</f>
        <v>33.396703977303218</v>
      </c>
      <c r="J81" s="85">
        <f>IF(H81,An,'2022'!An_max)</f>
        <v>2022</v>
      </c>
      <c r="K81" s="193">
        <f t="shared" si="27"/>
        <v>44993</v>
      </c>
      <c r="L81" s="143">
        <f>IF(t&lt;Tvie,1-EXP((T0-t)*PertePVj)+'2022'!Pspv,1-EXP((T0-t)*PertePVj)+Pspv)</f>
        <v>6.4268971835825806E-3</v>
      </c>
      <c r="M81" s="836"/>
      <c r="N81" s="836"/>
      <c r="O81" s="48">
        <f>IF(t&lt;Tnet,'2022'!Resal+('2022'!Salim-'2022'!Resal)*(1-EXP(('2022'!Tnet-t)/('2022'!Tau_j))),Resal+(Salim-Resal)*(1-EXP((Tnet-t)/(Tau_j))))*Salcycl</f>
        <v>2.7979374477874713E-2</v>
      </c>
      <c r="P81" s="165">
        <f>(INDEX(Models!$BJ81:$BT81,,T81)*(1-R81)+INDEX(Models!$BJ81:$BT81,,T81+1)*R81-ERP_i)*Q81*Ramure*Pc/MaxiM</f>
        <v>4.149485527575545E-5</v>
      </c>
      <c r="Q81" s="301">
        <f t="shared" si="28"/>
        <v>0.5</v>
      </c>
      <c r="R81" s="173">
        <f t="shared" si="29"/>
        <v>0.50342452281317207</v>
      </c>
      <c r="S81" s="802">
        <f t="shared" si="30"/>
        <v>0</v>
      </c>
      <c r="T81" s="172">
        <f t="shared" si="31"/>
        <v>6</v>
      </c>
      <c r="U81" s="247">
        <f t="shared" si="32"/>
        <v>0.50342452281317207</v>
      </c>
      <c r="V81" s="378">
        <f t="shared" si="33"/>
        <v>39.613155997876973</v>
      </c>
      <c r="W81" s="397">
        <f t="shared" si="34"/>
        <v>32.252319144959351</v>
      </c>
      <c r="X81" s="153">
        <f t="shared" si="35"/>
        <v>44993</v>
      </c>
      <c r="Y81" s="380">
        <f t="shared" si="36"/>
        <v>32.252319144959351</v>
      </c>
      <c r="Z81" s="380">
        <f t="shared" si="37"/>
        <v>32.460942283497602</v>
      </c>
      <c r="AA81" s="381">
        <f t="shared" si="38"/>
        <v>33.395322518039222</v>
      </c>
      <c r="AB81" s="193">
        <f t="shared" si="39"/>
        <v>44993</v>
      </c>
      <c r="AC81" s="420">
        <f>IF(OR(t&lt;Tnet,NoTnet),'2022'!Resal_s+('2022'!Salim-'2022'!Resal_s)*(1-EXP(('2022'!Tnet_s-t)/'2022'!Tau_j)),Resal_s+(Salim-Resal_s)*(1-EXP((Tnet_s-t)/Tau_j)))*Salcycl</f>
        <v>2.7979374477874713E-2</v>
      </c>
      <c r="AD81" s="227">
        <f>(INDEX(Models!$BJ81:$BT81,,AH81)*(1-AF81)+INDEX(Models!$BJ81:$BT81,,AH81+1)*AF81-ERP_i)*AE81*Ramure*Pc/MaxiM</f>
        <v>4.149485527575545E-5</v>
      </c>
      <c r="AE81" s="301">
        <f t="shared" si="40"/>
        <v>0.5</v>
      </c>
      <c r="AF81" s="173">
        <f t="shared" si="41"/>
        <v>0.50342452281317207</v>
      </c>
      <c r="AG81" s="172">
        <f t="shared" si="42"/>
        <v>0</v>
      </c>
      <c r="AH81" s="172">
        <f t="shared" si="43"/>
        <v>6</v>
      </c>
      <c r="AI81" s="221">
        <f t="shared" si="44"/>
        <v>0.50342452281317207</v>
      </c>
      <c r="AJ81" s="261" t="b">
        <f t="shared" si="45"/>
        <v>1</v>
      </c>
      <c r="AK81" s="261" t="b">
        <f t="shared" si="46"/>
        <v>0</v>
      </c>
      <c r="AL81" s="261"/>
      <c r="AM81" s="261"/>
      <c r="AN81" s="75"/>
    </row>
    <row r="82" spans="1:40" s="6" customFormat="1" ht="11.25" x14ac:dyDescent="0.2">
      <c r="A82" s="56">
        <f t="shared" si="47"/>
        <v>44994</v>
      </c>
      <c r="B82" s="406">
        <f>'2022'!Wh/'2022'!Env_an*'2023'!Env_an</f>
        <v>28.78820219632598</v>
      </c>
      <c r="C82" s="385"/>
      <c r="D82" s="388">
        <f t="shared" si="25"/>
        <v>28.974814441361616</v>
      </c>
      <c r="E82" s="380">
        <f t="shared" si="48"/>
        <v>29.810319070926038</v>
      </c>
      <c r="F82" s="380">
        <f t="shared" si="26"/>
        <v>29.810996911531156</v>
      </c>
      <c r="G82" s="110">
        <f t="shared" si="49"/>
        <v>0.71869785332565794</v>
      </c>
      <c r="H82" s="409" t="b">
        <f>Wh_hp&gt;='2022'!Maxi_hp</f>
        <v>0</v>
      </c>
      <c r="I82" s="385">
        <f>IF(H82,Wh_hp,'2022'!Maxi_hp)</f>
        <v>29.811446608214982</v>
      </c>
      <c r="J82" s="85">
        <f>IF(H82,An,'2022'!An_max)</f>
        <v>2022</v>
      </c>
      <c r="K82" s="193">
        <f t="shared" si="27"/>
        <v>44994</v>
      </c>
      <c r="L82" s="143">
        <f>IF(t&lt;Tvie,1-EXP((T0-t)*PertePVj)+'2022'!Pspv,1-EXP((T0-t)*PertePVj)+Pspv)</f>
        <v>6.440498364995495E-3</v>
      </c>
      <c r="M82" s="836"/>
      <c r="N82" s="836"/>
      <c r="O82" s="48">
        <f>IF(t&lt;Tnet,'2022'!Resal+('2022'!Salim-'2022'!Resal)*(1-EXP(('2022'!Tnet-t)/('2022'!Tau_j))),Resal+(Salim-Resal)*(1-EXP((Tnet-t)/(Tau_j))))*Salcycl</f>
        <v>2.8027362859704703E-2</v>
      </c>
      <c r="P82" s="165">
        <f>(INDEX(Models!$BJ82:$BT82,,T82)*(1-R82)+INDEX(Models!$BJ82:$BT82,,T82+1)*R82-ERP_i)*Q82*Ramure*Pc/MaxiM</f>
        <v>3.8013424862234576E-5</v>
      </c>
      <c r="Q82" s="301">
        <f t="shared" si="28"/>
        <v>0.5</v>
      </c>
      <c r="R82" s="173">
        <f t="shared" si="29"/>
        <v>0.50384753719475894</v>
      </c>
      <c r="S82" s="802">
        <f t="shared" si="30"/>
        <v>0</v>
      </c>
      <c r="T82" s="172">
        <f t="shared" si="31"/>
        <v>6</v>
      </c>
      <c r="U82" s="247">
        <f t="shared" si="32"/>
        <v>0.50384753719475894</v>
      </c>
      <c r="V82" s="378">
        <f t="shared" si="33"/>
        <v>40.055445134999282</v>
      </c>
      <c r="W82" s="397">
        <f t="shared" si="34"/>
        <v>28.78820219632598</v>
      </c>
      <c r="X82" s="153">
        <f t="shared" si="35"/>
        <v>44994</v>
      </c>
      <c r="Y82" s="380">
        <f t="shared" si="36"/>
        <v>28.78820219632598</v>
      </c>
      <c r="Z82" s="380">
        <f t="shared" si="37"/>
        <v>28.974814441361616</v>
      </c>
      <c r="AA82" s="381">
        <f t="shared" si="38"/>
        <v>29.810319070926038</v>
      </c>
      <c r="AB82" s="193">
        <f t="shared" si="39"/>
        <v>44994</v>
      </c>
      <c r="AC82" s="420">
        <f>IF(OR(t&lt;Tnet,NoTnet),'2022'!Resal_s+('2022'!Salim-'2022'!Resal_s)*(1-EXP(('2022'!Tnet_s-t)/'2022'!Tau_j)),Resal_s+(Salim-Resal_s)*(1-EXP((Tnet_s-t)/Tau_j)))*Salcycl</f>
        <v>2.8027362859704703E-2</v>
      </c>
      <c r="AD82" s="227">
        <f>(INDEX(Models!$BJ82:$BT82,,AH82)*(1-AF82)+INDEX(Models!$BJ82:$BT82,,AH82+1)*AF82-ERP_i)*AE82*Ramure*Pc/MaxiM</f>
        <v>3.8013424862234576E-5</v>
      </c>
      <c r="AE82" s="301">
        <f t="shared" si="40"/>
        <v>0.5</v>
      </c>
      <c r="AF82" s="173">
        <f t="shared" si="41"/>
        <v>0.50384753719475894</v>
      </c>
      <c r="AG82" s="172">
        <f t="shared" si="42"/>
        <v>0</v>
      </c>
      <c r="AH82" s="172">
        <f t="shared" si="43"/>
        <v>6</v>
      </c>
      <c r="AI82" s="221">
        <f t="shared" si="44"/>
        <v>0.50384753719475894</v>
      </c>
      <c r="AJ82" s="261" t="b">
        <f t="shared" si="45"/>
        <v>1</v>
      </c>
      <c r="AK82" s="261" t="b">
        <f t="shared" si="46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7"/>
        <v>44995</v>
      </c>
      <c r="B83" s="406">
        <f>'2022'!Wh/'2022'!Env_an*'2023'!Env_an</f>
        <v>24.323256010038708</v>
      </c>
      <c r="C83" s="385"/>
      <c r="D83" s="388">
        <f t="shared" si="25"/>
        <v>24.481260497754636</v>
      </c>
      <c r="E83" s="380">
        <f t="shared" si="48"/>
        <v>25.188434597913517</v>
      </c>
      <c r="F83" s="380">
        <f t="shared" si="26"/>
        <v>25.188808920985906</v>
      </c>
      <c r="G83" s="110">
        <f t="shared" si="49"/>
        <v>0.6005550857415608</v>
      </c>
      <c r="H83" s="409" t="b">
        <f>Wh_hp&gt;='2022'!Maxi_hp</f>
        <v>0</v>
      </c>
      <c r="I83" s="385">
        <f>IF(H83,Wh_hp,'2022'!Maxi_hp)</f>
        <v>25.189299753187651</v>
      </c>
      <c r="J83" s="85">
        <f>IF(H83,An,'2022'!An_max)</f>
        <v>2022</v>
      </c>
      <c r="K83" s="193">
        <f t="shared" si="27"/>
        <v>44995</v>
      </c>
      <c r="L83" s="143">
        <f>IF(t&lt;Tvie,1-EXP((T0-t)*PertePVj)+'2022'!Pspv,1-EXP((T0-t)*PertePVj)+Pspv)</f>
        <v>6.4540993602195673E-3</v>
      </c>
      <c r="M83" s="836"/>
      <c r="N83" s="836"/>
      <c r="O83" s="48">
        <f>IF(t&lt;Tnet,'2022'!Resal+('2022'!Salim-'2022'!Resal)*(1-EXP(('2022'!Tnet-t)/('2022'!Tau_j))),Resal+(Salim-Resal)*(1-EXP((Tnet-t)/(Tau_j))))*Salcycl</f>
        <v>2.807534931993981E-2</v>
      </c>
      <c r="P83" s="165">
        <f>(INDEX(Models!$BJ83:$BT83,,T83)*(1-R83)+INDEX(Models!$BJ83:$BT83,,T83+1)*R83-ERP_i)*Q83*Ramure*Pc/MaxiM</f>
        <v>3.4609536706492136E-5</v>
      </c>
      <c r="Q83" s="301">
        <f t="shared" si="28"/>
        <v>0.5</v>
      </c>
      <c r="R83" s="173">
        <f t="shared" si="29"/>
        <v>0.50428752248609565</v>
      </c>
      <c r="S83" s="802">
        <f t="shared" si="30"/>
        <v>0</v>
      </c>
      <c r="T83" s="172">
        <f t="shared" si="31"/>
        <v>6</v>
      </c>
      <c r="U83" s="247">
        <f t="shared" si="32"/>
        <v>0.50428752248609565</v>
      </c>
      <c r="V83" s="378">
        <f t="shared" si="33"/>
        <v>40.500490669567952</v>
      </c>
      <c r="W83" s="397">
        <f t="shared" si="34"/>
        <v>24.323256010038708</v>
      </c>
      <c r="X83" s="153">
        <f t="shared" si="35"/>
        <v>44995</v>
      </c>
      <c r="Y83" s="380">
        <f t="shared" si="36"/>
        <v>24.323256010038708</v>
      </c>
      <c r="Z83" s="380">
        <f t="shared" si="37"/>
        <v>24.481260497754636</v>
      </c>
      <c r="AA83" s="381">
        <f t="shared" si="38"/>
        <v>25.188434597913517</v>
      </c>
      <c r="AB83" s="193">
        <f t="shared" si="39"/>
        <v>44995</v>
      </c>
      <c r="AC83" s="420">
        <f>IF(OR(t&lt;Tnet,NoTnet),'2022'!Resal_s+('2022'!Salim-'2022'!Resal_s)*(1-EXP(('2022'!Tnet_s-t)/'2022'!Tau_j)),Resal_s+(Salim-Resal_s)*(1-EXP((Tnet_s-t)/Tau_j)))*Salcycl</f>
        <v>2.807534931993981E-2</v>
      </c>
      <c r="AD83" s="227">
        <f>(INDEX(Models!$BJ83:$BT83,,AH83)*(1-AF83)+INDEX(Models!$BJ83:$BT83,,AH83+1)*AF83-ERP_i)*AE83*Ramure*Pc/MaxiM</f>
        <v>3.4609536706492136E-5</v>
      </c>
      <c r="AE83" s="301">
        <f t="shared" si="40"/>
        <v>0.5</v>
      </c>
      <c r="AF83" s="173">
        <f t="shared" si="41"/>
        <v>0.50428752248609565</v>
      </c>
      <c r="AG83" s="172">
        <f t="shared" si="42"/>
        <v>0</v>
      </c>
      <c r="AH83" s="172">
        <f t="shared" si="43"/>
        <v>6</v>
      </c>
      <c r="AI83" s="221">
        <f t="shared" si="44"/>
        <v>0.50428752248609565</v>
      </c>
      <c r="AJ83" s="261" t="b">
        <f t="shared" si="45"/>
        <v>1</v>
      </c>
      <c r="AK83" s="261" t="b">
        <f t="shared" si="46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7"/>
        <v>44996</v>
      </c>
      <c r="B84" s="406">
        <f>'2022'!Wh/'2022'!Env_an*'2023'!Env_an</f>
        <v>17.553682102580773</v>
      </c>
      <c r="C84" s="385"/>
      <c r="D84" s="388">
        <f t="shared" si="25"/>
        <v>17.667953126004264</v>
      </c>
      <c r="E84" s="380">
        <f t="shared" si="48"/>
        <v>18.179213352690606</v>
      </c>
      <c r="F84" s="380">
        <f t="shared" si="26"/>
        <v>18.179317895374169</v>
      </c>
      <c r="G84" s="110">
        <f t="shared" si="49"/>
        <v>0.42867380368186014</v>
      </c>
      <c r="H84" s="409" t="b">
        <f>Wh_hp&gt;='2022'!Maxi_hp</f>
        <v>0</v>
      </c>
      <c r="I84" s="385">
        <f>IF(H84,Wh_hp,'2022'!Maxi_hp)</f>
        <v>18.179775420005882</v>
      </c>
      <c r="J84" s="85">
        <f>IF(H84,An,'2022'!An_max)</f>
        <v>2022</v>
      </c>
      <c r="K84" s="193">
        <f t="shared" si="27"/>
        <v>44996</v>
      </c>
      <c r="L84" s="143">
        <f>IF(t&lt;Tvie,1-EXP((T0-t)*PertePVj)+'2022'!Pspv,1-EXP((T0-t)*PertePVj)+Pspv)</f>
        <v>6.4677001692575731E-3</v>
      </c>
      <c r="M84" s="836"/>
      <c r="N84" s="836"/>
      <c r="O84" s="48">
        <f>IF(t&lt;Tnet,'2022'!Resal+('2022'!Salim-'2022'!Resal)*(1-EXP(('2022'!Tnet-t)/('2022'!Tau_j))),Resal+(Salim-Resal)*(1-EXP((Tnet-t)/(Tau_j))))*Salcycl</f>
        <v>2.8123341575210355E-2</v>
      </c>
      <c r="P84" s="165">
        <f>(INDEX(Models!$BJ84:$BT84,,T84)*(1-R84)+INDEX(Models!$BJ84:$BT84,,T84+1)*R84-ERP_i)*Q84*Ramure*Pc/MaxiM</f>
        <v>3.1281460538428351E-5</v>
      </c>
      <c r="Q84" s="301">
        <f t="shared" si="28"/>
        <v>0.5</v>
      </c>
      <c r="R84" s="173">
        <f t="shared" si="29"/>
        <v>0.50474512649376058</v>
      </c>
      <c r="S84" s="802">
        <f t="shared" si="30"/>
        <v>0</v>
      </c>
      <c r="T84" s="172">
        <f t="shared" si="31"/>
        <v>6</v>
      </c>
      <c r="U84" s="247">
        <f t="shared" si="32"/>
        <v>0.50474512649376058</v>
      </c>
      <c r="V84" s="378">
        <f t="shared" si="33"/>
        <v>40.947764452373725</v>
      </c>
      <c r="W84" s="397">
        <f t="shared" si="34"/>
        <v>17.553682102580773</v>
      </c>
      <c r="X84" s="153">
        <f t="shared" si="35"/>
        <v>44996</v>
      </c>
      <c r="Y84" s="380">
        <f t="shared" si="36"/>
        <v>17.553682102580773</v>
      </c>
      <c r="Z84" s="380">
        <f t="shared" si="37"/>
        <v>17.667953126004264</v>
      </c>
      <c r="AA84" s="381">
        <f t="shared" si="38"/>
        <v>18.179213352690606</v>
      </c>
      <c r="AB84" s="193">
        <f t="shared" si="39"/>
        <v>44996</v>
      </c>
      <c r="AC84" s="420">
        <f>IF(OR(t&lt;Tnet,NoTnet),'2022'!Resal_s+('2022'!Salim-'2022'!Resal_s)*(1-EXP(('2022'!Tnet_s-t)/'2022'!Tau_j)),Resal_s+(Salim-Resal_s)*(1-EXP((Tnet_s-t)/Tau_j)))*Salcycl</f>
        <v>2.8123341575210355E-2</v>
      </c>
      <c r="AD84" s="227">
        <f>(INDEX(Models!$BJ84:$BT84,,AH84)*(1-AF84)+INDEX(Models!$BJ84:$BT84,,AH84+1)*AF84-ERP_i)*AE84*Ramure*Pc/MaxiM</f>
        <v>3.1281460538428351E-5</v>
      </c>
      <c r="AE84" s="301">
        <f t="shared" si="40"/>
        <v>0.5</v>
      </c>
      <c r="AF84" s="173">
        <f t="shared" si="41"/>
        <v>0.50474512649376058</v>
      </c>
      <c r="AG84" s="172">
        <f t="shared" si="42"/>
        <v>0</v>
      </c>
      <c r="AH84" s="172">
        <f t="shared" si="43"/>
        <v>6</v>
      </c>
      <c r="AI84" s="221">
        <f t="shared" si="44"/>
        <v>0.50474512649376058</v>
      </c>
      <c r="AJ84" s="261" t="b">
        <f t="shared" si="45"/>
        <v>1</v>
      </c>
      <c r="AK84" s="261" t="b">
        <f t="shared" si="46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7"/>
        <v>44997</v>
      </c>
      <c r="B85" s="406">
        <f>'2022'!Wh/'2022'!Env_an*'2023'!Env_an</f>
        <v>13.737270194166324</v>
      </c>
      <c r="C85" s="385"/>
      <c r="D85" s="388">
        <f t="shared" si="25"/>
        <v>13.826886403968809</v>
      </c>
      <c r="E85" s="380">
        <f t="shared" si="48"/>
        <v>14.227699886384295</v>
      </c>
      <c r="F85" s="380">
        <f t="shared" si="26"/>
        <v>14.227718026902497</v>
      </c>
      <c r="G85" s="110">
        <f t="shared" si="49"/>
        <v>0.33183538632452275</v>
      </c>
      <c r="H85" s="409" t="b">
        <f>Wh_hp&gt;='2022'!Maxi_hp</f>
        <v>0</v>
      </c>
      <c r="I85" s="385">
        <f>IF(H85,Wh_hp,'2022'!Maxi_hp)</f>
        <v>14.228092826357823</v>
      </c>
      <c r="J85" s="85">
        <f>IF(H85,An,'2022'!An_max)</f>
        <v>2022</v>
      </c>
      <c r="K85" s="193">
        <f t="shared" si="27"/>
        <v>44997</v>
      </c>
      <c r="L85" s="143">
        <f>IF(t&lt;Tvie,1-EXP((T0-t)*PertePVj)+'2022'!Pspv,1-EXP((T0-t)*PertePVj)+Pspv)</f>
        <v>6.4813007921118437E-3</v>
      </c>
      <c r="M85" s="836"/>
      <c r="N85" s="836"/>
      <c r="O85" s="48">
        <f>IF(t&lt;Tnet,'2022'!Resal+('2022'!Salim-'2022'!Resal)*(1-EXP(('2022'!Tnet-t)/('2022'!Tau_j))),Resal+(Salim-Resal)*(1-EXP((Tnet-t)/(Tau_j))))*Salcycl</f>
        <v>2.8171347836698373E-2</v>
      </c>
      <c r="P85" s="165">
        <f>(INDEX(Models!$BJ85:$BT85,,T85)*(1-R85)+INDEX(Models!$BJ85:$BT85,,T85+1)*R85-ERP_i)*Q85*Ramure*Pc/MaxiM</f>
        <v>2.8027300163078611E-5</v>
      </c>
      <c r="Q85" s="301">
        <f t="shared" si="28"/>
        <v>0.5</v>
      </c>
      <c r="R85" s="173">
        <f t="shared" si="29"/>
        <v>0.50522101899311578</v>
      </c>
      <c r="S85" s="802">
        <f t="shared" si="30"/>
        <v>0</v>
      </c>
      <c r="T85" s="172">
        <f t="shared" si="31"/>
        <v>6</v>
      </c>
      <c r="U85" s="247">
        <f t="shared" si="32"/>
        <v>0.50522101899311578</v>
      </c>
      <c r="V85" s="378">
        <f t="shared" si="33"/>
        <v>41.396738432409101</v>
      </c>
      <c r="W85" s="397">
        <f t="shared" si="34"/>
        <v>13.737270194166324</v>
      </c>
      <c r="X85" s="153">
        <f t="shared" si="35"/>
        <v>44997</v>
      </c>
      <c r="Y85" s="380">
        <f t="shared" si="36"/>
        <v>13.737270194166324</v>
      </c>
      <c r="Z85" s="380">
        <f t="shared" si="37"/>
        <v>13.826886403968809</v>
      </c>
      <c r="AA85" s="381">
        <f t="shared" si="38"/>
        <v>14.227699886384295</v>
      </c>
      <c r="AB85" s="193">
        <f t="shared" si="39"/>
        <v>44997</v>
      </c>
      <c r="AC85" s="420">
        <f>IF(OR(t&lt;Tnet,NoTnet),'2022'!Resal_s+('2022'!Salim-'2022'!Resal_s)*(1-EXP(('2022'!Tnet_s-t)/'2022'!Tau_j)),Resal_s+(Salim-Resal_s)*(1-EXP((Tnet_s-t)/Tau_j)))*Salcycl</f>
        <v>2.8171347836698373E-2</v>
      </c>
      <c r="AD85" s="227">
        <f>(INDEX(Models!$BJ85:$BT85,,AH85)*(1-AF85)+INDEX(Models!$BJ85:$BT85,,AH85+1)*AF85-ERP_i)*AE85*Ramure*Pc/MaxiM</f>
        <v>2.8027300163078611E-5</v>
      </c>
      <c r="AE85" s="301">
        <f t="shared" si="40"/>
        <v>0.5</v>
      </c>
      <c r="AF85" s="173">
        <f t="shared" si="41"/>
        <v>0.50522101899311578</v>
      </c>
      <c r="AG85" s="172">
        <f t="shared" si="42"/>
        <v>0</v>
      </c>
      <c r="AH85" s="172">
        <f t="shared" si="43"/>
        <v>6</v>
      </c>
      <c r="AI85" s="221">
        <f t="shared" si="44"/>
        <v>0.50522101899311578</v>
      </c>
      <c r="AJ85" s="261" t="b">
        <f t="shared" si="45"/>
        <v>1</v>
      </c>
      <c r="AK85" s="261" t="b">
        <f t="shared" si="46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7"/>
        <v>44998</v>
      </c>
      <c r="B86" s="406">
        <f>'2022'!Wh/'2022'!Env_an*'2023'!Env_an</f>
        <v>8.7494292661664321</v>
      </c>
      <c r="C86" s="385"/>
      <c r="D86" s="388">
        <f t="shared" si="25"/>
        <v>8.8066274415580583</v>
      </c>
      <c r="E86" s="380">
        <f t="shared" si="48"/>
        <v>9.0623616392345596</v>
      </c>
      <c r="F86" s="380">
        <f t="shared" si="26"/>
        <v>9.0623616392345596</v>
      </c>
      <c r="G86" s="110">
        <f t="shared" si="49"/>
        <v>0.20907677974090336</v>
      </c>
      <c r="H86" s="409" t="b">
        <f>Wh_hp&gt;='2022'!Maxi_hp</f>
        <v>0</v>
      </c>
      <c r="I86" s="385">
        <f>IF(H86,Wh_hp,'2022'!Maxi_hp)</f>
        <v>9.0625850333182196</v>
      </c>
      <c r="J86" s="85">
        <f>IF(H86,An,'2022'!An_max)</f>
        <v>2022</v>
      </c>
      <c r="K86" s="193">
        <f t="shared" si="27"/>
        <v>44998</v>
      </c>
      <c r="L86" s="143">
        <f>IF(t&lt;Tvie,1-EXP((T0-t)*PertePVj)+'2022'!Pspv,1-EXP((T0-t)*PertePVj)+Pspv)</f>
        <v>6.4949012287849328E-3</v>
      </c>
      <c r="M86" s="836"/>
      <c r="N86" s="836"/>
      <c r="O86" s="48">
        <f>IF(t&lt;Tnet,'2022'!Resal+('2022'!Salim-'2022'!Resal)*(1-EXP(('2022'!Tnet-t)/('2022'!Tau_j))),Resal+(Salim-Resal)*(1-EXP((Tnet-t)/(Tau_j))))*Salcycl</f>
        <v>2.8219376786877168E-2</v>
      </c>
      <c r="P86" s="165">
        <f>(INDEX(Models!$BJ86:$BT86,,T86)*(1-R86)+INDEX(Models!$BJ86:$BT86,,T86+1)*R86-ERP_i)*Q86*Ramure*Pc/MaxiM</f>
        <v>2.506501099349568E-5</v>
      </c>
      <c r="Q86" s="301">
        <f t="shared" si="28"/>
        <v>0.5</v>
      </c>
      <c r="R86" s="173">
        <f t="shared" si="29"/>
        <v>0.50571589223996161</v>
      </c>
      <c r="S86" s="802">
        <f t="shared" si="30"/>
        <v>0</v>
      </c>
      <c r="T86" s="172">
        <f t="shared" si="31"/>
        <v>6</v>
      </c>
      <c r="U86" s="247">
        <f t="shared" si="32"/>
        <v>0.50571589223996161</v>
      </c>
      <c r="V86" s="378">
        <f t="shared" si="33"/>
        <v>41.846875451535425</v>
      </c>
      <c r="W86" s="397">
        <f t="shared" si="34"/>
        <v>8.7494292661664321</v>
      </c>
      <c r="X86" s="153">
        <f t="shared" si="35"/>
        <v>44998</v>
      </c>
      <c r="Y86" s="380">
        <f t="shared" si="36"/>
        <v>8.7494292661664321</v>
      </c>
      <c r="Z86" s="380">
        <f t="shared" si="37"/>
        <v>8.8066274415580583</v>
      </c>
      <c r="AA86" s="381">
        <f t="shared" si="38"/>
        <v>9.0623616392345596</v>
      </c>
      <c r="AB86" s="193">
        <f t="shared" si="39"/>
        <v>44998</v>
      </c>
      <c r="AC86" s="420">
        <f>IF(OR(t&lt;Tnet,NoTnet),'2022'!Resal_s+('2022'!Salim-'2022'!Resal_s)*(1-EXP(('2022'!Tnet_s-t)/'2022'!Tau_j)),Resal_s+(Salim-Resal_s)*(1-EXP((Tnet_s-t)/Tau_j)))*Salcycl</f>
        <v>2.8219376786877168E-2</v>
      </c>
      <c r="AD86" s="227">
        <f>(INDEX(Models!$BJ86:$BT86,,AH86)*(1-AF86)+INDEX(Models!$BJ86:$BT86,,AH86+1)*AF86-ERP_i)*AE86*Ramure*Pc/MaxiM</f>
        <v>2.506501099349568E-5</v>
      </c>
      <c r="AE86" s="301">
        <f t="shared" si="40"/>
        <v>0.5</v>
      </c>
      <c r="AF86" s="173">
        <f t="shared" si="41"/>
        <v>0.50571589223996161</v>
      </c>
      <c r="AG86" s="172">
        <f t="shared" si="42"/>
        <v>0</v>
      </c>
      <c r="AH86" s="172">
        <f t="shared" si="43"/>
        <v>6</v>
      </c>
      <c r="AI86" s="221">
        <f t="shared" si="44"/>
        <v>0.50571589223996161</v>
      </c>
      <c r="AJ86" s="261" t="b">
        <f t="shared" si="45"/>
        <v>1</v>
      </c>
      <c r="AK86" s="261" t="b">
        <f t="shared" si="46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7"/>
        <v>44999</v>
      </c>
      <c r="B87" s="406">
        <f>'2022'!Wh/'2022'!Env_an*'2023'!Env_an</f>
        <v>13.028420718994866</v>
      </c>
      <c r="C87" s="385"/>
      <c r="D87" s="388">
        <f t="shared" si="25"/>
        <v>13.11377172164412</v>
      </c>
      <c r="E87" s="380">
        <f t="shared" si="48"/>
        <v>13.495247795993237</v>
      </c>
      <c r="F87" s="380">
        <f t="shared" si="26"/>
        <v>13.495251275050629</v>
      </c>
      <c r="G87" s="110">
        <f t="shared" si="49"/>
        <v>0.30801080326934716</v>
      </c>
      <c r="H87" s="409" t="b">
        <f>Wh_hp&gt;='2022'!Maxi_hp</f>
        <v>0</v>
      </c>
      <c r="I87" s="385">
        <f>IF(H87,Wh_hp,'2022'!Maxi_hp)</f>
        <v>13.495546182179719</v>
      </c>
      <c r="J87" s="85">
        <f>IF(H87,An,'2022'!An_max)</f>
        <v>2022</v>
      </c>
      <c r="K87" s="193">
        <f t="shared" si="27"/>
        <v>44999</v>
      </c>
      <c r="L87" s="143">
        <f>IF(t&lt;Tvie,1-EXP((T0-t)*PertePVj)+'2022'!Pspv,1-EXP((T0-t)*PertePVj)+Pspv)</f>
        <v>6.5085014792795048E-3</v>
      </c>
      <c r="M87" s="836"/>
      <c r="N87" s="836"/>
      <c r="O87" s="48">
        <f>IF(t&lt;Tnet,'2022'!Resal+('2022'!Salim-'2022'!Resal)*(1-EXP(('2022'!Tnet-t)/('2022'!Tau_j))),Resal+(Salim-Resal)*(1-EXP((Tnet-t)/(Tau_j))))*Salcycl</f>
        <v>2.8267437554008977E-2</v>
      </c>
      <c r="P87" s="165">
        <f>(INDEX(Models!$BJ87:$BT87,,T87)*(1-R87)+INDEX(Models!$BJ87:$BT87,,T87+1)*R87-ERP_i)*Q87*Ramure*Pc/MaxiM</f>
        <v>2.2507704491188937E-5</v>
      </c>
      <c r="Q87" s="301">
        <f t="shared" si="28"/>
        <v>0.5</v>
      </c>
      <c r="R87" s="173">
        <f t="shared" si="29"/>
        <v>0.50623046147299922</v>
      </c>
      <c r="S87" s="802">
        <f t="shared" si="30"/>
        <v>0</v>
      </c>
      <c r="T87" s="172">
        <f t="shared" si="31"/>
        <v>6</v>
      </c>
      <c r="U87" s="247">
        <f t="shared" si="32"/>
        <v>0.50623046147299922</v>
      </c>
      <c r="V87" s="378">
        <f t="shared" si="33"/>
        <v>42.29764248364031</v>
      </c>
      <c r="W87" s="397">
        <f t="shared" si="34"/>
        <v>13.028420718994866</v>
      </c>
      <c r="X87" s="153">
        <f t="shared" si="35"/>
        <v>44999</v>
      </c>
      <c r="Y87" s="380">
        <f t="shared" si="36"/>
        <v>13.028420718994866</v>
      </c>
      <c r="Z87" s="380">
        <f t="shared" si="37"/>
        <v>13.11377172164412</v>
      </c>
      <c r="AA87" s="381">
        <f t="shared" si="38"/>
        <v>13.495247795993237</v>
      </c>
      <c r="AB87" s="193">
        <f t="shared" si="39"/>
        <v>44999</v>
      </c>
      <c r="AC87" s="420">
        <f>IF(OR(t&lt;Tnet,NoTnet),'2022'!Resal_s+('2022'!Salim-'2022'!Resal_s)*(1-EXP(('2022'!Tnet_s-t)/'2022'!Tau_j)),Resal_s+(Salim-Resal_s)*(1-EXP((Tnet_s-t)/Tau_j)))*Salcycl</f>
        <v>2.8267437554008977E-2</v>
      </c>
      <c r="AD87" s="227">
        <f>(INDEX(Models!$BJ87:$BT87,,AH87)*(1-AF87)+INDEX(Models!$BJ87:$BT87,,AH87+1)*AF87-ERP_i)*AE87*Ramure*Pc/MaxiM</f>
        <v>2.2507704491188937E-5</v>
      </c>
      <c r="AE87" s="301">
        <f t="shared" si="40"/>
        <v>0.5</v>
      </c>
      <c r="AF87" s="173">
        <f t="shared" si="41"/>
        <v>0.50623046147299922</v>
      </c>
      <c r="AG87" s="172">
        <f t="shared" si="42"/>
        <v>0</v>
      </c>
      <c r="AH87" s="172">
        <f t="shared" si="43"/>
        <v>6</v>
      </c>
      <c r="AI87" s="221">
        <f t="shared" si="44"/>
        <v>0.50623046147299922</v>
      </c>
      <c r="AJ87" s="261" t="b">
        <f t="shared" si="45"/>
        <v>1</v>
      </c>
      <c r="AK87" s="261" t="b">
        <f t="shared" si="46"/>
        <v>0</v>
      </c>
      <c r="AL87" s="261"/>
      <c r="AM87" s="261"/>
      <c r="AN87" s="75"/>
    </row>
    <row r="88" spans="1:40" s="6" customFormat="1" ht="11.25" x14ac:dyDescent="0.2">
      <c r="A88" s="56">
        <f t="shared" si="47"/>
        <v>45000</v>
      </c>
      <c r="B88" s="406">
        <f>'2022'!Wh/'2022'!Env_an*'2023'!Env_an</f>
        <v>15.439513559398092</v>
      </c>
      <c r="C88" s="385"/>
      <c r="D88" s="388">
        <f t="shared" si="25"/>
        <v>15.540872709284177</v>
      </c>
      <c r="E88" s="380">
        <f t="shared" si="48"/>
        <v>15.993744208115475</v>
      </c>
      <c r="F88" s="380">
        <f t="shared" si="26"/>
        <v>15.993772641663664</v>
      </c>
      <c r="G88" s="110">
        <f t="shared" si="49"/>
        <v>0.36116408004446338</v>
      </c>
      <c r="H88" s="409" t="b">
        <f>Wh_hp&gt;='2022'!Maxi_hp</f>
        <v>0</v>
      </c>
      <c r="I88" s="385">
        <f>IF(H88,Wh_hp,'2022'!Maxi_hp)</f>
        <v>15.994063855850605</v>
      </c>
      <c r="J88" s="85">
        <f>IF(H88,An,'2022'!An_max)</f>
        <v>2022</v>
      </c>
      <c r="K88" s="193">
        <f t="shared" si="27"/>
        <v>45000</v>
      </c>
      <c r="L88" s="143">
        <f>IF(t&lt;Tvie,1-EXP((T0-t)*PertePVj)+'2022'!Pspv,1-EXP((T0-t)*PertePVj)+Pspv)</f>
        <v>6.5221015435981133E-3</v>
      </c>
      <c r="M88" s="836"/>
      <c r="N88" s="836"/>
      <c r="O88" s="48">
        <f>IF(t&lt;Tnet,'2022'!Resal+('2022'!Salim-'2022'!Resal)*(1-EXP(('2022'!Tnet-t)/('2022'!Tau_j))),Resal+(Salim-Resal)*(1-EXP((Tnet-t)/(Tau_j))))*Salcycl</f>
        <v>2.8315539684666522E-2</v>
      </c>
      <c r="P88" s="165">
        <f>(INDEX(Models!$BJ88:$BT88,,T88)*(1-R88)+INDEX(Models!$BJ88:$BT88,,T88+1)*R88-ERP_i)*Q88*Ramure*Pc/MaxiM</f>
        <v>2.0343895772227154E-5</v>
      </c>
      <c r="Q88" s="301">
        <f t="shared" si="28"/>
        <v>0.5</v>
      </c>
      <c r="R88" s="173">
        <f t="shared" si="29"/>
        <v>0.50676546540463085</v>
      </c>
      <c r="S88" s="802">
        <f t="shared" si="30"/>
        <v>0</v>
      </c>
      <c r="T88" s="172">
        <f t="shared" si="31"/>
        <v>6</v>
      </c>
      <c r="U88" s="247">
        <f t="shared" si="32"/>
        <v>0.50676546540463085</v>
      </c>
      <c r="V88" s="378">
        <f t="shared" si="33"/>
        <v>42.748511716131276</v>
      </c>
      <c r="W88" s="397">
        <f t="shared" si="34"/>
        <v>15.439513559398092</v>
      </c>
      <c r="X88" s="153">
        <f t="shared" si="35"/>
        <v>45000</v>
      </c>
      <c r="Y88" s="380">
        <f t="shared" si="36"/>
        <v>15.439513559398092</v>
      </c>
      <c r="Z88" s="380">
        <f t="shared" si="37"/>
        <v>15.540872709284177</v>
      </c>
      <c r="AA88" s="381">
        <f t="shared" si="38"/>
        <v>15.993744208115475</v>
      </c>
      <c r="AB88" s="193">
        <f t="shared" si="39"/>
        <v>45000</v>
      </c>
      <c r="AC88" s="420">
        <f>IF(OR(t&lt;Tnet,NoTnet),'2022'!Resal_s+('2022'!Salim-'2022'!Resal_s)*(1-EXP(('2022'!Tnet_s-t)/'2022'!Tau_j)),Resal_s+(Salim-Resal_s)*(1-EXP((Tnet_s-t)/Tau_j)))*Salcycl</f>
        <v>2.8315539684666522E-2</v>
      </c>
      <c r="AD88" s="227">
        <f>(INDEX(Models!$BJ88:$BT88,,AH88)*(1-AF88)+INDEX(Models!$BJ88:$BT88,,AH88+1)*AF88-ERP_i)*AE88*Ramure*Pc/MaxiM</f>
        <v>2.0343895772227154E-5</v>
      </c>
      <c r="AE88" s="301">
        <f t="shared" si="40"/>
        <v>0.5</v>
      </c>
      <c r="AF88" s="173">
        <f t="shared" si="41"/>
        <v>0.50676546540463085</v>
      </c>
      <c r="AG88" s="172">
        <f t="shared" si="42"/>
        <v>0</v>
      </c>
      <c r="AH88" s="172">
        <f t="shared" si="43"/>
        <v>6</v>
      </c>
      <c r="AI88" s="221">
        <f t="shared" si="44"/>
        <v>0.50676546540463085</v>
      </c>
      <c r="AJ88" s="261" t="b">
        <f t="shared" si="45"/>
        <v>1</v>
      </c>
      <c r="AK88" s="261" t="b">
        <f t="shared" si="46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7"/>
        <v>45001</v>
      </c>
      <c r="B89" s="406">
        <f>'2022'!Wh/'2022'!Env_an*'2023'!Env_an</f>
        <v>12.964603165944197</v>
      </c>
      <c r="C89" s="385"/>
      <c r="D89" s="388">
        <f t="shared" si="25"/>
        <v>13.049893372613184</v>
      </c>
      <c r="E89" s="380">
        <f t="shared" si="48"/>
        <v>13.430841643252528</v>
      </c>
      <c r="F89" s="380">
        <f t="shared" si="26"/>
        <v>13.430841683787451</v>
      </c>
      <c r="G89" s="110">
        <f t="shared" si="49"/>
        <v>0.30010824150706322</v>
      </c>
      <c r="H89" s="409" t="b">
        <f>Wh_hp&gt;='2022'!Maxi_hp</f>
        <v>0</v>
      </c>
      <c r="I89" s="385">
        <f>IF(H89,Wh_hp,'2022'!Maxi_hp)</f>
        <v>13.431085760338645</v>
      </c>
      <c r="J89" s="85">
        <f>IF(H89,An,'2022'!An_max)</f>
        <v>2022</v>
      </c>
      <c r="K89" s="193">
        <f t="shared" si="27"/>
        <v>45001</v>
      </c>
      <c r="L89" s="143">
        <f>IF(t&lt;Tvie,1-EXP((T0-t)*PertePVj)+'2022'!Pspv,1-EXP((T0-t)*PertePVj)+Pspv)</f>
        <v>6.5357014217433118E-3</v>
      </c>
      <c r="M89" s="836"/>
      <c r="N89" s="836"/>
      <c r="O89" s="48">
        <f>IF(t&lt;Tnet,'2022'!Resal+('2022'!Salim-'2022'!Resal)*(1-EXP(('2022'!Tnet-t)/('2022'!Tau_j))),Resal+(Salim-Resal)*(1-EXP((Tnet-t)/(Tau_j))))*Salcycl</f>
        <v>2.8363693114550739E-2</v>
      </c>
      <c r="P89" s="165">
        <f>(INDEX(Models!$BJ89:$BT89,,T89)*(1-R89)+INDEX(Models!$BJ89:$BT89,,T89+1)*R89-ERP_i)*Q89*Ramure*Pc/MaxiM</f>
        <v>1.8562568828108307E-5</v>
      </c>
      <c r="Q89" s="301">
        <f t="shared" si="28"/>
        <v>0.5</v>
      </c>
      <c r="R89" s="173">
        <f t="shared" si="29"/>
        <v>0.50732166669740275</v>
      </c>
      <c r="S89" s="802">
        <f t="shared" si="30"/>
        <v>0</v>
      </c>
      <c r="T89" s="172">
        <f t="shared" si="31"/>
        <v>6</v>
      </c>
      <c r="U89" s="247">
        <f t="shared" si="32"/>
        <v>0.50732166669740275</v>
      </c>
      <c r="V89" s="378">
        <f t="shared" si="33"/>
        <v>43.198955428978252</v>
      </c>
      <c r="W89" s="397">
        <f t="shared" si="34"/>
        <v>12.964603165944197</v>
      </c>
      <c r="X89" s="153">
        <f t="shared" si="35"/>
        <v>45001</v>
      </c>
      <c r="Y89" s="380">
        <f t="shared" si="36"/>
        <v>12.964603165944197</v>
      </c>
      <c r="Z89" s="380">
        <f t="shared" si="37"/>
        <v>13.049893372613184</v>
      </c>
      <c r="AA89" s="381">
        <f t="shared" si="38"/>
        <v>13.430841643252528</v>
      </c>
      <c r="AB89" s="193">
        <f t="shared" si="39"/>
        <v>45001</v>
      </c>
      <c r="AC89" s="420">
        <f>IF(OR(t&lt;Tnet,NoTnet),'2022'!Resal_s+('2022'!Salim-'2022'!Resal_s)*(1-EXP(('2022'!Tnet_s-t)/'2022'!Tau_j)),Resal_s+(Salim-Resal_s)*(1-EXP((Tnet_s-t)/Tau_j)))*Salcycl</f>
        <v>2.8363693114550739E-2</v>
      </c>
      <c r="AD89" s="227">
        <f>(INDEX(Models!$BJ89:$BT89,,AH89)*(1-AF89)+INDEX(Models!$BJ89:$BT89,,AH89+1)*AF89-ERP_i)*AE89*Ramure*Pc/MaxiM</f>
        <v>1.8562568828108307E-5</v>
      </c>
      <c r="AE89" s="301">
        <f t="shared" si="40"/>
        <v>0.5</v>
      </c>
      <c r="AF89" s="173">
        <f t="shared" si="41"/>
        <v>0.50732166669740275</v>
      </c>
      <c r="AG89" s="172">
        <f t="shared" si="42"/>
        <v>0</v>
      </c>
      <c r="AH89" s="172">
        <f t="shared" si="43"/>
        <v>6</v>
      </c>
      <c r="AI89" s="221">
        <f t="shared" si="44"/>
        <v>0.50732166669740275</v>
      </c>
      <c r="AJ89" s="261" t="b">
        <f t="shared" si="45"/>
        <v>1</v>
      </c>
      <c r="AK89" s="261" t="b">
        <f t="shared" si="46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7"/>
        <v>45002</v>
      </c>
      <c r="B90" s="406">
        <f>'2022'!Wh/'2022'!Env_an*'2023'!Env_an</f>
        <v>12.45127716584285</v>
      </c>
      <c r="C90" s="385"/>
      <c r="D90" s="388">
        <f t="shared" si="25"/>
        <v>12.533361927070436</v>
      </c>
      <c r="E90" s="380">
        <f t="shared" si="48"/>
        <v>12.899871902556283</v>
      </c>
      <c r="F90" s="380">
        <f t="shared" si="26"/>
        <v>12.899871902556283</v>
      </c>
      <c r="G90" s="110">
        <f t="shared" si="49"/>
        <v>0.2852578895394175</v>
      </c>
      <c r="H90" s="409" t="b">
        <f>Wh_hp&gt;='2022'!Maxi_hp</f>
        <v>0</v>
      </c>
      <c r="I90" s="385">
        <f>IF(H90,Wh_hp,'2022'!Maxi_hp)</f>
        <v>12.900088201183433</v>
      </c>
      <c r="J90" s="85">
        <f>IF(H90,An,'2022'!An_max)</f>
        <v>2022</v>
      </c>
      <c r="K90" s="193">
        <f t="shared" si="27"/>
        <v>45002</v>
      </c>
      <c r="L90" s="143">
        <f>IF(t&lt;Tvie,1-EXP((T0-t)*PertePVj)+'2022'!Pspv,1-EXP((T0-t)*PertePVj)+Pspv)</f>
        <v>6.5493011137174317E-3</v>
      </c>
      <c r="M90" s="836"/>
      <c r="N90" s="836"/>
      <c r="O90" s="48">
        <f>IF(t&lt;Tnet,'2022'!Resal+('2022'!Salim-'2022'!Resal)*(1-EXP(('2022'!Tnet-t)/('2022'!Tau_j))),Resal+(Salim-Resal)*(1-EXP((Tnet-t)/(Tau_j))))*Salcycl</f>
        <v>2.8411908137879971E-2</v>
      </c>
      <c r="P90" s="165">
        <f>(INDEX(Models!$BJ90:$BT90,,T90)*(1-R90)+INDEX(Models!$BJ90:$BT90,,T90+1)*R90-ERP_i)*Q90*Ramure*Pc/MaxiM</f>
        <v>1.7153215892383255E-5</v>
      </c>
      <c r="Q90" s="301">
        <f t="shared" si="28"/>
        <v>0.5</v>
      </c>
      <c r="R90" s="173">
        <f t="shared" si="29"/>
        <v>0.50789985242316704</v>
      </c>
      <c r="S90" s="802">
        <f t="shared" si="30"/>
        <v>0</v>
      </c>
      <c r="T90" s="172">
        <f t="shared" si="31"/>
        <v>6</v>
      </c>
      <c r="U90" s="247">
        <f t="shared" si="32"/>
        <v>0.50789985242316704</v>
      </c>
      <c r="V90" s="378">
        <f t="shared" si="33"/>
        <v>43.648445995660971</v>
      </c>
      <c r="W90" s="397">
        <f t="shared" si="34"/>
        <v>12.45127716584285</v>
      </c>
      <c r="X90" s="153">
        <f t="shared" si="35"/>
        <v>45002</v>
      </c>
      <c r="Y90" s="380">
        <f t="shared" si="36"/>
        <v>12.45127716584285</v>
      </c>
      <c r="Z90" s="380">
        <f t="shared" si="37"/>
        <v>12.533361927070436</v>
      </c>
      <c r="AA90" s="381">
        <f t="shared" si="38"/>
        <v>12.899871902556283</v>
      </c>
      <c r="AB90" s="193">
        <f t="shared" si="39"/>
        <v>45002</v>
      </c>
      <c r="AC90" s="420">
        <f>IF(OR(t&lt;Tnet,NoTnet),'2022'!Resal_s+('2022'!Salim-'2022'!Resal_s)*(1-EXP(('2022'!Tnet_s-t)/'2022'!Tau_j)),Resal_s+(Salim-Resal_s)*(1-EXP((Tnet_s-t)/Tau_j)))*Salcycl</f>
        <v>2.8411908137879971E-2</v>
      </c>
      <c r="AD90" s="227">
        <f>(INDEX(Models!$BJ90:$BT90,,AH90)*(1-AF90)+INDEX(Models!$BJ90:$BT90,,AH90+1)*AF90-ERP_i)*AE90*Ramure*Pc/MaxiM</f>
        <v>1.7153215892383255E-5</v>
      </c>
      <c r="AE90" s="301">
        <f t="shared" si="40"/>
        <v>0.5</v>
      </c>
      <c r="AF90" s="173">
        <f t="shared" si="41"/>
        <v>0.50789985242316704</v>
      </c>
      <c r="AG90" s="172">
        <f t="shared" si="42"/>
        <v>0</v>
      </c>
      <c r="AH90" s="172">
        <f t="shared" si="43"/>
        <v>6</v>
      </c>
      <c r="AI90" s="221">
        <f t="shared" si="44"/>
        <v>0.50789985242316704</v>
      </c>
      <c r="AJ90" s="261" t="b">
        <f t="shared" si="45"/>
        <v>1</v>
      </c>
      <c r="AK90" s="261" t="b">
        <f t="shared" si="46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7"/>
        <v>45003</v>
      </c>
      <c r="B91" s="406">
        <f>'2022'!Wh/'2022'!Env_an*'2023'!Env_an</f>
        <v>14.696806060258339</v>
      </c>
      <c r="C91" s="385"/>
      <c r="D91" s="388">
        <f t="shared" si="25"/>
        <v>14.7938969356223</v>
      </c>
      <c r="E91" s="380">
        <f t="shared" si="48"/>
        <v>15.227267956707189</v>
      </c>
      <c r="F91" s="380">
        <f t="shared" si="26"/>
        <v>15.227279619223252</v>
      </c>
      <c r="G91" s="110">
        <f t="shared" si="49"/>
        <v>0.33328258058462712</v>
      </c>
      <c r="H91" s="409" t="b">
        <f>Wh_hp&gt;='2022'!Maxi_hp</f>
        <v>0</v>
      </c>
      <c r="I91" s="385">
        <f>IF(H91,Wh_hp,'2022'!Maxi_hp)</f>
        <v>15.227507547270084</v>
      </c>
      <c r="J91" s="85">
        <f>IF(H91,An,'2022'!An_max)</f>
        <v>2022</v>
      </c>
      <c r="K91" s="193">
        <f t="shared" si="27"/>
        <v>45003</v>
      </c>
      <c r="L91" s="143">
        <f>IF(t&lt;Tvie,1-EXP((T0-t)*PertePVj)+'2022'!Pspv,1-EXP((T0-t)*PertePVj)+Pspv)</f>
        <v>6.5629006195233597E-3</v>
      </c>
      <c r="M91" s="836"/>
      <c r="N91" s="836"/>
      <c r="O91" s="48">
        <f>IF(t&lt;Tnet,'2022'!Resal+('2022'!Salim-'2022'!Resal)*(1-EXP(('2022'!Tnet-t)/('2022'!Tau_j))),Resal+(Salim-Resal)*(1-EXP((Tnet-t)/(Tau_j))))*Salcycl</f>
        <v>2.8460195375625583E-2</v>
      </c>
      <c r="P91" s="165">
        <f>(INDEX(Models!$BJ91:$BT91,,T91)*(1-R91)+INDEX(Models!$BJ91:$BT91,,T91+1)*R91-ERP_i)*Q91*Ramure*Pc/MaxiM</f>
        <v>1.6105873059958973E-5</v>
      </c>
      <c r="Q91" s="301">
        <f t="shared" si="28"/>
        <v>0.5</v>
      </c>
      <c r="R91" s="173">
        <f t="shared" si="29"/>
        <v>0.5085008345017924</v>
      </c>
      <c r="S91" s="802">
        <f t="shared" si="30"/>
        <v>0</v>
      </c>
      <c r="T91" s="172">
        <f t="shared" si="31"/>
        <v>6</v>
      </c>
      <c r="U91" s="247">
        <f t="shared" si="32"/>
        <v>0.5085008345017924</v>
      </c>
      <c r="V91" s="378">
        <f t="shared" si="33"/>
        <v>44.096455883296557</v>
      </c>
      <c r="W91" s="397">
        <f t="shared" si="34"/>
        <v>14.696806060258339</v>
      </c>
      <c r="X91" s="153">
        <f t="shared" si="35"/>
        <v>45003</v>
      </c>
      <c r="Y91" s="380">
        <f t="shared" si="36"/>
        <v>14.696806060258339</v>
      </c>
      <c r="Z91" s="380">
        <f t="shared" si="37"/>
        <v>14.7938969356223</v>
      </c>
      <c r="AA91" s="381">
        <f t="shared" si="38"/>
        <v>15.227267956707189</v>
      </c>
      <c r="AB91" s="193">
        <f t="shared" si="39"/>
        <v>45003</v>
      </c>
      <c r="AC91" s="420">
        <f>IF(OR(t&lt;Tnet,NoTnet),'2022'!Resal_s+('2022'!Salim-'2022'!Resal_s)*(1-EXP(('2022'!Tnet_s-t)/'2022'!Tau_j)),Resal_s+(Salim-Resal_s)*(1-EXP((Tnet_s-t)/Tau_j)))*Salcycl</f>
        <v>2.8460195375625583E-2</v>
      </c>
      <c r="AD91" s="227">
        <f>(INDEX(Models!$BJ91:$BT91,,AH91)*(1-AF91)+INDEX(Models!$BJ91:$BT91,,AH91+1)*AF91-ERP_i)*AE91*Ramure*Pc/MaxiM</f>
        <v>1.6105873059958973E-5</v>
      </c>
      <c r="AE91" s="301">
        <f t="shared" si="40"/>
        <v>0.5</v>
      </c>
      <c r="AF91" s="173">
        <f t="shared" si="41"/>
        <v>0.5085008345017924</v>
      </c>
      <c r="AG91" s="172">
        <f t="shared" si="42"/>
        <v>0</v>
      </c>
      <c r="AH91" s="172">
        <f t="shared" si="43"/>
        <v>6</v>
      </c>
      <c r="AI91" s="221">
        <f t="shared" si="44"/>
        <v>0.5085008345017924</v>
      </c>
      <c r="AJ91" s="261" t="b">
        <f t="shared" si="45"/>
        <v>1</v>
      </c>
      <c r="AK91" s="261" t="b">
        <f t="shared" si="46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7"/>
        <v>45004</v>
      </c>
      <c r="B92" s="406">
        <f>'2022'!Wh/'2022'!Env_an*'2023'!Env_an</f>
        <v>27.004551646351278</v>
      </c>
      <c r="C92" s="385"/>
      <c r="D92" s="388">
        <f t="shared" si="25"/>
        <v>27.183322766873882</v>
      </c>
      <c r="E92" s="380">
        <f t="shared" si="48"/>
        <v>27.981021559557014</v>
      </c>
      <c r="F92" s="380">
        <f t="shared" si="26"/>
        <v>27.981210228985432</v>
      </c>
      <c r="G92" s="110">
        <f t="shared" si="49"/>
        <v>0.60626016122151161</v>
      </c>
      <c r="H92" s="409" t="b">
        <f>Wh_hp&gt;='2022'!Maxi_hp</f>
        <v>0</v>
      </c>
      <c r="I92" s="385">
        <f>IF(H92,Wh_hp,'2022'!Maxi_hp)</f>
        <v>27.981446472007683</v>
      </c>
      <c r="J92" s="85">
        <f>IF(H92,An,'2022'!An_max)</f>
        <v>2022</v>
      </c>
      <c r="K92" s="193">
        <f t="shared" si="27"/>
        <v>45004</v>
      </c>
      <c r="L92" s="143">
        <f>IF(t&lt;Tvie,1-EXP((T0-t)*PertePVj)+'2022'!Pspv,1-EXP((T0-t)*PertePVj)+Pspv)</f>
        <v>6.5764999391634271E-3</v>
      </c>
      <c r="M92" s="836"/>
      <c r="N92" s="836"/>
      <c r="O92" s="48">
        <f>IF(t&lt;Tnet,'2022'!Resal+('2022'!Salim-'2022'!Resal)*(1-EXP(('2022'!Tnet-t)/('2022'!Tau_j))),Resal+(Salim-Resal)*(1-EXP((Tnet-t)/(Tau_j))))*Salcycl</f>
        <v>2.8508565742864211E-2</v>
      </c>
      <c r="P92" s="165">
        <f>(INDEX(Models!$BJ92:$BT92,,T92)*(1-R92)+INDEX(Models!$BJ92:$BT92,,T92+1)*R92-ERP_i)*Q92*Ramure*Pc/MaxiM</f>
        <v>1.5411152574426629E-5</v>
      </c>
      <c r="Q92" s="301">
        <f t="shared" si="28"/>
        <v>0.5</v>
      </c>
      <c r="R92" s="173">
        <f t="shared" si="29"/>
        <v>0.50912545011599897</v>
      </c>
      <c r="S92" s="802">
        <f t="shared" si="30"/>
        <v>0</v>
      </c>
      <c r="T92" s="172">
        <f t="shared" si="31"/>
        <v>6</v>
      </c>
      <c r="U92" s="247">
        <f t="shared" si="32"/>
        <v>0.50912545011599897</v>
      </c>
      <c r="V92" s="378">
        <f t="shared" si="33"/>
        <v>44.542457652491116</v>
      </c>
      <c r="W92" s="397">
        <f t="shared" si="34"/>
        <v>27.004551646351278</v>
      </c>
      <c r="X92" s="153">
        <f t="shared" si="35"/>
        <v>45004</v>
      </c>
      <c r="Y92" s="380">
        <f t="shared" si="36"/>
        <v>27.004551646351278</v>
      </c>
      <c r="Z92" s="380">
        <f t="shared" si="37"/>
        <v>27.183322766873882</v>
      </c>
      <c r="AA92" s="381">
        <f t="shared" si="38"/>
        <v>27.981021559557014</v>
      </c>
      <c r="AB92" s="193">
        <f t="shared" si="39"/>
        <v>45004</v>
      </c>
      <c r="AC92" s="420">
        <f>IF(OR(t&lt;Tnet,NoTnet),'2022'!Resal_s+('2022'!Salim-'2022'!Resal_s)*(1-EXP(('2022'!Tnet_s-t)/'2022'!Tau_j)),Resal_s+(Salim-Resal_s)*(1-EXP((Tnet_s-t)/Tau_j)))*Salcycl</f>
        <v>2.8508565742864211E-2</v>
      </c>
      <c r="AD92" s="227">
        <f>(INDEX(Models!$BJ92:$BT92,,AH92)*(1-AF92)+INDEX(Models!$BJ92:$BT92,,AH92+1)*AF92-ERP_i)*AE92*Ramure*Pc/MaxiM</f>
        <v>1.5411152574426629E-5</v>
      </c>
      <c r="AE92" s="301">
        <f t="shared" si="40"/>
        <v>0.5</v>
      </c>
      <c r="AF92" s="173">
        <f t="shared" si="41"/>
        <v>0.50912545011599897</v>
      </c>
      <c r="AG92" s="172">
        <f t="shared" si="42"/>
        <v>0</v>
      </c>
      <c r="AH92" s="172">
        <f t="shared" si="43"/>
        <v>6</v>
      </c>
      <c r="AI92" s="221">
        <f t="shared" si="44"/>
        <v>0.50912545011599897</v>
      </c>
      <c r="AJ92" s="261" t="b">
        <f t="shared" si="45"/>
        <v>1</v>
      </c>
      <c r="AK92" s="261" t="b">
        <f t="shared" si="46"/>
        <v>0</v>
      </c>
      <c r="AL92" s="261"/>
      <c r="AM92" s="261"/>
      <c r="AN92" s="75"/>
    </row>
    <row r="93" spans="1:40" s="6" customFormat="1" ht="11.25" x14ac:dyDescent="0.2">
      <c r="A93" s="56">
        <f t="shared" si="47"/>
        <v>45005</v>
      </c>
      <c r="B93" s="406">
        <f>'2022'!Wh/'2022'!Env_an*'2023'!Env_an</f>
        <v>32.369957585338611</v>
      </c>
      <c r="C93" s="385"/>
      <c r="D93" s="388">
        <f t="shared" si="25"/>
        <v>32.584693946699019</v>
      </c>
      <c r="E93" s="380">
        <f t="shared" si="48"/>
        <v>33.542570142471966</v>
      </c>
      <c r="F93" s="380">
        <f t="shared" si="26"/>
        <v>33.542872843683973</v>
      </c>
      <c r="G93" s="110">
        <f t="shared" si="49"/>
        <v>0.71948457294693779</v>
      </c>
      <c r="H93" s="409" t="b">
        <f>Wh_hp&gt;='2022'!Maxi_hp</f>
        <v>0</v>
      </c>
      <c r="I93" s="385">
        <f>IF(H93,Wh_hp,'2022'!Maxi_hp)</f>
        <v>33.543069625939346</v>
      </c>
      <c r="J93" s="85">
        <f>IF(H93,An,'2022'!An_max)</f>
        <v>2022</v>
      </c>
      <c r="K93" s="193">
        <f t="shared" si="27"/>
        <v>45005</v>
      </c>
      <c r="L93" s="143">
        <f>IF(t&lt;Tvie,1-EXP((T0-t)*PertePVj)+'2022'!Pspv,1-EXP((T0-t)*PertePVj)+Pspv)</f>
        <v>6.5900990726401876E-3</v>
      </c>
      <c r="M93" s="836"/>
      <c r="N93" s="836"/>
      <c r="O93" s="48">
        <f>IF(t&lt;Tnet,'2022'!Resal+('2022'!Salim-'2022'!Resal)*(1-EXP(('2022'!Tnet-t)/('2022'!Tau_j))),Resal+(Salim-Resal)*(1-EXP((Tnet-t)/(Tau_j))))*Salcycl</f>
        <v>2.8557030415509849E-2</v>
      </c>
      <c r="P93" s="165">
        <f>(INDEX(Models!$BJ93:$BT93,,T93)*(1-R93)+INDEX(Models!$BJ93:$BT93,,T93+1)*R93-ERP_i)*Q93*Ramure*Pc/MaxiM</f>
        <v>1.5058837789786041E-5</v>
      </c>
      <c r="Q93" s="301">
        <f t="shared" si="28"/>
        <v>0.5</v>
      </c>
      <c r="R93" s="173">
        <f t="shared" si="29"/>
        <v>0.50977456209862049</v>
      </c>
      <c r="S93" s="802">
        <f t="shared" si="30"/>
        <v>0</v>
      </c>
      <c r="T93" s="172">
        <f t="shared" si="31"/>
        <v>6</v>
      </c>
      <c r="U93" s="247">
        <f t="shared" si="32"/>
        <v>0.50977456209862049</v>
      </c>
      <c r="V93" s="378">
        <f t="shared" si="33"/>
        <v>44.990210302238332</v>
      </c>
      <c r="W93" s="397">
        <f t="shared" si="34"/>
        <v>32.369957585338611</v>
      </c>
      <c r="X93" s="153">
        <f t="shared" si="35"/>
        <v>45005</v>
      </c>
      <c r="Y93" s="380">
        <f t="shared" si="36"/>
        <v>32.369957585338611</v>
      </c>
      <c r="Z93" s="380">
        <f t="shared" si="37"/>
        <v>32.584693946699019</v>
      </c>
      <c r="AA93" s="381">
        <f t="shared" si="38"/>
        <v>33.542570142471966</v>
      </c>
      <c r="AB93" s="193">
        <f t="shared" si="39"/>
        <v>45005</v>
      </c>
      <c r="AC93" s="420">
        <f>IF(OR(t&lt;Tnet,NoTnet),'2022'!Resal_s+('2022'!Salim-'2022'!Resal_s)*(1-EXP(('2022'!Tnet_s-t)/'2022'!Tau_j)),Resal_s+(Salim-Resal_s)*(1-EXP((Tnet_s-t)/Tau_j)))*Salcycl</f>
        <v>2.8557030415509849E-2</v>
      </c>
      <c r="AD93" s="227">
        <f>(INDEX(Models!$BJ93:$BT93,,AH93)*(1-AF93)+INDEX(Models!$BJ93:$BT93,,AH93+1)*AF93-ERP_i)*AE93*Ramure*Pc/MaxiM</f>
        <v>1.5058837789786041E-5</v>
      </c>
      <c r="AE93" s="301">
        <f t="shared" si="40"/>
        <v>0.5</v>
      </c>
      <c r="AF93" s="173">
        <f t="shared" si="41"/>
        <v>0.50977456209862049</v>
      </c>
      <c r="AG93" s="172">
        <f t="shared" si="42"/>
        <v>0</v>
      </c>
      <c r="AH93" s="172">
        <f t="shared" si="43"/>
        <v>6</v>
      </c>
      <c r="AI93" s="221">
        <f t="shared" si="44"/>
        <v>0.50977456209862049</v>
      </c>
      <c r="AJ93" s="261" t="b">
        <f t="shared" si="45"/>
        <v>1</v>
      </c>
      <c r="AK93" s="261" t="b">
        <f t="shared" si="46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7"/>
        <v>45006</v>
      </c>
      <c r="B94" s="406">
        <f>'2022'!Wh/'2022'!Env_an*'2023'!Env_an</f>
        <v>43.538146955579045</v>
      </c>
      <c r="C94" s="385"/>
      <c r="D94" s="388">
        <f t="shared" si="25"/>
        <v>43.827570999407321</v>
      </c>
      <c r="E94" s="380">
        <f t="shared" si="48"/>
        <v>45.118204341462089</v>
      </c>
      <c r="F94" s="380">
        <f t="shared" si="26"/>
        <v>45.118843088484098</v>
      </c>
      <c r="G94" s="110">
        <f t="shared" si="49"/>
        <v>0.95808364362797183</v>
      </c>
      <c r="H94" s="409" t="b">
        <f>Wh_hp&gt;='2022'!Maxi_hp</f>
        <v>0</v>
      </c>
      <c r="I94" s="385">
        <f>IF(H94,Wh_hp,'2022'!Maxi_hp)</f>
        <v>45.118882566979195</v>
      </c>
      <c r="J94" s="85">
        <f>IF(H94,An,'2022'!An_max)</f>
        <v>2022</v>
      </c>
      <c r="K94" s="193">
        <f t="shared" si="27"/>
        <v>45006</v>
      </c>
      <c r="L94" s="143">
        <f>IF(t&lt;Tvie,1-EXP((T0-t)*PertePVj)+'2022'!Pspv,1-EXP((T0-t)*PertePVj)+Pspv)</f>
        <v>6.6036980199561945E-3</v>
      </c>
      <c r="M94" s="836"/>
      <c r="N94" s="836"/>
      <c r="O94" s="48">
        <f>IF(t&lt;Tnet,'2022'!Resal+('2022'!Salim-'2022'!Resal)*(1-EXP(('2022'!Tnet-t)/('2022'!Tau_j))),Resal+(Salim-Resal)*(1-EXP((Tnet-t)/(Tau_j))))*Salcycl</f>
        <v>2.8605600796677212E-2</v>
      </c>
      <c r="P94" s="165">
        <f>(INDEX(Models!$BJ94:$BT94,,T94)*(1-R94)+INDEX(Models!$BJ94:$BT94,,T94+1)*R94-ERP_i)*Q94*Ramure*Pc/MaxiM</f>
        <v>1.5058693930953414E-5</v>
      </c>
      <c r="Q94" s="301">
        <f t="shared" si="28"/>
        <v>0.5</v>
      </c>
      <c r="R94" s="173">
        <f t="shared" si="29"/>
        <v>0.51044905928832074</v>
      </c>
      <c r="S94" s="802">
        <f t="shared" si="30"/>
        <v>0</v>
      </c>
      <c r="T94" s="172">
        <f t="shared" si="31"/>
        <v>6</v>
      </c>
      <c r="U94" s="247">
        <f t="shared" si="32"/>
        <v>0.51044905928832074</v>
      </c>
      <c r="V94" s="378">
        <f t="shared" si="33"/>
        <v>45.442908858824261</v>
      </c>
      <c r="W94" s="397">
        <f t="shared" si="34"/>
        <v>43.538146955579045</v>
      </c>
      <c r="X94" s="153">
        <f t="shared" si="35"/>
        <v>45006</v>
      </c>
      <c r="Y94" s="380">
        <f t="shared" si="36"/>
        <v>43.538146955579045</v>
      </c>
      <c r="Z94" s="380">
        <f t="shared" si="37"/>
        <v>43.827570999407321</v>
      </c>
      <c r="AA94" s="381">
        <f t="shared" si="38"/>
        <v>45.118204341462089</v>
      </c>
      <c r="AB94" s="193">
        <f t="shared" si="39"/>
        <v>45006</v>
      </c>
      <c r="AC94" s="420">
        <f>IF(OR(t&lt;Tnet,NoTnet),'2022'!Resal_s+('2022'!Salim-'2022'!Resal_s)*(1-EXP(('2022'!Tnet_s-t)/'2022'!Tau_j)),Resal_s+(Salim-Resal_s)*(1-EXP((Tnet_s-t)/Tau_j)))*Salcycl</f>
        <v>2.8605600796677212E-2</v>
      </c>
      <c r="AD94" s="227">
        <f>(INDEX(Models!$BJ94:$BT94,,AH94)*(1-AF94)+INDEX(Models!$BJ94:$BT94,,AH94+1)*AF94-ERP_i)*AE94*Ramure*Pc/MaxiM</f>
        <v>1.5058693930953414E-5</v>
      </c>
      <c r="AE94" s="301">
        <f t="shared" si="40"/>
        <v>0.5</v>
      </c>
      <c r="AF94" s="173">
        <f t="shared" si="41"/>
        <v>0.51044905928832074</v>
      </c>
      <c r="AG94" s="172">
        <f t="shared" si="42"/>
        <v>0</v>
      </c>
      <c r="AH94" s="172">
        <f t="shared" si="43"/>
        <v>6</v>
      </c>
      <c r="AI94" s="221">
        <f t="shared" si="44"/>
        <v>0.51044905928832074</v>
      </c>
      <c r="AJ94" s="261" t="b">
        <f t="shared" si="45"/>
        <v>1</v>
      </c>
      <c r="AK94" s="261" t="b">
        <f t="shared" si="46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7"/>
        <v>45007</v>
      </c>
      <c r="B95" s="406">
        <f>'2022'!Wh/'2022'!Env_an*'2023'!Env_an</f>
        <v>42.494095523099752</v>
      </c>
      <c r="C95" s="385"/>
      <c r="D95" s="388">
        <f t="shared" si="25"/>
        <v>42.777164717489988</v>
      </c>
      <c r="E95" s="380">
        <f t="shared" si="48"/>
        <v>44.039073020334797</v>
      </c>
      <c r="F95" s="380">
        <f t="shared" si="26"/>
        <v>44.039674713710113</v>
      </c>
      <c r="G95" s="110">
        <f t="shared" si="49"/>
        <v>0.92581218573937918</v>
      </c>
      <c r="H95" s="409" t="b">
        <f>Wh_hp&gt;='2022'!Maxi_hp</f>
        <v>0</v>
      </c>
      <c r="I95" s="385">
        <f>IF(H95,Wh_hp,'2022'!Maxi_hp)</f>
        <v>44.0397438016956</v>
      </c>
      <c r="J95" s="85">
        <f>IF(H95,An,'2022'!An_max)</f>
        <v>2022</v>
      </c>
      <c r="K95" s="193">
        <f t="shared" si="27"/>
        <v>45007</v>
      </c>
      <c r="L95" s="143">
        <f>IF(t&lt;Tvie,1-EXP((T0-t)*PertePVj)+'2022'!Pspv,1-EXP((T0-t)*PertePVj)+Pspv)</f>
        <v>6.6172967811141126E-3</v>
      </c>
      <c r="M95" s="836"/>
      <c r="N95" s="836"/>
      <c r="O95" s="48">
        <f>IF(t&lt;Tnet,'2022'!Resal+('2022'!Salim-'2022'!Resal)*(1-EXP(('2022'!Tnet-t)/('2022'!Tau_j))),Resal+(Salim-Resal)*(1-EXP((Tnet-t)/(Tau_j))))*Salcycl</f>
        <v>2.8654288482914524E-2</v>
      </c>
      <c r="P95" s="165">
        <f>(INDEX(Models!$BJ95:$BT95,,T95)*(1-R95)+INDEX(Models!$BJ95:$BT95,,T95+1)*R95-ERP_i)*Q95*Ramure*Pc/MaxiM</f>
        <v>1.5282137798755635E-5</v>
      </c>
      <c r="Q95" s="301">
        <f t="shared" si="28"/>
        <v>0.5</v>
      </c>
      <c r="R95" s="173">
        <f t="shared" si="29"/>
        <v>0.51114985684949543</v>
      </c>
      <c r="S95" s="802">
        <f t="shared" si="30"/>
        <v>0</v>
      </c>
      <c r="T95" s="172">
        <f t="shared" si="31"/>
        <v>6</v>
      </c>
      <c r="U95" s="247">
        <f t="shared" si="32"/>
        <v>0.51114985684949543</v>
      </c>
      <c r="V95" s="378">
        <f t="shared" si="33"/>
        <v>45.899187062927268</v>
      </c>
      <c r="W95" s="397">
        <f t="shared" si="34"/>
        <v>42.494095523099752</v>
      </c>
      <c r="X95" s="153">
        <f t="shared" si="35"/>
        <v>45007</v>
      </c>
      <c r="Y95" s="380">
        <f t="shared" si="36"/>
        <v>42.494095523099752</v>
      </c>
      <c r="Z95" s="380">
        <f t="shared" si="37"/>
        <v>42.777164717489988</v>
      </c>
      <c r="AA95" s="381">
        <f t="shared" si="38"/>
        <v>44.039073020334797</v>
      </c>
      <c r="AB95" s="193">
        <f t="shared" si="39"/>
        <v>45007</v>
      </c>
      <c r="AC95" s="420">
        <f>IF(OR(t&lt;Tnet,NoTnet),'2022'!Resal_s+('2022'!Salim-'2022'!Resal_s)*(1-EXP(('2022'!Tnet_s-t)/'2022'!Tau_j)),Resal_s+(Salim-Resal_s)*(1-EXP((Tnet_s-t)/Tau_j)))*Salcycl</f>
        <v>2.8654288482914524E-2</v>
      </c>
      <c r="AD95" s="227">
        <f>(INDEX(Models!$BJ95:$BT95,,AH95)*(1-AF95)+INDEX(Models!$BJ95:$BT95,,AH95+1)*AF95-ERP_i)*AE95*Ramure*Pc/MaxiM</f>
        <v>1.5282137798755635E-5</v>
      </c>
      <c r="AE95" s="301">
        <f t="shared" si="40"/>
        <v>0.5</v>
      </c>
      <c r="AF95" s="173">
        <f t="shared" si="41"/>
        <v>0.51114985684949543</v>
      </c>
      <c r="AG95" s="172">
        <f t="shared" si="42"/>
        <v>0</v>
      </c>
      <c r="AH95" s="172">
        <f t="shared" si="43"/>
        <v>6</v>
      </c>
      <c r="AI95" s="221">
        <f t="shared" si="44"/>
        <v>0.51114985684949543</v>
      </c>
      <c r="AJ95" s="261" t="b">
        <f t="shared" si="45"/>
        <v>1</v>
      </c>
      <c r="AK95" s="261" t="b">
        <f t="shared" si="46"/>
        <v>0</v>
      </c>
      <c r="AL95" s="261"/>
      <c r="AM95" s="261"/>
      <c r="AN95" s="75"/>
    </row>
    <row r="96" spans="1:40" s="6" customFormat="1" ht="11.25" x14ac:dyDescent="0.2">
      <c r="A96" s="56">
        <f t="shared" si="47"/>
        <v>45008</v>
      </c>
      <c r="B96" s="406">
        <f>'2022'!Wh/'2022'!Env_an*'2023'!Env_an</f>
        <v>45.333800846968451</v>
      </c>
      <c r="C96" s="385"/>
      <c r="D96" s="388">
        <f t="shared" si="25"/>
        <v>45.636411113490716</v>
      </c>
      <c r="E96" s="380">
        <f t="shared" si="48"/>
        <v>46.985027296233675</v>
      </c>
      <c r="F96" s="380">
        <f t="shared" si="26"/>
        <v>46.98574281513001</v>
      </c>
      <c r="G96" s="110">
        <f t="shared" si="49"/>
        <v>0.97791314742304725</v>
      </c>
      <c r="H96" s="409" t="b">
        <f>Wh_hp&gt;='2022'!Maxi_hp</f>
        <v>0</v>
      </c>
      <c r="I96" s="385">
        <f>IF(H96,Wh_hp,'2022'!Maxi_hp)</f>
        <v>46.985765354828146</v>
      </c>
      <c r="J96" s="85">
        <f>IF(H96,An,'2022'!An_max)</f>
        <v>2022</v>
      </c>
      <c r="K96" s="193">
        <f t="shared" si="27"/>
        <v>45008</v>
      </c>
      <c r="L96" s="143">
        <f>IF(t&lt;Tvie,1-EXP((T0-t)*PertePVj)+'2022'!Pspv,1-EXP((T0-t)*PertePVj)+Pspv)</f>
        <v>6.6308953561163841E-3</v>
      </c>
      <c r="M96" s="836"/>
      <c r="N96" s="836"/>
      <c r="O96" s="48">
        <f>IF(t&lt;Tnet,'2022'!Resal+('2022'!Salim-'2022'!Resal)*(1-EXP(('2022'!Tnet-t)/('2022'!Tau_j))),Resal+(Salim-Resal)*(1-EXP((Tnet-t)/(Tau_j))))*Salcycl</f>
        <v>2.8703105230526504E-2</v>
      </c>
      <c r="P96" s="165">
        <f>(INDEX(Models!$BJ96:$BT96,,T96)*(1-R96)+INDEX(Models!$BJ96:$BT96,,T96+1)*R96-ERP_i)*Q96*Ramure*Pc/MaxiM</f>
        <v>1.5724566553384506E-5</v>
      </c>
      <c r="Q96" s="301">
        <f t="shared" si="28"/>
        <v>0.5</v>
      </c>
      <c r="R96" s="173">
        <f t="shared" si="29"/>
        <v>0.51187789655179006</v>
      </c>
      <c r="S96" s="802">
        <f t="shared" si="30"/>
        <v>0</v>
      </c>
      <c r="T96" s="172">
        <f t="shared" si="31"/>
        <v>6</v>
      </c>
      <c r="U96" s="247">
        <f t="shared" si="32"/>
        <v>0.51187789655179006</v>
      </c>
      <c r="V96" s="378">
        <f t="shared" si="33"/>
        <v>46.357673454068639</v>
      </c>
      <c r="W96" s="397">
        <f t="shared" si="34"/>
        <v>45.333800846968451</v>
      </c>
      <c r="X96" s="153">
        <f t="shared" si="35"/>
        <v>45008</v>
      </c>
      <c r="Y96" s="380">
        <f t="shared" si="36"/>
        <v>45.333800846968451</v>
      </c>
      <c r="Z96" s="380">
        <f t="shared" si="37"/>
        <v>45.636411113490716</v>
      </c>
      <c r="AA96" s="381">
        <f t="shared" si="38"/>
        <v>46.985027296233675</v>
      </c>
      <c r="AB96" s="193">
        <f t="shared" si="39"/>
        <v>45008</v>
      </c>
      <c r="AC96" s="420">
        <f>IF(OR(t&lt;Tnet,NoTnet),'2022'!Resal_s+('2022'!Salim-'2022'!Resal_s)*(1-EXP(('2022'!Tnet_s-t)/'2022'!Tau_j)),Resal_s+(Salim-Resal_s)*(1-EXP((Tnet_s-t)/Tau_j)))*Salcycl</f>
        <v>2.8703105230526504E-2</v>
      </c>
      <c r="AD96" s="227">
        <f>(INDEX(Models!$BJ96:$BT96,,AH96)*(1-AF96)+INDEX(Models!$BJ96:$BT96,,AH96+1)*AF96-ERP_i)*AE96*Ramure*Pc/MaxiM</f>
        <v>1.5724566553384506E-5</v>
      </c>
      <c r="AE96" s="301">
        <f t="shared" si="40"/>
        <v>0.5</v>
      </c>
      <c r="AF96" s="173">
        <f t="shared" si="41"/>
        <v>0.51187789655179006</v>
      </c>
      <c r="AG96" s="172">
        <f t="shared" si="42"/>
        <v>0</v>
      </c>
      <c r="AH96" s="172">
        <f t="shared" si="43"/>
        <v>6</v>
      </c>
      <c r="AI96" s="221">
        <f t="shared" si="44"/>
        <v>0.51187789655179006</v>
      </c>
      <c r="AJ96" s="261" t="b">
        <f t="shared" si="45"/>
        <v>1</v>
      </c>
      <c r="AK96" s="261" t="b">
        <f t="shared" si="46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7"/>
        <v>45009</v>
      </c>
      <c r="B97" s="406">
        <f>'2022'!Wh/'2022'!Env_an*'2023'!Env_an</f>
        <v>45.036274101232955</v>
      </c>
      <c r="C97" s="385"/>
      <c r="D97" s="388">
        <f t="shared" si="25"/>
        <v>45.337518962390817</v>
      </c>
      <c r="E97" s="380">
        <f t="shared" si="48"/>
        <v>46.679655350206055</v>
      </c>
      <c r="F97" s="380">
        <f t="shared" si="26"/>
        <v>46.680378503381583</v>
      </c>
      <c r="G97" s="110">
        <f t="shared" si="49"/>
        <v>0.9619633255066723</v>
      </c>
      <c r="H97" s="409" t="b">
        <f>Wh_hp&gt;='2022'!Maxi_hp</f>
        <v>0</v>
      </c>
      <c r="I97" s="385">
        <f>IF(H97,Wh_hp,'2022'!Maxi_hp)</f>
        <v>46.68041860984021</v>
      </c>
      <c r="J97" s="85">
        <f>IF(H97,An,'2022'!An_max)</f>
        <v>2022</v>
      </c>
      <c r="K97" s="193">
        <f t="shared" si="27"/>
        <v>45009</v>
      </c>
      <c r="L97" s="143">
        <f>IF(t&lt;Tvie,1-EXP((T0-t)*PertePVj)+'2022'!Pspv,1-EXP((T0-t)*PertePVj)+Pspv)</f>
        <v>6.6444937449655628E-3</v>
      </c>
      <c r="M97" s="836"/>
      <c r="N97" s="836"/>
      <c r="O97" s="48">
        <f>IF(t&lt;Tnet,'2022'!Resal+('2022'!Salim-'2022'!Resal)*(1-EXP(('2022'!Tnet-t)/('2022'!Tau_j))),Resal+(Salim-Resal)*(1-EXP((Tnet-t)/(Tau_j))))*Salcycl</f>
        <v>2.8752062922189313E-2</v>
      </c>
      <c r="P97" s="165">
        <f>(INDEX(Models!$BJ97:$BT97,,T97)*(1-R97)+INDEX(Models!$BJ97:$BT97,,T97+1)*R97-ERP_i)*Q97*Ramure*Pc/MaxiM</f>
        <v>1.6381719221864998E-5</v>
      </c>
      <c r="Q97" s="301">
        <f t="shared" si="28"/>
        <v>0.5</v>
      </c>
      <c r="R97" s="173">
        <f t="shared" si="29"/>
        <v>0.51263414700434984</v>
      </c>
      <c r="S97" s="802">
        <f t="shared" si="30"/>
        <v>0</v>
      </c>
      <c r="T97" s="172">
        <f t="shared" si="31"/>
        <v>6</v>
      </c>
      <c r="U97" s="247">
        <f t="shared" si="32"/>
        <v>0.51263414700434984</v>
      </c>
      <c r="V97" s="378">
        <f t="shared" si="33"/>
        <v>46.816996883620249</v>
      </c>
      <c r="W97" s="397">
        <f t="shared" si="34"/>
        <v>45.036274101232955</v>
      </c>
      <c r="X97" s="153">
        <f t="shared" si="35"/>
        <v>45009</v>
      </c>
      <c r="Y97" s="380">
        <f t="shared" si="36"/>
        <v>45.036274101232955</v>
      </c>
      <c r="Z97" s="380">
        <f t="shared" si="37"/>
        <v>45.337518962390817</v>
      </c>
      <c r="AA97" s="381">
        <f t="shared" si="38"/>
        <v>46.679655350206055</v>
      </c>
      <c r="AB97" s="193">
        <f t="shared" si="39"/>
        <v>45009</v>
      </c>
      <c r="AC97" s="420">
        <f>IF(OR(t&lt;Tnet,NoTnet),'2022'!Resal_s+('2022'!Salim-'2022'!Resal_s)*(1-EXP(('2022'!Tnet_s-t)/'2022'!Tau_j)),Resal_s+(Salim-Resal_s)*(1-EXP((Tnet_s-t)/Tau_j)))*Salcycl</f>
        <v>2.8752062922189313E-2</v>
      </c>
      <c r="AD97" s="227">
        <f>(INDEX(Models!$BJ97:$BT97,,AH97)*(1-AF97)+INDEX(Models!$BJ97:$BT97,,AH97+1)*AF97-ERP_i)*AE97*Ramure*Pc/MaxiM</f>
        <v>1.6381719221864998E-5</v>
      </c>
      <c r="AE97" s="301">
        <f t="shared" si="40"/>
        <v>0.5</v>
      </c>
      <c r="AF97" s="173">
        <f t="shared" si="41"/>
        <v>0.51263414700434984</v>
      </c>
      <c r="AG97" s="172">
        <f t="shared" si="42"/>
        <v>0</v>
      </c>
      <c r="AH97" s="172">
        <f t="shared" si="43"/>
        <v>6</v>
      </c>
      <c r="AI97" s="221">
        <f t="shared" si="44"/>
        <v>0.51263414700434984</v>
      </c>
      <c r="AJ97" s="261" t="b">
        <f t="shared" si="45"/>
        <v>1</v>
      </c>
      <c r="AK97" s="261" t="b">
        <f t="shared" si="46"/>
        <v>0</v>
      </c>
      <c r="AL97" s="261"/>
      <c r="AM97" s="261"/>
      <c r="AN97" s="75"/>
    </row>
    <row r="98" spans="1:40" s="6" customFormat="1" ht="11.25" x14ac:dyDescent="0.2">
      <c r="A98" s="56">
        <f t="shared" si="47"/>
        <v>45010</v>
      </c>
      <c r="B98" s="406">
        <f>'2022'!Wh/'2022'!Env_an*'2023'!Env_an</f>
        <v>37.515693955190066</v>
      </c>
      <c r="C98" s="385"/>
      <c r="D98" s="388">
        <f t="shared" si="25"/>
        <v>37.767151119948011</v>
      </c>
      <c r="E98" s="380">
        <f t="shared" si="48"/>
        <v>38.887146576748492</v>
      </c>
      <c r="F98" s="380">
        <f t="shared" si="26"/>
        <v>38.887619539465383</v>
      </c>
      <c r="G98" s="110">
        <f t="shared" si="49"/>
        <v>0.79354582671859564</v>
      </c>
      <c r="H98" s="409" t="b">
        <f>Wh_hp&gt;='2022'!Maxi_hp</f>
        <v>0</v>
      </c>
      <c r="I98" s="385">
        <f>IF(H98,Wh_hp,'2022'!Maxi_hp)</f>
        <v>38.887810174833888</v>
      </c>
      <c r="J98" s="85">
        <f>IF(H98,An,'2022'!An_max)</f>
        <v>2022</v>
      </c>
      <c r="K98" s="193">
        <f t="shared" si="27"/>
        <v>45010</v>
      </c>
      <c r="L98" s="143">
        <f>IF(t&lt;Tvie,1-EXP((T0-t)*PertePVj)+'2022'!Pspv,1-EXP((T0-t)*PertePVj)+Pspv)</f>
        <v>6.658091947664313E-3</v>
      </c>
      <c r="M98" s="836"/>
      <c r="N98" s="836"/>
      <c r="O98" s="48">
        <f>IF(t&lt;Tnet,'2022'!Resal+('2022'!Salim-'2022'!Resal)*(1-EXP(('2022'!Tnet-t)/('2022'!Tau_j))),Resal+(Salim-Resal)*(1-EXP((Tnet-t)/(Tau_j))))*Salcycl</f>
        <v>2.8801173534037463E-2</v>
      </c>
      <c r="P98" s="165">
        <f>(INDEX(Models!$BJ98:$BT98,,T98)*(1-R98)+INDEX(Models!$BJ98:$BT98,,T98+1)*R98-ERP_i)*Q98*Ramure*Pc/MaxiM</f>
        <v>1.7249739923412187E-5</v>
      </c>
      <c r="Q98" s="301">
        <f t="shared" si="28"/>
        <v>0.5</v>
      </c>
      <c r="R98" s="173">
        <f t="shared" si="29"/>
        <v>0.51341960383959706</v>
      </c>
      <c r="S98" s="802">
        <f t="shared" si="30"/>
        <v>0</v>
      </c>
      <c r="T98" s="172">
        <f t="shared" si="31"/>
        <v>6</v>
      </c>
      <c r="U98" s="247">
        <f t="shared" si="32"/>
        <v>0.51341960383959706</v>
      </c>
      <c r="V98" s="378">
        <f t="shared" si="33"/>
        <v>47.275786515050548</v>
      </c>
      <c r="W98" s="397">
        <f t="shared" si="34"/>
        <v>37.515693955190066</v>
      </c>
      <c r="X98" s="153">
        <f t="shared" si="35"/>
        <v>45010</v>
      </c>
      <c r="Y98" s="380">
        <f t="shared" si="36"/>
        <v>37.515693955190066</v>
      </c>
      <c r="Z98" s="380">
        <f t="shared" si="37"/>
        <v>37.767151119948011</v>
      </c>
      <c r="AA98" s="381">
        <f t="shared" si="38"/>
        <v>38.887146576748492</v>
      </c>
      <c r="AB98" s="193">
        <f t="shared" si="39"/>
        <v>45010</v>
      </c>
      <c r="AC98" s="420">
        <f>IF(OR(t&lt;Tnet,NoTnet),'2022'!Resal_s+('2022'!Salim-'2022'!Resal_s)*(1-EXP(('2022'!Tnet_s-t)/'2022'!Tau_j)),Resal_s+(Salim-Resal_s)*(1-EXP((Tnet_s-t)/Tau_j)))*Salcycl</f>
        <v>2.8801173534037463E-2</v>
      </c>
      <c r="AD98" s="227">
        <f>(INDEX(Models!$BJ98:$BT98,,AH98)*(1-AF98)+INDEX(Models!$BJ98:$BT98,,AH98+1)*AF98-ERP_i)*AE98*Ramure*Pc/MaxiM</f>
        <v>1.7249739923412187E-5</v>
      </c>
      <c r="AE98" s="301">
        <f t="shared" si="40"/>
        <v>0.5</v>
      </c>
      <c r="AF98" s="173">
        <f t="shared" si="41"/>
        <v>0.51341960383959706</v>
      </c>
      <c r="AG98" s="172">
        <f t="shared" si="42"/>
        <v>0</v>
      </c>
      <c r="AH98" s="172">
        <f t="shared" si="43"/>
        <v>6</v>
      </c>
      <c r="AI98" s="221">
        <f t="shared" si="44"/>
        <v>0.51341960383959706</v>
      </c>
      <c r="AJ98" s="261" t="b">
        <f t="shared" si="45"/>
        <v>1</v>
      </c>
      <c r="AK98" s="261" t="b">
        <f t="shared" si="46"/>
        <v>0</v>
      </c>
      <c r="AL98" s="261"/>
      <c r="AM98" s="261"/>
      <c r="AN98" s="75"/>
    </row>
    <row r="99" spans="1:40" s="6" customFormat="1" ht="11.25" x14ac:dyDescent="0.2">
      <c r="A99" s="56">
        <f t="shared" si="47"/>
        <v>45011</v>
      </c>
      <c r="B99" s="406">
        <f>'2022'!Wh/'2022'!Env_an*'2023'!Env_an</f>
        <v>41.205305516810242</v>
      </c>
      <c r="C99" s="385"/>
      <c r="D99" s="388">
        <f t="shared" si="25"/>
        <v>41.482060966656434</v>
      </c>
      <c r="E99" s="380">
        <f t="shared" si="48"/>
        <v>42.714390310285204</v>
      </c>
      <c r="F99" s="380">
        <f t="shared" si="26"/>
        <v>42.715020156572464</v>
      </c>
      <c r="G99" s="110">
        <f t="shared" si="49"/>
        <v>0.86324851350876564</v>
      </c>
      <c r="H99" s="409" t="b">
        <f>Wh_hp&gt;='2022'!Maxi_hp</f>
        <v>0</v>
      </c>
      <c r="I99" s="385">
        <f>IF(H99,Wh_hp,'2022'!Maxi_hp)</f>
        <v>42.715167261365842</v>
      </c>
      <c r="J99" s="85">
        <f>IF(H99,An,'2022'!An_max)</f>
        <v>2022</v>
      </c>
      <c r="K99" s="193">
        <f t="shared" si="27"/>
        <v>45011</v>
      </c>
      <c r="L99" s="143">
        <f>IF(t&lt;Tvie,1-EXP((T0-t)*PertePVj)+'2022'!Pspv,1-EXP((T0-t)*PertePVj)+Pspv)</f>
        <v>6.6716899642149663E-3</v>
      </c>
      <c r="M99" s="836"/>
      <c r="N99" s="836"/>
      <c r="O99" s="48">
        <f>IF(t&lt;Tnet,'2022'!Resal+('2022'!Salim-'2022'!Resal)*(1-EXP(('2022'!Tnet-t)/('2022'!Tau_j))),Resal+(Salim-Resal)*(1-EXP((Tnet-t)/(Tau_j))))*Salcycl</f>
        <v>2.8850449103379486E-2</v>
      </c>
      <c r="P99" s="165">
        <f>(INDEX(Models!$BJ99:$BT99,,T99)*(1-R99)+INDEX(Models!$BJ99:$BT99,,T99+1)*R99-ERP_i)*Q99*Ramure*Pc/MaxiM</f>
        <v>1.8325235349206149E-5</v>
      </c>
      <c r="Q99" s="301">
        <f t="shared" si="28"/>
        <v>0.5</v>
      </c>
      <c r="R99" s="173">
        <f t="shared" si="29"/>
        <v>0.51423528984100075</v>
      </c>
      <c r="S99" s="802">
        <f t="shared" si="30"/>
        <v>0</v>
      </c>
      <c r="T99" s="172">
        <f t="shared" si="31"/>
        <v>6</v>
      </c>
      <c r="U99" s="247">
        <f t="shared" si="32"/>
        <v>0.51423528984100075</v>
      </c>
      <c r="V99" s="378">
        <f t="shared" si="33"/>
        <v>47.732671829697573</v>
      </c>
      <c r="W99" s="397">
        <f t="shared" si="34"/>
        <v>41.205305516810242</v>
      </c>
      <c r="X99" s="153">
        <f t="shared" si="35"/>
        <v>45011</v>
      </c>
      <c r="Y99" s="380">
        <f t="shared" si="36"/>
        <v>41.205305516810242</v>
      </c>
      <c r="Z99" s="380">
        <f t="shared" si="37"/>
        <v>41.482060966656434</v>
      </c>
      <c r="AA99" s="381">
        <f t="shared" si="38"/>
        <v>42.714390310285204</v>
      </c>
      <c r="AB99" s="193">
        <f t="shared" si="39"/>
        <v>45011</v>
      </c>
      <c r="AC99" s="420">
        <f>IF(OR(t&lt;Tnet,NoTnet),'2022'!Resal_s+('2022'!Salim-'2022'!Resal_s)*(1-EXP(('2022'!Tnet_s-t)/'2022'!Tau_j)),Resal_s+(Salim-Resal_s)*(1-EXP((Tnet_s-t)/Tau_j)))*Salcycl</f>
        <v>2.8850449103379486E-2</v>
      </c>
      <c r="AD99" s="227">
        <f>(INDEX(Models!$BJ99:$BT99,,AH99)*(1-AF99)+INDEX(Models!$BJ99:$BT99,,AH99+1)*AF99-ERP_i)*AE99*Ramure*Pc/MaxiM</f>
        <v>1.8325235349206149E-5</v>
      </c>
      <c r="AE99" s="301">
        <f t="shared" si="40"/>
        <v>0.5</v>
      </c>
      <c r="AF99" s="173">
        <f t="shared" si="41"/>
        <v>0.51423528984100075</v>
      </c>
      <c r="AG99" s="172">
        <f t="shared" si="42"/>
        <v>0</v>
      </c>
      <c r="AH99" s="172">
        <f t="shared" si="43"/>
        <v>6</v>
      </c>
      <c r="AI99" s="221">
        <f t="shared" si="44"/>
        <v>0.51423528984100075</v>
      </c>
      <c r="AJ99" s="261" t="b">
        <f t="shared" si="45"/>
        <v>1</v>
      </c>
      <c r="AK99" s="261" t="b">
        <f t="shared" si="46"/>
        <v>0</v>
      </c>
      <c r="AL99" s="261"/>
      <c r="AM99" s="261"/>
      <c r="AN99" s="75"/>
    </row>
    <row r="100" spans="1:40" s="6" customFormat="1" ht="11.25" x14ac:dyDescent="0.2">
      <c r="A100" s="56">
        <f t="shared" si="47"/>
        <v>45012</v>
      </c>
      <c r="B100" s="406">
        <f>'2022'!Wh/'2022'!Env_an*'2023'!Env_an</f>
        <v>43.120152316642432</v>
      </c>
      <c r="C100" s="385"/>
      <c r="D100" s="388">
        <f t="shared" si="25"/>
        <v>43.41036308714898</v>
      </c>
      <c r="E100" s="380">
        <f t="shared" si="48"/>
        <v>44.702253828432823</v>
      </c>
      <c r="F100" s="380">
        <f t="shared" si="26"/>
        <v>44.702993035751639</v>
      </c>
      <c r="G100" s="110">
        <f t="shared" si="49"/>
        <v>0.89486089427873761</v>
      </c>
      <c r="H100" s="409" t="b">
        <f>Wh_hp&gt;='2022'!Maxi_hp</f>
        <v>0</v>
      </c>
      <c r="I100" s="385">
        <f>IF(H100,Wh_hp,'2022'!Maxi_hp)</f>
        <v>44.703118513444139</v>
      </c>
      <c r="J100" s="85">
        <f>IF(H100,An,'2022'!An_max)</f>
        <v>2022</v>
      </c>
      <c r="K100" s="193">
        <f t="shared" si="27"/>
        <v>45012</v>
      </c>
      <c r="L100" s="143">
        <f>IF(t&lt;Tvie,1-EXP((T0-t)*PertePVj)+'2022'!Pspv,1-EXP((T0-t)*PertePVj)+Pspv)</f>
        <v>6.6852877946201872E-3</v>
      </c>
      <c r="M100" s="836"/>
      <c r="N100" s="836"/>
      <c r="O100" s="48">
        <f>IF(t&lt;Tnet,'2022'!Resal+('2022'!Salim-'2022'!Resal)*(1-EXP(('2022'!Tnet-t)/('2022'!Tau_j))),Resal+(Salim-Resal)*(1-EXP((Tnet-t)/(Tau_j))))*Salcycl</f>
        <v>2.8899901697174286E-2</v>
      </c>
      <c r="P100" s="165">
        <f>(INDEX(Models!$BJ100:$BT100,,T100)*(1-R100)+INDEX(Models!$BJ100:$BT100,,T100+1)*R100-ERP_i)*Q100*Ramure*Pc/MaxiM</f>
        <v>1.945854519051279E-5</v>
      </c>
      <c r="Q100" s="301">
        <f t="shared" si="28"/>
        <v>0.5</v>
      </c>
      <c r="R100" s="173">
        <f t="shared" si="29"/>
        <v>0.51508225500896532</v>
      </c>
      <c r="S100" s="802">
        <f t="shared" si="30"/>
        <v>0</v>
      </c>
      <c r="T100" s="172">
        <f t="shared" si="31"/>
        <v>6</v>
      </c>
      <c r="U100" s="247">
        <f t="shared" si="32"/>
        <v>0.51508225500896532</v>
      </c>
      <c r="V100" s="378">
        <f t="shared" si="33"/>
        <v>48.186289699690505</v>
      </c>
      <c r="W100" s="397">
        <f t="shared" si="34"/>
        <v>43.120152316642432</v>
      </c>
      <c r="X100" s="153">
        <f t="shared" si="35"/>
        <v>45012</v>
      </c>
      <c r="Y100" s="380">
        <f t="shared" si="36"/>
        <v>43.120152316642432</v>
      </c>
      <c r="Z100" s="380">
        <f t="shared" si="37"/>
        <v>43.41036308714898</v>
      </c>
      <c r="AA100" s="381">
        <f t="shared" si="38"/>
        <v>44.702253828432823</v>
      </c>
      <c r="AB100" s="193">
        <f t="shared" si="39"/>
        <v>45012</v>
      </c>
      <c r="AC100" s="420">
        <f>IF(OR(t&lt;Tnet,NoTnet),'2022'!Resal_s+('2022'!Salim-'2022'!Resal_s)*(1-EXP(('2022'!Tnet_s-t)/'2022'!Tau_j)),Resal_s+(Salim-Resal_s)*(1-EXP((Tnet_s-t)/Tau_j)))*Salcycl</f>
        <v>2.8899901697174286E-2</v>
      </c>
      <c r="AD100" s="227">
        <f>(INDEX(Models!$BJ100:$BT100,,AH100)*(1-AF100)+INDEX(Models!$BJ100:$BT100,,AH100+1)*AF100-ERP_i)*AE100*Ramure*Pc/MaxiM</f>
        <v>1.945854519051279E-5</v>
      </c>
      <c r="AE100" s="301">
        <f t="shared" si="40"/>
        <v>0.5</v>
      </c>
      <c r="AF100" s="173">
        <f t="shared" si="41"/>
        <v>0.51508225500896532</v>
      </c>
      <c r="AG100" s="172">
        <f t="shared" si="42"/>
        <v>0</v>
      </c>
      <c r="AH100" s="172">
        <f t="shared" si="43"/>
        <v>6</v>
      </c>
      <c r="AI100" s="221">
        <f t="shared" si="44"/>
        <v>0.51508225500896532</v>
      </c>
      <c r="AJ100" s="261" t="b">
        <f t="shared" si="45"/>
        <v>1</v>
      </c>
      <c r="AK100" s="261" t="b">
        <f t="shared" si="46"/>
        <v>0</v>
      </c>
      <c r="AL100" s="261"/>
      <c r="AM100" s="261"/>
      <c r="AN100" s="75"/>
    </row>
    <row r="101" spans="1:40" s="6" customFormat="1" ht="11.25" x14ac:dyDescent="0.2">
      <c r="A101" s="56">
        <f t="shared" si="47"/>
        <v>45013</v>
      </c>
      <c r="B101" s="406">
        <f>'2022'!Wh/'2022'!Env_an*'2023'!Env_an</f>
        <v>37.041709297824511</v>
      </c>
      <c r="C101" s="385"/>
      <c r="D101" s="388">
        <f t="shared" si="25"/>
        <v>37.29152092433835</v>
      </c>
      <c r="E101" s="380">
        <f t="shared" si="48"/>
        <v>38.403278295336158</v>
      </c>
      <c r="F101" s="380">
        <f t="shared" si="26"/>
        <v>38.403796337050238</v>
      </c>
      <c r="G101" s="110">
        <f t="shared" si="49"/>
        <v>0.76161690496950707</v>
      </c>
      <c r="H101" s="409" t="b">
        <f>Wh_hp&gt;='2022'!Maxi_hp</f>
        <v>0</v>
      </c>
      <c r="I101" s="385">
        <f>IF(H101,Wh_hp,'2022'!Maxi_hp)</f>
        <v>38.404052832194026</v>
      </c>
      <c r="J101" s="85">
        <f>IF(H101,An,'2022'!An_max)</f>
        <v>2022</v>
      </c>
      <c r="K101" s="193">
        <f t="shared" si="27"/>
        <v>45013</v>
      </c>
      <c r="L101" s="143">
        <f>IF(t&lt;Tvie,1-EXP((T0-t)*PertePVj)+'2022'!Pspv,1-EXP((T0-t)*PertePVj)+Pspv)</f>
        <v>6.6988854388826402E-3</v>
      </c>
      <c r="M101" s="836"/>
      <c r="N101" s="836"/>
      <c r="O101" s="48">
        <f>IF(t&lt;Tnet,'2022'!Resal+('2022'!Salim-'2022'!Resal)*(1-EXP(('2022'!Tnet-t)/('2022'!Tau_j))),Resal+(Salim-Resal)*(1-EXP((Tnet-t)/(Tau_j))))*Salcycl</f>
        <v>2.8949543381373927E-2</v>
      </c>
      <c r="P101" s="165">
        <f>(INDEX(Models!$BJ101:$BT101,,T101)*(1-R101)+INDEX(Models!$BJ101:$BT101,,T101+1)*R101-ERP_i)*Q101*Ramure*Pc/MaxiM</f>
        <v>2.0455114632808013E-5</v>
      </c>
      <c r="Q101" s="301">
        <f t="shared" si="28"/>
        <v>0.5</v>
      </c>
      <c r="R101" s="173">
        <f t="shared" si="29"/>
        <v>0.51596157655862951</v>
      </c>
      <c r="S101" s="802">
        <f t="shared" si="30"/>
        <v>0</v>
      </c>
      <c r="T101" s="172">
        <f t="shared" si="31"/>
        <v>6</v>
      </c>
      <c r="U101" s="247">
        <f t="shared" si="32"/>
        <v>0.51596157655862951</v>
      </c>
      <c r="V101" s="378">
        <f t="shared" si="33"/>
        <v>48.635279795268374</v>
      </c>
      <c r="W101" s="397">
        <f t="shared" si="34"/>
        <v>37.041709297824511</v>
      </c>
      <c r="X101" s="153">
        <f t="shared" si="35"/>
        <v>45013</v>
      </c>
      <c r="Y101" s="380">
        <f t="shared" si="36"/>
        <v>37.041709297824511</v>
      </c>
      <c r="Z101" s="380">
        <f t="shared" si="37"/>
        <v>37.29152092433835</v>
      </c>
      <c r="AA101" s="381">
        <f t="shared" si="38"/>
        <v>38.403278295336158</v>
      </c>
      <c r="AB101" s="193">
        <f t="shared" si="39"/>
        <v>45013</v>
      </c>
      <c r="AC101" s="420">
        <f>IF(OR(t&lt;Tnet,NoTnet),'2022'!Resal_s+('2022'!Salim-'2022'!Resal_s)*(1-EXP(('2022'!Tnet_s-t)/'2022'!Tau_j)),Resal_s+(Salim-Resal_s)*(1-EXP((Tnet_s-t)/Tau_j)))*Salcycl</f>
        <v>2.8949543381373927E-2</v>
      </c>
      <c r="AD101" s="227">
        <f>(INDEX(Models!$BJ101:$BT101,,AH101)*(1-AF101)+INDEX(Models!$BJ101:$BT101,,AH101+1)*AF101-ERP_i)*AE101*Ramure*Pc/MaxiM</f>
        <v>2.0455114632808013E-5</v>
      </c>
      <c r="AE101" s="301">
        <f t="shared" si="40"/>
        <v>0.5</v>
      </c>
      <c r="AF101" s="173">
        <f t="shared" si="41"/>
        <v>0.51596157655862951</v>
      </c>
      <c r="AG101" s="172">
        <f t="shared" si="42"/>
        <v>0</v>
      </c>
      <c r="AH101" s="172">
        <f t="shared" si="43"/>
        <v>6</v>
      </c>
      <c r="AI101" s="221">
        <f t="shared" si="44"/>
        <v>0.51596157655862951</v>
      </c>
      <c r="AJ101" s="261" t="b">
        <f t="shared" si="45"/>
        <v>1</v>
      </c>
      <c r="AK101" s="261" t="b">
        <f t="shared" si="46"/>
        <v>0</v>
      </c>
      <c r="AL101" s="261"/>
      <c r="AM101" s="261"/>
      <c r="AN101" s="75"/>
    </row>
    <row r="102" spans="1:40" s="6" customFormat="1" ht="11.25" x14ac:dyDescent="0.2">
      <c r="A102" s="56">
        <f t="shared" si="47"/>
        <v>45014</v>
      </c>
      <c r="B102" s="406">
        <f>'2022'!Wh/'2022'!Env_an*'2023'!Env_an</f>
        <v>28.208603064115771</v>
      </c>
      <c r="C102" s="385"/>
      <c r="D102" s="388">
        <f t="shared" si="25"/>
        <v>28.399232426063783</v>
      </c>
      <c r="E102" s="380">
        <f t="shared" si="48"/>
        <v>29.247388747435178</v>
      </c>
      <c r="F102" s="380">
        <f t="shared" si="26"/>
        <v>29.247633500925748</v>
      </c>
      <c r="G102" s="110">
        <f t="shared" si="49"/>
        <v>0.5747601977647524</v>
      </c>
      <c r="H102" s="409" t="b">
        <f>Wh_hp&gt;='2022'!Maxi_hp</f>
        <v>0</v>
      </c>
      <c r="I102" s="385">
        <f>IF(H102,Wh_hp,'2022'!Maxi_hp)</f>
        <v>29.247996056103595</v>
      </c>
      <c r="J102" s="85">
        <f>IF(H102,An,'2022'!An_max)</f>
        <v>2022</v>
      </c>
      <c r="K102" s="193">
        <f t="shared" si="27"/>
        <v>45014</v>
      </c>
      <c r="L102" s="143">
        <f>IF(t&lt;Tvie,1-EXP((T0-t)*PertePVj)+'2022'!Pspv,1-EXP((T0-t)*PertePVj)+Pspv)</f>
        <v>6.7124828970046568E-3</v>
      </c>
      <c r="M102" s="836"/>
      <c r="N102" s="836"/>
      <c r="O102" s="48">
        <f>IF(t&lt;Tnet,'2022'!Resal+('2022'!Salim-'2022'!Resal)*(1-EXP(('2022'!Tnet-t)/('2022'!Tau_j))),Resal+(Salim-Resal)*(1-EXP((Tnet-t)/(Tau_j))))*Salcycl</f>
        <v>2.8999386191212437E-2</v>
      </c>
      <c r="P102" s="165">
        <f>(INDEX(Models!$BJ102:$BT102,,T102)*(1-R102)+INDEX(Models!$BJ102:$BT102,,T102+1)*R102-ERP_i)*Q102*Ramure*Pc/MaxiM</f>
        <v>2.1319185882281749E-5</v>
      </c>
      <c r="Q102" s="301">
        <f t="shared" si="28"/>
        <v>0.5</v>
      </c>
      <c r="R102" s="173">
        <f t="shared" si="29"/>
        <v>0.51687435884301591</v>
      </c>
      <c r="S102" s="802">
        <f t="shared" si="30"/>
        <v>0</v>
      </c>
      <c r="T102" s="172">
        <f t="shared" si="31"/>
        <v>6</v>
      </c>
      <c r="U102" s="247">
        <f t="shared" si="32"/>
        <v>0.51687435884301591</v>
      </c>
      <c r="V102" s="378">
        <f t="shared" si="33"/>
        <v>49.078272721149077</v>
      </c>
      <c r="W102" s="397">
        <f t="shared" si="34"/>
        <v>28.208603064115771</v>
      </c>
      <c r="X102" s="153">
        <f t="shared" si="35"/>
        <v>45014</v>
      </c>
      <c r="Y102" s="380">
        <f t="shared" si="36"/>
        <v>28.208603064115771</v>
      </c>
      <c r="Z102" s="380">
        <f t="shared" si="37"/>
        <v>28.399232426063783</v>
      </c>
      <c r="AA102" s="381">
        <f t="shared" si="38"/>
        <v>29.247388747435178</v>
      </c>
      <c r="AB102" s="193">
        <f t="shared" si="39"/>
        <v>45014</v>
      </c>
      <c r="AC102" s="420">
        <f>IF(OR(t&lt;Tnet,NoTnet),'2022'!Resal_s+('2022'!Salim-'2022'!Resal_s)*(1-EXP(('2022'!Tnet_s-t)/'2022'!Tau_j)),Resal_s+(Salim-Resal_s)*(1-EXP((Tnet_s-t)/Tau_j)))*Salcycl</f>
        <v>2.8999386191212437E-2</v>
      </c>
      <c r="AD102" s="227">
        <f>(INDEX(Models!$BJ102:$BT102,,AH102)*(1-AF102)+INDEX(Models!$BJ102:$BT102,,AH102+1)*AF102-ERP_i)*AE102*Ramure*Pc/MaxiM</f>
        <v>2.1319185882281749E-5</v>
      </c>
      <c r="AE102" s="301">
        <f t="shared" si="40"/>
        <v>0.5</v>
      </c>
      <c r="AF102" s="173">
        <f t="shared" si="41"/>
        <v>0.51687435884301591</v>
      </c>
      <c r="AG102" s="172">
        <f t="shared" si="42"/>
        <v>0</v>
      </c>
      <c r="AH102" s="172">
        <f t="shared" si="43"/>
        <v>6</v>
      </c>
      <c r="AI102" s="221">
        <f t="shared" si="44"/>
        <v>0.51687435884301591</v>
      </c>
      <c r="AJ102" s="261" t="b">
        <f t="shared" si="45"/>
        <v>1</v>
      </c>
      <c r="AK102" s="261" t="b">
        <f t="shared" si="46"/>
        <v>0</v>
      </c>
      <c r="AL102" s="261"/>
      <c r="AM102" s="261"/>
      <c r="AN102" s="75"/>
    </row>
    <row r="103" spans="1:40" s="6" customFormat="1" ht="11.25" x14ac:dyDescent="0.2">
      <c r="A103" s="56">
        <f t="shared" si="47"/>
        <v>45015</v>
      </c>
      <c r="B103" s="406">
        <f>'2022'!Wh/'2022'!Env_an*'2023'!Env_an</f>
        <v>7.8561433334013415</v>
      </c>
      <c r="C103" s="385"/>
      <c r="D103" s="388">
        <f t="shared" si="25"/>
        <v>7.9093422031436535</v>
      </c>
      <c r="E103" s="380">
        <f t="shared" si="48"/>
        <v>8.1459783289795062</v>
      </c>
      <c r="F103" s="380">
        <f t="shared" si="26"/>
        <v>8.1459783289795062</v>
      </c>
      <c r="G103" s="110">
        <f t="shared" si="49"/>
        <v>0.15866191429883553</v>
      </c>
      <c r="H103" s="409" t="b">
        <f>Wh_hp&gt;='2022'!Maxi_hp</f>
        <v>0</v>
      </c>
      <c r="I103" s="385">
        <f>IF(H103,Wh_hp,'2022'!Maxi_hp)</f>
        <v>8.146149983745957</v>
      </c>
      <c r="J103" s="85">
        <f>IF(H103,An,'2022'!An_max)</f>
        <v>2022</v>
      </c>
      <c r="K103" s="193">
        <f t="shared" si="27"/>
        <v>45015</v>
      </c>
      <c r="L103" s="143">
        <f>IF(t&lt;Tvie,1-EXP((T0-t)*PertePVj)+'2022'!Pspv,1-EXP((T0-t)*PertePVj)+Pspv)</f>
        <v>6.7260801689890126E-3</v>
      </c>
      <c r="M103" s="836"/>
      <c r="N103" s="836"/>
      <c r="O103" s="48">
        <f>IF(t&lt;Tnet,'2022'!Resal+('2022'!Salim-'2022'!Resal)*(1-EXP(('2022'!Tnet-t)/('2022'!Tau_j))),Resal+(Salim-Resal)*(1-EXP((Tnet-t)/(Tau_j))))*Salcycl</f>
        <v>2.904944210249296E-2</v>
      </c>
      <c r="P103" s="165">
        <f>(INDEX(Models!$BJ103:$BT103,,T103)*(1-R103)+INDEX(Models!$BJ103:$BT103,,T103+1)*R103-ERP_i)*Q103*Ramure*Pc/MaxiM</f>
        <v>2.2054758100609282E-5</v>
      </c>
      <c r="Q103" s="301">
        <f t="shared" si="28"/>
        <v>0.5</v>
      </c>
      <c r="R103" s="173">
        <f t="shared" si="29"/>
        <v>0.5178217331946342</v>
      </c>
      <c r="S103" s="802">
        <f t="shared" si="30"/>
        <v>0</v>
      </c>
      <c r="T103" s="172">
        <f t="shared" si="31"/>
        <v>6</v>
      </c>
      <c r="U103" s="247">
        <f t="shared" si="32"/>
        <v>0.5178217331946342</v>
      </c>
      <c r="V103" s="378">
        <f t="shared" si="33"/>
        <v>49.513899430609456</v>
      </c>
      <c r="W103" s="397">
        <f t="shared" si="34"/>
        <v>7.8561433334013415</v>
      </c>
      <c r="X103" s="153">
        <f t="shared" si="35"/>
        <v>45015</v>
      </c>
      <c r="Y103" s="380">
        <f t="shared" si="36"/>
        <v>7.8561433334013415</v>
      </c>
      <c r="Z103" s="380">
        <f t="shared" si="37"/>
        <v>7.9093422031436535</v>
      </c>
      <c r="AA103" s="381">
        <f t="shared" si="38"/>
        <v>8.1459783289795062</v>
      </c>
      <c r="AB103" s="193">
        <f t="shared" si="39"/>
        <v>45015</v>
      </c>
      <c r="AC103" s="420">
        <f>IF(OR(t&lt;Tnet,NoTnet),'2022'!Resal_s+('2022'!Salim-'2022'!Resal_s)*(1-EXP(('2022'!Tnet_s-t)/'2022'!Tau_j)),Resal_s+(Salim-Resal_s)*(1-EXP((Tnet_s-t)/Tau_j)))*Salcycl</f>
        <v>2.904944210249296E-2</v>
      </c>
      <c r="AD103" s="227">
        <f>(INDEX(Models!$BJ103:$BT103,,AH103)*(1-AF103)+INDEX(Models!$BJ103:$BT103,,AH103+1)*AF103-ERP_i)*AE103*Ramure*Pc/MaxiM</f>
        <v>2.2054758100609282E-5</v>
      </c>
      <c r="AE103" s="301">
        <f t="shared" si="40"/>
        <v>0.5</v>
      </c>
      <c r="AF103" s="173">
        <f t="shared" si="41"/>
        <v>0.5178217331946342</v>
      </c>
      <c r="AG103" s="172">
        <f t="shared" si="42"/>
        <v>0</v>
      </c>
      <c r="AH103" s="172">
        <f t="shared" si="43"/>
        <v>6</v>
      </c>
      <c r="AI103" s="221">
        <f t="shared" si="44"/>
        <v>0.5178217331946342</v>
      </c>
      <c r="AJ103" s="261" t="b">
        <f t="shared" si="45"/>
        <v>1</v>
      </c>
      <c r="AK103" s="261" t="b">
        <f t="shared" si="46"/>
        <v>0</v>
      </c>
      <c r="AL103" s="261"/>
      <c r="AM103" s="261"/>
      <c r="AN103" s="75"/>
    </row>
    <row r="104" spans="1:40" s="6" customFormat="1" ht="11.25" x14ac:dyDescent="0.2">
      <c r="A104" s="56">
        <f t="shared" si="47"/>
        <v>45016</v>
      </c>
      <c r="B104" s="406">
        <f>'2022'!Wh/'2022'!Env_an*'2023'!Env_an</f>
        <v>27.43744116355991</v>
      </c>
      <c r="C104" s="385"/>
      <c r="D104" s="388">
        <f t="shared" si="25"/>
        <v>27.623615416076031</v>
      </c>
      <c r="E104" s="380">
        <f t="shared" si="48"/>
        <v>28.451547569377155</v>
      </c>
      <c r="F104" s="380">
        <f t="shared" si="26"/>
        <v>28.451777328733137</v>
      </c>
      <c r="G104" s="110">
        <f t="shared" si="49"/>
        <v>0.5493913926304792</v>
      </c>
      <c r="H104" s="409" t="b">
        <f>Wh_hp&gt;='2022'!Maxi_hp</f>
        <v>0</v>
      </c>
      <c r="I104" s="385">
        <f>IF(H104,Wh_hp,'2022'!Maxi_hp)</f>
        <v>28.452173225194628</v>
      </c>
      <c r="J104" s="85">
        <f>IF(H104,An,'2022'!An_max)</f>
        <v>2022</v>
      </c>
      <c r="K104" s="193">
        <f t="shared" si="27"/>
        <v>45016</v>
      </c>
      <c r="L104" s="143">
        <f>IF(t&lt;Tvie,1-EXP((T0-t)*PertePVj)+'2022'!Pspv,1-EXP((T0-t)*PertePVj)+Pspv)</f>
        <v>6.739677254838039E-3</v>
      </c>
      <c r="M104" s="836"/>
      <c r="N104" s="836"/>
      <c r="O104" s="48">
        <f>IF(t&lt;Tnet,'2022'!Resal+('2022'!Salim-'2022'!Resal)*(1-EXP(('2022'!Tnet-t)/('2022'!Tau_j))),Resal+(Salim-Resal)*(1-EXP((Tnet-t)/(Tau_j))))*Salcycl</f>
        <v>2.9099723003898778E-2</v>
      </c>
      <c r="P104" s="165">
        <f>(INDEX(Models!$BJ104:$BT104,,T104)*(1-R104)+INDEX(Models!$BJ104:$BT104,,T104+1)*R104-ERP_i)*Q104*Ramure*Pc/MaxiM</f>
        <v>2.2665558500302521E-5</v>
      </c>
      <c r="Q104" s="301">
        <f t="shared" si="28"/>
        <v>0.5</v>
      </c>
      <c r="R104" s="173">
        <f t="shared" si="29"/>
        <v>0.51880485767829854</v>
      </c>
      <c r="S104" s="802">
        <f t="shared" si="30"/>
        <v>0</v>
      </c>
      <c r="T104" s="172">
        <f t="shared" si="31"/>
        <v>6</v>
      </c>
      <c r="U104" s="247">
        <f t="shared" si="32"/>
        <v>0.51880485767829854</v>
      </c>
      <c r="V104" s="378">
        <f t="shared" si="33"/>
        <v>49.940791231222967</v>
      </c>
      <c r="W104" s="397">
        <f t="shared" si="34"/>
        <v>27.43744116355991</v>
      </c>
      <c r="X104" s="153">
        <f t="shared" si="35"/>
        <v>45016</v>
      </c>
      <c r="Y104" s="380">
        <f t="shared" si="36"/>
        <v>27.43744116355991</v>
      </c>
      <c r="Z104" s="380">
        <f t="shared" si="37"/>
        <v>27.623615416076031</v>
      </c>
      <c r="AA104" s="381">
        <f t="shared" si="38"/>
        <v>28.451547569377155</v>
      </c>
      <c r="AB104" s="193">
        <f t="shared" si="39"/>
        <v>45016</v>
      </c>
      <c r="AC104" s="420">
        <f>IF(OR(t&lt;Tnet,NoTnet),'2022'!Resal_s+('2022'!Salim-'2022'!Resal_s)*(1-EXP(('2022'!Tnet_s-t)/'2022'!Tau_j)),Resal_s+(Salim-Resal_s)*(1-EXP((Tnet_s-t)/Tau_j)))*Salcycl</f>
        <v>2.9099723003898778E-2</v>
      </c>
      <c r="AD104" s="227">
        <f>(INDEX(Models!$BJ104:$BT104,,AH104)*(1-AF104)+INDEX(Models!$BJ104:$BT104,,AH104+1)*AF104-ERP_i)*AE104*Ramure*Pc/MaxiM</f>
        <v>2.2665558500302521E-5</v>
      </c>
      <c r="AE104" s="301">
        <f t="shared" si="40"/>
        <v>0.5</v>
      </c>
      <c r="AF104" s="173">
        <f t="shared" si="41"/>
        <v>0.51880485767829854</v>
      </c>
      <c r="AG104" s="172">
        <f t="shared" si="42"/>
        <v>0</v>
      </c>
      <c r="AH104" s="172">
        <f t="shared" si="43"/>
        <v>6</v>
      </c>
      <c r="AI104" s="221">
        <f t="shared" si="44"/>
        <v>0.51880485767829854</v>
      </c>
      <c r="AJ104" s="261" t="b">
        <f t="shared" si="45"/>
        <v>1</v>
      </c>
      <c r="AK104" s="261" t="b">
        <f t="shared" si="46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7"/>
        <v>45017</v>
      </c>
      <c r="B105" s="406">
        <f>'2022'!Wh/'2022'!Env_an*'2023'!Env_an</f>
        <v>30.178792356968771</v>
      </c>
      <c r="C105" s="385"/>
      <c r="D105" s="388">
        <f t="shared" si="25"/>
        <v>30.383983728998217</v>
      </c>
      <c r="E105" s="380">
        <f t="shared" si="48"/>
        <v>31.296277757721221</v>
      </c>
      <c r="F105" s="380">
        <f t="shared" si="26"/>
        <v>31.296587596803427</v>
      </c>
      <c r="G105" s="110">
        <f t="shared" si="49"/>
        <v>0.59928202389118013</v>
      </c>
      <c r="H105" s="409" t="b">
        <f>Wh_hp&gt;='2022'!Maxi_hp</f>
        <v>0</v>
      </c>
      <c r="I105" s="385">
        <f>IF(H105,Wh_hp,'2022'!Maxi_hp)</f>
        <v>31.296982474541696</v>
      </c>
      <c r="J105" s="85">
        <f>IF(H105,An,'2022'!An_max)</f>
        <v>2022</v>
      </c>
      <c r="K105" s="193">
        <f t="shared" si="27"/>
        <v>45017</v>
      </c>
      <c r="L105" s="143">
        <f>IF(t&lt;Tvie,1-EXP((T0-t)*PertePVj)+'2022'!Pspv,1-EXP((T0-t)*PertePVj)+Pspv)</f>
        <v>6.7532741545544006E-3</v>
      </c>
      <c r="M105" s="836"/>
      <c r="N105" s="836"/>
      <c r="O105" s="48">
        <f>IF(t&lt;Tnet,'2022'!Resal+('2022'!Salim-'2022'!Resal)*(1-EXP(('2022'!Tnet-t)/('2022'!Tau_j))),Resal+(Salim-Resal)*(1-EXP((Tnet-t)/(Tau_j))))*Salcycl</f>
        <v>2.9150240670327919E-2</v>
      </c>
      <c r="P105" s="165">
        <f>(INDEX(Models!$BJ105:$BT105,,T105)*(1-R105)+INDEX(Models!$BJ105:$BT105,,T105+1)*R105-ERP_i)*Q105*Ramure*Pc/MaxiM</f>
        <v>2.3155016313982982E-5</v>
      </c>
      <c r="Q105" s="301">
        <f t="shared" si="28"/>
        <v>0.5</v>
      </c>
      <c r="R105" s="173">
        <f t="shared" si="29"/>
        <v>0.5198249167475838</v>
      </c>
      <c r="S105" s="802">
        <f t="shared" si="30"/>
        <v>0</v>
      </c>
      <c r="T105" s="172">
        <f t="shared" si="31"/>
        <v>6</v>
      </c>
      <c r="U105" s="247">
        <f t="shared" si="32"/>
        <v>0.5198249167475838</v>
      </c>
      <c r="V105" s="378">
        <f t="shared" si="33"/>
        <v>50.357579790956763</v>
      </c>
      <c r="W105" s="397">
        <f t="shared" si="34"/>
        <v>30.178792356968771</v>
      </c>
      <c r="X105" s="153">
        <f t="shared" si="35"/>
        <v>45017</v>
      </c>
      <c r="Y105" s="380">
        <f t="shared" si="36"/>
        <v>30.178792356968771</v>
      </c>
      <c r="Z105" s="380">
        <f t="shared" si="37"/>
        <v>30.383983728998217</v>
      </c>
      <c r="AA105" s="381">
        <f t="shared" si="38"/>
        <v>31.296277757721221</v>
      </c>
      <c r="AB105" s="193">
        <f t="shared" si="39"/>
        <v>45017</v>
      </c>
      <c r="AC105" s="420">
        <f>IF(OR(t&lt;Tnet,NoTnet),'2022'!Resal_s+('2022'!Salim-'2022'!Resal_s)*(1-EXP(('2022'!Tnet_s-t)/'2022'!Tau_j)),Resal_s+(Salim-Resal_s)*(1-EXP((Tnet_s-t)/Tau_j)))*Salcycl</f>
        <v>2.9150240670327919E-2</v>
      </c>
      <c r="AD105" s="227">
        <f>(INDEX(Models!$BJ105:$BT105,,AH105)*(1-AF105)+INDEX(Models!$BJ105:$BT105,,AH105+1)*AF105-ERP_i)*AE105*Ramure*Pc/MaxiM</f>
        <v>2.3155016313982982E-5</v>
      </c>
      <c r="AE105" s="301">
        <f t="shared" si="40"/>
        <v>0.5</v>
      </c>
      <c r="AF105" s="173">
        <f t="shared" si="41"/>
        <v>0.5198249167475838</v>
      </c>
      <c r="AG105" s="172">
        <f t="shared" si="42"/>
        <v>0</v>
      </c>
      <c r="AH105" s="172">
        <f t="shared" si="43"/>
        <v>6</v>
      </c>
      <c r="AI105" s="221">
        <f t="shared" si="44"/>
        <v>0.5198249167475838</v>
      </c>
      <c r="AJ105" s="261" t="b">
        <f t="shared" si="45"/>
        <v>1</v>
      </c>
      <c r="AK105" s="261" t="b">
        <f t="shared" si="46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7"/>
        <v>45018</v>
      </c>
      <c r="B106" s="406">
        <f>'2022'!Wh/'2022'!Env_an*'2023'!Env_an</f>
        <v>20.566242444055415</v>
      </c>
      <c r="C106" s="385"/>
      <c r="D106" s="388">
        <f t="shared" si="25"/>
        <v>20.706359706337469</v>
      </c>
      <c r="E106" s="380">
        <f t="shared" si="48"/>
        <v>21.329193633323737</v>
      </c>
      <c r="F106" s="380">
        <f t="shared" si="26"/>
        <v>21.329269005597549</v>
      </c>
      <c r="G106" s="110">
        <f t="shared" si="49"/>
        <v>0.40513509725477631</v>
      </c>
      <c r="H106" s="409" t="b">
        <f>Wh_hp&gt;='2022'!Maxi_hp</f>
        <v>0</v>
      </c>
      <c r="I106" s="385">
        <f>IF(H106,Wh_hp,'2022'!Maxi_hp)</f>
        <v>21.329674123347726</v>
      </c>
      <c r="J106" s="85">
        <f>IF(H106,An,'2022'!An_max)</f>
        <v>2022</v>
      </c>
      <c r="K106" s="193">
        <f t="shared" si="27"/>
        <v>45018</v>
      </c>
      <c r="L106" s="143">
        <f>IF(t&lt;Tvie,1-EXP((T0-t)*PertePVj)+'2022'!Pspv,1-EXP((T0-t)*PertePVj)+Pspv)</f>
        <v>6.7668708681405398E-3</v>
      </c>
      <c r="M106" s="836"/>
      <c r="N106" s="836"/>
      <c r="O106" s="48">
        <f>IF(t&lt;Tnet,'2022'!Resal+('2022'!Salim-'2022'!Resal)*(1-EXP(('2022'!Tnet-t)/('2022'!Tau_j))),Resal+(Salim-Resal)*(1-EXP((Tnet-t)/(Tau_j))))*Salcycl</f>
        <v>2.9201006737225196E-2</v>
      </c>
      <c r="P106" s="165">
        <f>(INDEX(Models!$BJ106:$BT106,,T106)*(1-R106)+INDEX(Models!$BJ106:$BT106,,T106+1)*R106-ERP_i)*Q106*Ramure*Pc/MaxiM</f>
        <v>2.3526239129576961E-5</v>
      </c>
      <c r="Q106" s="301">
        <f t="shared" si="28"/>
        <v>0.5</v>
      </c>
      <c r="R106" s="173">
        <f t="shared" si="29"/>
        <v>0.52088312079702315</v>
      </c>
      <c r="S106" s="802">
        <f t="shared" si="30"/>
        <v>0</v>
      </c>
      <c r="T106" s="172">
        <f t="shared" si="31"/>
        <v>6</v>
      </c>
      <c r="U106" s="247">
        <f t="shared" si="32"/>
        <v>0.52088312079702315</v>
      </c>
      <c r="V106" s="378">
        <f t="shared" si="33"/>
        <v>50.762897146038448</v>
      </c>
      <c r="W106" s="397">
        <f t="shared" si="34"/>
        <v>20.566242444055415</v>
      </c>
      <c r="X106" s="153">
        <f t="shared" si="35"/>
        <v>45018</v>
      </c>
      <c r="Y106" s="380">
        <f t="shared" si="36"/>
        <v>20.566242444055415</v>
      </c>
      <c r="Z106" s="380">
        <f t="shared" si="37"/>
        <v>20.706359706337469</v>
      </c>
      <c r="AA106" s="381">
        <f t="shared" si="38"/>
        <v>21.329193633323737</v>
      </c>
      <c r="AB106" s="193">
        <f t="shared" si="39"/>
        <v>45018</v>
      </c>
      <c r="AC106" s="420">
        <f>IF(OR(t&lt;Tnet,NoTnet),'2022'!Resal_s+('2022'!Salim-'2022'!Resal_s)*(1-EXP(('2022'!Tnet_s-t)/'2022'!Tau_j)),Resal_s+(Salim-Resal_s)*(1-EXP((Tnet_s-t)/Tau_j)))*Salcycl</f>
        <v>2.9201006737225196E-2</v>
      </c>
      <c r="AD106" s="227">
        <f>(INDEX(Models!$BJ106:$BT106,,AH106)*(1-AF106)+INDEX(Models!$BJ106:$BT106,,AH106+1)*AF106-ERP_i)*AE106*Ramure*Pc/MaxiM</f>
        <v>2.3526239129576961E-5</v>
      </c>
      <c r="AE106" s="301">
        <f t="shared" si="40"/>
        <v>0.5</v>
      </c>
      <c r="AF106" s="173">
        <f t="shared" si="41"/>
        <v>0.52088312079702315</v>
      </c>
      <c r="AG106" s="172">
        <f t="shared" si="42"/>
        <v>0</v>
      </c>
      <c r="AH106" s="172">
        <f t="shared" si="43"/>
        <v>6</v>
      </c>
      <c r="AI106" s="221">
        <f t="shared" si="44"/>
        <v>0.52088312079702315</v>
      </c>
      <c r="AJ106" s="261" t="b">
        <f t="shared" si="45"/>
        <v>1</v>
      </c>
      <c r="AK106" s="261" t="b">
        <f t="shared" si="46"/>
        <v>0</v>
      </c>
      <c r="AL106" s="261"/>
      <c r="AM106" s="261"/>
      <c r="AN106" s="75"/>
    </row>
    <row r="107" spans="1:40" s="6" customFormat="1" ht="11.25" x14ac:dyDescent="0.2">
      <c r="A107" s="56">
        <f t="shared" si="47"/>
        <v>45019</v>
      </c>
      <c r="B107" s="406">
        <f>'2022'!Wh/'2022'!Env_an*'2023'!Env_an</f>
        <v>28.07903592298549</v>
      </c>
      <c r="C107" s="385"/>
      <c r="D107" s="388">
        <f t="shared" si="25"/>
        <v>28.270724649722901</v>
      </c>
      <c r="E107" s="380">
        <f t="shared" si="48"/>
        <v>29.122620496080991</v>
      </c>
      <c r="F107" s="380">
        <f t="shared" si="26"/>
        <v>29.122866698504723</v>
      </c>
      <c r="G107" s="110">
        <f t="shared" si="49"/>
        <v>0.54884459580967282</v>
      </c>
      <c r="H107" s="409" t="b">
        <f>Wh_hp&gt;='2022'!Maxi_hp</f>
        <v>0</v>
      </c>
      <c r="I107" s="385">
        <f>IF(H107,Wh_hp,'2022'!Maxi_hp)</f>
        <v>29.123289882556353</v>
      </c>
      <c r="J107" s="85">
        <f>IF(H107,An,'2022'!An_max)</f>
        <v>2022</v>
      </c>
      <c r="K107" s="193">
        <f t="shared" si="27"/>
        <v>45019</v>
      </c>
      <c r="L107" s="143">
        <f>IF(t&lt;Tvie,1-EXP((T0-t)*PertePVj)+'2022'!Pspv,1-EXP((T0-t)*PertePVj)+Pspv)</f>
        <v>6.7804673955992323E-3</v>
      </c>
      <c r="M107" s="836"/>
      <c r="N107" s="836"/>
      <c r="O107" s="48">
        <f>IF(t&lt;Tnet,'2022'!Resal+('2022'!Salim-'2022'!Resal)*(1-EXP(('2022'!Tnet-t)/('2022'!Tau_j))),Resal+(Salim-Resal)*(1-EXP((Tnet-t)/(Tau_j))))*Salcycl</f>
        <v>2.9252032675861919E-2</v>
      </c>
      <c r="P107" s="165">
        <f>(INDEX(Models!$BJ107:$BT107,,T107)*(1-R107)+INDEX(Models!$BJ107:$BT107,,T107+1)*R107-ERP_i)*Q107*Ramure*Pc/MaxiM</f>
        <v>2.3780081985265679E-5</v>
      </c>
      <c r="Q107" s="301">
        <f t="shared" si="28"/>
        <v>0.5</v>
      </c>
      <c r="R107" s="173">
        <f t="shared" si="29"/>
        <v>0.52198070560183663</v>
      </c>
      <c r="S107" s="802">
        <f t="shared" si="30"/>
        <v>0</v>
      </c>
      <c r="T107" s="172">
        <f t="shared" si="31"/>
        <v>6</v>
      </c>
      <c r="U107" s="247">
        <f t="shared" si="32"/>
        <v>0.52198070560183663</v>
      </c>
      <c r="V107" s="378">
        <f t="shared" si="33"/>
        <v>51.159482647559088</v>
      </c>
      <c r="W107" s="397">
        <f t="shared" si="34"/>
        <v>28.07903592298549</v>
      </c>
      <c r="X107" s="153">
        <f t="shared" si="35"/>
        <v>45019</v>
      </c>
      <c r="Y107" s="380">
        <f t="shared" si="36"/>
        <v>28.07903592298549</v>
      </c>
      <c r="Z107" s="380">
        <f t="shared" si="37"/>
        <v>28.270724649722901</v>
      </c>
      <c r="AA107" s="381">
        <f t="shared" si="38"/>
        <v>29.122620496080991</v>
      </c>
      <c r="AB107" s="193">
        <f t="shared" si="39"/>
        <v>45019</v>
      </c>
      <c r="AC107" s="420">
        <f>IF(OR(t&lt;Tnet,NoTnet),'2022'!Resal_s+('2022'!Salim-'2022'!Resal_s)*(1-EXP(('2022'!Tnet_s-t)/'2022'!Tau_j)),Resal_s+(Salim-Resal_s)*(1-EXP((Tnet_s-t)/Tau_j)))*Salcycl</f>
        <v>2.9252032675861919E-2</v>
      </c>
      <c r="AD107" s="227">
        <f>(INDEX(Models!$BJ107:$BT107,,AH107)*(1-AF107)+INDEX(Models!$BJ107:$BT107,,AH107+1)*AF107-ERP_i)*AE107*Ramure*Pc/MaxiM</f>
        <v>2.3780081985265679E-5</v>
      </c>
      <c r="AE107" s="301">
        <f t="shared" si="40"/>
        <v>0.5</v>
      </c>
      <c r="AF107" s="173">
        <f t="shared" si="41"/>
        <v>0.52198070560183663</v>
      </c>
      <c r="AG107" s="172">
        <f t="shared" si="42"/>
        <v>0</v>
      </c>
      <c r="AH107" s="172">
        <f t="shared" si="43"/>
        <v>6</v>
      </c>
      <c r="AI107" s="221">
        <f t="shared" si="44"/>
        <v>0.52198070560183663</v>
      </c>
      <c r="AJ107" s="261" t="b">
        <f t="shared" si="45"/>
        <v>1</v>
      </c>
      <c r="AK107" s="261" t="b">
        <f t="shared" si="46"/>
        <v>0</v>
      </c>
      <c r="AL107" s="261"/>
      <c r="AM107" s="261"/>
      <c r="AN107" s="75"/>
    </row>
    <row r="108" spans="1:40" s="6" customFormat="1" ht="11.25" x14ac:dyDescent="0.2">
      <c r="A108" s="56">
        <f t="shared" si="47"/>
        <v>45020</v>
      </c>
      <c r="B108" s="406">
        <f>'2022'!Wh/'2022'!Env_an*'2023'!Env_an</f>
        <v>43.606658473950084</v>
      </c>
      <c r="C108" s="385"/>
      <c r="D108" s="388">
        <f t="shared" si="25"/>
        <v>43.904951512895643</v>
      </c>
      <c r="E108" s="380">
        <f t="shared" si="48"/>
        <v>45.230351416029528</v>
      </c>
      <c r="F108" s="380">
        <f t="shared" si="26"/>
        <v>45.231193238429739</v>
      </c>
      <c r="G108" s="110">
        <f t="shared" si="49"/>
        <v>0.84589272405033866</v>
      </c>
      <c r="H108" s="409" t="b">
        <f>Wh_hp&gt;='2022'!Maxi_hp</f>
        <v>0</v>
      </c>
      <c r="I108" s="385">
        <f>IF(H108,Wh_hp,'2022'!Maxi_hp)</f>
        <v>45.231418078824802</v>
      </c>
      <c r="J108" s="85">
        <f>IF(H108,An,'2022'!An_max)</f>
        <v>2022</v>
      </c>
      <c r="K108" s="193">
        <f t="shared" si="27"/>
        <v>45020</v>
      </c>
      <c r="L108" s="143">
        <f>IF(t&lt;Tvie,1-EXP((T0-t)*PertePVj)+'2022'!Pspv,1-EXP((T0-t)*PertePVj)+Pspv)</f>
        <v>6.7940637369328094E-3</v>
      </c>
      <c r="M108" s="836"/>
      <c r="N108" s="836"/>
      <c r="O108" s="48">
        <f>IF(t&lt;Tnet,'2022'!Resal+('2022'!Salim-'2022'!Resal)*(1-EXP(('2022'!Tnet-t)/('2022'!Tau_j))),Resal+(Salim-Resal)*(1-EXP((Tnet-t)/(Tau_j))))*Salcycl</f>
        <v>2.9303329769491127E-2</v>
      </c>
      <c r="P108" s="165">
        <f>(INDEX(Models!$BJ108:$BT108,,T108)*(1-R108)+INDEX(Models!$BJ108:$BT108,,T108+1)*R108-ERP_i)*Q108*Ramure*Pc/MaxiM</f>
        <v>2.3865450193871564E-5</v>
      </c>
      <c r="Q108" s="301">
        <f t="shared" si="28"/>
        <v>0.5</v>
      </c>
      <c r="R108" s="173">
        <f t="shared" si="29"/>
        <v>0.52311893163668932</v>
      </c>
      <c r="S108" s="802">
        <f t="shared" si="30"/>
        <v>0</v>
      </c>
      <c r="T108" s="172">
        <f t="shared" si="31"/>
        <v>6</v>
      </c>
      <c r="U108" s="247">
        <f t="shared" si="32"/>
        <v>0.52311893163668932</v>
      </c>
      <c r="V108" s="378">
        <f t="shared" si="33"/>
        <v>51.550779578348745</v>
      </c>
      <c r="W108" s="397">
        <f t="shared" si="34"/>
        <v>43.606658473950084</v>
      </c>
      <c r="X108" s="153">
        <f t="shared" si="35"/>
        <v>45020</v>
      </c>
      <c r="Y108" s="380">
        <f t="shared" si="36"/>
        <v>43.606658473950084</v>
      </c>
      <c r="Z108" s="380">
        <f t="shared" si="37"/>
        <v>43.904951512895643</v>
      </c>
      <c r="AA108" s="381">
        <f t="shared" si="38"/>
        <v>45.230351416029528</v>
      </c>
      <c r="AB108" s="193">
        <f t="shared" si="39"/>
        <v>45020</v>
      </c>
      <c r="AC108" s="420">
        <f>IF(OR(t&lt;Tnet,NoTnet),'2022'!Resal_s+('2022'!Salim-'2022'!Resal_s)*(1-EXP(('2022'!Tnet_s-t)/'2022'!Tau_j)),Resal_s+(Salim-Resal_s)*(1-EXP((Tnet_s-t)/Tau_j)))*Salcycl</f>
        <v>2.9303329769491127E-2</v>
      </c>
      <c r="AD108" s="227">
        <f>(INDEX(Models!$BJ108:$BT108,,AH108)*(1-AF108)+INDEX(Models!$BJ108:$BT108,,AH108+1)*AF108-ERP_i)*AE108*Ramure*Pc/MaxiM</f>
        <v>2.3865450193871564E-5</v>
      </c>
      <c r="AE108" s="301">
        <f t="shared" si="40"/>
        <v>0.5</v>
      </c>
      <c r="AF108" s="173">
        <f t="shared" si="41"/>
        <v>0.52311893163668932</v>
      </c>
      <c r="AG108" s="172">
        <f t="shared" si="42"/>
        <v>0</v>
      </c>
      <c r="AH108" s="172">
        <f t="shared" si="43"/>
        <v>6</v>
      </c>
      <c r="AI108" s="221">
        <f t="shared" si="44"/>
        <v>0.52311893163668932</v>
      </c>
      <c r="AJ108" s="261" t="b">
        <f t="shared" si="45"/>
        <v>1</v>
      </c>
      <c r="AK108" s="261" t="b">
        <f t="shared" si="46"/>
        <v>0</v>
      </c>
      <c r="AL108" s="261"/>
      <c r="AM108" s="261"/>
      <c r="AN108" s="75"/>
    </row>
    <row r="109" spans="1:40" s="6" customFormat="1" ht="11.25" x14ac:dyDescent="0.2">
      <c r="A109" s="56">
        <f t="shared" si="47"/>
        <v>45021</v>
      </c>
      <c r="B109" s="406">
        <f>'2022'!Wh/'2022'!Env_an*'2023'!Env_an</f>
        <v>52.187381368788813</v>
      </c>
      <c r="C109" s="385"/>
      <c r="D109" s="388">
        <f t="shared" si="25"/>
        <v>52.545090473735932</v>
      </c>
      <c r="E109" s="380">
        <f t="shared" si="48"/>
        <v>54.134194841998607</v>
      </c>
      <c r="F109" s="380">
        <f t="shared" si="26"/>
        <v>54.135481479246053</v>
      </c>
      <c r="G109" s="110">
        <f t="shared" si="49"/>
        <v>1.0048310592931584</v>
      </c>
      <c r="H109" s="409" t="b">
        <f>Wh_hp&gt;='2022'!Maxi_hp</f>
        <v>1</v>
      </c>
      <c r="I109" s="385">
        <f>IF(H109,Wh_hp,'2022'!Maxi_hp)</f>
        <v>54.135481479246053</v>
      </c>
      <c r="J109" s="85">
        <f>IF(H109,An,'2022'!An_max)</f>
        <v>2023</v>
      </c>
      <c r="K109" s="193">
        <f t="shared" si="27"/>
        <v>45021</v>
      </c>
      <c r="L109" s="143">
        <f>IF(t&lt;Tvie,1-EXP((T0-t)*PertePVj)+'2022'!Pspv,1-EXP((T0-t)*PertePVj)+Pspv)</f>
        <v>6.8076598921438247E-3</v>
      </c>
      <c r="M109" s="836"/>
      <c r="N109" s="836"/>
      <c r="O109" s="48">
        <f>IF(t&lt;Tnet,'2022'!Resal+('2022'!Salim-'2022'!Resal)*(1-EXP(('2022'!Tnet-t)/('2022'!Tau_j))),Resal+(Salim-Resal)*(1-EXP((Tnet-t)/(Tau_j))))*Salcycl</f>
        <v>2.9354909090285652E-2</v>
      </c>
      <c r="P109" s="165">
        <f>(INDEX(Models!$BJ109:$BT109,,T109)*(1-R109)+INDEX(Models!$BJ109:$BT109,,T109+1)*R109-ERP_i)*Q109*Ramure*Pc/MaxiM</f>
        <v>2.3766986314538336E-5</v>
      </c>
      <c r="Q109" s="301">
        <f t="shared" si="28"/>
        <v>0.5</v>
      </c>
      <c r="R109" s="173">
        <f t="shared" si="29"/>
        <v>0.52429908326470809</v>
      </c>
      <c r="S109" s="802">
        <f t="shared" si="30"/>
        <v>0</v>
      </c>
      <c r="T109" s="172">
        <f t="shared" si="31"/>
        <v>6</v>
      </c>
      <c r="U109" s="247">
        <f t="shared" si="32"/>
        <v>0.52429908326470809</v>
      </c>
      <c r="V109" s="378">
        <f t="shared" si="33"/>
        <v>51.936473187343218</v>
      </c>
      <c r="W109" s="397">
        <f t="shared" si="34"/>
        <v>52.187381368788813</v>
      </c>
      <c r="X109" s="153">
        <f t="shared" si="35"/>
        <v>45021</v>
      </c>
      <c r="Y109" s="380">
        <f t="shared" si="36"/>
        <v>52.187381368788813</v>
      </c>
      <c r="Z109" s="380">
        <f t="shared" si="37"/>
        <v>52.545090473735932</v>
      </c>
      <c r="AA109" s="381">
        <f t="shared" si="38"/>
        <v>54.134194841998607</v>
      </c>
      <c r="AB109" s="193">
        <f t="shared" si="39"/>
        <v>45021</v>
      </c>
      <c r="AC109" s="420">
        <f>IF(OR(t&lt;Tnet,NoTnet),'2022'!Resal_s+('2022'!Salim-'2022'!Resal_s)*(1-EXP(('2022'!Tnet_s-t)/'2022'!Tau_j)),Resal_s+(Salim-Resal_s)*(1-EXP((Tnet_s-t)/Tau_j)))*Salcycl</f>
        <v>2.9354909090285652E-2</v>
      </c>
      <c r="AD109" s="227">
        <f>(INDEX(Models!$BJ109:$BT109,,AH109)*(1-AF109)+INDEX(Models!$BJ109:$BT109,,AH109+1)*AF109-ERP_i)*AE109*Ramure*Pc/MaxiM</f>
        <v>2.3766986314538336E-5</v>
      </c>
      <c r="AE109" s="301">
        <f t="shared" si="40"/>
        <v>0.5</v>
      </c>
      <c r="AF109" s="173">
        <f t="shared" si="41"/>
        <v>0.52429908326470809</v>
      </c>
      <c r="AG109" s="172">
        <f t="shared" si="42"/>
        <v>0</v>
      </c>
      <c r="AH109" s="172">
        <f t="shared" si="43"/>
        <v>6</v>
      </c>
      <c r="AI109" s="221">
        <f t="shared" si="44"/>
        <v>0.52429908326470809</v>
      </c>
      <c r="AJ109" s="261" t="b">
        <f t="shared" si="45"/>
        <v>1</v>
      </c>
      <c r="AK109" s="261" t="b">
        <f t="shared" si="46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7"/>
        <v>45022</v>
      </c>
      <c r="B110" s="406">
        <f>'2022'!Wh/'2022'!Env_an*'2023'!Env_an</f>
        <v>12.729972816499011</v>
      </c>
      <c r="C110" s="385"/>
      <c r="D110" s="388">
        <f t="shared" si="25"/>
        <v>12.817403605972062</v>
      </c>
      <c r="E110" s="380">
        <f t="shared" si="48"/>
        <v>13.205741974455856</v>
      </c>
      <c r="F110" s="380">
        <f t="shared" si="26"/>
        <v>13.205741974455856</v>
      </c>
      <c r="G110" s="110">
        <f t="shared" si="49"/>
        <v>0.24332161299402044</v>
      </c>
      <c r="H110" s="409" t="b">
        <f>Wh_hp&gt;='2022'!Maxi_hp</f>
        <v>0</v>
      </c>
      <c r="I110" s="385">
        <f>IF(H110,Wh_hp,'2022'!Maxi_hp)</f>
        <v>13.206034136650299</v>
      </c>
      <c r="J110" s="85">
        <f>IF(H110,An,'2022'!An_max)</f>
        <v>2022</v>
      </c>
      <c r="K110" s="193">
        <f t="shared" si="27"/>
        <v>45022</v>
      </c>
      <c r="L110" s="143">
        <f>IF(t&lt;Tvie,1-EXP((T0-t)*PertePVj)+'2022'!Pspv,1-EXP((T0-t)*PertePVj)+Pspv)</f>
        <v>6.8212558612350538E-3</v>
      </c>
      <c r="M110" s="836"/>
      <c r="N110" s="836"/>
      <c r="O110" s="48">
        <f>IF(t&lt;Tnet,'2022'!Resal+('2022'!Salim-'2022'!Resal)*(1-EXP(('2022'!Tnet-t)/('2022'!Tau_j))),Resal+(Salim-Resal)*(1-EXP((Tnet-t)/(Tau_j))))*Salcycl</f>
        <v>2.9406781476948762E-2</v>
      </c>
      <c r="P110" s="165">
        <f>(INDEX(Models!$BJ110:$BT110,,T110)*(1-R110)+INDEX(Models!$BJ110:$BT110,,T110+1)*R110-ERP_i)*Q110*Ramure*Pc/MaxiM</f>
        <v>2.348654616504197E-5</v>
      </c>
      <c r="Q110" s="301">
        <f t="shared" si="28"/>
        <v>0.5</v>
      </c>
      <c r="R110" s="173">
        <f t="shared" si="29"/>
        <v>0.52552246778774825</v>
      </c>
      <c r="S110" s="802">
        <f t="shared" si="30"/>
        <v>0</v>
      </c>
      <c r="T110" s="172">
        <f t="shared" si="31"/>
        <v>6</v>
      </c>
      <c r="U110" s="247">
        <f t="shared" si="32"/>
        <v>0.52552246778774825</v>
      </c>
      <c r="V110" s="378">
        <f t="shared" si="33"/>
        <v>52.316247935269132</v>
      </c>
      <c r="W110" s="397">
        <f t="shared" si="34"/>
        <v>12.729972816499011</v>
      </c>
      <c r="X110" s="153">
        <f t="shared" si="35"/>
        <v>45022</v>
      </c>
      <c r="Y110" s="380">
        <f t="shared" si="36"/>
        <v>12.729972816499011</v>
      </c>
      <c r="Z110" s="380">
        <f t="shared" si="37"/>
        <v>12.817403605972062</v>
      </c>
      <c r="AA110" s="381">
        <f t="shared" si="38"/>
        <v>13.205741974455856</v>
      </c>
      <c r="AB110" s="193">
        <f t="shared" si="39"/>
        <v>45022</v>
      </c>
      <c r="AC110" s="420">
        <f>IF(OR(t&lt;Tnet,NoTnet),'2022'!Resal_s+('2022'!Salim-'2022'!Resal_s)*(1-EXP(('2022'!Tnet_s-t)/'2022'!Tau_j)),Resal_s+(Salim-Resal_s)*(1-EXP((Tnet_s-t)/Tau_j)))*Salcycl</f>
        <v>2.9406781476948762E-2</v>
      </c>
      <c r="AD110" s="227">
        <f>(INDEX(Models!$BJ110:$BT110,,AH110)*(1-AF110)+INDEX(Models!$BJ110:$BT110,,AH110+1)*AF110-ERP_i)*AE110*Ramure*Pc/MaxiM</f>
        <v>2.348654616504197E-5</v>
      </c>
      <c r="AE110" s="301">
        <f t="shared" si="40"/>
        <v>0.5</v>
      </c>
      <c r="AF110" s="173">
        <f t="shared" si="41"/>
        <v>0.52552246778774825</v>
      </c>
      <c r="AG110" s="172">
        <f t="shared" si="42"/>
        <v>0</v>
      </c>
      <c r="AH110" s="172">
        <f t="shared" si="43"/>
        <v>6</v>
      </c>
      <c r="AI110" s="221">
        <f t="shared" si="44"/>
        <v>0.52552246778774825</v>
      </c>
      <c r="AJ110" s="261" t="b">
        <f t="shared" si="45"/>
        <v>1</v>
      </c>
      <c r="AK110" s="261" t="b">
        <f t="shared" si="46"/>
        <v>0</v>
      </c>
      <c r="AL110" s="261"/>
      <c r="AM110" s="261"/>
      <c r="AN110" s="75"/>
    </row>
    <row r="111" spans="1:40" s="6" customFormat="1" ht="11.25" x14ac:dyDescent="0.2">
      <c r="A111" s="56">
        <f t="shared" si="47"/>
        <v>45023</v>
      </c>
      <c r="B111" s="406">
        <f>'2022'!Wh/'2022'!Env_an*'2023'!Env_an</f>
        <v>43.14935029939101</v>
      </c>
      <c r="C111" s="385"/>
      <c r="D111" s="388">
        <f t="shared" si="25"/>
        <v>43.446299309662443</v>
      </c>
      <c r="E111" s="380">
        <f t="shared" si="48"/>
        <v>44.765030439440309</v>
      </c>
      <c r="F111" s="380">
        <f t="shared" si="26"/>
        <v>44.765794571724044</v>
      </c>
      <c r="G111" s="110">
        <f t="shared" si="49"/>
        <v>0.81892705636509266</v>
      </c>
      <c r="H111" s="409" t="b">
        <f>Wh_hp&gt;='2022'!Maxi_hp</f>
        <v>0</v>
      </c>
      <c r="I111" s="385">
        <f>IF(H111,Wh_hp,'2022'!Maxi_hp)</f>
        <v>44.766045147251283</v>
      </c>
      <c r="J111" s="85">
        <f>IF(H111,An,'2022'!An_max)</f>
        <v>2022</v>
      </c>
      <c r="K111" s="193">
        <f t="shared" si="27"/>
        <v>45023</v>
      </c>
      <c r="L111" s="143">
        <f>IF(t&lt;Tvie,1-EXP((T0-t)*PertePVj)+'2022'!Pspv,1-EXP((T0-t)*PertePVj)+Pspv)</f>
        <v>6.834851644208717E-3</v>
      </c>
      <c r="M111" s="836"/>
      <c r="N111" s="836"/>
      <c r="O111" s="48">
        <f>IF(t&lt;Tnet,'2022'!Resal+('2022'!Salim-'2022'!Resal)*(1-EXP(('2022'!Tnet-t)/('2022'!Tau_j))),Resal+(Salim-Resal)*(1-EXP((Tnet-t)/(Tau_j))))*Salcycl</f>
        <v>2.9458957512871333E-2</v>
      </c>
      <c r="P111" s="165">
        <f>(INDEX(Models!$BJ111:$BT111,,T111)*(1-R111)+INDEX(Models!$BJ111:$BT111,,T111+1)*R111-ERP_i)*Q111*Ramure*Pc/MaxiM</f>
        <v>2.3025543703993639E-5</v>
      </c>
      <c r="Q111" s="301">
        <f t="shared" si="28"/>
        <v>0.5</v>
      </c>
      <c r="R111" s="173">
        <f t="shared" si="29"/>
        <v>0.52679041434869733</v>
      </c>
      <c r="S111" s="802">
        <f t="shared" si="30"/>
        <v>0</v>
      </c>
      <c r="T111" s="172">
        <f t="shared" si="31"/>
        <v>6</v>
      </c>
      <c r="U111" s="247">
        <f t="shared" si="32"/>
        <v>0.52679041434869733</v>
      </c>
      <c r="V111" s="378">
        <f t="shared" si="33"/>
        <v>52.689788379408931</v>
      </c>
      <c r="W111" s="397">
        <f t="shared" si="34"/>
        <v>43.14935029939101</v>
      </c>
      <c r="X111" s="153">
        <f t="shared" si="35"/>
        <v>45023</v>
      </c>
      <c r="Y111" s="380">
        <f t="shared" si="36"/>
        <v>43.14935029939101</v>
      </c>
      <c r="Z111" s="380">
        <f t="shared" si="37"/>
        <v>43.446299309662443</v>
      </c>
      <c r="AA111" s="381">
        <f t="shared" si="38"/>
        <v>44.765030439440309</v>
      </c>
      <c r="AB111" s="193">
        <f t="shared" si="39"/>
        <v>45023</v>
      </c>
      <c r="AC111" s="420">
        <f>IF(OR(t&lt;Tnet,NoTnet),'2022'!Resal_s+('2022'!Salim-'2022'!Resal_s)*(1-EXP(('2022'!Tnet_s-t)/'2022'!Tau_j)),Resal_s+(Salim-Resal_s)*(1-EXP((Tnet_s-t)/Tau_j)))*Salcycl</f>
        <v>2.9458957512871333E-2</v>
      </c>
      <c r="AD111" s="227">
        <f>(INDEX(Models!$BJ111:$BT111,,AH111)*(1-AF111)+INDEX(Models!$BJ111:$BT111,,AH111+1)*AF111-ERP_i)*AE111*Ramure*Pc/MaxiM</f>
        <v>2.3025543703993639E-5</v>
      </c>
      <c r="AE111" s="301">
        <f t="shared" si="40"/>
        <v>0.5</v>
      </c>
      <c r="AF111" s="173">
        <f t="shared" si="41"/>
        <v>0.52679041434869733</v>
      </c>
      <c r="AG111" s="172">
        <f t="shared" si="42"/>
        <v>0</v>
      </c>
      <c r="AH111" s="172">
        <f t="shared" si="43"/>
        <v>6</v>
      </c>
      <c r="AI111" s="221">
        <f t="shared" si="44"/>
        <v>0.52679041434869733</v>
      </c>
      <c r="AJ111" s="261" t="b">
        <f t="shared" si="45"/>
        <v>1</v>
      </c>
      <c r="AK111" s="261" t="b">
        <f t="shared" si="46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7"/>
        <v>45024</v>
      </c>
      <c r="B112" s="406">
        <f>'2022'!Wh/'2022'!Env_an*'2023'!Env_an</f>
        <v>36.756027171985657</v>
      </c>
      <c r="C112" s="385"/>
      <c r="D112" s="388">
        <f t="shared" si="25"/>
        <v>37.009484675202884</v>
      </c>
      <c r="E112" s="380">
        <f t="shared" si="48"/>
        <v>38.134900798205976</v>
      </c>
      <c r="F112" s="380">
        <f t="shared" si="26"/>
        <v>38.135379783177257</v>
      </c>
      <c r="G112" s="110">
        <f t="shared" si="49"/>
        <v>0.6927609742838986</v>
      </c>
      <c r="H112" s="409" t="b">
        <f>Wh_hp&gt;='2022'!Maxi_hp</f>
        <v>0</v>
      </c>
      <c r="I112" s="385">
        <f>IF(H112,Wh_hp,'2022'!Maxi_hp)</f>
        <v>38.135731064829805</v>
      </c>
      <c r="J112" s="85">
        <f>IF(H112,An,'2022'!An_max)</f>
        <v>2022</v>
      </c>
      <c r="K112" s="193">
        <f t="shared" si="27"/>
        <v>45024</v>
      </c>
      <c r="L112" s="143">
        <f>IF(t&lt;Tvie,1-EXP((T0-t)*PertePVj)+'2022'!Pspv,1-EXP((T0-t)*PertePVj)+Pspv)</f>
        <v>6.8484472410675901E-3</v>
      </c>
      <c r="M112" s="836"/>
      <c r="N112" s="836"/>
      <c r="O112" s="48">
        <f>IF(t&lt;Tnet,'2022'!Resal+('2022'!Salim-'2022'!Resal)*(1-EXP(('2022'!Tnet-t)/('2022'!Tau_j))),Resal+(Salim-Resal)*(1-EXP((Tnet-t)/(Tau_j))))*Salcycl</f>
        <v>2.9511447504697291E-2</v>
      </c>
      <c r="P112" s="165">
        <f>(INDEX(Models!$BJ112:$BT112,,T112)*(1-R112)+INDEX(Models!$BJ112:$BT112,,T112+1)*R112-ERP_i)*Q112*Ramure*Pc/MaxiM</f>
        <v>2.2384943191538514E-5</v>
      </c>
      <c r="Q112" s="301">
        <f t="shared" si="28"/>
        <v>0.5</v>
      </c>
      <c r="R112" s="173">
        <f t="shared" si="29"/>
        <v>0.52810427267644089</v>
      </c>
      <c r="S112" s="802">
        <f t="shared" si="30"/>
        <v>0</v>
      </c>
      <c r="T112" s="172">
        <f t="shared" si="31"/>
        <v>6</v>
      </c>
      <c r="U112" s="247">
        <f t="shared" si="32"/>
        <v>0.52810427267644089</v>
      </c>
      <c r="V112" s="378">
        <f t="shared" si="33"/>
        <v>53.05677919285187</v>
      </c>
      <c r="W112" s="397">
        <f t="shared" si="34"/>
        <v>36.756027171985657</v>
      </c>
      <c r="X112" s="153">
        <f t="shared" si="35"/>
        <v>45024</v>
      </c>
      <c r="Y112" s="380">
        <f t="shared" si="36"/>
        <v>36.756027171985657</v>
      </c>
      <c r="Z112" s="380">
        <f t="shared" si="37"/>
        <v>37.009484675202884</v>
      </c>
      <c r="AA112" s="381">
        <f t="shared" si="38"/>
        <v>38.134900798205976</v>
      </c>
      <c r="AB112" s="193">
        <f t="shared" si="39"/>
        <v>45024</v>
      </c>
      <c r="AC112" s="420">
        <f>IF(OR(t&lt;Tnet,NoTnet),'2022'!Resal_s+('2022'!Salim-'2022'!Resal_s)*(1-EXP(('2022'!Tnet_s-t)/'2022'!Tau_j)),Resal_s+(Salim-Resal_s)*(1-EXP((Tnet_s-t)/Tau_j)))*Salcycl</f>
        <v>2.9511447504697291E-2</v>
      </c>
      <c r="AD112" s="227">
        <f>(INDEX(Models!$BJ112:$BT112,,AH112)*(1-AF112)+INDEX(Models!$BJ112:$BT112,,AH112+1)*AF112-ERP_i)*AE112*Ramure*Pc/MaxiM</f>
        <v>2.2384943191538514E-5</v>
      </c>
      <c r="AE112" s="301">
        <f t="shared" si="40"/>
        <v>0.5</v>
      </c>
      <c r="AF112" s="173">
        <f t="shared" si="41"/>
        <v>0.52810427267644089</v>
      </c>
      <c r="AG112" s="172">
        <f t="shared" si="42"/>
        <v>0</v>
      </c>
      <c r="AH112" s="172">
        <f t="shared" si="43"/>
        <v>6</v>
      </c>
      <c r="AI112" s="221">
        <f t="shared" si="44"/>
        <v>0.52810427267644089</v>
      </c>
      <c r="AJ112" s="261" t="b">
        <f t="shared" si="45"/>
        <v>1</v>
      </c>
      <c r="AK112" s="261" t="b">
        <f t="shared" si="46"/>
        <v>0</v>
      </c>
      <c r="AL112" s="261"/>
      <c r="AM112" s="261"/>
      <c r="AN112" s="75"/>
    </row>
    <row r="113" spans="1:40" s="6" customFormat="1" ht="11.25" x14ac:dyDescent="0.2">
      <c r="A113" s="56">
        <f t="shared" si="47"/>
        <v>45025</v>
      </c>
      <c r="B113" s="406">
        <f>'2022'!Wh/'2022'!Env_an*'2023'!Env_an</f>
        <v>34.194640265763574</v>
      </c>
      <c r="C113" s="385"/>
      <c r="D113" s="388">
        <f t="shared" si="25"/>
        <v>34.430906615499765</v>
      </c>
      <c r="E113" s="380">
        <f t="shared" si="48"/>
        <v>35.479841939190251</v>
      </c>
      <c r="F113" s="380">
        <f t="shared" si="26"/>
        <v>35.480213738519055</v>
      </c>
      <c r="G113" s="110">
        <f t="shared" si="49"/>
        <v>0.64013931675807445</v>
      </c>
      <c r="H113" s="409" t="b">
        <f>Wh_hp&gt;='2022'!Maxi_hp</f>
        <v>0</v>
      </c>
      <c r="I113" s="385">
        <f>IF(H113,Wh_hp,'2022'!Maxi_hp)</f>
        <v>35.480581616370678</v>
      </c>
      <c r="J113" s="85">
        <f>IF(H113,An,'2022'!An_max)</f>
        <v>2022</v>
      </c>
      <c r="K113" s="193">
        <f t="shared" si="27"/>
        <v>45025</v>
      </c>
      <c r="L113" s="143">
        <f>IF(t&lt;Tvie,1-EXP((T0-t)*PertePVj)+'2022'!Pspv,1-EXP((T0-t)*PertePVj)+Pspv)</f>
        <v>6.8620426518142263E-3</v>
      </c>
      <c r="M113" s="836"/>
      <c r="N113" s="836"/>
      <c r="O113" s="48">
        <f>IF(t&lt;Tnet,'2022'!Resal+('2022'!Salim-'2022'!Resal)*(1-EXP(('2022'!Tnet-t)/('2022'!Tau_j))),Resal+(Salim-Resal)*(1-EXP((Tnet-t)/(Tau_j))))*Salcycl</f>
        <v>2.9564261461149672E-2</v>
      </c>
      <c r="P113" s="165">
        <f>(INDEX(Models!$BJ113:$BT113,,T113)*(1-R113)+INDEX(Models!$BJ113:$BT113,,T113+1)*R113-ERP_i)*Q113*Ramure*Pc/MaxiM</f>
        <v>2.1565251021272525E-5</v>
      </c>
      <c r="Q113" s="301">
        <f t="shared" si="28"/>
        <v>0.5</v>
      </c>
      <c r="R113" s="173">
        <f t="shared" si="29"/>
        <v>0.52946541166400696</v>
      </c>
      <c r="S113" s="802">
        <f t="shared" si="30"/>
        <v>0</v>
      </c>
      <c r="T113" s="172">
        <f t="shared" si="31"/>
        <v>6</v>
      </c>
      <c r="U113" s="247">
        <f t="shared" si="32"/>
        <v>0.52946541166400696</v>
      </c>
      <c r="V113" s="378">
        <f t="shared" si="33"/>
        <v>53.416905161660047</v>
      </c>
      <c r="W113" s="397">
        <f t="shared" si="34"/>
        <v>34.194640265763574</v>
      </c>
      <c r="X113" s="153">
        <f t="shared" si="35"/>
        <v>45025</v>
      </c>
      <c r="Y113" s="380">
        <f t="shared" si="36"/>
        <v>34.194640265763574</v>
      </c>
      <c r="Z113" s="380">
        <f t="shared" si="37"/>
        <v>34.430906615499765</v>
      </c>
      <c r="AA113" s="381">
        <f t="shared" si="38"/>
        <v>35.479841939190251</v>
      </c>
      <c r="AB113" s="193">
        <f t="shared" si="39"/>
        <v>45025</v>
      </c>
      <c r="AC113" s="420">
        <f>IF(OR(t&lt;Tnet,NoTnet),'2022'!Resal_s+('2022'!Salim-'2022'!Resal_s)*(1-EXP(('2022'!Tnet_s-t)/'2022'!Tau_j)),Resal_s+(Salim-Resal_s)*(1-EXP((Tnet_s-t)/Tau_j)))*Salcycl</f>
        <v>2.9564261461149672E-2</v>
      </c>
      <c r="AD113" s="227">
        <f>(INDEX(Models!$BJ113:$BT113,,AH113)*(1-AF113)+INDEX(Models!$BJ113:$BT113,,AH113+1)*AF113-ERP_i)*AE113*Ramure*Pc/MaxiM</f>
        <v>2.1565251021272525E-5</v>
      </c>
      <c r="AE113" s="301">
        <f t="shared" si="40"/>
        <v>0.5</v>
      </c>
      <c r="AF113" s="173">
        <f t="shared" si="41"/>
        <v>0.52946541166400696</v>
      </c>
      <c r="AG113" s="172">
        <f t="shared" si="42"/>
        <v>0</v>
      </c>
      <c r="AH113" s="172">
        <f t="shared" si="43"/>
        <v>6</v>
      </c>
      <c r="AI113" s="221">
        <f t="shared" si="44"/>
        <v>0.52946541166400696</v>
      </c>
      <c r="AJ113" s="261" t="b">
        <f t="shared" si="45"/>
        <v>1</v>
      </c>
      <c r="AK113" s="261" t="b">
        <f t="shared" si="46"/>
        <v>0</v>
      </c>
      <c r="AL113" s="261"/>
      <c r="AM113" s="261"/>
      <c r="AN113" s="75"/>
    </row>
    <row r="114" spans="1:40" s="6" customFormat="1" ht="11.25" x14ac:dyDescent="0.2">
      <c r="A114" s="56">
        <f t="shared" si="47"/>
        <v>45026</v>
      </c>
      <c r="B114" s="406">
        <f>'2022'!Wh/'2022'!Env_an*'2023'!Env_an</f>
        <v>56.02413372975905</v>
      </c>
      <c r="C114" s="385"/>
      <c r="D114" s="388">
        <f t="shared" si="25"/>
        <v>56.412002228971005</v>
      </c>
      <c r="E114" s="380">
        <f t="shared" si="48"/>
        <v>58.133773994255932</v>
      </c>
      <c r="F114" s="380">
        <f t="shared" si="26"/>
        <v>58.134973098692669</v>
      </c>
      <c r="G114" s="110">
        <f t="shared" si="49"/>
        <v>1.0419247187108807</v>
      </c>
      <c r="H114" s="409" t="b">
        <f>Wh_hp&gt;='2022'!Maxi_hp</f>
        <v>1</v>
      </c>
      <c r="I114" s="385">
        <f>IF(H114,Wh_hp,'2022'!Maxi_hp)</f>
        <v>58.134973098692669</v>
      </c>
      <c r="J114" s="85">
        <f>IF(H114,An,'2022'!An_max)</f>
        <v>2023</v>
      </c>
      <c r="K114" s="193">
        <f t="shared" si="27"/>
        <v>45026</v>
      </c>
      <c r="L114" s="143">
        <f>IF(t&lt;Tvie,1-EXP((T0-t)*PertePVj)+'2022'!Pspv,1-EXP((T0-t)*PertePVj)+Pspv)</f>
        <v>6.8756378764510684E-3</v>
      </c>
      <c r="M114" s="836"/>
      <c r="N114" s="836"/>
      <c r="O114" s="48">
        <f>IF(t&lt;Tnet,'2022'!Resal+('2022'!Salim-'2022'!Resal)*(1-EXP(('2022'!Tnet-t)/('2022'!Tau_j))),Resal+(Salim-Resal)*(1-EXP((Tnet-t)/(Tau_j))))*Salcycl</f>
        <v>2.9617409071963138E-2</v>
      </c>
      <c r="P114" s="165">
        <f>(INDEX(Models!$BJ114:$BT114,,T114)*(1-R114)+INDEX(Models!$BJ114:$BT114,,T114+1)*R114-ERP_i)*Q114*Ramure*Pc/MaxiM</f>
        <v>2.0626214700483922E-5</v>
      </c>
      <c r="Q114" s="301">
        <f t="shared" si="28"/>
        <v>0.5</v>
      </c>
      <c r="R114" s="173">
        <f t="shared" si="29"/>
        <v>0.53087521777034941</v>
      </c>
      <c r="S114" s="802">
        <f t="shared" si="30"/>
        <v>0</v>
      </c>
      <c r="T114" s="172">
        <f t="shared" si="31"/>
        <v>6</v>
      </c>
      <c r="U114" s="247">
        <f t="shared" si="32"/>
        <v>0.53087521777034941</v>
      </c>
      <c r="V114" s="378">
        <f t="shared" si="33"/>
        <v>53.769847978148356</v>
      </c>
      <c r="W114" s="397">
        <f t="shared" si="34"/>
        <v>56.02413372975905</v>
      </c>
      <c r="X114" s="153">
        <f t="shared" si="35"/>
        <v>45026</v>
      </c>
      <c r="Y114" s="380">
        <f t="shared" si="36"/>
        <v>56.02413372975905</v>
      </c>
      <c r="Z114" s="380">
        <f t="shared" si="37"/>
        <v>56.412002228971005</v>
      </c>
      <c r="AA114" s="381">
        <f t="shared" si="38"/>
        <v>58.133773994255932</v>
      </c>
      <c r="AB114" s="193">
        <f t="shared" si="39"/>
        <v>45026</v>
      </c>
      <c r="AC114" s="420">
        <f>IF(OR(t&lt;Tnet,NoTnet),'2022'!Resal_s+('2022'!Salim-'2022'!Resal_s)*(1-EXP(('2022'!Tnet_s-t)/'2022'!Tau_j)),Resal_s+(Salim-Resal_s)*(1-EXP((Tnet_s-t)/Tau_j)))*Salcycl</f>
        <v>2.9617409071963138E-2</v>
      </c>
      <c r="AD114" s="227">
        <f>(INDEX(Models!$BJ114:$BT114,,AH114)*(1-AF114)+INDEX(Models!$BJ114:$BT114,,AH114+1)*AF114-ERP_i)*AE114*Ramure*Pc/MaxiM</f>
        <v>2.0626214700483922E-5</v>
      </c>
      <c r="AE114" s="301">
        <f t="shared" si="40"/>
        <v>0.5</v>
      </c>
      <c r="AF114" s="173">
        <f t="shared" si="41"/>
        <v>0.53087521777034941</v>
      </c>
      <c r="AG114" s="172">
        <f t="shared" si="42"/>
        <v>0</v>
      </c>
      <c r="AH114" s="172">
        <f t="shared" si="43"/>
        <v>6</v>
      </c>
      <c r="AI114" s="221">
        <f t="shared" si="44"/>
        <v>0.53087521777034941</v>
      </c>
      <c r="AJ114" s="261" t="b">
        <f t="shared" si="45"/>
        <v>1</v>
      </c>
      <c r="AK114" s="261" t="b">
        <f t="shared" si="46"/>
        <v>0</v>
      </c>
      <c r="AL114" s="261"/>
      <c r="AM114" s="261"/>
      <c r="AN114" s="75"/>
    </row>
    <row r="115" spans="1:40" s="6" customFormat="1" ht="11.25" customHeight="1" x14ac:dyDescent="0.2">
      <c r="A115" s="56">
        <f t="shared" si="47"/>
        <v>45027</v>
      </c>
      <c r="B115" s="406">
        <f>'2022'!Wh/'2022'!Env_an*'2023'!Env_an</f>
        <v>45.197959680982578</v>
      </c>
      <c r="C115" s="385"/>
      <c r="D115" s="388">
        <f t="shared" si="25"/>
        <v>45.511498997888943</v>
      </c>
      <c r="E115" s="380">
        <f t="shared" si="48"/>
        <v>46.90315789065513</v>
      </c>
      <c r="F115" s="380">
        <f t="shared" si="26"/>
        <v>46.903864612261977</v>
      </c>
      <c r="G115" s="110">
        <f t="shared" si="49"/>
        <v>0.83521226831920892</v>
      </c>
      <c r="H115" s="409" t="b">
        <f>Wh_hp&gt;='2022'!Maxi_hp</f>
        <v>0</v>
      </c>
      <c r="I115" s="385">
        <f>IF(H115,Wh_hp,'2022'!Maxi_hp)</f>
        <v>46.904067064445634</v>
      </c>
      <c r="J115" s="85">
        <f>IF(H115,An,'2022'!An_max)</f>
        <v>2022</v>
      </c>
      <c r="K115" s="193">
        <f t="shared" si="27"/>
        <v>45027</v>
      </c>
      <c r="L115" s="143">
        <f>IF(t&lt;Tvie,1-EXP((T0-t)*PertePVj)+'2022'!Pspv,1-EXP((T0-t)*PertePVj)+Pspv)</f>
        <v>6.8892329149806697E-3</v>
      </c>
      <c r="M115" s="836"/>
      <c r="N115" s="836"/>
      <c r="O115" s="48">
        <f>IF(t&lt;Tnet,'2022'!Resal+('2022'!Salim-'2022'!Resal)*(1-EXP(('2022'!Tnet-t)/('2022'!Tau_j))),Resal+(Salim-Resal)*(1-EXP((Tnet-t)/(Tau_j))))*Salcycl</f>
        <v>2.9670899686766318E-2</v>
      </c>
      <c r="P115" s="165">
        <f>(INDEX(Models!$BJ115:$BT115,,T115)*(1-R115)+INDEX(Models!$BJ115:$BT115,,T115+1)*R115-ERP_i)*Q115*Ramure*Pc/MaxiM</f>
        <v>1.9706458261622884E-5</v>
      </c>
      <c r="Q115" s="301">
        <f t="shared" si="28"/>
        <v>0.5</v>
      </c>
      <c r="R115" s="173">
        <f t="shared" si="29"/>
        <v>0.5323350932362465</v>
      </c>
      <c r="S115" s="802">
        <f t="shared" si="30"/>
        <v>0</v>
      </c>
      <c r="T115" s="172">
        <f t="shared" si="31"/>
        <v>6</v>
      </c>
      <c r="U115" s="247">
        <f t="shared" si="32"/>
        <v>0.5323350932362465</v>
      </c>
      <c r="V115" s="378">
        <f t="shared" si="33"/>
        <v>54.115285082012036</v>
      </c>
      <c r="W115" s="397">
        <f t="shared" si="34"/>
        <v>45.197959680982578</v>
      </c>
      <c r="X115" s="153">
        <f t="shared" si="35"/>
        <v>45027</v>
      </c>
      <c r="Y115" s="380">
        <f t="shared" si="36"/>
        <v>45.197959680982578</v>
      </c>
      <c r="Z115" s="380">
        <f t="shared" si="37"/>
        <v>45.511498997888943</v>
      </c>
      <c r="AA115" s="381">
        <f t="shared" si="38"/>
        <v>46.90315789065513</v>
      </c>
      <c r="AB115" s="193">
        <f t="shared" si="39"/>
        <v>45027</v>
      </c>
      <c r="AC115" s="420">
        <f>IF(OR(t&lt;Tnet,NoTnet),'2022'!Resal_s+('2022'!Salim-'2022'!Resal_s)*(1-EXP(('2022'!Tnet_s-t)/'2022'!Tau_j)),Resal_s+(Salim-Resal_s)*(1-EXP((Tnet_s-t)/Tau_j)))*Salcycl</f>
        <v>2.9670899686766318E-2</v>
      </c>
      <c r="AD115" s="227">
        <f>(INDEX(Models!$BJ115:$BT115,,AH115)*(1-AF115)+INDEX(Models!$BJ115:$BT115,,AH115+1)*AF115-ERP_i)*AE115*Ramure*Pc/MaxiM</f>
        <v>1.9706458261622884E-5</v>
      </c>
      <c r="AE115" s="301">
        <f t="shared" si="40"/>
        <v>0.5</v>
      </c>
      <c r="AF115" s="173">
        <f t="shared" si="41"/>
        <v>0.5323350932362465</v>
      </c>
      <c r="AG115" s="172">
        <f t="shared" si="42"/>
        <v>0</v>
      </c>
      <c r="AH115" s="172">
        <f t="shared" si="43"/>
        <v>6</v>
      </c>
      <c r="AI115" s="221">
        <f t="shared" si="44"/>
        <v>0.5323350932362465</v>
      </c>
      <c r="AJ115" s="261" t="b">
        <f t="shared" si="45"/>
        <v>1</v>
      </c>
      <c r="AK115" s="261" t="b">
        <f t="shared" si="46"/>
        <v>0</v>
      </c>
      <c r="AL115" s="261"/>
      <c r="AM115" s="261"/>
      <c r="AN115" s="75"/>
    </row>
    <row r="116" spans="1:40" s="6" customFormat="1" ht="11.25" x14ac:dyDescent="0.2">
      <c r="A116" s="56">
        <f t="shared" si="47"/>
        <v>45028</v>
      </c>
      <c r="B116" s="406">
        <f>'2022'!Wh/'2022'!Env_an*'2023'!Env_an</f>
        <v>37.712414736131429</v>
      </c>
      <c r="C116" s="385"/>
      <c r="D116" s="388">
        <f t="shared" si="25"/>
        <v>37.974546490097907</v>
      </c>
      <c r="E116" s="380">
        <f t="shared" si="48"/>
        <v>39.137910802621924</v>
      </c>
      <c r="F116" s="380">
        <f t="shared" si="26"/>
        <v>39.1383235578393</v>
      </c>
      <c r="G116" s="110">
        <f t="shared" si="49"/>
        <v>0.69256370698703407</v>
      </c>
      <c r="H116" s="409" t="b">
        <f>Wh_hp&gt;='2022'!Maxi_hp</f>
        <v>0</v>
      </c>
      <c r="I116" s="385">
        <f>IF(H116,Wh_hp,'2022'!Maxi_hp)</f>
        <v>39.138623490789477</v>
      </c>
      <c r="J116" s="85">
        <f>IF(H116,An,'2022'!An_max)</f>
        <v>2022</v>
      </c>
      <c r="K116" s="193">
        <f t="shared" si="27"/>
        <v>45028</v>
      </c>
      <c r="L116" s="143">
        <f>IF(t&lt;Tvie,1-EXP((T0-t)*PertePVj)+'2022'!Pspv,1-EXP((T0-t)*PertePVj)+Pspv)</f>
        <v>6.9028277674055838E-3</v>
      </c>
      <c r="M116" s="836"/>
      <c r="N116" s="836"/>
      <c r="O116" s="48">
        <f>IF(t&lt;Tnet,'2022'!Resal+('2022'!Salim-'2022'!Resal)*(1-EXP(('2022'!Tnet-t)/('2022'!Tau_j))),Resal+(Salim-Resal)*(1-EXP((Tnet-t)/(Tau_j))))*Salcycl</f>
        <v>2.9724742293757867E-2</v>
      </c>
      <c r="P116" s="165">
        <f>(INDEX(Models!$BJ116:$BT116,,T116)*(1-R116)+INDEX(Models!$BJ116:$BT116,,T116+1)*R116-ERP_i)*Q116*Ramure*Pc/MaxiM</f>
        <v>1.8804938542904755E-5</v>
      </c>
      <c r="Q116" s="301">
        <f t="shared" si="28"/>
        <v>0.5</v>
      </c>
      <c r="R116" s="173">
        <f t="shared" si="29"/>
        <v>0.53384645410487486</v>
      </c>
      <c r="S116" s="802">
        <f t="shared" si="30"/>
        <v>0</v>
      </c>
      <c r="T116" s="172">
        <f t="shared" si="31"/>
        <v>6</v>
      </c>
      <c r="U116" s="247">
        <f t="shared" si="32"/>
        <v>0.53384645410487486</v>
      </c>
      <c r="V116" s="378">
        <f t="shared" si="33"/>
        <v>54.452901430199731</v>
      </c>
      <c r="W116" s="397">
        <f t="shared" si="34"/>
        <v>37.712414736131429</v>
      </c>
      <c r="X116" s="153">
        <f t="shared" si="35"/>
        <v>45028</v>
      </c>
      <c r="Y116" s="380">
        <f t="shared" si="36"/>
        <v>37.712414736131429</v>
      </c>
      <c r="Z116" s="380">
        <f t="shared" si="37"/>
        <v>37.974546490097907</v>
      </c>
      <c r="AA116" s="381">
        <f t="shared" si="38"/>
        <v>39.137910802621924</v>
      </c>
      <c r="AB116" s="193">
        <f t="shared" si="39"/>
        <v>45028</v>
      </c>
      <c r="AC116" s="420">
        <f>IF(OR(t&lt;Tnet,NoTnet),'2022'!Resal_s+('2022'!Salim-'2022'!Resal_s)*(1-EXP(('2022'!Tnet_s-t)/'2022'!Tau_j)),Resal_s+(Salim-Resal_s)*(1-EXP((Tnet_s-t)/Tau_j)))*Salcycl</f>
        <v>2.9724742293757867E-2</v>
      </c>
      <c r="AD116" s="227">
        <f>(INDEX(Models!$BJ116:$BT116,,AH116)*(1-AF116)+INDEX(Models!$BJ116:$BT116,,AH116+1)*AF116-ERP_i)*AE116*Ramure*Pc/MaxiM</f>
        <v>1.8804938542904755E-5</v>
      </c>
      <c r="AE116" s="301">
        <f t="shared" si="40"/>
        <v>0.5</v>
      </c>
      <c r="AF116" s="173">
        <f t="shared" si="41"/>
        <v>0.53384645410487486</v>
      </c>
      <c r="AG116" s="172">
        <f t="shared" si="42"/>
        <v>0</v>
      </c>
      <c r="AH116" s="172">
        <f t="shared" si="43"/>
        <v>6</v>
      </c>
      <c r="AI116" s="221">
        <f t="shared" si="44"/>
        <v>0.53384645410487486</v>
      </c>
      <c r="AJ116" s="261" t="b">
        <f t="shared" si="45"/>
        <v>1</v>
      </c>
      <c r="AK116" s="261" t="b">
        <f t="shared" si="46"/>
        <v>0</v>
      </c>
      <c r="AL116" s="261"/>
      <c r="AM116" s="261"/>
      <c r="AN116" s="75"/>
    </row>
    <row r="117" spans="1:40" s="6" customFormat="1" ht="11.25" x14ac:dyDescent="0.2">
      <c r="A117" s="56">
        <f t="shared" si="47"/>
        <v>45029</v>
      </c>
      <c r="B117" s="406">
        <f>'2022'!Wh/'2022'!Env_an*'2023'!Env_an</f>
        <v>8.7204491116461007</v>
      </c>
      <c r="C117" s="385"/>
      <c r="D117" s="388">
        <f t="shared" si="25"/>
        <v>8.7811834861040765</v>
      </c>
      <c r="E117" s="380">
        <f t="shared" si="48"/>
        <v>9.0507039043917104</v>
      </c>
      <c r="F117" s="380">
        <f t="shared" si="26"/>
        <v>9.0507039043917104</v>
      </c>
      <c r="G117" s="110">
        <f t="shared" si="49"/>
        <v>0.15918060701547695</v>
      </c>
      <c r="H117" s="409" t="b">
        <f>Wh_hp&gt;='2022'!Maxi_hp</f>
        <v>0</v>
      </c>
      <c r="I117" s="385">
        <f>IF(H117,Wh_hp,'2022'!Maxi_hp)</f>
        <v>9.0508539778178534</v>
      </c>
      <c r="J117" s="85">
        <f>IF(H117,An,'2022'!An_max)</f>
        <v>2022</v>
      </c>
      <c r="K117" s="193">
        <f t="shared" si="27"/>
        <v>45029</v>
      </c>
      <c r="L117" s="143">
        <f>IF(t&lt;Tvie,1-EXP((T0-t)*PertePVj)+'2022'!Pspv,1-EXP((T0-t)*PertePVj)+Pspv)</f>
        <v>6.9164224337284752E-3</v>
      </c>
      <c r="M117" s="836"/>
      <c r="N117" s="836"/>
      <c r="O117" s="48">
        <f>IF(t&lt;Tnet,'2022'!Resal+('2022'!Salim-'2022'!Resal)*(1-EXP(('2022'!Tnet-t)/('2022'!Tau_j))),Resal+(Salim-Resal)*(1-EXP((Tnet-t)/(Tau_j))))*Salcycl</f>
        <v>2.977894549802404E-2</v>
      </c>
      <c r="P117" s="165">
        <f>(INDEX(Models!$BJ117:$BT117,,T117)*(1-R117)+INDEX(Models!$BJ117:$BT117,,T117+1)*R117-ERP_i)*Q117*Ramure*Pc/MaxiM</f>
        <v>1.7920620321266008E-5</v>
      </c>
      <c r="Q117" s="301">
        <f t="shared" si="28"/>
        <v>0.5</v>
      </c>
      <c r="R117" s="173">
        <f t="shared" si="29"/>
        <v>0.53541072803779644</v>
      </c>
      <c r="S117" s="802">
        <f t="shared" si="30"/>
        <v>0</v>
      </c>
      <c r="T117" s="172">
        <f t="shared" si="31"/>
        <v>6</v>
      </c>
      <c r="U117" s="247">
        <f t="shared" si="32"/>
        <v>0.53541072803779644</v>
      </c>
      <c r="V117" s="378">
        <f t="shared" si="33"/>
        <v>54.78238209595893</v>
      </c>
      <c r="W117" s="397">
        <f t="shared" si="34"/>
        <v>8.7204491116461007</v>
      </c>
      <c r="X117" s="153">
        <f t="shared" si="35"/>
        <v>45029</v>
      </c>
      <c r="Y117" s="380">
        <f t="shared" si="36"/>
        <v>8.7204491116461007</v>
      </c>
      <c r="Z117" s="380">
        <f t="shared" si="37"/>
        <v>8.7811834861040765</v>
      </c>
      <c r="AA117" s="381">
        <f t="shared" si="38"/>
        <v>9.0507039043917104</v>
      </c>
      <c r="AB117" s="193">
        <f t="shared" si="39"/>
        <v>45029</v>
      </c>
      <c r="AC117" s="420">
        <f>IF(OR(t&lt;Tnet,NoTnet),'2022'!Resal_s+('2022'!Salim-'2022'!Resal_s)*(1-EXP(('2022'!Tnet_s-t)/'2022'!Tau_j)),Resal_s+(Salim-Resal_s)*(1-EXP((Tnet_s-t)/Tau_j)))*Salcycl</f>
        <v>2.977894549802404E-2</v>
      </c>
      <c r="AD117" s="227">
        <f>(INDEX(Models!$BJ117:$BT117,,AH117)*(1-AF117)+INDEX(Models!$BJ117:$BT117,,AH117+1)*AF117-ERP_i)*AE117*Ramure*Pc/MaxiM</f>
        <v>1.7920620321266008E-5</v>
      </c>
      <c r="AE117" s="301">
        <f t="shared" si="40"/>
        <v>0.5</v>
      </c>
      <c r="AF117" s="173">
        <f t="shared" si="41"/>
        <v>0.53541072803779644</v>
      </c>
      <c r="AG117" s="172">
        <f t="shared" si="42"/>
        <v>0</v>
      </c>
      <c r="AH117" s="172">
        <f t="shared" si="43"/>
        <v>6</v>
      </c>
      <c r="AI117" s="221">
        <f t="shared" si="44"/>
        <v>0.53541072803779644</v>
      </c>
      <c r="AJ117" s="261" t="b">
        <f t="shared" si="45"/>
        <v>1</v>
      </c>
      <c r="AK117" s="261" t="b">
        <f t="shared" si="46"/>
        <v>0</v>
      </c>
      <c r="AL117" s="261"/>
      <c r="AM117" s="261"/>
      <c r="AN117" s="75"/>
    </row>
    <row r="118" spans="1:40" s="6" customFormat="1" ht="11.25" x14ac:dyDescent="0.2">
      <c r="A118" s="56">
        <f t="shared" si="47"/>
        <v>45030</v>
      </c>
      <c r="B118" s="406">
        <f>'2022'!Wh/'2022'!Env_an*'2023'!Env_an</f>
        <v>40.256902601879503</v>
      </c>
      <c r="C118" s="385"/>
      <c r="D118" s="388">
        <f t="shared" si="25"/>
        <v>40.537830452570731</v>
      </c>
      <c r="E118" s="380">
        <f t="shared" si="48"/>
        <v>41.784406268172347</v>
      </c>
      <c r="F118" s="380">
        <f t="shared" si="26"/>
        <v>41.784844548541599</v>
      </c>
      <c r="G118" s="110">
        <f t="shared" si="49"/>
        <v>0.7305652538037819</v>
      </c>
      <c r="H118" s="409" t="b">
        <f>Wh_hp&gt;='2022'!Maxi_hp</f>
        <v>0</v>
      </c>
      <c r="I118" s="385">
        <f>IF(H118,Wh_hp,'2022'!Maxi_hp)</f>
        <v>41.785097562255523</v>
      </c>
      <c r="J118" s="85">
        <f>IF(H118,An,'2022'!An_max)</f>
        <v>2022</v>
      </c>
      <c r="K118" s="193">
        <f t="shared" si="27"/>
        <v>45030</v>
      </c>
      <c r="L118" s="143">
        <f>IF(t&lt;Tvie,1-EXP((T0-t)*PertePVj)+'2022'!Pspv,1-EXP((T0-t)*PertePVj)+Pspv)</f>
        <v>6.9300169139517864E-3</v>
      </c>
      <c r="M118" s="836"/>
      <c r="N118" s="836"/>
      <c r="O118" s="48">
        <f>IF(t&lt;Tnet,'2022'!Resal+('2022'!Salim-'2022'!Resal)*(1-EXP(('2022'!Tnet-t)/('2022'!Tau_j))),Resal+(Salim-Resal)*(1-EXP((Tnet-t)/(Tau_j))))*Salcycl</f>
        <v>2.9833517499353448E-2</v>
      </c>
      <c r="P118" s="165">
        <f>(INDEX(Models!$BJ118:$BT118,,T118)*(1-R118)+INDEX(Models!$BJ118:$BT118,,T118+1)*R118-ERP_i)*Q118*Ramure*Pc/MaxiM</f>
        <v>1.7052476184385995E-5</v>
      </c>
      <c r="Q118" s="301">
        <f t="shared" si="28"/>
        <v>0.5</v>
      </c>
      <c r="R118" s="173">
        <f t="shared" si="29"/>
        <v>0.53702935191736001</v>
      </c>
      <c r="S118" s="802">
        <f t="shared" si="30"/>
        <v>0</v>
      </c>
      <c r="T118" s="172">
        <f t="shared" si="31"/>
        <v>6</v>
      </c>
      <c r="U118" s="247">
        <f t="shared" si="32"/>
        <v>0.53702935191736001</v>
      </c>
      <c r="V118" s="378">
        <f t="shared" si="33"/>
        <v>55.103412273512312</v>
      </c>
      <c r="W118" s="397">
        <f t="shared" si="34"/>
        <v>40.256902601879503</v>
      </c>
      <c r="X118" s="153">
        <f t="shared" si="35"/>
        <v>45030</v>
      </c>
      <c r="Y118" s="380">
        <f t="shared" si="36"/>
        <v>40.256902601879503</v>
      </c>
      <c r="Z118" s="380">
        <f t="shared" si="37"/>
        <v>40.537830452570731</v>
      </c>
      <c r="AA118" s="381">
        <f t="shared" si="38"/>
        <v>41.784406268172347</v>
      </c>
      <c r="AB118" s="193">
        <f t="shared" si="39"/>
        <v>45030</v>
      </c>
      <c r="AC118" s="420">
        <f>IF(OR(t&lt;Tnet,NoTnet),'2022'!Resal_s+('2022'!Salim-'2022'!Resal_s)*(1-EXP(('2022'!Tnet_s-t)/'2022'!Tau_j)),Resal_s+(Salim-Resal_s)*(1-EXP((Tnet_s-t)/Tau_j)))*Salcycl</f>
        <v>2.9833517499353448E-2</v>
      </c>
      <c r="AD118" s="227">
        <f>(INDEX(Models!$BJ118:$BT118,,AH118)*(1-AF118)+INDEX(Models!$BJ118:$BT118,,AH118+1)*AF118-ERP_i)*AE118*Ramure*Pc/MaxiM</f>
        <v>1.7052476184385995E-5</v>
      </c>
      <c r="AE118" s="301">
        <f t="shared" si="40"/>
        <v>0.5</v>
      </c>
      <c r="AF118" s="173">
        <f t="shared" si="41"/>
        <v>0.53702935191736001</v>
      </c>
      <c r="AG118" s="172">
        <f t="shared" si="42"/>
        <v>0</v>
      </c>
      <c r="AH118" s="172">
        <f t="shared" si="43"/>
        <v>6</v>
      </c>
      <c r="AI118" s="221">
        <f t="shared" si="44"/>
        <v>0.53702935191736001</v>
      </c>
      <c r="AJ118" s="261" t="b">
        <f t="shared" si="45"/>
        <v>1</v>
      </c>
      <c r="AK118" s="261" t="b">
        <f t="shared" si="46"/>
        <v>0</v>
      </c>
      <c r="AL118" s="261"/>
      <c r="AM118" s="261"/>
      <c r="AN118" s="75"/>
    </row>
    <row r="119" spans="1:40" s="6" customFormat="1" ht="11.25" x14ac:dyDescent="0.2">
      <c r="A119" s="56">
        <f t="shared" si="47"/>
        <v>45031</v>
      </c>
      <c r="B119" s="406">
        <f>'2022'!Wh/'2022'!Env_an*'2023'!Env_an</f>
        <v>44.113203135769595</v>
      </c>
      <c r="C119" s="385"/>
      <c r="D119" s="388">
        <f t="shared" si="25"/>
        <v>44.421649801210599</v>
      </c>
      <c r="E119" s="380">
        <f t="shared" si="48"/>
        <v>45.790250138793986</v>
      </c>
      <c r="F119" s="380">
        <f t="shared" si="26"/>
        <v>45.790775792343126</v>
      </c>
      <c r="G119" s="110">
        <f t="shared" si="49"/>
        <v>0.79603818075443955</v>
      </c>
      <c r="H119" s="409" t="b">
        <f>Wh_hp&gt;='2022'!Maxi_hp</f>
        <v>0</v>
      </c>
      <c r="I119" s="385">
        <f>IF(H119,Wh_hp,'2022'!Maxi_hp)</f>
        <v>45.790974578011351</v>
      </c>
      <c r="J119" s="85">
        <f>IF(H119,An,'2022'!An_max)</f>
        <v>2022</v>
      </c>
      <c r="K119" s="193">
        <f t="shared" si="27"/>
        <v>45031</v>
      </c>
      <c r="L119" s="143">
        <f>IF(t&lt;Tvie,1-EXP((T0-t)*PertePVj)+'2022'!Pspv,1-EXP((T0-t)*PertePVj)+Pspv)</f>
        <v>6.943611208078071E-3</v>
      </c>
      <c r="M119" s="836"/>
      <c r="N119" s="836"/>
      <c r="O119" s="48">
        <f>IF(t&lt;Tnet,'2022'!Resal+('2022'!Salim-'2022'!Resal)*(1-EXP(('2022'!Tnet-t)/('2022'!Tau_j))),Resal+(Salim-Resal)*(1-EXP((Tnet-t)/(Tau_j))))*Salcycl</f>
        <v>2.9888466069415462E-2</v>
      </c>
      <c r="P119" s="165">
        <f>(INDEX(Models!$BJ119:$BT119,,T119)*(1-R119)+INDEX(Models!$BJ119:$BT119,,T119+1)*R119-ERP_i)*Q119*Ramure*Pc/MaxiM</f>
        <v>1.6199486337767806E-5</v>
      </c>
      <c r="Q119" s="301">
        <f t="shared" si="28"/>
        <v>0.5</v>
      </c>
      <c r="R119" s="173">
        <f t="shared" si="29"/>
        <v>0.53870376922689145</v>
      </c>
      <c r="S119" s="802">
        <f t="shared" si="30"/>
        <v>0</v>
      </c>
      <c r="T119" s="172">
        <f t="shared" si="31"/>
        <v>6</v>
      </c>
      <c r="U119" s="247">
        <f t="shared" si="32"/>
        <v>0.53870376922689145</v>
      </c>
      <c r="V119" s="378">
        <f t="shared" si="33"/>
        <v>55.415677268463142</v>
      </c>
      <c r="W119" s="397">
        <f t="shared" si="34"/>
        <v>44.113203135769595</v>
      </c>
      <c r="X119" s="153">
        <f t="shared" si="35"/>
        <v>45031</v>
      </c>
      <c r="Y119" s="380">
        <f t="shared" si="36"/>
        <v>44.113203135769595</v>
      </c>
      <c r="Z119" s="380">
        <f t="shared" si="37"/>
        <v>44.421649801210599</v>
      </c>
      <c r="AA119" s="381">
        <f t="shared" si="38"/>
        <v>45.790250138793986</v>
      </c>
      <c r="AB119" s="193">
        <f t="shared" si="39"/>
        <v>45031</v>
      </c>
      <c r="AC119" s="420">
        <f>IF(OR(t&lt;Tnet,NoTnet),'2022'!Resal_s+('2022'!Salim-'2022'!Resal_s)*(1-EXP(('2022'!Tnet_s-t)/'2022'!Tau_j)),Resal_s+(Salim-Resal_s)*(1-EXP((Tnet_s-t)/Tau_j)))*Salcycl</f>
        <v>2.9888466069415462E-2</v>
      </c>
      <c r="AD119" s="227">
        <f>(INDEX(Models!$BJ119:$BT119,,AH119)*(1-AF119)+INDEX(Models!$BJ119:$BT119,,AH119+1)*AF119-ERP_i)*AE119*Ramure*Pc/MaxiM</f>
        <v>1.6199486337767806E-5</v>
      </c>
      <c r="AE119" s="301">
        <f t="shared" si="40"/>
        <v>0.5</v>
      </c>
      <c r="AF119" s="173">
        <f t="shared" si="41"/>
        <v>0.53870376922689145</v>
      </c>
      <c r="AG119" s="172">
        <f t="shared" si="42"/>
        <v>0</v>
      </c>
      <c r="AH119" s="172">
        <f t="shared" si="43"/>
        <v>6</v>
      </c>
      <c r="AI119" s="221">
        <f t="shared" si="44"/>
        <v>0.53870376922689145</v>
      </c>
      <c r="AJ119" s="261" t="b">
        <f t="shared" si="45"/>
        <v>1</v>
      </c>
      <c r="AK119" s="261" t="b">
        <f t="shared" si="46"/>
        <v>0</v>
      </c>
      <c r="AL119" s="261"/>
      <c r="AM119" s="261"/>
      <c r="AN119" s="75"/>
    </row>
    <row r="120" spans="1:40" s="6" customFormat="1" ht="11.25" x14ac:dyDescent="0.2">
      <c r="A120" s="56">
        <f t="shared" si="47"/>
        <v>45032</v>
      </c>
      <c r="B120" s="406">
        <f>'2022'!Wh/'2022'!Env_an*'2023'!Env_an</f>
        <v>40.138928770768082</v>
      </c>
      <c r="C120" s="385"/>
      <c r="D120" s="388">
        <f t="shared" si="25"/>
        <v>40.420139983539464</v>
      </c>
      <c r="E120" s="380">
        <f t="shared" si="48"/>
        <v>41.667833185553611</v>
      </c>
      <c r="F120" s="380">
        <f t="shared" si="26"/>
        <v>41.668217566126692</v>
      </c>
      <c r="G120" s="110">
        <f t="shared" si="49"/>
        <v>0.72037871316529734</v>
      </c>
      <c r="H120" s="409" t="b">
        <f>Wh_hp&gt;='2022'!Maxi_hp</f>
        <v>0</v>
      </c>
      <c r="I120" s="385">
        <f>IF(H120,Wh_hp,'2022'!Maxi_hp)</f>
        <v>41.668451970182822</v>
      </c>
      <c r="J120" s="85">
        <f>IF(H120,An,'2022'!An_max)</f>
        <v>2022</v>
      </c>
      <c r="K120" s="193">
        <f t="shared" si="27"/>
        <v>45032</v>
      </c>
      <c r="L120" s="143">
        <f>IF(t&lt;Tvie,1-EXP((T0-t)*PertePVj)+'2022'!Pspv,1-EXP((T0-t)*PertePVj)+Pspv)</f>
        <v>6.9572053161097713E-3</v>
      </c>
      <c r="M120" s="836"/>
      <c r="N120" s="836"/>
      <c r="O120" s="48">
        <f>IF(t&lt;Tnet,'2022'!Resal+('2022'!Salim-'2022'!Resal)*(1-EXP(('2022'!Tnet-t)/('2022'!Tau_j))),Resal+(Salim-Resal)*(1-EXP((Tnet-t)/(Tau_j))))*Salcycl</f>
        <v>2.9943798528182852E-2</v>
      </c>
      <c r="P120" s="165">
        <f>(INDEX(Models!$BJ120:$BT120,,T120)*(1-R120)+INDEX(Models!$BJ120:$BT120,,T120+1)*R120-ERP_i)*Q120*Ramure*Pc/MaxiM</f>
        <v>1.5360638337409134E-5</v>
      </c>
      <c r="Q120" s="301">
        <f t="shared" si="28"/>
        <v>0.5</v>
      </c>
      <c r="R120" s="173">
        <f t="shared" si="29"/>
        <v>0.54043542720053384</v>
      </c>
      <c r="S120" s="802">
        <f t="shared" si="30"/>
        <v>0</v>
      </c>
      <c r="T120" s="172">
        <f t="shared" si="31"/>
        <v>6</v>
      </c>
      <c r="U120" s="247">
        <f t="shared" si="32"/>
        <v>0.54043542720053384</v>
      </c>
      <c r="V120" s="378">
        <f t="shared" si="33"/>
        <v>55.718862521305986</v>
      </c>
      <c r="W120" s="397">
        <f t="shared" si="34"/>
        <v>40.138928770768082</v>
      </c>
      <c r="X120" s="153">
        <f t="shared" si="35"/>
        <v>45032</v>
      </c>
      <c r="Y120" s="380">
        <f t="shared" si="36"/>
        <v>40.138928770768082</v>
      </c>
      <c r="Z120" s="380">
        <f t="shared" si="37"/>
        <v>40.420139983539464</v>
      </c>
      <c r="AA120" s="381">
        <f t="shared" si="38"/>
        <v>41.667833185553611</v>
      </c>
      <c r="AB120" s="193">
        <f t="shared" si="39"/>
        <v>45032</v>
      </c>
      <c r="AC120" s="420">
        <f>IF(OR(t&lt;Tnet,NoTnet),'2022'!Resal_s+('2022'!Salim-'2022'!Resal_s)*(1-EXP(('2022'!Tnet_s-t)/'2022'!Tau_j)),Resal_s+(Salim-Resal_s)*(1-EXP((Tnet_s-t)/Tau_j)))*Salcycl</f>
        <v>2.9943798528182852E-2</v>
      </c>
      <c r="AD120" s="227">
        <f>(INDEX(Models!$BJ120:$BT120,,AH120)*(1-AF120)+INDEX(Models!$BJ120:$BT120,,AH120+1)*AF120-ERP_i)*AE120*Ramure*Pc/MaxiM</f>
        <v>1.5360638337409134E-5</v>
      </c>
      <c r="AE120" s="301">
        <f t="shared" si="40"/>
        <v>0.5</v>
      </c>
      <c r="AF120" s="173">
        <f t="shared" si="41"/>
        <v>0.54043542720053384</v>
      </c>
      <c r="AG120" s="172">
        <f t="shared" si="42"/>
        <v>0</v>
      </c>
      <c r="AH120" s="172">
        <f t="shared" si="43"/>
        <v>6</v>
      </c>
      <c r="AI120" s="221">
        <f t="shared" si="44"/>
        <v>0.54043542720053384</v>
      </c>
      <c r="AJ120" s="261" t="b">
        <f t="shared" si="45"/>
        <v>1</v>
      </c>
      <c r="AK120" s="261" t="b">
        <f t="shared" si="46"/>
        <v>0</v>
      </c>
      <c r="AL120" s="261"/>
      <c r="AM120" s="261"/>
      <c r="AN120" s="75"/>
    </row>
    <row r="121" spans="1:40" s="6" customFormat="1" ht="11.25" x14ac:dyDescent="0.2">
      <c r="A121" s="56">
        <f t="shared" si="47"/>
        <v>45033</v>
      </c>
      <c r="B121" s="406">
        <f>'2022'!Wh/'2022'!Env_an*'2023'!Env_an</f>
        <v>55.591270709147807</v>
      </c>
      <c r="C121" s="385"/>
      <c r="D121" s="388">
        <f t="shared" si="25"/>
        <v>55.981506552367925</v>
      </c>
      <c r="E121" s="380">
        <f t="shared" si="48"/>
        <v>57.712864896319459</v>
      </c>
      <c r="F121" s="380">
        <f t="shared" si="26"/>
        <v>57.713694733248659</v>
      </c>
      <c r="G121" s="110">
        <f t="shared" si="49"/>
        <v>0.99247094736924646</v>
      </c>
      <c r="H121" s="409" t="b">
        <f>Wh_hp&gt;='2022'!Maxi_hp</f>
        <v>0</v>
      </c>
      <c r="I121" s="385">
        <f>IF(H121,Wh_hp,'2022'!Maxi_hp)</f>
        <v>57.713702978018006</v>
      </c>
      <c r="J121" s="85">
        <f>IF(H121,An,'2022'!An_max)</f>
        <v>2022</v>
      </c>
      <c r="K121" s="193">
        <f t="shared" si="27"/>
        <v>45033</v>
      </c>
      <c r="L121" s="143">
        <f>IF(t&lt;Tvie,1-EXP((T0-t)*PertePVj)+'2022'!Pspv,1-EXP((T0-t)*PertePVj)+Pspv)</f>
        <v>6.9707992380496631E-3</v>
      </c>
      <c r="M121" s="836"/>
      <c r="N121" s="836"/>
      <c r="O121" s="48">
        <f>IF(t&lt;Tnet,'2022'!Resal+('2022'!Salim-'2022'!Resal)*(1-EXP(('2022'!Tnet-t)/('2022'!Tau_j))),Resal+(Salim-Resal)*(1-EXP((Tnet-t)/(Tau_j))))*Salcycl</f>
        <v>2.9999521719497046E-2</v>
      </c>
      <c r="P121" s="165">
        <f>(INDEX(Models!$BJ121:$BT121,,T121)*(1-R121)+INDEX(Models!$BJ121:$BT121,,T121+1)*R121-ERP_i)*Q121*Ramure*Pc/MaxiM</f>
        <v>1.453484032820479E-5</v>
      </c>
      <c r="Q121" s="301">
        <f t="shared" si="28"/>
        <v>0.5</v>
      </c>
      <c r="R121" s="173">
        <f t="shared" si="29"/>
        <v>0.54222577373521064</v>
      </c>
      <c r="S121" s="802">
        <f t="shared" si="30"/>
        <v>0</v>
      </c>
      <c r="T121" s="172">
        <f t="shared" si="31"/>
        <v>6</v>
      </c>
      <c r="U121" s="247">
        <f t="shared" si="32"/>
        <v>0.54222577373521064</v>
      </c>
      <c r="V121" s="378">
        <f t="shared" si="33"/>
        <v>56.012986743612231</v>
      </c>
      <c r="W121" s="397">
        <f t="shared" si="34"/>
        <v>55.591270709147807</v>
      </c>
      <c r="X121" s="153">
        <f t="shared" si="35"/>
        <v>45033</v>
      </c>
      <c r="Y121" s="380">
        <f t="shared" si="36"/>
        <v>55.591270709147807</v>
      </c>
      <c r="Z121" s="380">
        <f t="shared" si="37"/>
        <v>55.981506552367925</v>
      </c>
      <c r="AA121" s="381">
        <f t="shared" si="38"/>
        <v>57.712864896319459</v>
      </c>
      <c r="AB121" s="193">
        <f t="shared" si="39"/>
        <v>45033</v>
      </c>
      <c r="AC121" s="420">
        <f>IF(OR(t&lt;Tnet,NoTnet),'2022'!Resal_s+('2022'!Salim-'2022'!Resal_s)*(1-EXP(('2022'!Tnet_s-t)/'2022'!Tau_j)),Resal_s+(Salim-Resal_s)*(1-EXP((Tnet_s-t)/Tau_j)))*Salcycl</f>
        <v>2.9999521719497046E-2</v>
      </c>
      <c r="AD121" s="227">
        <f>(INDEX(Models!$BJ121:$BT121,,AH121)*(1-AF121)+INDEX(Models!$BJ121:$BT121,,AH121+1)*AF121-ERP_i)*AE121*Ramure*Pc/MaxiM</f>
        <v>1.453484032820479E-5</v>
      </c>
      <c r="AE121" s="301">
        <f t="shared" si="40"/>
        <v>0.5</v>
      </c>
      <c r="AF121" s="173">
        <f t="shared" si="41"/>
        <v>0.54222577373521064</v>
      </c>
      <c r="AG121" s="172">
        <f t="shared" si="42"/>
        <v>0</v>
      </c>
      <c r="AH121" s="172">
        <f t="shared" si="43"/>
        <v>6</v>
      </c>
      <c r="AI121" s="221">
        <f t="shared" si="44"/>
        <v>0.54222577373521064</v>
      </c>
      <c r="AJ121" s="261" t="b">
        <f t="shared" si="45"/>
        <v>1</v>
      </c>
      <c r="AK121" s="261" t="b">
        <f t="shared" si="46"/>
        <v>0</v>
      </c>
      <c r="AL121" s="261"/>
      <c r="AM121" s="261"/>
      <c r="AN121" s="75"/>
    </row>
    <row r="122" spans="1:40" s="18" customFormat="1" ht="11.25" x14ac:dyDescent="0.2">
      <c r="A122" s="56">
        <f t="shared" si="47"/>
        <v>45034</v>
      </c>
      <c r="B122" s="406">
        <f>'2022'!Wh/'2022'!Env_an*'2023'!Env_an</f>
        <v>35.464939434864377</v>
      </c>
      <c r="C122" s="385"/>
      <c r="D122" s="388">
        <f t="shared" si="25"/>
        <v>35.714382718591288</v>
      </c>
      <c r="E122" s="380">
        <f t="shared" si="48"/>
        <v>36.821063418221904</v>
      </c>
      <c r="F122" s="380">
        <f t="shared" si="26"/>
        <v>36.821301662876884</v>
      </c>
      <c r="G122" s="110">
        <f t="shared" si="49"/>
        <v>0.62994099482438648</v>
      </c>
      <c r="H122" s="409" t="b">
        <f>Wh_hp&gt;='2022'!Maxi_hp</f>
        <v>0</v>
      </c>
      <c r="I122" s="385">
        <f>IF(H122,Wh_hp,'2022'!Maxi_hp)</f>
        <v>36.821545007941346</v>
      </c>
      <c r="J122" s="85">
        <f>IF(H122,An,'2022'!An_max)</f>
        <v>2022</v>
      </c>
      <c r="K122" s="193">
        <f t="shared" si="27"/>
        <v>45034</v>
      </c>
      <c r="L122" s="143">
        <f>IF(t&lt;Tvie,1-EXP((T0-t)*PertePVj)+'2022'!Pspv,1-EXP((T0-t)*PertePVj)+Pspv)</f>
        <v>6.9843929739001887E-3</v>
      </c>
      <c r="M122" s="836"/>
      <c r="N122" s="836"/>
      <c r="O122" s="48">
        <f>IF(t&lt;Tnet,'2022'!Resal+('2022'!Salim-'2022'!Resal)*(1-EXP(('2022'!Tnet-t)/('2022'!Tau_j))),Resal+(Salim-Resal)*(1-EXP((Tnet-t)/(Tau_j))))*Salcycl</f>
        <v>3.0055641985694152E-2</v>
      </c>
      <c r="P122" s="165">
        <f>(INDEX(Models!$BJ122:$BT122,,T122)*(1-R122)+INDEX(Models!$BJ122:$BT122,,T122+1)*R122-ERP_i)*Q122*Ramure*Pc/MaxiM</f>
        <v>1.3727130807682219E-5</v>
      </c>
      <c r="Q122" s="301">
        <f t="shared" si="28"/>
        <v>0.5</v>
      </c>
      <c r="R122" s="173">
        <f t="shared" si="29"/>
        <v>0.54407625405793358</v>
      </c>
      <c r="S122" s="802">
        <f t="shared" si="30"/>
        <v>0</v>
      </c>
      <c r="T122" s="172">
        <f t="shared" si="31"/>
        <v>6</v>
      </c>
      <c r="U122" s="247">
        <f t="shared" si="32"/>
        <v>0.54407625405793358</v>
      </c>
      <c r="V122" s="378">
        <f t="shared" si="33"/>
        <v>56.29841899687051</v>
      </c>
      <c r="W122" s="397">
        <f t="shared" si="34"/>
        <v>35.464939434864377</v>
      </c>
      <c r="X122" s="153">
        <f t="shared" si="35"/>
        <v>45034</v>
      </c>
      <c r="Y122" s="380">
        <f t="shared" si="36"/>
        <v>35.464939434864377</v>
      </c>
      <c r="Z122" s="380">
        <f t="shared" si="37"/>
        <v>35.714382718591288</v>
      </c>
      <c r="AA122" s="381">
        <f t="shared" si="38"/>
        <v>36.821063418221904</v>
      </c>
      <c r="AB122" s="193">
        <f t="shared" si="39"/>
        <v>45034</v>
      </c>
      <c r="AC122" s="420">
        <f>IF(OR(t&lt;Tnet,NoTnet),'2022'!Resal_s+('2022'!Salim-'2022'!Resal_s)*(1-EXP(('2022'!Tnet_s-t)/'2022'!Tau_j)),Resal_s+(Salim-Resal_s)*(1-EXP((Tnet_s-t)/Tau_j)))*Salcycl</f>
        <v>3.0055641985694152E-2</v>
      </c>
      <c r="AD122" s="227">
        <f>(INDEX(Models!$BJ122:$BT122,,AH122)*(1-AF122)+INDEX(Models!$BJ122:$BT122,,AH122+1)*AF122-ERP_i)*AE122*Ramure*Pc/MaxiM</f>
        <v>1.3727130807682219E-5</v>
      </c>
      <c r="AE122" s="301">
        <f t="shared" si="40"/>
        <v>0.5</v>
      </c>
      <c r="AF122" s="173">
        <f t="shared" si="41"/>
        <v>0.54407625405793358</v>
      </c>
      <c r="AG122" s="172">
        <f t="shared" si="42"/>
        <v>0</v>
      </c>
      <c r="AH122" s="172">
        <f t="shared" si="43"/>
        <v>6</v>
      </c>
      <c r="AI122" s="221">
        <f t="shared" si="44"/>
        <v>0.54407625405793358</v>
      </c>
      <c r="AJ122" s="261" t="b">
        <f t="shared" si="45"/>
        <v>1</v>
      </c>
      <c r="AK122" s="261" t="b">
        <f t="shared" si="46"/>
        <v>0</v>
      </c>
      <c r="AL122" s="261"/>
      <c r="AM122" s="261"/>
      <c r="AN122" s="261"/>
    </row>
    <row r="123" spans="1:40" s="18" customFormat="1" ht="11.25" x14ac:dyDescent="0.2">
      <c r="A123" s="56">
        <f t="shared" si="47"/>
        <v>45035</v>
      </c>
      <c r="B123" s="406">
        <f>'2022'!Wh/'2022'!Env_an*'2023'!Env_an</f>
        <v>11.668380989484961</v>
      </c>
      <c r="C123" s="385"/>
      <c r="D123" s="388">
        <f t="shared" si="25"/>
        <v>11.750611611184839</v>
      </c>
      <c r="E123" s="380">
        <f t="shared" si="48"/>
        <v>12.115433546906941</v>
      </c>
      <c r="F123" s="380">
        <f t="shared" si="26"/>
        <v>12.115433546906941</v>
      </c>
      <c r="G123" s="110">
        <f t="shared" si="49"/>
        <v>0.20624221931661971</v>
      </c>
      <c r="H123" s="409" t="b">
        <f>Wh_hp&gt;='2022'!Maxi_hp</f>
        <v>0</v>
      </c>
      <c r="I123" s="385">
        <f>IF(H123,Wh_hp,'2022'!Maxi_hp)</f>
        <v>12.115576343034617</v>
      </c>
      <c r="J123" s="85">
        <f>IF(H123,An,'2022'!An_max)</f>
        <v>2022</v>
      </c>
      <c r="K123" s="193">
        <f t="shared" si="27"/>
        <v>45035</v>
      </c>
      <c r="L123" s="143">
        <f>IF(t&lt;Tvie,1-EXP((T0-t)*PertePVj)+'2022'!Pspv,1-EXP((T0-t)*PertePVj)+Pspv)</f>
        <v>6.9979865236637906E-3</v>
      </c>
      <c r="M123" s="836"/>
      <c r="N123" s="836"/>
      <c r="O123" s="48">
        <f>IF(t&lt;Tnet,'2022'!Resal+('2022'!Salim-'2022'!Resal)*(1-EXP(('2022'!Tnet-t)/('2022'!Tau_j))),Resal+(Salim-Resal)*(1-EXP((Tnet-t)/(Tau_j))))*Salcycl</f>
        <v>3.0112165141233539E-2</v>
      </c>
      <c r="P123" s="165">
        <f>(INDEX(Models!$BJ123:$BT123,,T123)*(1-R123)+INDEX(Models!$BJ123:$BT123,,T123+1)*R123-ERP_i)*Q123*Ramure*Pc/MaxiM</f>
        <v>1.2987563816680944E-5</v>
      </c>
      <c r="Q123" s="301">
        <f t="shared" si="28"/>
        <v>0.5</v>
      </c>
      <c r="R123" s="173">
        <f t="shared" si="29"/>
        <v>0.54598830714257041</v>
      </c>
      <c r="S123" s="802">
        <f t="shared" si="30"/>
        <v>0</v>
      </c>
      <c r="T123" s="172">
        <f t="shared" si="31"/>
        <v>6</v>
      </c>
      <c r="U123" s="247">
        <f t="shared" si="32"/>
        <v>0.54598830714257041</v>
      </c>
      <c r="V123" s="378">
        <f t="shared" si="33"/>
        <v>56.57536795475103</v>
      </c>
      <c r="W123" s="397">
        <f t="shared" si="34"/>
        <v>11.668380989484961</v>
      </c>
      <c r="X123" s="153">
        <f t="shared" si="35"/>
        <v>45035</v>
      </c>
      <c r="Y123" s="380">
        <f t="shared" si="36"/>
        <v>11.668380989484961</v>
      </c>
      <c r="Z123" s="380">
        <f t="shared" si="37"/>
        <v>11.750611611184839</v>
      </c>
      <c r="AA123" s="381">
        <f t="shared" si="38"/>
        <v>12.115433546906941</v>
      </c>
      <c r="AB123" s="193">
        <f t="shared" si="39"/>
        <v>45035</v>
      </c>
      <c r="AC123" s="420">
        <f>IF(OR(t&lt;Tnet,NoTnet),'2022'!Resal_s+('2022'!Salim-'2022'!Resal_s)*(1-EXP(('2022'!Tnet_s-t)/'2022'!Tau_j)),Resal_s+(Salim-Resal_s)*(1-EXP((Tnet_s-t)/Tau_j)))*Salcycl</f>
        <v>3.0112165141233539E-2</v>
      </c>
      <c r="AD123" s="227">
        <f>(INDEX(Models!$BJ123:$BT123,,AH123)*(1-AF123)+INDEX(Models!$BJ123:$BT123,,AH123+1)*AF123-ERP_i)*AE123*Ramure*Pc/MaxiM</f>
        <v>1.2987563816680944E-5</v>
      </c>
      <c r="AE123" s="301">
        <f t="shared" si="40"/>
        <v>0.5</v>
      </c>
      <c r="AF123" s="173">
        <f t="shared" si="41"/>
        <v>0.54598830714257041</v>
      </c>
      <c r="AG123" s="172">
        <f t="shared" si="42"/>
        <v>0</v>
      </c>
      <c r="AH123" s="172">
        <f t="shared" si="43"/>
        <v>6</v>
      </c>
      <c r="AI123" s="221">
        <f t="shared" si="44"/>
        <v>0.54598830714257041</v>
      </c>
      <c r="AJ123" s="261" t="b">
        <f t="shared" si="45"/>
        <v>1</v>
      </c>
      <c r="AK123" s="261" t="b">
        <f t="shared" si="46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7"/>
        <v>45036</v>
      </c>
      <c r="B124" s="406">
        <f>'2022'!Wh/'2022'!Env_an*'2023'!Env_an</f>
        <v>11.692878560227467</v>
      </c>
      <c r="C124" s="385"/>
      <c r="D124" s="388">
        <f t="shared" si="25"/>
        <v>11.775443019668732</v>
      </c>
      <c r="E124" s="380">
        <f t="shared" si="48"/>
        <v>12.141748604327214</v>
      </c>
      <c r="F124" s="380">
        <f t="shared" si="26"/>
        <v>12.141748604327214</v>
      </c>
      <c r="G124" s="110">
        <f t="shared" si="49"/>
        <v>0.20569849553660807</v>
      </c>
      <c r="H124" s="409" t="b">
        <f>Wh_hp&gt;='2022'!Maxi_hp</f>
        <v>0</v>
      </c>
      <c r="I124" s="385">
        <f>IF(H124,Wh_hp,'2022'!Maxi_hp)</f>
        <v>12.141883816288592</v>
      </c>
      <c r="J124" s="85">
        <f>IF(H124,An,'2022'!An_max)</f>
        <v>2022</v>
      </c>
      <c r="K124" s="193">
        <f t="shared" si="27"/>
        <v>45036</v>
      </c>
      <c r="L124" s="143">
        <f>IF(t&lt;Tvie,1-EXP((T0-t)*PertePVj)+'2022'!Pspv,1-EXP((T0-t)*PertePVj)+Pspv)</f>
        <v>7.0115798873432444E-3</v>
      </c>
      <c r="M124" s="836"/>
      <c r="N124" s="836"/>
      <c r="O124" s="48">
        <f>IF(t&lt;Tnet,'2022'!Resal+('2022'!Salim-'2022'!Resal)*(1-EXP(('2022'!Tnet-t)/('2022'!Tau_j))),Resal+(Salim-Resal)*(1-EXP((Tnet-t)/(Tau_j))))*Salcycl</f>
        <v>3.0169096445295591E-2</v>
      </c>
      <c r="P124" s="165">
        <f>(INDEX(Models!$BJ124:$BT124,,T124)*(1-R124)+INDEX(Models!$BJ124:$BT124,,T124+1)*R124-ERP_i)*Q124*Ramure*Pc/MaxiM</f>
        <v>1.2315651654732601E-5</v>
      </c>
      <c r="Q124" s="301">
        <f t="shared" si="28"/>
        <v>0.5</v>
      </c>
      <c r="R124" s="173">
        <f t="shared" si="29"/>
        <v>0.54796336187123962</v>
      </c>
      <c r="S124" s="802">
        <f t="shared" si="30"/>
        <v>0</v>
      </c>
      <c r="T124" s="172">
        <f t="shared" si="31"/>
        <v>6</v>
      </c>
      <c r="U124" s="247">
        <f t="shared" si="32"/>
        <v>0.54796336187123962</v>
      </c>
      <c r="V124" s="378">
        <f t="shared" si="33"/>
        <v>56.844045087958982</v>
      </c>
      <c r="W124" s="397">
        <f t="shared" si="34"/>
        <v>11.692878560227467</v>
      </c>
      <c r="X124" s="153">
        <f t="shared" si="35"/>
        <v>45036</v>
      </c>
      <c r="Y124" s="380">
        <f t="shared" si="36"/>
        <v>11.692878560227467</v>
      </c>
      <c r="Z124" s="380">
        <f t="shared" si="37"/>
        <v>11.775443019668732</v>
      </c>
      <c r="AA124" s="381">
        <f t="shared" si="38"/>
        <v>12.141748604327214</v>
      </c>
      <c r="AB124" s="193">
        <f t="shared" si="39"/>
        <v>45036</v>
      </c>
      <c r="AC124" s="420">
        <f>IF(OR(t&lt;Tnet,NoTnet),'2022'!Resal_s+('2022'!Salim-'2022'!Resal_s)*(1-EXP(('2022'!Tnet_s-t)/'2022'!Tau_j)),Resal_s+(Salim-Resal_s)*(1-EXP((Tnet_s-t)/Tau_j)))*Salcycl</f>
        <v>3.0169096445295591E-2</v>
      </c>
      <c r="AD124" s="227">
        <f>(INDEX(Models!$BJ124:$BT124,,AH124)*(1-AF124)+INDEX(Models!$BJ124:$BT124,,AH124+1)*AF124-ERP_i)*AE124*Ramure*Pc/MaxiM</f>
        <v>1.2315651654732601E-5</v>
      </c>
      <c r="AE124" s="301">
        <f t="shared" si="40"/>
        <v>0.5</v>
      </c>
      <c r="AF124" s="173">
        <f t="shared" si="41"/>
        <v>0.54796336187123962</v>
      </c>
      <c r="AG124" s="172">
        <f t="shared" si="42"/>
        <v>0</v>
      </c>
      <c r="AH124" s="172">
        <f t="shared" si="43"/>
        <v>6</v>
      </c>
      <c r="AI124" s="221">
        <f t="shared" si="44"/>
        <v>0.54796336187123962</v>
      </c>
      <c r="AJ124" s="261" t="b">
        <f t="shared" si="45"/>
        <v>1</v>
      </c>
      <c r="AK124" s="261" t="b">
        <f t="shared" si="46"/>
        <v>0</v>
      </c>
      <c r="AL124" s="261"/>
      <c r="AM124" s="261"/>
      <c r="AN124" s="75"/>
    </row>
    <row r="125" spans="1:40" s="6" customFormat="1" ht="11.25" x14ac:dyDescent="0.2">
      <c r="A125" s="56">
        <f t="shared" si="47"/>
        <v>45037</v>
      </c>
      <c r="B125" s="406">
        <f>'2022'!Wh/'2022'!Env_an*'2023'!Env_an</f>
        <v>11.223054971282398</v>
      </c>
      <c r="C125" s="385"/>
      <c r="D125" s="388">
        <f t="shared" si="25"/>
        <v>11.302456685557438</v>
      </c>
      <c r="E125" s="380">
        <f t="shared" si="48"/>
        <v>11.654737928965195</v>
      </c>
      <c r="F125" s="380">
        <f t="shared" si="26"/>
        <v>11.654737928965195</v>
      </c>
      <c r="G125" s="110">
        <f t="shared" si="49"/>
        <v>0.19653252768899632</v>
      </c>
      <c r="H125" s="409" t="b">
        <f>Wh_hp&gt;='2022'!Maxi_hp</f>
        <v>0</v>
      </c>
      <c r="I125" s="385">
        <f>IF(H125,Wh_hp,'2022'!Maxi_hp)</f>
        <v>11.654860886678643</v>
      </c>
      <c r="J125" s="85">
        <f>IF(H125,An,'2022'!An_max)</f>
        <v>2022</v>
      </c>
      <c r="K125" s="193">
        <f t="shared" si="27"/>
        <v>45037</v>
      </c>
      <c r="L125" s="143">
        <f>IF(t&lt;Tvie,1-EXP((T0-t)*PertePVj)+'2022'!Pspv,1-EXP((T0-t)*PertePVj)+Pspv)</f>
        <v>7.0251730649408817E-3</v>
      </c>
      <c r="M125" s="836"/>
      <c r="N125" s="836"/>
      <c r="O125" s="48">
        <f>IF(t&lt;Tnet,'2022'!Resal+('2022'!Salim-'2022'!Resal)*(1-EXP(('2022'!Tnet-t)/('2022'!Tau_j))),Resal+(Salim-Resal)*(1-EXP((Tnet-t)/(Tau_j))))*Salcycl</f>
        <v>3.0226440573343293E-2</v>
      </c>
      <c r="P125" s="165">
        <f>(INDEX(Models!$BJ125:$BT125,,T125)*(1-R125)+INDEX(Models!$BJ125:$BT125,,T125+1)*R125-ERP_i)*Q125*Ramure*Pc/MaxiM</f>
        <v>1.1711113006140331E-5</v>
      </c>
      <c r="Q125" s="301">
        <f t="shared" si="28"/>
        <v>0.5</v>
      </c>
      <c r="R125" s="173">
        <f t="shared" si="29"/>
        <v>0.5500028329367127</v>
      </c>
      <c r="S125" s="802">
        <f t="shared" si="30"/>
        <v>0</v>
      </c>
      <c r="T125" s="172">
        <f t="shared" si="31"/>
        <v>6</v>
      </c>
      <c r="U125" s="247">
        <f t="shared" si="32"/>
        <v>0.5500028329367127</v>
      </c>
      <c r="V125" s="378">
        <f t="shared" si="33"/>
        <v>57.104661853111239</v>
      </c>
      <c r="W125" s="397">
        <f t="shared" si="34"/>
        <v>11.223054971282398</v>
      </c>
      <c r="X125" s="153">
        <f t="shared" si="35"/>
        <v>45037</v>
      </c>
      <c r="Y125" s="380">
        <f t="shared" si="36"/>
        <v>11.223054971282398</v>
      </c>
      <c r="Z125" s="380">
        <f t="shared" si="37"/>
        <v>11.302456685557438</v>
      </c>
      <c r="AA125" s="381">
        <f t="shared" si="38"/>
        <v>11.654737928965195</v>
      </c>
      <c r="AB125" s="193">
        <f t="shared" si="39"/>
        <v>45037</v>
      </c>
      <c r="AC125" s="420">
        <f>IF(OR(t&lt;Tnet,NoTnet),'2022'!Resal_s+('2022'!Salim-'2022'!Resal_s)*(1-EXP(('2022'!Tnet_s-t)/'2022'!Tau_j)),Resal_s+(Salim-Resal_s)*(1-EXP((Tnet_s-t)/Tau_j)))*Salcycl</f>
        <v>3.0226440573343293E-2</v>
      </c>
      <c r="AD125" s="227">
        <f>(INDEX(Models!$BJ125:$BT125,,AH125)*(1-AF125)+INDEX(Models!$BJ125:$BT125,,AH125+1)*AF125-ERP_i)*AE125*Ramure*Pc/MaxiM</f>
        <v>1.1711113006140331E-5</v>
      </c>
      <c r="AE125" s="301">
        <f t="shared" si="40"/>
        <v>0.5</v>
      </c>
      <c r="AF125" s="173">
        <f t="shared" si="41"/>
        <v>0.5500028329367127</v>
      </c>
      <c r="AG125" s="172">
        <f t="shared" si="42"/>
        <v>0</v>
      </c>
      <c r="AH125" s="172">
        <f t="shared" si="43"/>
        <v>6</v>
      </c>
      <c r="AI125" s="221">
        <f t="shared" si="44"/>
        <v>0.5500028329367127</v>
      </c>
      <c r="AJ125" s="261" t="b">
        <f t="shared" si="45"/>
        <v>1</v>
      </c>
      <c r="AK125" s="261" t="b">
        <f t="shared" si="46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7"/>
        <v>45038</v>
      </c>
      <c r="B126" s="406">
        <f>'2022'!Wh/'2022'!Env_an*'2023'!Env_an</f>
        <v>29.852391680087898</v>
      </c>
      <c r="C126" s="385"/>
      <c r="D126" s="388">
        <f t="shared" si="25"/>
        <v>30.064005179264928</v>
      </c>
      <c r="E126" s="380">
        <f t="shared" si="48"/>
        <v>31.002903354248065</v>
      </c>
      <c r="F126" s="380">
        <f t="shared" si="26"/>
        <v>31.003012458822202</v>
      </c>
      <c r="G126" s="110">
        <f t="shared" si="49"/>
        <v>0.52045852346643362</v>
      </c>
      <c r="H126" s="409" t="b">
        <f>Wh_hp&gt;='2022'!Maxi_hp</f>
        <v>0</v>
      </c>
      <c r="I126" s="385">
        <f>IF(H126,Wh_hp,'2022'!Maxi_hp)</f>
        <v>31.003225427552021</v>
      </c>
      <c r="J126" s="85">
        <f>IF(H126,An,'2022'!An_max)</f>
        <v>2022</v>
      </c>
      <c r="K126" s="193">
        <f t="shared" si="27"/>
        <v>45038</v>
      </c>
      <c r="L126" s="143">
        <f>IF(t&lt;Tvie,1-EXP((T0-t)*PertePVj)+'2022'!Pspv,1-EXP((T0-t)*PertePVj)+Pspv)</f>
        <v>7.0387660564593668E-3</v>
      </c>
      <c r="M126" s="836"/>
      <c r="N126" s="836"/>
      <c r="O126" s="48">
        <f>IF(t&lt;Tnet,'2022'!Resal+('2022'!Salim-'2022'!Resal)*(1-EXP(('2022'!Tnet-t)/('2022'!Tau_j))),Resal+(Salim-Resal)*(1-EXP((Tnet-t)/(Tau_j))))*Salcycl</f>
        <v>3.0284201587671155E-2</v>
      </c>
      <c r="P126" s="165">
        <f>(INDEX(Models!$BJ126:$BT126,,T126)*(1-R126)+INDEX(Models!$BJ126:$BT126,,T126+1)*R126-ERP_i)*Q126*Ramure*Pc/MaxiM</f>
        <v>1.1173837754397103E-5</v>
      </c>
      <c r="Q126" s="301">
        <f t="shared" si="28"/>
        <v>0.5</v>
      </c>
      <c r="R126" s="173">
        <f t="shared" si="29"/>
        <v>0.55210811648359515</v>
      </c>
      <c r="S126" s="802">
        <f t="shared" si="30"/>
        <v>0</v>
      </c>
      <c r="T126" s="172">
        <f t="shared" si="31"/>
        <v>6</v>
      </c>
      <c r="U126" s="247">
        <f t="shared" si="32"/>
        <v>0.55210811648359515</v>
      </c>
      <c r="V126" s="378">
        <f t="shared" si="33"/>
        <v>57.357429694938681</v>
      </c>
      <c r="W126" s="397">
        <f t="shared" si="34"/>
        <v>29.852391680087898</v>
      </c>
      <c r="X126" s="153">
        <f t="shared" si="35"/>
        <v>45038</v>
      </c>
      <c r="Y126" s="380">
        <f t="shared" si="36"/>
        <v>29.852391680087898</v>
      </c>
      <c r="Z126" s="380">
        <f t="shared" si="37"/>
        <v>30.064005179264928</v>
      </c>
      <c r="AA126" s="381">
        <f t="shared" si="38"/>
        <v>31.002903354248065</v>
      </c>
      <c r="AB126" s="193">
        <f t="shared" si="39"/>
        <v>45038</v>
      </c>
      <c r="AC126" s="420">
        <f>IF(OR(t&lt;Tnet,NoTnet),'2022'!Resal_s+('2022'!Salim-'2022'!Resal_s)*(1-EXP(('2022'!Tnet_s-t)/'2022'!Tau_j)),Resal_s+(Salim-Resal_s)*(1-EXP((Tnet_s-t)/Tau_j)))*Salcycl</f>
        <v>3.0284201587671155E-2</v>
      </c>
      <c r="AD126" s="227">
        <f>(INDEX(Models!$BJ126:$BT126,,AH126)*(1-AF126)+INDEX(Models!$BJ126:$BT126,,AH126+1)*AF126-ERP_i)*AE126*Ramure*Pc/MaxiM</f>
        <v>1.1173837754397103E-5</v>
      </c>
      <c r="AE126" s="301">
        <f t="shared" si="40"/>
        <v>0.5</v>
      </c>
      <c r="AF126" s="173">
        <f t="shared" si="41"/>
        <v>0.55210811648359515</v>
      </c>
      <c r="AG126" s="172">
        <f t="shared" si="42"/>
        <v>0</v>
      </c>
      <c r="AH126" s="172">
        <f t="shared" si="43"/>
        <v>6</v>
      </c>
      <c r="AI126" s="221">
        <f t="shared" si="44"/>
        <v>0.55210811648359515</v>
      </c>
      <c r="AJ126" s="261" t="b">
        <f t="shared" si="45"/>
        <v>1</v>
      </c>
      <c r="AK126" s="261" t="b">
        <f t="shared" si="46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7"/>
        <v>45039</v>
      </c>
      <c r="B127" s="406">
        <f>'2022'!Wh/'2022'!Env_an*'2023'!Env_an</f>
        <v>9.800741041617469</v>
      </c>
      <c r="C127" s="385"/>
      <c r="D127" s="388">
        <f t="shared" si="25"/>
        <v>9.8703502939833108</v>
      </c>
      <c r="E127" s="380">
        <f t="shared" si="48"/>
        <v>10.179211837240283</v>
      </c>
      <c r="F127" s="380">
        <f t="shared" si="26"/>
        <v>10.179211837240283</v>
      </c>
      <c r="G127" s="110">
        <f t="shared" si="49"/>
        <v>0.17014237091936696</v>
      </c>
      <c r="H127" s="409" t="b">
        <f>Wh_hp&gt;='2022'!Maxi_hp</f>
        <v>0</v>
      </c>
      <c r="I127" s="385">
        <f>IF(H127,Wh_hp,'2022'!Maxi_hp)</f>
        <v>10.179309228480937</v>
      </c>
      <c r="J127" s="85">
        <f>IF(H127,An,'2022'!An_max)</f>
        <v>2022</v>
      </c>
      <c r="K127" s="193">
        <f t="shared" si="27"/>
        <v>45039</v>
      </c>
      <c r="L127" s="143">
        <f>IF(t&lt;Tvie,1-EXP((T0-t)*PertePVj)+'2022'!Pspv,1-EXP((T0-t)*PertePVj)+Pspv)</f>
        <v>7.0523588619011424E-3</v>
      </c>
      <c r="M127" s="836"/>
      <c r="N127" s="836"/>
      <c r="O127" s="48">
        <f>IF(t&lt;Tnet,'2022'!Resal+('2022'!Salim-'2022'!Resal)*(1-EXP(('2022'!Tnet-t)/('2022'!Tau_j))),Resal+(Salim-Resal)*(1-EXP((Tnet-t)/(Tau_j))))*Salcycl</f>
        <v>3.0342382906996038E-2</v>
      </c>
      <c r="P127" s="165">
        <f>(INDEX(Models!$BJ127:$BT127,,T127)*(1-R127)+INDEX(Models!$BJ127:$BT127,,T127+1)*R127-ERP_i)*Q127*Ramure*Pc/MaxiM</f>
        <v>1.0703860223428562E-5</v>
      </c>
      <c r="Q127" s="301">
        <f t="shared" si="28"/>
        <v>0.5</v>
      </c>
      <c r="R127" s="173">
        <f t="shared" si="29"/>
        <v>0.5542805854876286</v>
      </c>
      <c r="S127" s="802">
        <f t="shared" si="30"/>
        <v>0</v>
      </c>
      <c r="T127" s="172">
        <f t="shared" si="31"/>
        <v>6</v>
      </c>
      <c r="U127" s="247">
        <f t="shared" si="32"/>
        <v>0.5542805854876286</v>
      </c>
      <c r="V127" s="378">
        <f t="shared" si="33"/>
        <v>57.602560037792962</v>
      </c>
      <c r="W127" s="397">
        <f t="shared" si="34"/>
        <v>9.800741041617469</v>
      </c>
      <c r="X127" s="153">
        <f t="shared" si="35"/>
        <v>45039</v>
      </c>
      <c r="Y127" s="380">
        <f t="shared" si="36"/>
        <v>9.800741041617469</v>
      </c>
      <c r="Z127" s="380">
        <f t="shared" si="37"/>
        <v>9.8703502939833108</v>
      </c>
      <c r="AA127" s="381">
        <f t="shared" si="38"/>
        <v>10.179211837240283</v>
      </c>
      <c r="AB127" s="193">
        <f t="shared" si="39"/>
        <v>45039</v>
      </c>
      <c r="AC127" s="420">
        <f>IF(OR(t&lt;Tnet,NoTnet),'2022'!Resal_s+('2022'!Salim-'2022'!Resal_s)*(1-EXP(('2022'!Tnet_s-t)/'2022'!Tau_j)),Resal_s+(Salim-Resal_s)*(1-EXP((Tnet_s-t)/Tau_j)))*Salcycl</f>
        <v>3.0342382906996038E-2</v>
      </c>
      <c r="AD127" s="227">
        <f>(INDEX(Models!$BJ127:$BT127,,AH127)*(1-AF127)+INDEX(Models!$BJ127:$BT127,,AH127+1)*AF127-ERP_i)*AE127*Ramure*Pc/MaxiM</f>
        <v>1.0703860223428562E-5</v>
      </c>
      <c r="AE127" s="301">
        <f t="shared" si="40"/>
        <v>0.5</v>
      </c>
      <c r="AF127" s="173">
        <f t="shared" si="41"/>
        <v>0.5542805854876286</v>
      </c>
      <c r="AG127" s="172">
        <f t="shared" si="42"/>
        <v>0</v>
      </c>
      <c r="AH127" s="172">
        <f t="shared" si="43"/>
        <v>6</v>
      </c>
      <c r="AI127" s="221">
        <f t="shared" si="44"/>
        <v>0.5542805854876286</v>
      </c>
      <c r="AJ127" s="261" t="b">
        <f t="shared" si="45"/>
        <v>1</v>
      </c>
      <c r="AK127" s="261" t="b">
        <f t="shared" si="46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7"/>
        <v>45040</v>
      </c>
      <c r="B128" s="406">
        <f>'2022'!Wh/'2022'!Env_an*'2023'!Env_an</f>
        <v>35.141418409903331</v>
      </c>
      <c r="C128" s="385"/>
      <c r="D128" s="388">
        <f t="shared" si="25"/>
        <v>35.391492982164976</v>
      </c>
      <c r="E128" s="380">
        <f t="shared" si="48"/>
        <v>36.501164417139528</v>
      </c>
      <c r="F128" s="380">
        <f t="shared" si="26"/>
        <v>36.501329526147899</v>
      </c>
      <c r="G128" s="110">
        <f t="shared" si="49"/>
        <v>0.6075562721865857</v>
      </c>
      <c r="H128" s="409" t="b">
        <f>Wh_hp&gt;='2022'!Maxi_hp</f>
        <v>0</v>
      </c>
      <c r="I128" s="385">
        <f>IF(H128,Wh_hp,'2022'!Maxi_hp)</f>
        <v>36.501517073169801</v>
      </c>
      <c r="J128" s="85">
        <f>IF(H128,An,'2022'!An_max)</f>
        <v>2022</v>
      </c>
      <c r="K128" s="193">
        <f t="shared" si="27"/>
        <v>45040</v>
      </c>
      <c r="L128" s="143">
        <f>IF(t&lt;Tvie,1-EXP((T0-t)*PertePVj)+'2022'!Pspv,1-EXP((T0-t)*PertePVj)+Pspv)</f>
        <v>7.0659514812688728E-3</v>
      </c>
      <c r="M128" s="836"/>
      <c r="N128" s="836"/>
      <c r="O128" s="48">
        <f>IF(t&lt;Tnet,'2022'!Resal+('2022'!Salim-'2022'!Resal)*(1-EXP(('2022'!Tnet-t)/('2022'!Tau_j))),Resal+(Salim-Resal)*(1-EXP((Tnet-t)/(Tau_j))))*Salcycl</f>
        <v>3.0400987275175647E-2</v>
      </c>
      <c r="P128" s="165">
        <f>(INDEX(Models!$BJ128:$BT128,,T128)*(1-R128)+INDEX(Models!$BJ128:$BT128,,T128+1)*R128-ERP_i)*Q128*Ramure*Pc/MaxiM</f>
        <v>1.0295100383282181E-5</v>
      </c>
      <c r="Q128" s="301">
        <f t="shared" si="28"/>
        <v>0.5</v>
      </c>
      <c r="R128" s="173">
        <f t="shared" si="29"/>
        <v>0.55652158487421011</v>
      </c>
      <c r="S128" s="802">
        <f t="shared" si="30"/>
        <v>0</v>
      </c>
      <c r="T128" s="172">
        <f t="shared" si="31"/>
        <v>6</v>
      </c>
      <c r="U128" s="247">
        <f t="shared" si="32"/>
        <v>0.55652158487421011</v>
      </c>
      <c r="V128" s="378">
        <f t="shared" si="33"/>
        <v>57.840264665050121</v>
      </c>
      <c r="W128" s="397">
        <f t="shared" si="34"/>
        <v>35.141418409903331</v>
      </c>
      <c r="X128" s="153">
        <f t="shared" si="35"/>
        <v>45040</v>
      </c>
      <c r="Y128" s="380">
        <f t="shared" si="36"/>
        <v>35.141418409903331</v>
      </c>
      <c r="Z128" s="380">
        <f t="shared" si="37"/>
        <v>35.391492982164976</v>
      </c>
      <c r="AA128" s="381">
        <f t="shared" si="38"/>
        <v>36.501164417139528</v>
      </c>
      <c r="AB128" s="193">
        <f t="shared" si="39"/>
        <v>45040</v>
      </c>
      <c r="AC128" s="420">
        <f>IF(OR(t&lt;Tnet,NoTnet),'2022'!Resal_s+('2022'!Salim-'2022'!Resal_s)*(1-EXP(('2022'!Tnet_s-t)/'2022'!Tau_j)),Resal_s+(Salim-Resal_s)*(1-EXP((Tnet_s-t)/Tau_j)))*Salcycl</f>
        <v>3.0400987275175647E-2</v>
      </c>
      <c r="AD128" s="227">
        <f>(INDEX(Models!$BJ128:$BT128,,AH128)*(1-AF128)+INDEX(Models!$BJ128:$BT128,,AH128+1)*AF128-ERP_i)*AE128*Ramure*Pc/MaxiM</f>
        <v>1.0295100383282181E-5</v>
      </c>
      <c r="AE128" s="301">
        <f t="shared" si="40"/>
        <v>0.5</v>
      </c>
      <c r="AF128" s="173">
        <f t="shared" si="41"/>
        <v>0.55652158487421011</v>
      </c>
      <c r="AG128" s="172">
        <f t="shared" si="42"/>
        <v>0</v>
      </c>
      <c r="AH128" s="172">
        <f t="shared" si="43"/>
        <v>6</v>
      </c>
      <c r="AI128" s="221">
        <f t="shared" si="44"/>
        <v>0.55652158487421011</v>
      </c>
      <c r="AJ128" s="261" t="b">
        <f t="shared" si="45"/>
        <v>1</v>
      </c>
      <c r="AK128" s="261" t="b">
        <f t="shared" si="46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7"/>
        <v>45041</v>
      </c>
      <c r="B129" s="406">
        <f>'2022'!Wh/'2022'!Env_an*'2023'!Env_an</f>
        <v>46.376903504608869</v>
      </c>
      <c r="C129" s="385"/>
      <c r="D129" s="388">
        <f t="shared" si="25"/>
        <v>46.707571810383179</v>
      </c>
      <c r="E129" s="380">
        <f t="shared" si="48"/>
        <v>48.174982585876585</v>
      </c>
      <c r="F129" s="380">
        <f t="shared" si="26"/>
        <v>48.175321842861841</v>
      </c>
      <c r="G129" s="110">
        <f t="shared" si="49"/>
        <v>0.79862520735201392</v>
      </c>
      <c r="H129" s="409" t="b">
        <f>Wh_hp&gt;='2022'!Maxi_hp</f>
        <v>0</v>
      </c>
      <c r="I129" s="385">
        <f>IF(H129,Wh_hp,'2022'!Maxi_hp)</f>
        <v>48.17544330333763</v>
      </c>
      <c r="J129" s="85">
        <f>IF(H129,An,'2022'!An_max)</f>
        <v>2022</v>
      </c>
      <c r="K129" s="193">
        <f t="shared" si="27"/>
        <v>45041</v>
      </c>
      <c r="L129" s="143">
        <f>IF(t&lt;Tvie,1-EXP((T0-t)*PertePVj)+'2022'!Pspv,1-EXP((T0-t)*PertePVj)+Pspv)</f>
        <v>7.0795439145651118E-3</v>
      </c>
      <c r="M129" s="836"/>
      <c r="N129" s="836"/>
      <c r="O129" s="48">
        <f>IF(t&lt;Tnet,'2022'!Resal+('2022'!Salim-'2022'!Resal)*(1-EXP(('2022'!Tnet-t)/('2022'!Tau_j))),Resal+(Salim-Resal)*(1-EXP((Tnet-t)/(Tau_j))))*Salcycl</f>
        <v>3.0460016729172763E-2</v>
      </c>
      <c r="P129" s="165">
        <f>(INDEX(Models!$BJ129:$BT129,,T129)*(1-R129)+INDEX(Models!$BJ129:$BT129,,T129+1)*R129-ERP_i)*Q129*Ramure*Pc/MaxiM</f>
        <v>9.8861229111264856E-6</v>
      </c>
      <c r="Q129" s="301">
        <f t="shared" si="28"/>
        <v>0.5</v>
      </c>
      <c r="R129" s="173">
        <f t="shared" si="29"/>
        <v>0.55883242637917596</v>
      </c>
      <c r="S129" s="802">
        <f t="shared" si="30"/>
        <v>0</v>
      </c>
      <c r="T129" s="172">
        <f t="shared" si="31"/>
        <v>6</v>
      </c>
      <c r="U129" s="247">
        <f t="shared" si="32"/>
        <v>0.55883242637917596</v>
      </c>
      <c r="V129" s="378">
        <f t="shared" si="33"/>
        <v>58.070758575186822</v>
      </c>
      <c r="W129" s="397">
        <f t="shared" si="34"/>
        <v>46.376903504608869</v>
      </c>
      <c r="X129" s="153">
        <f t="shared" si="35"/>
        <v>45041</v>
      </c>
      <c r="Y129" s="380">
        <f t="shared" si="36"/>
        <v>46.376903504608869</v>
      </c>
      <c r="Z129" s="380">
        <f t="shared" si="37"/>
        <v>46.707571810383179</v>
      </c>
      <c r="AA129" s="381">
        <f t="shared" si="38"/>
        <v>48.174982585876585</v>
      </c>
      <c r="AB129" s="193">
        <f t="shared" si="39"/>
        <v>45041</v>
      </c>
      <c r="AC129" s="420">
        <f>IF(OR(t&lt;Tnet,NoTnet),'2022'!Resal_s+('2022'!Salim-'2022'!Resal_s)*(1-EXP(('2022'!Tnet_s-t)/'2022'!Tau_j)),Resal_s+(Salim-Resal_s)*(1-EXP((Tnet_s-t)/Tau_j)))*Salcycl</f>
        <v>3.0460016729172763E-2</v>
      </c>
      <c r="AD129" s="227">
        <f>(INDEX(Models!$BJ129:$BT129,,AH129)*(1-AF129)+INDEX(Models!$BJ129:$BT129,,AH129+1)*AF129-ERP_i)*AE129*Ramure*Pc/MaxiM</f>
        <v>9.8861229111264856E-6</v>
      </c>
      <c r="AE129" s="301">
        <f t="shared" si="40"/>
        <v>0.5</v>
      </c>
      <c r="AF129" s="173">
        <f t="shared" si="41"/>
        <v>0.55883242637917596</v>
      </c>
      <c r="AG129" s="172">
        <f t="shared" si="42"/>
        <v>0</v>
      </c>
      <c r="AH129" s="172">
        <f t="shared" si="43"/>
        <v>6</v>
      </c>
      <c r="AI129" s="221">
        <f t="shared" si="44"/>
        <v>0.55883242637917596</v>
      </c>
      <c r="AJ129" s="261" t="b">
        <f t="shared" si="45"/>
        <v>1</v>
      </c>
      <c r="AK129" s="261" t="b">
        <f t="shared" si="46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7"/>
        <v>45042</v>
      </c>
      <c r="B130" s="406">
        <f>'2022'!Wh/'2022'!Env_an*'2023'!Env_an</f>
        <v>57.905079569638907</v>
      </c>
      <c r="C130" s="385"/>
      <c r="D130" s="388">
        <f t="shared" si="25"/>
        <v>58.318742349911311</v>
      </c>
      <c r="E130" s="380">
        <f t="shared" si="48"/>
        <v>60.154629927733673</v>
      </c>
      <c r="F130" s="380">
        <f t="shared" si="26"/>
        <v>60.155194542770893</v>
      </c>
      <c r="G130" s="110">
        <f t="shared" si="49"/>
        <v>0.99332388839006236</v>
      </c>
      <c r="H130" s="409" t="b">
        <f>Wh_hp&gt;='2022'!Maxi_hp</f>
        <v>0</v>
      </c>
      <c r="I130" s="385">
        <f>IF(H130,Wh_hp,'2022'!Maxi_hp)</f>
        <v>60.155199341869753</v>
      </c>
      <c r="J130" s="85">
        <f>IF(H130,An,'2022'!An_max)</f>
        <v>2022</v>
      </c>
      <c r="K130" s="193">
        <f t="shared" si="27"/>
        <v>45042</v>
      </c>
      <c r="L130" s="143">
        <f>IF(t&lt;Tvie,1-EXP((T0-t)*PertePVj)+'2022'!Pspv,1-EXP((T0-t)*PertePVj)+Pspv)</f>
        <v>7.0931361617923017E-3</v>
      </c>
      <c r="M130" s="836"/>
      <c r="N130" s="836"/>
      <c r="O130" s="48">
        <f>IF(t&lt;Tnet,'2022'!Resal+('2022'!Salim-'2022'!Resal)*(1-EXP(('2022'!Tnet-t)/('2022'!Tau_j))),Resal+(Salim-Resal)*(1-EXP((Tnet-t)/(Tau_j))))*Salcycl</f>
        <v>3.0519472566415688E-2</v>
      </c>
      <c r="P130" s="165">
        <f>(INDEX(Models!$BJ130:$BT130,,T130)*(1-R130)+INDEX(Models!$BJ130:$BT130,,T130+1)*R130-ERP_i)*Q130*Ramure*Pc/MaxiM</f>
        <v>9.4763506962441482E-6</v>
      </c>
      <c r="Q130" s="301">
        <f t="shared" si="28"/>
        <v>0.5</v>
      </c>
      <c r="R130" s="173">
        <f t="shared" si="29"/>
        <v>0.56121438315703487</v>
      </c>
      <c r="S130" s="802">
        <f t="shared" si="30"/>
        <v>0</v>
      </c>
      <c r="T130" s="172">
        <f t="shared" si="31"/>
        <v>6</v>
      </c>
      <c r="U130" s="247">
        <f t="shared" si="32"/>
        <v>0.56121438315703487</v>
      </c>
      <c r="V130" s="378">
        <f t="shared" si="33"/>
        <v>58.29425327736498</v>
      </c>
      <c r="W130" s="397">
        <f t="shared" si="34"/>
        <v>57.905079569638907</v>
      </c>
      <c r="X130" s="153">
        <f t="shared" si="35"/>
        <v>45042</v>
      </c>
      <c r="Y130" s="380">
        <f t="shared" si="36"/>
        <v>57.905079569638907</v>
      </c>
      <c r="Z130" s="380">
        <f t="shared" si="37"/>
        <v>58.318742349911311</v>
      </c>
      <c r="AA130" s="381">
        <f t="shared" si="38"/>
        <v>60.154629927733673</v>
      </c>
      <c r="AB130" s="193">
        <f t="shared" si="39"/>
        <v>45042</v>
      </c>
      <c r="AC130" s="420">
        <f>IF(OR(t&lt;Tnet,NoTnet),'2022'!Resal_s+('2022'!Salim-'2022'!Resal_s)*(1-EXP(('2022'!Tnet_s-t)/'2022'!Tau_j)),Resal_s+(Salim-Resal_s)*(1-EXP((Tnet_s-t)/Tau_j)))*Salcycl</f>
        <v>3.0519472566415688E-2</v>
      </c>
      <c r="AD130" s="227">
        <f>(INDEX(Models!$BJ130:$BT130,,AH130)*(1-AF130)+INDEX(Models!$BJ130:$BT130,,AH130+1)*AF130-ERP_i)*AE130*Ramure*Pc/MaxiM</f>
        <v>9.4763506962441482E-6</v>
      </c>
      <c r="AE130" s="301">
        <f t="shared" si="40"/>
        <v>0.5</v>
      </c>
      <c r="AF130" s="173">
        <f t="shared" si="41"/>
        <v>0.56121438315703487</v>
      </c>
      <c r="AG130" s="172">
        <f t="shared" si="42"/>
        <v>0</v>
      </c>
      <c r="AH130" s="172">
        <f t="shared" si="43"/>
        <v>6</v>
      </c>
      <c r="AI130" s="221">
        <f t="shared" si="44"/>
        <v>0.56121438315703487</v>
      </c>
      <c r="AJ130" s="261" t="b">
        <f t="shared" si="45"/>
        <v>1</v>
      </c>
      <c r="AK130" s="261" t="b">
        <f t="shared" si="46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7"/>
        <v>45043</v>
      </c>
      <c r="B131" s="406">
        <f>'2022'!Wh/'2022'!Env_an*'2023'!Env_an</f>
        <v>46.026669931205603</v>
      </c>
      <c r="C131" s="385"/>
      <c r="D131" s="388">
        <f t="shared" si="25"/>
        <v>46.356110207926598</v>
      </c>
      <c r="E131" s="380">
        <f t="shared" si="48"/>
        <v>47.818364981110285</v>
      </c>
      <c r="F131" s="380">
        <f t="shared" si="26"/>
        <v>47.818666336573642</v>
      </c>
      <c r="G131" s="110">
        <f t="shared" si="49"/>
        <v>0.78663112903156907</v>
      </c>
      <c r="H131" s="409" t="b">
        <f>Wh_hp&gt;='2022'!Maxi_hp</f>
        <v>0</v>
      </c>
      <c r="I131" s="385">
        <f>IF(H131,Wh_hp,'2022'!Maxi_hp)</f>
        <v>47.818782462690812</v>
      </c>
      <c r="J131" s="85">
        <f>IF(H131,An,'2022'!An_max)</f>
        <v>2022</v>
      </c>
      <c r="K131" s="193">
        <f t="shared" si="27"/>
        <v>45043</v>
      </c>
      <c r="L131" s="143">
        <f>IF(t&lt;Tvie,1-EXP((T0-t)*PertePVj)+'2022'!Pspv,1-EXP((T0-t)*PertePVj)+Pspv)</f>
        <v>7.106728222952996E-3</v>
      </c>
      <c r="M131" s="836"/>
      <c r="N131" s="836"/>
      <c r="O131" s="48">
        <f>IF(t&lt;Tnet,'2022'!Resal+('2022'!Salim-'2022'!Resal)*(1-EXP(('2022'!Tnet-t)/('2022'!Tau_j))),Resal+(Salim-Resal)*(1-EXP((Tnet-t)/(Tau_j))))*Salcycl</f>
        <v>3.0579355311736819E-2</v>
      </c>
      <c r="P131" s="165">
        <f>(INDEX(Models!$BJ131:$BT131,,T131)*(1-R131)+INDEX(Models!$BJ131:$BT131,,T131+1)*R131-ERP_i)*Q131*Ramure*Pc/MaxiM</f>
        <v>9.0652090442507127E-6</v>
      </c>
      <c r="Q131" s="301">
        <f t="shared" si="28"/>
        <v>0.5</v>
      </c>
      <c r="R131" s="173">
        <f t="shared" si="29"/>
        <v>0.56366868414416982</v>
      </c>
      <c r="S131" s="802">
        <f t="shared" si="30"/>
        <v>0</v>
      </c>
      <c r="T131" s="172">
        <f t="shared" si="31"/>
        <v>6</v>
      </c>
      <c r="U131" s="247">
        <f t="shared" si="32"/>
        <v>0.56366868414416982</v>
      </c>
      <c r="V131" s="378">
        <f t="shared" si="33"/>
        <v>58.510960286941497</v>
      </c>
      <c r="W131" s="397">
        <f t="shared" si="34"/>
        <v>46.026669931205603</v>
      </c>
      <c r="X131" s="153">
        <f t="shared" si="35"/>
        <v>45043</v>
      </c>
      <c r="Y131" s="380">
        <f t="shared" si="36"/>
        <v>46.026669931205603</v>
      </c>
      <c r="Z131" s="380">
        <f t="shared" si="37"/>
        <v>46.356110207926598</v>
      </c>
      <c r="AA131" s="381">
        <f t="shared" si="38"/>
        <v>47.818364981110285</v>
      </c>
      <c r="AB131" s="193">
        <f t="shared" si="39"/>
        <v>45043</v>
      </c>
      <c r="AC131" s="420">
        <f>IF(OR(t&lt;Tnet,NoTnet),'2022'!Resal_s+('2022'!Salim-'2022'!Resal_s)*(1-EXP(('2022'!Tnet_s-t)/'2022'!Tau_j)),Resal_s+(Salim-Resal_s)*(1-EXP((Tnet_s-t)/Tau_j)))*Salcycl</f>
        <v>3.0579355311736819E-2</v>
      </c>
      <c r="AD131" s="227">
        <f>(INDEX(Models!$BJ131:$BT131,,AH131)*(1-AF131)+INDEX(Models!$BJ131:$BT131,,AH131+1)*AF131-ERP_i)*AE131*Ramure*Pc/MaxiM</f>
        <v>9.0652090442507127E-6</v>
      </c>
      <c r="AE131" s="301">
        <f t="shared" si="40"/>
        <v>0.5</v>
      </c>
      <c r="AF131" s="173">
        <f t="shared" si="41"/>
        <v>0.56366868414416982</v>
      </c>
      <c r="AG131" s="172">
        <f t="shared" si="42"/>
        <v>0</v>
      </c>
      <c r="AH131" s="172">
        <f t="shared" si="43"/>
        <v>6</v>
      </c>
      <c r="AI131" s="221">
        <f t="shared" si="44"/>
        <v>0.56366868414416982</v>
      </c>
      <c r="AJ131" s="261" t="b">
        <f t="shared" si="45"/>
        <v>1</v>
      </c>
      <c r="AK131" s="261" t="b">
        <f t="shared" si="46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7"/>
        <v>45044</v>
      </c>
      <c r="B132" s="406">
        <f>'2022'!Wh/'2022'!Env_an*'2023'!Env_an</f>
        <v>24.538002671033812</v>
      </c>
      <c r="C132" s="385"/>
      <c r="D132" s="388">
        <f t="shared" si="25"/>
        <v>24.71397407735952</v>
      </c>
      <c r="E132" s="380">
        <f t="shared" si="48"/>
        <v>25.49513651113616</v>
      </c>
      <c r="F132" s="380">
        <f t="shared" si="26"/>
        <v>25.495173656091733</v>
      </c>
      <c r="G132" s="110">
        <f t="shared" si="49"/>
        <v>0.41787074543044561</v>
      </c>
      <c r="H132" s="409" t="b">
        <f>Wh_hp&gt;='2022'!Maxi_hp</f>
        <v>0</v>
      </c>
      <c r="I132" s="385">
        <f>IF(H132,Wh_hp,'2022'!Maxi_hp)</f>
        <v>25.495334159248106</v>
      </c>
      <c r="J132" s="85">
        <f>IF(H132,An,'2022'!An_max)</f>
        <v>2022</v>
      </c>
      <c r="K132" s="193">
        <f t="shared" si="27"/>
        <v>45044</v>
      </c>
      <c r="L132" s="143">
        <f>IF(t&lt;Tvie,1-EXP((T0-t)*PertePVj)+'2022'!Pspv,1-EXP((T0-t)*PertePVj)+Pspv)</f>
        <v>7.1203200980498593E-3</v>
      </c>
      <c r="M132" s="836"/>
      <c r="N132" s="836"/>
      <c r="O132" s="48">
        <f>IF(t&lt;Tnet,'2022'!Resal+('2022'!Salim-'2022'!Resal)*(1-EXP(('2022'!Tnet-t)/('2022'!Tau_j))),Resal+(Salim-Resal)*(1-EXP((Tnet-t)/(Tau_j))))*Salcycl</f>
        <v>3.0639664684102806E-2</v>
      </c>
      <c r="P132" s="165">
        <f>(INDEX(Models!$BJ132:$BT132,,T132)*(1-R132)+INDEX(Models!$BJ132:$BT132,,T132+1)*R132-ERP_i)*Q132*Ramure*Pc/MaxiM</f>
        <v>8.6521253100393322E-6</v>
      </c>
      <c r="Q132" s="301">
        <f t="shared" si="28"/>
        <v>0.5</v>
      </c>
      <c r="R132" s="173">
        <f t="shared" si="29"/>
        <v>0.56619650818704714</v>
      </c>
      <c r="S132" s="802">
        <f t="shared" si="30"/>
        <v>0</v>
      </c>
      <c r="T132" s="172">
        <f t="shared" si="31"/>
        <v>6</v>
      </c>
      <c r="U132" s="247">
        <f t="shared" si="32"/>
        <v>0.56619650818704714</v>
      </c>
      <c r="V132" s="378">
        <f t="shared" si="33"/>
        <v>58.721091111656094</v>
      </c>
      <c r="W132" s="397">
        <f t="shared" si="34"/>
        <v>24.538002671033812</v>
      </c>
      <c r="X132" s="153">
        <f t="shared" si="35"/>
        <v>45044</v>
      </c>
      <c r="Y132" s="380">
        <f t="shared" si="36"/>
        <v>24.538002671033812</v>
      </c>
      <c r="Z132" s="380">
        <f t="shared" si="37"/>
        <v>24.71397407735952</v>
      </c>
      <c r="AA132" s="381">
        <f t="shared" si="38"/>
        <v>25.49513651113616</v>
      </c>
      <c r="AB132" s="193">
        <f t="shared" si="39"/>
        <v>45044</v>
      </c>
      <c r="AC132" s="420">
        <f>IF(OR(t&lt;Tnet,NoTnet),'2022'!Resal_s+('2022'!Salim-'2022'!Resal_s)*(1-EXP(('2022'!Tnet_s-t)/'2022'!Tau_j)),Resal_s+(Salim-Resal_s)*(1-EXP((Tnet_s-t)/Tau_j)))*Salcycl</f>
        <v>3.0639664684102806E-2</v>
      </c>
      <c r="AD132" s="227">
        <f>(INDEX(Models!$BJ132:$BT132,,AH132)*(1-AF132)+INDEX(Models!$BJ132:$BT132,,AH132+1)*AF132-ERP_i)*AE132*Ramure*Pc/MaxiM</f>
        <v>8.6521253100393322E-6</v>
      </c>
      <c r="AE132" s="301">
        <f t="shared" si="40"/>
        <v>0.5</v>
      </c>
      <c r="AF132" s="173">
        <f t="shared" si="41"/>
        <v>0.56619650818704714</v>
      </c>
      <c r="AG132" s="172">
        <f t="shared" si="42"/>
        <v>0</v>
      </c>
      <c r="AH132" s="172">
        <f t="shared" si="43"/>
        <v>6</v>
      </c>
      <c r="AI132" s="221">
        <f t="shared" si="44"/>
        <v>0.56619650818704714</v>
      </c>
      <c r="AJ132" s="261" t="b">
        <f t="shared" si="45"/>
        <v>1</v>
      </c>
      <c r="AK132" s="261" t="b">
        <f t="shared" si="46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7"/>
        <v>45045</v>
      </c>
      <c r="B133" s="406">
        <f>'2022'!Wh/'2022'!Env_an*'2023'!Env_an</f>
        <v>44.473156236438051</v>
      </c>
      <c r="C133" s="385"/>
      <c r="D133" s="388">
        <f t="shared" si="25"/>
        <v>44.792703431422893</v>
      </c>
      <c r="E133" s="380">
        <f t="shared" si="48"/>
        <v>46.21141225194566</v>
      </c>
      <c r="F133" s="380">
        <f t="shared" si="26"/>
        <v>46.211659517881081</v>
      </c>
      <c r="G133" s="110">
        <f t="shared" si="49"/>
        <v>0.75474137657109563</v>
      </c>
      <c r="H133" s="409" t="b">
        <f>Wh_hp&gt;='2022'!Maxi_hp</f>
        <v>0</v>
      </c>
      <c r="I133" s="385">
        <f>IF(H133,Wh_hp,'2022'!Maxi_hp)</f>
        <v>46.211775667555173</v>
      </c>
      <c r="J133" s="85">
        <f>IF(H133,An,'2022'!An_max)</f>
        <v>2022</v>
      </c>
      <c r="K133" s="193">
        <f t="shared" si="27"/>
        <v>45045</v>
      </c>
      <c r="L133" s="143">
        <f>IF(t&lt;Tvie,1-EXP((T0-t)*PertePVj)+'2022'!Pspv,1-EXP((T0-t)*PertePVj)+Pspv)</f>
        <v>7.1339117870853341E-3</v>
      </c>
      <c r="M133" s="836"/>
      <c r="N133" s="836"/>
      <c r="O133" s="48">
        <f>IF(t&lt;Tnet,'2022'!Resal+('2022'!Salim-'2022'!Resal)*(1-EXP(('2022'!Tnet-t)/('2022'!Tau_j))),Resal+(Salim-Resal)*(1-EXP((Tnet-t)/(Tau_j))))*Salcycl</f>
        <v>3.0700399563379131E-2</v>
      </c>
      <c r="P133" s="165">
        <f>(INDEX(Models!$BJ133:$BT133,,T133)*(1-R133)+INDEX(Models!$BJ133:$BT133,,T133+1)*R133-ERP_i)*Q133*Ramure*Pc/MaxiM</f>
        <v>8.236528639317202E-6</v>
      </c>
      <c r="Q133" s="301">
        <f t="shared" si="28"/>
        <v>0.5</v>
      </c>
      <c r="R133" s="173">
        <f t="shared" si="29"/>
        <v>0.56879897794817924</v>
      </c>
      <c r="S133" s="802">
        <f t="shared" si="30"/>
        <v>0</v>
      </c>
      <c r="T133" s="172">
        <f t="shared" si="31"/>
        <v>6</v>
      </c>
      <c r="U133" s="247">
        <f t="shared" si="32"/>
        <v>0.56879897794817924</v>
      </c>
      <c r="V133" s="378">
        <f t="shared" si="33"/>
        <v>58.924857276348675</v>
      </c>
      <c r="W133" s="397">
        <f t="shared" si="34"/>
        <v>44.473156236438051</v>
      </c>
      <c r="X133" s="153">
        <f t="shared" si="35"/>
        <v>45045</v>
      </c>
      <c r="Y133" s="380">
        <f t="shared" si="36"/>
        <v>44.473156236438051</v>
      </c>
      <c r="Z133" s="380">
        <f t="shared" si="37"/>
        <v>44.792703431422893</v>
      </c>
      <c r="AA133" s="381">
        <f t="shared" si="38"/>
        <v>46.21141225194566</v>
      </c>
      <c r="AB133" s="193">
        <f t="shared" si="39"/>
        <v>45045</v>
      </c>
      <c r="AC133" s="420">
        <f>IF(OR(t&lt;Tnet,NoTnet),'2022'!Resal_s+('2022'!Salim-'2022'!Resal_s)*(1-EXP(('2022'!Tnet_s-t)/'2022'!Tau_j)),Resal_s+(Salim-Resal_s)*(1-EXP((Tnet_s-t)/Tau_j)))*Salcycl</f>
        <v>3.0700399563379131E-2</v>
      </c>
      <c r="AD133" s="227">
        <f>(INDEX(Models!$BJ133:$BT133,,AH133)*(1-AF133)+INDEX(Models!$BJ133:$BT133,,AH133+1)*AF133-ERP_i)*AE133*Ramure*Pc/MaxiM</f>
        <v>8.236528639317202E-6</v>
      </c>
      <c r="AE133" s="301">
        <f t="shared" si="40"/>
        <v>0.5</v>
      </c>
      <c r="AF133" s="173">
        <f t="shared" si="41"/>
        <v>0.56879897794817924</v>
      </c>
      <c r="AG133" s="172">
        <f t="shared" si="42"/>
        <v>0</v>
      </c>
      <c r="AH133" s="172">
        <f t="shared" si="43"/>
        <v>6</v>
      </c>
      <c r="AI133" s="221">
        <f t="shared" si="44"/>
        <v>0.56879897794817924</v>
      </c>
      <c r="AJ133" s="261" t="b">
        <f t="shared" si="45"/>
        <v>1</v>
      </c>
      <c r="AK133" s="261" t="b">
        <f t="shared" si="46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7"/>
        <v>45046</v>
      </c>
      <c r="B134" s="406">
        <f>'2022'!Wh/'2022'!Env_an*'2023'!Env_an</f>
        <v>45.256225025619848</v>
      </c>
      <c r="C134" s="385"/>
      <c r="D134" s="388">
        <f t="shared" si="25"/>
        <v>45.582022682712214</v>
      </c>
      <c r="E134" s="380">
        <f t="shared" si="48"/>
        <v>45.582022682712214</v>
      </c>
      <c r="F134" s="380">
        <f t="shared" si="26"/>
        <v>45.582247654216182</v>
      </c>
      <c r="G134" s="110">
        <f t="shared" si="49"/>
        <v>0.74191667529193794</v>
      </c>
      <c r="H134" s="409" t="b">
        <f>Wh_hp&gt;='2022'!Maxi_hp</f>
        <v>0</v>
      </c>
      <c r="I134" s="385">
        <f>IF(H134,Wh_hp,'2022'!Maxi_hp)</f>
        <v>45.582361552210081</v>
      </c>
      <c r="J134" s="85">
        <f>IF(H134,An,'2022'!An_max)</f>
        <v>2022</v>
      </c>
      <c r="K134" s="193">
        <f t="shared" si="27"/>
        <v>45046</v>
      </c>
      <c r="L134" s="143">
        <f>IF(t&lt;Tvie,1-EXP((T0-t)*PertePVj)+'2022'!Pspv,1-EXP((T0-t)*PertePVj)+Pspv)</f>
        <v>7.1475032900619739E-3</v>
      </c>
      <c r="M134" s="836"/>
      <c r="N134" s="836"/>
      <c r="O134" s="48">
        <f>IF(t&lt;Tnet,'2022'!Resal+('2022'!Salim-'2022'!Resal)*(1-EXP(('2022'!Tnet-t)/('2022'!Tau_j))),Resal+(Salim-Resal)*(1-EXP((Tnet-t)/(Tau_j))))*Salcycl</f>
        <v>0</v>
      </c>
      <c r="P134" s="165">
        <f>(INDEX(Models!$BJ134:$BT134,,T134)*(1-R134)+INDEX(Models!$BJ134:$BT134,,T134+1)*R134-ERP_i)*Q134*Ramure*Pc/MaxiM</f>
        <v>7.8178498333947366E-6</v>
      </c>
      <c r="Q134" s="301">
        <f t="shared" si="28"/>
        <v>0.5</v>
      </c>
      <c r="R134" s="173">
        <f t="shared" si="29"/>
        <v>0.57147715360545837</v>
      </c>
      <c r="S134" s="802">
        <f t="shared" si="30"/>
        <v>0</v>
      </c>
      <c r="T134" s="172">
        <f t="shared" si="31"/>
        <v>6</v>
      </c>
      <c r="U134" s="247">
        <f t="shared" si="32"/>
        <v>0.57147715360545837</v>
      </c>
      <c r="V134" s="378">
        <f t="shared" si="33"/>
        <v>60.998891234266793</v>
      </c>
      <c r="W134" s="397">
        <f t="shared" si="34"/>
        <v>45.256225025619848</v>
      </c>
      <c r="X134" s="153">
        <f t="shared" si="35"/>
        <v>45046</v>
      </c>
      <c r="Y134" s="380">
        <f t="shared" si="36"/>
        <v>43.864073036561088</v>
      </c>
      <c r="Z134" s="380">
        <f t="shared" si="37"/>
        <v>44.179848650142418</v>
      </c>
      <c r="AA134" s="381">
        <f t="shared" si="38"/>
        <v>45.582022682712214</v>
      </c>
      <c r="AB134" s="193">
        <f t="shared" si="39"/>
        <v>45046</v>
      </c>
      <c r="AC134" s="420">
        <f>IF(OR(t&lt;Tnet,NoTnet),'2022'!Resal_s+('2022'!Salim-'2022'!Resal_s)*(1-EXP(('2022'!Tnet_s-t)/'2022'!Tau_j)),Resal_s+(Salim-Resal_s)*(1-EXP((Tnet_s-t)/Tau_j)))*Salcycl</f>
        <v>3.0761557957400501E-2</v>
      </c>
      <c r="AD134" s="227">
        <f>(INDEX(Models!$BJ134:$BT134,,AH134)*(1-AF134)+INDEX(Models!$BJ134:$BT134,,AH134+1)*AF134-ERP_i)*AE134*Ramure*Pc/MaxiM</f>
        <v>7.8178498333947366E-6</v>
      </c>
      <c r="AE134" s="301">
        <f t="shared" si="40"/>
        <v>0.5</v>
      </c>
      <c r="AF134" s="173">
        <f t="shared" si="41"/>
        <v>0.57147715360545837</v>
      </c>
      <c r="AG134" s="172">
        <f t="shared" si="42"/>
        <v>0</v>
      </c>
      <c r="AH134" s="172">
        <f t="shared" si="43"/>
        <v>6</v>
      </c>
      <c r="AI134" s="221">
        <f t="shared" si="44"/>
        <v>0.57147715360545837</v>
      </c>
      <c r="AJ134" s="261" t="b">
        <f t="shared" si="45"/>
        <v>0</v>
      </c>
      <c r="AK134" s="261" t="b">
        <f t="shared" si="46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7"/>
        <v>45047</v>
      </c>
      <c r="B135" s="406">
        <f>'2022'!Wh/'2022'!Env_an*'2023'!Env_an</f>
        <v>51.341396063958825</v>
      </c>
      <c r="C135" s="385"/>
      <c r="D135" s="388">
        <f t="shared" si="25"/>
        <v>51.711708500821906</v>
      </c>
      <c r="E135" s="380">
        <f t="shared" si="48"/>
        <v>51.715528824203759</v>
      </c>
      <c r="F135" s="380">
        <f t="shared" si="26"/>
        <v>51.715823322467266</v>
      </c>
      <c r="G135" s="110">
        <f t="shared" si="49"/>
        <v>0.83898524302688582</v>
      </c>
      <c r="H135" s="409" t="b">
        <f>Wh_hp&gt;='2022'!Maxi_hp</f>
        <v>0</v>
      </c>
      <c r="I135" s="385">
        <f>IF(H135,Wh_hp,'2022'!Maxi_hp)</f>
        <v>51.715899228512008</v>
      </c>
      <c r="J135" s="85">
        <f>IF(H135,An,'2022'!An_max)</f>
        <v>2022</v>
      </c>
      <c r="K135" s="193">
        <f t="shared" si="27"/>
        <v>45047</v>
      </c>
      <c r="L135" s="143">
        <f>IF(t&lt;Tvie,1-EXP((T0-t)*PertePVj)+'2022'!Pspv,1-EXP((T0-t)*PertePVj)+Pspv)</f>
        <v>7.1610946069824433E-3</v>
      </c>
      <c r="M135" s="836"/>
      <c r="N135" s="836"/>
      <c r="O135" s="48">
        <f>IF(t&lt;Tnet,'2022'!Resal+('2022'!Salim-'2022'!Resal)*(1-EXP(('2022'!Tnet-t)/('2022'!Tau_j))),Resal+(Salim-Resal)*(1-EXP((Tnet-t)/(Tau_j))))*Salcycl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7.3957004159492288E-6</v>
      </c>
      <c r="Q135" s="301">
        <f t="shared" si="28"/>
        <v>0.5</v>
      </c>
      <c r="R135" s="173">
        <f t="shared" si="29"/>
        <v>0.57423202636351833</v>
      </c>
      <c r="S135" s="802">
        <f t="shared" si="30"/>
        <v>0</v>
      </c>
      <c r="T135" s="172">
        <f t="shared" si="31"/>
        <v>6</v>
      </c>
      <c r="U135" s="247">
        <f t="shared" si="32"/>
        <v>0.57423202636351833</v>
      </c>
      <c r="V135" s="378">
        <f t="shared" si="33"/>
        <v>61.194531311084447</v>
      </c>
      <c r="W135" s="397">
        <f t="shared" si="34"/>
        <v>51.341396063958825</v>
      </c>
      <c r="X135" s="153">
        <f t="shared" si="35"/>
        <v>45047</v>
      </c>
      <c r="Y135" s="380">
        <f t="shared" si="36"/>
        <v>49.762569235450549</v>
      </c>
      <c r="Z135" s="380">
        <f t="shared" si="37"/>
        <v>50.121493995797756</v>
      </c>
      <c r="AA135" s="381">
        <f t="shared" si="38"/>
        <v>51.715528824203759</v>
      </c>
      <c r="AB135" s="193">
        <f t="shared" si="39"/>
        <v>45047</v>
      </c>
      <c r="AC135" s="420">
        <f>IF(OR(t&lt;Tnet,NoTnet),'2022'!Resal_s+('2022'!Salim-'2022'!Resal_s)*(1-EXP(('2022'!Tnet_s-t)/'2022'!Tau_j)),Resal_s+(Salim-Resal_s)*(1-EXP((Tnet_s-t)/Tau_j)))*Salcycl</f>
        <v>3.0823136969643977E-2</v>
      </c>
      <c r="AD135" s="227">
        <f>(INDEX(Models!$BJ135:$BT135,,AH135)*(1-AF135)+INDEX(Models!$BJ135:$BT135,,AH135+1)*AF135-ERP_i)*AE135*Ramure*Pc/MaxiM</f>
        <v>7.3957004159492288E-6</v>
      </c>
      <c r="AE135" s="301">
        <f t="shared" si="40"/>
        <v>0.5</v>
      </c>
      <c r="AF135" s="173">
        <f t="shared" si="41"/>
        <v>0.57423202636351833</v>
      </c>
      <c r="AG135" s="172">
        <f t="shared" si="42"/>
        <v>0</v>
      </c>
      <c r="AH135" s="172">
        <f t="shared" si="43"/>
        <v>6</v>
      </c>
      <c r="AI135" s="221">
        <f t="shared" si="44"/>
        <v>0.57423202636351833</v>
      </c>
      <c r="AJ135" s="261" t="b">
        <f t="shared" si="45"/>
        <v>0</v>
      </c>
      <c r="AK135" s="261" t="b">
        <f t="shared" si="46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7"/>
        <v>45048</v>
      </c>
      <c r="B136" s="406">
        <f>'2022'!Wh/'2022'!Env_an*'2023'!Env_an</f>
        <v>32.999836146756969</v>
      </c>
      <c r="C136" s="385"/>
      <c r="D136" s="388">
        <f t="shared" si="25"/>
        <v>33.238310579622784</v>
      </c>
      <c r="E136" s="380">
        <f t="shared" si="48"/>
        <v>33.243222402609355</v>
      </c>
      <c r="F136" s="380">
        <f t="shared" si="26"/>
        <v>33.243301260015691</v>
      </c>
      <c r="G136" s="110">
        <f t="shared" si="49"/>
        <v>0.53761645737483055</v>
      </c>
      <c r="H136" s="409" t="b">
        <f>Wh_hp&gt;='2022'!Maxi_hp</f>
        <v>0</v>
      </c>
      <c r="I136" s="385">
        <f>IF(H136,Wh_hp,'2022'!Maxi_hp)</f>
        <v>33.243433014495245</v>
      </c>
      <c r="J136" s="85">
        <f>IF(H136,An,'2022'!An_max)</f>
        <v>2022</v>
      </c>
      <c r="K136" s="193">
        <f t="shared" si="27"/>
        <v>45048</v>
      </c>
      <c r="L136" s="143">
        <f>IF(t&lt;Tvie,1-EXP((T0-t)*PertePVj)+'2022'!Pspv,1-EXP((T0-t)*PertePVj)+Pspv)</f>
        <v>7.1746857378490736E-3</v>
      </c>
      <c r="M136" s="836"/>
      <c r="N136" s="836"/>
      <c r="O136" s="48">
        <f>IF(t&lt;Tnet,'2022'!Resal+('2022'!Salim-'2022'!Resal)*(1-EXP(('2022'!Tnet-t)/('2022'!Tau_j))),Resal+(Salim-Resal)*(1-EXP((Tnet-t)/(Tau_j))))*Salcycl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6.9880391780551904E-6</v>
      </c>
      <c r="Q136" s="301">
        <f t="shared" si="28"/>
        <v>0.5</v>
      </c>
      <c r="R136" s="173">
        <f t="shared" si="29"/>
        <v>0.57706451179895346</v>
      </c>
      <c r="S136" s="802">
        <f t="shared" si="30"/>
        <v>0</v>
      </c>
      <c r="T136" s="172">
        <f t="shared" si="31"/>
        <v>6</v>
      </c>
      <c r="U136" s="247">
        <f t="shared" si="32"/>
        <v>0.57706451179895346</v>
      </c>
      <c r="V136" s="378">
        <f t="shared" si="33"/>
        <v>61.381461392123541</v>
      </c>
      <c r="W136" s="397">
        <f t="shared" si="34"/>
        <v>32.999836146756969</v>
      </c>
      <c r="X136" s="153">
        <f t="shared" si="35"/>
        <v>45048</v>
      </c>
      <c r="Y136" s="380">
        <f t="shared" si="36"/>
        <v>31.98535779435943</v>
      </c>
      <c r="Z136" s="380">
        <f t="shared" si="37"/>
        <v>32.216501065074418</v>
      </c>
      <c r="AA136" s="381">
        <f t="shared" si="38"/>
        <v>33.243222402609355</v>
      </c>
      <c r="AB136" s="193">
        <f t="shared" si="39"/>
        <v>45048</v>
      </c>
      <c r="AC136" s="420">
        <f>IF(OR(t&lt;Tnet,NoTnet),'2022'!Resal_s+('2022'!Salim-'2022'!Resal_s)*(1-EXP(('2022'!Tnet_s-t)/'2022'!Tau_j)),Resal_s+(Salim-Resal_s)*(1-EXP((Tnet_s-t)/Tau_j)))*Salcycl</f>
        <v>3.0885132767825459E-2</v>
      </c>
      <c r="AD136" s="227">
        <f>(INDEX(Models!$BJ136:$BT136,,AH136)*(1-AF136)+INDEX(Models!$BJ136:$BT136,,AH136+1)*AF136-ERP_i)*AE136*Ramure*Pc/MaxiM</f>
        <v>6.9880391780551904E-6</v>
      </c>
      <c r="AE136" s="301">
        <f t="shared" si="40"/>
        <v>0.5</v>
      </c>
      <c r="AF136" s="173">
        <f t="shared" si="41"/>
        <v>0.57706451179895346</v>
      </c>
      <c r="AG136" s="172">
        <f t="shared" si="42"/>
        <v>0</v>
      </c>
      <c r="AH136" s="172">
        <f t="shared" si="43"/>
        <v>6</v>
      </c>
      <c r="AI136" s="221">
        <f t="shared" si="44"/>
        <v>0.57706451179895346</v>
      </c>
      <c r="AJ136" s="261" t="b">
        <f t="shared" si="45"/>
        <v>0</v>
      </c>
      <c r="AK136" s="261" t="b">
        <f t="shared" si="46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7"/>
        <v>45049</v>
      </c>
      <c r="B137" s="406">
        <f>'2022'!Wh/'2022'!Env_an*'2023'!Env_an</f>
        <v>36.77927207412678</v>
      </c>
      <c r="C137" s="385"/>
      <c r="D137" s="388">
        <f t="shared" si="25"/>
        <v>37.045565851332029</v>
      </c>
      <c r="E137" s="380">
        <f t="shared" si="48"/>
        <v>37.05377880546456</v>
      </c>
      <c r="F137" s="380">
        <f t="shared" si="26"/>
        <v>37.053882535239175</v>
      </c>
      <c r="G137" s="110">
        <f t="shared" si="49"/>
        <v>0.59745065727077207</v>
      </c>
      <c r="H137" s="409" t="b">
        <f>Wh_hp&gt;='2022'!Maxi_hp</f>
        <v>0</v>
      </c>
      <c r="I137" s="385">
        <f>IF(H137,Wh_hp,'2022'!Maxi_hp)</f>
        <v>37.054002471299164</v>
      </c>
      <c r="J137" s="85">
        <f>IF(H137,An,'2022'!An_max)</f>
        <v>2022</v>
      </c>
      <c r="K137" s="193">
        <f t="shared" si="27"/>
        <v>45049</v>
      </c>
      <c r="L137" s="143">
        <f>IF(t&lt;Tvie,1-EXP((T0-t)*PertePVj)+'2022'!Pspv,1-EXP((T0-t)*PertePVj)+Pspv)</f>
        <v>7.1882766826646405E-3</v>
      </c>
      <c r="M137" s="836"/>
      <c r="N137" s="836"/>
      <c r="O137" s="48">
        <f>IF(t&lt;Tnet,'2022'!Resal+('2022'!Salim-'2022'!Resal)*(1-EXP(('2022'!Tnet-t)/('2022'!Tau_j))),Resal+(Salim-Resal)*(1-EXP((Tnet-t)/(Tau_j))))*Salcycl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6.5879381953144193E-6</v>
      </c>
      <c r="Q137" s="301">
        <f t="shared" si="28"/>
        <v>0.5</v>
      </c>
      <c r="R137" s="173">
        <f t="shared" si="29"/>
        <v>0.5799754430645172</v>
      </c>
      <c r="S137" s="802">
        <f t="shared" si="30"/>
        <v>0</v>
      </c>
      <c r="T137" s="172">
        <f t="shared" si="31"/>
        <v>6</v>
      </c>
      <c r="U137" s="247">
        <f t="shared" si="32"/>
        <v>0.5799754430645172</v>
      </c>
      <c r="V137" s="378">
        <f t="shared" si="33"/>
        <v>61.560117622430418</v>
      </c>
      <c r="W137" s="397">
        <f t="shared" si="34"/>
        <v>36.77927207412678</v>
      </c>
      <c r="X137" s="153">
        <f t="shared" si="35"/>
        <v>45049</v>
      </c>
      <c r="Y137" s="380">
        <f t="shared" si="36"/>
        <v>35.648945633539256</v>
      </c>
      <c r="Z137" s="380">
        <f t="shared" si="37"/>
        <v>35.907055483212375</v>
      </c>
      <c r="AA137" s="381">
        <f t="shared" si="38"/>
        <v>37.05377880546456</v>
      </c>
      <c r="AB137" s="193">
        <f t="shared" si="39"/>
        <v>45049</v>
      </c>
      <c r="AC137" s="420">
        <f>IF(OR(t&lt;Tnet,NoTnet),'2022'!Resal_s+('2022'!Salim-'2022'!Resal_s)*(1-EXP(('2022'!Tnet_s-t)/'2022'!Tau_j)),Resal_s+(Salim-Resal_s)*(1-EXP((Tnet_s-t)/Tau_j)))*Salcycl</f>
        <v>3.0947540553760616E-2</v>
      </c>
      <c r="AD137" s="227">
        <f>(INDEX(Models!$BJ137:$BT137,,AH137)*(1-AF137)+INDEX(Models!$BJ137:$BT137,,AH137+1)*AF137-ERP_i)*AE137*Ramure*Pc/MaxiM</f>
        <v>6.5879381953144193E-6</v>
      </c>
      <c r="AE137" s="301">
        <f t="shared" si="40"/>
        <v>0.5</v>
      </c>
      <c r="AF137" s="173">
        <f t="shared" si="41"/>
        <v>0.5799754430645172</v>
      </c>
      <c r="AG137" s="172">
        <f t="shared" si="42"/>
        <v>0</v>
      </c>
      <c r="AH137" s="172">
        <f t="shared" si="43"/>
        <v>6</v>
      </c>
      <c r="AI137" s="221">
        <f t="shared" si="44"/>
        <v>0.5799754430645172</v>
      </c>
      <c r="AJ137" s="261" t="b">
        <f t="shared" si="45"/>
        <v>0</v>
      </c>
      <c r="AK137" s="261" t="b">
        <f t="shared" si="46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7"/>
        <v>45050</v>
      </c>
      <c r="B138" s="406">
        <f>'2022'!Wh/'2022'!Env_an*'2023'!Env_an</f>
        <v>20.699348356798961</v>
      </c>
      <c r="C138" s="385"/>
      <c r="D138" s="388">
        <f t="shared" si="25"/>
        <v>20.849503718801405</v>
      </c>
      <c r="E138" s="380">
        <f t="shared" si="48"/>
        <v>20.85566784127597</v>
      </c>
      <c r="F138" s="380">
        <f t="shared" si="26"/>
        <v>20.855674359658806</v>
      </c>
      <c r="G138" s="110">
        <f t="shared" si="49"/>
        <v>0.33531367037848125</v>
      </c>
      <c r="H138" s="409" t="b">
        <f>Wh_hp&gt;='2022'!Maxi_hp</f>
        <v>0</v>
      </c>
      <c r="I138" s="385">
        <f>IF(H138,Wh_hp,'2022'!Maxi_hp)</f>
        <v>20.855778646437024</v>
      </c>
      <c r="J138" s="85">
        <f>IF(H138,An,'2022'!An_max)</f>
        <v>2022</v>
      </c>
      <c r="K138" s="193">
        <f t="shared" si="27"/>
        <v>45050</v>
      </c>
      <c r="L138" s="143">
        <f>IF(t&lt;Tvie,1-EXP((T0-t)*PertePVj)+'2022'!Pspv,1-EXP((T0-t)*PertePVj)+Pspv)</f>
        <v>7.2018674414315864E-3</v>
      </c>
      <c r="M138" s="836"/>
      <c r="N138" s="836"/>
      <c r="O138" s="48">
        <f>IF(t&lt;Tnet,'2022'!Resal+('2022'!Salim-'2022'!Resal)*(1-EXP(('2022'!Tnet-t)/('2022'!Tau_j))),Resal+(Salim-Resal)*(1-EXP((Tnet-t)/(Tau_j))))*Salcycl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6.1950747372908317E-6</v>
      </c>
      <c r="Q138" s="301">
        <f t="shared" si="28"/>
        <v>0.5</v>
      </c>
      <c r="R138" s="173">
        <f t="shared" si="29"/>
        <v>0.58296556398080757</v>
      </c>
      <c r="S138" s="802">
        <f t="shared" si="30"/>
        <v>0</v>
      </c>
      <c r="T138" s="172">
        <f t="shared" si="31"/>
        <v>6</v>
      </c>
      <c r="U138" s="247">
        <f t="shared" si="32"/>
        <v>0.58296556398080757</v>
      </c>
      <c r="V138" s="378">
        <f t="shared" si="33"/>
        <v>61.730935601016199</v>
      </c>
      <c r="W138" s="397">
        <f t="shared" si="34"/>
        <v>20.699348356798961</v>
      </c>
      <c r="X138" s="153">
        <f t="shared" si="35"/>
        <v>45050</v>
      </c>
      <c r="Y138" s="380">
        <f t="shared" si="36"/>
        <v>20.063384179921222</v>
      </c>
      <c r="Z138" s="380">
        <f t="shared" si="37"/>
        <v>20.208926187456964</v>
      </c>
      <c r="AA138" s="381">
        <f t="shared" si="38"/>
        <v>20.85566784127597</v>
      </c>
      <c r="AB138" s="193">
        <f t="shared" si="39"/>
        <v>45050</v>
      </c>
      <c r="AC138" s="420">
        <f>IF(OR(t&lt;Tnet,NoTnet),'2022'!Resal_s+('2022'!Salim-'2022'!Resal_s)*(1-EXP(('2022'!Tnet_s-t)/'2022'!Tau_j)),Resal_s+(Salim-Resal_s)*(1-EXP((Tnet_s-t)/Tau_j)))*Salcycl</f>
        <v>3.1010354534848409E-2</v>
      </c>
      <c r="AD138" s="227">
        <f>(INDEX(Models!$BJ138:$BT138,,AH138)*(1-AF138)+INDEX(Models!$BJ138:$BT138,,AH138+1)*AF138-ERP_i)*AE138*Ramure*Pc/MaxiM</f>
        <v>6.1950747372908317E-6</v>
      </c>
      <c r="AE138" s="301">
        <f t="shared" si="40"/>
        <v>0.5</v>
      </c>
      <c r="AF138" s="173">
        <f t="shared" si="41"/>
        <v>0.58296556398080757</v>
      </c>
      <c r="AG138" s="172">
        <f t="shared" si="42"/>
        <v>0</v>
      </c>
      <c r="AH138" s="172">
        <f t="shared" si="43"/>
        <v>6</v>
      </c>
      <c r="AI138" s="221">
        <f t="shared" si="44"/>
        <v>0.58296556398080757</v>
      </c>
      <c r="AJ138" s="261" t="b">
        <f t="shared" si="45"/>
        <v>0</v>
      </c>
      <c r="AK138" s="261" t="b">
        <f t="shared" si="46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7"/>
        <v>45051</v>
      </c>
      <c r="B139" s="406">
        <f>'2022'!Wh/'2022'!Env_an*'2023'!Env_an</f>
        <v>41.664167592270644</v>
      </c>
      <c r="C139" s="385"/>
      <c r="D139" s="388">
        <f t="shared" si="25"/>
        <v>41.966978564080598</v>
      </c>
      <c r="E139" s="380">
        <f t="shared" si="48"/>
        <v>41.982490723448308</v>
      </c>
      <c r="F139" s="380">
        <f t="shared" si="26"/>
        <v>41.982620730896443</v>
      </c>
      <c r="G139" s="110">
        <f t="shared" si="49"/>
        <v>0.6731479377039834</v>
      </c>
      <c r="H139" s="409" t="b">
        <f>Wh_hp&gt;='2022'!Maxi_hp</f>
        <v>0</v>
      </c>
      <c r="I139" s="385">
        <f>IF(H139,Wh_hp,'2022'!Maxi_hp)</f>
        <v>41.982717028924689</v>
      </c>
      <c r="J139" s="85">
        <f>IF(H139,An,'2022'!An_max)</f>
        <v>2022</v>
      </c>
      <c r="K139" s="193">
        <f t="shared" si="27"/>
        <v>45051</v>
      </c>
      <c r="L139" s="143">
        <f>IF(t&lt;Tvie,1-EXP((T0-t)*PertePVj)+'2022'!Pspv,1-EXP((T0-t)*PertePVj)+Pspv)</f>
        <v>7.2154580141523539E-3</v>
      </c>
      <c r="M139" s="836"/>
      <c r="N139" s="836"/>
      <c r="O139" s="48">
        <f>IF(t&lt;Tnet,'2022'!Resal+('2022'!Salim-'2022'!Resal)*(1-EXP(('2022'!Tnet-t)/('2022'!Tau_j))),Resal+(Salim-Resal)*(1-EXP((Tnet-t)/(Tau_j))))*Salcycl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5.8091629306963587E-6</v>
      </c>
      <c r="Q139" s="301">
        <f t="shared" si="28"/>
        <v>0.5</v>
      </c>
      <c r="R139" s="173">
        <f t="shared" si="29"/>
        <v>0.58603552204738396</v>
      </c>
      <c r="S139" s="802">
        <f t="shared" si="30"/>
        <v>0</v>
      </c>
      <c r="T139" s="172">
        <f t="shared" si="31"/>
        <v>6</v>
      </c>
      <c r="U139" s="247">
        <f t="shared" si="32"/>
        <v>0.58603552204738396</v>
      </c>
      <c r="V139" s="378">
        <f t="shared" si="33"/>
        <v>61.894350774346165</v>
      </c>
      <c r="W139" s="397">
        <f t="shared" si="34"/>
        <v>41.664167592270644</v>
      </c>
      <c r="X139" s="153">
        <f t="shared" si="35"/>
        <v>45051</v>
      </c>
      <c r="Y139" s="380">
        <f t="shared" si="36"/>
        <v>40.384434943574725</v>
      </c>
      <c r="Z139" s="380">
        <f t="shared" si="37"/>
        <v>40.677944947445013</v>
      </c>
      <c r="AA139" s="381">
        <f t="shared" si="38"/>
        <v>41.982490723448308</v>
      </c>
      <c r="AB139" s="193">
        <f t="shared" si="39"/>
        <v>45051</v>
      </c>
      <c r="AC139" s="420">
        <f>IF(OR(t&lt;Tnet,NoTnet),'2022'!Resal_s+('2022'!Salim-'2022'!Resal_s)*(1-EXP(('2022'!Tnet_s-t)/'2022'!Tau_j)),Resal_s+(Salim-Resal_s)*(1-EXP((Tnet_s-t)/Tau_j)))*Salcycl</f>
        <v>3.1073567897549018E-2</v>
      </c>
      <c r="AD139" s="227">
        <f>(INDEX(Models!$BJ139:$BT139,,AH139)*(1-AF139)+INDEX(Models!$BJ139:$BT139,,AH139+1)*AF139-ERP_i)*AE139*Ramure*Pc/MaxiM</f>
        <v>5.8091629306963587E-6</v>
      </c>
      <c r="AE139" s="301">
        <f t="shared" si="40"/>
        <v>0.5</v>
      </c>
      <c r="AF139" s="173">
        <f t="shared" si="41"/>
        <v>0.58603552204738396</v>
      </c>
      <c r="AG139" s="172">
        <f t="shared" si="42"/>
        <v>0</v>
      </c>
      <c r="AH139" s="172">
        <f t="shared" si="43"/>
        <v>6</v>
      </c>
      <c r="AI139" s="221">
        <f t="shared" si="44"/>
        <v>0.58603552204738396</v>
      </c>
      <c r="AJ139" s="261" t="b">
        <f t="shared" si="45"/>
        <v>0</v>
      </c>
      <c r="AK139" s="261" t="b">
        <f t="shared" si="46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7"/>
        <v>45052</v>
      </c>
      <c r="B140" s="406">
        <f>'2022'!Wh/'2022'!Env_an*'2023'!Env_an</f>
        <v>43.676040024488785</v>
      </c>
      <c r="C140" s="385"/>
      <c r="D140" s="388">
        <f t="shared" si="25"/>
        <v>43.99407532435832</v>
      </c>
      <c r="E140" s="380">
        <f t="shared" si="48"/>
        <v>44.013592826114895</v>
      </c>
      <c r="F140" s="380">
        <f t="shared" si="26"/>
        <v>44.013730716446005</v>
      </c>
      <c r="G140" s="110">
        <f t="shared" si="49"/>
        <v>0.70387393544776711</v>
      </c>
      <c r="H140" s="409" t="b">
        <f>Wh_hp&gt;='2022'!Maxi_hp</f>
        <v>0</v>
      </c>
      <c r="I140" s="385">
        <f>IF(H140,Wh_hp,'2022'!Maxi_hp)</f>
        <v>44.0138157587295</v>
      </c>
      <c r="J140" s="85">
        <f>IF(H140,An,'2022'!An_max)</f>
        <v>2022</v>
      </c>
      <c r="K140" s="193">
        <f t="shared" si="27"/>
        <v>45052</v>
      </c>
      <c r="L140" s="143">
        <f>IF(t&lt;Tvie,1-EXP((T0-t)*PertePVj)+'2022'!Pspv,1-EXP((T0-t)*PertePVj)+Pspv)</f>
        <v>7.2290484008297184E-3</v>
      </c>
      <c r="M140" s="836"/>
      <c r="N140" s="836"/>
      <c r="O140" s="48">
        <f>IF(t&lt;Tnet,'2022'!Resal+('2022'!Salim-'2022'!Resal)*(1-EXP(('2022'!Tnet-t)/('2022'!Tau_j))),Resal+(Salim-Resal)*(1-EXP((Tnet-t)/(Tau_j))))*Salcycl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5.4299534628497211E-6</v>
      </c>
      <c r="Q140" s="301">
        <f t="shared" si="28"/>
        <v>0.5</v>
      </c>
      <c r="R140" s="173">
        <f t="shared" si="29"/>
        <v>0.58918586140872531</v>
      </c>
      <c r="S140" s="802">
        <f t="shared" si="30"/>
        <v>0</v>
      </c>
      <c r="T140" s="172">
        <f t="shared" si="31"/>
        <v>6</v>
      </c>
      <c r="U140" s="247">
        <f t="shared" si="32"/>
        <v>0.58918586140872531</v>
      </c>
      <c r="V140" s="378">
        <f t="shared" si="33"/>
        <v>62.050798442916516</v>
      </c>
      <c r="W140" s="397">
        <f t="shared" si="34"/>
        <v>43.676040024488785</v>
      </c>
      <c r="X140" s="153">
        <f t="shared" si="35"/>
        <v>45052</v>
      </c>
      <c r="Y140" s="380">
        <f t="shared" si="36"/>
        <v>42.334864701961926</v>
      </c>
      <c r="Z140" s="380">
        <f t="shared" si="37"/>
        <v>42.643133981477092</v>
      </c>
      <c r="AA140" s="381">
        <f t="shared" si="38"/>
        <v>44.013592826114895</v>
      </c>
      <c r="AB140" s="193">
        <f t="shared" si="39"/>
        <v>45052</v>
      </c>
      <c r="AC140" s="420">
        <f>IF(OR(t&lt;Tnet,NoTnet),'2022'!Resal_s+('2022'!Salim-'2022'!Resal_s)*(1-EXP(('2022'!Tnet_s-t)/'2022'!Tau_j)),Resal_s+(Salim-Resal_s)*(1-EXP((Tnet_s-t)/Tau_j)))*Salcycl</f>
        <v>3.1137172783237459E-2</v>
      </c>
      <c r="AD140" s="227">
        <f>(INDEX(Models!$BJ140:$BT140,,AH140)*(1-AF140)+INDEX(Models!$BJ140:$BT140,,AH140+1)*AF140-ERP_i)*AE140*Ramure*Pc/MaxiM</f>
        <v>5.4299534628497211E-6</v>
      </c>
      <c r="AE140" s="301">
        <f t="shared" si="40"/>
        <v>0.5</v>
      </c>
      <c r="AF140" s="173">
        <f t="shared" si="41"/>
        <v>0.58918586140872531</v>
      </c>
      <c r="AG140" s="172">
        <f t="shared" si="42"/>
        <v>0</v>
      </c>
      <c r="AH140" s="172">
        <f t="shared" si="43"/>
        <v>6</v>
      </c>
      <c r="AI140" s="221">
        <f t="shared" si="44"/>
        <v>0.58918586140872531</v>
      </c>
      <c r="AJ140" s="261" t="b">
        <f t="shared" si="45"/>
        <v>0</v>
      </c>
      <c r="AK140" s="261" t="b">
        <f t="shared" si="46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7"/>
        <v>45053</v>
      </c>
      <c r="B141" s="406">
        <f>'2022'!Wh/'2022'!Env_an*'2023'!Env_an</f>
        <v>50.234969111867862</v>
      </c>
      <c r="C141" s="385"/>
      <c r="D141" s="388">
        <f t="shared" si="25"/>
        <v>50.601457178922352</v>
      </c>
      <c r="E141" s="380">
        <f t="shared" si="48"/>
        <v>50.627652827207847</v>
      </c>
      <c r="F141" s="380">
        <f t="shared" si="26"/>
        <v>50.627838500297472</v>
      </c>
      <c r="G141" s="110">
        <f t="shared" si="49"/>
        <v>0.80762576920196338</v>
      </c>
      <c r="H141" s="409" t="b">
        <f>Wh_hp&gt;='2022'!Maxi_hp</f>
        <v>0</v>
      </c>
      <c r="I141" s="385">
        <f>IF(H141,Wh_hp,'2022'!Maxi_hp)</f>
        <v>50.627897365958461</v>
      </c>
      <c r="J141" s="85">
        <f>IF(H141,An,'2022'!An_max)</f>
        <v>2022</v>
      </c>
      <c r="K141" s="193">
        <f t="shared" si="27"/>
        <v>45053</v>
      </c>
      <c r="L141" s="143">
        <f>IF(t&lt;Tvie,1-EXP((T0-t)*PertePVj)+'2022'!Pspv,1-EXP((T0-t)*PertePVj)+Pspv)</f>
        <v>7.2426386014660116E-3</v>
      </c>
      <c r="M141" s="836"/>
      <c r="N141" s="836"/>
      <c r="O141" s="48">
        <f>IF(t&lt;Tnet,'2022'!Resal+('2022'!Salim-'2022'!Resal)*(1-EXP(('2022'!Tnet-t)/('2022'!Tau_j))),Resal+(Salim-Resal)*(1-EXP((Tnet-t)/(Tau_j))))*Salcycl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5.0572333967311894E-6</v>
      </c>
      <c r="Q141" s="301">
        <f t="shared" si="28"/>
        <v>0.5</v>
      </c>
      <c r="R141" s="173">
        <f t="shared" si="29"/>
        <v>0.59241701581387773</v>
      </c>
      <c r="S141" s="802">
        <f t="shared" si="30"/>
        <v>0</v>
      </c>
      <c r="T141" s="172">
        <f t="shared" si="31"/>
        <v>6</v>
      </c>
      <c r="U141" s="247">
        <f t="shared" si="32"/>
        <v>0.59241701581387773</v>
      </c>
      <c r="V141" s="378">
        <f t="shared" si="33"/>
        <v>62.200713758258232</v>
      </c>
      <c r="W141" s="397">
        <f t="shared" si="34"/>
        <v>50.234969111867862</v>
      </c>
      <c r="X141" s="153">
        <f t="shared" si="35"/>
        <v>45053</v>
      </c>
      <c r="Y141" s="380">
        <f t="shared" si="36"/>
        <v>48.692774297320582</v>
      </c>
      <c r="Z141" s="380">
        <f t="shared" si="37"/>
        <v>49.04801131741322</v>
      </c>
      <c r="AA141" s="381">
        <f t="shared" si="38"/>
        <v>50.627652827207847</v>
      </c>
      <c r="AB141" s="193">
        <f t="shared" si="39"/>
        <v>45053</v>
      </c>
      <c r="AC141" s="420">
        <f>IF(OR(t&lt;Tnet,NoTnet),'2022'!Resal_s+('2022'!Salim-'2022'!Resal_s)*(1-EXP(('2022'!Tnet_s-t)/'2022'!Tau_j)),Resal_s+(Salim-Resal_s)*(1-EXP((Tnet_s-t)/Tau_j)))*Salcycl</f>
        <v>3.1201160266819881E-2</v>
      </c>
      <c r="AD141" s="227">
        <f>(INDEX(Models!$BJ141:$BT141,,AH141)*(1-AF141)+INDEX(Models!$BJ141:$BT141,,AH141+1)*AF141-ERP_i)*AE141*Ramure*Pc/MaxiM</f>
        <v>5.0572333967311894E-6</v>
      </c>
      <c r="AE141" s="301">
        <f t="shared" si="40"/>
        <v>0.5</v>
      </c>
      <c r="AF141" s="173">
        <f t="shared" si="41"/>
        <v>0.59241701581387773</v>
      </c>
      <c r="AG141" s="172">
        <f t="shared" si="42"/>
        <v>0</v>
      </c>
      <c r="AH141" s="172">
        <f t="shared" si="43"/>
        <v>6</v>
      </c>
      <c r="AI141" s="221">
        <f t="shared" si="44"/>
        <v>0.59241701581387773</v>
      </c>
      <c r="AJ141" s="261" t="b">
        <f t="shared" si="45"/>
        <v>0</v>
      </c>
      <c r="AK141" s="261" t="b">
        <f t="shared" si="46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7"/>
        <v>45054</v>
      </c>
      <c r="B142" s="406">
        <f>'2022'!Wh/'2022'!Env_an*'2023'!Env_an</f>
        <v>56.977967362078068</v>
      </c>
      <c r="C142" s="385"/>
      <c r="D142" s="388">
        <f t="shared" si="25"/>
        <v>57.394434500100502</v>
      </c>
      <c r="E142" s="380">
        <f t="shared" si="48"/>
        <v>57.428398752790144</v>
      </c>
      <c r="F142" s="380">
        <f t="shared" si="26"/>
        <v>57.42863571641324</v>
      </c>
      <c r="G142" s="110">
        <f t="shared" si="49"/>
        <v>0.91392033290467722</v>
      </c>
      <c r="H142" s="409" t="b">
        <f>Wh_hp&gt;='2022'!Maxi_hp</f>
        <v>0</v>
      </c>
      <c r="I142" s="385">
        <f>IF(H142,Wh_hp,'2022'!Maxi_hp)</f>
        <v>57.428663358551631</v>
      </c>
      <c r="J142" s="85">
        <f>IF(H142,An,'2022'!An_max)</f>
        <v>2022</v>
      </c>
      <c r="K142" s="193">
        <f t="shared" si="27"/>
        <v>45054</v>
      </c>
      <c r="L142" s="143">
        <f>IF(t&lt;Tvie,1-EXP((T0-t)*PertePVj)+'2022'!Pspv,1-EXP((T0-t)*PertePVj)+Pspv)</f>
        <v>7.2562286160638978E-3</v>
      </c>
      <c r="M142" s="836"/>
      <c r="N142" s="836"/>
      <c r="O142" s="48">
        <f>IF(t&lt;Tnet,'2022'!Resal+('2022'!Salim-'2022'!Resal)*(1-EXP(('2022'!Tnet-t)/('2022'!Tau_j))),Resal+(Salim-Resal)*(1-EXP((Tnet-t)/(Tau_j))))*Salcycl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4.7047746984125929E-6</v>
      </c>
      <c r="Q142" s="301">
        <f t="shared" si="28"/>
        <v>0.5</v>
      </c>
      <c r="R142" s="173">
        <f t="shared" si="29"/>
        <v>0.59572930161201065</v>
      </c>
      <c r="S142" s="802">
        <f t="shared" si="30"/>
        <v>0</v>
      </c>
      <c r="T142" s="172">
        <f t="shared" si="31"/>
        <v>6</v>
      </c>
      <c r="U142" s="247">
        <f t="shared" si="32"/>
        <v>0.59572930161201065</v>
      </c>
      <c r="V142" s="378">
        <f t="shared" si="33"/>
        <v>62.344530859068406</v>
      </c>
      <c r="W142" s="397">
        <f t="shared" si="34"/>
        <v>56.977967362078068</v>
      </c>
      <c r="X142" s="153">
        <f t="shared" si="35"/>
        <v>45054</v>
      </c>
      <c r="Y142" s="380">
        <f t="shared" si="36"/>
        <v>55.22918516040869</v>
      </c>
      <c r="Z142" s="380">
        <f t="shared" si="37"/>
        <v>55.632869983577287</v>
      </c>
      <c r="AA142" s="381">
        <f t="shared" si="38"/>
        <v>57.428398752790144</v>
      </c>
      <c r="AB142" s="193">
        <f t="shared" si="39"/>
        <v>45054</v>
      </c>
      <c r="AC142" s="420">
        <f>IF(OR(t&lt;Tnet,NoTnet),'2022'!Resal_s+('2022'!Salim-'2022'!Resal_s)*(1-EXP(('2022'!Tnet_s-t)/'2022'!Tau_j)),Resal_s+(Salim-Resal_s)*(1-EXP((Tnet_s-t)/Tau_j)))*Salcycl</f>
        <v>3.1265520338500191E-2</v>
      </c>
      <c r="AD142" s="227">
        <f>(INDEX(Models!$BJ142:$BT142,,AH142)*(1-AF142)+INDEX(Models!$BJ142:$BT142,,AH142+1)*AF142-ERP_i)*AE142*Ramure*Pc/MaxiM</f>
        <v>4.7047746984125929E-6</v>
      </c>
      <c r="AE142" s="301">
        <f t="shared" si="40"/>
        <v>0.5</v>
      </c>
      <c r="AF142" s="173">
        <f t="shared" si="41"/>
        <v>0.59572930161201065</v>
      </c>
      <c r="AG142" s="172">
        <f t="shared" si="42"/>
        <v>0</v>
      </c>
      <c r="AH142" s="172">
        <f t="shared" si="43"/>
        <v>6</v>
      </c>
      <c r="AI142" s="221">
        <f t="shared" si="44"/>
        <v>0.59572930161201065</v>
      </c>
      <c r="AJ142" s="261" t="b">
        <f t="shared" si="45"/>
        <v>0</v>
      </c>
      <c r="AK142" s="261" t="b">
        <f t="shared" si="46"/>
        <v>0</v>
      </c>
      <c r="AL142" s="261"/>
      <c r="AM142" s="261"/>
      <c r="AN142" s="75"/>
    </row>
    <row r="143" spans="1:40" s="6" customFormat="1" ht="11.25" x14ac:dyDescent="0.2">
      <c r="A143" s="56">
        <f t="shared" si="47"/>
        <v>45055</v>
      </c>
      <c r="B143" s="406">
        <f>'2022'!Wh/'2022'!Env_an*'2023'!Env_an</f>
        <v>60.287522044298107</v>
      </c>
      <c r="C143" s="385"/>
      <c r="D143" s="388">
        <f t="shared" ref="D143:D206" si="50">Wh/(1-Ppv)</f>
        <v>60.729010928066856</v>
      </c>
      <c r="E143" s="380">
        <f t="shared" si="48"/>
        <v>60.769449884570918</v>
      </c>
      <c r="F143" s="380">
        <f t="shared" ref="F143:F206" si="51">Wh_sa/(1-Pvg*MEDIAN((-Sdif+Wh/Env_an)/Csdif,0,1))</f>
        <v>60.769702691333379</v>
      </c>
      <c r="G143" s="110">
        <f t="shared" si="49"/>
        <v>0.96486746095462195</v>
      </c>
      <c r="H143" s="409" t="b">
        <f>Wh_hp&gt;='2022'!Maxi_hp</f>
        <v>0</v>
      </c>
      <c r="I143" s="385">
        <f>IF(H143,Wh_hp,'2022'!Maxi_hp)</f>
        <v>60.769713742557045</v>
      </c>
      <c r="J143" s="85">
        <f>IF(H143,An,'2022'!An_max)</f>
        <v>2022</v>
      </c>
      <c r="K143" s="193">
        <f t="shared" ref="K143:K206" si="52">t</f>
        <v>45055</v>
      </c>
      <c r="L143" s="143">
        <f>IF(t&lt;Tvie,1-EXP((T0-t)*PertePVj)+'2022'!Pspv,1-EXP((T0-t)*PertePVj)+Pspv)</f>
        <v>7.2698184446259306E-3</v>
      </c>
      <c r="M143" s="836"/>
      <c r="N143" s="836"/>
      <c r="O143" s="48">
        <f>IF(t&lt;Tnet,'2022'!Resal+('2022'!Salim-'2022'!Resal)*(1-EXP(('2022'!Tnet-t)/('2022'!Tau_j))),Resal+(Salim-Resal)*(1-EXP((Tnet-t)/(Tau_j))))*Salcycl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4.3799020471238698E-6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0.59912291082935609</v>
      </c>
      <c r="S143" s="802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0.59912291082935609</v>
      </c>
      <c r="V143" s="378">
        <f t="shared" ref="V143:V206" si="58">MaxiM*(1-Ppv)*(1-Pvg)*(1-Psa)</f>
        <v>62.482684131566948</v>
      </c>
      <c r="W143" s="397">
        <f t="shared" ref="W143:W206" si="59">Wh*(A143&gt;Tmaj)</f>
        <v>60.287522044298107</v>
      </c>
      <c r="X143" s="153">
        <f t="shared" ref="X143:X206" si="60">t</f>
        <v>45055</v>
      </c>
      <c r="Y143" s="380">
        <f t="shared" ref="Y143:Y206" si="61">Wh_pvt_s*(1-Ppv)</f>
        <v>58.437586616685905</v>
      </c>
      <c r="Z143" s="380">
        <f t="shared" ref="Z143:Z206" si="62">Wh_sa_s*(1-Psa_s)</f>
        <v>58.865528320220896</v>
      </c>
      <c r="AA143" s="381">
        <f t="shared" ref="AA143:AA206" si="63">Wh_hp*(1-Pvg_s*MEDIAN((-Sdif+Wh/Env_an)/Csdif,0,1))</f>
        <v>60.769449884570918</v>
      </c>
      <c r="AB143" s="193">
        <f t="shared" ref="AB143:AB206" si="64">t</f>
        <v>45055</v>
      </c>
      <c r="AC143" s="420">
        <f>IF(OR(t&lt;Tnet,NoTnet),'2022'!Resal_s+('2022'!Salim-'2022'!Resal_s)*(1-EXP(('2022'!Tnet_s-t)/'2022'!Tau_j)),Resal_s+(Salim-Resal_s)*(1-EXP((Tnet_s-t)/Tau_j)))*Salcycl</f>
        <v>3.1330241889081484E-2</v>
      </c>
      <c r="AD143" s="227">
        <f>(INDEX(Models!$BJ143:$BT143,,AH143)*(1-AF143)+INDEX(Models!$BJ143:$BT143,,AH143+1)*AF143-ERP_i)*AE143*Ramure*Pc/MaxiM</f>
        <v>4.3799020471238698E-6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0.59912291082935609</v>
      </c>
      <c r="AG143" s="172">
        <f t="shared" ref="AG143:AG206" si="67">INDEX(Echel_vg,AH143)</f>
        <v>0</v>
      </c>
      <c r="AH143" s="172">
        <f t="shared" ref="AH143:AH206" si="68">MIN(MATCH(Hp_vg_s,Echel_vg),10)</f>
        <v>6</v>
      </c>
      <c r="AI143" s="221">
        <f t="shared" ref="AI143:AI206" si="69">IF(OR(t&lt;Ttai,Notai),Hdd_s+PousH*Croivg,Hdtai_s+PousH*(Croivg-Croi_tai))</f>
        <v>0.59912291082935609</v>
      </c>
      <c r="AJ143" s="261" t="b">
        <f t="shared" ref="AJ143:AJ206" si="70">t&lt;Tnet</f>
        <v>0</v>
      </c>
      <c r="AK143" s="261" t="b">
        <f t="shared" ref="AK143:AK206" si="71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169" si="72">A143+1</f>
        <v>45056</v>
      </c>
      <c r="B144" s="406">
        <f>'2022'!Wh/'2022'!Env_an*'2023'!Env_an</f>
        <v>59.053054603921005</v>
      </c>
      <c r="C144" s="385"/>
      <c r="D144" s="388">
        <f t="shared" si="50"/>
        <v>59.48631773156211</v>
      </c>
      <c r="E144" s="380">
        <f t="shared" ref="E144:E169" si="73">Wh_pvt/(1-Psa)</f>
        <v>59.530340946999189</v>
      </c>
      <c r="F144" s="380">
        <f t="shared" si="51"/>
        <v>59.530564263766422</v>
      </c>
      <c r="G144" s="110">
        <f t="shared" ref="G144:G169" si="74">+Wh_hp/MaxiM</f>
        <v>0.94310407038063071</v>
      </c>
      <c r="H144" s="409" t="b">
        <f>Wh_hp&gt;='2022'!Maxi_hp</f>
        <v>0</v>
      </c>
      <c r="I144" s="385">
        <f>IF(H144,Wh_hp,'2022'!Maxi_hp)</f>
        <v>59.530580514371692</v>
      </c>
      <c r="J144" s="85">
        <f>IF(H144,An,'2022'!An_max)</f>
        <v>2022</v>
      </c>
      <c r="K144" s="193">
        <f t="shared" si="52"/>
        <v>45056</v>
      </c>
      <c r="L144" s="143">
        <f>IF(t&lt;Tvie,1-EXP((T0-t)*PertePVj)+'2022'!Pspv,1-EXP((T0-t)*PertePVj)+Pspv)</f>
        <v>7.2834080871545526E-3</v>
      </c>
      <c r="M144" s="836"/>
      <c r="N144" s="836"/>
      <c r="O144" s="48">
        <f>IF(t&lt;Tnet,'2022'!Resal+('2022'!Salim-'2022'!Resal)*(1-EXP(('2022'!Tnet-t)/('2022'!Tau_j))),Resal+(Salim-Resal)*(1-EXP((Tnet-t)/(Tau_j))))*Salcycl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4.0831741527112658E-6</v>
      </c>
      <c r="Q144" s="301">
        <f t="shared" si="53"/>
        <v>0.5</v>
      </c>
      <c r="R144" s="173">
        <f t="shared" si="54"/>
        <v>0.6025979043760743</v>
      </c>
      <c r="S144" s="802">
        <f t="shared" si="55"/>
        <v>0</v>
      </c>
      <c r="T144" s="172">
        <f t="shared" si="56"/>
        <v>6</v>
      </c>
      <c r="U144" s="247">
        <f t="shared" si="57"/>
        <v>0.6025979043760743</v>
      </c>
      <c r="V144" s="378">
        <f t="shared" si="58"/>
        <v>62.615608245222639</v>
      </c>
      <c r="W144" s="397">
        <f t="shared" si="59"/>
        <v>59.053054603921005</v>
      </c>
      <c r="X144" s="153">
        <f t="shared" si="60"/>
        <v>45056</v>
      </c>
      <c r="Y144" s="380">
        <f t="shared" si="61"/>
        <v>57.24139600913135</v>
      </c>
      <c r="Z144" s="380">
        <f t="shared" si="62"/>
        <v>57.661367277879442</v>
      </c>
      <c r="AA144" s="381">
        <f t="shared" si="63"/>
        <v>59.530340946999189</v>
      </c>
      <c r="AB144" s="193">
        <f t="shared" si="64"/>
        <v>45056</v>
      </c>
      <c r="AC144" s="420">
        <f>IF(OR(t&lt;Tnet,NoTnet),'2022'!Resal_s+('2022'!Salim-'2022'!Resal_s)*(1-EXP(('2022'!Tnet_s-t)/'2022'!Tau_j)),Resal_s+(Salim-Resal_s)*(1-EXP((Tnet_s-t)/Tau_j)))*Salcycl</f>
        <v>3.1395312699178515E-2</v>
      </c>
      <c r="AD144" s="227">
        <f>(INDEX(Models!$BJ144:$BT144,,AH144)*(1-AF144)+INDEX(Models!$BJ144:$BT144,,AH144+1)*AF144-ERP_i)*AE144*Ramure*Pc/MaxiM</f>
        <v>4.0831741527112658E-6</v>
      </c>
      <c r="AE144" s="301">
        <f t="shared" si="65"/>
        <v>0.5</v>
      </c>
      <c r="AF144" s="173">
        <f t="shared" si="66"/>
        <v>0.6025979043760743</v>
      </c>
      <c r="AG144" s="172">
        <f t="shared" si="67"/>
        <v>0</v>
      </c>
      <c r="AH144" s="172">
        <f t="shared" si="68"/>
        <v>6</v>
      </c>
      <c r="AI144" s="221">
        <f t="shared" si="69"/>
        <v>0.6025979043760743</v>
      </c>
      <c r="AJ144" s="261" t="b">
        <f t="shared" si="70"/>
        <v>0</v>
      </c>
      <c r="AK144" s="261" t="b">
        <f t="shared" si="71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2"/>
        <v>45057</v>
      </c>
      <c r="B145" s="406">
        <f>'2022'!Wh/'2022'!Env_an*'2023'!Env_an</f>
        <v>62.994355131810302</v>
      </c>
      <c r="C145" s="385"/>
      <c r="D145" s="388">
        <f t="shared" si="50"/>
        <v>63.457403650373642</v>
      </c>
      <c r="E145" s="380">
        <f t="shared" si="73"/>
        <v>63.509074716188451</v>
      </c>
      <c r="F145" s="380">
        <f t="shared" si="51"/>
        <v>63.509317018832242</v>
      </c>
      <c r="G145" s="110">
        <f t="shared" si="74"/>
        <v>1.0039943016367112</v>
      </c>
      <c r="H145" s="409" t="b">
        <f>Wh_hp&gt;='2022'!Maxi_hp</f>
        <v>1</v>
      </c>
      <c r="I145" s="385">
        <f>IF(H145,Wh_hp,'2022'!Maxi_hp)</f>
        <v>63.509317018832242</v>
      </c>
      <c r="J145" s="85">
        <f>IF(H145,An,'2022'!An_max)</f>
        <v>2023</v>
      </c>
      <c r="K145" s="193">
        <f t="shared" si="52"/>
        <v>45057</v>
      </c>
      <c r="L145" s="143">
        <f>IF(t&lt;Tvie,1-EXP((T0-t)*PertePVj)+'2022'!Pspv,1-EXP((T0-t)*PertePVj)+Pspv)</f>
        <v>7.2969975436524281E-3</v>
      </c>
      <c r="M145" s="836"/>
      <c r="N145" s="836"/>
      <c r="O145" s="48">
        <f>IF(t&lt;Tnet,'2022'!Resal+('2022'!Salim-'2022'!Resal)*(1-EXP(('2022'!Tnet-t)/('2022'!Tau_j))),Resal+(Salim-Resal)*(1-EXP((Tnet-t)/(Tau_j))))*Salcycl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3.8152298774969104E-6</v>
      </c>
      <c r="Q145" s="301">
        <f t="shared" si="53"/>
        <v>0.5</v>
      </c>
      <c r="R145" s="173">
        <f t="shared" si="54"/>
        <v>0.60615420543443854</v>
      </c>
      <c r="S145" s="802">
        <f t="shared" si="55"/>
        <v>0</v>
      </c>
      <c r="T145" s="172">
        <f t="shared" si="56"/>
        <v>6</v>
      </c>
      <c r="U145" s="247">
        <f t="shared" si="57"/>
        <v>0.60615420543443854</v>
      </c>
      <c r="V145" s="378">
        <f t="shared" si="58"/>
        <v>62.743737717551703</v>
      </c>
      <c r="W145" s="397">
        <f t="shared" si="59"/>
        <v>62.994355131810302</v>
      </c>
      <c r="X145" s="153">
        <f t="shared" si="60"/>
        <v>45057</v>
      </c>
      <c r="Y145" s="380">
        <f t="shared" si="61"/>
        <v>61.062187674498553</v>
      </c>
      <c r="Z145" s="380">
        <f t="shared" si="62"/>
        <v>61.511033535111785</v>
      </c>
      <c r="AA145" s="381">
        <f t="shared" si="63"/>
        <v>63.509074716188451</v>
      </c>
      <c r="AB145" s="193">
        <f t="shared" si="64"/>
        <v>45057</v>
      </c>
      <c r="AC145" s="420">
        <f>IF(OR(t&lt;Tnet,NoTnet),'2022'!Resal_s+('2022'!Salim-'2022'!Resal_s)*(1-EXP(('2022'!Tnet_s-t)/'2022'!Tau_j)),Resal_s+(Salim-Resal_s)*(1-EXP((Tnet_s-t)/Tau_j)))*Salcycl</f>
        <v>3.1460719432704336E-2</v>
      </c>
      <c r="AD145" s="227">
        <f>(INDEX(Models!$BJ145:$BT145,,AH145)*(1-AF145)+INDEX(Models!$BJ145:$BT145,,AH145+1)*AF145-ERP_i)*AE145*Ramure*Pc/MaxiM</f>
        <v>3.8152298774969104E-6</v>
      </c>
      <c r="AE145" s="301">
        <f t="shared" si="65"/>
        <v>0.5</v>
      </c>
      <c r="AF145" s="173">
        <f t="shared" si="66"/>
        <v>0.60615420543443854</v>
      </c>
      <c r="AG145" s="172">
        <f t="shared" si="67"/>
        <v>0</v>
      </c>
      <c r="AH145" s="172">
        <f t="shared" si="68"/>
        <v>6</v>
      </c>
      <c r="AI145" s="221">
        <f t="shared" si="69"/>
        <v>0.60615420543443854</v>
      </c>
      <c r="AJ145" s="261" t="b">
        <f t="shared" si="70"/>
        <v>0</v>
      </c>
      <c r="AK145" s="261" t="b">
        <f t="shared" si="71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2"/>
        <v>45058</v>
      </c>
      <c r="B146" s="406">
        <f>'2022'!Wh/'2022'!Env_an*'2023'!Env_an</f>
        <v>47.966957257286104</v>
      </c>
      <c r="C146" s="385"/>
      <c r="D146" s="388">
        <f t="shared" si="50"/>
        <v>48.320206320468174</v>
      </c>
      <c r="E146" s="380">
        <f t="shared" si="73"/>
        <v>48.363139624293837</v>
      </c>
      <c r="F146" s="380">
        <f t="shared" si="51"/>
        <v>48.36325403779874</v>
      </c>
      <c r="G146" s="110">
        <f t="shared" si="74"/>
        <v>0.76298395644229811</v>
      </c>
      <c r="H146" s="409" t="b">
        <f>Wh_hp&gt;='2022'!Maxi_hp</f>
        <v>0</v>
      </c>
      <c r="I146" s="385">
        <f>IF(H146,Wh_hp,'2022'!Maxi_hp)</f>
        <v>48.363301649060638</v>
      </c>
      <c r="J146" s="85">
        <f>IF(H146,An,'2022'!An_max)</f>
        <v>2022</v>
      </c>
      <c r="K146" s="193">
        <f t="shared" si="52"/>
        <v>45058</v>
      </c>
      <c r="L146" s="143">
        <f>IF(t&lt;Tvie,1-EXP((T0-t)*PertePVj)+'2022'!Pspv,1-EXP((T0-t)*PertePVj)+Pspv)</f>
        <v>7.3105868141219998E-3</v>
      </c>
      <c r="M146" s="836"/>
      <c r="N146" s="836"/>
      <c r="O146" s="48">
        <f>IF(t&lt;Tnet,'2022'!Resal+('2022'!Salim-'2022'!Resal)*(1-EXP(('2022'!Tnet-t)/('2022'!Tau_j))),Resal+(Salim-Resal)*(1-EXP((Tnet-t)/(Tau_j))))*Salcycl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3.5767864141748664E-6</v>
      </c>
      <c r="Q146" s="301">
        <f t="shared" si="53"/>
        <v>0.5</v>
      </c>
      <c r="R146" s="173">
        <f t="shared" si="54"/>
        <v>0.60979159308226727</v>
      </c>
      <c r="S146" s="802">
        <f t="shared" si="55"/>
        <v>0</v>
      </c>
      <c r="T146" s="172">
        <f t="shared" si="56"/>
        <v>6</v>
      </c>
      <c r="U146" s="247">
        <f t="shared" si="57"/>
        <v>0.60979159308226727</v>
      </c>
      <c r="V146" s="378">
        <f t="shared" si="58"/>
        <v>62.86750692535206</v>
      </c>
      <c r="W146" s="397">
        <f t="shared" si="59"/>
        <v>47.966957257286104</v>
      </c>
      <c r="X146" s="153">
        <f t="shared" si="60"/>
        <v>45058</v>
      </c>
      <c r="Y146" s="380">
        <f t="shared" si="61"/>
        <v>46.496005287862928</v>
      </c>
      <c r="Z146" s="380">
        <f t="shared" si="62"/>
        <v>46.838421635465451</v>
      </c>
      <c r="AA146" s="381">
        <f t="shared" si="63"/>
        <v>48.363139624293837</v>
      </c>
      <c r="AB146" s="193">
        <f t="shared" si="64"/>
        <v>45058</v>
      </c>
      <c r="AC146" s="420">
        <f>IF(OR(t&lt;Tnet,NoTnet),'2022'!Resal_s+('2022'!Salim-'2022'!Resal_s)*(1-EXP(('2022'!Tnet_s-t)/'2022'!Tau_j)),Resal_s+(Salim-Resal_s)*(1-EXP((Tnet_s-t)/Tau_j)))*Salcycl</f>
        <v>3.1526447634977063E-2</v>
      </c>
      <c r="AD146" s="227">
        <f>(INDEX(Models!$BJ146:$BT146,,AH146)*(1-AF146)+INDEX(Models!$BJ146:$BT146,,AH146+1)*AF146-ERP_i)*AE146*Ramure*Pc/MaxiM</f>
        <v>3.5767864141748664E-6</v>
      </c>
      <c r="AE146" s="301">
        <f t="shared" si="65"/>
        <v>0.5</v>
      </c>
      <c r="AF146" s="173">
        <f t="shared" si="66"/>
        <v>0.60979159308226727</v>
      </c>
      <c r="AG146" s="172">
        <f t="shared" si="67"/>
        <v>0</v>
      </c>
      <c r="AH146" s="172">
        <f t="shared" si="68"/>
        <v>6</v>
      </c>
      <c r="AI146" s="221">
        <f t="shared" si="69"/>
        <v>0.60979159308226727</v>
      </c>
      <c r="AJ146" s="261" t="b">
        <f t="shared" si="70"/>
        <v>0</v>
      </c>
      <c r="AK146" s="261" t="b">
        <f t="shared" si="71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2"/>
        <v>45059</v>
      </c>
      <c r="B147" s="406">
        <f>'2022'!Wh/'2022'!Env_an*'2023'!Env_an</f>
        <v>50.828861982293461</v>
      </c>
      <c r="C147" s="385"/>
      <c r="D147" s="388">
        <f t="shared" si="50"/>
        <v>51.20388826664891</v>
      </c>
      <c r="E147" s="380">
        <f t="shared" si="73"/>
        <v>51.253188193262716</v>
      </c>
      <c r="F147" s="380">
        <f t="shared" si="51"/>
        <v>51.253313236401134</v>
      </c>
      <c r="G147" s="110">
        <f t="shared" si="74"/>
        <v>0.80696861652654028</v>
      </c>
      <c r="H147" s="409" t="b">
        <f>Wh_hp&gt;='2022'!Maxi_hp</f>
        <v>0</v>
      </c>
      <c r="I147" s="385">
        <f>IF(H147,Wh_hp,'2022'!Maxi_hp)</f>
        <v>51.253351704584936</v>
      </c>
      <c r="J147" s="85">
        <f>IF(H147,An,'2022'!An_max)</f>
        <v>2022</v>
      </c>
      <c r="K147" s="193">
        <f t="shared" si="52"/>
        <v>45059</v>
      </c>
      <c r="L147" s="143">
        <f>IF(t&lt;Tvie,1-EXP((T0-t)*PertePVj)+'2022'!Pspv,1-EXP((T0-t)*PertePVj)+Pspv)</f>
        <v>7.3241758985659322E-3</v>
      </c>
      <c r="M147" s="836"/>
      <c r="N147" s="836"/>
      <c r="O147" s="48">
        <f>IF(t&lt;Tnet,'2022'!Resal+('2022'!Salim-'2022'!Resal)*(1-EXP(('2022'!Tnet-t)/('2022'!Tau_j))),Resal+(Salim-Resal)*(1-EXP((Tnet-t)/(Tau_j))))*Salcycl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3.3686372164442761E-6</v>
      </c>
      <c r="Q147" s="301">
        <f t="shared" si="53"/>
        <v>0.5</v>
      </c>
      <c r="R147" s="173">
        <f t="shared" si="54"/>
        <v>0.61350969620771933</v>
      </c>
      <c r="S147" s="802">
        <f t="shared" si="55"/>
        <v>0</v>
      </c>
      <c r="T147" s="172">
        <f t="shared" si="56"/>
        <v>6</v>
      </c>
      <c r="U147" s="247">
        <f t="shared" si="57"/>
        <v>0.61350969620771933</v>
      </c>
      <c r="V147" s="378">
        <f t="shared" si="58"/>
        <v>62.987350096175092</v>
      </c>
      <c r="W147" s="397">
        <f t="shared" si="59"/>
        <v>50.828861982293461</v>
      </c>
      <c r="X147" s="153">
        <f t="shared" si="60"/>
        <v>45059</v>
      </c>
      <c r="Y147" s="380">
        <f t="shared" si="61"/>
        <v>49.270444834171713</v>
      </c>
      <c r="Z147" s="380">
        <f t="shared" si="62"/>
        <v>49.633972781367078</v>
      </c>
      <c r="AA147" s="381">
        <f t="shared" si="63"/>
        <v>51.253188193262716</v>
      </c>
      <c r="AB147" s="193">
        <f t="shared" si="64"/>
        <v>45059</v>
      </c>
      <c r="AC147" s="420">
        <f>IF(OR(t&lt;Tnet,NoTnet),'2022'!Resal_s+('2022'!Salim-'2022'!Resal_s)*(1-EXP(('2022'!Tnet_s-t)/'2022'!Tau_j)),Resal_s+(Salim-Resal_s)*(1-EXP((Tnet_s-t)/Tau_j)))*Salcycl</f>
        <v>3.1592481735770027E-2</v>
      </c>
      <c r="AD147" s="227">
        <f>(INDEX(Models!$BJ147:$BT147,,AH147)*(1-AF147)+INDEX(Models!$BJ147:$BT147,,AH147+1)*AF147-ERP_i)*AE147*Ramure*Pc/MaxiM</f>
        <v>3.3686372164442761E-6</v>
      </c>
      <c r="AE147" s="301">
        <f t="shared" si="65"/>
        <v>0.5</v>
      </c>
      <c r="AF147" s="173">
        <f t="shared" si="66"/>
        <v>0.61350969620771933</v>
      </c>
      <c r="AG147" s="172">
        <f t="shared" si="67"/>
        <v>0</v>
      </c>
      <c r="AH147" s="172">
        <f t="shared" si="68"/>
        <v>6</v>
      </c>
      <c r="AI147" s="221">
        <f t="shared" si="69"/>
        <v>0.61350969620771933</v>
      </c>
      <c r="AJ147" s="261" t="b">
        <f t="shared" si="70"/>
        <v>0</v>
      </c>
      <c r="AK147" s="261" t="b">
        <f t="shared" si="71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2"/>
        <v>45060</v>
      </c>
      <c r="B148" s="406">
        <f>'2022'!Wh/'2022'!Env_an*'2023'!Env_an</f>
        <v>56.903835008634793</v>
      </c>
      <c r="C148" s="385"/>
      <c r="D148" s="388">
        <f t="shared" si="50"/>
        <v>57.3244684754197</v>
      </c>
      <c r="E148" s="380">
        <f t="shared" si="73"/>
        <v>57.383923332851012</v>
      </c>
      <c r="F148" s="380">
        <f t="shared" si="51"/>
        <v>57.384080776637653</v>
      </c>
      <c r="G148" s="110">
        <f t="shared" si="74"/>
        <v>0.90175074252926435</v>
      </c>
      <c r="H148" s="409" t="b">
        <f>Wh_hp&gt;='2022'!Maxi_hp</f>
        <v>0</v>
      </c>
      <c r="I148" s="385">
        <f>IF(H148,Wh_hp,'2022'!Maxi_hp)</f>
        <v>57.384101419419501</v>
      </c>
      <c r="J148" s="85">
        <f>IF(H148,An,'2022'!An_max)</f>
        <v>2022</v>
      </c>
      <c r="K148" s="193">
        <f t="shared" si="52"/>
        <v>45060</v>
      </c>
      <c r="L148" s="143">
        <f>IF(t&lt;Tvie,1-EXP((T0-t)*PertePVj)+'2022'!Pspv,1-EXP((T0-t)*PertePVj)+Pspv)</f>
        <v>7.3377647969866677E-3</v>
      </c>
      <c r="M148" s="836"/>
      <c r="N148" s="836"/>
      <c r="O148" s="48">
        <f>IF(t&lt;Tnet,'2022'!Resal+('2022'!Salim-'2022'!Resal)*(1-EXP(('2022'!Tnet-t)/('2022'!Tau_j))),Resal+(Salim-Resal)*(1-EXP((Tnet-t)/(Tau_j))))*Salcycl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3.1916496378525531E-6</v>
      </c>
      <c r="Q148" s="301">
        <f t="shared" si="53"/>
        <v>0.5</v>
      </c>
      <c r="R148" s="173">
        <f t="shared" si="54"/>
        <v>0.61730798777332174</v>
      </c>
      <c r="S148" s="802">
        <f t="shared" si="55"/>
        <v>0</v>
      </c>
      <c r="T148" s="172">
        <f t="shared" si="56"/>
        <v>6</v>
      </c>
      <c r="U148" s="247">
        <f t="shared" si="57"/>
        <v>0.61730798777332174</v>
      </c>
      <c r="V148" s="378">
        <f t="shared" si="58"/>
        <v>63.103701315508218</v>
      </c>
      <c r="W148" s="397">
        <f t="shared" si="59"/>
        <v>56.903835008634793</v>
      </c>
      <c r="X148" s="153">
        <f t="shared" si="60"/>
        <v>45060</v>
      </c>
      <c r="Y148" s="380">
        <f t="shared" si="61"/>
        <v>55.159477722649413</v>
      </c>
      <c r="Z148" s="380">
        <f t="shared" si="62"/>
        <v>55.567216890615896</v>
      </c>
      <c r="AA148" s="381">
        <f t="shared" si="63"/>
        <v>57.383923332851012</v>
      </c>
      <c r="AB148" s="193">
        <f t="shared" si="64"/>
        <v>45060</v>
      </c>
      <c r="AC148" s="420">
        <f>IF(OR(t&lt;Tnet,NoTnet),'2022'!Resal_s+('2022'!Salim-'2022'!Resal_s)*(1-EXP(('2022'!Tnet_s-t)/'2022'!Tau_j)),Resal_s+(Salim-Resal_s)*(1-EXP((Tnet_s-t)/Tau_j)))*Salcycl</f>
        <v>3.165880505760215E-2</v>
      </c>
      <c r="AD148" s="227">
        <f>(INDEX(Models!$BJ148:$BT148,,AH148)*(1-AF148)+INDEX(Models!$BJ148:$BT148,,AH148+1)*AF148-ERP_i)*AE148*Ramure*Pc/MaxiM</f>
        <v>3.1916496378525531E-6</v>
      </c>
      <c r="AE148" s="301">
        <f t="shared" si="65"/>
        <v>0.5</v>
      </c>
      <c r="AF148" s="173">
        <f t="shared" si="66"/>
        <v>0.61730798777332174</v>
      </c>
      <c r="AG148" s="172">
        <f t="shared" si="67"/>
        <v>0</v>
      </c>
      <c r="AH148" s="172">
        <f t="shared" si="68"/>
        <v>6</v>
      </c>
      <c r="AI148" s="221">
        <f t="shared" si="69"/>
        <v>0.61730798777332174</v>
      </c>
      <c r="AJ148" s="261" t="b">
        <f t="shared" si="70"/>
        <v>0</v>
      </c>
      <c r="AK148" s="261" t="b">
        <f t="shared" si="71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2"/>
        <v>45061</v>
      </c>
      <c r="B149" s="406">
        <f>'2022'!Wh/'2022'!Env_an*'2023'!Env_an</f>
        <v>58.740634946860602</v>
      </c>
      <c r="C149" s="385"/>
      <c r="D149" s="388">
        <f t="shared" si="50"/>
        <v>59.175656114105301</v>
      </c>
      <c r="E149" s="380">
        <f t="shared" si="73"/>
        <v>59.241433442617364</v>
      </c>
      <c r="F149" s="380">
        <f t="shared" si="51"/>
        <v>59.241595689322935</v>
      </c>
      <c r="G149" s="110">
        <f t="shared" si="74"/>
        <v>0.92921309629388438</v>
      </c>
      <c r="H149" s="409" t="b">
        <f>Wh_hp&gt;='2022'!Maxi_hp</f>
        <v>0</v>
      </c>
      <c r="I149" s="385">
        <f>IF(H149,Wh_hp,'2022'!Maxi_hp)</f>
        <v>59.241610255931469</v>
      </c>
      <c r="J149" s="85">
        <f>IF(H149,An,'2022'!An_max)</f>
        <v>2022</v>
      </c>
      <c r="K149" s="193">
        <f t="shared" si="52"/>
        <v>45061</v>
      </c>
      <c r="L149" s="143">
        <f>IF(t&lt;Tvie,1-EXP((T0-t)*PertePVj)+'2022'!Pspv,1-EXP((T0-t)*PertePVj)+Pspv)</f>
        <v>7.3513535093868709E-3</v>
      </c>
      <c r="M149" s="836"/>
      <c r="N149" s="836"/>
      <c r="O149" s="48">
        <f>IF(t&lt;Tnet,'2022'!Resal+('2022'!Salim-'2022'!Resal)*(1-EXP(('2022'!Tnet-t)/('2022'!Tau_j))),Resal+(Salim-Resal)*(1-EXP((Tnet-t)/(Tau_j))))*Salcycl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3.0468370524576506E-6</v>
      </c>
      <c r="Q149" s="301">
        <f t="shared" si="53"/>
        <v>0.5</v>
      </c>
      <c r="R149" s="173">
        <f t="shared" si="54"/>
        <v>0.6211857794883614</v>
      </c>
      <c r="S149" s="802">
        <f t="shared" si="55"/>
        <v>0</v>
      </c>
      <c r="T149" s="172">
        <f t="shared" si="56"/>
        <v>6</v>
      </c>
      <c r="U149" s="247">
        <f t="shared" si="57"/>
        <v>0.6211857794883614</v>
      </c>
      <c r="V149" s="378">
        <f t="shared" si="58"/>
        <v>63.215442273318509</v>
      </c>
      <c r="W149" s="397">
        <f t="shared" si="59"/>
        <v>58.740634946860602</v>
      </c>
      <c r="X149" s="153">
        <f t="shared" si="60"/>
        <v>45061</v>
      </c>
      <c r="Y149" s="380">
        <f t="shared" si="61"/>
        <v>56.940287121894329</v>
      </c>
      <c r="Z149" s="380">
        <f t="shared" si="62"/>
        <v>57.361975280175614</v>
      </c>
      <c r="AA149" s="381">
        <f t="shared" si="63"/>
        <v>59.241433442617364</v>
      </c>
      <c r="AB149" s="193">
        <f t="shared" si="64"/>
        <v>45061</v>
      </c>
      <c r="AC149" s="420">
        <f>IF(OR(t&lt;Tnet,NoTnet),'2022'!Resal_s+('2022'!Salim-'2022'!Resal_s)*(1-EXP(('2022'!Tnet_s-t)/'2022'!Tau_j)),Resal_s+(Salim-Resal_s)*(1-EXP((Tnet_s-t)/Tau_j)))*Salcycl</f>
        <v>3.1725399829533769E-2</v>
      </c>
      <c r="AD149" s="227">
        <f>(INDEX(Models!$BJ149:$BT149,,AH149)*(1-AF149)+INDEX(Models!$BJ149:$BT149,,AH149+1)*AF149-ERP_i)*AE149*Ramure*Pc/MaxiM</f>
        <v>3.0468370524576506E-6</v>
      </c>
      <c r="AE149" s="301">
        <f t="shared" si="65"/>
        <v>0.5</v>
      </c>
      <c r="AF149" s="173">
        <f t="shared" si="66"/>
        <v>0.6211857794883614</v>
      </c>
      <c r="AG149" s="172">
        <f t="shared" si="67"/>
        <v>0</v>
      </c>
      <c r="AH149" s="172">
        <f t="shared" si="68"/>
        <v>6</v>
      </c>
      <c r="AI149" s="221">
        <f t="shared" si="69"/>
        <v>0.6211857794883614</v>
      </c>
      <c r="AJ149" s="261" t="b">
        <f t="shared" si="70"/>
        <v>0</v>
      </c>
      <c r="AK149" s="261" t="b">
        <f t="shared" si="71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2"/>
        <v>45062</v>
      </c>
      <c r="B150" s="406">
        <f>'2022'!Wh/'2022'!Env_an*'2023'!Env_an</f>
        <v>57.410641419190291</v>
      </c>
      <c r="C150" s="385"/>
      <c r="D150" s="388">
        <f t="shared" si="50"/>
        <v>57.836604660057297</v>
      </c>
      <c r="E150" s="380">
        <f t="shared" si="73"/>
        <v>57.905199324226309</v>
      </c>
      <c r="F150" s="380">
        <f t="shared" si="51"/>
        <v>57.90534657188438</v>
      </c>
      <c r="G150" s="110">
        <f t="shared" si="74"/>
        <v>0.90665556787952983</v>
      </c>
      <c r="H150" s="409" t="b">
        <f>Wh_hp&gt;='2022'!Maxi_hp</f>
        <v>0</v>
      </c>
      <c r="I150" s="385">
        <f>IF(H150,Wh_hp,'2022'!Maxi_hp)</f>
        <v>57.905364539166378</v>
      </c>
      <c r="J150" s="85">
        <f>IF(H150,An,'2022'!An_max)</f>
        <v>2022</v>
      </c>
      <c r="K150" s="193">
        <f t="shared" si="52"/>
        <v>45062</v>
      </c>
      <c r="L150" s="143">
        <f>IF(t&lt;Tvie,1-EXP((T0-t)*PertePVj)+'2022'!Pspv,1-EXP((T0-t)*PertePVj)+Pspv)</f>
        <v>7.3649420357689843E-3</v>
      </c>
      <c r="M150" s="836"/>
      <c r="N150" s="836"/>
      <c r="O150" s="48">
        <f>IF(t&lt;Tnet,'2022'!Resal+('2022'!Salim-'2022'!Resal)*(1-EXP(('2022'!Tnet-t)/('2022'!Tau_j))),Resal+(Salim-Resal)*(1-EXP((Tnet-t)/(Tau_j))))*Salcycl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2.9341703828647695E-6</v>
      </c>
      <c r="Q150" s="301">
        <f t="shared" si="53"/>
        <v>0.5</v>
      </c>
      <c r="R150" s="173">
        <f t="shared" si="54"/>
        <v>0.62514221694948746</v>
      </c>
      <c r="S150" s="802">
        <f t="shared" si="55"/>
        <v>0</v>
      </c>
      <c r="T150" s="172">
        <f t="shared" si="56"/>
        <v>6</v>
      </c>
      <c r="U150" s="247">
        <f t="shared" si="57"/>
        <v>0.62514221694948746</v>
      </c>
      <c r="V150" s="378">
        <f t="shared" si="58"/>
        <v>63.321310749209239</v>
      </c>
      <c r="W150" s="397">
        <f t="shared" si="59"/>
        <v>57.410641419190291</v>
      </c>
      <c r="X150" s="153">
        <f t="shared" si="60"/>
        <v>45062</v>
      </c>
      <c r="Y150" s="380">
        <f t="shared" si="61"/>
        <v>55.651352866126807</v>
      </c>
      <c r="Z150" s="380">
        <f t="shared" si="62"/>
        <v>56.064262912757378</v>
      </c>
      <c r="AA150" s="381">
        <f t="shared" si="63"/>
        <v>57.905199324226309</v>
      </c>
      <c r="AB150" s="193">
        <f t="shared" si="64"/>
        <v>45062</v>
      </c>
      <c r="AC150" s="420">
        <f>IF(OR(t&lt;Tnet,NoTnet),'2022'!Resal_s+('2022'!Salim-'2022'!Resal_s)*(1-EXP(('2022'!Tnet_s-t)/'2022'!Tau_j)),Resal_s+(Salim-Resal_s)*(1-EXP((Tnet_s-t)/Tau_j)))*Salcycl</f>
        <v>3.1792247206698154E-2</v>
      </c>
      <c r="AD150" s="227">
        <f>(INDEX(Models!$BJ150:$BT150,,AH150)*(1-AF150)+INDEX(Models!$BJ150:$BT150,,AH150+1)*AF150-ERP_i)*AE150*Ramure*Pc/MaxiM</f>
        <v>2.9341703828647695E-6</v>
      </c>
      <c r="AE150" s="301">
        <f t="shared" si="65"/>
        <v>0.5</v>
      </c>
      <c r="AF150" s="173">
        <f t="shared" si="66"/>
        <v>0.62514221694948746</v>
      </c>
      <c r="AG150" s="172">
        <f t="shared" si="67"/>
        <v>0</v>
      </c>
      <c r="AH150" s="172">
        <f t="shared" si="68"/>
        <v>6</v>
      </c>
      <c r="AI150" s="221">
        <f t="shared" si="69"/>
        <v>0.62514221694948746</v>
      </c>
      <c r="AJ150" s="261" t="b">
        <f t="shared" si="70"/>
        <v>0</v>
      </c>
      <c r="AK150" s="261" t="b">
        <f t="shared" si="71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2"/>
        <v>45063</v>
      </c>
      <c r="B151" s="406">
        <f>'2022'!Wh/'2022'!Env_an*'2023'!Env_an</f>
        <v>61.311684966159852</v>
      </c>
      <c r="C151" s="385"/>
      <c r="D151" s="388">
        <f t="shared" si="50"/>
        <v>61.767437882834415</v>
      </c>
      <c r="E151" s="380">
        <f t="shared" si="73"/>
        <v>61.845296108863479</v>
      </c>
      <c r="F151" s="380">
        <f t="shared" si="51"/>
        <v>61.845463008144272</v>
      </c>
      <c r="G151" s="110">
        <f t="shared" si="74"/>
        <v>0.96673291420220675</v>
      </c>
      <c r="H151" s="409" t="b">
        <f>Wh_hp&gt;='2022'!Maxi_hp</f>
        <v>0</v>
      </c>
      <c r="I151" s="385">
        <f>IF(H151,Wh_hp,'2022'!Maxi_hp)</f>
        <v>61.845469570151174</v>
      </c>
      <c r="J151" s="85">
        <f>IF(H151,An,'2022'!An_max)</f>
        <v>2022</v>
      </c>
      <c r="K151" s="193">
        <f t="shared" si="52"/>
        <v>45063</v>
      </c>
      <c r="L151" s="143">
        <f>IF(t&lt;Tvie,1-EXP((T0-t)*PertePVj)+'2022'!Pspv,1-EXP((T0-t)*PertePVj)+Pspv)</f>
        <v>7.3785303761355614E-3</v>
      </c>
      <c r="M151" s="836"/>
      <c r="N151" s="836"/>
      <c r="O151" s="48">
        <f>IF(t&lt;Tnet,'2022'!Resal+('2022'!Salim-'2022'!Resal)*(1-EXP(('2022'!Tnet-t)/('2022'!Tau_j))),Resal+(Salim-Resal)*(1-EXP((Tnet-t)/(Tau_j))))*Salcycl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2.8333007723281163E-6</v>
      </c>
      <c r="Q151" s="301">
        <f t="shared" si="53"/>
        <v>0.5</v>
      </c>
      <c r="R151" s="173">
        <f t="shared" si="54"/>
        <v>0.6291762753094613</v>
      </c>
      <c r="S151" s="802">
        <f t="shared" si="55"/>
        <v>0</v>
      </c>
      <c r="T151" s="172">
        <f t="shared" si="56"/>
        <v>6</v>
      </c>
      <c r="U151" s="247">
        <f t="shared" si="57"/>
        <v>0.6291762753094613</v>
      </c>
      <c r="V151" s="378">
        <f t="shared" si="58"/>
        <v>63.421526059336635</v>
      </c>
      <c r="W151" s="397">
        <f t="shared" si="59"/>
        <v>61.311684966159852</v>
      </c>
      <c r="X151" s="153">
        <f t="shared" si="60"/>
        <v>45063</v>
      </c>
      <c r="Y151" s="380">
        <f t="shared" si="61"/>
        <v>59.433157466329625</v>
      </c>
      <c r="Z151" s="380">
        <f t="shared" si="62"/>
        <v>59.874946578428052</v>
      </c>
      <c r="AA151" s="381">
        <f t="shared" si="63"/>
        <v>61.845296108863479</v>
      </c>
      <c r="AB151" s="193">
        <f t="shared" si="64"/>
        <v>45063</v>
      </c>
      <c r="AC151" s="420">
        <f>IF(OR(t&lt;Tnet,NoTnet),'2022'!Resal_s+('2022'!Salim-'2022'!Resal_s)*(1-EXP(('2022'!Tnet_s-t)/'2022'!Tau_j)),Resal_s+(Salim-Resal_s)*(1-EXP((Tnet_s-t)/Tau_j)))*Salcycl</f>
        <v>3.185932729575925E-2</v>
      </c>
      <c r="AD151" s="227">
        <f>(INDEX(Models!$BJ151:$BT151,,AH151)*(1-AF151)+INDEX(Models!$BJ151:$BT151,,AH151+1)*AF151-ERP_i)*AE151*Ramure*Pc/MaxiM</f>
        <v>2.8333007723281163E-6</v>
      </c>
      <c r="AE151" s="301">
        <f t="shared" si="65"/>
        <v>0.5</v>
      </c>
      <c r="AF151" s="173">
        <f t="shared" si="66"/>
        <v>0.6291762753094613</v>
      </c>
      <c r="AG151" s="172">
        <f t="shared" si="67"/>
        <v>0</v>
      </c>
      <c r="AH151" s="172">
        <f t="shared" si="68"/>
        <v>6</v>
      </c>
      <c r="AI151" s="221">
        <f t="shared" si="69"/>
        <v>0.6291762753094613</v>
      </c>
      <c r="AJ151" s="261" t="b">
        <f t="shared" si="70"/>
        <v>0</v>
      </c>
      <c r="AK151" s="261" t="b">
        <f t="shared" si="71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2"/>
        <v>45064</v>
      </c>
      <c r="B152" s="406">
        <f>'2022'!Wh/'2022'!Env_an*'2023'!Env_an</f>
        <v>58.540149604119961</v>
      </c>
      <c r="C152" s="385"/>
      <c r="D152" s="388">
        <f t="shared" si="50"/>
        <v>58.976107984810611</v>
      </c>
      <c r="E152" s="380">
        <f t="shared" si="73"/>
        <v>59.054844375597284</v>
      </c>
      <c r="F152" s="380">
        <f t="shared" si="51"/>
        <v>59.054988316089592</v>
      </c>
      <c r="G152" s="110">
        <f t="shared" si="74"/>
        <v>0.92165516483500254</v>
      </c>
      <c r="H152" s="409" t="b">
        <f>Wh_hp&gt;='2022'!Maxi_hp</f>
        <v>0</v>
      </c>
      <c r="I152" s="385">
        <f>IF(H152,Wh_hp,'2022'!Maxi_hp)</f>
        <v>59.055002518702814</v>
      </c>
      <c r="J152" s="85">
        <f>IF(H152,An,'2022'!An_max)</f>
        <v>2022</v>
      </c>
      <c r="K152" s="193">
        <f t="shared" si="52"/>
        <v>45064</v>
      </c>
      <c r="L152" s="143">
        <f>IF(t&lt;Tvie,1-EXP((T0-t)*PertePVj)+'2022'!Pspv,1-EXP((T0-t)*PertePVj)+Pspv)</f>
        <v>7.3921185304891557E-3</v>
      </c>
      <c r="M152" s="836"/>
      <c r="N152" s="836"/>
      <c r="O152" s="48">
        <f>IF(t&lt;Tnet,'2022'!Resal+('2022'!Salim-'2022'!Resal)*(1-EXP(('2022'!Tnet-t)/('2022'!Tau_j))),Resal+(Salim-Resal)*(1-EXP((Tnet-t)/(Tau_j))))*Salcycl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2.7445724010969041E-6</v>
      </c>
      <c r="Q152" s="301">
        <f t="shared" si="53"/>
        <v>0.5</v>
      </c>
      <c r="R152" s="173">
        <f t="shared" si="54"/>
        <v>0.6332867555334184</v>
      </c>
      <c r="S152" s="802">
        <f t="shared" si="55"/>
        <v>0</v>
      </c>
      <c r="T152" s="172">
        <f t="shared" si="56"/>
        <v>6</v>
      </c>
      <c r="U152" s="247">
        <f t="shared" si="57"/>
        <v>0.6332867555334184</v>
      </c>
      <c r="V152" s="378">
        <f t="shared" si="58"/>
        <v>63.51630615828298</v>
      </c>
      <c r="W152" s="397">
        <f t="shared" si="59"/>
        <v>58.540149604119961</v>
      </c>
      <c r="X152" s="153">
        <f t="shared" si="60"/>
        <v>45064</v>
      </c>
      <c r="Y152" s="380">
        <f t="shared" si="61"/>
        <v>56.746819698090057</v>
      </c>
      <c r="Z152" s="380">
        <f t="shared" si="62"/>
        <v>57.16942284810289</v>
      </c>
      <c r="AA152" s="381">
        <f t="shared" si="63"/>
        <v>59.054844375597284</v>
      </c>
      <c r="AB152" s="193">
        <f t="shared" si="64"/>
        <v>45064</v>
      </c>
      <c r="AC152" s="420">
        <f>IF(OR(t&lt;Tnet,NoTnet),'2022'!Resal_s+('2022'!Salim-'2022'!Resal_s)*(1-EXP(('2022'!Tnet_s-t)/'2022'!Tau_j)),Resal_s+(Salim-Resal_s)*(1-EXP((Tnet_s-t)/Tau_j)))*Salcycl</f>
        <v>3.1926619186443815E-2</v>
      </c>
      <c r="AD152" s="227">
        <f>(INDEX(Models!$BJ152:$BT152,,AH152)*(1-AF152)+INDEX(Models!$BJ152:$BT152,,AH152+1)*AF152-ERP_i)*AE152*Ramure*Pc/MaxiM</f>
        <v>2.7445724010969041E-6</v>
      </c>
      <c r="AE152" s="301">
        <f t="shared" si="65"/>
        <v>0.5</v>
      </c>
      <c r="AF152" s="173">
        <f t="shared" si="66"/>
        <v>0.6332867555334184</v>
      </c>
      <c r="AG152" s="172">
        <f t="shared" si="67"/>
        <v>0</v>
      </c>
      <c r="AH152" s="172">
        <f t="shared" si="68"/>
        <v>6</v>
      </c>
      <c r="AI152" s="221">
        <f t="shared" si="69"/>
        <v>0.6332867555334184</v>
      </c>
      <c r="AJ152" s="261" t="b">
        <f t="shared" si="70"/>
        <v>0</v>
      </c>
      <c r="AK152" s="261" t="b">
        <f t="shared" si="71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2"/>
        <v>45065</v>
      </c>
      <c r="B153" s="406">
        <f>'2022'!Wh/'2022'!Env_an*'2023'!Env_an</f>
        <v>57.289643129600748</v>
      </c>
      <c r="C153" s="385"/>
      <c r="D153" s="388">
        <f t="shared" si="50"/>
        <v>57.717078875724319</v>
      </c>
      <c r="E153" s="380">
        <f t="shared" si="73"/>
        <v>57.798440174794145</v>
      </c>
      <c r="F153" s="380">
        <f t="shared" si="51"/>
        <v>57.79857252326574</v>
      </c>
      <c r="G153" s="110">
        <f t="shared" si="74"/>
        <v>0.90069709598244896</v>
      </c>
      <c r="H153" s="409" t="b">
        <f>Wh_hp&gt;='2022'!Maxi_hp</f>
        <v>0</v>
      </c>
      <c r="I153" s="385">
        <f>IF(H153,Wh_hp,'2022'!Maxi_hp)</f>
        <v>57.798589542149266</v>
      </c>
      <c r="J153" s="85">
        <f>IF(H153,An,'2022'!An_max)</f>
        <v>2022</v>
      </c>
      <c r="K153" s="193">
        <f t="shared" si="52"/>
        <v>45065</v>
      </c>
      <c r="L153" s="143">
        <f>IF(t&lt;Tvie,1-EXP((T0-t)*PertePVj)+'2022'!Pspv,1-EXP((T0-t)*PertePVj)+Pspv)</f>
        <v>7.4057064988323207E-3</v>
      </c>
      <c r="M153" s="836"/>
      <c r="N153" s="836"/>
      <c r="O153" s="48">
        <f>IF(t&lt;Tnet,'2022'!Resal+('2022'!Salim-'2022'!Resal)*(1-EXP(('2022'!Tnet-t)/('2022'!Tau_j))),Resal+(Salim-Resal)*(1-EXP((Tnet-t)/(Tau_j))))*Salcycl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2.6683578931108586E-6</v>
      </c>
      <c r="Q153" s="301">
        <f t="shared" si="53"/>
        <v>0.5</v>
      </c>
      <c r="R153" s="173">
        <f t="shared" si="54"/>
        <v>0.63747228130071487</v>
      </c>
      <c r="S153" s="802">
        <f t="shared" si="55"/>
        <v>0</v>
      </c>
      <c r="T153" s="172">
        <f t="shared" si="56"/>
        <v>6</v>
      </c>
      <c r="U153" s="247">
        <f t="shared" si="57"/>
        <v>0.63747228130071487</v>
      </c>
      <c r="V153" s="378">
        <f t="shared" si="58"/>
        <v>63.605868941881909</v>
      </c>
      <c r="W153" s="397">
        <f t="shared" si="59"/>
        <v>57.289643129600748</v>
      </c>
      <c r="X153" s="153">
        <f t="shared" si="60"/>
        <v>45065</v>
      </c>
      <c r="Y153" s="380">
        <f t="shared" si="61"/>
        <v>55.534887458882217</v>
      </c>
      <c r="Z153" s="380">
        <f t="shared" si="62"/>
        <v>55.949231042820706</v>
      </c>
      <c r="AA153" s="381">
        <f t="shared" si="63"/>
        <v>57.798440174794145</v>
      </c>
      <c r="AB153" s="193">
        <f t="shared" si="64"/>
        <v>45065</v>
      </c>
      <c r="AC153" s="420">
        <f>IF(OR(t&lt;Tnet,NoTnet),'2022'!Resal_s+('2022'!Salim-'2022'!Resal_s)*(1-EXP(('2022'!Tnet_s-t)/'2022'!Tau_j)),Resal_s+(Salim-Resal_s)*(1-EXP((Tnet_s-t)/Tau_j)))*Salcycl</f>
        <v>3.1994100989249201E-2</v>
      </c>
      <c r="AD153" s="227">
        <f>(INDEX(Models!$BJ153:$BT153,,AH153)*(1-AF153)+INDEX(Models!$BJ153:$BT153,,AH153+1)*AF153-ERP_i)*AE153*Ramure*Pc/MaxiM</f>
        <v>2.6683578931108586E-6</v>
      </c>
      <c r="AE153" s="301">
        <f t="shared" si="65"/>
        <v>0.5</v>
      </c>
      <c r="AF153" s="173">
        <f t="shared" si="66"/>
        <v>0.63747228130071487</v>
      </c>
      <c r="AG153" s="172">
        <f t="shared" si="67"/>
        <v>0</v>
      </c>
      <c r="AH153" s="172">
        <f t="shared" si="68"/>
        <v>6</v>
      </c>
      <c r="AI153" s="221">
        <f t="shared" si="69"/>
        <v>0.63747228130071487</v>
      </c>
      <c r="AJ153" s="261" t="b">
        <f t="shared" si="70"/>
        <v>0</v>
      </c>
      <c r="AK153" s="261" t="b">
        <f t="shared" si="71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2"/>
        <v>45066</v>
      </c>
      <c r="B154" s="406">
        <f>'2022'!Wh/'2022'!Env_an*'2023'!Env_an</f>
        <v>54.447710224083167</v>
      </c>
      <c r="C154" s="385"/>
      <c r="D154" s="388">
        <f t="shared" si="50"/>
        <v>54.854693336650982</v>
      </c>
      <c r="E154" s="380">
        <f t="shared" si="73"/>
        <v>54.936114739954554</v>
      </c>
      <c r="F154" s="380">
        <f t="shared" si="51"/>
        <v>54.936228182924459</v>
      </c>
      <c r="G154" s="110">
        <f t="shared" si="74"/>
        <v>0.85488006448798382</v>
      </c>
      <c r="H154" s="409" t="b">
        <f>Wh_hp&gt;='2022'!Maxi_hp</f>
        <v>0</v>
      </c>
      <c r="I154" s="385">
        <f>IF(H154,Wh_hp,'2022'!Maxi_hp)</f>
        <v>54.936251111183481</v>
      </c>
      <c r="J154" s="85">
        <f>IF(H154,An,'2022'!An_max)</f>
        <v>2022</v>
      </c>
      <c r="K154" s="193">
        <f t="shared" si="52"/>
        <v>45066</v>
      </c>
      <c r="L154" s="143">
        <f>IF(t&lt;Tvie,1-EXP((T0-t)*PertePVj)+'2022'!Pspv,1-EXP((T0-t)*PertePVj)+Pspv)</f>
        <v>7.4192942811676099E-3</v>
      </c>
      <c r="M154" s="836"/>
      <c r="N154" s="836"/>
      <c r="O154" s="48">
        <f>IF(t&lt;Tnet,'2022'!Resal+('2022'!Salim-'2022'!Resal)*(1-EXP(('2022'!Tnet-t)/('2022'!Tau_j))),Resal+(Salim-Resal)*(1-EXP((Tnet-t)/(Tau_j))))*Salcycl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2.6050574548895306E-6</v>
      </c>
      <c r="Q154" s="301">
        <f t="shared" si="53"/>
        <v>0.5</v>
      </c>
      <c r="R154" s="173">
        <f t="shared" si="54"/>
        <v>0.64173129660837558</v>
      </c>
      <c r="S154" s="802">
        <f t="shared" si="55"/>
        <v>0</v>
      </c>
      <c r="T154" s="172">
        <f t="shared" si="56"/>
        <v>6</v>
      </c>
      <c r="U154" s="247">
        <f t="shared" si="57"/>
        <v>0.64173129660837558</v>
      </c>
      <c r="V154" s="378">
        <f t="shared" si="58"/>
        <v>63.690432237886974</v>
      </c>
      <c r="W154" s="397">
        <f t="shared" si="59"/>
        <v>54.447710224083167</v>
      </c>
      <c r="X154" s="153">
        <f t="shared" si="60"/>
        <v>45066</v>
      </c>
      <c r="Y154" s="380">
        <f t="shared" si="61"/>
        <v>52.780247526819494</v>
      </c>
      <c r="Z154" s="380">
        <f t="shared" si="62"/>
        <v>53.174766769817218</v>
      </c>
      <c r="AA154" s="381">
        <f t="shared" si="63"/>
        <v>54.936114739954554</v>
      </c>
      <c r="AB154" s="193">
        <f t="shared" si="64"/>
        <v>45066</v>
      </c>
      <c r="AC154" s="420">
        <f>IF(OR(t&lt;Tnet,NoTnet),'2022'!Resal_s+('2022'!Salim-'2022'!Resal_s)*(1-EXP(('2022'!Tnet_s-t)/'2022'!Tau_j)),Resal_s+(Salim-Resal_s)*(1-EXP((Tnet_s-t)/Tau_j)))*Salcycl</f>
        <v>3.2061749879379937E-2</v>
      </c>
      <c r="AD154" s="227">
        <f>(INDEX(Models!$BJ154:$BT154,,AH154)*(1-AF154)+INDEX(Models!$BJ154:$BT154,,AH154+1)*AF154-ERP_i)*AE154*Ramure*Pc/MaxiM</f>
        <v>2.6050574548895306E-6</v>
      </c>
      <c r="AE154" s="301">
        <f t="shared" si="65"/>
        <v>0.5</v>
      </c>
      <c r="AF154" s="173">
        <f t="shared" si="66"/>
        <v>0.64173129660837558</v>
      </c>
      <c r="AG154" s="172">
        <f t="shared" si="67"/>
        <v>0</v>
      </c>
      <c r="AH154" s="172">
        <f t="shared" si="68"/>
        <v>6</v>
      </c>
      <c r="AI154" s="221">
        <f t="shared" si="69"/>
        <v>0.64173129660837558</v>
      </c>
      <c r="AJ154" s="261" t="b">
        <f t="shared" si="70"/>
        <v>0</v>
      </c>
      <c r="AK154" s="261" t="b">
        <f t="shared" si="71"/>
        <v>0</v>
      </c>
      <c r="AL154" s="261"/>
      <c r="AM154" s="261"/>
      <c r="AN154" s="75"/>
    </row>
    <row r="155" spans="1:40" s="6" customFormat="1" ht="11.25" x14ac:dyDescent="0.2">
      <c r="A155" s="56">
        <f t="shared" si="72"/>
        <v>45067</v>
      </c>
      <c r="B155" s="406">
        <f>'2022'!Wh/'2022'!Env_an*'2023'!Env_an</f>
        <v>57.018862455780706</v>
      </c>
      <c r="C155" s="385"/>
      <c r="D155" s="388">
        <f t="shared" si="50"/>
        <v>57.445850678224318</v>
      </c>
      <c r="E155" s="380">
        <f t="shared" si="73"/>
        <v>57.535409653108346</v>
      </c>
      <c r="F155" s="380">
        <f t="shared" si="51"/>
        <v>57.535534427984764</v>
      </c>
      <c r="G155" s="110">
        <f t="shared" si="74"/>
        <v>0.89412967289747014</v>
      </c>
      <c r="H155" s="409" t="b">
        <f>Wh_hp&gt;='2022'!Maxi_hp</f>
        <v>0</v>
      </c>
      <c r="I155" s="385">
        <f>IF(H155,Wh_hp,'2022'!Maxi_hp)</f>
        <v>57.535551497709676</v>
      </c>
      <c r="J155" s="85">
        <f>IF(H155,An,'2022'!An_max)</f>
        <v>2022</v>
      </c>
      <c r="K155" s="193">
        <f t="shared" si="52"/>
        <v>45067</v>
      </c>
      <c r="L155" s="143">
        <f>IF(t&lt;Tvie,1-EXP((T0-t)*PertePVj)+'2022'!Pspv,1-EXP((T0-t)*PertePVj)+Pspv)</f>
        <v>7.4328818774976879E-3</v>
      </c>
      <c r="M155" s="836"/>
      <c r="N155" s="836"/>
      <c r="O155" s="48">
        <f>IF(t&lt;Tnet,'2022'!Resal+('2022'!Salim-'2022'!Resal)*(1-EXP(('2022'!Tnet-t)/('2022'!Tau_j))),Resal+(Salim-Resal)*(1-EXP((Tnet-t)/(Tau_j))))*Salcycl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2.5550978780122659E-6</v>
      </c>
      <c r="Q155" s="301">
        <f t="shared" si="53"/>
        <v>0.5</v>
      </c>
      <c r="R155" s="173">
        <f t="shared" si="54"/>
        <v>0.64606206412931844</v>
      </c>
      <c r="S155" s="802">
        <f t="shared" si="55"/>
        <v>0</v>
      </c>
      <c r="T155" s="172">
        <f t="shared" si="56"/>
        <v>6</v>
      </c>
      <c r="U155" s="247">
        <f t="shared" si="57"/>
        <v>0.64606206412931844</v>
      </c>
      <c r="V155" s="378">
        <f t="shared" si="58"/>
        <v>63.770213817619933</v>
      </c>
      <c r="W155" s="397">
        <f t="shared" si="59"/>
        <v>57.018862455780706</v>
      </c>
      <c r="X155" s="153">
        <f t="shared" si="60"/>
        <v>45067</v>
      </c>
      <c r="Y155" s="380">
        <f t="shared" si="61"/>
        <v>55.272909704117843</v>
      </c>
      <c r="Z155" s="380">
        <f t="shared" si="62"/>
        <v>55.686823283718816</v>
      </c>
      <c r="AA155" s="381">
        <f t="shared" si="63"/>
        <v>57.535409653108346</v>
      </c>
      <c r="AB155" s="193">
        <f t="shared" si="64"/>
        <v>45067</v>
      </c>
      <c r="AC155" s="420">
        <f>IF(OR(t&lt;Tnet,NoTnet),'2022'!Resal_s+('2022'!Salim-'2022'!Resal_s)*(1-EXP(('2022'!Tnet_s-t)/'2022'!Tau_j)),Resal_s+(Salim-Resal_s)*(1-EXP((Tnet_s-t)/Tau_j)))*Salcycl</f>
        <v>3.2129542146914408E-2</v>
      </c>
      <c r="AD155" s="227">
        <f>(INDEX(Models!$BJ155:$BT155,,AH155)*(1-AF155)+INDEX(Models!$BJ155:$BT155,,AH155+1)*AF155-ERP_i)*AE155*Ramure*Pc/MaxiM</f>
        <v>2.5550978780122659E-6</v>
      </c>
      <c r="AE155" s="301">
        <f t="shared" si="65"/>
        <v>0.5</v>
      </c>
      <c r="AF155" s="173">
        <f t="shared" si="66"/>
        <v>0.64606206412931844</v>
      </c>
      <c r="AG155" s="172">
        <f t="shared" si="67"/>
        <v>0</v>
      </c>
      <c r="AH155" s="172">
        <f t="shared" si="68"/>
        <v>6</v>
      </c>
      <c r="AI155" s="221">
        <f t="shared" si="69"/>
        <v>0.64606206412931844</v>
      </c>
      <c r="AJ155" s="261" t="b">
        <f t="shared" si="70"/>
        <v>0</v>
      </c>
      <c r="AK155" s="261" t="b">
        <f t="shared" si="71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2"/>
        <v>45068</v>
      </c>
      <c r="B156" s="406">
        <f>'2022'!Wh/'2022'!Env_an*'2023'!Env_an</f>
        <v>44.089181919575829</v>
      </c>
      <c r="C156" s="385"/>
      <c r="D156" s="388">
        <f t="shared" si="50"/>
        <v>44.419953740873851</v>
      </c>
      <c r="E156" s="380">
        <f t="shared" si="73"/>
        <v>44.492525800171045</v>
      </c>
      <c r="F156" s="380">
        <f t="shared" si="51"/>
        <v>44.492588265529776</v>
      </c>
      <c r="G156" s="110">
        <f t="shared" si="74"/>
        <v>0.69056049584914692</v>
      </c>
      <c r="H156" s="409" t="b">
        <f>Wh_hp&gt;='2022'!Maxi_hp</f>
        <v>0</v>
      </c>
      <c r="I156" s="385">
        <f>IF(H156,Wh_hp,'2022'!Maxi_hp)</f>
        <v>44.49262600996402</v>
      </c>
      <c r="J156" s="85">
        <f>IF(H156,An,'2022'!An_max)</f>
        <v>2022</v>
      </c>
      <c r="K156" s="193">
        <f t="shared" si="52"/>
        <v>45068</v>
      </c>
      <c r="L156" s="143">
        <f>IF(t&lt;Tvie,1-EXP((T0-t)*PertePVj)+'2022'!Pspv,1-EXP((T0-t)*PertePVj)+Pspv)</f>
        <v>7.4464692878248862E-3</v>
      </c>
      <c r="M156" s="836"/>
      <c r="N156" s="836"/>
      <c r="O156" s="48">
        <f>IF(t&lt;Tnet,'2022'!Resal+('2022'!Salim-'2022'!Resal)*(1-EXP(('2022'!Tnet-t)/('2022'!Tau_j))),Resal+(Salim-Resal)*(1-EXP((Tnet-t)/(Tau_j))))*Salcycl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2.5162885427824476E-6</v>
      </c>
      <c r="Q156" s="301">
        <f t="shared" si="53"/>
        <v>0.5</v>
      </c>
      <c r="R156" s="173">
        <f t="shared" si="54"/>
        <v>0.65046266437487399</v>
      </c>
      <c r="S156" s="802">
        <f t="shared" si="55"/>
        <v>0</v>
      </c>
      <c r="T156" s="172">
        <f t="shared" si="56"/>
        <v>6</v>
      </c>
      <c r="U156" s="247">
        <f t="shared" si="57"/>
        <v>0.65046266437487399</v>
      </c>
      <c r="V156" s="378">
        <f t="shared" si="58"/>
        <v>63.845431562351372</v>
      </c>
      <c r="W156" s="397">
        <f t="shared" si="59"/>
        <v>44.089181919575829</v>
      </c>
      <c r="X156" s="153">
        <f t="shared" si="60"/>
        <v>45068</v>
      </c>
      <c r="Y156" s="380">
        <f t="shared" si="61"/>
        <v>42.739334963634832</v>
      </c>
      <c r="Z156" s="380">
        <f t="shared" si="62"/>
        <v>43.059979780605474</v>
      </c>
      <c r="AA156" s="381">
        <f t="shared" si="63"/>
        <v>44.492525800171045</v>
      </c>
      <c r="AB156" s="193">
        <f t="shared" si="64"/>
        <v>45068</v>
      </c>
      <c r="AC156" s="420">
        <f>IF(OR(t&lt;Tnet,NoTnet),'2022'!Resal_s+('2022'!Salim-'2022'!Resal_s)*(1-EXP(('2022'!Tnet_s-t)/'2022'!Tau_j)),Resal_s+(Salim-Resal_s)*(1-EXP((Tnet_s-t)/Tau_j)))*Salcycl</f>
        <v>3.2197453253149863E-2</v>
      </c>
      <c r="AD156" s="227">
        <f>(INDEX(Models!$BJ156:$BT156,,AH156)*(1-AF156)+INDEX(Models!$BJ156:$BT156,,AH156+1)*AF156-ERP_i)*AE156*Ramure*Pc/MaxiM</f>
        <v>2.5162885427824476E-6</v>
      </c>
      <c r="AE156" s="301">
        <f t="shared" si="65"/>
        <v>0.5</v>
      </c>
      <c r="AF156" s="173">
        <f t="shared" si="66"/>
        <v>0.65046266437487399</v>
      </c>
      <c r="AG156" s="172">
        <f t="shared" si="67"/>
        <v>0</v>
      </c>
      <c r="AH156" s="172">
        <f t="shared" si="68"/>
        <v>6</v>
      </c>
      <c r="AI156" s="221">
        <f t="shared" si="69"/>
        <v>0.65046266437487399</v>
      </c>
      <c r="AJ156" s="261" t="b">
        <f t="shared" si="70"/>
        <v>0</v>
      </c>
      <c r="AK156" s="261" t="b">
        <f t="shared" si="71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2"/>
        <v>45069</v>
      </c>
      <c r="B157" s="406">
        <f>'2022'!Wh/'2022'!Env_an*'2023'!Env_an</f>
        <v>20.978242885171117</v>
      </c>
      <c r="C157" s="385"/>
      <c r="D157" s="388">
        <f t="shared" si="50"/>
        <v>21.135918028096928</v>
      </c>
      <c r="E157" s="380">
        <f t="shared" si="73"/>
        <v>21.17203039292691</v>
      </c>
      <c r="F157" s="380">
        <f t="shared" si="51"/>
        <v>21.172032502834536</v>
      </c>
      <c r="G157" s="110">
        <f t="shared" si="74"/>
        <v>0.32821348754799934</v>
      </c>
      <c r="H157" s="409" t="b">
        <f>Wh_hp&gt;='2022'!Maxi_hp</f>
        <v>0</v>
      </c>
      <c r="I157" s="385">
        <f>IF(H157,Wh_hp,'2022'!Maxi_hp)</f>
        <v>21.172070560817748</v>
      </c>
      <c r="J157" s="85">
        <f>IF(H157,An,'2022'!An_max)</f>
        <v>2022</v>
      </c>
      <c r="K157" s="193">
        <f t="shared" si="52"/>
        <v>45069</v>
      </c>
      <c r="L157" s="143">
        <f>IF(t&lt;Tvie,1-EXP((T0-t)*PertePVj)+'2022'!Pspv,1-EXP((T0-t)*PertePVj)+Pspv)</f>
        <v>7.4600565121517581E-3</v>
      </c>
      <c r="M157" s="836"/>
      <c r="N157" s="836"/>
      <c r="O157" s="48">
        <f>IF(t&lt;Tnet,'2022'!Resal+('2022'!Salim-'2022'!Resal)*(1-EXP(('2022'!Tnet-t)/('2022'!Tau_j))),Resal+(Salim-Resal)*(1-EXP((Tnet-t)/(Tau_j))))*Salcycl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2.4724650885602941E-6</v>
      </c>
      <c r="Q157" s="301">
        <f t="shared" si="53"/>
        <v>0.5</v>
      </c>
      <c r="R157" s="173">
        <f t="shared" si="54"/>
        <v>0.65493099570664637</v>
      </c>
      <c r="S157" s="802">
        <f t="shared" si="55"/>
        <v>0</v>
      </c>
      <c r="T157" s="172">
        <f t="shared" si="56"/>
        <v>6</v>
      </c>
      <c r="U157" s="247">
        <f t="shared" si="57"/>
        <v>0.65493099570664637</v>
      </c>
      <c r="V157" s="378">
        <f t="shared" si="58"/>
        <v>63.9163041851548</v>
      </c>
      <c r="W157" s="397">
        <f t="shared" si="59"/>
        <v>20.978242885171117</v>
      </c>
      <c r="X157" s="153">
        <f t="shared" si="60"/>
        <v>45069</v>
      </c>
      <c r="Y157" s="380">
        <f t="shared" si="61"/>
        <v>20.336056747574286</v>
      </c>
      <c r="Z157" s="380">
        <f t="shared" si="62"/>
        <v>20.4889051377742</v>
      </c>
      <c r="AA157" s="381">
        <f t="shared" si="63"/>
        <v>21.17203039292691</v>
      </c>
      <c r="AB157" s="193">
        <f t="shared" si="64"/>
        <v>45069</v>
      </c>
      <c r="AC157" s="420">
        <f>IF(OR(t&lt;Tnet,NoTnet),'2022'!Resal_s+('2022'!Salim-'2022'!Resal_s)*(1-EXP(('2022'!Tnet_s-t)/'2022'!Tau_j)),Resal_s+(Salim-Resal_s)*(1-EXP((Tnet_s-t)/Tau_j)))*Salcycl</f>
        <v>3.2265457893019329E-2</v>
      </c>
      <c r="AD157" s="227">
        <f>(INDEX(Models!$BJ157:$BT157,,AH157)*(1-AF157)+INDEX(Models!$BJ157:$BT157,,AH157+1)*AF157-ERP_i)*AE157*Ramure*Pc/MaxiM</f>
        <v>2.4724650885602941E-6</v>
      </c>
      <c r="AE157" s="301">
        <f t="shared" si="65"/>
        <v>0.5</v>
      </c>
      <c r="AF157" s="173">
        <f t="shared" si="66"/>
        <v>0.65493099570664637</v>
      </c>
      <c r="AG157" s="172">
        <f t="shared" si="67"/>
        <v>0</v>
      </c>
      <c r="AH157" s="172">
        <f t="shared" si="68"/>
        <v>6</v>
      </c>
      <c r="AI157" s="221">
        <f t="shared" si="69"/>
        <v>0.65493099570664637</v>
      </c>
      <c r="AJ157" s="261" t="b">
        <f t="shared" si="70"/>
        <v>0</v>
      </c>
      <c r="AK157" s="261" t="b">
        <f t="shared" si="71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2"/>
        <v>45070</v>
      </c>
      <c r="B158" s="406">
        <f>'2022'!Wh/'2022'!Env_an*'2023'!Env_an</f>
        <v>18.019694544005443</v>
      </c>
      <c r="C158" s="385"/>
      <c r="D158" s="388">
        <f t="shared" si="50"/>
        <v>18.15538139306021</v>
      </c>
      <c r="E158" s="380">
        <f t="shared" si="73"/>
        <v>18.187760312975534</v>
      </c>
      <c r="F158" s="380">
        <f t="shared" si="51"/>
        <v>18.187760312975534</v>
      </c>
      <c r="G158" s="110">
        <f t="shared" si="74"/>
        <v>0.28163163625400306</v>
      </c>
      <c r="H158" s="409" t="b">
        <f>Wh_hp&gt;='2022'!Maxi_hp</f>
        <v>0</v>
      </c>
      <c r="I158" s="385">
        <f>IF(H158,Wh_hp,'2022'!Maxi_hp)</f>
        <v>18.1877934787436</v>
      </c>
      <c r="J158" s="85">
        <f>IF(H158,An,'2022'!An_max)</f>
        <v>2022</v>
      </c>
      <c r="K158" s="193">
        <f t="shared" si="52"/>
        <v>45070</v>
      </c>
      <c r="L158" s="143">
        <f>IF(t&lt;Tvie,1-EXP((T0-t)*PertePVj)+'2022'!Pspv,1-EXP((T0-t)*PertePVj)+Pspv)</f>
        <v>7.4736435504810794E-3</v>
      </c>
      <c r="M158" s="836"/>
      <c r="N158" s="836"/>
      <c r="O158" s="48">
        <f>IF(t&lt;Tnet,'2022'!Resal+('2022'!Salim-'2022'!Resal)*(1-EXP(('2022'!Tnet-t)/('2022'!Tau_j))),Resal+(Salim-Resal)*(1-EXP((Tnet-t)/(Tau_j))))*Salcycl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2.4233940018543332E-6</v>
      </c>
      <c r="Q158" s="301">
        <f t="shared" si="53"/>
        <v>0.5</v>
      </c>
      <c r="R158" s="173">
        <f t="shared" si="54"/>
        <v>0.65946477523747582</v>
      </c>
      <c r="S158" s="802">
        <f t="shared" si="55"/>
        <v>0</v>
      </c>
      <c r="T158" s="172">
        <f t="shared" si="56"/>
        <v>6</v>
      </c>
      <c r="U158" s="247">
        <f t="shared" si="57"/>
        <v>0.65946477523747582</v>
      </c>
      <c r="V158" s="378">
        <f t="shared" si="58"/>
        <v>63.983049329493227</v>
      </c>
      <c r="W158" s="397">
        <f t="shared" si="59"/>
        <v>18.019694544005443</v>
      </c>
      <c r="X158" s="153">
        <f t="shared" si="60"/>
        <v>45070</v>
      </c>
      <c r="Y158" s="380">
        <f t="shared" si="61"/>
        <v>17.468152039704677</v>
      </c>
      <c r="Z158" s="380">
        <f t="shared" si="62"/>
        <v>17.599685818109684</v>
      </c>
      <c r="AA158" s="381">
        <f t="shared" si="63"/>
        <v>18.187760312975534</v>
      </c>
      <c r="AB158" s="193">
        <f t="shared" si="64"/>
        <v>45070</v>
      </c>
      <c r="AC158" s="420">
        <f>IF(OR(t&lt;Tnet,NoTnet),'2022'!Resal_s+('2022'!Salim-'2022'!Resal_s)*(1-EXP(('2022'!Tnet_s-t)/'2022'!Tau_j)),Resal_s+(Salim-Resal_s)*(1-EXP((Tnet_s-t)/Tau_j)))*Salcycl</f>
        <v>3.2333530063418749E-2</v>
      </c>
      <c r="AD158" s="227">
        <f>(INDEX(Models!$BJ158:$BT158,,AH158)*(1-AF158)+INDEX(Models!$BJ158:$BT158,,AH158+1)*AF158-ERP_i)*AE158*Ramure*Pc/MaxiM</f>
        <v>2.4233940018543332E-6</v>
      </c>
      <c r="AE158" s="301">
        <f t="shared" si="65"/>
        <v>0.5</v>
      </c>
      <c r="AF158" s="173">
        <f t="shared" si="66"/>
        <v>0.65946477523747582</v>
      </c>
      <c r="AG158" s="172">
        <f t="shared" si="67"/>
        <v>0</v>
      </c>
      <c r="AH158" s="172">
        <f t="shared" si="68"/>
        <v>6</v>
      </c>
      <c r="AI158" s="221">
        <f t="shared" si="69"/>
        <v>0.65946477523747582</v>
      </c>
      <c r="AJ158" s="261" t="b">
        <f t="shared" si="70"/>
        <v>0</v>
      </c>
      <c r="AK158" s="261" t="b">
        <f t="shared" si="71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2"/>
        <v>45071</v>
      </c>
      <c r="B159" s="406">
        <f>'2022'!Wh/'2022'!Env_an*'2023'!Env_an</f>
        <v>43.916967981754546</v>
      </c>
      <c r="C159" s="385"/>
      <c r="D159" s="388">
        <f t="shared" si="50"/>
        <v>44.248264936257108</v>
      </c>
      <c r="E159" s="380">
        <f t="shared" si="73"/>
        <v>44.330493147698178</v>
      </c>
      <c r="F159" s="380">
        <f t="shared" si="51"/>
        <v>44.330551011226419</v>
      </c>
      <c r="G159" s="110">
        <f t="shared" si="74"/>
        <v>0.68571027726588285</v>
      </c>
      <c r="H159" s="409" t="b">
        <f>Wh_hp&gt;='2022'!Maxi_hp</f>
        <v>0</v>
      </c>
      <c r="I159" s="385">
        <f>IF(H159,Wh_hp,'2022'!Maxi_hp)</f>
        <v>44.330586248471548</v>
      </c>
      <c r="J159" s="85">
        <f>IF(H159,An,'2022'!An_max)</f>
        <v>2022</v>
      </c>
      <c r="K159" s="193">
        <f t="shared" si="52"/>
        <v>45071</v>
      </c>
      <c r="L159" s="143">
        <f>IF(t&lt;Tvie,1-EXP((T0-t)*PertePVj)+'2022'!Pspv,1-EXP((T0-t)*PertePVj)+Pspv)</f>
        <v>7.4872304028151815E-3</v>
      </c>
      <c r="M159" s="836"/>
      <c r="N159" s="836"/>
      <c r="O159" s="48">
        <f>IF(t&lt;Tnet,'2022'!Resal+('2022'!Salim-'2022'!Resal)*(1-EXP(('2022'!Tnet-t)/('2022'!Tau_j))),Resal+(Salim-Resal)*(1-EXP((Tnet-t)/(Tau_j))))*Salcycl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2.3688512470405595E-6</v>
      </c>
      <c r="Q159" s="301">
        <f t="shared" si="53"/>
        <v>0.5</v>
      </c>
      <c r="R159" s="173">
        <f t="shared" si="54"/>
        <v>0.66406154065519296</v>
      </c>
      <c r="S159" s="802">
        <f t="shared" si="55"/>
        <v>0</v>
      </c>
      <c r="T159" s="172">
        <f t="shared" si="56"/>
        <v>6</v>
      </c>
      <c r="U159" s="247">
        <f t="shared" si="57"/>
        <v>0.66406154065519296</v>
      </c>
      <c r="V159" s="378">
        <f t="shared" si="58"/>
        <v>64.045884579311121</v>
      </c>
      <c r="W159" s="397">
        <f t="shared" si="59"/>
        <v>43.916967981754546</v>
      </c>
      <c r="X159" s="153">
        <f t="shared" si="60"/>
        <v>45071</v>
      </c>
      <c r="Y159" s="380">
        <f t="shared" si="61"/>
        <v>42.572954226700503</v>
      </c>
      <c r="Z159" s="380">
        <f t="shared" si="62"/>
        <v>42.894112328629184</v>
      </c>
      <c r="AA159" s="381">
        <f t="shared" si="63"/>
        <v>44.330493147698178</v>
      </c>
      <c r="AB159" s="193">
        <f t="shared" si="64"/>
        <v>45071</v>
      </c>
      <c r="AC159" s="420">
        <f>IF(OR(t&lt;Tnet,NoTnet),'2022'!Resal_s+('2022'!Salim-'2022'!Resal_s)*(1-EXP(('2022'!Tnet_s-t)/'2022'!Tau_j)),Resal_s+(Salim-Resal_s)*(1-EXP((Tnet_s-t)/Tau_j)))*Salcycl</f>
        <v>3.2401643137226828E-2</v>
      </c>
      <c r="AD159" s="227">
        <f>(INDEX(Models!$BJ159:$BT159,,AH159)*(1-AF159)+INDEX(Models!$BJ159:$BT159,,AH159+1)*AF159-ERP_i)*AE159*Ramure*Pc/MaxiM</f>
        <v>2.3688512470405595E-6</v>
      </c>
      <c r="AE159" s="301">
        <f t="shared" si="65"/>
        <v>0.5</v>
      </c>
      <c r="AF159" s="173">
        <f t="shared" si="66"/>
        <v>0.66406154065519296</v>
      </c>
      <c r="AG159" s="172">
        <f t="shared" si="67"/>
        <v>0</v>
      </c>
      <c r="AH159" s="172">
        <f t="shared" si="68"/>
        <v>6</v>
      </c>
      <c r="AI159" s="221">
        <f t="shared" si="69"/>
        <v>0.66406154065519296</v>
      </c>
      <c r="AJ159" s="261" t="b">
        <f t="shared" si="70"/>
        <v>0</v>
      </c>
      <c r="AK159" s="261" t="b">
        <f t="shared" si="71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2"/>
        <v>45072</v>
      </c>
      <c r="B160" s="406">
        <f>'2022'!Wh/'2022'!Env_an*'2023'!Env_an</f>
        <v>29.302413668848164</v>
      </c>
      <c r="C160" s="385"/>
      <c r="D160" s="388">
        <f t="shared" si="50"/>
        <v>29.523866792835374</v>
      </c>
      <c r="E160" s="380">
        <f t="shared" si="73"/>
        <v>29.580944924425577</v>
      </c>
      <c r="F160" s="380">
        <f t="shared" si="51"/>
        <v>29.580960250864045</v>
      </c>
      <c r="G160" s="110">
        <f t="shared" si="74"/>
        <v>0.45709926918271243</v>
      </c>
      <c r="H160" s="409" t="b">
        <f>Wh_hp&gt;='2022'!Maxi_hp</f>
        <v>0</v>
      </c>
      <c r="I160" s="385">
        <f>IF(H160,Wh_hp,'2022'!Maxi_hp)</f>
        <v>29.580999563850057</v>
      </c>
      <c r="J160" s="85">
        <f>IF(H160,An,'2022'!An_max)</f>
        <v>2022</v>
      </c>
      <c r="K160" s="193">
        <f t="shared" si="52"/>
        <v>45072</v>
      </c>
      <c r="L160" s="143">
        <f>IF(t&lt;Tvie,1-EXP((T0-t)*PertePVj)+'2022'!Pspv,1-EXP((T0-t)*PertePVj)+Pspv)</f>
        <v>7.5008170691567289E-3</v>
      </c>
      <c r="M160" s="836"/>
      <c r="N160" s="836"/>
      <c r="O160" s="48">
        <f>IF(t&lt;Tnet,'2022'!Resal+('2022'!Salim-'2022'!Resal)*(1-EXP(('2022'!Tnet-t)/('2022'!Tau_j))),Resal+(Salim-Resal)*(1-EXP((Tnet-t)/(Tau_j))))*Salcycl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2.308610097351846E-6</v>
      </c>
      <c r="Q160" s="301">
        <f t="shared" si="53"/>
        <v>0.5</v>
      </c>
      <c r="R160" s="173">
        <f t="shared" si="54"/>
        <v>0.66871865299602529</v>
      </c>
      <c r="S160" s="802">
        <f t="shared" si="55"/>
        <v>0</v>
      </c>
      <c r="T160" s="172">
        <f t="shared" si="56"/>
        <v>6</v>
      </c>
      <c r="U160" s="247">
        <f t="shared" si="57"/>
        <v>0.66871865299602529</v>
      </c>
      <c r="V160" s="378">
        <f t="shared" si="58"/>
        <v>64.105027460410341</v>
      </c>
      <c r="W160" s="397">
        <f t="shared" si="59"/>
        <v>29.302413668848164</v>
      </c>
      <c r="X160" s="153">
        <f t="shared" si="60"/>
        <v>45072</v>
      </c>
      <c r="Y160" s="380">
        <f t="shared" si="61"/>
        <v>28.405781624786325</v>
      </c>
      <c r="Z160" s="380">
        <f t="shared" si="62"/>
        <v>28.620458448040477</v>
      </c>
      <c r="AA160" s="381">
        <f t="shared" si="63"/>
        <v>29.580944924425577</v>
      </c>
      <c r="AB160" s="193">
        <f t="shared" si="64"/>
        <v>45072</v>
      </c>
      <c r="AC160" s="420">
        <f>IF(OR(t&lt;Tnet,NoTnet),'2022'!Resal_s+('2022'!Salim-'2022'!Resal_s)*(1-EXP(('2022'!Tnet_s-t)/'2022'!Tau_j)),Resal_s+(Salim-Resal_s)*(1-EXP((Tnet_s-t)/Tau_j)))*Salcycl</f>
        <v>3.2469769942744614E-2</v>
      </c>
      <c r="AD160" s="227">
        <f>(INDEX(Models!$BJ160:$BT160,,AH160)*(1-AF160)+INDEX(Models!$BJ160:$BT160,,AH160+1)*AF160-ERP_i)*AE160*Ramure*Pc/MaxiM</f>
        <v>2.308610097351846E-6</v>
      </c>
      <c r="AE160" s="301">
        <f t="shared" si="65"/>
        <v>0.5</v>
      </c>
      <c r="AF160" s="173">
        <f t="shared" si="66"/>
        <v>0.66871865299602529</v>
      </c>
      <c r="AG160" s="172">
        <f t="shared" si="67"/>
        <v>0</v>
      </c>
      <c r="AH160" s="172">
        <f t="shared" si="68"/>
        <v>6</v>
      </c>
      <c r="AI160" s="221">
        <f t="shared" si="69"/>
        <v>0.66871865299602529</v>
      </c>
      <c r="AJ160" s="261" t="b">
        <f t="shared" si="70"/>
        <v>0</v>
      </c>
      <c r="AK160" s="261" t="b">
        <f t="shared" si="71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2"/>
        <v>45073</v>
      </c>
      <c r="B161" s="406">
        <f>'2022'!Wh/'2022'!Env_an*'2023'!Env_an</f>
        <v>45.882467681015129</v>
      </c>
      <c r="C161" s="385"/>
      <c r="D161" s="388">
        <f t="shared" si="50"/>
        <v>46.229857486202704</v>
      </c>
      <c r="E161" s="380">
        <f t="shared" si="73"/>
        <v>46.322700111258683</v>
      </c>
      <c r="F161" s="380">
        <f t="shared" si="51"/>
        <v>46.322761712457556</v>
      </c>
      <c r="G161" s="110">
        <f t="shared" si="74"/>
        <v>0.71511733929249777</v>
      </c>
      <c r="H161" s="409" t="b">
        <f>Wh_hp&gt;='2022'!Maxi_hp</f>
        <v>0</v>
      </c>
      <c r="I161" s="385">
        <f>IF(H161,Wh_hp,'2022'!Maxi_hp)</f>
        <v>46.32279287527755</v>
      </c>
      <c r="J161" s="85">
        <f>IF(H161,An,'2022'!An_max)</f>
        <v>2022</v>
      </c>
      <c r="K161" s="193">
        <f t="shared" si="52"/>
        <v>45073</v>
      </c>
      <c r="L161" s="143">
        <f>IF(t&lt;Tvie,1-EXP((T0-t)*PertePVj)+'2022'!Pspv,1-EXP((T0-t)*PertePVj)+Pspv)</f>
        <v>7.514403549508164E-3</v>
      </c>
      <c r="M161" s="836"/>
      <c r="N161" s="836"/>
      <c r="O161" s="48">
        <f>IF(t&lt;Tnet,'2022'!Resal+('2022'!Salim-'2022'!Resal)*(1-EXP(('2022'!Tnet-t)/('2022'!Tau_j))),Resal+(Salim-Resal)*(1-EXP((Tnet-t)/(Tau_j))))*Salcycl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2.2424419221632192E-6</v>
      </c>
      <c r="Q161" s="301">
        <f t="shared" si="53"/>
        <v>0.5</v>
      </c>
      <c r="R161" s="173">
        <f t="shared" si="54"/>
        <v>0.67343330038700111</v>
      </c>
      <c r="S161" s="802">
        <f t="shared" si="55"/>
        <v>0</v>
      </c>
      <c r="T161" s="172">
        <f t="shared" si="56"/>
        <v>6</v>
      </c>
      <c r="U161" s="247">
        <f t="shared" si="57"/>
        <v>0.67343330038700111</v>
      </c>
      <c r="V161" s="378">
        <f t="shared" si="58"/>
        <v>64.160695436736034</v>
      </c>
      <c r="W161" s="397">
        <f t="shared" si="59"/>
        <v>45.882467681015129</v>
      </c>
      <c r="X161" s="153">
        <f t="shared" si="60"/>
        <v>45073</v>
      </c>
      <c r="Y161" s="380">
        <f t="shared" si="61"/>
        <v>44.478696088750148</v>
      </c>
      <c r="Z161" s="380">
        <f t="shared" si="62"/>
        <v>44.815457521824982</v>
      </c>
      <c r="AA161" s="381">
        <f t="shared" si="63"/>
        <v>46.322700111258683</v>
      </c>
      <c r="AB161" s="193">
        <f t="shared" si="64"/>
        <v>45073</v>
      </c>
      <c r="AC161" s="420">
        <f>IF(OR(t&lt;Tnet,NoTnet),'2022'!Resal_s+('2022'!Salim-'2022'!Resal_s)*(1-EXP(('2022'!Tnet_s-t)/'2022'!Tau_j)),Resal_s+(Salim-Resal_s)*(1-EXP((Tnet_s-t)/Tau_j)))*Salcycl</f>
        <v>3.253788284822736E-2</v>
      </c>
      <c r="AD161" s="227">
        <f>(INDEX(Models!$BJ161:$BT161,,AH161)*(1-AF161)+INDEX(Models!$BJ161:$BT161,,AH161+1)*AF161-ERP_i)*AE161*Ramure*Pc/MaxiM</f>
        <v>2.2424419221632192E-6</v>
      </c>
      <c r="AE161" s="301">
        <f t="shared" si="65"/>
        <v>0.5</v>
      </c>
      <c r="AF161" s="173">
        <f t="shared" si="66"/>
        <v>0.67343330038700111</v>
      </c>
      <c r="AG161" s="172">
        <f t="shared" si="67"/>
        <v>0</v>
      </c>
      <c r="AH161" s="172">
        <f t="shared" si="68"/>
        <v>6</v>
      </c>
      <c r="AI161" s="221">
        <f t="shared" si="69"/>
        <v>0.67343330038700111</v>
      </c>
      <c r="AJ161" s="261" t="b">
        <f t="shared" si="70"/>
        <v>0</v>
      </c>
      <c r="AK161" s="261" t="b">
        <f t="shared" si="71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2"/>
        <v>45074</v>
      </c>
      <c r="B162" s="406">
        <f>'2022'!Wh/'2022'!Env_an*'2023'!Env_an</f>
        <v>60.236302973611103</v>
      </c>
      <c r="C162" s="385"/>
      <c r="D162" s="388">
        <f t="shared" si="50"/>
        <v>60.693200772619477</v>
      </c>
      <c r="E162" s="380">
        <f t="shared" si="73"/>
        <v>60.819644147864864</v>
      </c>
      <c r="F162" s="380">
        <f t="shared" si="51"/>
        <v>60.819764456629997</v>
      </c>
      <c r="G162" s="110">
        <f t="shared" si="74"/>
        <v>0.93806849156857841</v>
      </c>
      <c r="H162" s="409" t="b">
        <f>Wh_hp&gt;='2022'!Maxi_hp</f>
        <v>0</v>
      </c>
      <c r="I162" s="385">
        <f>IF(H162,Wh_hp,'2022'!Maxi_hp)</f>
        <v>60.819773004939982</v>
      </c>
      <c r="J162" s="85">
        <f>IF(H162,An,'2022'!An_max)</f>
        <v>2022</v>
      </c>
      <c r="K162" s="193">
        <f t="shared" si="52"/>
        <v>45074</v>
      </c>
      <c r="L162" s="143">
        <f>IF(t&lt;Tvie,1-EXP((T0-t)*PertePVj)+'2022'!Pspv,1-EXP((T0-t)*PertePVj)+Pspv)</f>
        <v>7.5279898438721515E-3</v>
      </c>
      <c r="M162" s="836"/>
      <c r="N162" s="836"/>
      <c r="O162" s="48">
        <f>IF(t&lt;Tnet,'2022'!Resal+('2022'!Salim-'2022'!Resal)*(1-EXP(('2022'!Tnet-t)/('2022'!Tau_j))),Resal+(Salim-Resal)*(1-EXP((Tnet-t)/(Tau_j))))*Salcycl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2.17011702171335E-6</v>
      </c>
      <c r="Q162" s="301">
        <f t="shared" si="53"/>
        <v>0.5</v>
      </c>
      <c r="R162" s="173">
        <f t="shared" si="54"/>
        <v>0.67820250276854344</v>
      </c>
      <c r="S162" s="802">
        <f t="shared" si="55"/>
        <v>0</v>
      </c>
      <c r="T162" s="172">
        <f t="shared" si="56"/>
        <v>6</v>
      </c>
      <c r="U162" s="247">
        <f t="shared" si="57"/>
        <v>0.67820250276854344</v>
      </c>
      <c r="V162" s="378">
        <f t="shared" si="58"/>
        <v>64.213105919000739</v>
      </c>
      <c r="W162" s="397">
        <f t="shared" si="59"/>
        <v>60.236302973611103</v>
      </c>
      <c r="X162" s="153">
        <f t="shared" si="60"/>
        <v>45074</v>
      </c>
      <c r="Y162" s="380">
        <f t="shared" si="61"/>
        <v>58.393640599081792</v>
      </c>
      <c r="Z162" s="380">
        <f t="shared" si="62"/>
        <v>58.836561637537535</v>
      </c>
      <c r="AA162" s="381">
        <f t="shared" si="63"/>
        <v>60.819644147864864</v>
      </c>
      <c r="AB162" s="193">
        <f t="shared" si="64"/>
        <v>45074</v>
      </c>
      <c r="AC162" s="420">
        <f>IF(OR(t&lt;Tnet,NoTnet),'2022'!Resal_s+('2022'!Salim-'2022'!Resal_s)*(1-EXP(('2022'!Tnet_s-t)/'2022'!Tau_j)),Resal_s+(Salim-Resal_s)*(1-EXP((Tnet_s-t)/Tau_j)))*Salcycl</f>
        <v>3.2605953851128265E-2</v>
      </c>
      <c r="AD162" s="227">
        <f>(INDEX(Models!$BJ162:$BT162,,AH162)*(1-AF162)+INDEX(Models!$BJ162:$BT162,,AH162+1)*AF162-ERP_i)*AE162*Ramure*Pc/MaxiM</f>
        <v>2.17011702171335E-6</v>
      </c>
      <c r="AE162" s="301">
        <f t="shared" si="65"/>
        <v>0.5</v>
      </c>
      <c r="AF162" s="173">
        <f t="shared" si="66"/>
        <v>0.67820250276854344</v>
      </c>
      <c r="AG162" s="172">
        <f t="shared" si="67"/>
        <v>0</v>
      </c>
      <c r="AH162" s="172">
        <f t="shared" si="68"/>
        <v>6</v>
      </c>
      <c r="AI162" s="221">
        <f t="shared" si="69"/>
        <v>0.67820250276854344</v>
      </c>
      <c r="AJ162" s="261" t="b">
        <f t="shared" si="70"/>
        <v>0</v>
      </c>
      <c r="AK162" s="261" t="b">
        <f t="shared" si="71"/>
        <v>0</v>
      </c>
      <c r="AL162" s="261"/>
      <c r="AM162" s="261"/>
      <c r="AN162" s="75"/>
    </row>
    <row r="163" spans="1:40" s="6" customFormat="1" ht="11.25" x14ac:dyDescent="0.2">
      <c r="A163" s="56">
        <f t="shared" si="72"/>
        <v>45075</v>
      </c>
      <c r="B163" s="406">
        <f>'2022'!Wh/'2022'!Env_an*'2023'!Env_an</f>
        <v>65.50637548788194</v>
      </c>
      <c r="C163" s="385"/>
      <c r="D163" s="388">
        <f t="shared" si="50"/>
        <v>66.004150804336689</v>
      </c>
      <c r="E163" s="380">
        <f t="shared" si="73"/>
        <v>66.146614033197039</v>
      </c>
      <c r="F163" s="380">
        <f t="shared" si="51"/>
        <v>66.146752375052444</v>
      </c>
      <c r="G163" s="110">
        <f t="shared" si="74"/>
        <v>1.0193725542453584</v>
      </c>
      <c r="H163" s="409" t="b">
        <f>Wh_hp&gt;='2022'!Maxi_hp</f>
        <v>0</v>
      </c>
      <c r="I163" s="385">
        <f>IF(H163,Wh_hp,'2022'!Maxi_hp)</f>
        <v>66.146752375052458</v>
      </c>
      <c r="J163" s="85">
        <f>IF(H163,An,'2022'!An_max)</f>
        <v>2022</v>
      </c>
      <c r="K163" s="193">
        <f t="shared" si="52"/>
        <v>45075</v>
      </c>
      <c r="L163" s="143">
        <f>IF(t&lt;Tvie,1-EXP((T0-t)*PertePVj)+'2022'!Pspv,1-EXP((T0-t)*PertePVj)+Pspv)</f>
        <v>7.5415759522511339E-3</v>
      </c>
      <c r="M163" s="836"/>
      <c r="N163" s="836"/>
      <c r="O163" s="48">
        <f>IF(t&lt;Tnet,'2022'!Resal+('2022'!Salim-'2022'!Resal)*(1-EXP(('2022'!Tnet-t)/('2022'!Tau_j))),Resal+(Salim-Resal)*(1-EXP((Tnet-t)/(Tau_j))))*Salcycl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2.0914383615311982E-6</v>
      </c>
      <c r="Q163" s="301">
        <f t="shared" si="53"/>
        <v>0.5</v>
      </c>
      <c r="R163" s="173">
        <f t="shared" si="54"/>
        <v>0.68302311759976542</v>
      </c>
      <c r="S163" s="802">
        <f t="shared" si="55"/>
        <v>0</v>
      </c>
      <c r="T163" s="172">
        <f t="shared" si="56"/>
        <v>6</v>
      </c>
      <c r="U163" s="247">
        <f t="shared" si="57"/>
        <v>0.68302311759976542</v>
      </c>
      <c r="V163" s="378">
        <f t="shared" si="58"/>
        <v>64.261466737621078</v>
      </c>
      <c r="W163" s="397">
        <f t="shared" si="59"/>
        <v>65.50637548788194</v>
      </c>
      <c r="X163" s="153">
        <f t="shared" si="60"/>
        <v>45075</v>
      </c>
      <c r="Y163" s="380">
        <f t="shared" si="61"/>
        <v>63.502792243813374</v>
      </c>
      <c r="Z163" s="380">
        <f t="shared" si="62"/>
        <v>63.985342564595072</v>
      </c>
      <c r="AA163" s="381">
        <f t="shared" si="63"/>
        <v>66.146614033197039</v>
      </c>
      <c r="AB163" s="193">
        <f t="shared" si="64"/>
        <v>45075</v>
      </c>
      <c r="AC163" s="420">
        <f>IF(OR(t&lt;Tnet,NoTnet),'2022'!Resal_s+('2022'!Salim-'2022'!Resal_s)*(1-EXP(('2022'!Tnet_s-t)/'2022'!Tau_j)),Resal_s+(Salim-Resal_s)*(1-EXP((Tnet_s-t)/Tau_j)))*Salcycl</f>
        <v>3.2673954671622193E-2</v>
      </c>
      <c r="AD163" s="227">
        <f>(INDEX(Models!$BJ163:$BT163,,AH163)*(1-AF163)+INDEX(Models!$BJ163:$BT163,,AH163+1)*AF163-ERP_i)*AE163*Ramure*Pc/MaxiM</f>
        <v>2.0914383615311982E-6</v>
      </c>
      <c r="AE163" s="301">
        <f t="shared" si="65"/>
        <v>0.5</v>
      </c>
      <c r="AF163" s="173">
        <f t="shared" si="66"/>
        <v>0.68302311759976542</v>
      </c>
      <c r="AG163" s="172">
        <f t="shared" si="67"/>
        <v>0</v>
      </c>
      <c r="AH163" s="172">
        <f t="shared" si="68"/>
        <v>6</v>
      </c>
      <c r="AI163" s="221">
        <f t="shared" si="69"/>
        <v>0.68302311759976542</v>
      </c>
      <c r="AJ163" s="261" t="b">
        <f t="shared" si="70"/>
        <v>0</v>
      </c>
      <c r="AK163" s="261" t="b">
        <f t="shared" si="71"/>
        <v>0</v>
      </c>
      <c r="AL163" s="261"/>
      <c r="AM163" s="261"/>
      <c r="AN163" s="75"/>
    </row>
    <row r="164" spans="1:40" s="6" customFormat="1" ht="11.25" x14ac:dyDescent="0.2">
      <c r="A164" s="56">
        <f t="shared" si="72"/>
        <v>45076</v>
      </c>
      <c r="B164" s="406">
        <f>'2022'!Wh/'2022'!Env_an*'2023'!Env_an</f>
        <v>52.682457483261032</v>
      </c>
      <c r="C164" s="385"/>
      <c r="D164" s="388">
        <f t="shared" si="50"/>
        <v>53.083512009366608</v>
      </c>
      <c r="E164" s="380">
        <f t="shared" si="73"/>
        <v>53.202074746014077</v>
      </c>
      <c r="F164" s="380">
        <f t="shared" si="51"/>
        <v>53.20215408927276</v>
      </c>
      <c r="G164" s="110">
        <f t="shared" si="74"/>
        <v>0.81925887283463528</v>
      </c>
      <c r="H164" s="409" t="b">
        <f>Wh_hp&gt;='2022'!Maxi_hp</f>
        <v>0</v>
      </c>
      <c r="I164" s="385">
        <f>IF(H164,Wh_hp,'2022'!Maxi_hp)</f>
        <v>53.20217402589779</v>
      </c>
      <c r="J164" s="85">
        <f>IF(H164,An,'2022'!An_max)</f>
        <v>2022</v>
      </c>
      <c r="K164" s="193">
        <f t="shared" si="52"/>
        <v>45076</v>
      </c>
      <c r="L164" s="143">
        <f>IF(t&lt;Tvie,1-EXP((T0-t)*PertePVj)+'2022'!Pspv,1-EXP((T0-t)*PertePVj)+Pspv)</f>
        <v>7.5551618746477756E-3</v>
      </c>
      <c r="M164" s="836"/>
      <c r="N164" s="836"/>
      <c r="O164" s="48">
        <f>IF(t&lt;Tnet,'2022'!Resal+('2022'!Salim-'2022'!Resal)*(1-EXP(('2022'!Tnet-t)/('2022'!Tau_j))),Resal+(Salim-Resal)*(1-EXP((Tnet-t)/(Tau_j))))*Salcycl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2.0104560087509334E-6</v>
      </c>
      <c r="Q164" s="301">
        <f t="shared" si="53"/>
        <v>0.5</v>
      </c>
      <c r="R164" s="173">
        <f t="shared" si="54"/>
        <v>0.68789184653985302</v>
      </c>
      <c r="S164" s="802">
        <f t="shared" si="55"/>
        <v>0</v>
      </c>
      <c r="T164" s="172">
        <f t="shared" si="56"/>
        <v>6</v>
      </c>
      <c r="U164" s="247">
        <f t="shared" si="57"/>
        <v>0.68789184653985302</v>
      </c>
      <c r="V164" s="378">
        <f t="shared" si="58"/>
        <v>64.304985740810835</v>
      </c>
      <c r="W164" s="397">
        <f t="shared" si="59"/>
        <v>52.682457483261032</v>
      </c>
      <c r="X164" s="153">
        <f t="shared" si="60"/>
        <v>45076</v>
      </c>
      <c r="Y164" s="380">
        <f t="shared" si="61"/>
        <v>51.071350342537897</v>
      </c>
      <c r="Z164" s="380">
        <f t="shared" si="62"/>
        <v>51.460140030560829</v>
      </c>
      <c r="AA164" s="381">
        <f t="shared" si="63"/>
        <v>53.202074746014077</v>
      </c>
      <c r="AB164" s="193">
        <f t="shared" si="64"/>
        <v>45076</v>
      </c>
      <c r="AC164" s="420">
        <f>IF(OR(t&lt;Tnet,NoTnet),'2022'!Resal_s+('2022'!Salim-'2022'!Resal_s)*(1-EXP(('2022'!Tnet_s-t)/'2022'!Tau_j)),Resal_s+(Salim-Resal_s)*(1-EXP((Tnet_s-t)/Tau_j)))*Salcycl</f>
        <v>3.2741856849929599E-2</v>
      </c>
      <c r="AD164" s="227">
        <f>(INDEX(Models!$BJ164:$BT164,,AH164)*(1-AF164)+INDEX(Models!$BJ164:$BT164,,AH164+1)*AF164-ERP_i)*AE164*Ramure*Pc/MaxiM</f>
        <v>2.0104560087509334E-6</v>
      </c>
      <c r="AE164" s="301">
        <f t="shared" si="65"/>
        <v>0.5</v>
      </c>
      <c r="AF164" s="173">
        <f t="shared" si="66"/>
        <v>0.68789184653985302</v>
      </c>
      <c r="AG164" s="172">
        <f t="shared" si="67"/>
        <v>0</v>
      </c>
      <c r="AH164" s="172">
        <f t="shared" si="68"/>
        <v>6</v>
      </c>
      <c r="AI164" s="221">
        <f t="shared" si="69"/>
        <v>0.68789184653985302</v>
      </c>
      <c r="AJ164" s="261" t="b">
        <f t="shared" si="70"/>
        <v>0</v>
      </c>
      <c r="AK164" s="261" t="b">
        <f t="shared" si="71"/>
        <v>0</v>
      </c>
      <c r="AL164" s="261"/>
      <c r="AM164" s="261"/>
      <c r="AN164" s="75"/>
    </row>
    <row r="165" spans="1:40" s="6" customFormat="1" ht="11.25" x14ac:dyDescent="0.2">
      <c r="A165" s="56">
        <f t="shared" si="72"/>
        <v>45077</v>
      </c>
      <c r="B165" s="406">
        <f>'2022'!Wh/'2022'!Env_an*'2023'!Env_an</f>
        <v>62.274061263965478</v>
      </c>
      <c r="C165" s="385"/>
      <c r="D165" s="388">
        <f t="shared" si="50"/>
        <v>62.748992551435862</v>
      </c>
      <c r="E165" s="380">
        <f t="shared" si="73"/>
        <v>62.893858867152531</v>
      </c>
      <c r="F165" s="380">
        <f t="shared" si="51"/>
        <v>62.893974579774977</v>
      </c>
      <c r="G165" s="110">
        <f t="shared" si="74"/>
        <v>0.96783183049887256</v>
      </c>
      <c r="H165" s="409" t="b">
        <f>Wh_hp&gt;='2022'!Maxi_hp</f>
        <v>0</v>
      </c>
      <c r="I165" s="385">
        <f>IF(H165,Wh_hp,'2022'!Maxi_hp)</f>
        <v>62.893978575156851</v>
      </c>
      <c r="J165" s="85">
        <f>IF(H165,An,'2022'!An_max)</f>
        <v>2022</v>
      </c>
      <c r="K165" s="193">
        <f t="shared" si="52"/>
        <v>45077</v>
      </c>
      <c r="L165" s="143">
        <f>IF(t&lt;Tvie,1-EXP((T0-t)*PertePVj)+'2022'!Pspv,1-EXP((T0-t)*PertePVj)+Pspv)</f>
        <v>7.5687476110645191E-3</v>
      </c>
      <c r="M165" s="836"/>
      <c r="N165" s="836"/>
      <c r="O165" s="48">
        <f>IF(t&lt;Tnet,'2022'!Resal+('2022'!Salim-'2022'!Resal)*(1-EXP(('2022'!Tnet-t)/('2022'!Tau_j))),Resal+(Salim-Resal)*(1-EXP((Tnet-t)/(Tau_j))))*Salcycl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1.9284241651290445E-6</v>
      </c>
      <c r="Q165" s="301">
        <f t="shared" si="53"/>
        <v>0.5</v>
      </c>
      <c r="R165" s="173">
        <f t="shared" si="54"/>
        <v>0.69280524308947966</v>
      </c>
      <c r="S165" s="802">
        <f t="shared" si="55"/>
        <v>0</v>
      </c>
      <c r="T165" s="172">
        <f t="shared" si="56"/>
        <v>6</v>
      </c>
      <c r="U165" s="247">
        <f t="shared" si="57"/>
        <v>0.69280524308947966</v>
      </c>
      <c r="V165" s="378">
        <f t="shared" si="58"/>
        <v>64.343880602846482</v>
      </c>
      <c r="W165" s="397">
        <f t="shared" si="59"/>
        <v>62.274061263965478</v>
      </c>
      <c r="X165" s="153">
        <f t="shared" si="60"/>
        <v>45077</v>
      </c>
      <c r="Y165" s="380">
        <f t="shared" si="61"/>
        <v>60.369925063269278</v>
      </c>
      <c r="Z165" s="380">
        <f t="shared" si="62"/>
        <v>60.830334512289426</v>
      </c>
      <c r="AA165" s="381">
        <f t="shared" si="63"/>
        <v>62.893858867152531</v>
      </c>
      <c r="AB165" s="193">
        <f t="shared" si="64"/>
        <v>45077</v>
      </c>
      <c r="AC165" s="420">
        <f>IF(OR(t&lt;Tnet,NoTnet),'2022'!Resal_s+('2022'!Salim-'2022'!Resal_s)*(1-EXP(('2022'!Tnet_s-t)/'2022'!Tau_j)),Resal_s+(Salim-Resal_s)*(1-EXP((Tnet_s-t)/Tau_j)))*Salcycl</f>
        <v>3.2809631846914981E-2</v>
      </c>
      <c r="AD165" s="227">
        <f>(INDEX(Models!$BJ165:$BT165,,AH165)*(1-AF165)+INDEX(Models!$BJ165:$BT165,,AH165+1)*AF165-ERP_i)*AE165*Ramure*Pc/MaxiM</f>
        <v>1.9284241651290445E-6</v>
      </c>
      <c r="AE165" s="301">
        <f t="shared" si="65"/>
        <v>0.5</v>
      </c>
      <c r="AF165" s="173">
        <f t="shared" si="66"/>
        <v>0.69280524308947966</v>
      </c>
      <c r="AG165" s="172">
        <f t="shared" si="67"/>
        <v>0</v>
      </c>
      <c r="AH165" s="172">
        <f t="shared" si="68"/>
        <v>6</v>
      </c>
      <c r="AI165" s="221">
        <f t="shared" si="69"/>
        <v>0.69280524308947966</v>
      </c>
      <c r="AJ165" s="261" t="b">
        <f t="shared" si="70"/>
        <v>0</v>
      </c>
      <c r="AK165" s="261" t="b">
        <f t="shared" si="71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2"/>
        <v>45078</v>
      </c>
      <c r="B166" s="406">
        <f>'2022'!Wh/'2022'!Env_an*'2023'!Env_an</f>
        <v>64.927634812215217</v>
      </c>
      <c r="C166" s="385"/>
      <c r="D166" s="388">
        <f t="shared" si="50"/>
        <v>65.423699095414634</v>
      </c>
      <c r="E166" s="380">
        <f t="shared" si="73"/>
        <v>65.579659086310116</v>
      </c>
      <c r="F166" s="380">
        <f t="shared" si="51"/>
        <v>65.579780102115691</v>
      </c>
      <c r="G166" s="110">
        <f t="shared" si="74"/>
        <v>1.0085318377265537</v>
      </c>
      <c r="H166" s="409" t="b">
        <f>Wh_hp&gt;='2022'!Maxi_hp</f>
        <v>1</v>
      </c>
      <c r="I166" s="385">
        <f>IF(H166,Wh_hp,'2022'!Maxi_hp)</f>
        <v>65.579780102115691</v>
      </c>
      <c r="J166" s="85">
        <f>IF(H166,An,'2022'!An_max)</f>
        <v>2023</v>
      </c>
      <c r="K166" s="193">
        <f t="shared" si="52"/>
        <v>45078</v>
      </c>
      <c r="L166" s="143">
        <f>IF(t&lt;Tvie,1-EXP((T0-t)*PertePVj)+'2022'!Pspv,1-EXP((T0-t)*PertePVj)+Pspv)</f>
        <v>7.582333161503918E-3</v>
      </c>
      <c r="M166" s="836"/>
      <c r="N166" s="836"/>
      <c r="O166" s="48">
        <f>IF(t&lt;Tnet,'2022'!Resal+('2022'!Salim-'2022'!Resal)*(1-EXP(('2022'!Tnet-t)/('2022'!Tau_j))),Resal+(Salim-Resal)*(1-EXP((Tnet-t)/(Tau_j))))*Salcycl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1.8453219176618579E-6</v>
      </c>
      <c r="Q166" s="301">
        <f t="shared" si="53"/>
        <v>0.5</v>
      </c>
      <c r="R166" s="173">
        <f t="shared" si="54"/>
        <v>0.69775972116656204</v>
      </c>
      <c r="S166" s="802">
        <f t="shared" si="55"/>
        <v>0</v>
      </c>
      <c r="T166" s="172">
        <f t="shared" si="56"/>
        <v>6</v>
      </c>
      <c r="U166" s="247">
        <f t="shared" si="57"/>
        <v>0.69775972116656204</v>
      </c>
      <c r="V166" s="378">
        <f t="shared" si="58"/>
        <v>64.378369014681752</v>
      </c>
      <c r="W166" s="397">
        <f t="shared" si="59"/>
        <v>64.927634812215217</v>
      </c>
      <c r="X166" s="153">
        <f t="shared" si="60"/>
        <v>45078</v>
      </c>
      <c r="Y166" s="380">
        <f t="shared" si="61"/>
        <v>62.942681449267496</v>
      </c>
      <c r="Z166" s="380">
        <f t="shared" si="62"/>
        <v>63.423580164369092</v>
      </c>
      <c r="AA166" s="381">
        <f t="shared" si="63"/>
        <v>65.579659086310116</v>
      </c>
      <c r="AB166" s="193">
        <f t="shared" si="64"/>
        <v>45078</v>
      </c>
      <c r="AC166" s="420">
        <f>IF(OR(t&lt;Tnet,NoTnet),'2022'!Resal_s+('2022'!Salim-'2022'!Resal_s)*(1-EXP(('2022'!Tnet_s-t)/'2022'!Tau_j)),Resal_s+(Salim-Resal_s)*(1-EXP((Tnet_s-t)/Tau_j)))*Salcycl</f>
        <v>3.287725114739292E-2</v>
      </c>
      <c r="AD166" s="227">
        <f>(INDEX(Models!$BJ166:$BT166,,AH166)*(1-AF166)+INDEX(Models!$BJ166:$BT166,,AH166+1)*AF166-ERP_i)*AE166*Ramure*Pc/MaxiM</f>
        <v>1.8453219176618579E-6</v>
      </c>
      <c r="AE166" s="301">
        <f t="shared" si="65"/>
        <v>0.5</v>
      </c>
      <c r="AF166" s="173">
        <f t="shared" si="66"/>
        <v>0.69775972116656204</v>
      </c>
      <c r="AG166" s="172">
        <f t="shared" si="67"/>
        <v>0</v>
      </c>
      <c r="AH166" s="172">
        <f t="shared" si="68"/>
        <v>6</v>
      </c>
      <c r="AI166" s="221">
        <f t="shared" si="69"/>
        <v>0.69775972116656204</v>
      </c>
      <c r="AJ166" s="261" t="b">
        <f t="shared" si="70"/>
        <v>0</v>
      </c>
      <c r="AK166" s="261" t="b">
        <f t="shared" si="71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2"/>
        <v>45079</v>
      </c>
      <c r="B167" s="406">
        <f>'2022'!Wh/'2022'!Env_an*'2023'!Env_an</f>
        <v>46.767248805200005</v>
      </c>
      <c r="C167" s="385"/>
      <c r="D167" s="388">
        <f t="shared" si="50"/>
        <v>47.125208046037017</v>
      </c>
      <c r="E167" s="380">
        <f t="shared" si="73"/>
        <v>47.241091561643458</v>
      </c>
      <c r="F167" s="380">
        <f t="shared" si="51"/>
        <v>47.241142205664133</v>
      </c>
      <c r="G167" s="110">
        <f t="shared" si="74"/>
        <v>0.72610127782410916</v>
      </c>
      <c r="H167" s="409" t="b">
        <f>Wh_hp&gt;='2022'!Maxi_hp</f>
        <v>0</v>
      </c>
      <c r="I167" s="385">
        <f>IF(H167,Wh_hp,'2022'!Maxi_hp)</f>
        <v>47.241165214979837</v>
      </c>
      <c r="J167" s="85">
        <f>IF(H167,An,'2022'!An_max)</f>
        <v>2022</v>
      </c>
      <c r="K167" s="193">
        <f t="shared" si="52"/>
        <v>45079</v>
      </c>
      <c r="L167" s="143">
        <f>IF(t&lt;Tvie,1-EXP((T0-t)*PertePVj)+'2022'!Pspv,1-EXP((T0-t)*PertePVj)+Pspv)</f>
        <v>7.5959185259685258E-3</v>
      </c>
      <c r="M167" s="836"/>
      <c r="N167" s="836"/>
      <c r="O167" s="48">
        <f>IF(t&lt;Tnet,'2022'!Resal+('2022'!Salim-'2022'!Resal)*(1-EXP(('2022'!Tnet-t)/('2022'!Tau_j))),Resal+(Salim-Resal)*(1-EXP((Tnet-t)/(Tau_j))))*Salcycl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1.7611343234497214E-6</v>
      </c>
      <c r="Q167" s="301">
        <f t="shared" si="53"/>
        <v>0.5</v>
      </c>
      <c r="R167" s="173">
        <f t="shared" si="54"/>
        <v>0.70275156458097454</v>
      </c>
      <c r="S167" s="802">
        <f t="shared" si="55"/>
        <v>0</v>
      </c>
      <c r="T167" s="172">
        <f t="shared" si="56"/>
        <v>6</v>
      </c>
      <c r="U167" s="247">
        <f t="shared" si="57"/>
        <v>0.70275156458097454</v>
      </c>
      <c r="V167" s="378">
        <f t="shared" si="58"/>
        <v>64.408668605977851</v>
      </c>
      <c r="W167" s="397">
        <f t="shared" si="59"/>
        <v>46.767248805200005</v>
      </c>
      <c r="X167" s="153">
        <f t="shared" si="60"/>
        <v>45079</v>
      </c>
      <c r="Y167" s="380">
        <f t="shared" si="61"/>
        <v>45.337730988208605</v>
      </c>
      <c r="Z167" s="380">
        <f t="shared" si="62"/>
        <v>45.684748616579498</v>
      </c>
      <c r="AA167" s="381">
        <f t="shared" si="63"/>
        <v>47.241091561643458</v>
      </c>
      <c r="AB167" s="193">
        <f t="shared" si="64"/>
        <v>45079</v>
      </c>
      <c r="AC167" s="420">
        <f>IF(OR(t&lt;Tnet,NoTnet),'2022'!Resal_s+('2022'!Salim-'2022'!Resal_s)*(1-EXP(('2022'!Tnet_s-t)/'2022'!Tau_j)),Resal_s+(Salim-Resal_s)*(1-EXP((Tnet_s-t)/Tau_j)))*Salcycl</f>
        <v>3.2944686365536997E-2</v>
      </c>
      <c r="AD167" s="227">
        <f>(INDEX(Models!$BJ167:$BT167,,AH167)*(1-AF167)+INDEX(Models!$BJ167:$BT167,,AH167+1)*AF167-ERP_i)*AE167*Ramure*Pc/MaxiM</f>
        <v>1.7611343234497214E-6</v>
      </c>
      <c r="AE167" s="301">
        <f t="shared" si="65"/>
        <v>0.5</v>
      </c>
      <c r="AF167" s="173">
        <f t="shared" si="66"/>
        <v>0.70275156458097454</v>
      </c>
      <c r="AG167" s="172">
        <f t="shared" si="67"/>
        <v>0</v>
      </c>
      <c r="AH167" s="172">
        <f t="shared" si="68"/>
        <v>6</v>
      </c>
      <c r="AI167" s="221">
        <f t="shared" si="69"/>
        <v>0.70275156458097454</v>
      </c>
      <c r="AJ167" s="261" t="b">
        <f t="shared" si="70"/>
        <v>0</v>
      </c>
      <c r="AK167" s="261" t="b">
        <f t="shared" si="71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2"/>
        <v>45080</v>
      </c>
      <c r="B168" s="406">
        <f>'2022'!Wh/'2022'!Env_an*'2023'!Env_an</f>
        <v>61.921649733923012</v>
      </c>
      <c r="C168" s="385"/>
      <c r="D168" s="388">
        <f t="shared" si="50"/>
        <v>62.396455795443671</v>
      </c>
      <c r="E168" s="380">
        <f t="shared" si="73"/>
        <v>62.554586567765682</v>
      </c>
      <c r="F168" s="380">
        <f t="shared" si="51"/>
        <v>62.554685558641445</v>
      </c>
      <c r="G168" s="110">
        <f t="shared" si="74"/>
        <v>0.96099397667003694</v>
      </c>
      <c r="H168" s="409" t="b">
        <f>Wh_hp&gt;='2022'!Maxi_hp</f>
        <v>0</v>
      </c>
      <c r="I168" s="385">
        <f>IF(H168,Wh_hp,'2022'!Maxi_hp)</f>
        <v>62.554689658440559</v>
      </c>
      <c r="J168" s="85">
        <f>IF(H168,An,'2022'!An_max)</f>
        <v>2022</v>
      </c>
      <c r="K168" s="193">
        <f t="shared" si="52"/>
        <v>45080</v>
      </c>
      <c r="L168" s="143">
        <f>IF(t&lt;Tvie,1-EXP((T0-t)*PertePVj)+'2022'!Pspv,1-EXP((T0-t)*PertePVj)+Pspv)</f>
        <v>7.609503704460896E-3</v>
      </c>
      <c r="M168" s="836"/>
      <c r="N168" s="836"/>
      <c r="O168" s="48">
        <f>IF(t&lt;Tnet,'2022'!Resal+('2022'!Salim-'2022'!Resal)*(1-EXP(('2022'!Tnet-t)/('2022'!Tau_j))),Resal+(Salim-Resal)*(1-EXP((Tnet-t)/(Tau_j))))*Salcycl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1.6758525329774469E-6</v>
      </c>
      <c r="Q168" s="301">
        <f t="shared" si="53"/>
        <v>0.5</v>
      </c>
      <c r="R168" s="173">
        <f t="shared" si="54"/>
        <v>0.70777693736324654</v>
      </c>
      <c r="S168" s="802">
        <f t="shared" si="55"/>
        <v>0</v>
      </c>
      <c r="T168" s="172">
        <f t="shared" si="56"/>
        <v>6</v>
      </c>
      <c r="U168" s="247">
        <f t="shared" si="57"/>
        <v>0.70777693736324654</v>
      </c>
      <c r="V168" s="378">
        <f t="shared" si="58"/>
        <v>64.434996945602521</v>
      </c>
      <c r="W168" s="397">
        <f t="shared" si="59"/>
        <v>61.921649733923012</v>
      </c>
      <c r="X168" s="153">
        <f t="shared" si="60"/>
        <v>45080</v>
      </c>
      <c r="Y168" s="380">
        <f t="shared" si="61"/>
        <v>60.029244846019814</v>
      </c>
      <c r="Z168" s="380">
        <f t="shared" si="62"/>
        <v>60.489540226454153</v>
      </c>
      <c r="AA168" s="381">
        <f t="shared" si="63"/>
        <v>62.554586567765682</v>
      </c>
      <c r="AB168" s="193">
        <f t="shared" si="64"/>
        <v>45080</v>
      </c>
      <c r="AC168" s="420">
        <f>IF(OR(t&lt;Tnet,NoTnet),'2022'!Resal_s+('2022'!Salim-'2022'!Resal_s)*(1-EXP(('2022'!Tnet_s-t)/'2022'!Tau_j)),Resal_s+(Salim-Resal_s)*(1-EXP((Tnet_s-t)/Tau_j)))*Salcycl</f>
        <v>3.3011909351754076E-2</v>
      </c>
      <c r="AD168" s="227">
        <f>(INDEX(Models!$BJ168:$BT168,,AH168)*(1-AF168)+INDEX(Models!$BJ168:$BT168,,AH168+1)*AF168-ERP_i)*AE168*Ramure*Pc/MaxiM</f>
        <v>1.6758525329774469E-6</v>
      </c>
      <c r="AE168" s="301">
        <f t="shared" si="65"/>
        <v>0.5</v>
      </c>
      <c r="AF168" s="173">
        <f t="shared" si="66"/>
        <v>0.70777693736324654</v>
      </c>
      <c r="AG168" s="172">
        <f t="shared" si="67"/>
        <v>0</v>
      </c>
      <c r="AH168" s="172">
        <f t="shared" si="68"/>
        <v>6</v>
      </c>
      <c r="AI168" s="221">
        <f t="shared" si="69"/>
        <v>0.70777693736324654</v>
      </c>
      <c r="AJ168" s="261" t="b">
        <f t="shared" si="70"/>
        <v>0</v>
      </c>
      <c r="AK168" s="261" t="b">
        <f t="shared" si="71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2"/>
        <v>45081</v>
      </c>
      <c r="B169" s="406">
        <f>'2022'!Wh/'2022'!Env_an*'2023'!Env_an</f>
        <v>31.471781119443403</v>
      </c>
      <c r="C169" s="385"/>
      <c r="D169" s="388">
        <f t="shared" si="50"/>
        <v>31.713536218935349</v>
      </c>
      <c r="E169" s="380">
        <f t="shared" si="73"/>
        <v>31.796294188965202</v>
      </c>
      <c r="F169" s="380">
        <f t="shared" si="51"/>
        <v>31.796307780870588</v>
      </c>
      <c r="G169" s="110">
        <f t="shared" si="74"/>
        <v>0.48825520102068831</v>
      </c>
      <c r="H169" s="409" t="b">
        <f>Wh_hp&gt;='2022'!Maxi_hp</f>
        <v>0</v>
      </c>
      <c r="I169" s="385">
        <f>IF(H169,Wh_hp,'2022'!Maxi_hp)</f>
        <v>31.79633352939906</v>
      </c>
      <c r="J169" s="85">
        <f>IF(H169,An,'2022'!An_max)</f>
        <v>2022</v>
      </c>
      <c r="K169" s="193">
        <f t="shared" si="52"/>
        <v>45081</v>
      </c>
      <c r="L169" s="143">
        <f>IF(t&lt;Tvie,1-EXP((T0-t)*PertePVj)+'2022'!Pspv,1-EXP((T0-t)*PertePVj)+Pspv)</f>
        <v>7.623088696983582E-3</v>
      </c>
      <c r="M169" s="836"/>
      <c r="N169" s="836"/>
      <c r="O169" s="48">
        <f>IF(t&lt;Tnet,'2022'!Resal+('2022'!Salim-'2022'!Resal)*(1-EXP(('2022'!Tnet-t)/('2022'!Tau_j))),Resal+(Salim-Resal)*(1-EXP((Tnet-t)/(Tau_j))))*Salcycl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1.5894738898903164E-6</v>
      </c>
      <c r="Q169" s="301">
        <f t="shared" si="53"/>
        <v>0.5</v>
      </c>
      <c r="R169" s="173">
        <f t="shared" si="54"/>
        <v>0.71283189489290633</v>
      </c>
      <c r="S169" s="802">
        <f t="shared" si="55"/>
        <v>0</v>
      </c>
      <c r="T169" s="172">
        <f t="shared" si="56"/>
        <v>6</v>
      </c>
      <c r="U169" s="247">
        <f t="shared" si="57"/>
        <v>0.71283189489290633</v>
      </c>
      <c r="V169" s="378">
        <f t="shared" si="58"/>
        <v>64.457571538906166</v>
      </c>
      <c r="W169" s="397">
        <f t="shared" si="59"/>
        <v>31.471781119443403</v>
      </c>
      <c r="X169" s="153">
        <f t="shared" si="60"/>
        <v>45081</v>
      </c>
      <c r="Y169" s="380">
        <f t="shared" si="61"/>
        <v>30.510139886524502</v>
      </c>
      <c r="Z169" s="380">
        <f t="shared" si="62"/>
        <v>30.744507997937905</v>
      </c>
      <c r="AA169" s="381">
        <f t="shared" si="63"/>
        <v>31.796294188965202</v>
      </c>
      <c r="AB169" s="193">
        <f t="shared" si="64"/>
        <v>45081</v>
      </c>
      <c r="AC169" s="420">
        <f>IF(OR(t&lt;Tnet,NoTnet),'2022'!Resal_s+('2022'!Salim-'2022'!Resal_s)*(1-EXP(('2022'!Tnet_s-t)/'2022'!Tau_j)),Resal_s+(Salim-Resal_s)*(1-EXP((Tnet_s-t)/Tau_j)))*Salcycl</f>
        <v>3.3078892300358577E-2</v>
      </c>
      <c r="AD169" s="227">
        <f>(INDEX(Models!$BJ169:$BT169,,AH169)*(1-AF169)+INDEX(Models!$BJ169:$BT169,,AH169+1)*AF169-ERP_i)*AE169*Ramure*Pc/MaxiM</f>
        <v>1.5894738898903164E-6</v>
      </c>
      <c r="AE169" s="301">
        <f t="shared" si="65"/>
        <v>0.5</v>
      </c>
      <c r="AF169" s="173">
        <f t="shared" si="66"/>
        <v>0.71283189489290633</v>
      </c>
      <c r="AG169" s="172">
        <f t="shared" si="67"/>
        <v>0</v>
      </c>
      <c r="AH169" s="172">
        <f t="shared" si="68"/>
        <v>6</v>
      </c>
      <c r="AI169" s="221">
        <f t="shared" si="69"/>
        <v>0.71283189489290633</v>
      </c>
      <c r="AJ169" s="261" t="b">
        <f t="shared" si="70"/>
        <v>0</v>
      </c>
      <c r="AK169" s="261" t="b">
        <f t="shared" si="71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ref="A170:A207" si="75">A169+1</f>
        <v>45082</v>
      </c>
      <c r="B170" s="406">
        <f>'2022'!Wh/'2022'!Env_an*'2023'!Env_an</f>
        <v>34.779234488631211</v>
      </c>
      <c r="C170" s="385"/>
      <c r="D170" s="388">
        <f t="shared" si="50"/>
        <v>35.046876038254368</v>
      </c>
      <c r="E170" s="380">
        <f t="shared" ref="E170:E232" si="76">Wh_pvt/(1-Psa)</f>
        <v>35.140970616377643</v>
      </c>
      <c r="F170" s="380">
        <f t="shared" si="51"/>
        <v>35.140988706677525</v>
      </c>
      <c r="G170" s="110">
        <f t="shared" ref="G170:G232" si="77">+Wh_hp/MaxiM</f>
        <v>0.53940801554527062</v>
      </c>
      <c r="H170" s="409" t="b">
        <f>Wh_hp&gt;='2022'!Maxi_hp</f>
        <v>0</v>
      </c>
      <c r="I170" s="385">
        <f>IF(H170,Wh_hp,'2022'!Maxi_hp)</f>
        <v>35.141012790309702</v>
      </c>
      <c r="J170" s="85">
        <f>IF(H170,An,'2022'!An_max)</f>
        <v>2022</v>
      </c>
      <c r="K170" s="193">
        <f t="shared" si="52"/>
        <v>45082</v>
      </c>
      <c r="L170" s="143">
        <f>IF(t&lt;Tvie,1-EXP((T0-t)*PertePVj)+'2022'!Pspv,1-EXP((T0-t)*PertePVj)+Pspv)</f>
        <v>7.6366735035391375E-3</v>
      </c>
      <c r="M170" s="836"/>
      <c r="N170" s="836"/>
      <c r="O170" s="48">
        <f>IF(t&lt;Tnet,'2022'!Resal+('2022'!Salim-'2022'!Resal)*(1-EXP(('2022'!Tnet-t)/('2022'!Tau_j))),Resal+(Salim-Resal)*(1-EXP((Tnet-t)/(Tau_j))))*Salcycl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1.5051860126642185E-6</v>
      </c>
      <c r="Q170" s="301">
        <f t="shared" si="53"/>
        <v>0.5</v>
      </c>
      <c r="R170" s="173">
        <f t="shared" si="54"/>
        <v>0.71791239576317822</v>
      </c>
      <c r="S170" s="802">
        <f t="shared" si="55"/>
        <v>0</v>
      </c>
      <c r="T170" s="172">
        <f t="shared" si="56"/>
        <v>6</v>
      </c>
      <c r="U170" s="247">
        <f t="shared" si="57"/>
        <v>0.71791239576317822</v>
      </c>
      <c r="V170" s="378">
        <f t="shared" si="58"/>
        <v>64.476609618621808</v>
      </c>
      <c r="W170" s="397">
        <f t="shared" si="59"/>
        <v>34.779234488631211</v>
      </c>
      <c r="X170" s="153">
        <f t="shared" si="60"/>
        <v>45082</v>
      </c>
      <c r="Y170" s="380">
        <f t="shared" si="61"/>
        <v>33.716736624680863</v>
      </c>
      <c r="Z170" s="380">
        <f t="shared" si="62"/>
        <v>33.976201784600221</v>
      </c>
      <c r="AA170" s="381">
        <f t="shared" si="63"/>
        <v>35.140970616377643</v>
      </c>
      <c r="AB170" s="193">
        <f t="shared" si="64"/>
        <v>45082</v>
      </c>
      <c r="AC170" s="420">
        <f>IF(OR(t&lt;Tnet,NoTnet),'2022'!Resal_s+('2022'!Salim-'2022'!Resal_s)*(1-EXP(('2022'!Tnet_s-t)/'2022'!Tau_j)),Resal_s+(Salim-Resal_s)*(1-EXP((Tnet_s-t)/Tau_j)))*Salcycl</f>
        <v>3.3145607857358823E-2</v>
      </c>
      <c r="AD170" s="227">
        <f>(INDEX(Models!$BJ170:$BT170,,AH170)*(1-AF170)+INDEX(Models!$BJ170:$BT170,,AH170+1)*AF170-ERP_i)*AE170*Ramure*Pc/MaxiM</f>
        <v>1.5051860126642185E-6</v>
      </c>
      <c r="AE170" s="301">
        <f t="shared" si="65"/>
        <v>0.5</v>
      </c>
      <c r="AF170" s="173">
        <f t="shared" si="66"/>
        <v>0.71791239576317822</v>
      </c>
      <c r="AG170" s="172">
        <f t="shared" si="67"/>
        <v>0</v>
      </c>
      <c r="AH170" s="172">
        <f t="shared" si="68"/>
        <v>6</v>
      </c>
      <c r="AI170" s="221">
        <f t="shared" si="69"/>
        <v>0.71791239576317822</v>
      </c>
      <c r="AJ170" s="261" t="b">
        <f t="shared" si="70"/>
        <v>0</v>
      </c>
      <c r="AK170" s="261" t="b">
        <f t="shared" si="71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5"/>
        <v>45083</v>
      </c>
      <c r="B171" s="406">
        <f>'2022'!Wh/'2022'!Env_an*'2023'!Env_an</f>
        <v>55.617080462940336</v>
      </c>
      <c r="C171" s="385"/>
      <c r="D171" s="388">
        <f t="shared" si="50"/>
        <v>56.045845648939881</v>
      </c>
      <c r="E171" s="380">
        <f t="shared" si="76"/>
        <v>56.200538196155279</v>
      </c>
      <c r="F171" s="380">
        <f t="shared" si="51"/>
        <v>56.200602596262726</v>
      </c>
      <c r="G171" s="110">
        <f t="shared" si="77"/>
        <v>0.86238264755877658</v>
      </c>
      <c r="H171" s="409" t="b">
        <f>Wh_hp&gt;='2022'!Maxi_hp</f>
        <v>0</v>
      </c>
      <c r="I171" s="385">
        <f>IF(H171,Wh_hp,'2022'!Maxi_hp)</f>
        <v>56.200613424709161</v>
      </c>
      <c r="J171" s="85">
        <f>IF(H171,An,'2022'!An_max)</f>
        <v>2022</v>
      </c>
      <c r="K171" s="193">
        <f t="shared" si="52"/>
        <v>45083</v>
      </c>
      <c r="L171" s="143">
        <f>IF(t&lt;Tvie,1-EXP((T0-t)*PertePVj)+'2022'!Pspv,1-EXP((T0-t)*PertePVj)+Pspv)</f>
        <v>7.650258124130116E-3</v>
      </c>
      <c r="M171" s="836"/>
      <c r="N171" s="836"/>
      <c r="O171" s="48">
        <f>IF(t&lt;Tnet,'2022'!Resal+('2022'!Salim-'2022'!Resal)*(1-EXP(('2022'!Tnet-t)/('2022'!Tau_j))),Resal+(Salim-Resal)*(1-EXP((Tnet-t)/(Tau_j))))*Salcycl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1.4263022294770381E-6</v>
      </c>
      <c r="Q171" s="301">
        <f t="shared" si="53"/>
        <v>0.5</v>
      </c>
      <c r="R171" s="173">
        <f t="shared" si="54"/>
        <v>0.72301431431031826</v>
      </c>
      <c r="S171" s="802">
        <f t="shared" si="55"/>
        <v>0</v>
      </c>
      <c r="T171" s="172">
        <f t="shared" si="56"/>
        <v>6</v>
      </c>
      <c r="U171" s="247">
        <f t="shared" si="57"/>
        <v>0.72301431431031826</v>
      </c>
      <c r="V171" s="378">
        <f t="shared" si="58"/>
        <v>64.492328347570435</v>
      </c>
      <c r="W171" s="397">
        <f t="shared" si="59"/>
        <v>55.617080462940336</v>
      </c>
      <c r="X171" s="153">
        <f t="shared" si="60"/>
        <v>45083</v>
      </c>
      <c r="Y171" s="380">
        <f t="shared" si="61"/>
        <v>53.918335121323118</v>
      </c>
      <c r="Z171" s="380">
        <f t="shared" si="62"/>
        <v>54.334004278974867</v>
      </c>
      <c r="AA171" s="381">
        <f t="shared" si="63"/>
        <v>56.200538196155279</v>
      </c>
      <c r="AB171" s="193">
        <f t="shared" si="64"/>
        <v>45083</v>
      </c>
      <c r="AC171" s="420">
        <f>IF(OR(t&lt;Tnet,NoTnet),'2022'!Resal_s+('2022'!Salim-'2022'!Resal_s)*(1-EXP(('2022'!Tnet_s-t)/'2022'!Tau_j)),Resal_s+(Salim-Resal_s)*(1-EXP((Tnet_s-t)/Tau_j)))*Salcycl</f>
        <v>3.3212029227650798E-2</v>
      </c>
      <c r="AD171" s="227">
        <f>(INDEX(Models!$BJ171:$BT171,,AH171)*(1-AF171)+INDEX(Models!$BJ171:$BT171,,AH171+1)*AF171-ERP_i)*AE171*Ramure*Pc/MaxiM</f>
        <v>1.4263022294770381E-6</v>
      </c>
      <c r="AE171" s="301">
        <f t="shared" si="65"/>
        <v>0.5</v>
      </c>
      <c r="AF171" s="173">
        <f t="shared" si="66"/>
        <v>0.72301431431031826</v>
      </c>
      <c r="AG171" s="172">
        <f t="shared" si="67"/>
        <v>0</v>
      </c>
      <c r="AH171" s="172">
        <f t="shared" si="68"/>
        <v>6</v>
      </c>
      <c r="AI171" s="221">
        <f t="shared" si="69"/>
        <v>0.72301431431031826</v>
      </c>
      <c r="AJ171" s="261" t="b">
        <f t="shared" si="70"/>
        <v>0</v>
      </c>
      <c r="AK171" s="261" t="b">
        <f t="shared" si="71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5"/>
        <v>45084</v>
      </c>
      <c r="B172" s="406">
        <f>'2022'!Wh/'2022'!Env_an*'2023'!Env_an</f>
        <v>29.04225194555255</v>
      </c>
      <c r="C172" s="385"/>
      <c r="D172" s="388">
        <f t="shared" si="50"/>
        <v>29.26654614746538</v>
      </c>
      <c r="E172" s="380">
        <f t="shared" si="76"/>
        <v>29.34952859272968</v>
      </c>
      <c r="F172" s="380">
        <f t="shared" si="51"/>
        <v>29.349537115669857</v>
      </c>
      <c r="G172" s="110">
        <f t="shared" si="77"/>
        <v>0.45023247559043328</v>
      </c>
      <c r="H172" s="409" t="b">
        <f>Wh_hp&gt;='2022'!Maxi_hp</f>
        <v>0</v>
      </c>
      <c r="I172" s="385">
        <f>IF(H172,Wh_hp,'2022'!Maxi_hp)</f>
        <v>29.349558396562763</v>
      </c>
      <c r="J172" s="85">
        <f>IF(H172,An,'2022'!An_max)</f>
        <v>2022</v>
      </c>
      <c r="K172" s="193">
        <f t="shared" si="52"/>
        <v>45084</v>
      </c>
      <c r="L172" s="143">
        <f>IF(t&lt;Tvie,1-EXP((T0-t)*PertePVj)+'2022'!Pspv,1-EXP((T0-t)*PertePVj)+Pspv)</f>
        <v>7.6638425587590708E-3</v>
      </c>
      <c r="M172" s="836"/>
      <c r="N172" s="836"/>
      <c r="O172" s="48">
        <f>IF(t&lt;Tnet,'2022'!Resal+('2022'!Salim-'2022'!Resal)*(1-EXP(('2022'!Tnet-t)/('2022'!Tau_j))),Resal+(Salim-Resal)*(1-EXP((Tnet-t)/(Tau_j))))*Salcycl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1.3530723429413679E-6</v>
      </c>
      <c r="Q172" s="301">
        <f t="shared" si="53"/>
        <v>0.5</v>
      </c>
      <c r="R172" s="173">
        <f t="shared" si="54"/>
        <v>0.7281334537281442</v>
      </c>
      <c r="S172" s="802">
        <f t="shared" si="55"/>
        <v>0</v>
      </c>
      <c r="T172" s="172">
        <f t="shared" si="56"/>
        <v>6</v>
      </c>
      <c r="U172" s="247">
        <f t="shared" si="57"/>
        <v>0.7281334537281442</v>
      </c>
      <c r="V172" s="378">
        <f t="shared" si="58"/>
        <v>64.504945017340503</v>
      </c>
      <c r="W172" s="397">
        <f t="shared" si="59"/>
        <v>29.04225194555255</v>
      </c>
      <c r="X172" s="153">
        <f t="shared" si="60"/>
        <v>45084</v>
      </c>
      <c r="Y172" s="380">
        <f t="shared" si="61"/>
        <v>28.155386245607747</v>
      </c>
      <c r="Z172" s="380">
        <f t="shared" si="62"/>
        <v>28.372831156537707</v>
      </c>
      <c r="AA172" s="381">
        <f t="shared" si="63"/>
        <v>29.34952859272968</v>
      </c>
      <c r="AB172" s="193">
        <f t="shared" si="64"/>
        <v>45084</v>
      </c>
      <c r="AC172" s="420">
        <f>IF(OR(t&lt;Tnet,NoTnet),'2022'!Resal_s+('2022'!Salim-'2022'!Resal_s)*(1-EXP(('2022'!Tnet_s-t)/'2022'!Tau_j)),Resal_s+(Salim-Resal_s)*(1-EXP((Tnet_s-t)/Tau_j)))*Salcycl</f>
        <v>3.3278130280903845E-2</v>
      </c>
      <c r="AD172" s="227">
        <f>(INDEX(Models!$BJ172:$BT172,,AH172)*(1-AF172)+INDEX(Models!$BJ172:$BT172,,AH172+1)*AF172-ERP_i)*AE172*Ramure*Pc/MaxiM</f>
        <v>1.3530723429413679E-6</v>
      </c>
      <c r="AE172" s="301">
        <f t="shared" si="65"/>
        <v>0.5</v>
      </c>
      <c r="AF172" s="173">
        <f t="shared" si="66"/>
        <v>0.7281334537281442</v>
      </c>
      <c r="AG172" s="172">
        <f t="shared" si="67"/>
        <v>0</v>
      </c>
      <c r="AH172" s="172">
        <f t="shared" si="68"/>
        <v>6</v>
      </c>
      <c r="AI172" s="221">
        <f t="shared" si="69"/>
        <v>0.7281334537281442</v>
      </c>
      <c r="AJ172" s="261" t="b">
        <f t="shared" si="70"/>
        <v>0</v>
      </c>
      <c r="AK172" s="261" t="b">
        <f t="shared" si="71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5"/>
        <v>45085</v>
      </c>
      <c r="B173" s="406">
        <f>'2022'!Wh/'2022'!Env_an*'2023'!Env_an</f>
        <v>26.17025413705586</v>
      </c>
      <c r="C173" s="385"/>
      <c r="D173" s="388">
        <f t="shared" si="50"/>
        <v>26.372728832378606</v>
      </c>
      <c r="E173" s="380">
        <f t="shared" si="76"/>
        <v>26.449492004442277</v>
      </c>
      <c r="F173" s="380">
        <f t="shared" si="51"/>
        <v>26.449497137055431</v>
      </c>
      <c r="G173" s="110">
        <f t="shared" si="77"/>
        <v>0.40564762691770473</v>
      </c>
      <c r="H173" s="409" t="b">
        <f>Wh_hp&gt;='2022'!Maxi_hp</f>
        <v>0</v>
      </c>
      <c r="I173" s="385">
        <f>IF(H173,Wh_hp,'2022'!Maxi_hp)</f>
        <v>26.449516701435005</v>
      </c>
      <c r="J173" s="85">
        <f>IF(H173,An,'2022'!An_max)</f>
        <v>2022</v>
      </c>
      <c r="K173" s="193">
        <f t="shared" si="52"/>
        <v>45085</v>
      </c>
      <c r="L173" s="143">
        <f>IF(t&lt;Tvie,1-EXP((T0-t)*PertePVj)+'2022'!Pspv,1-EXP((T0-t)*PertePVj)+Pspv)</f>
        <v>7.6774268074284446E-3</v>
      </c>
      <c r="M173" s="836"/>
      <c r="N173" s="836"/>
      <c r="O173" s="48">
        <f>IF(t&lt;Tnet,'2022'!Resal+('2022'!Salim-'2022'!Resal)*(1-EXP(('2022'!Tnet-t)/('2022'!Tau_j))),Resal+(Salim-Resal)*(1-EXP((Tnet-t)/(Tau_j))))*Salcycl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1.2857531185402378E-6</v>
      </c>
      <c r="Q173" s="301">
        <f t="shared" si="53"/>
        <v>0.5</v>
      </c>
      <c r="R173" s="173">
        <f t="shared" si="54"/>
        <v>0.73326555968141072</v>
      </c>
      <c r="S173" s="802">
        <f t="shared" si="55"/>
        <v>0</v>
      </c>
      <c r="T173" s="172">
        <f t="shared" si="56"/>
        <v>6</v>
      </c>
      <c r="U173" s="247">
        <f t="shared" si="57"/>
        <v>0.73326555968141072</v>
      </c>
      <c r="V173" s="378">
        <f t="shared" si="58"/>
        <v>64.514676853511617</v>
      </c>
      <c r="W173" s="397">
        <f t="shared" si="59"/>
        <v>26.17025413705586</v>
      </c>
      <c r="X173" s="153">
        <f t="shared" si="60"/>
        <v>45085</v>
      </c>
      <c r="Y173" s="380">
        <f t="shared" si="61"/>
        <v>25.371270072540209</v>
      </c>
      <c r="Z173" s="380">
        <f t="shared" si="62"/>
        <v>25.567563167402245</v>
      </c>
      <c r="AA173" s="381">
        <f t="shared" si="63"/>
        <v>26.449492004442277</v>
      </c>
      <c r="AB173" s="193">
        <f t="shared" si="64"/>
        <v>45085</v>
      </c>
      <c r="AC173" s="420">
        <f>IF(OR(t&lt;Tnet,NoTnet),'2022'!Resal_s+('2022'!Salim-'2022'!Resal_s)*(1-EXP(('2022'!Tnet_s-t)/'2022'!Tau_j)),Resal_s+(Salim-Resal_s)*(1-EXP((Tnet_s-t)/Tau_j)))*Salcycl</f>
        <v>3.3343885655418522E-2</v>
      </c>
      <c r="AD173" s="227">
        <f>(INDEX(Models!$BJ173:$BT173,,AH173)*(1-AF173)+INDEX(Models!$BJ173:$BT173,,AH173+1)*AF173-ERP_i)*AE173*Ramure*Pc/MaxiM</f>
        <v>1.2857531185402378E-6</v>
      </c>
      <c r="AE173" s="301">
        <f t="shared" si="65"/>
        <v>0.5</v>
      </c>
      <c r="AF173" s="173">
        <f t="shared" si="66"/>
        <v>0.73326555968141072</v>
      </c>
      <c r="AG173" s="172">
        <f t="shared" si="67"/>
        <v>0</v>
      </c>
      <c r="AH173" s="172">
        <f t="shared" si="68"/>
        <v>6</v>
      </c>
      <c r="AI173" s="221">
        <f t="shared" si="69"/>
        <v>0.73326555968141072</v>
      </c>
      <c r="AJ173" s="261" t="b">
        <f t="shared" si="70"/>
        <v>0</v>
      </c>
      <c r="AK173" s="261" t="b">
        <f t="shared" si="71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5"/>
        <v>45086</v>
      </c>
      <c r="B174" s="406">
        <f>'2022'!Wh/'2022'!Env_an*'2023'!Env_an</f>
        <v>53.777844363046192</v>
      </c>
      <c r="C174" s="385"/>
      <c r="D174" s="388">
        <f t="shared" si="50"/>
        <v>54.194656051844483</v>
      </c>
      <c r="E174" s="380">
        <f t="shared" si="76"/>
        <v>54.356481432323783</v>
      </c>
      <c r="F174" s="380">
        <f t="shared" si="51"/>
        <v>54.356532163157823</v>
      </c>
      <c r="G174" s="110">
        <f t="shared" si="77"/>
        <v>0.8334838436653903</v>
      </c>
      <c r="H174" s="409" t="b">
        <f>Wh_hp&gt;='2022'!Maxi_hp</f>
        <v>0</v>
      </c>
      <c r="I174" s="385">
        <f>IF(H174,Wh_hp,'2022'!Maxi_hp)</f>
        <v>54.356542817414159</v>
      </c>
      <c r="J174" s="85">
        <f>IF(H174,An,'2022'!An_max)</f>
        <v>2022</v>
      </c>
      <c r="K174" s="193">
        <f t="shared" si="52"/>
        <v>45086</v>
      </c>
      <c r="L174" s="143">
        <f>IF(t&lt;Tvie,1-EXP((T0-t)*PertePVj)+'2022'!Pspv,1-EXP((T0-t)*PertePVj)+Pspv)</f>
        <v>7.6910108701410129E-3</v>
      </c>
      <c r="M174" s="836"/>
      <c r="N174" s="836"/>
      <c r="O174" s="48">
        <f>IF(t&lt;Tnet,'2022'!Resal+('2022'!Salim-'2022'!Resal)*(1-EXP(('2022'!Tnet-t)/('2022'!Tau_j))),Resal+(Salim-Resal)*(1-EXP((Tnet-t)/(Tau_j))))*Salcycl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1.2246072644506759E-6</v>
      </c>
      <c r="Q174" s="301">
        <f t="shared" si="53"/>
        <v>0.5</v>
      </c>
      <c r="R174" s="173">
        <f t="shared" si="54"/>
        <v>0.73840633432571656</v>
      </c>
      <c r="S174" s="802">
        <f t="shared" si="55"/>
        <v>0</v>
      </c>
      <c r="T174" s="172">
        <f t="shared" si="56"/>
        <v>6</v>
      </c>
      <c r="U174" s="247">
        <f t="shared" si="57"/>
        <v>0.73840633432571656</v>
      </c>
      <c r="V174" s="378">
        <f t="shared" si="58"/>
        <v>64.521741010049212</v>
      </c>
      <c r="W174" s="397">
        <f t="shared" si="59"/>
        <v>53.777844363046192</v>
      </c>
      <c r="X174" s="153">
        <f t="shared" si="60"/>
        <v>45086</v>
      </c>
      <c r="Y174" s="380">
        <f t="shared" si="61"/>
        <v>52.136381687449791</v>
      </c>
      <c r="Z174" s="380">
        <f t="shared" si="62"/>
        <v>52.54047102119614</v>
      </c>
      <c r="AA174" s="381">
        <f t="shared" si="63"/>
        <v>54.356481432323783</v>
      </c>
      <c r="AB174" s="193">
        <f t="shared" si="64"/>
        <v>45086</v>
      </c>
      <c r="AC174" s="420">
        <f>IF(OR(t&lt;Tnet,NoTnet),'2022'!Resal_s+('2022'!Salim-'2022'!Resal_s)*(1-EXP(('2022'!Tnet_s-t)/'2022'!Tau_j)),Resal_s+(Salim-Resal_s)*(1-EXP((Tnet_s-t)/Tau_j)))*Salcycl</f>
        <v>3.3409270859237977E-2</v>
      </c>
      <c r="AD174" s="227">
        <f>(INDEX(Models!$BJ174:$BT174,,AH174)*(1-AF174)+INDEX(Models!$BJ174:$BT174,,AH174+1)*AF174-ERP_i)*AE174*Ramure*Pc/MaxiM</f>
        <v>1.2246072644506759E-6</v>
      </c>
      <c r="AE174" s="301">
        <f t="shared" si="65"/>
        <v>0.5</v>
      </c>
      <c r="AF174" s="173">
        <f t="shared" si="66"/>
        <v>0.73840633432571656</v>
      </c>
      <c r="AG174" s="172">
        <f t="shared" si="67"/>
        <v>0</v>
      </c>
      <c r="AH174" s="172">
        <f t="shared" si="68"/>
        <v>6</v>
      </c>
      <c r="AI174" s="221">
        <f t="shared" si="69"/>
        <v>0.73840633432571656</v>
      </c>
      <c r="AJ174" s="261" t="b">
        <f t="shared" si="70"/>
        <v>0</v>
      </c>
      <c r="AK174" s="261" t="b">
        <f t="shared" si="71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5"/>
        <v>45087</v>
      </c>
      <c r="B175" s="406">
        <f>'2022'!Wh/'2022'!Env_an*'2023'!Env_an</f>
        <v>66.164647457601262</v>
      </c>
      <c r="C175" s="385"/>
      <c r="D175" s="388">
        <f t="shared" si="50"/>
        <v>66.678377333335433</v>
      </c>
      <c r="E175" s="380">
        <f t="shared" si="76"/>
        <v>66.882499699987349</v>
      </c>
      <c r="F175" s="380">
        <f t="shared" si="51"/>
        <v>66.882577946073695</v>
      </c>
      <c r="G175" s="110">
        <f t="shared" si="77"/>
        <v>1.0253895155984707</v>
      </c>
      <c r="H175" s="409" t="b">
        <f>Wh_hp&gt;='2022'!Maxi_hp</f>
        <v>1</v>
      </c>
      <c r="I175" s="385">
        <f>IF(H175,Wh_hp,'2022'!Maxi_hp)</f>
        <v>66.882577946073695</v>
      </c>
      <c r="J175" s="85">
        <f>IF(H175,An,'2022'!An_max)</f>
        <v>2023</v>
      </c>
      <c r="K175" s="193">
        <f t="shared" si="52"/>
        <v>45087</v>
      </c>
      <c r="L175" s="143">
        <f>IF(t&lt;Tvie,1-EXP((T0-t)*PertePVj)+'2022'!Pspv,1-EXP((T0-t)*PertePVj)+Pspv)</f>
        <v>7.7045947468989961E-3</v>
      </c>
      <c r="M175" s="836"/>
      <c r="N175" s="836"/>
      <c r="O175" s="48">
        <f>IF(t&lt;Tnet,'2022'!Resal+('2022'!Salim-'2022'!Resal)*(1-EXP(('2022'!Tnet-t)/('2022'!Tau_j))),Resal+(Salim-Resal)*(1-EXP((Tnet-t)/(Tau_j))))*Salcycl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1.1699023685889284E-6</v>
      </c>
      <c r="Q175" s="301">
        <f t="shared" si="53"/>
        <v>0.5</v>
      </c>
      <c r="R175" s="173">
        <f t="shared" si="54"/>
        <v>0.74355145063672812</v>
      </c>
      <c r="S175" s="802">
        <f t="shared" si="55"/>
        <v>0</v>
      </c>
      <c r="T175" s="172">
        <f t="shared" si="56"/>
        <v>6</v>
      </c>
      <c r="U175" s="247">
        <f t="shared" si="57"/>
        <v>0.74355145063672812</v>
      </c>
      <c r="V175" s="378">
        <f t="shared" si="58"/>
        <v>64.526354571690874</v>
      </c>
      <c r="W175" s="397">
        <f t="shared" si="59"/>
        <v>66.164647457601262</v>
      </c>
      <c r="X175" s="153">
        <f t="shared" si="60"/>
        <v>45087</v>
      </c>
      <c r="Y175" s="380">
        <f t="shared" si="61"/>
        <v>64.145604174320724</v>
      </c>
      <c r="Z175" s="380">
        <f t="shared" si="62"/>
        <v>64.64365735721546</v>
      </c>
      <c r="AA175" s="381">
        <f t="shared" si="63"/>
        <v>66.882499699987349</v>
      </c>
      <c r="AB175" s="193">
        <f t="shared" si="64"/>
        <v>45087</v>
      </c>
      <c r="AC175" s="420">
        <f>IF(OR(t&lt;Tnet,NoTnet),'2022'!Resal_s+('2022'!Salim-'2022'!Resal_s)*(1-EXP(('2022'!Tnet_s-t)/'2022'!Tau_j)),Resal_s+(Salim-Resal_s)*(1-EXP((Tnet_s-t)/Tau_j)))*Salcycl</f>
        <v>3.3474262367803126E-2</v>
      </c>
      <c r="AD175" s="227">
        <f>(INDEX(Models!$BJ175:$BT175,,AH175)*(1-AF175)+INDEX(Models!$BJ175:$BT175,,AH175+1)*AF175-ERP_i)*AE175*Ramure*Pc/MaxiM</f>
        <v>1.1699023685889284E-6</v>
      </c>
      <c r="AE175" s="301">
        <f t="shared" si="65"/>
        <v>0.5</v>
      </c>
      <c r="AF175" s="173">
        <f t="shared" si="66"/>
        <v>0.74355145063672812</v>
      </c>
      <c r="AG175" s="172">
        <f t="shared" si="67"/>
        <v>0</v>
      </c>
      <c r="AH175" s="172">
        <f t="shared" si="68"/>
        <v>6</v>
      </c>
      <c r="AI175" s="221">
        <f t="shared" si="69"/>
        <v>0.74355145063672812</v>
      </c>
      <c r="AJ175" s="261" t="b">
        <f t="shared" si="70"/>
        <v>0</v>
      </c>
      <c r="AK175" s="261" t="b">
        <f t="shared" si="71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5"/>
        <v>45088</v>
      </c>
      <c r="B176" s="406">
        <f>'2022'!Wh/'2022'!Env_an*'2023'!Env_an</f>
        <v>63.349892814506973</v>
      </c>
      <c r="C176" s="385"/>
      <c r="D176" s="388">
        <f t="shared" si="50"/>
        <v>63.842641715199363</v>
      </c>
      <c r="E176" s="380">
        <f t="shared" si="76"/>
        <v>64.042889499182238</v>
      </c>
      <c r="F176" s="380">
        <f t="shared" si="51"/>
        <v>64.042959474466315</v>
      </c>
      <c r="G176" s="110">
        <f t="shared" si="77"/>
        <v>0.98173149373801305</v>
      </c>
      <c r="H176" s="409" t="b">
        <f>Wh_hp&gt;='2022'!Maxi_hp</f>
        <v>0</v>
      </c>
      <c r="I176" s="385">
        <f>IF(H176,Wh_hp,'2022'!Maxi_hp)</f>
        <v>64.04296071880799</v>
      </c>
      <c r="J176" s="85">
        <f>IF(H176,An,'2022'!An_max)</f>
        <v>2022</v>
      </c>
      <c r="K176" s="193">
        <f t="shared" si="52"/>
        <v>45088</v>
      </c>
      <c r="L176" s="143">
        <f>IF(t&lt;Tvie,1-EXP((T0-t)*PertePVj)+'2022'!Pspv,1-EXP((T0-t)*PertePVj)+Pspv)</f>
        <v>7.7181784377051699E-3</v>
      </c>
      <c r="M176" s="836"/>
      <c r="N176" s="836"/>
      <c r="O176" s="48">
        <f>IF(t&lt;Tnet,'2022'!Resal+('2022'!Salim-'2022'!Resal)*(1-EXP(('2022'!Tnet-t)/('2022'!Tau_j))),Resal+(Salim-Resal)*(1-EXP((Tnet-t)/(Tau_j))))*Salcycl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1.1219098001494666E-6</v>
      </c>
      <c r="Q176" s="301">
        <f t="shared" si="53"/>
        <v>0.5</v>
      </c>
      <c r="R176" s="173">
        <f t="shared" si="54"/>
        <v>0.74869656694773967</v>
      </c>
      <c r="S176" s="802">
        <f t="shared" si="55"/>
        <v>0</v>
      </c>
      <c r="T176" s="172">
        <f t="shared" si="56"/>
        <v>6</v>
      </c>
      <c r="U176" s="247">
        <f t="shared" si="57"/>
        <v>0.74869656694773967</v>
      </c>
      <c r="V176" s="378">
        <f t="shared" si="58"/>
        <v>64.528734550878568</v>
      </c>
      <c r="W176" s="397">
        <f t="shared" si="59"/>
        <v>63.349892814506973</v>
      </c>
      <c r="X176" s="153">
        <f t="shared" si="60"/>
        <v>45088</v>
      </c>
      <c r="Y176" s="380">
        <f t="shared" si="61"/>
        <v>61.41724903379491</v>
      </c>
      <c r="Z176" s="380">
        <f t="shared" si="62"/>
        <v>61.894965421312186</v>
      </c>
      <c r="AA176" s="381">
        <f t="shared" si="63"/>
        <v>64.042889499182238</v>
      </c>
      <c r="AB176" s="193">
        <f t="shared" si="64"/>
        <v>45088</v>
      </c>
      <c r="AC176" s="420">
        <f>IF(OR(t&lt;Tnet,NoTnet),'2022'!Resal_s+('2022'!Salim-'2022'!Resal_s)*(1-EXP(('2022'!Tnet_s-t)/'2022'!Tau_j)),Resal_s+(Salim-Resal_s)*(1-EXP((Tnet_s-t)/Tau_j)))*Salcycl</f>
        <v>3.3538837717456152E-2</v>
      </c>
      <c r="AD176" s="227">
        <f>(INDEX(Models!$BJ176:$BT176,,AH176)*(1-AF176)+INDEX(Models!$BJ176:$BT176,,AH176+1)*AF176-ERP_i)*AE176*Ramure*Pc/MaxiM</f>
        <v>1.1219098001494666E-6</v>
      </c>
      <c r="AE176" s="301">
        <f t="shared" si="65"/>
        <v>0.5</v>
      </c>
      <c r="AF176" s="173">
        <f t="shared" si="66"/>
        <v>0.74869656694773967</v>
      </c>
      <c r="AG176" s="172">
        <f t="shared" si="67"/>
        <v>0</v>
      </c>
      <c r="AH176" s="172">
        <f t="shared" si="68"/>
        <v>6</v>
      </c>
      <c r="AI176" s="221">
        <f t="shared" si="69"/>
        <v>0.74869656694773967</v>
      </c>
      <c r="AJ176" s="261" t="b">
        <f t="shared" si="70"/>
        <v>0</v>
      </c>
      <c r="AK176" s="261" t="b">
        <f t="shared" si="71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5"/>
        <v>45089</v>
      </c>
      <c r="B177" s="406">
        <f>'2022'!Wh/'2022'!Env_an*'2023'!Env_an</f>
        <v>51.083538392642005</v>
      </c>
      <c r="C177" s="385"/>
      <c r="D177" s="388">
        <f t="shared" si="50"/>
        <v>51.481581726981581</v>
      </c>
      <c r="E177" s="380">
        <f t="shared" si="76"/>
        <v>51.646933121991246</v>
      </c>
      <c r="F177" s="380">
        <f t="shared" si="51"/>
        <v>51.646972329219061</v>
      </c>
      <c r="G177" s="110">
        <f t="shared" si="77"/>
        <v>0.7916277271923654</v>
      </c>
      <c r="H177" s="409" t="b">
        <f>Wh_hp&gt;='2022'!Maxi_hp</f>
        <v>0</v>
      </c>
      <c r="I177" s="385">
        <f>IF(H177,Wh_hp,'2022'!Maxi_hp)</f>
        <v>51.646983281304863</v>
      </c>
      <c r="J177" s="85">
        <f>IF(H177,An,'2022'!An_max)</f>
        <v>2022</v>
      </c>
      <c r="K177" s="193">
        <f t="shared" si="52"/>
        <v>45089</v>
      </c>
      <c r="L177" s="143">
        <f>IF(t&lt;Tvie,1-EXP((T0-t)*PertePVj)+'2022'!Pspv,1-EXP((T0-t)*PertePVj)+Pspv)</f>
        <v>7.7317619425620876E-3</v>
      </c>
      <c r="M177" s="836"/>
      <c r="N177" s="836"/>
      <c r="O177" s="48">
        <f>IF(t&lt;Tnet,'2022'!Resal+('2022'!Salim-'2022'!Resal)*(1-EXP(('2022'!Tnet-t)/('2022'!Tau_j))),Resal+(Salim-Resal)*(1-EXP((Tnet-t)/(Tau_j))))*Salcycl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1.080893027539828E-6</v>
      </c>
      <c r="Q177" s="301">
        <f t="shared" si="53"/>
        <v>0.5</v>
      </c>
      <c r="R177" s="173">
        <f t="shared" si="54"/>
        <v>0.75383734159204552</v>
      </c>
      <c r="S177" s="802">
        <f t="shared" si="55"/>
        <v>0</v>
      </c>
      <c r="T177" s="172">
        <f t="shared" si="56"/>
        <v>6</v>
      </c>
      <c r="U177" s="247">
        <f t="shared" si="57"/>
        <v>0.75383734159204552</v>
      </c>
      <c r="V177" s="378">
        <f t="shared" si="58"/>
        <v>64.52972805471093</v>
      </c>
      <c r="W177" s="397">
        <f t="shared" si="59"/>
        <v>51.083538392642005</v>
      </c>
      <c r="X177" s="153">
        <f t="shared" si="60"/>
        <v>45089</v>
      </c>
      <c r="Y177" s="380">
        <f t="shared" si="61"/>
        <v>49.525539097248803</v>
      </c>
      <c r="Z177" s="380">
        <f t="shared" si="62"/>
        <v>49.911442488781944</v>
      </c>
      <c r="AA177" s="381">
        <f t="shared" si="63"/>
        <v>51.646933121991246</v>
      </c>
      <c r="AB177" s="193">
        <f t="shared" si="64"/>
        <v>45089</v>
      </c>
      <c r="AC177" s="420">
        <f>IF(OR(t&lt;Tnet,NoTnet),'2022'!Resal_s+('2022'!Salim-'2022'!Resal_s)*(1-EXP(('2022'!Tnet_s-t)/'2022'!Tau_j)),Resal_s+(Salim-Resal_s)*(1-EXP((Tnet_s-t)/Tau_j)))*Salcycl</f>
        <v>3.3602975594117748E-2</v>
      </c>
      <c r="AD177" s="227">
        <f>(INDEX(Models!$BJ177:$BT177,,AH177)*(1-AF177)+INDEX(Models!$BJ177:$BT177,,AH177+1)*AF177-ERP_i)*AE177*Ramure*Pc/MaxiM</f>
        <v>1.080893027539828E-6</v>
      </c>
      <c r="AE177" s="301">
        <f t="shared" si="65"/>
        <v>0.5</v>
      </c>
      <c r="AF177" s="173">
        <f t="shared" si="66"/>
        <v>0.75383734159204552</v>
      </c>
      <c r="AG177" s="172">
        <f t="shared" si="67"/>
        <v>0</v>
      </c>
      <c r="AH177" s="172">
        <f t="shared" si="68"/>
        <v>6</v>
      </c>
      <c r="AI177" s="221">
        <f t="shared" si="69"/>
        <v>0.75383734159204552</v>
      </c>
      <c r="AJ177" s="261" t="b">
        <f t="shared" si="70"/>
        <v>0</v>
      </c>
      <c r="AK177" s="261" t="b">
        <f t="shared" si="71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5"/>
        <v>45090</v>
      </c>
      <c r="B178" s="406">
        <f>'2022'!Wh/'2022'!Env_an*'2023'!Env_an</f>
        <v>57.109813882082889</v>
      </c>
      <c r="C178" s="385"/>
      <c r="D178" s="388">
        <f t="shared" si="50"/>
        <v>57.555601890456316</v>
      </c>
      <c r="E178" s="380">
        <f t="shared" si="76"/>
        <v>57.744793383804343</v>
      </c>
      <c r="F178" s="380">
        <f t="shared" si="51"/>
        <v>57.744843997657199</v>
      </c>
      <c r="G178" s="110">
        <f t="shared" si="77"/>
        <v>0.88501610551704224</v>
      </c>
      <c r="H178" s="409" t="b">
        <f>Wh_hp&gt;='2022'!Maxi_hp</f>
        <v>0</v>
      </c>
      <c r="I178" s="385">
        <f>IF(H178,Wh_hp,'2022'!Maxi_hp)</f>
        <v>57.744850509610608</v>
      </c>
      <c r="J178" s="85">
        <f>IF(H178,An,'2022'!An_max)</f>
        <v>2022</v>
      </c>
      <c r="K178" s="193">
        <f t="shared" si="52"/>
        <v>45090</v>
      </c>
      <c r="L178" s="143">
        <f>IF(t&lt;Tvie,1-EXP((T0-t)*PertePVj)+'2022'!Pspv,1-EXP((T0-t)*PertePVj)+Pspv)</f>
        <v>7.7453452614721918E-3</v>
      </c>
      <c r="M178" s="836"/>
      <c r="N178" s="836"/>
      <c r="O178" s="48">
        <f>IF(t&lt;Tnet,'2022'!Resal+('2022'!Salim-'2022'!Resal)*(1-EXP(('2022'!Tnet-t)/('2022'!Tau_j))),Resal+(Salim-Resal)*(1-EXP((Tnet-t)/(Tau_j))))*Salcycl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1.0487845723087416E-6</v>
      </c>
      <c r="Q178" s="301">
        <f t="shared" si="53"/>
        <v>0.5</v>
      </c>
      <c r="R178" s="173">
        <f t="shared" si="54"/>
        <v>0.75896944754531204</v>
      </c>
      <c r="S178" s="802">
        <f t="shared" si="55"/>
        <v>0</v>
      </c>
      <c r="T178" s="172">
        <f t="shared" si="56"/>
        <v>6</v>
      </c>
      <c r="U178" s="247">
        <f t="shared" si="57"/>
        <v>0.75896944754531204</v>
      </c>
      <c r="V178" s="378">
        <f t="shared" si="58"/>
        <v>64.529677694465761</v>
      </c>
      <c r="W178" s="397">
        <f t="shared" si="59"/>
        <v>57.109813882082889</v>
      </c>
      <c r="X178" s="153">
        <f t="shared" si="60"/>
        <v>45090</v>
      </c>
      <c r="Y178" s="380">
        <f t="shared" si="61"/>
        <v>55.368523457212532</v>
      </c>
      <c r="Z178" s="380">
        <f t="shared" si="62"/>
        <v>55.800719293982922</v>
      </c>
      <c r="AA178" s="381">
        <f t="shared" si="63"/>
        <v>57.744793383804343</v>
      </c>
      <c r="AB178" s="193">
        <f t="shared" si="64"/>
        <v>45090</v>
      </c>
      <c r="AC178" s="420">
        <f>IF(OR(t&lt;Tnet,NoTnet),'2022'!Resal_s+('2022'!Salim-'2022'!Resal_s)*(1-EXP(('2022'!Tnet_s-t)/'2022'!Tau_j)),Resal_s+(Salim-Resal_s)*(1-EXP((Tnet_s-t)/Tau_j)))*Salcycl</f>
        <v>3.3666655916491227E-2</v>
      </c>
      <c r="AD178" s="227">
        <f>(INDEX(Models!$BJ178:$BT178,,AH178)*(1-AF178)+INDEX(Models!$BJ178:$BT178,,AH178+1)*AF178-ERP_i)*AE178*Ramure*Pc/MaxiM</f>
        <v>1.0487845723087416E-6</v>
      </c>
      <c r="AE178" s="301">
        <f t="shared" si="65"/>
        <v>0.5</v>
      </c>
      <c r="AF178" s="173">
        <f t="shared" si="66"/>
        <v>0.75896944754531204</v>
      </c>
      <c r="AG178" s="172">
        <f t="shared" si="67"/>
        <v>0</v>
      </c>
      <c r="AH178" s="172">
        <f t="shared" si="68"/>
        <v>6</v>
      </c>
      <c r="AI178" s="221">
        <f t="shared" si="69"/>
        <v>0.75896944754531204</v>
      </c>
      <c r="AJ178" s="261" t="b">
        <f t="shared" si="70"/>
        <v>0</v>
      </c>
      <c r="AK178" s="261" t="b">
        <f t="shared" si="71"/>
        <v>0</v>
      </c>
      <c r="AL178" s="261"/>
      <c r="AM178" s="261"/>
      <c r="AN178" s="75"/>
    </row>
    <row r="179" spans="1:40" s="6" customFormat="1" ht="11.25" x14ac:dyDescent="0.2">
      <c r="A179" s="56">
        <f t="shared" si="75"/>
        <v>45091</v>
      </c>
      <c r="B179" s="406">
        <f>'2022'!Wh/'2022'!Env_an*'2023'!Env_an</f>
        <v>58.056187586320974</v>
      </c>
      <c r="C179" s="385"/>
      <c r="D179" s="388">
        <f t="shared" si="50"/>
        <v>58.510163757260401</v>
      </c>
      <c r="E179" s="380">
        <f t="shared" si="76"/>
        <v>58.706894669682328</v>
      </c>
      <c r="F179" s="380">
        <f t="shared" si="51"/>
        <v>58.706946013517317</v>
      </c>
      <c r="G179" s="110">
        <f t="shared" si="77"/>
        <v>0.89970461230562926</v>
      </c>
      <c r="H179" s="409" t="b">
        <f>Wh_hp&gt;='2022'!Maxi_hp</f>
        <v>0</v>
      </c>
      <c r="I179" s="385">
        <f>IF(H179,Wh_hp,'2022'!Maxi_hp)</f>
        <v>58.706951596633296</v>
      </c>
      <c r="J179" s="85">
        <f>IF(H179,An,'2022'!An_max)</f>
        <v>2022</v>
      </c>
      <c r="K179" s="193">
        <f t="shared" si="52"/>
        <v>45091</v>
      </c>
      <c r="L179" s="143">
        <f>IF(t&lt;Tvie,1-EXP((T0-t)*PertePVj)+'2022'!Pspv,1-EXP((T0-t)*PertePVj)+Pspv)</f>
        <v>7.7589283944380361E-3</v>
      </c>
      <c r="M179" s="836"/>
      <c r="N179" s="836"/>
      <c r="O179" s="48">
        <f>IF(t&lt;Tnet,'2022'!Resal+('2022'!Salim-'2022'!Resal)*(1-EXP(('2022'!Tnet-t)/('2022'!Tau_j))),Resal+(Salim-Resal)*(1-EXP((Tnet-t)/(Tau_j))))*Salcycl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1.0208439778082403E-6</v>
      </c>
      <c r="Q179" s="301">
        <f t="shared" si="53"/>
        <v>0.5</v>
      </c>
      <c r="R179" s="173">
        <f t="shared" si="54"/>
        <v>0.76408858696313797</v>
      </c>
      <c r="S179" s="802">
        <f t="shared" si="55"/>
        <v>0</v>
      </c>
      <c r="T179" s="172">
        <f t="shared" si="56"/>
        <v>6</v>
      </c>
      <c r="U179" s="247">
        <f t="shared" si="57"/>
        <v>0.76408858696313797</v>
      </c>
      <c r="V179" s="378">
        <f t="shared" si="58"/>
        <v>64.528044316591831</v>
      </c>
      <c r="W179" s="397">
        <f t="shared" si="59"/>
        <v>58.056187586320974</v>
      </c>
      <c r="X179" s="153">
        <f t="shared" si="60"/>
        <v>45091</v>
      </c>
      <c r="Y179" s="380">
        <f t="shared" si="61"/>
        <v>56.286580783152573</v>
      </c>
      <c r="Z179" s="380">
        <f t="shared" si="62"/>
        <v>56.726719336536142</v>
      </c>
      <c r="AA179" s="381">
        <f t="shared" si="63"/>
        <v>58.706894669682328</v>
      </c>
      <c r="AB179" s="193">
        <f t="shared" si="64"/>
        <v>45091</v>
      </c>
      <c r="AC179" s="420">
        <f>IF(OR(t&lt;Tnet,NoTnet),'2022'!Resal_s+('2022'!Salim-'2022'!Resal_s)*(1-EXP(('2022'!Tnet_s-t)/'2022'!Tau_j)),Resal_s+(Salim-Resal_s)*(1-EXP((Tnet_s-t)/Tau_j)))*Salcycl</f>
        <v>3.3729859913179831E-2</v>
      </c>
      <c r="AD179" s="227">
        <f>(INDEX(Models!$BJ179:$BT179,,AH179)*(1-AF179)+INDEX(Models!$BJ179:$BT179,,AH179+1)*AF179-ERP_i)*AE179*Ramure*Pc/MaxiM</f>
        <v>1.0208439778082403E-6</v>
      </c>
      <c r="AE179" s="301">
        <f t="shared" si="65"/>
        <v>0.5</v>
      </c>
      <c r="AF179" s="173">
        <f t="shared" si="66"/>
        <v>0.76408858696313797</v>
      </c>
      <c r="AG179" s="172">
        <f t="shared" si="67"/>
        <v>0</v>
      </c>
      <c r="AH179" s="172">
        <f t="shared" si="68"/>
        <v>6</v>
      </c>
      <c r="AI179" s="221">
        <f t="shared" si="69"/>
        <v>0.76408858696313797</v>
      </c>
      <c r="AJ179" s="261" t="b">
        <f t="shared" si="70"/>
        <v>0</v>
      </c>
      <c r="AK179" s="261" t="b">
        <f t="shared" si="71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5"/>
        <v>45092</v>
      </c>
      <c r="B180" s="406">
        <f>'2022'!Wh/'2022'!Env_an*'2023'!Env_an</f>
        <v>61.584711198095292</v>
      </c>
      <c r="C180" s="385"/>
      <c r="D180" s="388">
        <f t="shared" si="50"/>
        <v>62.067128659533509</v>
      </c>
      <c r="E180" s="380">
        <f t="shared" si="76"/>
        <v>62.280486777636433</v>
      </c>
      <c r="F180" s="380">
        <f t="shared" si="51"/>
        <v>62.280544844511837</v>
      </c>
      <c r="G180" s="110">
        <f t="shared" si="77"/>
        <v>0.95444224958247881</v>
      </c>
      <c r="H180" s="409" t="b">
        <f>Wh_hp&gt;='2022'!Maxi_hp</f>
        <v>0</v>
      </c>
      <c r="I180" s="385">
        <f>IF(H180,Wh_hp,'2022'!Maxi_hp)</f>
        <v>62.280547455261207</v>
      </c>
      <c r="J180" s="85">
        <f>IF(H180,An,'2022'!An_max)</f>
        <v>2022</v>
      </c>
      <c r="K180" s="193">
        <f t="shared" si="52"/>
        <v>45092</v>
      </c>
      <c r="L180" s="143">
        <f>IF(t&lt;Tvie,1-EXP((T0-t)*PertePVj)+'2022'!Pspv,1-EXP((T0-t)*PertePVj)+Pspv)</f>
        <v>7.7725113414621738E-3</v>
      </c>
      <c r="M180" s="836"/>
      <c r="N180" s="836"/>
      <c r="O180" s="48">
        <f>IF(t&lt;Tnet,'2022'!Resal+('2022'!Salim-'2022'!Resal)*(1-EXP(('2022'!Tnet-t)/('2022'!Tau_j))),Resal+(Salim-Resal)*(1-EXP((Tnet-t)/(Tau_j))))*Salcycl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9.9724696670818399E-7</v>
      </c>
      <c r="Q180" s="301">
        <f t="shared" si="53"/>
        <v>0.5</v>
      </c>
      <c r="R180" s="173">
        <f t="shared" si="54"/>
        <v>0.76919050551027801</v>
      </c>
      <c r="S180" s="802">
        <f t="shared" si="55"/>
        <v>0</v>
      </c>
      <c r="T180" s="172">
        <f t="shared" si="56"/>
        <v>6</v>
      </c>
      <c r="U180" s="247">
        <f t="shared" si="57"/>
        <v>0.76919050551027801</v>
      </c>
      <c r="V180" s="378">
        <f t="shared" si="58"/>
        <v>64.524288638715078</v>
      </c>
      <c r="W180" s="397">
        <f t="shared" si="59"/>
        <v>61.584711198095292</v>
      </c>
      <c r="X180" s="153">
        <f t="shared" si="60"/>
        <v>45092</v>
      </c>
      <c r="Y180" s="380">
        <f t="shared" si="61"/>
        <v>59.70815143181575</v>
      </c>
      <c r="Z180" s="380">
        <f t="shared" si="62"/>
        <v>60.175869056540051</v>
      </c>
      <c r="AA180" s="381">
        <f t="shared" si="63"/>
        <v>62.280486777636433</v>
      </c>
      <c r="AB180" s="193">
        <f t="shared" si="64"/>
        <v>45092</v>
      </c>
      <c r="AC180" s="420">
        <f>IF(OR(t&lt;Tnet,NoTnet),'2022'!Resal_s+('2022'!Salim-'2022'!Resal_s)*(1-EXP(('2022'!Tnet_s-t)/'2022'!Tau_j)),Resal_s+(Salim-Resal_s)*(1-EXP((Tnet_s-t)/Tau_j)))*Salcycl</f>
        <v>3.3792570193142843E-2</v>
      </c>
      <c r="AD180" s="227">
        <f>(INDEX(Models!$BJ180:$BT180,,AH180)*(1-AF180)+INDEX(Models!$BJ180:$BT180,,AH180+1)*AF180-ERP_i)*AE180*Ramure*Pc/MaxiM</f>
        <v>9.9724696670818399E-7</v>
      </c>
      <c r="AE180" s="301">
        <f t="shared" si="65"/>
        <v>0.5</v>
      </c>
      <c r="AF180" s="173">
        <f t="shared" si="66"/>
        <v>0.76919050551027801</v>
      </c>
      <c r="AG180" s="172">
        <f t="shared" si="67"/>
        <v>0</v>
      </c>
      <c r="AH180" s="172">
        <f t="shared" si="68"/>
        <v>6</v>
      </c>
      <c r="AI180" s="221">
        <f t="shared" si="69"/>
        <v>0.76919050551027801</v>
      </c>
      <c r="AJ180" s="261" t="b">
        <f t="shared" si="70"/>
        <v>0</v>
      </c>
      <c r="AK180" s="261" t="b">
        <f t="shared" si="71"/>
        <v>0</v>
      </c>
      <c r="AL180" s="261"/>
      <c r="AM180" s="261"/>
      <c r="AN180" s="75"/>
    </row>
    <row r="181" spans="1:40" s="6" customFormat="1" ht="11.25" x14ac:dyDescent="0.2">
      <c r="A181" s="56">
        <f t="shared" si="75"/>
        <v>45093</v>
      </c>
      <c r="B181" s="406">
        <f>'2022'!Wh/'2022'!Env_an*'2023'!Env_an</f>
        <v>58.357544969745909</v>
      </c>
      <c r="C181" s="385"/>
      <c r="D181" s="388">
        <f t="shared" si="50"/>
        <v>58.815487893169355</v>
      </c>
      <c r="E181" s="380">
        <f t="shared" si="76"/>
        <v>59.022089379391289</v>
      </c>
      <c r="F181" s="380">
        <f t="shared" si="51"/>
        <v>59.022139237903524</v>
      </c>
      <c r="G181" s="110">
        <f t="shared" si="77"/>
        <v>0.90451739592110392</v>
      </c>
      <c r="H181" s="409" t="b">
        <f>Wh_hp&gt;='2022'!Maxi_hp</f>
        <v>0</v>
      </c>
      <c r="I181" s="385">
        <f>IF(H181,Wh_hp,'2022'!Maxi_hp)</f>
        <v>59.022144290710564</v>
      </c>
      <c r="J181" s="85">
        <f>IF(H181,An,'2022'!An_max)</f>
        <v>2022</v>
      </c>
      <c r="K181" s="193">
        <f t="shared" si="52"/>
        <v>45093</v>
      </c>
      <c r="L181" s="143">
        <f>IF(t&lt;Tvie,1-EXP((T0-t)*PertePVj)+'2022'!Pspv,1-EXP((T0-t)*PertePVj)+Pspv)</f>
        <v>7.7860941025472696E-3</v>
      </c>
      <c r="M181" s="836"/>
      <c r="N181" s="836"/>
      <c r="O181" s="48">
        <f>IF(t&lt;Tnet,'2022'!Resal+('2022'!Salim-'2022'!Resal)*(1-EXP(('2022'!Tnet-t)/('2022'!Tau_j))),Resal+(Salim-Resal)*(1-EXP((Tnet-t)/(Tau_j))))*Salcycl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9.781681535442661E-7</v>
      </c>
      <c r="Q181" s="301">
        <f t="shared" si="53"/>
        <v>0.5</v>
      </c>
      <c r="R181" s="173">
        <f t="shared" si="54"/>
        <v>0.77427100638054991</v>
      </c>
      <c r="S181" s="802">
        <f t="shared" si="55"/>
        <v>0</v>
      </c>
      <c r="T181" s="172">
        <f t="shared" si="56"/>
        <v>6</v>
      </c>
      <c r="U181" s="247">
        <f t="shared" si="57"/>
        <v>0.77427100638054991</v>
      </c>
      <c r="V181" s="378">
        <f t="shared" si="58"/>
        <v>64.517871570530531</v>
      </c>
      <c r="W181" s="397">
        <f t="shared" si="59"/>
        <v>58.357544969745909</v>
      </c>
      <c r="X181" s="153">
        <f t="shared" si="60"/>
        <v>45093</v>
      </c>
      <c r="Y181" s="380">
        <f t="shared" si="61"/>
        <v>56.579916540879644</v>
      </c>
      <c r="Z181" s="380">
        <f t="shared" si="62"/>
        <v>57.023910070785973</v>
      </c>
      <c r="AA181" s="381">
        <f t="shared" si="63"/>
        <v>59.022089379391289</v>
      </c>
      <c r="AB181" s="193">
        <f t="shared" si="64"/>
        <v>45093</v>
      </c>
      <c r="AC181" s="420">
        <f>IF(OR(t&lt;Tnet,NoTnet),'2022'!Resal_s+('2022'!Salim-'2022'!Resal_s)*(1-EXP(('2022'!Tnet_s-t)/'2022'!Tau_j)),Resal_s+(Salim-Resal_s)*(1-EXP((Tnet_s-t)/Tau_j)))*Salcycl</f>
        <v>3.3854770808961161E-2</v>
      </c>
      <c r="AD181" s="227">
        <f>(INDEX(Models!$BJ181:$BT181,,AH181)*(1-AF181)+INDEX(Models!$BJ181:$BT181,,AH181+1)*AF181-ERP_i)*AE181*Ramure*Pc/MaxiM</f>
        <v>9.781681535442661E-7</v>
      </c>
      <c r="AE181" s="301">
        <f t="shared" si="65"/>
        <v>0.5</v>
      </c>
      <c r="AF181" s="173">
        <f t="shared" si="66"/>
        <v>0.77427100638054991</v>
      </c>
      <c r="AG181" s="172">
        <f t="shared" si="67"/>
        <v>0</v>
      </c>
      <c r="AH181" s="172">
        <f t="shared" si="68"/>
        <v>6</v>
      </c>
      <c r="AI181" s="221">
        <f t="shared" si="69"/>
        <v>0.77427100638054991</v>
      </c>
      <c r="AJ181" s="261" t="b">
        <f t="shared" si="70"/>
        <v>0</v>
      </c>
      <c r="AK181" s="261" t="b">
        <f t="shared" si="71"/>
        <v>0</v>
      </c>
      <c r="AL181" s="261"/>
      <c r="AM181" s="261"/>
      <c r="AN181" s="75"/>
    </row>
    <row r="182" spans="1:40" s="6" customFormat="1" ht="11.25" x14ac:dyDescent="0.2">
      <c r="A182" s="56">
        <f t="shared" si="75"/>
        <v>45094</v>
      </c>
      <c r="B182" s="406">
        <f>'2022'!Wh/'2022'!Env_an*'2023'!Env_an</f>
        <v>58.528324752922131</v>
      </c>
      <c r="C182" s="385"/>
      <c r="D182" s="388">
        <f t="shared" si="50"/>
        <v>58.988415320148931</v>
      </c>
      <c r="E182" s="380">
        <f t="shared" si="76"/>
        <v>59.200056013784135</v>
      </c>
      <c r="F182" s="380">
        <f t="shared" si="51"/>
        <v>59.200105513862077</v>
      </c>
      <c r="G182" s="110">
        <f t="shared" si="77"/>
        <v>0.90729966269785967</v>
      </c>
      <c r="H182" s="409" t="b">
        <f>Wh_hp&gt;='2022'!Maxi_hp</f>
        <v>0</v>
      </c>
      <c r="I182" s="385">
        <f>IF(H182,Wh_hp,'2022'!Maxi_hp)</f>
        <v>59.20011033031976</v>
      </c>
      <c r="J182" s="85">
        <f>IF(H182,An,'2022'!An_max)</f>
        <v>2022</v>
      </c>
      <c r="K182" s="193">
        <f t="shared" si="52"/>
        <v>45094</v>
      </c>
      <c r="L182" s="143">
        <f>IF(t&lt;Tvie,1-EXP((T0-t)*PertePVj)+'2022'!Pspv,1-EXP((T0-t)*PertePVj)+Pspv)</f>
        <v>7.799676677695766E-3</v>
      </c>
      <c r="M182" s="836"/>
      <c r="N182" s="836"/>
      <c r="O182" s="48">
        <f>IF(t&lt;Tnet,'2022'!Resal+('2022'!Salim-'2022'!Resal)*(1-EXP(('2022'!Tnet-t)/('2022'!Tau_j))),Resal+(Salim-Resal)*(1-EXP((Tnet-t)/(Tau_j))))*Salcycl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9.6378090878355755E-7</v>
      </c>
      <c r="Q182" s="301">
        <f t="shared" si="53"/>
        <v>0.5</v>
      </c>
      <c r="R182" s="173">
        <f t="shared" si="54"/>
        <v>0.7793259639102097</v>
      </c>
      <c r="S182" s="802">
        <f t="shared" si="55"/>
        <v>0</v>
      </c>
      <c r="T182" s="172">
        <f t="shared" si="56"/>
        <v>6</v>
      </c>
      <c r="U182" s="247">
        <f t="shared" si="57"/>
        <v>0.7793259639102097</v>
      </c>
      <c r="V182" s="378">
        <f t="shared" si="58"/>
        <v>64.508254206519965</v>
      </c>
      <c r="W182" s="397">
        <f t="shared" si="59"/>
        <v>58.528324752922131</v>
      </c>
      <c r="X182" s="153">
        <f t="shared" si="60"/>
        <v>45094</v>
      </c>
      <c r="Y182" s="380">
        <f t="shared" si="61"/>
        <v>56.746119761235406</v>
      </c>
      <c r="Z182" s="380">
        <f t="shared" si="62"/>
        <v>57.192200433099551</v>
      </c>
      <c r="AA182" s="381">
        <f t="shared" si="63"/>
        <v>59.200056013784135</v>
      </c>
      <c r="AB182" s="193">
        <f t="shared" si="64"/>
        <v>45094</v>
      </c>
      <c r="AC182" s="420">
        <f>IF(OR(t&lt;Tnet,NoTnet),'2022'!Resal_s+('2022'!Salim-'2022'!Resal_s)*(1-EXP(('2022'!Tnet_s-t)/'2022'!Tau_j)),Resal_s+(Salim-Resal_s)*(1-EXP((Tnet_s-t)/Tau_j)))*Salcycl</f>
        <v>3.3916447312432846E-2</v>
      </c>
      <c r="AD182" s="227">
        <f>(INDEX(Models!$BJ182:$BT182,,AH182)*(1-AF182)+INDEX(Models!$BJ182:$BT182,,AH182+1)*AF182-ERP_i)*AE182*Ramure*Pc/MaxiM</f>
        <v>9.6378090878355755E-7</v>
      </c>
      <c r="AE182" s="301">
        <f t="shared" si="65"/>
        <v>0.5</v>
      </c>
      <c r="AF182" s="173">
        <f t="shared" si="66"/>
        <v>0.7793259639102097</v>
      </c>
      <c r="AG182" s="172">
        <f t="shared" si="67"/>
        <v>0</v>
      </c>
      <c r="AH182" s="172">
        <f t="shared" si="68"/>
        <v>6</v>
      </c>
      <c r="AI182" s="221">
        <f t="shared" si="69"/>
        <v>0.7793259639102097</v>
      </c>
      <c r="AJ182" s="261" t="b">
        <f t="shared" si="70"/>
        <v>0</v>
      </c>
      <c r="AK182" s="261" t="b">
        <f t="shared" si="71"/>
        <v>0</v>
      </c>
      <c r="AL182" s="261"/>
      <c r="AM182" s="261"/>
      <c r="AN182" s="75"/>
    </row>
    <row r="183" spans="1:40" s="6" customFormat="1" ht="11.25" x14ac:dyDescent="0.2">
      <c r="A183" s="56">
        <f t="shared" si="75"/>
        <v>45095</v>
      </c>
      <c r="B183" s="406">
        <f>'2022'!Wh/'2022'!Env_an*'2023'!Env_an</f>
        <v>62.320320287515777</v>
      </c>
      <c r="C183" s="385"/>
      <c r="D183" s="388">
        <f t="shared" si="50"/>
        <v>62.811079524109942</v>
      </c>
      <c r="E183" s="380">
        <f t="shared" si="76"/>
        <v>63.041151585684638</v>
      </c>
      <c r="F183" s="380">
        <f t="shared" si="51"/>
        <v>63.041208845596074</v>
      </c>
      <c r="G183" s="110">
        <f t="shared" si="77"/>
        <v>0.96628290798601069</v>
      </c>
      <c r="H183" s="409" t="b">
        <f>Wh_hp&gt;='2022'!Maxi_hp</f>
        <v>0</v>
      </c>
      <c r="I183" s="385">
        <f>IF(H183,Wh_hp,'2022'!Maxi_hp)</f>
        <v>63.041210680811361</v>
      </c>
      <c r="J183" s="85">
        <f>IF(H183,An,'2022'!An_max)</f>
        <v>2022</v>
      </c>
      <c r="K183" s="193">
        <f t="shared" si="52"/>
        <v>45095</v>
      </c>
      <c r="L183" s="143">
        <f>IF(t&lt;Tvie,1-EXP((T0-t)*PertePVj)+'2022'!Pspv,1-EXP((T0-t)*PertePVj)+Pspv)</f>
        <v>7.8132590669101054E-3</v>
      </c>
      <c r="M183" s="836"/>
      <c r="N183" s="836"/>
      <c r="O183" s="48">
        <f>IF(t&lt;Tnet,'2022'!Resal+('2022'!Salim-'2022'!Resal)*(1-EXP(('2022'!Tnet-t)/('2022'!Tau_j))),Resal+(Salim-Resal)*(1-EXP((Tnet-t)/(Tau_j))))*Salcycl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9.5425727169448594E-7</v>
      </c>
      <c r="Q183" s="301">
        <f t="shared" si="53"/>
        <v>0.5</v>
      </c>
      <c r="R183" s="173">
        <f t="shared" si="54"/>
        <v>0.78435133669248169</v>
      </c>
      <c r="S183" s="802">
        <f t="shared" si="55"/>
        <v>0</v>
      </c>
      <c r="T183" s="172">
        <f t="shared" si="56"/>
        <v>6</v>
      </c>
      <c r="U183" s="247">
        <f t="shared" si="57"/>
        <v>0.78435133669248169</v>
      </c>
      <c r="V183" s="378">
        <f t="shared" si="58"/>
        <v>64.494897827510528</v>
      </c>
      <c r="W183" s="397">
        <f t="shared" si="59"/>
        <v>62.320320287515777</v>
      </c>
      <c r="X183" s="153">
        <f t="shared" si="60"/>
        <v>45095</v>
      </c>
      <c r="Y183" s="380">
        <f t="shared" si="61"/>
        <v>60.423344429463185</v>
      </c>
      <c r="Z183" s="380">
        <f t="shared" si="62"/>
        <v>60.899165385579323</v>
      </c>
      <c r="AA183" s="381">
        <f t="shared" si="63"/>
        <v>63.041151585684638</v>
      </c>
      <c r="AB183" s="193">
        <f t="shared" si="64"/>
        <v>45095</v>
      </c>
      <c r="AC183" s="420">
        <f>IF(OR(t&lt;Tnet,NoTnet),'2022'!Resal_s+('2022'!Salim-'2022'!Resal_s)*(1-EXP(('2022'!Tnet_s-t)/'2022'!Tau_j)),Resal_s+(Salim-Resal_s)*(1-EXP((Tnet_s-t)/Tau_j)))*Salcycl</f>
        <v>3.3977586802074168E-2</v>
      </c>
      <c r="AD183" s="227">
        <f>(INDEX(Models!$BJ183:$BT183,,AH183)*(1-AF183)+INDEX(Models!$BJ183:$BT183,,AH183+1)*AF183-ERP_i)*AE183*Ramure*Pc/MaxiM</f>
        <v>9.5425727169448594E-7</v>
      </c>
      <c r="AE183" s="301">
        <f t="shared" si="65"/>
        <v>0.5</v>
      </c>
      <c r="AF183" s="173">
        <f t="shared" si="66"/>
        <v>0.78435133669248169</v>
      </c>
      <c r="AG183" s="172">
        <f t="shared" si="67"/>
        <v>0</v>
      </c>
      <c r="AH183" s="172">
        <f t="shared" si="68"/>
        <v>6</v>
      </c>
      <c r="AI183" s="221">
        <f t="shared" si="69"/>
        <v>0.78435133669248169</v>
      </c>
      <c r="AJ183" s="261" t="b">
        <f t="shared" si="70"/>
        <v>0</v>
      </c>
      <c r="AK183" s="261" t="b">
        <f t="shared" si="71"/>
        <v>0</v>
      </c>
      <c r="AL183" s="261"/>
      <c r="AM183" s="261"/>
      <c r="AN183" s="75"/>
    </row>
    <row r="184" spans="1:40" s="6" customFormat="1" ht="11.25" x14ac:dyDescent="0.2">
      <c r="A184" s="56">
        <f t="shared" si="75"/>
        <v>45096</v>
      </c>
      <c r="B184" s="406">
        <f>'2022'!Wh/'2022'!Env_an*'2023'!Env_an</f>
        <v>62.818981892471065</v>
      </c>
      <c r="C184" s="385"/>
      <c r="D184" s="388">
        <f t="shared" si="50"/>
        <v>63.31453470570878</v>
      </c>
      <c r="E184" s="380">
        <f t="shared" si="76"/>
        <v>63.551201977917955</v>
      </c>
      <c r="F184" s="380">
        <f t="shared" si="51"/>
        <v>63.551260227305093</v>
      </c>
      <c r="G184" s="110">
        <f t="shared" si="77"/>
        <v>0.97428110324395478</v>
      </c>
      <c r="H184" s="409" t="b">
        <f>Wh_hp&gt;='2022'!Maxi_hp</f>
        <v>0</v>
      </c>
      <c r="I184" s="385">
        <f>IF(H184,Wh_hp,'2022'!Maxi_hp)</f>
        <v>63.551261625570454</v>
      </c>
      <c r="J184" s="85">
        <f>IF(H184,An,'2022'!An_max)</f>
        <v>2022</v>
      </c>
      <c r="K184" s="193">
        <f t="shared" si="52"/>
        <v>45096</v>
      </c>
      <c r="L184" s="143">
        <f>IF(t&lt;Tvie,1-EXP((T0-t)*PertePVj)+'2022'!Pspv,1-EXP((T0-t)*PertePVj)+Pspv)</f>
        <v>7.8268412701930634E-3</v>
      </c>
      <c r="M184" s="836"/>
      <c r="N184" s="836"/>
      <c r="O184" s="48">
        <f>IF(t&lt;Tnet,'2022'!Resal+('2022'!Salim-'2022'!Resal)*(1-EXP(('2022'!Tnet-t)/('2022'!Tau_j))),Resal+(Salim-Resal)*(1-EXP((Tnet-t)/(Tau_j))))*Salcycl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9.515338063436952E-7</v>
      </c>
      <c r="Q184" s="301">
        <f t="shared" si="53"/>
        <v>0.5</v>
      </c>
      <c r="R184" s="173">
        <f t="shared" si="54"/>
        <v>0.78934318010689419</v>
      </c>
      <c r="S184" s="802">
        <f t="shared" si="55"/>
        <v>0</v>
      </c>
      <c r="T184" s="172">
        <f t="shared" si="56"/>
        <v>6</v>
      </c>
      <c r="U184" s="247">
        <f t="shared" si="57"/>
        <v>0.78934318010689419</v>
      </c>
      <c r="V184" s="378">
        <f t="shared" si="58"/>
        <v>64.477263786727633</v>
      </c>
      <c r="W184" s="397">
        <f t="shared" si="59"/>
        <v>62.818981892471065</v>
      </c>
      <c r="X184" s="153">
        <f t="shared" si="60"/>
        <v>45096</v>
      </c>
      <c r="Y184" s="380">
        <f t="shared" si="61"/>
        <v>60.907560450582963</v>
      </c>
      <c r="Z184" s="380">
        <f t="shared" si="62"/>
        <v>61.388034855284353</v>
      </c>
      <c r="AA184" s="381">
        <f t="shared" si="63"/>
        <v>63.551201977917955</v>
      </c>
      <c r="AB184" s="193">
        <f t="shared" si="64"/>
        <v>45096</v>
      </c>
      <c r="AC184" s="420">
        <f>IF(OR(t&lt;Tnet,NoTnet),'2022'!Resal_s+('2022'!Salim-'2022'!Resal_s)*(1-EXP(('2022'!Tnet_s-t)/'2022'!Tau_j)),Resal_s+(Salim-Resal_s)*(1-EXP((Tnet_s-t)/Tau_j)))*Salcycl</f>
        <v>3.4038177962160909E-2</v>
      </c>
      <c r="AD184" s="227">
        <f>(INDEX(Models!$BJ184:$BT184,,AH184)*(1-AF184)+INDEX(Models!$BJ184:$BT184,,AH184+1)*AF184-ERP_i)*AE184*Ramure*Pc/MaxiM</f>
        <v>9.515338063436952E-7</v>
      </c>
      <c r="AE184" s="301">
        <f t="shared" si="65"/>
        <v>0.5</v>
      </c>
      <c r="AF184" s="173">
        <f t="shared" si="66"/>
        <v>0.78934318010689419</v>
      </c>
      <c r="AG184" s="172">
        <f t="shared" si="67"/>
        <v>0</v>
      </c>
      <c r="AH184" s="172">
        <f t="shared" si="68"/>
        <v>6</v>
      </c>
      <c r="AI184" s="221">
        <f t="shared" si="69"/>
        <v>0.78934318010689419</v>
      </c>
      <c r="AJ184" s="261" t="b">
        <f t="shared" si="70"/>
        <v>0</v>
      </c>
      <c r="AK184" s="261" t="b">
        <f t="shared" si="71"/>
        <v>0</v>
      </c>
      <c r="AL184" s="261"/>
      <c r="AM184" s="261"/>
      <c r="AN184" s="75"/>
    </row>
    <row r="185" spans="1:40" s="6" customFormat="1" ht="11.25" x14ac:dyDescent="0.2">
      <c r="A185" s="56">
        <f t="shared" si="75"/>
        <v>45097</v>
      </c>
      <c r="B185" s="406">
        <f>'2022'!Wh/'2022'!Env_an*'2023'!Env_an</f>
        <v>33.967829644871891</v>
      </c>
      <c r="C185" s="385"/>
      <c r="D185" s="388">
        <f t="shared" si="50"/>
        <v>34.236256386724797</v>
      </c>
      <c r="E185" s="380">
        <f t="shared" si="76"/>
        <v>34.366797488099003</v>
      </c>
      <c r="F185" s="380">
        <f t="shared" si="51"/>
        <v>34.366808098740428</v>
      </c>
      <c r="G185" s="110">
        <f t="shared" si="77"/>
        <v>0.5270018746662497</v>
      </c>
      <c r="H185" s="409" t="b">
        <f>Wh_hp&gt;='2022'!Maxi_hp</f>
        <v>0</v>
      </c>
      <c r="I185" s="385">
        <f>IF(H185,Wh_hp,'2022'!Maxi_hp)</f>
        <v>34.366821926226663</v>
      </c>
      <c r="J185" s="85">
        <f>IF(H185,An,'2022'!An_max)</f>
        <v>2022</v>
      </c>
      <c r="K185" s="193">
        <f t="shared" si="52"/>
        <v>45097</v>
      </c>
      <c r="L185" s="143">
        <f>IF(t&lt;Tvie,1-EXP((T0-t)*PertePVj)+'2022'!Pspv,1-EXP((T0-t)*PertePVj)+Pspv)</f>
        <v>7.8404232875469715E-3</v>
      </c>
      <c r="M185" s="836"/>
      <c r="N185" s="836"/>
      <c r="O185" s="48">
        <f>IF(t&lt;Tnet,'2022'!Resal+('2022'!Salim-'2022'!Resal)*(1-EXP(('2022'!Tnet-t)/('2022'!Tau_j))),Resal+(Salim-Resal)*(1-EXP((Tnet-t)/(Tau_j))))*Salcycl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9.5207330467335085E-7</v>
      </c>
      <c r="Q185" s="301">
        <f t="shared" si="53"/>
        <v>0.5</v>
      </c>
      <c r="R185" s="173">
        <f t="shared" si="54"/>
        <v>0.79429765818397646</v>
      </c>
      <c r="S185" s="802">
        <f t="shared" si="55"/>
        <v>0</v>
      </c>
      <c r="T185" s="172">
        <f t="shared" si="56"/>
        <v>6</v>
      </c>
      <c r="U185" s="247">
        <f t="shared" si="57"/>
        <v>0.79429765818397646</v>
      </c>
      <c r="V185" s="378">
        <f t="shared" si="58"/>
        <v>64.454813968112077</v>
      </c>
      <c r="W185" s="397">
        <f t="shared" si="59"/>
        <v>33.967829644871891</v>
      </c>
      <c r="X185" s="153">
        <f t="shared" si="60"/>
        <v>45097</v>
      </c>
      <c r="Y185" s="380">
        <f t="shared" si="61"/>
        <v>32.934688704555285</v>
      </c>
      <c r="Z185" s="380">
        <f t="shared" si="62"/>
        <v>33.194951172759168</v>
      </c>
      <c r="AA185" s="381">
        <f t="shared" si="63"/>
        <v>34.366797488099003</v>
      </c>
      <c r="AB185" s="193">
        <f t="shared" si="64"/>
        <v>45097</v>
      </c>
      <c r="AC185" s="420">
        <f>IF(OR(t&lt;Tnet,NoTnet),'2022'!Resal_s+('2022'!Salim-'2022'!Resal_s)*(1-EXP(('2022'!Tnet_s-t)/'2022'!Tau_j)),Resal_s+(Salim-Resal_s)*(1-EXP((Tnet_s-t)/Tau_j)))*Salcycl</f>
        <v>3.4098211093007327E-2</v>
      </c>
      <c r="AD185" s="227">
        <f>(INDEX(Models!$BJ185:$BT185,,AH185)*(1-AF185)+INDEX(Models!$BJ185:$BT185,,AH185+1)*AF185-ERP_i)*AE185*Ramure*Pc/MaxiM</f>
        <v>9.5207330467335085E-7</v>
      </c>
      <c r="AE185" s="301">
        <f t="shared" si="65"/>
        <v>0.5</v>
      </c>
      <c r="AF185" s="173">
        <f t="shared" si="66"/>
        <v>0.79429765818397646</v>
      </c>
      <c r="AG185" s="172">
        <f t="shared" si="67"/>
        <v>0</v>
      </c>
      <c r="AH185" s="172">
        <f t="shared" si="68"/>
        <v>6</v>
      </c>
      <c r="AI185" s="221">
        <f t="shared" si="69"/>
        <v>0.79429765818397646</v>
      </c>
      <c r="AJ185" s="261" t="b">
        <f t="shared" si="70"/>
        <v>0</v>
      </c>
      <c r="AK185" s="261" t="b">
        <f t="shared" si="71"/>
        <v>0</v>
      </c>
      <c r="AL185" s="261"/>
      <c r="AM185" s="261"/>
      <c r="AN185" s="75"/>
    </row>
    <row r="186" spans="1:40" s="6" customFormat="1" ht="11.25" x14ac:dyDescent="0.2">
      <c r="A186" s="56">
        <f t="shared" si="75"/>
        <v>45098</v>
      </c>
      <c r="B186" s="406">
        <f>'2022'!Wh/'2022'!Env_an*'2023'!Env_an</f>
        <v>22.85769332502532</v>
      </c>
      <c r="C186" s="385"/>
      <c r="D186" s="388">
        <f t="shared" si="50"/>
        <v>23.038638912982087</v>
      </c>
      <c r="E186" s="380">
        <f t="shared" si="76"/>
        <v>23.128210398494769</v>
      </c>
      <c r="F186" s="380">
        <f t="shared" si="51"/>
        <v>23.128212128915582</v>
      </c>
      <c r="G186" s="110">
        <f t="shared" si="77"/>
        <v>0.35478401234789919</v>
      </c>
      <c r="H186" s="409" t="b">
        <f>Wh_hp&gt;='2022'!Maxi_hp</f>
        <v>0</v>
      </c>
      <c r="I186" s="385">
        <f>IF(H186,Wh_hp,'2022'!Maxi_hp)</f>
        <v>23.128224796765007</v>
      </c>
      <c r="J186" s="85">
        <f>IF(H186,An,'2022'!An_max)</f>
        <v>2022</v>
      </c>
      <c r="K186" s="193">
        <f t="shared" si="52"/>
        <v>45098</v>
      </c>
      <c r="L186" s="143">
        <f>IF(t&lt;Tvie,1-EXP((T0-t)*PertePVj)+'2022'!Pspv,1-EXP((T0-t)*PertePVj)+Pspv)</f>
        <v>7.8540051189744942E-3</v>
      </c>
      <c r="M186" s="836"/>
      <c r="N186" s="836"/>
      <c r="O186" s="48">
        <f>IF(t&lt;Tnet,'2022'!Resal+('2022'!Salim-'2022'!Resal)*(1-EXP(('2022'!Tnet-t)/('2022'!Tau_j))),Resal+(Salim-Resal)*(1-EXP((Tnet-t)/(Tau_j))))*Salcycl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9.5598569392482437E-7</v>
      </c>
      <c r="Q186" s="301">
        <f t="shared" si="53"/>
        <v>0.5</v>
      </c>
      <c r="R186" s="173">
        <f t="shared" si="54"/>
        <v>0.7992110547336031</v>
      </c>
      <c r="S186" s="802">
        <f t="shared" si="55"/>
        <v>0</v>
      </c>
      <c r="T186" s="172">
        <f t="shared" si="56"/>
        <v>6</v>
      </c>
      <c r="U186" s="247">
        <f t="shared" si="57"/>
        <v>0.7992110547336031</v>
      </c>
      <c r="V186" s="378">
        <f t="shared" si="58"/>
        <v>64.427010203500558</v>
      </c>
      <c r="W186" s="397">
        <f t="shared" si="59"/>
        <v>22.85769332502532</v>
      </c>
      <c r="X186" s="153">
        <f t="shared" si="60"/>
        <v>45098</v>
      </c>
      <c r="Y186" s="380">
        <f t="shared" si="61"/>
        <v>22.162760059971038</v>
      </c>
      <c r="Z186" s="380">
        <f t="shared" si="62"/>
        <v>22.338204431928101</v>
      </c>
      <c r="AA186" s="381">
        <f t="shared" si="63"/>
        <v>23.128210398494769</v>
      </c>
      <c r="AB186" s="193">
        <f t="shared" si="64"/>
        <v>45098</v>
      </c>
      <c r="AC186" s="420">
        <f>IF(OR(t&lt;Tnet,NoTnet),'2022'!Resal_s+('2022'!Salim-'2022'!Resal_s)*(1-EXP(('2022'!Tnet_s-t)/'2022'!Tau_j)),Resal_s+(Salim-Resal_s)*(1-EXP((Tnet_s-t)/Tau_j)))*Salcycl</f>
        <v>3.4157678132246815E-2</v>
      </c>
      <c r="AD186" s="227">
        <f>(INDEX(Models!$BJ186:$BT186,,AH186)*(1-AF186)+INDEX(Models!$BJ186:$BT186,,AH186+1)*AF186-ERP_i)*AE186*Ramure*Pc/MaxiM</f>
        <v>9.5598569392482437E-7</v>
      </c>
      <c r="AE186" s="301">
        <f t="shared" si="65"/>
        <v>0.5</v>
      </c>
      <c r="AF186" s="173">
        <f t="shared" si="66"/>
        <v>0.7992110547336031</v>
      </c>
      <c r="AG186" s="172">
        <f t="shared" si="67"/>
        <v>0</v>
      </c>
      <c r="AH186" s="172">
        <f t="shared" si="68"/>
        <v>6</v>
      </c>
      <c r="AI186" s="221">
        <f t="shared" si="69"/>
        <v>0.7992110547336031</v>
      </c>
      <c r="AJ186" s="261" t="b">
        <f t="shared" si="70"/>
        <v>0</v>
      </c>
      <c r="AK186" s="261" t="b">
        <f t="shared" si="71"/>
        <v>0</v>
      </c>
      <c r="AL186" s="261"/>
      <c r="AM186" s="261"/>
      <c r="AN186" s="75"/>
    </row>
    <row r="187" spans="1:40" s="6" customFormat="1" ht="11.25" x14ac:dyDescent="0.2">
      <c r="A187" s="56">
        <f t="shared" si="75"/>
        <v>45099</v>
      </c>
      <c r="B187" s="406">
        <f>'2022'!Wh/'2022'!Env_an*'2023'!Env_an</f>
        <v>47.418122483316061</v>
      </c>
      <c r="C187" s="385"/>
      <c r="D187" s="388">
        <f t="shared" si="50"/>
        <v>47.79414708232045</v>
      </c>
      <c r="E187" s="380">
        <f t="shared" si="76"/>
        <v>47.983543468267058</v>
      </c>
      <c r="F187" s="380">
        <f t="shared" si="51"/>
        <v>47.983572286005064</v>
      </c>
      <c r="G187" s="110">
        <f t="shared" si="77"/>
        <v>0.73638242796955344</v>
      </c>
      <c r="H187" s="409" t="b">
        <f>Wh_hp&gt;='2022'!Maxi_hp</f>
        <v>0</v>
      </c>
      <c r="I187" s="385">
        <f>IF(H187,Wh_hp,'2022'!Maxi_hp)</f>
        <v>47.983583041866694</v>
      </c>
      <c r="J187" s="85">
        <f>IF(H187,An,'2022'!An_max)</f>
        <v>2022</v>
      </c>
      <c r="K187" s="193">
        <f t="shared" si="52"/>
        <v>45099</v>
      </c>
      <c r="L187" s="143">
        <f>IF(t&lt;Tvie,1-EXP((T0-t)*PertePVj)+'2022'!Pspv,1-EXP((T0-t)*PertePVj)+Pspv)</f>
        <v>7.8675867644781849E-3</v>
      </c>
      <c r="M187" s="836"/>
      <c r="N187" s="836"/>
      <c r="O187" s="48">
        <f>IF(t&lt;Tnet,'2022'!Resal+('2022'!Salim-'2022'!Resal)*(1-EXP(('2022'!Tnet-t)/('2022'!Tau_j))),Resal+(Salim-Resal)*(1-EXP((Tnet-t)/(Tau_j))))*Salcycl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9.6338045530217403E-7</v>
      </c>
      <c r="Q187" s="301">
        <f t="shared" si="53"/>
        <v>0.5</v>
      </c>
      <c r="R187" s="173">
        <f t="shared" si="54"/>
        <v>0.80407978367369082</v>
      </c>
      <c r="S187" s="802">
        <f t="shared" si="55"/>
        <v>0</v>
      </c>
      <c r="T187" s="172">
        <f t="shared" si="56"/>
        <v>6</v>
      </c>
      <c r="U187" s="247">
        <f t="shared" si="57"/>
        <v>0.80407978367369082</v>
      </c>
      <c r="V187" s="378">
        <f t="shared" si="58"/>
        <v>64.393314504398788</v>
      </c>
      <c r="W187" s="397">
        <f t="shared" si="59"/>
        <v>47.418122483316061</v>
      </c>
      <c r="X187" s="153">
        <f t="shared" si="60"/>
        <v>45099</v>
      </c>
      <c r="Y187" s="380">
        <f t="shared" si="61"/>
        <v>45.977113633738476</v>
      </c>
      <c r="Z187" s="380">
        <f t="shared" si="62"/>
        <v>46.341711066367502</v>
      </c>
      <c r="AA187" s="381">
        <f t="shared" si="63"/>
        <v>47.983543468267058</v>
      </c>
      <c r="AB187" s="193">
        <f t="shared" si="64"/>
        <v>45099</v>
      </c>
      <c r="AC187" s="420">
        <f>IF(OR(t&lt;Tnet,NoTnet),'2022'!Resal_s+('2022'!Salim-'2022'!Resal_s)*(1-EXP(('2022'!Tnet_s-t)/'2022'!Tau_j)),Resal_s+(Salim-Resal_s)*(1-EXP((Tnet_s-t)/Tau_j)))*Salcycl</f>
        <v>3.4216572666946707E-2</v>
      </c>
      <c r="AD187" s="227">
        <f>(INDEX(Models!$BJ187:$BT187,,AH187)*(1-AF187)+INDEX(Models!$BJ187:$BT187,,AH187+1)*AF187-ERP_i)*AE187*Ramure*Pc/MaxiM</f>
        <v>9.6338045530217403E-7</v>
      </c>
      <c r="AE187" s="301">
        <f t="shared" si="65"/>
        <v>0.5</v>
      </c>
      <c r="AF187" s="173">
        <f t="shared" si="66"/>
        <v>0.80407978367369082</v>
      </c>
      <c r="AG187" s="172">
        <f t="shared" si="67"/>
        <v>0</v>
      </c>
      <c r="AH187" s="172">
        <f t="shared" si="68"/>
        <v>6</v>
      </c>
      <c r="AI187" s="221">
        <f t="shared" si="69"/>
        <v>0.80407978367369082</v>
      </c>
      <c r="AJ187" s="261" t="b">
        <f t="shared" si="70"/>
        <v>0</v>
      </c>
      <c r="AK187" s="261" t="b">
        <f t="shared" si="71"/>
        <v>0</v>
      </c>
      <c r="AL187" s="261"/>
      <c r="AM187" s="261"/>
      <c r="AN187" s="75"/>
    </row>
    <row r="188" spans="1:40" s="6" customFormat="1" ht="11.25" x14ac:dyDescent="0.2">
      <c r="A188" s="56">
        <f t="shared" si="75"/>
        <v>45100</v>
      </c>
      <c r="B188" s="406">
        <f>'2022'!Wh/'2022'!Env_an*'2023'!Env_an</f>
        <v>46.885781874537287</v>
      </c>
      <c r="C188" s="385"/>
      <c r="D188" s="388">
        <f t="shared" si="50"/>
        <v>47.258231950510933</v>
      </c>
      <c r="E188" s="380">
        <f t="shared" si="76"/>
        <v>47.449039912216314</v>
      </c>
      <c r="F188" s="380">
        <f t="shared" si="51"/>
        <v>47.449068217651167</v>
      </c>
      <c r="G188" s="110">
        <f t="shared" si="77"/>
        <v>0.72856939722525704</v>
      </c>
      <c r="H188" s="409" t="b">
        <f>Wh_hp&gt;='2022'!Maxi_hp</f>
        <v>0</v>
      </c>
      <c r="I188" s="385">
        <f>IF(H188,Wh_hp,'2022'!Maxi_hp)</f>
        <v>47.44907922821023</v>
      </c>
      <c r="J188" s="85">
        <f>IF(H188,An,'2022'!An_max)</f>
        <v>2022</v>
      </c>
      <c r="K188" s="193">
        <f t="shared" si="52"/>
        <v>45100</v>
      </c>
      <c r="L188" s="143">
        <f>IF(t&lt;Tvie,1-EXP((T0-t)*PertePVj)+'2022'!Pspv,1-EXP((T0-t)*PertePVj)+Pspv)</f>
        <v>7.8811682240604863E-3</v>
      </c>
      <c r="M188" s="836"/>
      <c r="N188" s="836"/>
      <c r="O188" s="48">
        <f>IF(t&lt;Tnet,'2022'!Resal+('2022'!Salim-'2022'!Resal)*(1-EXP(('2022'!Tnet-t)/('2022'!Tau_j))),Resal+(Salim-Resal)*(1-EXP((Tnet-t)/(Tau_j))))*Salcycl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9.7435843171304972E-7</v>
      </c>
      <c r="Q188" s="301">
        <f t="shared" si="53"/>
        <v>0.5</v>
      </c>
      <c r="R188" s="173">
        <f t="shared" si="54"/>
        <v>0.80890039850491269</v>
      </c>
      <c r="S188" s="802">
        <f t="shared" si="55"/>
        <v>0</v>
      </c>
      <c r="T188" s="172">
        <f t="shared" si="56"/>
        <v>6</v>
      </c>
      <c r="U188" s="247">
        <f t="shared" si="57"/>
        <v>0.80890039850491269</v>
      </c>
      <c r="V188" s="378">
        <f t="shared" si="58"/>
        <v>64.353189056448713</v>
      </c>
      <c r="W188" s="397">
        <f t="shared" si="59"/>
        <v>46.885781874537287</v>
      </c>
      <c r="X188" s="153">
        <f t="shared" si="60"/>
        <v>45100</v>
      </c>
      <c r="Y188" s="380">
        <f t="shared" si="61"/>
        <v>45.461592653601414</v>
      </c>
      <c r="Z188" s="380">
        <f t="shared" si="62"/>
        <v>45.822729291634367</v>
      </c>
      <c r="AA188" s="381">
        <f t="shared" si="63"/>
        <v>47.449039912216314</v>
      </c>
      <c r="AB188" s="193">
        <f t="shared" si="64"/>
        <v>45100</v>
      </c>
      <c r="AC188" s="420">
        <f>IF(OR(t&lt;Tnet,NoTnet),'2022'!Resal_s+('2022'!Salim-'2022'!Resal_s)*(1-EXP(('2022'!Tnet_s-t)/'2022'!Tau_j)),Resal_s+(Salim-Resal_s)*(1-EXP((Tnet_s-t)/Tau_j)))*Salcycl</f>
        <v>3.4274889936460745E-2</v>
      </c>
      <c r="AD188" s="227">
        <f>(INDEX(Models!$BJ188:$BT188,,AH188)*(1-AF188)+INDEX(Models!$BJ188:$BT188,,AH188+1)*AF188-ERP_i)*AE188*Ramure*Pc/MaxiM</f>
        <v>9.7435843171304972E-7</v>
      </c>
      <c r="AE188" s="301">
        <f t="shared" si="65"/>
        <v>0.5</v>
      </c>
      <c r="AF188" s="173">
        <f t="shared" si="66"/>
        <v>0.80890039850491269</v>
      </c>
      <c r="AG188" s="172">
        <f t="shared" si="67"/>
        <v>0</v>
      </c>
      <c r="AH188" s="172">
        <f t="shared" si="68"/>
        <v>6</v>
      </c>
      <c r="AI188" s="221">
        <f t="shared" si="69"/>
        <v>0.80890039850491269</v>
      </c>
      <c r="AJ188" s="261" t="b">
        <f t="shared" si="70"/>
        <v>0</v>
      </c>
      <c r="AK188" s="261" t="b">
        <f t="shared" si="71"/>
        <v>0</v>
      </c>
      <c r="AL188" s="261"/>
      <c r="AM188" s="261"/>
      <c r="AN188" s="75"/>
    </row>
    <row r="189" spans="1:40" s="6" customFormat="1" ht="11.25" x14ac:dyDescent="0.2">
      <c r="A189" s="56">
        <f t="shared" si="75"/>
        <v>45101</v>
      </c>
      <c r="B189" s="406">
        <f>'2022'!Wh/'2022'!Env_an*'2023'!Env_an</f>
        <v>50.434246428047267</v>
      </c>
      <c r="C189" s="385"/>
      <c r="D189" s="388">
        <f t="shared" si="50"/>
        <v>50.835580602475169</v>
      </c>
      <c r="E189" s="380">
        <f t="shared" si="76"/>
        <v>51.044631757236637</v>
      </c>
      <c r="F189" s="380">
        <f t="shared" si="51"/>
        <v>51.044666683917846</v>
      </c>
      <c r="G189" s="110">
        <f t="shared" si="77"/>
        <v>0.78428382406085118</v>
      </c>
      <c r="H189" s="409" t="b">
        <f>Wh_hp&gt;='2022'!Maxi_hp</f>
        <v>0</v>
      </c>
      <c r="I189" s="385">
        <f>IF(H189,Wh_hp,'2022'!Maxi_hp)</f>
        <v>51.044676183708283</v>
      </c>
      <c r="J189" s="85">
        <f>IF(H189,An,'2022'!An_max)</f>
        <v>2022</v>
      </c>
      <c r="K189" s="193">
        <f t="shared" si="52"/>
        <v>45101</v>
      </c>
      <c r="L189" s="143">
        <f>IF(t&lt;Tvie,1-EXP((T0-t)*PertePVj)+'2022'!Pspv,1-EXP((T0-t)*PertePVj)+Pspv)</f>
        <v>7.8947494977240629E-3</v>
      </c>
      <c r="M189" s="836"/>
      <c r="N189" s="836"/>
      <c r="O189" s="48">
        <f>IF(t&lt;Tnet,'2022'!Resal+('2022'!Salim-'2022'!Resal)*(1-EXP(('2022'!Tnet-t)/('2022'!Tau_j))),Resal+(Salim-Resal)*(1-EXP((Tnet-t)/(Tau_j))))*Salcycl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9.8901939985486264E-7</v>
      </c>
      <c r="Q189" s="301">
        <f t="shared" si="53"/>
        <v>0.5</v>
      </c>
      <c r="R189" s="173">
        <f t="shared" si="54"/>
        <v>0.81366960088645501</v>
      </c>
      <c r="S189" s="802">
        <f t="shared" si="55"/>
        <v>0</v>
      </c>
      <c r="T189" s="172">
        <f t="shared" si="56"/>
        <v>6</v>
      </c>
      <c r="U189" s="247">
        <f t="shared" si="57"/>
        <v>0.81366960088645501</v>
      </c>
      <c r="V189" s="378">
        <f t="shared" si="58"/>
        <v>64.306096223507254</v>
      </c>
      <c r="W189" s="397">
        <f t="shared" si="59"/>
        <v>50.434246428047267</v>
      </c>
      <c r="X189" s="153">
        <f t="shared" si="60"/>
        <v>45101</v>
      </c>
      <c r="Y189" s="380">
        <f t="shared" si="61"/>
        <v>48.90298640195175</v>
      </c>
      <c r="Z189" s="380">
        <f t="shared" si="62"/>
        <v>49.29213546364511</v>
      </c>
      <c r="AA189" s="381">
        <f t="shared" si="63"/>
        <v>51.044631757236637</v>
      </c>
      <c r="AB189" s="193">
        <f t="shared" si="64"/>
        <v>45101</v>
      </c>
      <c r="AC189" s="420">
        <f>IF(OR(t&lt;Tnet,NoTnet),'2022'!Resal_s+('2022'!Salim-'2022'!Resal_s)*(1-EXP(('2022'!Tnet_s-t)/'2022'!Tau_j)),Resal_s+(Salim-Resal_s)*(1-EXP((Tnet_s-t)/Tau_j)))*Salcycl</f>
        <v>3.4332626825994847E-2</v>
      </c>
      <c r="AD189" s="227">
        <f>(INDEX(Models!$BJ189:$BT189,,AH189)*(1-AF189)+INDEX(Models!$BJ189:$BT189,,AH189+1)*AF189-ERP_i)*AE189*Ramure*Pc/MaxiM</f>
        <v>9.8901939985486264E-7</v>
      </c>
      <c r="AE189" s="301">
        <f t="shared" si="65"/>
        <v>0.5</v>
      </c>
      <c r="AF189" s="173">
        <f t="shared" si="66"/>
        <v>0.81366960088645501</v>
      </c>
      <c r="AG189" s="172">
        <f t="shared" si="67"/>
        <v>0</v>
      </c>
      <c r="AH189" s="172">
        <f t="shared" si="68"/>
        <v>6</v>
      </c>
      <c r="AI189" s="221">
        <f t="shared" si="69"/>
        <v>0.81366960088645501</v>
      </c>
      <c r="AJ189" s="261" t="b">
        <f t="shared" si="70"/>
        <v>0</v>
      </c>
      <c r="AK189" s="261" t="b">
        <f t="shared" si="71"/>
        <v>0</v>
      </c>
      <c r="AL189" s="261"/>
      <c r="AM189" s="261"/>
      <c r="AN189" s="75"/>
    </row>
    <row r="190" spans="1:40" s="6" customFormat="1" ht="11.25" x14ac:dyDescent="0.2">
      <c r="A190" s="56">
        <f t="shared" si="75"/>
        <v>45102</v>
      </c>
      <c r="B190" s="406">
        <f>'2022'!Wh/'2022'!Env_an*'2023'!Env_an</f>
        <v>42.012893020469704</v>
      </c>
      <c r="C190" s="385"/>
      <c r="D190" s="388">
        <f t="shared" si="50"/>
        <v>42.347793370004943</v>
      </c>
      <c r="E190" s="380">
        <f t="shared" si="76"/>
        <v>42.525102223772386</v>
      </c>
      <c r="F190" s="380">
        <f t="shared" si="51"/>
        <v>42.52512388277124</v>
      </c>
      <c r="G190" s="110">
        <f t="shared" si="77"/>
        <v>0.65388159100431176</v>
      </c>
      <c r="H190" s="409" t="b">
        <f>Wh_hp&gt;='2022'!Maxi_hp</f>
        <v>0</v>
      </c>
      <c r="I190" s="385">
        <f>IF(H190,Wh_hp,'2022'!Maxi_hp)</f>
        <v>42.525136744519635</v>
      </c>
      <c r="J190" s="85">
        <f>IF(H190,An,'2022'!An_max)</f>
        <v>2022</v>
      </c>
      <c r="K190" s="193">
        <f t="shared" si="52"/>
        <v>45102</v>
      </c>
      <c r="L190" s="143">
        <f>IF(t&lt;Tvie,1-EXP((T0-t)*PertePVj)+'2022'!Pspv,1-EXP((T0-t)*PertePVj)+Pspv)</f>
        <v>7.9083305854714681E-3</v>
      </c>
      <c r="M190" s="836"/>
      <c r="N190" s="836"/>
      <c r="O190" s="48">
        <f>IF(t&lt;Tnet,'2022'!Resal+('2022'!Salim-'2022'!Resal)*(1-EXP(('2022'!Tnet-t)/('2022'!Tau_j))),Resal+(Salim-Resal)*(1-EXP((Tnet-t)/(Tau_j))))*Salcycl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1.0074707823783751E-6</v>
      </c>
      <c r="Q190" s="301">
        <f t="shared" si="53"/>
        <v>0.5</v>
      </c>
      <c r="R190" s="173">
        <f t="shared" si="54"/>
        <v>0.81838424827743095</v>
      </c>
      <c r="S190" s="802">
        <f t="shared" si="55"/>
        <v>0</v>
      </c>
      <c r="T190" s="172">
        <f t="shared" si="56"/>
        <v>6</v>
      </c>
      <c r="U190" s="247">
        <f t="shared" si="57"/>
        <v>0.81838424827743095</v>
      </c>
      <c r="V190" s="378">
        <f t="shared" si="58"/>
        <v>64.251498543148315</v>
      </c>
      <c r="W190" s="397">
        <f t="shared" si="59"/>
        <v>42.012893020469704</v>
      </c>
      <c r="X190" s="153">
        <f t="shared" si="60"/>
        <v>45102</v>
      </c>
      <c r="Y190" s="380">
        <f t="shared" si="61"/>
        <v>40.737936040441753</v>
      </c>
      <c r="Z190" s="380">
        <f t="shared" si="62"/>
        <v>41.062673235108178</v>
      </c>
      <c r="AA190" s="381">
        <f t="shared" si="63"/>
        <v>42.525102223772386</v>
      </c>
      <c r="AB190" s="193">
        <f t="shared" si="64"/>
        <v>45102</v>
      </c>
      <c r="AC190" s="420">
        <f>IF(OR(t&lt;Tnet,NoTnet),'2022'!Resal_s+('2022'!Salim-'2022'!Resal_s)*(1-EXP(('2022'!Tnet_s-t)/'2022'!Tau_j)),Resal_s+(Salim-Resal_s)*(1-EXP((Tnet_s-t)/Tau_j)))*Salcycl</f>
        <v>3.4389781850934248E-2</v>
      </c>
      <c r="AD190" s="227">
        <f>(INDEX(Models!$BJ190:$BT190,,AH190)*(1-AF190)+INDEX(Models!$BJ190:$BT190,,AH190+1)*AF190-ERP_i)*AE190*Ramure*Pc/MaxiM</f>
        <v>1.0074707823783751E-6</v>
      </c>
      <c r="AE190" s="301">
        <f t="shared" si="65"/>
        <v>0.5</v>
      </c>
      <c r="AF190" s="173">
        <f t="shared" si="66"/>
        <v>0.81838424827743095</v>
      </c>
      <c r="AG190" s="172">
        <f t="shared" si="67"/>
        <v>0</v>
      </c>
      <c r="AH190" s="172">
        <f t="shared" si="68"/>
        <v>6</v>
      </c>
      <c r="AI190" s="221">
        <f t="shared" si="69"/>
        <v>0.81838424827743095</v>
      </c>
      <c r="AJ190" s="261" t="b">
        <f t="shared" si="70"/>
        <v>0</v>
      </c>
      <c r="AK190" s="261" t="b">
        <f t="shared" si="71"/>
        <v>0</v>
      </c>
      <c r="AL190" s="261"/>
      <c r="AM190" s="261"/>
      <c r="AN190" s="75"/>
    </row>
    <row r="191" spans="1:40" s="6" customFormat="1" ht="11.25" x14ac:dyDescent="0.2">
      <c r="A191" s="56">
        <f t="shared" si="75"/>
        <v>45103</v>
      </c>
      <c r="B191" s="406">
        <f>'2022'!Wh/'2022'!Env_an*'2023'!Env_an</f>
        <v>13.139518685949549</v>
      </c>
      <c r="C191" s="385"/>
      <c r="D191" s="388">
        <f t="shared" si="50"/>
        <v>13.244439967067583</v>
      </c>
      <c r="E191" s="380">
        <f t="shared" si="76"/>
        <v>13.300881955304661</v>
      </c>
      <c r="F191" s="380">
        <f t="shared" si="51"/>
        <v>13.300881955304661</v>
      </c>
      <c r="G191" s="110">
        <f t="shared" si="77"/>
        <v>0.20469864865418413</v>
      </c>
      <c r="H191" s="409" t="b">
        <f>Wh_hp&gt;='2022'!Maxi_hp</f>
        <v>0</v>
      </c>
      <c r="I191" s="385">
        <f>IF(H191,Wh_hp,'2022'!Maxi_hp)</f>
        <v>13.300890225268683</v>
      </c>
      <c r="J191" s="85">
        <f>IF(H191,An,'2022'!An_max)</f>
        <v>2022</v>
      </c>
      <c r="K191" s="193">
        <f t="shared" si="52"/>
        <v>45103</v>
      </c>
      <c r="L191" s="143">
        <f>IF(t&lt;Tvie,1-EXP((T0-t)*PertePVj)+'2022'!Pspv,1-EXP((T0-t)*PertePVj)+Pspv)</f>
        <v>7.9219114873050334E-3</v>
      </c>
      <c r="M191" s="836"/>
      <c r="N191" s="836"/>
      <c r="O191" s="48">
        <f>IF(t&lt;Tnet,'2022'!Resal+('2022'!Salim-'2022'!Resal)*(1-EXP(('2022'!Tnet-t)/('2022'!Tau_j))),Resal+(Salim-Resal)*(1-EXP((Tnet-t)/(Tau_j))))*Salcycl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1.0298095442192748E-6</v>
      </c>
      <c r="Q191" s="301">
        <f t="shared" si="53"/>
        <v>0.5</v>
      </c>
      <c r="R191" s="173">
        <f t="shared" si="54"/>
        <v>0.82304136061826316</v>
      </c>
      <c r="S191" s="802">
        <f t="shared" si="55"/>
        <v>0</v>
      </c>
      <c r="T191" s="172">
        <f t="shared" si="56"/>
        <v>6</v>
      </c>
      <c r="U191" s="247">
        <f t="shared" si="57"/>
        <v>0.82304136061826316</v>
      </c>
      <c r="V191" s="378">
        <f t="shared" si="58"/>
        <v>64.189506091686766</v>
      </c>
      <c r="W191" s="397">
        <f t="shared" si="59"/>
        <v>13.139518685949549</v>
      </c>
      <c r="X191" s="153">
        <f t="shared" si="60"/>
        <v>45103</v>
      </c>
      <c r="Y191" s="380">
        <f t="shared" si="61"/>
        <v>12.740976200004861</v>
      </c>
      <c r="Z191" s="380">
        <f t="shared" si="62"/>
        <v>12.842715051902713</v>
      </c>
      <c r="AA191" s="381">
        <f t="shared" si="63"/>
        <v>13.300881955304661</v>
      </c>
      <c r="AB191" s="193">
        <f t="shared" si="64"/>
        <v>45103</v>
      </c>
      <c r="AC191" s="420">
        <f>IF(OR(t&lt;Tnet,NoTnet),'2022'!Resal_s+('2022'!Salim-'2022'!Resal_s)*(1-EXP(('2022'!Tnet_s-t)/'2022'!Tau_j)),Resal_s+(Salim-Resal_s)*(1-EXP((Tnet_s-t)/Tau_j)))*Salcycl</f>
        <v>3.444635513205354E-2</v>
      </c>
      <c r="AD191" s="227">
        <f>(INDEX(Models!$BJ191:$BT191,,AH191)*(1-AF191)+INDEX(Models!$BJ191:$BT191,,AH191+1)*AF191-ERP_i)*AE191*Ramure*Pc/MaxiM</f>
        <v>1.0298095442192748E-6</v>
      </c>
      <c r="AE191" s="301">
        <f t="shared" si="65"/>
        <v>0.5</v>
      </c>
      <c r="AF191" s="173">
        <f t="shared" si="66"/>
        <v>0.82304136061826316</v>
      </c>
      <c r="AG191" s="172">
        <f t="shared" si="67"/>
        <v>0</v>
      </c>
      <c r="AH191" s="172">
        <f t="shared" si="68"/>
        <v>6</v>
      </c>
      <c r="AI191" s="221">
        <f t="shared" si="69"/>
        <v>0.82304136061826316</v>
      </c>
      <c r="AJ191" s="261" t="b">
        <f t="shared" si="70"/>
        <v>0</v>
      </c>
      <c r="AK191" s="261" t="b">
        <f t="shared" si="71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5"/>
        <v>45104</v>
      </c>
      <c r="B192" s="406">
        <f>'2022'!Wh/'2022'!Env_an*'2023'!Env_an</f>
        <v>19.3304632190587</v>
      </c>
      <c r="C192" s="385"/>
      <c r="D192" s="388">
        <f t="shared" si="50"/>
        <v>19.485086974826647</v>
      </c>
      <c r="E192" s="380">
        <f t="shared" si="76"/>
        <v>19.569575787798104</v>
      </c>
      <c r="F192" s="380">
        <f t="shared" si="51"/>
        <v>19.569575831349066</v>
      </c>
      <c r="G192" s="110">
        <f t="shared" si="77"/>
        <v>0.30146912632800971</v>
      </c>
      <c r="H192" s="409" t="b">
        <f>Wh_hp&gt;='2022'!Maxi_hp</f>
        <v>0</v>
      </c>
      <c r="I192" s="385">
        <f>IF(H192,Wh_hp,'2022'!Maxi_hp)</f>
        <v>19.569588262631058</v>
      </c>
      <c r="J192" s="85">
        <f>IF(H192,An,'2022'!An_max)</f>
        <v>2022</v>
      </c>
      <c r="K192" s="193">
        <f t="shared" si="52"/>
        <v>45104</v>
      </c>
      <c r="L192" s="143">
        <f>IF(t&lt;Tvie,1-EXP((T0-t)*PertePVj)+'2022'!Pspv,1-EXP((T0-t)*PertePVj)+Pspv)</f>
        <v>7.9354922032275343E-3</v>
      </c>
      <c r="M192" s="836"/>
      <c r="N192" s="836"/>
      <c r="O192" s="48">
        <f>IF(t&lt;Tnet,'2022'!Resal+('2022'!Salim-'2022'!Resal)*(1-EXP(('2022'!Tnet-t)/('2022'!Tau_j))),Resal+(Salim-Resal)*(1-EXP((Tnet-t)/(Tau_j))))*Salcycl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1.0601345487499013E-6</v>
      </c>
      <c r="Q192" s="301">
        <f t="shared" si="53"/>
        <v>0.5</v>
      </c>
      <c r="R192" s="173">
        <f t="shared" si="54"/>
        <v>0.82763812603598041</v>
      </c>
      <c r="S192" s="802">
        <f t="shared" si="55"/>
        <v>0</v>
      </c>
      <c r="T192" s="172">
        <f t="shared" si="56"/>
        <v>6</v>
      </c>
      <c r="U192" s="247">
        <f t="shared" si="57"/>
        <v>0.82763812603598041</v>
      </c>
      <c r="V192" s="378">
        <f t="shared" si="58"/>
        <v>64.120804026059162</v>
      </c>
      <c r="W192" s="397">
        <f t="shared" si="59"/>
        <v>19.3304632190587</v>
      </c>
      <c r="X192" s="153">
        <f t="shared" si="60"/>
        <v>45104</v>
      </c>
      <c r="Y192" s="380">
        <f t="shared" si="61"/>
        <v>18.74444326573218</v>
      </c>
      <c r="Z192" s="380">
        <f t="shared" si="62"/>
        <v>18.894379466674799</v>
      </c>
      <c r="AA192" s="381">
        <f t="shared" si="63"/>
        <v>19.569575787798104</v>
      </c>
      <c r="AB192" s="193">
        <f t="shared" si="64"/>
        <v>45104</v>
      </c>
      <c r="AC192" s="420">
        <f>IF(OR(t&lt;Tnet,NoTnet),'2022'!Resal_s+('2022'!Salim-'2022'!Resal_s)*(1-EXP(('2022'!Tnet_s-t)/'2022'!Tau_j)),Resal_s+(Salim-Resal_s)*(1-EXP((Tnet_s-t)/Tau_j)))*Salcycl</f>
        <v>3.450234836180243E-2</v>
      </c>
      <c r="AD192" s="227">
        <f>(INDEX(Models!$BJ192:$BT192,,AH192)*(1-AF192)+INDEX(Models!$BJ192:$BT192,,AH192+1)*AF192-ERP_i)*AE192*Ramure*Pc/MaxiM</f>
        <v>1.0601345487499013E-6</v>
      </c>
      <c r="AE192" s="301">
        <f t="shared" si="65"/>
        <v>0.5</v>
      </c>
      <c r="AF192" s="173">
        <f t="shared" si="66"/>
        <v>0.82763812603598041</v>
      </c>
      <c r="AG192" s="172">
        <f t="shared" si="67"/>
        <v>0</v>
      </c>
      <c r="AH192" s="172">
        <f t="shared" si="68"/>
        <v>6</v>
      </c>
      <c r="AI192" s="221">
        <f t="shared" si="69"/>
        <v>0.82763812603598041</v>
      </c>
      <c r="AJ192" s="261" t="b">
        <f t="shared" si="70"/>
        <v>0</v>
      </c>
      <c r="AK192" s="261" t="b">
        <f t="shared" si="71"/>
        <v>0</v>
      </c>
      <c r="AL192" s="261"/>
      <c r="AM192" s="261"/>
      <c r="AN192" s="75"/>
    </row>
    <row r="193" spans="1:40" s="6" customFormat="1" ht="11.25" x14ac:dyDescent="0.2">
      <c r="A193" s="56">
        <f t="shared" si="75"/>
        <v>45105</v>
      </c>
      <c r="B193" s="406">
        <f>'2022'!Wh/'2022'!Env_an*'2023'!Env_an</f>
        <v>66.893794812563343</v>
      </c>
      <c r="C193" s="385"/>
      <c r="D193" s="388">
        <f t="shared" si="50"/>
        <v>67.429799190718228</v>
      </c>
      <c r="E193" s="380">
        <f t="shared" si="76"/>
        <v>67.727198950662526</v>
      </c>
      <c r="F193" s="380">
        <f t="shared" si="51"/>
        <v>67.727273228607231</v>
      </c>
      <c r="G193" s="110">
        <f t="shared" si="77"/>
        <v>1.0444694332725442</v>
      </c>
      <c r="H193" s="409" t="b">
        <f>Wh_hp&gt;='2022'!Maxi_hp</f>
        <v>1</v>
      </c>
      <c r="I193" s="385">
        <f>IF(H193,Wh_hp,'2022'!Maxi_hp)</f>
        <v>67.727273228607231</v>
      </c>
      <c r="J193" s="85">
        <f>IF(H193,An,'2022'!An_max)</f>
        <v>2023</v>
      </c>
      <c r="K193" s="193">
        <f t="shared" si="52"/>
        <v>45105</v>
      </c>
      <c r="L193" s="143">
        <f>IF(t&lt;Tvie,1-EXP((T0-t)*PertePVj)+'2022'!Pspv,1-EXP((T0-t)*PertePVj)+Pspv)</f>
        <v>7.9490727332415245E-3</v>
      </c>
      <c r="M193" s="836"/>
      <c r="N193" s="836"/>
      <c r="O193" s="48">
        <f>IF(t&lt;Tnet,'2022'!Resal+('2022'!Salim-'2022'!Resal)*(1-EXP(('2022'!Tnet-t)/('2022'!Tau_j))),Resal+(Salim-Resal)*(1-EXP((Tnet-t)/(Tau_j))))*Salcycl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1.0967213230524478E-6</v>
      </c>
      <c r="Q193" s="301">
        <f t="shared" si="53"/>
        <v>0.5</v>
      </c>
      <c r="R193" s="173">
        <f t="shared" si="54"/>
        <v>0.83217190556680987</v>
      </c>
      <c r="S193" s="802">
        <f t="shared" si="55"/>
        <v>0</v>
      </c>
      <c r="T193" s="172">
        <f t="shared" si="56"/>
        <v>6</v>
      </c>
      <c r="U193" s="247">
        <f t="shared" si="57"/>
        <v>0.83217190556680987</v>
      </c>
      <c r="V193" s="378">
        <f t="shared" si="58"/>
        <v>64.045718028311185</v>
      </c>
      <c r="W193" s="397">
        <f t="shared" si="59"/>
        <v>66.893794812563343</v>
      </c>
      <c r="X193" s="153">
        <f t="shared" si="60"/>
        <v>45105</v>
      </c>
      <c r="Y193" s="380">
        <f t="shared" si="61"/>
        <v>64.86693472043919</v>
      </c>
      <c r="Z193" s="380">
        <f t="shared" si="62"/>
        <v>65.386698341341031</v>
      </c>
      <c r="AA193" s="381">
        <f t="shared" si="63"/>
        <v>67.727198950662526</v>
      </c>
      <c r="AB193" s="193">
        <f t="shared" si="64"/>
        <v>45105</v>
      </c>
      <c r="AC193" s="420">
        <f>IF(OR(t&lt;Tnet,NoTnet),'2022'!Resal_s+('2022'!Salim-'2022'!Resal_s)*(1-EXP(('2022'!Tnet_s-t)/'2022'!Tau_j)),Resal_s+(Salim-Resal_s)*(1-EXP((Tnet_s-t)/Tau_j)))*Salcycl</f>
        <v>3.455776476193112E-2</v>
      </c>
      <c r="AD193" s="227">
        <f>(INDEX(Models!$BJ193:$BT193,,AH193)*(1-AF193)+INDEX(Models!$BJ193:$BT193,,AH193+1)*AF193-ERP_i)*AE193*Ramure*Pc/MaxiM</f>
        <v>1.0967213230524478E-6</v>
      </c>
      <c r="AE193" s="301">
        <f t="shared" si="65"/>
        <v>0.5</v>
      </c>
      <c r="AF193" s="173">
        <f t="shared" si="66"/>
        <v>0.83217190556680987</v>
      </c>
      <c r="AG193" s="172">
        <f t="shared" si="67"/>
        <v>0</v>
      </c>
      <c r="AH193" s="172">
        <f t="shared" si="68"/>
        <v>6</v>
      </c>
      <c r="AI193" s="221">
        <f t="shared" si="69"/>
        <v>0.83217190556680987</v>
      </c>
      <c r="AJ193" s="261" t="b">
        <f t="shared" si="70"/>
        <v>0</v>
      </c>
      <c r="AK193" s="261" t="b">
        <f t="shared" si="71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5"/>
        <v>45106</v>
      </c>
      <c r="B194" s="406">
        <f>'2022'!Wh/'2022'!Env_an*'2023'!Env_an</f>
        <v>64.909875677377187</v>
      </c>
      <c r="C194" s="385"/>
      <c r="D194" s="388">
        <f t="shared" si="50"/>
        <v>65.430879067941206</v>
      </c>
      <c r="E194" s="380">
        <f t="shared" si="76"/>
        <v>65.724327338712541</v>
      </c>
      <c r="F194" s="380">
        <f t="shared" si="51"/>
        <v>65.724402245637066</v>
      </c>
      <c r="G194" s="110">
        <f t="shared" si="77"/>
        <v>1.0147785265653375</v>
      </c>
      <c r="H194" s="409" t="b">
        <f>Wh_hp&gt;='2022'!Maxi_hp</f>
        <v>1</v>
      </c>
      <c r="I194" s="385">
        <f>IF(H194,Wh_hp,'2022'!Maxi_hp)</f>
        <v>65.724402245637066</v>
      </c>
      <c r="J194" s="85">
        <f>IF(H194,An,'2022'!An_max)</f>
        <v>2023</v>
      </c>
      <c r="K194" s="193">
        <f t="shared" si="52"/>
        <v>45106</v>
      </c>
      <c r="L194" s="143">
        <f>IF(t&lt;Tvie,1-EXP((T0-t)*PertePVj)+'2022'!Pspv,1-EXP((T0-t)*PertePVj)+Pspv)</f>
        <v>7.9626530773493354E-3</v>
      </c>
      <c r="M194" s="836"/>
      <c r="N194" s="836"/>
      <c r="O194" s="48">
        <f>IF(t&lt;Tnet,'2022'!Resal+('2022'!Salim-'2022'!Resal)*(1-EXP(('2022'!Tnet-t)/('2022'!Tau_j))),Resal+(Salim-Resal)*(1-EXP((Tnet-t)/(Tau_j))))*Salcycl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1.1397125262880507E-6</v>
      </c>
      <c r="Q194" s="301">
        <f t="shared" si="53"/>
        <v>0.5</v>
      </c>
      <c r="R194" s="173">
        <f t="shared" si="54"/>
        <v>0.83664023689858213</v>
      </c>
      <c r="S194" s="802">
        <f t="shared" si="55"/>
        <v>0</v>
      </c>
      <c r="T194" s="172">
        <f t="shared" si="56"/>
        <v>6</v>
      </c>
      <c r="U194" s="247">
        <f t="shared" si="57"/>
        <v>0.83664023689858213</v>
      </c>
      <c r="V194" s="378">
        <f t="shared" si="58"/>
        <v>63.964573528249481</v>
      </c>
      <c r="W194" s="397">
        <f t="shared" si="59"/>
        <v>64.909875677377187</v>
      </c>
      <c r="X194" s="153">
        <f t="shared" si="60"/>
        <v>45106</v>
      </c>
      <c r="Y194" s="380">
        <f t="shared" si="61"/>
        <v>62.944211038665841</v>
      </c>
      <c r="Z194" s="380">
        <f t="shared" si="62"/>
        <v>63.44943689259474</v>
      </c>
      <c r="AA194" s="381">
        <f t="shared" si="63"/>
        <v>65.724327338712541</v>
      </c>
      <c r="AB194" s="193">
        <f t="shared" si="64"/>
        <v>45106</v>
      </c>
      <c r="AC194" s="420">
        <f>IF(OR(t&lt;Tnet,NoTnet),'2022'!Resal_s+('2022'!Salim-'2022'!Resal_s)*(1-EXP(('2022'!Tnet_s-t)/'2022'!Tau_j)),Resal_s+(Salim-Resal_s)*(1-EXP((Tnet_s-t)/Tau_j)))*Salcycl</f>
        <v>3.4612609032787539E-2</v>
      </c>
      <c r="AD194" s="227">
        <f>(INDEX(Models!$BJ194:$BT194,,AH194)*(1-AF194)+INDEX(Models!$BJ194:$BT194,,AH194+1)*AF194-ERP_i)*AE194*Ramure*Pc/MaxiM</f>
        <v>1.1397125262880507E-6</v>
      </c>
      <c r="AE194" s="301">
        <f t="shared" si="65"/>
        <v>0.5</v>
      </c>
      <c r="AF194" s="173">
        <f t="shared" si="66"/>
        <v>0.83664023689858213</v>
      </c>
      <c r="AG194" s="172">
        <f t="shared" si="67"/>
        <v>0</v>
      </c>
      <c r="AH194" s="172">
        <f t="shared" si="68"/>
        <v>6</v>
      </c>
      <c r="AI194" s="221">
        <f t="shared" si="69"/>
        <v>0.83664023689858213</v>
      </c>
      <c r="AJ194" s="261" t="b">
        <f t="shared" si="70"/>
        <v>0</v>
      </c>
      <c r="AK194" s="261" t="b">
        <f t="shared" si="71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5"/>
        <v>45107</v>
      </c>
      <c r="B195" s="406">
        <f>'2022'!Wh/'2022'!Env_an*'2023'!Env_an</f>
        <v>15.944477661658739</v>
      </c>
      <c r="C195" s="385"/>
      <c r="D195" s="388">
        <f t="shared" si="50"/>
        <v>16.072677082790818</v>
      </c>
      <c r="E195" s="380">
        <f t="shared" si="76"/>
        <v>16.145954384683936</v>
      </c>
      <c r="F195" s="380">
        <f t="shared" si="51"/>
        <v>16.145954384683936</v>
      </c>
      <c r="G195" s="110">
        <f t="shared" si="77"/>
        <v>0.24960917099312038</v>
      </c>
      <c r="H195" s="409" t="b">
        <f>Wh_hp&gt;='2022'!Maxi_hp</f>
        <v>0</v>
      </c>
      <c r="I195" s="385">
        <f>IF(H195,Wh_hp,'2022'!Maxi_hp)</f>
        <v>16.145965733793666</v>
      </c>
      <c r="J195" s="85">
        <f>IF(H195,An,'2022'!An_max)</f>
        <v>2022</v>
      </c>
      <c r="K195" s="193">
        <f t="shared" si="52"/>
        <v>45107</v>
      </c>
      <c r="L195" s="143">
        <f>IF(t&lt;Tvie,1-EXP((T0-t)*PertePVj)+'2022'!Pspv,1-EXP((T0-t)*PertePVj)+Pspv)</f>
        <v>7.9762332355537424E-3</v>
      </c>
      <c r="M195" s="836"/>
      <c r="N195" s="836"/>
      <c r="O195" s="48">
        <f>IF(t&lt;Tnet,'2022'!Resal+('2022'!Salim-'2022'!Resal)*(1-EXP(('2022'!Tnet-t)/('2022'!Tau_j))),Resal+(Salim-Resal)*(1-EXP((Tnet-t)/(Tau_j))))*Salcycl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1.189247700184498E-6</v>
      </c>
      <c r="Q195" s="301">
        <f t="shared" si="53"/>
        <v>0.5</v>
      </c>
      <c r="R195" s="173">
        <f t="shared" si="54"/>
        <v>0.8410408371441378</v>
      </c>
      <c r="S195" s="802">
        <f t="shared" si="55"/>
        <v>0</v>
      </c>
      <c r="T195" s="172">
        <f t="shared" si="56"/>
        <v>6</v>
      </c>
      <c r="U195" s="247">
        <f t="shared" si="57"/>
        <v>0.8410408371441378</v>
      </c>
      <c r="V195" s="378">
        <f t="shared" si="58"/>
        <v>63.877695824584919</v>
      </c>
      <c r="W195" s="397">
        <f t="shared" si="59"/>
        <v>15.944477661658739</v>
      </c>
      <c r="X195" s="153">
        <f t="shared" si="60"/>
        <v>45107</v>
      </c>
      <c r="Y195" s="380">
        <f t="shared" si="61"/>
        <v>15.461905042658875</v>
      </c>
      <c r="Z195" s="380">
        <f t="shared" si="62"/>
        <v>15.586224403764984</v>
      </c>
      <c r="AA195" s="381">
        <f t="shared" si="63"/>
        <v>16.145954384683936</v>
      </c>
      <c r="AB195" s="193">
        <f t="shared" si="64"/>
        <v>45107</v>
      </c>
      <c r="AC195" s="420">
        <f>IF(OR(t&lt;Tnet,NoTnet),'2022'!Resal_s+('2022'!Salim-'2022'!Resal_s)*(1-EXP(('2022'!Tnet_s-t)/'2022'!Tau_j)),Resal_s+(Salim-Resal_s)*(1-EXP((Tnet_s-t)/Tau_j)))*Salcycl</f>
        <v>3.4666887294684402E-2</v>
      </c>
      <c r="AD195" s="227">
        <f>(INDEX(Models!$BJ195:$BT195,,AH195)*(1-AF195)+INDEX(Models!$BJ195:$BT195,,AH195+1)*AF195-ERP_i)*AE195*Ramure*Pc/MaxiM</f>
        <v>1.189247700184498E-6</v>
      </c>
      <c r="AE195" s="301">
        <f t="shared" si="65"/>
        <v>0.5</v>
      </c>
      <c r="AF195" s="173">
        <f t="shared" si="66"/>
        <v>0.8410408371441378</v>
      </c>
      <c r="AG195" s="172">
        <f t="shared" si="67"/>
        <v>0</v>
      </c>
      <c r="AH195" s="172">
        <f t="shared" si="68"/>
        <v>6</v>
      </c>
      <c r="AI195" s="221">
        <f t="shared" si="69"/>
        <v>0.8410408371441378</v>
      </c>
      <c r="AJ195" s="261" t="b">
        <f t="shared" si="70"/>
        <v>0</v>
      </c>
      <c r="AK195" s="261" t="b">
        <f t="shared" si="71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5"/>
        <v>45108</v>
      </c>
      <c r="B196" s="406">
        <f>'2022'!Wh/'2022'!Env_an*'2023'!Env_an</f>
        <v>54.091386717694576</v>
      </c>
      <c r="C196" s="385"/>
      <c r="D196" s="388">
        <f t="shared" si="50"/>
        <v>54.527047643139184</v>
      </c>
      <c r="E196" s="380">
        <f t="shared" si="76"/>
        <v>54.779687654997758</v>
      </c>
      <c r="F196" s="380">
        <f t="shared" si="51"/>
        <v>54.779741068395602</v>
      </c>
      <c r="G196" s="110">
        <f t="shared" si="77"/>
        <v>0.84802107606954713</v>
      </c>
      <c r="H196" s="409" t="b">
        <f>Wh_hp&gt;='2022'!Maxi_hp</f>
        <v>0</v>
      </c>
      <c r="I196" s="385">
        <f>IF(H196,Wh_hp,'2022'!Maxi_hp)</f>
        <v>54.779749779399616</v>
      </c>
      <c r="J196" s="85">
        <f>IF(H196,An,'2022'!An_max)</f>
        <v>2022</v>
      </c>
      <c r="K196" s="193">
        <f t="shared" si="52"/>
        <v>45108</v>
      </c>
      <c r="L196" s="143">
        <f>IF(t&lt;Tvie,1-EXP((T0-t)*PertePVj)+'2022'!Pspv,1-EXP((T0-t)*PertePVj)+Pspv)</f>
        <v>7.9898132078570772E-3</v>
      </c>
      <c r="M196" s="836"/>
      <c r="N196" s="836"/>
      <c r="O196" s="48">
        <f>IF(t&lt;Tnet,'2022'!Resal+('2022'!Salim-'2022'!Resal)*(1-EXP(('2022'!Tnet-t)/('2022'!Tau_j))),Resal+(Salim-Resal)*(1-EXP((Tnet-t)/(Tau_j))))*Salcycl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1.2454629943472795E-6</v>
      </c>
      <c r="Q196" s="301">
        <f t="shared" si="53"/>
        <v>0.5</v>
      </c>
      <c r="R196" s="173">
        <f t="shared" si="54"/>
        <v>0.84537160466508066</v>
      </c>
      <c r="S196" s="802">
        <f t="shared" si="55"/>
        <v>0</v>
      </c>
      <c r="T196" s="172">
        <f t="shared" si="56"/>
        <v>6</v>
      </c>
      <c r="U196" s="247">
        <f t="shared" si="57"/>
        <v>0.84537160466508066</v>
      </c>
      <c r="V196" s="378">
        <f t="shared" si="58"/>
        <v>63.78541007704451</v>
      </c>
      <c r="W196" s="397">
        <f t="shared" si="59"/>
        <v>54.091386717694576</v>
      </c>
      <c r="X196" s="153">
        <f t="shared" si="60"/>
        <v>45108</v>
      </c>
      <c r="Y196" s="380">
        <f t="shared" si="61"/>
        <v>52.455220672150659</v>
      </c>
      <c r="Z196" s="380">
        <f t="shared" si="62"/>
        <v>52.877703647151826</v>
      </c>
      <c r="AA196" s="381">
        <f t="shared" si="63"/>
        <v>54.779687654997758</v>
      </c>
      <c r="AB196" s="193">
        <f t="shared" si="64"/>
        <v>45108</v>
      </c>
      <c r="AC196" s="420">
        <f>IF(OR(t&lt;Tnet,NoTnet),'2022'!Resal_s+('2022'!Salim-'2022'!Resal_s)*(1-EXP(('2022'!Tnet_s-t)/'2022'!Tau_j)),Resal_s+(Salim-Resal_s)*(1-EXP((Tnet_s-t)/Tau_j)))*Salcycl</f>
        <v>3.4720607021796426E-2</v>
      </c>
      <c r="AD196" s="227">
        <f>(INDEX(Models!$BJ196:$BT196,,AH196)*(1-AF196)+INDEX(Models!$BJ196:$BT196,,AH196+1)*AF196-ERP_i)*AE196*Ramure*Pc/MaxiM</f>
        <v>1.2454629943472795E-6</v>
      </c>
      <c r="AE196" s="301">
        <f t="shared" si="65"/>
        <v>0.5</v>
      </c>
      <c r="AF196" s="173">
        <f t="shared" si="66"/>
        <v>0.84537160466508066</v>
      </c>
      <c r="AG196" s="172">
        <f t="shared" si="67"/>
        <v>0</v>
      </c>
      <c r="AH196" s="172">
        <f t="shared" si="68"/>
        <v>6</v>
      </c>
      <c r="AI196" s="221">
        <f t="shared" si="69"/>
        <v>0.84537160466508066</v>
      </c>
      <c r="AJ196" s="261" t="b">
        <f t="shared" si="70"/>
        <v>0</v>
      </c>
      <c r="AK196" s="261" t="b">
        <f t="shared" si="71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5"/>
        <v>45109</v>
      </c>
      <c r="B197" s="406">
        <f>'2022'!Wh/'2022'!Env_an*'2023'!Env_an</f>
        <v>60.056556792517085</v>
      </c>
      <c r="C197" s="385"/>
      <c r="D197" s="388">
        <f t="shared" si="50"/>
        <v>60.541090935575859</v>
      </c>
      <c r="E197" s="380">
        <f t="shared" si="76"/>
        <v>60.826080930875634</v>
      </c>
      <c r="F197" s="380">
        <f t="shared" si="51"/>
        <v>60.826154038147273</v>
      </c>
      <c r="G197" s="110">
        <f t="shared" si="77"/>
        <v>0.94298001865304382</v>
      </c>
      <c r="H197" s="409" t="b">
        <f>Wh_hp&gt;='2022'!Maxi_hp</f>
        <v>0</v>
      </c>
      <c r="I197" s="385">
        <f>IF(H197,Wh_hp,'2022'!Maxi_hp)</f>
        <v>60.826157831959122</v>
      </c>
      <c r="J197" s="85">
        <f>IF(H197,An,'2022'!An_max)</f>
        <v>2022</v>
      </c>
      <c r="K197" s="193">
        <f t="shared" si="52"/>
        <v>45109</v>
      </c>
      <c r="L197" s="143">
        <f>IF(t&lt;Tvie,1-EXP((T0-t)*PertePVj)+'2022'!Pspv,1-EXP((T0-t)*PertePVj)+Pspv)</f>
        <v>8.0033929942621151E-3</v>
      </c>
      <c r="M197" s="836"/>
      <c r="N197" s="836"/>
      <c r="O197" s="48">
        <f>IF(t&lt;Tnet,'2022'!Resal+('2022'!Salim-'2022'!Resal)*(1-EXP(('2022'!Tnet-t)/('2022'!Tau_j))),Resal+(Salim-Resal)*(1-EXP((Tnet-t)/(Tau_j))))*Salcycl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1.3084909224949139E-6</v>
      </c>
      <c r="Q197" s="301">
        <f t="shared" si="53"/>
        <v>0.5</v>
      </c>
      <c r="R197" s="173">
        <f t="shared" si="54"/>
        <v>0.84963061997274125</v>
      </c>
      <c r="S197" s="802">
        <f t="shared" si="55"/>
        <v>0</v>
      </c>
      <c r="T197" s="172">
        <f t="shared" si="56"/>
        <v>6</v>
      </c>
      <c r="U197" s="247">
        <f t="shared" si="57"/>
        <v>0.84963061997274125</v>
      </c>
      <c r="V197" s="378">
        <f t="shared" si="58"/>
        <v>63.688041319394756</v>
      </c>
      <c r="W197" s="397">
        <f t="shared" si="59"/>
        <v>60.056556792517085</v>
      </c>
      <c r="X197" s="153">
        <f t="shared" si="60"/>
        <v>45109</v>
      </c>
      <c r="Y197" s="380">
        <f t="shared" si="61"/>
        <v>58.241041725968074</v>
      </c>
      <c r="Z197" s="380">
        <f t="shared" si="62"/>
        <v>58.710928358680562</v>
      </c>
      <c r="AA197" s="381">
        <f t="shared" si="63"/>
        <v>60.826080930875634</v>
      </c>
      <c r="AB197" s="193">
        <f t="shared" si="64"/>
        <v>45109</v>
      </c>
      <c r="AC197" s="420">
        <f>IF(OR(t&lt;Tnet,NoTnet),'2022'!Resal_s+('2022'!Salim-'2022'!Resal_s)*(1-EXP(('2022'!Tnet_s-t)/'2022'!Tau_j)),Resal_s+(Salim-Resal_s)*(1-EXP((Tnet_s-t)/Tau_j)))*Salcycl</f>
        <v>3.4773776969106239E-2</v>
      </c>
      <c r="AD197" s="227">
        <f>(INDEX(Models!$BJ197:$BT197,,AH197)*(1-AF197)+INDEX(Models!$BJ197:$BT197,,AH197+1)*AF197-ERP_i)*AE197*Ramure*Pc/MaxiM</f>
        <v>1.3084909224949139E-6</v>
      </c>
      <c r="AE197" s="301">
        <f t="shared" si="65"/>
        <v>0.5</v>
      </c>
      <c r="AF197" s="173">
        <f t="shared" si="66"/>
        <v>0.84963061997274125</v>
      </c>
      <c r="AG197" s="172">
        <f t="shared" si="67"/>
        <v>0</v>
      </c>
      <c r="AH197" s="172">
        <f t="shared" si="68"/>
        <v>6</v>
      </c>
      <c r="AI197" s="221">
        <f t="shared" si="69"/>
        <v>0.84963061997274125</v>
      </c>
      <c r="AJ197" s="261" t="b">
        <f t="shared" si="70"/>
        <v>0</v>
      </c>
      <c r="AK197" s="261" t="b">
        <f t="shared" si="71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5"/>
        <v>45110</v>
      </c>
      <c r="B198" s="406">
        <f>'2022'!Wh/'2022'!Env_an*'2023'!Env_an</f>
        <v>55.851851464477697</v>
      </c>
      <c r="C198" s="385"/>
      <c r="D198" s="388">
        <f t="shared" si="50"/>
        <v>56.303232939954327</v>
      </c>
      <c r="E198" s="380">
        <f t="shared" si="76"/>
        <v>56.572439700847944</v>
      </c>
      <c r="F198" s="380">
        <f t="shared" si="51"/>
        <v>56.572504417134198</v>
      </c>
      <c r="G198" s="110">
        <f t="shared" si="77"/>
        <v>0.87836809225368129</v>
      </c>
      <c r="H198" s="409" t="b">
        <f>Wh_hp&gt;='2022'!Maxi_hp</f>
        <v>0</v>
      </c>
      <c r="I198" s="385">
        <f>IF(H198,Wh_hp,'2022'!Maxi_hp)</f>
        <v>56.572512342917904</v>
      </c>
      <c r="J198" s="85">
        <f>IF(H198,An,'2022'!An_max)</f>
        <v>2022</v>
      </c>
      <c r="K198" s="193">
        <f t="shared" si="52"/>
        <v>45110</v>
      </c>
      <c r="L198" s="143">
        <f>IF(t&lt;Tvie,1-EXP((T0-t)*PertePVj)+'2022'!Pspv,1-EXP((T0-t)*PertePVj)+Pspv)</f>
        <v>8.0169725947711878E-3</v>
      </c>
      <c r="M198" s="836"/>
      <c r="N198" s="836"/>
      <c r="O198" s="48">
        <f>IF(t&lt;Tnet,'2022'!Resal+('2022'!Salim-'2022'!Resal)*(1-EXP(('2022'!Tnet-t)/('2022'!Tau_j))),Resal+(Salim-Resal)*(1-EXP((Tnet-t)/(Tau_j))))*Salcycl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1.3845279839180548E-6</v>
      </c>
      <c r="Q198" s="301">
        <f t="shared" si="53"/>
        <v>0.5</v>
      </c>
      <c r="R198" s="173">
        <f t="shared" si="54"/>
        <v>0.85381614574003772</v>
      </c>
      <c r="S198" s="802">
        <f t="shared" si="55"/>
        <v>0</v>
      </c>
      <c r="T198" s="172">
        <f t="shared" si="56"/>
        <v>6</v>
      </c>
      <c r="U198" s="247">
        <f t="shared" si="57"/>
        <v>0.85381614574003772</v>
      </c>
      <c r="V198" s="378">
        <f t="shared" si="58"/>
        <v>63.585914060928353</v>
      </c>
      <c r="W198" s="397">
        <f t="shared" si="59"/>
        <v>55.851851464477697</v>
      </c>
      <c r="X198" s="153">
        <f t="shared" si="60"/>
        <v>45110</v>
      </c>
      <c r="Y198" s="380">
        <f t="shared" si="61"/>
        <v>54.16448034506238</v>
      </c>
      <c r="Z198" s="380">
        <f t="shared" si="62"/>
        <v>54.602224885583638</v>
      </c>
      <c r="AA198" s="381">
        <f t="shared" si="63"/>
        <v>56.572439700847944</v>
      </c>
      <c r="AB198" s="193">
        <f t="shared" si="64"/>
        <v>45110</v>
      </c>
      <c r="AC198" s="420">
        <f>IF(OR(t&lt;Tnet,NoTnet),'2022'!Resal_s+('2022'!Salim-'2022'!Resal_s)*(1-EXP(('2022'!Tnet_s-t)/'2022'!Tau_j)),Resal_s+(Salim-Resal_s)*(1-EXP((Tnet_s-t)/Tau_j)))*Salcycl</f>
        <v>3.4826407092971357E-2</v>
      </c>
      <c r="AD198" s="227">
        <f>(INDEX(Models!$BJ198:$BT198,,AH198)*(1-AF198)+INDEX(Models!$BJ198:$BT198,,AH198+1)*AF198-ERP_i)*AE198*Ramure*Pc/MaxiM</f>
        <v>1.3845279839180548E-6</v>
      </c>
      <c r="AE198" s="301">
        <f t="shared" si="65"/>
        <v>0.5</v>
      </c>
      <c r="AF198" s="173">
        <f t="shared" si="66"/>
        <v>0.85381614574003772</v>
      </c>
      <c r="AG198" s="172">
        <f t="shared" si="67"/>
        <v>0</v>
      </c>
      <c r="AH198" s="172">
        <f t="shared" si="68"/>
        <v>6</v>
      </c>
      <c r="AI198" s="221">
        <f t="shared" si="69"/>
        <v>0.85381614574003772</v>
      </c>
      <c r="AJ198" s="261" t="b">
        <f t="shared" si="70"/>
        <v>0</v>
      </c>
      <c r="AK198" s="261" t="b">
        <f t="shared" si="71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5"/>
        <v>45111</v>
      </c>
      <c r="B199" s="406">
        <f>'2022'!Wh/'2022'!Env_an*'2023'!Env_an</f>
        <v>51.991180186803518</v>
      </c>
      <c r="C199" s="385"/>
      <c r="D199" s="388">
        <f t="shared" si="50"/>
        <v>52.412078105953427</v>
      </c>
      <c r="E199" s="380">
        <f t="shared" si="76"/>
        <v>52.666552954012175</v>
      </c>
      <c r="F199" s="380">
        <f t="shared" si="51"/>
        <v>52.666610429333346</v>
      </c>
      <c r="G199" s="110">
        <f t="shared" si="77"/>
        <v>0.81902473467062875</v>
      </c>
      <c r="H199" s="409" t="b">
        <f>Wh_hp&gt;='2022'!Maxi_hp</f>
        <v>0</v>
      </c>
      <c r="I199" s="385">
        <f>IF(H199,Wh_hp,'2022'!Maxi_hp)</f>
        <v>52.666622044945932</v>
      </c>
      <c r="J199" s="85">
        <f>IF(H199,An,'2022'!An_max)</f>
        <v>2022</v>
      </c>
      <c r="K199" s="193">
        <f t="shared" si="52"/>
        <v>45111</v>
      </c>
      <c r="L199" s="143">
        <f>IF(t&lt;Tvie,1-EXP((T0-t)*PertePVj)+'2022'!Pspv,1-EXP((T0-t)*PertePVj)+Pspv)</f>
        <v>8.0305520093869598E-3</v>
      </c>
      <c r="M199" s="836"/>
      <c r="N199" s="836"/>
      <c r="O199" s="48">
        <f>IF(t&lt;Tnet,'2022'!Resal+('2022'!Salim-'2022'!Resal)*(1-EXP(('2022'!Tnet-t)/('2022'!Tau_j))),Resal+(Salim-Resal)*(1-EXP((Tnet-t)/(Tau_j))))*Salcycl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1.4718236001789362E-6</v>
      </c>
      <c r="Q199" s="301">
        <f t="shared" si="53"/>
        <v>0.5</v>
      </c>
      <c r="R199" s="173">
        <f t="shared" si="54"/>
        <v>0.85792662596399483</v>
      </c>
      <c r="S199" s="802">
        <f t="shared" si="55"/>
        <v>0</v>
      </c>
      <c r="T199" s="172">
        <f t="shared" si="56"/>
        <v>6</v>
      </c>
      <c r="U199" s="247">
        <f t="shared" si="57"/>
        <v>0.85792662596399483</v>
      </c>
      <c r="V199" s="378">
        <f t="shared" si="58"/>
        <v>63.479353189577537</v>
      </c>
      <c r="W199" s="397">
        <f t="shared" si="59"/>
        <v>51.991180186803518</v>
      </c>
      <c r="X199" s="153">
        <f t="shared" si="60"/>
        <v>45111</v>
      </c>
      <c r="Y199" s="380">
        <f t="shared" si="61"/>
        <v>50.421432216713896</v>
      </c>
      <c r="Z199" s="380">
        <f t="shared" si="62"/>
        <v>50.829622140934156</v>
      </c>
      <c r="AA199" s="381">
        <f t="shared" si="63"/>
        <v>52.666552954012175</v>
      </c>
      <c r="AB199" s="193">
        <f t="shared" si="64"/>
        <v>45111</v>
      </c>
      <c r="AC199" s="420">
        <f>IF(OR(t&lt;Tnet,NoTnet),'2022'!Resal_s+('2022'!Salim-'2022'!Resal_s)*(1-EXP(('2022'!Tnet_s-t)/'2022'!Tau_j)),Resal_s+(Salim-Resal_s)*(1-EXP((Tnet_s-t)/Tau_j)))*Salcycl</f>
        <v>3.4878508465933017E-2</v>
      </c>
      <c r="AD199" s="227">
        <f>(INDEX(Models!$BJ199:$BT199,,AH199)*(1-AF199)+INDEX(Models!$BJ199:$BT199,,AH199+1)*AF199-ERP_i)*AE199*Ramure*Pc/MaxiM</f>
        <v>1.4718236001789362E-6</v>
      </c>
      <c r="AE199" s="301">
        <f t="shared" si="65"/>
        <v>0.5</v>
      </c>
      <c r="AF199" s="173">
        <f t="shared" si="66"/>
        <v>0.85792662596399483</v>
      </c>
      <c r="AG199" s="172">
        <f t="shared" si="67"/>
        <v>0</v>
      </c>
      <c r="AH199" s="172">
        <f t="shared" si="68"/>
        <v>6</v>
      </c>
      <c r="AI199" s="221">
        <f t="shared" si="69"/>
        <v>0.85792662596399483</v>
      </c>
      <c r="AJ199" s="261" t="b">
        <f t="shared" si="70"/>
        <v>0</v>
      </c>
      <c r="AK199" s="261" t="b">
        <f t="shared" si="71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5"/>
        <v>45112</v>
      </c>
      <c r="B200" s="406">
        <f>'2022'!Wh/'2022'!Env_an*'2023'!Env_an</f>
        <v>62.341504575266214</v>
      </c>
      <c r="C200" s="385"/>
      <c r="D200" s="388">
        <f t="shared" si="50"/>
        <v>62.847054529832974</v>
      </c>
      <c r="E200" s="380">
        <f t="shared" si="76"/>
        <v>63.156832321364902</v>
      </c>
      <c r="F200" s="380">
        <f t="shared" si="51"/>
        <v>63.156929218033738</v>
      </c>
      <c r="G200" s="110">
        <f t="shared" si="77"/>
        <v>0.98379039974811711</v>
      </c>
      <c r="H200" s="409" t="b">
        <f>Wh_hp&gt;='2022'!Maxi_hp</f>
        <v>0</v>
      </c>
      <c r="I200" s="385">
        <f>IF(H200,Wh_hp,'2022'!Maxi_hp)</f>
        <v>63.156930543219005</v>
      </c>
      <c r="J200" s="85">
        <f>IF(H200,An,'2022'!An_max)</f>
        <v>2022</v>
      </c>
      <c r="K200" s="193">
        <f t="shared" si="52"/>
        <v>45112</v>
      </c>
      <c r="L200" s="143">
        <f>IF(t&lt;Tvie,1-EXP((T0-t)*PertePVj)+'2022'!Pspv,1-EXP((T0-t)*PertePVj)+Pspv)</f>
        <v>8.0441312381119845E-3</v>
      </c>
      <c r="M200" s="836"/>
      <c r="N200" s="836"/>
      <c r="O200" s="48">
        <f>IF(t&lt;Tnet,'2022'!Resal+('2022'!Salim-'2022'!Resal)*(1-EXP(('2022'!Tnet-t)/('2022'!Tau_j))),Resal+(Salim-Resal)*(1-EXP((Tnet-t)/(Tau_j))))*Salcycl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1.5705901132193886E-6</v>
      </c>
      <c r="Q200" s="301">
        <f t="shared" si="53"/>
        <v>0.5</v>
      </c>
      <c r="R200" s="173">
        <f t="shared" si="54"/>
        <v>0.86196068432396866</v>
      </c>
      <c r="S200" s="802">
        <f t="shared" si="55"/>
        <v>0</v>
      </c>
      <c r="T200" s="172">
        <f t="shared" si="56"/>
        <v>6</v>
      </c>
      <c r="U200" s="247">
        <f t="shared" si="57"/>
        <v>0.86196068432396866</v>
      </c>
      <c r="V200" s="378">
        <f t="shared" si="58"/>
        <v>63.36868333325976</v>
      </c>
      <c r="W200" s="397">
        <f t="shared" si="59"/>
        <v>62.341504575266214</v>
      </c>
      <c r="X200" s="153">
        <f t="shared" si="60"/>
        <v>45112</v>
      </c>
      <c r="Y200" s="380">
        <f t="shared" si="61"/>
        <v>60.460462384328792</v>
      </c>
      <c r="Z200" s="380">
        <f t="shared" si="62"/>
        <v>60.950758283019844</v>
      </c>
      <c r="AA200" s="381">
        <f t="shared" si="63"/>
        <v>63.156832321364902</v>
      </c>
      <c r="AB200" s="193">
        <f t="shared" si="64"/>
        <v>45112</v>
      </c>
      <c r="AC200" s="420">
        <f>IF(OR(t&lt;Tnet,NoTnet),'2022'!Resal_s+('2022'!Salim-'2022'!Resal_s)*(1-EXP(('2022'!Tnet_s-t)/'2022'!Tau_j)),Resal_s+(Salim-Resal_s)*(1-EXP((Tnet_s-t)/Tau_j)))*Salcycl</f>
        <v>3.49300931864307E-2</v>
      </c>
      <c r="AD200" s="227">
        <f>(INDEX(Models!$BJ200:$BT200,,AH200)*(1-AF200)+INDEX(Models!$BJ200:$BT200,,AH200+1)*AF200-ERP_i)*AE200*Ramure*Pc/MaxiM</f>
        <v>1.5705901132193886E-6</v>
      </c>
      <c r="AE200" s="301">
        <f t="shared" si="65"/>
        <v>0.5</v>
      </c>
      <c r="AF200" s="173">
        <f t="shared" si="66"/>
        <v>0.86196068432396866</v>
      </c>
      <c r="AG200" s="172">
        <f t="shared" si="67"/>
        <v>0</v>
      </c>
      <c r="AH200" s="172">
        <f t="shared" si="68"/>
        <v>6</v>
      </c>
      <c r="AI200" s="221">
        <f t="shared" si="69"/>
        <v>0.86196068432396866</v>
      </c>
      <c r="AJ200" s="261" t="b">
        <f t="shared" si="70"/>
        <v>0</v>
      </c>
      <c r="AK200" s="261" t="b">
        <f t="shared" si="71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5"/>
        <v>45113</v>
      </c>
      <c r="B201" s="406">
        <f>'2022'!Wh/'2022'!Env_an*'2023'!Env_an</f>
        <v>45.895337308375183</v>
      </c>
      <c r="C201" s="385"/>
      <c r="D201" s="388">
        <f t="shared" si="50"/>
        <v>46.26815267788831</v>
      </c>
      <c r="E201" s="380">
        <f t="shared" si="76"/>
        <v>46.499622123041874</v>
      </c>
      <c r="F201" s="380">
        <f t="shared" si="51"/>
        <v>46.499669645455477</v>
      </c>
      <c r="G201" s="110">
        <f t="shared" si="77"/>
        <v>0.72556899030021338</v>
      </c>
      <c r="H201" s="409" t="b">
        <f>Wh_hp&gt;='2022'!Maxi_hp</f>
        <v>0</v>
      </c>
      <c r="I201" s="385">
        <f>IF(H201,Wh_hp,'2022'!Maxi_hp)</f>
        <v>46.499687245486641</v>
      </c>
      <c r="J201" s="85">
        <f>IF(H201,An,'2022'!An_max)</f>
        <v>2022</v>
      </c>
      <c r="K201" s="193">
        <f t="shared" si="52"/>
        <v>45113</v>
      </c>
      <c r="L201" s="143">
        <f>IF(t&lt;Tvie,1-EXP((T0-t)*PertePVj)+'2022'!Pspv,1-EXP((T0-t)*PertePVj)+Pspv)</f>
        <v>8.0577102809487045E-3</v>
      </c>
      <c r="M201" s="836"/>
      <c r="N201" s="836"/>
      <c r="O201" s="48">
        <f>IF(t&lt;Tnet,'2022'!Resal+('2022'!Salim-'2022'!Resal)*(1-EXP(('2022'!Tnet-t)/('2022'!Tau_j))),Resal+(Salim-Resal)*(1-EXP((Tnet-t)/(Tau_j))))*Salcycl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1.6810328463145118E-6</v>
      </c>
      <c r="Q201" s="301">
        <f t="shared" si="53"/>
        <v>0.5</v>
      </c>
      <c r="R201" s="173">
        <f t="shared" si="54"/>
        <v>0.86591712178509483</v>
      </c>
      <c r="S201" s="802">
        <f t="shared" si="55"/>
        <v>0</v>
      </c>
      <c r="T201" s="172">
        <f t="shared" si="56"/>
        <v>6</v>
      </c>
      <c r="U201" s="247">
        <f t="shared" si="57"/>
        <v>0.86591712178509483</v>
      </c>
      <c r="V201" s="378">
        <f t="shared" si="58"/>
        <v>63.254228991476303</v>
      </c>
      <c r="W201" s="397">
        <f t="shared" si="59"/>
        <v>45.895337308375183</v>
      </c>
      <c r="X201" s="153">
        <f t="shared" si="60"/>
        <v>45113</v>
      </c>
      <c r="Y201" s="380">
        <f t="shared" si="61"/>
        <v>44.511437017453936</v>
      </c>
      <c r="Z201" s="380">
        <f t="shared" si="62"/>
        <v>44.873010737409885</v>
      </c>
      <c r="AA201" s="381">
        <f t="shared" si="63"/>
        <v>46.499622123041874</v>
      </c>
      <c r="AB201" s="193">
        <f t="shared" si="64"/>
        <v>45113</v>
      </c>
      <c r="AC201" s="420">
        <f>IF(OR(t&lt;Tnet,NoTnet),'2022'!Resal_s+('2022'!Salim-'2022'!Resal_s)*(1-EXP(('2022'!Tnet_s-t)/'2022'!Tau_j)),Resal_s+(Salim-Resal_s)*(1-EXP((Tnet_s-t)/Tau_j)))*Salcycl</f>
        <v>3.4981174284123007E-2</v>
      </c>
      <c r="AD201" s="227">
        <f>(INDEX(Models!$BJ201:$BT201,,AH201)*(1-AF201)+INDEX(Models!$BJ201:$BT201,,AH201+1)*AF201-ERP_i)*AE201*Ramure*Pc/MaxiM</f>
        <v>1.6810328463145118E-6</v>
      </c>
      <c r="AE201" s="301">
        <f t="shared" si="65"/>
        <v>0.5</v>
      </c>
      <c r="AF201" s="173">
        <f t="shared" si="66"/>
        <v>0.86591712178509483</v>
      </c>
      <c r="AG201" s="172">
        <f t="shared" si="67"/>
        <v>0</v>
      </c>
      <c r="AH201" s="172">
        <f t="shared" si="68"/>
        <v>6</v>
      </c>
      <c r="AI201" s="221">
        <f t="shared" si="69"/>
        <v>0.86591712178509483</v>
      </c>
      <c r="AJ201" s="261" t="b">
        <f t="shared" si="70"/>
        <v>0</v>
      </c>
      <c r="AK201" s="261" t="b">
        <f t="shared" si="71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5"/>
        <v>45114</v>
      </c>
      <c r="B202" s="406">
        <f>'2022'!Wh/'2022'!Env_an*'2023'!Env_an</f>
        <v>61.866876365199779</v>
      </c>
      <c r="C202" s="385"/>
      <c r="D202" s="388">
        <f t="shared" si="50"/>
        <v>62.370284968796135</v>
      </c>
      <c r="E202" s="380">
        <f t="shared" si="76"/>
        <v>62.68690095827754</v>
      </c>
      <c r="F202" s="380">
        <f t="shared" si="51"/>
        <v>62.687010757818996</v>
      </c>
      <c r="G202" s="110">
        <f t="shared" si="77"/>
        <v>0.97989364155587155</v>
      </c>
      <c r="H202" s="409" t="b">
        <f>Wh_hp&gt;='2022'!Maxi_hp</f>
        <v>0</v>
      </c>
      <c r="I202" s="385">
        <f>IF(H202,Wh_hp,'2022'!Maxi_hp)</f>
        <v>62.68701261444199</v>
      </c>
      <c r="J202" s="85">
        <f>IF(H202,An,'2022'!An_max)</f>
        <v>2022</v>
      </c>
      <c r="K202" s="193">
        <f t="shared" si="52"/>
        <v>45114</v>
      </c>
      <c r="L202" s="143">
        <f>IF(t&lt;Tvie,1-EXP((T0-t)*PertePVj)+'2022'!Pspv,1-EXP((T0-t)*PertePVj)+Pspv)</f>
        <v>8.0712891378997842E-3</v>
      </c>
      <c r="M202" s="836"/>
      <c r="N202" s="836"/>
      <c r="O202" s="48">
        <f>IF(t&lt;Tnet,'2022'!Resal+('2022'!Salim-'2022'!Resal)*(1-EXP(('2022'!Tnet-t)/('2022'!Tau_j))),Resal+(Salim-Resal)*(1-EXP((Tnet-t)/(Tau_j))))*Salcycl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1.8033498725087225E-6</v>
      </c>
      <c r="Q202" s="301">
        <f t="shared" si="53"/>
        <v>0.5</v>
      </c>
      <c r="R202" s="173">
        <f t="shared" si="54"/>
        <v>0.86979491350013438</v>
      </c>
      <c r="S202" s="802">
        <f t="shared" si="55"/>
        <v>0</v>
      </c>
      <c r="T202" s="172">
        <f t="shared" si="56"/>
        <v>6</v>
      </c>
      <c r="U202" s="247">
        <f t="shared" si="57"/>
        <v>0.86979491350013438</v>
      </c>
      <c r="V202" s="378">
        <f t="shared" si="58"/>
        <v>63.136314531414058</v>
      </c>
      <c r="W202" s="397">
        <f t="shared" si="59"/>
        <v>61.866876365199779</v>
      </c>
      <c r="X202" s="153">
        <f t="shared" si="60"/>
        <v>45114</v>
      </c>
      <c r="Y202" s="380">
        <f t="shared" si="61"/>
        <v>60.002628849434899</v>
      </c>
      <c r="Z202" s="380">
        <f t="shared" si="62"/>
        <v>60.490868136366082</v>
      </c>
      <c r="AA202" s="381">
        <f t="shared" si="63"/>
        <v>62.68690095827754</v>
      </c>
      <c r="AB202" s="193">
        <f t="shared" si="64"/>
        <v>45114</v>
      </c>
      <c r="AC202" s="420">
        <f>IF(OR(t&lt;Tnet,NoTnet),'2022'!Resal_s+('2022'!Salim-'2022'!Resal_s)*(1-EXP(('2022'!Tnet_s-t)/'2022'!Tau_j)),Resal_s+(Salim-Resal_s)*(1-EXP((Tnet_s-t)/Tau_j)))*Salcycl</f>
        <v>3.5031765621546182E-2</v>
      </c>
      <c r="AD202" s="227">
        <f>(INDEX(Models!$BJ202:$BT202,,AH202)*(1-AF202)+INDEX(Models!$BJ202:$BT202,,AH202+1)*AF202-ERP_i)*AE202*Ramure*Pc/MaxiM</f>
        <v>1.8033498725087225E-6</v>
      </c>
      <c r="AE202" s="301">
        <f t="shared" si="65"/>
        <v>0.5</v>
      </c>
      <c r="AF202" s="173">
        <f t="shared" si="66"/>
        <v>0.86979491350013438</v>
      </c>
      <c r="AG202" s="172">
        <f t="shared" si="67"/>
        <v>0</v>
      </c>
      <c r="AH202" s="172">
        <f t="shared" si="68"/>
        <v>6</v>
      </c>
      <c r="AI202" s="221">
        <f t="shared" si="69"/>
        <v>0.86979491350013438</v>
      </c>
      <c r="AJ202" s="261" t="b">
        <f t="shared" si="70"/>
        <v>0</v>
      </c>
      <c r="AK202" s="261" t="b">
        <f t="shared" si="71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5"/>
        <v>45115</v>
      </c>
      <c r="B203" s="406">
        <f>'2022'!Wh/'2022'!Env_an*'2023'!Env_an</f>
        <v>64.872685552309079</v>
      </c>
      <c r="C203" s="385"/>
      <c r="D203" s="388">
        <f t="shared" si="50"/>
        <v>65.401447610757174</v>
      </c>
      <c r="E203" s="380">
        <f t="shared" si="76"/>
        <v>65.738258835171251</v>
      </c>
      <c r="F203" s="380">
        <f t="shared" si="51"/>
        <v>65.738386218533648</v>
      </c>
      <c r="G203" s="110">
        <f t="shared" si="77"/>
        <v>1.0294757370422234</v>
      </c>
      <c r="H203" s="409" t="b">
        <f>Wh_hp&gt;='2022'!Maxi_hp</f>
        <v>1</v>
      </c>
      <c r="I203" s="385">
        <f>IF(H203,Wh_hp,'2022'!Maxi_hp)</f>
        <v>65.738386218533648</v>
      </c>
      <c r="J203" s="85">
        <f>IF(H203,An,'2022'!An_max)</f>
        <v>2023</v>
      </c>
      <c r="K203" s="193">
        <f t="shared" si="52"/>
        <v>45115</v>
      </c>
      <c r="L203" s="143">
        <f>IF(t&lt;Tvie,1-EXP((T0-t)*PertePVj)+'2022'!Pspv,1-EXP((T0-t)*PertePVj)+Pspv)</f>
        <v>8.0848678089676662E-3</v>
      </c>
      <c r="M203" s="836"/>
      <c r="N203" s="836"/>
      <c r="O203" s="48">
        <f>IF(t&lt;Tnet,'2022'!Resal+('2022'!Salim-'2022'!Resal)*(1-EXP(('2022'!Tnet-t)/('2022'!Tau_j))),Resal+(Salim-Resal)*(1-EXP((Tnet-t)/(Tau_j))))*Salcycl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1.9377318143491411E-6</v>
      </c>
      <c r="Q203" s="301">
        <f t="shared" si="53"/>
        <v>0.5</v>
      </c>
      <c r="R203" s="173">
        <f t="shared" si="54"/>
        <v>0.8735932050657369</v>
      </c>
      <c r="S203" s="802">
        <f t="shared" si="55"/>
        <v>0</v>
      </c>
      <c r="T203" s="172">
        <f t="shared" si="56"/>
        <v>6</v>
      </c>
      <c r="U203" s="247">
        <f t="shared" si="57"/>
        <v>0.8735932050657369</v>
      </c>
      <c r="V203" s="378">
        <f t="shared" si="58"/>
        <v>63.015264195243837</v>
      </c>
      <c r="W203" s="397">
        <f t="shared" si="59"/>
        <v>64.872685552309079</v>
      </c>
      <c r="X203" s="153">
        <f t="shared" si="60"/>
        <v>45115</v>
      </c>
      <c r="Y203" s="380">
        <f t="shared" si="61"/>
        <v>62.919197375372086</v>
      </c>
      <c r="Z203" s="380">
        <f t="shared" si="62"/>
        <v>63.432037009447008</v>
      </c>
      <c r="AA203" s="381">
        <f t="shared" si="63"/>
        <v>65.738258835171251</v>
      </c>
      <c r="AB203" s="193">
        <f t="shared" si="64"/>
        <v>45115</v>
      </c>
      <c r="AC203" s="420">
        <f>IF(OR(t&lt;Tnet,NoTnet),'2022'!Resal_s+('2022'!Salim-'2022'!Resal_s)*(1-EXP(('2022'!Tnet_s-t)/'2022'!Tau_j)),Resal_s+(Salim-Resal_s)*(1-EXP((Tnet_s-t)/Tau_j)))*Salcycl</f>
        <v>3.5081881792865144E-2</v>
      </c>
      <c r="AD203" s="227">
        <f>(INDEX(Models!$BJ203:$BT203,,AH203)*(1-AF203)+INDEX(Models!$BJ203:$BT203,,AH203+1)*AF203-ERP_i)*AE203*Ramure*Pc/MaxiM</f>
        <v>1.9377318143491411E-6</v>
      </c>
      <c r="AE203" s="301">
        <f t="shared" si="65"/>
        <v>0.5</v>
      </c>
      <c r="AF203" s="173">
        <f t="shared" si="66"/>
        <v>0.8735932050657369</v>
      </c>
      <c r="AG203" s="172">
        <f t="shared" si="67"/>
        <v>0</v>
      </c>
      <c r="AH203" s="172">
        <f t="shared" si="68"/>
        <v>6</v>
      </c>
      <c r="AI203" s="221">
        <f t="shared" si="69"/>
        <v>0.8735932050657369</v>
      </c>
      <c r="AJ203" s="261" t="b">
        <f t="shared" si="70"/>
        <v>0</v>
      </c>
      <c r="AK203" s="261" t="b">
        <f t="shared" si="71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5"/>
        <v>45116</v>
      </c>
      <c r="B204" s="406">
        <f>'2022'!Wh/'2022'!Env_an*'2023'!Env_an</f>
        <v>63.870445492426292</v>
      </c>
      <c r="C204" s="385"/>
      <c r="D204" s="388">
        <f t="shared" si="50"/>
        <v>64.391919998310129</v>
      </c>
      <c r="E204" s="380">
        <f t="shared" si="76"/>
        <v>64.728259626542538</v>
      </c>
      <c r="F204" s="380">
        <f t="shared" si="51"/>
        <v>64.728394543927067</v>
      </c>
      <c r="G204" s="110">
        <f t="shared" si="77"/>
        <v>1.0155672058317351</v>
      </c>
      <c r="H204" s="409" t="b">
        <f>Wh_hp&gt;='2022'!Maxi_hp</f>
        <v>1</v>
      </c>
      <c r="I204" s="385">
        <f>IF(H204,Wh_hp,'2022'!Maxi_hp)</f>
        <v>64.728394543927067</v>
      </c>
      <c r="J204" s="85">
        <f>IF(H204,An,'2022'!An_max)</f>
        <v>2023</v>
      </c>
      <c r="K204" s="193">
        <f t="shared" si="52"/>
        <v>45116</v>
      </c>
      <c r="L204" s="143">
        <f>IF(t&lt;Tvie,1-EXP((T0-t)*PertePVj)+'2022'!Pspv,1-EXP((T0-t)*PertePVj)+Pspv)</f>
        <v>8.098446294155015E-3</v>
      </c>
      <c r="M204" s="836"/>
      <c r="N204" s="836"/>
      <c r="O204" s="48">
        <f>IF(t&lt;Tnet,'2022'!Resal+('2022'!Salim-'2022'!Resal)*(1-EXP(('2022'!Tnet-t)/('2022'!Tau_j))),Resal+(Salim-Resal)*(1-EXP((Tnet-t)/(Tau_j))))*Salcycl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2.0843616696408085E-6</v>
      </c>
      <c r="Q204" s="301">
        <f t="shared" si="53"/>
        <v>0.5</v>
      </c>
      <c r="R204" s="173">
        <f t="shared" si="54"/>
        <v>0.87731130819118897</v>
      </c>
      <c r="S204" s="802">
        <f t="shared" si="55"/>
        <v>0</v>
      </c>
      <c r="T204" s="172">
        <f t="shared" si="56"/>
        <v>6</v>
      </c>
      <c r="U204" s="247">
        <f t="shared" si="57"/>
        <v>0.87731130819118897</v>
      </c>
      <c r="V204" s="378">
        <f t="shared" si="58"/>
        <v>62.89140209102883</v>
      </c>
      <c r="W204" s="397">
        <f t="shared" si="59"/>
        <v>63.870445492426292</v>
      </c>
      <c r="X204" s="153">
        <f t="shared" si="60"/>
        <v>45116</v>
      </c>
      <c r="Y204" s="380">
        <f t="shared" si="61"/>
        <v>61.94847387188463</v>
      </c>
      <c r="Z204" s="380">
        <f t="shared" si="62"/>
        <v>62.45425631247258</v>
      </c>
      <c r="AA204" s="381">
        <f t="shared" si="63"/>
        <v>64.728259626542538</v>
      </c>
      <c r="AB204" s="193">
        <f t="shared" si="64"/>
        <v>45116</v>
      </c>
      <c r="AC204" s="420">
        <f>IF(OR(t&lt;Tnet,NoTnet),'2022'!Resal_s+('2022'!Salim-'2022'!Resal_s)*(1-EXP(('2022'!Tnet_s-t)/'2022'!Tau_j)),Resal_s+(Salim-Resal_s)*(1-EXP((Tnet_s-t)/Tau_j)))*Salcycl</f>
        <v>3.513153802048901E-2</v>
      </c>
      <c r="AD204" s="227">
        <f>(INDEX(Models!$BJ204:$BT204,,AH204)*(1-AF204)+INDEX(Models!$BJ204:$BT204,,AH204+1)*AF204-ERP_i)*AE204*Ramure*Pc/MaxiM</f>
        <v>2.0843616696408085E-6</v>
      </c>
      <c r="AE204" s="301">
        <f t="shared" si="65"/>
        <v>0.5</v>
      </c>
      <c r="AF204" s="173">
        <f t="shared" si="66"/>
        <v>0.87731130819118897</v>
      </c>
      <c r="AG204" s="172">
        <f t="shared" si="67"/>
        <v>0</v>
      </c>
      <c r="AH204" s="172">
        <f t="shared" si="68"/>
        <v>6</v>
      </c>
      <c r="AI204" s="221">
        <f t="shared" si="69"/>
        <v>0.87731130819118897</v>
      </c>
      <c r="AJ204" s="261" t="b">
        <f t="shared" si="70"/>
        <v>0</v>
      </c>
      <c r="AK204" s="261" t="b">
        <f t="shared" si="71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5"/>
        <v>45117</v>
      </c>
      <c r="B205" s="406">
        <f>'2022'!Wh/'2022'!Env_an*'2023'!Env_an</f>
        <v>63.19810260844509</v>
      </c>
      <c r="C205" s="385"/>
      <c r="D205" s="388">
        <f t="shared" si="50"/>
        <v>63.714959930371855</v>
      </c>
      <c r="E205" s="380">
        <f t="shared" si="76"/>
        <v>64.052435038018956</v>
      </c>
      <c r="F205" s="380">
        <f t="shared" si="51"/>
        <v>64.052578735294119</v>
      </c>
      <c r="G205" s="110">
        <f t="shared" si="77"/>
        <v>1.0069050210726642</v>
      </c>
      <c r="H205" s="409" t="b">
        <f>Wh_hp&gt;='2022'!Maxi_hp</f>
        <v>1</v>
      </c>
      <c r="I205" s="385">
        <f>IF(H205,Wh_hp,'2022'!Maxi_hp)</f>
        <v>64.052578735294119</v>
      </c>
      <c r="J205" s="85">
        <f>IF(H205,An,'2022'!An_max)</f>
        <v>2023</v>
      </c>
      <c r="K205" s="193">
        <f t="shared" si="52"/>
        <v>45117</v>
      </c>
      <c r="L205" s="143">
        <f>IF(t&lt;Tvie,1-EXP((T0-t)*PertePVj)+'2022'!Pspv,1-EXP((T0-t)*PertePVj)+Pspv)</f>
        <v>8.1120245934642732E-3</v>
      </c>
      <c r="M205" s="836"/>
      <c r="N205" s="836"/>
      <c r="O205" s="48">
        <f>IF(t&lt;Tnet,'2022'!Resal+('2022'!Salim-'2022'!Resal)*(1-EXP(('2022'!Tnet-t)/('2022'!Tau_j))),Resal+(Salim-Resal)*(1-EXP((Tnet-t)/(Tau_j))))*Salcycl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2.2434268532342782E-6</v>
      </c>
      <c r="Q205" s="301">
        <f t="shared" si="53"/>
        <v>0.5</v>
      </c>
      <c r="R205" s="173">
        <f t="shared" si="54"/>
        <v>0.88094869583901758</v>
      </c>
      <c r="S205" s="802">
        <f t="shared" si="55"/>
        <v>0</v>
      </c>
      <c r="T205" s="172">
        <f t="shared" si="56"/>
        <v>6</v>
      </c>
      <c r="U205" s="247">
        <f t="shared" si="57"/>
        <v>0.88094869583901758</v>
      </c>
      <c r="V205" s="378">
        <f t="shared" si="58"/>
        <v>62.76471095666961</v>
      </c>
      <c r="W205" s="397">
        <f t="shared" si="59"/>
        <v>63.19810260844509</v>
      </c>
      <c r="X205" s="153">
        <f t="shared" si="60"/>
        <v>45117</v>
      </c>
      <c r="Y205" s="380">
        <f t="shared" si="61"/>
        <v>61.297707141831502</v>
      </c>
      <c r="Z205" s="380">
        <f t="shared" si="62"/>
        <v>61.799022330831257</v>
      </c>
      <c r="AA205" s="381">
        <f t="shared" si="63"/>
        <v>64.052435038018956</v>
      </c>
      <c r="AB205" s="193">
        <f t="shared" si="64"/>
        <v>45117</v>
      </c>
      <c r="AC205" s="420">
        <f>IF(OR(t&lt;Tnet,NoTnet),'2022'!Resal_s+('2022'!Salim-'2022'!Resal_s)*(1-EXP(('2022'!Tnet_s-t)/'2022'!Tau_j)),Resal_s+(Salim-Resal_s)*(1-EXP((Tnet_s-t)/Tau_j)))*Salcycl</f>
        <v>3.5180750050332429E-2</v>
      </c>
      <c r="AD205" s="227">
        <f>(INDEX(Models!$BJ205:$BT205,,AH205)*(1-AF205)+INDEX(Models!$BJ205:$BT205,,AH205+1)*AF205-ERP_i)*AE205*Ramure*Pc/MaxiM</f>
        <v>2.2434268532342782E-6</v>
      </c>
      <c r="AE205" s="301">
        <f t="shared" si="65"/>
        <v>0.5</v>
      </c>
      <c r="AF205" s="173">
        <f t="shared" si="66"/>
        <v>0.88094869583901758</v>
      </c>
      <c r="AG205" s="172">
        <f t="shared" si="67"/>
        <v>0</v>
      </c>
      <c r="AH205" s="172">
        <f t="shared" si="68"/>
        <v>6</v>
      </c>
      <c r="AI205" s="221">
        <f t="shared" si="69"/>
        <v>0.88094869583901758</v>
      </c>
      <c r="AJ205" s="261" t="b">
        <f t="shared" si="70"/>
        <v>0</v>
      </c>
      <c r="AK205" s="261" t="b">
        <f t="shared" si="71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5"/>
        <v>45118</v>
      </c>
      <c r="B206" s="406">
        <f>'2022'!Wh/'2022'!Env_an*'2023'!Env_an</f>
        <v>62.110385749395427</v>
      </c>
      <c r="C206" s="385"/>
      <c r="D206" s="388">
        <f t="shared" si="50"/>
        <v>62.61920452720549</v>
      </c>
      <c r="E206" s="380">
        <f t="shared" si="76"/>
        <v>62.955460832832898</v>
      </c>
      <c r="F206" s="380">
        <f t="shared" si="51"/>
        <v>62.955610784657772</v>
      </c>
      <c r="G206" s="110">
        <f t="shared" si="77"/>
        <v>0.99162717000951273</v>
      </c>
      <c r="H206" s="409" t="b">
        <f>Wh_hp&gt;='2022'!Maxi_hp</f>
        <v>0</v>
      </c>
      <c r="I206" s="385">
        <f>IF(H206,Wh_hp,'2022'!Maxi_hp)</f>
        <v>62.955611805473744</v>
      </c>
      <c r="J206" s="85">
        <f>IF(H206,An,'2022'!An_max)</f>
        <v>2022</v>
      </c>
      <c r="K206" s="193">
        <f t="shared" si="52"/>
        <v>45118</v>
      </c>
      <c r="L206" s="143">
        <f>IF(t&lt;Tvie,1-EXP((T0-t)*PertePVj)+'2022'!Pspv,1-EXP((T0-t)*PertePVj)+Pspv)</f>
        <v>8.1256027068979941E-3</v>
      </c>
      <c r="M206" s="836"/>
      <c r="N206" s="836"/>
      <c r="O206" s="48">
        <f>IF(t&lt;Tnet,'2022'!Resal+('2022'!Salim-'2022'!Resal)*(1-EXP(('2022'!Tnet-t)/('2022'!Tau_j))),Resal+(Salim-Resal)*(1-EXP((Tnet-t)/(Tau_j))))*Salcycl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2.4107006770873362E-6</v>
      </c>
      <c r="Q206" s="301">
        <f t="shared" si="53"/>
        <v>0.5</v>
      </c>
      <c r="R206" s="173">
        <f t="shared" si="54"/>
        <v>0.88450499689738193</v>
      </c>
      <c r="S206" s="802">
        <f t="shared" si="55"/>
        <v>0</v>
      </c>
      <c r="T206" s="172">
        <f t="shared" si="56"/>
        <v>6</v>
      </c>
      <c r="U206" s="247">
        <f t="shared" si="57"/>
        <v>0.88450499689738193</v>
      </c>
      <c r="V206" s="378">
        <f t="shared" si="58"/>
        <v>62.634814612692097</v>
      </c>
      <c r="W206" s="397">
        <f t="shared" si="59"/>
        <v>62.110385749395427</v>
      </c>
      <c r="X206" s="153">
        <f t="shared" si="60"/>
        <v>45118</v>
      </c>
      <c r="Y206" s="380">
        <f t="shared" si="61"/>
        <v>60.244039924640781</v>
      </c>
      <c r="Z206" s="380">
        <f t="shared" si="62"/>
        <v>60.737569282009076</v>
      </c>
      <c r="AA206" s="381">
        <f t="shared" si="63"/>
        <v>62.955460832832898</v>
      </c>
      <c r="AB206" s="193">
        <f t="shared" si="64"/>
        <v>45118</v>
      </c>
      <c r="AC206" s="420">
        <f>IF(OR(t&lt;Tnet,NoTnet),'2022'!Resal_s+('2022'!Salim-'2022'!Resal_s)*(1-EXP(('2022'!Tnet_s-t)/'2022'!Tau_j)),Resal_s+(Salim-Resal_s)*(1-EXP((Tnet_s-t)/Tau_j)))*Salcycl</f>
        <v>3.5229534046507013E-2</v>
      </c>
      <c r="AD206" s="227">
        <f>(INDEX(Models!$BJ206:$BT206,,AH206)*(1-AF206)+INDEX(Models!$BJ206:$BT206,,AH206+1)*AF206-ERP_i)*AE206*Ramure*Pc/MaxiM</f>
        <v>2.4107006770873362E-6</v>
      </c>
      <c r="AE206" s="301">
        <f t="shared" si="65"/>
        <v>0.5</v>
      </c>
      <c r="AF206" s="173">
        <f t="shared" si="66"/>
        <v>0.88450499689738193</v>
      </c>
      <c r="AG206" s="172">
        <f t="shared" si="67"/>
        <v>0</v>
      </c>
      <c r="AH206" s="172">
        <f t="shared" si="68"/>
        <v>6</v>
      </c>
      <c r="AI206" s="221">
        <f t="shared" si="69"/>
        <v>0.88450499689738193</v>
      </c>
      <c r="AJ206" s="261" t="b">
        <f t="shared" si="70"/>
        <v>0</v>
      </c>
      <c r="AK206" s="261" t="b">
        <f t="shared" si="71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5"/>
        <v>45119</v>
      </c>
      <c r="B207" s="406">
        <f>'2022'!Wh/'2022'!Env_an*'2023'!Env_an</f>
        <v>61.136328391992294</v>
      </c>
      <c r="C207" s="385"/>
      <c r="D207" s="388">
        <f t="shared" ref="D207:D270" si="78">Wh/(1-Ppv)</f>
        <v>61.638011299911078</v>
      </c>
      <c r="E207" s="380">
        <f t="shared" si="76"/>
        <v>61.973505923675141</v>
      </c>
      <c r="F207" s="380">
        <f t="shared" ref="F207:F270" si="79">Wh_sa/(1-Pvg*MEDIAN((-Sdif+Wh/Env_an)/Csdif,0,1))</f>
        <v>61.973660934038513</v>
      </c>
      <c r="G207" s="110">
        <f t="shared" si="77"/>
        <v>0.97815772114714872</v>
      </c>
      <c r="H207" s="409" t="b">
        <f>Wh_hp&gt;='2022'!Maxi_hp</f>
        <v>0</v>
      </c>
      <c r="I207" s="385">
        <f>IF(H207,Wh_hp,'2022'!Maxi_hp)</f>
        <v>61.973663730586807</v>
      </c>
      <c r="J207" s="85">
        <f>IF(H207,An,'2022'!An_max)</f>
        <v>2022</v>
      </c>
      <c r="K207" s="193">
        <f t="shared" ref="K207:K270" si="80">t</f>
        <v>45119</v>
      </c>
      <c r="L207" s="143">
        <f>IF(t&lt;Tvie,1-EXP((T0-t)*PertePVj)+'2022'!Pspv,1-EXP((T0-t)*PertePVj)+Pspv)</f>
        <v>8.1391806344587314E-3</v>
      </c>
      <c r="M207" s="836"/>
      <c r="N207" s="836"/>
      <c r="O207" s="48">
        <f>IF(t&lt;Tnet,'2022'!Resal+('2022'!Salim-'2022'!Resal)*(1-EXP(('2022'!Tnet-t)/('2022'!Tau_j))),Resal+(Salim-Resal)*(1-EXP((Tnet-t)/(Tau_j))))*Salcycl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2.5817896851819009E-6</v>
      </c>
      <c r="Q207" s="301">
        <f t="shared" ref="Q207:Q270" si="81">IF(OR(t&lt;Ttai,Notai),Dd+PousD*Croivg,Dens+PousD*(Croivg-Croi_tai))</f>
        <v>0.5</v>
      </c>
      <c r="R207" s="173">
        <f t="shared" ref="R207:R270" si="82">(Hp_vg-S207)/(INDEX(Echel_vg,T207+1)-S207)</f>
        <v>0.88797999044410014</v>
      </c>
      <c r="S207" s="802">
        <f t="shared" ref="S207:S270" si="83">INDEX(Echel_vg,T207)</f>
        <v>0</v>
      </c>
      <c r="T207" s="172">
        <f t="shared" ref="T207:T270" si="84">MIN(MATCH(Hp_vg,Echel_vg),10)</f>
        <v>6</v>
      </c>
      <c r="U207" s="247">
        <f t="shared" ref="U207:U270" si="85">IF(OR(t&lt;Ttai,Notai),Hdd+PousH*Croivg,Hdtf+PousH*(Croivg-Croi_tai))</f>
        <v>0.88797999044410014</v>
      </c>
      <c r="V207" s="378">
        <f t="shared" ref="V207:V270" si="86">MaxiM*(1-Ppv)*(1-Pvg)*(1-Psa)</f>
        <v>62.501498628607408</v>
      </c>
      <c r="W207" s="397">
        <f t="shared" ref="W207:W270" si="87">Wh*(A207&gt;Tmaj)</f>
        <v>61.136328391992294</v>
      </c>
      <c r="X207" s="153">
        <f t="shared" ref="X207:X270" si="88">t</f>
        <v>45119</v>
      </c>
      <c r="Y207" s="380">
        <f t="shared" ref="Y207:Y270" si="89">Wh_pvt_s*(1-Ppv)</f>
        <v>59.300591472187008</v>
      </c>
      <c r="Z207" s="380">
        <f t="shared" ref="Z207:Z270" si="90">Wh_sa_s*(1-Psa_s)</f>
        <v>59.78721037707642</v>
      </c>
      <c r="AA207" s="381">
        <f t="shared" ref="AA207:AA270" si="91">Wh_hp*(1-Pvg_s*MEDIAN((-Sdif+Wh/Env_an)/Csdif,0,1))</f>
        <v>61.973505923675141</v>
      </c>
      <c r="AB207" s="193">
        <f t="shared" ref="AB207:AB270" si="92">t</f>
        <v>45119</v>
      </c>
      <c r="AC207" s="420">
        <f>IF(OR(t&lt;Tnet,NoTnet),'2022'!Resal_s+('2022'!Salim-'2022'!Resal_s)*(1-EXP(('2022'!Tnet_s-t)/'2022'!Tau_j)),Resal_s+(Salim-Resal_s)*(1-EXP((Tnet_s-t)/Tau_j)))*Salcycl</f>
        <v>3.5277906486221769E-2</v>
      </c>
      <c r="AD207" s="227">
        <f>(INDEX(Models!$BJ207:$BT207,,AH207)*(1-AF207)+INDEX(Models!$BJ207:$BT207,,AH207+1)*AF207-ERP_i)*AE207*Ramure*Pc/MaxiM</f>
        <v>2.5817896851819009E-6</v>
      </c>
      <c r="AE207" s="301">
        <f t="shared" ref="AE207:AE270" si="93">IF(OR(t&lt;Ttai,Notai),Dd_s+PousD*Croivg,Dens_s+PousD*(Croivg-Croi_tai))</f>
        <v>0.5</v>
      </c>
      <c r="AF207" s="173">
        <f t="shared" ref="AF207:AF270" si="94">(Hp_vg_s-AG207)/(INDEX(Echel_vg,AH207+1)-AG207)</f>
        <v>0.88797999044410014</v>
      </c>
      <c r="AG207" s="172">
        <f t="shared" ref="AG207:AG270" si="95">INDEX(Echel_vg,AH207)</f>
        <v>0</v>
      </c>
      <c r="AH207" s="172">
        <f t="shared" ref="AH207:AH270" si="96">MIN(MATCH(Hp_vg_s,Echel_vg),10)</f>
        <v>6</v>
      </c>
      <c r="AI207" s="221">
        <f t="shared" ref="AI207:AI270" si="97">IF(OR(t&lt;Ttai,Notai),Hdd_s+PousH*Croivg,Hdtai_s+PousH*(Croivg-Croi_tai))</f>
        <v>0.88797999044410014</v>
      </c>
      <c r="AJ207" s="261" t="b">
        <f t="shared" ref="AJ207:AJ270" si="98">t&lt;Tnet</f>
        <v>0</v>
      </c>
      <c r="AK207" s="261" t="b">
        <f t="shared" ref="AK207:AK270" si="99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00">A207+1</f>
        <v>45120</v>
      </c>
      <c r="B208" s="406">
        <f>'2022'!Wh/'2022'!Env_an*'2023'!Env_an</f>
        <v>59.923919978525873</v>
      </c>
      <c r="C208" s="385"/>
      <c r="D208" s="388">
        <f t="shared" si="78"/>
        <v>60.416480949645546</v>
      </c>
      <c r="E208" s="380">
        <f t="shared" si="76"/>
        <v>60.74973883054885</v>
      </c>
      <c r="F208" s="380">
        <f t="shared" si="79"/>
        <v>60.749896937865024</v>
      </c>
      <c r="G208" s="110">
        <f t="shared" si="77"/>
        <v>0.96086498380656493</v>
      </c>
      <c r="H208" s="409" t="b">
        <f>Wh_hp&gt;='2022'!Maxi_hp</f>
        <v>0</v>
      </c>
      <c r="I208" s="385">
        <f>IF(H208,Wh_hp,'2022'!Maxi_hp)</f>
        <v>60.749902162317959</v>
      </c>
      <c r="J208" s="85">
        <f>IF(H208,An,'2022'!An_max)</f>
        <v>2022</v>
      </c>
      <c r="K208" s="193">
        <f t="shared" si="80"/>
        <v>45120</v>
      </c>
      <c r="L208" s="143">
        <f>IF(t&lt;Tvie,1-EXP((T0-t)*PertePVj)+'2022'!Pspv,1-EXP((T0-t)*PertePVj)+Pspv)</f>
        <v>8.1527583761490385E-3</v>
      </c>
      <c r="M208" s="836"/>
      <c r="N208" s="836"/>
      <c r="O208" s="48">
        <f>IF(t&lt;Tnet,'2022'!Resal+('2022'!Salim-'2022'!Resal)*(1-EXP(('2022'!Tnet-t)/('2022'!Tau_j))),Resal+(Salim-Resal)*(1-EXP((Tnet-t)/(Tau_j))))*Salcycl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2.7567134343107963E-6</v>
      </c>
      <c r="Q208" s="301">
        <f t="shared" si="81"/>
        <v>0.5</v>
      </c>
      <c r="R208" s="173">
        <f t="shared" si="82"/>
        <v>0.89137359966144558</v>
      </c>
      <c r="S208" s="802">
        <f t="shared" si="83"/>
        <v>0</v>
      </c>
      <c r="T208" s="172">
        <f t="shared" si="84"/>
        <v>6</v>
      </c>
      <c r="U208" s="247">
        <f t="shared" si="85"/>
        <v>0.89137359966144558</v>
      </c>
      <c r="V208" s="378">
        <f t="shared" si="86"/>
        <v>62.364548352740883</v>
      </c>
      <c r="W208" s="397">
        <f t="shared" si="87"/>
        <v>59.923919978525873</v>
      </c>
      <c r="X208" s="153">
        <f t="shared" si="88"/>
        <v>45120</v>
      </c>
      <c r="Y208" s="380">
        <f t="shared" si="89"/>
        <v>58.125918789267551</v>
      </c>
      <c r="Z208" s="380">
        <f t="shared" si="90"/>
        <v>58.603700600209237</v>
      </c>
      <c r="AA208" s="381">
        <f t="shared" si="91"/>
        <v>60.74973883054885</v>
      </c>
      <c r="AB208" s="193">
        <f t="shared" si="92"/>
        <v>45120</v>
      </c>
      <c r="AC208" s="420">
        <f>IF(OR(t&lt;Tnet,NoTnet),'2022'!Resal_s+('2022'!Salim-'2022'!Resal_s)*(1-EXP(('2022'!Tnet_s-t)/'2022'!Tau_j)),Resal_s+(Salim-Resal_s)*(1-EXP((Tnet_s-t)/Tau_j)))*Salcycl</f>
        <v>3.5325884055660249E-2</v>
      </c>
      <c r="AD208" s="227">
        <f>(INDEX(Models!$BJ208:$BT208,,AH208)*(1-AF208)+INDEX(Models!$BJ208:$BT208,,AH208+1)*AF208-ERP_i)*AE208*Ramure*Pc/MaxiM</f>
        <v>2.7567134343107963E-6</v>
      </c>
      <c r="AE208" s="301">
        <f t="shared" si="93"/>
        <v>0.5</v>
      </c>
      <c r="AF208" s="173">
        <f t="shared" si="94"/>
        <v>0.89137359966144558</v>
      </c>
      <c r="AG208" s="172">
        <f t="shared" si="95"/>
        <v>0</v>
      </c>
      <c r="AH208" s="172">
        <f t="shared" si="96"/>
        <v>6</v>
      </c>
      <c r="AI208" s="221">
        <f t="shared" si="97"/>
        <v>0.89137359966144558</v>
      </c>
      <c r="AJ208" s="261" t="b">
        <f t="shared" si="98"/>
        <v>0</v>
      </c>
      <c r="AK208" s="261" t="b">
        <f t="shared" si="99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00"/>
        <v>45121</v>
      </c>
      <c r="B209" s="406">
        <f>'2022'!Wh/'2022'!Env_an*'2023'!Env_an</f>
        <v>59.762513418072352</v>
      </c>
      <c r="C209" s="385"/>
      <c r="D209" s="388">
        <f t="shared" si="78"/>
        <v>60.25457249853271</v>
      </c>
      <c r="E209" s="380">
        <f t="shared" si="76"/>
        <v>60.591331707479625</v>
      </c>
      <c r="F209" s="380">
        <f t="shared" si="79"/>
        <v>60.591499523009077</v>
      </c>
      <c r="G209" s="110">
        <f t="shared" si="77"/>
        <v>0.96044523630549661</v>
      </c>
      <c r="H209" s="409" t="b">
        <f>Wh_hp&gt;='2022'!Maxi_hp</f>
        <v>0</v>
      </c>
      <c r="I209" s="385">
        <f>IF(H209,Wh_hp,'2022'!Maxi_hp)</f>
        <v>60.591505110474671</v>
      </c>
      <c r="J209" s="85">
        <f>IF(H209,An,'2022'!An_max)</f>
        <v>2022</v>
      </c>
      <c r="K209" s="193">
        <f t="shared" si="80"/>
        <v>45121</v>
      </c>
      <c r="L209" s="143">
        <f>IF(t&lt;Tvie,1-EXP((T0-t)*PertePVj)+'2022'!Pspv,1-EXP((T0-t)*PertePVj)+Pspv)</f>
        <v>8.16633593197158E-3</v>
      </c>
      <c r="M209" s="836"/>
      <c r="N209" s="836"/>
      <c r="O209" s="48">
        <f>IF(t&lt;Tnet,'2022'!Resal+('2022'!Salim-'2022'!Resal)*(1-EXP(('2022'!Tnet-t)/('2022'!Tau_j))),Resal+(Salim-Resal)*(1-EXP((Tnet-t)/(Tau_j))))*Salcycl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2.9354965215452288E-6</v>
      </c>
      <c r="Q209" s="301">
        <f t="shared" si="81"/>
        <v>0.5</v>
      </c>
      <c r="R209" s="173">
        <f t="shared" si="82"/>
        <v>0.8946858854595785</v>
      </c>
      <c r="S209" s="802">
        <f t="shared" si="83"/>
        <v>0</v>
      </c>
      <c r="T209" s="172">
        <f t="shared" si="84"/>
        <v>6</v>
      </c>
      <c r="U209" s="247">
        <f t="shared" si="85"/>
        <v>0.8946858854595785</v>
      </c>
      <c r="V209" s="378">
        <f t="shared" si="86"/>
        <v>62.22374920076868</v>
      </c>
      <c r="W209" s="397">
        <f t="shared" si="87"/>
        <v>59.762513418072352</v>
      </c>
      <c r="X209" s="153">
        <f t="shared" si="88"/>
        <v>45121</v>
      </c>
      <c r="Y209" s="380">
        <f t="shared" si="89"/>
        <v>57.970699186919219</v>
      </c>
      <c r="Z209" s="380">
        <f t="shared" si="90"/>
        <v>58.448005232198987</v>
      </c>
      <c r="AA209" s="381">
        <f t="shared" si="91"/>
        <v>60.591331707479625</v>
      </c>
      <c r="AB209" s="193">
        <f t="shared" si="92"/>
        <v>45121</v>
      </c>
      <c r="AC209" s="420">
        <f>IF(OR(t&lt;Tnet,NoTnet),'2022'!Resal_s+('2022'!Salim-'2022'!Resal_s)*(1-EXP(('2022'!Tnet_s-t)/'2022'!Tau_j)),Resal_s+(Salim-Resal_s)*(1-EXP((Tnet_s-t)/Tau_j)))*Salcycl</f>
        <v>3.53734835475824E-2</v>
      </c>
      <c r="AD209" s="227">
        <f>(INDEX(Models!$BJ209:$BT209,,AH209)*(1-AF209)+INDEX(Models!$BJ209:$BT209,,AH209+1)*AF209-ERP_i)*AE209*Ramure*Pc/MaxiM</f>
        <v>2.9354965215452288E-6</v>
      </c>
      <c r="AE209" s="301">
        <f t="shared" si="93"/>
        <v>0.5</v>
      </c>
      <c r="AF209" s="173">
        <f t="shared" si="94"/>
        <v>0.8946858854595785</v>
      </c>
      <c r="AG209" s="172">
        <f t="shared" si="95"/>
        <v>0</v>
      </c>
      <c r="AH209" s="172">
        <f t="shared" si="96"/>
        <v>6</v>
      </c>
      <c r="AI209" s="221">
        <f t="shared" si="97"/>
        <v>0.8946858854595785</v>
      </c>
      <c r="AJ209" s="261" t="b">
        <f t="shared" si="98"/>
        <v>0</v>
      </c>
      <c r="AK209" s="261" t="b">
        <f t="shared" si="99"/>
        <v>0</v>
      </c>
      <c r="AL209" s="261"/>
      <c r="AM209" s="261"/>
      <c r="AN209" s="75"/>
    </row>
    <row r="210" spans="1:40" s="6" customFormat="1" ht="11.25" x14ac:dyDescent="0.2">
      <c r="A210" s="56">
        <f t="shared" si="100"/>
        <v>45122</v>
      </c>
      <c r="B210" s="406">
        <f>'2022'!Wh/'2022'!Env_an*'2023'!Env_an</f>
        <v>57.125015899624614</v>
      </c>
      <c r="C210" s="385"/>
      <c r="D210" s="388">
        <f t="shared" si="78"/>
        <v>57.596147391814768</v>
      </c>
      <c r="E210" s="380">
        <f t="shared" si="76"/>
        <v>57.922243871526625</v>
      </c>
      <c r="F210" s="380">
        <f t="shared" si="79"/>
        <v>57.922403893720485</v>
      </c>
      <c r="G210" s="110">
        <f t="shared" si="77"/>
        <v>0.92020006604388471</v>
      </c>
      <c r="H210" s="409" t="b">
        <f>Wh_hp&gt;='2022'!Maxi_hp</f>
        <v>0</v>
      </c>
      <c r="I210" s="385">
        <f>IF(H210,Wh_hp,'2022'!Maxi_hp)</f>
        <v>57.922415298819374</v>
      </c>
      <c r="J210" s="85">
        <f>IF(H210,An,'2022'!An_max)</f>
        <v>2022</v>
      </c>
      <c r="K210" s="193">
        <f t="shared" si="80"/>
        <v>45122</v>
      </c>
      <c r="L210" s="143">
        <f>IF(t&lt;Tvie,1-EXP((T0-t)*PertePVj)+'2022'!Pspv,1-EXP((T0-t)*PertePVj)+Pspv)</f>
        <v>8.1799133019286874E-3</v>
      </c>
      <c r="M210" s="836"/>
      <c r="N210" s="836"/>
      <c r="O210" s="48">
        <f>IF(t&lt;Tnet,'2022'!Resal+('2022'!Salim-'2022'!Resal)*(1-EXP(('2022'!Tnet-t)/('2022'!Tau_j))),Resal+(Salim-Resal)*(1-EXP((Tnet-t)/(Tau_j))))*Salcycl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3.1181689696097486E-6</v>
      </c>
      <c r="Q210" s="301">
        <f t="shared" si="81"/>
        <v>0.5</v>
      </c>
      <c r="R210" s="173">
        <f t="shared" si="82"/>
        <v>0.89791703986473093</v>
      </c>
      <c r="S210" s="802">
        <f t="shared" si="83"/>
        <v>0</v>
      </c>
      <c r="T210" s="172">
        <f t="shared" si="84"/>
        <v>6</v>
      </c>
      <c r="U210" s="247">
        <f t="shared" si="85"/>
        <v>0.89791703986473093</v>
      </c>
      <c r="V210" s="378">
        <f t="shared" si="86"/>
        <v>62.078886647941964</v>
      </c>
      <c r="W210" s="397">
        <f t="shared" si="87"/>
        <v>57.125015899624614</v>
      </c>
      <c r="X210" s="153">
        <f t="shared" si="88"/>
        <v>45122</v>
      </c>
      <c r="Y210" s="380">
        <f t="shared" si="89"/>
        <v>55.413579554617549</v>
      </c>
      <c r="Z210" s="380">
        <f t="shared" si="90"/>
        <v>55.870596187558846</v>
      </c>
      <c r="AA210" s="381">
        <f t="shared" si="91"/>
        <v>57.922243871526625</v>
      </c>
      <c r="AB210" s="193">
        <f t="shared" si="92"/>
        <v>45122</v>
      </c>
      <c r="AC210" s="420">
        <f>IF(OR(t&lt;Tnet,NoTnet),'2022'!Resal_s+('2022'!Salim-'2022'!Resal_s)*(1-EXP(('2022'!Tnet_s-t)/'2022'!Tau_j)),Resal_s+(Salim-Resal_s)*(1-EXP((Tnet_s-t)/Tau_j)))*Salcycl</f>
        <v>3.5420721761373633E-2</v>
      </c>
      <c r="AD210" s="227">
        <f>(INDEX(Models!$BJ210:$BT210,,AH210)*(1-AF210)+INDEX(Models!$BJ210:$BT210,,AH210+1)*AF210-ERP_i)*AE210*Ramure*Pc/MaxiM</f>
        <v>3.1181689696097486E-6</v>
      </c>
      <c r="AE210" s="301">
        <f t="shared" si="93"/>
        <v>0.5</v>
      </c>
      <c r="AF210" s="173">
        <f t="shared" si="94"/>
        <v>0.89791703986473093</v>
      </c>
      <c r="AG210" s="172">
        <f t="shared" si="95"/>
        <v>0</v>
      </c>
      <c r="AH210" s="172">
        <f t="shared" si="96"/>
        <v>6</v>
      </c>
      <c r="AI210" s="221">
        <f t="shared" si="97"/>
        <v>0.89791703986473093</v>
      </c>
      <c r="AJ210" s="261" t="b">
        <f t="shared" si="98"/>
        <v>0</v>
      </c>
      <c r="AK210" s="261" t="b">
        <f t="shared" si="99"/>
        <v>0</v>
      </c>
      <c r="AL210" s="261"/>
      <c r="AM210" s="261"/>
      <c r="AN210" s="75"/>
    </row>
    <row r="211" spans="1:40" s="6" customFormat="1" ht="11.25" x14ac:dyDescent="0.2">
      <c r="A211" s="56">
        <f t="shared" si="100"/>
        <v>45123</v>
      </c>
      <c r="B211" s="406">
        <f>'2022'!Wh/'2022'!Env_an*'2023'!Env_an</f>
        <v>58.299211977893194</v>
      </c>
      <c r="C211" s="385"/>
      <c r="D211" s="388">
        <f t="shared" si="78"/>
        <v>58.78083216701414</v>
      </c>
      <c r="E211" s="380">
        <f t="shared" si="76"/>
        <v>59.117911858201822</v>
      </c>
      <c r="F211" s="380">
        <f t="shared" si="79"/>
        <v>59.118090867768998</v>
      </c>
      <c r="G211" s="110">
        <f t="shared" si="77"/>
        <v>0.94137630757633672</v>
      </c>
      <c r="H211" s="409" t="b">
        <f>Wh_hp&gt;='2022'!Maxi_hp</f>
        <v>0</v>
      </c>
      <c r="I211" s="385">
        <f>IF(H211,Wh_hp,'2022'!Maxi_hp)</f>
        <v>59.11809989916042</v>
      </c>
      <c r="J211" s="85">
        <f>IF(H211,An,'2022'!An_max)</f>
        <v>2022</v>
      </c>
      <c r="K211" s="193">
        <f t="shared" si="80"/>
        <v>45123</v>
      </c>
      <c r="L211" s="143">
        <f>IF(t&lt;Tvie,1-EXP((T0-t)*PertePVj)+'2022'!Pspv,1-EXP((T0-t)*PertePVj)+Pspv)</f>
        <v>8.1934904860230251E-3</v>
      </c>
      <c r="M211" s="836"/>
      <c r="N211" s="836"/>
      <c r="O211" s="48">
        <f>IF(t&lt;Tnet,'2022'!Resal+('2022'!Salim-'2022'!Resal)*(1-EXP(('2022'!Tnet-t)/('2022'!Tau_j))),Resal+(Salim-Resal)*(1-EXP((Tnet-t)/(Tau_j))))*Salcycl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3.3047665966677182E-6</v>
      </c>
      <c r="Q211" s="301">
        <f t="shared" si="81"/>
        <v>0.5</v>
      </c>
      <c r="R211" s="173">
        <f t="shared" si="82"/>
        <v>0.90106737922607227</v>
      </c>
      <c r="S211" s="802">
        <f t="shared" si="83"/>
        <v>0</v>
      </c>
      <c r="T211" s="172">
        <f t="shared" si="84"/>
        <v>6</v>
      </c>
      <c r="U211" s="247">
        <f t="shared" si="85"/>
        <v>0.90106737922607227</v>
      </c>
      <c r="V211" s="378">
        <f t="shared" si="86"/>
        <v>61.929746237883222</v>
      </c>
      <c r="W211" s="397">
        <f t="shared" si="87"/>
        <v>58.299211977893194</v>
      </c>
      <c r="X211" s="153">
        <f t="shared" si="88"/>
        <v>45123</v>
      </c>
      <c r="Y211" s="380">
        <f t="shared" si="89"/>
        <v>56.553938324632973</v>
      </c>
      <c r="Z211" s="380">
        <f t="shared" si="90"/>
        <v>57.021140496795653</v>
      </c>
      <c r="AA211" s="381">
        <f t="shared" si="91"/>
        <v>59.117911858201822</v>
      </c>
      <c r="AB211" s="193">
        <f t="shared" si="92"/>
        <v>45123</v>
      </c>
      <c r="AC211" s="420">
        <f>IF(OR(t&lt;Tnet,NoTnet),'2022'!Resal_s+('2022'!Salim-'2022'!Resal_s)*(1-EXP(('2022'!Tnet_s-t)/'2022'!Tau_j)),Resal_s+(Salim-Resal_s)*(1-EXP((Tnet_s-t)/Tau_j)))*Salcycl</f>
        <v>3.5467615406231098E-2</v>
      </c>
      <c r="AD211" s="227">
        <f>(INDEX(Models!$BJ211:$BT211,,AH211)*(1-AF211)+INDEX(Models!$BJ211:$BT211,,AH211+1)*AF211-ERP_i)*AE211*Ramure*Pc/MaxiM</f>
        <v>3.3047665966677182E-6</v>
      </c>
      <c r="AE211" s="301">
        <f t="shared" si="93"/>
        <v>0.5</v>
      </c>
      <c r="AF211" s="173">
        <f t="shared" si="94"/>
        <v>0.90106737922607227</v>
      </c>
      <c r="AG211" s="172">
        <f t="shared" si="95"/>
        <v>0</v>
      </c>
      <c r="AH211" s="172">
        <f t="shared" si="96"/>
        <v>6</v>
      </c>
      <c r="AI211" s="221">
        <f t="shared" si="97"/>
        <v>0.90106737922607227</v>
      </c>
      <c r="AJ211" s="261" t="b">
        <f t="shared" si="98"/>
        <v>0</v>
      </c>
      <c r="AK211" s="261" t="b">
        <f t="shared" si="99"/>
        <v>0</v>
      </c>
      <c r="AL211" s="261"/>
      <c r="AM211" s="261"/>
      <c r="AN211" s="75"/>
    </row>
    <row r="212" spans="1:40" s="6" customFormat="1" ht="11.25" x14ac:dyDescent="0.2">
      <c r="A212" s="56">
        <f t="shared" si="100"/>
        <v>45124</v>
      </c>
      <c r="B212" s="406">
        <f>'2022'!Wh/'2022'!Env_an*'2023'!Env_an</f>
        <v>58.719104505297551</v>
      </c>
      <c r="C212" s="385"/>
      <c r="D212" s="388">
        <f t="shared" si="78"/>
        <v>59.205003968270859</v>
      </c>
      <c r="E212" s="380">
        <f t="shared" si="76"/>
        <v>59.548817200375993</v>
      </c>
      <c r="F212" s="380">
        <f t="shared" si="79"/>
        <v>59.549010515282653</v>
      </c>
      <c r="G212" s="110">
        <f t="shared" si="77"/>
        <v>0.95051447048498783</v>
      </c>
      <c r="H212" s="409" t="b">
        <f>Wh_hp&gt;='2022'!Maxi_hp</f>
        <v>0</v>
      </c>
      <c r="I212" s="385">
        <f>IF(H212,Wh_hp,'2022'!Maxi_hp)</f>
        <v>59.549018604675425</v>
      </c>
      <c r="J212" s="85">
        <f>IF(H212,An,'2022'!An_max)</f>
        <v>2022</v>
      </c>
      <c r="K212" s="193">
        <f t="shared" si="80"/>
        <v>45124</v>
      </c>
      <c r="L212" s="143">
        <f>IF(t&lt;Tvie,1-EXP((T0-t)*PertePVj)+'2022'!Pspv,1-EXP((T0-t)*PertePVj)+Pspv)</f>
        <v>8.2070674842570357E-3</v>
      </c>
      <c r="M212" s="836"/>
      <c r="N212" s="836"/>
      <c r="O212" s="48">
        <f>IF(t&lt;Tnet,'2022'!Resal+('2022'!Salim-'2022'!Resal)*(1-EXP(('2022'!Tnet-t)/('2022'!Tau_j))),Resal+(Salim-Resal)*(1-EXP((Tnet-t)/(Tau_j))))*Salcycl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3.4932664764637785E-6</v>
      </c>
      <c r="Q212" s="301">
        <f t="shared" si="81"/>
        <v>0.5</v>
      </c>
      <c r="R212" s="173">
        <f t="shared" si="82"/>
        <v>0.90413733729264867</v>
      </c>
      <c r="S212" s="802">
        <f t="shared" si="83"/>
        <v>0</v>
      </c>
      <c r="T212" s="172">
        <f t="shared" si="84"/>
        <v>6</v>
      </c>
      <c r="U212" s="247">
        <f t="shared" si="85"/>
        <v>0.90413733729264867</v>
      </c>
      <c r="V212" s="378">
        <f t="shared" si="86"/>
        <v>61.776113702487883</v>
      </c>
      <c r="W212" s="397">
        <f t="shared" si="87"/>
        <v>58.719104505297551</v>
      </c>
      <c r="X212" s="153">
        <f t="shared" si="88"/>
        <v>45124</v>
      </c>
      <c r="Y212" s="380">
        <f t="shared" si="89"/>
        <v>56.962625097917574</v>
      </c>
      <c r="Z212" s="380">
        <f t="shared" si="90"/>
        <v>57.433989727501299</v>
      </c>
      <c r="AA212" s="381">
        <f t="shared" si="91"/>
        <v>59.548817200375993</v>
      </c>
      <c r="AB212" s="193">
        <f t="shared" si="92"/>
        <v>45124</v>
      </c>
      <c r="AC212" s="420">
        <f>IF(OR(t&lt;Tnet,NoTnet),'2022'!Resal_s+('2022'!Salim-'2022'!Resal_s)*(1-EXP(('2022'!Tnet_s-t)/'2022'!Tau_j)),Resal_s+(Salim-Resal_s)*(1-EXP((Tnet_s-t)/Tau_j)))*Salcycl</f>
        <v>3.5514181008138267E-2</v>
      </c>
      <c r="AD212" s="227">
        <f>(INDEX(Models!$BJ212:$BT212,,AH212)*(1-AF212)+INDEX(Models!$BJ212:$BT212,,AH212+1)*AF212-ERP_i)*AE212*Ramure*Pc/MaxiM</f>
        <v>3.4932664764637785E-6</v>
      </c>
      <c r="AE212" s="301">
        <f t="shared" si="93"/>
        <v>0.5</v>
      </c>
      <c r="AF212" s="173">
        <f t="shared" si="94"/>
        <v>0.90413733729264867</v>
      </c>
      <c r="AG212" s="172">
        <f t="shared" si="95"/>
        <v>0</v>
      </c>
      <c r="AH212" s="172">
        <f t="shared" si="96"/>
        <v>6</v>
      </c>
      <c r="AI212" s="221">
        <f t="shared" si="97"/>
        <v>0.90413733729264867</v>
      </c>
      <c r="AJ212" s="261" t="b">
        <f t="shared" si="98"/>
        <v>0</v>
      </c>
      <c r="AK212" s="261" t="b">
        <f t="shared" si="99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00"/>
        <v>45125</v>
      </c>
      <c r="B213" s="406">
        <f>'2022'!Wh/'2022'!Env_an*'2023'!Env_an</f>
        <v>60.510755721962674</v>
      </c>
      <c r="C213" s="385"/>
      <c r="D213" s="388">
        <f t="shared" si="78"/>
        <v>61.0123162717464</v>
      </c>
      <c r="E213" s="380">
        <f t="shared" si="76"/>
        <v>61.371051654424022</v>
      </c>
      <c r="F213" s="380">
        <f t="shared" si="79"/>
        <v>61.371271522789947</v>
      </c>
      <c r="G213" s="110">
        <f t="shared" si="77"/>
        <v>0.98203399719301698</v>
      </c>
      <c r="H213" s="409" t="b">
        <f>Wh_hp&gt;='2022'!Maxi_hp</f>
        <v>0</v>
      </c>
      <c r="I213" s="385">
        <f>IF(H213,Wh_hp,'2022'!Maxi_hp)</f>
        <v>61.371274698126008</v>
      </c>
      <c r="J213" s="85">
        <f>IF(H213,An,'2022'!An_max)</f>
        <v>2022</v>
      </c>
      <c r="K213" s="193">
        <f t="shared" si="80"/>
        <v>45125</v>
      </c>
      <c r="L213" s="143">
        <f>IF(t&lt;Tvie,1-EXP((T0-t)*PertePVj)+'2022'!Pspv,1-EXP((T0-t)*PertePVj)+Pspv)</f>
        <v>8.2206442966333837E-3</v>
      </c>
      <c r="M213" s="836"/>
      <c r="N213" s="836"/>
      <c r="O213" s="48">
        <f>IF(t&lt;Tnet,'2022'!Resal+('2022'!Salim-'2022'!Resal)*(1-EXP(('2022'!Tnet-t)/('2022'!Tau_j))),Resal+(Salim-Resal)*(1-EXP((Tnet-t)/(Tau_j))))*Salcycl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3.676965754106504E-6</v>
      </c>
      <c r="Q213" s="301">
        <f t="shared" si="81"/>
        <v>0.5</v>
      </c>
      <c r="R213" s="173">
        <f t="shared" si="82"/>
        <v>0.90712745820893903</v>
      </c>
      <c r="S213" s="802">
        <f t="shared" si="83"/>
        <v>0</v>
      </c>
      <c r="T213" s="172">
        <f t="shared" si="84"/>
        <v>6</v>
      </c>
      <c r="U213" s="247">
        <f t="shared" si="85"/>
        <v>0.90712745820893903</v>
      </c>
      <c r="V213" s="378">
        <f t="shared" si="86"/>
        <v>61.617775132442119</v>
      </c>
      <c r="W213" s="397">
        <f t="shared" si="87"/>
        <v>60.510755721962674</v>
      </c>
      <c r="X213" s="153">
        <f t="shared" si="88"/>
        <v>45125</v>
      </c>
      <c r="Y213" s="380">
        <f t="shared" si="89"/>
        <v>58.702101366636093</v>
      </c>
      <c r="Z213" s="380">
        <f t="shared" si="90"/>
        <v>59.188670372156274</v>
      </c>
      <c r="AA213" s="381">
        <f t="shared" si="91"/>
        <v>61.371051654424022</v>
      </c>
      <c r="AB213" s="193">
        <f t="shared" si="92"/>
        <v>45125</v>
      </c>
      <c r="AC213" s="420">
        <f>IF(OR(t&lt;Tnet,NoTnet),'2022'!Resal_s+('2022'!Salim-'2022'!Resal_s)*(1-EXP(('2022'!Tnet_s-t)/'2022'!Tau_j)),Resal_s+(Salim-Resal_s)*(1-EXP((Tnet_s-t)/Tau_j)))*Salcycl</f>
        <v>3.5560434821234235E-2</v>
      </c>
      <c r="AD213" s="227">
        <f>(INDEX(Models!$BJ213:$BT213,,AH213)*(1-AF213)+INDEX(Models!$BJ213:$BT213,,AH213+1)*AF213-ERP_i)*AE213*Ramure*Pc/MaxiM</f>
        <v>3.676965754106504E-6</v>
      </c>
      <c r="AE213" s="301">
        <f t="shared" si="93"/>
        <v>0.5</v>
      </c>
      <c r="AF213" s="173">
        <f t="shared" si="94"/>
        <v>0.90712745820893903</v>
      </c>
      <c r="AG213" s="172">
        <f t="shared" si="95"/>
        <v>0</v>
      </c>
      <c r="AH213" s="172">
        <f t="shared" si="96"/>
        <v>6</v>
      </c>
      <c r="AI213" s="221">
        <f t="shared" si="97"/>
        <v>0.90712745820893903</v>
      </c>
      <c r="AJ213" s="261" t="b">
        <f t="shared" si="98"/>
        <v>0</v>
      </c>
      <c r="AK213" s="261" t="b">
        <f t="shared" si="99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00"/>
        <v>45126</v>
      </c>
      <c r="B214" s="406">
        <f>'2022'!Wh/'2022'!Env_an*'2023'!Env_an</f>
        <v>44.446381491141231</v>
      </c>
      <c r="C214" s="385"/>
      <c r="D214" s="388">
        <f t="shared" si="78"/>
        <v>44.815401407087037</v>
      </c>
      <c r="E214" s="380">
        <f t="shared" si="76"/>
        <v>45.08215098264882</v>
      </c>
      <c r="F214" s="380">
        <f t="shared" si="79"/>
        <v>45.082256083204442</v>
      </c>
      <c r="G214" s="110">
        <f t="shared" si="77"/>
        <v>0.7232391763685464</v>
      </c>
      <c r="H214" s="409" t="b">
        <f>Wh_hp&gt;='2022'!Maxi_hp</f>
        <v>0</v>
      </c>
      <c r="I214" s="385">
        <f>IF(H214,Wh_hp,'2022'!Maxi_hp)</f>
        <v>45.082293640742087</v>
      </c>
      <c r="J214" s="85">
        <f>IF(H214,An,'2022'!An_max)</f>
        <v>2022</v>
      </c>
      <c r="K214" s="193">
        <f t="shared" si="80"/>
        <v>45126</v>
      </c>
      <c r="L214" s="143">
        <f>IF(t&lt;Tvie,1-EXP((T0-t)*PertePVj)+'2022'!Pspv,1-EXP((T0-t)*PertePVj)+Pspv)</f>
        <v>8.2342209231546226E-3</v>
      </c>
      <c r="M214" s="836"/>
      <c r="N214" s="836"/>
      <c r="O214" s="48">
        <f>IF(t&lt;Tnet,'2022'!Resal+('2022'!Salim-'2022'!Resal)*(1-EXP(('2022'!Tnet-t)/('2022'!Tau_j))),Resal+(Salim-Resal)*(1-EXP((Tnet-t)/(Tau_j))))*Salcycl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3.8557637717377966E-6</v>
      </c>
      <c r="Q214" s="301">
        <f t="shared" si="81"/>
        <v>0.5</v>
      </c>
      <c r="R214" s="173">
        <f t="shared" si="82"/>
        <v>0.91003838947450277</v>
      </c>
      <c r="S214" s="802">
        <f t="shared" si="83"/>
        <v>0</v>
      </c>
      <c r="T214" s="172">
        <f t="shared" si="84"/>
        <v>6</v>
      </c>
      <c r="U214" s="247">
        <f t="shared" si="85"/>
        <v>0.91003838947450277</v>
      </c>
      <c r="V214" s="378">
        <f t="shared" si="86"/>
        <v>61.454516274328533</v>
      </c>
      <c r="W214" s="397">
        <f t="shared" si="87"/>
        <v>44.446381491141231</v>
      </c>
      <c r="X214" s="153">
        <f t="shared" si="88"/>
        <v>45126</v>
      </c>
      <c r="Y214" s="380">
        <f t="shared" si="89"/>
        <v>43.118939494734924</v>
      </c>
      <c r="Z214" s="380">
        <f t="shared" si="90"/>
        <v>43.476938209010257</v>
      </c>
      <c r="AA214" s="381">
        <f t="shared" si="91"/>
        <v>45.08215098264882</v>
      </c>
      <c r="AB214" s="193">
        <f t="shared" si="92"/>
        <v>45126</v>
      </c>
      <c r="AC214" s="420">
        <f>IF(OR(t&lt;Tnet,NoTnet),'2022'!Resal_s+('2022'!Salim-'2022'!Resal_s)*(1-EXP(('2022'!Tnet_s-t)/'2022'!Tau_j)),Resal_s+(Salim-Resal_s)*(1-EXP((Tnet_s-t)/Tau_j)))*Salcycl</f>
        <v>3.5606392744134477E-2</v>
      </c>
      <c r="AD214" s="227">
        <f>(INDEX(Models!$BJ214:$BT214,,AH214)*(1-AF214)+INDEX(Models!$BJ214:$BT214,,AH214+1)*AF214-ERP_i)*AE214*Ramure*Pc/MaxiM</f>
        <v>3.8557637717377966E-6</v>
      </c>
      <c r="AE214" s="301">
        <f t="shared" si="93"/>
        <v>0.5</v>
      </c>
      <c r="AF214" s="173">
        <f t="shared" si="94"/>
        <v>0.91003838947450277</v>
      </c>
      <c r="AG214" s="172">
        <f t="shared" si="95"/>
        <v>0</v>
      </c>
      <c r="AH214" s="172">
        <f t="shared" si="96"/>
        <v>6</v>
      </c>
      <c r="AI214" s="221">
        <f t="shared" si="97"/>
        <v>0.91003838947450277</v>
      </c>
      <c r="AJ214" s="261" t="b">
        <f t="shared" si="98"/>
        <v>0</v>
      </c>
      <c r="AK214" s="261" t="b">
        <f t="shared" si="99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00"/>
        <v>45127</v>
      </c>
      <c r="B215" s="406">
        <f>'2022'!Wh/'2022'!Env_an*'2023'!Env_an</f>
        <v>41.736696850298024</v>
      </c>
      <c r="C215" s="385"/>
      <c r="D215" s="388">
        <f t="shared" si="78"/>
        <v>42.083795467615495</v>
      </c>
      <c r="E215" s="380">
        <f t="shared" si="76"/>
        <v>42.337331820861451</v>
      </c>
      <c r="F215" s="380">
        <f t="shared" si="79"/>
        <v>42.337424680201281</v>
      </c>
      <c r="G215" s="110">
        <f t="shared" si="77"/>
        <v>0.68101257200418308</v>
      </c>
      <c r="H215" s="409" t="b">
        <f>Wh_hp&gt;='2022'!Maxi_hp</f>
        <v>0</v>
      </c>
      <c r="I215" s="385">
        <f>IF(H215,Wh_hp,'2022'!Maxi_hp)</f>
        <v>42.337467031367346</v>
      </c>
      <c r="J215" s="85">
        <f>IF(H215,An,'2022'!An_max)</f>
        <v>2022</v>
      </c>
      <c r="K215" s="193">
        <f t="shared" si="80"/>
        <v>45127</v>
      </c>
      <c r="L215" s="143">
        <f>IF(t&lt;Tvie,1-EXP((T0-t)*PertePVj)+'2022'!Pspv,1-EXP((T0-t)*PertePVj)+Pspv)</f>
        <v>8.2477973638231949E-3</v>
      </c>
      <c r="M215" s="836"/>
      <c r="N215" s="836"/>
      <c r="O215" s="48">
        <f>IF(t&lt;Tnet,'2022'!Resal+('2022'!Salim-'2022'!Resal)*(1-EXP(('2022'!Tnet-t)/('2022'!Tau_j))),Resal+(Salim-Resal)*(1-EXP((Tnet-t)/(Tau_j))))*Salcycl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4.0295677621552443E-6</v>
      </c>
      <c r="Q215" s="301">
        <f t="shared" si="81"/>
        <v>0.5</v>
      </c>
      <c r="R215" s="173">
        <f t="shared" si="82"/>
        <v>0.9128708749099379</v>
      </c>
      <c r="S215" s="802">
        <f t="shared" si="83"/>
        <v>0</v>
      </c>
      <c r="T215" s="172">
        <f t="shared" si="84"/>
        <v>6</v>
      </c>
      <c r="U215" s="247">
        <f t="shared" si="85"/>
        <v>0.9128708749099379</v>
      </c>
      <c r="V215" s="378">
        <f t="shared" si="86"/>
        <v>61.28612293926853</v>
      </c>
      <c r="W215" s="397">
        <f t="shared" si="87"/>
        <v>41.736696850298024</v>
      </c>
      <c r="X215" s="153">
        <f t="shared" si="88"/>
        <v>45127</v>
      </c>
      <c r="Y215" s="380">
        <f t="shared" si="89"/>
        <v>40.491177896070866</v>
      </c>
      <c r="Z215" s="380">
        <f t="shared" si="90"/>
        <v>40.827918292937746</v>
      </c>
      <c r="AA215" s="381">
        <f t="shared" si="91"/>
        <v>42.337331820861451</v>
      </c>
      <c r="AB215" s="193">
        <f t="shared" si="92"/>
        <v>45127</v>
      </c>
      <c r="AC215" s="420">
        <f>IF(OR(t&lt;Tnet,NoTnet),'2022'!Resal_s+('2022'!Salim-'2022'!Resal_s)*(1-EXP(('2022'!Tnet_s-t)/'2022'!Tau_j)),Resal_s+(Salim-Resal_s)*(1-EXP((Tnet_s-t)/Tau_j)))*Salcycl</f>
        <v>3.5652070241704414E-2</v>
      </c>
      <c r="AD215" s="227">
        <f>(INDEX(Models!$BJ215:$BT215,,AH215)*(1-AF215)+INDEX(Models!$BJ215:$BT215,,AH215+1)*AF215-ERP_i)*AE215*Ramure*Pc/MaxiM</f>
        <v>4.0295677621552443E-6</v>
      </c>
      <c r="AE215" s="301">
        <f t="shared" si="93"/>
        <v>0.5</v>
      </c>
      <c r="AF215" s="173">
        <f t="shared" si="94"/>
        <v>0.9128708749099379</v>
      </c>
      <c r="AG215" s="172">
        <f t="shared" si="95"/>
        <v>0</v>
      </c>
      <c r="AH215" s="172">
        <f t="shared" si="96"/>
        <v>6</v>
      </c>
      <c r="AI215" s="221">
        <f t="shared" si="97"/>
        <v>0.9128708749099379</v>
      </c>
      <c r="AJ215" s="261" t="b">
        <f t="shared" si="98"/>
        <v>0</v>
      </c>
      <c r="AK215" s="261" t="b">
        <f t="shared" si="99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00"/>
        <v>45128</v>
      </c>
      <c r="B216" s="406">
        <f>'2022'!Wh/'2022'!Env_an*'2023'!Env_an</f>
        <v>57.590729328827585</v>
      </c>
      <c r="C216" s="385"/>
      <c r="D216" s="388">
        <f t="shared" si="78"/>
        <v>58.070471187518244</v>
      </c>
      <c r="E216" s="380">
        <f t="shared" si="76"/>
        <v>58.424517915738249</v>
      </c>
      <c r="F216" s="380">
        <f t="shared" si="79"/>
        <v>58.424743007454566</v>
      </c>
      <c r="G216" s="110">
        <f t="shared" si="77"/>
        <v>0.94237384424411008</v>
      </c>
      <c r="H216" s="409" t="b">
        <f>Wh_hp&gt;='2022'!Maxi_hp</f>
        <v>0</v>
      </c>
      <c r="I216" s="385">
        <f>IF(H216,Wh_hp,'2022'!Maxi_hp)</f>
        <v>58.424753973984458</v>
      </c>
      <c r="J216" s="85">
        <f>IF(H216,An,'2022'!An_max)</f>
        <v>2022</v>
      </c>
      <c r="K216" s="193">
        <f t="shared" si="80"/>
        <v>45128</v>
      </c>
      <c r="L216" s="143">
        <f>IF(t&lt;Tvie,1-EXP((T0-t)*PertePVj)+'2022'!Pspv,1-EXP((T0-t)*PertePVj)+Pspv)</f>
        <v>8.2613736186417652E-3</v>
      </c>
      <c r="M216" s="836"/>
      <c r="N216" s="836"/>
      <c r="O216" s="48">
        <f>IF(t&lt;Tnet,'2022'!Resal+('2022'!Salim-'2022'!Resal)*(1-EXP(('2022'!Tnet-t)/('2022'!Tau_j))),Resal+(Salim-Resal)*(1-EXP((Tnet-t)/(Tau_j))))*Salcycl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4.1982923000059289E-6</v>
      </c>
      <c r="Q216" s="301">
        <f t="shared" si="81"/>
        <v>0.5</v>
      </c>
      <c r="R216" s="173">
        <f t="shared" si="82"/>
        <v>0.91562574766799787</v>
      </c>
      <c r="S216" s="802">
        <f t="shared" si="83"/>
        <v>0</v>
      </c>
      <c r="T216" s="172">
        <f t="shared" si="84"/>
        <v>6</v>
      </c>
      <c r="U216" s="247">
        <f t="shared" si="85"/>
        <v>0.91562574766799787</v>
      </c>
      <c r="V216" s="378">
        <f t="shared" si="86"/>
        <v>61.112381011338329</v>
      </c>
      <c r="W216" s="397">
        <f t="shared" si="87"/>
        <v>57.590729328827585</v>
      </c>
      <c r="X216" s="153">
        <f t="shared" si="88"/>
        <v>45128</v>
      </c>
      <c r="Y216" s="380">
        <f t="shared" si="89"/>
        <v>55.873472940658637</v>
      </c>
      <c r="Z216" s="380">
        <f t="shared" si="90"/>
        <v>56.338909723148497</v>
      </c>
      <c r="AA216" s="381">
        <f t="shared" si="91"/>
        <v>58.424517915738249</v>
      </c>
      <c r="AB216" s="193">
        <f t="shared" si="92"/>
        <v>45128</v>
      </c>
      <c r="AC216" s="420">
        <f>IF(OR(t&lt;Tnet,NoTnet),'2022'!Resal_s+('2022'!Salim-'2022'!Resal_s)*(1-EXP(('2022'!Tnet_s-t)/'2022'!Tau_j)),Resal_s+(Salim-Resal_s)*(1-EXP((Tnet_s-t)/Tau_j)))*Salcycl</f>
        <v>3.5697482272728176E-2</v>
      </c>
      <c r="AD216" s="227">
        <f>(INDEX(Models!$BJ216:$BT216,,AH216)*(1-AF216)+INDEX(Models!$BJ216:$BT216,,AH216+1)*AF216-ERP_i)*AE216*Ramure*Pc/MaxiM</f>
        <v>4.1982923000059289E-6</v>
      </c>
      <c r="AE216" s="301">
        <f t="shared" si="93"/>
        <v>0.5</v>
      </c>
      <c r="AF216" s="173">
        <f t="shared" si="94"/>
        <v>0.91562574766799787</v>
      </c>
      <c r="AG216" s="172">
        <f t="shared" si="95"/>
        <v>0</v>
      </c>
      <c r="AH216" s="172">
        <f t="shared" si="96"/>
        <v>6</v>
      </c>
      <c r="AI216" s="221">
        <f t="shared" si="97"/>
        <v>0.91562574766799787</v>
      </c>
      <c r="AJ216" s="261" t="b">
        <f t="shared" si="98"/>
        <v>0</v>
      </c>
      <c r="AK216" s="261" t="b">
        <f t="shared" si="99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00"/>
        <v>45129</v>
      </c>
      <c r="B217" s="406">
        <f>'2022'!Wh/'2022'!Env_an*'2023'!Env_an</f>
        <v>49.462466330617445</v>
      </c>
      <c r="C217" s="385"/>
      <c r="D217" s="388">
        <f t="shared" si="78"/>
        <v>49.875180943586201</v>
      </c>
      <c r="E217" s="380">
        <f t="shared" si="76"/>
        <v>50.182863172513251</v>
      </c>
      <c r="F217" s="380">
        <f t="shared" si="79"/>
        <v>50.183023197870703</v>
      </c>
      <c r="G217" s="110">
        <f t="shared" si="77"/>
        <v>0.81174972928949696</v>
      </c>
      <c r="H217" s="409" t="b">
        <f>Wh_hp&gt;='2022'!Maxi_hp</f>
        <v>0</v>
      </c>
      <c r="I217" s="385">
        <f>IF(H217,Wh_hp,'2022'!Maxi_hp)</f>
        <v>50.183055073170451</v>
      </c>
      <c r="J217" s="85">
        <f>IF(H217,An,'2022'!An_max)</f>
        <v>2022</v>
      </c>
      <c r="K217" s="193">
        <f t="shared" si="80"/>
        <v>45129</v>
      </c>
      <c r="L217" s="143">
        <f>IF(t&lt;Tvie,1-EXP((T0-t)*PertePVj)+'2022'!Pspv,1-EXP((T0-t)*PertePVj)+Pspv)</f>
        <v>8.2749496876127759E-3</v>
      </c>
      <c r="M217" s="836"/>
      <c r="N217" s="836"/>
      <c r="O217" s="48">
        <f>IF(t&lt;Tnet,'2022'!Resal+('2022'!Salim-'2022'!Resal)*(1-EXP(('2022'!Tnet-t)/('2022'!Tau_j))),Resal+(Salim-Resal)*(1-EXP((Tnet-t)/(Tau_j))))*Salcycl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4.3618587241510907E-6</v>
      </c>
      <c r="Q217" s="301">
        <f t="shared" si="81"/>
        <v>0.5</v>
      </c>
      <c r="R217" s="173">
        <f t="shared" si="82"/>
        <v>0.91830392332527699</v>
      </c>
      <c r="S217" s="802">
        <f t="shared" si="83"/>
        <v>0</v>
      </c>
      <c r="T217" s="172">
        <f t="shared" si="84"/>
        <v>6</v>
      </c>
      <c r="U217" s="247">
        <f t="shared" si="85"/>
        <v>0.91830392332527699</v>
      </c>
      <c r="V217" s="378">
        <f t="shared" si="86"/>
        <v>60.933076445933771</v>
      </c>
      <c r="W217" s="397">
        <f t="shared" si="87"/>
        <v>49.462466330617445</v>
      </c>
      <c r="X217" s="153">
        <f t="shared" si="88"/>
        <v>45129</v>
      </c>
      <c r="Y217" s="380">
        <f t="shared" si="89"/>
        <v>47.988776844152646</v>
      </c>
      <c r="Z217" s="380">
        <f t="shared" si="90"/>
        <v>48.389194998186724</v>
      </c>
      <c r="AA217" s="381">
        <f t="shared" si="91"/>
        <v>50.182863172513251</v>
      </c>
      <c r="AB217" s="193">
        <f t="shared" si="92"/>
        <v>45129</v>
      </c>
      <c r="AC217" s="420">
        <f>IF(OR(t&lt;Tnet,NoTnet),'2022'!Resal_s+('2022'!Salim-'2022'!Resal_s)*(1-EXP(('2022'!Tnet_s-t)/'2022'!Tau_j)),Resal_s+(Salim-Resal_s)*(1-EXP((Tnet_s-t)/Tau_j)))*Salcycl</f>
        <v>3.5742643223852066E-2</v>
      </c>
      <c r="AD217" s="227">
        <f>(INDEX(Models!$BJ217:$BT217,,AH217)*(1-AF217)+INDEX(Models!$BJ217:$BT217,,AH217+1)*AF217-ERP_i)*AE217*Ramure*Pc/MaxiM</f>
        <v>4.3618587241510907E-6</v>
      </c>
      <c r="AE217" s="301">
        <f t="shared" si="93"/>
        <v>0.5</v>
      </c>
      <c r="AF217" s="173">
        <f t="shared" si="94"/>
        <v>0.91830392332527699</v>
      </c>
      <c r="AG217" s="172">
        <f t="shared" si="95"/>
        <v>0</v>
      </c>
      <c r="AH217" s="172">
        <f t="shared" si="96"/>
        <v>6</v>
      </c>
      <c r="AI217" s="221">
        <f t="shared" si="97"/>
        <v>0.91830392332527699</v>
      </c>
      <c r="AJ217" s="261" t="b">
        <f t="shared" si="98"/>
        <v>0</v>
      </c>
      <c r="AK217" s="261" t="b">
        <f t="shared" si="99"/>
        <v>0</v>
      </c>
      <c r="AL217" s="261"/>
      <c r="AM217" s="261"/>
      <c r="AN217" s="75"/>
    </row>
    <row r="218" spans="1:40" s="6" customFormat="1" ht="11.25" x14ac:dyDescent="0.2">
      <c r="A218" s="56">
        <f t="shared" si="100"/>
        <v>45130</v>
      </c>
      <c r="B218" s="406">
        <f>'2022'!Wh/'2022'!Env_an*'2023'!Env_an</f>
        <v>46.802078362945288</v>
      </c>
      <c r="C218" s="385"/>
      <c r="D218" s="388">
        <f t="shared" si="78"/>
        <v>47.193240745631485</v>
      </c>
      <c r="E218" s="380">
        <f t="shared" si="76"/>
        <v>47.487781193890292</v>
      </c>
      <c r="F218" s="380">
        <f t="shared" si="79"/>
        <v>47.487925451023983</v>
      </c>
      <c r="G218" s="110">
        <f t="shared" si="77"/>
        <v>0.77042886403056099</v>
      </c>
      <c r="H218" s="409" t="b">
        <f>Wh_hp&gt;='2022'!Maxi_hp</f>
        <v>0</v>
      </c>
      <c r="I218" s="385">
        <f>IF(H218,Wh_hp,'2022'!Maxi_hp)</f>
        <v>47.487963460820495</v>
      </c>
      <c r="J218" s="85">
        <f>IF(H218,An,'2022'!An_max)</f>
        <v>2022</v>
      </c>
      <c r="K218" s="193">
        <f t="shared" si="80"/>
        <v>45130</v>
      </c>
      <c r="L218" s="143">
        <f>IF(t&lt;Tvie,1-EXP((T0-t)*PertePVj)+'2022'!Pspv,1-EXP((T0-t)*PertePVj)+Pspv)</f>
        <v>8.2885255707387806E-3</v>
      </c>
      <c r="M218" s="836"/>
      <c r="N218" s="836"/>
      <c r="O218" s="48">
        <f>IF(t&lt;Tnet,'2022'!Resal+('2022'!Salim-'2022'!Resal)*(1-EXP(('2022'!Tnet-t)/('2022'!Tau_j))),Resal+(Salim-Resal)*(1-EXP((Tnet-t)/(Tau_j))))*Salcycl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4.5201945369447585E-6</v>
      </c>
      <c r="Q218" s="301">
        <f t="shared" si="81"/>
        <v>0.5</v>
      </c>
      <c r="R218" s="173">
        <f t="shared" si="82"/>
        <v>0.92090639308640909</v>
      </c>
      <c r="S218" s="802">
        <f t="shared" si="83"/>
        <v>0</v>
      </c>
      <c r="T218" s="172">
        <f t="shared" si="84"/>
        <v>6</v>
      </c>
      <c r="U218" s="247">
        <f t="shared" si="85"/>
        <v>0.92090639308640909</v>
      </c>
      <c r="V218" s="378">
        <f t="shared" si="86"/>
        <v>60.747995262117847</v>
      </c>
      <c r="W218" s="397">
        <f t="shared" si="87"/>
        <v>46.802078362945288</v>
      </c>
      <c r="X218" s="153">
        <f t="shared" si="88"/>
        <v>45130</v>
      </c>
      <c r="Y218" s="380">
        <f t="shared" si="89"/>
        <v>45.40879147944969</v>
      </c>
      <c r="Z218" s="380">
        <f t="shared" si="90"/>
        <v>45.788309049850263</v>
      </c>
      <c r="AA218" s="381">
        <f t="shared" si="91"/>
        <v>47.487781193890292</v>
      </c>
      <c r="AB218" s="193">
        <f t="shared" si="92"/>
        <v>45130</v>
      </c>
      <c r="AC218" s="420">
        <f>IF(OR(t&lt;Tnet,NoTnet),'2022'!Resal_s+('2022'!Salim-'2022'!Resal_s)*(1-EXP(('2022'!Tnet_s-t)/'2022'!Tau_j)),Resal_s+(Salim-Resal_s)*(1-EXP((Tnet_s-t)/Tau_j)))*Salcycl</f>
        <v>3.578756685011595E-2</v>
      </c>
      <c r="AD218" s="227">
        <f>(INDEX(Models!$BJ218:$BT218,,AH218)*(1-AF218)+INDEX(Models!$BJ218:$BT218,,AH218+1)*AF218-ERP_i)*AE218*Ramure*Pc/MaxiM</f>
        <v>4.5201945369447585E-6</v>
      </c>
      <c r="AE218" s="301">
        <f t="shared" si="93"/>
        <v>0.5</v>
      </c>
      <c r="AF218" s="173">
        <f t="shared" si="94"/>
        <v>0.92090639308640909</v>
      </c>
      <c r="AG218" s="172">
        <f t="shared" si="95"/>
        <v>0</v>
      </c>
      <c r="AH218" s="172">
        <f t="shared" si="96"/>
        <v>6</v>
      </c>
      <c r="AI218" s="221">
        <f t="shared" si="97"/>
        <v>0.92090639308640909</v>
      </c>
      <c r="AJ218" s="261" t="b">
        <f t="shared" si="98"/>
        <v>0</v>
      </c>
      <c r="AK218" s="261" t="b">
        <f t="shared" si="99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00"/>
        <v>45131</v>
      </c>
      <c r="B219" s="406">
        <f>'2022'!Wh/'2022'!Env_an*'2023'!Env_an</f>
        <v>56.980791502330717</v>
      </c>
      <c r="C219" s="385"/>
      <c r="D219" s="388">
        <f t="shared" si="78"/>
        <v>57.457812076831573</v>
      </c>
      <c r="E219" s="380">
        <f t="shared" si="76"/>
        <v>57.820553890654075</v>
      </c>
      <c r="F219" s="380">
        <f t="shared" si="79"/>
        <v>57.820801311000864</v>
      </c>
      <c r="G219" s="110">
        <f t="shared" si="77"/>
        <v>0.9409553274341288</v>
      </c>
      <c r="H219" s="409" t="b">
        <f>Wh_hp&gt;='2022'!Maxi_hp</f>
        <v>0</v>
      </c>
      <c r="I219" s="385">
        <f>IF(H219,Wh_hp,'2022'!Maxi_hp)</f>
        <v>57.820813582801875</v>
      </c>
      <c r="J219" s="85">
        <f>IF(H219,An,'2022'!An_max)</f>
        <v>2022</v>
      </c>
      <c r="K219" s="193">
        <f t="shared" si="80"/>
        <v>45131</v>
      </c>
      <c r="L219" s="143">
        <f>IF(t&lt;Tvie,1-EXP((T0-t)*PertePVj)+'2022'!Pspv,1-EXP((T0-t)*PertePVj)+Pspv)</f>
        <v>8.3021012680223327E-3</v>
      </c>
      <c r="M219" s="836"/>
      <c r="N219" s="836"/>
      <c r="O219" s="48">
        <f>IF(t&lt;Tnet,'2022'!Resal+('2022'!Salim-'2022'!Resal)*(1-EXP(('2022'!Tnet-t)/('2022'!Tau_j))),Resal+(Salim-Resal)*(1-EXP((Tnet-t)/(Tau_j))))*Salcycl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4.6732749392927689E-6</v>
      </c>
      <c r="Q219" s="301">
        <f t="shared" si="81"/>
        <v>0.5</v>
      </c>
      <c r="R219" s="173">
        <f t="shared" si="82"/>
        <v>0.92343421712928642</v>
      </c>
      <c r="S219" s="802">
        <f t="shared" si="83"/>
        <v>0</v>
      </c>
      <c r="T219" s="172">
        <f t="shared" si="84"/>
        <v>6</v>
      </c>
      <c r="U219" s="247">
        <f t="shared" si="85"/>
        <v>0.92343421712928642</v>
      </c>
      <c r="V219" s="378">
        <f t="shared" si="86"/>
        <v>60.556295692144587</v>
      </c>
      <c r="W219" s="397">
        <f t="shared" si="87"/>
        <v>56.980791502330717</v>
      </c>
      <c r="X219" s="153">
        <f t="shared" si="88"/>
        <v>45131</v>
      </c>
      <c r="Y219" s="380">
        <f t="shared" si="89"/>
        <v>55.285880954528281</v>
      </c>
      <c r="Z219" s="380">
        <f t="shared" si="90"/>
        <v>55.748712410522288</v>
      </c>
      <c r="AA219" s="381">
        <f t="shared" si="91"/>
        <v>57.820553890654075</v>
      </c>
      <c r="AB219" s="193">
        <f t="shared" si="92"/>
        <v>45131</v>
      </c>
      <c r="AC219" s="420">
        <f>IF(OR(t&lt;Tnet,NoTnet),'2022'!Resal_s+('2022'!Salim-'2022'!Resal_s)*(1-EXP(('2022'!Tnet_s-t)/'2022'!Tau_j)),Resal_s+(Salim-Resal_s)*(1-EXP((Tnet_s-t)/Tau_j)))*Salcycl</f>
        <v>3.5832266222317714E-2</v>
      </c>
      <c r="AD219" s="227">
        <f>(INDEX(Models!$BJ219:$BT219,,AH219)*(1-AF219)+INDEX(Models!$BJ219:$BT219,,AH219+1)*AF219-ERP_i)*AE219*Ramure*Pc/MaxiM</f>
        <v>4.6732749392927689E-6</v>
      </c>
      <c r="AE219" s="301">
        <f t="shared" si="93"/>
        <v>0.5</v>
      </c>
      <c r="AF219" s="173">
        <f t="shared" si="94"/>
        <v>0.92343421712928642</v>
      </c>
      <c r="AG219" s="172">
        <f t="shared" si="95"/>
        <v>0</v>
      </c>
      <c r="AH219" s="172">
        <f t="shared" si="96"/>
        <v>6</v>
      </c>
      <c r="AI219" s="221">
        <f t="shared" si="97"/>
        <v>0.92343421712928642</v>
      </c>
      <c r="AJ219" s="261" t="b">
        <f t="shared" si="98"/>
        <v>0</v>
      </c>
      <c r="AK219" s="261" t="b">
        <f t="shared" si="99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00"/>
        <v>45132</v>
      </c>
      <c r="B220" s="406">
        <f>'2022'!Wh/'2022'!Env_an*'2023'!Env_an</f>
        <v>30.059434923771889</v>
      </c>
      <c r="C220" s="385"/>
      <c r="D220" s="388">
        <f t="shared" si="78"/>
        <v>30.311495523245426</v>
      </c>
      <c r="E220" s="380">
        <f t="shared" si="76"/>
        <v>30.505038346306979</v>
      </c>
      <c r="F220" s="380">
        <f t="shared" si="79"/>
        <v>30.505080205985127</v>
      </c>
      <c r="G220" s="110">
        <f t="shared" si="77"/>
        <v>0.49802033345030472</v>
      </c>
      <c r="H220" s="409" t="b">
        <f>Wh_hp&gt;='2022'!Maxi_hp</f>
        <v>0</v>
      </c>
      <c r="I220" s="385">
        <f>IF(H220,Wh_hp,'2022'!Maxi_hp)</f>
        <v>30.505137185195856</v>
      </c>
      <c r="J220" s="85">
        <f>IF(H220,An,'2022'!An_max)</f>
        <v>2022</v>
      </c>
      <c r="K220" s="193">
        <f t="shared" si="80"/>
        <v>45132</v>
      </c>
      <c r="L220" s="143">
        <f>IF(t&lt;Tvie,1-EXP((T0-t)*PertePVj)+'2022'!Pspv,1-EXP((T0-t)*PertePVj)+Pspv)</f>
        <v>8.3156767794659858E-3</v>
      </c>
      <c r="M220" s="836"/>
      <c r="N220" s="836"/>
      <c r="O220" s="48">
        <f>IF(t&lt;Tnet,'2022'!Resal+('2022'!Salim-'2022'!Resal)*(1-EXP(('2022'!Tnet-t)/('2022'!Tau_j))),Resal+(Salim-Resal)*(1-EXP((Tnet-t)/(Tau_j))))*Salcycl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4.8507418951022522E-6</v>
      </c>
      <c r="Q220" s="301">
        <f t="shared" si="81"/>
        <v>0.5</v>
      </c>
      <c r="R220" s="173">
        <f t="shared" si="82"/>
        <v>0.92588851811642137</v>
      </c>
      <c r="S220" s="802">
        <f t="shared" si="83"/>
        <v>0</v>
      </c>
      <c r="T220" s="172">
        <f t="shared" si="84"/>
        <v>6</v>
      </c>
      <c r="U220" s="247">
        <f t="shared" si="85"/>
        <v>0.92588851811642137</v>
      </c>
      <c r="V220" s="378">
        <f t="shared" si="86"/>
        <v>60.357636711277749</v>
      </c>
      <c r="W220" s="397">
        <f t="shared" si="87"/>
        <v>30.059434923771889</v>
      </c>
      <c r="X220" s="153">
        <f t="shared" si="88"/>
        <v>45132</v>
      </c>
      <c r="Y220" s="380">
        <f t="shared" si="89"/>
        <v>29.166047417988924</v>
      </c>
      <c r="Z220" s="380">
        <f t="shared" si="90"/>
        <v>29.41061659951529</v>
      </c>
      <c r="AA220" s="381">
        <f t="shared" si="91"/>
        <v>30.505038346306979</v>
      </c>
      <c r="AB220" s="193">
        <f t="shared" si="92"/>
        <v>45132</v>
      </c>
      <c r="AC220" s="420">
        <f>IF(OR(t&lt;Tnet,NoTnet),'2022'!Resal_s+('2022'!Salim-'2022'!Resal_s)*(1-EXP(('2022'!Tnet_s-t)/'2022'!Tau_j)),Resal_s+(Salim-Resal_s)*(1-EXP((Tnet_s-t)/Tau_j)))*Salcycl</f>
        <v>3.587675368138598E-2</v>
      </c>
      <c r="AD220" s="227">
        <f>(INDEX(Models!$BJ220:$BT220,,AH220)*(1-AF220)+INDEX(Models!$BJ220:$BT220,,AH220+1)*AF220-ERP_i)*AE220*Ramure*Pc/MaxiM</f>
        <v>4.8507418951022522E-6</v>
      </c>
      <c r="AE220" s="301">
        <f t="shared" si="93"/>
        <v>0.5</v>
      </c>
      <c r="AF220" s="173">
        <f t="shared" si="94"/>
        <v>0.92588851811642137</v>
      </c>
      <c r="AG220" s="172">
        <f t="shared" si="95"/>
        <v>0</v>
      </c>
      <c r="AH220" s="172">
        <f t="shared" si="96"/>
        <v>6</v>
      </c>
      <c r="AI220" s="221">
        <f t="shared" si="97"/>
        <v>0.92588851811642137</v>
      </c>
      <c r="AJ220" s="261" t="b">
        <f t="shared" si="98"/>
        <v>0</v>
      </c>
      <c r="AK220" s="261" t="b">
        <f t="shared" si="99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00"/>
        <v>45133</v>
      </c>
      <c r="B221" s="406">
        <f>'2022'!Wh/'2022'!Env_an*'2023'!Env_an</f>
        <v>53.2720286061884</v>
      </c>
      <c r="C221" s="385"/>
      <c r="D221" s="388">
        <f t="shared" si="78"/>
        <v>53.719471628332059</v>
      </c>
      <c r="E221" s="380">
        <f t="shared" si="76"/>
        <v>54.066337783737055</v>
      </c>
      <c r="F221" s="380">
        <f t="shared" si="79"/>
        <v>54.066566558340405</v>
      </c>
      <c r="G221" s="110">
        <f t="shared" si="77"/>
        <v>0.88561461998418123</v>
      </c>
      <c r="H221" s="409" t="b">
        <f>Wh_hp&gt;='2022'!Maxi_hp</f>
        <v>0</v>
      </c>
      <c r="I221" s="385">
        <f>IF(H221,Wh_hp,'2022'!Maxi_hp)</f>
        <v>54.066590490635548</v>
      </c>
      <c r="J221" s="85">
        <f>IF(H221,An,'2022'!An_max)</f>
        <v>2022</v>
      </c>
      <c r="K221" s="193">
        <f t="shared" si="80"/>
        <v>45133</v>
      </c>
      <c r="L221" s="143">
        <f>IF(t&lt;Tvie,1-EXP((T0-t)*PertePVj)+'2022'!Pspv,1-EXP((T0-t)*PertePVj)+Pspv)</f>
        <v>8.3292521050724044E-3</v>
      </c>
      <c r="M221" s="836"/>
      <c r="N221" s="836"/>
      <c r="O221" s="48">
        <f>IF(t&lt;Tnet,'2022'!Resal+('2022'!Salim-'2022'!Resal)*(1-EXP(('2022'!Tnet-t)/('2022'!Tau_j))),Resal+(Salim-Resal)*(1-EXP((Tnet-t)/(Tau_j))))*Salcycl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5.0578344104892828E-6</v>
      </c>
      <c r="Q221" s="301">
        <f t="shared" si="81"/>
        <v>0.5</v>
      </c>
      <c r="R221" s="173">
        <f t="shared" si="82"/>
        <v>0.92827047489428027</v>
      </c>
      <c r="S221" s="802">
        <f t="shared" si="83"/>
        <v>0</v>
      </c>
      <c r="T221" s="172">
        <f t="shared" si="84"/>
        <v>6</v>
      </c>
      <c r="U221" s="247">
        <f t="shared" si="85"/>
        <v>0.92827047489428027</v>
      </c>
      <c r="V221" s="378">
        <f t="shared" si="86"/>
        <v>60.152557755300919</v>
      </c>
      <c r="W221" s="397">
        <f t="shared" si="87"/>
        <v>53.2720286061884</v>
      </c>
      <c r="X221" s="153">
        <f t="shared" si="88"/>
        <v>45133</v>
      </c>
      <c r="Y221" s="380">
        <f t="shared" si="89"/>
        <v>51.690062900323184</v>
      </c>
      <c r="Z221" s="380">
        <f t="shared" si="90"/>
        <v>52.124218658308152</v>
      </c>
      <c r="AA221" s="381">
        <f t="shared" si="91"/>
        <v>54.066337783737055</v>
      </c>
      <c r="AB221" s="193">
        <f t="shared" si="92"/>
        <v>45133</v>
      </c>
      <c r="AC221" s="420">
        <f>IF(OR(t&lt;Tnet,NoTnet),'2022'!Resal_s+('2022'!Salim-'2022'!Resal_s)*(1-EXP(('2022'!Tnet_s-t)/'2022'!Tau_j)),Resal_s+(Salim-Resal_s)*(1-EXP((Tnet_s-t)/Tau_j)))*Salcycl</f>
        <v>3.5921040799865023E-2</v>
      </c>
      <c r="AD221" s="227">
        <f>(INDEX(Models!$BJ221:$BT221,,AH221)*(1-AF221)+INDEX(Models!$BJ221:$BT221,,AH221+1)*AF221-ERP_i)*AE221*Ramure*Pc/MaxiM</f>
        <v>5.0578344104892828E-6</v>
      </c>
      <c r="AE221" s="301">
        <f t="shared" si="93"/>
        <v>0.5</v>
      </c>
      <c r="AF221" s="173">
        <f t="shared" si="94"/>
        <v>0.92827047489428027</v>
      </c>
      <c r="AG221" s="172">
        <f t="shared" si="95"/>
        <v>0</v>
      </c>
      <c r="AH221" s="172">
        <f t="shared" si="96"/>
        <v>6</v>
      </c>
      <c r="AI221" s="221">
        <f t="shared" si="97"/>
        <v>0.92827047489428027</v>
      </c>
      <c r="AJ221" s="261" t="b">
        <f t="shared" si="98"/>
        <v>0</v>
      </c>
      <c r="AK221" s="261" t="b">
        <f t="shared" si="99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00"/>
        <v>45134</v>
      </c>
      <c r="B222" s="406">
        <f>'2022'!Wh/'2022'!Env_an*'2023'!Env_an</f>
        <v>60.293769899092503</v>
      </c>
      <c r="C222" s="385"/>
      <c r="D222" s="388">
        <f t="shared" si="78"/>
        <v>60.801022324657012</v>
      </c>
      <c r="E222" s="380">
        <f t="shared" si="76"/>
        <v>61.197978313532879</v>
      </c>
      <c r="F222" s="380">
        <f t="shared" si="79"/>
        <v>61.19830236076286</v>
      </c>
      <c r="G222" s="110">
        <f t="shared" si="77"/>
        <v>1.0058752442346581</v>
      </c>
      <c r="H222" s="409" t="b">
        <f>Wh_hp&gt;='2022'!Maxi_hp</f>
        <v>1</v>
      </c>
      <c r="I222" s="385">
        <f>IF(H222,Wh_hp,'2022'!Maxi_hp)</f>
        <v>61.19830236076286</v>
      </c>
      <c r="J222" s="85">
        <f>IF(H222,An,'2022'!An_max)</f>
        <v>2023</v>
      </c>
      <c r="K222" s="193">
        <f t="shared" si="80"/>
        <v>45134</v>
      </c>
      <c r="L222" s="143">
        <f>IF(t&lt;Tvie,1-EXP((T0-t)*PertePVj)+'2022'!Pspv,1-EXP((T0-t)*PertePVj)+Pspv)</f>
        <v>8.34282724484392E-3</v>
      </c>
      <c r="M222" s="836"/>
      <c r="N222" s="836"/>
      <c r="O222" s="48">
        <f>IF(t&lt;Tnet,'2022'!Resal+('2022'!Salim-'2022'!Resal)*(1-EXP(('2022'!Tnet-t)/('2022'!Tau_j))),Resal+(Salim-Resal)*(1-EXP((Tnet-t)/(Tau_j))))*Salcycl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5.2950362589070251E-6</v>
      </c>
      <c r="Q222" s="301">
        <f t="shared" si="81"/>
        <v>0.5</v>
      </c>
      <c r="R222" s="173">
        <f t="shared" si="82"/>
        <v>0.93058131639924613</v>
      </c>
      <c r="S222" s="802">
        <f t="shared" si="83"/>
        <v>0</v>
      </c>
      <c r="T222" s="172">
        <f t="shared" si="84"/>
        <v>6</v>
      </c>
      <c r="U222" s="247">
        <f t="shared" si="85"/>
        <v>0.93058131639924613</v>
      </c>
      <c r="V222" s="378">
        <f t="shared" si="86"/>
        <v>59.941598368859665</v>
      </c>
      <c r="W222" s="397">
        <f t="shared" si="87"/>
        <v>60.293769899092503</v>
      </c>
      <c r="X222" s="153">
        <f t="shared" si="88"/>
        <v>45134</v>
      </c>
      <c r="Y222" s="380">
        <f t="shared" si="89"/>
        <v>58.504782906589618</v>
      </c>
      <c r="Z222" s="380">
        <f t="shared" si="90"/>
        <v>58.996984556713002</v>
      </c>
      <c r="AA222" s="381">
        <f t="shared" si="91"/>
        <v>61.197978313532879</v>
      </c>
      <c r="AB222" s="193">
        <f t="shared" si="92"/>
        <v>45134</v>
      </c>
      <c r="AC222" s="420">
        <f>IF(OR(t&lt;Tnet,NoTnet),'2022'!Resal_s+('2022'!Salim-'2022'!Resal_s)*(1-EXP(('2022'!Tnet_s-t)/'2022'!Tau_j)),Resal_s+(Salim-Resal_s)*(1-EXP((Tnet_s-t)/Tau_j)))*Salcycl</f>
        <v>3.5965138350545302E-2</v>
      </c>
      <c r="AD222" s="227">
        <f>(INDEX(Models!$BJ222:$BT222,,AH222)*(1-AF222)+INDEX(Models!$BJ222:$BT222,,AH222+1)*AF222-ERP_i)*AE222*Ramure*Pc/MaxiM</f>
        <v>5.2950362589070251E-6</v>
      </c>
      <c r="AE222" s="301">
        <f t="shared" si="93"/>
        <v>0.5</v>
      </c>
      <c r="AF222" s="173">
        <f t="shared" si="94"/>
        <v>0.93058131639924613</v>
      </c>
      <c r="AG222" s="172">
        <f t="shared" si="95"/>
        <v>0</v>
      </c>
      <c r="AH222" s="172">
        <f t="shared" si="96"/>
        <v>6</v>
      </c>
      <c r="AI222" s="221">
        <f t="shared" si="97"/>
        <v>0.93058131639924613</v>
      </c>
      <c r="AJ222" s="261" t="b">
        <f t="shared" si="98"/>
        <v>0</v>
      </c>
      <c r="AK222" s="261" t="b">
        <f t="shared" si="99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00"/>
        <v>45135</v>
      </c>
      <c r="B223" s="406">
        <f>'2022'!Wh/'2022'!Env_an*'2023'!Env_an</f>
        <v>47.372168568897244</v>
      </c>
      <c r="C223" s="385"/>
      <c r="D223" s="388">
        <f t="shared" si="78"/>
        <v>47.771365311021128</v>
      </c>
      <c r="E223" s="380">
        <f t="shared" si="76"/>
        <v>48.086678859419401</v>
      </c>
      <c r="F223" s="380">
        <f t="shared" si="79"/>
        <v>48.08686731931936</v>
      </c>
      <c r="G223" s="110">
        <f t="shared" si="77"/>
        <v>0.79316625208066738</v>
      </c>
      <c r="H223" s="409" t="b">
        <f>Wh_hp&gt;='2022'!Maxi_hp</f>
        <v>0</v>
      </c>
      <c r="I223" s="385">
        <f>IF(H223,Wh_hp,'2022'!Maxi_hp)</f>
        <v>48.086909443668787</v>
      </c>
      <c r="J223" s="85">
        <f>IF(H223,An,'2022'!An_max)</f>
        <v>2022</v>
      </c>
      <c r="K223" s="193">
        <f t="shared" si="80"/>
        <v>45135</v>
      </c>
      <c r="L223" s="143">
        <f>IF(t&lt;Tvie,1-EXP((T0-t)*PertePVj)+'2022'!Pspv,1-EXP((T0-t)*PertePVj)+Pspv)</f>
        <v>8.3564021987830861E-3</v>
      </c>
      <c r="M223" s="836"/>
      <c r="N223" s="836"/>
      <c r="O223" s="48">
        <f>IF(t&lt;Tnet,'2022'!Resal+('2022'!Salim-'2022'!Resal)*(1-EXP(('2022'!Tnet-t)/('2022'!Tau_j))),Resal+(Salim-Resal)*(1-EXP((Tnet-t)/(Tau_j))))*Salcycl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5.5628328826522704E-6</v>
      </c>
      <c r="Q223" s="301">
        <f t="shared" si="81"/>
        <v>0.5</v>
      </c>
      <c r="R223" s="173">
        <f t="shared" si="82"/>
        <v>0.93282231578582764</v>
      </c>
      <c r="S223" s="802">
        <f t="shared" si="83"/>
        <v>0</v>
      </c>
      <c r="T223" s="172">
        <f t="shared" si="84"/>
        <v>6</v>
      </c>
      <c r="U223" s="247">
        <f t="shared" si="85"/>
        <v>0.93282231578582764</v>
      </c>
      <c r="V223" s="378">
        <f t="shared" si="86"/>
        <v>59.725297917997821</v>
      </c>
      <c r="W223" s="397">
        <f t="shared" si="87"/>
        <v>47.372168568897244</v>
      </c>
      <c r="X223" s="153">
        <f t="shared" si="88"/>
        <v>45135</v>
      </c>
      <c r="Y223" s="380">
        <f t="shared" si="89"/>
        <v>45.967760882736307</v>
      </c>
      <c r="Z223" s="380">
        <f t="shared" si="90"/>
        <v>46.355122933946397</v>
      </c>
      <c r="AA223" s="381">
        <f t="shared" si="91"/>
        <v>48.086678859419401</v>
      </c>
      <c r="AB223" s="193">
        <f t="shared" si="92"/>
        <v>45135</v>
      </c>
      <c r="AC223" s="420">
        <f>IF(OR(t&lt;Tnet,NoTnet),'2022'!Resal_s+('2022'!Salim-'2022'!Resal_s)*(1-EXP(('2022'!Tnet_s-t)/'2022'!Tau_j)),Resal_s+(Salim-Resal_s)*(1-EXP((Tnet_s-t)/Tau_j)))*Salcycl</f>
        <v>3.600905628220194E-2</v>
      </c>
      <c r="AD223" s="227">
        <f>(INDEX(Models!$BJ223:$BT223,,AH223)*(1-AF223)+INDEX(Models!$BJ223:$BT223,,AH223+1)*AF223-ERP_i)*AE223*Ramure*Pc/MaxiM</f>
        <v>5.5628328826522704E-6</v>
      </c>
      <c r="AE223" s="301">
        <f t="shared" si="93"/>
        <v>0.5</v>
      </c>
      <c r="AF223" s="173">
        <f t="shared" si="94"/>
        <v>0.93282231578582764</v>
      </c>
      <c r="AG223" s="172">
        <f t="shared" si="95"/>
        <v>0</v>
      </c>
      <c r="AH223" s="172">
        <f t="shared" si="96"/>
        <v>6</v>
      </c>
      <c r="AI223" s="221">
        <f t="shared" si="97"/>
        <v>0.93282231578582764</v>
      </c>
      <c r="AJ223" s="261" t="b">
        <f t="shared" si="98"/>
        <v>0</v>
      </c>
      <c r="AK223" s="261" t="b">
        <f t="shared" si="99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00"/>
        <v>45136</v>
      </c>
      <c r="B224" s="406">
        <f>'2022'!Wh/'2022'!Env_an*'2023'!Env_an</f>
        <v>29.427835639215669</v>
      </c>
      <c r="C224" s="385"/>
      <c r="D224" s="388">
        <f t="shared" si="78"/>
        <v>29.676224958583337</v>
      </c>
      <c r="E224" s="380">
        <f t="shared" si="76"/>
        <v>29.874227480743041</v>
      </c>
      <c r="F224" s="380">
        <f t="shared" si="79"/>
        <v>29.874276150171518</v>
      </c>
      <c r="G224" s="110">
        <f t="shared" si="77"/>
        <v>0.49454850693782082</v>
      </c>
      <c r="H224" s="409" t="b">
        <f>Wh_hp&gt;='2022'!Maxi_hp</f>
        <v>0</v>
      </c>
      <c r="I224" s="385">
        <f>IF(H224,Wh_hp,'2022'!Maxi_hp)</f>
        <v>29.87434338366489</v>
      </c>
      <c r="J224" s="85">
        <f>IF(H224,An,'2022'!An_max)</f>
        <v>2022</v>
      </c>
      <c r="K224" s="193">
        <f t="shared" si="80"/>
        <v>45136</v>
      </c>
      <c r="L224" s="143">
        <f>IF(t&lt;Tvie,1-EXP((T0-t)*PertePVj)+'2022'!Pspv,1-EXP((T0-t)*PertePVj)+Pspv)</f>
        <v>8.3699769668926782E-3</v>
      </c>
      <c r="M224" s="836"/>
      <c r="N224" s="836"/>
      <c r="O224" s="48">
        <f>IF(t&lt;Tnet,'2022'!Resal+('2022'!Salim-'2022'!Resal)*(1-EXP(('2022'!Tnet-t)/('2022'!Tau_j))),Resal+(Salim-Resal)*(1-EXP((Tnet-t)/(Tau_j))))*Salcycl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5.8617098893691309E-6</v>
      </c>
      <c r="Q224" s="301">
        <f t="shared" si="81"/>
        <v>0.5</v>
      </c>
      <c r="R224" s="173">
        <f t="shared" si="82"/>
        <v>0.93499478478986098</v>
      </c>
      <c r="S224" s="802">
        <f t="shared" si="83"/>
        <v>0</v>
      </c>
      <c r="T224" s="172">
        <f t="shared" si="84"/>
        <v>6</v>
      </c>
      <c r="U224" s="247">
        <f t="shared" si="85"/>
        <v>0.93499478478986098</v>
      </c>
      <c r="V224" s="378">
        <f t="shared" si="86"/>
        <v>59.504195586199835</v>
      </c>
      <c r="W224" s="397">
        <f t="shared" si="87"/>
        <v>29.427835639215669</v>
      </c>
      <c r="X224" s="153">
        <f t="shared" si="88"/>
        <v>45136</v>
      </c>
      <c r="Y224" s="380">
        <f t="shared" si="89"/>
        <v>28.556146106542435</v>
      </c>
      <c r="Z224" s="380">
        <f t="shared" si="90"/>
        <v>28.797177821620917</v>
      </c>
      <c r="AA224" s="381">
        <f t="shared" si="91"/>
        <v>29.874227480743041</v>
      </c>
      <c r="AB224" s="193">
        <f t="shared" si="92"/>
        <v>45136</v>
      </c>
      <c r="AC224" s="420">
        <f>IF(OR(t&lt;Tnet,NoTnet),'2022'!Resal_s+('2022'!Salim-'2022'!Resal_s)*(1-EXP(('2022'!Tnet_s-t)/'2022'!Tau_j)),Resal_s+(Salim-Resal_s)*(1-EXP((Tnet_s-t)/Tau_j)))*Salcycl</f>
        <v>3.6052803702334817E-2</v>
      </c>
      <c r="AD224" s="227">
        <f>(INDEX(Models!$BJ224:$BT224,,AH224)*(1-AF224)+INDEX(Models!$BJ224:$BT224,,AH224+1)*AF224-ERP_i)*AE224*Ramure*Pc/MaxiM</f>
        <v>5.8617098893691309E-6</v>
      </c>
      <c r="AE224" s="301">
        <f t="shared" si="93"/>
        <v>0.5</v>
      </c>
      <c r="AF224" s="173">
        <f t="shared" si="94"/>
        <v>0.93499478478986098</v>
      </c>
      <c r="AG224" s="172">
        <f t="shared" si="95"/>
        <v>0</v>
      </c>
      <c r="AH224" s="172">
        <f t="shared" si="96"/>
        <v>6</v>
      </c>
      <c r="AI224" s="221">
        <f t="shared" si="97"/>
        <v>0.93499478478986098</v>
      </c>
      <c r="AJ224" s="261" t="b">
        <f t="shared" si="98"/>
        <v>0</v>
      </c>
      <c r="AK224" s="261" t="b">
        <f t="shared" si="99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00"/>
        <v>45137</v>
      </c>
      <c r="B225" s="406">
        <f>'2022'!Wh/'2022'!Env_an*'2023'!Env_an</f>
        <v>48.400019074277409</v>
      </c>
      <c r="C225" s="385"/>
      <c r="D225" s="388">
        <f t="shared" si="78"/>
        <v>48.809213632843047</v>
      </c>
      <c r="E225" s="380">
        <f t="shared" si="76"/>
        <v>49.138365158886351</v>
      </c>
      <c r="F225" s="380">
        <f t="shared" si="79"/>
        <v>49.138589660921603</v>
      </c>
      <c r="G225" s="110">
        <f t="shared" si="77"/>
        <v>0.81647934330955307</v>
      </c>
      <c r="H225" s="409" t="b">
        <f>Wh_hp&gt;='2022'!Maxi_hp</f>
        <v>0</v>
      </c>
      <c r="I225" s="385">
        <f>IF(H225,Wh_hp,'2022'!Maxi_hp)</f>
        <v>49.138631982876142</v>
      </c>
      <c r="J225" s="85">
        <f>IF(H225,An,'2022'!An_max)</f>
        <v>2022</v>
      </c>
      <c r="K225" s="193">
        <f t="shared" si="80"/>
        <v>45137</v>
      </c>
      <c r="L225" s="143">
        <f>IF(t&lt;Tvie,1-EXP((T0-t)*PertePVj)+'2022'!Pspv,1-EXP((T0-t)*PertePVj)+Pspv)</f>
        <v>8.3835515491750279E-3</v>
      </c>
      <c r="M225" s="836"/>
      <c r="N225" s="836"/>
      <c r="O225" s="48">
        <f>IF(t&lt;Tnet,'2022'!Resal+('2022'!Salim-'2022'!Resal)*(1-EXP(('2022'!Tnet-t)/('2022'!Tau_j))),Resal+(Salim-Resal)*(1-EXP((Tnet-t)/(Tau_j))))*Salcycl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6.1921513642540565E-6</v>
      </c>
      <c r="Q225" s="301">
        <f t="shared" si="81"/>
        <v>0.5</v>
      </c>
      <c r="R225" s="173">
        <f t="shared" si="82"/>
        <v>0.93710006833674342</v>
      </c>
      <c r="S225" s="802">
        <f t="shared" si="83"/>
        <v>0</v>
      </c>
      <c r="T225" s="172">
        <f t="shared" si="84"/>
        <v>6</v>
      </c>
      <c r="U225" s="247">
        <f t="shared" si="85"/>
        <v>0.93710006833674342</v>
      </c>
      <c r="V225" s="378">
        <f t="shared" si="86"/>
        <v>59.278830380664843</v>
      </c>
      <c r="W225" s="397">
        <f t="shared" si="87"/>
        <v>48.400019074277409</v>
      </c>
      <c r="X225" s="153">
        <f t="shared" si="88"/>
        <v>45137</v>
      </c>
      <c r="Y225" s="380">
        <f t="shared" si="89"/>
        <v>46.967563656889325</v>
      </c>
      <c r="Z225" s="380">
        <f t="shared" si="90"/>
        <v>47.364647621835495</v>
      </c>
      <c r="AA225" s="381">
        <f t="shared" si="91"/>
        <v>49.138365158886351</v>
      </c>
      <c r="AB225" s="193">
        <f t="shared" si="92"/>
        <v>45137</v>
      </c>
      <c r="AC225" s="420">
        <f>IF(OR(t&lt;Tnet,NoTnet),'2022'!Resal_s+('2022'!Salim-'2022'!Resal_s)*(1-EXP(('2022'!Tnet_s-t)/'2022'!Tau_j)),Resal_s+(Salim-Resal_s)*(1-EXP((Tnet_s-t)/Tau_j)))*Salcycl</f>
        <v>3.6096388866736467E-2</v>
      </c>
      <c r="AD225" s="227">
        <f>(INDEX(Models!$BJ225:$BT225,,AH225)*(1-AF225)+INDEX(Models!$BJ225:$BT225,,AH225+1)*AF225-ERP_i)*AE225*Ramure*Pc/MaxiM</f>
        <v>6.1921513642540565E-6</v>
      </c>
      <c r="AE225" s="301">
        <f t="shared" si="93"/>
        <v>0.5</v>
      </c>
      <c r="AF225" s="173">
        <f t="shared" si="94"/>
        <v>0.93710006833674342</v>
      </c>
      <c r="AG225" s="172">
        <f t="shared" si="95"/>
        <v>0</v>
      </c>
      <c r="AH225" s="172">
        <f t="shared" si="96"/>
        <v>6</v>
      </c>
      <c r="AI225" s="221">
        <f t="shared" si="97"/>
        <v>0.93710006833674342</v>
      </c>
      <c r="AJ225" s="261" t="b">
        <f t="shared" si="98"/>
        <v>0</v>
      </c>
      <c r="AK225" s="261" t="b">
        <f t="shared" si="99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00"/>
        <v>45138</v>
      </c>
      <c r="B226" s="406">
        <f>'2022'!Wh/'2022'!Env_an*'2023'!Env_an</f>
        <v>59.269891654925786</v>
      </c>
      <c r="C226" s="385"/>
      <c r="D226" s="388">
        <f t="shared" si="78"/>
        <v>59.771803012822005</v>
      </c>
      <c r="E226" s="380">
        <f t="shared" si="76"/>
        <v>60.179153822733198</v>
      </c>
      <c r="F226" s="380">
        <f t="shared" si="79"/>
        <v>60.179550846641447</v>
      </c>
      <c r="G226" s="110">
        <f t="shared" si="77"/>
        <v>1.003728264484145</v>
      </c>
      <c r="H226" s="409" t="b">
        <f>Wh_hp&gt;='2022'!Maxi_hp</f>
        <v>1</v>
      </c>
      <c r="I226" s="385">
        <f>IF(H226,Wh_hp,'2022'!Maxi_hp)</f>
        <v>60.179550846641447</v>
      </c>
      <c r="J226" s="85">
        <f>IF(H226,An,'2022'!An_max)</f>
        <v>2023</v>
      </c>
      <c r="K226" s="193">
        <f t="shared" si="80"/>
        <v>45138</v>
      </c>
      <c r="L226" s="143">
        <f>IF(t&lt;Tvie,1-EXP((T0-t)*PertePVj)+'2022'!Pspv,1-EXP((T0-t)*PertePVj)+Pspv)</f>
        <v>8.3971259456327996E-3</v>
      </c>
      <c r="M226" s="836"/>
      <c r="N226" s="836"/>
      <c r="O226" s="48">
        <f>IF(t&lt;Tnet,'2022'!Resal+('2022'!Salim-'2022'!Resal)*(1-EXP(('2022'!Tnet-t)/('2022'!Tau_j))),Resal+(Salim-Resal)*(1-EXP((Tnet-t)/(Tau_j))))*Salcycl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6.5973225566608809E-6</v>
      </c>
      <c r="Q226" s="301">
        <f t="shared" si="81"/>
        <v>0.5</v>
      </c>
      <c r="R226" s="173">
        <f t="shared" si="82"/>
        <v>0.93913953940221662</v>
      </c>
      <c r="S226" s="802">
        <f t="shared" si="83"/>
        <v>0</v>
      </c>
      <c r="T226" s="172">
        <f t="shared" si="84"/>
        <v>6</v>
      </c>
      <c r="U226" s="247">
        <f t="shared" si="85"/>
        <v>0.93913953940221662</v>
      </c>
      <c r="V226" s="378">
        <f t="shared" si="86"/>
        <v>59.04973861166188</v>
      </c>
      <c r="W226" s="397">
        <f t="shared" si="87"/>
        <v>59.269891654925786</v>
      </c>
      <c r="X226" s="153">
        <f t="shared" si="88"/>
        <v>45138</v>
      </c>
      <c r="Y226" s="380">
        <f t="shared" si="89"/>
        <v>57.517220756201588</v>
      </c>
      <c r="Z226" s="380">
        <f t="shared" si="90"/>
        <v>58.004290085436011</v>
      </c>
      <c r="AA226" s="381">
        <f t="shared" si="91"/>
        <v>60.179153822733198</v>
      </c>
      <c r="AB226" s="193">
        <f t="shared" si="92"/>
        <v>45138</v>
      </c>
      <c r="AC226" s="420">
        <f>IF(OR(t&lt;Tnet,NoTnet),'2022'!Resal_s+('2022'!Salim-'2022'!Resal_s)*(1-EXP(('2022'!Tnet_s-t)/'2022'!Tau_j)),Resal_s+(Salim-Resal_s)*(1-EXP((Tnet_s-t)/Tau_j)))*Salcycl</f>
        <v>3.6139819175649734E-2</v>
      </c>
      <c r="AD226" s="227">
        <f>(INDEX(Models!$BJ226:$BT226,,AH226)*(1-AF226)+INDEX(Models!$BJ226:$BT226,,AH226+1)*AF226-ERP_i)*AE226*Ramure*Pc/MaxiM</f>
        <v>6.5973225566608809E-6</v>
      </c>
      <c r="AE226" s="301">
        <f t="shared" si="93"/>
        <v>0.5</v>
      </c>
      <c r="AF226" s="173">
        <f t="shared" si="94"/>
        <v>0.93913953940221662</v>
      </c>
      <c r="AG226" s="172">
        <f t="shared" si="95"/>
        <v>0</v>
      </c>
      <c r="AH226" s="172">
        <f t="shared" si="96"/>
        <v>6</v>
      </c>
      <c r="AI226" s="221">
        <f t="shared" si="97"/>
        <v>0.93913953940221662</v>
      </c>
      <c r="AJ226" s="261" t="b">
        <f t="shared" si="98"/>
        <v>0</v>
      </c>
      <c r="AK226" s="261" t="b">
        <f t="shared" si="99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00"/>
        <v>45139</v>
      </c>
      <c r="B227" s="406">
        <f>'2022'!Wh/'2022'!Env_an*'2023'!Env_an</f>
        <v>58.749459898647167</v>
      </c>
      <c r="C227" s="385"/>
      <c r="D227" s="388">
        <f t="shared" si="78"/>
        <v>59.24777517053252</v>
      </c>
      <c r="E227" s="380">
        <f t="shared" si="76"/>
        <v>59.655784250629154</v>
      </c>
      <c r="F227" s="380">
        <f t="shared" si="79"/>
        <v>59.656205959955777</v>
      </c>
      <c r="G227" s="110">
        <f t="shared" si="77"/>
        <v>0.99884388793899515</v>
      </c>
      <c r="H227" s="409" t="b">
        <f>Wh_hp&gt;='2022'!Maxi_hp</f>
        <v>0</v>
      </c>
      <c r="I227" s="385">
        <f>IF(H227,Wh_hp,'2022'!Maxi_hp)</f>
        <v>59.656206328517612</v>
      </c>
      <c r="J227" s="85">
        <f>IF(H227,An,'2022'!An_max)</f>
        <v>2022</v>
      </c>
      <c r="K227" s="193">
        <f t="shared" si="80"/>
        <v>45139</v>
      </c>
      <c r="L227" s="143">
        <f>IF(t&lt;Tvie,1-EXP((T0-t)*PertePVj)+'2022'!Pspv,1-EXP((T0-t)*PertePVj)+Pspv)</f>
        <v>8.4107001562684358E-3</v>
      </c>
      <c r="M227" s="836"/>
      <c r="N227" s="836"/>
      <c r="O227" s="48">
        <f>IF(t&lt;Tnet,'2022'!Resal+('2022'!Salim-'2022'!Resal)*(1-EXP(('2022'!Tnet-t)/('2022'!Tau_j))),Resal+(Salim-Resal)*(1-EXP((Tnet-t)/(Tau_j))))*Salcycl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7.0806876723628952E-6</v>
      </c>
      <c r="Q227" s="301">
        <f t="shared" si="81"/>
        <v>0.5</v>
      </c>
      <c r="R227" s="173">
        <f t="shared" si="82"/>
        <v>0.94111459413088583</v>
      </c>
      <c r="S227" s="802">
        <f t="shared" si="83"/>
        <v>0</v>
      </c>
      <c r="T227" s="172">
        <f t="shared" si="84"/>
        <v>6</v>
      </c>
      <c r="U227" s="247">
        <f t="shared" si="85"/>
        <v>0.94111459413088583</v>
      </c>
      <c r="V227" s="378">
        <f t="shared" si="86"/>
        <v>58.817458785109658</v>
      </c>
      <c r="W227" s="397">
        <f t="shared" si="87"/>
        <v>58.749459898647167</v>
      </c>
      <c r="X227" s="153">
        <f t="shared" si="88"/>
        <v>45139</v>
      </c>
      <c r="Y227" s="380">
        <f t="shared" si="89"/>
        <v>57.013660818774227</v>
      </c>
      <c r="Z227" s="380">
        <f t="shared" si="90"/>
        <v>57.497252973342121</v>
      </c>
      <c r="AA227" s="381">
        <f t="shared" si="91"/>
        <v>59.655784250629154</v>
      </c>
      <c r="AB227" s="193">
        <f t="shared" si="92"/>
        <v>45139</v>
      </c>
      <c r="AC227" s="420">
        <f>IF(OR(t&lt;Tnet,NoTnet),'2022'!Resal_s+('2022'!Salim-'2022'!Resal_s)*(1-EXP(('2022'!Tnet_s-t)/'2022'!Tau_j)),Resal_s+(Salim-Resal_s)*(1-EXP((Tnet_s-t)/Tau_j)))*Salcycl</f>
        <v>3.6183101176216037E-2</v>
      </c>
      <c r="AD227" s="227">
        <f>(INDEX(Models!$BJ227:$BT227,,AH227)*(1-AF227)+INDEX(Models!$BJ227:$BT227,,AH227+1)*AF227-ERP_i)*AE227*Ramure*Pc/MaxiM</f>
        <v>7.0806876723628952E-6</v>
      </c>
      <c r="AE227" s="301">
        <f t="shared" si="93"/>
        <v>0.5</v>
      </c>
      <c r="AF227" s="173">
        <f t="shared" si="94"/>
        <v>0.94111459413088583</v>
      </c>
      <c r="AG227" s="172">
        <f t="shared" si="95"/>
        <v>0</v>
      </c>
      <c r="AH227" s="172">
        <f t="shared" si="96"/>
        <v>6</v>
      </c>
      <c r="AI227" s="221">
        <f t="shared" si="97"/>
        <v>0.94111459413088583</v>
      </c>
      <c r="AJ227" s="261" t="b">
        <f t="shared" si="98"/>
        <v>0</v>
      </c>
      <c r="AK227" s="261" t="b">
        <f t="shared" si="99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00"/>
        <v>45140</v>
      </c>
      <c r="B228" s="406">
        <f>'2022'!Wh/'2022'!Env_an*'2023'!Env_an</f>
        <v>58.759970431464517</v>
      </c>
      <c r="C228" s="385"/>
      <c r="D228" s="388">
        <f t="shared" si="78"/>
        <v>59.259186062603789</v>
      </c>
      <c r="E228" s="380">
        <f t="shared" si="76"/>
        <v>59.671499583312681</v>
      </c>
      <c r="F228" s="380">
        <f t="shared" si="79"/>
        <v>59.671955685390998</v>
      </c>
      <c r="G228" s="110">
        <f t="shared" si="77"/>
        <v>1.0030289075718304</v>
      </c>
      <c r="H228" s="409" t="b">
        <f>Wh_hp&gt;='2022'!Maxi_hp</f>
        <v>1</v>
      </c>
      <c r="I228" s="385">
        <f>IF(H228,Wh_hp,'2022'!Maxi_hp)</f>
        <v>59.671955685390998</v>
      </c>
      <c r="J228" s="85">
        <f>IF(H228,An,'2022'!An_max)</f>
        <v>2023</v>
      </c>
      <c r="K228" s="193">
        <f t="shared" si="80"/>
        <v>45140</v>
      </c>
      <c r="L228" s="143">
        <f>IF(t&lt;Tvie,1-EXP((T0-t)*PertePVj)+'2022'!Pspv,1-EXP((T0-t)*PertePVj)+Pspv)</f>
        <v>8.4242741810844901E-3</v>
      </c>
      <c r="M228" s="836"/>
      <c r="N228" s="836"/>
      <c r="O228" s="48">
        <f>IF(t&lt;Tnet,'2022'!Resal+('2022'!Salim-'2022'!Resal)*(1-EXP(('2022'!Tnet-t)/('2022'!Tau_j))),Resal+(Salim-Resal)*(1-EXP((Tnet-t)/(Tau_j))))*Salcycl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7.6434913700883807E-6</v>
      </c>
      <c r="Q228" s="301">
        <f t="shared" si="81"/>
        <v>0.5</v>
      </c>
      <c r="R228" s="173">
        <f t="shared" si="82"/>
        <v>0.94302664721552265</v>
      </c>
      <c r="S228" s="802">
        <f t="shared" si="83"/>
        <v>0</v>
      </c>
      <c r="T228" s="172">
        <f t="shared" si="84"/>
        <v>6</v>
      </c>
      <c r="U228" s="247">
        <f t="shared" si="85"/>
        <v>0.94302664721552265</v>
      </c>
      <c r="V228" s="378">
        <f t="shared" si="86"/>
        <v>58.582529364694814</v>
      </c>
      <c r="W228" s="397">
        <f t="shared" si="87"/>
        <v>58.759970431464517</v>
      </c>
      <c r="X228" s="153">
        <f t="shared" si="88"/>
        <v>45140</v>
      </c>
      <c r="Y228" s="380">
        <f t="shared" si="89"/>
        <v>57.025346946198638</v>
      </c>
      <c r="Z228" s="380">
        <f t="shared" si="90"/>
        <v>57.509825484183722</v>
      </c>
      <c r="AA228" s="381">
        <f t="shared" si="91"/>
        <v>59.671499583312681</v>
      </c>
      <c r="AB228" s="193">
        <f t="shared" si="92"/>
        <v>45140</v>
      </c>
      <c r="AC228" s="420">
        <f>IF(OR(t&lt;Tnet,NoTnet),'2022'!Resal_s+('2022'!Salim-'2022'!Resal_s)*(1-EXP(('2022'!Tnet_s-t)/'2022'!Tau_j)),Resal_s+(Salim-Resal_s)*(1-EXP((Tnet_s-t)/Tau_j)))*Salcycl</f>
        <v>3.6226240570858367E-2</v>
      </c>
      <c r="AD228" s="227">
        <f>(INDEX(Models!$BJ228:$BT228,,AH228)*(1-AF228)+INDEX(Models!$BJ228:$BT228,,AH228+1)*AF228-ERP_i)*AE228*Ramure*Pc/MaxiM</f>
        <v>7.6434913700883807E-6</v>
      </c>
      <c r="AE228" s="301">
        <f t="shared" si="93"/>
        <v>0.5</v>
      </c>
      <c r="AF228" s="173">
        <f t="shared" si="94"/>
        <v>0.94302664721552265</v>
      </c>
      <c r="AG228" s="172">
        <f t="shared" si="95"/>
        <v>0</v>
      </c>
      <c r="AH228" s="172">
        <f t="shared" si="96"/>
        <v>6</v>
      </c>
      <c r="AI228" s="221">
        <f t="shared" si="97"/>
        <v>0.94302664721552265</v>
      </c>
      <c r="AJ228" s="261" t="b">
        <f t="shared" si="98"/>
        <v>0</v>
      </c>
      <c r="AK228" s="261" t="b">
        <f t="shared" si="99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00"/>
        <v>45141</v>
      </c>
      <c r="B229" s="406">
        <f>'2022'!Wh/'2022'!Env_an*'2023'!Env_an</f>
        <v>58.342112028918869</v>
      </c>
      <c r="C229" s="385"/>
      <c r="D229" s="388">
        <f t="shared" si="78"/>
        <v>58.838583050415345</v>
      </c>
      <c r="E229" s="380">
        <f t="shared" si="76"/>
        <v>59.252161496453013</v>
      </c>
      <c r="F229" s="380">
        <f t="shared" si="79"/>
        <v>59.252652480682251</v>
      </c>
      <c r="G229" s="110">
        <f t="shared" si="77"/>
        <v>0.99994212657474713</v>
      </c>
      <c r="H229" s="409" t="b">
        <f>Wh_hp&gt;='2022'!Maxi_hp</f>
        <v>0</v>
      </c>
      <c r="I229" s="385">
        <f>IF(H229,Wh_hp,'2022'!Maxi_hp)</f>
        <v>59.252652502044675</v>
      </c>
      <c r="J229" s="85">
        <f>IF(H229,An,'2022'!An_max)</f>
        <v>2022</v>
      </c>
      <c r="K229" s="193">
        <f t="shared" si="80"/>
        <v>45141</v>
      </c>
      <c r="L229" s="143">
        <f>IF(t&lt;Tvie,1-EXP((T0-t)*PertePVj)+'2022'!Pspv,1-EXP((T0-t)*PertePVj)+Pspv)</f>
        <v>8.437848020083627E-3</v>
      </c>
      <c r="M229" s="836"/>
      <c r="N229" s="836"/>
      <c r="O229" s="48">
        <f>IF(t&lt;Tnet,'2022'!Resal+('2022'!Salim-'2022'!Resal)*(1-EXP(('2022'!Tnet-t)/('2022'!Tau_j))),Resal+(Salim-Resal)*(1-EXP((Tnet-t)/(Tau_j))))*Salcycl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8.2869678289207657E-6</v>
      </c>
      <c r="Q229" s="301">
        <f t="shared" si="81"/>
        <v>0.5</v>
      </c>
      <c r="R229" s="173">
        <f t="shared" si="82"/>
        <v>0.94487712753824549</v>
      </c>
      <c r="S229" s="802">
        <f t="shared" si="83"/>
        <v>0</v>
      </c>
      <c r="T229" s="172">
        <f t="shared" si="84"/>
        <v>6</v>
      </c>
      <c r="U229" s="247">
        <f t="shared" si="85"/>
        <v>0.94487712753824549</v>
      </c>
      <c r="V229" s="378">
        <f t="shared" si="86"/>
        <v>58.345488642222506</v>
      </c>
      <c r="W229" s="397">
        <f t="shared" si="87"/>
        <v>58.342112028918869</v>
      </c>
      <c r="X229" s="153">
        <f t="shared" si="88"/>
        <v>45141</v>
      </c>
      <c r="Y229" s="380">
        <f t="shared" si="89"/>
        <v>56.621302961799898</v>
      </c>
      <c r="Z229" s="380">
        <f t="shared" si="90"/>
        <v>57.10313049841654</v>
      </c>
      <c r="AA229" s="381">
        <f t="shared" si="91"/>
        <v>59.252161496453013</v>
      </c>
      <c r="AB229" s="193">
        <f t="shared" si="92"/>
        <v>45141</v>
      </c>
      <c r="AC229" s="420">
        <f>IF(OR(t&lt;Tnet,NoTnet),'2022'!Resal_s+('2022'!Salim-'2022'!Resal_s)*(1-EXP(('2022'!Tnet_s-t)/'2022'!Tau_j)),Resal_s+(Salim-Resal_s)*(1-EXP((Tnet_s-t)/Tau_j)))*Salcycl</f>
        <v>3.6269242231190539E-2</v>
      </c>
      <c r="AD229" s="227">
        <f>(INDEX(Models!$BJ229:$BT229,,AH229)*(1-AF229)+INDEX(Models!$BJ229:$BT229,,AH229+1)*AF229-ERP_i)*AE229*Ramure*Pc/MaxiM</f>
        <v>8.2869678289207657E-6</v>
      </c>
      <c r="AE229" s="301">
        <f t="shared" si="93"/>
        <v>0.5</v>
      </c>
      <c r="AF229" s="173">
        <f t="shared" si="94"/>
        <v>0.94487712753824549</v>
      </c>
      <c r="AG229" s="172">
        <f t="shared" si="95"/>
        <v>0</v>
      </c>
      <c r="AH229" s="172">
        <f t="shared" si="96"/>
        <v>6</v>
      </c>
      <c r="AI229" s="221">
        <f t="shared" si="97"/>
        <v>0.94487712753824549</v>
      </c>
      <c r="AJ229" s="261" t="b">
        <f t="shared" si="98"/>
        <v>0</v>
      </c>
      <c r="AK229" s="261" t="b">
        <f t="shared" si="99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00"/>
        <v>45142</v>
      </c>
      <c r="B230" s="406">
        <f>'2022'!Wh/'2022'!Env_an*'2023'!Env_an</f>
        <v>55.657765821072942</v>
      </c>
      <c r="C230" s="385"/>
      <c r="D230" s="388">
        <f t="shared" si="78"/>
        <v>56.132162394904647</v>
      </c>
      <c r="E230" s="380">
        <f t="shared" si="76"/>
        <v>56.530711673708929</v>
      </c>
      <c r="F230" s="380">
        <f t="shared" si="79"/>
        <v>56.531190475080315</v>
      </c>
      <c r="G230" s="110">
        <f t="shared" si="77"/>
        <v>0.95785112989600263</v>
      </c>
      <c r="H230" s="409" t="b">
        <f>Wh_hp&gt;='2022'!Maxi_hp</f>
        <v>0</v>
      </c>
      <c r="I230" s="385">
        <f>IF(H230,Wh_hp,'2022'!Maxi_hp)</f>
        <v>56.531206587752195</v>
      </c>
      <c r="J230" s="85">
        <f>IF(H230,An,'2022'!An_max)</f>
        <v>2022</v>
      </c>
      <c r="K230" s="193">
        <f t="shared" si="80"/>
        <v>45142</v>
      </c>
      <c r="L230" s="143">
        <f>IF(t&lt;Tvie,1-EXP((T0-t)*PertePVj)+'2022'!Pspv,1-EXP((T0-t)*PertePVj)+Pspv)</f>
        <v>8.4514216732681779E-3</v>
      </c>
      <c r="M230" s="836"/>
      <c r="N230" s="836"/>
      <c r="O230" s="48">
        <f>IF(t&lt;Tnet,'2022'!Resal+('2022'!Salim-'2022'!Resal)*(1-EXP(('2022'!Tnet-t)/('2022'!Tau_j))),Resal+(Salim-Resal)*(1-EXP((Tnet-t)/(Tau_j))))*Salcycl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9.0123349934180653E-6</v>
      </c>
      <c r="Q230" s="301">
        <f t="shared" si="81"/>
        <v>0.5</v>
      </c>
      <c r="R230" s="173">
        <f t="shared" si="82"/>
        <v>0.9466674740729224</v>
      </c>
      <c r="S230" s="802">
        <f t="shared" si="83"/>
        <v>0</v>
      </c>
      <c r="T230" s="172">
        <f t="shared" si="84"/>
        <v>6</v>
      </c>
      <c r="U230" s="247">
        <f t="shared" si="85"/>
        <v>0.9466674740729224</v>
      </c>
      <c r="V230" s="378">
        <f t="shared" si="86"/>
        <v>58.106874733414266</v>
      </c>
      <c r="W230" s="397">
        <f t="shared" si="87"/>
        <v>55.657765821072942</v>
      </c>
      <c r="X230" s="153">
        <f t="shared" si="88"/>
        <v>45142</v>
      </c>
      <c r="Y230" s="380">
        <f t="shared" si="89"/>
        <v>54.017546009970786</v>
      </c>
      <c r="Z230" s="380">
        <f t="shared" si="90"/>
        <v>54.477962240767894</v>
      </c>
      <c r="AA230" s="381">
        <f t="shared" si="91"/>
        <v>56.530711673708929</v>
      </c>
      <c r="AB230" s="193">
        <f t="shared" si="92"/>
        <v>45142</v>
      </c>
      <c r="AC230" s="420">
        <f>IF(OR(t&lt;Tnet,NoTnet),'2022'!Resal_s+('2022'!Salim-'2022'!Resal_s)*(1-EXP(('2022'!Tnet_s-t)/'2022'!Tau_j)),Resal_s+(Salim-Resal_s)*(1-EXP((Tnet_s-t)/Tau_j)))*Salcycl</f>
        <v>3.6312110216997623E-2</v>
      </c>
      <c r="AD230" s="227">
        <f>(INDEX(Models!$BJ230:$BT230,,AH230)*(1-AF230)+INDEX(Models!$BJ230:$BT230,,AH230+1)*AF230-ERP_i)*AE230*Ramure*Pc/MaxiM</f>
        <v>9.0123349934180653E-6</v>
      </c>
      <c r="AE230" s="301">
        <f t="shared" si="93"/>
        <v>0.5</v>
      </c>
      <c r="AF230" s="173">
        <f t="shared" si="94"/>
        <v>0.9466674740729224</v>
      </c>
      <c r="AG230" s="172">
        <f t="shared" si="95"/>
        <v>0</v>
      </c>
      <c r="AH230" s="172">
        <f t="shared" si="96"/>
        <v>6</v>
      </c>
      <c r="AI230" s="221">
        <f t="shared" si="97"/>
        <v>0.9466674740729224</v>
      </c>
      <c r="AJ230" s="261" t="b">
        <f t="shared" si="98"/>
        <v>0</v>
      </c>
      <c r="AK230" s="261" t="b">
        <f t="shared" si="99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00"/>
        <v>45143</v>
      </c>
      <c r="B231" s="406">
        <f>'2022'!Wh/'2022'!Env_an*'2023'!Env_an</f>
        <v>44.427445958220225</v>
      </c>
      <c r="C231" s="385"/>
      <c r="D231" s="388">
        <f t="shared" si="78"/>
        <v>44.806734750148216</v>
      </c>
      <c r="E231" s="380">
        <f t="shared" si="76"/>
        <v>45.128056349427567</v>
      </c>
      <c r="F231" s="380">
        <f t="shared" si="79"/>
        <v>45.128352498047867</v>
      </c>
      <c r="G231" s="110">
        <f t="shared" si="77"/>
        <v>0.767745485413311</v>
      </c>
      <c r="H231" s="409" t="b">
        <f>Wh_hp&gt;='2022'!Maxi_hp</f>
        <v>0</v>
      </c>
      <c r="I231" s="385">
        <f>IF(H231,Wh_hp,'2022'!Maxi_hp)</f>
        <v>45.128429594310724</v>
      </c>
      <c r="J231" s="85">
        <f>IF(H231,An,'2022'!An_max)</f>
        <v>2022</v>
      </c>
      <c r="K231" s="193">
        <f t="shared" si="80"/>
        <v>45143</v>
      </c>
      <c r="L231" s="143">
        <f>IF(t&lt;Tvie,1-EXP((T0-t)*PertePVj)+'2022'!Pspv,1-EXP((T0-t)*PertePVj)+Pspv)</f>
        <v>8.4649951406409185E-3</v>
      </c>
      <c r="M231" s="836"/>
      <c r="N231" s="836"/>
      <c r="O231" s="48">
        <f>IF(t&lt;Tnet,'2022'!Resal+('2022'!Salim-'2022'!Resal)*(1-EXP(('2022'!Tnet-t)/('2022'!Tau_j))),Resal+(Salim-Resal)*(1-EXP((Tnet-t)/(Tau_j))))*Salcycl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9.8207882575359204E-6</v>
      </c>
      <c r="Q231" s="301">
        <f t="shared" si="81"/>
        <v>0.5</v>
      </c>
      <c r="R231" s="173">
        <f t="shared" si="82"/>
        <v>0.94839913204656467</v>
      </c>
      <c r="S231" s="802">
        <f t="shared" si="83"/>
        <v>0</v>
      </c>
      <c r="T231" s="172">
        <f t="shared" si="84"/>
        <v>6</v>
      </c>
      <c r="U231" s="247">
        <f t="shared" si="85"/>
        <v>0.94839913204656467</v>
      </c>
      <c r="V231" s="378">
        <f t="shared" si="86"/>
        <v>57.867225581705391</v>
      </c>
      <c r="W231" s="397">
        <f t="shared" si="87"/>
        <v>44.427445958220225</v>
      </c>
      <c r="X231" s="153">
        <f t="shared" si="88"/>
        <v>45143</v>
      </c>
      <c r="Y231" s="380">
        <f t="shared" si="89"/>
        <v>43.119311822610918</v>
      </c>
      <c r="Z231" s="380">
        <f t="shared" si="90"/>
        <v>43.487432729343759</v>
      </c>
      <c r="AA231" s="381">
        <f t="shared" si="91"/>
        <v>45.128056349427567</v>
      </c>
      <c r="AB231" s="193">
        <f t="shared" si="92"/>
        <v>45143</v>
      </c>
      <c r="AC231" s="420">
        <f>IF(OR(t&lt;Tnet,NoTnet),'2022'!Resal_s+('2022'!Salim-'2022'!Resal_s)*(1-EXP(('2022'!Tnet_s-t)/'2022'!Tau_j)),Resal_s+(Salim-Resal_s)*(1-EXP((Tnet_s-t)/Tau_j)))*Salcycl</f>
        <v>3.6354847799790493E-2</v>
      </c>
      <c r="AD231" s="227">
        <f>(INDEX(Models!$BJ231:$BT231,,AH231)*(1-AF231)+INDEX(Models!$BJ231:$BT231,,AH231+1)*AF231-ERP_i)*AE231*Ramure*Pc/MaxiM</f>
        <v>9.8207882575359204E-6</v>
      </c>
      <c r="AE231" s="301">
        <f t="shared" si="93"/>
        <v>0.5</v>
      </c>
      <c r="AF231" s="173">
        <f t="shared" si="94"/>
        <v>0.94839913204656467</v>
      </c>
      <c r="AG231" s="172">
        <f t="shared" si="95"/>
        <v>0</v>
      </c>
      <c r="AH231" s="172">
        <f t="shared" si="96"/>
        <v>6</v>
      </c>
      <c r="AI231" s="221">
        <f t="shared" si="97"/>
        <v>0.94839913204656467</v>
      </c>
      <c r="AJ231" s="261" t="b">
        <f t="shared" si="98"/>
        <v>0</v>
      </c>
      <c r="AK231" s="261" t="b">
        <f t="shared" si="99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00"/>
        <v>45144</v>
      </c>
      <c r="B232" s="406">
        <f>'2022'!Wh/'2022'!Env_an*'2023'!Env_an</f>
        <v>53.010162118385885</v>
      </c>
      <c r="C232" s="385"/>
      <c r="D232" s="388">
        <f t="shared" si="78"/>
        <v>53.463455685502907</v>
      </c>
      <c r="E232" s="380">
        <f t="shared" si="76"/>
        <v>53.850653435681977</v>
      </c>
      <c r="F232" s="380">
        <f t="shared" si="79"/>
        <v>53.851164337912238</v>
      </c>
      <c r="G232" s="110">
        <f t="shared" si="77"/>
        <v>0.91988173050492306</v>
      </c>
      <c r="H232" s="409" t="b">
        <f>Wh_hp&gt;='2022'!Maxi_hp</f>
        <v>0</v>
      </c>
      <c r="I232" s="385">
        <f>IF(H232,Wh_hp,'2022'!Maxi_hp)</f>
        <v>53.85119889796897</v>
      </c>
      <c r="J232" s="85">
        <f>IF(H232,An,'2022'!An_max)</f>
        <v>2022</v>
      </c>
      <c r="K232" s="193">
        <f t="shared" si="80"/>
        <v>45144</v>
      </c>
      <c r="L232" s="143">
        <f>IF(t&lt;Tvie,1-EXP((T0-t)*PertePVj)+'2022'!Pspv,1-EXP((T0-t)*PertePVj)+Pspv)</f>
        <v>8.4785684222042912E-3</v>
      </c>
      <c r="M232" s="836"/>
      <c r="N232" s="836"/>
      <c r="O232" s="48">
        <f>IF(t&lt;Tnet,'2022'!Resal+('2022'!Salim-'2022'!Resal)*(1-EXP(('2022'!Tnet-t)/('2022'!Tau_j))),Resal+(Salim-Resal)*(1-EXP((Tnet-t)/(Tau_j))))*Salcycl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1.0713493580406939E-5</v>
      </c>
      <c r="Q232" s="301">
        <f t="shared" si="81"/>
        <v>0.5</v>
      </c>
      <c r="R232" s="173">
        <f t="shared" si="82"/>
        <v>0.95007354935609623</v>
      </c>
      <c r="S232" s="802">
        <f t="shared" si="83"/>
        <v>0</v>
      </c>
      <c r="T232" s="172">
        <f t="shared" si="84"/>
        <v>6</v>
      </c>
      <c r="U232" s="247">
        <f t="shared" si="85"/>
        <v>0.95007354935609623</v>
      </c>
      <c r="V232" s="378">
        <f t="shared" si="86"/>
        <v>57.62707895941044</v>
      </c>
      <c r="W232" s="397">
        <f t="shared" si="87"/>
        <v>53.010162118385885</v>
      </c>
      <c r="X232" s="153">
        <f t="shared" si="88"/>
        <v>45144</v>
      </c>
      <c r="Y232" s="380">
        <f t="shared" si="89"/>
        <v>51.45066833861182</v>
      </c>
      <c r="Z232" s="380">
        <f t="shared" si="90"/>
        <v>51.89062656642632</v>
      </c>
      <c r="AA232" s="381">
        <f t="shared" si="91"/>
        <v>53.850653435681977</v>
      </c>
      <c r="AB232" s="193">
        <f t="shared" si="92"/>
        <v>45144</v>
      </c>
      <c r="AC232" s="420">
        <f>IF(OR(t&lt;Tnet,NoTnet),'2022'!Resal_s+('2022'!Salim-'2022'!Resal_s)*(1-EXP(('2022'!Tnet_s-t)/'2022'!Tau_j)),Resal_s+(Salim-Resal_s)*(1-EXP((Tnet_s-t)/Tau_j)))*Salcycl</f>
        <v>3.6397457490402976E-2</v>
      </c>
      <c r="AD232" s="227">
        <f>(INDEX(Models!$BJ232:$BT232,,AH232)*(1-AF232)+INDEX(Models!$BJ232:$BT232,,AH232+1)*AF232-ERP_i)*AE232*Ramure*Pc/MaxiM</f>
        <v>1.0713493580406939E-5</v>
      </c>
      <c r="AE232" s="301">
        <f t="shared" si="93"/>
        <v>0.5</v>
      </c>
      <c r="AF232" s="173">
        <f t="shared" si="94"/>
        <v>0.95007354935609623</v>
      </c>
      <c r="AG232" s="172">
        <f t="shared" si="95"/>
        <v>0</v>
      </c>
      <c r="AH232" s="172">
        <f t="shared" si="96"/>
        <v>6</v>
      </c>
      <c r="AI232" s="221">
        <f t="shared" si="97"/>
        <v>0.95007354935609623</v>
      </c>
      <c r="AJ232" s="261" t="b">
        <f t="shared" si="98"/>
        <v>0</v>
      </c>
      <c r="AK232" s="261" t="b">
        <f t="shared" si="99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00"/>
        <v>45145</v>
      </c>
      <c r="B233" s="406">
        <f>'2022'!Wh/'2022'!Env_an*'2023'!Env_an</f>
        <v>55.891449713116366</v>
      </c>
      <c r="C233" s="385"/>
      <c r="D233" s="388">
        <f t="shared" si="78"/>
        <v>56.370153030036548</v>
      </c>
      <c r="E233" s="380">
        <f t="shared" ref="E233:E296" si="101">Wh_pvt/(1-Psa)</f>
        <v>56.782400458279788</v>
      </c>
      <c r="F233" s="380">
        <f t="shared" si="79"/>
        <v>56.783039681629418</v>
      </c>
      <c r="G233" s="110">
        <f t="shared" ref="G233:G296" si="102">+Wh_hp/MaxiM</f>
        <v>0.97397392606625244</v>
      </c>
      <c r="H233" s="409" t="b">
        <f>Wh_hp&gt;='2022'!Maxi_hp</f>
        <v>0</v>
      </c>
      <c r="I233" s="385">
        <f>IF(H233,Wh_hp,'2022'!Maxi_hp)</f>
        <v>56.783052579043542</v>
      </c>
      <c r="J233" s="85">
        <f>IF(H233,An,'2022'!An_max)</f>
        <v>2022</v>
      </c>
      <c r="K233" s="193">
        <f t="shared" si="80"/>
        <v>45145</v>
      </c>
      <c r="L233" s="143">
        <f>IF(t&lt;Tvie,1-EXP((T0-t)*PertePVj)+'2022'!Pspv,1-EXP((T0-t)*PertePVj)+Pspv)</f>
        <v>8.4921415179608495E-3</v>
      </c>
      <c r="M233" s="836"/>
      <c r="N233" s="836"/>
      <c r="O233" s="48">
        <f>IF(t&lt;Tnet,'2022'!Resal+('2022'!Salim-'2022'!Resal)*(1-EXP(('2022'!Tnet-t)/('2022'!Tau_j))),Resal+(Salim-Resal)*(1-EXP((Tnet-t)/(Tau_j))))*Salcycl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1.1691996188993887E-5</v>
      </c>
      <c r="Q233" s="301">
        <f t="shared" si="81"/>
        <v>0.5</v>
      </c>
      <c r="R233" s="173">
        <f t="shared" si="82"/>
        <v>0.9516921732356598</v>
      </c>
      <c r="S233" s="802">
        <f t="shared" si="83"/>
        <v>0</v>
      </c>
      <c r="T233" s="172">
        <f t="shared" si="84"/>
        <v>6</v>
      </c>
      <c r="U233" s="247">
        <f t="shared" si="85"/>
        <v>0.9516921732356598</v>
      </c>
      <c r="V233" s="378">
        <f t="shared" si="86"/>
        <v>57.384929843474573</v>
      </c>
      <c r="W233" s="397">
        <f t="shared" si="87"/>
        <v>55.891449713116366</v>
      </c>
      <c r="X233" s="153">
        <f t="shared" si="88"/>
        <v>45145</v>
      </c>
      <c r="Y233" s="380">
        <f t="shared" si="89"/>
        <v>54.248620443259995</v>
      </c>
      <c r="Z233" s="380">
        <f t="shared" si="90"/>
        <v>54.71325313176294</v>
      </c>
      <c r="AA233" s="381">
        <f t="shared" si="91"/>
        <v>56.782400458279788</v>
      </c>
      <c r="AB233" s="193">
        <f t="shared" si="92"/>
        <v>45145</v>
      </c>
      <c r="AC233" s="420">
        <f>IF(OR(t&lt;Tnet,NoTnet),'2022'!Resal_s+('2022'!Salim-'2022'!Resal_s)*(1-EXP(('2022'!Tnet_s-t)/'2022'!Tau_j)),Resal_s+(Salim-Resal_s)*(1-EXP((Tnet_s-t)/Tau_j)))*Salcycl</f>
        <v>3.6439941070070342E-2</v>
      </c>
      <c r="AD233" s="227">
        <f>(INDEX(Models!$BJ233:$BT233,,AH233)*(1-AF233)+INDEX(Models!$BJ233:$BT233,,AH233+1)*AF233-ERP_i)*AE233*Ramure*Pc/MaxiM</f>
        <v>1.1691996188993887E-5</v>
      </c>
      <c r="AE233" s="301">
        <f t="shared" si="93"/>
        <v>0.5</v>
      </c>
      <c r="AF233" s="173">
        <f t="shared" si="94"/>
        <v>0.9516921732356598</v>
      </c>
      <c r="AG233" s="172">
        <f t="shared" si="95"/>
        <v>0</v>
      </c>
      <c r="AH233" s="172">
        <f t="shared" si="96"/>
        <v>6</v>
      </c>
      <c r="AI233" s="221">
        <f t="shared" si="97"/>
        <v>0.9516921732356598</v>
      </c>
      <c r="AJ233" s="261" t="b">
        <f t="shared" si="98"/>
        <v>0</v>
      </c>
      <c r="AK233" s="261" t="b">
        <f t="shared" si="99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00"/>
        <v>45146</v>
      </c>
      <c r="B234" s="406">
        <f>'2022'!Wh/'2022'!Env_an*'2023'!Env_an</f>
        <v>57.339836094360329</v>
      </c>
      <c r="C234" s="385"/>
      <c r="D234" s="388">
        <f t="shared" si="78"/>
        <v>57.831736328440407</v>
      </c>
      <c r="E234" s="380">
        <f t="shared" si="101"/>
        <v>58.258770479418082</v>
      </c>
      <c r="F234" s="380">
        <f t="shared" si="79"/>
        <v>58.259512816427659</v>
      </c>
      <c r="G234" s="110">
        <f t="shared" si="102"/>
        <v>1.0035125626922679</v>
      </c>
      <c r="H234" s="409" t="b">
        <f>Wh_hp&gt;='2022'!Maxi_hp</f>
        <v>1</v>
      </c>
      <c r="I234" s="385">
        <f>IF(H234,Wh_hp,'2022'!Maxi_hp)</f>
        <v>58.259512816427659</v>
      </c>
      <c r="J234" s="85">
        <f>IF(H234,An,'2022'!An_max)</f>
        <v>2023</v>
      </c>
      <c r="K234" s="193">
        <f t="shared" si="80"/>
        <v>45146</v>
      </c>
      <c r="L234" s="143">
        <f>IF(t&lt;Tvie,1-EXP((T0-t)*PertePVj)+'2022'!Pspv,1-EXP((T0-t)*PertePVj)+Pspv)</f>
        <v>8.5057144279130359E-3</v>
      </c>
      <c r="M234" s="836"/>
      <c r="N234" s="836"/>
      <c r="O234" s="48">
        <f>IF(t&lt;Tnet,'2022'!Resal+('2022'!Salim-'2022'!Resal)*(1-EXP(('2022'!Tnet-t)/('2022'!Tau_j))),Resal+(Salim-Resal)*(1-EXP((Tnet-t)/(Tau_j))))*Salcycl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1.2741902115091492E-5</v>
      </c>
      <c r="Q234" s="301">
        <f t="shared" si="81"/>
        <v>0.5</v>
      </c>
      <c r="R234" s="173">
        <f t="shared" si="82"/>
        <v>0.95325644716858138</v>
      </c>
      <c r="S234" s="802">
        <f t="shared" si="83"/>
        <v>0</v>
      </c>
      <c r="T234" s="172">
        <f t="shared" si="84"/>
        <v>6</v>
      </c>
      <c r="U234" s="247">
        <f t="shared" si="85"/>
        <v>0.95325644716858138</v>
      </c>
      <c r="V234" s="378">
        <f t="shared" si="86"/>
        <v>57.139131313440146</v>
      </c>
      <c r="W234" s="397">
        <f t="shared" si="87"/>
        <v>57.339836094360329</v>
      </c>
      <c r="X234" s="153">
        <f t="shared" si="88"/>
        <v>45146</v>
      </c>
      <c r="Y234" s="380">
        <f t="shared" si="89"/>
        <v>55.655902258267005</v>
      </c>
      <c r="Z234" s="380">
        <f t="shared" si="90"/>
        <v>56.133356559038404</v>
      </c>
      <c r="AA234" s="381">
        <f t="shared" si="91"/>
        <v>58.258770479418082</v>
      </c>
      <c r="AB234" s="193">
        <f t="shared" si="92"/>
        <v>45146</v>
      </c>
      <c r="AC234" s="420">
        <f>IF(OR(t&lt;Tnet,NoTnet),'2022'!Resal_s+('2022'!Salim-'2022'!Resal_s)*(1-EXP(('2022'!Tnet_s-t)/'2022'!Tau_j)),Resal_s+(Salim-Resal_s)*(1-EXP((Tnet_s-t)/Tau_j)))*Salcycl</f>
        <v>3.648229962440689E-2</v>
      </c>
      <c r="AD234" s="227">
        <f>(INDEX(Models!$BJ234:$BT234,,AH234)*(1-AF234)+INDEX(Models!$BJ234:$BT234,,AH234+1)*AF234-ERP_i)*AE234*Ramure*Pc/MaxiM</f>
        <v>1.2741902115091492E-5</v>
      </c>
      <c r="AE234" s="301">
        <f t="shared" si="93"/>
        <v>0.5</v>
      </c>
      <c r="AF234" s="173">
        <f t="shared" si="94"/>
        <v>0.95325644716858138</v>
      </c>
      <c r="AG234" s="172">
        <f t="shared" si="95"/>
        <v>0</v>
      </c>
      <c r="AH234" s="172">
        <f t="shared" si="96"/>
        <v>6</v>
      </c>
      <c r="AI234" s="221">
        <f t="shared" si="97"/>
        <v>0.95325644716858138</v>
      </c>
      <c r="AJ234" s="261" t="b">
        <f t="shared" si="98"/>
        <v>0</v>
      </c>
      <c r="AK234" s="261" t="b">
        <f t="shared" si="99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00"/>
        <v>45147</v>
      </c>
      <c r="B235" s="406">
        <f>'2022'!Wh/'2022'!Env_an*'2023'!Env_an</f>
        <v>54.667679533225467</v>
      </c>
      <c r="C235" s="385"/>
      <c r="D235" s="388">
        <f t="shared" si="78"/>
        <v>55.137410970101101</v>
      </c>
      <c r="E235" s="380">
        <f t="shared" si="101"/>
        <v>55.548452746046188</v>
      </c>
      <c r="F235" s="380">
        <f t="shared" si="79"/>
        <v>55.549178222094604</v>
      </c>
      <c r="G235" s="110">
        <f t="shared" si="102"/>
        <v>0.96093564971120815</v>
      </c>
      <c r="H235" s="409" t="b">
        <f>Wh_hp&gt;='2022'!Maxi_hp</f>
        <v>0</v>
      </c>
      <c r="I235" s="385">
        <f>IF(H235,Wh_hp,'2022'!Maxi_hp)</f>
        <v>55.54920055473837</v>
      </c>
      <c r="J235" s="85">
        <f>IF(H235,An,'2022'!An_max)</f>
        <v>2022</v>
      </c>
      <c r="K235" s="193">
        <f t="shared" si="80"/>
        <v>45147</v>
      </c>
      <c r="L235" s="143">
        <f>IF(t&lt;Tvie,1-EXP((T0-t)*PertePVj)+'2022'!Pspv,1-EXP((T0-t)*PertePVj)+Pspv)</f>
        <v>8.519287152063626E-3</v>
      </c>
      <c r="M235" s="836"/>
      <c r="N235" s="836"/>
      <c r="O235" s="48">
        <f>IF(t&lt;Tnet,'2022'!Resal+('2022'!Salim-'2022'!Resal)*(1-EXP(('2022'!Tnet-t)/('2022'!Tau_j))),Resal+(Salim-Resal)*(1-EXP((Tnet-t)/(Tau_j))))*Salcycl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1.3831962896926393E-5</v>
      </c>
      <c r="Q235" s="301">
        <f t="shared" si="81"/>
        <v>0.5</v>
      </c>
      <c r="R235" s="173">
        <f t="shared" si="82"/>
        <v>0.95476780803720962</v>
      </c>
      <c r="S235" s="802">
        <f t="shared" si="83"/>
        <v>0</v>
      </c>
      <c r="T235" s="172">
        <f t="shared" si="84"/>
        <v>6</v>
      </c>
      <c r="U235" s="247">
        <f t="shared" si="85"/>
        <v>0.95476780803720962</v>
      </c>
      <c r="V235" s="378">
        <f t="shared" si="86"/>
        <v>56.890008557185183</v>
      </c>
      <c r="W235" s="397">
        <f t="shared" si="87"/>
        <v>54.667679533225467</v>
      </c>
      <c r="X235" s="153">
        <f t="shared" si="88"/>
        <v>45147</v>
      </c>
      <c r="Y235" s="380">
        <f t="shared" si="89"/>
        <v>53.063622821254768</v>
      </c>
      <c r="Z235" s="380">
        <f t="shared" si="90"/>
        <v>53.519571418423695</v>
      </c>
      <c r="AA235" s="381">
        <f t="shared" si="91"/>
        <v>55.548452746046188</v>
      </c>
      <c r="AB235" s="193">
        <f t="shared" si="92"/>
        <v>45147</v>
      </c>
      <c r="AC235" s="420">
        <f>IF(OR(t&lt;Tnet,NoTnet),'2022'!Resal_s+('2022'!Salim-'2022'!Resal_s)*(1-EXP(('2022'!Tnet_s-t)/'2022'!Tau_j)),Resal_s+(Salim-Resal_s)*(1-EXP((Tnet_s-t)/Tau_j)))*Salcycl</f>
        <v>3.6524533579684708E-2</v>
      </c>
      <c r="AD235" s="227">
        <f>(INDEX(Models!$BJ235:$BT235,,AH235)*(1-AF235)+INDEX(Models!$BJ235:$BT235,,AH235+1)*AF235-ERP_i)*AE235*Ramure*Pc/MaxiM</f>
        <v>1.3831962896926393E-5</v>
      </c>
      <c r="AE235" s="301">
        <f t="shared" si="93"/>
        <v>0.5</v>
      </c>
      <c r="AF235" s="173">
        <f t="shared" si="94"/>
        <v>0.95476780803720962</v>
      </c>
      <c r="AG235" s="172">
        <f t="shared" si="95"/>
        <v>0</v>
      </c>
      <c r="AH235" s="172">
        <f t="shared" si="96"/>
        <v>6</v>
      </c>
      <c r="AI235" s="221">
        <f t="shared" si="97"/>
        <v>0.95476780803720962</v>
      </c>
      <c r="AJ235" s="261" t="b">
        <f t="shared" si="98"/>
        <v>0</v>
      </c>
      <c r="AK235" s="261" t="b">
        <f t="shared" si="99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00"/>
        <v>45148</v>
      </c>
      <c r="B236" s="406">
        <f>'2022'!Wh/'2022'!Env_an*'2023'!Env_an</f>
        <v>53.090545043197764</v>
      </c>
      <c r="C236" s="385"/>
      <c r="D236" s="388">
        <f t="shared" si="78"/>
        <v>53.547457988996257</v>
      </c>
      <c r="E236" s="380">
        <f t="shared" si="101"/>
        <v>53.950432993297937</v>
      </c>
      <c r="F236" s="380">
        <f t="shared" si="79"/>
        <v>53.951168021399901</v>
      </c>
      <c r="G236" s="110">
        <f t="shared" si="102"/>
        <v>0.93736681961573209</v>
      </c>
      <c r="H236" s="409" t="b">
        <f>Wh_hp&gt;='2022'!Maxi_hp</f>
        <v>0</v>
      </c>
      <c r="I236" s="385">
        <f>IF(H236,Wh_hp,'2022'!Maxi_hp)</f>
        <v>53.951205583725304</v>
      </c>
      <c r="J236" s="85">
        <f>IF(H236,An,'2022'!An_max)</f>
        <v>2022</v>
      </c>
      <c r="K236" s="193">
        <f t="shared" si="80"/>
        <v>45148</v>
      </c>
      <c r="L236" s="143">
        <f>IF(t&lt;Tvie,1-EXP((T0-t)*PertePVj)+'2022'!Pspv,1-EXP((T0-t)*PertePVj)+Pspv)</f>
        <v>8.5328596904149512E-3</v>
      </c>
      <c r="M236" s="836"/>
      <c r="N236" s="836"/>
      <c r="O236" s="48">
        <f>IF(t&lt;Tnet,'2022'!Resal+('2022'!Salim-'2022'!Resal)*(1-EXP(('2022'!Tnet-t)/('2022'!Tau_j))),Resal+(Salim-Resal)*(1-EXP((Tnet-t)/(Tau_j))))*Salcycl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1.4962729546183085E-5</v>
      </c>
      <c r="Q236" s="301">
        <f t="shared" si="81"/>
        <v>0.5</v>
      </c>
      <c r="R236" s="173">
        <f t="shared" si="82"/>
        <v>0.95622768350310672</v>
      </c>
      <c r="S236" s="802">
        <f t="shared" si="83"/>
        <v>0</v>
      </c>
      <c r="T236" s="172">
        <f t="shared" si="84"/>
        <v>6</v>
      </c>
      <c r="U236" s="247">
        <f t="shared" si="85"/>
        <v>0.95622768350310672</v>
      </c>
      <c r="V236" s="378">
        <f t="shared" si="86"/>
        <v>56.637884822446296</v>
      </c>
      <c r="W236" s="397">
        <f t="shared" si="87"/>
        <v>53.090545043197764</v>
      </c>
      <c r="X236" s="153">
        <f t="shared" si="88"/>
        <v>45148</v>
      </c>
      <c r="Y236" s="380">
        <f t="shared" si="89"/>
        <v>51.534128817271551</v>
      </c>
      <c r="Z236" s="380">
        <f t="shared" si="90"/>
        <v>51.9776467843201</v>
      </c>
      <c r="AA236" s="381">
        <f t="shared" si="91"/>
        <v>53.950432993297937</v>
      </c>
      <c r="AB236" s="193">
        <f t="shared" si="92"/>
        <v>45148</v>
      </c>
      <c r="AC236" s="420">
        <f>IF(OR(t&lt;Tnet,NoTnet),'2022'!Resal_s+('2022'!Salim-'2022'!Resal_s)*(1-EXP(('2022'!Tnet_s-t)/'2022'!Tau_j)),Resal_s+(Salim-Resal_s)*(1-EXP((Tnet_s-t)/Tau_j)))*Salcycl</f>
        <v>3.6566642740808189E-2</v>
      </c>
      <c r="AD236" s="227">
        <f>(INDEX(Models!$BJ236:$BT236,,AH236)*(1-AF236)+INDEX(Models!$BJ236:$BT236,,AH236+1)*AF236-ERP_i)*AE236*Ramure*Pc/MaxiM</f>
        <v>1.4962729546183085E-5</v>
      </c>
      <c r="AE236" s="301">
        <f t="shared" si="93"/>
        <v>0.5</v>
      </c>
      <c r="AF236" s="173">
        <f t="shared" si="94"/>
        <v>0.95622768350310672</v>
      </c>
      <c r="AG236" s="172">
        <f t="shared" si="95"/>
        <v>0</v>
      </c>
      <c r="AH236" s="172">
        <f t="shared" si="96"/>
        <v>6</v>
      </c>
      <c r="AI236" s="221">
        <f t="shared" si="97"/>
        <v>0.95622768350310672</v>
      </c>
      <c r="AJ236" s="261" t="b">
        <f t="shared" si="98"/>
        <v>0</v>
      </c>
      <c r="AK236" s="261" t="b">
        <f t="shared" si="99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00"/>
        <v>45149</v>
      </c>
      <c r="B237" s="406">
        <f>'2022'!Wh/'2022'!Env_an*'2023'!Env_an</f>
        <v>50.103765310587484</v>
      </c>
      <c r="C237" s="385"/>
      <c r="D237" s="388">
        <f t="shared" si="78"/>
        <v>50.535664936715399</v>
      </c>
      <c r="E237" s="380">
        <f t="shared" si="101"/>
        <v>50.919543758369286</v>
      </c>
      <c r="F237" s="380">
        <f t="shared" si="79"/>
        <v>50.920234630436532</v>
      </c>
      <c r="G237" s="110">
        <f t="shared" si="102"/>
        <v>0.88862889005288848</v>
      </c>
      <c r="H237" s="409" t="b">
        <f>Wh_hp&gt;='2022'!Maxi_hp</f>
        <v>0</v>
      </c>
      <c r="I237" s="385">
        <f>IF(H237,Wh_hp,'2022'!Maxi_hp)</f>
        <v>50.920302507199573</v>
      </c>
      <c r="J237" s="85">
        <f>IF(H237,An,'2022'!An_max)</f>
        <v>2022</v>
      </c>
      <c r="K237" s="193">
        <f t="shared" si="80"/>
        <v>45149</v>
      </c>
      <c r="L237" s="143">
        <f>IF(t&lt;Tvie,1-EXP((T0-t)*PertePVj)+'2022'!Pspv,1-EXP((T0-t)*PertePVj)+Pspv)</f>
        <v>8.546432042969565E-3</v>
      </c>
      <c r="M237" s="836"/>
      <c r="N237" s="836"/>
      <c r="O237" s="48">
        <f>IF(t&lt;Tnet,'2022'!Resal+('2022'!Salim-'2022'!Resal)*(1-EXP(('2022'!Tnet-t)/('2022'!Tau_j))),Resal+(Salim-Resal)*(1-EXP((Tnet-t)/(Tau_j))))*Salcycl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1.6134741851416955E-5</v>
      </c>
      <c r="Q237" s="301">
        <f t="shared" si="81"/>
        <v>0.5</v>
      </c>
      <c r="R237" s="173">
        <f t="shared" si="82"/>
        <v>0.95763748960944928</v>
      </c>
      <c r="S237" s="802">
        <f t="shared" si="83"/>
        <v>0</v>
      </c>
      <c r="T237" s="172">
        <f t="shared" si="84"/>
        <v>6</v>
      </c>
      <c r="U237" s="247">
        <f t="shared" si="85"/>
        <v>0.95763748960944928</v>
      </c>
      <c r="V237" s="378">
        <f t="shared" si="86"/>
        <v>56.383083256467309</v>
      </c>
      <c r="W237" s="397">
        <f t="shared" si="87"/>
        <v>50.103765310587484</v>
      </c>
      <c r="X237" s="153">
        <f t="shared" si="88"/>
        <v>45149</v>
      </c>
      <c r="Y237" s="380">
        <f t="shared" si="89"/>
        <v>48.636200145012239</v>
      </c>
      <c r="Z237" s="380">
        <f t="shared" si="90"/>
        <v>49.055449208005804</v>
      </c>
      <c r="AA237" s="381">
        <f t="shared" si="91"/>
        <v>50.919543758369286</v>
      </c>
      <c r="AB237" s="193">
        <f t="shared" si="92"/>
        <v>45149</v>
      </c>
      <c r="AC237" s="420">
        <f>IF(OR(t&lt;Tnet,NoTnet),'2022'!Resal_s+('2022'!Salim-'2022'!Resal_s)*(1-EXP(('2022'!Tnet_s-t)/'2022'!Tau_j)),Resal_s+(Salim-Resal_s)*(1-EXP((Tnet_s-t)/Tau_j)))*Salcycl</f>
        <v>3.6608626330378202E-2</v>
      </c>
      <c r="AD237" s="227">
        <f>(INDEX(Models!$BJ237:$BT237,,AH237)*(1-AF237)+INDEX(Models!$BJ237:$BT237,,AH237+1)*AF237-ERP_i)*AE237*Ramure*Pc/MaxiM</f>
        <v>1.6134741851416955E-5</v>
      </c>
      <c r="AE237" s="301">
        <f t="shared" si="93"/>
        <v>0.5</v>
      </c>
      <c r="AF237" s="173">
        <f t="shared" si="94"/>
        <v>0.95763748960944928</v>
      </c>
      <c r="AG237" s="172">
        <f t="shared" si="95"/>
        <v>0</v>
      </c>
      <c r="AH237" s="172">
        <f t="shared" si="96"/>
        <v>6</v>
      </c>
      <c r="AI237" s="221">
        <f t="shared" si="97"/>
        <v>0.95763748960944928</v>
      </c>
      <c r="AJ237" s="261" t="b">
        <f t="shared" si="98"/>
        <v>0</v>
      </c>
      <c r="AK237" s="261" t="b">
        <f t="shared" si="99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00"/>
        <v>45150</v>
      </c>
      <c r="B238" s="406">
        <f>'2022'!Wh/'2022'!Env_an*'2023'!Env_an</f>
        <v>0</v>
      </c>
      <c r="C238" s="385"/>
      <c r="D238" s="388">
        <f t="shared" si="78"/>
        <v>0</v>
      </c>
      <c r="E238" s="380">
        <f t="shared" si="101"/>
        <v>0</v>
      </c>
      <c r="F238" s="380">
        <f t="shared" si="79"/>
        <v>0</v>
      </c>
      <c r="G238" s="110">
        <f t="shared" si="102"/>
        <v>0</v>
      </c>
      <c r="H238" s="409" t="b">
        <f>Wh_hp&gt;='2022'!Maxi_hp</f>
        <v>1</v>
      </c>
      <c r="I238" s="385">
        <f>IF(H238,Wh_hp,'2022'!Maxi_hp)</f>
        <v>0</v>
      </c>
      <c r="J238" s="85">
        <f>IF(H238,An,'2022'!An_max)</f>
        <v>2023</v>
      </c>
      <c r="K238" s="193">
        <f t="shared" si="80"/>
        <v>45150</v>
      </c>
      <c r="L238" s="143">
        <f>IF(t&lt;Tvie,1-EXP((T0-t)*PertePVj)+'2022'!Pspv,1-EXP((T0-t)*PertePVj)+Pspv)</f>
        <v>8.5600042097301321E-3</v>
      </c>
      <c r="M238" s="836"/>
      <c r="N238" s="836"/>
      <c r="O238" s="48">
        <f>IF(t&lt;Tnet,'2022'!Resal+('2022'!Salim-'2022'!Resal)*(1-EXP(('2022'!Tnet-t)/('2022'!Tau_j))),Resal+(Salim-Resal)*(1-EXP((Tnet-t)/(Tau_j))))*Salcycl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1.734852570807851E-5</v>
      </c>
      <c r="Q238" s="301">
        <f t="shared" si="81"/>
        <v>0.5</v>
      </c>
      <c r="R238" s="173">
        <f t="shared" si="82"/>
        <v>0.95899862859701535</v>
      </c>
      <c r="S238" s="802">
        <f t="shared" si="83"/>
        <v>0</v>
      </c>
      <c r="T238" s="172">
        <f t="shared" si="84"/>
        <v>6</v>
      </c>
      <c r="U238" s="247">
        <f t="shared" si="85"/>
        <v>0.95899862859701535</v>
      </c>
      <c r="V238" s="378">
        <f t="shared" si="86"/>
        <v>56.125926902557538</v>
      </c>
      <c r="W238" s="397">
        <f t="shared" si="87"/>
        <v>0</v>
      </c>
      <c r="X238" s="153">
        <f t="shared" si="88"/>
        <v>45150</v>
      </c>
      <c r="Y238" s="380">
        <f t="shared" si="89"/>
        <v>0</v>
      </c>
      <c r="Z238" s="380">
        <f t="shared" si="90"/>
        <v>0</v>
      </c>
      <c r="AA238" s="381">
        <f t="shared" si="91"/>
        <v>0</v>
      </c>
      <c r="AB238" s="193">
        <f t="shared" si="92"/>
        <v>45150</v>
      </c>
      <c r="AC238" s="420">
        <f>IF(OR(t&lt;Tnet,NoTnet),'2022'!Resal_s+('2022'!Salim-'2022'!Resal_s)*(1-EXP(('2022'!Tnet_s-t)/'2022'!Tau_j)),Resal_s+(Salim-Resal_s)*(1-EXP((Tnet_s-t)/Tau_j)))*Salcycl</f>
        <v>3.6650483028246535E-2</v>
      </c>
      <c r="AD238" s="227">
        <f>(INDEX(Models!$BJ238:$BT238,,AH238)*(1-AF238)+INDEX(Models!$BJ238:$BT238,,AH238+1)*AF238-ERP_i)*AE238*Ramure*Pc/MaxiM</f>
        <v>1.734852570807851E-5</v>
      </c>
      <c r="AE238" s="301">
        <f t="shared" si="93"/>
        <v>0.5</v>
      </c>
      <c r="AF238" s="173">
        <f t="shared" si="94"/>
        <v>0.95899862859701535</v>
      </c>
      <c r="AG238" s="172">
        <f t="shared" si="95"/>
        <v>0</v>
      </c>
      <c r="AH238" s="172">
        <f t="shared" si="96"/>
        <v>6</v>
      </c>
      <c r="AI238" s="221">
        <f t="shared" si="97"/>
        <v>0.95899862859701535</v>
      </c>
      <c r="AJ238" s="261" t="b">
        <f t="shared" si="98"/>
        <v>0</v>
      </c>
      <c r="AK238" s="261" t="b">
        <f t="shared" si="99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00"/>
        <v>45151</v>
      </c>
      <c r="B239" s="406">
        <f>'2022'!Wh/'2022'!Env_an*'2023'!Env_an</f>
        <v>37.236985297458588</v>
      </c>
      <c r="C239" s="385"/>
      <c r="D239" s="388">
        <f t="shared" si="78"/>
        <v>37.559000247728981</v>
      </c>
      <c r="E239" s="380">
        <f t="shared" si="101"/>
        <v>37.849602491845474</v>
      </c>
      <c r="F239" s="380">
        <f t="shared" si="79"/>
        <v>37.849971214536403</v>
      </c>
      <c r="G239" s="110">
        <f t="shared" si="102"/>
        <v>0.66652638282427146</v>
      </c>
      <c r="H239" s="409" t="b">
        <f>Wh_hp&gt;='2022'!Maxi_hp</f>
        <v>0</v>
      </c>
      <c r="I239" s="385">
        <f>IF(H239,Wh_hp,'2022'!Maxi_hp)</f>
        <v>37.850144925351806</v>
      </c>
      <c r="J239" s="85">
        <f>IF(H239,An,'2022'!An_max)</f>
        <v>2022</v>
      </c>
      <c r="K239" s="193">
        <f t="shared" si="80"/>
        <v>45151</v>
      </c>
      <c r="L239" s="143">
        <f>IF(t&lt;Tvie,1-EXP((T0-t)*PertePVj)+'2022'!Pspv,1-EXP((T0-t)*PertePVj)+Pspv)</f>
        <v>8.5735761906990948E-3</v>
      </c>
      <c r="M239" s="836"/>
      <c r="N239" s="836"/>
      <c r="O239" s="48">
        <f>IF(t&lt;Tnet,'2022'!Resal+('2022'!Salim-'2022'!Resal)*(1-EXP(('2022'!Tnet-t)/('2022'!Tau_j))),Resal+(Salim-Resal)*(1-EXP((Tnet-t)/(Tau_j))))*Salcycl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1.860459029194152E-5</v>
      </c>
      <c r="Q239" s="301">
        <f t="shared" si="81"/>
        <v>0.5</v>
      </c>
      <c r="R239" s="173">
        <f t="shared" si="82"/>
        <v>0.96031248692475901</v>
      </c>
      <c r="S239" s="802">
        <f t="shared" si="83"/>
        <v>0</v>
      </c>
      <c r="T239" s="172">
        <f t="shared" si="84"/>
        <v>6</v>
      </c>
      <c r="U239" s="247">
        <f t="shared" si="85"/>
        <v>0.96031248692475901</v>
      </c>
      <c r="V239" s="378">
        <f t="shared" si="86"/>
        <v>55.866738700991256</v>
      </c>
      <c r="W239" s="397">
        <f t="shared" si="87"/>
        <v>37.236985297458588</v>
      </c>
      <c r="X239" s="153">
        <f t="shared" si="88"/>
        <v>45151</v>
      </c>
      <c r="Y239" s="380">
        <f t="shared" si="89"/>
        <v>36.148217298947053</v>
      </c>
      <c r="Z239" s="380">
        <f t="shared" si="90"/>
        <v>36.460816890533167</v>
      </c>
      <c r="AA239" s="381">
        <f t="shared" si="91"/>
        <v>37.849602491845474</v>
      </c>
      <c r="AB239" s="193">
        <f t="shared" si="92"/>
        <v>45151</v>
      </c>
      <c r="AC239" s="420">
        <f>IF(OR(t&lt;Tnet,NoTnet),'2022'!Resal_s+('2022'!Salim-'2022'!Resal_s)*(1-EXP(('2022'!Tnet_s-t)/'2022'!Tau_j)),Resal_s+(Salim-Resal_s)*(1-EXP((Tnet_s-t)/Tau_j)))*Salcycl</f>
        <v>3.6692211010974675E-2</v>
      </c>
      <c r="AD239" s="227">
        <f>(INDEX(Models!$BJ239:$BT239,,AH239)*(1-AF239)+INDEX(Models!$BJ239:$BT239,,AH239+1)*AF239-ERP_i)*AE239*Ramure*Pc/MaxiM</f>
        <v>1.860459029194152E-5</v>
      </c>
      <c r="AE239" s="301">
        <f t="shared" si="93"/>
        <v>0.5</v>
      </c>
      <c r="AF239" s="173">
        <f t="shared" si="94"/>
        <v>0.96031248692475901</v>
      </c>
      <c r="AG239" s="172">
        <f t="shared" si="95"/>
        <v>0</v>
      </c>
      <c r="AH239" s="172">
        <f t="shared" si="96"/>
        <v>6</v>
      </c>
      <c r="AI239" s="221">
        <f t="shared" si="97"/>
        <v>0.96031248692475901</v>
      </c>
      <c r="AJ239" s="261" t="b">
        <f t="shared" si="98"/>
        <v>0</v>
      </c>
      <c r="AK239" s="261" t="b">
        <f t="shared" si="99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00"/>
        <v>45152</v>
      </c>
      <c r="B240" s="406">
        <f>'2022'!Wh/'2022'!Env_an*'2023'!Env_an</f>
        <v>37.304984429727206</v>
      </c>
      <c r="C240" s="385"/>
      <c r="D240" s="388">
        <f t="shared" si="78"/>
        <v>37.628102514446581</v>
      </c>
      <c r="E240" s="380">
        <f t="shared" si="101"/>
        <v>37.921888187387495</v>
      </c>
      <c r="F240" s="380">
        <f t="shared" si="79"/>
        <v>37.922288435591071</v>
      </c>
      <c r="G240" s="110">
        <f t="shared" si="102"/>
        <v>0.67087620047031316</v>
      </c>
      <c r="H240" s="409" t="b">
        <f>Wh_hp&gt;='2022'!Maxi_hp</f>
        <v>0</v>
      </c>
      <c r="I240" s="385">
        <f>IF(H240,Wh_hp,'2022'!Maxi_hp)</f>
        <v>37.922472113762595</v>
      </c>
      <c r="J240" s="85">
        <f>IF(H240,An,'2022'!An_max)</f>
        <v>2022</v>
      </c>
      <c r="K240" s="193">
        <f t="shared" si="80"/>
        <v>45152</v>
      </c>
      <c r="L240" s="143">
        <f>IF(t&lt;Tvie,1-EXP((T0-t)*PertePVj)+'2022'!Pspv,1-EXP((T0-t)*PertePVj)+Pspv)</f>
        <v>8.5871479858790067E-3</v>
      </c>
      <c r="M240" s="836"/>
      <c r="N240" s="836"/>
      <c r="O240" s="48">
        <f>IF(t&lt;Tnet,'2022'!Resal+('2022'!Salim-'2022'!Resal)*(1-EXP(('2022'!Tnet-t)/('2022'!Tau_j))),Resal+(Salim-Resal)*(1-EXP((Tnet-t)/(Tau_j))))*Salcycl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1.9920331955476195E-5</v>
      </c>
      <c r="Q240" s="301">
        <f t="shared" si="81"/>
        <v>0.5</v>
      </c>
      <c r="R240" s="173">
        <f t="shared" si="82"/>
        <v>0.96158043348570788</v>
      </c>
      <c r="S240" s="802">
        <f t="shared" si="83"/>
        <v>0</v>
      </c>
      <c r="T240" s="172">
        <f t="shared" si="84"/>
        <v>6</v>
      </c>
      <c r="U240" s="247">
        <f t="shared" si="85"/>
        <v>0.96158043348570788</v>
      </c>
      <c r="V240" s="378">
        <f t="shared" si="86"/>
        <v>55.605840548710042</v>
      </c>
      <c r="W240" s="397">
        <f t="shared" si="87"/>
        <v>37.304984429727206</v>
      </c>
      <c r="X240" s="153">
        <f t="shared" si="88"/>
        <v>45152</v>
      </c>
      <c r="Y240" s="380">
        <f t="shared" si="89"/>
        <v>36.215193991337784</v>
      </c>
      <c r="Z240" s="380">
        <f t="shared" si="90"/>
        <v>36.528872828069773</v>
      </c>
      <c r="AA240" s="381">
        <f t="shared" si="91"/>
        <v>37.921888187387495</v>
      </c>
      <c r="AB240" s="193">
        <f t="shared" si="92"/>
        <v>45152</v>
      </c>
      <c r="AC240" s="420">
        <f>IF(OR(t&lt;Tnet,NoTnet),'2022'!Resal_s+('2022'!Salim-'2022'!Resal_s)*(1-EXP(('2022'!Tnet_s-t)/'2022'!Tau_j)),Resal_s+(Salim-Resal_s)*(1-EXP((Tnet_s-t)/Tau_j)))*Salcycl</f>
        <v>3.6733807990632264E-2</v>
      </c>
      <c r="AD240" s="227">
        <f>(INDEX(Models!$BJ240:$BT240,,AH240)*(1-AF240)+INDEX(Models!$BJ240:$BT240,,AH240+1)*AF240-ERP_i)*AE240*Ramure*Pc/MaxiM</f>
        <v>1.9920331955476195E-5</v>
      </c>
      <c r="AE240" s="301">
        <f t="shared" si="93"/>
        <v>0.5</v>
      </c>
      <c r="AF240" s="173">
        <f t="shared" si="94"/>
        <v>0.96158043348570788</v>
      </c>
      <c r="AG240" s="172">
        <f t="shared" si="95"/>
        <v>0</v>
      </c>
      <c r="AH240" s="172">
        <f t="shared" si="96"/>
        <v>6</v>
      </c>
      <c r="AI240" s="221">
        <f t="shared" si="97"/>
        <v>0.96158043348570788</v>
      </c>
      <c r="AJ240" s="261" t="b">
        <f t="shared" si="98"/>
        <v>0</v>
      </c>
      <c r="AK240" s="261" t="b">
        <f t="shared" si="99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00"/>
        <v>45153</v>
      </c>
      <c r="B241" s="406">
        <f>'2022'!Wh/'2022'!Env_an*'2023'!Env_an</f>
        <v>37.72890486568479</v>
      </c>
      <c r="C241" s="385"/>
      <c r="D241" s="388">
        <f t="shared" si="78"/>
        <v>38.056215705827825</v>
      </c>
      <c r="E241" s="380">
        <f t="shared" si="101"/>
        <v>38.356019770367865</v>
      </c>
      <c r="F241" s="380">
        <f t="shared" si="79"/>
        <v>38.356464246036346</v>
      </c>
      <c r="G241" s="110">
        <f t="shared" si="102"/>
        <v>0.68171512383551014</v>
      </c>
      <c r="H241" s="409" t="b">
        <f>Wh_hp&gt;='2022'!Maxi_hp</f>
        <v>0</v>
      </c>
      <c r="I241" s="385">
        <f>IF(H241,Wh_hp,'2022'!Maxi_hp)</f>
        <v>38.356655660783957</v>
      </c>
      <c r="J241" s="85">
        <f>IF(H241,An,'2022'!An_max)</f>
        <v>2022</v>
      </c>
      <c r="K241" s="193">
        <f t="shared" si="80"/>
        <v>45153</v>
      </c>
      <c r="L241" s="143">
        <f>IF(t&lt;Tvie,1-EXP((T0-t)*PertePVj)+'2022'!Pspv,1-EXP((T0-t)*PertePVj)+Pspv)</f>
        <v>8.6007195952725324E-3</v>
      </c>
      <c r="M241" s="836"/>
      <c r="N241" s="836"/>
      <c r="O241" s="48">
        <f>IF(t&lt;Tnet,'2022'!Resal+('2022'!Salim-'2022'!Resal)*(1-EXP(('2022'!Tnet-t)/('2022'!Tau_j))),Resal+(Salim-Resal)*(1-EXP((Tnet-t)/(Tau_j))))*Salcycl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2.1250081685284996E-5</v>
      </c>
      <c r="Q241" s="301">
        <f t="shared" si="81"/>
        <v>0.5</v>
      </c>
      <c r="R241" s="173">
        <f t="shared" si="82"/>
        <v>0.96280381800874815</v>
      </c>
      <c r="S241" s="802">
        <f t="shared" si="83"/>
        <v>0</v>
      </c>
      <c r="T241" s="172">
        <f t="shared" si="84"/>
        <v>6</v>
      </c>
      <c r="U241" s="247">
        <f t="shared" si="85"/>
        <v>0.96280381800874815</v>
      </c>
      <c r="V241" s="378">
        <f t="shared" si="86"/>
        <v>55.343557746488088</v>
      </c>
      <c r="W241" s="397">
        <f t="shared" si="87"/>
        <v>37.72890486568479</v>
      </c>
      <c r="X241" s="153">
        <f t="shared" si="88"/>
        <v>45153</v>
      </c>
      <c r="Y241" s="380">
        <f t="shared" si="89"/>
        <v>36.627709139410385</v>
      </c>
      <c r="Z241" s="380">
        <f t="shared" si="90"/>
        <v>36.945466739150284</v>
      </c>
      <c r="AA241" s="381">
        <f t="shared" si="91"/>
        <v>38.356019770367865</v>
      </c>
      <c r="AB241" s="193">
        <f t="shared" si="92"/>
        <v>45153</v>
      </c>
      <c r="AC241" s="420">
        <f>IF(OR(t&lt;Tnet,NoTnet),'2022'!Resal_s+('2022'!Salim-'2022'!Resal_s)*(1-EXP(('2022'!Tnet_s-t)/'2022'!Tau_j)),Resal_s+(Salim-Resal_s)*(1-EXP((Tnet_s-t)/Tau_j)))*Salcycl</f>
        <v>3.6775271252396997E-2</v>
      </c>
      <c r="AD241" s="227">
        <f>(INDEX(Models!$BJ241:$BT241,,AH241)*(1-AF241)+INDEX(Models!$BJ241:$BT241,,AH241+1)*AF241-ERP_i)*AE241*Ramure*Pc/MaxiM</f>
        <v>2.1250081685284996E-5</v>
      </c>
      <c r="AE241" s="301">
        <f t="shared" si="93"/>
        <v>0.5</v>
      </c>
      <c r="AF241" s="173">
        <f t="shared" si="94"/>
        <v>0.96280381800874815</v>
      </c>
      <c r="AG241" s="172">
        <f t="shared" si="95"/>
        <v>0</v>
      </c>
      <c r="AH241" s="172">
        <f t="shared" si="96"/>
        <v>6</v>
      </c>
      <c r="AI241" s="221">
        <f t="shared" si="97"/>
        <v>0.96280381800874815</v>
      </c>
      <c r="AJ241" s="261" t="b">
        <f t="shared" si="98"/>
        <v>0</v>
      </c>
      <c r="AK241" s="261" t="b">
        <f t="shared" si="99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00"/>
        <v>45154</v>
      </c>
      <c r="B242" s="406">
        <f>'2022'!Wh/'2022'!Env_an*'2023'!Env_an</f>
        <v>39.077805732487974</v>
      </c>
      <c r="C242" s="385"/>
      <c r="D242" s="388">
        <f t="shared" si="78"/>
        <v>39.417358328323708</v>
      </c>
      <c r="E242" s="380">
        <f t="shared" si="101"/>
        <v>39.730653720386982</v>
      </c>
      <c r="F242" s="380">
        <f t="shared" si="79"/>
        <v>39.731178824687845</v>
      </c>
      <c r="G242" s="110">
        <f t="shared" si="102"/>
        <v>0.70946420145461919</v>
      </c>
      <c r="H242" s="409" t="b">
        <f>Wh_hp&gt;='2022'!Maxi_hp</f>
        <v>0</v>
      </c>
      <c r="I242" s="385">
        <f>IF(H242,Wh_hp,'2022'!Maxi_hp)</f>
        <v>39.731371026563743</v>
      </c>
      <c r="J242" s="85">
        <f>IF(H242,An,'2022'!An_max)</f>
        <v>2022</v>
      </c>
      <c r="K242" s="193">
        <f t="shared" si="80"/>
        <v>45154</v>
      </c>
      <c r="L242" s="143">
        <f>IF(t&lt;Tvie,1-EXP((T0-t)*PertePVj)+'2022'!Pspv,1-EXP((T0-t)*PertePVj)+Pspv)</f>
        <v>8.6142910188821142E-3</v>
      </c>
      <c r="M242" s="836"/>
      <c r="N242" s="836"/>
      <c r="O242" s="48">
        <f>IF(t&lt;Tnet,'2022'!Resal+('2022'!Salim-'2022'!Resal)*(1-EXP(('2022'!Tnet-t)/('2022'!Tau_j))),Resal+(Salim-Resal)*(1-EXP((Tnet-t)/(Tau_j))))*Salcycl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2.2593794265101211E-5</v>
      </c>
      <c r="Q242" s="301">
        <f t="shared" si="81"/>
        <v>0.5</v>
      </c>
      <c r="R242" s="173">
        <f t="shared" si="82"/>
        <v>0.96398396963676691</v>
      </c>
      <c r="S242" s="802">
        <f t="shared" si="83"/>
        <v>0</v>
      </c>
      <c r="T242" s="172">
        <f t="shared" si="84"/>
        <v>6</v>
      </c>
      <c r="U242" s="247">
        <f t="shared" si="85"/>
        <v>0.96398396963676691</v>
      </c>
      <c r="V242" s="378">
        <f t="shared" si="86"/>
        <v>55.08021292781627</v>
      </c>
      <c r="W242" s="397">
        <f t="shared" si="87"/>
        <v>39.077805732487974</v>
      </c>
      <c r="X242" s="153">
        <f t="shared" si="88"/>
        <v>45154</v>
      </c>
      <c r="Y242" s="380">
        <f t="shared" si="89"/>
        <v>37.938255345467432</v>
      </c>
      <c r="Z242" s="380">
        <f t="shared" si="90"/>
        <v>38.267906226384802</v>
      </c>
      <c r="AA242" s="381">
        <f t="shared" si="91"/>
        <v>39.730653720386982</v>
      </c>
      <c r="AB242" s="193">
        <f t="shared" si="92"/>
        <v>45154</v>
      </c>
      <c r="AC242" s="420">
        <f>IF(OR(t&lt;Tnet,NoTnet),'2022'!Resal_s+('2022'!Salim-'2022'!Resal_s)*(1-EXP(('2022'!Tnet_s-t)/'2022'!Tau_j)),Resal_s+(Salim-Resal_s)*(1-EXP((Tnet_s-t)/Tau_j)))*Salcycl</f>
        <v>3.681659769045275E-2</v>
      </c>
      <c r="AD242" s="227">
        <f>(INDEX(Models!$BJ242:$BT242,,AH242)*(1-AF242)+INDEX(Models!$BJ242:$BT242,,AH242+1)*AF242-ERP_i)*AE242*Ramure*Pc/MaxiM</f>
        <v>2.2593794265101211E-5</v>
      </c>
      <c r="AE242" s="301">
        <f t="shared" si="93"/>
        <v>0.5</v>
      </c>
      <c r="AF242" s="173">
        <f t="shared" si="94"/>
        <v>0.96398396963676691</v>
      </c>
      <c r="AG242" s="172">
        <f t="shared" si="95"/>
        <v>0</v>
      </c>
      <c r="AH242" s="172">
        <f t="shared" si="96"/>
        <v>6</v>
      </c>
      <c r="AI242" s="221">
        <f t="shared" si="97"/>
        <v>0.96398396963676691</v>
      </c>
      <c r="AJ242" s="261" t="b">
        <f t="shared" si="98"/>
        <v>0</v>
      </c>
      <c r="AK242" s="261" t="b">
        <f t="shared" si="99"/>
        <v>0</v>
      </c>
      <c r="AL242" s="261"/>
      <c r="AM242" s="261"/>
      <c r="AN242" s="75"/>
    </row>
    <row r="243" spans="1:40" s="6" customFormat="1" ht="11.25" x14ac:dyDescent="0.2">
      <c r="A243" s="56">
        <f t="shared" si="100"/>
        <v>45155</v>
      </c>
      <c r="B243" s="406">
        <f>'2022'!Wh/'2022'!Env_an*'2023'!Env_an</f>
        <v>27.181358745111044</v>
      </c>
      <c r="C243" s="385"/>
      <c r="D243" s="388">
        <f t="shared" si="78"/>
        <v>27.417916754232508</v>
      </c>
      <c r="E243" s="380">
        <f t="shared" si="101"/>
        <v>27.637762028997106</v>
      </c>
      <c r="F243" s="380">
        <f t="shared" si="79"/>
        <v>27.63794725148464</v>
      </c>
      <c r="G243" s="110">
        <f t="shared" si="102"/>
        <v>0.49585570078193686</v>
      </c>
      <c r="H243" s="409" t="b">
        <f>Wh_hp&gt;='2022'!Maxi_hp</f>
        <v>0</v>
      </c>
      <c r="I243" s="385">
        <f>IF(H243,Wh_hp,'2022'!Maxi_hp)</f>
        <v>27.638192909314213</v>
      </c>
      <c r="J243" s="85">
        <f>IF(H243,An,'2022'!An_max)</f>
        <v>2022</v>
      </c>
      <c r="K243" s="193">
        <f t="shared" si="80"/>
        <v>45155</v>
      </c>
      <c r="L243" s="143">
        <f>IF(t&lt;Tvie,1-EXP((T0-t)*PertePVj)+'2022'!Pspv,1-EXP((T0-t)*PertePVj)+Pspv)</f>
        <v>8.6278622567101948E-3</v>
      </c>
      <c r="M243" s="836"/>
      <c r="N243" s="836"/>
      <c r="O243" s="48">
        <f>IF(t&lt;Tnet,'2022'!Resal+('2022'!Salim-'2022'!Resal)*(1-EXP(('2022'!Tnet-t)/('2022'!Tau_j))),Resal+(Salim-Resal)*(1-EXP((Tnet-t)/(Tau_j))))*Salcycl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2.3951393472520162E-5</v>
      </c>
      <c r="Q243" s="301">
        <f t="shared" si="81"/>
        <v>0.5</v>
      </c>
      <c r="R243" s="173">
        <f t="shared" si="82"/>
        <v>0.9651221956716195</v>
      </c>
      <c r="S243" s="802">
        <f t="shared" si="83"/>
        <v>0</v>
      </c>
      <c r="T243" s="172">
        <f t="shared" si="84"/>
        <v>6</v>
      </c>
      <c r="U243" s="247">
        <f t="shared" si="85"/>
        <v>0.9651221956716195</v>
      </c>
      <c r="V243" s="378">
        <f t="shared" si="86"/>
        <v>54.816128624184806</v>
      </c>
      <c r="W243" s="397">
        <f t="shared" si="87"/>
        <v>27.181358745111044</v>
      </c>
      <c r="X243" s="153">
        <f t="shared" si="88"/>
        <v>45155</v>
      </c>
      <c r="Y243" s="380">
        <f t="shared" si="89"/>
        <v>26.389429482010534</v>
      </c>
      <c r="Z243" s="380">
        <f t="shared" si="90"/>
        <v>26.619095370263398</v>
      </c>
      <c r="AA243" s="381">
        <f t="shared" si="91"/>
        <v>27.637762028997106</v>
      </c>
      <c r="AB243" s="193">
        <f t="shared" si="92"/>
        <v>45155</v>
      </c>
      <c r="AC243" s="420">
        <f>IF(OR(t&lt;Tnet,NoTnet),'2022'!Resal_s+('2022'!Salim-'2022'!Resal_s)*(1-EXP(('2022'!Tnet_s-t)/'2022'!Tau_j)),Resal_s+(Salim-Resal_s)*(1-EXP((Tnet_s-t)/Tau_j)))*Salcycl</f>
        <v>3.6857783841721226E-2</v>
      </c>
      <c r="AD243" s="227">
        <f>(INDEX(Models!$BJ243:$BT243,,AH243)*(1-AF243)+INDEX(Models!$BJ243:$BT243,,AH243+1)*AF243-ERP_i)*AE243*Ramure*Pc/MaxiM</f>
        <v>2.3951393472520162E-5</v>
      </c>
      <c r="AE243" s="301">
        <f t="shared" si="93"/>
        <v>0.5</v>
      </c>
      <c r="AF243" s="173">
        <f t="shared" si="94"/>
        <v>0.9651221956716195</v>
      </c>
      <c r="AG243" s="172">
        <f t="shared" si="95"/>
        <v>0</v>
      </c>
      <c r="AH243" s="172">
        <f t="shared" si="96"/>
        <v>6</v>
      </c>
      <c r="AI243" s="221">
        <f t="shared" si="97"/>
        <v>0.9651221956716195</v>
      </c>
      <c r="AJ243" s="261" t="b">
        <f t="shared" si="98"/>
        <v>0</v>
      </c>
      <c r="AK243" s="261" t="b">
        <f t="shared" si="99"/>
        <v>0</v>
      </c>
      <c r="AL243" s="261"/>
      <c r="AM243" s="261"/>
      <c r="AN243" s="75"/>
    </row>
    <row r="244" spans="1:40" s="6" customFormat="1" ht="11.25" x14ac:dyDescent="0.2">
      <c r="A244" s="56">
        <f t="shared" si="100"/>
        <v>45156</v>
      </c>
      <c r="B244" s="406">
        <f>'2022'!Wh/'2022'!Env_an*'2023'!Env_an</f>
        <v>41.473902016755027</v>
      </c>
      <c r="C244" s="385"/>
      <c r="D244" s="388">
        <f t="shared" si="78"/>
        <v>41.83542000870419</v>
      </c>
      <c r="E244" s="380">
        <f t="shared" si="101"/>
        <v>42.173800454668545</v>
      </c>
      <c r="F244" s="380">
        <f t="shared" si="79"/>
        <v>42.174502677117445</v>
      </c>
      <c r="G244" s="110">
        <f t="shared" si="102"/>
        <v>0.76026223993874043</v>
      </c>
      <c r="H244" s="409" t="b">
        <f>Wh_hp&gt;='2022'!Maxi_hp</f>
        <v>0</v>
      </c>
      <c r="I244" s="385">
        <f>IF(H244,Wh_hp,'2022'!Maxi_hp)</f>
        <v>42.174690936516853</v>
      </c>
      <c r="J244" s="85">
        <f>IF(H244,An,'2022'!An_max)</f>
        <v>2022</v>
      </c>
      <c r="K244" s="193">
        <f t="shared" si="80"/>
        <v>45156</v>
      </c>
      <c r="L244" s="143">
        <f>IF(t&lt;Tvie,1-EXP((T0-t)*PertePVj)+'2022'!Pspv,1-EXP((T0-t)*PertePVj)+Pspv)</f>
        <v>8.6414333087595496E-3</v>
      </c>
      <c r="M244" s="836"/>
      <c r="N244" s="836"/>
      <c r="O244" s="48">
        <f>IF(t&lt;Tnet,'2022'!Resal+('2022'!Salim-'2022'!Resal)*(1-EXP(('2022'!Tnet-t)/('2022'!Tau_j))),Resal+(Salim-Resal)*(1-EXP((Tnet-t)/(Tau_j))))*Salcycl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2.5322770026183552E-5</v>
      </c>
      <c r="Q244" s="301">
        <f t="shared" si="81"/>
        <v>0.5</v>
      </c>
      <c r="R244" s="173">
        <f t="shared" si="82"/>
        <v>0.96621978047643309</v>
      </c>
      <c r="S244" s="802">
        <f t="shared" si="83"/>
        <v>0</v>
      </c>
      <c r="T244" s="172">
        <f t="shared" si="84"/>
        <v>6</v>
      </c>
      <c r="U244" s="247">
        <f t="shared" si="85"/>
        <v>0.96621978047643309</v>
      </c>
      <c r="V244" s="378">
        <f t="shared" si="86"/>
        <v>54.551627261128949</v>
      </c>
      <c r="W244" s="397">
        <f t="shared" si="87"/>
        <v>41.473902016755027</v>
      </c>
      <c r="X244" s="153">
        <f t="shared" si="88"/>
        <v>45156</v>
      </c>
      <c r="Y244" s="380">
        <f t="shared" si="89"/>
        <v>40.266642134441682</v>
      </c>
      <c r="Z244" s="380">
        <f t="shared" si="90"/>
        <v>40.617636733433066</v>
      </c>
      <c r="AA244" s="381">
        <f t="shared" si="91"/>
        <v>42.173800454668545</v>
      </c>
      <c r="AB244" s="193">
        <f t="shared" si="92"/>
        <v>45156</v>
      </c>
      <c r="AC244" s="420">
        <f>IF(OR(t&lt;Tnet,NoTnet),'2022'!Resal_s+('2022'!Salim-'2022'!Resal_s)*(1-EXP(('2022'!Tnet_s-t)/'2022'!Tau_j)),Resal_s+(Salim-Resal_s)*(1-EXP((Tnet_s-t)/Tau_j)))*Salcycl</f>
        <v>3.6898825917008729E-2</v>
      </c>
      <c r="AD244" s="227">
        <f>(INDEX(Models!$BJ244:$BT244,,AH244)*(1-AF244)+INDEX(Models!$BJ244:$BT244,,AH244+1)*AF244-ERP_i)*AE244*Ramure*Pc/MaxiM</f>
        <v>2.5322770026183552E-5</v>
      </c>
      <c r="AE244" s="301">
        <f t="shared" si="93"/>
        <v>0.5</v>
      </c>
      <c r="AF244" s="173">
        <f t="shared" si="94"/>
        <v>0.96621978047643309</v>
      </c>
      <c r="AG244" s="172">
        <f t="shared" si="95"/>
        <v>0</v>
      </c>
      <c r="AH244" s="172">
        <f t="shared" si="96"/>
        <v>6</v>
      </c>
      <c r="AI244" s="221">
        <f t="shared" si="97"/>
        <v>0.96621978047643309</v>
      </c>
      <c r="AJ244" s="261" t="b">
        <f t="shared" si="98"/>
        <v>0</v>
      </c>
      <c r="AK244" s="261" t="b">
        <f t="shared" si="99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00"/>
        <v>45157</v>
      </c>
      <c r="B245" s="406">
        <f>'2022'!Wh/'2022'!Env_an*'2023'!Env_an</f>
        <v>41.057250431963858</v>
      </c>
      <c r="C245" s="385"/>
      <c r="D245" s="388">
        <f t="shared" si="78"/>
        <v>41.415703518831251</v>
      </c>
      <c r="E245" s="380">
        <f t="shared" si="101"/>
        <v>41.753587404721593</v>
      </c>
      <c r="F245" s="380">
        <f t="shared" si="79"/>
        <v>41.754314332089209</v>
      </c>
      <c r="G245" s="110">
        <f t="shared" si="102"/>
        <v>0.75629239233318724</v>
      </c>
      <c r="H245" s="409" t="b">
        <f>Wh_hp&gt;='2022'!Maxi_hp</f>
        <v>0</v>
      </c>
      <c r="I245" s="385">
        <f>IF(H245,Wh_hp,'2022'!Maxi_hp)</f>
        <v>41.754513954757151</v>
      </c>
      <c r="J245" s="85">
        <f>IF(H245,An,'2022'!An_max)</f>
        <v>2022</v>
      </c>
      <c r="K245" s="193">
        <f t="shared" si="80"/>
        <v>45157</v>
      </c>
      <c r="L245" s="143">
        <f>IF(t&lt;Tvie,1-EXP((T0-t)*PertePVj)+'2022'!Pspv,1-EXP((T0-t)*PertePVj)+Pspv)</f>
        <v>8.6550041750325102E-3</v>
      </c>
      <c r="M245" s="836"/>
      <c r="N245" s="836"/>
      <c r="O245" s="48">
        <f>IF(t&lt;Tnet,'2022'!Resal+('2022'!Salim-'2022'!Resal)*(1-EXP(('2022'!Tnet-t)/('2022'!Tau_j))),Resal+(Salim-Resal)*(1-EXP((Tnet-t)/(Tau_j))))*Salcycl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2.6707779508806774E-5</v>
      </c>
      <c r="Q245" s="301">
        <f t="shared" si="81"/>
        <v>0.5</v>
      </c>
      <c r="R245" s="173">
        <f t="shared" si="82"/>
        <v>0.96727798452587244</v>
      </c>
      <c r="S245" s="802">
        <f t="shared" si="83"/>
        <v>0</v>
      </c>
      <c r="T245" s="172">
        <f t="shared" si="84"/>
        <v>6</v>
      </c>
      <c r="U245" s="247">
        <f t="shared" si="85"/>
        <v>0.96727798452587244</v>
      </c>
      <c r="V245" s="378">
        <f t="shared" si="86"/>
        <v>54.287031160532415</v>
      </c>
      <c r="W245" s="397">
        <f t="shared" si="87"/>
        <v>41.057250431963858</v>
      </c>
      <c r="X245" s="153">
        <f t="shared" si="88"/>
        <v>45157</v>
      </c>
      <c r="Y245" s="380">
        <f t="shared" si="89"/>
        <v>39.863193293433419</v>
      </c>
      <c r="Z245" s="380">
        <f t="shared" si="90"/>
        <v>40.211221584127195</v>
      </c>
      <c r="AA245" s="381">
        <f t="shared" si="91"/>
        <v>41.753587404721593</v>
      </c>
      <c r="AB245" s="193">
        <f t="shared" si="92"/>
        <v>45157</v>
      </c>
      <c r="AC245" s="420">
        <f>IF(OR(t&lt;Tnet,NoTnet),'2022'!Resal_s+('2022'!Salim-'2022'!Resal_s)*(1-EXP(('2022'!Tnet_s-t)/'2022'!Tau_j)),Resal_s+(Salim-Resal_s)*(1-EXP((Tnet_s-t)/Tau_j)))*Salcycl</f>
        <v>3.6939719829199205E-2</v>
      </c>
      <c r="AD245" s="227">
        <f>(INDEX(Models!$BJ245:$BT245,,AH245)*(1-AF245)+INDEX(Models!$BJ245:$BT245,,AH245+1)*AF245-ERP_i)*AE245*Ramure*Pc/MaxiM</f>
        <v>2.6707779508806774E-5</v>
      </c>
      <c r="AE245" s="301">
        <f t="shared" si="93"/>
        <v>0.5</v>
      </c>
      <c r="AF245" s="173">
        <f t="shared" si="94"/>
        <v>0.96727798452587244</v>
      </c>
      <c r="AG245" s="172">
        <f t="shared" si="95"/>
        <v>0</v>
      </c>
      <c r="AH245" s="172">
        <f t="shared" si="96"/>
        <v>6</v>
      </c>
      <c r="AI245" s="221">
        <f t="shared" si="97"/>
        <v>0.96727798452587244</v>
      </c>
      <c r="AJ245" s="261" t="b">
        <f t="shared" si="98"/>
        <v>0</v>
      </c>
      <c r="AK245" s="261" t="b">
        <f t="shared" si="99"/>
        <v>0</v>
      </c>
      <c r="AL245" s="261"/>
      <c r="AM245" s="261"/>
      <c r="AN245" s="75"/>
    </row>
    <row r="246" spans="1:40" s="6" customFormat="1" ht="11.25" x14ac:dyDescent="0.2">
      <c r="A246" s="56">
        <f t="shared" si="100"/>
        <v>45158</v>
      </c>
      <c r="B246" s="406">
        <f>'2022'!Wh/'2022'!Env_an*'2023'!Env_an</f>
        <v>53.581898932936575</v>
      </c>
      <c r="C246" s="385"/>
      <c r="D246" s="388">
        <f t="shared" si="78"/>
        <v>54.050439211213344</v>
      </c>
      <c r="E246" s="380">
        <f t="shared" si="101"/>
        <v>54.495179467116586</v>
      </c>
      <c r="F246" s="380">
        <f t="shared" si="79"/>
        <v>54.496693311543659</v>
      </c>
      <c r="G246" s="110">
        <f t="shared" si="102"/>
        <v>0.99184081010888725</v>
      </c>
      <c r="H246" s="409" t="b">
        <f>Wh_hp&gt;='2022'!Maxi_hp</f>
        <v>0</v>
      </c>
      <c r="I246" s="385">
        <f>IF(H246,Wh_hp,'2022'!Maxi_hp)</f>
        <v>54.496702481805315</v>
      </c>
      <c r="J246" s="85">
        <f>IF(H246,An,'2022'!An_max)</f>
        <v>2022</v>
      </c>
      <c r="K246" s="193">
        <f t="shared" si="80"/>
        <v>45158</v>
      </c>
      <c r="L246" s="143">
        <f>IF(t&lt;Tvie,1-EXP((T0-t)*PertePVj)+'2022'!Pspv,1-EXP((T0-t)*PertePVj)+Pspv)</f>
        <v>8.668574855531741E-3</v>
      </c>
      <c r="M246" s="836"/>
      <c r="N246" s="836"/>
      <c r="O246" s="48">
        <f>IF(t&lt;Tnet,'2022'!Resal+('2022'!Salim-'2022'!Resal)*(1-EXP(('2022'!Tnet-t)/('2022'!Tau_j))),Resal+(Salim-Resal)*(1-EXP((Tnet-t)/(Tau_j))))*Salcycl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2.8106240267760665E-5</v>
      </c>
      <c r="Q246" s="301">
        <f t="shared" si="81"/>
        <v>0.5</v>
      </c>
      <c r="R246" s="173">
        <f t="shared" si="82"/>
        <v>0.9682980435951577</v>
      </c>
      <c r="S246" s="802">
        <f t="shared" si="83"/>
        <v>0</v>
      </c>
      <c r="T246" s="172">
        <f t="shared" si="84"/>
        <v>6</v>
      </c>
      <c r="U246" s="247">
        <f t="shared" si="85"/>
        <v>0.9682980435951577</v>
      </c>
      <c r="V246" s="378">
        <f t="shared" si="86"/>
        <v>54.022662541499749</v>
      </c>
      <c r="W246" s="397">
        <f t="shared" si="87"/>
        <v>53.581898932936575</v>
      </c>
      <c r="X246" s="153">
        <f t="shared" si="88"/>
        <v>45158</v>
      </c>
      <c r="Y246" s="380">
        <f t="shared" si="89"/>
        <v>52.024996458816965</v>
      </c>
      <c r="Z246" s="380">
        <f t="shared" si="90"/>
        <v>52.479922596255115</v>
      </c>
      <c r="AA246" s="381">
        <f t="shared" si="91"/>
        <v>54.495179467116586</v>
      </c>
      <c r="AB246" s="193">
        <f t="shared" si="92"/>
        <v>45158</v>
      </c>
      <c r="AC246" s="420">
        <f>IF(OR(t&lt;Tnet,NoTnet),'2022'!Resal_s+('2022'!Salim-'2022'!Resal_s)*(1-EXP(('2022'!Tnet_s-t)/'2022'!Tau_j)),Resal_s+(Salim-Resal_s)*(1-EXP((Tnet_s-t)/Tau_j)))*Salcycl</f>
        <v>3.6980461218180098E-2</v>
      </c>
      <c r="AD246" s="227">
        <f>(INDEX(Models!$BJ246:$BT246,,AH246)*(1-AF246)+INDEX(Models!$BJ246:$BT246,,AH246+1)*AF246-ERP_i)*AE246*Ramure*Pc/MaxiM</f>
        <v>2.8106240267760665E-5</v>
      </c>
      <c r="AE246" s="301">
        <f t="shared" si="93"/>
        <v>0.5</v>
      </c>
      <c r="AF246" s="173">
        <f t="shared" si="94"/>
        <v>0.9682980435951577</v>
      </c>
      <c r="AG246" s="172">
        <f t="shared" si="95"/>
        <v>0</v>
      </c>
      <c r="AH246" s="172">
        <f t="shared" si="96"/>
        <v>6</v>
      </c>
      <c r="AI246" s="221">
        <f t="shared" si="97"/>
        <v>0.9682980435951577</v>
      </c>
      <c r="AJ246" s="261" t="b">
        <f t="shared" si="98"/>
        <v>0</v>
      </c>
      <c r="AK246" s="261" t="b">
        <f t="shared" si="99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00"/>
        <v>45159</v>
      </c>
      <c r="B247" s="406">
        <f>'2022'!Wh/'2022'!Env_an*'2023'!Env_an</f>
        <v>38.665640759218007</v>
      </c>
      <c r="C247" s="385"/>
      <c r="D247" s="388">
        <f t="shared" si="78"/>
        <v>39.004281601363509</v>
      </c>
      <c r="E247" s="380">
        <f t="shared" si="101"/>
        <v>39.327941068732088</v>
      </c>
      <c r="F247" s="380">
        <f t="shared" si="79"/>
        <v>39.328636339761573</v>
      </c>
      <c r="G247" s="110">
        <f t="shared" si="102"/>
        <v>0.71922911676512058</v>
      </c>
      <c r="H247" s="409" t="b">
        <f>Wh_hp&gt;='2022'!Maxi_hp</f>
        <v>0</v>
      </c>
      <c r="I247" s="385">
        <f>IF(H247,Wh_hp,'2022'!Maxi_hp)</f>
        <v>39.328875280006322</v>
      </c>
      <c r="J247" s="85">
        <f>IF(H247,An,'2022'!An_max)</f>
        <v>2022</v>
      </c>
      <c r="K247" s="193">
        <f t="shared" si="80"/>
        <v>45159</v>
      </c>
      <c r="L247" s="143">
        <f>IF(t&lt;Tvie,1-EXP((T0-t)*PertePVj)+'2022'!Pspv,1-EXP((T0-t)*PertePVj)+Pspv)</f>
        <v>8.6821453502597956E-3</v>
      </c>
      <c r="M247" s="836"/>
      <c r="N247" s="836"/>
      <c r="O247" s="48">
        <f>IF(t&lt;Tnet,'2022'!Resal+('2022'!Salim-'2022'!Resal)*(1-EXP(('2022'!Tnet-t)/('2022'!Tau_j))),Resal+(Salim-Resal)*(1-EXP((Tnet-t)/(Tau_j))))*Salcycl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2.9517734764978955E-5</v>
      </c>
      <c r="Q247" s="301">
        <f t="shared" si="81"/>
        <v>0.5</v>
      </c>
      <c r="R247" s="173">
        <f t="shared" si="82"/>
        <v>0.96928116807882192</v>
      </c>
      <c r="S247" s="802">
        <f t="shared" si="83"/>
        <v>0</v>
      </c>
      <c r="T247" s="172">
        <f t="shared" si="84"/>
        <v>6</v>
      </c>
      <c r="U247" s="247">
        <f t="shared" si="85"/>
        <v>0.96928116807882192</v>
      </c>
      <c r="V247" s="378">
        <f t="shared" si="86"/>
        <v>53.759201453311377</v>
      </c>
      <c r="W247" s="397">
        <f t="shared" si="87"/>
        <v>38.665640759218007</v>
      </c>
      <c r="X247" s="153">
        <f t="shared" si="88"/>
        <v>45159</v>
      </c>
      <c r="Y247" s="380">
        <f t="shared" si="89"/>
        <v>37.543169542732393</v>
      </c>
      <c r="Z247" s="380">
        <f t="shared" si="90"/>
        <v>37.87197957409677</v>
      </c>
      <c r="AA247" s="381">
        <f t="shared" si="91"/>
        <v>39.327941068732088</v>
      </c>
      <c r="AB247" s="193">
        <f t="shared" si="92"/>
        <v>45159</v>
      </c>
      <c r="AC247" s="420">
        <f>IF(OR(t&lt;Tnet,NoTnet),'2022'!Resal_s+('2022'!Salim-'2022'!Resal_s)*(1-EXP(('2022'!Tnet_s-t)/'2022'!Tau_j)),Resal_s+(Salim-Resal_s)*(1-EXP((Tnet_s-t)/Tau_j)))*Salcycl</f>
        <v>3.7021045472245433E-2</v>
      </c>
      <c r="AD247" s="227">
        <f>(INDEX(Models!$BJ247:$BT247,,AH247)*(1-AF247)+INDEX(Models!$BJ247:$BT247,,AH247+1)*AF247-ERP_i)*AE247*Ramure*Pc/MaxiM</f>
        <v>2.9517734764978955E-5</v>
      </c>
      <c r="AE247" s="301">
        <f t="shared" si="93"/>
        <v>0.5</v>
      </c>
      <c r="AF247" s="173">
        <f t="shared" si="94"/>
        <v>0.96928116807882192</v>
      </c>
      <c r="AG247" s="172">
        <f t="shared" si="95"/>
        <v>0</v>
      </c>
      <c r="AH247" s="172">
        <f t="shared" si="96"/>
        <v>6</v>
      </c>
      <c r="AI247" s="221">
        <f t="shared" si="97"/>
        <v>0.96928116807882192</v>
      </c>
      <c r="AJ247" s="261" t="b">
        <f t="shared" si="98"/>
        <v>0</v>
      </c>
      <c r="AK247" s="261" t="b">
        <f t="shared" si="99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00"/>
        <v>45160</v>
      </c>
      <c r="B248" s="406">
        <f>'2022'!Wh/'2022'!Env_an*'2023'!Env_an</f>
        <v>28.282863085654963</v>
      </c>
      <c r="C248" s="385"/>
      <c r="D248" s="388">
        <f t="shared" si="78"/>
        <v>28.530960203065316</v>
      </c>
      <c r="E248" s="380">
        <f t="shared" si="101"/>
        <v>28.769700557517687</v>
      </c>
      <c r="F248" s="380">
        <f t="shared" si="79"/>
        <v>28.769992969665317</v>
      </c>
      <c r="G248" s="110">
        <f t="shared" si="102"/>
        <v>0.52867272734834392</v>
      </c>
      <c r="H248" s="409" t="b">
        <f>Wh_hp&gt;='2022'!Maxi_hp</f>
        <v>0</v>
      </c>
      <c r="I248" s="385">
        <f>IF(H248,Wh_hp,'2022'!Maxi_hp)</f>
        <v>28.770301944261828</v>
      </c>
      <c r="J248" s="85">
        <f>IF(H248,An,'2022'!An_max)</f>
        <v>2022</v>
      </c>
      <c r="K248" s="193">
        <f t="shared" si="80"/>
        <v>45160</v>
      </c>
      <c r="L248" s="143">
        <f>IF(t&lt;Tvie,1-EXP((T0-t)*PertePVj)+'2022'!Pspv,1-EXP((T0-t)*PertePVj)+Pspv)</f>
        <v>8.6957156592191165E-3</v>
      </c>
      <c r="M248" s="836"/>
      <c r="N248" s="836"/>
      <c r="O248" s="48">
        <f>IF(t&lt;Tnet,'2022'!Resal+('2022'!Salim-'2022'!Resal)*(1-EXP(('2022'!Tnet-t)/('2022'!Tau_j))),Resal+(Salim-Resal)*(1-EXP((Tnet-t)/(Tau_j))))*Salcycl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3.1111309449767271E-5</v>
      </c>
      <c r="Q248" s="301">
        <f t="shared" si="81"/>
        <v>0.5</v>
      </c>
      <c r="R248" s="173">
        <f t="shared" si="82"/>
        <v>0.97022854243044032</v>
      </c>
      <c r="S248" s="802">
        <f t="shared" si="83"/>
        <v>0</v>
      </c>
      <c r="T248" s="172">
        <f t="shared" si="84"/>
        <v>6</v>
      </c>
      <c r="U248" s="247">
        <f t="shared" si="85"/>
        <v>0.97022854243044032</v>
      </c>
      <c r="V248" s="378">
        <f t="shared" si="86"/>
        <v>53.496746022146453</v>
      </c>
      <c r="W248" s="397">
        <f t="shared" si="87"/>
        <v>28.282863085654963</v>
      </c>
      <c r="X248" s="153">
        <f t="shared" si="88"/>
        <v>45160</v>
      </c>
      <c r="Y248" s="380">
        <f t="shared" si="89"/>
        <v>27.462551876198081</v>
      </c>
      <c r="Z248" s="380">
        <f t="shared" si="90"/>
        <v>27.703453228249412</v>
      </c>
      <c r="AA248" s="381">
        <f t="shared" si="91"/>
        <v>28.769700557517687</v>
      </c>
      <c r="AB248" s="193">
        <f t="shared" si="92"/>
        <v>45160</v>
      </c>
      <c r="AC248" s="420">
        <f>IF(OR(t&lt;Tnet,NoTnet),'2022'!Resal_s+('2022'!Salim-'2022'!Resal_s)*(1-EXP(('2022'!Tnet_s-t)/'2022'!Tau_j)),Resal_s+(Salim-Resal_s)*(1-EXP((Tnet_s-t)/Tau_j)))*Salcycl</f>
        <v>3.7061467745782853E-2</v>
      </c>
      <c r="AD248" s="227">
        <f>(INDEX(Models!$BJ248:$BT248,,AH248)*(1-AF248)+INDEX(Models!$BJ248:$BT248,,AH248+1)*AF248-ERP_i)*AE248*Ramure*Pc/MaxiM</f>
        <v>3.1111309449767271E-5</v>
      </c>
      <c r="AE248" s="301">
        <f t="shared" si="93"/>
        <v>0.5</v>
      </c>
      <c r="AF248" s="173">
        <f t="shared" si="94"/>
        <v>0.97022854243044032</v>
      </c>
      <c r="AG248" s="172">
        <f t="shared" si="95"/>
        <v>0</v>
      </c>
      <c r="AH248" s="172">
        <f t="shared" si="96"/>
        <v>6</v>
      </c>
      <c r="AI248" s="221">
        <f t="shared" si="97"/>
        <v>0.97022854243044032</v>
      </c>
      <c r="AJ248" s="261" t="b">
        <f t="shared" si="98"/>
        <v>0</v>
      </c>
      <c r="AK248" s="261" t="b">
        <f t="shared" si="99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00"/>
        <v>45161</v>
      </c>
      <c r="B249" s="406">
        <f>'2022'!Wh/'2022'!Env_an*'2023'!Env_an</f>
        <v>47.844712525980647</v>
      </c>
      <c r="C249" s="385"/>
      <c r="D249" s="388">
        <f t="shared" si="78"/>
        <v>48.2650667859265</v>
      </c>
      <c r="E249" s="380">
        <f t="shared" si="101"/>
        <v>48.672297857762786</v>
      </c>
      <c r="F249" s="380">
        <f t="shared" si="79"/>
        <v>48.673667897782174</v>
      </c>
      <c r="G249" s="110">
        <f t="shared" si="102"/>
        <v>0.89874522466946472</v>
      </c>
      <c r="H249" s="409" t="b">
        <f>Wh_hp&gt;='2022'!Maxi_hp</f>
        <v>0</v>
      </c>
      <c r="I249" s="385">
        <f>IF(H249,Wh_hp,'2022'!Maxi_hp)</f>
        <v>48.673786569897885</v>
      </c>
      <c r="J249" s="85">
        <f>IF(H249,An,'2022'!An_max)</f>
        <v>2022</v>
      </c>
      <c r="K249" s="193">
        <f t="shared" si="80"/>
        <v>45161</v>
      </c>
      <c r="L249" s="143">
        <f>IF(t&lt;Tvie,1-EXP((T0-t)*PertePVj)+'2022'!Pspv,1-EXP((T0-t)*PertePVj)+Pspv)</f>
        <v>8.7092857824123682E-3</v>
      </c>
      <c r="M249" s="836"/>
      <c r="N249" s="836"/>
      <c r="O249" s="48">
        <f>IF(t&lt;Tnet,'2022'!Resal+('2022'!Salim-'2022'!Resal)*(1-EXP(('2022'!Tnet-t)/('2022'!Tau_j))),Resal+(Salim-Resal)*(1-EXP((Tnet-t)/(Tau_j))))*Salcycl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3.2907285036216196E-5</v>
      </c>
      <c r="Q249" s="301">
        <f t="shared" si="81"/>
        <v>0.5</v>
      </c>
      <c r="R249" s="173">
        <f t="shared" si="82"/>
        <v>0.97114132471482661</v>
      </c>
      <c r="S249" s="802">
        <f t="shared" si="83"/>
        <v>0</v>
      </c>
      <c r="T249" s="172">
        <f t="shared" si="84"/>
        <v>6</v>
      </c>
      <c r="U249" s="247">
        <f t="shared" si="85"/>
        <v>0.97114132471482661</v>
      </c>
      <c r="V249" s="378">
        <f t="shared" si="86"/>
        <v>53.234758276025005</v>
      </c>
      <c r="W249" s="397">
        <f t="shared" si="87"/>
        <v>47.844712525980647</v>
      </c>
      <c r="X249" s="153">
        <f t="shared" si="88"/>
        <v>45161</v>
      </c>
      <c r="Y249" s="380">
        <f t="shared" si="89"/>
        <v>46.458298250128315</v>
      </c>
      <c r="Z249" s="380">
        <f t="shared" si="90"/>
        <v>46.866471746179144</v>
      </c>
      <c r="AA249" s="381">
        <f t="shared" si="91"/>
        <v>48.672297857762786</v>
      </c>
      <c r="AB249" s="193">
        <f t="shared" si="92"/>
        <v>45161</v>
      </c>
      <c r="AC249" s="420">
        <f>IF(OR(t&lt;Tnet,NoTnet),'2022'!Resal_s+('2022'!Salim-'2022'!Resal_s)*(1-EXP(('2022'!Tnet_s-t)/'2022'!Tau_j)),Resal_s+(Salim-Resal_s)*(1-EXP((Tnet_s-t)/Tau_j)))*Salcycl</f>
        <v>3.7101722973114738E-2</v>
      </c>
      <c r="AD249" s="227">
        <f>(INDEX(Models!$BJ249:$BT249,,AH249)*(1-AF249)+INDEX(Models!$BJ249:$BT249,,AH249+1)*AF249-ERP_i)*AE249*Ramure*Pc/MaxiM</f>
        <v>3.2907285036216196E-5</v>
      </c>
      <c r="AE249" s="301">
        <f t="shared" si="93"/>
        <v>0.5</v>
      </c>
      <c r="AF249" s="173">
        <f t="shared" si="94"/>
        <v>0.97114132471482661</v>
      </c>
      <c r="AG249" s="172">
        <f t="shared" si="95"/>
        <v>0</v>
      </c>
      <c r="AH249" s="172">
        <f t="shared" si="96"/>
        <v>6</v>
      </c>
      <c r="AI249" s="221">
        <f t="shared" si="97"/>
        <v>0.97114132471482661</v>
      </c>
      <c r="AJ249" s="261" t="b">
        <f t="shared" si="98"/>
        <v>0</v>
      </c>
      <c r="AK249" s="261" t="b">
        <f t="shared" si="99"/>
        <v>0</v>
      </c>
      <c r="AL249" s="261"/>
      <c r="AM249" s="261"/>
      <c r="AN249" s="75"/>
    </row>
    <row r="250" spans="1:40" s="6" customFormat="1" ht="11.25" x14ac:dyDescent="0.2">
      <c r="A250" s="56">
        <f t="shared" si="100"/>
        <v>45162</v>
      </c>
      <c r="B250" s="406">
        <f>'2022'!Wh/'2022'!Env_an*'2023'!Env_an</f>
        <v>51.965103874649813</v>
      </c>
      <c r="C250" s="385"/>
      <c r="D250" s="388">
        <f t="shared" si="78"/>
        <v>52.422376703122353</v>
      </c>
      <c r="E250" s="380">
        <f t="shared" si="101"/>
        <v>52.868329516219191</v>
      </c>
      <c r="F250" s="380">
        <f t="shared" si="79"/>
        <v>52.870125001094635</v>
      </c>
      <c r="G250" s="110">
        <f t="shared" si="102"/>
        <v>0.98097799903231941</v>
      </c>
      <c r="H250" s="409" t="b">
        <f>Wh_hp&gt;='2022'!Maxi_hp</f>
        <v>0</v>
      </c>
      <c r="I250" s="385">
        <f>IF(H250,Wh_hp,'2022'!Maxi_hp)</f>
        <v>52.870150667804495</v>
      </c>
      <c r="J250" s="85">
        <f>IF(H250,An,'2022'!An_max)</f>
        <v>2022</v>
      </c>
      <c r="K250" s="193">
        <f t="shared" si="80"/>
        <v>45162</v>
      </c>
      <c r="L250" s="143">
        <f>IF(t&lt;Tvie,1-EXP((T0-t)*PertePVj)+'2022'!Pspv,1-EXP((T0-t)*PertePVj)+Pspv)</f>
        <v>8.7228557198419931E-3</v>
      </c>
      <c r="M250" s="836"/>
      <c r="N250" s="836"/>
      <c r="O250" s="48">
        <f>IF(t&lt;Tnet,'2022'!Resal+('2022'!Salim-'2022'!Resal)*(1-EXP(('2022'!Tnet-t)/('2022'!Tau_j))),Resal+(Salim-Resal)*(1-EXP((Tnet-t)/(Tau_j))))*Salcycl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3.4908869078296814E-5</v>
      </c>
      <c r="Q250" s="301">
        <f t="shared" si="81"/>
        <v>0.5</v>
      </c>
      <c r="R250" s="173">
        <f t="shared" si="82"/>
        <v>0.97202064626449092</v>
      </c>
      <c r="S250" s="802">
        <f t="shared" si="83"/>
        <v>0</v>
      </c>
      <c r="T250" s="172">
        <f t="shared" si="84"/>
        <v>6</v>
      </c>
      <c r="U250" s="247">
        <f t="shared" si="85"/>
        <v>0.97202064626449092</v>
      </c>
      <c r="V250" s="378">
        <f t="shared" si="86"/>
        <v>52.972701356526301</v>
      </c>
      <c r="W250" s="397">
        <f t="shared" si="87"/>
        <v>51.965103874649813</v>
      </c>
      <c r="X250" s="153">
        <f t="shared" si="88"/>
        <v>45162</v>
      </c>
      <c r="Y250" s="380">
        <f t="shared" si="89"/>
        <v>50.460669893278528</v>
      </c>
      <c r="Z250" s="380">
        <f t="shared" si="90"/>
        <v>50.904704284210922</v>
      </c>
      <c r="AA250" s="381">
        <f t="shared" si="91"/>
        <v>52.868329516219191</v>
      </c>
      <c r="AB250" s="193">
        <f t="shared" si="92"/>
        <v>45162</v>
      </c>
      <c r="AC250" s="420">
        <f>IF(OR(t&lt;Tnet,NoTnet),'2022'!Resal_s+('2022'!Salim-'2022'!Resal_s)*(1-EXP(('2022'!Tnet_s-t)/'2022'!Tau_j)),Resal_s+(Salim-Resal_s)*(1-EXP((Tnet_s-t)/Tau_j)))*Salcycl</f>
        <v>3.7141805878429739E-2</v>
      </c>
      <c r="AD250" s="227">
        <f>(INDEX(Models!$BJ250:$BT250,,AH250)*(1-AF250)+INDEX(Models!$BJ250:$BT250,,AH250+1)*AF250-ERP_i)*AE250*Ramure*Pc/MaxiM</f>
        <v>3.4908869078296814E-5</v>
      </c>
      <c r="AE250" s="301">
        <f t="shared" si="93"/>
        <v>0.5</v>
      </c>
      <c r="AF250" s="173">
        <f t="shared" si="94"/>
        <v>0.97202064626449092</v>
      </c>
      <c r="AG250" s="172">
        <f t="shared" si="95"/>
        <v>0</v>
      </c>
      <c r="AH250" s="172">
        <f t="shared" si="96"/>
        <v>6</v>
      </c>
      <c r="AI250" s="221">
        <f t="shared" si="97"/>
        <v>0.97202064626449092</v>
      </c>
      <c r="AJ250" s="261" t="b">
        <f t="shared" si="98"/>
        <v>0</v>
      </c>
      <c r="AK250" s="261" t="b">
        <f t="shared" si="99"/>
        <v>0</v>
      </c>
      <c r="AL250" s="261"/>
      <c r="AM250" s="261"/>
      <c r="AN250" s="75"/>
    </row>
    <row r="251" spans="1:40" s="6" customFormat="1" ht="11.25" x14ac:dyDescent="0.2">
      <c r="A251" s="56">
        <f t="shared" si="100"/>
        <v>45163</v>
      </c>
      <c r="B251" s="406">
        <f>'2022'!Wh/'2022'!Env_an*'2023'!Env_an</f>
        <v>33.32973567688672</v>
      </c>
      <c r="C251" s="385"/>
      <c r="D251" s="388">
        <f t="shared" si="78"/>
        <v>33.623484745457887</v>
      </c>
      <c r="E251" s="380">
        <f t="shared" si="101"/>
        <v>33.911851564289712</v>
      </c>
      <c r="F251" s="380">
        <f t="shared" si="79"/>
        <v>33.91244917873459</v>
      </c>
      <c r="G251" s="110">
        <f t="shared" si="102"/>
        <v>0.63231002530967106</v>
      </c>
      <c r="H251" s="409" t="b">
        <f>Wh_hp&gt;='2022'!Maxi_hp</f>
        <v>0</v>
      </c>
      <c r="I251" s="385">
        <f>IF(H251,Wh_hp,'2022'!Maxi_hp)</f>
        <v>33.91278728080961</v>
      </c>
      <c r="J251" s="85">
        <f>IF(H251,An,'2022'!An_max)</f>
        <v>2022</v>
      </c>
      <c r="K251" s="193">
        <f t="shared" si="80"/>
        <v>45163</v>
      </c>
      <c r="L251" s="143">
        <f>IF(t&lt;Tvie,1-EXP((T0-t)*PertePVj)+'2022'!Pspv,1-EXP((T0-t)*PertePVj)+Pspv)</f>
        <v>8.7364254715105449E-3</v>
      </c>
      <c r="M251" s="836"/>
      <c r="N251" s="836"/>
      <c r="O251" s="48">
        <f>IF(t&lt;Tnet,'2022'!Resal+('2022'!Salim-'2022'!Resal)*(1-EXP(('2022'!Tnet-t)/('2022'!Tau_j))),Resal+(Salim-Resal)*(1-EXP((Tnet-t)/(Tau_j))))*Salcycl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3.7119354459898514E-5</v>
      </c>
      <c r="Q251" s="301">
        <f t="shared" si="81"/>
        <v>0.5</v>
      </c>
      <c r="R251" s="173">
        <f t="shared" si="82"/>
        <v>0.97286761143245548</v>
      </c>
      <c r="S251" s="802">
        <f t="shared" si="83"/>
        <v>0</v>
      </c>
      <c r="T251" s="172">
        <f t="shared" si="84"/>
        <v>6</v>
      </c>
      <c r="U251" s="247">
        <f t="shared" si="85"/>
        <v>0.97286761143245548</v>
      </c>
      <c r="V251" s="378">
        <f t="shared" si="86"/>
        <v>52.710038586764334</v>
      </c>
      <c r="W251" s="397">
        <f t="shared" si="87"/>
        <v>33.32973567688672</v>
      </c>
      <c r="X251" s="153">
        <f t="shared" si="88"/>
        <v>45163</v>
      </c>
      <c r="Y251" s="380">
        <f t="shared" si="89"/>
        <v>32.365698301451566</v>
      </c>
      <c r="Z251" s="380">
        <f t="shared" si="90"/>
        <v>32.650950900568333</v>
      </c>
      <c r="AA251" s="381">
        <f t="shared" si="91"/>
        <v>33.911851564289712</v>
      </c>
      <c r="AB251" s="193">
        <f t="shared" si="92"/>
        <v>45163</v>
      </c>
      <c r="AC251" s="420">
        <f>IF(OR(t&lt;Tnet,NoTnet),'2022'!Resal_s+('2022'!Salim-'2022'!Resal_s)*(1-EXP(('2022'!Tnet_s-t)/'2022'!Tau_j)),Resal_s+(Salim-Resal_s)*(1-EXP((Tnet_s-t)/Tau_j)))*Salcycl</f>
        <v>3.7181710981807559E-2</v>
      </c>
      <c r="AD251" s="227">
        <f>(INDEX(Models!$BJ251:$BT251,,AH251)*(1-AF251)+INDEX(Models!$BJ251:$BT251,,AH251+1)*AF251-ERP_i)*AE251*Ramure*Pc/MaxiM</f>
        <v>3.7119354459898514E-5</v>
      </c>
      <c r="AE251" s="301">
        <f t="shared" si="93"/>
        <v>0.5</v>
      </c>
      <c r="AF251" s="173">
        <f t="shared" si="94"/>
        <v>0.97286761143245548</v>
      </c>
      <c r="AG251" s="172">
        <f t="shared" si="95"/>
        <v>0</v>
      </c>
      <c r="AH251" s="172">
        <f t="shared" si="96"/>
        <v>6</v>
      </c>
      <c r="AI251" s="221">
        <f t="shared" si="97"/>
        <v>0.97286761143245548</v>
      </c>
      <c r="AJ251" s="261" t="b">
        <f t="shared" si="98"/>
        <v>0</v>
      </c>
      <c r="AK251" s="261" t="b">
        <f t="shared" si="99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00"/>
        <v>45164</v>
      </c>
      <c r="B252" s="406">
        <f>'2022'!Wh/'2022'!Env_an*'2023'!Env_an</f>
        <v>38.413278941148761</v>
      </c>
      <c r="C252" s="385"/>
      <c r="D252" s="388">
        <f t="shared" si="78"/>
        <v>38.752361915598577</v>
      </c>
      <c r="E252" s="380">
        <f t="shared" si="101"/>
        <v>39.087402757490423</v>
      </c>
      <c r="F252" s="380">
        <f t="shared" si="79"/>
        <v>39.088357588894091</v>
      </c>
      <c r="G252" s="110">
        <f t="shared" si="102"/>
        <v>0.73242053397218798</v>
      </c>
      <c r="H252" s="409" t="b">
        <f>Wh_hp&gt;='2022'!Maxi_hp</f>
        <v>0</v>
      </c>
      <c r="I252" s="385">
        <f>IF(H252,Wh_hp,'2022'!Maxi_hp)</f>
        <v>39.08865945369719</v>
      </c>
      <c r="J252" s="85">
        <f>IF(H252,An,'2022'!An_max)</f>
        <v>2022</v>
      </c>
      <c r="K252" s="193">
        <f t="shared" si="80"/>
        <v>45164</v>
      </c>
      <c r="L252" s="143">
        <f>IF(t&lt;Tvie,1-EXP((T0-t)*PertePVj)+'2022'!Pspv,1-EXP((T0-t)*PertePVj)+Pspv)</f>
        <v>8.749995037420577E-3</v>
      </c>
      <c r="M252" s="836"/>
      <c r="N252" s="836"/>
      <c r="O252" s="48">
        <f>IF(t&lt;Tnet,'2022'!Resal+('2022'!Salim-'2022'!Resal)*(1-EXP(('2022'!Tnet-t)/('2022'!Tau_j))),Resal+(Salim-Resal)*(1-EXP((Tnet-t)/(Tau_j))))*Salcycl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3.954211403971621E-5</v>
      </c>
      <c r="Q252" s="301">
        <f t="shared" si="81"/>
        <v>0.5</v>
      </c>
      <c r="R252" s="173">
        <f t="shared" si="82"/>
        <v>0.97368329743385917</v>
      </c>
      <c r="S252" s="802">
        <f t="shared" si="83"/>
        <v>0</v>
      </c>
      <c r="T252" s="172">
        <f t="shared" si="84"/>
        <v>6</v>
      </c>
      <c r="U252" s="247">
        <f t="shared" si="85"/>
        <v>0.97368329743385917</v>
      </c>
      <c r="V252" s="378">
        <f t="shared" si="86"/>
        <v>52.446233473675939</v>
      </c>
      <c r="W252" s="397">
        <f t="shared" si="87"/>
        <v>38.413278941148761</v>
      </c>
      <c r="X252" s="153">
        <f t="shared" si="88"/>
        <v>45164</v>
      </c>
      <c r="Y252" s="380">
        <f t="shared" si="89"/>
        <v>37.303229322678668</v>
      </c>
      <c r="Z252" s="380">
        <f t="shared" si="90"/>
        <v>37.632513630188477</v>
      </c>
      <c r="AA252" s="381">
        <f t="shared" si="91"/>
        <v>39.087402757490423</v>
      </c>
      <c r="AB252" s="193">
        <f t="shared" si="92"/>
        <v>45164</v>
      </c>
      <c r="AC252" s="420">
        <f>IF(OR(t&lt;Tnet,NoTnet),'2022'!Resal_s+('2022'!Salim-'2022'!Resal_s)*(1-EXP(('2022'!Tnet_s-t)/'2022'!Tau_j)),Resal_s+(Salim-Resal_s)*(1-EXP((Tnet_s-t)/Tau_j)))*Salcycl</f>
        <v>3.7221432601406146E-2</v>
      </c>
      <c r="AD252" s="227">
        <f>(INDEX(Models!$BJ252:$BT252,,AH252)*(1-AF252)+INDEX(Models!$BJ252:$BT252,,AH252+1)*AF252-ERP_i)*AE252*Ramure*Pc/MaxiM</f>
        <v>3.954211403971621E-5</v>
      </c>
      <c r="AE252" s="301">
        <f t="shared" si="93"/>
        <v>0.5</v>
      </c>
      <c r="AF252" s="173">
        <f t="shared" si="94"/>
        <v>0.97368329743385917</v>
      </c>
      <c r="AG252" s="172">
        <f t="shared" si="95"/>
        <v>0</v>
      </c>
      <c r="AH252" s="172">
        <f t="shared" si="96"/>
        <v>6</v>
      </c>
      <c r="AI252" s="221">
        <f t="shared" si="97"/>
        <v>0.97368329743385917</v>
      </c>
      <c r="AJ252" s="261" t="b">
        <f t="shared" si="98"/>
        <v>0</v>
      </c>
      <c r="AK252" s="261" t="b">
        <f t="shared" si="99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00"/>
        <v>45165</v>
      </c>
      <c r="B253" s="406">
        <f>'2022'!Wh/'2022'!Env_an*'2023'!Env_an</f>
        <v>48.425736410251929</v>
      </c>
      <c r="C253" s="385"/>
      <c r="D253" s="388">
        <f t="shared" si="78"/>
        <v>48.853870450997086</v>
      </c>
      <c r="E253" s="380">
        <f t="shared" si="101"/>
        <v>49.279628312269018</v>
      </c>
      <c r="F253" s="380">
        <f t="shared" si="79"/>
        <v>49.281493339408783</v>
      </c>
      <c r="G253" s="110">
        <f t="shared" si="102"/>
        <v>0.92803431701291383</v>
      </c>
      <c r="H253" s="409" t="b">
        <f>Wh_hp&gt;='2022'!Maxi_hp</f>
        <v>0</v>
      </c>
      <c r="I253" s="385">
        <f>IF(H253,Wh_hp,'2022'!Maxi_hp)</f>
        <v>49.281602441092893</v>
      </c>
      <c r="J253" s="85">
        <f>IF(H253,An,'2022'!An_max)</f>
        <v>2022</v>
      </c>
      <c r="K253" s="193">
        <f t="shared" si="80"/>
        <v>45165</v>
      </c>
      <c r="L253" s="143">
        <f>IF(t&lt;Tvie,1-EXP((T0-t)*PertePVj)+'2022'!Pspv,1-EXP((T0-t)*PertePVj)+Pspv)</f>
        <v>8.763564417574643E-3</v>
      </c>
      <c r="M253" s="836"/>
      <c r="N253" s="836"/>
      <c r="O253" s="48">
        <f>IF(t&lt;Tnet,'2022'!Resal+('2022'!Salim-'2022'!Resal)*(1-EXP(('2022'!Tnet-t)/('2022'!Tau_j))),Resal+(Salim-Resal)*(1-EXP((Tnet-t)/(Tau_j))))*Salcycl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4.2180641327461012E-5</v>
      </c>
      <c r="Q253" s="301">
        <f t="shared" si="81"/>
        <v>0.5</v>
      </c>
      <c r="R253" s="173">
        <f t="shared" si="82"/>
        <v>0.9744687542691064</v>
      </c>
      <c r="S253" s="802">
        <f t="shared" si="83"/>
        <v>0</v>
      </c>
      <c r="T253" s="172">
        <f t="shared" si="84"/>
        <v>6</v>
      </c>
      <c r="U253" s="247">
        <f t="shared" si="85"/>
        <v>0.9744687542691064</v>
      </c>
      <c r="V253" s="378">
        <f t="shared" si="86"/>
        <v>52.180749706660976</v>
      </c>
      <c r="W253" s="397">
        <f t="shared" si="87"/>
        <v>48.425736410251929</v>
      </c>
      <c r="X253" s="153">
        <f t="shared" si="88"/>
        <v>45165</v>
      </c>
      <c r="Y253" s="380">
        <f t="shared" si="89"/>
        <v>47.027648330553063</v>
      </c>
      <c r="Z253" s="380">
        <f t="shared" si="90"/>
        <v>47.443421813808541</v>
      </c>
      <c r="AA253" s="381">
        <f t="shared" si="91"/>
        <v>49.279628312269018</v>
      </c>
      <c r="AB253" s="193">
        <f t="shared" si="92"/>
        <v>45165</v>
      </c>
      <c r="AC253" s="420">
        <f>IF(OR(t&lt;Tnet,NoTnet),'2022'!Resal_s+('2022'!Salim-'2022'!Resal_s)*(1-EXP(('2022'!Tnet_s-t)/'2022'!Tau_j)),Resal_s+(Salim-Resal_s)*(1-EXP((Tnet_s-t)/Tau_j)))*Salcycl</f>
        <v>3.7260964851947229E-2</v>
      </c>
      <c r="AD253" s="227">
        <f>(INDEX(Models!$BJ253:$BT253,,AH253)*(1-AF253)+INDEX(Models!$BJ253:$BT253,,AH253+1)*AF253-ERP_i)*AE253*Ramure*Pc/MaxiM</f>
        <v>4.2180641327461012E-5</v>
      </c>
      <c r="AE253" s="301">
        <f t="shared" si="93"/>
        <v>0.5</v>
      </c>
      <c r="AF253" s="173">
        <f t="shared" si="94"/>
        <v>0.9744687542691064</v>
      </c>
      <c r="AG253" s="172">
        <f t="shared" si="95"/>
        <v>0</v>
      </c>
      <c r="AH253" s="172">
        <f t="shared" si="96"/>
        <v>6</v>
      </c>
      <c r="AI253" s="221">
        <f t="shared" si="97"/>
        <v>0.9744687542691064</v>
      </c>
      <c r="AJ253" s="261" t="b">
        <f t="shared" si="98"/>
        <v>0</v>
      </c>
      <c r="AK253" s="261" t="b">
        <f t="shared" si="99"/>
        <v>0</v>
      </c>
      <c r="AL253" s="261"/>
      <c r="AM253" s="261"/>
      <c r="AN253" s="75"/>
    </row>
    <row r="254" spans="1:40" s="6" customFormat="1" ht="11.25" x14ac:dyDescent="0.2">
      <c r="A254" s="56">
        <f t="shared" si="100"/>
        <v>45166</v>
      </c>
      <c r="B254" s="406">
        <f>'2022'!Wh/'2022'!Env_an*'2023'!Env_an</f>
        <v>50.908288896494199</v>
      </c>
      <c r="C254" s="385"/>
      <c r="D254" s="388">
        <f t="shared" si="78"/>
        <v>51.359074354289177</v>
      </c>
      <c r="E254" s="380">
        <f t="shared" si="101"/>
        <v>51.810215650928249</v>
      </c>
      <c r="F254" s="380">
        <f t="shared" si="79"/>
        <v>51.812477210269506</v>
      </c>
      <c r="G254" s="110">
        <f t="shared" si="102"/>
        <v>0.98064392315193927</v>
      </c>
      <c r="H254" s="409" t="b">
        <f>Wh_hp&gt;='2022'!Maxi_hp</f>
        <v>0</v>
      </c>
      <c r="I254" s="385">
        <f>IF(H254,Wh_hp,'2022'!Maxi_hp)</f>
        <v>51.812510018223612</v>
      </c>
      <c r="J254" s="85">
        <f>IF(H254,An,'2022'!An_max)</f>
        <v>2022</v>
      </c>
      <c r="K254" s="193">
        <f t="shared" si="80"/>
        <v>45166</v>
      </c>
      <c r="L254" s="143">
        <f>IF(t&lt;Tvie,1-EXP((T0-t)*PertePVj)+'2022'!Pspv,1-EXP((T0-t)*PertePVj)+Pspv)</f>
        <v>8.7771336119754073E-3</v>
      </c>
      <c r="M254" s="836"/>
      <c r="N254" s="836"/>
      <c r="O254" s="48">
        <f>IF(t&lt;Tnet,'2022'!Resal+('2022'!Salim-'2022'!Resal)*(1-EXP(('2022'!Tnet-t)/('2022'!Tau_j))),Resal+(Salim-Resal)*(1-EXP((Tnet-t)/(Tau_j))))*Salcycl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4.4890136164547437E-5</v>
      </c>
      <c r="Q254" s="301">
        <f t="shared" si="81"/>
        <v>0.5</v>
      </c>
      <c r="R254" s="173">
        <f t="shared" si="82"/>
        <v>0.97522500472166618</v>
      </c>
      <c r="S254" s="802">
        <f t="shared" si="83"/>
        <v>0</v>
      </c>
      <c r="T254" s="172">
        <f t="shared" si="84"/>
        <v>6</v>
      </c>
      <c r="U254" s="247">
        <f t="shared" si="85"/>
        <v>0.97522500472166618</v>
      </c>
      <c r="V254" s="378">
        <f t="shared" si="86"/>
        <v>51.913058862971333</v>
      </c>
      <c r="W254" s="397">
        <f t="shared" si="87"/>
        <v>50.908288896494199</v>
      </c>
      <c r="X254" s="153">
        <f t="shared" si="88"/>
        <v>45166</v>
      </c>
      <c r="Y254" s="380">
        <f t="shared" si="89"/>
        <v>49.439895926475685</v>
      </c>
      <c r="Z254" s="380">
        <f t="shared" si="90"/>
        <v>49.877678979130735</v>
      </c>
      <c r="AA254" s="381">
        <f t="shared" si="91"/>
        <v>51.810215650928249</v>
      </c>
      <c r="AB254" s="193">
        <f t="shared" si="92"/>
        <v>45166</v>
      </c>
      <c r="AC254" s="420">
        <f>IF(OR(t&lt;Tnet,NoTnet),'2022'!Resal_s+('2022'!Salim-'2022'!Resal_s)*(1-EXP(('2022'!Tnet_s-t)/'2022'!Tau_j)),Resal_s+(Salim-Resal_s)*(1-EXP((Tnet_s-t)/Tau_j)))*Salcycl</f>
        <v>3.730030163969978E-2</v>
      </c>
      <c r="AD254" s="227">
        <f>(INDEX(Models!$BJ254:$BT254,,AH254)*(1-AF254)+INDEX(Models!$BJ254:$BT254,,AH254+1)*AF254-ERP_i)*AE254*Ramure*Pc/MaxiM</f>
        <v>4.4890136164547437E-5</v>
      </c>
      <c r="AE254" s="301">
        <f t="shared" si="93"/>
        <v>0.5</v>
      </c>
      <c r="AF254" s="173">
        <f t="shared" si="94"/>
        <v>0.97522500472166618</v>
      </c>
      <c r="AG254" s="172">
        <f t="shared" si="95"/>
        <v>0</v>
      </c>
      <c r="AH254" s="172">
        <f t="shared" si="96"/>
        <v>6</v>
      </c>
      <c r="AI254" s="221">
        <f t="shared" si="97"/>
        <v>0.97522500472166618</v>
      </c>
      <c r="AJ254" s="261" t="b">
        <f t="shared" si="98"/>
        <v>0</v>
      </c>
      <c r="AK254" s="261" t="b">
        <f t="shared" si="99"/>
        <v>0</v>
      </c>
      <c r="AL254" s="261"/>
      <c r="AM254" s="261"/>
      <c r="AN254" s="75"/>
    </row>
    <row r="255" spans="1:40" s="6" customFormat="1" ht="11.25" x14ac:dyDescent="0.2">
      <c r="A255" s="56">
        <f t="shared" si="100"/>
        <v>45167</v>
      </c>
      <c r="B255" s="406">
        <f>'2022'!Wh/'2022'!Env_an*'2023'!Env_an</f>
        <v>35.579111403461859</v>
      </c>
      <c r="C255" s="385"/>
      <c r="D255" s="388">
        <f t="shared" si="78"/>
        <v>35.894650602580391</v>
      </c>
      <c r="E255" s="380">
        <f t="shared" si="101"/>
        <v>36.212429338452957</v>
      </c>
      <c r="F255" s="380">
        <f t="shared" si="79"/>
        <v>36.213388210470008</v>
      </c>
      <c r="G255" s="110">
        <f t="shared" si="102"/>
        <v>0.68893394428238719</v>
      </c>
      <c r="H255" s="409" t="b">
        <f>Wh_hp&gt;='2022'!Maxi_hp</f>
        <v>0</v>
      </c>
      <c r="I255" s="385">
        <f>IF(H255,Wh_hp,'2022'!Maxi_hp)</f>
        <v>36.213779119220973</v>
      </c>
      <c r="J255" s="85">
        <f>IF(H255,An,'2022'!An_max)</f>
        <v>2022</v>
      </c>
      <c r="K255" s="193">
        <f t="shared" si="80"/>
        <v>45167</v>
      </c>
      <c r="L255" s="143">
        <f>IF(t&lt;Tvie,1-EXP((T0-t)*PertePVj)+'2022'!Pspv,1-EXP((T0-t)*PertePVj)+Pspv)</f>
        <v>8.7907026206252015E-3</v>
      </c>
      <c r="M255" s="836"/>
      <c r="N255" s="836"/>
      <c r="O255" s="48">
        <f>IF(t&lt;Tnet,'2022'!Resal+('2022'!Salim-'2022'!Resal)*(1-EXP(('2022'!Tnet-t)/('2022'!Tau_j))),Resal+(Salim-Resal)*(1-EXP((Tnet-t)/(Tau_j))))*Salcycl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4.7653783357594564E-5</v>
      </c>
      <c r="Q255" s="301">
        <f t="shared" si="81"/>
        <v>0.5</v>
      </c>
      <c r="R255" s="173">
        <f t="shared" si="82"/>
        <v>0.9759530444239608</v>
      </c>
      <c r="S255" s="802">
        <f t="shared" si="83"/>
        <v>0</v>
      </c>
      <c r="T255" s="172">
        <f t="shared" si="84"/>
        <v>6</v>
      </c>
      <c r="U255" s="247">
        <f t="shared" si="85"/>
        <v>0.9759530444239608</v>
      </c>
      <c r="V255" s="378">
        <f t="shared" si="86"/>
        <v>51.642625939554883</v>
      </c>
      <c r="W255" s="397">
        <f t="shared" si="87"/>
        <v>35.579111403461859</v>
      </c>
      <c r="X255" s="153">
        <f t="shared" si="88"/>
        <v>45167</v>
      </c>
      <c r="Y255" s="380">
        <f t="shared" si="89"/>
        <v>34.553831293182178</v>
      </c>
      <c r="Z255" s="380">
        <f t="shared" si="90"/>
        <v>34.860277627074218</v>
      </c>
      <c r="AA255" s="381">
        <f t="shared" si="91"/>
        <v>36.212429338452957</v>
      </c>
      <c r="AB255" s="193">
        <f t="shared" si="92"/>
        <v>45167</v>
      </c>
      <c r="AC255" s="420">
        <f>IF(OR(t&lt;Tnet,NoTnet),'2022'!Resal_s+('2022'!Salim-'2022'!Resal_s)*(1-EXP(('2022'!Tnet_s-t)/'2022'!Tau_j)),Resal_s+(Salim-Resal_s)*(1-EXP((Tnet_s-t)/Tau_j)))*Salcycl</f>
        <v>3.7339436654224331E-2</v>
      </c>
      <c r="AD255" s="227">
        <f>(INDEX(Models!$BJ255:$BT255,,AH255)*(1-AF255)+INDEX(Models!$BJ255:$BT255,,AH255+1)*AF255-ERP_i)*AE255*Ramure*Pc/MaxiM</f>
        <v>4.7653783357594564E-5</v>
      </c>
      <c r="AE255" s="301">
        <f t="shared" si="93"/>
        <v>0.5</v>
      </c>
      <c r="AF255" s="173">
        <f t="shared" si="94"/>
        <v>0.9759530444239608</v>
      </c>
      <c r="AG255" s="172">
        <f t="shared" si="95"/>
        <v>0</v>
      </c>
      <c r="AH255" s="172">
        <f t="shared" si="96"/>
        <v>6</v>
      </c>
      <c r="AI255" s="221">
        <f t="shared" si="97"/>
        <v>0.9759530444239608</v>
      </c>
      <c r="AJ255" s="261" t="b">
        <f t="shared" si="98"/>
        <v>0</v>
      </c>
      <c r="AK255" s="261" t="b">
        <f t="shared" si="99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00"/>
        <v>45168</v>
      </c>
      <c r="B256" s="406">
        <f>'2022'!Wh/'2022'!Env_an*'2023'!Env_an</f>
        <v>49.931035148415269</v>
      </c>
      <c r="C256" s="385"/>
      <c r="D256" s="388">
        <f t="shared" si="78"/>
        <v>50.374546328132659</v>
      </c>
      <c r="E256" s="380">
        <f t="shared" si="101"/>
        <v>50.823989092821094</v>
      </c>
      <c r="F256" s="380">
        <f t="shared" si="79"/>
        <v>50.826451870889827</v>
      </c>
      <c r="G256" s="110">
        <f t="shared" si="102"/>
        <v>0.97200679063690776</v>
      </c>
      <c r="H256" s="409" t="b">
        <f>Wh_hp&gt;='2022'!Maxi_hp</f>
        <v>0</v>
      </c>
      <c r="I256" s="385">
        <f>IF(H256,Wh_hp,'2022'!Maxi_hp)</f>
        <v>50.826504126845201</v>
      </c>
      <c r="J256" s="85">
        <f>IF(H256,An,'2022'!An_max)</f>
        <v>2022</v>
      </c>
      <c r="K256" s="193">
        <f t="shared" si="80"/>
        <v>45168</v>
      </c>
      <c r="L256" s="143">
        <f>IF(t&lt;Tvie,1-EXP((T0-t)*PertePVj)+'2022'!Pspv,1-EXP((T0-t)*PertePVj)+Pspv)</f>
        <v>8.80427144352669E-3</v>
      </c>
      <c r="M256" s="836"/>
      <c r="N256" s="836"/>
      <c r="O256" s="48">
        <f>IF(t&lt;Tnet,'2022'!Resal+('2022'!Salim-'2022'!Resal)*(1-EXP(('2022'!Tnet-t)/('2022'!Tau_j))),Resal+(Salim-Resal)*(1-EXP((Tnet-t)/(Tau_j))))*Salcycl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5.0472939078023128E-5</v>
      </c>
      <c r="Q256" s="301">
        <f t="shared" si="81"/>
        <v>0.5</v>
      </c>
      <c r="R256" s="173">
        <f t="shared" si="82"/>
        <v>0.9766538419851355</v>
      </c>
      <c r="S256" s="802">
        <f t="shared" si="83"/>
        <v>0</v>
      </c>
      <c r="T256" s="172">
        <f t="shared" si="84"/>
        <v>6</v>
      </c>
      <c r="U256" s="247">
        <f t="shared" si="85"/>
        <v>0.9766538419851355</v>
      </c>
      <c r="V256" s="378">
        <f t="shared" si="86"/>
        <v>51.368915165378731</v>
      </c>
      <c r="W256" s="397">
        <f t="shared" si="87"/>
        <v>49.931035148415269</v>
      </c>
      <c r="X256" s="153">
        <f t="shared" si="88"/>
        <v>45168</v>
      </c>
      <c r="Y256" s="380">
        <f t="shared" si="89"/>
        <v>48.493528994245253</v>
      </c>
      <c r="Z256" s="380">
        <f t="shared" si="90"/>
        <v>48.924271561247288</v>
      </c>
      <c r="AA256" s="381">
        <f t="shared" si="91"/>
        <v>50.823989092821094</v>
      </c>
      <c r="AB256" s="193">
        <f t="shared" si="92"/>
        <v>45168</v>
      </c>
      <c r="AC256" s="420">
        <f>IF(OR(t&lt;Tnet,NoTnet),'2022'!Resal_s+('2022'!Salim-'2022'!Resal_s)*(1-EXP(('2022'!Tnet_s-t)/'2022'!Tau_j)),Resal_s+(Salim-Resal_s)*(1-EXP((Tnet_s-t)/Tau_j)))*Salcycl</f>
        <v>3.7378363357199379E-2</v>
      </c>
      <c r="AD256" s="227">
        <f>(INDEX(Models!$BJ256:$BT256,,AH256)*(1-AF256)+INDEX(Models!$BJ256:$BT256,,AH256+1)*AF256-ERP_i)*AE256*Ramure*Pc/MaxiM</f>
        <v>5.0472939078023128E-5</v>
      </c>
      <c r="AE256" s="301">
        <f t="shared" si="93"/>
        <v>0.5</v>
      </c>
      <c r="AF256" s="173">
        <f t="shared" si="94"/>
        <v>0.9766538419851355</v>
      </c>
      <c r="AG256" s="172">
        <f t="shared" si="95"/>
        <v>0</v>
      </c>
      <c r="AH256" s="172">
        <f t="shared" si="96"/>
        <v>6</v>
      </c>
      <c r="AI256" s="221">
        <f t="shared" si="97"/>
        <v>0.9766538419851355</v>
      </c>
      <c r="AJ256" s="261" t="b">
        <f t="shared" si="98"/>
        <v>0</v>
      </c>
      <c r="AK256" s="261" t="b">
        <f t="shared" si="99"/>
        <v>0</v>
      </c>
      <c r="AL256" s="261"/>
      <c r="AM256" s="261"/>
      <c r="AN256" s="75"/>
    </row>
    <row r="257" spans="1:40" s="6" customFormat="1" ht="11.25" x14ac:dyDescent="0.2">
      <c r="A257" s="56">
        <f t="shared" si="100"/>
        <v>45169</v>
      </c>
      <c r="B257" s="406">
        <f>'2022'!Wh/'2022'!Env_an*'2023'!Env_an</f>
        <v>25.279382899042101</v>
      </c>
      <c r="C257" s="385"/>
      <c r="D257" s="388">
        <f t="shared" si="78"/>
        <v>25.504275521968481</v>
      </c>
      <c r="E257" s="380">
        <f t="shared" si="101"/>
        <v>25.733580363706611</v>
      </c>
      <c r="F257" s="380">
        <f t="shared" si="79"/>
        <v>25.733962393246138</v>
      </c>
      <c r="G257" s="110">
        <f t="shared" si="102"/>
        <v>0.49476847400239188</v>
      </c>
      <c r="H257" s="409" t="b">
        <f>Wh_hp&gt;='2022'!Maxi_hp</f>
        <v>0</v>
      </c>
      <c r="I257" s="385">
        <f>IF(H257,Wh_hp,'2022'!Maxi_hp)</f>
        <v>25.734466772860397</v>
      </c>
      <c r="J257" s="85">
        <f>IF(H257,An,'2022'!An_max)</f>
        <v>2022</v>
      </c>
      <c r="K257" s="193">
        <f t="shared" si="80"/>
        <v>45169</v>
      </c>
      <c r="L257" s="143">
        <f>IF(t&lt;Tvie,1-EXP((T0-t)*PertePVj)+'2022'!Pspv,1-EXP((T0-t)*PertePVj)+Pspv)</f>
        <v>8.8178400806823154E-3</v>
      </c>
      <c r="M257" s="836"/>
      <c r="N257" s="836"/>
      <c r="O257" s="48">
        <f>IF(t&lt;Tnet,'2022'!Resal+('2022'!Salim-'2022'!Resal)*(1-EXP(('2022'!Tnet-t)/('2022'!Tau_j))),Resal+(Salim-Resal)*(1-EXP((Tnet-t)/(Tau_j))))*Salcycl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5.3349110481348029E-5</v>
      </c>
      <c r="Q257" s="301">
        <f t="shared" si="81"/>
        <v>0.5</v>
      </c>
      <c r="R257" s="173">
        <f t="shared" si="82"/>
        <v>0.97732833917483575</v>
      </c>
      <c r="S257" s="802">
        <f t="shared" si="83"/>
        <v>0</v>
      </c>
      <c r="T257" s="172">
        <f t="shared" si="84"/>
        <v>6</v>
      </c>
      <c r="U257" s="247">
        <f t="shared" si="85"/>
        <v>0.97732833917483575</v>
      </c>
      <c r="V257" s="378">
        <f t="shared" si="86"/>
        <v>51.091390946281372</v>
      </c>
      <c r="W257" s="397">
        <f t="shared" si="87"/>
        <v>25.279382899042101</v>
      </c>
      <c r="X257" s="153">
        <f t="shared" si="88"/>
        <v>45169</v>
      </c>
      <c r="Y257" s="380">
        <f t="shared" si="89"/>
        <v>24.552280942137127</v>
      </c>
      <c r="Z257" s="380">
        <f t="shared" si="90"/>
        <v>24.770705058024536</v>
      </c>
      <c r="AA257" s="381">
        <f t="shared" si="91"/>
        <v>25.733580363706611</v>
      </c>
      <c r="AB257" s="193">
        <f t="shared" si="92"/>
        <v>45169</v>
      </c>
      <c r="AC257" s="420">
        <f>IF(OR(t&lt;Tnet,NoTnet),'2022'!Resal_s+('2022'!Salim-'2022'!Resal_s)*(1-EXP(('2022'!Tnet_s-t)/'2022'!Tau_j)),Resal_s+(Salim-Resal_s)*(1-EXP((Tnet_s-t)/Tau_j)))*Salcycl</f>
        <v>3.7417074968707713E-2</v>
      </c>
      <c r="AD257" s="227">
        <f>(INDEX(Models!$BJ257:$BT257,,AH257)*(1-AF257)+INDEX(Models!$BJ257:$BT257,,AH257+1)*AF257-ERP_i)*AE257*Ramure*Pc/MaxiM</f>
        <v>5.3349110481348029E-5</v>
      </c>
      <c r="AE257" s="301">
        <f t="shared" si="93"/>
        <v>0.5</v>
      </c>
      <c r="AF257" s="173">
        <f t="shared" si="94"/>
        <v>0.97732833917483575</v>
      </c>
      <c r="AG257" s="172">
        <f t="shared" si="95"/>
        <v>0</v>
      </c>
      <c r="AH257" s="172">
        <f t="shared" si="96"/>
        <v>6</v>
      </c>
      <c r="AI257" s="221">
        <f t="shared" si="97"/>
        <v>0.97732833917483575</v>
      </c>
      <c r="AJ257" s="261" t="b">
        <f t="shared" si="98"/>
        <v>0</v>
      </c>
      <c r="AK257" s="261" t="b">
        <f t="shared" si="99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00"/>
        <v>45170</v>
      </c>
      <c r="B258" s="406">
        <f>'2022'!Wh/'2022'!Env_an*'2023'!Env_an</f>
        <v>43.468146128128964</v>
      </c>
      <c r="C258" s="385"/>
      <c r="D258" s="388">
        <f t="shared" si="78"/>
        <v>43.855451537011795</v>
      </c>
      <c r="E258" s="380">
        <f t="shared" si="101"/>
        <v>44.252762043002754</v>
      </c>
      <c r="F258" s="380">
        <f t="shared" si="79"/>
        <v>44.254738738528701</v>
      </c>
      <c r="G258" s="110">
        <f t="shared" si="102"/>
        <v>0.85550194005509272</v>
      </c>
      <c r="H258" s="409" t="b">
        <f>Wh_hp&gt;='2022'!Maxi_hp</f>
        <v>0</v>
      </c>
      <c r="I258" s="385">
        <f>IF(H258,Wh_hp,'2022'!Maxi_hp)</f>
        <v>44.255000274929195</v>
      </c>
      <c r="J258" s="85">
        <f>IF(H258,An,'2022'!An_max)</f>
        <v>2022</v>
      </c>
      <c r="K258" s="193">
        <f t="shared" si="80"/>
        <v>45170</v>
      </c>
      <c r="L258" s="143">
        <f>IF(t&lt;Tvie,1-EXP((T0-t)*PertePVj)+'2022'!Pspv,1-EXP((T0-t)*PertePVj)+Pspv)</f>
        <v>8.8314085320947422E-3</v>
      </c>
      <c r="M258" s="836"/>
      <c r="N258" s="836"/>
      <c r="O258" s="48">
        <f>IF(t&lt;Tnet,'2022'!Resal+('2022'!Salim-'2022'!Resal)*(1-EXP(('2022'!Tnet-t)/('2022'!Tau_j))),Resal+(Salim-Resal)*(1-EXP((Tnet-t)/(Tau_j))))*Salcycl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5.6283965400728471E-5</v>
      </c>
      <c r="Q258" s="301">
        <f t="shared" si="81"/>
        <v>0.5</v>
      </c>
      <c r="R258" s="173">
        <f t="shared" si="82"/>
        <v>0.97797745115745716</v>
      </c>
      <c r="S258" s="802">
        <f t="shared" si="83"/>
        <v>0</v>
      </c>
      <c r="T258" s="172">
        <f t="shared" si="84"/>
        <v>6</v>
      </c>
      <c r="U258" s="247">
        <f t="shared" si="85"/>
        <v>0.97797745115745716</v>
      </c>
      <c r="V258" s="378">
        <f t="shared" si="86"/>
        <v>50.80951786559649</v>
      </c>
      <c r="W258" s="397">
        <f t="shared" si="87"/>
        <v>43.468146128128964</v>
      </c>
      <c r="X258" s="153">
        <f t="shared" si="88"/>
        <v>45170</v>
      </c>
      <c r="Y258" s="380">
        <f t="shared" si="89"/>
        <v>42.219073809088826</v>
      </c>
      <c r="Z258" s="380">
        <f t="shared" si="90"/>
        <v>42.595249862148108</v>
      </c>
      <c r="AA258" s="381">
        <f t="shared" si="91"/>
        <v>44.252762043002754</v>
      </c>
      <c r="AB258" s="193">
        <f t="shared" si="92"/>
        <v>45170</v>
      </c>
      <c r="AC258" s="420">
        <f>IF(OR(t&lt;Tnet,NoTnet),'2022'!Resal_s+('2022'!Salim-'2022'!Resal_s)*(1-EXP(('2022'!Tnet_s-t)/'2022'!Tau_j)),Resal_s+(Salim-Resal_s)*(1-EXP((Tnet_s-t)/Tau_j)))*Salcycl</f>
        <v>3.745556445141094E-2</v>
      </c>
      <c r="AD258" s="227">
        <f>(INDEX(Models!$BJ258:$BT258,,AH258)*(1-AF258)+INDEX(Models!$BJ258:$BT258,,AH258+1)*AF258-ERP_i)*AE258*Ramure*Pc/MaxiM</f>
        <v>5.6283965400728471E-5</v>
      </c>
      <c r="AE258" s="301">
        <f t="shared" si="93"/>
        <v>0.5</v>
      </c>
      <c r="AF258" s="173">
        <f t="shared" si="94"/>
        <v>0.97797745115745716</v>
      </c>
      <c r="AG258" s="172">
        <f t="shared" si="95"/>
        <v>0</v>
      </c>
      <c r="AH258" s="172">
        <f t="shared" si="96"/>
        <v>6</v>
      </c>
      <c r="AI258" s="221">
        <f t="shared" si="97"/>
        <v>0.97797745115745716</v>
      </c>
      <c r="AJ258" s="261" t="b">
        <f t="shared" si="98"/>
        <v>0</v>
      </c>
      <c r="AK258" s="261" t="b">
        <f t="shared" si="99"/>
        <v>0</v>
      </c>
      <c r="AL258" s="261"/>
      <c r="AM258" s="261"/>
      <c r="AN258" s="75"/>
    </row>
    <row r="259" spans="1:40" s="6" customFormat="1" ht="11.25" x14ac:dyDescent="0.2">
      <c r="A259" s="56">
        <f t="shared" si="100"/>
        <v>45171</v>
      </c>
      <c r="B259" s="406">
        <f>'2022'!Wh/'2022'!Env_an*'2023'!Env_an</f>
        <v>41.088245995285895</v>
      </c>
      <c r="C259" s="385"/>
      <c r="D259" s="388">
        <f t="shared" si="78"/>
        <v>41.454913745518418</v>
      </c>
      <c r="E259" s="380">
        <f t="shared" si="101"/>
        <v>41.833320019813172</v>
      </c>
      <c r="F259" s="380">
        <f t="shared" si="79"/>
        <v>41.835138404389589</v>
      </c>
      <c r="G259" s="110">
        <f t="shared" si="102"/>
        <v>0.81324922964845847</v>
      </c>
      <c r="H259" s="409" t="b">
        <f>Wh_hp&gt;='2022'!Maxi_hp</f>
        <v>0</v>
      </c>
      <c r="I259" s="385">
        <f>IF(H259,Wh_hp,'2022'!Maxi_hp)</f>
        <v>41.8354747145045</v>
      </c>
      <c r="J259" s="85">
        <f>IF(H259,An,'2022'!An_max)</f>
        <v>2022</v>
      </c>
      <c r="K259" s="193">
        <f t="shared" si="80"/>
        <v>45171</v>
      </c>
      <c r="L259" s="143">
        <f>IF(t&lt;Tvie,1-EXP((T0-t)*PertePVj)+'2022'!Pspv,1-EXP((T0-t)*PertePVj)+Pspv)</f>
        <v>8.8449767977665239E-3</v>
      </c>
      <c r="M259" s="836"/>
      <c r="N259" s="836"/>
      <c r="O259" s="48">
        <f>IF(t&lt;Tnet,'2022'!Resal+('2022'!Salim-'2022'!Resal)*(1-EXP(('2022'!Tnet-t)/('2022'!Tau_j))),Resal+(Salim-Resal)*(1-EXP((Tnet-t)/(Tau_j))))*Salcycl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5.9279342774962155E-5</v>
      </c>
      <c r="Q259" s="301">
        <f t="shared" si="81"/>
        <v>0.5</v>
      </c>
      <c r="R259" s="173">
        <f t="shared" si="82"/>
        <v>0.97860206677166373</v>
      </c>
      <c r="S259" s="802">
        <f t="shared" si="83"/>
        <v>0</v>
      </c>
      <c r="T259" s="172">
        <f t="shared" si="84"/>
        <v>6</v>
      </c>
      <c r="U259" s="247">
        <f t="shared" si="85"/>
        <v>0.97860206677166373</v>
      </c>
      <c r="V259" s="378">
        <f t="shared" si="86"/>
        <v>50.522760680782376</v>
      </c>
      <c r="W259" s="397">
        <f t="shared" si="87"/>
        <v>41.088245995285895</v>
      </c>
      <c r="X259" s="153">
        <f t="shared" si="88"/>
        <v>45171</v>
      </c>
      <c r="Y259" s="380">
        <f t="shared" si="89"/>
        <v>39.908687383985324</v>
      </c>
      <c r="Z259" s="380">
        <f t="shared" si="90"/>
        <v>40.264828861027148</v>
      </c>
      <c r="AA259" s="381">
        <f t="shared" si="91"/>
        <v>41.833320019813172</v>
      </c>
      <c r="AB259" s="193">
        <f t="shared" si="92"/>
        <v>45171</v>
      </c>
      <c r="AC259" s="420">
        <f>IF(OR(t&lt;Tnet,NoTnet),'2022'!Resal_s+('2022'!Salim-'2022'!Resal_s)*(1-EXP(('2022'!Tnet_s-t)/'2022'!Tau_j)),Resal_s+(Salim-Resal_s)*(1-EXP((Tnet_s-t)/Tau_j)))*Salcycl</f>
        <v>3.7493824493087149E-2</v>
      </c>
      <c r="AD259" s="227">
        <f>(INDEX(Models!$BJ259:$BT259,,AH259)*(1-AF259)+INDEX(Models!$BJ259:$BT259,,AH259+1)*AF259-ERP_i)*AE259*Ramure*Pc/MaxiM</f>
        <v>5.9279342774962155E-5</v>
      </c>
      <c r="AE259" s="301">
        <f t="shared" si="93"/>
        <v>0.5</v>
      </c>
      <c r="AF259" s="173">
        <f t="shared" si="94"/>
        <v>0.97860206677166373</v>
      </c>
      <c r="AG259" s="172">
        <f t="shared" si="95"/>
        <v>0</v>
      </c>
      <c r="AH259" s="172">
        <f t="shared" si="96"/>
        <v>6</v>
      </c>
      <c r="AI259" s="221">
        <f t="shared" si="97"/>
        <v>0.97860206677166373</v>
      </c>
      <c r="AJ259" s="261" t="b">
        <f t="shared" si="98"/>
        <v>0</v>
      </c>
      <c r="AK259" s="261" t="b">
        <f t="shared" si="99"/>
        <v>0</v>
      </c>
      <c r="AL259" s="261"/>
      <c r="AM259" s="261"/>
      <c r="AN259" s="75"/>
    </row>
    <row r="260" spans="1:40" s="6" customFormat="1" ht="11.25" x14ac:dyDescent="0.2">
      <c r="A260" s="56">
        <f t="shared" si="100"/>
        <v>45172</v>
      </c>
      <c r="B260" s="406">
        <f>'2022'!Wh/'2022'!Env_an*'2023'!Env_an</f>
        <v>37.799668950645035</v>
      </c>
      <c r="C260" s="385"/>
      <c r="D260" s="388">
        <f t="shared" si="78"/>
        <v>38.137511810542541</v>
      </c>
      <c r="E260" s="380">
        <f t="shared" si="101"/>
        <v>38.488247941881589</v>
      </c>
      <c r="F260" s="380">
        <f t="shared" si="79"/>
        <v>38.489799028236149</v>
      </c>
      <c r="G260" s="110">
        <f t="shared" si="102"/>
        <v>0.75250639367227568</v>
      </c>
      <c r="H260" s="409" t="b">
        <f>Wh_hp&gt;='2022'!Maxi_hp</f>
        <v>0</v>
      </c>
      <c r="I260" s="385">
        <f>IF(H260,Wh_hp,'2022'!Maxi_hp)</f>
        <v>38.490229957550994</v>
      </c>
      <c r="J260" s="85">
        <f>IF(H260,An,'2022'!An_max)</f>
        <v>2022</v>
      </c>
      <c r="K260" s="193">
        <f t="shared" si="80"/>
        <v>45172</v>
      </c>
      <c r="L260" s="143">
        <f>IF(t&lt;Tvie,1-EXP((T0-t)*PertePVj)+'2022'!Pspv,1-EXP((T0-t)*PertePVj)+Pspv)</f>
        <v>8.858544877700103E-3</v>
      </c>
      <c r="M260" s="836"/>
      <c r="N260" s="836"/>
      <c r="O260" s="48">
        <f>IF(t&lt;Tnet,'2022'!Resal+('2022'!Salim-'2022'!Resal)*(1-EXP(('2022'!Tnet-t)/('2022'!Tau_j))),Resal+(Salim-Resal)*(1-EXP((Tnet-t)/(Tau_j))))*Salcycl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6.233726390540489E-5</v>
      </c>
      <c r="Q260" s="301">
        <f t="shared" si="81"/>
        <v>0.5</v>
      </c>
      <c r="R260" s="173">
        <f t="shared" si="82"/>
        <v>0.97920304885028919</v>
      </c>
      <c r="S260" s="802">
        <f t="shared" si="83"/>
        <v>0</v>
      </c>
      <c r="T260" s="172">
        <f t="shared" si="84"/>
        <v>6</v>
      </c>
      <c r="U260" s="247">
        <f t="shared" si="85"/>
        <v>0.97920304885028919</v>
      </c>
      <c r="V260" s="378">
        <f t="shared" si="86"/>
        <v>50.230584327301095</v>
      </c>
      <c r="W260" s="397">
        <f t="shared" si="87"/>
        <v>37.799668950645035</v>
      </c>
      <c r="X260" s="153">
        <f t="shared" si="88"/>
        <v>45172</v>
      </c>
      <c r="Y260" s="380">
        <f t="shared" si="89"/>
        <v>36.71555949697165</v>
      </c>
      <c r="Z260" s="380">
        <f t="shared" si="90"/>
        <v>37.043712890044752</v>
      </c>
      <c r="AA260" s="381">
        <f t="shared" si="91"/>
        <v>38.488247941881589</v>
      </c>
      <c r="AB260" s="193">
        <f t="shared" si="92"/>
        <v>45172</v>
      </c>
      <c r="AC260" s="420">
        <f>IF(OR(t&lt;Tnet,NoTnet),'2022'!Resal_s+('2022'!Salim-'2022'!Resal_s)*(1-EXP(('2022'!Tnet_s-t)/'2022'!Tau_j)),Resal_s+(Salim-Resal_s)*(1-EXP((Tnet_s-t)/Tau_j)))*Salcycl</f>
        <v>3.7531847488046971E-2</v>
      </c>
      <c r="AD260" s="227">
        <f>(INDEX(Models!$BJ260:$BT260,,AH260)*(1-AF260)+INDEX(Models!$BJ260:$BT260,,AH260+1)*AF260-ERP_i)*AE260*Ramure*Pc/MaxiM</f>
        <v>6.233726390540489E-5</v>
      </c>
      <c r="AE260" s="301">
        <f t="shared" si="93"/>
        <v>0.5</v>
      </c>
      <c r="AF260" s="173">
        <f t="shared" si="94"/>
        <v>0.97920304885028919</v>
      </c>
      <c r="AG260" s="172">
        <f t="shared" si="95"/>
        <v>0</v>
      </c>
      <c r="AH260" s="172">
        <f t="shared" si="96"/>
        <v>6</v>
      </c>
      <c r="AI260" s="221">
        <f t="shared" si="97"/>
        <v>0.97920304885028919</v>
      </c>
      <c r="AJ260" s="261" t="b">
        <f t="shared" si="98"/>
        <v>0</v>
      </c>
      <c r="AK260" s="261" t="b">
        <f t="shared" si="99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00"/>
        <v>45173</v>
      </c>
      <c r="B261" s="406">
        <f>'2022'!Wh/'2022'!Env_an*'2023'!Env_an</f>
        <v>49.563307467383019</v>
      </c>
      <c r="C261" s="385"/>
      <c r="D261" s="388">
        <f t="shared" si="78"/>
        <v>50.006974988865721</v>
      </c>
      <c r="E261" s="380">
        <f t="shared" si="101"/>
        <v>50.470288448587119</v>
      </c>
      <c r="F261" s="380">
        <f t="shared" si="79"/>
        <v>50.473557225721557</v>
      </c>
      <c r="G261" s="110">
        <f t="shared" si="102"/>
        <v>0.9925658842795031</v>
      </c>
      <c r="H261" s="409" t="b">
        <f>Wh_hp&gt;='2022'!Maxi_hp</f>
        <v>0</v>
      </c>
      <c r="I261" s="385">
        <f>IF(H261,Wh_hp,'2022'!Maxi_hp)</f>
        <v>50.473575037917115</v>
      </c>
      <c r="J261" s="85">
        <f>IF(H261,An,'2022'!An_max)</f>
        <v>2022</v>
      </c>
      <c r="K261" s="193">
        <f t="shared" si="80"/>
        <v>45173</v>
      </c>
      <c r="L261" s="143">
        <f>IF(t&lt;Tvie,1-EXP((T0-t)*PertePVj)+'2022'!Pspv,1-EXP((T0-t)*PertePVj)+Pspv)</f>
        <v>8.872112771898033E-3</v>
      </c>
      <c r="M261" s="836"/>
      <c r="N261" s="836"/>
      <c r="O261" s="48">
        <f>IF(t&lt;Tnet,'2022'!Resal+('2022'!Salim-'2022'!Resal)*(1-EXP(('2022'!Tnet-t)/('2022'!Tau_j))),Resal+(Salim-Resal)*(1-EXP((Tnet-t)/(Tau_j))))*Salcycl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6.5457273353680776E-5</v>
      </c>
      <c r="Q261" s="301">
        <f t="shared" si="81"/>
        <v>0.5</v>
      </c>
      <c r="R261" s="173">
        <f t="shared" si="82"/>
        <v>0.97978123457605348</v>
      </c>
      <c r="S261" s="802">
        <f t="shared" si="83"/>
        <v>0</v>
      </c>
      <c r="T261" s="172">
        <f t="shared" si="84"/>
        <v>6</v>
      </c>
      <c r="U261" s="247">
        <f t="shared" si="85"/>
        <v>0.97978123457605348</v>
      </c>
      <c r="V261" s="378">
        <f t="shared" si="86"/>
        <v>49.934491804086399</v>
      </c>
      <c r="W261" s="397">
        <f t="shared" si="87"/>
        <v>49.563307467383019</v>
      </c>
      <c r="X261" s="153">
        <f t="shared" si="88"/>
        <v>45173</v>
      </c>
      <c r="Y261" s="380">
        <f t="shared" si="89"/>
        <v>48.143183376227775</v>
      </c>
      <c r="Z261" s="380">
        <f t="shared" si="90"/>
        <v>48.57413861178938</v>
      </c>
      <c r="AA261" s="381">
        <f t="shared" si="91"/>
        <v>50.470288448587119</v>
      </c>
      <c r="AB261" s="193">
        <f t="shared" si="92"/>
        <v>45173</v>
      </c>
      <c r="AC261" s="420">
        <f>IF(OR(t&lt;Tnet,NoTnet),'2022'!Resal_s+('2022'!Salim-'2022'!Resal_s)*(1-EXP(('2022'!Tnet_s-t)/'2022'!Tau_j)),Resal_s+(Salim-Resal_s)*(1-EXP((Tnet_s-t)/Tau_j)))*Salcycl</f>
        <v>3.7569625517977816E-2</v>
      </c>
      <c r="AD261" s="227">
        <f>(INDEX(Models!$BJ261:$BT261,,AH261)*(1-AF261)+INDEX(Models!$BJ261:$BT261,,AH261+1)*AF261-ERP_i)*AE261*Ramure*Pc/MaxiM</f>
        <v>6.5457273353680776E-5</v>
      </c>
      <c r="AE261" s="301">
        <f t="shared" si="93"/>
        <v>0.5</v>
      </c>
      <c r="AF261" s="173">
        <f t="shared" si="94"/>
        <v>0.97978123457605348</v>
      </c>
      <c r="AG261" s="172">
        <f t="shared" si="95"/>
        <v>0</v>
      </c>
      <c r="AH261" s="172">
        <f t="shared" si="96"/>
        <v>6</v>
      </c>
      <c r="AI261" s="221">
        <f t="shared" si="97"/>
        <v>0.97978123457605348</v>
      </c>
      <c r="AJ261" s="261" t="b">
        <f t="shared" si="98"/>
        <v>0</v>
      </c>
      <c r="AK261" s="261" t="b">
        <f t="shared" si="99"/>
        <v>0</v>
      </c>
      <c r="AL261" s="261"/>
      <c r="AM261" s="261"/>
      <c r="AN261" s="75"/>
    </row>
    <row r="262" spans="1:40" s="6" customFormat="1" ht="11.25" x14ac:dyDescent="0.2">
      <c r="A262" s="56">
        <f t="shared" si="100"/>
        <v>45174</v>
      </c>
      <c r="B262" s="406">
        <f>'2022'!Wh/'2022'!Env_an*'2023'!Env_an</f>
        <v>41.473842452485385</v>
      </c>
      <c r="C262" s="385"/>
      <c r="D262" s="388">
        <f t="shared" si="78"/>
        <v>41.845669702952627</v>
      </c>
      <c r="E262" s="380">
        <f t="shared" si="101"/>
        <v>42.236224266535821</v>
      </c>
      <c r="F262" s="380">
        <f t="shared" si="79"/>
        <v>42.238428631384629</v>
      </c>
      <c r="G262" s="110">
        <f t="shared" si="102"/>
        <v>0.8355438132853753</v>
      </c>
      <c r="H262" s="409" t="b">
        <f>Wh_hp&gt;='2022'!Maxi_hp</f>
        <v>0</v>
      </c>
      <c r="I262" s="385">
        <f>IF(H262,Wh_hp,'2022'!Maxi_hp)</f>
        <v>42.238772053964766</v>
      </c>
      <c r="J262" s="85">
        <f>IF(H262,An,'2022'!An_max)</f>
        <v>2022</v>
      </c>
      <c r="K262" s="193">
        <f t="shared" si="80"/>
        <v>45174</v>
      </c>
      <c r="L262" s="143">
        <f>IF(t&lt;Tvie,1-EXP((T0-t)*PertePVj)+'2022'!Pspv,1-EXP((T0-t)*PertePVj)+Pspv)</f>
        <v>8.8856804803628675E-3</v>
      </c>
      <c r="M262" s="836"/>
      <c r="N262" s="836"/>
      <c r="O262" s="48">
        <f>IF(t&lt;Tnet,'2022'!Resal+('2022'!Salim-'2022'!Resal)*(1-EXP(('2022'!Tnet-t)/('2022'!Tau_j))),Resal+(Salim-Resal)*(1-EXP((Tnet-t)/(Tau_j))))*Salcycl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6.8213117612236728E-5</v>
      </c>
      <c r="Q262" s="301">
        <f t="shared" si="81"/>
        <v>0.5</v>
      </c>
      <c r="R262" s="173">
        <f t="shared" si="82"/>
        <v>0.98033743586882538</v>
      </c>
      <c r="S262" s="802">
        <f t="shared" si="83"/>
        <v>0</v>
      </c>
      <c r="T262" s="172">
        <f t="shared" si="84"/>
        <v>6</v>
      </c>
      <c r="U262" s="247">
        <f t="shared" si="85"/>
        <v>0.98033743586882538</v>
      </c>
      <c r="V262" s="378">
        <f t="shared" si="86"/>
        <v>49.636149727196432</v>
      </c>
      <c r="W262" s="397">
        <f t="shared" si="87"/>
        <v>41.473842452485385</v>
      </c>
      <c r="X262" s="153">
        <f t="shared" si="88"/>
        <v>45174</v>
      </c>
      <c r="Y262" s="380">
        <f t="shared" si="89"/>
        <v>40.286656510544638</v>
      </c>
      <c r="Z262" s="380">
        <f t="shared" si="90"/>
        <v>40.64784023105463</v>
      </c>
      <c r="AA262" s="381">
        <f t="shared" si="91"/>
        <v>42.236224266535821</v>
      </c>
      <c r="AB262" s="193">
        <f t="shared" si="92"/>
        <v>45174</v>
      </c>
      <c r="AC262" s="420">
        <f>IF(OR(t&lt;Tnet,NoTnet),'2022'!Resal_s+('2022'!Salim-'2022'!Resal_s)*(1-EXP(('2022'!Tnet_s-t)/'2022'!Tau_j)),Resal_s+(Salim-Resal_s)*(1-EXP((Tnet_s-t)/Tau_j)))*Salcycl</f>
        <v>3.7607150332793354E-2</v>
      </c>
      <c r="AD262" s="227">
        <f>(INDEX(Models!$BJ262:$BT262,,AH262)*(1-AF262)+INDEX(Models!$BJ262:$BT262,,AH262+1)*AF262-ERP_i)*AE262*Ramure*Pc/MaxiM</f>
        <v>6.8213117612236728E-5</v>
      </c>
      <c r="AE262" s="301">
        <f t="shared" si="93"/>
        <v>0.5</v>
      </c>
      <c r="AF262" s="173">
        <f t="shared" si="94"/>
        <v>0.98033743586882538</v>
      </c>
      <c r="AG262" s="172">
        <f t="shared" si="95"/>
        <v>0</v>
      </c>
      <c r="AH262" s="172">
        <f t="shared" si="96"/>
        <v>6</v>
      </c>
      <c r="AI262" s="221">
        <f t="shared" si="97"/>
        <v>0.98033743586882538</v>
      </c>
      <c r="AJ262" s="261" t="b">
        <f t="shared" si="98"/>
        <v>0</v>
      </c>
      <c r="AK262" s="261" t="b">
        <f t="shared" si="99"/>
        <v>0</v>
      </c>
      <c r="AL262" s="261"/>
      <c r="AM262" s="261"/>
      <c r="AN262" s="75"/>
    </row>
    <row r="263" spans="1:40" s="6" customFormat="1" ht="11.25" x14ac:dyDescent="0.2">
      <c r="A263" s="56">
        <f t="shared" si="100"/>
        <v>45175</v>
      </c>
      <c r="B263" s="406">
        <f>'2022'!Wh/'2022'!Env_an*'2023'!Env_an</f>
        <v>45.205673660180217</v>
      </c>
      <c r="C263" s="385"/>
      <c r="D263" s="388">
        <f t="shared" si="78"/>
        <v>45.611582444164547</v>
      </c>
      <c r="E263" s="380">
        <f t="shared" si="101"/>
        <v>46.040391748834999</v>
      </c>
      <c r="F263" s="380">
        <f t="shared" si="79"/>
        <v>46.043246232432089</v>
      </c>
      <c r="G263" s="110">
        <f t="shared" si="102"/>
        <v>0.9162879817066929</v>
      </c>
      <c r="H263" s="409" t="b">
        <f>Wh_hp&gt;='2022'!Maxi_hp</f>
        <v>0</v>
      </c>
      <c r="I263" s="385">
        <f>IF(H263,Wh_hp,'2022'!Maxi_hp)</f>
        <v>46.043442826632116</v>
      </c>
      <c r="J263" s="85">
        <f>IF(H263,An,'2022'!An_max)</f>
        <v>2022</v>
      </c>
      <c r="K263" s="193">
        <f t="shared" si="80"/>
        <v>45175</v>
      </c>
      <c r="L263" s="143">
        <f>IF(t&lt;Tvie,1-EXP((T0-t)*PertePVj)+'2022'!Pspv,1-EXP((T0-t)*PertePVj)+Pspv)</f>
        <v>8.8992480030971599E-3</v>
      </c>
      <c r="M263" s="836"/>
      <c r="N263" s="836"/>
      <c r="O263" s="48">
        <f>IF(t&lt;Tnet,'2022'!Resal+('2022'!Salim-'2022'!Resal)*(1-EXP(('2022'!Tnet-t)/('2022'!Tau_j))),Resal+(Salim-Resal)*(1-EXP((Tnet-t)/(Tau_j))))*Salcycl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7.0415865285413385E-5</v>
      </c>
      <c r="Q263" s="301">
        <f t="shared" si="81"/>
        <v>0.5</v>
      </c>
      <c r="R263" s="173">
        <f t="shared" si="82"/>
        <v>0.98087243980045702</v>
      </c>
      <c r="S263" s="802">
        <f t="shared" si="83"/>
        <v>0</v>
      </c>
      <c r="T263" s="172">
        <f t="shared" si="84"/>
        <v>6</v>
      </c>
      <c r="U263" s="247">
        <f t="shared" si="85"/>
        <v>0.98087243980045702</v>
      </c>
      <c r="V263" s="378">
        <f t="shared" si="86"/>
        <v>49.335246014519889</v>
      </c>
      <c r="W263" s="397">
        <f t="shared" si="87"/>
        <v>45.205673660180217</v>
      </c>
      <c r="X263" s="153">
        <f t="shared" si="88"/>
        <v>45175</v>
      </c>
      <c r="Y263" s="380">
        <f t="shared" si="89"/>
        <v>43.912927199683395</v>
      </c>
      <c r="Z263" s="380">
        <f t="shared" si="90"/>
        <v>44.307228211870658</v>
      </c>
      <c r="AA263" s="381">
        <f t="shared" si="91"/>
        <v>46.040391748834999</v>
      </c>
      <c r="AB263" s="193">
        <f t="shared" si="92"/>
        <v>45175</v>
      </c>
      <c r="AC263" s="420">
        <f>IF(OR(t&lt;Tnet,NoTnet),'2022'!Resal_s+('2022'!Salim-'2022'!Resal_s)*(1-EXP(('2022'!Tnet_s-t)/'2022'!Tau_j)),Resal_s+(Salim-Resal_s)*(1-EXP((Tnet_s-t)/Tau_j)))*Salcycl</f>
        <v>3.7644413332086693E-2</v>
      </c>
      <c r="AD263" s="227">
        <f>(INDEX(Models!$BJ263:$BT263,,AH263)*(1-AF263)+INDEX(Models!$BJ263:$BT263,,AH263+1)*AF263-ERP_i)*AE263*Ramure*Pc/MaxiM</f>
        <v>7.0415865285413385E-5</v>
      </c>
      <c r="AE263" s="301">
        <f t="shared" si="93"/>
        <v>0.5</v>
      </c>
      <c r="AF263" s="173">
        <f t="shared" si="94"/>
        <v>0.98087243980045702</v>
      </c>
      <c r="AG263" s="172">
        <f t="shared" si="95"/>
        <v>0</v>
      </c>
      <c r="AH263" s="172">
        <f t="shared" si="96"/>
        <v>6</v>
      </c>
      <c r="AI263" s="221">
        <f t="shared" si="97"/>
        <v>0.98087243980045702</v>
      </c>
      <c r="AJ263" s="261" t="b">
        <f t="shared" si="98"/>
        <v>0</v>
      </c>
      <c r="AK263" s="261" t="b">
        <f t="shared" si="99"/>
        <v>0</v>
      </c>
      <c r="AL263" s="261"/>
      <c r="AM263" s="261"/>
      <c r="AN263" s="75"/>
    </row>
    <row r="264" spans="1:40" s="6" customFormat="1" ht="11.25" x14ac:dyDescent="0.2">
      <c r="A264" s="56">
        <f t="shared" si="100"/>
        <v>45176</v>
      </c>
      <c r="B264" s="406">
        <f>'2022'!Wh/'2022'!Env_an*'2023'!Env_an</f>
        <v>37.067203202903904</v>
      </c>
      <c r="C264" s="385"/>
      <c r="D264" s="388">
        <f t="shared" si="78"/>
        <v>37.400547375278556</v>
      </c>
      <c r="E264" s="380">
        <f t="shared" si="101"/>
        <v>37.754704678667203</v>
      </c>
      <c r="F264" s="380">
        <f t="shared" si="79"/>
        <v>37.756476912982791</v>
      </c>
      <c r="G264" s="110">
        <f t="shared" si="102"/>
        <v>0.75596917538134956</v>
      </c>
      <c r="H264" s="409" t="b">
        <f>Wh_hp&gt;='2022'!Maxi_hp</f>
        <v>0</v>
      </c>
      <c r="I264" s="385">
        <f>IF(H264,Wh_hp,'2022'!Maxi_hp)</f>
        <v>37.756957549064502</v>
      </c>
      <c r="J264" s="85">
        <f>IF(H264,An,'2022'!An_max)</f>
        <v>2022</v>
      </c>
      <c r="K264" s="193">
        <f t="shared" si="80"/>
        <v>45176</v>
      </c>
      <c r="L264" s="143">
        <f>IF(t&lt;Tvie,1-EXP((T0-t)*PertePVj)+'2022'!Pspv,1-EXP((T0-t)*PertePVj)+Pspv)</f>
        <v>8.9128153401035748E-3</v>
      </c>
      <c r="M264" s="836"/>
      <c r="N264" s="836"/>
      <c r="O264" s="48">
        <f>IF(t&lt;Tnet,'2022'!Resal+('2022'!Salim-'2022'!Resal)*(1-EXP(('2022'!Tnet-t)/('2022'!Tau_j))),Resal+(Salim-Resal)*(1-EXP((Tnet-t)/(Tau_j))))*Salcycl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7.205666325017527E-5</v>
      </c>
      <c r="Q264" s="301">
        <f t="shared" si="81"/>
        <v>0.5</v>
      </c>
      <c r="R264" s="173">
        <f t="shared" si="82"/>
        <v>0.98138700903349463</v>
      </c>
      <c r="S264" s="802">
        <f t="shared" si="83"/>
        <v>0</v>
      </c>
      <c r="T264" s="172">
        <f t="shared" si="84"/>
        <v>6</v>
      </c>
      <c r="U264" s="247">
        <f t="shared" si="85"/>
        <v>0.98138700903349463</v>
      </c>
      <c r="V264" s="378">
        <f t="shared" si="86"/>
        <v>49.03145962575632</v>
      </c>
      <c r="W264" s="397">
        <f t="shared" si="87"/>
        <v>37.067203202903904</v>
      </c>
      <c r="X264" s="153">
        <f t="shared" si="88"/>
        <v>45176</v>
      </c>
      <c r="Y264" s="380">
        <f t="shared" si="89"/>
        <v>36.008233449070993</v>
      </c>
      <c r="Z264" s="380">
        <f t="shared" si="90"/>
        <v>36.332054340332988</v>
      </c>
      <c r="AA264" s="381">
        <f t="shared" si="91"/>
        <v>37.754704678667203</v>
      </c>
      <c r="AB264" s="193">
        <f t="shared" si="92"/>
        <v>45176</v>
      </c>
      <c r="AC264" s="420">
        <f>IF(OR(t&lt;Tnet,NoTnet),'2022'!Resal_s+('2022'!Salim-'2022'!Resal_s)*(1-EXP(('2022'!Tnet_s-t)/'2022'!Tau_j)),Resal_s+(Salim-Resal_s)*(1-EXP((Tnet_s-t)/Tau_j)))*Salcycl</f>
        <v>3.7681405547798169E-2</v>
      </c>
      <c r="AD264" s="227">
        <f>(INDEX(Models!$BJ264:$BT264,,AH264)*(1-AF264)+INDEX(Models!$BJ264:$BT264,,AH264+1)*AF264-ERP_i)*AE264*Ramure*Pc/MaxiM</f>
        <v>7.205666325017527E-5</v>
      </c>
      <c r="AE264" s="301">
        <f t="shared" si="93"/>
        <v>0.5</v>
      </c>
      <c r="AF264" s="173">
        <f t="shared" si="94"/>
        <v>0.98138700903349463</v>
      </c>
      <c r="AG264" s="172">
        <f t="shared" si="95"/>
        <v>0</v>
      </c>
      <c r="AH264" s="172">
        <f t="shared" si="96"/>
        <v>6</v>
      </c>
      <c r="AI264" s="221">
        <f t="shared" si="97"/>
        <v>0.98138700903349463</v>
      </c>
      <c r="AJ264" s="261" t="b">
        <f t="shared" si="98"/>
        <v>0</v>
      </c>
      <c r="AK264" s="261" t="b">
        <f t="shared" si="99"/>
        <v>0</v>
      </c>
      <c r="AL264" s="261"/>
      <c r="AM264" s="261"/>
      <c r="AN264" s="75"/>
    </row>
    <row r="265" spans="1:40" s="6" customFormat="1" ht="11.25" x14ac:dyDescent="0.2">
      <c r="A265" s="56">
        <f t="shared" si="100"/>
        <v>45177</v>
      </c>
      <c r="B265" s="406">
        <f>'2022'!Wh/'2022'!Env_an*'2023'!Env_an</f>
        <v>41.226219455202127</v>
      </c>
      <c r="C265" s="385"/>
      <c r="D265" s="388">
        <f t="shared" si="78"/>
        <v>41.597534962980426</v>
      </c>
      <c r="E265" s="380">
        <f t="shared" si="101"/>
        <v>41.994257284811475</v>
      </c>
      <c r="F265" s="380">
        <f t="shared" si="79"/>
        <v>41.996653196994039</v>
      </c>
      <c r="G265" s="110">
        <f t="shared" si="102"/>
        <v>0.84609554441887969</v>
      </c>
      <c r="H265" s="409" t="b">
        <f>Wh_hp&gt;='2022'!Maxi_hp</f>
        <v>0</v>
      </c>
      <c r="I265" s="385">
        <f>IF(H265,Wh_hp,'2022'!Maxi_hp)</f>
        <v>41.996995184866542</v>
      </c>
      <c r="J265" s="85">
        <f>IF(H265,An,'2022'!An_max)</f>
        <v>2022</v>
      </c>
      <c r="K265" s="193">
        <f t="shared" si="80"/>
        <v>45177</v>
      </c>
      <c r="L265" s="143">
        <f>IF(t&lt;Tvie,1-EXP((T0-t)*PertePVj)+'2022'!Pspv,1-EXP((T0-t)*PertePVj)+Pspv)</f>
        <v>8.9263824913844436E-3</v>
      </c>
      <c r="M265" s="836"/>
      <c r="N265" s="836"/>
      <c r="O265" s="48">
        <f>IF(t&lt;Tnet,'2022'!Resal+('2022'!Salim-'2022'!Resal)*(1-EXP(('2022'!Tnet-t)/('2022'!Tau_j))),Resal+(Salim-Resal)*(1-EXP((Tnet-t)/(Tau_j))))*Salcycl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7.3126502532112295E-5</v>
      </c>
      <c r="Q265" s="301">
        <f t="shared" si="81"/>
        <v>0.5</v>
      </c>
      <c r="R265" s="173">
        <f t="shared" si="82"/>
        <v>0.98188188228034046</v>
      </c>
      <c r="S265" s="802">
        <f t="shared" si="83"/>
        <v>0</v>
      </c>
      <c r="T265" s="172">
        <f t="shared" si="84"/>
        <v>6</v>
      </c>
      <c r="U265" s="247">
        <f t="shared" si="85"/>
        <v>0.98188188228034046</v>
      </c>
      <c r="V265" s="378">
        <f t="shared" si="86"/>
        <v>48.724469616894943</v>
      </c>
      <c r="W265" s="397">
        <f t="shared" si="87"/>
        <v>41.226219455202127</v>
      </c>
      <c r="X265" s="153">
        <f t="shared" si="88"/>
        <v>45177</v>
      </c>
      <c r="Y265" s="380">
        <f t="shared" si="89"/>
        <v>40.049595038834795</v>
      </c>
      <c r="Z265" s="380">
        <f t="shared" si="90"/>
        <v>40.41031294881244</v>
      </c>
      <c r="AA265" s="381">
        <f t="shared" si="91"/>
        <v>41.994257284811475</v>
      </c>
      <c r="AB265" s="193">
        <f t="shared" si="92"/>
        <v>45177</v>
      </c>
      <c r="AC265" s="420">
        <f>IF(OR(t&lt;Tnet,NoTnet),'2022'!Resal_s+('2022'!Salim-'2022'!Resal_s)*(1-EXP(('2022'!Tnet_s-t)/'2022'!Tau_j)),Resal_s+(Salim-Resal_s)*(1-EXP((Tnet_s-t)/Tau_j)))*Salcycl</f>
        <v>3.7718117628714805E-2</v>
      </c>
      <c r="AD265" s="227">
        <f>(INDEX(Models!$BJ265:$BT265,,AH265)*(1-AF265)+INDEX(Models!$BJ265:$BT265,,AH265+1)*AF265-ERP_i)*AE265*Ramure*Pc/MaxiM</f>
        <v>7.3126502532112295E-5</v>
      </c>
      <c r="AE265" s="301">
        <f t="shared" si="93"/>
        <v>0.5</v>
      </c>
      <c r="AF265" s="173">
        <f t="shared" si="94"/>
        <v>0.98188188228034046</v>
      </c>
      <c r="AG265" s="172">
        <f t="shared" si="95"/>
        <v>0</v>
      </c>
      <c r="AH265" s="172">
        <f t="shared" si="96"/>
        <v>6</v>
      </c>
      <c r="AI265" s="221">
        <f t="shared" si="97"/>
        <v>0.98188188228034046</v>
      </c>
      <c r="AJ265" s="261" t="b">
        <f t="shared" si="98"/>
        <v>0</v>
      </c>
      <c r="AK265" s="261" t="b">
        <f t="shared" si="99"/>
        <v>0</v>
      </c>
      <c r="AL265" s="261"/>
      <c r="AM265" s="261"/>
      <c r="AN265" s="75"/>
    </row>
    <row r="266" spans="1:40" s="6" customFormat="1" ht="11.25" x14ac:dyDescent="0.2">
      <c r="A266" s="56">
        <f t="shared" si="100"/>
        <v>45178</v>
      </c>
      <c r="B266" s="406">
        <f>'2022'!Wh/'2022'!Env_an*'2023'!Env_an</f>
        <v>19.640901478072344</v>
      </c>
      <c r="C266" s="385"/>
      <c r="D266" s="388">
        <f t="shared" si="78"/>
        <v>19.818074058489181</v>
      </c>
      <c r="E266" s="380">
        <f t="shared" si="101"/>
        <v>20.008424191736683</v>
      </c>
      <c r="F266" s="380">
        <f t="shared" si="79"/>
        <v>20.008646580881724</v>
      </c>
      <c r="G266" s="110">
        <f t="shared" si="102"/>
        <v>0.40566142185849025</v>
      </c>
      <c r="H266" s="409" t="b">
        <f>Wh_hp&gt;='2022'!Maxi_hp</f>
        <v>0</v>
      </c>
      <c r="I266" s="385">
        <f>IF(H266,Wh_hp,'2022'!Maxi_hp)</f>
        <v>20.009279692511022</v>
      </c>
      <c r="J266" s="85">
        <f>IF(H266,An,'2022'!An_max)</f>
        <v>2022</v>
      </c>
      <c r="K266" s="193">
        <f t="shared" si="80"/>
        <v>45178</v>
      </c>
      <c r="L266" s="143">
        <f>IF(t&lt;Tvie,1-EXP((T0-t)*PertePVj)+'2022'!Pspv,1-EXP((T0-t)*PertePVj)+Pspv)</f>
        <v>8.9399494569424309E-3</v>
      </c>
      <c r="M266" s="836"/>
      <c r="N266" s="836"/>
      <c r="O266" s="48">
        <f>IF(t&lt;Tnet,'2022'!Resal+('2022'!Salim-'2022'!Resal)*(1-EXP(('2022'!Tnet-t)/('2022'!Tau_j))),Resal+(Salim-Resal)*(1-EXP((Tnet-t)/(Tau_j))))*Salcycl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7.3616175830536039E-5</v>
      </c>
      <c r="Q266" s="301">
        <f t="shared" si="81"/>
        <v>0.5</v>
      </c>
      <c r="R266" s="173">
        <f t="shared" si="82"/>
        <v>0.98235777477969566</v>
      </c>
      <c r="S266" s="802">
        <f t="shared" si="83"/>
        <v>0</v>
      </c>
      <c r="T266" s="172">
        <f t="shared" si="84"/>
        <v>6</v>
      </c>
      <c r="U266" s="247">
        <f t="shared" si="85"/>
        <v>0.98235777477969566</v>
      </c>
      <c r="V266" s="378">
        <f t="shared" si="86"/>
        <v>48.413955135740125</v>
      </c>
      <c r="W266" s="397">
        <f t="shared" si="87"/>
        <v>19.640901478072344</v>
      </c>
      <c r="X266" s="153">
        <f t="shared" si="88"/>
        <v>45178</v>
      </c>
      <c r="Y266" s="380">
        <f t="shared" si="89"/>
        <v>19.080894359639451</v>
      </c>
      <c r="Z266" s="380">
        <f t="shared" si="90"/>
        <v>19.253015343705918</v>
      </c>
      <c r="AA266" s="381">
        <f t="shared" si="91"/>
        <v>20.008424191736683</v>
      </c>
      <c r="AB266" s="193">
        <f t="shared" si="92"/>
        <v>45178</v>
      </c>
      <c r="AC266" s="420">
        <f>IF(OR(t&lt;Tnet,NoTnet),'2022'!Resal_s+('2022'!Salim-'2022'!Resal_s)*(1-EXP(('2022'!Tnet_s-t)/'2022'!Tau_j)),Resal_s+(Salim-Resal_s)*(1-EXP((Tnet_s-t)/Tau_j)))*Salcycl</f>
        <v>3.7754539827416368E-2</v>
      </c>
      <c r="AD266" s="227">
        <f>(INDEX(Models!$BJ266:$BT266,,AH266)*(1-AF266)+INDEX(Models!$BJ266:$BT266,,AH266+1)*AF266-ERP_i)*AE266*Ramure*Pc/MaxiM</f>
        <v>7.3616175830536039E-5</v>
      </c>
      <c r="AE266" s="301">
        <f t="shared" si="93"/>
        <v>0.5</v>
      </c>
      <c r="AF266" s="173">
        <f t="shared" si="94"/>
        <v>0.98235777477969566</v>
      </c>
      <c r="AG266" s="172">
        <f t="shared" si="95"/>
        <v>0</v>
      </c>
      <c r="AH266" s="172">
        <f t="shared" si="96"/>
        <v>6</v>
      </c>
      <c r="AI266" s="221">
        <f t="shared" si="97"/>
        <v>0.98235777477969566</v>
      </c>
      <c r="AJ266" s="261" t="b">
        <f t="shared" si="98"/>
        <v>0</v>
      </c>
      <c r="AK266" s="261" t="b">
        <f t="shared" si="99"/>
        <v>0</v>
      </c>
      <c r="AL266" s="261"/>
      <c r="AM266" s="261"/>
      <c r="AN266" s="75"/>
    </row>
    <row r="267" spans="1:40" s="6" customFormat="1" ht="11.25" x14ac:dyDescent="0.2">
      <c r="A267" s="56">
        <f t="shared" si="100"/>
        <v>45179</v>
      </c>
      <c r="B267" s="406">
        <f>'2022'!Wh/'2022'!Env_an*'2023'!Env_an</f>
        <v>45.78675712767533</v>
      </c>
      <c r="C267" s="385"/>
      <c r="D267" s="388">
        <f t="shared" si="78"/>
        <v>46.200413278106801</v>
      </c>
      <c r="E267" s="380">
        <f t="shared" si="101"/>
        <v>46.647284580050062</v>
      </c>
      <c r="F267" s="380">
        <f t="shared" si="79"/>
        <v>46.650478563848154</v>
      </c>
      <c r="G267" s="110">
        <f t="shared" si="102"/>
        <v>0.9519108317417031</v>
      </c>
      <c r="H267" s="409" t="b">
        <f>Wh_hp&gt;='2022'!Maxi_hp</f>
        <v>0</v>
      </c>
      <c r="I267" s="385">
        <f>IF(H267,Wh_hp,'2022'!Maxi_hp)</f>
        <v>46.650597773955901</v>
      </c>
      <c r="J267" s="85">
        <f>IF(H267,An,'2022'!An_max)</f>
        <v>2022</v>
      </c>
      <c r="K267" s="193">
        <f t="shared" si="80"/>
        <v>45179</v>
      </c>
      <c r="L267" s="143">
        <f>IF(t&lt;Tvie,1-EXP((T0-t)*PertePVj)+'2022'!Pspv,1-EXP((T0-t)*PertePVj)+Pspv)</f>
        <v>8.9535162367799792E-3</v>
      </c>
      <c r="M267" s="836"/>
      <c r="N267" s="836"/>
      <c r="O267" s="48">
        <f>IF(t&lt;Tnet,'2022'!Resal+('2022'!Salim-'2022'!Resal)*(1-EXP(('2022'!Tnet-t)/('2022'!Tau_j))),Resal+(Salim-Resal)*(1-EXP((Tnet-t)/(Tau_j))))*Salcycl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7.3516233038415664E-5</v>
      </c>
      <c r="Q267" s="301">
        <f t="shared" si="81"/>
        <v>0.5</v>
      </c>
      <c r="R267" s="173">
        <f t="shared" si="82"/>
        <v>0.98281537878736058</v>
      </c>
      <c r="S267" s="802">
        <f t="shared" si="83"/>
        <v>0</v>
      </c>
      <c r="T267" s="172">
        <f t="shared" si="84"/>
        <v>6</v>
      </c>
      <c r="U267" s="247">
        <f t="shared" si="85"/>
        <v>0.98281537878736058</v>
      </c>
      <c r="V267" s="378">
        <f t="shared" si="86"/>
        <v>48.099595427633353</v>
      </c>
      <c r="W267" s="397">
        <f t="shared" si="87"/>
        <v>45.78675712767533</v>
      </c>
      <c r="X267" s="153">
        <f t="shared" si="88"/>
        <v>45179</v>
      </c>
      <c r="Y267" s="380">
        <f t="shared" si="89"/>
        <v>44.482579138656796</v>
      </c>
      <c r="Z267" s="380">
        <f t="shared" si="90"/>
        <v>44.884452815721339</v>
      </c>
      <c r="AA267" s="381">
        <f t="shared" si="91"/>
        <v>46.647284580050062</v>
      </c>
      <c r="AB267" s="193">
        <f t="shared" si="92"/>
        <v>45179</v>
      </c>
      <c r="AC267" s="420">
        <f>IF(OR(t&lt;Tnet,NoTnet),'2022'!Resal_s+('2022'!Salim-'2022'!Resal_s)*(1-EXP(('2022'!Tnet_s-t)/'2022'!Tau_j)),Resal_s+(Salim-Resal_s)*(1-EXP((Tnet_s-t)/Tau_j)))*Salcycl</f>
        <v>3.7790661990272527E-2</v>
      </c>
      <c r="AD267" s="227">
        <f>(INDEX(Models!$BJ267:$BT267,,AH267)*(1-AF267)+INDEX(Models!$BJ267:$BT267,,AH267+1)*AF267-ERP_i)*AE267*Ramure*Pc/MaxiM</f>
        <v>7.3516233038415664E-5</v>
      </c>
      <c r="AE267" s="301">
        <f t="shared" si="93"/>
        <v>0.5</v>
      </c>
      <c r="AF267" s="173">
        <f t="shared" si="94"/>
        <v>0.98281537878736058</v>
      </c>
      <c r="AG267" s="172">
        <f t="shared" si="95"/>
        <v>0</v>
      </c>
      <c r="AH267" s="172">
        <f t="shared" si="96"/>
        <v>6</v>
      </c>
      <c r="AI267" s="221">
        <f t="shared" si="97"/>
        <v>0.98281537878736058</v>
      </c>
      <c r="AJ267" s="261" t="b">
        <f t="shared" si="98"/>
        <v>0</v>
      </c>
      <c r="AK267" s="261" t="b">
        <f t="shared" si="99"/>
        <v>0</v>
      </c>
      <c r="AL267" s="261"/>
      <c r="AM267" s="261"/>
      <c r="AN267" s="75"/>
    </row>
    <row r="268" spans="1:40" s="6" customFormat="1" ht="11.25" x14ac:dyDescent="0.2">
      <c r="A268" s="56">
        <f t="shared" si="100"/>
        <v>45180</v>
      </c>
      <c r="B268" s="406">
        <f>'2022'!Wh/'2022'!Env_an*'2023'!Env_an</f>
        <v>47.367391548302393</v>
      </c>
      <c r="C268" s="385"/>
      <c r="D268" s="388">
        <f t="shared" si="78"/>
        <v>47.795982078585268</v>
      </c>
      <c r="E268" s="380">
        <f t="shared" si="101"/>
        <v>48.261509522619932</v>
      </c>
      <c r="F268" s="380">
        <f t="shared" si="79"/>
        <v>48.264983169918615</v>
      </c>
      <c r="G268" s="110">
        <f t="shared" si="102"/>
        <v>0.99134137471943806</v>
      </c>
      <c r="H268" s="409" t="b">
        <f>Wh_hp&gt;='2022'!Maxi_hp</f>
        <v>0</v>
      </c>
      <c r="I268" s="385">
        <f>IF(H268,Wh_hp,'2022'!Maxi_hp)</f>
        <v>48.265005171653357</v>
      </c>
      <c r="J268" s="85">
        <f>IF(H268,An,'2022'!An_max)</f>
        <v>2022</v>
      </c>
      <c r="K268" s="193">
        <f t="shared" si="80"/>
        <v>45180</v>
      </c>
      <c r="L268" s="143">
        <f>IF(t&lt;Tvie,1-EXP((T0-t)*PertePVj)+'2022'!Pspv,1-EXP((T0-t)*PertePVj)+Pspv)</f>
        <v>8.967082830899753E-3</v>
      </c>
      <c r="M268" s="836"/>
      <c r="N268" s="836"/>
      <c r="O268" s="48">
        <f>IF(t&lt;Tnet,'2022'!Resal+('2022'!Salim-'2022'!Resal)*(1-EXP(('2022'!Tnet-t)/('2022'!Tau_j))),Resal+(Salim-Resal)*(1-EXP((Tnet-t)/(Tau_j))))*Salcycl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7.2871631079389878E-5</v>
      </c>
      <c r="Q268" s="301">
        <f t="shared" si="81"/>
        <v>0.5</v>
      </c>
      <c r="R268" s="173">
        <f t="shared" si="82"/>
        <v>0.98325536407869718</v>
      </c>
      <c r="S268" s="802">
        <f t="shared" si="83"/>
        <v>0</v>
      </c>
      <c r="T268" s="172">
        <f t="shared" si="84"/>
        <v>6</v>
      </c>
      <c r="U268" s="247">
        <f t="shared" si="85"/>
        <v>0.98325536407869718</v>
      </c>
      <c r="V268" s="378">
        <f t="shared" si="86"/>
        <v>47.781067209947381</v>
      </c>
      <c r="W268" s="397">
        <f t="shared" si="87"/>
        <v>47.367391548302393</v>
      </c>
      <c r="X268" s="153">
        <f t="shared" si="88"/>
        <v>45180</v>
      </c>
      <c r="Y268" s="380">
        <f t="shared" si="89"/>
        <v>46.01955182775874</v>
      </c>
      <c r="Z268" s="380">
        <f t="shared" si="90"/>
        <v>46.435946809127444</v>
      </c>
      <c r="AA268" s="381">
        <f t="shared" si="91"/>
        <v>48.261509522619932</v>
      </c>
      <c r="AB268" s="193">
        <f t="shared" si="92"/>
        <v>45180</v>
      </c>
      <c r="AC268" s="420">
        <f>IF(OR(t&lt;Tnet,NoTnet),'2022'!Resal_s+('2022'!Salim-'2022'!Resal_s)*(1-EXP(('2022'!Tnet_s-t)/'2022'!Tau_j)),Resal_s+(Salim-Resal_s)*(1-EXP((Tnet_s-t)/Tau_j)))*Salcycl</f>
        <v>3.7826473551078189E-2</v>
      </c>
      <c r="AD268" s="227">
        <f>(INDEX(Models!$BJ268:$BT268,,AH268)*(1-AF268)+INDEX(Models!$BJ268:$BT268,,AH268+1)*AF268-ERP_i)*AE268*Ramure*Pc/MaxiM</f>
        <v>7.2871631079389878E-5</v>
      </c>
      <c r="AE268" s="301">
        <f t="shared" si="93"/>
        <v>0.5</v>
      </c>
      <c r="AF268" s="173">
        <f t="shared" si="94"/>
        <v>0.98325536407869718</v>
      </c>
      <c r="AG268" s="172">
        <f t="shared" si="95"/>
        <v>0</v>
      </c>
      <c r="AH268" s="172">
        <f t="shared" si="96"/>
        <v>6</v>
      </c>
      <c r="AI268" s="221">
        <f t="shared" si="97"/>
        <v>0.98325536407869718</v>
      </c>
      <c r="AJ268" s="261" t="b">
        <f t="shared" si="98"/>
        <v>0</v>
      </c>
      <c r="AK268" s="261" t="b">
        <f t="shared" si="99"/>
        <v>0</v>
      </c>
      <c r="AL268" s="261"/>
      <c r="AM268" s="261"/>
      <c r="AN268" s="75"/>
    </row>
    <row r="269" spans="1:40" s="6" customFormat="1" ht="11.25" x14ac:dyDescent="0.2">
      <c r="A269" s="56">
        <f t="shared" si="100"/>
        <v>45181</v>
      </c>
      <c r="B269" s="406">
        <f>'2022'!Wh/'2022'!Env_an*'2023'!Env_an</f>
        <v>36.792919129292052</v>
      </c>
      <c r="C269" s="385"/>
      <c r="D269" s="388">
        <f t="shared" si="78"/>
        <v>37.126337746129991</v>
      </c>
      <c r="E269" s="380">
        <f t="shared" si="101"/>
        <v>37.490442188910649</v>
      </c>
      <c r="F269" s="380">
        <f t="shared" si="79"/>
        <v>37.492270791960102</v>
      </c>
      <c r="G269" s="110">
        <f t="shared" si="102"/>
        <v>0.77525470553690812</v>
      </c>
      <c r="H269" s="409" t="b">
        <f>Wh_hp&gt;='2022'!Maxi_hp</f>
        <v>0</v>
      </c>
      <c r="I269" s="385">
        <f>IF(H269,Wh_hp,'2022'!Maxi_hp)</f>
        <v>37.492707900154691</v>
      </c>
      <c r="J269" s="85">
        <f>IF(H269,An,'2022'!An_max)</f>
        <v>2022</v>
      </c>
      <c r="K269" s="193">
        <f t="shared" si="80"/>
        <v>45181</v>
      </c>
      <c r="L269" s="143">
        <f>IF(t&lt;Tvie,1-EXP((T0-t)*PertePVj)+'2022'!Pspv,1-EXP((T0-t)*PertePVj)+Pspv)</f>
        <v>8.9806492393043058E-3</v>
      </c>
      <c r="M269" s="836"/>
      <c r="N269" s="836"/>
      <c r="O269" s="48">
        <f>IF(t&lt;Tnet,'2022'!Resal+('2022'!Salim-'2022'!Resal)*(1-EXP(('2022'!Tnet-t)/('2022'!Tau_j))),Resal+(Salim-Resal)*(1-EXP((Tnet-t)/(Tau_j))))*Salcycl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7.1834482990211604E-5</v>
      </c>
      <c r="Q269" s="301">
        <f t="shared" si="81"/>
        <v>0.5</v>
      </c>
      <c r="R269" s="173">
        <f t="shared" si="82"/>
        <v>0.98367837846028428</v>
      </c>
      <c r="S269" s="802">
        <f t="shared" si="83"/>
        <v>0</v>
      </c>
      <c r="T269" s="172">
        <f t="shared" si="84"/>
        <v>6</v>
      </c>
      <c r="U269" s="247">
        <f t="shared" si="85"/>
        <v>0.98367837846028428</v>
      </c>
      <c r="V269" s="378">
        <f t="shared" si="86"/>
        <v>47.458042264718998</v>
      </c>
      <c r="W269" s="397">
        <f t="shared" si="87"/>
        <v>36.792919129292052</v>
      </c>
      <c r="X269" s="153">
        <f t="shared" si="88"/>
        <v>45181</v>
      </c>
      <c r="Y269" s="380">
        <f t="shared" si="89"/>
        <v>35.747039611076012</v>
      </c>
      <c r="Z269" s="380">
        <f t="shared" si="90"/>
        <v>36.070980434072226</v>
      </c>
      <c r="AA269" s="381">
        <f t="shared" si="91"/>
        <v>37.490442188910649</v>
      </c>
      <c r="AB269" s="193">
        <f t="shared" si="92"/>
        <v>45181</v>
      </c>
      <c r="AC269" s="420">
        <f>IF(OR(t&lt;Tnet,NoTnet),'2022'!Resal_s+('2022'!Salim-'2022'!Resal_s)*(1-EXP(('2022'!Tnet_s-t)/'2022'!Tau_j)),Resal_s+(Salim-Resal_s)*(1-EXP((Tnet_s-t)/Tau_j)))*Salcycl</f>
        <v>3.7861963528888168E-2</v>
      </c>
      <c r="AD269" s="227">
        <f>(INDEX(Models!$BJ269:$BT269,,AH269)*(1-AF269)+INDEX(Models!$BJ269:$BT269,,AH269+1)*AF269-ERP_i)*AE269*Ramure*Pc/MaxiM</f>
        <v>7.1834482990211604E-5</v>
      </c>
      <c r="AE269" s="301">
        <f t="shared" si="93"/>
        <v>0.5</v>
      </c>
      <c r="AF269" s="173">
        <f t="shared" si="94"/>
        <v>0.98367837846028428</v>
      </c>
      <c r="AG269" s="172">
        <f t="shared" si="95"/>
        <v>0</v>
      </c>
      <c r="AH269" s="172">
        <f t="shared" si="96"/>
        <v>6</v>
      </c>
      <c r="AI269" s="221">
        <f t="shared" si="97"/>
        <v>0.98367837846028428</v>
      </c>
      <c r="AJ269" s="261" t="b">
        <f t="shared" si="98"/>
        <v>0</v>
      </c>
      <c r="AK269" s="261" t="b">
        <f t="shared" si="99"/>
        <v>0</v>
      </c>
      <c r="AL269" s="261"/>
      <c r="AM269" s="261"/>
      <c r="AN269" s="75"/>
    </row>
    <row r="270" spans="1:40" s="6" customFormat="1" ht="11.25" x14ac:dyDescent="0.2">
      <c r="A270" s="56">
        <f t="shared" si="100"/>
        <v>45182</v>
      </c>
      <c r="B270" s="406">
        <f>'2022'!Wh/'2022'!Env_an*'2023'!Env_an</f>
        <v>14.10289413609453</v>
      </c>
      <c r="C270" s="385"/>
      <c r="D270" s="388">
        <f t="shared" si="78"/>
        <v>14.230889825400107</v>
      </c>
      <c r="E270" s="380">
        <f t="shared" si="101"/>
        <v>14.37141003763089</v>
      </c>
      <c r="F270" s="380">
        <f t="shared" si="79"/>
        <v>14.37141003763089</v>
      </c>
      <c r="G270" s="110">
        <f t="shared" si="102"/>
        <v>0.29921157296869233</v>
      </c>
      <c r="H270" s="409" t="b">
        <f>Wh_hp&gt;='2022'!Maxi_hp</f>
        <v>0</v>
      </c>
      <c r="I270" s="385">
        <f>IF(H270,Wh_hp,'2022'!Maxi_hp)</f>
        <v>14.371921268140474</v>
      </c>
      <c r="J270" s="85">
        <f>IF(H270,An,'2022'!An_max)</f>
        <v>2022</v>
      </c>
      <c r="K270" s="193">
        <f t="shared" si="80"/>
        <v>45182</v>
      </c>
      <c r="L270" s="143">
        <f>IF(t&lt;Tvie,1-EXP((T0-t)*PertePVj)+'2022'!Pspv,1-EXP((T0-t)*PertePVj)+Pspv)</f>
        <v>8.9942154619960801E-3</v>
      </c>
      <c r="M270" s="836"/>
      <c r="N270" s="836"/>
      <c r="O270" s="48">
        <f>IF(t&lt;Tnet,'2022'!Resal+('2022'!Salim-'2022'!Resal)*(1-EXP(('2022'!Tnet-t)/('2022'!Tau_j))),Resal+(Salim-Resal)*(1-EXP((Tnet-t)/(Tau_j))))*Salcycl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7.0398193002338354E-5</v>
      </c>
      <c r="Q270" s="301">
        <f t="shared" si="81"/>
        <v>0.5</v>
      </c>
      <c r="R270" s="173">
        <f t="shared" si="82"/>
        <v>0.9840850482884943</v>
      </c>
      <c r="S270" s="802">
        <f t="shared" si="83"/>
        <v>0</v>
      </c>
      <c r="T270" s="172">
        <f t="shared" si="84"/>
        <v>6</v>
      </c>
      <c r="U270" s="247">
        <f t="shared" si="85"/>
        <v>0.9840850482884943</v>
      </c>
      <c r="V270" s="378">
        <f t="shared" si="86"/>
        <v>47.130200138705142</v>
      </c>
      <c r="W270" s="397">
        <f t="shared" si="87"/>
        <v>14.10289413609453</v>
      </c>
      <c r="X270" s="153">
        <f t="shared" si="88"/>
        <v>45182</v>
      </c>
      <c r="Y270" s="380">
        <f t="shared" si="89"/>
        <v>13.702413985932594</v>
      </c>
      <c r="Z270" s="380">
        <f t="shared" si="90"/>
        <v>13.826774979240419</v>
      </c>
      <c r="AA270" s="381">
        <f t="shared" si="91"/>
        <v>14.37141003763089</v>
      </c>
      <c r="AB270" s="193">
        <f t="shared" si="92"/>
        <v>45182</v>
      </c>
      <c r="AC270" s="420">
        <f>IF(OR(t&lt;Tnet,NoTnet),'2022'!Resal_s+('2022'!Salim-'2022'!Resal_s)*(1-EXP(('2022'!Tnet_s-t)/'2022'!Tau_j)),Resal_s+(Salim-Resal_s)*(1-EXP((Tnet_s-t)/Tau_j)))*Salcycl</f>
        <v>3.7897120530579032E-2</v>
      </c>
      <c r="AD270" s="227">
        <f>(INDEX(Models!$BJ270:$BT270,,AH270)*(1-AF270)+INDEX(Models!$BJ270:$BT270,,AH270+1)*AF270-ERP_i)*AE270*Ramure*Pc/MaxiM</f>
        <v>7.0398193002338354E-5</v>
      </c>
      <c r="AE270" s="301">
        <f t="shared" si="93"/>
        <v>0.5</v>
      </c>
      <c r="AF270" s="173">
        <f t="shared" si="94"/>
        <v>0.9840850482884943</v>
      </c>
      <c r="AG270" s="172">
        <f t="shared" si="95"/>
        <v>0</v>
      </c>
      <c r="AH270" s="172">
        <f t="shared" si="96"/>
        <v>6</v>
      </c>
      <c r="AI270" s="221">
        <f t="shared" si="97"/>
        <v>0.9840850482884943</v>
      </c>
      <c r="AJ270" s="261" t="b">
        <f t="shared" si="98"/>
        <v>0</v>
      </c>
      <c r="AK270" s="261" t="b">
        <f t="shared" si="99"/>
        <v>0</v>
      </c>
      <c r="AL270" s="261"/>
      <c r="AM270" s="261"/>
      <c r="AN270" s="75"/>
    </row>
    <row r="271" spans="1:40" s="6" customFormat="1" ht="11.25" x14ac:dyDescent="0.2">
      <c r="A271" s="56">
        <f t="shared" si="100"/>
        <v>45183</v>
      </c>
      <c r="B271" s="406">
        <f>'2022'!Wh/'2022'!Env_an*'2023'!Env_an</f>
        <v>37.89482058368651</v>
      </c>
      <c r="C271" s="385"/>
      <c r="D271" s="388">
        <f t="shared" ref="D271:D334" si="103">Wh/(1-Ppv)</f>
        <v>38.239271586820657</v>
      </c>
      <c r="E271" s="380">
        <f t="shared" si="101"/>
        <v>38.619419273196996</v>
      </c>
      <c r="F271" s="380">
        <f t="shared" ref="F271:F334" si="104">Wh_sa/(1-Pvg*MEDIAN((-Sdif+Wh/Env_an)/Csdif,0,1))</f>
        <v>38.621347443306703</v>
      </c>
      <c r="G271" s="110">
        <f t="shared" si="102"/>
        <v>0.80975139446021771</v>
      </c>
      <c r="H271" s="409" t="b">
        <f>Wh_hp&gt;='2022'!Maxi_hp</f>
        <v>0</v>
      </c>
      <c r="I271" s="385">
        <f>IF(H271,Wh_hp,'2022'!Maxi_hp)</f>
        <v>38.621710894977937</v>
      </c>
      <c r="J271" s="85">
        <f>IF(H271,An,'2022'!An_max)</f>
        <v>2022</v>
      </c>
      <c r="K271" s="193">
        <f t="shared" ref="K271:K334" si="105">t</f>
        <v>45183</v>
      </c>
      <c r="L271" s="143">
        <f>IF(t&lt;Tvie,1-EXP((T0-t)*PertePVj)+'2022'!Pspv,1-EXP((T0-t)*PertePVj)+Pspv)</f>
        <v>9.0077814989776295E-3</v>
      </c>
      <c r="M271" s="836"/>
      <c r="N271" s="836"/>
      <c r="O271" s="48">
        <f>IF(t&lt;Tnet,'2022'!Resal+('2022'!Salim-'2022'!Resal)*(1-EXP(('2022'!Tnet-t)/('2022'!Tau_j))),Resal+(Salim-Resal)*(1-EXP((Tnet-t)/(Tau_j))))*Salcycl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6.8555876571039086E-5</v>
      </c>
      <c r="Q271" s="301">
        <f t="shared" ref="Q271:Q334" si="106">IF(OR(t&lt;Ttai,Notai),Dd+PousD*Croivg,Dens+PousD*(Croivg-Croi_tai))</f>
        <v>0.5</v>
      </c>
      <c r="R271" s="173">
        <f t="shared" ref="R271:R334" si="107">(Hp_vg-S271)/(INDEX(Echel_vg,T271+1)-S271)</f>
        <v>0.98447597899292982</v>
      </c>
      <c r="S271" s="802">
        <f t="shared" ref="S271:S334" si="108">INDEX(Echel_vg,T271)</f>
        <v>0</v>
      </c>
      <c r="T271" s="172">
        <f t="shared" ref="T271:T334" si="109">MIN(MATCH(Hp_vg,Echel_vg),10)</f>
        <v>6</v>
      </c>
      <c r="U271" s="247">
        <f t="shared" ref="U271:U334" si="110">IF(OR(t&lt;Ttai,Notai),Hdd+PousH*Croivg,Hdtf+PousH*(Croivg-Croi_tai))</f>
        <v>0.98447597899292982</v>
      </c>
      <c r="V271" s="378">
        <f t="shared" ref="V271:V334" si="111">MaxiM*(1-Ppv)*(1-Pvg)*(1-Psa)</f>
        <v>46.797220471998536</v>
      </c>
      <c r="W271" s="397">
        <f t="shared" ref="W271:W334" si="112">Wh*(A271&gt;Tmaj)</f>
        <v>37.89482058368651</v>
      </c>
      <c r="X271" s="153">
        <f t="shared" ref="X271:X334" si="113">t</f>
        <v>45183</v>
      </c>
      <c r="Y271" s="380">
        <f t="shared" ref="Y271:Y334" si="114">Wh_pvt_s*(1-Ppv)</f>
        <v>36.819830349843549</v>
      </c>
      <c r="Z271" s="380">
        <f t="shared" ref="Z271:Z334" si="115">Wh_sa_s*(1-Psa_s)</f>
        <v>37.154510058148922</v>
      </c>
      <c r="AA271" s="381">
        <f t="shared" ref="AA271:AA334" si="116">Wh_hp*(1-Pvg_s*MEDIAN((-Sdif+Wh/Env_an)/Csdif,0,1))</f>
        <v>38.619419273196996</v>
      </c>
      <c r="AB271" s="193">
        <f t="shared" ref="AB271:AB334" si="117">t</f>
        <v>45183</v>
      </c>
      <c r="AC271" s="420">
        <f>IF(OR(t&lt;Tnet,NoTnet),'2022'!Resal_s+('2022'!Salim-'2022'!Resal_s)*(1-EXP(('2022'!Tnet_s-t)/'2022'!Tau_j)),Resal_s+(Salim-Resal_s)*(1-EXP((Tnet_s-t)/Tau_j)))*Salcycl</f>
        <v>3.7931932758625539E-2</v>
      </c>
      <c r="AD271" s="227">
        <f>(INDEX(Models!$BJ271:$BT271,,AH271)*(1-AF271)+INDEX(Models!$BJ271:$BT271,,AH271+1)*AF271-ERP_i)*AE271*Ramure*Pc/MaxiM</f>
        <v>6.8555876571039086E-5</v>
      </c>
      <c r="AE271" s="301">
        <f t="shared" ref="AE271:AE334" si="118">IF(OR(t&lt;Ttai,Notai),Dd_s+PousD*Croivg,Dens_s+PousD*(Croivg-Croi_tai))</f>
        <v>0.5</v>
      </c>
      <c r="AF271" s="173">
        <f t="shared" ref="AF271:AF334" si="119">(Hp_vg_s-AG271)/(INDEX(Echel_vg,AH271+1)-AG271)</f>
        <v>0.98447597899292982</v>
      </c>
      <c r="AG271" s="172">
        <f t="shared" ref="AG271:AG334" si="120">INDEX(Echel_vg,AH271)</f>
        <v>0</v>
      </c>
      <c r="AH271" s="172">
        <f t="shared" ref="AH271:AH334" si="121">MIN(MATCH(Hp_vg_s,Echel_vg),10)</f>
        <v>6</v>
      </c>
      <c r="AI271" s="221">
        <f t="shared" ref="AI271:AI334" si="122">IF(OR(t&lt;Ttai,Notai),Hdd_s+PousH*Croivg,Hdtai_s+PousH*(Croivg-Croi_tai))</f>
        <v>0.98447597899292982</v>
      </c>
      <c r="AJ271" s="261" t="b">
        <f t="shared" ref="AJ271:AJ334" si="123">t&lt;Tnet</f>
        <v>0</v>
      </c>
      <c r="AK271" s="261" t="b">
        <f t="shared" ref="AK271:AK334" si="124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5">A271+1</f>
        <v>45184</v>
      </c>
      <c r="B272" s="406">
        <f>'2022'!Wh/'2022'!Env_an*'2023'!Env_an</f>
        <v>43.047635711999867</v>
      </c>
      <c r="C272" s="385"/>
      <c r="D272" s="388">
        <f t="shared" si="103"/>
        <v>43.43951869891049</v>
      </c>
      <c r="E272" s="380">
        <f t="shared" si="101"/>
        <v>43.874266186379863</v>
      </c>
      <c r="F272" s="380">
        <f t="shared" si="104"/>
        <v>43.876870106367264</v>
      </c>
      <c r="G272" s="110">
        <f t="shared" si="102"/>
        <v>0.92657046861336601</v>
      </c>
      <c r="H272" s="409" t="b">
        <f>Wh_hp&gt;='2022'!Maxi_hp</f>
        <v>0</v>
      </c>
      <c r="I272" s="385">
        <f>IF(H272,Wh_hp,'2022'!Maxi_hp)</f>
        <v>43.877024170324354</v>
      </c>
      <c r="J272" s="85">
        <f>IF(H272,An,'2022'!An_max)</f>
        <v>2022</v>
      </c>
      <c r="K272" s="193">
        <f t="shared" si="105"/>
        <v>45184</v>
      </c>
      <c r="L272" s="143">
        <f>IF(t&lt;Tvie,1-EXP((T0-t)*PertePVj)+'2022'!Pspv,1-EXP((T0-t)*PertePVj)+Pspv)</f>
        <v>9.0213473502516184E-3</v>
      </c>
      <c r="M272" s="836"/>
      <c r="N272" s="836"/>
      <c r="O272" s="48">
        <f>IF(t&lt;Tnet,'2022'!Resal+('2022'!Salim-'2022'!Resal)*(1-EXP(('2022'!Tnet-t)/('2022'!Tau_j))),Resal+(Salim-Resal)*(1-EXP((Tnet-t)/(Tau_j))))*Salcycl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6.6300323354199616E-5</v>
      </c>
      <c r="Q272" s="301">
        <f t="shared" si="106"/>
        <v>0.5</v>
      </c>
      <c r="R272" s="173">
        <f t="shared" si="107"/>
        <v>0.98485175560282801</v>
      </c>
      <c r="S272" s="802">
        <f t="shared" si="108"/>
        <v>0</v>
      </c>
      <c r="T272" s="172">
        <f t="shared" si="109"/>
        <v>6</v>
      </c>
      <c r="U272" s="247">
        <f t="shared" si="110"/>
        <v>0.98485175560282801</v>
      </c>
      <c r="V272" s="378">
        <f t="shared" si="111"/>
        <v>46.458782994312628</v>
      </c>
      <c r="W272" s="397">
        <f t="shared" si="112"/>
        <v>43.047635711999867</v>
      </c>
      <c r="X272" s="153">
        <f t="shared" si="113"/>
        <v>45184</v>
      </c>
      <c r="Y272" s="380">
        <f t="shared" si="114"/>
        <v>41.827741063073844</v>
      </c>
      <c r="Z272" s="380">
        <f t="shared" si="115"/>
        <v>42.208518772056181</v>
      </c>
      <c r="AA272" s="381">
        <f t="shared" si="116"/>
        <v>43.874266186379863</v>
      </c>
      <c r="AB272" s="193">
        <f t="shared" si="117"/>
        <v>45184</v>
      </c>
      <c r="AC272" s="420">
        <f>IF(OR(t&lt;Tnet,NoTnet),'2022'!Resal_s+('2022'!Salim-'2022'!Resal_s)*(1-EXP(('2022'!Tnet_s-t)/'2022'!Tau_j)),Resal_s+(Salim-Resal_s)*(1-EXP((Tnet_s-t)/Tau_j)))*Salcycl</f>
        <v>3.7966388024531533E-2</v>
      </c>
      <c r="AD272" s="227">
        <f>(INDEX(Models!$BJ272:$BT272,,AH272)*(1-AF272)+INDEX(Models!$BJ272:$BT272,,AH272+1)*AF272-ERP_i)*AE272*Ramure*Pc/MaxiM</f>
        <v>6.6300323354199616E-5</v>
      </c>
      <c r="AE272" s="301">
        <f t="shared" si="118"/>
        <v>0.5</v>
      </c>
      <c r="AF272" s="173">
        <f t="shared" si="119"/>
        <v>0.98485175560282801</v>
      </c>
      <c r="AG272" s="172">
        <f t="shared" si="120"/>
        <v>0</v>
      </c>
      <c r="AH272" s="172">
        <f t="shared" si="121"/>
        <v>6</v>
      </c>
      <c r="AI272" s="221">
        <f t="shared" si="122"/>
        <v>0.98485175560282801</v>
      </c>
      <c r="AJ272" s="261" t="b">
        <f t="shared" si="123"/>
        <v>0</v>
      </c>
      <c r="AK272" s="261" t="b">
        <f t="shared" si="124"/>
        <v>0</v>
      </c>
      <c r="AL272" s="261"/>
      <c r="AM272" s="261"/>
      <c r="AN272" s="75"/>
    </row>
    <row r="273" spans="1:40" s="6" customFormat="1" ht="11.25" x14ac:dyDescent="0.2">
      <c r="A273" s="56">
        <f t="shared" si="125"/>
        <v>45185</v>
      </c>
      <c r="B273" s="406">
        <f>'2022'!Wh/'2022'!Env_an*'2023'!Env_an</f>
        <v>28.926648708034342</v>
      </c>
      <c r="C273" s="385"/>
      <c r="D273" s="388">
        <f t="shared" si="103"/>
        <v>29.190381263650053</v>
      </c>
      <c r="E273" s="380">
        <f t="shared" si="101"/>
        <v>29.484467508078151</v>
      </c>
      <c r="F273" s="380">
        <f t="shared" si="104"/>
        <v>29.485344600821854</v>
      </c>
      <c r="G273" s="110">
        <f t="shared" si="102"/>
        <v>0.62725664092558919</v>
      </c>
      <c r="H273" s="409" t="b">
        <f>Wh_hp&gt;='2022'!Maxi_hp</f>
        <v>0</v>
      </c>
      <c r="I273" s="385">
        <f>IF(H273,Wh_hp,'2022'!Maxi_hp)</f>
        <v>29.485848749759754</v>
      </c>
      <c r="J273" s="85">
        <f>IF(H273,An,'2022'!An_max)</f>
        <v>2022</v>
      </c>
      <c r="K273" s="193">
        <f t="shared" si="105"/>
        <v>45185</v>
      </c>
      <c r="L273" s="143">
        <f>IF(t&lt;Tvie,1-EXP((T0-t)*PertePVj)+'2022'!Pspv,1-EXP((T0-t)*PertePVj)+Pspv)</f>
        <v>9.0349130158203783E-3</v>
      </c>
      <c r="M273" s="836"/>
      <c r="N273" s="836"/>
      <c r="O273" s="48">
        <f>IF(t&lt;Tnet,'2022'!Resal+('2022'!Salim-'2022'!Resal)*(1-EXP(('2022'!Tnet-t)/('2022'!Tau_j))),Resal+(Salim-Resal)*(1-EXP((Tnet-t)/(Tau_j))))*Salcycl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6.3623957750103913E-5</v>
      </c>
      <c r="Q273" s="301">
        <f t="shared" si="106"/>
        <v>0.5</v>
      </c>
      <c r="R273" s="173">
        <f t="shared" si="107"/>
        <v>0.98521294327472364</v>
      </c>
      <c r="S273" s="802">
        <f t="shared" si="108"/>
        <v>0</v>
      </c>
      <c r="T273" s="172">
        <f t="shared" si="109"/>
        <v>6</v>
      </c>
      <c r="U273" s="247">
        <f t="shared" si="110"/>
        <v>0.98521294327472364</v>
      </c>
      <c r="V273" s="378">
        <f t="shared" si="111"/>
        <v>46.114567526442521</v>
      </c>
      <c r="W273" s="397">
        <f t="shared" si="112"/>
        <v>28.926648708034342</v>
      </c>
      <c r="X273" s="153">
        <f t="shared" si="113"/>
        <v>45185</v>
      </c>
      <c r="Y273" s="380">
        <f t="shared" si="114"/>
        <v>28.10777710569042</v>
      </c>
      <c r="Z273" s="380">
        <f t="shared" si="115"/>
        <v>28.364043773965118</v>
      </c>
      <c r="AA273" s="381">
        <f t="shared" si="116"/>
        <v>29.484467508078151</v>
      </c>
      <c r="AB273" s="193">
        <f t="shared" si="117"/>
        <v>45185</v>
      </c>
      <c r="AC273" s="420">
        <f>IF(OR(t&lt;Tnet,NoTnet),'2022'!Resal_s+('2022'!Salim-'2022'!Resal_s)*(1-EXP(('2022'!Tnet_s-t)/'2022'!Tau_j)),Resal_s+(Salim-Resal_s)*(1-EXP((Tnet_s-t)/Tau_j)))*Salcycl</f>
        <v>3.8000473768300541E-2</v>
      </c>
      <c r="AD273" s="227">
        <f>(INDEX(Models!$BJ273:$BT273,,AH273)*(1-AF273)+INDEX(Models!$BJ273:$BT273,,AH273+1)*AF273-ERP_i)*AE273*Ramure*Pc/MaxiM</f>
        <v>6.3623957750103913E-5</v>
      </c>
      <c r="AE273" s="301">
        <f t="shared" si="118"/>
        <v>0.5</v>
      </c>
      <c r="AF273" s="173">
        <f t="shared" si="119"/>
        <v>0.98521294327472364</v>
      </c>
      <c r="AG273" s="172">
        <f t="shared" si="120"/>
        <v>0</v>
      </c>
      <c r="AH273" s="172">
        <f t="shared" si="121"/>
        <v>6</v>
      </c>
      <c r="AI273" s="221">
        <f t="shared" si="122"/>
        <v>0.98521294327472364</v>
      </c>
      <c r="AJ273" s="261" t="b">
        <f t="shared" si="123"/>
        <v>0</v>
      </c>
      <c r="AK273" s="261" t="b">
        <f t="shared" si="124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5"/>
        <v>45186</v>
      </c>
      <c r="B274" s="406">
        <f>'2022'!Wh/'2022'!Env_an*'2023'!Env_an</f>
        <v>46.44704810494116</v>
      </c>
      <c r="C274" s="385"/>
      <c r="D274" s="388">
        <f t="shared" si="103"/>
        <v>46.871160795466807</v>
      </c>
      <c r="E274" s="380">
        <f t="shared" si="101"/>
        <v>47.346493000533805</v>
      </c>
      <c r="F274" s="380">
        <f t="shared" si="104"/>
        <v>47.349358526733646</v>
      </c>
      <c r="G274" s="110">
        <f t="shared" si="102"/>
        <v>1.0149198133359905</v>
      </c>
      <c r="H274" s="409" t="b">
        <f>Wh_hp&gt;='2022'!Maxi_hp</f>
        <v>0</v>
      </c>
      <c r="I274" s="385">
        <f>IF(H274,Wh_hp,'2022'!Maxi_hp)</f>
        <v>47.349358526733653</v>
      </c>
      <c r="J274" s="85">
        <f>IF(H274,An,'2022'!An_max)</f>
        <v>2022</v>
      </c>
      <c r="K274" s="193">
        <f t="shared" si="105"/>
        <v>45186</v>
      </c>
      <c r="L274" s="143">
        <f>IF(t&lt;Tvie,1-EXP((T0-t)*PertePVj)+'2022'!Pspv,1-EXP((T0-t)*PertePVj)+Pspv)</f>
        <v>9.0484784956865738E-3</v>
      </c>
      <c r="M274" s="836"/>
      <c r="N274" s="836"/>
      <c r="O274" s="48">
        <f>IF(t&lt;Tnet,'2022'!Resal+('2022'!Salim-'2022'!Resal)*(1-EXP(('2022'!Tnet-t)/('2022'!Tau_j))),Resal+(Salim-Resal)*(1-EXP((Tnet-t)/(Tau_j))))*Salcycl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6.0518796642716853E-5</v>
      </c>
      <c r="Q274" s="301">
        <f t="shared" si="106"/>
        <v>0.5</v>
      </c>
      <c r="R274" s="173">
        <f t="shared" si="107"/>
        <v>0.98556008781982185</v>
      </c>
      <c r="S274" s="802">
        <f t="shared" si="108"/>
        <v>0</v>
      </c>
      <c r="T274" s="172">
        <f t="shared" si="109"/>
        <v>6</v>
      </c>
      <c r="U274" s="247">
        <f t="shared" si="110"/>
        <v>0.98556008781982185</v>
      </c>
      <c r="V274" s="378">
        <f t="shared" si="111"/>
        <v>45.764253978126639</v>
      </c>
      <c r="W274" s="397">
        <f t="shared" si="112"/>
        <v>46.44704810494116</v>
      </c>
      <c r="X274" s="153">
        <f t="shared" si="113"/>
        <v>45186</v>
      </c>
      <c r="Y274" s="380">
        <f t="shared" si="114"/>
        <v>45.133588741105633</v>
      </c>
      <c r="Z274" s="380">
        <f t="shared" si="115"/>
        <v>45.545708101432261</v>
      </c>
      <c r="AA274" s="381">
        <f t="shared" si="116"/>
        <v>47.346493000533805</v>
      </c>
      <c r="AB274" s="193">
        <f t="shared" si="117"/>
        <v>45186</v>
      </c>
      <c r="AC274" s="420">
        <f>IF(OR(t&lt;Tnet,NoTnet),'2022'!Resal_s+('2022'!Salim-'2022'!Resal_s)*(1-EXP(('2022'!Tnet_s-t)/'2022'!Tau_j)),Resal_s+(Salim-Resal_s)*(1-EXP((Tnet_s-t)/Tau_j)))*Salcycl</f>
        <v>3.8034177084271897E-2</v>
      </c>
      <c r="AD274" s="227">
        <f>(INDEX(Models!$BJ274:$BT274,,AH274)*(1-AF274)+INDEX(Models!$BJ274:$BT274,,AH274+1)*AF274-ERP_i)*AE274*Ramure*Pc/MaxiM</f>
        <v>6.0518796642716853E-5</v>
      </c>
      <c r="AE274" s="301">
        <f t="shared" si="118"/>
        <v>0.5</v>
      </c>
      <c r="AF274" s="173">
        <f t="shared" si="119"/>
        <v>0.98556008781982185</v>
      </c>
      <c r="AG274" s="172">
        <f t="shared" si="120"/>
        <v>0</v>
      </c>
      <c r="AH274" s="172">
        <f t="shared" si="121"/>
        <v>6</v>
      </c>
      <c r="AI274" s="221">
        <f t="shared" si="122"/>
        <v>0.98556008781982185</v>
      </c>
      <c r="AJ274" s="261" t="b">
        <f t="shared" si="123"/>
        <v>0</v>
      </c>
      <c r="AK274" s="261" t="b">
        <f t="shared" si="124"/>
        <v>0</v>
      </c>
      <c r="AL274" s="261"/>
      <c r="AM274" s="261"/>
      <c r="AN274" s="75"/>
    </row>
    <row r="275" spans="1:40" s="6" customFormat="1" ht="11.25" x14ac:dyDescent="0.2">
      <c r="A275" s="56">
        <f t="shared" si="125"/>
        <v>45187</v>
      </c>
      <c r="B275" s="406">
        <f>'2022'!Wh/'2022'!Env_an*'2023'!Env_an</f>
        <v>45.495825909801042</v>
      </c>
      <c r="C275" s="385"/>
      <c r="D275" s="388">
        <f t="shared" si="103"/>
        <v>45.911881389426554</v>
      </c>
      <c r="E275" s="380">
        <f t="shared" si="101"/>
        <v>46.380529750541839</v>
      </c>
      <c r="F275" s="380">
        <f t="shared" si="104"/>
        <v>46.383172558229617</v>
      </c>
      <c r="G275" s="110">
        <f t="shared" si="102"/>
        <v>1.0019679371990162</v>
      </c>
      <c r="H275" s="409" t="b">
        <f>Wh_hp&gt;='2022'!Maxi_hp</f>
        <v>1</v>
      </c>
      <c r="I275" s="385">
        <f>IF(H275,Wh_hp,'2022'!Maxi_hp)</f>
        <v>46.383172558229617</v>
      </c>
      <c r="J275" s="85">
        <f>IF(H275,An,'2022'!An_max)</f>
        <v>2023</v>
      </c>
      <c r="K275" s="193">
        <f t="shared" si="105"/>
        <v>45187</v>
      </c>
      <c r="L275" s="143">
        <f>IF(t&lt;Tvie,1-EXP((T0-t)*PertePVj)+'2022'!Pspv,1-EXP((T0-t)*PertePVj)+Pspv)</f>
        <v>9.0620437898528694E-3</v>
      </c>
      <c r="M275" s="836"/>
      <c r="N275" s="836"/>
      <c r="O275" s="48">
        <f>IF(t&lt;Tnet,'2022'!Resal+('2022'!Salim-'2022'!Resal)*(1-EXP(('2022'!Tnet-t)/('2022'!Tau_j))),Resal+(Salim-Resal)*(1-EXP((Tnet-t)/(Tau_j))))*Salcycl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5.6977725800444743E-5</v>
      </c>
      <c r="Q275" s="301">
        <f t="shared" si="106"/>
        <v>0.5</v>
      </c>
      <c r="R275" s="173">
        <f t="shared" si="107"/>
        <v>0.9858937162296797</v>
      </c>
      <c r="S275" s="802">
        <f t="shared" si="108"/>
        <v>0</v>
      </c>
      <c r="T275" s="172">
        <f t="shared" si="109"/>
        <v>6</v>
      </c>
      <c r="U275" s="247">
        <f t="shared" si="110"/>
        <v>0.9858937162296797</v>
      </c>
      <c r="V275" s="378">
        <f t="shared" si="111"/>
        <v>45.406468830713102</v>
      </c>
      <c r="W275" s="397">
        <f t="shared" si="112"/>
        <v>45.495825909801042</v>
      </c>
      <c r="X275" s="153">
        <f t="shared" si="113"/>
        <v>45187</v>
      </c>
      <c r="Y275" s="380">
        <f t="shared" si="114"/>
        <v>44.21063710468804</v>
      </c>
      <c r="Z275" s="380">
        <f t="shared" si="115"/>
        <v>44.614939641400049</v>
      </c>
      <c r="AA275" s="381">
        <f t="shared" si="116"/>
        <v>46.380529750541839</v>
      </c>
      <c r="AB275" s="193">
        <f t="shared" si="117"/>
        <v>45187</v>
      </c>
      <c r="AC275" s="420">
        <f>IF(OR(t&lt;Tnet,NoTnet),'2022'!Resal_s+('2022'!Salim-'2022'!Resal_s)*(1-EXP(('2022'!Tnet_s-t)/'2022'!Tau_j)),Resal_s+(Salim-Resal_s)*(1-EXP((Tnet_s-t)/Tau_j)))*Salcycl</f>
        <v>3.8067484753581682E-2</v>
      </c>
      <c r="AD275" s="227">
        <f>(INDEX(Models!$BJ275:$BT275,,AH275)*(1-AF275)+INDEX(Models!$BJ275:$BT275,,AH275+1)*AF275-ERP_i)*AE275*Ramure*Pc/MaxiM</f>
        <v>5.6977725800444743E-5</v>
      </c>
      <c r="AE275" s="301">
        <f t="shared" si="118"/>
        <v>0.5</v>
      </c>
      <c r="AF275" s="173">
        <f t="shared" si="119"/>
        <v>0.9858937162296797</v>
      </c>
      <c r="AG275" s="172">
        <f t="shared" si="120"/>
        <v>0</v>
      </c>
      <c r="AH275" s="172">
        <f t="shared" si="121"/>
        <v>6</v>
      </c>
      <c r="AI275" s="221">
        <f t="shared" si="122"/>
        <v>0.9858937162296797</v>
      </c>
      <c r="AJ275" s="261" t="b">
        <f t="shared" si="123"/>
        <v>0</v>
      </c>
      <c r="AK275" s="261" t="b">
        <f t="shared" si="124"/>
        <v>0</v>
      </c>
      <c r="AL275" s="261"/>
      <c r="AM275" s="261"/>
      <c r="AN275" s="75"/>
    </row>
    <row r="276" spans="1:40" s="6" customFormat="1" ht="11.25" x14ac:dyDescent="0.2">
      <c r="A276" s="56">
        <f t="shared" si="125"/>
        <v>45188</v>
      </c>
      <c r="B276" s="406">
        <f>'2022'!Wh/'2022'!Env_an*'2023'!Env_an</f>
        <v>45.855221700839181</v>
      </c>
      <c r="C276" s="385"/>
      <c r="D276" s="388">
        <f t="shared" si="103"/>
        <v>46.275197293164609</v>
      </c>
      <c r="E276" s="380">
        <f t="shared" si="101"/>
        <v>46.750614434167147</v>
      </c>
      <c r="F276" s="380">
        <f t="shared" si="104"/>
        <v>46.753120968509741</v>
      </c>
      <c r="G276" s="110">
        <f t="shared" si="102"/>
        <v>1.0180864621196524</v>
      </c>
      <c r="H276" s="409" t="b">
        <f>Wh_hp&gt;='2022'!Maxi_hp</f>
        <v>1</v>
      </c>
      <c r="I276" s="385">
        <f>IF(H276,Wh_hp,'2022'!Maxi_hp)</f>
        <v>46.753120968509741</v>
      </c>
      <c r="J276" s="85">
        <f>IF(H276,An,'2022'!An_max)</f>
        <v>2023</v>
      </c>
      <c r="K276" s="193">
        <f t="shared" si="105"/>
        <v>45188</v>
      </c>
      <c r="L276" s="143">
        <f>IF(t&lt;Tvie,1-EXP((T0-t)*PertePVj)+'2022'!Pspv,1-EXP((T0-t)*PertePVj)+Pspv)</f>
        <v>9.0756088983215966E-3</v>
      </c>
      <c r="M276" s="836"/>
      <c r="N276" s="836"/>
      <c r="O276" s="48">
        <f>IF(t&lt;Tnet,'2022'!Resal+('2022'!Salim-'2022'!Resal)*(1-EXP(('2022'!Tnet-t)/('2022'!Tau_j))),Resal+(Salim-Resal)*(1-EXP((Tnet-t)/(Tau_j))))*Salcycl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5.3612128787755275E-5</v>
      </c>
      <c r="Q276" s="301">
        <f t="shared" si="106"/>
        <v>0.5</v>
      </c>
      <c r="R276" s="173">
        <f t="shared" si="107"/>
        <v>0.98621433719894136</v>
      </c>
      <c r="S276" s="802">
        <f t="shared" si="108"/>
        <v>0</v>
      </c>
      <c r="T276" s="172">
        <f t="shared" si="109"/>
        <v>6</v>
      </c>
      <c r="U276" s="247">
        <f t="shared" si="110"/>
        <v>0.98621433719894136</v>
      </c>
      <c r="V276" s="378">
        <f t="shared" si="111"/>
        <v>45.040596655581453</v>
      </c>
      <c r="W276" s="397">
        <f t="shared" si="112"/>
        <v>45.855221700839181</v>
      </c>
      <c r="X276" s="153">
        <f t="shared" si="113"/>
        <v>45188</v>
      </c>
      <c r="Y276" s="380">
        <f t="shared" si="114"/>
        <v>44.561273435890804</v>
      </c>
      <c r="Z276" s="380">
        <f t="shared" si="115"/>
        <v>44.969398105489148</v>
      </c>
      <c r="AA276" s="381">
        <f t="shared" si="116"/>
        <v>46.750614434167147</v>
      </c>
      <c r="AB276" s="193">
        <f t="shared" si="117"/>
        <v>45188</v>
      </c>
      <c r="AC276" s="420">
        <f>IF(OR(t&lt;Tnet,NoTnet),'2022'!Resal_s+('2022'!Salim-'2022'!Resal_s)*(1-EXP(('2022'!Tnet_s-t)/'2022'!Tau_j)),Resal_s+(Salim-Resal_s)*(1-EXP((Tnet_s-t)/Tau_j)))*Salcycl</f>
        <v>3.8100383283438032E-2</v>
      </c>
      <c r="AD276" s="227">
        <f>(INDEX(Models!$BJ276:$BT276,,AH276)*(1-AF276)+INDEX(Models!$BJ276:$BT276,,AH276+1)*AF276-ERP_i)*AE276*Ramure*Pc/MaxiM</f>
        <v>5.3612128787755275E-5</v>
      </c>
      <c r="AE276" s="301">
        <f t="shared" si="118"/>
        <v>0.5</v>
      </c>
      <c r="AF276" s="173">
        <f t="shared" si="119"/>
        <v>0.98621433719894136</v>
      </c>
      <c r="AG276" s="172">
        <f t="shared" si="120"/>
        <v>0</v>
      </c>
      <c r="AH276" s="172">
        <f t="shared" si="121"/>
        <v>6</v>
      </c>
      <c r="AI276" s="221">
        <f t="shared" si="122"/>
        <v>0.98621433719894136</v>
      </c>
      <c r="AJ276" s="261" t="b">
        <f t="shared" si="123"/>
        <v>0</v>
      </c>
      <c r="AK276" s="261" t="b">
        <f t="shared" si="124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5"/>
        <v>45189</v>
      </c>
      <c r="B277" s="406">
        <f>'2022'!Wh/'2022'!Env_an*'2023'!Env_an</f>
        <v>46.217606926131189</v>
      </c>
      <c r="C277" s="385"/>
      <c r="D277" s="388">
        <f t="shared" si="103"/>
        <v>46.641539990387386</v>
      </c>
      <c r="E277" s="380">
        <f t="shared" si="101"/>
        <v>47.123796615070376</v>
      </c>
      <c r="F277" s="380">
        <f t="shared" si="104"/>
        <v>47.126194805421548</v>
      </c>
      <c r="G277" s="110">
        <f t="shared" si="102"/>
        <v>1.0347038043559282</v>
      </c>
      <c r="H277" s="409" t="b">
        <f>Wh_hp&gt;='2022'!Maxi_hp</f>
        <v>1</v>
      </c>
      <c r="I277" s="385">
        <f>IF(H277,Wh_hp,'2022'!Maxi_hp)</f>
        <v>47.126194805421548</v>
      </c>
      <c r="J277" s="85">
        <f>IF(H277,An,'2022'!An_max)</f>
        <v>2023</v>
      </c>
      <c r="K277" s="193">
        <f t="shared" si="105"/>
        <v>45189</v>
      </c>
      <c r="L277" s="143">
        <f>IF(t&lt;Tvie,1-EXP((T0-t)*PertePVj)+'2022'!Pspv,1-EXP((T0-t)*PertePVj)+Pspv)</f>
        <v>9.0891738210953088E-3</v>
      </c>
      <c r="M277" s="836"/>
      <c r="N277" s="836"/>
      <c r="O277" s="48">
        <f>IF(t&lt;Tnet,'2022'!Resal+('2022'!Salim-'2022'!Resal)*(1-EXP(('2022'!Tnet-t)/('2022'!Tau_j))),Resal+(Salim-Resal)*(1-EXP((Tnet-t)/(Tau_j))))*Salcycl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5.0888690696825124E-5</v>
      </c>
      <c r="Q277" s="301">
        <f t="shared" si="106"/>
        <v>0.5</v>
      </c>
      <c r="R277" s="173">
        <f t="shared" si="107"/>
        <v>0.98652244164400016</v>
      </c>
      <c r="S277" s="802">
        <f t="shared" si="108"/>
        <v>0</v>
      </c>
      <c r="T277" s="172">
        <f t="shared" si="109"/>
        <v>6</v>
      </c>
      <c r="U277" s="247">
        <f t="shared" si="110"/>
        <v>0.98652244164400016</v>
      </c>
      <c r="V277" s="378">
        <f t="shared" si="111"/>
        <v>44.667475592109433</v>
      </c>
      <c r="W277" s="397">
        <f t="shared" si="112"/>
        <v>46.217606926131189</v>
      </c>
      <c r="X277" s="153">
        <f t="shared" si="113"/>
        <v>45189</v>
      </c>
      <c r="Y277" s="380">
        <f t="shared" si="114"/>
        <v>44.914848074908839</v>
      </c>
      <c r="Z277" s="380">
        <f t="shared" si="115"/>
        <v>45.326831525402724</v>
      </c>
      <c r="AA277" s="381">
        <f t="shared" si="116"/>
        <v>47.123796615070376</v>
      </c>
      <c r="AB277" s="193">
        <f t="shared" si="117"/>
        <v>45189</v>
      </c>
      <c r="AC277" s="420">
        <f>IF(OR(t&lt;Tnet,NoTnet),'2022'!Resal_s+('2022'!Salim-'2022'!Resal_s)*(1-EXP(('2022'!Tnet_s-t)/'2022'!Tau_j)),Resal_s+(Salim-Resal_s)*(1-EXP((Tnet_s-t)/Tau_j)))*Salcycl</f>
        <v>3.8132858953324945E-2</v>
      </c>
      <c r="AD277" s="227">
        <f>(INDEX(Models!$BJ277:$BT277,,AH277)*(1-AF277)+INDEX(Models!$BJ277:$BT277,,AH277+1)*AF277-ERP_i)*AE277*Ramure*Pc/MaxiM</f>
        <v>5.0888690696825124E-5</v>
      </c>
      <c r="AE277" s="301">
        <f t="shared" si="118"/>
        <v>0.5</v>
      </c>
      <c r="AF277" s="173">
        <f t="shared" si="119"/>
        <v>0.98652244164400016</v>
      </c>
      <c r="AG277" s="172">
        <f t="shared" si="120"/>
        <v>0</v>
      </c>
      <c r="AH277" s="172">
        <f t="shared" si="121"/>
        <v>6</v>
      </c>
      <c r="AI277" s="221">
        <f t="shared" si="122"/>
        <v>0.98652244164400016</v>
      </c>
      <c r="AJ277" s="261" t="b">
        <f t="shared" si="123"/>
        <v>0</v>
      </c>
      <c r="AK277" s="261" t="b">
        <f t="shared" si="124"/>
        <v>0</v>
      </c>
      <c r="AL277" s="261"/>
      <c r="AM277" s="261"/>
      <c r="AN277" s="75"/>
    </row>
    <row r="278" spans="1:40" s="6" customFormat="1" ht="11.25" x14ac:dyDescent="0.2">
      <c r="A278" s="56">
        <f t="shared" si="125"/>
        <v>45190</v>
      </c>
      <c r="B278" s="406">
        <f>'2022'!Wh/'2022'!Env_an*'2023'!Env_an</f>
        <v>44.852287588783106</v>
      </c>
      <c r="C278" s="385"/>
      <c r="D278" s="388">
        <f t="shared" si="103"/>
        <v>45.264316830909351</v>
      </c>
      <c r="E278" s="380">
        <f t="shared" si="101"/>
        <v>45.735309800043574</v>
      </c>
      <c r="F278" s="380">
        <f t="shared" si="104"/>
        <v>45.737542651525203</v>
      </c>
      <c r="G278" s="110">
        <f t="shared" si="102"/>
        <v>1.0127421343989176</v>
      </c>
      <c r="H278" s="409" t="b">
        <f>Wh_hp&gt;='2022'!Maxi_hp</f>
        <v>1</v>
      </c>
      <c r="I278" s="385">
        <f>IF(H278,Wh_hp,'2022'!Maxi_hp)</f>
        <v>45.737542651525203</v>
      </c>
      <c r="J278" s="85">
        <f>IF(H278,An,'2022'!An_max)</f>
        <v>2023</v>
      </c>
      <c r="K278" s="193">
        <f t="shared" si="105"/>
        <v>45190</v>
      </c>
      <c r="L278" s="143">
        <f>IF(t&lt;Tvie,1-EXP((T0-t)*PertePVj)+'2022'!Pspv,1-EXP((T0-t)*PertePVj)+Pspv)</f>
        <v>9.1027385581766707E-3</v>
      </c>
      <c r="M278" s="836"/>
      <c r="N278" s="836"/>
      <c r="O278" s="48">
        <f>IF(t&lt;Tnet,'2022'!Resal+('2022'!Salim-'2022'!Resal)*(1-EXP(('2022'!Tnet-t)/('2022'!Tau_j))),Resal+(Salim-Resal)*(1-EXP((Tnet-t)/(Tau_j))))*Salcycl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4.8818789820905312E-5</v>
      </c>
      <c r="Q278" s="301">
        <f t="shared" si="106"/>
        <v>0.5</v>
      </c>
      <c r="R278" s="173">
        <f t="shared" si="107"/>
        <v>0.98681850321658771</v>
      </c>
      <c r="S278" s="802">
        <f t="shared" si="108"/>
        <v>0</v>
      </c>
      <c r="T278" s="172">
        <f t="shared" si="109"/>
        <v>6</v>
      </c>
      <c r="U278" s="247">
        <f t="shared" si="110"/>
        <v>0.98681850321658771</v>
      </c>
      <c r="V278" s="378">
        <f t="shared" si="111"/>
        <v>44.287964394217511</v>
      </c>
      <c r="W278" s="397">
        <f t="shared" si="112"/>
        <v>44.852287588783106</v>
      </c>
      <c r="X278" s="153">
        <f t="shared" si="113"/>
        <v>45190</v>
      </c>
      <c r="Y278" s="380">
        <f t="shared" si="114"/>
        <v>43.589398483866781</v>
      </c>
      <c r="Z278" s="380">
        <f t="shared" si="115"/>
        <v>43.98982637255574</v>
      </c>
      <c r="AA278" s="381">
        <f t="shared" si="116"/>
        <v>45.735309800043574</v>
      </c>
      <c r="AB278" s="193">
        <f t="shared" si="117"/>
        <v>45190</v>
      </c>
      <c r="AC278" s="420">
        <f>IF(OR(t&lt;Tnet,NoTnet),'2022'!Resal_s+('2022'!Salim-'2022'!Resal_s)*(1-EXP(('2022'!Tnet_s-t)/'2022'!Tau_j)),Resal_s+(Salim-Resal_s)*(1-EXP((Tnet_s-t)/Tau_j)))*Salcycl</f>
        <v>3.816489786817126E-2</v>
      </c>
      <c r="AD278" s="227">
        <f>(INDEX(Models!$BJ278:$BT278,,AH278)*(1-AF278)+INDEX(Models!$BJ278:$BT278,,AH278+1)*AF278-ERP_i)*AE278*Ramure*Pc/MaxiM</f>
        <v>4.8818789820905312E-5</v>
      </c>
      <c r="AE278" s="301">
        <f t="shared" si="118"/>
        <v>0.5</v>
      </c>
      <c r="AF278" s="173">
        <f t="shared" si="119"/>
        <v>0.98681850321658771</v>
      </c>
      <c r="AG278" s="172">
        <f t="shared" si="120"/>
        <v>0</v>
      </c>
      <c r="AH278" s="172">
        <f t="shared" si="121"/>
        <v>6</v>
      </c>
      <c r="AI278" s="221">
        <f t="shared" si="122"/>
        <v>0.98681850321658771</v>
      </c>
      <c r="AJ278" s="261" t="b">
        <f t="shared" si="123"/>
        <v>0</v>
      </c>
      <c r="AK278" s="261" t="b">
        <f t="shared" si="124"/>
        <v>0</v>
      </c>
      <c r="AL278" s="261"/>
      <c r="AM278" s="261"/>
      <c r="AN278" s="75"/>
    </row>
    <row r="279" spans="1:40" s="6" customFormat="1" ht="11.25" x14ac:dyDescent="0.2">
      <c r="A279" s="56">
        <f t="shared" si="125"/>
        <v>45191</v>
      </c>
      <c r="B279" s="406">
        <f>'2022'!Wh/'2022'!Env_an*'2023'!Env_an</f>
        <v>43.596526002520264</v>
      </c>
      <c r="C279" s="385"/>
      <c r="D279" s="388">
        <f t="shared" si="103"/>
        <v>43.997621657651521</v>
      </c>
      <c r="E279" s="380">
        <f t="shared" si="101"/>
        <v>44.45831856842608</v>
      </c>
      <c r="F279" s="380">
        <f t="shared" si="104"/>
        <v>44.460405623391026</v>
      </c>
      <c r="G279" s="110">
        <f t="shared" si="102"/>
        <v>0.9930205977398241</v>
      </c>
      <c r="H279" s="409" t="b">
        <f>Wh_hp&gt;='2022'!Maxi_hp</f>
        <v>0</v>
      </c>
      <c r="I279" s="385">
        <f>IF(H279,Wh_hp,'2022'!Maxi_hp)</f>
        <v>44.460416215759921</v>
      </c>
      <c r="J279" s="85">
        <f>IF(H279,An,'2022'!An_max)</f>
        <v>2022</v>
      </c>
      <c r="K279" s="193">
        <f t="shared" si="105"/>
        <v>45191</v>
      </c>
      <c r="L279" s="143">
        <f>IF(t&lt;Tvie,1-EXP((T0-t)*PertePVj)+'2022'!Pspv,1-EXP((T0-t)*PertePVj)+Pspv)</f>
        <v>9.1163031095682356E-3</v>
      </c>
      <c r="M279" s="836"/>
      <c r="N279" s="836"/>
      <c r="O279" s="48">
        <f>IF(t&lt;Tnet,'2022'!Resal+('2022'!Salim-'2022'!Resal)*(1-EXP(('2022'!Tnet-t)/('2022'!Tau_j))),Resal+(Salim-Resal)*(1-EXP((Tnet-t)/(Tau_j))))*Salcycl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4.7414597625162259E-5</v>
      </c>
      <c r="Q279" s="301">
        <f t="shared" si="106"/>
        <v>0.5</v>
      </c>
      <c r="R279" s="173">
        <f t="shared" si="107"/>
        <v>0.98710297881139786</v>
      </c>
      <c r="S279" s="802">
        <f t="shared" si="108"/>
        <v>0</v>
      </c>
      <c r="T279" s="172">
        <f t="shared" si="109"/>
        <v>6</v>
      </c>
      <c r="U279" s="247">
        <f t="shared" si="110"/>
        <v>0.98710297881139786</v>
      </c>
      <c r="V279" s="378">
        <f t="shared" si="111"/>
        <v>43.902921542489139</v>
      </c>
      <c r="W279" s="397">
        <f t="shared" si="112"/>
        <v>43.596526002520264</v>
      </c>
      <c r="X279" s="153">
        <f t="shared" si="113"/>
        <v>45191</v>
      </c>
      <c r="Y279" s="380">
        <f t="shared" si="114"/>
        <v>42.370352381209756</v>
      </c>
      <c r="Z279" s="380">
        <f t="shared" si="115"/>
        <v>42.760167024823815</v>
      </c>
      <c r="AA279" s="381">
        <f t="shared" si="116"/>
        <v>44.45831856842608</v>
      </c>
      <c r="AB279" s="193">
        <f t="shared" si="117"/>
        <v>45191</v>
      </c>
      <c r="AC279" s="420">
        <f>IF(OR(t&lt;Tnet,NoTnet),'2022'!Resal_s+('2022'!Salim-'2022'!Resal_s)*(1-EXP(('2022'!Tnet_s-t)/'2022'!Tau_j)),Resal_s+(Salim-Resal_s)*(1-EXP((Tnet_s-t)/Tau_j)))*Salcycl</f>
        <v>3.8196486018440605E-2</v>
      </c>
      <c r="AD279" s="227">
        <f>(INDEX(Models!$BJ279:$BT279,,AH279)*(1-AF279)+INDEX(Models!$BJ279:$BT279,,AH279+1)*AF279-ERP_i)*AE279*Ramure*Pc/MaxiM</f>
        <v>4.7414597625162259E-5</v>
      </c>
      <c r="AE279" s="301">
        <f t="shared" si="118"/>
        <v>0.5</v>
      </c>
      <c r="AF279" s="173">
        <f t="shared" si="119"/>
        <v>0.98710297881139786</v>
      </c>
      <c r="AG279" s="172">
        <f t="shared" si="120"/>
        <v>0</v>
      </c>
      <c r="AH279" s="172">
        <f t="shared" si="121"/>
        <v>6</v>
      </c>
      <c r="AI279" s="221">
        <f t="shared" si="122"/>
        <v>0.98710297881139786</v>
      </c>
      <c r="AJ279" s="261" t="b">
        <f t="shared" si="123"/>
        <v>0</v>
      </c>
      <c r="AK279" s="261" t="b">
        <f t="shared" si="124"/>
        <v>0</v>
      </c>
      <c r="AL279" s="261"/>
      <c r="AM279" s="261"/>
      <c r="AN279" s="75"/>
    </row>
    <row r="280" spans="1:40" s="6" customFormat="1" ht="11.25" x14ac:dyDescent="0.2">
      <c r="A280" s="56">
        <f t="shared" si="125"/>
        <v>45192</v>
      </c>
      <c r="B280" s="406">
        <f>'2022'!Wh/'2022'!Env_an*'2023'!Env_an</f>
        <v>31.946785365323191</v>
      </c>
      <c r="C280" s="385"/>
      <c r="D280" s="388">
        <f t="shared" si="103"/>
        <v>32.241142725659806</v>
      </c>
      <c r="E280" s="380">
        <f t="shared" si="101"/>
        <v>32.580845284647722</v>
      </c>
      <c r="F280" s="380">
        <f t="shared" si="104"/>
        <v>32.581788843578025</v>
      </c>
      <c r="G280" s="110">
        <f t="shared" si="102"/>
        <v>0.73417296575433078</v>
      </c>
      <c r="H280" s="409" t="b">
        <f>Wh_hp&gt;='2022'!Maxi_hp</f>
        <v>0</v>
      </c>
      <c r="I280" s="385">
        <f>IF(H280,Wh_hp,'2022'!Maxi_hp)</f>
        <v>32.582079960856511</v>
      </c>
      <c r="J280" s="85">
        <f>IF(H280,An,'2022'!An_max)</f>
        <v>2022</v>
      </c>
      <c r="K280" s="193">
        <f t="shared" si="105"/>
        <v>45192</v>
      </c>
      <c r="L280" s="143">
        <f>IF(t&lt;Tvie,1-EXP((T0-t)*PertePVj)+'2022'!Pspv,1-EXP((T0-t)*PertePVj)+Pspv)</f>
        <v>9.1298674752724462E-3</v>
      </c>
      <c r="M280" s="836"/>
      <c r="N280" s="836"/>
      <c r="O280" s="48">
        <f>IF(t&lt;Tnet,'2022'!Resal+('2022'!Salim-'2022'!Resal)*(1-EXP(('2022'!Tnet-t)/('2022'!Tau_j))),Resal+(Salim-Resal)*(1-EXP((Tnet-t)/(Tau_j))))*Salcycl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4.6689190684440256E-5</v>
      </c>
      <c r="Q280" s="301">
        <f t="shared" si="106"/>
        <v>0.5</v>
      </c>
      <c r="R280" s="173">
        <f t="shared" si="107"/>
        <v>0.98737630906696316</v>
      </c>
      <c r="S280" s="802">
        <f t="shared" si="108"/>
        <v>0</v>
      </c>
      <c r="T280" s="172">
        <f t="shared" si="109"/>
        <v>6</v>
      </c>
      <c r="U280" s="247">
        <f t="shared" si="110"/>
        <v>0.98737630906696316</v>
      </c>
      <c r="V280" s="378">
        <f t="shared" si="111"/>
        <v>43.513205251246255</v>
      </c>
      <c r="W280" s="397">
        <f t="shared" si="112"/>
        <v>31.946785365323191</v>
      </c>
      <c r="X280" s="153">
        <f t="shared" si="113"/>
        <v>45192</v>
      </c>
      <c r="Y280" s="380">
        <f t="shared" si="114"/>
        <v>31.049269798020514</v>
      </c>
      <c r="Z280" s="380">
        <f t="shared" si="115"/>
        <v>31.335357458910657</v>
      </c>
      <c r="AA280" s="381">
        <f t="shared" si="116"/>
        <v>32.580845284647722</v>
      </c>
      <c r="AB280" s="193">
        <f t="shared" si="117"/>
        <v>45192</v>
      </c>
      <c r="AC280" s="420">
        <f>IF(OR(t&lt;Tnet,NoTnet),'2022'!Resal_s+('2022'!Salim-'2022'!Resal_s)*(1-EXP(('2022'!Tnet_s-t)/'2022'!Tau_j)),Resal_s+(Salim-Resal_s)*(1-EXP((Tnet_s-t)/Tau_j)))*Salcycl</f>
        <v>3.8227609347015572E-2</v>
      </c>
      <c r="AD280" s="227">
        <f>(INDEX(Models!$BJ280:$BT280,,AH280)*(1-AF280)+INDEX(Models!$BJ280:$BT280,,AH280+1)*AF280-ERP_i)*AE280*Ramure*Pc/MaxiM</f>
        <v>4.6689190684440256E-5</v>
      </c>
      <c r="AE280" s="301">
        <f t="shared" si="118"/>
        <v>0.5</v>
      </c>
      <c r="AF280" s="173">
        <f t="shared" si="119"/>
        <v>0.98737630906696316</v>
      </c>
      <c r="AG280" s="172">
        <f t="shared" si="120"/>
        <v>0</v>
      </c>
      <c r="AH280" s="172">
        <f t="shared" si="121"/>
        <v>6</v>
      </c>
      <c r="AI280" s="221">
        <f t="shared" si="122"/>
        <v>0.98737630906696316</v>
      </c>
      <c r="AJ280" s="261" t="b">
        <f t="shared" si="123"/>
        <v>0</v>
      </c>
      <c r="AK280" s="261" t="b">
        <f t="shared" si="124"/>
        <v>0</v>
      </c>
      <c r="AL280" s="261"/>
      <c r="AM280" s="261"/>
      <c r="AN280" s="75"/>
    </row>
    <row r="281" spans="1:40" s="6" customFormat="1" ht="11.25" x14ac:dyDescent="0.2">
      <c r="A281" s="56">
        <f t="shared" si="125"/>
        <v>45193</v>
      </c>
      <c r="B281" s="406">
        <f>'2022'!Wh/'2022'!Env_an*'2023'!Env_an</f>
        <v>19.733476127419241</v>
      </c>
      <c r="C281" s="385"/>
      <c r="D281" s="388">
        <f t="shared" si="103"/>
        <v>19.91557280624917</v>
      </c>
      <c r="E281" s="380">
        <f t="shared" si="101"/>
        <v>20.126706850190839</v>
      </c>
      <c r="F281" s="380">
        <f t="shared" si="104"/>
        <v>20.126918328821844</v>
      </c>
      <c r="G281" s="110">
        <f t="shared" si="102"/>
        <v>0.45762783405954238</v>
      </c>
      <c r="H281" s="409" t="b">
        <f>Wh_hp&gt;='2022'!Maxi_hp</f>
        <v>0</v>
      </c>
      <c r="I281" s="385">
        <f>IF(H281,Wh_hp,'2022'!Maxi_hp)</f>
        <v>20.127284995760309</v>
      </c>
      <c r="J281" s="85">
        <f>IF(H281,An,'2022'!An_max)</f>
        <v>2022</v>
      </c>
      <c r="K281" s="193">
        <f t="shared" si="105"/>
        <v>45193</v>
      </c>
      <c r="L281" s="143">
        <f>IF(t&lt;Tvie,1-EXP((T0-t)*PertePVj)+'2022'!Pspv,1-EXP((T0-t)*PertePVj)+Pspv)</f>
        <v>9.143431655291856E-3</v>
      </c>
      <c r="M281" s="836"/>
      <c r="N281" s="836"/>
      <c r="O281" s="48">
        <f>IF(t&lt;Tnet,'2022'!Resal+('2022'!Salim-'2022'!Resal)*(1-EXP(('2022'!Tnet-t)/('2022'!Tau_j))),Resal+(Salim-Resal)*(1-EXP((Tnet-t)/(Tau_j))))*Salcycl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4.665613510798709E-5</v>
      </c>
      <c r="Q281" s="301">
        <f t="shared" si="106"/>
        <v>0.5</v>
      </c>
      <c r="R281" s="173">
        <f t="shared" si="107"/>
        <v>0.98763891885909927</v>
      </c>
      <c r="S281" s="802">
        <f t="shared" si="108"/>
        <v>0</v>
      </c>
      <c r="T281" s="172">
        <f t="shared" si="109"/>
        <v>6</v>
      </c>
      <c r="U281" s="247">
        <f t="shared" si="110"/>
        <v>0.98763891885909927</v>
      </c>
      <c r="V281" s="378">
        <f t="shared" si="111"/>
        <v>43.119673473056679</v>
      </c>
      <c r="W281" s="397">
        <f t="shared" si="112"/>
        <v>19.733476127419241</v>
      </c>
      <c r="X281" s="153">
        <f t="shared" si="113"/>
        <v>45193</v>
      </c>
      <c r="Y281" s="380">
        <f t="shared" si="114"/>
        <v>19.179707580494942</v>
      </c>
      <c r="Z281" s="380">
        <f t="shared" si="115"/>
        <v>19.356694190901838</v>
      </c>
      <c r="AA281" s="381">
        <f t="shared" si="116"/>
        <v>20.126706850190839</v>
      </c>
      <c r="AB281" s="193">
        <f t="shared" si="117"/>
        <v>45193</v>
      </c>
      <c r="AC281" s="420">
        <f>IF(OR(t&lt;Tnet,NoTnet),'2022'!Resal_s+('2022'!Salim-'2022'!Resal_s)*(1-EXP(('2022'!Tnet_s-t)/'2022'!Tau_j)),Resal_s+(Salim-Resal_s)*(1-EXP((Tnet_s-t)/Tau_j)))*Salcycl</f>
        <v>3.8258253822666434E-2</v>
      </c>
      <c r="AD281" s="227">
        <f>(INDEX(Models!$BJ281:$BT281,,AH281)*(1-AF281)+INDEX(Models!$BJ281:$BT281,,AH281+1)*AF281-ERP_i)*AE281*Ramure*Pc/MaxiM</f>
        <v>4.665613510798709E-5</v>
      </c>
      <c r="AE281" s="301">
        <f t="shared" si="118"/>
        <v>0.5</v>
      </c>
      <c r="AF281" s="173">
        <f t="shared" si="119"/>
        <v>0.98763891885909927</v>
      </c>
      <c r="AG281" s="172">
        <f t="shared" si="120"/>
        <v>0</v>
      </c>
      <c r="AH281" s="172">
        <f t="shared" si="121"/>
        <v>6</v>
      </c>
      <c r="AI281" s="221">
        <f t="shared" si="122"/>
        <v>0.98763891885909927</v>
      </c>
      <c r="AJ281" s="261" t="b">
        <f t="shared" si="123"/>
        <v>0</v>
      </c>
      <c r="AK281" s="261" t="b">
        <f t="shared" si="124"/>
        <v>0</v>
      </c>
      <c r="AL281" s="261"/>
      <c r="AM281" s="261"/>
      <c r="AN281" s="75"/>
    </row>
    <row r="282" spans="1:40" s="6" customFormat="1" ht="11.25" x14ac:dyDescent="0.2">
      <c r="A282" s="56">
        <f t="shared" si="125"/>
        <v>45194</v>
      </c>
      <c r="B282" s="406">
        <f>'2022'!Wh/'2022'!Env_an*'2023'!Env_an</f>
        <v>31.586247579009356</v>
      </c>
      <c r="C282" s="385"/>
      <c r="D282" s="388">
        <f t="shared" si="103"/>
        <v>31.878155712184022</v>
      </c>
      <c r="E282" s="380">
        <f t="shared" si="101"/>
        <v>32.218180539410973</v>
      </c>
      <c r="F282" s="380">
        <f t="shared" si="104"/>
        <v>32.219145329984116</v>
      </c>
      <c r="G282" s="110">
        <f t="shared" si="102"/>
        <v>0.73931049979562713</v>
      </c>
      <c r="H282" s="409" t="b">
        <f>Wh_hp&gt;='2022'!Maxi_hp</f>
        <v>0</v>
      </c>
      <c r="I282" s="385">
        <f>IF(H282,Wh_hp,'2022'!Maxi_hp)</f>
        <v>32.219433852063254</v>
      </c>
      <c r="J282" s="85">
        <f>IF(H282,An,'2022'!An_max)</f>
        <v>2022</v>
      </c>
      <c r="K282" s="193">
        <f t="shared" si="105"/>
        <v>45194</v>
      </c>
      <c r="L282" s="143">
        <f>IF(t&lt;Tvie,1-EXP((T0-t)*PertePVj)+'2022'!Pspv,1-EXP((T0-t)*PertePVj)+Pspv)</f>
        <v>9.1569956496290184E-3</v>
      </c>
      <c r="M282" s="836"/>
      <c r="N282" s="836"/>
      <c r="O282" s="48">
        <f>IF(t&lt;Tnet,'2022'!Resal+('2022'!Salim-'2022'!Resal)*(1-EXP(('2022'!Tnet-t)/('2022'!Tau_j))),Resal+(Salim-Resal)*(1-EXP((Tnet-t)/(Tau_j))))*Salcycl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4.7712536572337404E-5</v>
      </c>
      <c r="Q282" s="301">
        <f t="shared" si="106"/>
        <v>0.5</v>
      </c>
      <c r="R282" s="173">
        <f t="shared" si="107"/>
        <v>0.9878912177863175</v>
      </c>
      <c r="S282" s="802">
        <f t="shared" si="108"/>
        <v>0</v>
      </c>
      <c r="T282" s="172">
        <f t="shared" si="109"/>
        <v>6</v>
      </c>
      <c r="U282" s="247">
        <f t="shared" si="110"/>
        <v>0.9878912177863175</v>
      </c>
      <c r="V282" s="378">
        <f t="shared" si="111"/>
        <v>42.723167531940135</v>
      </c>
      <c r="W282" s="397">
        <f t="shared" si="112"/>
        <v>31.586247579009356</v>
      </c>
      <c r="X282" s="153">
        <f t="shared" si="113"/>
        <v>45194</v>
      </c>
      <c r="Y282" s="380">
        <f t="shared" si="114"/>
        <v>30.700871950750628</v>
      </c>
      <c r="Z282" s="380">
        <f t="shared" si="115"/>
        <v>30.984597777807515</v>
      </c>
      <c r="AA282" s="381">
        <f t="shared" si="116"/>
        <v>32.218180539410973</v>
      </c>
      <c r="AB282" s="193">
        <f t="shared" si="117"/>
        <v>45194</v>
      </c>
      <c r="AC282" s="420">
        <f>IF(OR(t&lt;Tnet,NoTnet),'2022'!Resal_s+('2022'!Salim-'2022'!Resal_s)*(1-EXP(('2022'!Tnet_s-t)/'2022'!Tau_j)),Resal_s+(Salim-Resal_s)*(1-EXP((Tnet_s-t)/Tau_j)))*Salcycl</f>
        <v>3.8288405519811233E-2</v>
      </c>
      <c r="AD282" s="227">
        <f>(INDEX(Models!$BJ282:$BT282,,AH282)*(1-AF282)+INDEX(Models!$BJ282:$BT282,,AH282+1)*AF282-ERP_i)*AE282*Ramure*Pc/MaxiM</f>
        <v>4.7712536572337404E-5</v>
      </c>
      <c r="AE282" s="301">
        <f t="shared" si="118"/>
        <v>0.5</v>
      </c>
      <c r="AF282" s="173">
        <f t="shared" si="119"/>
        <v>0.9878912177863175</v>
      </c>
      <c r="AG282" s="172">
        <f t="shared" si="120"/>
        <v>0</v>
      </c>
      <c r="AH282" s="172">
        <f t="shared" si="121"/>
        <v>6</v>
      </c>
      <c r="AI282" s="221">
        <f t="shared" si="122"/>
        <v>0.9878912177863175</v>
      </c>
      <c r="AJ282" s="261" t="b">
        <f t="shared" si="123"/>
        <v>0</v>
      </c>
      <c r="AK282" s="261" t="b">
        <f t="shared" si="124"/>
        <v>0</v>
      </c>
      <c r="AL282" s="261"/>
      <c r="AM282" s="261"/>
      <c r="AN282" s="75"/>
    </row>
    <row r="283" spans="1:40" s="6" customFormat="1" ht="11.25" x14ac:dyDescent="0.2">
      <c r="A283" s="56">
        <f t="shared" si="125"/>
        <v>45195</v>
      </c>
      <c r="B283" s="406">
        <f>'2022'!Wh/'2022'!Env_an*'2023'!Env_an</f>
        <v>34.066164714127758</v>
      </c>
      <c r="C283" s="385"/>
      <c r="D283" s="388">
        <f t="shared" si="103"/>
        <v>34.381461955251211</v>
      </c>
      <c r="E283" s="380">
        <f t="shared" si="101"/>
        <v>34.750413035331555</v>
      </c>
      <c r="F283" s="380">
        <f t="shared" si="104"/>
        <v>34.751661782615741</v>
      </c>
      <c r="G283" s="110">
        <f t="shared" si="102"/>
        <v>0.80486841816120724</v>
      </c>
      <c r="H283" s="409" t="b">
        <f>Wh_hp&gt;='2022'!Maxi_hp</f>
        <v>0</v>
      </c>
      <c r="I283" s="385">
        <f>IF(H283,Wh_hp,'2022'!Maxi_hp)</f>
        <v>34.75190503320507</v>
      </c>
      <c r="J283" s="85">
        <f>IF(H283,An,'2022'!An_max)</f>
        <v>2022</v>
      </c>
      <c r="K283" s="193">
        <f t="shared" si="105"/>
        <v>45195</v>
      </c>
      <c r="L283" s="143">
        <f>IF(t&lt;Tvie,1-EXP((T0-t)*PertePVj)+'2022'!Pspv,1-EXP((T0-t)*PertePVj)+Pspv)</f>
        <v>9.1705594582865979E-3</v>
      </c>
      <c r="M283" s="836"/>
      <c r="N283" s="836"/>
      <c r="O283" s="48">
        <f>IF(t&lt;Tnet,'2022'!Resal+('2022'!Salim-'2022'!Resal)*(1-EXP(('2022'!Tnet-t)/('2022'!Tau_j))),Resal+(Salim-Resal)*(1-EXP((Tnet-t)/(Tau_j))))*Salcycl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4.9820628292973238E-5</v>
      </c>
      <c r="Q283" s="301">
        <f t="shared" si="106"/>
        <v>0.5</v>
      </c>
      <c r="R283" s="173">
        <f t="shared" si="107"/>
        <v>0.98813360064669542</v>
      </c>
      <c r="S283" s="802">
        <f t="shared" si="108"/>
        <v>0</v>
      </c>
      <c r="T283" s="172">
        <f t="shared" si="109"/>
        <v>6</v>
      </c>
      <c r="U283" s="247">
        <f t="shared" si="110"/>
        <v>0.98813360064669542</v>
      </c>
      <c r="V283" s="378">
        <f t="shared" si="111"/>
        <v>42.324547523221348</v>
      </c>
      <c r="W283" s="397">
        <f t="shared" si="112"/>
        <v>34.066164714127758</v>
      </c>
      <c r="X283" s="153">
        <f t="shared" si="113"/>
        <v>45195</v>
      </c>
      <c r="Y283" s="380">
        <f t="shared" si="114"/>
        <v>33.112375442041582</v>
      </c>
      <c r="Z283" s="380">
        <f t="shared" si="115"/>
        <v>33.418844946652115</v>
      </c>
      <c r="AA283" s="381">
        <f t="shared" si="116"/>
        <v>34.750413035331555</v>
      </c>
      <c r="AB283" s="193">
        <f t="shared" si="117"/>
        <v>45195</v>
      </c>
      <c r="AC283" s="420">
        <f>IF(OR(t&lt;Tnet,NoTnet),'2022'!Resal_s+('2022'!Salim-'2022'!Resal_s)*(1-EXP(('2022'!Tnet_s-t)/'2022'!Tau_j)),Resal_s+(Salim-Resal_s)*(1-EXP((Tnet_s-t)/Tau_j)))*Salcycl</f>
        <v>3.8318050704191663E-2</v>
      </c>
      <c r="AD283" s="227">
        <f>(INDEX(Models!$BJ283:$BT283,,AH283)*(1-AF283)+INDEX(Models!$BJ283:$BT283,,AH283+1)*AF283-ERP_i)*AE283*Ramure*Pc/MaxiM</f>
        <v>4.9820628292973238E-5</v>
      </c>
      <c r="AE283" s="301">
        <f t="shared" si="118"/>
        <v>0.5</v>
      </c>
      <c r="AF283" s="173">
        <f t="shared" si="119"/>
        <v>0.98813360064669542</v>
      </c>
      <c r="AG283" s="172">
        <f t="shared" si="120"/>
        <v>0</v>
      </c>
      <c r="AH283" s="172">
        <f t="shared" si="121"/>
        <v>6</v>
      </c>
      <c r="AI283" s="221">
        <f t="shared" si="122"/>
        <v>0.98813360064669542</v>
      </c>
      <c r="AJ283" s="261" t="b">
        <f t="shared" si="123"/>
        <v>0</v>
      </c>
      <c r="AK283" s="261" t="b">
        <f t="shared" si="124"/>
        <v>0</v>
      </c>
      <c r="AL283" s="261"/>
      <c r="AM283" s="261"/>
      <c r="AN283" s="75"/>
    </row>
    <row r="284" spans="1:40" s="6" customFormat="1" ht="11.25" x14ac:dyDescent="0.2">
      <c r="A284" s="56">
        <f t="shared" si="125"/>
        <v>45196</v>
      </c>
      <c r="B284" s="406">
        <f>'2022'!Wh/'2022'!Env_an*'2023'!Env_an</f>
        <v>16.670561542105922</v>
      </c>
      <c r="C284" s="385"/>
      <c r="D284" s="388">
        <f t="shared" si="103"/>
        <v>16.825085195393214</v>
      </c>
      <c r="E284" s="380">
        <f t="shared" si="101"/>
        <v>17.006722008614648</v>
      </c>
      <c r="F284" s="380">
        <f t="shared" si="104"/>
        <v>17.006847729566328</v>
      </c>
      <c r="G284" s="110">
        <f t="shared" si="102"/>
        <v>0.39761316931288748</v>
      </c>
      <c r="H284" s="409" t="b">
        <f>Wh_hp&gt;='2022'!Maxi_hp</f>
        <v>0</v>
      </c>
      <c r="I284" s="385">
        <f>IF(H284,Wh_hp,'2022'!Maxi_hp)</f>
        <v>17.007238726948835</v>
      </c>
      <c r="J284" s="85">
        <f>IF(H284,An,'2022'!An_max)</f>
        <v>2022</v>
      </c>
      <c r="K284" s="193">
        <f t="shared" si="105"/>
        <v>45196</v>
      </c>
      <c r="L284" s="143">
        <f>IF(t&lt;Tvie,1-EXP((T0-t)*PertePVj)+'2022'!Pspv,1-EXP((T0-t)*PertePVj)+Pspv)</f>
        <v>9.1841230812669261E-3</v>
      </c>
      <c r="M284" s="836"/>
      <c r="N284" s="836"/>
      <c r="O284" s="48">
        <f>IF(t&lt;Tnet,'2022'!Resal+('2022'!Salim-'2022'!Resal)*(1-EXP(('2022'!Tnet-t)/('2022'!Tau_j))),Resal+(Salim-Resal)*(1-EXP((Tnet-t)/(Tau_j))))*Salcycl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5.3002063847948763E-5</v>
      </c>
      <c r="Q284" s="301">
        <f t="shared" si="106"/>
        <v>0.5</v>
      </c>
      <c r="R284" s="173">
        <f t="shared" si="107"/>
        <v>0.98836644790576467</v>
      </c>
      <c r="S284" s="802">
        <f t="shared" si="108"/>
        <v>0</v>
      </c>
      <c r="T284" s="172">
        <f t="shared" si="109"/>
        <v>6</v>
      </c>
      <c r="U284" s="247">
        <f t="shared" si="110"/>
        <v>0.98836644790576467</v>
      </c>
      <c r="V284" s="378">
        <f t="shared" si="111"/>
        <v>41.924670719845253</v>
      </c>
      <c r="W284" s="397">
        <f t="shared" si="112"/>
        <v>16.670561542105922</v>
      </c>
      <c r="X284" s="153">
        <f t="shared" si="113"/>
        <v>45196</v>
      </c>
      <c r="Y284" s="380">
        <f t="shared" si="114"/>
        <v>16.204359935235004</v>
      </c>
      <c r="Z284" s="380">
        <f t="shared" si="115"/>
        <v>16.354562247859587</v>
      </c>
      <c r="AA284" s="381">
        <f t="shared" si="116"/>
        <v>17.006722008614648</v>
      </c>
      <c r="AB284" s="193">
        <f t="shared" si="117"/>
        <v>45196</v>
      </c>
      <c r="AC284" s="420">
        <f>IF(OR(t&lt;Tnet,NoTnet),'2022'!Resal_s+('2022'!Salim-'2022'!Resal_s)*(1-EXP(('2022'!Tnet_s-t)/'2022'!Tau_j)),Resal_s+(Salim-Resal_s)*(1-EXP((Tnet_s-t)/Tau_j)))*Salcycl</f>
        <v>3.8347175924008943E-2</v>
      </c>
      <c r="AD284" s="227">
        <f>(INDEX(Models!$BJ284:$BT284,,AH284)*(1-AF284)+INDEX(Models!$BJ284:$BT284,,AH284+1)*AF284-ERP_i)*AE284*Ramure*Pc/MaxiM</f>
        <v>5.3002063847948763E-5</v>
      </c>
      <c r="AE284" s="301">
        <f t="shared" si="118"/>
        <v>0.5</v>
      </c>
      <c r="AF284" s="173">
        <f t="shared" si="119"/>
        <v>0.98836644790576467</v>
      </c>
      <c r="AG284" s="172">
        <f t="shared" si="120"/>
        <v>0</v>
      </c>
      <c r="AH284" s="172">
        <f t="shared" si="121"/>
        <v>6</v>
      </c>
      <c r="AI284" s="221">
        <f t="shared" si="122"/>
        <v>0.98836644790576467</v>
      </c>
      <c r="AJ284" s="261" t="b">
        <f t="shared" si="123"/>
        <v>0</v>
      </c>
      <c r="AK284" s="261" t="b">
        <f t="shared" si="124"/>
        <v>0</v>
      </c>
      <c r="AL284" s="261"/>
      <c r="AM284" s="261"/>
      <c r="AN284" s="75"/>
    </row>
    <row r="285" spans="1:40" s="6" customFormat="1" ht="11.25" x14ac:dyDescent="0.2">
      <c r="A285" s="56">
        <f t="shared" si="125"/>
        <v>45197</v>
      </c>
      <c r="B285" s="406">
        <f>'2022'!Wh/'2022'!Env_an*'2023'!Env_an</f>
        <v>19.044051716289733</v>
      </c>
      <c r="C285" s="385"/>
      <c r="D285" s="388">
        <f t="shared" si="103"/>
        <v>19.220838967738963</v>
      </c>
      <c r="E285" s="380">
        <f t="shared" si="101"/>
        <v>19.429574492271417</v>
      </c>
      <c r="F285" s="380">
        <f t="shared" si="104"/>
        <v>19.42982668362119</v>
      </c>
      <c r="G285" s="110">
        <f t="shared" si="102"/>
        <v>0.45860291197104674</v>
      </c>
      <c r="H285" s="409" t="b">
        <f>Wh_hp&gt;='2022'!Maxi_hp</f>
        <v>0</v>
      </c>
      <c r="I285" s="385">
        <f>IF(H285,Wh_hp,'2022'!Maxi_hp)</f>
        <v>19.430260578992954</v>
      </c>
      <c r="J285" s="85">
        <f>IF(H285,An,'2022'!An_max)</f>
        <v>2022</v>
      </c>
      <c r="K285" s="193">
        <f t="shared" si="105"/>
        <v>45197</v>
      </c>
      <c r="L285" s="143">
        <f>IF(t&lt;Tvie,1-EXP((T0-t)*PertePVj)+'2022'!Pspv,1-EXP((T0-t)*PertePVj)+Pspv)</f>
        <v>9.1976865185726675E-3</v>
      </c>
      <c r="M285" s="836"/>
      <c r="N285" s="836"/>
      <c r="O285" s="48">
        <f>IF(t&lt;Tnet,'2022'!Resal+('2022'!Salim-'2022'!Resal)*(1-EXP(('2022'!Tnet-t)/('2022'!Tau_j))),Resal+(Salim-Resal)*(1-EXP((Tnet-t)/(Tau_j))))*Salcycl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5.7278615730059003E-5</v>
      </c>
      <c r="Q285" s="301">
        <f t="shared" si="106"/>
        <v>0.5</v>
      </c>
      <c r="R285" s="173">
        <f t="shared" si="107"/>
        <v>0.98859012615505137</v>
      </c>
      <c r="S285" s="802">
        <f t="shared" si="108"/>
        <v>0</v>
      </c>
      <c r="T285" s="172">
        <f t="shared" si="109"/>
        <v>6</v>
      </c>
      <c r="U285" s="247">
        <f t="shared" si="110"/>
        <v>0.98859012615505137</v>
      </c>
      <c r="V285" s="378">
        <f t="shared" si="111"/>
        <v>41.524394144639061</v>
      </c>
      <c r="W285" s="397">
        <f t="shared" si="112"/>
        <v>19.044051716289733</v>
      </c>
      <c r="X285" s="153">
        <f t="shared" si="113"/>
        <v>45197</v>
      </c>
      <c r="Y285" s="380">
        <f t="shared" si="114"/>
        <v>18.512100535374682</v>
      </c>
      <c r="Z285" s="380">
        <f t="shared" si="115"/>
        <v>18.683949647158038</v>
      </c>
      <c r="AA285" s="381">
        <f t="shared" si="116"/>
        <v>19.429574492271417</v>
      </c>
      <c r="AB285" s="193">
        <f t="shared" si="117"/>
        <v>45197</v>
      </c>
      <c r="AC285" s="420">
        <f>IF(OR(t&lt;Tnet,NoTnet),'2022'!Resal_s+('2022'!Salim-'2022'!Resal_s)*(1-EXP(('2022'!Tnet_s-t)/'2022'!Tau_j)),Resal_s+(Salim-Resal_s)*(1-EXP((Tnet_s-t)/Tau_j)))*Salcycl</f>
        <v>3.8375768105985489E-2</v>
      </c>
      <c r="AD285" s="227">
        <f>(INDEX(Models!$BJ285:$BT285,,AH285)*(1-AF285)+INDEX(Models!$BJ285:$BT285,,AH285+1)*AF285-ERP_i)*AE285*Ramure*Pc/MaxiM</f>
        <v>5.7278615730059003E-5</v>
      </c>
      <c r="AE285" s="301">
        <f t="shared" si="118"/>
        <v>0.5</v>
      </c>
      <c r="AF285" s="173">
        <f t="shared" si="119"/>
        <v>0.98859012615505137</v>
      </c>
      <c r="AG285" s="172">
        <f t="shared" si="120"/>
        <v>0</v>
      </c>
      <c r="AH285" s="172">
        <f t="shared" si="121"/>
        <v>6</v>
      </c>
      <c r="AI285" s="221">
        <f t="shared" si="122"/>
        <v>0.98859012615505137</v>
      </c>
      <c r="AJ285" s="261" t="b">
        <f t="shared" si="123"/>
        <v>0</v>
      </c>
      <c r="AK285" s="261" t="b">
        <f t="shared" si="124"/>
        <v>0</v>
      </c>
      <c r="AL285" s="261"/>
      <c r="AM285" s="261"/>
      <c r="AN285" s="75"/>
    </row>
    <row r="286" spans="1:40" s="6" customFormat="1" ht="11.25" x14ac:dyDescent="0.2">
      <c r="A286" s="56">
        <f t="shared" si="125"/>
        <v>45198</v>
      </c>
      <c r="B286" s="406">
        <f>'2022'!Wh/'2022'!Env_an*'2023'!Env_an</f>
        <v>24.647365369890455</v>
      </c>
      <c r="C286" s="385"/>
      <c r="D286" s="388">
        <f t="shared" si="103"/>
        <v>24.876509108701519</v>
      </c>
      <c r="E286" s="380">
        <f t="shared" si="101"/>
        <v>25.148257061298239</v>
      </c>
      <c r="F286" s="380">
        <f t="shared" si="104"/>
        <v>25.148931047362389</v>
      </c>
      <c r="G286" s="110">
        <f t="shared" si="102"/>
        <v>0.59931273328702073</v>
      </c>
      <c r="H286" s="409" t="b">
        <f>Wh_hp&gt;='2022'!Maxi_hp</f>
        <v>0</v>
      </c>
      <c r="I286" s="385">
        <f>IF(H286,Wh_hp,'2022'!Maxi_hp)</f>
        <v>25.149385845472246</v>
      </c>
      <c r="J286" s="85">
        <f>IF(H286,An,'2022'!An_max)</f>
        <v>2022</v>
      </c>
      <c r="K286" s="193">
        <f t="shared" si="105"/>
        <v>45198</v>
      </c>
      <c r="L286" s="143">
        <f>IF(t&lt;Tvie,1-EXP((T0-t)*PertePVj)+'2022'!Pspv,1-EXP((T0-t)*PertePVj)+Pspv)</f>
        <v>9.2112497702063756E-3</v>
      </c>
      <c r="M286" s="836"/>
      <c r="N286" s="836"/>
      <c r="O286" s="48">
        <f>IF(t&lt;Tnet,'2022'!Resal+('2022'!Salim-'2022'!Resal)*(1-EXP(('2022'!Tnet-t)/('2022'!Tau_j))),Resal+(Salim-Resal)*(1-EXP((Tnet-t)/(Tau_j))))*Salcycl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6.2671925662036941E-5</v>
      </c>
      <c r="Q286" s="301">
        <f t="shared" si="106"/>
        <v>0.5</v>
      </c>
      <c r="R286" s="173">
        <f t="shared" si="107"/>
        <v>0.98880498856096155</v>
      </c>
      <c r="S286" s="802">
        <f t="shared" si="108"/>
        <v>0</v>
      </c>
      <c r="T286" s="172">
        <f t="shared" si="109"/>
        <v>6</v>
      </c>
      <c r="U286" s="247">
        <f t="shared" si="110"/>
        <v>0.98880498856096155</v>
      </c>
      <c r="V286" s="378">
        <f t="shared" si="111"/>
        <v>41.124574572905516</v>
      </c>
      <c r="W286" s="397">
        <f t="shared" si="112"/>
        <v>24.647365369890455</v>
      </c>
      <c r="X286" s="153">
        <f t="shared" si="113"/>
        <v>45198</v>
      </c>
      <c r="Y286" s="380">
        <f t="shared" si="114"/>
        <v>23.959717304856998</v>
      </c>
      <c r="Z286" s="380">
        <f t="shared" si="115"/>
        <v>24.182468058201128</v>
      </c>
      <c r="AA286" s="381">
        <f t="shared" si="116"/>
        <v>25.148257061298239</v>
      </c>
      <c r="AB286" s="193">
        <f t="shared" si="117"/>
        <v>45198</v>
      </c>
      <c r="AC286" s="420">
        <f>IF(OR(t&lt;Tnet,NoTnet),'2022'!Resal_s+('2022'!Salim-'2022'!Resal_s)*(1-EXP(('2022'!Tnet_s-t)/'2022'!Tau_j)),Resal_s+(Salim-Resal_s)*(1-EXP((Tnet_s-t)/Tau_j)))*Salcycl</f>
        <v>3.8403814655744432E-2</v>
      </c>
      <c r="AD286" s="227">
        <f>(INDEX(Models!$BJ286:$BT286,,AH286)*(1-AF286)+INDEX(Models!$BJ286:$BT286,,AH286+1)*AF286-ERP_i)*AE286*Ramure*Pc/MaxiM</f>
        <v>6.2671925662036941E-5</v>
      </c>
      <c r="AE286" s="301">
        <f t="shared" si="118"/>
        <v>0.5</v>
      </c>
      <c r="AF286" s="173">
        <f t="shared" si="119"/>
        <v>0.98880498856096155</v>
      </c>
      <c r="AG286" s="172">
        <f t="shared" si="120"/>
        <v>0</v>
      </c>
      <c r="AH286" s="172">
        <f t="shared" si="121"/>
        <v>6</v>
      </c>
      <c r="AI286" s="221">
        <f t="shared" si="122"/>
        <v>0.98880498856096155</v>
      </c>
      <c r="AJ286" s="261" t="b">
        <f t="shared" si="123"/>
        <v>0</v>
      </c>
      <c r="AK286" s="261" t="b">
        <f t="shared" si="124"/>
        <v>0</v>
      </c>
      <c r="AL286" s="261"/>
      <c r="AM286" s="261"/>
      <c r="AN286" s="75"/>
    </row>
    <row r="287" spans="1:40" s="6" customFormat="1" ht="11.25" x14ac:dyDescent="0.2">
      <c r="A287" s="56">
        <f t="shared" si="125"/>
        <v>45199</v>
      </c>
      <c r="B287" s="406">
        <f>'2022'!Wh/'2022'!Env_an*'2023'!Env_an</f>
        <v>26.430743612500731</v>
      </c>
      <c r="C287" s="385"/>
      <c r="D287" s="388">
        <f t="shared" si="103"/>
        <v>26.676832398438211</v>
      </c>
      <c r="E287" s="380">
        <f t="shared" si="101"/>
        <v>26.96994833802238</v>
      </c>
      <c r="F287" s="380">
        <f t="shared" si="104"/>
        <v>26.970878876557368</v>
      </c>
      <c r="G287" s="110">
        <f t="shared" si="102"/>
        <v>0.64896581826504041</v>
      </c>
      <c r="H287" s="409" t="b">
        <f>Wh_hp&gt;='2022'!Maxi_hp</f>
        <v>0</v>
      </c>
      <c r="I287" s="385">
        <f>IF(H287,Wh_hp,'2022'!Maxi_hp)</f>
        <v>26.97135071424043</v>
      </c>
      <c r="J287" s="85">
        <f>IF(H287,An,'2022'!An_max)</f>
        <v>2022</v>
      </c>
      <c r="K287" s="193">
        <f t="shared" si="105"/>
        <v>45199</v>
      </c>
      <c r="L287" s="143">
        <f>IF(t&lt;Tvie,1-EXP((T0-t)*PertePVj)+'2022'!Pspv,1-EXP((T0-t)*PertePVj)+Pspv)</f>
        <v>9.2248128361704929E-3</v>
      </c>
      <c r="M287" s="836"/>
      <c r="N287" s="836"/>
      <c r="O287" s="48">
        <f>IF(t&lt;Tnet,'2022'!Resal+('2022'!Salim-'2022'!Resal)*(1-EXP(('2022'!Tnet-t)/('2022'!Tau_j))),Resal+(Salim-Resal)*(1-EXP((Tnet-t)/(Tau_j))))*Salcycl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6.9203233455659841E-5</v>
      </c>
      <c r="Q287" s="301">
        <f t="shared" si="106"/>
        <v>0.5</v>
      </c>
      <c r="R287" s="173">
        <f t="shared" si="107"/>
        <v>0.98901137530377059</v>
      </c>
      <c r="S287" s="802">
        <f t="shared" si="108"/>
        <v>0</v>
      </c>
      <c r="T287" s="172">
        <f t="shared" si="109"/>
        <v>6</v>
      </c>
      <c r="U287" s="247">
        <f t="shared" si="110"/>
        <v>0.98901137530377059</v>
      </c>
      <c r="V287" s="378">
        <f t="shared" si="111"/>
        <v>40.726068534080163</v>
      </c>
      <c r="W287" s="397">
        <f t="shared" si="112"/>
        <v>26.430743612500731</v>
      </c>
      <c r="X287" s="153">
        <f t="shared" si="113"/>
        <v>45199</v>
      </c>
      <c r="Y287" s="380">
        <f t="shared" si="114"/>
        <v>25.694226769539814</v>
      </c>
      <c r="Z287" s="380">
        <f t="shared" si="115"/>
        <v>25.933458066397002</v>
      </c>
      <c r="AA287" s="381">
        <f t="shared" si="116"/>
        <v>26.96994833802238</v>
      </c>
      <c r="AB287" s="193">
        <f t="shared" si="117"/>
        <v>45199</v>
      </c>
      <c r="AC287" s="420">
        <f>IF(OR(t&lt;Tnet,NoTnet),'2022'!Resal_s+('2022'!Salim-'2022'!Resal_s)*(1-EXP(('2022'!Tnet_s-t)/'2022'!Tau_j)),Resal_s+(Salim-Resal_s)*(1-EXP((Tnet_s-t)/Tau_j)))*Salcycl</f>
        <v>3.843130356182882E-2</v>
      </c>
      <c r="AD287" s="227">
        <f>(INDEX(Models!$BJ287:$BT287,,AH287)*(1-AF287)+INDEX(Models!$BJ287:$BT287,,AH287+1)*AF287-ERP_i)*AE287*Ramure*Pc/MaxiM</f>
        <v>6.9203233455659841E-5</v>
      </c>
      <c r="AE287" s="301">
        <f t="shared" si="118"/>
        <v>0.5</v>
      </c>
      <c r="AF287" s="173">
        <f t="shared" si="119"/>
        <v>0.98901137530377059</v>
      </c>
      <c r="AG287" s="172">
        <f t="shared" si="120"/>
        <v>0</v>
      </c>
      <c r="AH287" s="172">
        <f t="shared" si="121"/>
        <v>6</v>
      </c>
      <c r="AI287" s="221">
        <f t="shared" si="122"/>
        <v>0.98901137530377059</v>
      </c>
      <c r="AJ287" s="261" t="b">
        <f t="shared" si="123"/>
        <v>0</v>
      </c>
      <c r="AK287" s="261" t="b">
        <f t="shared" si="124"/>
        <v>0</v>
      </c>
      <c r="AL287" s="261"/>
      <c r="AM287" s="261"/>
      <c r="AN287" s="75"/>
    </row>
    <row r="288" spans="1:40" s="6" customFormat="1" ht="11.25" x14ac:dyDescent="0.2">
      <c r="A288" s="56">
        <f t="shared" si="125"/>
        <v>45200</v>
      </c>
      <c r="B288" s="406">
        <f>'2022'!Wh/'2022'!Env_an*'2023'!Env_an</f>
        <v>36.074507460786791</v>
      </c>
      <c r="C288" s="385"/>
      <c r="D288" s="388">
        <f t="shared" si="103"/>
        <v>36.410884895621599</v>
      </c>
      <c r="E288" s="380">
        <f t="shared" si="101"/>
        <v>36.813268596372758</v>
      </c>
      <c r="F288" s="380">
        <f t="shared" si="104"/>
        <v>36.815672770409158</v>
      </c>
      <c r="G288" s="110">
        <f t="shared" si="102"/>
        <v>0.89447876931830905</v>
      </c>
      <c r="H288" s="409" t="b">
        <f>Wh_hp&gt;='2022'!Maxi_hp</f>
        <v>0</v>
      </c>
      <c r="I288" s="385">
        <f>IF(H288,Wh_hp,'2022'!Maxi_hp)</f>
        <v>36.815887882487736</v>
      </c>
      <c r="J288" s="85">
        <f>IF(H288,An,'2022'!An_max)</f>
        <v>2022</v>
      </c>
      <c r="K288" s="193">
        <f t="shared" si="105"/>
        <v>45200</v>
      </c>
      <c r="L288" s="143">
        <f>IF(t&lt;Tvie,1-EXP((T0-t)*PertePVj)+'2022'!Pspv,1-EXP((T0-t)*PertePVj)+Pspv)</f>
        <v>9.2383757164676839E-3</v>
      </c>
      <c r="M288" s="836"/>
      <c r="N288" s="836"/>
      <c r="O288" s="48">
        <f>IF(t&lt;Tnet,'2022'!Resal+('2022'!Salim-'2022'!Resal)*(1-EXP(('2022'!Tnet-t)/('2022'!Tau_j))),Resal+(Salim-Resal)*(1-EXP((Tnet-t)/(Tau_j))))*Salcycl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7.68930837153291E-5</v>
      </c>
      <c r="Q288" s="301">
        <f t="shared" si="106"/>
        <v>0.5</v>
      </c>
      <c r="R288" s="173">
        <f t="shared" si="107"/>
        <v>0.98920961400651874</v>
      </c>
      <c r="S288" s="802">
        <f t="shared" si="108"/>
        <v>0</v>
      </c>
      <c r="T288" s="172">
        <f t="shared" si="109"/>
        <v>6</v>
      </c>
      <c r="U288" s="247">
        <f t="shared" si="110"/>
        <v>0.98920961400651874</v>
      </c>
      <c r="V288" s="378">
        <f t="shared" si="111"/>
        <v>40.329732313900152</v>
      </c>
      <c r="W288" s="397">
        <f t="shared" si="112"/>
        <v>36.074507460786791</v>
      </c>
      <c r="X288" s="153">
        <f t="shared" si="113"/>
        <v>45200</v>
      </c>
      <c r="Y288" s="380">
        <f t="shared" si="114"/>
        <v>35.070480320273042</v>
      </c>
      <c r="Z288" s="380">
        <f t="shared" si="115"/>
        <v>35.397495684831561</v>
      </c>
      <c r="AA288" s="381">
        <f t="shared" si="116"/>
        <v>36.813268596372758</v>
      </c>
      <c r="AB288" s="193">
        <f t="shared" si="117"/>
        <v>45200</v>
      </c>
      <c r="AC288" s="420">
        <f>IF(OR(t&lt;Tnet,NoTnet),'2022'!Resal_s+('2022'!Salim-'2022'!Resal_s)*(1-EXP(('2022'!Tnet_s-t)/'2022'!Tau_j)),Resal_s+(Salim-Resal_s)*(1-EXP((Tnet_s-t)/Tau_j)))*Salcycl</f>
        <v>3.8458223502617607E-2</v>
      </c>
      <c r="AD288" s="227">
        <f>(INDEX(Models!$BJ288:$BT288,,AH288)*(1-AF288)+INDEX(Models!$BJ288:$BT288,,AH288+1)*AF288-ERP_i)*AE288*Ramure*Pc/MaxiM</f>
        <v>7.68930837153291E-5</v>
      </c>
      <c r="AE288" s="301">
        <f t="shared" si="118"/>
        <v>0.5</v>
      </c>
      <c r="AF288" s="173">
        <f t="shared" si="119"/>
        <v>0.98920961400651874</v>
      </c>
      <c r="AG288" s="172">
        <f t="shared" si="120"/>
        <v>0</v>
      </c>
      <c r="AH288" s="172">
        <f t="shared" si="121"/>
        <v>6</v>
      </c>
      <c r="AI288" s="221">
        <f t="shared" si="122"/>
        <v>0.98920961400651874</v>
      </c>
      <c r="AJ288" s="261" t="b">
        <f t="shared" si="123"/>
        <v>0</v>
      </c>
      <c r="AK288" s="261" t="b">
        <f t="shared" si="124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5"/>
        <v>45201</v>
      </c>
      <c r="B289" s="406">
        <f>'2022'!Wh/'2022'!Env_an*'2023'!Env_an</f>
        <v>37.515934765064259</v>
      </c>
      <c r="C289" s="385"/>
      <c r="D289" s="388">
        <f t="shared" si="103"/>
        <v>37.86627117382249</v>
      </c>
      <c r="E289" s="380">
        <f t="shared" si="101"/>
        <v>38.287134834936339</v>
      </c>
      <c r="F289" s="380">
        <f t="shared" si="104"/>
        <v>38.290134881324036</v>
      </c>
      <c r="G289" s="110">
        <f t="shared" si="102"/>
        <v>0.93945668664690718</v>
      </c>
      <c r="H289" s="409" t="b">
        <f>Wh_hp&gt;='2022'!Maxi_hp</f>
        <v>0</v>
      </c>
      <c r="I289" s="385">
        <f>IF(H289,Wh_hp,'2022'!Maxi_hp)</f>
        <v>38.290278052871017</v>
      </c>
      <c r="J289" s="85">
        <f>IF(H289,An,'2022'!An_max)</f>
        <v>2022</v>
      </c>
      <c r="K289" s="193">
        <f t="shared" si="105"/>
        <v>45201</v>
      </c>
      <c r="L289" s="143">
        <f>IF(t&lt;Tvie,1-EXP((T0-t)*PertePVj)+'2022'!Pspv,1-EXP((T0-t)*PertePVj)+Pspv)</f>
        <v>9.2519384111003911E-3</v>
      </c>
      <c r="M289" s="836"/>
      <c r="N289" s="836"/>
      <c r="O289" s="48">
        <f>IF(t&lt;Tnet,'2022'!Resal+('2022'!Salim-'2022'!Resal)*(1-EXP(('2022'!Tnet-t)/('2022'!Tau_j))),Resal+(Salim-Resal)*(1-EXP((Tnet-t)/(Tau_j))))*Salcycl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8.5767598083694068E-5</v>
      </c>
      <c r="Q289" s="301">
        <f t="shared" si="106"/>
        <v>0.5</v>
      </c>
      <c r="R289" s="173">
        <f t="shared" si="107"/>
        <v>0.98940002015367523</v>
      </c>
      <c r="S289" s="802">
        <f t="shared" si="108"/>
        <v>0</v>
      </c>
      <c r="T289" s="172">
        <f t="shared" si="109"/>
        <v>6</v>
      </c>
      <c r="U289" s="247">
        <f t="shared" si="110"/>
        <v>0.98940002015367523</v>
      </c>
      <c r="V289" s="378">
        <f t="shared" si="111"/>
        <v>39.933354046438353</v>
      </c>
      <c r="W289" s="397">
        <f t="shared" si="112"/>
        <v>37.515934765064259</v>
      </c>
      <c r="X289" s="153">
        <f t="shared" si="113"/>
        <v>45201</v>
      </c>
      <c r="Y289" s="380">
        <f t="shared" si="114"/>
        <v>36.473073327587954</v>
      </c>
      <c r="Z289" s="380">
        <f t="shared" si="115"/>
        <v>36.813671145714608</v>
      </c>
      <c r="AA289" s="381">
        <f t="shared" si="116"/>
        <v>38.287134834936339</v>
      </c>
      <c r="AB289" s="193">
        <f t="shared" si="117"/>
        <v>45201</v>
      </c>
      <c r="AC289" s="420">
        <f>IF(OR(t&lt;Tnet,NoTnet),'2022'!Resal_s+('2022'!Salim-'2022'!Resal_s)*(1-EXP(('2022'!Tnet_s-t)/'2022'!Tau_j)),Resal_s+(Salim-Resal_s)*(1-EXP((Tnet_s-t)/Tau_j)))*Salcycl</f>
        <v>3.8484563955337288E-2</v>
      </c>
      <c r="AD289" s="227">
        <f>(INDEX(Models!$BJ289:$BT289,,AH289)*(1-AF289)+INDEX(Models!$BJ289:$BT289,,AH289+1)*AF289-ERP_i)*AE289*Ramure*Pc/MaxiM</f>
        <v>8.5767598083694068E-5</v>
      </c>
      <c r="AE289" s="301">
        <f t="shared" si="118"/>
        <v>0.5</v>
      </c>
      <c r="AF289" s="173">
        <f t="shared" si="119"/>
        <v>0.98940002015367523</v>
      </c>
      <c r="AG289" s="172">
        <f t="shared" si="120"/>
        <v>0</v>
      </c>
      <c r="AH289" s="172">
        <f t="shared" si="121"/>
        <v>6</v>
      </c>
      <c r="AI289" s="221">
        <f t="shared" si="122"/>
        <v>0.98940002015367523</v>
      </c>
      <c r="AJ289" s="261" t="b">
        <f t="shared" si="123"/>
        <v>0</v>
      </c>
      <c r="AK289" s="261" t="b">
        <f t="shared" si="124"/>
        <v>0</v>
      </c>
      <c r="AL289" s="261"/>
      <c r="AM289" s="261"/>
      <c r="AN289" s="75"/>
    </row>
    <row r="290" spans="1:40" s="6" customFormat="1" ht="11.25" x14ac:dyDescent="0.2">
      <c r="A290" s="56">
        <f t="shared" si="125"/>
        <v>45202</v>
      </c>
      <c r="B290" s="406">
        <f>'2022'!Wh/'2022'!Env_an*'2023'!Env_an</f>
        <v>33.974079458368877</v>
      </c>
      <c r="C290" s="385"/>
      <c r="D290" s="388">
        <f t="shared" si="103"/>
        <v>34.291810257864022</v>
      </c>
      <c r="E290" s="380">
        <f t="shared" si="101"/>
        <v>34.675106840747397</v>
      </c>
      <c r="F290" s="380">
        <f t="shared" si="104"/>
        <v>34.677752356481648</v>
      </c>
      <c r="G290" s="110">
        <f t="shared" si="102"/>
        <v>0.85933725244557979</v>
      </c>
      <c r="H290" s="409" t="b">
        <f>Wh_hp&gt;='2022'!Maxi_hp</f>
        <v>0</v>
      </c>
      <c r="I290" s="385">
        <f>IF(H290,Wh_hp,'2022'!Maxi_hp)</f>
        <v>34.678087657716873</v>
      </c>
      <c r="J290" s="85">
        <f>IF(H290,An,'2022'!An_max)</f>
        <v>2022</v>
      </c>
      <c r="K290" s="193">
        <f t="shared" si="105"/>
        <v>45202</v>
      </c>
      <c r="L290" s="143">
        <f>IF(t&lt;Tvie,1-EXP((T0-t)*PertePVj)+'2022'!Pspv,1-EXP((T0-t)*PertePVj)+Pspv)</f>
        <v>9.265500920071168E-3</v>
      </c>
      <c r="M290" s="836"/>
      <c r="N290" s="836"/>
      <c r="O290" s="48">
        <f>IF(t&lt;Tnet,'2022'!Resal+('2022'!Salim-'2022'!Resal)*(1-EXP(('2022'!Tnet-t)/('2022'!Tau_j))),Resal+(Salim-Resal)*(1-EXP((Tnet-t)/(Tau_j))))*Salcycl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9.5470875066795886E-5</v>
      </c>
      <c r="Q290" s="301">
        <f t="shared" si="106"/>
        <v>0.5</v>
      </c>
      <c r="R290" s="173">
        <f t="shared" si="107"/>
        <v>0.98958289749946327</v>
      </c>
      <c r="S290" s="802">
        <f t="shared" si="108"/>
        <v>0</v>
      </c>
      <c r="T290" s="172">
        <f t="shared" si="109"/>
        <v>6</v>
      </c>
      <c r="U290" s="247">
        <f t="shared" si="110"/>
        <v>0.98958289749946327</v>
      </c>
      <c r="V290" s="378">
        <f t="shared" si="111"/>
        <v>39.534452405514692</v>
      </c>
      <c r="W290" s="397">
        <f t="shared" si="112"/>
        <v>33.974079458368877</v>
      </c>
      <c r="X290" s="153">
        <f t="shared" si="113"/>
        <v>45202</v>
      </c>
      <c r="Y290" s="380">
        <f t="shared" si="114"/>
        <v>33.030847988840137</v>
      </c>
      <c r="Z290" s="380">
        <f t="shared" si="115"/>
        <v>33.339757543030032</v>
      </c>
      <c r="AA290" s="381">
        <f t="shared" si="116"/>
        <v>34.675106840747397</v>
      </c>
      <c r="AB290" s="193">
        <f t="shared" si="117"/>
        <v>45202</v>
      </c>
      <c r="AC290" s="420">
        <f>IF(OR(t&lt;Tnet,NoTnet),'2022'!Resal_s+('2022'!Salim-'2022'!Resal_s)*(1-EXP(('2022'!Tnet_s-t)/'2022'!Tau_j)),Resal_s+(Salim-Resal_s)*(1-EXP((Tnet_s-t)/Tau_j)))*Salcycl</f>
        <v>3.851031530631565E-2</v>
      </c>
      <c r="AD290" s="227">
        <f>(INDEX(Models!$BJ290:$BT290,,AH290)*(1-AF290)+INDEX(Models!$BJ290:$BT290,,AH290+1)*AF290-ERP_i)*AE290*Ramure*Pc/MaxiM</f>
        <v>9.5470875066795886E-5</v>
      </c>
      <c r="AE290" s="301">
        <f t="shared" si="118"/>
        <v>0.5</v>
      </c>
      <c r="AF290" s="173">
        <f t="shared" si="119"/>
        <v>0.98958289749946327</v>
      </c>
      <c r="AG290" s="172">
        <f t="shared" si="120"/>
        <v>0</v>
      </c>
      <c r="AH290" s="172">
        <f t="shared" si="121"/>
        <v>6</v>
      </c>
      <c r="AI290" s="221">
        <f t="shared" si="122"/>
        <v>0.98958289749946327</v>
      </c>
      <c r="AJ290" s="261" t="b">
        <f t="shared" si="123"/>
        <v>0</v>
      </c>
      <c r="AK290" s="261" t="b">
        <f t="shared" si="124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5"/>
        <v>45203</v>
      </c>
      <c r="B291" s="406">
        <f>'2022'!Wh/'2022'!Env_an*'2023'!Env_an</f>
        <v>39.57058404558768</v>
      </c>
      <c r="C291" s="385"/>
      <c r="D291" s="388">
        <f t="shared" si="103"/>
        <v>39.941200975455587</v>
      </c>
      <c r="E291" s="380">
        <f t="shared" si="101"/>
        <v>40.390150329678583</v>
      </c>
      <c r="F291" s="380">
        <f t="shared" si="104"/>
        <v>40.394405046621046</v>
      </c>
      <c r="G291" s="110">
        <f t="shared" si="102"/>
        <v>1.0111694837797947</v>
      </c>
      <c r="H291" s="409" t="b">
        <f>Wh_hp&gt;='2022'!Maxi_hp</f>
        <v>1</v>
      </c>
      <c r="I291" s="385">
        <f>IF(H291,Wh_hp,'2022'!Maxi_hp)</f>
        <v>40.394405046621046</v>
      </c>
      <c r="J291" s="85">
        <f>IF(H291,An,'2022'!An_max)</f>
        <v>2023</v>
      </c>
      <c r="K291" s="193">
        <f t="shared" si="105"/>
        <v>45203</v>
      </c>
      <c r="L291" s="143">
        <f>IF(t&lt;Tvie,1-EXP((T0-t)*PertePVj)+'2022'!Pspv,1-EXP((T0-t)*PertePVj)+Pspv)</f>
        <v>9.2790632433826792E-3</v>
      </c>
      <c r="M291" s="836"/>
      <c r="N291" s="836"/>
      <c r="O291" s="48">
        <f>IF(t&lt;Tnet,'2022'!Resal+('2022'!Salim-'2022'!Resal)*(1-EXP(('2022'!Tnet-t)/('2022'!Tau_j))),Resal+(Salim-Resal)*(1-EXP((Tnet-t)/(Tau_j))))*Salcycl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1.0532936275583323E-4</v>
      </c>
      <c r="Q291" s="301">
        <f t="shared" si="106"/>
        <v>0.5</v>
      </c>
      <c r="R291" s="173">
        <f t="shared" si="107"/>
        <v>0.98975853846579365</v>
      </c>
      <c r="S291" s="802">
        <f t="shared" si="108"/>
        <v>0</v>
      </c>
      <c r="T291" s="172">
        <f t="shared" si="109"/>
        <v>6</v>
      </c>
      <c r="U291" s="247">
        <f t="shared" si="110"/>
        <v>0.98975853846579365</v>
      </c>
      <c r="V291" s="378">
        <f t="shared" si="111"/>
        <v>39.133483239299458</v>
      </c>
      <c r="W291" s="397">
        <f t="shared" si="112"/>
        <v>39.57058404558768</v>
      </c>
      <c r="X291" s="153">
        <f t="shared" si="113"/>
        <v>45203</v>
      </c>
      <c r="Y291" s="380">
        <f t="shared" si="114"/>
        <v>38.473356615365965</v>
      </c>
      <c r="Z291" s="380">
        <f t="shared" si="115"/>
        <v>38.833696945295721</v>
      </c>
      <c r="AA291" s="381">
        <f t="shared" si="116"/>
        <v>40.390150329678583</v>
      </c>
      <c r="AB291" s="193">
        <f t="shared" si="117"/>
        <v>45203</v>
      </c>
      <c r="AC291" s="420">
        <f>IF(OR(t&lt;Tnet,NoTnet),'2022'!Resal_s+('2022'!Salim-'2022'!Resal_s)*(1-EXP(('2022'!Tnet_s-t)/'2022'!Tau_j)),Resal_s+(Salim-Resal_s)*(1-EXP((Tnet_s-t)/Tau_j)))*Salcycl</f>
        <v>3.8535468961579611E-2</v>
      </c>
      <c r="AD291" s="227">
        <f>(INDEX(Models!$BJ291:$BT291,,AH291)*(1-AF291)+INDEX(Models!$BJ291:$BT291,,AH291+1)*AF291-ERP_i)*AE291*Ramure*Pc/MaxiM</f>
        <v>1.0532936275583323E-4</v>
      </c>
      <c r="AE291" s="301">
        <f t="shared" si="118"/>
        <v>0.5</v>
      </c>
      <c r="AF291" s="173">
        <f t="shared" si="119"/>
        <v>0.98975853846579365</v>
      </c>
      <c r="AG291" s="172">
        <f t="shared" si="120"/>
        <v>0</v>
      </c>
      <c r="AH291" s="172">
        <f t="shared" si="121"/>
        <v>6</v>
      </c>
      <c r="AI291" s="221">
        <f t="shared" si="122"/>
        <v>0.98975853846579365</v>
      </c>
      <c r="AJ291" s="261" t="b">
        <f t="shared" si="123"/>
        <v>0</v>
      </c>
      <c r="AK291" s="261" t="b">
        <f t="shared" si="124"/>
        <v>0</v>
      </c>
      <c r="AL291" s="261"/>
      <c r="AM291" s="261"/>
      <c r="AN291" s="75"/>
    </row>
    <row r="292" spans="1:40" s="6" customFormat="1" ht="11.25" x14ac:dyDescent="0.2">
      <c r="A292" s="56">
        <f t="shared" si="125"/>
        <v>45204</v>
      </c>
      <c r="B292" s="406">
        <f>'2022'!Wh/'2022'!Env_an*'2023'!Env_an</f>
        <v>39.829134599159651</v>
      </c>
      <c r="C292" s="385"/>
      <c r="D292" s="388">
        <f t="shared" si="103"/>
        <v>40.202723447454289</v>
      </c>
      <c r="E292" s="380">
        <f t="shared" si="101"/>
        <v>40.657124787045525</v>
      </c>
      <c r="F292" s="380">
        <f t="shared" si="104"/>
        <v>40.661814891212074</v>
      </c>
      <c r="G292" s="110">
        <f t="shared" si="102"/>
        <v>1.0283561778969417</v>
      </c>
      <c r="H292" s="409" t="b">
        <f>Wh_hp&gt;='2022'!Maxi_hp</f>
        <v>1</v>
      </c>
      <c r="I292" s="385">
        <f>IF(H292,Wh_hp,'2022'!Maxi_hp)</f>
        <v>40.661814891212074</v>
      </c>
      <c r="J292" s="85">
        <f>IF(H292,An,'2022'!An_max)</f>
        <v>2023</v>
      </c>
      <c r="K292" s="193">
        <f t="shared" si="105"/>
        <v>45204</v>
      </c>
      <c r="L292" s="143">
        <f>IF(t&lt;Tvie,1-EXP((T0-t)*PertePVj)+'2022'!Pspv,1-EXP((T0-t)*PertePVj)+Pspv)</f>
        <v>9.2926253810373671E-3</v>
      </c>
      <c r="M292" s="836"/>
      <c r="N292" s="836"/>
      <c r="O292" s="48">
        <f>IF(t&lt;Tnet,'2022'!Resal+('2022'!Salim-'2022'!Resal)*(1-EXP(('2022'!Tnet-t)/('2022'!Tau_j))),Resal+(Salim-Resal)*(1-EXP((Tnet-t)/(Tau_j))))*Salcycl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1.1534419157380924E-4</v>
      </c>
      <c r="Q292" s="301">
        <f t="shared" si="106"/>
        <v>0.5</v>
      </c>
      <c r="R292" s="173">
        <f t="shared" si="107"/>
        <v>0.98992722452977544</v>
      </c>
      <c r="S292" s="802">
        <f t="shared" si="108"/>
        <v>0</v>
      </c>
      <c r="T292" s="172">
        <f t="shared" si="109"/>
        <v>6</v>
      </c>
      <c r="U292" s="247">
        <f t="shared" si="110"/>
        <v>0.98992722452977544</v>
      </c>
      <c r="V292" s="378">
        <f t="shared" si="111"/>
        <v>38.730875017071355</v>
      </c>
      <c r="W292" s="397">
        <f t="shared" si="112"/>
        <v>39.829134599159651</v>
      </c>
      <c r="X292" s="153">
        <f t="shared" si="113"/>
        <v>45204</v>
      </c>
      <c r="Y292" s="380">
        <f t="shared" si="114"/>
        <v>38.726142331120357</v>
      </c>
      <c r="Z292" s="380">
        <f t="shared" si="115"/>
        <v>39.089385345511204</v>
      </c>
      <c r="AA292" s="381">
        <f t="shared" si="116"/>
        <v>40.657124787045525</v>
      </c>
      <c r="AB292" s="193">
        <f t="shared" si="117"/>
        <v>45204</v>
      </c>
      <c r="AC292" s="420">
        <f>IF(OR(t&lt;Tnet,NoTnet),'2022'!Resal_s+('2022'!Salim-'2022'!Resal_s)*(1-EXP(('2022'!Tnet_s-t)/'2022'!Tau_j)),Resal_s+(Salim-Resal_s)*(1-EXP((Tnet_s-t)/Tau_j)))*Salcycl</f>
        <v>3.8560017456862807E-2</v>
      </c>
      <c r="AD292" s="227">
        <f>(INDEX(Models!$BJ292:$BT292,,AH292)*(1-AF292)+INDEX(Models!$BJ292:$BT292,,AH292+1)*AF292-ERP_i)*AE292*Ramure*Pc/MaxiM</f>
        <v>1.1534419157380924E-4</v>
      </c>
      <c r="AE292" s="301">
        <f t="shared" si="118"/>
        <v>0.5</v>
      </c>
      <c r="AF292" s="173">
        <f t="shared" si="119"/>
        <v>0.98992722452977544</v>
      </c>
      <c r="AG292" s="172">
        <f t="shared" si="120"/>
        <v>0</v>
      </c>
      <c r="AH292" s="172">
        <f t="shared" si="121"/>
        <v>6</v>
      </c>
      <c r="AI292" s="221">
        <f t="shared" si="122"/>
        <v>0.98992722452977544</v>
      </c>
      <c r="AJ292" s="261" t="b">
        <f t="shared" si="123"/>
        <v>0</v>
      </c>
      <c r="AK292" s="261" t="b">
        <f t="shared" si="124"/>
        <v>0</v>
      </c>
      <c r="AL292" s="261"/>
      <c r="AM292" s="261"/>
      <c r="AN292" s="75"/>
    </row>
    <row r="293" spans="1:40" s="6" customFormat="1" ht="11.25" x14ac:dyDescent="0.2">
      <c r="A293" s="56">
        <f t="shared" si="125"/>
        <v>45205</v>
      </c>
      <c r="B293" s="406">
        <f>'2022'!Wh/'2022'!Env_an*'2023'!Env_an</f>
        <v>15.963724256581735</v>
      </c>
      <c r="C293" s="385"/>
      <c r="D293" s="388">
        <f t="shared" si="103"/>
        <v>16.113681192382895</v>
      </c>
      <c r="E293" s="380">
        <f t="shared" si="101"/>
        <v>16.296812734954113</v>
      </c>
      <c r="F293" s="380">
        <f t="shared" si="104"/>
        <v>16.297153212231638</v>
      </c>
      <c r="G293" s="110">
        <f t="shared" si="102"/>
        <v>0.41646960841881409</v>
      </c>
      <c r="H293" s="409" t="b">
        <f>Wh_hp&gt;='2022'!Maxi_hp</f>
        <v>0</v>
      </c>
      <c r="I293" s="385">
        <f>IF(H293,Wh_hp,'2022'!Maxi_hp)</f>
        <v>16.298012203209971</v>
      </c>
      <c r="J293" s="85">
        <f>IF(H293,An,'2022'!An_max)</f>
        <v>2022</v>
      </c>
      <c r="K293" s="193">
        <f t="shared" si="105"/>
        <v>45205</v>
      </c>
      <c r="L293" s="143">
        <f>IF(t&lt;Tvie,1-EXP((T0-t)*PertePVj)+'2022'!Pspv,1-EXP((T0-t)*PertePVj)+Pspv)</f>
        <v>9.3061873330376743E-3</v>
      </c>
      <c r="M293" s="836"/>
      <c r="N293" s="836"/>
      <c r="O293" s="48">
        <f>IF(t&lt;Tnet,'2022'!Resal+('2022'!Salim-'2022'!Resal)*(1-EXP(('2022'!Tnet-t)/('2022'!Tau_j))),Resal+(Salim-Resal)*(1-EXP((Tnet-t)/(Tau_j))))*Salcycl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1.2551607342865299E-4</v>
      </c>
      <c r="Q293" s="301">
        <f t="shared" si="106"/>
        <v>0.5</v>
      </c>
      <c r="R293" s="173">
        <f t="shared" si="107"/>
        <v>0.99008922660081455</v>
      </c>
      <c r="S293" s="802">
        <f t="shared" si="108"/>
        <v>0</v>
      </c>
      <c r="T293" s="172">
        <f t="shared" si="109"/>
        <v>6</v>
      </c>
      <c r="U293" s="247">
        <f t="shared" si="110"/>
        <v>0.99008922660081455</v>
      </c>
      <c r="V293" s="378">
        <f t="shared" si="111"/>
        <v>38.327056059725194</v>
      </c>
      <c r="W293" s="397">
        <f t="shared" si="112"/>
        <v>15.963724256581735</v>
      </c>
      <c r="X293" s="153">
        <f t="shared" si="113"/>
        <v>45205</v>
      </c>
      <c r="Y293" s="380">
        <f t="shared" si="114"/>
        <v>15.522207749125077</v>
      </c>
      <c r="Z293" s="380">
        <f t="shared" si="115"/>
        <v>15.668017252817059</v>
      </c>
      <c r="AA293" s="381">
        <f t="shared" si="116"/>
        <v>16.296812734954113</v>
      </c>
      <c r="AB293" s="193">
        <f t="shared" si="117"/>
        <v>45205</v>
      </c>
      <c r="AC293" s="420">
        <f>IF(OR(t&lt;Tnet,NoTnet),'2022'!Resal_s+('2022'!Salim-'2022'!Resal_s)*(1-EXP(('2022'!Tnet_s-t)/'2022'!Tau_j)),Resal_s+(Salim-Resal_s)*(1-EXP((Tnet_s-t)/Tau_j)))*Salcycl</f>
        <v>3.8583954566059765E-2</v>
      </c>
      <c r="AD293" s="227">
        <f>(INDEX(Models!$BJ293:$BT293,,AH293)*(1-AF293)+INDEX(Models!$BJ293:$BT293,,AH293+1)*AF293-ERP_i)*AE293*Ramure*Pc/MaxiM</f>
        <v>1.2551607342865299E-4</v>
      </c>
      <c r="AE293" s="301">
        <f t="shared" si="118"/>
        <v>0.5</v>
      </c>
      <c r="AF293" s="173">
        <f t="shared" si="119"/>
        <v>0.99008922660081455</v>
      </c>
      <c r="AG293" s="172">
        <f t="shared" si="120"/>
        <v>0</v>
      </c>
      <c r="AH293" s="172">
        <f t="shared" si="121"/>
        <v>6</v>
      </c>
      <c r="AI293" s="221">
        <f t="shared" si="122"/>
        <v>0.99008922660081455</v>
      </c>
      <c r="AJ293" s="261" t="b">
        <f t="shared" si="123"/>
        <v>0</v>
      </c>
      <c r="AK293" s="261" t="b">
        <f t="shared" si="124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5"/>
        <v>45206</v>
      </c>
      <c r="B294" s="406">
        <f>'2022'!Wh/'2022'!Env_an*'2023'!Env_an</f>
        <v>30.662818211587421</v>
      </c>
      <c r="C294" s="385"/>
      <c r="D294" s="388">
        <f t="shared" si="103"/>
        <v>30.951276341394998</v>
      </c>
      <c r="E294" s="380">
        <f t="shared" si="101"/>
        <v>31.304954092879555</v>
      </c>
      <c r="F294" s="380">
        <f t="shared" si="104"/>
        <v>31.308044032640233</v>
      </c>
      <c r="G294" s="110">
        <f t="shared" si="102"/>
        <v>0.80853624410325298</v>
      </c>
      <c r="H294" s="409" t="b">
        <f>Wh_hp&gt;='2022'!Maxi_hp</f>
        <v>0</v>
      </c>
      <c r="I294" s="385">
        <f>IF(H294,Wh_hp,'2022'!Maxi_hp)</f>
        <v>31.308629885145589</v>
      </c>
      <c r="J294" s="85">
        <f>IF(H294,An,'2022'!An_max)</f>
        <v>2022</v>
      </c>
      <c r="K294" s="193">
        <f t="shared" si="105"/>
        <v>45206</v>
      </c>
      <c r="L294" s="143">
        <f>IF(t&lt;Tvie,1-EXP((T0-t)*PertePVj)+'2022'!Pspv,1-EXP((T0-t)*PertePVj)+Pspv)</f>
        <v>9.3197490993863763E-3</v>
      </c>
      <c r="M294" s="836"/>
      <c r="N294" s="836"/>
      <c r="O294" s="48">
        <f>IF(t&lt;Tnet,'2022'!Resal+('2022'!Salim-'2022'!Resal)*(1-EXP(('2022'!Tnet-t)/('2022'!Tau_j))),Resal+(Salim-Resal)*(1-EXP((Tnet-t)/(Tau_j))))*Salcycl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1.3584527918069061E-4</v>
      </c>
      <c r="Q294" s="301">
        <f t="shared" si="106"/>
        <v>0.5</v>
      </c>
      <c r="R294" s="173">
        <f t="shared" si="107"/>
        <v>0.99024480538733739</v>
      </c>
      <c r="S294" s="802">
        <f t="shared" si="108"/>
        <v>0</v>
      </c>
      <c r="T294" s="172">
        <f t="shared" si="109"/>
        <v>6</v>
      </c>
      <c r="U294" s="247">
        <f t="shared" si="110"/>
        <v>0.99024480538733739</v>
      </c>
      <c r="V294" s="378">
        <f t="shared" si="111"/>
        <v>37.922454538091188</v>
      </c>
      <c r="W294" s="397">
        <f t="shared" si="112"/>
        <v>30.662818211587421</v>
      </c>
      <c r="X294" s="153">
        <f t="shared" si="113"/>
        <v>45206</v>
      </c>
      <c r="Y294" s="380">
        <f t="shared" si="114"/>
        <v>29.815864630189463</v>
      </c>
      <c r="Z294" s="380">
        <f t="shared" si="115"/>
        <v>30.096355108607721</v>
      </c>
      <c r="AA294" s="381">
        <f t="shared" si="116"/>
        <v>31.304954092879555</v>
      </c>
      <c r="AB294" s="193">
        <f t="shared" si="117"/>
        <v>45206</v>
      </c>
      <c r="AC294" s="420">
        <f>IF(OR(t&lt;Tnet,NoTnet),'2022'!Resal_s+('2022'!Salim-'2022'!Resal_s)*(1-EXP(('2022'!Tnet_s-t)/'2022'!Tau_j)),Resal_s+(Salim-Resal_s)*(1-EXP((Tnet_s-t)/Tau_j)))*Salcycl</f>
        <v>3.8607275407145029E-2</v>
      </c>
      <c r="AD294" s="227">
        <f>(INDEX(Models!$BJ294:$BT294,,AH294)*(1-AF294)+INDEX(Models!$BJ294:$BT294,,AH294+1)*AF294-ERP_i)*AE294*Ramure*Pc/MaxiM</f>
        <v>1.3584527918069061E-4</v>
      </c>
      <c r="AE294" s="301">
        <f t="shared" si="118"/>
        <v>0.5</v>
      </c>
      <c r="AF294" s="173">
        <f t="shared" si="119"/>
        <v>0.99024480538733739</v>
      </c>
      <c r="AG294" s="172">
        <f t="shared" si="120"/>
        <v>0</v>
      </c>
      <c r="AH294" s="172">
        <f t="shared" si="121"/>
        <v>6</v>
      </c>
      <c r="AI294" s="221">
        <f t="shared" si="122"/>
        <v>0.99024480538733739</v>
      </c>
      <c r="AJ294" s="261" t="b">
        <f t="shared" si="123"/>
        <v>0</v>
      </c>
      <c r="AK294" s="261" t="b">
        <f t="shared" si="124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5"/>
        <v>45207</v>
      </c>
      <c r="B295" s="406">
        <f>'2022'!Wh/'2022'!Env_an*'2023'!Env_an</f>
        <v>15.506967252872917</v>
      </c>
      <c r="C295" s="385"/>
      <c r="D295" s="388">
        <f t="shared" si="103"/>
        <v>15.653062144966579</v>
      </c>
      <c r="E295" s="380">
        <f t="shared" si="101"/>
        <v>15.832893740000994</v>
      </c>
      <c r="F295" s="380">
        <f t="shared" si="104"/>
        <v>15.833268834990157</v>
      </c>
      <c r="G295" s="110">
        <f t="shared" si="102"/>
        <v>0.4132755659191848</v>
      </c>
      <c r="H295" s="409" t="b">
        <f>Wh_hp&gt;='2022'!Maxi_hp</f>
        <v>0</v>
      </c>
      <c r="I295" s="385">
        <f>IF(H295,Wh_hp,'2022'!Maxi_hp)</f>
        <v>15.834246656032258</v>
      </c>
      <c r="J295" s="85">
        <f>IF(H295,An,'2022'!An_max)</f>
        <v>2022</v>
      </c>
      <c r="K295" s="193">
        <f t="shared" si="105"/>
        <v>45207</v>
      </c>
      <c r="L295" s="143">
        <f>IF(t&lt;Tvie,1-EXP((T0-t)*PertePVj)+'2022'!Pspv,1-EXP((T0-t)*PertePVj)+Pspv)</f>
        <v>9.3333106800858046E-3</v>
      </c>
      <c r="M295" s="836"/>
      <c r="N295" s="836"/>
      <c r="O295" s="48">
        <f>IF(t&lt;Tnet,'2022'!Resal+('2022'!Salim-'2022'!Resal)*(1-EXP(('2022'!Tnet-t)/('2022'!Tau_j))),Resal+(Salim-Resal)*(1-EXP((Tnet-t)/(Tau_j))))*Salcycl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1.4633161577840473E-4</v>
      </c>
      <c r="Q295" s="301">
        <f t="shared" si="106"/>
        <v>0.5</v>
      </c>
      <c r="R295" s="173">
        <f t="shared" si="107"/>
        <v>0.99039421175319853</v>
      </c>
      <c r="S295" s="802">
        <f t="shared" si="108"/>
        <v>0</v>
      </c>
      <c r="T295" s="172">
        <f t="shared" si="109"/>
        <v>6</v>
      </c>
      <c r="U295" s="247">
        <f t="shared" si="110"/>
        <v>0.99039421175319853</v>
      </c>
      <c r="V295" s="378">
        <f t="shared" si="111"/>
        <v>37.517498472388567</v>
      </c>
      <c r="W295" s="397">
        <f t="shared" si="112"/>
        <v>15.506967252872917</v>
      </c>
      <c r="X295" s="153">
        <f t="shared" si="113"/>
        <v>45207</v>
      </c>
      <c r="Y295" s="380">
        <f t="shared" si="114"/>
        <v>15.079204589692228</v>
      </c>
      <c r="Z295" s="380">
        <f t="shared" si="115"/>
        <v>15.221269426192171</v>
      </c>
      <c r="AA295" s="381">
        <f t="shared" si="116"/>
        <v>15.832893740000994</v>
      </c>
      <c r="AB295" s="193">
        <f t="shared" si="117"/>
        <v>45207</v>
      </c>
      <c r="AC295" s="420">
        <f>IF(OR(t&lt;Tnet,NoTnet),'2022'!Resal_s+('2022'!Salim-'2022'!Resal_s)*(1-EXP(('2022'!Tnet_s-t)/'2022'!Tau_j)),Resal_s+(Salim-Resal_s)*(1-EXP((Tnet_s-t)/Tau_j)))*Salcycl</f>
        <v>3.8629976544564668E-2</v>
      </c>
      <c r="AD295" s="227">
        <f>(INDEX(Models!$BJ295:$BT295,,AH295)*(1-AF295)+INDEX(Models!$BJ295:$BT295,,AH295+1)*AF295-ERP_i)*AE295*Ramure*Pc/MaxiM</f>
        <v>1.4633161577840473E-4</v>
      </c>
      <c r="AE295" s="301">
        <f t="shared" si="118"/>
        <v>0.5</v>
      </c>
      <c r="AF295" s="173">
        <f t="shared" si="119"/>
        <v>0.99039421175319853</v>
      </c>
      <c r="AG295" s="172">
        <f t="shared" si="120"/>
        <v>0</v>
      </c>
      <c r="AH295" s="172">
        <f t="shared" si="121"/>
        <v>6</v>
      </c>
      <c r="AI295" s="221">
        <f t="shared" si="122"/>
        <v>0.99039421175319853</v>
      </c>
      <c r="AJ295" s="261" t="b">
        <f t="shared" si="123"/>
        <v>0</v>
      </c>
      <c r="AK295" s="261" t="b">
        <f t="shared" si="124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5"/>
        <v>45208</v>
      </c>
      <c r="B296" s="406">
        <f>'2022'!Wh/'2022'!Env_an*'2023'!Env_an</f>
        <v>36.213071917908657</v>
      </c>
      <c r="C296" s="385"/>
      <c r="D296" s="388">
        <f t="shared" si="103"/>
        <v>36.554744437909179</v>
      </c>
      <c r="E296" s="380">
        <f t="shared" si="101"/>
        <v>36.976950886642655</v>
      </c>
      <c r="F296" s="380">
        <f t="shared" si="104"/>
        <v>36.982545746212622</v>
      </c>
      <c r="G296" s="110">
        <f t="shared" si="102"/>
        <v>0.97575622459456635</v>
      </c>
      <c r="H296" s="409" t="b">
        <f>Wh_hp&gt;='2022'!Maxi_hp</f>
        <v>0</v>
      </c>
      <c r="I296" s="385">
        <f>IF(H296,Wh_hp,'2022'!Maxi_hp)</f>
        <v>36.982646782683823</v>
      </c>
      <c r="J296" s="85">
        <f>IF(H296,An,'2022'!An_max)</f>
        <v>2022</v>
      </c>
      <c r="K296" s="193">
        <f t="shared" si="105"/>
        <v>45208</v>
      </c>
      <c r="L296" s="143">
        <f>IF(t&lt;Tvie,1-EXP((T0-t)*PertePVj)+'2022'!Pspv,1-EXP((T0-t)*PertePVj)+Pspv)</f>
        <v>9.3468720751386236E-3</v>
      </c>
      <c r="M296" s="836"/>
      <c r="N296" s="836"/>
      <c r="O296" s="48">
        <f>IF(t&lt;Tnet,'2022'!Resal+('2022'!Salim-'2022'!Resal)*(1-EXP(('2022'!Tnet-t)/('2022'!Tau_j))),Resal+(Salim-Resal)*(1-EXP((Tnet-t)/(Tau_j))))*Salcycl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1.5671009324057705E-4</v>
      </c>
      <c r="Q296" s="301">
        <f t="shared" si="106"/>
        <v>0.5</v>
      </c>
      <c r="R296" s="173">
        <f t="shared" si="107"/>
        <v>0.99053768706386114</v>
      </c>
      <c r="S296" s="802">
        <f t="shared" si="108"/>
        <v>0</v>
      </c>
      <c r="T296" s="172">
        <f t="shared" si="109"/>
        <v>6</v>
      </c>
      <c r="U296" s="247">
        <f t="shared" si="110"/>
        <v>0.99053768706386114</v>
      </c>
      <c r="V296" s="378">
        <f t="shared" si="111"/>
        <v>37.112625543333458</v>
      </c>
      <c r="W296" s="397">
        <f t="shared" si="112"/>
        <v>36.213071917908657</v>
      </c>
      <c r="X296" s="153">
        <f t="shared" si="113"/>
        <v>45208</v>
      </c>
      <c r="Y296" s="380">
        <f t="shared" si="114"/>
        <v>35.215455755764793</v>
      </c>
      <c r="Z296" s="380">
        <f t="shared" si="115"/>
        <v>35.54771570704191</v>
      </c>
      <c r="AA296" s="381">
        <f t="shared" si="116"/>
        <v>36.976950886642655</v>
      </c>
      <c r="AB296" s="193">
        <f t="shared" si="117"/>
        <v>45208</v>
      </c>
      <c r="AC296" s="420">
        <f>IF(OR(t&lt;Tnet,NoTnet),'2022'!Resal_s+('2022'!Salim-'2022'!Resal_s)*(1-EXP(('2022'!Tnet_s-t)/'2022'!Tau_j)),Resal_s+(Salim-Resal_s)*(1-EXP((Tnet_s-t)/Tau_j)))*Salcycl</f>
        <v>3.865205608710786E-2</v>
      </c>
      <c r="AD296" s="227">
        <f>(INDEX(Models!$BJ296:$BT296,,AH296)*(1-AF296)+INDEX(Models!$BJ296:$BT296,,AH296+1)*AF296-ERP_i)*AE296*Ramure*Pc/MaxiM</f>
        <v>1.5671009324057705E-4</v>
      </c>
      <c r="AE296" s="301">
        <f t="shared" si="118"/>
        <v>0.5</v>
      </c>
      <c r="AF296" s="173">
        <f t="shared" si="119"/>
        <v>0.99053768706386114</v>
      </c>
      <c r="AG296" s="172">
        <f t="shared" si="120"/>
        <v>0</v>
      </c>
      <c r="AH296" s="172">
        <f t="shared" si="121"/>
        <v>6</v>
      </c>
      <c r="AI296" s="221">
        <f t="shared" si="122"/>
        <v>0.99053768706386114</v>
      </c>
      <c r="AJ296" s="261" t="b">
        <f t="shared" si="123"/>
        <v>0</v>
      </c>
      <c r="AK296" s="261" t="b">
        <f t="shared" si="124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5"/>
        <v>45209</v>
      </c>
      <c r="B297" s="406">
        <f>'2022'!Wh/'2022'!Env_an*'2023'!Env_an</f>
        <v>31.70608119057178</v>
      </c>
      <c r="C297" s="385"/>
      <c r="D297" s="388">
        <f t="shared" si="103"/>
        <v>32.005668111658316</v>
      </c>
      <c r="E297" s="380">
        <f t="shared" ref="E297:E360" si="126">Wh_pvt/(1-Psa)</f>
        <v>32.377288521452783</v>
      </c>
      <c r="F297" s="380">
        <f t="shared" si="104"/>
        <v>32.381631745614307</v>
      </c>
      <c r="G297" s="110">
        <f t="shared" ref="G297:G360" si="127">+Wh_hp/MaxiM</f>
        <v>0.86370306517523021</v>
      </c>
      <c r="H297" s="409" t="b">
        <f>Wh_hp&gt;='2022'!Maxi_hp</f>
        <v>0</v>
      </c>
      <c r="I297" s="385">
        <f>IF(H297,Wh_hp,'2022'!Maxi_hp)</f>
        <v>32.382160198719454</v>
      </c>
      <c r="J297" s="85">
        <f>IF(H297,An,'2022'!An_max)</f>
        <v>2022</v>
      </c>
      <c r="K297" s="193">
        <f t="shared" si="105"/>
        <v>45209</v>
      </c>
      <c r="L297" s="143">
        <f>IF(t&lt;Tvie,1-EXP((T0-t)*PertePVj)+'2022'!Pspv,1-EXP((T0-t)*PertePVj)+Pspv)</f>
        <v>9.360433284547276E-3</v>
      </c>
      <c r="M297" s="836"/>
      <c r="N297" s="836"/>
      <c r="O297" s="48">
        <f>IF(t&lt;Tnet,'2022'!Resal+('2022'!Salim-'2022'!Resal)*(1-EXP(('2022'!Tnet-t)/('2022'!Tau_j))),Resal+(Salim-Resal)*(1-EXP((Tnet-t)/(Tau_j))))*Salcycl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1.6654806121328445E-4</v>
      </c>
      <c r="Q297" s="301">
        <f t="shared" si="106"/>
        <v>0.5</v>
      </c>
      <c r="R297" s="173">
        <f t="shared" si="107"/>
        <v>0.99067546352245217</v>
      </c>
      <c r="S297" s="802">
        <f t="shared" si="108"/>
        <v>0</v>
      </c>
      <c r="T297" s="172">
        <f t="shared" si="109"/>
        <v>6</v>
      </c>
      <c r="U297" s="247">
        <f t="shared" si="110"/>
        <v>0.99067546352245217</v>
      </c>
      <c r="V297" s="378">
        <f t="shared" si="111"/>
        <v>36.708278990588916</v>
      </c>
      <c r="W297" s="397">
        <f t="shared" si="112"/>
        <v>31.70608119057178</v>
      </c>
      <c r="X297" s="153">
        <f t="shared" si="113"/>
        <v>45209</v>
      </c>
      <c r="Y297" s="380">
        <f t="shared" si="114"/>
        <v>30.833800164334477</v>
      </c>
      <c r="Z297" s="380">
        <f t="shared" si="115"/>
        <v>31.125145007650449</v>
      </c>
      <c r="AA297" s="381">
        <f t="shared" si="116"/>
        <v>32.377288521452783</v>
      </c>
      <c r="AB297" s="193">
        <f t="shared" si="117"/>
        <v>45209</v>
      </c>
      <c r="AC297" s="420">
        <f>IF(OR(t&lt;Tnet,NoTnet),'2022'!Resal_s+('2022'!Salim-'2022'!Resal_s)*(1-EXP(('2022'!Tnet_s-t)/'2022'!Tau_j)),Resal_s+(Salim-Resal_s)*(1-EXP((Tnet_s-t)/Tau_j)))*Salcycl</f>
        <v>3.8673513780274726E-2</v>
      </c>
      <c r="AD297" s="227">
        <f>(INDEX(Models!$BJ297:$BT297,,AH297)*(1-AF297)+INDEX(Models!$BJ297:$BT297,,AH297+1)*AF297-ERP_i)*AE297*Ramure*Pc/MaxiM</f>
        <v>1.6654806121328445E-4</v>
      </c>
      <c r="AE297" s="301">
        <f t="shared" si="118"/>
        <v>0.5</v>
      </c>
      <c r="AF297" s="173">
        <f t="shared" si="119"/>
        <v>0.99067546352245217</v>
      </c>
      <c r="AG297" s="172">
        <f t="shared" si="120"/>
        <v>0</v>
      </c>
      <c r="AH297" s="172">
        <f t="shared" si="121"/>
        <v>6</v>
      </c>
      <c r="AI297" s="221">
        <f t="shared" si="122"/>
        <v>0.99067546352245217</v>
      </c>
      <c r="AJ297" s="261" t="b">
        <f t="shared" si="123"/>
        <v>0</v>
      </c>
      <c r="AK297" s="261" t="b">
        <f t="shared" si="124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5"/>
        <v>45210</v>
      </c>
      <c r="B298" s="406">
        <f>'2022'!Wh/'2022'!Env_an*'2023'!Env_an</f>
        <v>25.499242510141233</v>
      </c>
      <c r="C298" s="385"/>
      <c r="D298" s="388">
        <f t="shared" si="103"/>
        <v>25.740534130574208</v>
      </c>
      <c r="E298" s="380">
        <f t="shared" si="126"/>
        <v>26.040975075247914</v>
      </c>
      <c r="F298" s="380">
        <f t="shared" si="104"/>
        <v>26.043607245498681</v>
      </c>
      <c r="G298" s="110">
        <f t="shared" si="127"/>
        <v>0.70231141637277184</v>
      </c>
      <c r="H298" s="409" t="b">
        <f>Wh_hp&gt;='2022'!Maxi_hp</f>
        <v>0</v>
      </c>
      <c r="I298" s="385">
        <f>IF(H298,Wh_hp,'2022'!Maxi_hp)</f>
        <v>26.044587044663935</v>
      </c>
      <c r="J298" s="85">
        <f>IF(H298,An,'2022'!An_max)</f>
        <v>2022</v>
      </c>
      <c r="K298" s="193">
        <f t="shared" si="105"/>
        <v>45210</v>
      </c>
      <c r="L298" s="143">
        <f>IF(t&lt;Tvie,1-EXP((T0-t)*PertePVj)+'2022'!Pspv,1-EXP((T0-t)*PertePVj)+Pspv)</f>
        <v>9.3739943083144261E-3</v>
      </c>
      <c r="M298" s="836"/>
      <c r="N298" s="836"/>
      <c r="O298" s="48">
        <f>IF(t&lt;Tnet,'2022'!Resal+('2022'!Salim-'2022'!Resal)*(1-EXP(('2022'!Tnet-t)/('2022'!Tau_j))),Resal+(Salim-Resal)*(1-EXP((Tnet-t)/(Tau_j))))*Salcycl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1.7582953839677474E-4</v>
      </c>
      <c r="Q298" s="301">
        <f t="shared" si="106"/>
        <v>0.5</v>
      </c>
      <c r="R298" s="173">
        <f t="shared" si="107"/>
        <v>0.99080776449581853</v>
      </c>
      <c r="S298" s="802">
        <f t="shared" si="108"/>
        <v>0</v>
      </c>
      <c r="T298" s="172">
        <f t="shared" si="109"/>
        <v>6</v>
      </c>
      <c r="U298" s="247">
        <f t="shared" si="110"/>
        <v>0.99080776449581853</v>
      </c>
      <c r="V298" s="378">
        <f t="shared" si="111"/>
        <v>36.304886059800396</v>
      </c>
      <c r="W298" s="397">
        <f t="shared" si="112"/>
        <v>25.499242510141233</v>
      </c>
      <c r="X298" s="153">
        <f t="shared" si="113"/>
        <v>45210</v>
      </c>
      <c r="Y298" s="380">
        <f t="shared" si="114"/>
        <v>24.798674089569772</v>
      </c>
      <c r="Z298" s="380">
        <f t="shared" si="115"/>
        <v>25.033336442903671</v>
      </c>
      <c r="AA298" s="381">
        <f t="shared" si="116"/>
        <v>26.040975075247914</v>
      </c>
      <c r="AB298" s="193">
        <f t="shared" si="117"/>
        <v>45210</v>
      </c>
      <c r="AC298" s="420">
        <f>IF(OR(t&lt;Tnet,NoTnet),'2022'!Resal_s+('2022'!Salim-'2022'!Resal_s)*(1-EXP(('2022'!Tnet_s-t)/'2022'!Tau_j)),Resal_s+(Salim-Resal_s)*(1-EXP((Tnet_s-t)/Tau_j)))*Salcycl</f>
        <v>3.869435109217579E-2</v>
      </c>
      <c r="AD298" s="227">
        <f>(INDEX(Models!$BJ298:$BT298,,AH298)*(1-AF298)+INDEX(Models!$BJ298:$BT298,,AH298+1)*AF298-ERP_i)*AE298*Ramure*Pc/MaxiM</f>
        <v>1.7582953839677474E-4</v>
      </c>
      <c r="AE298" s="301">
        <f t="shared" si="118"/>
        <v>0.5</v>
      </c>
      <c r="AF298" s="173">
        <f t="shared" si="119"/>
        <v>0.99080776449581853</v>
      </c>
      <c r="AG298" s="172">
        <f t="shared" si="120"/>
        <v>0</v>
      </c>
      <c r="AH298" s="172">
        <f t="shared" si="121"/>
        <v>6</v>
      </c>
      <c r="AI298" s="221">
        <f t="shared" si="122"/>
        <v>0.99080776449581853</v>
      </c>
      <c r="AJ298" s="261" t="b">
        <f t="shared" si="123"/>
        <v>0</v>
      </c>
      <c r="AK298" s="261" t="b">
        <f t="shared" si="124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5"/>
        <v>45211</v>
      </c>
      <c r="B299" s="406">
        <f>'2022'!Wh/'2022'!Env_an*'2023'!Env_an</f>
        <v>25.401328240570887</v>
      </c>
      <c r="C299" s="385"/>
      <c r="D299" s="388">
        <f t="shared" si="103"/>
        <v>25.642044345935886</v>
      </c>
      <c r="E299" s="380">
        <f t="shared" si="126"/>
        <v>25.94288790131926</v>
      </c>
      <c r="F299" s="380">
        <f t="shared" si="104"/>
        <v>25.945675189918571</v>
      </c>
      <c r="G299" s="110">
        <f t="shared" si="127"/>
        <v>0.70744669218804146</v>
      </c>
      <c r="H299" s="409" t="b">
        <f>Wh_hp&gt;='2022'!Maxi_hp</f>
        <v>0</v>
      </c>
      <c r="I299" s="385">
        <f>IF(H299,Wh_hp,'2022'!Maxi_hp)</f>
        <v>25.946681721732432</v>
      </c>
      <c r="J299" s="85">
        <f>IF(H299,An,'2022'!An_max)</f>
        <v>2022</v>
      </c>
      <c r="K299" s="193">
        <f t="shared" si="105"/>
        <v>45211</v>
      </c>
      <c r="L299" s="143">
        <f>IF(t&lt;Tvie,1-EXP((T0-t)*PertePVj)+'2022'!Pspv,1-EXP((T0-t)*PertePVj)+Pspv)</f>
        <v>9.3875551464425167E-3</v>
      </c>
      <c r="M299" s="836"/>
      <c r="N299" s="836"/>
      <c r="O299" s="48">
        <f>IF(t&lt;Tnet,'2022'!Resal+('2022'!Salim-'2022'!Resal)*(1-EXP(('2022'!Tnet-t)/('2022'!Tau_j))),Resal+(Salim-Resal)*(1-EXP((Tnet-t)/(Tau_j))))*Salcycl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1.8453810321777326E-4</v>
      </c>
      <c r="Q299" s="301">
        <f t="shared" si="106"/>
        <v>0.5</v>
      </c>
      <c r="R299" s="173">
        <f t="shared" si="107"/>
        <v>0.99093480483072005</v>
      </c>
      <c r="S299" s="802">
        <f t="shared" si="108"/>
        <v>0</v>
      </c>
      <c r="T299" s="172">
        <f t="shared" si="109"/>
        <v>6</v>
      </c>
      <c r="U299" s="247">
        <f t="shared" si="110"/>
        <v>0.99093480483072005</v>
      </c>
      <c r="V299" s="378">
        <f t="shared" si="111"/>
        <v>35.902873825313705</v>
      </c>
      <c r="W299" s="397">
        <f t="shared" si="112"/>
        <v>25.401328240570887</v>
      </c>
      <c r="X299" s="153">
        <f t="shared" si="113"/>
        <v>45211</v>
      </c>
      <c r="Y299" s="380">
        <f t="shared" si="114"/>
        <v>24.704408385262848</v>
      </c>
      <c r="Z299" s="380">
        <f t="shared" si="115"/>
        <v>24.938520118142577</v>
      </c>
      <c r="AA299" s="381">
        <f t="shared" si="116"/>
        <v>25.94288790131926</v>
      </c>
      <c r="AB299" s="193">
        <f t="shared" si="117"/>
        <v>45211</v>
      </c>
      <c r="AC299" s="420">
        <f>IF(OR(t&lt;Tnet,NoTnet),'2022'!Resal_s+('2022'!Salim-'2022'!Resal_s)*(1-EXP(('2022'!Tnet_s-t)/'2022'!Tau_j)),Resal_s+(Salim-Resal_s)*(1-EXP((Tnet_s-t)/Tau_j)))*Salcycl</f>
        <v>3.8714571292026843E-2</v>
      </c>
      <c r="AD299" s="227">
        <f>(INDEX(Models!$BJ299:$BT299,,AH299)*(1-AF299)+INDEX(Models!$BJ299:$BT299,,AH299+1)*AF299-ERP_i)*AE299*Ramure*Pc/MaxiM</f>
        <v>1.8453810321777326E-4</v>
      </c>
      <c r="AE299" s="301">
        <f t="shared" si="118"/>
        <v>0.5</v>
      </c>
      <c r="AF299" s="173">
        <f t="shared" si="119"/>
        <v>0.99093480483072005</v>
      </c>
      <c r="AG299" s="172">
        <f t="shared" si="120"/>
        <v>0</v>
      </c>
      <c r="AH299" s="172">
        <f t="shared" si="121"/>
        <v>6</v>
      </c>
      <c r="AI299" s="221">
        <f t="shared" si="122"/>
        <v>0.99093480483072005</v>
      </c>
      <c r="AJ299" s="261" t="b">
        <f t="shared" si="123"/>
        <v>0</v>
      </c>
      <c r="AK299" s="261" t="b">
        <f t="shared" si="124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5"/>
        <v>45212</v>
      </c>
      <c r="B300" s="406">
        <f>'2022'!Wh/'2022'!Env_an*'2023'!Env_an</f>
        <v>23.008682394279219</v>
      </c>
      <c r="C300" s="385"/>
      <c r="D300" s="388">
        <f t="shared" si="103"/>
        <v>23.227042510588021</v>
      </c>
      <c r="E300" s="380">
        <f t="shared" si="126"/>
        <v>23.500951534264427</v>
      </c>
      <c r="F300" s="380">
        <f t="shared" si="104"/>
        <v>23.503203162812678</v>
      </c>
      <c r="G300" s="110">
        <f t="shared" si="127"/>
        <v>0.648020393262423</v>
      </c>
      <c r="H300" s="409" t="b">
        <f>Wh_hp&gt;='2022'!Maxi_hp</f>
        <v>0</v>
      </c>
      <c r="I300" s="385">
        <f>IF(H300,Wh_hp,'2022'!Maxi_hp)</f>
        <v>23.504348128002412</v>
      </c>
      <c r="J300" s="85">
        <f>IF(H300,An,'2022'!An_max)</f>
        <v>2022</v>
      </c>
      <c r="K300" s="193">
        <f t="shared" si="105"/>
        <v>45212</v>
      </c>
      <c r="L300" s="143">
        <f>IF(t&lt;Tvie,1-EXP((T0-t)*PertePVj)+'2022'!Pspv,1-EXP((T0-t)*PertePVj)+Pspv)</f>
        <v>9.401115798934101E-3</v>
      </c>
      <c r="M300" s="836"/>
      <c r="N300" s="836"/>
      <c r="O300" s="48">
        <f>IF(t&lt;Tnet,'2022'!Resal+('2022'!Salim-'2022'!Resal)*(1-EXP(('2022'!Tnet-t)/('2022'!Tau_j))),Resal+(Salim-Resal)*(1-EXP((Tnet-t)/(Tau_j))))*Salcycl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1.9265696140070767E-4</v>
      </c>
      <c r="Q300" s="301">
        <f t="shared" si="106"/>
        <v>0.5</v>
      </c>
      <c r="R300" s="173">
        <f t="shared" si="107"/>
        <v>0.99105679116031409</v>
      </c>
      <c r="S300" s="802">
        <f t="shared" si="108"/>
        <v>0</v>
      </c>
      <c r="T300" s="172">
        <f t="shared" si="109"/>
        <v>6</v>
      </c>
      <c r="U300" s="247">
        <f t="shared" si="110"/>
        <v>0.99105679116031409</v>
      </c>
      <c r="V300" s="378">
        <f t="shared" si="111"/>
        <v>35.502669190864914</v>
      </c>
      <c r="W300" s="397">
        <f t="shared" si="112"/>
        <v>23.008682394279219</v>
      </c>
      <c r="X300" s="153">
        <f t="shared" si="113"/>
        <v>45212</v>
      </c>
      <c r="Y300" s="380">
        <f t="shared" si="114"/>
        <v>22.378284034290228</v>
      </c>
      <c r="Z300" s="380">
        <f t="shared" si="115"/>
        <v>22.590661458637395</v>
      </c>
      <c r="AA300" s="381">
        <f t="shared" si="116"/>
        <v>23.500951534264427</v>
      </c>
      <c r="AB300" s="193">
        <f t="shared" si="117"/>
        <v>45212</v>
      </c>
      <c r="AC300" s="420">
        <f>IF(OR(t&lt;Tnet,NoTnet),'2022'!Resal_s+('2022'!Salim-'2022'!Resal_s)*(1-EXP(('2022'!Tnet_s-t)/'2022'!Tau_j)),Resal_s+(Salim-Resal_s)*(1-EXP((Tnet_s-t)/Tau_j)))*Salcycl</f>
        <v>3.8734179520340958E-2</v>
      </c>
      <c r="AD300" s="227">
        <f>(INDEX(Models!$BJ300:$BT300,,AH300)*(1-AF300)+INDEX(Models!$BJ300:$BT300,,AH300+1)*AF300-ERP_i)*AE300*Ramure*Pc/MaxiM</f>
        <v>1.9265696140070767E-4</v>
      </c>
      <c r="AE300" s="301">
        <f t="shared" si="118"/>
        <v>0.5</v>
      </c>
      <c r="AF300" s="173">
        <f t="shared" si="119"/>
        <v>0.99105679116031409</v>
      </c>
      <c r="AG300" s="172">
        <f t="shared" si="120"/>
        <v>0</v>
      </c>
      <c r="AH300" s="172">
        <f t="shared" si="121"/>
        <v>6</v>
      </c>
      <c r="AI300" s="221">
        <f t="shared" si="122"/>
        <v>0.99105679116031409</v>
      </c>
      <c r="AJ300" s="261" t="b">
        <f t="shared" si="123"/>
        <v>0</v>
      </c>
      <c r="AK300" s="261" t="b">
        <f t="shared" si="124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5"/>
        <v>45213</v>
      </c>
      <c r="B301" s="406">
        <f>'2022'!Wh/'2022'!Env_an*'2023'!Env_an</f>
        <v>15.465107975488928</v>
      </c>
      <c r="C301" s="385"/>
      <c r="D301" s="388">
        <f t="shared" si="103"/>
        <v>15.612090755786822</v>
      </c>
      <c r="E301" s="380">
        <f t="shared" si="126"/>
        <v>15.797135173818038</v>
      </c>
      <c r="F301" s="380">
        <f t="shared" si="104"/>
        <v>15.797770068872534</v>
      </c>
      <c r="G301" s="110">
        <f t="shared" si="127"/>
        <v>0.44047190989771612</v>
      </c>
      <c r="H301" s="409" t="b">
        <f>Wh_hp&gt;='2022'!Maxi_hp</f>
        <v>0</v>
      </c>
      <c r="I301" s="385">
        <f>IF(H301,Wh_hp,'2022'!Maxi_hp)</f>
        <v>15.799040866811126</v>
      </c>
      <c r="J301" s="85">
        <f>IF(H301,An,'2022'!An_max)</f>
        <v>2022</v>
      </c>
      <c r="K301" s="193">
        <f t="shared" si="105"/>
        <v>45213</v>
      </c>
      <c r="L301" s="143">
        <f>IF(t&lt;Tvie,1-EXP((T0-t)*PertePVj)+'2022'!Pspv,1-EXP((T0-t)*PertePVj)+Pspv)</f>
        <v>9.4146762657917327E-3</v>
      </c>
      <c r="M301" s="836"/>
      <c r="N301" s="836"/>
      <c r="O301" s="48">
        <f>IF(t&lt;Tnet,'2022'!Resal+('2022'!Salim-'2022'!Resal)*(1-EXP(('2022'!Tnet-t)/('2022'!Tau_j))),Resal+(Salim-Resal)*(1-EXP((Tnet-t)/(Tau_j))))*Salcycl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2.0016901802169087E-4</v>
      </c>
      <c r="Q301" s="301">
        <f t="shared" si="106"/>
        <v>0.5</v>
      </c>
      <c r="R301" s="173">
        <f t="shared" si="107"/>
        <v>0.9911739222010949</v>
      </c>
      <c r="S301" s="802">
        <f t="shared" si="108"/>
        <v>0</v>
      </c>
      <c r="T301" s="172">
        <f t="shared" si="109"/>
        <v>6</v>
      </c>
      <c r="U301" s="247">
        <f t="shared" si="110"/>
        <v>0.9911739222010949</v>
      </c>
      <c r="V301" s="378">
        <f t="shared" si="111"/>
        <v>35.104698889644389</v>
      </c>
      <c r="W301" s="397">
        <f t="shared" si="112"/>
        <v>15.465107975488928</v>
      </c>
      <c r="X301" s="153">
        <f t="shared" si="113"/>
        <v>45213</v>
      </c>
      <c r="Y301" s="380">
        <f t="shared" si="114"/>
        <v>15.041984556103611</v>
      </c>
      <c r="Z301" s="380">
        <f t="shared" si="115"/>
        <v>15.18494590592142</v>
      </c>
      <c r="AA301" s="381">
        <f t="shared" si="116"/>
        <v>15.797135173818038</v>
      </c>
      <c r="AB301" s="193">
        <f t="shared" si="117"/>
        <v>45213</v>
      </c>
      <c r="AC301" s="420">
        <f>IF(OR(t&lt;Tnet,NoTnet),'2022'!Resal_s+('2022'!Salim-'2022'!Resal_s)*(1-EXP(('2022'!Tnet_s-t)/'2022'!Tau_j)),Resal_s+(Salim-Resal_s)*(1-EXP((Tnet_s-t)/Tau_j)))*Salcycl</f>
        <v>3.8753182849967045E-2</v>
      </c>
      <c r="AD301" s="227">
        <f>(INDEX(Models!$BJ301:$BT301,,AH301)*(1-AF301)+INDEX(Models!$BJ301:$BT301,,AH301+1)*AF301-ERP_i)*AE301*Ramure*Pc/MaxiM</f>
        <v>2.0016901802169087E-4</v>
      </c>
      <c r="AE301" s="301">
        <f t="shared" si="118"/>
        <v>0.5</v>
      </c>
      <c r="AF301" s="173">
        <f t="shared" si="119"/>
        <v>0.9911739222010949</v>
      </c>
      <c r="AG301" s="172">
        <f t="shared" si="120"/>
        <v>0</v>
      </c>
      <c r="AH301" s="172">
        <f t="shared" si="121"/>
        <v>6</v>
      </c>
      <c r="AI301" s="221">
        <f t="shared" si="122"/>
        <v>0.9911739222010949</v>
      </c>
      <c r="AJ301" s="261" t="b">
        <f t="shared" si="123"/>
        <v>0</v>
      </c>
      <c r="AK301" s="261" t="b">
        <f t="shared" si="124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5"/>
        <v>45214</v>
      </c>
      <c r="B302" s="406">
        <f>'2022'!Wh/'2022'!Env_an*'2023'!Env_an</f>
        <v>34.469121790535155</v>
      </c>
      <c r="C302" s="385"/>
      <c r="D302" s="388">
        <f t="shared" si="103"/>
        <v>34.797198004494959</v>
      </c>
      <c r="E302" s="380">
        <f t="shared" si="126"/>
        <v>35.211712886169231</v>
      </c>
      <c r="F302" s="380">
        <f t="shared" si="104"/>
        <v>35.218933097713482</v>
      </c>
      <c r="G302" s="110">
        <f t="shared" si="127"/>
        <v>0.99307569817022312</v>
      </c>
      <c r="H302" s="409" t="b">
        <f>Wh_hp&gt;='2022'!Maxi_hp</f>
        <v>0</v>
      </c>
      <c r="I302" s="385">
        <f>IF(H302,Wh_hp,'2022'!Maxi_hp)</f>
        <v>35.21896935140299</v>
      </c>
      <c r="J302" s="85">
        <f>IF(H302,An,'2022'!An_max)</f>
        <v>2022</v>
      </c>
      <c r="K302" s="193">
        <f t="shared" si="105"/>
        <v>45214</v>
      </c>
      <c r="L302" s="143">
        <f>IF(t&lt;Tvie,1-EXP((T0-t)*PertePVj)+'2022'!Pspv,1-EXP((T0-t)*PertePVj)+Pspv)</f>
        <v>9.4282365470180762E-3</v>
      </c>
      <c r="M302" s="836"/>
      <c r="N302" s="836"/>
      <c r="O302" s="48">
        <f>IF(t&lt;Tnet,'2022'!Resal+('2022'!Salim-'2022'!Resal)*(1-EXP(('2022'!Tnet-t)/('2022'!Tau_j))),Resal+(Salim-Resal)*(1-EXP((Tnet-t)/(Tau_j))))*Salcycl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2.0705695407673328E-4</v>
      </c>
      <c r="Q302" s="301">
        <f t="shared" si="106"/>
        <v>0.5</v>
      </c>
      <c r="R302" s="173">
        <f t="shared" si="107"/>
        <v>0.99128638904046096</v>
      </c>
      <c r="S302" s="802">
        <f t="shared" si="108"/>
        <v>0</v>
      </c>
      <c r="T302" s="172">
        <f t="shared" si="109"/>
        <v>6</v>
      </c>
      <c r="U302" s="247">
        <f t="shared" si="110"/>
        <v>0.99128638904046096</v>
      </c>
      <c r="V302" s="378">
        <f t="shared" si="111"/>
        <v>34.709389487025859</v>
      </c>
      <c r="W302" s="397">
        <f t="shared" si="112"/>
        <v>34.469121790535155</v>
      </c>
      <c r="X302" s="153">
        <f t="shared" si="113"/>
        <v>45214</v>
      </c>
      <c r="Y302" s="380">
        <f t="shared" si="114"/>
        <v>33.52738598229876</v>
      </c>
      <c r="Z302" s="380">
        <f t="shared" si="115"/>
        <v>33.846498779076249</v>
      </c>
      <c r="AA302" s="381">
        <f t="shared" si="116"/>
        <v>35.211712886169231</v>
      </c>
      <c r="AB302" s="193">
        <f t="shared" si="117"/>
        <v>45214</v>
      </c>
      <c r="AC302" s="420">
        <f>IF(OR(t&lt;Tnet,NoTnet),'2022'!Resal_s+('2022'!Salim-'2022'!Resal_s)*(1-EXP(('2022'!Tnet_s-t)/'2022'!Tau_j)),Resal_s+(Salim-Resal_s)*(1-EXP((Tnet_s-t)/Tau_j)))*Salcycl</f>
        <v>3.8771590337180688E-2</v>
      </c>
      <c r="AD302" s="227">
        <f>(INDEX(Models!$BJ302:$BT302,,AH302)*(1-AF302)+INDEX(Models!$BJ302:$BT302,,AH302+1)*AF302-ERP_i)*AE302*Ramure*Pc/MaxiM</f>
        <v>2.0705695407673328E-4</v>
      </c>
      <c r="AE302" s="301">
        <f t="shared" si="118"/>
        <v>0.5</v>
      </c>
      <c r="AF302" s="173">
        <f t="shared" si="119"/>
        <v>0.99128638904046096</v>
      </c>
      <c r="AG302" s="172">
        <f t="shared" si="120"/>
        <v>0</v>
      </c>
      <c r="AH302" s="172">
        <f t="shared" si="121"/>
        <v>6</v>
      </c>
      <c r="AI302" s="221">
        <f t="shared" si="122"/>
        <v>0.99128638904046096</v>
      </c>
      <c r="AJ302" s="261" t="b">
        <f t="shared" si="123"/>
        <v>0</v>
      </c>
      <c r="AK302" s="261" t="b">
        <f t="shared" si="124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5"/>
        <v>45215</v>
      </c>
      <c r="B303" s="406">
        <f>'2022'!Wh/'2022'!Env_an*'2023'!Env_an</f>
        <v>30.216853261402022</v>
      </c>
      <c r="C303" s="385"/>
      <c r="D303" s="388">
        <f t="shared" si="103"/>
        <v>30.504874079065146</v>
      </c>
      <c r="E303" s="380">
        <f t="shared" si="126"/>
        <v>30.870069035415032</v>
      </c>
      <c r="F303" s="380">
        <f t="shared" si="104"/>
        <v>30.875531456826398</v>
      </c>
      <c r="G303" s="110">
        <f t="shared" si="127"/>
        <v>0.88053032438424272</v>
      </c>
      <c r="H303" s="409" t="b">
        <f>Wh_hp&gt;='2022'!Maxi_hp</f>
        <v>0</v>
      </c>
      <c r="I303" s="385">
        <f>IF(H303,Wh_hp,'2022'!Maxi_hp)</f>
        <v>30.876096250256072</v>
      </c>
      <c r="J303" s="85">
        <f>IF(H303,An,'2022'!An_max)</f>
        <v>2022</v>
      </c>
      <c r="K303" s="193">
        <f t="shared" si="105"/>
        <v>45215</v>
      </c>
      <c r="L303" s="143">
        <f>IF(t&lt;Tvie,1-EXP((T0-t)*PertePVj)+'2022'!Pspv,1-EXP((T0-t)*PertePVj)+Pspv)</f>
        <v>9.4417966426154631E-3</v>
      </c>
      <c r="M303" s="836"/>
      <c r="N303" s="836"/>
      <c r="O303" s="48">
        <f>IF(t&lt;Tnet,'2022'!Resal+('2022'!Salim-'2022'!Resal)*(1-EXP(('2022'!Tnet-t)/('2022'!Tau_j))),Resal+(Salim-Resal)*(1-EXP((Tnet-t)/(Tau_j))))*Salcycl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2.1331427025370644E-4</v>
      </c>
      <c r="Q303" s="301">
        <f t="shared" si="106"/>
        <v>0.5</v>
      </c>
      <c r="R303" s="173">
        <f t="shared" si="107"/>
        <v>0.99139437541509401</v>
      </c>
      <c r="S303" s="802">
        <f t="shared" si="108"/>
        <v>0</v>
      </c>
      <c r="T303" s="172">
        <f t="shared" si="109"/>
        <v>6</v>
      </c>
      <c r="U303" s="247">
        <f t="shared" si="110"/>
        <v>0.99139437541509401</v>
      </c>
      <c r="V303" s="378">
        <f t="shared" si="111"/>
        <v>34.315403381073033</v>
      </c>
      <c r="W303" s="397">
        <f t="shared" si="112"/>
        <v>30.216853261402022</v>
      </c>
      <c r="X303" s="153">
        <f t="shared" si="113"/>
        <v>45215</v>
      </c>
      <c r="Y303" s="380">
        <f t="shared" si="114"/>
        <v>29.39247417027568</v>
      </c>
      <c r="Z303" s="380">
        <f t="shared" si="115"/>
        <v>29.672637176344839</v>
      </c>
      <c r="AA303" s="381">
        <f t="shared" si="116"/>
        <v>30.870069035415032</v>
      </c>
      <c r="AB303" s="193">
        <f t="shared" si="117"/>
        <v>45215</v>
      </c>
      <c r="AC303" s="420">
        <f>IF(OR(t&lt;Tnet,NoTnet),'2022'!Resal_s+('2022'!Salim-'2022'!Resal_s)*(1-EXP(('2022'!Tnet_s-t)/'2022'!Tau_j)),Resal_s+(Salim-Resal_s)*(1-EXP((Tnet_s-t)/Tau_j)))*Salcycl</f>
        <v>3.8789413062097898E-2</v>
      </c>
      <c r="AD303" s="227">
        <f>(INDEX(Models!$BJ303:$BT303,,AH303)*(1-AF303)+INDEX(Models!$BJ303:$BT303,,AH303+1)*AF303-ERP_i)*AE303*Ramure*Pc/MaxiM</f>
        <v>2.1331427025370644E-4</v>
      </c>
      <c r="AE303" s="301">
        <f t="shared" si="118"/>
        <v>0.5</v>
      </c>
      <c r="AF303" s="173">
        <f t="shared" si="119"/>
        <v>0.99139437541509401</v>
      </c>
      <c r="AG303" s="172">
        <f t="shared" si="120"/>
        <v>0</v>
      </c>
      <c r="AH303" s="172">
        <f t="shared" si="121"/>
        <v>6</v>
      </c>
      <c r="AI303" s="221">
        <f t="shared" si="122"/>
        <v>0.99139437541509401</v>
      </c>
      <c r="AJ303" s="261" t="b">
        <f t="shared" si="123"/>
        <v>0</v>
      </c>
      <c r="AK303" s="261" t="b">
        <f t="shared" si="124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5"/>
        <v>45216</v>
      </c>
      <c r="B304" s="406">
        <f>'2022'!Wh/'2022'!Env_an*'2023'!Env_an</f>
        <v>17.029473662063868</v>
      </c>
      <c r="C304" s="385"/>
      <c r="D304" s="388">
        <f t="shared" si="103"/>
        <v>17.192030439734481</v>
      </c>
      <c r="E304" s="380">
        <f t="shared" si="126"/>
        <v>17.398864222272966</v>
      </c>
      <c r="F304" s="380">
        <f t="shared" si="104"/>
        <v>17.399997435488139</v>
      </c>
      <c r="G304" s="110">
        <f t="shared" si="127"/>
        <v>0.50195122574547246</v>
      </c>
      <c r="H304" s="409" t="b">
        <f>Wh_hp&gt;='2022'!Maxi_hp</f>
        <v>0</v>
      </c>
      <c r="I304" s="385">
        <f>IF(H304,Wh_hp,'2022'!Maxi_hp)</f>
        <v>17.401400956915101</v>
      </c>
      <c r="J304" s="85">
        <f>IF(H304,An,'2022'!An_max)</f>
        <v>2022</v>
      </c>
      <c r="K304" s="193">
        <f t="shared" si="105"/>
        <v>45216</v>
      </c>
      <c r="L304" s="143">
        <f>IF(t&lt;Tvie,1-EXP((T0-t)*PertePVj)+'2022'!Pspv,1-EXP((T0-t)*PertePVj)+Pspv)</f>
        <v>9.4553565525865579E-3</v>
      </c>
      <c r="M304" s="836"/>
      <c r="N304" s="836"/>
      <c r="O304" s="48">
        <f>IF(t&lt;Tnet,'2022'!Resal+('2022'!Salim-'2022'!Resal)*(1-EXP(('2022'!Tnet-t)/('2022'!Tau_j))),Resal+(Salim-Resal)*(1-EXP((Tnet-t)/(Tau_j))))*Salcycl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2.2565279134410004E-4</v>
      </c>
      <c r="Q304" s="301">
        <f t="shared" si="106"/>
        <v>0.5</v>
      </c>
      <c r="R304" s="173">
        <f t="shared" si="107"/>
        <v>0.99149805798033874</v>
      </c>
      <c r="S304" s="802">
        <f t="shared" si="108"/>
        <v>0</v>
      </c>
      <c r="T304" s="172">
        <f t="shared" si="109"/>
        <v>6</v>
      </c>
      <c r="U304" s="247">
        <f t="shared" si="110"/>
        <v>0.99149805798033874</v>
      </c>
      <c r="V304" s="378">
        <f t="shared" si="111"/>
        <v>33.921104172022119</v>
      </c>
      <c r="W304" s="397">
        <f t="shared" si="112"/>
        <v>17.029473662063868</v>
      </c>
      <c r="X304" s="153">
        <f t="shared" si="113"/>
        <v>45216</v>
      </c>
      <c r="Y304" s="380">
        <f t="shared" si="114"/>
        <v>16.565544056813678</v>
      </c>
      <c r="Z304" s="380">
        <f t="shared" si="115"/>
        <v>16.723672341672824</v>
      </c>
      <c r="AA304" s="381">
        <f t="shared" si="116"/>
        <v>17.398864222272966</v>
      </c>
      <c r="AB304" s="193">
        <f t="shared" si="117"/>
        <v>45216</v>
      </c>
      <c r="AC304" s="420">
        <f>IF(OR(t&lt;Tnet,NoTnet),'2022'!Resal_s+('2022'!Salim-'2022'!Resal_s)*(1-EXP(('2022'!Tnet_s-t)/'2022'!Tau_j)),Resal_s+(Salim-Resal_s)*(1-EXP((Tnet_s-t)/Tau_j)))*Salcycl</f>
        <v>3.880666415775591E-2</v>
      </c>
      <c r="AD304" s="227">
        <f>(INDEX(Models!$BJ304:$BT304,,AH304)*(1-AF304)+INDEX(Models!$BJ304:$BT304,,AH304+1)*AF304-ERP_i)*AE304*Ramure*Pc/MaxiM</f>
        <v>2.2565279134410004E-4</v>
      </c>
      <c r="AE304" s="301">
        <f t="shared" si="118"/>
        <v>0.5</v>
      </c>
      <c r="AF304" s="173">
        <f t="shared" si="119"/>
        <v>0.99149805798033874</v>
      </c>
      <c r="AG304" s="172">
        <f t="shared" si="120"/>
        <v>0</v>
      </c>
      <c r="AH304" s="172">
        <f t="shared" si="121"/>
        <v>6</v>
      </c>
      <c r="AI304" s="221">
        <f t="shared" si="122"/>
        <v>0.99149805798033874</v>
      </c>
      <c r="AJ304" s="261" t="b">
        <f t="shared" si="123"/>
        <v>0</v>
      </c>
      <c r="AK304" s="261" t="b">
        <f t="shared" si="124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5"/>
        <v>45217</v>
      </c>
      <c r="B305" s="406">
        <f>'2022'!Wh/'2022'!Env_an*'2023'!Env_an</f>
        <v>30.379272786103751</v>
      </c>
      <c r="C305" s="385"/>
      <c r="D305" s="388">
        <f t="shared" si="103"/>
        <v>30.669681431821903</v>
      </c>
      <c r="E305" s="380">
        <f t="shared" si="126"/>
        <v>31.040466109374552</v>
      </c>
      <c r="F305" s="380">
        <f t="shared" si="104"/>
        <v>31.04704207054888</v>
      </c>
      <c r="G305" s="110">
        <f t="shared" si="127"/>
        <v>0.90608930488484962</v>
      </c>
      <c r="H305" s="409" t="b">
        <f>Wh_hp&gt;='2022'!Maxi_hp</f>
        <v>0</v>
      </c>
      <c r="I305" s="385">
        <f>IF(H305,Wh_hp,'2022'!Maxi_hp)</f>
        <v>31.04755390716814</v>
      </c>
      <c r="J305" s="85">
        <f>IF(H305,An,'2022'!An_max)</f>
        <v>2022</v>
      </c>
      <c r="K305" s="193">
        <f t="shared" si="105"/>
        <v>45217</v>
      </c>
      <c r="L305" s="143">
        <f>IF(t&lt;Tvie,1-EXP((T0-t)*PertePVj)+'2022'!Pspv,1-EXP((T0-t)*PertePVj)+Pspv)</f>
        <v>9.4689162769338031E-3</v>
      </c>
      <c r="M305" s="836"/>
      <c r="N305" s="836"/>
      <c r="O305" s="48">
        <f>IF(t&lt;Tnet,'2022'!Resal+('2022'!Salim-'2022'!Resal)*(1-EXP(('2022'!Tnet-t)/('2022'!Tau_j))),Resal+(Salim-Resal)*(1-EXP((Tnet-t)/(Tau_j))))*Salcycl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2.4461276975925087E-4</v>
      </c>
      <c r="Q305" s="301">
        <f t="shared" si="106"/>
        <v>0.5</v>
      </c>
      <c r="R305" s="173">
        <f t="shared" si="107"/>
        <v>0.99159760657077922</v>
      </c>
      <c r="S305" s="802">
        <f t="shared" si="108"/>
        <v>0</v>
      </c>
      <c r="T305" s="172">
        <f t="shared" si="109"/>
        <v>6</v>
      </c>
      <c r="U305" s="247">
        <f t="shared" si="110"/>
        <v>0.99159760657077922</v>
      </c>
      <c r="V305" s="378">
        <f t="shared" si="111"/>
        <v>33.526801140374424</v>
      </c>
      <c r="W305" s="397">
        <f t="shared" si="112"/>
        <v>30.379272786103751</v>
      </c>
      <c r="X305" s="153">
        <f t="shared" si="113"/>
        <v>45217</v>
      </c>
      <c r="Y305" s="380">
        <f t="shared" si="114"/>
        <v>29.552862325775752</v>
      </c>
      <c r="Z305" s="380">
        <f t="shared" si="115"/>
        <v>29.835370955444116</v>
      </c>
      <c r="AA305" s="381">
        <f t="shared" si="116"/>
        <v>31.040466109374552</v>
      </c>
      <c r="AB305" s="193">
        <f t="shared" si="117"/>
        <v>45217</v>
      </c>
      <c r="AC305" s="420">
        <f>IF(OR(t&lt;Tnet,NoTnet),'2022'!Resal_s+('2022'!Salim-'2022'!Resal_s)*(1-EXP(('2022'!Tnet_s-t)/'2022'!Tau_j)),Resal_s+(Salim-Resal_s)*(1-EXP((Tnet_s-t)/Tau_j)))*Salcycl</f>
        <v>3.8823358827285319E-2</v>
      </c>
      <c r="AD305" s="227">
        <f>(INDEX(Models!$BJ305:$BT305,,AH305)*(1-AF305)+INDEX(Models!$BJ305:$BT305,,AH305+1)*AF305-ERP_i)*AE305*Ramure*Pc/MaxiM</f>
        <v>2.4461276975925087E-4</v>
      </c>
      <c r="AE305" s="301">
        <f t="shared" si="118"/>
        <v>0.5</v>
      </c>
      <c r="AF305" s="173">
        <f t="shared" si="119"/>
        <v>0.99159760657077922</v>
      </c>
      <c r="AG305" s="172">
        <f t="shared" si="120"/>
        <v>0</v>
      </c>
      <c r="AH305" s="172">
        <f t="shared" si="121"/>
        <v>6</v>
      </c>
      <c r="AI305" s="221">
        <f t="shared" si="122"/>
        <v>0.99159760657077922</v>
      </c>
      <c r="AJ305" s="261" t="b">
        <f t="shared" si="123"/>
        <v>0</v>
      </c>
      <c r="AK305" s="261" t="b">
        <f t="shared" si="124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5"/>
        <v>45218</v>
      </c>
      <c r="B306" s="406">
        <f>'2022'!Wh/'2022'!Env_an*'2023'!Env_an</f>
        <v>16.970339614350596</v>
      </c>
      <c r="C306" s="385"/>
      <c r="D306" s="388">
        <f t="shared" si="103"/>
        <v>17.132800985348677</v>
      </c>
      <c r="E306" s="380">
        <f t="shared" si="126"/>
        <v>17.340933011995176</v>
      </c>
      <c r="F306" s="380">
        <f t="shared" si="104"/>
        <v>17.342354065847356</v>
      </c>
      <c r="G306" s="110">
        <f t="shared" si="127"/>
        <v>0.51209476039226454</v>
      </c>
      <c r="H306" s="409" t="b">
        <f>Wh_hp&gt;='2022'!Maxi_hp</f>
        <v>0</v>
      </c>
      <c r="I306" s="385">
        <f>IF(H306,Wh_hp,'2022'!Maxi_hp)</f>
        <v>17.343995779122771</v>
      </c>
      <c r="J306" s="85">
        <f>IF(H306,An,'2022'!An_max)</f>
        <v>2022</v>
      </c>
      <c r="K306" s="193">
        <f t="shared" si="105"/>
        <v>45218</v>
      </c>
      <c r="L306" s="143">
        <f>IF(t&lt;Tvie,1-EXP((T0-t)*PertePVj)+'2022'!Pspv,1-EXP((T0-t)*PertePVj)+Pspv)</f>
        <v>9.4824758156598632E-3</v>
      </c>
      <c r="M306" s="836"/>
      <c r="N306" s="836"/>
      <c r="O306" s="48">
        <f>IF(t&lt;Tnet,'2022'!Resal+('2022'!Salim-'2022'!Resal)*(1-EXP(('2022'!Tnet-t)/('2022'!Tau_j))),Resal+(Salim-Resal)*(1-EXP((Tnet-t)/(Tau_j))))*Salcycl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2.7031680834617054E-4</v>
      </c>
      <c r="Q306" s="301">
        <f t="shared" si="106"/>
        <v>0.5</v>
      </c>
      <c r="R306" s="173">
        <f t="shared" si="107"/>
        <v>0.99169318445220944</v>
      </c>
      <c r="S306" s="802">
        <f t="shared" si="108"/>
        <v>0</v>
      </c>
      <c r="T306" s="172">
        <f t="shared" si="109"/>
        <v>6</v>
      </c>
      <c r="U306" s="247">
        <f t="shared" si="110"/>
        <v>0.99169318445220944</v>
      </c>
      <c r="V306" s="378">
        <f t="shared" si="111"/>
        <v>33.132818117239658</v>
      </c>
      <c r="W306" s="397">
        <f t="shared" si="112"/>
        <v>16.970339614350596</v>
      </c>
      <c r="X306" s="153">
        <f t="shared" si="113"/>
        <v>45218</v>
      </c>
      <c r="Y306" s="380">
        <f t="shared" si="114"/>
        <v>16.50937119223282</v>
      </c>
      <c r="Z306" s="380">
        <f t="shared" si="115"/>
        <v>16.667419595456188</v>
      </c>
      <c r="AA306" s="381">
        <f t="shared" si="116"/>
        <v>17.340933011995176</v>
      </c>
      <c r="AB306" s="193">
        <f t="shared" si="117"/>
        <v>45218</v>
      </c>
      <c r="AC306" s="420">
        <f>IF(OR(t&lt;Tnet,NoTnet),'2022'!Resal_s+('2022'!Salim-'2022'!Resal_s)*(1-EXP(('2022'!Tnet_s-t)/'2022'!Tau_j)),Resal_s+(Salim-Resal_s)*(1-EXP((Tnet_s-t)/Tau_j)))*Salcycl</f>
        <v>3.8839514348685947E-2</v>
      </c>
      <c r="AD306" s="227">
        <f>(INDEX(Models!$BJ306:$BT306,,AH306)*(1-AF306)+INDEX(Models!$BJ306:$BT306,,AH306+1)*AF306-ERP_i)*AE306*Ramure*Pc/MaxiM</f>
        <v>2.7031680834617054E-4</v>
      </c>
      <c r="AE306" s="301">
        <f t="shared" si="118"/>
        <v>0.5</v>
      </c>
      <c r="AF306" s="173">
        <f t="shared" si="119"/>
        <v>0.99169318445220944</v>
      </c>
      <c r="AG306" s="172">
        <f t="shared" si="120"/>
        <v>0</v>
      </c>
      <c r="AH306" s="172">
        <f t="shared" si="121"/>
        <v>6</v>
      </c>
      <c r="AI306" s="221">
        <f t="shared" si="122"/>
        <v>0.99169318445220944</v>
      </c>
      <c r="AJ306" s="261" t="b">
        <f t="shared" si="123"/>
        <v>0</v>
      </c>
      <c r="AK306" s="261" t="b">
        <f t="shared" si="124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5"/>
        <v>45219</v>
      </c>
      <c r="B307" s="406">
        <f>'2022'!Wh/'2022'!Env_an*'2023'!Env_an</f>
        <v>8.9274114600652421</v>
      </c>
      <c r="C307" s="385"/>
      <c r="D307" s="388">
        <f t="shared" si="103"/>
        <v>9.012999217611755</v>
      </c>
      <c r="E307" s="380">
        <f t="shared" si="126"/>
        <v>9.1230157921377923</v>
      </c>
      <c r="F307" s="380">
        <f t="shared" si="104"/>
        <v>9.1230157921377923</v>
      </c>
      <c r="G307" s="110">
        <f t="shared" si="127"/>
        <v>0.2725977242124622</v>
      </c>
      <c r="H307" s="409" t="b">
        <f>Wh_hp&gt;='2022'!Maxi_hp</f>
        <v>0</v>
      </c>
      <c r="I307" s="385">
        <f>IF(H307,Wh_hp,'2022'!Maxi_hp)</f>
        <v>9.1244045846018054</v>
      </c>
      <c r="J307" s="85">
        <f>IF(H307,An,'2022'!An_max)</f>
        <v>2022</v>
      </c>
      <c r="K307" s="193">
        <f t="shared" si="105"/>
        <v>45219</v>
      </c>
      <c r="L307" s="143">
        <f>IF(t&lt;Tvie,1-EXP((T0-t)*PertePVj)+'2022'!Pspv,1-EXP((T0-t)*PertePVj)+Pspv)</f>
        <v>9.4960351687671807E-3</v>
      </c>
      <c r="M307" s="836"/>
      <c r="N307" s="836"/>
      <c r="O307" s="48">
        <f>IF(t&lt;Tnet,'2022'!Resal+('2022'!Salim-'2022'!Resal)*(1-EXP(('2022'!Tnet-t)/('2022'!Tau_j))),Resal+(Salim-Resal)*(1-EXP((Tnet-t)/(Tau_j))))*Salcycl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3.0288729917707624E-4</v>
      </c>
      <c r="Q307" s="301">
        <f t="shared" si="106"/>
        <v>0.5</v>
      </c>
      <c r="R307" s="173">
        <f t="shared" si="107"/>
        <v>0.99178494856520283</v>
      </c>
      <c r="S307" s="802">
        <f t="shared" si="108"/>
        <v>0</v>
      </c>
      <c r="T307" s="172">
        <f t="shared" si="109"/>
        <v>6</v>
      </c>
      <c r="U307" s="247">
        <f t="shared" si="110"/>
        <v>0.99178494856520283</v>
      </c>
      <c r="V307" s="378">
        <f t="shared" si="111"/>
        <v>32.739478975119972</v>
      </c>
      <c r="W307" s="397">
        <f t="shared" si="112"/>
        <v>8.9274114600652421</v>
      </c>
      <c r="X307" s="153">
        <f t="shared" si="113"/>
        <v>45219</v>
      </c>
      <c r="Y307" s="380">
        <f t="shared" si="114"/>
        <v>8.6852732836297459</v>
      </c>
      <c r="Z307" s="380">
        <f t="shared" si="115"/>
        <v>8.7685396444723853</v>
      </c>
      <c r="AA307" s="381">
        <f t="shared" si="116"/>
        <v>9.1230157921377923</v>
      </c>
      <c r="AB307" s="193">
        <f t="shared" si="117"/>
        <v>45219</v>
      </c>
      <c r="AC307" s="420">
        <f>IF(OR(t&lt;Tnet,NoTnet),'2022'!Resal_s+('2022'!Salim-'2022'!Resal_s)*(1-EXP(('2022'!Tnet_s-t)/'2022'!Tau_j)),Resal_s+(Salim-Resal_s)*(1-EXP((Tnet_s-t)/Tau_j)))*Salcycl</f>
        <v>3.8855150066811714E-2</v>
      </c>
      <c r="AD307" s="227">
        <f>(INDEX(Models!$BJ307:$BT307,,AH307)*(1-AF307)+INDEX(Models!$BJ307:$BT307,,AH307+1)*AF307-ERP_i)*AE307*Ramure*Pc/MaxiM</f>
        <v>3.0288729917707624E-4</v>
      </c>
      <c r="AE307" s="301">
        <f t="shared" si="118"/>
        <v>0.5</v>
      </c>
      <c r="AF307" s="173">
        <f t="shared" si="119"/>
        <v>0.99178494856520283</v>
      </c>
      <c r="AG307" s="172">
        <f t="shared" si="120"/>
        <v>0</v>
      </c>
      <c r="AH307" s="172">
        <f t="shared" si="121"/>
        <v>6</v>
      </c>
      <c r="AI307" s="221">
        <f t="shared" si="122"/>
        <v>0.99178494856520283</v>
      </c>
      <c r="AJ307" s="261" t="b">
        <f t="shared" si="123"/>
        <v>0</v>
      </c>
      <c r="AK307" s="261" t="b">
        <f t="shared" si="124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5"/>
        <v>45220</v>
      </c>
      <c r="B308" s="406">
        <f>'2022'!Wh/'2022'!Env_an*'2023'!Env_an</f>
        <v>17.260541355651569</v>
      </c>
      <c r="C308" s="385"/>
      <c r="D308" s="388">
        <f t="shared" si="103"/>
        <v>17.426258000030838</v>
      </c>
      <c r="E308" s="380">
        <f t="shared" si="126"/>
        <v>17.639981262673441</v>
      </c>
      <c r="F308" s="380">
        <f t="shared" si="104"/>
        <v>17.641997408328937</v>
      </c>
      <c r="G308" s="110">
        <f t="shared" si="127"/>
        <v>0.53348209239180211</v>
      </c>
      <c r="H308" s="409" t="b">
        <f>Wh_hp&gt;='2022'!Maxi_hp</f>
        <v>0</v>
      </c>
      <c r="I308" s="385">
        <f>IF(H308,Wh_hp,'2022'!Maxi_hp)</f>
        <v>17.644021025065648</v>
      </c>
      <c r="J308" s="85">
        <f>IF(H308,An,'2022'!An_max)</f>
        <v>2022</v>
      </c>
      <c r="K308" s="193">
        <f t="shared" si="105"/>
        <v>45220</v>
      </c>
      <c r="L308" s="143">
        <f>IF(t&lt;Tvie,1-EXP((T0-t)*PertePVj)+'2022'!Pspv,1-EXP((T0-t)*PertePVj)+Pspv)</f>
        <v>9.5095943362584201E-3</v>
      </c>
      <c r="M308" s="836"/>
      <c r="N308" s="836"/>
      <c r="O308" s="48">
        <f>IF(t&lt;Tnet,'2022'!Resal+('2022'!Salim-'2022'!Resal)*(1-EXP(('2022'!Tnet-t)/('2022'!Tau_j))),Resal+(Salim-Resal)*(1-EXP((Tnet-t)/(Tau_j))))*Salcycl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3.4244606729801617E-4</v>
      </c>
      <c r="Q308" s="301">
        <f t="shared" si="106"/>
        <v>0.5</v>
      </c>
      <c r="R308" s="173">
        <f t="shared" si="107"/>
        <v>0.99187304976048807</v>
      </c>
      <c r="S308" s="802">
        <f t="shared" si="108"/>
        <v>0</v>
      </c>
      <c r="T308" s="172">
        <f t="shared" si="109"/>
        <v>6</v>
      </c>
      <c r="U308" s="247">
        <f t="shared" si="110"/>
        <v>0.99187304976048807</v>
      </c>
      <c r="V308" s="378">
        <f t="shared" si="111"/>
        <v>32.347107615407516</v>
      </c>
      <c r="W308" s="397">
        <f t="shared" si="112"/>
        <v>17.260541355651569</v>
      </c>
      <c r="X308" s="153">
        <f t="shared" si="113"/>
        <v>45220</v>
      </c>
      <c r="Y308" s="380">
        <f t="shared" si="114"/>
        <v>16.793081510242896</v>
      </c>
      <c r="Z308" s="380">
        <f t="shared" si="115"/>
        <v>16.954310121751877</v>
      </c>
      <c r="AA308" s="381">
        <f t="shared" si="116"/>
        <v>17.639981262673441</v>
      </c>
      <c r="AB308" s="193">
        <f t="shared" si="117"/>
        <v>45220</v>
      </c>
      <c r="AC308" s="420">
        <f>IF(OR(t&lt;Tnet,NoTnet),'2022'!Resal_s+('2022'!Salim-'2022'!Resal_s)*(1-EXP(('2022'!Tnet_s-t)/'2022'!Tau_j)),Resal_s+(Salim-Resal_s)*(1-EXP((Tnet_s-t)/Tau_j)))*Salcycl</f>
        <v>3.887028737226926E-2</v>
      </c>
      <c r="AD308" s="227">
        <f>(INDEX(Models!$BJ308:$BT308,,AH308)*(1-AF308)+INDEX(Models!$BJ308:$BT308,,AH308+1)*AF308-ERP_i)*AE308*Ramure*Pc/MaxiM</f>
        <v>3.4244606729801617E-4</v>
      </c>
      <c r="AE308" s="301">
        <f t="shared" si="118"/>
        <v>0.5</v>
      </c>
      <c r="AF308" s="173">
        <f t="shared" si="119"/>
        <v>0.99187304976048807</v>
      </c>
      <c r="AG308" s="172">
        <f t="shared" si="120"/>
        <v>0</v>
      </c>
      <c r="AH308" s="172">
        <f t="shared" si="121"/>
        <v>6</v>
      </c>
      <c r="AI308" s="221">
        <f t="shared" si="122"/>
        <v>0.99187304976048807</v>
      </c>
      <c r="AJ308" s="261" t="b">
        <f t="shared" si="123"/>
        <v>0</v>
      </c>
      <c r="AK308" s="261" t="b">
        <f t="shared" si="124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5"/>
        <v>45221</v>
      </c>
      <c r="B309" s="406">
        <f>'2022'!Wh/'2022'!Env_an*'2023'!Env_an</f>
        <v>29.587798502314445</v>
      </c>
      <c r="C309" s="385"/>
      <c r="D309" s="388">
        <f t="shared" si="103"/>
        <v>29.872276773994994</v>
      </c>
      <c r="E309" s="380">
        <f t="shared" si="126"/>
        <v>30.240368379471363</v>
      </c>
      <c r="F309" s="380">
        <f t="shared" si="104"/>
        <v>30.250893225172334</v>
      </c>
      <c r="G309" s="110">
        <f t="shared" si="127"/>
        <v>0.92585283851083444</v>
      </c>
      <c r="H309" s="409" t="b">
        <f>Wh_hp&gt;='2022'!Maxi_hp</f>
        <v>0</v>
      </c>
      <c r="I309" s="385">
        <f>IF(H309,Wh_hp,'2022'!Maxi_hp)</f>
        <v>30.251519935948156</v>
      </c>
      <c r="J309" s="85">
        <f>IF(H309,An,'2022'!An_max)</f>
        <v>2022</v>
      </c>
      <c r="K309" s="193">
        <f t="shared" si="105"/>
        <v>45221</v>
      </c>
      <c r="L309" s="143">
        <f>IF(t&lt;Tvie,1-EXP((T0-t)*PertePVj)+'2022'!Pspv,1-EXP((T0-t)*PertePVj)+Pspv)</f>
        <v>9.5231533181360239E-3</v>
      </c>
      <c r="M309" s="836"/>
      <c r="N309" s="836"/>
      <c r="O309" s="48">
        <f>IF(t&lt;Tnet,'2022'!Resal+('2022'!Salim-'2022'!Resal)*(1-EXP(('2022'!Tnet-t)/('2022'!Tau_j))),Resal+(Salim-Resal)*(1-EXP((Tnet-t)/(Tau_j))))*Salcycl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3.8911401393500124E-4</v>
      </c>
      <c r="Q309" s="301">
        <f t="shared" si="106"/>
        <v>0.5</v>
      </c>
      <c r="R309" s="173">
        <f t="shared" si="107"/>
        <v>0.991957633026334</v>
      </c>
      <c r="S309" s="802">
        <f t="shared" si="108"/>
        <v>0</v>
      </c>
      <c r="T309" s="172">
        <f t="shared" si="109"/>
        <v>6</v>
      </c>
      <c r="U309" s="247">
        <f t="shared" si="110"/>
        <v>0.991957633026334</v>
      </c>
      <c r="V309" s="378">
        <f t="shared" si="111"/>
        <v>31.956027959493493</v>
      </c>
      <c r="W309" s="397">
        <f t="shared" si="112"/>
        <v>29.587798502314445</v>
      </c>
      <c r="X309" s="153">
        <f t="shared" si="113"/>
        <v>45221</v>
      </c>
      <c r="Y309" s="380">
        <f t="shared" si="114"/>
        <v>28.787687742946339</v>
      </c>
      <c r="Z309" s="380">
        <f t="shared" si="115"/>
        <v>29.064473177122935</v>
      </c>
      <c r="AA309" s="381">
        <f t="shared" si="116"/>
        <v>30.240368379471363</v>
      </c>
      <c r="AB309" s="193">
        <f t="shared" si="117"/>
        <v>45221</v>
      </c>
      <c r="AC309" s="420">
        <f>IF(OR(t&lt;Tnet,NoTnet),'2022'!Resal_s+('2022'!Salim-'2022'!Resal_s)*(1-EXP(('2022'!Tnet_s-t)/'2022'!Tau_j)),Resal_s+(Salim-Resal_s)*(1-EXP((Tnet_s-t)/Tau_j)))*Salcycl</f>
        <v>3.8884949667037948E-2</v>
      </c>
      <c r="AD309" s="227">
        <f>(INDEX(Models!$BJ309:$BT309,,AH309)*(1-AF309)+INDEX(Models!$BJ309:$BT309,,AH309+1)*AF309-ERP_i)*AE309*Ramure*Pc/MaxiM</f>
        <v>3.8911401393500124E-4</v>
      </c>
      <c r="AE309" s="301">
        <f t="shared" si="118"/>
        <v>0.5</v>
      </c>
      <c r="AF309" s="173">
        <f t="shared" si="119"/>
        <v>0.991957633026334</v>
      </c>
      <c r="AG309" s="172">
        <f t="shared" si="120"/>
        <v>0</v>
      </c>
      <c r="AH309" s="172">
        <f t="shared" si="121"/>
        <v>6</v>
      </c>
      <c r="AI309" s="221">
        <f t="shared" si="122"/>
        <v>0.991957633026334</v>
      </c>
      <c r="AJ309" s="261" t="b">
        <f t="shared" si="123"/>
        <v>0</v>
      </c>
      <c r="AK309" s="261" t="b">
        <f t="shared" si="124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5"/>
        <v>45222</v>
      </c>
      <c r="B310" s="406">
        <f>'2022'!Wh/'2022'!Env_an*'2023'!Env_an</f>
        <v>19.29197360337362</v>
      </c>
      <c r="C310" s="385"/>
      <c r="D310" s="388">
        <f t="shared" si="103"/>
        <v>19.477727079170574</v>
      </c>
      <c r="E310" s="380">
        <f t="shared" si="126"/>
        <v>19.718854895664212</v>
      </c>
      <c r="F310" s="380">
        <f t="shared" si="104"/>
        <v>19.722883667638261</v>
      </c>
      <c r="G310" s="110">
        <f t="shared" si="127"/>
        <v>0.61100621848441761</v>
      </c>
      <c r="H310" s="409" t="b">
        <f>Wh_hp&gt;='2022'!Maxi_hp</f>
        <v>0</v>
      </c>
      <c r="I310" s="385">
        <f>IF(H310,Wh_hp,'2022'!Maxi_hp)</f>
        <v>19.725415747408835</v>
      </c>
      <c r="J310" s="85">
        <f>IF(H310,An,'2022'!An_max)</f>
        <v>2022</v>
      </c>
      <c r="K310" s="193">
        <f t="shared" si="105"/>
        <v>45222</v>
      </c>
      <c r="L310" s="143">
        <f>IF(t&lt;Tvie,1-EXP((T0-t)*PertePVj)+'2022'!Pspv,1-EXP((T0-t)*PertePVj)+Pspv)</f>
        <v>9.5367121144025457E-3</v>
      </c>
      <c r="M310" s="836"/>
      <c r="N310" s="836"/>
      <c r="O310" s="48">
        <f>IF(t&lt;Tnet,'2022'!Resal+('2022'!Salim-'2022'!Resal)*(1-EXP(('2022'!Tnet-t)/('2022'!Tau_j))),Resal+(Salim-Resal)*(1-EXP((Tnet-t)/(Tau_j))))*Salcycl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4.5952950635161111E-4</v>
      </c>
      <c r="Q310" s="301">
        <f t="shared" si="106"/>
        <v>0.5</v>
      </c>
      <c r="R310" s="173">
        <f t="shared" si="107"/>
        <v>0.99203883770815571</v>
      </c>
      <c r="S310" s="802">
        <f t="shared" si="108"/>
        <v>0</v>
      </c>
      <c r="T310" s="172">
        <f t="shared" si="109"/>
        <v>6</v>
      </c>
      <c r="U310" s="247">
        <f t="shared" si="110"/>
        <v>0.99203883770815571</v>
      </c>
      <c r="V310" s="378">
        <f t="shared" si="111"/>
        <v>31.566042264559261</v>
      </c>
      <c r="W310" s="397">
        <f t="shared" si="112"/>
        <v>19.29197360337362</v>
      </c>
      <c r="X310" s="153">
        <f t="shared" si="113"/>
        <v>45222</v>
      </c>
      <c r="Y310" s="380">
        <f t="shared" si="114"/>
        <v>18.771070021831314</v>
      </c>
      <c r="Z310" s="380">
        <f t="shared" si="115"/>
        <v>18.951807958377806</v>
      </c>
      <c r="AA310" s="381">
        <f t="shared" si="116"/>
        <v>19.718854895664212</v>
      </c>
      <c r="AB310" s="193">
        <f t="shared" si="117"/>
        <v>45222</v>
      </c>
      <c r="AC310" s="420">
        <f>IF(OR(t&lt;Tnet,NoTnet),'2022'!Resal_s+('2022'!Salim-'2022'!Resal_s)*(1-EXP(('2022'!Tnet_s-t)/'2022'!Tau_j)),Resal_s+(Salim-Resal_s)*(1-EXP((Tnet_s-t)/Tau_j)))*Salcycl</f>
        <v>3.8899162316725709E-2</v>
      </c>
      <c r="AD310" s="227">
        <f>(INDEX(Models!$BJ310:$BT310,,AH310)*(1-AF310)+INDEX(Models!$BJ310:$BT310,,AH310+1)*AF310-ERP_i)*AE310*Ramure*Pc/MaxiM</f>
        <v>4.5952950635161111E-4</v>
      </c>
      <c r="AE310" s="301">
        <f t="shared" si="118"/>
        <v>0.5</v>
      </c>
      <c r="AF310" s="173">
        <f t="shared" si="119"/>
        <v>0.99203883770815571</v>
      </c>
      <c r="AG310" s="172">
        <f t="shared" si="120"/>
        <v>0</v>
      </c>
      <c r="AH310" s="172">
        <f t="shared" si="121"/>
        <v>6</v>
      </c>
      <c r="AI310" s="221">
        <f t="shared" si="122"/>
        <v>0.99203883770815571</v>
      </c>
      <c r="AJ310" s="261" t="b">
        <f t="shared" si="123"/>
        <v>0</v>
      </c>
      <c r="AK310" s="261" t="b">
        <f t="shared" si="124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5"/>
        <v>45223</v>
      </c>
      <c r="B311" s="406">
        <f>'2022'!Wh/'2022'!Env_an*'2023'!Env_an</f>
        <v>25.025671813119857</v>
      </c>
      <c r="C311" s="385"/>
      <c r="D311" s="388">
        <f t="shared" si="103"/>
        <v>25.266978296253303</v>
      </c>
      <c r="E311" s="380">
        <f t="shared" si="126"/>
        <v>25.581221417428885</v>
      </c>
      <c r="F311" s="380">
        <f t="shared" si="104"/>
        <v>25.591410212901607</v>
      </c>
      <c r="G311" s="110">
        <f t="shared" si="127"/>
        <v>0.80255888050722124</v>
      </c>
      <c r="H311" s="409" t="b">
        <f>Wh_hp&gt;='2022'!Maxi_hp</f>
        <v>0</v>
      </c>
      <c r="I311" s="385">
        <f>IF(H311,Wh_hp,'2022'!Maxi_hp)</f>
        <v>25.593422126687972</v>
      </c>
      <c r="J311" s="85">
        <f>IF(H311,An,'2022'!An_max)</f>
        <v>2022</v>
      </c>
      <c r="K311" s="193">
        <f t="shared" si="105"/>
        <v>45223</v>
      </c>
      <c r="L311" s="143">
        <f>IF(t&lt;Tvie,1-EXP((T0-t)*PertePVj)+'2022'!Pspv,1-EXP((T0-t)*PertePVj)+Pspv)</f>
        <v>9.550270725060428E-3</v>
      </c>
      <c r="M311" s="836"/>
      <c r="N311" s="836"/>
      <c r="O311" s="48">
        <f>IF(t&lt;Tnet,'2022'!Resal+('2022'!Salim-'2022'!Resal)*(1-EXP(('2022'!Tnet-t)/('2022'!Tau_j))),Resal+(Salim-Resal)*(1-EXP((Tnet-t)/(Tau_j))))*Salcycl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5.544102908273485E-4</v>
      </c>
      <c r="Q311" s="301">
        <f t="shared" si="106"/>
        <v>0.5</v>
      </c>
      <c r="R311" s="173">
        <f t="shared" si="107"/>
        <v>0.9921167977205485</v>
      </c>
      <c r="S311" s="802">
        <f t="shared" si="108"/>
        <v>0</v>
      </c>
      <c r="T311" s="172">
        <f t="shared" si="109"/>
        <v>6</v>
      </c>
      <c r="U311" s="247">
        <f t="shared" si="110"/>
        <v>0.9921167977205485</v>
      </c>
      <c r="V311" s="378">
        <f t="shared" si="111"/>
        <v>31.17747486108118</v>
      </c>
      <c r="W311" s="397">
        <f t="shared" si="112"/>
        <v>25.025671813119857</v>
      </c>
      <c r="X311" s="153">
        <f t="shared" si="113"/>
        <v>45223</v>
      </c>
      <c r="Y311" s="380">
        <f t="shared" si="114"/>
        <v>24.350979700884682</v>
      </c>
      <c r="Z311" s="380">
        <f t="shared" si="115"/>
        <v>24.58578056123137</v>
      </c>
      <c r="AA311" s="381">
        <f t="shared" si="116"/>
        <v>25.581221417428885</v>
      </c>
      <c r="AB311" s="193">
        <f t="shared" si="117"/>
        <v>45223</v>
      </c>
      <c r="AC311" s="420">
        <f>IF(OR(t&lt;Tnet,NoTnet),'2022'!Resal_s+('2022'!Salim-'2022'!Resal_s)*(1-EXP(('2022'!Tnet_s-t)/'2022'!Tau_j)),Resal_s+(Salim-Resal_s)*(1-EXP((Tnet_s-t)/Tau_j)))*Salcycl</f>
        <v>3.8912952589484517E-2</v>
      </c>
      <c r="AD311" s="227">
        <f>(INDEX(Models!$BJ311:$BT311,,AH311)*(1-AF311)+INDEX(Models!$BJ311:$BT311,,AH311+1)*AF311-ERP_i)*AE311*Ramure*Pc/MaxiM</f>
        <v>5.544102908273485E-4</v>
      </c>
      <c r="AE311" s="301">
        <f t="shared" si="118"/>
        <v>0.5</v>
      </c>
      <c r="AF311" s="173">
        <f t="shared" si="119"/>
        <v>0.9921167977205485</v>
      </c>
      <c r="AG311" s="172">
        <f t="shared" si="120"/>
        <v>0</v>
      </c>
      <c r="AH311" s="172">
        <f t="shared" si="121"/>
        <v>6</v>
      </c>
      <c r="AI311" s="221">
        <f t="shared" si="122"/>
        <v>0.9921167977205485</v>
      </c>
      <c r="AJ311" s="261" t="b">
        <f t="shared" si="123"/>
        <v>0</v>
      </c>
      <c r="AK311" s="261" t="b">
        <f t="shared" si="124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5"/>
        <v>45224</v>
      </c>
      <c r="B312" s="406">
        <f>'2022'!Wh/'2022'!Env_an*'2023'!Env_an</f>
        <v>21.031756985761767</v>
      </c>
      <c r="C312" s="385"/>
      <c r="D312" s="388">
        <f t="shared" si="103"/>
        <v>21.234843400069423</v>
      </c>
      <c r="E312" s="380">
        <f t="shared" si="126"/>
        <v>21.500149628321758</v>
      </c>
      <c r="F312" s="380">
        <f t="shared" si="104"/>
        <v>21.508084618696564</v>
      </c>
      <c r="G312" s="110">
        <f t="shared" si="127"/>
        <v>0.68284781375684467</v>
      </c>
      <c r="H312" s="409" t="b">
        <f>Wh_hp&gt;='2022'!Maxi_hp</f>
        <v>0</v>
      </c>
      <c r="I312" s="385">
        <f>IF(H312,Wh_hp,'2022'!Maxi_hp)</f>
        <v>21.511387732569521</v>
      </c>
      <c r="J312" s="85">
        <f>IF(H312,An,'2022'!An_max)</f>
        <v>2022</v>
      </c>
      <c r="K312" s="193">
        <f t="shared" si="105"/>
        <v>45224</v>
      </c>
      <c r="L312" s="143">
        <f>IF(t&lt;Tvie,1-EXP((T0-t)*PertePVj)+'2022'!Pspv,1-EXP((T0-t)*PertePVj)+Pspv)</f>
        <v>9.5638291501124462E-3</v>
      </c>
      <c r="M312" s="836"/>
      <c r="N312" s="836"/>
      <c r="O312" s="48">
        <f>IF(t&lt;Tnet,'2022'!Resal+('2022'!Salim-'2022'!Resal)*(1-EXP(('2022'!Tnet-t)/('2022'!Tau_j))),Resal+(Salim-Resal)*(1-EXP((Tnet-t)/(Tau_j))))*Salcycl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6.7418640037532058E-4</v>
      </c>
      <c r="Q312" s="301">
        <f t="shared" si="106"/>
        <v>0.5</v>
      </c>
      <c r="R312" s="173">
        <f t="shared" si="107"/>
        <v>0.99219164175195673</v>
      </c>
      <c r="S312" s="802">
        <f t="shared" si="108"/>
        <v>0</v>
      </c>
      <c r="T312" s="172">
        <f t="shared" si="109"/>
        <v>6</v>
      </c>
      <c r="U312" s="247">
        <f t="shared" si="110"/>
        <v>0.99219164175195673</v>
      </c>
      <c r="V312" s="378">
        <f t="shared" si="111"/>
        <v>30.790659538992895</v>
      </c>
      <c r="W312" s="397">
        <f t="shared" si="112"/>
        <v>21.031756985761767</v>
      </c>
      <c r="X312" s="153">
        <f t="shared" si="113"/>
        <v>45224</v>
      </c>
      <c r="Y312" s="380">
        <f t="shared" si="114"/>
        <v>20.465607712359667</v>
      </c>
      <c r="Z312" s="380">
        <f t="shared" si="115"/>
        <v>20.66322728783042</v>
      </c>
      <c r="AA312" s="381">
        <f t="shared" si="116"/>
        <v>21.500149628321758</v>
      </c>
      <c r="AB312" s="193">
        <f t="shared" si="117"/>
        <v>45224</v>
      </c>
      <c r="AC312" s="420">
        <f>IF(OR(t&lt;Tnet,NoTnet),'2022'!Resal_s+('2022'!Salim-'2022'!Resal_s)*(1-EXP(('2022'!Tnet_s-t)/'2022'!Tau_j)),Resal_s+(Salim-Resal_s)*(1-EXP((Tnet_s-t)/Tau_j)))*Salcycl</f>
        <v>3.8926349581719949E-2</v>
      </c>
      <c r="AD312" s="227">
        <f>(INDEX(Models!$BJ312:$BT312,,AH312)*(1-AF312)+INDEX(Models!$BJ312:$BT312,,AH312+1)*AF312-ERP_i)*AE312*Ramure*Pc/MaxiM</f>
        <v>6.7418640037532058E-4</v>
      </c>
      <c r="AE312" s="301">
        <f t="shared" si="118"/>
        <v>0.5</v>
      </c>
      <c r="AF312" s="173">
        <f t="shared" si="119"/>
        <v>0.99219164175195673</v>
      </c>
      <c r="AG312" s="172">
        <f t="shared" si="120"/>
        <v>0</v>
      </c>
      <c r="AH312" s="172">
        <f t="shared" si="121"/>
        <v>6</v>
      </c>
      <c r="AI312" s="221">
        <f t="shared" si="122"/>
        <v>0.99219164175195673</v>
      </c>
      <c r="AJ312" s="261" t="b">
        <f t="shared" si="123"/>
        <v>0</v>
      </c>
      <c r="AK312" s="261" t="b">
        <f t="shared" si="124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5"/>
        <v>45225</v>
      </c>
      <c r="B313" s="406">
        <f>'2022'!Wh/'2022'!Env_an*'2023'!Env_an</f>
        <v>15.717703499412409</v>
      </c>
      <c r="C313" s="385"/>
      <c r="D313" s="388">
        <f t="shared" si="103"/>
        <v>15.869693703767062</v>
      </c>
      <c r="E313" s="380">
        <f t="shared" si="126"/>
        <v>16.068869159055197</v>
      </c>
      <c r="F313" s="380">
        <f t="shared" si="104"/>
        <v>16.07294998707507</v>
      </c>
      <c r="G313" s="110">
        <f t="shared" si="127"/>
        <v>0.51663654014627525</v>
      </c>
      <c r="H313" s="409" t="b">
        <f>Wh_hp&gt;='2022'!Maxi_hp</f>
        <v>0</v>
      </c>
      <c r="I313" s="385">
        <f>IF(H313,Wh_hp,'2022'!Maxi_hp)</f>
        <v>16.077522083526727</v>
      </c>
      <c r="J313" s="85">
        <f>IF(H313,An,'2022'!An_max)</f>
        <v>2022</v>
      </c>
      <c r="K313" s="193">
        <f t="shared" si="105"/>
        <v>45225</v>
      </c>
      <c r="L313" s="143">
        <f>IF(t&lt;Tvie,1-EXP((T0-t)*PertePVj)+'2022'!Pspv,1-EXP((T0-t)*PertePVj)+Pspv)</f>
        <v>9.5773873895609318E-3</v>
      </c>
      <c r="M313" s="836"/>
      <c r="N313" s="836"/>
      <c r="O313" s="48">
        <f>IF(t&lt;Tnet,'2022'!Resal+('2022'!Salim-'2022'!Resal)*(1-EXP(('2022'!Tnet-t)/('2022'!Tau_j))),Resal+(Salim-Resal)*(1-EXP((Tnet-t)/(Tau_j))))*Salcycl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8.1928191054726123E-4</v>
      </c>
      <c r="Q313" s="301">
        <f t="shared" si="106"/>
        <v>0.5</v>
      </c>
      <c r="R313" s="173">
        <f t="shared" si="107"/>
        <v>0.99226349346218612</v>
      </c>
      <c r="S313" s="802">
        <f t="shared" si="108"/>
        <v>0</v>
      </c>
      <c r="T313" s="172">
        <f t="shared" si="109"/>
        <v>6</v>
      </c>
      <c r="U313" s="247">
        <f t="shared" si="110"/>
        <v>0.99226349346218612</v>
      </c>
      <c r="V313" s="378">
        <f t="shared" si="111"/>
        <v>30.405930329663033</v>
      </c>
      <c r="W313" s="397">
        <f t="shared" si="112"/>
        <v>15.717703499412409</v>
      </c>
      <c r="X313" s="153">
        <f t="shared" si="113"/>
        <v>45225</v>
      </c>
      <c r="Y313" s="380">
        <f t="shared" si="114"/>
        <v>15.295252190435189</v>
      </c>
      <c r="Z313" s="380">
        <f t="shared" si="115"/>
        <v>15.44315729032253</v>
      </c>
      <c r="AA313" s="381">
        <f t="shared" si="116"/>
        <v>16.068869159055197</v>
      </c>
      <c r="AB313" s="193">
        <f t="shared" si="117"/>
        <v>45225</v>
      </c>
      <c r="AC313" s="420">
        <f>IF(OR(t&lt;Tnet,NoTnet),'2022'!Resal_s+('2022'!Salim-'2022'!Resal_s)*(1-EXP(('2022'!Tnet_s-t)/'2022'!Tau_j)),Resal_s+(Salim-Resal_s)*(1-EXP((Tnet_s-t)/Tau_j)))*Salcycl</f>
        <v>3.8939384130840561E-2</v>
      </c>
      <c r="AD313" s="227">
        <f>(INDEX(Models!$BJ313:$BT313,,AH313)*(1-AF313)+INDEX(Models!$BJ313:$BT313,,AH313+1)*AF313-ERP_i)*AE313*Ramure*Pc/MaxiM</f>
        <v>8.1928191054726123E-4</v>
      </c>
      <c r="AE313" s="301">
        <f t="shared" si="118"/>
        <v>0.5</v>
      </c>
      <c r="AF313" s="173">
        <f t="shared" si="119"/>
        <v>0.99226349346218612</v>
      </c>
      <c r="AG313" s="172">
        <f t="shared" si="120"/>
        <v>0</v>
      </c>
      <c r="AH313" s="172">
        <f t="shared" si="121"/>
        <v>6</v>
      </c>
      <c r="AI313" s="221">
        <f t="shared" si="122"/>
        <v>0.99226349346218612</v>
      </c>
      <c r="AJ313" s="261" t="b">
        <f t="shared" si="123"/>
        <v>0</v>
      </c>
      <c r="AK313" s="261" t="b">
        <f t="shared" si="124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5"/>
        <v>45226</v>
      </c>
      <c r="B314" s="406">
        <f>'2022'!Wh/'2022'!Env_an*'2023'!Env_an</f>
        <v>14.862636654968227</v>
      </c>
      <c r="C314" s="385"/>
      <c r="D314" s="388">
        <f t="shared" si="103"/>
        <v>15.006563789566995</v>
      </c>
      <c r="E314" s="380">
        <f t="shared" si="126"/>
        <v>15.195754986440578</v>
      </c>
      <c r="F314" s="380">
        <f t="shared" si="104"/>
        <v>15.19994808392217</v>
      </c>
      <c r="G314" s="110">
        <f t="shared" si="127"/>
        <v>0.49467776886864168</v>
      </c>
      <c r="H314" s="409" t="b">
        <f>Wh_hp&gt;='2022'!Maxi_hp</f>
        <v>0</v>
      </c>
      <c r="I314" s="385">
        <f>IF(H314,Wh_hp,'2022'!Maxi_hp)</f>
        <v>15.20541089305954</v>
      </c>
      <c r="J314" s="85">
        <f>IF(H314,An,'2022'!An_max)</f>
        <v>2022</v>
      </c>
      <c r="K314" s="193">
        <f t="shared" si="105"/>
        <v>45226</v>
      </c>
      <c r="L314" s="143">
        <f>IF(t&lt;Tvie,1-EXP((T0-t)*PertePVj)+'2022'!Pspv,1-EXP((T0-t)*PertePVj)+Pspv)</f>
        <v>9.5909454434085495E-3</v>
      </c>
      <c r="M314" s="836"/>
      <c r="N314" s="836"/>
      <c r="O314" s="48">
        <f>IF(t&lt;Tnet,'2022'!Resal+('2022'!Salim-'2022'!Resal)*(1-EXP(('2022'!Tnet-t)/('2022'!Tau_j))),Resal+(Salim-Resal)*(1-EXP((Tnet-t)/(Tau_j))))*Salcycl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9.9011640673033678E-4</v>
      </c>
      <c r="Q314" s="301">
        <f t="shared" si="106"/>
        <v>0.5</v>
      </c>
      <c r="R314" s="173">
        <f t="shared" si="107"/>
        <v>0.99233247167296346</v>
      </c>
      <c r="S314" s="802">
        <f t="shared" si="108"/>
        <v>0</v>
      </c>
      <c r="T314" s="172">
        <f t="shared" si="109"/>
        <v>6</v>
      </c>
      <c r="U314" s="247">
        <f t="shared" si="110"/>
        <v>0.99233247167296346</v>
      </c>
      <c r="V314" s="378">
        <f t="shared" si="111"/>
        <v>30.0236213669405</v>
      </c>
      <c r="W314" s="397">
        <f t="shared" si="112"/>
        <v>14.862636654968227</v>
      </c>
      <c r="X314" s="153">
        <f t="shared" si="113"/>
        <v>45226</v>
      </c>
      <c r="Y314" s="380">
        <f t="shared" si="114"/>
        <v>14.463783875019654</v>
      </c>
      <c r="Z314" s="380">
        <f t="shared" si="115"/>
        <v>14.603848590111209</v>
      </c>
      <c r="AA314" s="381">
        <f t="shared" si="116"/>
        <v>15.195754986440578</v>
      </c>
      <c r="AB314" s="193">
        <f t="shared" si="117"/>
        <v>45226</v>
      </c>
      <c r="AC314" s="420">
        <f>IF(OR(t&lt;Tnet,NoTnet),'2022'!Resal_s+('2022'!Salim-'2022'!Resal_s)*(1-EXP(('2022'!Tnet_s-t)/'2022'!Tau_j)),Resal_s+(Salim-Resal_s)*(1-EXP((Tnet_s-t)/Tau_j)))*Salcycl</f>
        <v>3.8952088715403593E-2</v>
      </c>
      <c r="AD314" s="227">
        <f>(INDEX(Models!$BJ314:$BT314,,AH314)*(1-AF314)+INDEX(Models!$BJ314:$BT314,,AH314+1)*AF314-ERP_i)*AE314*Ramure*Pc/MaxiM</f>
        <v>9.9011640673033678E-4</v>
      </c>
      <c r="AE314" s="301">
        <f t="shared" si="118"/>
        <v>0.5</v>
      </c>
      <c r="AF314" s="173">
        <f t="shared" si="119"/>
        <v>0.99233247167296346</v>
      </c>
      <c r="AG314" s="172">
        <f t="shared" si="120"/>
        <v>0</v>
      </c>
      <c r="AH314" s="172">
        <f t="shared" si="121"/>
        <v>6</v>
      </c>
      <c r="AI314" s="221">
        <f t="shared" si="122"/>
        <v>0.99233247167296346</v>
      </c>
      <c r="AJ314" s="261" t="b">
        <f t="shared" si="123"/>
        <v>0</v>
      </c>
      <c r="AK314" s="261" t="b">
        <f t="shared" si="124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5"/>
        <v>45227</v>
      </c>
      <c r="B315" s="406">
        <f>'2022'!Wh/'2022'!Env_an*'2023'!Env_an</f>
        <v>17.096809782075205</v>
      </c>
      <c r="C315" s="385"/>
      <c r="D315" s="388">
        <f t="shared" si="103"/>
        <v>17.262608563188198</v>
      </c>
      <c r="E315" s="380">
        <f t="shared" si="126"/>
        <v>17.481214784218846</v>
      </c>
      <c r="F315" s="380">
        <f t="shared" si="104"/>
        <v>17.489422687769764</v>
      </c>
      <c r="G315" s="110">
        <f t="shared" si="127"/>
        <v>0.57632213840460833</v>
      </c>
      <c r="H315" s="409" t="b">
        <f>Wh_hp&gt;='2022'!Maxi_hp</f>
        <v>0</v>
      </c>
      <c r="I315" s="385">
        <f>IF(H315,Wh_hp,'2022'!Maxi_hp)</f>
        <v>17.495740847674913</v>
      </c>
      <c r="J315" s="85">
        <f>IF(H315,An,'2022'!An_max)</f>
        <v>2022</v>
      </c>
      <c r="K315" s="193">
        <f t="shared" si="105"/>
        <v>45227</v>
      </c>
      <c r="L315" s="143">
        <f>IF(t&lt;Tvie,1-EXP((T0-t)*PertePVj)+'2022'!Pspv,1-EXP((T0-t)*PertePVj)+Pspv)</f>
        <v>9.6045033116578526E-3</v>
      </c>
      <c r="M315" s="836"/>
      <c r="N315" s="836"/>
      <c r="O315" s="48">
        <f>IF(t&lt;Tnet,'2022'!Resal+('2022'!Salim-'2022'!Resal)*(1-EXP(('2022'!Tnet-t)/('2022'!Tau_j))),Resal+(Salim-Resal)*(1-EXP((Tnet-t)/(Tau_j))))*Salcycl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1.1871037066769504E-3</v>
      </c>
      <c r="Q315" s="301">
        <f t="shared" si="106"/>
        <v>0.5</v>
      </c>
      <c r="R315" s="173">
        <f t="shared" si="107"/>
        <v>0.99239869055174557</v>
      </c>
      <c r="S315" s="802">
        <f t="shared" si="108"/>
        <v>0</v>
      </c>
      <c r="T315" s="172">
        <f t="shared" si="109"/>
        <v>6</v>
      </c>
      <c r="U315" s="247">
        <f t="shared" si="110"/>
        <v>0.99239869055174557</v>
      </c>
      <c r="V315" s="378">
        <f t="shared" si="111"/>
        <v>29.644066821252203</v>
      </c>
      <c r="W315" s="397">
        <f t="shared" si="112"/>
        <v>17.096809782075205</v>
      </c>
      <c r="X315" s="153">
        <f t="shared" si="113"/>
        <v>45227</v>
      </c>
      <c r="Y315" s="380">
        <f t="shared" si="114"/>
        <v>16.638711728105189</v>
      </c>
      <c r="Z315" s="380">
        <f t="shared" si="115"/>
        <v>16.800068037204596</v>
      </c>
      <c r="AA315" s="381">
        <f t="shared" si="116"/>
        <v>17.481214784218846</v>
      </c>
      <c r="AB315" s="193">
        <f t="shared" si="117"/>
        <v>45227</v>
      </c>
      <c r="AC315" s="420">
        <f>IF(OR(t&lt;Tnet,NoTnet),'2022'!Resal_s+('2022'!Salim-'2022'!Resal_s)*(1-EXP(('2022'!Tnet_s-t)/'2022'!Tau_j)),Resal_s+(Salim-Resal_s)*(1-EXP((Tnet_s-t)/Tau_j)))*Salcycl</f>
        <v>3.896449734312258E-2</v>
      </c>
      <c r="AD315" s="227">
        <f>(INDEX(Models!$BJ315:$BT315,,AH315)*(1-AF315)+INDEX(Models!$BJ315:$BT315,,AH315+1)*AF315-ERP_i)*AE315*Ramure*Pc/MaxiM</f>
        <v>1.1871037066769504E-3</v>
      </c>
      <c r="AE315" s="301">
        <f t="shared" si="118"/>
        <v>0.5</v>
      </c>
      <c r="AF315" s="173">
        <f t="shared" si="119"/>
        <v>0.99239869055174557</v>
      </c>
      <c r="AG315" s="172">
        <f t="shared" si="120"/>
        <v>0</v>
      </c>
      <c r="AH315" s="172">
        <f t="shared" si="121"/>
        <v>6</v>
      </c>
      <c r="AI315" s="221">
        <f t="shared" si="122"/>
        <v>0.99239869055174557</v>
      </c>
      <c r="AJ315" s="261" t="b">
        <f t="shared" si="123"/>
        <v>0</v>
      </c>
      <c r="AK315" s="261" t="b">
        <f t="shared" si="124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5"/>
        <v>45228</v>
      </c>
      <c r="B316" s="406">
        <f>'2022'!Wh/'2022'!Env_an*'2023'!Env_an</f>
        <v>24.055355056237929</v>
      </c>
      <c r="C316" s="385"/>
      <c r="D316" s="388">
        <f t="shared" si="103"/>
        <v>24.288967830318796</v>
      </c>
      <c r="E316" s="380">
        <f t="shared" si="126"/>
        <v>24.597916383107822</v>
      </c>
      <c r="F316" s="380">
        <f t="shared" si="104"/>
        <v>24.623814784043461</v>
      </c>
      <c r="G316" s="110">
        <f t="shared" si="127"/>
        <v>0.82161544157840094</v>
      </c>
      <c r="H316" s="409" t="b">
        <f>Wh_hp&gt;='2022'!Maxi_hp</f>
        <v>0</v>
      </c>
      <c r="I316" s="385">
        <f>IF(H316,Wh_hp,'2022'!Maxi_hp)</f>
        <v>24.628264313045676</v>
      </c>
      <c r="J316" s="85">
        <f>IF(H316,An,'2022'!An_max)</f>
        <v>2022</v>
      </c>
      <c r="K316" s="193">
        <f t="shared" si="105"/>
        <v>45228</v>
      </c>
      <c r="L316" s="143">
        <f>IF(t&lt;Tvie,1-EXP((T0-t)*PertePVj)+'2022'!Pspv,1-EXP((T0-t)*PertePVj)+Pspv)</f>
        <v>9.6180609943111728E-3</v>
      </c>
      <c r="M316" s="836"/>
      <c r="N316" s="836"/>
      <c r="O316" s="48">
        <f>IF(t&lt;Tnet,'2022'!Resal+('2022'!Salim-'2022'!Resal)*(1-EXP(('2022'!Tnet-t)/('2022'!Tau_j))),Resal+(Salim-Resal)*(1-EXP((Tnet-t)/(Tau_j))))*Salcycl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1.4106505147381792E-3</v>
      </c>
      <c r="Q316" s="301">
        <f t="shared" si="106"/>
        <v>0.5</v>
      </c>
      <c r="R316" s="173">
        <f t="shared" si="107"/>
        <v>0.99246225978898173</v>
      </c>
      <c r="S316" s="802">
        <f t="shared" si="108"/>
        <v>0</v>
      </c>
      <c r="T316" s="172">
        <f t="shared" si="109"/>
        <v>6</v>
      </c>
      <c r="U316" s="247">
        <f t="shared" si="110"/>
        <v>0.99246225978898173</v>
      </c>
      <c r="V316" s="378">
        <f t="shared" si="111"/>
        <v>29.267600835055099</v>
      </c>
      <c r="W316" s="397">
        <f t="shared" si="112"/>
        <v>24.055355056237929</v>
      </c>
      <c r="X316" s="153">
        <f t="shared" si="113"/>
        <v>45228</v>
      </c>
      <c r="Y316" s="380">
        <f t="shared" si="114"/>
        <v>23.411809118706962</v>
      </c>
      <c r="Z316" s="380">
        <f t="shared" si="115"/>
        <v>23.639172117992839</v>
      </c>
      <c r="AA316" s="381">
        <f t="shared" si="116"/>
        <v>24.597916383107822</v>
      </c>
      <c r="AB316" s="193">
        <f t="shared" si="117"/>
        <v>45228</v>
      </c>
      <c r="AC316" s="420">
        <f>IF(OR(t&lt;Tnet,NoTnet),'2022'!Resal_s+('2022'!Salim-'2022'!Resal_s)*(1-EXP(('2022'!Tnet_s-t)/'2022'!Tau_j)),Resal_s+(Salim-Resal_s)*(1-EXP((Tnet_s-t)/Tau_j)))*Salcycl</f>
        <v>3.8976645427308797E-2</v>
      </c>
      <c r="AD316" s="227">
        <f>(INDEX(Models!$BJ316:$BT316,,AH316)*(1-AF316)+INDEX(Models!$BJ316:$BT316,,AH316+1)*AF316-ERP_i)*AE316*Ramure*Pc/MaxiM</f>
        <v>1.4106505147381792E-3</v>
      </c>
      <c r="AE316" s="301">
        <f t="shared" si="118"/>
        <v>0.5</v>
      </c>
      <c r="AF316" s="173">
        <f t="shared" si="119"/>
        <v>0.99246225978898173</v>
      </c>
      <c r="AG316" s="172">
        <f t="shared" si="120"/>
        <v>0</v>
      </c>
      <c r="AH316" s="172">
        <f t="shared" si="121"/>
        <v>6</v>
      </c>
      <c r="AI316" s="221">
        <f t="shared" si="122"/>
        <v>0.99246225978898173</v>
      </c>
      <c r="AJ316" s="261" t="b">
        <f t="shared" si="123"/>
        <v>0</v>
      </c>
      <c r="AK316" s="261" t="b">
        <f t="shared" si="124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5"/>
        <v>45229</v>
      </c>
      <c r="B317" s="406">
        <f>'2022'!Wh/'2022'!Env_an*'2023'!Env_an</f>
        <v>21.066919898767519</v>
      </c>
      <c r="C317" s="385"/>
      <c r="D317" s="388">
        <f t="shared" si="103"/>
        <v>21.271801778118434</v>
      </c>
      <c r="E317" s="380">
        <f t="shared" si="126"/>
        <v>21.543563031671862</v>
      </c>
      <c r="F317" s="380">
        <f t="shared" si="104"/>
        <v>21.565526783028854</v>
      </c>
      <c r="G317" s="110">
        <f t="shared" si="127"/>
        <v>0.72867670916432059</v>
      </c>
      <c r="H317" s="409" t="b">
        <f>Wh_hp&gt;='2022'!Maxi_hp</f>
        <v>0</v>
      </c>
      <c r="I317" s="385">
        <f>IF(H317,Wh_hp,'2022'!Maxi_hp)</f>
        <v>21.572507516990949</v>
      </c>
      <c r="J317" s="85">
        <f>IF(H317,An,'2022'!An_max)</f>
        <v>2022</v>
      </c>
      <c r="K317" s="193">
        <f t="shared" si="105"/>
        <v>45229</v>
      </c>
      <c r="L317" s="143">
        <f>IF(t&lt;Tvie,1-EXP((T0-t)*PertePVj)+'2022'!Pspv,1-EXP((T0-t)*PertePVj)+Pspv)</f>
        <v>9.6316184913713965E-3</v>
      </c>
      <c r="M317" s="836"/>
      <c r="N317" s="836"/>
      <c r="O317" s="48">
        <f>IF(t&lt;Tnet,'2022'!Resal+('2022'!Salim-'2022'!Resal)*(1-EXP(('2022'!Tnet-t)/('2022'!Tau_j))),Resal+(Salim-Resal)*(1-EXP((Tnet-t)/(Tau_j))))*Salcycl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1.6612673773399741E-3</v>
      </c>
      <c r="Q317" s="301">
        <f t="shared" si="106"/>
        <v>0.5</v>
      </c>
      <c r="R317" s="173">
        <f t="shared" si="107"/>
        <v>0.99252328476902441</v>
      </c>
      <c r="S317" s="802">
        <f t="shared" si="108"/>
        <v>0</v>
      </c>
      <c r="T317" s="172">
        <f t="shared" si="109"/>
        <v>6</v>
      </c>
      <c r="U317" s="247">
        <f t="shared" si="110"/>
        <v>0.99252328476902441</v>
      </c>
      <c r="V317" s="378">
        <f t="shared" si="111"/>
        <v>28.892599390850545</v>
      </c>
      <c r="W317" s="397">
        <f t="shared" si="112"/>
        <v>21.066919898767519</v>
      </c>
      <c r="X317" s="153">
        <f t="shared" si="113"/>
        <v>45229</v>
      </c>
      <c r="Y317" s="380">
        <f t="shared" si="114"/>
        <v>20.504201047816842</v>
      </c>
      <c r="Z317" s="380">
        <f t="shared" si="115"/>
        <v>20.703610323850185</v>
      </c>
      <c r="AA317" s="381">
        <f t="shared" si="116"/>
        <v>21.543563031671862</v>
      </c>
      <c r="AB317" s="193">
        <f t="shared" si="117"/>
        <v>45229</v>
      </c>
      <c r="AC317" s="420">
        <f>IF(OR(t&lt;Tnet,NoTnet),'2022'!Resal_s+('2022'!Salim-'2022'!Resal_s)*(1-EXP(('2022'!Tnet_s-t)/'2022'!Tau_j)),Resal_s+(Salim-Resal_s)*(1-EXP((Tnet_s-t)/Tau_j)))*Salcycl</f>
        <v>3.8988569652421742E-2</v>
      </c>
      <c r="AD317" s="227">
        <f>(INDEX(Models!$BJ317:$BT317,,AH317)*(1-AF317)+INDEX(Models!$BJ317:$BT317,,AH317+1)*AF317-ERP_i)*AE317*Ramure*Pc/MaxiM</f>
        <v>1.6612673773399741E-3</v>
      </c>
      <c r="AE317" s="301">
        <f t="shared" si="118"/>
        <v>0.5</v>
      </c>
      <c r="AF317" s="173">
        <f t="shared" si="119"/>
        <v>0.99252328476902441</v>
      </c>
      <c r="AG317" s="172">
        <f t="shared" si="120"/>
        <v>0</v>
      </c>
      <c r="AH317" s="172">
        <f t="shared" si="121"/>
        <v>6</v>
      </c>
      <c r="AI317" s="221">
        <f t="shared" si="122"/>
        <v>0.99252328476902441</v>
      </c>
      <c r="AJ317" s="261" t="b">
        <f t="shared" si="123"/>
        <v>0</v>
      </c>
      <c r="AK317" s="261" t="b">
        <f t="shared" si="124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5"/>
        <v>45230</v>
      </c>
      <c r="B318" s="406">
        <f>'2022'!Wh/'2022'!Env_an*'2023'!Env_an</f>
        <v>20.210649465110997</v>
      </c>
      <c r="C318" s="385"/>
      <c r="D318" s="388">
        <f t="shared" si="103"/>
        <v>20.407483228543825</v>
      </c>
      <c r="E318" s="380">
        <f t="shared" si="126"/>
        <v>20.66934046131254</v>
      </c>
      <c r="F318" s="380">
        <f t="shared" si="104"/>
        <v>20.692751153441989</v>
      </c>
      <c r="G318" s="110">
        <f t="shared" si="127"/>
        <v>0.7081349909276955</v>
      </c>
      <c r="H318" s="409" t="b">
        <f>Wh_hp&gt;='2022'!Maxi_hp</f>
        <v>0</v>
      </c>
      <c r="I318" s="385">
        <f>IF(H318,Wh_hp,'2022'!Maxi_hp)</f>
        <v>20.701155143834445</v>
      </c>
      <c r="J318" s="85">
        <f>IF(H318,An,'2022'!An_max)</f>
        <v>2022</v>
      </c>
      <c r="K318" s="193">
        <f t="shared" si="105"/>
        <v>45230</v>
      </c>
      <c r="L318" s="143">
        <f>IF(t&lt;Tvie,1-EXP((T0-t)*PertePVj)+'2022'!Pspv,1-EXP((T0-t)*PertePVj)+Pspv)</f>
        <v>9.6451758028407442E-3</v>
      </c>
      <c r="M318" s="836"/>
      <c r="N318" s="836"/>
      <c r="O318" s="48">
        <f>IF(t&lt;Tnet,'2022'!Resal+('2022'!Salim-'2022'!Resal)*(1-EXP(('2022'!Tnet-t)/('2022'!Tau_j))),Resal+(Salim-Resal)*(1-EXP((Tnet-t)/(Tau_j))))*Salcycl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1.9376792372229267E-3</v>
      </c>
      <c r="Q318" s="301">
        <f t="shared" si="106"/>
        <v>0.5</v>
      </c>
      <c r="R318" s="173">
        <f t="shared" si="107"/>
        <v>0.99258186673488535</v>
      </c>
      <c r="S318" s="802">
        <f t="shared" si="108"/>
        <v>0</v>
      </c>
      <c r="T318" s="172">
        <f t="shared" si="109"/>
        <v>6</v>
      </c>
      <c r="U318" s="247">
        <f t="shared" si="110"/>
        <v>0.99258186673488535</v>
      </c>
      <c r="V318" s="378">
        <f t="shared" si="111"/>
        <v>28.517634035476547</v>
      </c>
      <c r="W318" s="397">
        <f t="shared" si="112"/>
        <v>20.210649465110997</v>
      </c>
      <c r="X318" s="153">
        <f t="shared" si="113"/>
        <v>45230</v>
      </c>
      <c r="Y318" s="380">
        <f t="shared" si="114"/>
        <v>19.671645477055812</v>
      </c>
      <c r="Z318" s="380">
        <f t="shared" si="115"/>
        <v>19.863229820688581</v>
      </c>
      <c r="AA318" s="381">
        <f t="shared" si="116"/>
        <v>20.66934046131254</v>
      </c>
      <c r="AB318" s="193">
        <f t="shared" si="117"/>
        <v>45230</v>
      </c>
      <c r="AC318" s="420">
        <f>IF(OR(t&lt;Tnet,NoTnet),'2022'!Resal_s+('2022'!Salim-'2022'!Resal_s)*(1-EXP(('2022'!Tnet_s-t)/'2022'!Tau_j)),Resal_s+(Salim-Resal_s)*(1-EXP((Tnet_s-t)/Tau_j)))*Salcycl</f>
        <v>3.9000307829501507E-2</v>
      </c>
      <c r="AD318" s="227">
        <f>(INDEX(Models!$BJ318:$BT318,,AH318)*(1-AF318)+INDEX(Models!$BJ318:$BT318,,AH318+1)*AF318-ERP_i)*AE318*Ramure*Pc/MaxiM</f>
        <v>1.9376792372229267E-3</v>
      </c>
      <c r="AE318" s="301">
        <f t="shared" si="118"/>
        <v>0.5</v>
      </c>
      <c r="AF318" s="173">
        <f t="shared" si="119"/>
        <v>0.99258186673488535</v>
      </c>
      <c r="AG318" s="172">
        <f t="shared" si="120"/>
        <v>0</v>
      </c>
      <c r="AH318" s="172">
        <f t="shared" si="121"/>
        <v>6</v>
      </c>
      <c r="AI318" s="221">
        <f t="shared" si="122"/>
        <v>0.99258186673488535</v>
      </c>
      <c r="AJ318" s="261" t="b">
        <f t="shared" si="123"/>
        <v>0</v>
      </c>
      <c r="AK318" s="261" t="b">
        <f t="shared" si="124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5"/>
        <v>45231</v>
      </c>
      <c r="B319" s="406">
        <f>'2022'!Wh/'2022'!Env_an*'2023'!Env_an</f>
        <v>18.430332914195386</v>
      </c>
      <c r="C319" s="385"/>
      <c r="D319" s="388">
        <f t="shared" si="103"/>
        <v>18.610082733095776</v>
      </c>
      <c r="E319" s="380">
        <f t="shared" si="126"/>
        <v>18.849911671283962</v>
      </c>
      <c r="F319" s="380">
        <f t="shared" si="104"/>
        <v>18.871274625170692</v>
      </c>
      <c r="G319" s="110">
        <f t="shared" si="127"/>
        <v>0.65414911308070645</v>
      </c>
      <c r="H319" s="409" t="b">
        <f>Wh_hp&gt;='2022'!Maxi_hp</f>
        <v>0</v>
      </c>
      <c r="I319" s="385">
        <f>IF(H319,Wh_hp,'2022'!Maxi_hp)</f>
        <v>18.881740725335344</v>
      </c>
      <c r="J319" s="85">
        <f>IF(H319,An,'2022'!An_max)</f>
        <v>2022</v>
      </c>
      <c r="K319" s="193">
        <f t="shared" si="105"/>
        <v>45231</v>
      </c>
      <c r="L319" s="143">
        <f>IF(t&lt;Tvie,1-EXP((T0-t)*PertePVj)+'2022'!Pspv,1-EXP((T0-t)*PertePVj)+Pspv)</f>
        <v>9.6587329287218804E-3</v>
      </c>
      <c r="M319" s="836"/>
      <c r="N319" s="836"/>
      <c r="O319" s="48">
        <f>IF(t&lt;Tnet,'2022'!Resal+('2022'!Salim-'2022'!Resal)*(1-EXP(('2022'!Tnet-t)/('2022'!Tau_j))),Resal+(Salim-Resal)*(1-EXP((Tnet-t)/(Tau_j))))*Salcycl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2.2329947414919346E-3</v>
      </c>
      <c r="Q319" s="301">
        <f t="shared" si="106"/>
        <v>0.5</v>
      </c>
      <c r="R319" s="173">
        <f t="shared" si="107"/>
        <v>0.99263810294702703</v>
      </c>
      <c r="S319" s="802">
        <f t="shared" si="108"/>
        <v>0</v>
      </c>
      <c r="T319" s="172">
        <f t="shared" si="109"/>
        <v>6</v>
      </c>
      <c r="U319" s="247">
        <f t="shared" si="110"/>
        <v>0.99263810294702703</v>
      </c>
      <c r="V319" s="378">
        <f t="shared" si="111"/>
        <v>28.143459198449971</v>
      </c>
      <c r="W319" s="397">
        <f t="shared" si="112"/>
        <v>18.430332914195386</v>
      </c>
      <c r="X319" s="153">
        <f t="shared" si="113"/>
        <v>45231</v>
      </c>
      <c r="Y319" s="380">
        <f t="shared" si="114"/>
        <v>17.93957731389818</v>
      </c>
      <c r="Z319" s="380">
        <f t="shared" si="115"/>
        <v>18.114540825861607</v>
      </c>
      <c r="AA319" s="381">
        <f t="shared" si="116"/>
        <v>18.849911671283962</v>
      </c>
      <c r="AB319" s="193">
        <f t="shared" si="117"/>
        <v>45231</v>
      </c>
      <c r="AC319" s="420">
        <f>IF(OR(t&lt;Tnet,NoTnet),'2022'!Resal_s+('2022'!Salim-'2022'!Resal_s)*(1-EXP(('2022'!Tnet_s-t)/'2022'!Tau_j)),Resal_s+(Salim-Resal_s)*(1-EXP((Tnet_s-t)/Tau_j)))*Salcycl</f>
        <v>3.9011898742349116E-2</v>
      </c>
      <c r="AD319" s="227">
        <f>(INDEX(Models!$BJ319:$BT319,,AH319)*(1-AF319)+INDEX(Models!$BJ319:$BT319,,AH319+1)*AF319-ERP_i)*AE319*Ramure*Pc/MaxiM</f>
        <v>2.2329947414919346E-3</v>
      </c>
      <c r="AE319" s="301">
        <f t="shared" si="118"/>
        <v>0.5</v>
      </c>
      <c r="AF319" s="173">
        <f t="shared" si="119"/>
        <v>0.99263810294702703</v>
      </c>
      <c r="AG319" s="172">
        <f t="shared" si="120"/>
        <v>0</v>
      </c>
      <c r="AH319" s="172">
        <f t="shared" si="121"/>
        <v>6</v>
      </c>
      <c r="AI319" s="221">
        <f t="shared" si="122"/>
        <v>0.99263810294702703</v>
      </c>
      <c r="AJ319" s="261" t="b">
        <f t="shared" si="123"/>
        <v>0</v>
      </c>
      <c r="AK319" s="261" t="b">
        <f t="shared" si="124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5"/>
        <v>45232</v>
      </c>
      <c r="B320" s="406">
        <f>'2022'!Wh/'2022'!Env_an*'2023'!Env_an</f>
        <v>25.513883122422037</v>
      </c>
      <c r="C320" s="385"/>
      <c r="D320" s="388">
        <f t="shared" si="103"/>
        <v>25.763071013177569</v>
      </c>
      <c r="E320" s="380">
        <f t="shared" si="126"/>
        <v>26.096509663303067</v>
      </c>
      <c r="F320" s="380">
        <f t="shared" si="104"/>
        <v>26.155406536499907</v>
      </c>
      <c r="G320" s="110">
        <f t="shared" si="127"/>
        <v>0.91846430342075325</v>
      </c>
      <c r="H320" s="409" t="b">
        <f>Wh_hp&gt;='2022'!Maxi_hp</f>
        <v>0</v>
      </c>
      <c r="I320" s="385">
        <f>IF(H320,Wh_hp,'2022'!Maxi_hp)</f>
        <v>26.159305907233136</v>
      </c>
      <c r="J320" s="85">
        <f>IF(H320,An,'2022'!An_max)</f>
        <v>2022</v>
      </c>
      <c r="K320" s="193">
        <f t="shared" si="105"/>
        <v>45232</v>
      </c>
      <c r="L320" s="143">
        <f>IF(t&lt;Tvie,1-EXP((T0-t)*PertePVj)+'2022'!Pspv,1-EXP((T0-t)*PertePVj)+Pspv)</f>
        <v>9.6722898690173587E-3</v>
      </c>
      <c r="M320" s="836"/>
      <c r="N320" s="836"/>
      <c r="O320" s="48">
        <f>IF(t&lt;Tnet,'2022'!Resal+('2022'!Salim-'2022'!Resal)*(1-EXP(('2022'!Tnet-t)/('2022'!Tau_j))),Resal+(Salim-Resal)*(1-EXP((Tnet-t)/(Tau_j))))*Salcycl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2.5475515264975668E-3</v>
      </c>
      <c r="Q320" s="301">
        <f t="shared" si="106"/>
        <v>0.5</v>
      </c>
      <c r="R320" s="173">
        <f t="shared" si="107"/>
        <v>0.9926920868363811</v>
      </c>
      <c r="S320" s="802">
        <f t="shared" si="108"/>
        <v>0</v>
      </c>
      <c r="T320" s="172">
        <f t="shared" si="109"/>
        <v>6</v>
      </c>
      <c r="U320" s="247">
        <f t="shared" si="110"/>
        <v>0.9926920868363811</v>
      </c>
      <c r="V320" s="378">
        <f t="shared" si="111"/>
        <v>27.770617054444799</v>
      </c>
      <c r="W320" s="397">
        <f t="shared" si="112"/>
        <v>25.513883122422037</v>
      </c>
      <c r="X320" s="153">
        <f t="shared" si="113"/>
        <v>45232</v>
      </c>
      <c r="Y320" s="380">
        <f t="shared" si="114"/>
        <v>24.835572601345572</v>
      </c>
      <c r="Z320" s="380">
        <f t="shared" si="115"/>
        <v>25.078135598226137</v>
      </c>
      <c r="AA320" s="381">
        <f t="shared" si="116"/>
        <v>26.096509663303067</v>
      </c>
      <c r="AB320" s="193">
        <f t="shared" si="117"/>
        <v>45232</v>
      </c>
      <c r="AC320" s="420">
        <f>IF(OR(t&lt;Tnet,NoTnet),'2022'!Resal_s+('2022'!Salim-'2022'!Resal_s)*(1-EXP(('2022'!Tnet_s-t)/'2022'!Tau_j)),Resal_s+(Salim-Resal_s)*(1-EXP((Tnet_s-t)/Tau_j)))*Salcycl</f>
        <v>3.902338198540653E-2</v>
      </c>
      <c r="AD320" s="227">
        <f>(INDEX(Models!$BJ320:$BT320,,AH320)*(1-AF320)+INDEX(Models!$BJ320:$BT320,,AH320+1)*AF320-ERP_i)*AE320*Ramure*Pc/MaxiM</f>
        <v>2.5475515264975668E-3</v>
      </c>
      <c r="AE320" s="301">
        <f t="shared" si="118"/>
        <v>0.5</v>
      </c>
      <c r="AF320" s="173">
        <f t="shared" si="119"/>
        <v>0.9926920868363811</v>
      </c>
      <c r="AG320" s="172">
        <f t="shared" si="120"/>
        <v>0</v>
      </c>
      <c r="AH320" s="172">
        <f t="shared" si="121"/>
        <v>6</v>
      </c>
      <c r="AI320" s="221">
        <f t="shared" si="122"/>
        <v>0.9926920868363811</v>
      </c>
      <c r="AJ320" s="261" t="b">
        <f t="shared" si="123"/>
        <v>0</v>
      </c>
      <c r="AK320" s="261" t="b">
        <f t="shared" si="124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5"/>
        <v>45233</v>
      </c>
      <c r="B321" s="406">
        <f>'2022'!Wh/'2022'!Env_an*'2023'!Env_an</f>
        <v>9.2550128501031281</v>
      </c>
      <c r="C321" s="385"/>
      <c r="D321" s="388">
        <f t="shared" si="103"/>
        <v>9.3455322420164197</v>
      </c>
      <c r="E321" s="380">
        <f t="shared" si="126"/>
        <v>9.4670038658552578</v>
      </c>
      <c r="F321" s="380">
        <f t="shared" si="104"/>
        <v>9.4684764277360589</v>
      </c>
      <c r="G321" s="110">
        <f t="shared" si="127"/>
        <v>0.33685753193456736</v>
      </c>
      <c r="H321" s="409" t="b">
        <f>Wh_hp&gt;='2022'!Maxi_hp</f>
        <v>0</v>
      </c>
      <c r="I321" s="385">
        <f>IF(H321,Wh_hp,'2022'!Maxi_hp)</f>
        <v>9.4814767533858237</v>
      </c>
      <c r="J321" s="85">
        <f>IF(H321,An,'2022'!An_max)</f>
        <v>2022</v>
      </c>
      <c r="K321" s="193">
        <f t="shared" si="105"/>
        <v>45233</v>
      </c>
      <c r="L321" s="143">
        <f>IF(t&lt;Tvie,1-EXP((T0-t)*PertePVj)+'2022'!Pspv,1-EXP((T0-t)*PertePVj)+Pspv)</f>
        <v>9.6858466237297325E-3</v>
      </c>
      <c r="M321" s="836"/>
      <c r="N321" s="836"/>
      <c r="O321" s="48">
        <f>IF(t&lt;Tnet,'2022'!Resal+('2022'!Salim-'2022'!Resal)*(1-EXP(('2022'!Tnet-t)/('2022'!Tau_j))),Resal+(Salim-Resal)*(1-EXP((Tnet-t)/(Tau_j))))*Salcycl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2.8816857223220587E-3</v>
      </c>
      <c r="Q321" s="301">
        <f t="shared" si="106"/>
        <v>0.5</v>
      </c>
      <c r="R321" s="173">
        <f t="shared" si="107"/>
        <v>0.99274390815177438</v>
      </c>
      <c r="S321" s="802">
        <f t="shared" si="108"/>
        <v>0</v>
      </c>
      <c r="T321" s="172">
        <f t="shared" si="109"/>
        <v>6</v>
      </c>
      <c r="U321" s="247">
        <f t="shared" si="110"/>
        <v>0.99274390815177438</v>
      </c>
      <c r="V321" s="378">
        <f t="shared" si="111"/>
        <v>27.399649334337624</v>
      </c>
      <c r="W321" s="397">
        <f t="shared" si="112"/>
        <v>9.2550128501031281</v>
      </c>
      <c r="X321" s="153">
        <f t="shared" si="113"/>
        <v>45233</v>
      </c>
      <c r="Y321" s="380">
        <f t="shared" si="114"/>
        <v>9.0093446695687032</v>
      </c>
      <c r="Z321" s="380">
        <f t="shared" si="115"/>
        <v>9.0974612842331037</v>
      </c>
      <c r="AA321" s="381">
        <f t="shared" si="116"/>
        <v>9.4670038658552578</v>
      </c>
      <c r="AB321" s="193">
        <f t="shared" si="117"/>
        <v>45233</v>
      </c>
      <c r="AC321" s="420">
        <f>IF(OR(t&lt;Tnet,NoTnet),'2022'!Resal_s+('2022'!Salim-'2022'!Resal_s)*(1-EXP(('2022'!Tnet_s-t)/'2022'!Tau_j)),Resal_s+(Salim-Resal_s)*(1-EXP((Tnet_s-t)/Tau_j)))*Salcycl</f>
        <v>3.9034797794367367E-2</v>
      </c>
      <c r="AD321" s="227">
        <f>(INDEX(Models!$BJ321:$BT321,,AH321)*(1-AF321)+INDEX(Models!$BJ321:$BT321,,AH321+1)*AF321-ERP_i)*AE321*Ramure*Pc/MaxiM</f>
        <v>2.8816857223220587E-3</v>
      </c>
      <c r="AE321" s="301">
        <f t="shared" si="118"/>
        <v>0.5</v>
      </c>
      <c r="AF321" s="173">
        <f t="shared" si="119"/>
        <v>0.99274390815177438</v>
      </c>
      <c r="AG321" s="172">
        <f t="shared" si="120"/>
        <v>0</v>
      </c>
      <c r="AH321" s="172">
        <f t="shared" si="121"/>
        <v>6</v>
      </c>
      <c r="AI321" s="221">
        <f t="shared" si="122"/>
        <v>0.99274390815177438</v>
      </c>
      <c r="AJ321" s="261" t="b">
        <f t="shared" si="123"/>
        <v>0</v>
      </c>
      <c r="AK321" s="261" t="b">
        <f t="shared" si="124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5"/>
        <v>45234</v>
      </c>
      <c r="B322" s="406">
        <f>'2022'!Wh/'2022'!Env_an*'2023'!Env_an</f>
        <v>12.843400357399565</v>
      </c>
      <c r="C322" s="385"/>
      <c r="D322" s="388">
        <f t="shared" si="103"/>
        <v>12.969193797124232</v>
      </c>
      <c r="E322" s="380">
        <f t="shared" si="126"/>
        <v>13.138481073300527</v>
      </c>
      <c r="F322" s="380">
        <f t="shared" si="104"/>
        <v>13.149125987545766</v>
      </c>
      <c r="G322" s="110">
        <f t="shared" si="127"/>
        <v>0.47398056467722821</v>
      </c>
      <c r="H322" s="409" t="b">
        <f>Wh_hp&gt;='2022'!Maxi_hp</f>
        <v>0</v>
      </c>
      <c r="I322" s="385">
        <f>IF(H322,Wh_hp,'2022'!Maxi_hp)</f>
        <v>13.165201026271244</v>
      </c>
      <c r="J322" s="85">
        <f>IF(H322,An,'2022'!An_max)</f>
        <v>2022</v>
      </c>
      <c r="K322" s="193">
        <f t="shared" si="105"/>
        <v>45234</v>
      </c>
      <c r="L322" s="143">
        <f>IF(t&lt;Tvie,1-EXP((T0-t)*PertePVj)+'2022'!Pspv,1-EXP((T0-t)*PertePVj)+Pspv)</f>
        <v>9.6994031928615554E-3</v>
      </c>
      <c r="M322" s="836"/>
      <c r="N322" s="836"/>
      <c r="O322" s="48">
        <f>IF(t&lt;Tnet,'2022'!Resal+('2022'!Salim-'2022'!Resal)*(1-EXP(('2022'!Tnet-t)/('2022'!Tau_j))),Resal+(Salim-Resal)*(1-EXP((Tnet-t)/(Tau_j))))*Salcycl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3.2357295364833093E-3</v>
      </c>
      <c r="Q322" s="301">
        <f t="shared" si="106"/>
        <v>0.5</v>
      </c>
      <c r="R322" s="173">
        <f t="shared" si="107"/>
        <v>0.99279365310194667</v>
      </c>
      <c r="S322" s="802">
        <f t="shared" si="108"/>
        <v>0</v>
      </c>
      <c r="T322" s="172">
        <f t="shared" si="109"/>
        <v>6</v>
      </c>
      <c r="U322" s="247">
        <f t="shared" si="110"/>
        <v>0.99279365310194667</v>
      </c>
      <c r="V322" s="378">
        <f t="shared" si="111"/>
        <v>27.031097283468679</v>
      </c>
      <c r="W322" s="397">
        <f t="shared" si="112"/>
        <v>12.843400357399565</v>
      </c>
      <c r="X322" s="153">
        <f t="shared" si="113"/>
        <v>45234</v>
      </c>
      <c r="Y322" s="380">
        <f t="shared" si="114"/>
        <v>12.50301392827371</v>
      </c>
      <c r="Z322" s="380">
        <f t="shared" si="115"/>
        <v>12.625473486116336</v>
      </c>
      <c r="AA322" s="381">
        <f t="shared" si="116"/>
        <v>13.138481073300527</v>
      </c>
      <c r="AB322" s="193">
        <f t="shared" si="117"/>
        <v>45234</v>
      </c>
      <c r="AC322" s="420">
        <f>IF(OR(t&lt;Tnet,NoTnet),'2022'!Resal_s+('2022'!Salim-'2022'!Resal_s)*(1-EXP(('2022'!Tnet_s-t)/'2022'!Tau_j)),Resal_s+(Salim-Resal_s)*(1-EXP((Tnet_s-t)/Tau_j)))*Salcycl</f>
        <v>3.9046186870619545E-2</v>
      </c>
      <c r="AD322" s="227">
        <f>(INDEX(Models!$BJ322:$BT322,,AH322)*(1-AF322)+INDEX(Models!$BJ322:$BT322,,AH322+1)*AF322-ERP_i)*AE322*Ramure*Pc/MaxiM</f>
        <v>3.2357295364833093E-3</v>
      </c>
      <c r="AE322" s="301">
        <f t="shared" si="118"/>
        <v>0.5</v>
      </c>
      <c r="AF322" s="173">
        <f t="shared" si="119"/>
        <v>0.99279365310194667</v>
      </c>
      <c r="AG322" s="172">
        <f t="shared" si="120"/>
        <v>0</v>
      </c>
      <c r="AH322" s="172">
        <f t="shared" si="121"/>
        <v>6</v>
      </c>
      <c r="AI322" s="221">
        <f t="shared" si="122"/>
        <v>0.99279365310194667</v>
      </c>
      <c r="AJ322" s="261" t="b">
        <f t="shared" si="123"/>
        <v>0</v>
      </c>
      <c r="AK322" s="261" t="b">
        <f t="shared" si="124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5"/>
        <v>45235</v>
      </c>
      <c r="B323" s="406">
        <f>'2022'!Wh/'2022'!Env_an*'2023'!Env_an</f>
        <v>25.879097178530447</v>
      </c>
      <c r="C323" s="385"/>
      <c r="D323" s="388">
        <f t="shared" si="103"/>
        <v>26.132925224852926</v>
      </c>
      <c r="E323" s="380">
        <f t="shared" si="126"/>
        <v>26.475478833300258</v>
      </c>
      <c r="F323" s="380">
        <f t="shared" si="104"/>
        <v>26.567346497670975</v>
      </c>
      <c r="G323" s="110">
        <f t="shared" si="127"/>
        <v>0.97036042648053322</v>
      </c>
      <c r="H323" s="409" t="b">
        <f>Wh_hp&gt;='2022'!Maxi_hp</f>
        <v>0</v>
      </c>
      <c r="I323" s="385">
        <f>IF(H323,Wh_hp,'2022'!Maxi_hp)</f>
        <v>26.569385595807791</v>
      </c>
      <c r="J323" s="85">
        <f>IF(H323,An,'2022'!An_max)</f>
        <v>2022</v>
      </c>
      <c r="K323" s="193">
        <f t="shared" si="105"/>
        <v>45235</v>
      </c>
      <c r="L323" s="143">
        <f>IF(t&lt;Tvie,1-EXP((T0-t)*PertePVj)+'2022'!Pspv,1-EXP((T0-t)*PertePVj)+Pspv)</f>
        <v>9.7129595764152699E-3</v>
      </c>
      <c r="M323" s="836"/>
      <c r="N323" s="836"/>
      <c r="O323" s="48">
        <f>IF(t&lt;Tnet,'2022'!Resal+('2022'!Salim-'2022'!Resal)*(1-EXP(('2022'!Tnet-t)/('2022'!Tau_j))),Resal+(Salim-Resal)*(1-EXP((Tnet-t)/(Tau_j))))*Salcycl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3.6100084466952754E-3</v>
      </c>
      <c r="Q323" s="301">
        <f t="shared" si="106"/>
        <v>0.5</v>
      </c>
      <c r="R323" s="173">
        <f t="shared" si="107"/>
        <v>0.99284140449233615</v>
      </c>
      <c r="S323" s="802">
        <f t="shared" si="108"/>
        <v>0</v>
      </c>
      <c r="T323" s="172">
        <f t="shared" si="109"/>
        <v>6</v>
      </c>
      <c r="U323" s="247">
        <f t="shared" si="110"/>
        <v>0.99284140449233615</v>
      </c>
      <c r="V323" s="378">
        <f t="shared" si="111"/>
        <v>26.665501612740076</v>
      </c>
      <c r="W323" s="397">
        <f t="shared" si="112"/>
        <v>25.879097178530447</v>
      </c>
      <c r="X323" s="153">
        <f t="shared" si="113"/>
        <v>45235</v>
      </c>
      <c r="Y323" s="380">
        <f t="shared" si="114"/>
        <v>25.194299039582337</v>
      </c>
      <c r="Z323" s="380">
        <f t="shared" si="115"/>
        <v>25.441410430662351</v>
      </c>
      <c r="AA323" s="381">
        <f t="shared" si="116"/>
        <v>26.475478833300258</v>
      </c>
      <c r="AB323" s="193">
        <f t="shared" si="117"/>
        <v>45235</v>
      </c>
      <c r="AC323" s="420">
        <f>IF(OR(t&lt;Tnet,NoTnet),'2022'!Resal_s+('2022'!Salim-'2022'!Resal_s)*(1-EXP(('2022'!Tnet_s-t)/'2022'!Tau_j)),Resal_s+(Salim-Resal_s)*(1-EXP((Tnet_s-t)/Tau_j)))*Salcycl</f>
        <v>3.9057590200683334E-2</v>
      </c>
      <c r="AD323" s="227">
        <f>(INDEX(Models!$BJ323:$BT323,,AH323)*(1-AF323)+INDEX(Models!$BJ323:$BT323,,AH323+1)*AF323-ERP_i)*AE323*Ramure*Pc/MaxiM</f>
        <v>3.6100084466952754E-3</v>
      </c>
      <c r="AE323" s="301">
        <f t="shared" si="118"/>
        <v>0.5</v>
      </c>
      <c r="AF323" s="173">
        <f t="shared" si="119"/>
        <v>0.99284140449233615</v>
      </c>
      <c r="AG323" s="172">
        <f t="shared" si="120"/>
        <v>0</v>
      </c>
      <c r="AH323" s="172">
        <f t="shared" si="121"/>
        <v>6</v>
      </c>
      <c r="AI323" s="221">
        <f t="shared" si="122"/>
        <v>0.99284140449233615</v>
      </c>
      <c r="AJ323" s="261" t="b">
        <f t="shared" si="123"/>
        <v>0</v>
      </c>
      <c r="AK323" s="261" t="b">
        <f t="shared" si="124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5"/>
        <v>45236</v>
      </c>
      <c r="B324" s="406">
        <f>'2022'!Wh/'2022'!Env_an*'2023'!Env_an</f>
        <v>25.93804729722126</v>
      </c>
      <c r="C324" s="385"/>
      <c r="D324" s="388">
        <f t="shared" si="103"/>
        <v>26.192812097260994</v>
      </c>
      <c r="E324" s="380">
        <f t="shared" si="126"/>
        <v>26.537591303355367</v>
      </c>
      <c r="F324" s="380">
        <f t="shared" si="104"/>
        <v>26.641516295141795</v>
      </c>
      <c r="G324" s="110">
        <f t="shared" si="127"/>
        <v>0.9860070363797987</v>
      </c>
      <c r="H324" s="409" t="b">
        <f>Wh_hp&gt;='2022'!Maxi_hp</f>
        <v>0</v>
      </c>
      <c r="I324" s="385">
        <f>IF(H324,Wh_hp,'2022'!Maxi_hp)</f>
        <v>26.642580367893142</v>
      </c>
      <c r="J324" s="85">
        <f>IF(H324,An,'2022'!An_max)</f>
        <v>2022</v>
      </c>
      <c r="K324" s="193">
        <f t="shared" si="105"/>
        <v>45236</v>
      </c>
      <c r="L324" s="143">
        <f>IF(t&lt;Tvie,1-EXP((T0-t)*PertePVj)+'2022'!Pspv,1-EXP((T0-t)*PertePVj)+Pspv)</f>
        <v>9.7265157743934294E-3</v>
      </c>
      <c r="M324" s="836"/>
      <c r="N324" s="836"/>
      <c r="O324" s="48">
        <f>IF(t&lt;Tnet,'2022'!Resal+('2022'!Salim-'2022'!Resal)*(1-EXP(('2022'!Tnet-t)/('2022'!Tau_j))),Resal+(Salim-Resal)*(1-EXP((Tnet-t)/(Tau_j))))*Salcycl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3.9799805582147307E-3</v>
      </c>
      <c r="Q324" s="301">
        <f t="shared" si="106"/>
        <v>0.5</v>
      </c>
      <c r="R324" s="173">
        <f t="shared" si="107"/>
        <v>0.99288724185680532</v>
      </c>
      <c r="S324" s="802">
        <f t="shared" si="108"/>
        <v>0</v>
      </c>
      <c r="T324" s="172">
        <f t="shared" si="109"/>
        <v>6</v>
      </c>
      <c r="U324" s="247">
        <f t="shared" si="110"/>
        <v>0.99288724185680532</v>
      </c>
      <c r="V324" s="378">
        <f t="shared" si="111"/>
        <v>26.304058930044679</v>
      </c>
      <c r="W324" s="397">
        <f t="shared" si="112"/>
        <v>25.93804729722126</v>
      </c>
      <c r="X324" s="153">
        <f t="shared" si="113"/>
        <v>45236</v>
      </c>
      <c r="Y324" s="380">
        <f t="shared" si="114"/>
        <v>25.252758987850711</v>
      </c>
      <c r="Z324" s="380">
        <f t="shared" si="115"/>
        <v>25.500792851783117</v>
      </c>
      <c r="AA324" s="381">
        <f t="shared" si="116"/>
        <v>26.537591303355367</v>
      </c>
      <c r="AB324" s="193">
        <f t="shared" si="117"/>
        <v>45236</v>
      </c>
      <c r="AC324" s="420">
        <f>IF(OR(t&lt;Tnet,NoTnet),'2022'!Resal_s+('2022'!Salim-'2022'!Resal_s)*(1-EXP(('2022'!Tnet_s-t)/'2022'!Tau_j)),Resal_s+(Salim-Resal_s)*(1-EXP((Tnet_s-t)/Tau_j)))*Salcycl</f>
        <v>3.9069048871860475E-2</v>
      </c>
      <c r="AD324" s="227">
        <f>(INDEX(Models!$BJ324:$BT324,,AH324)*(1-AF324)+INDEX(Models!$BJ324:$BT324,,AH324+1)*AF324-ERP_i)*AE324*Ramure*Pc/MaxiM</f>
        <v>3.9799805582147307E-3</v>
      </c>
      <c r="AE324" s="301">
        <f t="shared" si="118"/>
        <v>0.5</v>
      </c>
      <c r="AF324" s="173">
        <f t="shared" si="119"/>
        <v>0.99288724185680532</v>
      </c>
      <c r="AG324" s="172">
        <f t="shared" si="120"/>
        <v>0</v>
      </c>
      <c r="AH324" s="172">
        <f t="shared" si="121"/>
        <v>6</v>
      </c>
      <c r="AI324" s="221">
        <f t="shared" si="122"/>
        <v>0.99288724185680532</v>
      </c>
      <c r="AJ324" s="261" t="b">
        <f t="shared" si="123"/>
        <v>0</v>
      </c>
      <c r="AK324" s="261" t="b">
        <f t="shared" si="124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5"/>
        <v>45237</v>
      </c>
      <c r="B325" s="406">
        <f>'2022'!Wh/'2022'!Env_an*'2023'!Env_an</f>
        <v>25.728666884315501</v>
      </c>
      <c r="C325" s="385"/>
      <c r="D325" s="388">
        <f t="shared" si="103"/>
        <v>25.981730807526084</v>
      </c>
      <c r="E325" s="380">
        <f t="shared" si="126"/>
        <v>26.32515845412702</v>
      </c>
      <c r="F325" s="380">
        <f t="shared" si="104"/>
        <v>26.438187439169486</v>
      </c>
      <c r="G325" s="110">
        <f t="shared" si="127"/>
        <v>0.99150417747906572</v>
      </c>
      <c r="H325" s="409" t="b">
        <f>Wh_hp&gt;='2022'!Maxi_hp</f>
        <v>0</v>
      </c>
      <c r="I325" s="385">
        <f>IF(H325,Wh_hp,'2022'!Maxi_hp)</f>
        <v>26.438884406158653</v>
      </c>
      <c r="J325" s="85">
        <f>IF(H325,An,'2022'!An_max)</f>
        <v>2022</v>
      </c>
      <c r="K325" s="193">
        <f t="shared" si="105"/>
        <v>45237</v>
      </c>
      <c r="L325" s="143">
        <f>IF(t&lt;Tvie,1-EXP((T0-t)*PertePVj)+'2022'!Pspv,1-EXP((T0-t)*PertePVj)+Pspv)</f>
        <v>9.7400717867986986E-3</v>
      </c>
      <c r="M325" s="836"/>
      <c r="N325" s="836"/>
      <c r="O325" s="48">
        <f>IF(t&lt;Tnet,'2022'!Resal+('2022'!Salim-'2022'!Resal)*(1-EXP(('2022'!Tnet-t)/('2022'!Tau_j))),Resal+(Salim-Resal)*(1-EXP((Tnet-t)/(Tau_j))))*Salcycl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4.3274169025424103E-3</v>
      </c>
      <c r="Q325" s="301">
        <f t="shared" si="106"/>
        <v>0.5</v>
      </c>
      <c r="R325" s="173">
        <f t="shared" si="107"/>
        <v>0.99293124158447643</v>
      </c>
      <c r="S325" s="802">
        <f t="shared" si="108"/>
        <v>0</v>
      </c>
      <c r="T325" s="172">
        <f t="shared" si="109"/>
        <v>6</v>
      </c>
      <c r="U325" s="247">
        <f t="shared" si="110"/>
        <v>0.99293124158447643</v>
      </c>
      <c r="V325" s="378">
        <f t="shared" si="111"/>
        <v>25.947765692868284</v>
      </c>
      <c r="W325" s="397">
        <f t="shared" si="112"/>
        <v>25.728666884315501</v>
      </c>
      <c r="X325" s="153">
        <f t="shared" si="113"/>
        <v>45237</v>
      </c>
      <c r="Y325" s="380">
        <f t="shared" si="114"/>
        <v>25.049967047168892</v>
      </c>
      <c r="Z325" s="380">
        <f t="shared" si="115"/>
        <v>25.296355364362149</v>
      </c>
      <c r="AA325" s="381">
        <f t="shared" si="116"/>
        <v>26.32515845412702</v>
      </c>
      <c r="AB325" s="193">
        <f t="shared" si="117"/>
        <v>45237</v>
      </c>
      <c r="AC325" s="420">
        <f>IF(OR(t&lt;Tnet,NoTnet),'2022'!Resal_s+('2022'!Salim-'2022'!Resal_s)*(1-EXP(('2022'!Tnet_s-t)/'2022'!Tau_j)),Resal_s+(Salim-Resal_s)*(1-EXP((Tnet_s-t)/Tau_j)))*Salcycl</f>
        <v>3.9080603885352325E-2</v>
      </c>
      <c r="AD325" s="227">
        <f>(INDEX(Models!$BJ325:$BT325,,AH325)*(1-AF325)+INDEX(Models!$BJ325:$BT325,,AH325+1)*AF325-ERP_i)*AE325*Ramure*Pc/MaxiM</f>
        <v>4.3274169025424103E-3</v>
      </c>
      <c r="AE325" s="301">
        <f t="shared" si="118"/>
        <v>0.5</v>
      </c>
      <c r="AF325" s="173">
        <f t="shared" si="119"/>
        <v>0.99293124158447643</v>
      </c>
      <c r="AG325" s="172">
        <f t="shared" si="120"/>
        <v>0</v>
      </c>
      <c r="AH325" s="172">
        <f t="shared" si="121"/>
        <v>6</v>
      </c>
      <c r="AI325" s="221">
        <f t="shared" si="122"/>
        <v>0.99293124158447643</v>
      </c>
      <c r="AJ325" s="261" t="b">
        <f t="shared" si="123"/>
        <v>0</v>
      </c>
      <c r="AK325" s="261" t="b">
        <f t="shared" si="124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5"/>
        <v>45238</v>
      </c>
      <c r="B326" s="406">
        <f>'2022'!Wh/'2022'!Env_an*'2023'!Env_an</f>
        <v>18.613411121179489</v>
      </c>
      <c r="C326" s="385"/>
      <c r="D326" s="388">
        <f t="shared" si="103"/>
        <v>18.796747597593878</v>
      </c>
      <c r="E326" s="380">
        <f t="shared" si="126"/>
        <v>19.046234943596822</v>
      </c>
      <c r="F326" s="380">
        <f t="shared" si="104"/>
        <v>19.100455748309027</v>
      </c>
      <c r="G326" s="110">
        <f t="shared" si="127"/>
        <v>0.72584552694716931</v>
      </c>
      <c r="H326" s="409" t="b">
        <f>Wh_hp&gt;='2022'!Maxi_hp</f>
        <v>0</v>
      </c>
      <c r="I326" s="385">
        <f>IF(H326,Wh_hp,'2022'!Maxi_hp)</f>
        <v>19.117935070519479</v>
      </c>
      <c r="J326" s="85">
        <f>IF(H326,An,'2022'!An_max)</f>
        <v>2022</v>
      </c>
      <c r="K326" s="193">
        <f t="shared" si="105"/>
        <v>45238</v>
      </c>
      <c r="L326" s="143">
        <f>IF(t&lt;Tvie,1-EXP((T0-t)*PertePVj)+'2022'!Pspv,1-EXP((T0-t)*PertePVj)+Pspv)</f>
        <v>9.7536276136335198E-3</v>
      </c>
      <c r="M326" s="836"/>
      <c r="N326" s="836"/>
      <c r="O326" s="48">
        <f>IF(t&lt;Tnet,'2022'!Resal+('2022'!Salim-'2022'!Resal)*(1-EXP(('2022'!Tnet-t)/('2022'!Tau_j))),Resal+(Salim-Resal)*(1-EXP((Tnet-t)/(Tau_j))))*Salcycl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4.6518088554211943E-3</v>
      </c>
      <c r="Q326" s="301">
        <f t="shared" si="106"/>
        <v>0.5</v>
      </c>
      <c r="R326" s="173">
        <f t="shared" si="107"/>
        <v>0.99297347704184236</v>
      </c>
      <c r="S326" s="802">
        <f t="shared" si="108"/>
        <v>0</v>
      </c>
      <c r="T326" s="172">
        <f t="shared" si="109"/>
        <v>6</v>
      </c>
      <c r="U326" s="247">
        <f t="shared" si="110"/>
        <v>0.99297347704184236</v>
      </c>
      <c r="V326" s="378">
        <f t="shared" si="111"/>
        <v>25.597136787277702</v>
      </c>
      <c r="W326" s="397">
        <f t="shared" si="112"/>
        <v>18.613411121179489</v>
      </c>
      <c r="X326" s="153">
        <f t="shared" si="113"/>
        <v>45238</v>
      </c>
      <c r="Y326" s="380">
        <f t="shared" si="114"/>
        <v>18.123166178272836</v>
      </c>
      <c r="Z326" s="380">
        <f t="shared" si="115"/>
        <v>18.301673890103061</v>
      </c>
      <c r="AA326" s="381">
        <f t="shared" si="116"/>
        <v>19.046234943596822</v>
      </c>
      <c r="AB326" s="193">
        <f t="shared" si="117"/>
        <v>45238</v>
      </c>
      <c r="AC326" s="420">
        <f>IF(OR(t&lt;Tnet,NoTnet),'2022'!Resal_s+('2022'!Salim-'2022'!Resal_s)*(1-EXP(('2022'!Tnet_s-t)/'2022'!Tau_j)),Resal_s+(Salim-Resal_s)*(1-EXP((Tnet_s-t)/Tau_j)))*Salcycl</f>
        <v>3.9092295968137077E-2</v>
      </c>
      <c r="AD326" s="227">
        <f>(INDEX(Models!$BJ326:$BT326,,AH326)*(1-AF326)+INDEX(Models!$BJ326:$BT326,,AH326+1)*AF326-ERP_i)*AE326*Ramure*Pc/MaxiM</f>
        <v>4.6518088554211943E-3</v>
      </c>
      <c r="AE326" s="301">
        <f t="shared" si="118"/>
        <v>0.5</v>
      </c>
      <c r="AF326" s="173">
        <f t="shared" si="119"/>
        <v>0.99297347704184236</v>
      </c>
      <c r="AG326" s="172">
        <f t="shared" si="120"/>
        <v>0</v>
      </c>
      <c r="AH326" s="172">
        <f t="shared" si="121"/>
        <v>6</v>
      </c>
      <c r="AI326" s="221">
        <f t="shared" si="122"/>
        <v>0.99297347704184236</v>
      </c>
      <c r="AJ326" s="261" t="b">
        <f t="shared" si="123"/>
        <v>0</v>
      </c>
      <c r="AK326" s="261" t="b">
        <f t="shared" si="124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5"/>
        <v>45239</v>
      </c>
      <c r="B327" s="406">
        <f>'2022'!Wh/'2022'!Env_an*'2023'!Env_an</f>
        <v>10.380700743614932</v>
      </c>
      <c r="C327" s="385"/>
      <c r="D327" s="388">
        <f t="shared" si="103"/>
        <v>10.483091014632649</v>
      </c>
      <c r="E327" s="380">
        <f t="shared" si="126"/>
        <v>10.622806576911897</v>
      </c>
      <c r="F327" s="380">
        <f t="shared" si="104"/>
        <v>10.63116120027046</v>
      </c>
      <c r="G327" s="110">
        <f t="shared" si="127"/>
        <v>0.40935892815340408</v>
      </c>
      <c r="H327" s="409" t="b">
        <f>Wh_hp&gt;='2022'!Maxi_hp</f>
        <v>0</v>
      </c>
      <c r="I327" s="385">
        <f>IF(H327,Wh_hp,'2022'!Maxi_hp)</f>
        <v>10.653499434199968</v>
      </c>
      <c r="J327" s="85">
        <f>IF(H327,An,'2022'!An_max)</f>
        <v>2022</v>
      </c>
      <c r="K327" s="193">
        <f t="shared" si="105"/>
        <v>45239</v>
      </c>
      <c r="L327" s="143">
        <f>IF(t&lt;Tvie,1-EXP((T0-t)*PertePVj)+'2022'!Pspv,1-EXP((T0-t)*PertePVj)+Pspv)</f>
        <v>9.7671832549004467E-3</v>
      </c>
      <c r="M327" s="836"/>
      <c r="N327" s="836"/>
      <c r="O327" s="48">
        <f>IF(t&lt;Tnet,'2022'!Resal+('2022'!Salim-'2022'!Resal)*(1-EXP(('2022'!Tnet-t)/('2022'!Tau_j))),Resal+(Salim-Resal)*(1-EXP((Tnet-t)/(Tau_j))))*Salcycl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4.9526227292395857E-3</v>
      </c>
      <c r="Q327" s="301">
        <f t="shared" si="106"/>
        <v>0.5</v>
      </c>
      <c r="R327" s="173">
        <f t="shared" si="107"/>
        <v>0.99301401869031192</v>
      </c>
      <c r="S327" s="802">
        <f t="shared" si="108"/>
        <v>0</v>
      </c>
      <c r="T327" s="172">
        <f t="shared" si="109"/>
        <v>6</v>
      </c>
      <c r="U327" s="247">
        <f t="shared" si="110"/>
        <v>0.99301401869031192</v>
      </c>
      <c r="V327" s="378">
        <f t="shared" si="111"/>
        <v>25.252686862198342</v>
      </c>
      <c r="W327" s="397">
        <f t="shared" si="112"/>
        <v>10.380700743614932</v>
      </c>
      <c r="X327" s="153">
        <f t="shared" si="113"/>
        <v>45239</v>
      </c>
      <c r="Y327" s="380">
        <f t="shared" si="114"/>
        <v>10.107712941869435</v>
      </c>
      <c r="Z327" s="380">
        <f t="shared" si="115"/>
        <v>10.20741059167635</v>
      </c>
      <c r="AA327" s="381">
        <f t="shared" si="116"/>
        <v>10.622806576911897</v>
      </c>
      <c r="AB327" s="193">
        <f t="shared" si="117"/>
        <v>45239</v>
      </c>
      <c r="AC327" s="420">
        <f>IF(OR(t&lt;Tnet,NoTnet),'2022'!Resal_s+('2022'!Salim-'2022'!Resal_s)*(1-EXP(('2022'!Tnet_s-t)/'2022'!Tau_j)),Resal_s+(Salim-Resal_s)*(1-EXP((Tnet_s-t)/Tau_j)))*Salcycl</f>
        <v>3.9104165384917004E-2</v>
      </c>
      <c r="AD327" s="227">
        <f>(INDEX(Models!$BJ327:$BT327,,AH327)*(1-AF327)+INDEX(Models!$BJ327:$BT327,,AH327+1)*AF327-ERP_i)*AE327*Ramure*Pc/MaxiM</f>
        <v>4.9526227292395857E-3</v>
      </c>
      <c r="AE327" s="301">
        <f t="shared" si="118"/>
        <v>0.5</v>
      </c>
      <c r="AF327" s="173">
        <f t="shared" si="119"/>
        <v>0.99301401869031192</v>
      </c>
      <c r="AG327" s="172">
        <f t="shared" si="120"/>
        <v>0</v>
      </c>
      <c r="AH327" s="172">
        <f t="shared" si="121"/>
        <v>6</v>
      </c>
      <c r="AI327" s="221">
        <f t="shared" si="122"/>
        <v>0.99301401869031192</v>
      </c>
      <c r="AJ327" s="261" t="b">
        <f t="shared" si="123"/>
        <v>0</v>
      </c>
      <c r="AK327" s="261" t="b">
        <f t="shared" si="124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5"/>
        <v>45240</v>
      </c>
      <c r="B328" s="406">
        <f>'2022'!Wh/'2022'!Env_an*'2023'!Env_an</f>
        <v>18.874922639891327</v>
      </c>
      <c r="C328" s="385"/>
      <c r="D328" s="388">
        <f t="shared" si="103"/>
        <v>19.0613567901251</v>
      </c>
      <c r="E328" s="380">
        <f t="shared" si="126"/>
        <v>19.31644500167274</v>
      </c>
      <c r="F328" s="380">
        <f t="shared" si="104"/>
        <v>19.382700500376504</v>
      </c>
      <c r="G328" s="110">
        <f t="shared" si="127"/>
        <v>0.7561980788394933</v>
      </c>
      <c r="H328" s="409" t="b">
        <f>Wh_hp&gt;='2022'!Maxi_hp</f>
        <v>0</v>
      </c>
      <c r="I328" s="385">
        <f>IF(H328,Wh_hp,'2022'!Maxi_hp)</f>
        <v>19.400426866804658</v>
      </c>
      <c r="J328" s="85">
        <f>IF(H328,An,'2022'!An_max)</f>
        <v>2022</v>
      </c>
      <c r="K328" s="193">
        <f t="shared" si="105"/>
        <v>45240</v>
      </c>
      <c r="L328" s="143">
        <f>IF(t&lt;Tvie,1-EXP((T0-t)*PertePVj)+'2022'!Pspv,1-EXP((T0-t)*PertePVj)+Pspv)</f>
        <v>9.7807387106020327E-3</v>
      </c>
      <c r="M328" s="836"/>
      <c r="N328" s="836"/>
      <c r="O328" s="48">
        <f>IF(t&lt;Tnet,'2022'!Resal+('2022'!Salim-'2022'!Resal)*(1-EXP(('2022'!Tnet-t)/('2022'!Tau_j))),Resal+(Salim-Resal)*(1-EXP((Tnet-t)/(Tau_j))))*Salcycl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5.2293006752430005E-3</v>
      </c>
      <c r="Q328" s="301">
        <f t="shared" si="106"/>
        <v>0.5</v>
      </c>
      <c r="R328" s="173">
        <f t="shared" si="107"/>
        <v>0.99305293419934704</v>
      </c>
      <c r="S328" s="802">
        <f t="shared" si="108"/>
        <v>0</v>
      </c>
      <c r="T328" s="172">
        <f t="shared" si="109"/>
        <v>6</v>
      </c>
      <c r="U328" s="247">
        <f t="shared" si="110"/>
        <v>0.99305293419934704</v>
      </c>
      <c r="V328" s="378">
        <f t="shared" si="111"/>
        <v>24.914930420670604</v>
      </c>
      <c r="W328" s="397">
        <f t="shared" si="112"/>
        <v>18.874922639891327</v>
      </c>
      <c r="X328" s="153">
        <f t="shared" si="113"/>
        <v>45240</v>
      </c>
      <c r="Y328" s="380">
        <f t="shared" si="114"/>
        <v>18.379319172957789</v>
      </c>
      <c r="Z328" s="380">
        <f t="shared" si="115"/>
        <v>18.560858076044145</v>
      </c>
      <c r="AA328" s="381">
        <f t="shared" si="116"/>
        <v>19.31644500167274</v>
      </c>
      <c r="AB328" s="193">
        <f t="shared" si="117"/>
        <v>45240</v>
      </c>
      <c r="AC328" s="420">
        <f>IF(OR(t&lt;Tnet,NoTnet),'2022'!Resal_s+('2022'!Salim-'2022'!Resal_s)*(1-EXP(('2022'!Tnet_s-t)/'2022'!Tau_j)),Resal_s+(Salim-Resal_s)*(1-EXP((Tnet_s-t)/Tau_j)))*Salcycl</f>
        <v>3.9116251751456506E-2</v>
      </c>
      <c r="AD328" s="227">
        <f>(INDEX(Models!$BJ328:$BT328,,AH328)*(1-AF328)+INDEX(Models!$BJ328:$BT328,,AH328+1)*AF328-ERP_i)*AE328*Ramure*Pc/MaxiM</f>
        <v>5.2293006752430005E-3</v>
      </c>
      <c r="AE328" s="301">
        <f t="shared" si="118"/>
        <v>0.5</v>
      </c>
      <c r="AF328" s="173">
        <f t="shared" si="119"/>
        <v>0.99305293419934704</v>
      </c>
      <c r="AG328" s="172">
        <f t="shared" si="120"/>
        <v>0</v>
      </c>
      <c r="AH328" s="172">
        <f t="shared" si="121"/>
        <v>6</v>
      </c>
      <c r="AI328" s="221">
        <f t="shared" si="122"/>
        <v>0.99305293419934704</v>
      </c>
      <c r="AJ328" s="261" t="b">
        <f t="shared" si="123"/>
        <v>0</v>
      </c>
      <c r="AK328" s="261" t="b">
        <f t="shared" si="124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5"/>
        <v>45241</v>
      </c>
      <c r="B329" s="406">
        <f>'2022'!Wh/'2022'!Env_an*'2023'!Env_an</f>
        <v>22.453999030818576</v>
      </c>
      <c r="C329" s="385"/>
      <c r="D329" s="388">
        <f t="shared" si="103"/>
        <v>22.67609537525918</v>
      </c>
      <c r="E329" s="380">
        <f t="shared" si="126"/>
        <v>22.980799333550394</v>
      </c>
      <c r="F329" s="380">
        <f t="shared" si="104"/>
        <v>23.09170216278676</v>
      </c>
      <c r="G329" s="110">
        <f t="shared" si="127"/>
        <v>0.91272131486492036</v>
      </c>
      <c r="H329" s="409" t="b">
        <f>Wh_hp&gt;='2022'!Maxi_hp</f>
        <v>0</v>
      </c>
      <c r="I329" s="385">
        <f>IF(H329,Wh_hp,'2022'!Maxi_hp)</f>
        <v>23.099620779371207</v>
      </c>
      <c r="J329" s="85">
        <f>IF(H329,An,'2022'!An_max)</f>
        <v>2022</v>
      </c>
      <c r="K329" s="193">
        <f t="shared" si="105"/>
        <v>45241</v>
      </c>
      <c r="L329" s="143">
        <f>IF(t&lt;Tvie,1-EXP((T0-t)*PertePVj)+'2022'!Pspv,1-EXP((T0-t)*PertePVj)+Pspv)</f>
        <v>9.7942939807408314E-3</v>
      </c>
      <c r="M329" s="836"/>
      <c r="N329" s="836"/>
      <c r="O329" s="48">
        <f>IF(t&lt;Tnet,'2022'!Resal+('2022'!Salim-'2022'!Resal)*(1-EXP(('2022'!Tnet-t)/('2022'!Tau_j))),Resal+(Salim-Resal)*(1-EXP((Tnet-t)/(Tau_j))))*Salcycl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5.4812619669989361E-3</v>
      </c>
      <c r="Q329" s="301">
        <f t="shared" si="106"/>
        <v>0.5</v>
      </c>
      <c r="R329" s="173">
        <f t="shared" si="107"/>
        <v>0.9930902885553442</v>
      </c>
      <c r="S329" s="802">
        <f t="shared" si="108"/>
        <v>0</v>
      </c>
      <c r="T329" s="172">
        <f t="shared" si="109"/>
        <v>6</v>
      </c>
      <c r="U329" s="247">
        <f t="shared" si="110"/>
        <v>0.9930902885553442</v>
      </c>
      <c r="V329" s="378">
        <f t="shared" si="111"/>
        <v>24.58438190321781</v>
      </c>
      <c r="W329" s="397">
        <f t="shared" si="112"/>
        <v>22.453999030818576</v>
      </c>
      <c r="X329" s="153">
        <f t="shared" si="113"/>
        <v>45241</v>
      </c>
      <c r="Y329" s="380">
        <f t="shared" si="114"/>
        <v>21.865319356953179</v>
      </c>
      <c r="Z329" s="380">
        <f t="shared" si="115"/>
        <v>22.081592970065056</v>
      </c>
      <c r="AA329" s="381">
        <f t="shared" si="116"/>
        <v>22.980799333550394</v>
      </c>
      <c r="AB329" s="193">
        <f t="shared" si="117"/>
        <v>45241</v>
      </c>
      <c r="AC329" s="420">
        <f>IF(OR(t&lt;Tnet,NoTnet),'2022'!Resal_s+('2022'!Salim-'2022'!Resal_s)*(1-EXP(('2022'!Tnet_s-t)/'2022'!Tau_j)),Resal_s+(Salim-Resal_s)*(1-EXP((Tnet_s-t)/Tau_j)))*Salcycl</f>
        <v>3.9128593850630757E-2</v>
      </c>
      <c r="AD329" s="227">
        <f>(INDEX(Models!$BJ329:$BT329,,AH329)*(1-AF329)+INDEX(Models!$BJ329:$BT329,,AH329+1)*AF329-ERP_i)*AE329*Ramure*Pc/MaxiM</f>
        <v>5.4812619669989361E-3</v>
      </c>
      <c r="AE329" s="301">
        <f t="shared" si="118"/>
        <v>0.5</v>
      </c>
      <c r="AF329" s="173">
        <f t="shared" si="119"/>
        <v>0.9930902885553442</v>
      </c>
      <c r="AG329" s="172">
        <f t="shared" si="120"/>
        <v>0</v>
      </c>
      <c r="AH329" s="172">
        <f t="shared" si="121"/>
        <v>6</v>
      </c>
      <c r="AI329" s="221">
        <f t="shared" si="122"/>
        <v>0.9930902885553442</v>
      </c>
      <c r="AJ329" s="261" t="b">
        <f t="shared" si="123"/>
        <v>0</v>
      </c>
      <c r="AK329" s="261" t="b">
        <f t="shared" si="124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5"/>
        <v>45242</v>
      </c>
      <c r="B330" s="406">
        <f>'2022'!Wh/'2022'!Env_an*'2023'!Env_an</f>
        <v>22.587318562749957</v>
      </c>
      <c r="C330" s="385"/>
      <c r="D330" s="388">
        <f t="shared" si="103"/>
        <v>22.811045857542815</v>
      </c>
      <c r="E330" s="380">
        <f t="shared" si="126"/>
        <v>23.11881203503</v>
      </c>
      <c r="F330" s="380">
        <f t="shared" si="104"/>
        <v>23.238378245856925</v>
      </c>
      <c r="G330" s="110">
        <f t="shared" si="127"/>
        <v>0.93046559540194884</v>
      </c>
      <c r="H330" s="409" t="b">
        <f>Wh_hp&gt;='2022'!Maxi_hp</f>
        <v>0</v>
      </c>
      <c r="I330" s="385">
        <f>IF(H330,Wh_hp,'2022'!Maxi_hp)</f>
        <v>23.244988021571906</v>
      </c>
      <c r="J330" s="85">
        <f>IF(H330,An,'2022'!An_max)</f>
        <v>2022</v>
      </c>
      <c r="K330" s="193">
        <f t="shared" si="105"/>
        <v>45242</v>
      </c>
      <c r="L330" s="143">
        <f>IF(t&lt;Tvie,1-EXP((T0-t)*PertePVj)+'2022'!Pspv,1-EXP((T0-t)*PertePVj)+Pspv)</f>
        <v>9.8078490653193962E-3</v>
      </c>
      <c r="M330" s="836"/>
      <c r="N330" s="836"/>
      <c r="O330" s="48">
        <f>IF(t&lt;Tnet,'2022'!Resal+('2022'!Salim-'2022'!Resal)*(1-EXP(('2022'!Tnet-t)/('2022'!Tau_j))),Resal+(Salim-Resal)*(1-EXP((Tnet-t)/(Tau_j))))*Salcycl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5.7079047455443578E-3</v>
      </c>
      <c r="Q330" s="301">
        <f t="shared" si="106"/>
        <v>0.5</v>
      </c>
      <c r="R330" s="173">
        <f t="shared" si="107"/>
        <v>0.99312614416640743</v>
      </c>
      <c r="S330" s="802">
        <f t="shared" si="108"/>
        <v>0</v>
      </c>
      <c r="T330" s="172">
        <f t="shared" si="109"/>
        <v>6</v>
      </c>
      <c r="U330" s="247">
        <f t="shared" si="110"/>
        <v>0.99312614416640743</v>
      </c>
      <c r="V330" s="378">
        <f t="shared" si="111"/>
        <v>24.261555777942434</v>
      </c>
      <c r="W330" s="397">
        <f t="shared" si="112"/>
        <v>22.587318562749957</v>
      </c>
      <c r="X330" s="153">
        <f t="shared" si="113"/>
        <v>45242</v>
      </c>
      <c r="Y330" s="380">
        <f t="shared" si="114"/>
        <v>21.996042599618026</v>
      </c>
      <c r="Z330" s="380">
        <f t="shared" si="115"/>
        <v>22.213913308497862</v>
      </c>
      <c r="AA330" s="381">
        <f t="shared" si="116"/>
        <v>23.11881203503</v>
      </c>
      <c r="AB330" s="193">
        <f t="shared" si="117"/>
        <v>45242</v>
      </c>
      <c r="AC330" s="420">
        <f>IF(OR(t&lt;Tnet,NoTnet),'2022'!Resal_s+('2022'!Salim-'2022'!Resal_s)*(1-EXP(('2022'!Tnet_s-t)/'2022'!Tau_j)),Resal_s+(Salim-Resal_s)*(1-EXP((Tnet_s-t)/Tau_j)))*Salcycl</f>
        <v>3.9141229452491828E-2</v>
      </c>
      <c r="AD330" s="227">
        <f>(INDEX(Models!$BJ330:$BT330,,AH330)*(1-AF330)+INDEX(Models!$BJ330:$BT330,,AH330+1)*AF330-ERP_i)*AE330*Ramure*Pc/MaxiM</f>
        <v>5.7079047455443578E-3</v>
      </c>
      <c r="AE330" s="301">
        <f t="shared" si="118"/>
        <v>0.5</v>
      </c>
      <c r="AF330" s="173">
        <f t="shared" si="119"/>
        <v>0.99312614416640743</v>
      </c>
      <c r="AG330" s="172">
        <f t="shared" si="120"/>
        <v>0</v>
      </c>
      <c r="AH330" s="172">
        <f t="shared" si="121"/>
        <v>6</v>
      </c>
      <c r="AI330" s="221">
        <f t="shared" si="122"/>
        <v>0.99312614416640743</v>
      </c>
      <c r="AJ330" s="261" t="b">
        <f t="shared" si="123"/>
        <v>0</v>
      </c>
      <c r="AK330" s="261" t="b">
        <f t="shared" si="124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5"/>
        <v>45243</v>
      </c>
      <c r="B331" s="406">
        <f>'2022'!Wh/'2022'!Env_an*'2023'!Env_an</f>
        <v>21.507250372320488</v>
      </c>
      <c r="C331" s="385"/>
      <c r="D331" s="388">
        <f t="shared" si="103"/>
        <v>21.720576932715215</v>
      </c>
      <c r="E331" s="380">
        <f t="shared" si="126"/>
        <v>22.014819887754953</v>
      </c>
      <c r="F331" s="380">
        <f t="shared" si="104"/>
        <v>22.126544659175035</v>
      </c>
      <c r="G331" s="110">
        <f t="shared" si="127"/>
        <v>0.89739408722913006</v>
      </c>
      <c r="H331" s="409" t="b">
        <f>Wh_hp&gt;='2022'!Maxi_hp</f>
        <v>0</v>
      </c>
      <c r="I331" s="385">
        <f>IF(H331,Wh_hp,'2022'!Maxi_hp)</f>
        <v>22.136158270343074</v>
      </c>
      <c r="J331" s="85">
        <f>IF(H331,An,'2022'!An_max)</f>
        <v>2022</v>
      </c>
      <c r="K331" s="193">
        <f t="shared" si="105"/>
        <v>45243</v>
      </c>
      <c r="L331" s="143">
        <f>IF(t&lt;Tvie,1-EXP((T0-t)*PertePVj)+'2022'!Pspv,1-EXP((T0-t)*PertePVj)+Pspv)</f>
        <v>9.8214039643401696E-3</v>
      </c>
      <c r="M331" s="836"/>
      <c r="N331" s="836"/>
      <c r="O331" s="48">
        <f>IF(t&lt;Tnet,'2022'!Resal+('2022'!Salim-'2022'!Resal)*(1-EXP(('2022'!Tnet-t)/('2022'!Tau_j))),Resal+(Salim-Resal)*(1-EXP((Tnet-t)/(Tau_j))))*Salcycl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5.9089354822696944E-3</v>
      </c>
      <c r="Q331" s="301">
        <f t="shared" si="106"/>
        <v>0.5</v>
      </c>
      <c r="R331" s="173">
        <f t="shared" si="107"/>
        <v>0.99316056096315819</v>
      </c>
      <c r="S331" s="802">
        <f t="shared" si="108"/>
        <v>0</v>
      </c>
      <c r="T331" s="172">
        <f t="shared" si="109"/>
        <v>6</v>
      </c>
      <c r="U331" s="247">
        <f t="shared" si="110"/>
        <v>0.99316056096315819</v>
      </c>
      <c r="V331" s="378">
        <f t="shared" si="111"/>
        <v>23.945632845067511</v>
      </c>
      <c r="W331" s="397">
        <f t="shared" si="112"/>
        <v>21.507250372320488</v>
      </c>
      <c r="X331" s="153">
        <f t="shared" si="113"/>
        <v>45243</v>
      </c>
      <c r="Y331" s="380">
        <f t="shared" si="114"/>
        <v>20.945096675243562</v>
      </c>
      <c r="Z331" s="380">
        <f t="shared" si="115"/>
        <v>21.152847333905868</v>
      </c>
      <c r="AA331" s="381">
        <f t="shared" si="116"/>
        <v>22.014819887754953</v>
      </c>
      <c r="AB331" s="193">
        <f t="shared" si="117"/>
        <v>45243</v>
      </c>
      <c r="AC331" s="420">
        <f>IF(OR(t&lt;Tnet,NoTnet),'2022'!Resal_s+('2022'!Salim-'2022'!Resal_s)*(1-EXP(('2022'!Tnet_s-t)/'2022'!Tau_j)),Resal_s+(Salim-Resal_s)*(1-EXP((Tnet_s-t)/Tau_j)))*Salcycl</f>
        <v>3.9154195139635493E-2</v>
      </c>
      <c r="AD331" s="227">
        <f>(INDEX(Models!$BJ331:$BT331,,AH331)*(1-AF331)+INDEX(Models!$BJ331:$BT331,,AH331+1)*AF331-ERP_i)*AE331*Ramure*Pc/MaxiM</f>
        <v>5.9089354822696944E-3</v>
      </c>
      <c r="AE331" s="301">
        <f t="shared" si="118"/>
        <v>0.5</v>
      </c>
      <c r="AF331" s="173">
        <f t="shared" si="119"/>
        <v>0.99316056096315819</v>
      </c>
      <c r="AG331" s="172">
        <f t="shared" si="120"/>
        <v>0</v>
      </c>
      <c r="AH331" s="172">
        <f t="shared" si="121"/>
        <v>6</v>
      </c>
      <c r="AI331" s="221">
        <f t="shared" si="122"/>
        <v>0.99316056096315819</v>
      </c>
      <c r="AJ331" s="261" t="b">
        <f t="shared" si="123"/>
        <v>0</v>
      </c>
      <c r="AK331" s="261" t="b">
        <f t="shared" si="124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5"/>
        <v>45244</v>
      </c>
      <c r="B332" s="406">
        <f>'2022'!Wh/'2022'!Env_an*'2023'!Env_an</f>
        <v>11.621669479117701</v>
      </c>
      <c r="C332" s="385"/>
      <c r="D332" s="388">
        <f t="shared" si="103"/>
        <v>11.737103406113965</v>
      </c>
      <c r="E332" s="380">
        <f t="shared" si="126"/>
        <v>11.896745835736127</v>
      </c>
      <c r="F332" s="380">
        <f t="shared" si="104"/>
        <v>11.91657438040129</v>
      </c>
      <c r="G332" s="110">
        <f t="shared" si="127"/>
        <v>0.48952817528502485</v>
      </c>
      <c r="H332" s="409" t="b">
        <f>Wh_hp&gt;='2022'!Maxi_hp</f>
        <v>0</v>
      </c>
      <c r="I332" s="385">
        <f>IF(H332,Wh_hp,'2022'!Maxi_hp)</f>
        <v>11.943103695327389</v>
      </c>
      <c r="J332" s="85">
        <f>IF(H332,An,'2022'!An_max)</f>
        <v>2022</v>
      </c>
      <c r="K332" s="193">
        <f t="shared" si="105"/>
        <v>45244</v>
      </c>
      <c r="L332" s="143">
        <f>IF(t&lt;Tvie,1-EXP((T0-t)*PertePVj)+'2022'!Pspv,1-EXP((T0-t)*PertePVj)+Pspv)</f>
        <v>9.8349586778058162E-3</v>
      </c>
      <c r="M332" s="836"/>
      <c r="N332" s="836"/>
      <c r="O332" s="48">
        <f>IF(t&lt;Tnet,'2022'!Resal+('2022'!Salim-'2022'!Resal)*(1-EXP(('2022'!Tnet-t)/('2022'!Tau_j))),Resal+(Salim-Resal)*(1-EXP((Tnet-t)/(Tau_j))))*Salcycl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6.0759290394383388E-3</v>
      </c>
      <c r="Q332" s="301">
        <f t="shared" si="106"/>
        <v>0.5</v>
      </c>
      <c r="R332" s="173">
        <f t="shared" si="107"/>
        <v>0.99319359649571981</v>
      </c>
      <c r="S332" s="802">
        <f t="shared" si="108"/>
        <v>0</v>
      </c>
      <c r="T332" s="172">
        <f t="shared" si="109"/>
        <v>6</v>
      </c>
      <c r="U332" s="247">
        <f t="shared" si="110"/>
        <v>0.99319359649571981</v>
      </c>
      <c r="V332" s="378">
        <f t="shared" si="111"/>
        <v>23.635635296229232</v>
      </c>
      <c r="W332" s="397">
        <f t="shared" si="112"/>
        <v>11.621669479117701</v>
      </c>
      <c r="X332" s="153">
        <f t="shared" si="113"/>
        <v>45244</v>
      </c>
      <c r="Y332" s="380">
        <f t="shared" si="114"/>
        <v>11.318358485922776</v>
      </c>
      <c r="Z332" s="380">
        <f t="shared" si="115"/>
        <v>11.430779732244501</v>
      </c>
      <c r="AA332" s="381">
        <f t="shared" si="116"/>
        <v>11.896745835736127</v>
      </c>
      <c r="AB332" s="193">
        <f t="shared" si="117"/>
        <v>45244</v>
      </c>
      <c r="AC332" s="420">
        <f>IF(OR(t&lt;Tnet,NoTnet),'2022'!Resal_s+('2022'!Salim-'2022'!Resal_s)*(1-EXP(('2022'!Tnet_s-t)/'2022'!Tau_j)),Resal_s+(Salim-Resal_s)*(1-EXP((Tnet_s-t)/Tau_j)))*Salcycl</f>
        <v>3.9167526139116997E-2</v>
      </c>
      <c r="AD332" s="227">
        <f>(INDEX(Models!$BJ332:$BT332,,AH332)*(1-AF332)+INDEX(Models!$BJ332:$BT332,,AH332+1)*AF332-ERP_i)*AE332*Ramure*Pc/MaxiM</f>
        <v>6.0759290394383388E-3</v>
      </c>
      <c r="AE332" s="301">
        <f t="shared" si="118"/>
        <v>0.5</v>
      </c>
      <c r="AF332" s="173">
        <f t="shared" si="119"/>
        <v>0.99319359649571981</v>
      </c>
      <c r="AG332" s="172">
        <f t="shared" si="120"/>
        <v>0</v>
      </c>
      <c r="AH332" s="172">
        <f t="shared" si="121"/>
        <v>6</v>
      </c>
      <c r="AI332" s="221">
        <f t="shared" si="122"/>
        <v>0.99319359649571981</v>
      </c>
      <c r="AJ332" s="261" t="b">
        <f t="shared" si="123"/>
        <v>0</v>
      </c>
      <c r="AK332" s="261" t="b">
        <f t="shared" si="124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5"/>
        <v>45245</v>
      </c>
      <c r="B333" s="406">
        <f>'2022'!Wh/'2022'!Env_an*'2023'!Env_an</f>
        <v>13.195584380195957</v>
      </c>
      <c r="C333" s="385"/>
      <c r="D333" s="388">
        <f t="shared" si="103"/>
        <v>13.326833879650112</v>
      </c>
      <c r="E333" s="380">
        <f t="shared" si="126"/>
        <v>13.508829612872541</v>
      </c>
      <c r="F333" s="380">
        <f t="shared" si="104"/>
        <v>13.540733060105589</v>
      </c>
      <c r="G333" s="110">
        <f t="shared" si="127"/>
        <v>0.56338465062154686</v>
      </c>
      <c r="H333" s="409" t="b">
        <f>Wh_hp&gt;='2022'!Maxi_hp</f>
        <v>0</v>
      </c>
      <c r="I333" s="385">
        <f>IF(H333,Wh_hp,'2022'!Maxi_hp)</f>
        <v>13.567075240802856</v>
      </c>
      <c r="J333" s="85">
        <f>IF(H333,An,'2022'!An_max)</f>
        <v>2022</v>
      </c>
      <c r="K333" s="193">
        <f t="shared" si="105"/>
        <v>45245</v>
      </c>
      <c r="L333" s="143">
        <f>IF(t&lt;Tvie,1-EXP((T0-t)*PertePVj)+'2022'!Pspv,1-EXP((T0-t)*PertePVj)+Pspv)</f>
        <v>9.8485132057187785E-3</v>
      </c>
      <c r="M333" s="836"/>
      <c r="N333" s="836"/>
      <c r="O333" s="48">
        <f>IF(t&lt;Tnet,'2022'!Resal+('2022'!Salim-'2022'!Resal)*(1-EXP(('2022'!Tnet-t)/('2022'!Tau_j))),Resal+(Salim-Resal)*(1-EXP((Tnet-t)/(Tau_j))))*Salcycl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6.2103355155989281E-3</v>
      </c>
      <c r="Q333" s="301">
        <f t="shared" si="106"/>
        <v>0.5</v>
      </c>
      <c r="R333" s="173">
        <f t="shared" si="107"/>
        <v>0.99322530602701486</v>
      </c>
      <c r="S333" s="802">
        <f t="shared" si="108"/>
        <v>0</v>
      </c>
      <c r="T333" s="172">
        <f t="shared" si="109"/>
        <v>6</v>
      </c>
      <c r="U333" s="247">
        <f t="shared" si="110"/>
        <v>0.99322530602701486</v>
      </c>
      <c r="V333" s="378">
        <f t="shared" si="111"/>
        <v>23.331493832450871</v>
      </c>
      <c r="W333" s="397">
        <f t="shared" si="112"/>
        <v>13.195584380195957</v>
      </c>
      <c r="X333" s="153">
        <f t="shared" si="113"/>
        <v>45245</v>
      </c>
      <c r="Y333" s="380">
        <f t="shared" si="114"/>
        <v>12.851707560772413</v>
      </c>
      <c r="Z333" s="380">
        <f t="shared" si="115"/>
        <v>12.979536699360173</v>
      </c>
      <c r="AA333" s="381">
        <f t="shared" si="116"/>
        <v>13.508829612872541</v>
      </c>
      <c r="AB333" s="193">
        <f t="shared" si="117"/>
        <v>45245</v>
      </c>
      <c r="AC333" s="420">
        <f>IF(OR(t&lt;Tnet,NoTnet),'2022'!Resal_s+('2022'!Salim-'2022'!Resal_s)*(1-EXP(('2022'!Tnet_s-t)/'2022'!Tau_j)),Resal_s+(Salim-Resal_s)*(1-EXP((Tnet_s-t)/Tau_j)))*Salcycl</f>
        <v>3.9181256162118192E-2</v>
      </c>
      <c r="AD333" s="227">
        <f>(INDEX(Models!$BJ333:$BT333,,AH333)*(1-AF333)+INDEX(Models!$BJ333:$BT333,,AH333+1)*AF333-ERP_i)*AE333*Ramure*Pc/MaxiM</f>
        <v>6.2103355155989281E-3</v>
      </c>
      <c r="AE333" s="301">
        <f t="shared" si="118"/>
        <v>0.5</v>
      </c>
      <c r="AF333" s="173">
        <f t="shared" si="119"/>
        <v>0.99322530602701486</v>
      </c>
      <c r="AG333" s="172">
        <f t="shared" si="120"/>
        <v>0</v>
      </c>
      <c r="AH333" s="172">
        <f t="shared" si="121"/>
        <v>6</v>
      </c>
      <c r="AI333" s="221">
        <f t="shared" si="122"/>
        <v>0.99322530602701486</v>
      </c>
      <c r="AJ333" s="261" t="b">
        <f t="shared" si="123"/>
        <v>0</v>
      </c>
      <c r="AK333" s="261" t="b">
        <f t="shared" si="124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5"/>
        <v>45246</v>
      </c>
      <c r="B334" s="406">
        <f>'2022'!Wh/'2022'!Env_an*'2023'!Env_an</f>
        <v>22.039610587284077</v>
      </c>
      <c r="C334" s="385"/>
      <c r="D334" s="388">
        <f t="shared" si="103"/>
        <v>22.259131647149914</v>
      </c>
      <c r="E334" s="380">
        <f t="shared" si="126"/>
        <v>22.564331185465925</v>
      </c>
      <c r="F334" s="380">
        <f t="shared" si="104"/>
        <v>22.698768291732147</v>
      </c>
      <c r="G334" s="110">
        <f t="shared" si="127"/>
        <v>0.95648883099223869</v>
      </c>
      <c r="H334" s="409" t="b">
        <f>Wh_hp&gt;='2022'!Maxi_hp</f>
        <v>0</v>
      </c>
      <c r="I334" s="385">
        <f>IF(H334,Wh_hp,'2022'!Maxi_hp)</f>
        <v>22.703232155133165</v>
      </c>
      <c r="J334" s="85">
        <f>IF(H334,An,'2022'!An_max)</f>
        <v>2022</v>
      </c>
      <c r="K334" s="193">
        <f t="shared" si="105"/>
        <v>45246</v>
      </c>
      <c r="L334" s="143">
        <f>IF(t&lt;Tvie,1-EXP((T0-t)*PertePVj)+'2022'!Pspv,1-EXP((T0-t)*PertePVj)+Pspv)</f>
        <v>9.862067548081721E-3</v>
      </c>
      <c r="M334" s="836"/>
      <c r="N334" s="836"/>
      <c r="O334" s="48">
        <f>IF(t&lt;Tnet,'2022'!Resal+('2022'!Salim-'2022'!Resal)*(1-EXP(('2022'!Tnet-t)/('2022'!Tau_j))),Resal+(Salim-Resal)*(1-EXP((Tnet-t)/(Tau_j))))*Salcycl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6.3116071776498847E-3</v>
      </c>
      <c r="Q334" s="301">
        <f t="shared" si="106"/>
        <v>0.5</v>
      </c>
      <c r="R334" s="173">
        <f t="shared" si="107"/>
        <v>0.99325574262250449</v>
      </c>
      <c r="S334" s="802">
        <f t="shared" si="108"/>
        <v>0</v>
      </c>
      <c r="T334" s="172">
        <f t="shared" si="109"/>
        <v>6</v>
      </c>
      <c r="U334" s="247">
        <f t="shared" si="110"/>
        <v>0.99325574262250449</v>
      </c>
      <c r="V334" s="378">
        <f t="shared" si="111"/>
        <v>23.033188234847557</v>
      </c>
      <c r="W334" s="397">
        <f t="shared" si="112"/>
        <v>22.039610587284077</v>
      </c>
      <c r="X334" s="153">
        <f t="shared" si="113"/>
        <v>45246</v>
      </c>
      <c r="Y334" s="380">
        <f t="shared" si="114"/>
        <v>21.466104045062639</v>
      </c>
      <c r="Z334" s="380">
        <f t="shared" si="115"/>
        <v>21.679912809627709</v>
      </c>
      <c r="AA334" s="381">
        <f t="shared" si="116"/>
        <v>22.564331185465925</v>
      </c>
      <c r="AB334" s="193">
        <f t="shared" si="117"/>
        <v>45246</v>
      </c>
      <c r="AC334" s="420">
        <f>IF(OR(t&lt;Tnet,NoTnet),'2022'!Resal_s+('2022'!Salim-'2022'!Resal_s)*(1-EXP(('2022'!Tnet_s-t)/'2022'!Tau_j)),Resal_s+(Salim-Resal_s)*(1-EXP((Tnet_s-t)/Tau_j)))*Salcycl</f>
        <v>3.9195417252512521E-2</v>
      </c>
      <c r="AD334" s="227">
        <f>(INDEX(Models!$BJ334:$BT334,,AH334)*(1-AF334)+INDEX(Models!$BJ334:$BT334,,AH334+1)*AF334-ERP_i)*AE334*Ramure*Pc/MaxiM</f>
        <v>6.3116071776498847E-3</v>
      </c>
      <c r="AE334" s="301">
        <f t="shared" si="118"/>
        <v>0.5</v>
      </c>
      <c r="AF334" s="173">
        <f t="shared" si="119"/>
        <v>0.99325574262250449</v>
      </c>
      <c r="AG334" s="172">
        <f t="shared" si="120"/>
        <v>0</v>
      </c>
      <c r="AH334" s="172">
        <f t="shared" si="121"/>
        <v>6</v>
      </c>
      <c r="AI334" s="221">
        <f t="shared" si="122"/>
        <v>0.99325574262250449</v>
      </c>
      <c r="AJ334" s="261" t="b">
        <f t="shared" si="123"/>
        <v>0</v>
      </c>
      <c r="AK334" s="261" t="b">
        <f t="shared" si="124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5"/>
        <v>45247</v>
      </c>
      <c r="B335" s="406">
        <f>'2022'!Wh/'2022'!Env_an*'2023'!Env_an</f>
        <v>14.487493211084596</v>
      </c>
      <c r="C335" s="385"/>
      <c r="D335" s="388">
        <f t="shared" ref="D335:D379" si="128">Wh/(1-Ppv)</f>
        <v>14.631993241122531</v>
      </c>
      <c r="E335" s="380">
        <f t="shared" si="126"/>
        <v>14.833419287620236</v>
      </c>
      <c r="F335" s="380">
        <f t="shared" ref="F335:F379" si="129">Wh_sa/(1-Pvg*MEDIAN((-Sdif+Wh/Env_an)/Csdif,0,1))</f>
        <v>14.879124818410432</v>
      </c>
      <c r="G335" s="110">
        <f t="shared" si="127"/>
        <v>0.63495980251264028</v>
      </c>
      <c r="H335" s="409" t="b">
        <f>Wh_hp&gt;='2022'!Maxi_hp</f>
        <v>0</v>
      </c>
      <c r="I335" s="385">
        <f>IF(H335,Wh_hp,'2022'!Maxi_hp)</f>
        <v>14.903968962126475</v>
      </c>
      <c r="J335" s="85">
        <f>IF(H335,An,'2022'!An_max)</f>
        <v>2022</v>
      </c>
      <c r="K335" s="193">
        <f t="shared" ref="K335:K379" si="130">t</f>
        <v>45247</v>
      </c>
      <c r="L335" s="143">
        <f>IF(t&lt;Tvie,1-EXP((T0-t)*PertePVj)+'2022'!Pspv,1-EXP((T0-t)*PertePVj)+Pspv)</f>
        <v>9.8756217048969752E-3</v>
      </c>
      <c r="M335" s="836"/>
      <c r="N335" s="836"/>
      <c r="O335" s="48">
        <f>IF(t&lt;Tnet,'2022'!Resal+('2022'!Salim-'2022'!Resal)*(1-EXP(('2022'!Tnet-t)/('2022'!Tau_j))),Resal+(Salim-Resal)*(1-EXP((Tnet-t)/(Tau_j))))*Salcycl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6.3791820547154749E-3</v>
      </c>
      <c r="Q335" s="301">
        <f t="shared" ref="Q335:Q379" si="131">IF(OR(t&lt;Ttai,Notai),Dd+PousD*Croivg,Dens+PousD*(Croivg-Croi_tai))</f>
        <v>0.5</v>
      </c>
      <c r="R335" s="173">
        <f t="shared" ref="R335:R379" si="132">(Hp_vg-S335)/(INDEX(Echel_vg,T335+1)-S335)</f>
        <v>0.99328495723649879</v>
      </c>
      <c r="S335" s="802">
        <f t="shared" ref="S335:S379" si="133">INDEX(Echel_vg,T335)</f>
        <v>0</v>
      </c>
      <c r="T335" s="172">
        <f t="shared" ref="T335:T379" si="134">MIN(MATCH(Hp_vg,Echel_vg),10)</f>
        <v>6</v>
      </c>
      <c r="U335" s="247">
        <f t="shared" ref="U335:U379" si="135">IF(OR(t&lt;Ttai,Notai),Hdd+PousH*Croivg,Hdtf+PousH*(Croivg-Croi_tai))</f>
        <v>0.99328495723649879</v>
      </c>
      <c r="V335" s="378">
        <f t="shared" ref="V335:V379" si="136">MaxiM*(1-Ppv)*(1-Pvg)*(1-Psa)</f>
        <v>22.740698982106025</v>
      </c>
      <c r="W335" s="397">
        <f t="shared" ref="W335:W379" si="137">Wh*(A335&gt;Tmaj)</f>
        <v>14.487493211084596</v>
      </c>
      <c r="X335" s="153">
        <f t="shared" ref="X335:X379" si="138">t</f>
        <v>45247</v>
      </c>
      <c r="Y335" s="380">
        <f t="shared" ref="Y335:Y379" si="139">Wh_pvt_s*(1-Ppv)</f>
        <v>14.111054940610035</v>
      </c>
      <c r="Z335" s="380">
        <f t="shared" ref="Z335:Z379" si="140">Wh_sa_s*(1-Psa_s)</f>
        <v>14.251800329275689</v>
      </c>
      <c r="AA335" s="381">
        <f t="shared" ref="AA335:AA379" si="141">Wh_hp*(1-Pvg_s*MEDIAN((-Sdif+Wh/Env_an)/Csdif,0,1))</f>
        <v>14.833419287620236</v>
      </c>
      <c r="AB335" s="193">
        <f t="shared" ref="AB335:AB379" si="142">t</f>
        <v>45247</v>
      </c>
      <c r="AC335" s="420">
        <f>IF(OR(t&lt;Tnet,NoTnet),'2022'!Resal_s+('2022'!Salim-'2022'!Resal_s)*(1-EXP(('2022'!Tnet_s-t)/'2022'!Tau_j)),Resal_s+(Salim-Resal_s)*(1-EXP((Tnet_s-t)/Tau_j)))*Salcycl</f>
        <v>3.9210039645407875E-2</v>
      </c>
      <c r="AD335" s="227">
        <f>(INDEX(Models!$BJ335:$BT335,,AH335)*(1-AF335)+INDEX(Models!$BJ335:$BT335,,AH335+1)*AF335-ERP_i)*AE335*Ramure*Pc/MaxiM</f>
        <v>6.3791820547154749E-3</v>
      </c>
      <c r="AE335" s="301">
        <f t="shared" ref="AE335:AE379" si="143">IF(OR(t&lt;Ttai,Notai),Dd_s+PousD*Croivg,Dens_s+PousD*(Croivg-Croi_tai))</f>
        <v>0.5</v>
      </c>
      <c r="AF335" s="173">
        <f t="shared" ref="AF335:AF379" si="144">(Hp_vg_s-AG335)/(INDEX(Echel_vg,AH335+1)-AG335)</f>
        <v>0.99328495723649879</v>
      </c>
      <c r="AG335" s="172">
        <f t="shared" ref="AG335:AG379" si="145">INDEX(Echel_vg,AH335)</f>
        <v>0</v>
      </c>
      <c r="AH335" s="172">
        <f t="shared" ref="AH335:AH379" si="146">MIN(MATCH(Hp_vg_s,Echel_vg),10)</f>
        <v>6</v>
      </c>
      <c r="AI335" s="221">
        <f t="shared" ref="AI335:AI379" si="147">IF(OR(t&lt;Ttai,Notai),Hdd_s+PousH*Croivg,Hdtai_s+PousH*(Croivg-Croi_tai))</f>
        <v>0.99328495723649879</v>
      </c>
      <c r="AJ335" s="261" t="b">
        <f t="shared" ref="AJ335:AJ380" si="148">t&lt;Tnet</f>
        <v>0</v>
      </c>
      <c r="AK335" s="261" t="b">
        <f t="shared" ref="AK335:AK380" si="14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50">A335+1</f>
        <v>45248</v>
      </c>
      <c r="B336" s="406">
        <f>'2022'!Wh/'2022'!Env_an*'2023'!Env_an</f>
        <v>12.008484454236173</v>
      </c>
      <c r="C336" s="385"/>
      <c r="D336" s="388">
        <f t="shared" si="128"/>
        <v>12.128424575538821</v>
      </c>
      <c r="E336" s="380">
        <f t="shared" si="126"/>
        <v>12.296053315241389</v>
      </c>
      <c r="F336" s="380">
        <f t="shared" si="129"/>
        <v>12.322558676842887</v>
      </c>
      <c r="G336" s="110">
        <f t="shared" si="127"/>
        <v>0.53251963431117377</v>
      </c>
      <c r="H336" s="409" t="b">
        <f>Wh_hp&gt;='2022'!Maxi_hp</f>
        <v>0</v>
      </c>
      <c r="I336" s="385">
        <f>IF(H336,Wh_hp,'2022'!Maxi_hp)</f>
        <v>12.349054372733571</v>
      </c>
      <c r="J336" s="85">
        <f>IF(H336,An,'2022'!An_max)</f>
        <v>2022</v>
      </c>
      <c r="K336" s="193">
        <f t="shared" si="130"/>
        <v>45248</v>
      </c>
      <c r="L336" s="143">
        <f>IF(t&lt;Tvie,1-EXP((T0-t)*PertePVj)+'2022'!Pspv,1-EXP((T0-t)*PertePVj)+Pspv)</f>
        <v>9.8891756761672056E-3</v>
      </c>
      <c r="M336" s="836"/>
      <c r="N336" s="836"/>
      <c r="O336" s="48">
        <f>IF(t&lt;Tnet,'2022'!Resal+('2022'!Salim-'2022'!Resal)*(1-EXP(('2022'!Tnet-t)/('2022'!Tau_j))),Resal+(Salim-Resal)*(1-EXP((Tnet-t)/(Tau_j))))*Salcycl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6.4124809173369468E-3</v>
      </c>
      <c r="Q336" s="301">
        <f t="shared" si="131"/>
        <v>0.5</v>
      </c>
      <c r="R336" s="173">
        <f t="shared" si="132"/>
        <v>0.99331299879516211</v>
      </c>
      <c r="S336" s="802">
        <f t="shared" si="133"/>
        <v>0</v>
      </c>
      <c r="T336" s="172">
        <f t="shared" si="134"/>
        <v>6</v>
      </c>
      <c r="U336" s="247">
        <f t="shared" si="135"/>
        <v>0.99331299879516211</v>
      </c>
      <c r="V336" s="378">
        <f t="shared" si="136"/>
        <v>22.454007316702913</v>
      </c>
      <c r="W336" s="397">
        <f t="shared" si="137"/>
        <v>12.008484454236173</v>
      </c>
      <c r="X336" s="153">
        <f t="shared" si="138"/>
        <v>45248</v>
      </c>
      <c r="Y336" s="380">
        <f t="shared" si="139"/>
        <v>11.696910621434206</v>
      </c>
      <c r="Z336" s="380">
        <f t="shared" si="140"/>
        <v>11.81373875941844</v>
      </c>
      <c r="AA336" s="381">
        <f t="shared" si="141"/>
        <v>12.296053315241389</v>
      </c>
      <c r="AB336" s="193">
        <f t="shared" si="142"/>
        <v>45248</v>
      </c>
      <c r="AC336" s="420">
        <f>IF(OR(t&lt;Tnet,NoTnet),'2022'!Resal_s+('2022'!Salim-'2022'!Resal_s)*(1-EXP(('2022'!Tnet_s-t)/'2022'!Tau_j)),Resal_s+(Salim-Resal_s)*(1-EXP((Tnet_s-t)/Tau_j)))*Salcycl</f>
        <v>3.9225151636672166E-2</v>
      </c>
      <c r="AD336" s="227">
        <f>(INDEX(Models!$BJ336:$BT336,,AH336)*(1-AF336)+INDEX(Models!$BJ336:$BT336,,AH336+1)*AF336-ERP_i)*AE336*Ramure*Pc/MaxiM</f>
        <v>6.4124809173369468E-3</v>
      </c>
      <c r="AE336" s="301">
        <f t="shared" si="143"/>
        <v>0.5</v>
      </c>
      <c r="AF336" s="173">
        <f t="shared" si="144"/>
        <v>0.99331299879516211</v>
      </c>
      <c r="AG336" s="172">
        <f t="shared" si="145"/>
        <v>0</v>
      </c>
      <c r="AH336" s="172">
        <f t="shared" si="146"/>
        <v>6</v>
      </c>
      <c r="AI336" s="221">
        <f t="shared" si="147"/>
        <v>0.99331299879516211</v>
      </c>
      <c r="AJ336" s="261" t="b">
        <f t="shared" si="148"/>
        <v>0</v>
      </c>
      <c r="AK336" s="261" t="b">
        <f t="shared" si="14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50"/>
        <v>45249</v>
      </c>
      <c r="B337" s="406">
        <f>'2022'!Wh/'2022'!Env_an*'2023'!Env_an</f>
        <v>8.6178558174231039</v>
      </c>
      <c r="C337" s="385"/>
      <c r="D337" s="388">
        <f t="shared" si="128"/>
        <v>8.7040496664932849</v>
      </c>
      <c r="E337" s="380">
        <f t="shared" si="126"/>
        <v>8.8248291760234441</v>
      </c>
      <c r="F337" s="380">
        <f t="shared" si="129"/>
        <v>8.832000865489027</v>
      </c>
      <c r="G337" s="110">
        <f t="shared" si="127"/>
        <v>0.38648488336486969</v>
      </c>
      <c r="H337" s="409" t="b">
        <f>Wh_hp&gt;='2022'!Maxi_hp</f>
        <v>0</v>
      </c>
      <c r="I337" s="385">
        <f>IF(H337,Wh_hp,'2022'!Maxi_hp)</f>
        <v>8.8569305429618339</v>
      </c>
      <c r="J337" s="85">
        <f>IF(H337,An,'2022'!An_max)</f>
        <v>2022</v>
      </c>
      <c r="K337" s="193">
        <f t="shared" si="130"/>
        <v>45249</v>
      </c>
      <c r="L337" s="143">
        <f>IF(t&lt;Tvie,1-EXP((T0-t)*PertePVj)+'2022'!Pspv,1-EXP((T0-t)*PertePVj)+Pspv)</f>
        <v>9.9027294618950767E-3</v>
      </c>
      <c r="M337" s="836"/>
      <c r="N337" s="836"/>
      <c r="O337" s="48">
        <f>IF(t&lt;Tnet,'2022'!Resal+('2022'!Salim-'2022'!Resal)*(1-EXP(('2022'!Tnet-t)/('2022'!Tau_j))),Resal+(Salim-Resal)*(1-EXP((Tnet-t)/(Tau_j))))*Salcycl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6.4109044018393754E-3</v>
      </c>
      <c r="Q337" s="301">
        <f t="shared" si="131"/>
        <v>0.5</v>
      </c>
      <c r="R337" s="173">
        <f t="shared" si="132"/>
        <v>0.99333991427633261</v>
      </c>
      <c r="S337" s="802">
        <f t="shared" si="133"/>
        <v>0</v>
      </c>
      <c r="T337" s="172">
        <f t="shared" si="134"/>
        <v>6</v>
      </c>
      <c r="U337" s="247">
        <f t="shared" si="135"/>
        <v>0.99333991427633261</v>
      </c>
      <c r="V337" s="378">
        <f t="shared" si="136"/>
        <v>22.173095315885451</v>
      </c>
      <c r="W337" s="397">
        <f t="shared" si="137"/>
        <v>8.6178558174231039</v>
      </c>
      <c r="X337" s="153">
        <f t="shared" si="138"/>
        <v>45249</v>
      </c>
      <c r="Y337" s="380">
        <f t="shared" si="139"/>
        <v>8.3945753522703903</v>
      </c>
      <c r="Z337" s="380">
        <f t="shared" si="140"/>
        <v>8.4785360005164421</v>
      </c>
      <c r="AA337" s="381">
        <f t="shared" si="141"/>
        <v>8.8248291760234441</v>
      </c>
      <c r="AB337" s="193">
        <f t="shared" si="142"/>
        <v>45249</v>
      </c>
      <c r="AC337" s="420">
        <f>IF(OR(t&lt;Tnet,NoTnet),'2022'!Resal_s+('2022'!Salim-'2022'!Resal_s)*(1-EXP(('2022'!Tnet_s-t)/'2022'!Tau_j)),Resal_s+(Salim-Resal_s)*(1-EXP((Tnet_s-t)/Tau_j)))*Salcycl</f>
        <v>3.9240779464361809E-2</v>
      </c>
      <c r="AD337" s="227">
        <f>(INDEX(Models!$BJ337:$BT337,,AH337)*(1-AF337)+INDEX(Models!$BJ337:$BT337,,AH337+1)*AF337-ERP_i)*AE337*Ramure*Pc/MaxiM</f>
        <v>6.4109044018393754E-3</v>
      </c>
      <c r="AE337" s="301">
        <f t="shared" si="143"/>
        <v>0.5</v>
      </c>
      <c r="AF337" s="173">
        <f t="shared" si="144"/>
        <v>0.99333991427633261</v>
      </c>
      <c r="AG337" s="172">
        <f t="shared" si="145"/>
        <v>0</v>
      </c>
      <c r="AH337" s="172">
        <f t="shared" si="146"/>
        <v>6</v>
      </c>
      <c r="AI337" s="221">
        <f t="shared" si="147"/>
        <v>0.99333991427633261</v>
      </c>
      <c r="AJ337" s="261" t="b">
        <f t="shared" si="148"/>
        <v>0</v>
      </c>
      <c r="AK337" s="261" t="b">
        <f t="shared" si="14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50"/>
        <v>45250</v>
      </c>
      <c r="B338" s="406">
        <f>'2022'!Wh/'2022'!Env_an*'2023'!Env_an</f>
        <v>15.512997176274224</v>
      </c>
      <c r="C338" s="385"/>
      <c r="D338" s="388">
        <f t="shared" si="128"/>
        <v>15.668369159985854</v>
      </c>
      <c r="E338" s="380">
        <f t="shared" si="126"/>
        <v>15.886652071569028</v>
      </c>
      <c r="F338" s="380">
        <f t="shared" si="129"/>
        <v>15.94599897684736</v>
      </c>
      <c r="G338" s="110">
        <f t="shared" si="127"/>
        <v>0.70653666299139073</v>
      </c>
      <c r="H338" s="409" t="b">
        <f>Wh_hp&gt;='2022'!Maxi_hp</f>
        <v>0</v>
      </c>
      <c r="I338" s="385">
        <f>IF(H338,Wh_hp,'2022'!Maxi_hp)</f>
        <v>15.967385749042172</v>
      </c>
      <c r="J338" s="85">
        <f>IF(H338,An,'2022'!An_max)</f>
        <v>2022</v>
      </c>
      <c r="K338" s="193">
        <f t="shared" si="130"/>
        <v>45250</v>
      </c>
      <c r="L338" s="143">
        <f>IF(t&lt;Tvie,1-EXP((T0-t)*PertePVj)+'2022'!Pspv,1-EXP((T0-t)*PertePVj)+Pspv)</f>
        <v>9.9162830620829201E-3</v>
      </c>
      <c r="M338" s="836"/>
      <c r="N338" s="836"/>
      <c r="O338" s="48">
        <f>IF(t&lt;Tnet,'2022'!Resal+('2022'!Salim-'2022'!Resal)*(1-EXP(('2022'!Tnet-t)/('2022'!Tau_j))),Resal+(Salim-Resal)*(1-EXP((Tnet-t)/(Tau_j))))*Salcycl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6.378683703536712E-3</v>
      </c>
      <c r="Q338" s="301">
        <f t="shared" si="131"/>
        <v>0.5</v>
      </c>
      <c r="R338" s="173">
        <f t="shared" si="132"/>
        <v>0.99336574878627171</v>
      </c>
      <c r="S338" s="802">
        <f t="shared" si="133"/>
        <v>0</v>
      </c>
      <c r="T338" s="172">
        <f t="shared" si="134"/>
        <v>6</v>
      </c>
      <c r="U338" s="247">
        <f t="shared" si="135"/>
        <v>0.99336574878627171</v>
      </c>
      <c r="V338" s="378">
        <f t="shared" si="136"/>
        <v>21.897838988171912</v>
      </c>
      <c r="W338" s="397">
        <f t="shared" si="137"/>
        <v>15.512997176274224</v>
      </c>
      <c r="X338" s="153">
        <f t="shared" si="138"/>
        <v>45250</v>
      </c>
      <c r="Y338" s="380">
        <f t="shared" si="139"/>
        <v>15.111638474702572</v>
      </c>
      <c r="Z338" s="380">
        <f t="shared" si="140"/>
        <v>15.262990609964897</v>
      </c>
      <c r="AA338" s="381">
        <f t="shared" si="141"/>
        <v>15.886652071569028</v>
      </c>
      <c r="AB338" s="193">
        <f t="shared" si="142"/>
        <v>45250</v>
      </c>
      <c r="AC338" s="420">
        <f>IF(OR(t&lt;Tnet,NoTnet),'2022'!Resal_s+('2022'!Salim-'2022'!Resal_s)*(1-EXP(('2022'!Tnet_s-t)/'2022'!Tau_j)),Resal_s+(Salim-Resal_s)*(1-EXP((Tnet_s-t)/Tau_j)))*Salcycl</f>
        <v>3.9256947202881289E-2</v>
      </c>
      <c r="AD338" s="227">
        <f>(INDEX(Models!$BJ338:$BT338,,AH338)*(1-AF338)+INDEX(Models!$BJ338:$BT338,,AH338+1)*AF338-ERP_i)*AE338*Ramure*Pc/MaxiM</f>
        <v>6.378683703536712E-3</v>
      </c>
      <c r="AE338" s="301">
        <f t="shared" si="143"/>
        <v>0.5</v>
      </c>
      <c r="AF338" s="173">
        <f t="shared" si="144"/>
        <v>0.99336574878627171</v>
      </c>
      <c r="AG338" s="172">
        <f t="shared" si="145"/>
        <v>0</v>
      </c>
      <c r="AH338" s="172">
        <f t="shared" si="146"/>
        <v>6</v>
      </c>
      <c r="AI338" s="221">
        <f t="shared" si="147"/>
        <v>0.99336574878627171</v>
      </c>
      <c r="AJ338" s="261" t="b">
        <f t="shared" si="148"/>
        <v>0</v>
      </c>
      <c r="AK338" s="261" t="b">
        <f t="shared" si="14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50"/>
        <v>45251</v>
      </c>
      <c r="B339" s="406">
        <f>'2022'!Wh/'2022'!Env_an*'2023'!Env_an</f>
        <v>3.5326632120281309</v>
      </c>
      <c r="C339" s="385"/>
      <c r="D339" s="388">
        <f t="shared" si="128"/>
        <v>3.5680937999957347</v>
      </c>
      <c r="E339" s="380">
        <f t="shared" si="126"/>
        <v>3.6179998060175267</v>
      </c>
      <c r="F339" s="380">
        <f t="shared" si="129"/>
        <v>3.6179998060175267</v>
      </c>
      <c r="G339" s="110">
        <f t="shared" si="127"/>
        <v>0.16230428713181058</v>
      </c>
      <c r="H339" s="409" t="b">
        <f>Wh_hp&gt;='2022'!Maxi_hp</f>
        <v>0</v>
      </c>
      <c r="I339" s="385">
        <f>IF(H339,Wh_hp,'2022'!Maxi_hp)</f>
        <v>3.629559805133463</v>
      </c>
      <c r="J339" s="85">
        <f>IF(H339,An,'2022'!An_max)</f>
        <v>2022</v>
      </c>
      <c r="K339" s="193">
        <f t="shared" si="130"/>
        <v>45251</v>
      </c>
      <c r="L339" s="143">
        <f>IF(t&lt;Tvie,1-EXP((T0-t)*PertePVj)+'2022'!Pspv,1-EXP((T0-t)*PertePVj)+Pspv)</f>
        <v>9.9298364767334002E-3</v>
      </c>
      <c r="M339" s="836"/>
      <c r="N339" s="836"/>
      <c r="O339" s="48">
        <f>IF(t&lt;Tnet,'2022'!Resal+('2022'!Salim-'2022'!Resal)*(1-EXP(('2022'!Tnet-t)/('2022'!Tau_j))),Resal+(Salim-Resal)*(1-EXP((Tnet-t)/(Tau_j))))*Salcycl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6.3424756877216021E-3</v>
      </c>
      <c r="Q339" s="301">
        <f t="shared" si="131"/>
        <v>0.5</v>
      </c>
      <c r="R339" s="173">
        <f t="shared" si="132"/>
        <v>0.99339054563345675</v>
      </c>
      <c r="S339" s="802">
        <f t="shared" si="133"/>
        <v>0</v>
      </c>
      <c r="T339" s="172">
        <f t="shared" si="134"/>
        <v>6</v>
      </c>
      <c r="U339" s="247">
        <f t="shared" si="135"/>
        <v>0.99339054563345675</v>
      </c>
      <c r="V339" s="378">
        <f t="shared" si="136"/>
        <v>21.627631922268222</v>
      </c>
      <c r="W339" s="397">
        <f t="shared" si="137"/>
        <v>3.5326632120281309</v>
      </c>
      <c r="X339" s="153">
        <f t="shared" si="138"/>
        <v>45251</v>
      </c>
      <c r="Y339" s="380">
        <f t="shared" si="139"/>
        <v>3.4413924568546506</v>
      </c>
      <c r="Z339" s="380">
        <f t="shared" si="140"/>
        <v>3.4759076514416929</v>
      </c>
      <c r="AA339" s="381">
        <f t="shared" si="141"/>
        <v>3.6179998060175267</v>
      </c>
      <c r="AB339" s="193">
        <f t="shared" si="142"/>
        <v>45251</v>
      </c>
      <c r="AC339" s="420">
        <f>IF(OR(t&lt;Tnet,NoTnet),'2022'!Resal_s+('2022'!Salim-'2022'!Resal_s)*(1-EXP(('2022'!Tnet_s-t)/'2022'!Tau_j)),Resal_s+(Salim-Resal_s)*(1-EXP((Tnet_s-t)/Tau_j)))*Salcycl</f>
        <v>3.927367667060222E-2</v>
      </c>
      <c r="AD339" s="227">
        <f>(INDEX(Models!$BJ339:$BT339,,AH339)*(1-AF339)+INDEX(Models!$BJ339:$BT339,,AH339+1)*AF339-ERP_i)*AE339*Ramure*Pc/MaxiM</f>
        <v>6.3424756877216021E-3</v>
      </c>
      <c r="AE339" s="301">
        <f t="shared" si="143"/>
        <v>0.5</v>
      </c>
      <c r="AF339" s="173">
        <f t="shared" si="144"/>
        <v>0.99339054563345675</v>
      </c>
      <c r="AG339" s="172">
        <f t="shared" si="145"/>
        <v>0</v>
      </c>
      <c r="AH339" s="172">
        <f t="shared" si="146"/>
        <v>6</v>
      </c>
      <c r="AI339" s="221">
        <f t="shared" si="147"/>
        <v>0.99339054563345675</v>
      </c>
      <c r="AJ339" s="261" t="b">
        <f t="shared" si="148"/>
        <v>0</v>
      </c>
      <c r="AK339" s="261" t="b">
        <f t="shared" si="14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50"/>
        <v>45252</v>
      </c>
      <c r="B340" s="406">
        <f>'2022'!Wh/'2022'!Env_an*'2023'!Env_an</f>
        <v>9.9123572115850198</v>
      </c>
      <c r="C340" s="385"/>
      <c r="D340" s="388">
        <f t="shared" si="128"/>
        <v>10.011909529738917</v>
      </c>
      <c r="E340" s="380">
        <f t="shared" si="126"/>
        <v>10.152498404874041</v>
      </c>
      <c r="F340" s="380">
        <f t="shared" si="129"/>
        <v>10.16751166116669</v>
      </c>
      <c r="G340" s="110">
        <f t="shared" si="127"/>
        <v>0.46176553533975939</v>
      </c>
      <c r="H340" s="409" t="b">
        <f>Wh_hp&gt;='2022'!Maxi_hp</f>
        <v>0</v>
      </c>
      <c r="I340" s="385">
        <f>IF(H340,Wh_hp,'2022'!Maxi_hp)</f>
        <v>10.192243033063592</v>
      </c>
      <c r="J340" s="85">
        <f>IF(H340,An,'2022'!An_max)</f>
        <v>2022</v>
      </c>
      <c r="K340" s="193">
        <f t="shared" si="130"/>
        <v>45252</v>
      </c>
      <c r="L340" s="143">
        <f>IF(t&lt;Tvie,1-EXP((T0-t)*PertePVj)+'2022'!Pspv,1-EXP((T0-t)*PertePVj)+Pspv)</f>
        <v>9.9433897058489595E-3</v>
      </c>
      <c r="M340" s="836"/>
      <c r="N340" s="836"/>
      <c r="O340" s="48">
        <f>IF(t&lt;Tnet,'2022'!Resal+('2022'!Salim-'2022'!Resal)*(1-EXP(('2022'!Tnet-t)/('2022'!Tau_j))),Resal+(Salim-Resal)*(1-EXP((Tnet-t)/(Tau_j))))*Salcycl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6.3022161288676199E-3</v>
      </c>
      <c r="Q340" s="301">
        <f t="shared" si="131"/>
        <v>0.5</v>
      </c>
      <c r="R340" s="173">
        <f t="shared" si="132"/>
        <v>0.99341434639952531</v>
      </c>
      <c r="S340" s="802">
        <f t="shared" si="133"/>
        <v>0</v>
      </c>
      <c r="T340" s="172">
        <f t="shared" si="134"/>
        <v>6</v>
      </c>
      <c r="U340" s="247">
        <f t="shared" si="135"/>
        <v>0.99341434639952531</v>
      </c>
      <c r="V340" s="378">
        <f t="shared" si="136"/>
        <v>21.362471648438103</v>
      </c>
      <c r="W340" s="397">
        <f t="shared" si="137"/>
        <v>9.9123572115850198</v>
      </c>
      <c r="X340" s="153">
        <f t="shared" si="138"/>
        <v>45252</v>
      </c>
      <c r="Y340" s="380">
        <f t="shared" si="139"/>
        <v>9.6566129052560026</v>
      </c>
      <c r="Z340" s="380">
        <f t="shared" si="140"/>
        <v>9.7535967184613526</v>
      </c>
      <c r="AA340" s="381">
        <f t="shared" si="141"/>
        <v>10.152498404874041</v>
      </c>
      <c r="AB340" s="193">
        <f t="shared" si="142"/>
        <v>45252</v>
      </c>
      <c r="AC340" s="420">
        <f>IF(OR(t&lt;Tnet,NoTnet),'2022'!Resal_s+('2022'!Salim-'2022'!Resal_s)*(1-EXP(('2022'!Tnet_s-t)/'2022'!Tau_j)),Resal_s+(Salim-Resal_s)*(1-EXP((Tnet_s-t)/Tau_j)))*Salcycl</f>
        <v>3.9290987351564888E-2</v>
      </c>
      <c r="AD340" s="227">
        <f>(INDEX(Models!$BJ340:$BT340,,AH340)*(1-AF340)+INDEX(Models!$BJ340:$BT340,,AH340+1)*AF340-ERP_i)*AE340*Ramure*Pc/MaxiM</f>
        <v>6.3022161288676199E-3</v>
      </c>
      <c r="AE340" s="301">
        <f t="shared" si="143"/>
        <v>0.5</v>
      </c>
      <c r="AF340" s="173">
        <f t="shared" si="144"/>
        <v>0.99341434639952531</v>
      </c>
      <c r="AG340" s="172">
        <f t="shared" si="145"/>
        <v>0</v>
      </c>
      <c r="AH340" s="172">
        <f t="shared" si="146"/>
        <v>6</v>
      </c>
      <c r="AI340" s="221">
        <f t="shared" si="147"/>
        <v>0.99341434639952531</v>
      </c>
      <c r="AJ340" s="261" t="b">
        <f t="shared" si="148"/>
        <v>0</v>
      </c>
      <c r="AK340" s="261" t="b">
        <f t="shared" si="14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50"/>
        <v>45253</v>
      </c>
      <c r="B341" s="406">
        <f>'2022'!Wh/'2022'!Env_an*'2023'!Env_an</f>
        <v>13.219947550961356</v>
      </c>
      <c r="C341" s="385"/>
      <c r="D341" s="388">
        <f t="shared" si="128"/>
        <v>13.352901628010253</v>
      </c>
      <c r="E341" s="380">
        <f t="shared" si="126"/>
        <v>13.541147012770098</v>
      </c>
      <c r="F341" s="380">
        <f t="shared" si="129"/>
        <v>13.580782924436649</v>
      </c>
      <c r="G341" s="110">
        <f t="shared" si="127"/>
        <v>0.62436976003680578</v>
      </c>
      <c r="H341" s="409" t="b">
        <f>Wh_hp&gt;='2022'!Maxi_hp</f>
        <v>0</v>
      </c>
      <c r="I341" s="385">
        <f>IF(H341,Wh_hp,'2022'!Maxi_hp)</f>
        <v>13.60365476086419</v>
      </c>
      <c r="J341" s="85">
        <f>IF(H341,An,'2022'!An_max)</f>
        <v>2022</v>
      </c>
      <c r="K341" s="193">
        <f t="shared" si="130"/>
        <v>45253</v>
      </c>
      <c r="L341" s="143">
        <f>IF(t&lt;Tvie,1-EXP((T0-t)*PertePVj)+'2022'!Pspv,1-EXP((T0-t)*PertePVj)+Pspv)</f>
        <v>9.9569427494321516E-3</v>
      </c>
      <c r="M341" s="836"/>
      <c r="N341" s="836"/>
      <c r="O341" s="48">
        <f>IF(t&lt;Tnet,'2022'!Resal+('2022'!Salim-'2022'!Resal)*(1-EXP(('2022'!Tnet-t)/('2022'!Tau_j))),Resal+(Salim-Resal)*(1-EXP((Tnet-t)/(Tau_j))))*Salcycl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6.2578002022444989E-3</v>
      </c>
      <c r="Q341" s="301">
        <f t="shared" si="131"/>
        <v>0.5</v>
      </c>
      <c r="R341" s="173">
        <f t="shared" si="132"/>
        <v>0.99343719100747507</v>
      </c>
      <c r="S341" s="802">
        <f t="shared" si="133"/>
        <v>0</v>
      </c>
      <c r="T341" s="172">
        <f t="shared" si="134"/>
        <v>6</v>
      </c>
      <c r="U341" s="247">
        <f t="shared" si="135"/>
        <v>0.99343719100747507</v>
      </c>
      <c r="V341" s="378">
        <f t="shared" si="136"/>
        <v>21.102356634409986</v>
      </c>
      <c r="W341" s="397">
        <f t="shared" si="137"/>
        <v>13.219947550961356</v>
      </c>
      <c r="X341" s="153">
        <f t="shared" si="138"/>
        <v>45253</v>
      </c>
      <c r="Y341" s="380">
        <f t="shared" si="139"/>
        <v>12.879330999667239</v>
      </c>
      <c r="Z341" s="380">
        <f t="shared" si="140"/>
        <v>13.008859468631815</v>
      </c>
      <c r="AA341" s="381">
        <f t="shared" si="141"/>
        <v>13.541147012770098</v>
      </c>
      <c r="AB341" s="193">
        <f t="shared" si="142"/>
        <v>45253</v>
      </c>
      <c r="AC341" s="420">
        <f>IF(OR(t&lt;Tnet,NoTnet),'2022'!Resal_s+('2022'!Salim-'2022'!Resal_s)*(1-EXP(('2022'!Tnet_s-t)/'2022'!Tau_j)),Resal_s+(Salim-Resal_s)*(1-EXP((Tnet_s-t)/Tau_j)))*Salcycl</f>
        <v>3.9308896331773424E-2</v>
      </c>
      <c r="AD341" s="227">
        <f>(INDEX(Models!$BJ341:$BT341,,AH341)*(1-AF341)+INDEX(Models!$BJ341:$BT341,,AH341+1)*AF341-ERP_i)*AE341*Ramure*Pc/MaxiM</f>
        <v>6.2578002022444989E-3</v>
      </c>
      <c r="AE341" s="301">
        <f t="shared" si="143"/>
        <v>0.5</v>
      </c>
      <c r="AF341" s="173">
        <f t="shared" si="144"/>
        <v>0.99343719100747507</v>
      </c>
      <c r="AG341" s="172">
        <f t="shared" si="145"/>
        <v>0</v>
      </c>
      <c r="AH341" s="172">
        <f t="shared" si="146"/>
        <v>6</v>
      </c>
      <c r="AI341" s="221">
        <f t="shared" si="147"/>
        <v>0.99343719100747507</v>
      </c>
      <c r="AJ341" s="261" t="b">
        <f t="shared" si="148"/>
        <v>0</v>
      </c>
      <c r="AK341" s="261" t="b">
        <f t="shared" si="149"/>
        <v>0</v>
      </c>
      <c r="AL341" s="261"/>
      <c r="AM341" s="261"/>
      <c r="AN341" s="75"/>
    </row>
    <row r="342" spans="1:40" s="6" customFormat="1" ht="11.25" x14ac:dyDescent="0.2">
      <c r="A342" s="56">
        <f t="shared" si="150"/>
        <v>45254</v>
      </c>
      <c r="B342" s="406">
        <f>'2022'!Wh/'2022'!Env_an*'2023'!Env_an</f>
        <v>12.291120532614116</v>
      </c>
      <c r="C342" s="385"/>
      <c r="D342" s="388">
        <f t="shared" si="128"/>
        <v>12.414903271146441</v>
      </c>
      <c r="E342" s="380">
        <f t="shared" si="126"/>
        <v>12.590616350307339</v>
      </c>
      <c r="F342" s="380">
        <f t="shared" si="129"/>
        <v>12.623040171365062</v>
      </c>
      <c r="G342" s="110">
        <f t="shared" si="127"/>
        <v>0.58742705549015595</v>
      </c>
      <c r="H342" s="409" t="b">
        <f>Wh_hp&gt;='2022'!Maxi_hp</f>
        <v>0</v>
      </c>
      <c r="I342" s="385">
        <f>IF(H342,Wh_hp,'2022'!Maxi_hp)</f>
        <v>12.646209273203628</v>
      </c>
      <c r="J342" s="85">
        <f>IF(H342,An,'2022'!An_max)</f>
        <v>2022</v>
      </c>
      <c r="K342" s="193">
        <f t="shared" si="130"/>
        <v>45254</v>
      </c>
      <c r="L342" s="143">
        <f>IF(t&lt;Tvie,1-EXP((T0-t)*PertePVj)+'2022'!Pspv,1-EXP((T0-t)*PertePVj)+Pspv)</f>
        <v>9.970495607485641E-3</v>
      </c>
      <c r="M342" s="836"/>
      <c r="N342" s="836"/>
      <c r="O342" s="48">
        <f>IF(t&lt;Tnet,'2022'!Resal+('2022'!Salim-'2022'!Resal)*(1-EXP(('2022'!Tnet-t)/('2022'!Tau_j))),Resal+(Salim-Resal)*(1-EXP((Tnet-t)/(Tau_j))))*Salcycl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6.2091374592001336E-3</v>
      </c>
      <c r="Q342" s="301">
        <f t="shared" si="131"/>
        <v>0.5</v>
      </c>
      <c r="R342" s="173">
        <f t="shared" si="132"/>
        <v>0.99345911778722307</v>
      </c>
      <c r="S342" s="802">
        <f t="shared" si="133"/>
        <v>0</v>
      </c>
      <c r="T342" s="172">
        <f t="shared" si="134"/>
        <v>6</v>
      </c>
      <c r="U342" s="247">
        <f t="shared" si="135"/>
        <v>0.99345911778722307</v>
      </c>
      <c r="V342" s="378">
        <f t="shared" si="136"/>
        <v>20.847285079173986</v>
      </c>
      <c r="W342" s="397">
        <f t="shared" si="137"/>
        <v>12.291120532614116</v>
      </c>
      <c r="X342" s="153">
        <f t="shared" si="138"/>
        <v>45254</v>
      </c>
      <c r="Y342" s="380">
        <f t="shared" si="139"/>
        <v>11.974862185113757</v>
      </c>
      <c r="Z342" s="380">
        <f t="shared" si="140"/>
        <v>12.095459915067456</v>
      </c>
      <c r="AA342" s="381">
        <f t="shared" si="141"/>
        <v>12.590616350307339</v>
      </c>
      <c r="AB342" s="193">
        <f t="shared" si="142"/>
        <v>45254</v>
      </c>
      <c r="AC342" s="420">
        <f>IF(OR(t&lt;Tnet,NoTnet),'2022'!Resal_s+('2022'!Salim-'2022'!Resal_s)*(1-EXP(('2022'!Tnet_s-t)/'2022'!Tau_j)),Resal_s+(Salim-Resal_s)*(1-EXP((Tnet_s-t)/Tau_j)))*Salcycl</f>
        <v>3.932741825048109E-2</v>
      </c>
      <c r="AD342" s="227">
        <f>(INDEX(Models!$BJ342:$BT342,,AH342)*(1-AF342)+INDEX(Models!$BJ342:$BT342,,AH342+1)*AF342-ERP_i)*AE342*Ramure*Pc/MaxiM</f>
        <v>6.2091374592001336E-3</v>
      </c>
      <c r="AE342" s="301">
        <f t="shared" si="143"/>
        <v>0.5</v>
      </c>
      <c r="AF342" s="173">
        <f t="shared" si="144"/>
        <v>0.99345911778722307</v>
      </c>
      <c r="AG342" s="172">
        <f t="shared" si="145"/>
        <v>0</v>
      </c>
      <c r="AH342" s="172">
        <f t="shared" si="146"/>
        <v>6</v>
      </c>
      <c r="AI342" s="221">
        <f t="shared" si="147"/>
        <v>0.99345911778722307</v>
      </c>
      <c r="AJ342" s="261" t="b">
        <f t="shared" si="148"/>
        <v>0</v>
      </c>
      <c r="AK342" s="261" t="b">
        <f t="shared" si="14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50"/>
        <v>45255</v>
      </c>
      <c r="B343" s="406">
        <f>'2022'!Wh/'2022'!Env_an*'2023'!Env_an</f>
        <v>4.988398658565945</v>
      </c>
      <c r="C343" s="385"/>
      <c r="D343" s="388">
        <f t="shared" si="128"/>
        <v>5.038705335908408</v>
      </c>
      <c r="E343" s="380">
        <f t="shared" si="126"/>
        <v>5.1103014428133688</v>
      </c>
      <c r="F343" s="380">
        <f t="shared" si="129"/>
        <v>5.1103014428133688</v>
      </c>
      <c r="G343" s="110">
        <f t="shared" si="127"/>
        <v>0.24069660411620225</v>
      </c>
      <c r="H343" s="409" t="b">
        <f>Wh_hp&gt;='2022'!Maxi_hp</f>
        <v>0</v>
      </c>
      <c r="I343" s="385">
        <f>IF(H343,Wh_hp,'2022'!Maxi_hp)</f>
        <v>5.1261400512885871</v>
      </c>
      <c r="J343" s="85">
        <f>IF(H343,An,'2022'!An_max)</f>
        <v>2022</v>
      </c>
      <c r="K343" s="193">
        <f t="shared" si="130"/>
        <v>45255</v>
      </c>
      <c r="L343" s="143">
        <f>IF(t&lt;Tvie,1-EXP((T0-t)*PertePVj)+'2022'!Pspv,1-EXP((T0-t)*PertePVj)+Pspv)</f>
        <v>9.9840482800118702E-3</v>
      </c>
      <c r="M343" s="836"/>
      <c r="N343" s="836"/>
      <c r="O343" s="48">
        <f>IF(t&lt;Tnet,'2022'!Resal+('2022'!Salim-'2022'!Resal)*(1-EXP(('2022'!Tnet-t)/('2022'!Tau_j))),Resal+(Salim-Resal)*(1-EXP((Tnet-t)/(Tau_j))))*Salcycl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6.1561559926227123E-3</v>
      </c>
      <c r="Q343" s="301">
        <f t="shared" si="131"/>
        <v>0.5</v>
      </c>
      <c r="R343" s="173">
        <f t="shared" si="132"/>
        <v>0.99348016353862034</v>
      </c>
      <c r="S343" s="802">
        <f t="shared" si="133"/>
        <v>0</v>
      </c>
      <c r="T343" s="172">
        <f t="shared" si="134"/>
        <v>6</v>
      </c>
      <c r="U343" s="247">
        <f t="shared" si="135"/>
        <v>0.99348016353862034</v>
      </c>
      <c r="V343" s="378">
        <f t="shared" si="136"/>
        <v>20.59725485730981</v>
      </c>
      <c r="W343" s="397">
        <f t="shared" si="137"/>
        <v>4.988398658565945</v>
      </c>
      <c r="X343" s="153">
        <f t="shared" si="138"/>
        <v>45255</v>
      </c>
      <c r="Y343" s="380">
        <f t="shared" si="139"/>
        <v>4.860214657865896</v>
      </c>
      <c r="Z343" s="380">
        <f t="shared" si="140"/>
        <v>4.9092286335609856</v>
      </c>
      <c r="AA343" s="381">
        <f t="shared" si="141"/>
        <v>5.1103014428133688</v>
      </c>
      <c r="AB343" s="193">
        <f t="shared" si="142"/>
        <v>45255</v>
      </c>
      <c r="AC343" s="420">
        <f>IF(OR(t&lt;Tnet,NoTnet),'2022'!Resal_s+('2022'!Salim-'2022'!Resal_s)*(1-EXP(('2022'!Tnet_s-t)/'2022'!Tau_j)),Resal_s+(Salim-Resal_s)*(1-EXP((Tnet_s-t)/Tau_j)))*Salcycl</f>
        <v>3.9346565266742295E-2</v>
      </c>
      <c r="AD343" s="227">
        <f>(INDEX(Models!$BJ343:$BT343,,AH343)*(1-AF343)+INDEX(Models!$BJ343:$BT343,,AH343+1)*AF343-ERP_i)*AE343*Ramure*Pc/MaxiM</f>
        <v>6.1561559926227123E-3</v>
      </c>
      <c r="AE343" s="301">
        <f t="shared" si="143"/>
        <v>0.5</v>
      </c>
      <c r="AF343" s="173">
        <f t="shared" si="144"/>
        <v>0.99348016353862034</v>
      </c>
      <c r="AG343" s="172">
        <f t="shared" si="145"/>
        <v>0</v>
      </c>
      <c r="AH343" s="172">
        <f t="shared" si="146"/>
        <v>6</v>
      </c>
      <c r="AI343" s="221">
        <f t="shared" si="147"/>
        <v>0.99348016353862034</v>
      </c>
      <c r="AJ343" s="261" t="b">
        <f t="shared" si="148"/>
        <v>0</v>
      </c>
      <c r="AK343" s="261" t="b">
        <f t="shared" si="149"/>
        <v>0</v>
      </c>
      <c r="AL343" s="261"/>
      <c r="AM343" s="261"/>
      <c r="AN343" s="75"/>
    </row>
    <row r="344" spans="1:40" s="6" customFormat="1" ht="11.25" x14ac:dyDescent="0.2">
      <c r="A344" s="56">
        <f t="shared" si="150"/>
        <v>45256</v>
      </c>
      <c r="B344" s="406">
        <f>'2022'!Wh/'2022'!Env_an*'2023'!Env_an</f>
        <v>9.9759672383627205</v>
      </c>
      <c r="C344" s="385"/>
      <c r="D344" s="388">
        <f t="shared" si="128"/>
        <v>10.076710163623535</v>
      </c>
      <c r="E344" s="380">
        <f t="shared" si="126"/>
        <v>10.22045648500186</v>
      </c>
      <c r="F344" s="380">
        <f t="shared" si="129"/>
        <v>10.237418035925799</v>
      </c>
      <c r="G344" s="110">
        <f t="shared" si="127"/>
        <v>0.48798408101462659</v>
      </c>
      <c r="H344" s="409" t="b">
        <f>Wh_hp&gt;='2022'!Maxi_hp</f>
        <v>0</v>
      </c>
      <c r="I344" s="385">
        <f>IF(H344,Wh_hp,'2022'!Maxi_hp)</f>
        <v>10.260327974722742</v>
      </c>
      <c r="J344" s="85">
        <f>IF(H344,An,'2022'!An_max)</f>
        <v>2022</v>
      </c>
      <c r="K344" s="193">
        <f t="shared" si="130"/>
        <v>45256</v>
      </c>
      <c r="L344" s="143">
        <f>IF(t&lt;Tvie,1-EXP((T0-t)*PertePVj)+'2022'!Pspv,1-EXP((T0-t)*PertePVj)+Pspv)</f>
        <v>9.9976007670133926E-3</v>
      </c>
      <c r="M344" s="836"/>
      <c r="N344" s="836"/>
      <c r="O344" s="48">
        <f>IF(t&lt;Tnet,'2022'!Resal+('2022'!Salim-'2022'!Resal)*(1-EXP(('2022'!Tnet-t)/('2022'!Tau_j))),Resal+(Salim-Resal)*(1-EXP((Tnet-t)/(Tau_j))))*Salcycl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6.0987749549833176E-3</v>
      </c>
      <c r="Q344" s="301">
        <f t="shared" si="131"/>
        <v>0.5</v>
      </c>
      <c r="R344" s="173">
        <f t="shared" si="132"/>
        <v>0.99350036359201876</v>
      </c>
      <c r="S344" s="802">
        <f t="shared" si="133"/>
        <v>0</v>
      </c>
      <c r="T344" s="172">
        <f t="shared" si="134"/>
        <v>6</v>
      </c>
      <c r="U344" s="247">
        <f t="shared" si="135"/>
        <v>0.99350036359201876</v>
      </c>
      <c r="V344" s="378">
        <f t="shared" si="136"/>
        <v>20.352264099756631</v>
      </c>
      <c r="W344" s="397">
        <f t="shared" si="137"/>
        <v>9.9759672383627205</v>
      </c>
      <c r="X344" s="153">
        <f t="shared" si="138"/>
        <v>45256</v>
      </c>
      <c r="Y344" s="380">
        <f t="shared" si="139"/>
        <v>9.7199568595550065</v>
      </c>
      <c r="Z344" s="380">
        <f t="shared" si="140"/>
        <v>9.8181144480918743</v>
      </c>
      <c r="AA344" s="381">
        <f t="shared" si="141"/>
        <v>10.22045648500186</v>
      </c>
      <c r="AB344" s="193">
        <f t="shared" si="142"/>
        <v>45256</v>
      </c>
      <c r="AC344" s="420">
        <f>IF(OR(t&lt;Tnet,NoTnet),'2022'!Resal_s+('2022'!Salim-'2022'!Resal_s)*(1-EXP(('2022'!Tnet_s-t)/'2022'!Tau_j)),Resal_s+(Salim-Resal_s)*(1-EXP((Tnet_s-t)/Tau_j)))*Salcycl</f>
        <v>3.9366347041387723E-2</v>
      </c>
      <c r="AD344" s="227">
        <f>(INDEX(Models!$BJ344:$BT344,,AH344)*(1-AF344)+INDEX(Models!$BJ344:$BT344,,AH344+1)*AF344-ERP_i)*AE344*Ramure*Pc/MaxiM</f>
        <v>6.0987749549833176E-3</v>
      </c>
      <c r="AE344" s="301">
        <f t="shared" si="143"/>
        <v>0.5</v>
      </c>
      <c r="AF344" s="173">
        <f t="shared" si="144"/>
        <v>0.99350036359201876</v>
      </c>
      <c r="AG344" s="172">
        <f t="shared" si="145"/>
        <v>0</v>
      </c>
      <c r="AH344" s="172">
        <f t="shared" si="146"/>
        <v>6</v>
      </c>
      <c r="AI344" s="221">
        <f t="shared" si="147"/>
        <v>0.99350036359201876</v>
      </c>
      <c r="AJ344" s="261" t="b">
        <f t="shared" si="148"/>
        <v>0</v>
      </c>
      <c r="AK344" s="261" t="b">
        <f t="shared" si="14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50"/>
        <v>45257</v>
      </c>
      <c r="B345" s="406">
        <f>'2022'!Wh/'2022'!Env_an*'2023'!Env_an</f>
        <v>14.261952667535962</v>
      </c>
      <c r="C345" s="385"/>
      <c r="D345" s="388">
        <f t="shared" si="128"/>
        <v>14.406175091508562</v>
      </c>
      <c r="E345" s="380">
        <f t="shared" si="126"/>
        <v>14.612490744603278</v>
      </c>
      <c r="F345" s="380">
        <f t="shared" si="129"/>
        <v>14.664246425318678</v>
      </c>
      <c r="G345" s="110">
        <f t="shared" si="127"/>
        <v>0.70741187701885655</v>
      </c>
      <c r="H345" s="409" t="b">
        <f>Wh_hp&gt;='2022'!Maxi_hp</f>
        <v>0</v>
      </c>
      <c r="I345" s="385">
        <f>IF(H345,Wh_hp,'2022'!Maxi_hp)</f>
        <v>14.682791656561243</v>
      </c>
      <c r="J345" s="85">
        <f>IF(H345,An,'2022'!An_max)</f>
        <v>2022</v>
      </c>
      <c r="K345" s="193">
        <f t="shared" si="130"/>
        <v>45257</v>
      </c>
      <c r="L345" s="143">
        <f>IF(t&lt;Tvie,1-EXP((T0-t)*PertePVj)+'2022'!Pspv,1-EXP((T0-t)*PertePVj)+Pspv)</f>
        <v>1.0011153068492762E-2</v>
      </c>
      <c r="M345" s="836"/>
      <c r="N345" s="836"/>
      <c r="O345" s="48">
        <f>IF(t&lt;Tnet,'2022'!Resal+('2022'!Salim-'2022'!Resal)*(1-EXP(('2022'!Tnet-t)/('2022'!Tau_j))),Resal+(Salim-Resal)*(1-EXP((Tnet-t)/(Tau_j))))*Salcycl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6.0375936237331467E-3</v>
      </c>
      <c r="Q345" s="301">
        <f t="shared" si="131"/>
        <v>0.5</v>
      </c>
      <c r="R345" s="173">
        <f t="shared" si="132"/>
        <v>0.99351975186647934</v>
      </c>
      <c r="S345" s="802">
        <f t="shared" si="133"/>
        <v>0</v>
      </c>
      <c r="T345" s="172">
        <f t="shared" si="134"/>
        <v>6</v>
      </c>
      <c r="U345" s="247">
        <f t="shared" si="135"/>
        <v>0.99351975186647934</v>
      </c>
      <c r="V345" s="378">
        <f t="shared" si="136"/>
        <v>20.110001526113635</v>
      </c>
      <c r="W345" s="397">
        <f t="shared" si="137"/>
        <v>14.261952667535962</v>
      </c>
      <c r="X345" s="153">
        <f t="shared" si="138"/>
        <v>45257</v>
      </c>
      <c r="Y345" s="380">
        <f t="shared" si="139"/>
        <v>13.896425847482156</v>
      </c>
      <c r="Z345" s="380">
        <f t="shared" si="140"/>
        <v>14.036951921786232</v>
      </c>
      <c r="AA345" s="381">
        <f t="shared" si="141"/>
        <v>14.612490744603278</v>
      </c>
      <c r="AB345" s="193">
        <f t="shared" si="142"/>
        <v>45257</v>
      </c>
      <c r="AC345" s="420">
        <f>IF(OR(t&lt;Tnet,NoTnet),'2022'!Resal_s+('2022'!Salim-'2022'!Resal_s)*(1-EXP(('2022'!Tnet_s-t)/'2022'!Tau_j)),Resal_s+(Salim-Resal_s)*(1-EXP((Tnet_s-t)/Tau_j)))*Salcycl</f>
        <v>3.9386770734455699E-2</v>
      </c>
      <c r="AD345" s="227">
        <f>(INDEX(Models!$BJ345:$BT345,,AH345)*(1-AF345)+INDEX(Models!$BJ345:$BT345,,AH345+1)*AF345-ERP_i)*AE345*Ramure*Pc/MaxiM</f>
        <v>6.0375936237331467E-3</v>
      </c>
      <c r="AE345" s="301">
        <f t="shared" si="143"/>
        <v>0.5</v>
      </c>
      <c r="AF345" s="173">
        <f t="shared" si="144"/>
        <v>0.99351975186647934</v>
      </c>
      <c r="AG345" s="172">
        <f t="shared" si="145"/>
        <v>0</v>
      </c>
      <c r="AH345" s="172">
        <f t="shared" si="146"/>
        <v>6</v>
      </c>
      <c r="AI345" s="221">
        <f t="shared" si="147"/>
        <v>0.99351975186647934</v>
      </c>
      <c r="AJ345" s="261" t="b">
        <f t="shared" si="148"/>
        <v>0</v>
      </c>
      <c r="AK345" s="261" t="b">
        <f t="shared" si="14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50"/>
        <v>45258</v>
      </c>
      <c r="B346" s="406">
        <f>'2022'!Wh/'2022'!Env_an*'2023'!Env_an</f>
        <v>9.7390870569933661</v>
      </c>
      <c r="C346" s="385"/>
      <c r="D346" s="388">
        <f t="shared" si="128"/>
        <v>9.8377071710743618</v>
      </c>
      <c r="E346" s="380">
        <f t="shared" si="126"/>
        <v>9.9791500295107785</v>
      </c>
      <c r="F346" s="380">
        <f t="shared" si="129"/>
        <v>9.9953757758221435</v>
      </c>
      <c r="G346" s="110">
        <f t="shared" si="127"/>
        <v>0.48803267020258817</v>
      </c>
      <c r="H346" s="409" t="b">
        <f>Wh_hp&gt;='2022'!Maxi_hp</f>
        <v>0</v>
      </c>
      <c r="I346" s="385">
        <f>IF(H346,Wh_hp,'2022'!Maxi_hp)</f>
        <v>10.017285117579057</v>
      </c>
      <c r="J346" s="85">
        <f>IF(H346,An,'2022'!An_max)</f>
        <v>2022</v>
      </c>
      <c r="K346" s="193">
        <f t="shared" si="130"/>
        <v>45258</v>
      </c>
      <c r="L346" s="143">
        <f>IF(t&lt;Tvie,1-EXP((T0-t)*PertePVj)+'2022'!Pspv,1-EXP((T0-t)*PertePVj)+Pspv)</f>
        <v>1.0024705184452531E-2</v>
      </c>
      <c r="M346" s="836"/>
      <c r="N346" s="836"/>
      <c r="O346" s="48">
        <f>IF(t&lt;Tnet,'2022'!Resal+('2022'!Salim-'2022'!Resal)*(1-EXP(('2022'!Tnet-t)/('2022'!Tau_j))),Resal+(Salim-Resal)*(1-EXP((Tnet-t)/(Tau_j))))*Salcycl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5.9753457143490929E-3</v>
      </c>
      <c r="Q346" s="301">
        <f t="shared" si="131"/>
        <v>0.5</v>
      </c>
      <c r="R346" s="173">
        <f t="shared" si="132"/>
        <v>0.99353836092571401</v>
      </c>
      <c r="S346" s="802">
        <f t="shared" si="133"/>
        <v>0</v>
      </c>
      <c r="T346" s="172">
        <f t="shared" si="134"/>
        <v>6</v>
      </c>
      <c r="U346" s="247">
        <f t="shared" si="135"/>
        <v>0.99353836092571401</v>
      </c>
      <c r="V346" s="378">
        <f t="shared" si="136"/>
        <v>19.868820321340781</v>
      </c>
      <c r="W346" s="397">
        <f t="shared" si="137"/>
        <v>9.7390870569933661</v>
      </c>
      <c r="X346" s="153">
        <f t="shared" si="138"/>
        <v>45258</v>
      </c>
      <c r="Y346" s="380">
        <f t="shared" si="139"/>
        <v>9.4897975176751821</v>
      </c>
      <c r="Z346" s="380">
        <f t="shared" si="140"/>
        <v>9.5858932716531324</v>
      </c>
      <c r="AA346" s="381">
        <f t="shared" si="141"/>
        <v>9.9791500295107785</v>
      </c>
      <c r="AB346" s="193">
        <f t="shared" si="142"/>
        <v>45258</v>
      </c>
      <c r="AC346" s="420">
        <f>IF(OR(t&lt;Tnet,NoTnet),'2022'!Resal_s+('2022'!Salim-'2022'!Resal_s)*(1-EXP(('2022'!Tnet_s-t)/'2022'!Tau_j)),Resal_s+(Salim-Resal_s)*(1-EXP((Tnet_s-t)/Tau_j)))*Salcycl</f>
        <v>3.9407841017991461E-2</v>
      </c>
      <c r="AD346" s="227">
        <f>(INDEX(Models!$BJ346:$BT346,,AH346)*(1-AF346)+INDEX(Models!$BJ346:$BT346,,AH346+1)*AF346-ERP_i)*AE346*Ramure*Pc/MaxiM</f>
        <v>5.9753457143490929E-3</v>
      </c>
      <c r="AE346" s="301">
        <f t="shared" si="143"/>
        <v>0.5</v>
      </c>
      <c r="AF346" s="173">
        <f t="shared" si="144"/>
        <v>0.99353836092571401</v>
      </c>
      <c r="AG346" s="172">
        <f t="shared" si="145"/>
        <v>0</v>
      </c>
      <c r="AH346" s="172">
        <f t="shared" si="146"/>
        <v>6</v>
      </c>
      <c r="AI346" s="221">
        <f t="shared" si="147"/>
        <v>0.99353836092571401</v>
      </c>
      <c r="AJ346" s="261" t="b">
        <f t="shared" si="148"/>
        <v>0</v>
      </c>
      <c r="AK346" s="261" t="b">
        <f t="shared" si="14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50"/>
        <v>45259</v>
      </c>
      <c r="B347" s="406">
        <f>'2022'!Wh/'2022'!Env_an*'2023'!Env_an</f>
        <v>10.794463095479514</v>
      </c>
      <c r="C347" s="385"/>
      <c r="D347" s="388">
        <f t="shared" si="128"/>
        <v>10.903919442402454</v>
      </c>
      <c r="E347" s="380">
        <f t="shared" si="126"/>
        <v>11.061307450932638</v>
      </c>
      <c r="F347" s="380">
        <f t="shared" si="129"/>
        <v>11.084738015760642</v>
      </c>
      <c r="G347" s="110">
        <f t="shared" si="127"/>
        <v>0.54780931965480828</v>
      </c>
      <c r="H347" s="409" t="b">
        <f>Wh_hp&gt;='2022'!Maxi_hp</f>
        <v>0</v>
      </c>
      <c r="I347" s="385">
        <f>IF(H347,Wh_hp,'2022'!Maxi_hp)</f>
        <v>11.10599499175243</v>
      </c>
      <c r="J347" s="85">
        <f>IF(H347,An,'2022'!An_max)</f>
        <v>2022</v>
      </c>
      <c r="K347" s="193">
        <f t="shared" si="130"/>
        <v>45259</v>
      </c>
      <c r="L347" s="143">
        <f>IF(t&lt;Tvie,1-EXP((T0-t)*PertePVj)+'2022'!Pspv,1-EXP((T0-t)*PertePVj)+Pspv)</f>
        <v>1.0038257114895144E-2</v>
      </c>
      <c r="M347" s="836"/>
      <c r="N347" s="836"/>
      <c r="O347" s="48">
        <f>IF(t&lt;Tnet,'2022'!Resal+('2022'!Salim-'2022'!Resal)*(1-EXP(('2022'!Tnet-t)/('2022'!Tau_j))),Resal+(Salim-Resal)*(1-EXP((Tnet-t)/(Tau_j))))*Salcycl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5.9207473237752337E-3</v>
      </c>
      <c r="Q347" s="301">
        <f t="shared" si="131"/>
        <v>0.5</v>
      </c>
      <c r="R347" s="173">
        <f t="shared" si="132"/>
        <v>0.99355622203184324</v>
      </c>
      <c r="S347" s="802">
        <f t="shared" si="133"/>
        <v>0</v>
      </c>
      <c r="T347" s="172">
        <f t="shared" si="134"/>
        <v>6</v>
      </c>
      <c r="U347" s="247">
        <f t="shared" si="135"/>
        <v>0.99355622203184324</v>
      </c>
      <c r="V347" s="378">
        <f t="shared" si="136"/>
        <v>19.629607172331617</v>
      </c>
      <c r="W347" s="397">
        <f t="shared" si="137"/>
        <v>10.794463095479514</v>
      </c>
      <c r="X347" s="153">
        <f t="shared" si="138"/>
        <v>45259</v>
      </c>
      <c r="Y347" s="380">
        <f t="shared" si="139"/>
        <v>10.518506826170746</v>
      </c>
      <c r="Z347" s="380">
        <f t="shared" si="140"/>
        <v>10.625164963967226</v>
      </c>
      <c r="AA347" s="381">
        <f t="shared" si="141"/>
        <v>11.061307450932638</v>
      </c>
      <c r="AB347" s="193">
        <f t="shared" si="142"/>
        <v>45259</v>
      </c>
      <c r="AC347" s="420">
        <f>IF(OR(t&lt;Tnet,NoTnet),'2022'!Resal_s+('2022'!Salim-'2022'!Resal_s)*(1-EXP(('2022'!Tnet_s-t)/'2022'!Tau_j)),Resal_s+(Salim-Resal_s)*(1-EXP((Tnet_s-t)/Tau_j)))*Salcycl</f>
        <v>3.942956010400369E-2</v>
      </c>
      <c r="AD347" s="227">
        <f>(INDEX(Models!$BJ347:$BT347,,AH347)*(1-AF347)+INDEX(Models!$BJ347:$BT347,,AH347+1)*AF347-ERP_i)*AE347*Ramure*Pc/MaxiM</f>
        <v>5.9207473237752337E-3</v>
      </c>
      <c r="AE347" s="301">
        <f t="shared" si="143"/>
        <v>0.5</v>
      </c>
      <c r="AF347" s="173">
        <f t="shared" si="144"/>
        <v>0.99355622203184324</v>
      </c>
      <c r="AG347" s="172">
        <f t="shared" si="145"/>
        <v>0</v>
      </c>
      <c r="AH347" s="172">
        <f t="shared" si="146"/>
        <v>6</v>
      </c>
      <c r="AI347" s="221">
        <f t="shared" si="147"/>
        <v>0.99355622203184324</v>
      </c>
      <c r="AJ347" s="261" t="b">
        <f t="shared" si="148"/>
        <v>0</v>
      </c>
      <c r="AK347" s="261" t="b">
        <f t="shared" si="14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50"/>
        <v>45260</v>
      </c>
      <c r="B348" s="406">
        <f>'2022'!Wh/'2022'!Env_an*'2023'!Env_an</f>
        <v>4.6243974258151361</v>
      </c>
      <c r="C348" s="385"/>
      <c r="D348" s="388">
        <f t="shared" si="128"/>
        <v>4.671352973016667</v>
      </c>
      <c r="E348" s="380">
        <f t="shared" si="126"/>
        <v>4.7390441192083497</v>
      </c>
      <c r="F348" s="380">
        <f t="shared" si="129"/>
        <v>4.7390441192083497</v>
      </c>
      <c r="G348" s="110">
        <f t="shared" si="127"/>
        <v>0.23705117307664961</v>
      </c>
      <c r="H348" s="409" t="b">
        <f>Wh_hp&gt;='2022'!Maxi_hp</f>
        <v>0</v>
      </c>
      <c r="I348" s="385">
        <f>IF(H348,Wh_hp,'2022'!Maxi_hp)</f>
        <v>4.7530492210096416</v>
      </c>
      <c r="J348" s="85">
        <f>IF(H348,An,'2022'!An_max)</f>
        <v>2022</v>
      </c>
      <c r="K348" s="193">
        <f t="shared" si="130"/>
        <v>45260</v>
      </c>
      <c r="L348" s="143">
        <f>IF(t&lt;Tvie,1-EXP((T0-t)*PertePVj)+'2022'!Pspv,1-EXP((T0-t)*PertePVj)+Pspv)</f>
        <v>1.0051808859823264E-2</v>
      </c>
      <c r="M348" s="836"/>
      <c r="N348" s="836"/>
      <c r="O348" s="48">
        <f>IF(t&lt;Tnet,'2022'!Resal+('2022'!Salim-'2022'!Resal)*(1-EXP(('2022'!Tnet-t)/('2022'!Tau_j))),Resal+(Salim-Resal)*(1-EXP((Tnet-t)/(Tau_j))))*Salcycl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5.8736132744396357E-3</v>
      </c>
      <c r="Q348" s="301">
        <f t="shared" si="131"/>
        <v>0.5</v>
      </c>
      <c r="R348" s="173">
        <f t="shared" si="132"/>
        <v>0.99357336519705231</v>
      </c>
      <c r="S348" s="802">
        <f t="shared" si="133"/>
        <v>0</v>
      </c>
      <c r="T348" s="172">
        <f t="shared" si="134"/>
        <v>6</v>
      </c>
      <c r="U348" s="247">
        <f t="shared" si="135"/>
        <v>0.99357336519705231</v>
      </c>
      <c r="V348" s="378">
        <f t="shared" si="136"/>
        <v>19.39343072654648</v>
      </c>
      <c r="W348" s="397">
        <f t="shared" si="137"/>
        <v>4.6243974258151361</v>
      </c>
      <c r="X348" s="153">
        <f t="shared" si="138"/>
        <v>45260</v>
      </c>
      <c r="Y348" s="380">
        <f t="shared" si="139"/>
        <v>4.5063230578496762</v>
      </c>
      <c r="Z348" s="380">
        <f t="shared" si="140"/>
        <v>4.5520796928367542</v>
      </c>
      <c r="AA348" s="381">
        <f t="shared" si="141"/>
        <v>4.7390441192083497</v>
      </c>
      <c r="AB348" s="193">
        <f t="shared" si="142"/>
        <v>45260</v>
      </c>
      <c r="AC348" s="420">
        <f>IF(OR(t&lt;Tnet,NoTnet),'2022'!Resal_s+('2022'!Salim-'2022'!Resal_s)*(1-EXP(('2022'!Tnet_s-t)/'2022'!Tau_j)),Resal_s+(Salim-Resal_s)*(1-EXP((Tnet_s-t)/Tau_j)))*Salcycl</f>
        <v>3.945192778724909E-2</v>
      </c>
      <c r="AD348" s="227">
        <f>(INDEX(Models!$BJ348:$BT348,,AH348)*(1-AF348)+INDEX(Models!$BJ348:$BT348,,AH348+1)*AF348-ERP_i)*AE348*Ramure*Pc/MaxiM</f>
        <v>5.8736132744396357E-3</v>
      </c>
      <c r="AE348" s="301">
        <f t="shared" si="143"/>
        <v>0.5</v>
      </c>
      <c r="AF348" s="173">
        <f t="shared" si="144"/>
        <v>0.99357336519705231</v>
      </c>
      <c r="AG348" s="172">
        <f t="shared" si="145"/>
        <v>0</v>
      </c>
      <c r="AH348" s="172">
        <f t="shared" si="146"/>
        <v>6</v>
      </c>
      <c r="AI348" s="221">
        <f t="shared" si="147"/>
        <v>0.99357336519705231</v>
      </c>
      <c r="AJ348" s="261" t="b">
        <f t="shared" si="148"/>
        <v>0</v>
      </c>
      <c r="AK348" s="261" t="b">
        <f t="shared" si="14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50"/>
        <v>45261</v>
      </c>
      <c r="B349" s="406">
        <f>'2022'!Wh/'2022'!Env_an*'2023'!Env_an</f>
        <v>4.3641332860450026</v>
      </c>
      <c r="C349" s="385"/>
      <c r="D349" s="388">
        <f t="shared" si="128"/>
        <v>4.4085064928056479</v>
      </c>
      <c r="E349" s="380">
        <f t="shared" si="126"/>
        <v>4.4726391447485083</v>
      </c>
      <c r="F349" s="380">
        <f t="shared" si="129"/>
        <v>4.4726391447485083</v>
      </c>
      <c r="G349" s="110">
        <f t="shared" si="127"/>
        <v>0.22642829927924998</v>
      </c>
      <c r="H349" s="409" t="b">
        <f>Wh_hp&gt;='2022'!Maxi_hp</f>
        <v>0</v>
      </c>
      <c r="I349" s="385">
        <f>IF(H349,Wh_hp,'2022'!Maxi_hp)</f>
        <v>4.4857659812276731</v>
      </c>
      <c r="J349" s="85">
        <f>IF(H349,An,'2022'!An_max)</f>
        <v>2022</v>
      </c>
      <c r="K349" s="193">
        <f t="shared" si="130"/>
        <v>45261</v>
      </c>
      <c r="L349" s="143">
        <f>IF(t&lt;Tvie,1-EXP((T0-t)*PertePVj)+'2022'!Pspv,1-EXP((T0-t)*PertePVj)+Pspv)</f>
        <v>1.0065360419239333E-2</v>
      </c>
      <c r="M349" s="836"/>
      <c r="N349" s="836"/>
      <c r="O349" s="48">
        <f>IF(t&lt;Tnet,'2022'!Resal+('2022'!Salim-'2022'!Resal)*(1-EXP(('2022'!Tnet-t)/('2022'!Tau_j))),Resal+(Salim-Resal)*(1-EXP((Tnet-t)/(Tau_j))))*Salcycl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5.8337575010422209E-3</v>
      </c>
      <c r="Q349" s="301">
        <f t="shared" si="131"/>
        <v>0.5</v>
      </c>
      <c r="R349" s="173">
        <f t="shared" si="132"/>
        <v>0.99358981923322776</v>
      </c>
      <c r="S349" s="802">
        <f t="shared" si="133"/>
        <v>0</v>
      </c>
      <c r="T349" s="172">
        <f t="shared" si="134"/>
        <v>6</v>
      </c>
      <c r="U349" s="247">
        <f t="shared" si="135"/>
        <v>0.99358981923322776</v>
      </c>
      <c r="V349" s="378">
        <f t="shared" si="136"/>
        <v>19.161359267205292</v>
      </c>
      <c r="W349" s="397">
        <f t="shared" si="137"/>
        <v>4.3641332860450026</v>
      </c>
      <c r="X349" s="153">
        <f t="shared" si="138"/>
        <v>45261</v>
      </c>
      <c r="Y349" s="380">
        <f t="shared" si="139"/>
        <v>4.2528403626676905</v>
      </c>
      <c r="Z349" s="380">
        <f t="shared" si="140"/>
        <v>4.2960819761482201</v>
      </c>
      <c r="AA349" s="381">
        <f t="shared" si="141"/>
        <v>4.4726391447485083</v>
      </c>
      <c r="AB349" s="193">
        <f t="shared" si="142"/>
        <v>45261</v>
      </c>
      <c r="AC349" s="420">
        <f>IF(OR(t&lt;Tnet,NoTnet),'2022'!Resal_s+('2022'!Salim-'2022'!Resal_s)*(1-EXP(('2022'!Tnet_s-t)/'2022'!Tau_j)),Resal_s+(Salim-Resal_s)*(1-EXP((Tnet_s-t)/Tau_j)))*Salcycl</f>
        <v>3.947494150239924E-2</v>
      </c>
      <c r="AD349" s="227">
        <f>(INDEX(Models!$BJ349:$BT349,,AH349)*(1-AF349)+INDEX(Models!$BJ349:$BT349,,AH349+1)*AF349-ERP_i)*AE349*Ramure*Pc/MaxiM</f>
        <v>5.8337575010422209E-3</v>
      </c>
      <c r="AE349" s="301">
        <f t="shared" si="143"/>
        <v>0.5</v>
      </c>
      <c r="AF349" s="173">
        <f t="shared" si="144"/>
        <v>0.99358981923322776</v>
      </c>
      <c r="AG349" s="172">
        <f t="shared" si="145"/>
        <v>0</v>
      </c>
      <c r="AH349" s="172">
        <f t="shared" si="146"/>
        <v>6</v>
      </c>
      <c r="AI349" s="221">
        <f t="shared" si="147"/>
        <v>0.99358981923322776</v>
      </c>
      <c r="AJ349" s="261" t="b">
        <f t="shared" si="148"/>
        <v>0</v>
      </c>
      <c r="AK349" s="261" t="b">
        <f t="shared" si="14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50"/>
        <v>45262</v>
      </c>
      <c r="B350" s="406">
        <f>'2022'!Wh/'2022'!Env_an*'2023'!Env_an</f>
        <v>5.5685816188329591</v>
      </c>
      <c r="C350" s="385"/>
      <c r="D350" s="388">
        <f t="shared" si="128"/>
        <v>5.6252783026573399</v>
      </c>
      <c r="E350" s="380">
        <f t="shared" si="126"/>
        <v>5.7074322870463767</v>
      </c>
      <c r="F350" s="380">
        <f t="shared" si="129"/>
        <v>5.7074322870463767</v>
      </c>
      <c r="G350" s="110">
        <f t="shared" si="127"/>
        <v>0.29239165670458744</v>
      </c>
      <c r="H350" s="409" t="b">
        <f>Wh_hp&gt;='2022'!Maxi_hp</f>
        <v>0</v>
      </c>
      <c r="I350" s="385">
        <f>IF(H350,Wh_hp,'2022'!Maxi_hp)</f>
        <v>5.724087583959065</v>
      </c>
      <c r="J350" s="85">
        <f>IF(H350,An,'2022'!An_max)</f>
        <v>2022</v>
      </c>
      <c r="K350" s="193">
        <f t="shared" si="130"/>
        <v>45262</v>
      </c>
      <c r="L350" s="143">
        <f>IF(t&lt;Tvie,1-EXP((T0-t)*PertePVj)+'2022'!Pspv,1-EXP((T0-t)*PertePVj)+Pspv)</f>
        <v>1.0078911793145906E-2</v>
      </c>
      <c r="M350" s="836"/>
      <c r="N350" s="836"/>
      <c r="O350" s="48">
        <f>IF(t&lt;Tnet,'2022'!Resal+('2022'!Salim-'2022'!Resal)*(1-EXP(('2022'!Tnet-t)/('2022'!Tau_j))),Resal+(Salim-Resal)*(1-EXP((Tnet-t)/(Tau_j))))*Salcycl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5.8009898238724402E-3</v>
      </c>
      <c r="Q350" s="301">
        <f t="shared" si="131"/>
        <v>0.5</v>
      </c>
      <c r="R350" s="173">
        <f t="shared" si="132"/>
        <v>0.99360561179964968</v>
      </c>
      <c r="S350" s="802">
        <f t="shared" si="133"/>
        <v>0</v>
      </c>
      <c r="T350" s="172">
        <f t="shared" si="134"/>
        <v>6</v>
      </c>
      <c r="U350" s="247">
        <f t="shared" si="135"/>
        <v>0.99360561179964968</v>
      </c>
      <c r="V350" s="378">
        <f t="shared" si="136"/>
        <v>18.934460702215535</v>
      </c>
      <c r="W350" s="397">
        <f t="shared" si="137"/>
        <v>5.5685816188329591</v>
      </c>
      <c r="X350" s="153">
        <f t="shared" si="138"/>
        <v>45262</v>
      </c>
      <c r="Y350" s="380">
        <f t="shared" si="139"/>
        <v>5.4267441612700642</v>
      </c>
      <c r="Z350" s="380">
        <f t="shared" si="140"/>
        <v>5.481996722688355</v>
      </c>
      <c r="AA350" s="381">
        <f t="shared" si="141"/>
        <v>5.7074322870463767</v>
      </c>
      <c r="AB350" s="193">
        <f t="shared" si="142"/>
        <v>45262</v>
      </c>
      <c r="AC350" s="420">
        <f>IF(OR(t&lt;Tnet,NoTnet),'2022'!Resal_s+('2022'!Salim-'2022'!Resal_s)*(1-EXP(('2022'!Tnet_s-t)/'2022'!Tau_j)),Resal_s+(Salim-Resal_s)*(1-EXP((Tnet_s-t)/Tau_j)))*Salcycl</f>
        <v>3.9498596395032476E-2</v>
      </c>
      <c r="AD350" s="227">
        <f>(INDEX(Models!$BJ350:$BT350,,AH350)*(1-AF350)+INDEX(Models!$BJ350:$BT350,,AH350+1)*AF350-ERP_i)*AE350*Ramure*Pc/MaxiM</f>
        <v>5.8009898238724402E-3</v>
      </c>
      <c r="AE350" s="301">
        <f t="shared" si="143"/>
        <v>0.5</v>
      </c>
      <c r="AF350" s="173">
        <f t="shared" si="144"/>
        <v>0.99360561179964968</v>
      </c>
      <c r="AG350" s="172">
        <f t="shared" si="145"/>
        <v>0</v>
      </c>
      <c r="AH350" s="172">
        <f t="shared" si="146"/>
        <v>6</v>
      </c>
      <c r="AI350" s="221">
        <f t="shared" si="147"/>
        <v>0.99360561179964968</v>
      </c>
      <c r="AJ350" s="261" t="b">
        <f t="shared" si="148"/>
        <v>0</v>
      </c>
      <c r="AK350" s="261" t="b">
        <f t="shared" si="14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50"/>
        <v>45263</v>
      </c>
      <c r="B351" s="406">
        <f>'2022'!Wh/'2022'!Env_an*'2023'!Env_an</f>
        <v>10.014860488692909</v>
      </c>
      <c r="C351" s="385"/>
      <c r="D351" s="388">
        <f t="shared" si="128"/>
        <v>10.116965589389393</v>
      </c>
      <c r="E351" s="380">
        <f t="shared" si="126"/>
        <v>10.265295987448443</v>
      </c>
      <c r="F351" s="380">
        <f t="shared" si="129"/>
        <v>10.285250400383321</v>
      </c>
      <c r="G351" s="110">
        <f t="shared" si="127"/>
        <v>0.53310270270774818</v>
      </c>
      <c r="H351" s="409" t="b">
        <f>Wh_hp&gt;='2022'!Maxi_hp</f>
        <v>0</v>
      </c>
      <c r="I351" s="385">
        <f>IF(H351,Wh_hp,'2022'!Maxi_hp)</f>
        <v>10.305110354856382</v>
      </c>
      <c r="J351" s="85">
        <f>IF(H351,An,'2022'!An_max)</f>
        <v>2022</v>
      </c>
      <c r="K351" s="193">
        <f t="shared" si="130"/>
        <v>45263</v>
      </c>
      <c r="L351" s="143">
        <f>IF(t&lt;Tvie,1-EXP((T0-t)*PertePVj)+'2022'!Pspv,1-EXP((T0-t)*PertePVj)+Pspv)</f>
        <v>1.0092462981545647E-2</v>
      </c>
      <c r="M351" s="836"/>
      <c r="N351" s="836"/>
      <c r="O351" s="48">
        <f>IF(t&lt;Tnet,'2022'!Resal+('2022'!Salim-'2022'!Resal)*(1-EXP(('2022'!Tnet-t)/('2022'!Tau_j))),Resal+(Salim-Resal)*(1-EXP((Tnet-t)/(Tau_j))))*Salcycl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5.7751126304819364E-3</v>
      </c>
      <c r="Q351" s="301">
        <f t="shared" si="131"/>
        <v>0.5</v>
      </c>
      <c r="R351" s="173">
        <f t="shared" si="132"/>
        <v>0.99362076944881239</v>
      </c>
      <c r="S351" s="802">
        <f t="shared" si="133"/>
        <v>0</v>
      </c>
      <c r="T351" s="172">
        <f t="shared" si="134"/>
        <v>6</v>
      </c>
      <c r="U351" s="247">
        <f t="shared" si="135"/>
        <v>0.99362076944881239</v>
      </c>
      <c r="V351" s="378">
        <f t="shared" si="136"/>
        <v>18.713802540737387</v>
      </c>
      <c r="W351" s="397">
        <f t="shared" si="137"/>
        <v>10.014860488692909</v>
      </c>
      <c r="X351" s="153">
        <f t="shared" si="138"/>
        <v>45263</v>
      </c>
      <c r="Y351" s="380">
        <f t="shared" si="139"/>
        <v>9.7600744054387008</v>
      </c>
      <c r="Z351" s="380">
        <f t="shared" si="140"/>
        <v>9.8595818704800386</v>
      </c>
      <c r="AA351" s="381">
        <f t="shared" si="141"/>
        <v>10.265295987448443</v>
      </c>
      <c r="AB351" s="193">
        <f t="shared" si="142"/>
        <v>45263</v>
      </c>
      <c r="AC351" s="420">
        <f>IF(OR(t&lt;Tnet,NoTnet),'2022'!Resal_s+('2022'!Salim-'2022'!Resal_s)*(1-EXP(('2022'!Tnet_s-t)/'2022'!Tau_j)),Resal_s+(Salim-Resal_s)*(1-EXP((Tnet_s-t)/Tau_j)))*Salcycl</f>
        <v>3.9522885405786495E-2</v>
      </c>
      <c r="AD351" s="227">
        <f>(INDEX(Models!$BJ351:$BT351,,AH351)*(1-AF351)+INDEX(Models!$BJ351:$BT351,,AH351+1)*AF351-ERP_i)*AE351*Ramure*Pc/MaxiM</f>
        <v>5.7751126304819364E-3</v>
      </c>
      <c r="AE351" s="301">
        <f t="shared" si="143"/>
        <v>0.5</v>
      </c>
      <c r="AF351" s="173">
        <f t="shared" si="144"/>
        <v>0.99362076944881239</v>
      </c>
      <c r="AG351" s="172">
        <f t="shared" si="145"/>
        <v>0</v>
      </c>
      <c r="AH351" s="172">
        <f t="shared" si="146"/>
        <v>6</v>
      </c>
      <c r="AI351" s="221">
        <f t="shared" si="147"/>
        <v>0.99362076944881239</v>
      </c>
      <c r="AJ351" s="261" t="b">
        <f t="shared" si="148"/>
        <v>0</v>
      </c>
      <c r="AK351" s="261" t="b">
        <f t="shared" si="14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50"/>
        <v>45264</v>
      </c>
      <c r="B352" s="406">
        <f>'2022'!Wh/'2022'!Env_an*'2023'!Env_an</f>
        <v>13.391815001272118</v>
      </c>
      <c r="C352" s="385"/>
      <c r="D352" s="388">
        <f t="shared" si="128"/>
        <v>13.528534560731865</v>
      </c>
      <c r="E352" s="380">
        <f t="shared" si="126"/>
        <v>13.727658857076777</v>
      </c>
      <c r="F352" s="380">
        <f t="shared" si="129"/>
        <v>13.77571337170551</v>
      </c>
      <c r="G352" s="110">
        <f t="shared" si="127"/>
        <v>0.72221705386130097</v>
      </c>
      <c r="H352" s="409" t="b">
        <f>Wh_hp&gt;='2022'!Maxi_hp</f>
        <v>0</v>
      </c>
      <c r="I352" s="385">
        <f>IF(H352,Wh_hp,'2022'!Maxi_hp)</f>
        <v>13.791486870148061</v>
      </c>
      <c r="J352" s="85">
        <f>IF(H352,An,'2022'!An_max)</f>
        <v>2022</v>
      </c>
      <c r="K352" s="193">
        <f t="shared" si="130"/>
        <v>45264</v>
      </c>
      <c r="L352" s="143">
        <f>IF(t&lt;Tvie,1-EXP((T0-t)*PertePVj)+'2022'!Pspv,1-EXP((T0-t)*PertePVj)+Pspv)</f>
        <v>1.0106013984440887E-2</v>
      </c>
      <c r="M352" s="836"/>
      <c r="N352" s="836"/>
      <c r="O352" s="48">
        <f>IF(t&lt;Tnet,'2022'!Resal+('2022'!Salim-'2022'!Resal)*(1-EXP(('2022'!Tnet-t)/('2022'!Tau_j))),Resal+(Salim-Resal)*(1-EXP((Tnet-t)/(Tau_j))))*Salcycl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5.7608650065460263E-3</v>
      </c>
      <c r="Q352" s="301">
        <f t="shared" si="131"/>
        <v>0.5</v>
      </c>
      <c r="R352" s="173">
        <f t="shared" si="132"/>
        <v>0.99363531767044733</v>
      </c>
      <c r="S352" s="802">
        <f t="shared" si="133"/>
        <v>0</v>
      </c>
      <c r="T352" s="172">
        <f t="shared" si="134"/>
        <v>6</v>
      </c>
      <c r="U352" s="247">
        <f t="shared" si="135"/>
        <v>0.99363531767044733</v>
      </c>
      <c r="V352" s="378">
        <f t="shared" si="136"/>
        <v>18.500359831035535</v>
      </c>
      <c r="W352" s="397">
        <f t="shared" si="137"/>
        <v>13.391815001272118</v>
      </c>
      <c r="X352" s="153">
        <f t="shared" si="138"/>
        <v>45264</v>
      </c>
      <c r="Y352" s="380">
        <f t="shared" si="139"/>
        <v>13.051514788273225</v>
      </c>
      <c r="Z352" s="380">
        <f t="shared" si="140"/>
        <v>13.184760158819756</v>
      </c>
      <c r="AA352" s="381">
        <f t="shared" si="141"/>
        <v>13.727658857076777</v>
      </c>
      <c r="AB352" s="193">
        <f t="shared" si="142"/>
        <v>45264</v>
      </c>
      <c r="AC352" s="420">
        <f>IF(OR(t&lt;Tnet,NoTnet),'2022'!Resal_s+('2022'!Salim-'2022'!Resal_s)*(1-EXP(('2022'!Tnet_s-t)/'2022'!Tau_j)),Resal_s+(Salim-Resal_s)*(1-EXP((Tnet_s-t)/Tau_j)))*Salcycl</f>
        <v>3.9547799366907277E-2</v>
      </c>
      <c r="AD352" s="227">
        <f>(INDEX(Models!$BJ352:$BT352,,AH352)*(1-AF352)+INDEX(Models!$BJ352:$BT352,,AH352+1)*AF352-ERP_i)*AE352*Ramure*Pc/MaxiM</f>
        <v>5.7608650065460263E-3</v>
      </c>
      <c r="AE352" s="301">
        <f t="shared" si="143"/>
        <v>0.5</v>
      </c>
      <c r="AF352" s="173">
        <f t="shared" si="144"/>
        <v>0.99363531767044733</v>
      </c>
      <c r="AG352" s="172">
        <f t="shared" si="145"/>
        <v>0</v>
      </c>
      <c r="AH352" s="172">
        <f t="shared" si="146"/>
        <v>6</v>
      </c>
      <c r="AI352" s="221">
        <f t="shared" si="147"/>
        <v>0.99363531767044733</v>
      </c>
      <c r="AJ352" s="261" t="b">
        <f t="shared" si="148"/>
        <v>0</v>
      </c>
      <c r="AK352" s="261" t="b">
        <f t="shared" si="14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50"/>
        <v>45265</v>
      </c>
      <c r="B353" s="406">
        <f>'2022'!Wh/'2022'!Env_an*'2023'!Env_an</f>
        <v>18.558800385595127</v>
      </c>
      <c r="C353" s="385"/>
      <c r="D353" s="388">
        <f t="shared" si="128"/>
        <v>18.74852732277693</v>
      </c>
      <c r="E353" s="380">
        <f t="shared" si="126"/>
        <v>19.025560990597512</v>
      </c>
      <c r="F353" s="380">
        <f t="shared" si="129"/>
        <v>19.13564349995162</v>
      </c>
      <c r="G353" s="110">
        <f t="shared" si="127"/>
        <v>1.014402658127695</v>
      </c>
      <c r="H353" s="409" t="b">
        <f>Wh_hp&gt;='2022'!Maxi_hp</f>
        <v>1</v>
      </c>
      <c r="I353" s="385">
        <f>IF(H353,Wh_hp,'2022'!Maxi_hp)</f>
        <v>19.13564349995162</v>
      </c>
      <c r="J353" s="85">
        <f>IF(H353,An,'2022'!An_max)</f>
        <v>2023</v>
      </c>
      <c r="K353" s="193">
        <f t="shared" si="130"/>
        <v>45265</v>
      </c>
      <c r="L353" s="143">
        <f>IF(t&lt;Tvie,1-EXP((T0-t)*PertePVj)+'2022'!Pspv,1-EXP((T0-t)*PertePVj)+Pspv)</f>
        <v>1.0119564801834402E-2</v>
      </c>
      <c r="M353" s="836"/>
      <c r="N353" s="836"/>
      <c r="O353" s="48">
        <f>IF(t&lt;Tnet,'2022'!Resal+('2022'!Salim-'2022'!Resal)*(1-EXP(('2022'!Tnet-t)/('2022'!Tau_j))),Resal+(Salim-Resal)*(1-EXP((Tnet-t)/(Tau_j))))*Salcycl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5.7527466664178614E-3</v>
      </c>
      <c r="Q353" s="301">
        <f t="shared" si="131"/>
        <v>0.5</v>
      </c>
      <c r="R353" s="173">
        <f t="shared" si="132"/>
        <v>0.99364928093381621</v>
      </c>
      <c r="S353" s="802">
        <f t="shared" si="133"/>
        <v>0</v>
      </c>
      <c r="T353" s="172">
        <f t="shared" si="134"/>
        <v>6</v>
      </c>
      <c r="U353" s="247">
        <f t="shared" si="135"/>
        <v>0.99364928093381621</v>
      </c>
      <c r="V353" s="378">
        <f t="shared" si="136"/>
        <v>18.295299442382671</v>
      </c>
      <c r="W353" s="397">
        <f t="shared" si="137"/>
        <v>18.558800385595127</v>
      </c>
      <c r="X353" s="153">
        <f t="shared" si="138"/>
        <v>45265</v>
      </c>
      <c r="Y353" s="380">
        <f t="shared" si="139"/>
        <v>18.087744913115785</v>
      </c>
      <c r="Z353" s="380">
        <f t="shared" si="140"/>
        <v>18.272656242058943</v>
      </c>
      <c r="AA353" s="381">
        <f t="shared" si="141"/>
        <v>19.025560990597512</v>
      </c>
      <c r="AB353" s="193">
        <f t="shared" si="142"/>
        <v>45265</v>
      </c>
      <c r="AC353" s="420">
        <f>IF(OR(t&lt;Tnet,NoTnet),'2022'!Resal_s+('2022'!Salim-'2022'!Resal_s)*(1-EXP(('2022'!Tnet_s-t)/'2022'!Tau_j)),Resal_s+(Salim-Resal_s)*(1-EXP((Tnet_s-t)/Tau_j)))*Salcycl</f>
        <v>3.9573327110336343E-2</v>
      </c>
      <c r="AD353" s="227">
        <f>(INDEX(Models!$BJ353:$BT353,,AH353)*(1-AF353)+INDEX(Models!$BJ353:$BT353,,AH353+1)*AF353-ERP_i)*AE353*Ramure*Pc/MaxiM</f>
        <v>5.7527466664178614E-3</v>
      </c>
      <c r="AE353" s="301">
        <f t="shared" si="143"/>
        <v>0.5</v>
      </c>
      <c r="AF353" s="173">
        <f t="shared" si="144"/>
        <v>0.99364928093381621</v>
      </c>
      <c r="AG353" s="172">
        <f t="shared" si="145"/>
        <v>0</v>
      </c>
      <c r="AH353" s="172">
        <f t="shared" si="146"/>
        <v>6</v>
      </c>
      <c r="AI353" s="221">
        <f t="shared" si="147"/>
        <v>0.99364928093381621</v>
      </c>
      <c r="AJ353" s="261" t="b">
        <f t="shared" si="148"/>
        <v>0</v>
      </c>
      <c r="AK353" s="261" t="b">
        <f t="shared" si="149"/>
        <v>0</v>
      </c>
      <c r="AL353" s="261"/>
      <c r="AM353" s="261"/>
      <c r="AN353" s="75"/>
    </row>
    <row r="354" spans="1:40" s="6" customFormat="1" ht="11.25" x14ac:dyDescent="0.2">
      <c r="A354" s="56">
        <f t="shared" si="150"/>
        <v>45266</v>
      </c>
      <c r="B354" s="406">
        <f>'2022'!Wh/'2022'!Env_an*'2023'!Env_an</f>
        <v>12.123130389702929</v>
      </c>
      <c r="C354" s="385"/>
      <c r="D354" s="388">
        <f t="shared" si="128"/>
        <v>12.247233015593711</v>
      </c>
      <c r="E354" s="380">
        <f t="shared" si="126"/>
        <v>12.42890730664134</v>
      </c>
      <c r="F354" s="380">
        <f t="shared" si="129"/>
        <v>12.466780037712052</v>
      </c>
      <c r="G354" s="110">
        <f t="shared" si="127"/>
        <v>0.66797533371233087</v>
      </c>
      <c r="H354" s="409" t="b">
        <f>Wh_hp&gt;='2022'!Maxi_hp</f>
        <v>0</v>
      </c>
      <c r="I354" s="385">
        <f>IF(H354,Wh_hp,'2022'!Maxi_hp)</f>
        <v>12.483813947652854</v>
      </c>
      <c r="J354" s="85">
        <f>IF(H354,An,'2022'!An_max)</f>
        <v>2022</v>
      </c>
      <c r="K354" s="193">
        <f t="shared" si="130"/>
        <v>45266</v>
      </c>
      <c r="L354" s="143">
        <f>IF(t&lt;Tvie,1-EXP((T0-t)*PertePVj)+'2022'!Pspv,1-EXP((T0-t)*PertePVj)+Pspv)</f>
        <v>1.0133115433728523E-2</v>
      </c>
      <c r="M354" s="836"/>
      <c r="N354" s="836"/>
      <c r="O354" s="48">
        <f>IF(t&lt;Tnet,'2022'!Resal+('2022'!Salim-'2022'!Resal)*(1-EXP(('2022'!Tnet-t)/('2022'!Tau_j))),Resal+(Salim-Resal)*(1-EXP((Tnet-t)/(Tau_j))))*Salcycl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5.750506194842347E-3</v>
      </c>
      <c r="Q354" s="301">
        <f t="shared" si="131"/>
        <v>0.5</v>
      </c>
      <c r="R354" s="173">
        <f t="shared" si="132"/>
        <v>0.99366268272833924</v>
      </c>
      <c r="S354" s="802">
        <f t="shared" si="133"/>
        <v>0</v>
      </c>
      <c r="T354" s="172">
        <f t="shared" si="134"/>
        <v>6</v>
      </c>
      <c r="U354" s="247">
        <f t="shared" si="135"/>
        <v>0.99366268272833924</v>
      </c>
      <c r="V354" s="378">
        <f t="shared" si="136"/>
        <v>18.099687513952532</v>
      </c>
      <c r="W354" s="397">
        <f t="shared" si="137"/>
        <v>12.123130389702929</v>
      </c>
      <c r="X354" s="153">
        <f t="shared" si="138"/>
        <v>45266</v>
      </c>
      <c r="Y354" s="380">
        <f t="shared" si="139"/>
        <v>11.815773087423061</v>
      </c>
      <c r="Z354" s="380">
        <f t="shared" si="140"/>
        <v>11.936729343764602</v>
      </c>
      <c r="AA354" s="381">
        <f t="shared" si="141"/>
        <v>12.42890730664134</v>
      </c>
      <c r="AB354" s="193">
        <f t="shared" si="142"/>
        <v>45266</v>
      </c>
      <c r="AC354" s="420">
        <f>IF(OR(t&lt;Tnet,NoTnet),'2022'!Resal_s+('2022'!Salim-'2022'!Resal_s)*(1-EXP(('2022'!Tnet_s-t)/'2022'!Tau_j)),Resal_s+(Salim-Resal_s)*(1-EXP((Tnet_s-t)/Tau_j)))*Salcycl</f>
        <v>3.9599455586392843E-2</v>
      </c>
      <c r="AD354" s="227">
        <f>(INDEX(Models!$BJ354:$BT354,,AH354)*(1-AF354)+INDEX(Models!$BJ354:$BT354,,AH354+1)*AF354-ERP_i)*AE354*Ramure*Pc/MaxiM</f>
        <v>5.750506194842347E-3</v>
      </c>
      <c r="AE354" s="301">
        <f t="shared" si="143"/>
        <v>0.5</v>
      </c>
      <c r="AF354" s="173">
        <f t="shared" si="144"/>
        <v>0.99366268272833924</v>
      </c>
      <c r="AG354" s="172">
        <f t="shared" si="145"/>
        <v>0</v>
      </c>
      <c r="AH354" s="172">
        <f t="shared" si="146"/>
        <v>6</v>
      </c>
      <c r="AI354" s="221">
        <f t="shared" si="147"/>
        <v>0.99366268272833924</v>
      </c>
      <c r="AJ354" s="261" t="b">
        <f t="shared" si="148"/>
        <v>0</v>
      </c>
      <c r="AK354" s="261" t="b">
        <f t="shared" si="149"/>
        <v>0</v>
      </c>
      <c r="AL354" s="261"/>
      <c r="AM354" s="261"/>
      <c r="AN354" s="75"/>
    </row>
    <row r="355" spans="1:40" s="6" customFormat="1" ht="11.25" x14ac:dyDescent="0.2">
      <c r="A355" s="56">
        <f t="shared" si="150"/>
        <v>45267</v>
      </c>
      <c r="B355" s="406">
        <f>'2022'!Wh/'2022'!Env_an*'2023'!Env_an</f>
        <v>14.872159492908347</v>
      </c>
      <c r="C355" s="385"/>
      <c r="D355" s="388">
        <f t="shared" si="128"/>
        <v>15.024609182260214</v>
      </c>
      <c r="E355" s="380">
        <f t="shared" si="126"/>
        <v>15.248350860067132</v>
      </c>
      <c r="F355" s="380">
        <f t="shared" si="129"/>
        <v>15.315092519009129</v>
      </c>
      <c r="G355" s="110">
        <f t="shared" si="127"/>
        <v>0.82900628746831839</v>
      </c>
      <c r="H355" s="409" t="b">
        <f>Wh_hp&gt;='2022'!Maxi_hp</f>
        <v>0</v>
      </c>
      <c r="I355" s="385">
        <f>IF(H355,Wh_hp,'2022'!Maxi_hp)</f>
        <v>15.32586816121578</v>
      </c>
      <c r="J355" s="85">
        <f>IF(H355,An,'2022'!An_max)</f>
        <v>2022</v>
      </c>
      <c r="K355" s="193">
        <f t="shared" si="130"/>
        <v>45267</v>
      </c>
      <c r="L355" s="143">
        <f>IF(t&lt;Tvie,1-EXP((T0-t)*PertePVj)+'2022'!Pspv,1-EXP((T0-t)*PertePVj)+Pspv)</f>
        <v>1.0146665880125916E-2</v>
      </c>
      <c r="M355" s="836"/>
      <c r="N355" s="836"/>
      <c r="O355" s="48">
        <f>IF(t&lt;Tnet,'2022'!Resal+('2022'!Salim-'2022'!Resal)*(1-EXP(('2022'!Tnet-t)/('2022'!Tau_j))),Resal+(Salim-Resal)*(1-EXP((Tnet-t)/(Tau_j))))*Salcycl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5.7538701536723851E-3</v>
      </c>
      <c r="Q355" s="301">
        <f t="shared" si="131"/>
        <v>0.5</v>
      </c>
      <c r="R355" s="173">
        <f t="shared" si="132"/>
        <v>0.99367554560262428</v>
      </c>
      <c r="S355" s="802">
        <f t="shared" si="133"/>
        <v>0</v>
      </c>
      <c r="T355" s="172">
        <f t="shared" si="134"/>
        <v>6</v>
      </c>
      <c r="U355" s="247">
        <f t="shared" si="135"/>
        <v>0.99367554560262428</v>
      </c>
      <c r="V355" s="378">
        <f t="shared" si="136"/>
        <v>17.914589759663471</v>
      </c>
      <c r="W355" s="397">
        <f t="shared" si="137"/>
        <v>14.872159492908347</v>
      </c>
      <c r="X355" s="153">
        <f t="shared" si="138"/>
        <v>45267</v>
      </c>
      <c r="Y355" s="380">
        <f t="shared" si="139"/>
        <v>14.495528153294513</v>
      </c>
      <c r="Z355" s="380">
        <f t="shared" si="140"/>
        <v>14.644117116787994</v>
      </c>
      <c r="AA355" s="381">
        <f t="shared" si="141"/>
        <v>15.248350860067132</v>
      </c>
      <c r="AB355" s="193">
        <f t="shared" si="142"/>
        <v>45267</v>
      </c>
      <c r="AC355" s="420">
        <f>IF(OR(t&lt;Tnet,NoTnet),'2022'!Resal_s+('2022'!Salim-'2022'!Resal_s)*(1-EXP(('2022'!Tnet_s-t)/'2022'!Tau_j)),Resal_s+(Salim-Resal_s)*(1-EXP((Tnet_s-t)/Tau_j)))*Salcycl</f>
        <v>3.9626169992030107E-2</v>
      </c>
      <c r="AD355" s="227">
        <f>(INDEX(Models!$BJ355:$BT355,,AH355)*(1-AF355)+INDEX(Models!$BJ355:$BT355,,AH355+1)*AF355-ERP_i)*AE355*Ramure*Pc/MaxiM</f>
        <v>5.7538701536723851E-3</v>
      </c>
      <c r="AE355" s="301">
        <f t="shared" si="143"/>
        <v>0.5</v>
      </c>
      <c r="AF355" s="173">
        <f t="shared" si="144"/>
        <v>0.99367554560262428</v>
      </c>
      <c r="AG355" s="172">
        <f t="shared" si="145"/>
        <v>0</v>
      </c>
      <c r="AH355" s="172">
        <f t="shared" si="146"/>
        <v>6</v>
      </c>
      <c r="AI355" s="221">
        <f t="shared" si="147"/>
        <v>0.99367554560262428</v>
      </c>
      <c r="AJ355" s="261" t="b">
        <f t="shared" si="148"/>
        <v>0</v>
      </c>
      <c r="AK355" s="261" t="b">
        <f t="shared" si="14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50"/>
        <v>45268</v>
      </c>
      <c r="B356" s="406">
        <f>'2022'!Wh/'2022'!Env_an*'2023'!Env_an</f>
        <v>4.7914598303902718</v>
      </c>
      <c r="C356" s="385"/>
      <c r="D356" s="388">
        <f t="shared" si="128"/>
        <v>4.840641797312264</v>
      </c>
      <c r="E356" s="380">
        <f t="shared" si="126"/>
        <v>4.9130075131531337</v>
      </c>
      <c r="F356" s="380">
        <f t="shared" si="129"/>
        <v>4.9130075131531337</v>
      </c>
      <c r="G356" s="110">
        <f t="shared" si="127"/>
        <v>0.26852092093750846</v>
      </c>
      <c r="H356" s="409" t="b">
        <f>Wh_hp&gt;='2022'!Maxi_hp</f>
        <v>0</v>
      </c>
      <c r="I356" s="385">
        <f>IF(H356,Wh_hp,'2022'!Maxi_hp)</f>
        <v>4.9272457155162224</v>
      </c>
      <c r="J356" s="85">
        <f>IF(H356,An,'2022'!An_max)</f>
        <v>2022</v>
      </c>
      <c r="K356" s="193">
        <f t="shared" si="130"/>
        <v>45268</v>
      </c>
      <c r="L356" s="143">
        <f>IF(t&lt;Tvie,1-EXP((T0-t)*PertePVj)+'2022'!Pspv,1-EXP((T0-t)*PertePVj)+Pspv)</f>
        <v>1.0160216141029021E-2</v>
      </c>
      <c r="M356" s="836"/>
      <c r="N356" s="836"/>
      <c r="O356" s="48">
        <f>IF(t&lt;Tnet,'2022'!Resal+('2022'!Salim-'2022'!Resal)*(1-EXP(('2022'!Tnet-t)/('2022'!Tau_j))),Resal+(Salim-Resal)*(1-EXP((Tnet-t)/(Tau_j))))*Salcycl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5.7625401496366616E-3</v>
      </c>
      <c r="Q356" s="301">
        <f t="shared" si="131"/>
        <v>0.5</v>
      </c>
      <c r="R356" s="173">
        <f t="shared" si="132"/>
        <v>0.99368789120195833</v>
      </c>
      <c r="S356" s="802">
        <f t="shared" si="133"/>
        <v>0</v>
      </c>
      <c r="T356" s="172">
        <f t="shared" si="134"/>
        <v>6</v>
      </c>
      <c r="U356" s="247">
        <f t="shared" si="135"/>
        <v>0.99368789120195833</v>
      </c>
      <c r="V356" s="378">
        <f t="shared" si="136"/>
        <v>17.741071474467883</v>
      </c>
      <c r="W356" s="397">
        <f t="shared" si="137"/>
        <v>4.7914598303902718</v>
      </c>
      <c r="X356" s="153">
        <f t="shared" si="138"/>
        <v>45268</v>
      </c>
      <c r="Y356" s="380">
        <f t="shared" si="139"/>
        <v>4.6702519680591141</v>
      </c>
      <c r="Z356" s="380">
        <f t="shared" si="140"/>
        <v>4.7181897961827284</v>
      </c>
      <c r="AA356" s="381">
        <f t="shared" si="141"/>
        <v>4.9130075131531337</v>
      </c>
      <c r="AB356" s="193">
        <f t="shared" si="142"/>
        <v>45268</v>
      </c>
      <c r="AC356" s="420">
        <f>IF(OR(t&lt;Tnet,NoTnet),'2022'!Resal_s+('2022'!Salim-'2022'!Resal_s)*(1-EXP(('2022'!Tnet_s-t)/'2022'!Tau_j)),Resal_s+(Salim-Resal_s)*(1-EXP((Tnet_s-t)/Tau_j)))*Salcycl</f>
        <v>3.9653453907578622E-2</v>
      </c>
      <c r="AD356" s="227">
        <f>(INDEX(Models!$BJ356:$BT356,,AH356)*(1-AF356)+INDEX(Models!$BJ356:$BT356,,AH356+1)*AF356-ERP_i)*AE356*Ramure*Pc/MaxiM</f>
        <v>5.7625401496366616E-3</v>
      </c>
      <c r="AE356" s="301">
        <f t="shared" si="143"/>
        <v>0.5</v>
      </c>
      <c r="AF356" s="173">
        <f t="shared" si="144"/>
        <v>0.99368789120195833</v>
      </c>
      <c r="AG356" s="172">
        <f t="shared" si="145"/>
        <v>0</v>
      </c>
      <c r="AH356" s="172">
        <f t="shared" si="146"/>
        <v>6</v>
      </c>
      <c r="AI356" s="221">
        <f t="shared" si="147"/>
        <v>0.99368789120195833</v>
      </c>
      <c r="AJ356" s="261" t="b">
        <f t="shared" si="148"/>
        <v>0</v>
      </c>
      <c r="AK356" s="261" t="b">
        <f t="shared" si="149"/>
        <v>0</v>
      </c>
      <c r="AL356" s="261"/>
      <c r="AM356" s="261"/>
      <c r="AN356" s="75"/>
    </row>
    <row r="357" spans="1:40" s="6" customFormat="1" ht="11.25" x14ac:dyDescent="0.2">
      <c r="A357" s="56">
        <f t="shared" si="150"/>
        <v>45269</v>
      </c>
      <c r="B357" s="406">
        <f>'2022'!Wh/'2022'!Env_an*'2023'!Env_an</f>
        <v>7.9779577203784671</v>
      </c>
      <c r="C357" s="385"/>
      <c r="D357" s="388">
        <f t="shared" si="128"/>
        <v>8.0599578472305549</v>
      </c>
      <c r="E357" s="380">
        <f t="shared" si="126"/>
        <v>8.1809192347936683</v>
      </c>
      <c r="F357" s="380">
        <f t="shared" si="129"/>
        <v>8.19131517354257</v>
      </c>
      <c r="G357" s="110">
        <f t="shared" si="127"/>
        <v>0.45175573093073024</v>
      </c>
      <c r="H357" s="409" t="b">
        <f>Wh_hp&gt;='2022'!Maxi_hp</f>
        <v>0</v>
      </c>
      <c r="I357" s="385">
        <f>IF(H357,Wh_hp,'2022'!Maxi_hp)</f>
        <v>8.2098937851281431</v>
      </c>
      <c r="J357" s="85">
        <f>IF(H357,An,'2022'!An_max)</f>
        <v>2022</v>
      </c>
      <c r="K357" s="193">
        <f t="shared" si="130"/>
        <v>45269</v>
      </c>
      <c r="L357" s="143">
        <f>IF(t&lt;Tvie,1-EXP((T0-t)*PertePVj)+'2022'!Pspv,1-EXP((T0-t)*PertePVj)+Pspv)</f>
        <v>1.0173766216440394E-2</v>
      </c>
      <c r="M357" s="836"/>
      <c r="N357" s="836"/>
      <c r="O357" s="48">
        <f>IF(t&lt;Tnet,'2022'!Resal+('2022'!Salim-'2022'!Resal)*(1-EXP(('2022'!Tnet-t)/('2022'!Tau_j))),Resal+(Salim-Resal)*(1-EXP((Tnet-t)/(Tau_j))))*Salcycl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5.776190226372901E-3</v>
      </c>
      <c r="Q357" s="301">
        <f t="shared" si="131"/>
        <v>0.5</v>
      </c>
      <c r="R357" s="173">
        <f t="shared" si="132"/>
        <v>0.9936997403043184</v>
      </c>
      <c r="S357" s="802">
        <f t="shared" si="133"/>
        <v>0</v>
      </c>
      <c r="T357" s="172">
        <f t="shared" si="134"/>
        <v>6</v>
      </c>
      <c r="U357" s="247">
        <f t="shared" si="135"/>
        <v>0.9936997403043184</v>
      </c>
      <c r="V357" s="378">
        <f t="shared" si="136"/>
        <v>17.580197528357871</v>
      </c>
      <c r="W357" s="397">
        <f t="shared" si="137"/>
        <v>7.9779577203784671</v>
      </c>
      <c r="X357" s="153">
        <f t="shared" si="138"/>
        <v>45269</v>
      </c>
      <c r="Y357" s="380">
        <f t="shared" si="139"/>
        <v>7.7763617548826387</v>
      </c>
      <c r="Z357" s="380">
        <f t="shared" si="140"/>
        <v>7.8562898107457686</v>
      </c>
      <c r="AA357" s="381">
        <f t="shared" si="141"/>
        <v>8.1809192347936683</v>
      </c>
      <c r="AB357" s="193">
        <f t="shared" si="142"/>
        <v>45269</v>
      </c>
      <c r="AC357" s="420">
        <f>IF(OR(t&lt;Tnet,NoTnet),'2022'!Resal_s+('2022'!Salim-'2022'!Resal_s)*(1-EXP(('2022'!Tnet_s-t)/'2022'!Tau_j)),Resal_s+(Salim-Resal_s)*(1-EXP((Tnet_s-t)/Tau_j)))*Salcycl</f>
        <v>3.9681289440829819E-2</v>
      </c>
      <c r="AD357" s="227">
        <f>(INDEX(Models!$BJ357:$BT357,,AH357)*(1-AF357)+INDEX(Models!$BJ357:$BT357,,AH357+1)*AF357-ERP_i)*AE357*Ramure*Pc/MaxiM</f>
        <v>5.776190226372901E-3</v>
      </c>
      <c r="AE357" s="301">
        <f t="shared" si="143"/>
        <v>0.5</v>
      </c>
      <c r="AF357" s="173">
        <f t="shared" si="144"/>
        <v>0.9936997403043184</v>
      </c>
      <c r="AG357" s="172">
        <f t="shared" si="145"/>
        <v>0</v>
      </c>
      <c r="AH357" s="172">
        <f t="shared" si="146"/>
        <v>6</v>
      </c>
      <c r="AI357" s="221">
        <f t="shared" si="147"/>
        <v>0.9936997403043184</v>
      </c>
      <c r="AJ357" s="261" t="b">
        <f t="shared" si="148"/>
        <v>0</v>
      </c>
      <c r="AK357" s="261" t="b">
        <f t="shared" si="14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50"/>
        <v>45270</v>
      </c>
      <c r="B358" s="406">
        <f>'2022'!Wh/'2022'!Env_an*'2023'!Env_an</f>
        <v>11.617825186963831</v>
      </c>
      <c r="C358" s="385"/>
      <c r="D358" s="388">
        <f t="shared" si="128"/>
        <v>11.737397768295574</v>
      </c>
      <c r="E358" s="380">
        <f t="shared" si="126"/>
        <v>11.914232513746079</v>
      </c>
      <c r="F358" s="380">
        <f t="shared" si="129"/>
        <v>11.950480750295261</v>
      </c>
      <c r="G358" s="110">
        <f t="shared" si="127"/>
        <v>0.66458017738740427</v>
      </c>
      <c r="H358" s="409" t="b">
        <f>Wh_hp&gt;='2022'!Maxi_hp</f>
        <v>0</v>
      </c>
      <c r="I358" s="385">
        <f>IF(H358,Wh_hp,'2022'!Maxi_hp)</f>
        <v>11.96710133124366</v>
      </c>
      <c r="J358" s="85">
        <f>IF(H358,An,'2022'!An_max)</f>
        <v>2022</v>
      </c>
      <c r="K358" s="193">
        <f t="shared" si="130"/>
        <v>45270</v>
      </c>
      <c r="L358" s="143">
        <f>IF(t&lt;Tvie,1-EXP((T0-t)*PertePVj)+'2022'!Pspv,1-EXP((T0-t)*PertePVj)+Pspv)</f>
        <v>1.0187316106362698E-2</v>
      </c>
      <c r="M358" s="836"/>
      <c r="N358" s="836"/>
      <c r="O358" s="48">
        <f>IF(t&lt;Tnet,'2022'!Resal+('2022'!Salim-'2022'!Resal)*(1-EXP(('2022'!Tnet-t)/('2022'!Tau_j))),Resal+(Salim-Resal)*(1-EXP((Tnet-t)/(Tau_j))))*Salcycl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5.7944646993201669E-3</v>
      </c>
      <c r="Q358" s="301">
        <f t="shared" si="131"/>
        <v>0.5</v>
      </c>
      <c r="R358" s="173">
        <f t="shared" si="132"/>
        <v>0.99371111285496294</v>
      </c>
      <c r="S358" s="802">
        <f t="shared" si="133"/>
        <v>0</v>
      </c>
      <c r="T358" s="172">
        <f t="shared" si="134"/>
        <v>6</v>
      </c>
      <c r="U358" s="247">
        <f t="shared" si="135"/>
        <v>0.99371111285496294</v>
      </c>
      <c r="V358" s="378">
        <f t="shared" si="136"/>
        <v>17.433032352019595</v>
      </c>
      <c r="W358" s="397">
        <f t="shared" si="137"/>
        <v>11.617825186963831</v>
      </c>
      <c r="X358" s="153">
        <f t="shared" si="138"/>
        <v>45270</v>
      </c>
      <c r="Y358" s="380">
        <f t="shared" si="139"/>
        <v>11.32456809198036</v>
      </c>
      <c r="Z358" s="380">
        <f t="shared" si="140"/>
        <v>11.441122422712123</v>
      </c>
      <c r="AA358" s="381">
        <f t="shared" si="141"/>
        <v>11.914232513746079</v>
      </c>
      <c r="AB358" s="193">
        <f t="shared" si="142"/>
        <v>45270</v>
      </c>
      <c r="AC358" s="420">
        <f>IF(OR(t&lt;Tnet,NoTnet),'2022'!Resal_s+('2022'!Salim-'2022'!Resal_s)*(1-EXP(('2022'!Tnet_s-t)/'2022'!Tau_j)),Resal_s+(Salim-Resal_s)*(1-EXP((Tnet_s-t)/Tau_j)))*Salcycl</f>
        <v>3.9709657377267352E-2</v>
      </c>
      <c r="AD358" s="227">
        <f>(INDEX(Models!$BJ358:$BT358,,AH358)*(1-AF358)+INDEX(Models!$BJ358:$BT358,,AH358+1)*AF358-ERP_i)*AE358*Ramure*Pc/MaxiM</f>
        <v>5.7944646993201669E-3</v>
      </c>
      <c r="AE358" s="301">
        <f t="shared" si="143"/>
        <v>0.5</v>
      </c>
      <c r="AF358" s="173">
        <f t="shared" si="144"/>
        <v>0.99371111285496294</v>
      </c>
      <c r="AG358" s="172">
        <f t="shared" si="145"/>
        <v>0</v>
      </c>
      <c r="AH358" s="172">
        <f t="shared" si="146"/>
        <v>6</v>
      </c>
      <c r="AI358" s="221">
        <f t="shared" si="147"/>
        <v>0.99371111285496294</v>
      </c>
      <c r="AJ358" s="261" t="b">
        <f t="shared" si="148"/>
        <v>0</v>
      </c>
      <c r="AK358" s="261" t="b">
        <f t="shared" si="14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50"/>
        <v>45271</v>
      </c>
      <c r="B359" s="406">
        <f>'2022'!Wh/'2022'!Env_an*'2023'!Env_an</f>
        <v>13.211296903641093</v>
      </c>
      <c r="C359" s="385"/>
      <c r="D359" s="388">
        <f t="shared" si="128"/>
        <v>13.347452475257201</v>
      </c>
      <c r="E359" s="380">
        <f t="shared" si="126"/>
        <v>13.549323276092597</v>
      </c>
      <c r="F359" s="380">
        <f t="shared" si="129"/>
        <v>13.601768028957746</v>
      </c>
      <c r="G359" s="110">
        <f t="shared" si="127"/>
        <v>0.76234864410926673</v>
      </c>
      <c r="H359" s="409" t="b">
        <f>Wh_hp&gt;='2022'!Maxi_hp</f>
        <v>0</v>
      </c>
      <c r="I359" s="385">
        <f>IF(H359,Wh_hp,'2022'!Maxi_hp)</f>
        <v>13.615221721331118</v>
      </c>
      <c r="J359" s="85">
        <f>IF(H359,An,'2022'!An_max)</f>
        <v>2022</v>
      </c>
      <c r="K359" s="193">
        <f t="shared" si="130"/>
        <v>45271</v>
      </c>
      <c r="L359" s="143">
        <f>IF(t&lt;Tvie,1-EXP((T0-t)*PertePVj)+'2022'!Pspv,1-EXP((T0-t)*PertePVj)+Pspv)</f>
        <v>1.0200865810798376E-2</v>
      </c>
      <c r="M359" s="836"/>
      <c r="N359" s="836"/>
      <c r="O359" s="48">
        <f>IF(t&lt;Tnet,'2022'!Resal+('2022'!Salim-'2022'!Resal)*(1-EXP(('2022'!Tnet-t)/('2022'!Tau_j))),Resal+(Salim-Resal)*(1-EXP((Tnet-t)/(Tau_j))))*Salcycl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5.8186677388085452E-3</v>
      </c>
      <c r="Q359" s="301">
        <f t="shared" si="131"/>
        <v>0.5</v>
      </c>
      <c r="R359" s="173">
        <f t="shared" si="132"/>
        <v>0.99372202799965426</v>
      </c>
      <c r="S359" s="802">
        <f t="shared" si="133"/>
        <v>0</v>
      </c>
      <c r="T359" s="172">
        <f t="shared" si="134"/>
        <v>6</v>
      </c>
      <c r="U359" s="247">
        <f t="shared" si="135"/>
        <v>0.99372202799965426</v>
      </c>
      <c r="V359" s="378">
        <f t="shared" si="136"/>
        <v>17.295582122920038</v>
      </c>
      <c r="W359" s="397">
        <f t="shared" si="137"/>
        <v>13.211296903641093</v>
      </c>
      <c r="X359" s="153">
        <f t="shared" si="138"/>
        <v>45271</v>
      </c>
      <c r="Y359" s="380">
        <f t="shared" si="139"/>
        <v>12.878170613777405</v>
      </c>
      <c r="Z359" s="380">
        <f t="shared" si="140"/>
        <v>13.01089298721868</v>
      </c>
      <c r="AA359" s="381">
        <f t="shared" si="141"/>
        <v>13.549323276092597</v>
      </c>
      <c r="AB359" s="193">
        <f t="shared" si="142"/>
        <v>45271</v>
      </c>
      <c r="AC359" s="420">
        <f>IF(OR(t&lt;Tnet,NoTnet),'2022'!Resal_s+('2022'!Salim-'2022'!Resal_s)*(1-EXP(('2022'!Tnet_s-t)/'2022'!Tau_j)),Resal_s+(Salim-Resal_s)*(1-EXP((Tnet_s-t)/Tau_j)))*Salcycl</f>
        <v>3.9738537335216005E-2</v>
      </c>
      <c r="AD359" s="227">
        <f>(INDEX(Models!$BJ359:$BT359,,AH359)*(1-AF359)+INDEX(Models!$BJ359:$BT359,,AH359+1)*AF359-ERP_i)*AE359*Ramure*Pc/MaxiM</f>
        <v>5.8186677388085452E-3</v>
      </c>
      <c r="AE359" s="301">
        <f t="shared" si="143"/>
        <v>0.5</v>
      </c>
      <c r="AF359" s="173">
        <f t="shared" si="144"/>
        <v>0.99372202799965426</v>
      </c>
      <c r="AG359" s="172">
        <f t="shared" si="145"/>
        <v>0</v>
      </c>
      <c r="AH359" s="172">
        <f t="shared" si="146"/>
        <v>6</v>
      </c>
      <c r="AI359" s="221">
        <f t="shared" si="147"/>
        <v>0.99372202799965426</v>
      </c>
      <c r="AJ359" s="261" t="b">
        <f t="shared" si="148"/>
        <v>0</v>
      </c>
      <c r="AK359" s="261" t="b">
        <f t="shared" si="14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50"/>
        <v>45272</v>
      </c>
      <c r="B360" s="406">
        <f>'2022'!Wh/'2022'!Env_an*'2023'!Env_an</f>
        <v>6.0493934406651864</v>
      </c>
      <c r="C360" s="385"/>
      <c r="D360" s="388">
        <f t="shared" si="128"/>
        <v>6.1118221303258924</v>
      </c>
      <c r="E360" s="380">
        <f t="shared" si="126"/>
        <v>6.2046166982666229</v>
      </c>
      <c r="F360" s="380">
        <f t="shared" si="129"/>
        <v>6.2073375911783408</v>
      </c>
      <c r="G360" s="110">
        <f t="shared" si="127"/>
        <v>0.35054081785215502</v>
      </c>
      <c r="H360" s="409" t="b">
        <f>Wh_hp&gt;='2022'!Maxi_hp</f>
        <v>0</v>
      </c>
      <c r="I360" s="385">
        <f>IF(H360,Wh_hp,'2022'!Maxi_hp)</f>
        <v>6.2242364696996182</v>
      </c>
      <c r="J360" s="85">
        <f>IF(H360,An,'2022'!An_max)</f>
        <v>2022</v>
      </c>
      <c r="K360" s="193">
        <f t="shared" si="130"/>
        <v>45272</v>
      </c>
      <c r="L360" s="143">
        <f>IF(t&lt;Tvie,1-EXP((T0-t)*PertePVj)+'2022'!Pspv,1-EXP((T0-t)*PertePVj)+Pspv)</f>
        <v>1.0214415329749982E-2</v>
      </c>
      <c r="M360" s="836"/>
      <c r="N360" s="836"/>
      <c r="O360" s="48">
        <f>IF(t&lt;Tnet,'2022'!Resal+('2022'!Salim-'2022'!Resal)*(1-EXP(('2022'!Tnet-t)/('2022'!Tau_j))),Resal+(Salim-Resal)*(1-EXP((Tnet-t)/(Tau_j))))*Salcycl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5.8501441811646907E-3</v>
      </c>
      <c r="Q360" s="301">
        <f t="shared" si="131"/>
        <v>0.5</v>
      </c>
      <c r="R360" s="173">
        <f t="shared" si="132"/>
        <v>0.99373250411656899</v>
      </c>
      <c r="S360" s="802">
        <f t="shared" si="133"/>
        <v>0</v>
      </c>
      <c r="T360" s="172">
        <f t="shared" si="134"/>
        <v>6</v>
      </c>
      <c r="U360" s="247">
        <f t="shared" si="135"/>
        <v>0.99373250411656899</v>
      </c>
      <c r="V360" s="378">
        <f t="shared" si="136"/>
        <v>17.163881106894689</v>
      </c>
      <c r="W360" s="397">
        <f t="shared" si="137"/>
        <v>6.0493934406651864</v>
      </c>
      <c r="X360" s="153">
        <f t="shared" si="138"/>
        <v>45272</v>
      </c>
      <c r="Y360" s="380">
        <f t="shared" si="139"/>
        <v>5.8970158928700949</v>
      </c>
      <c r="Z360" s="380">
        <f t="shared" si="140"/>
        <v>5.9578720727021937</v>
      </c>
      <c r="AA360" s="381">
        <f t="shared" si="141"/>
        <v>6.2046166982666229</v>
      </c>
      <c r="AB360" s="193">
        <f t="shared" si="142"/>
        <v>45272</v>
      </c>
      <c r="AC360" s="420">
        <f>IF(OR(t&lt;Tnet,NoTnet),'2022'!Resal_s+('2022'!Salim-'2022'!Resal_s)*(1-EXP(('2022'!Tnet_s-t)/'2022'!Tau_j)),Resal_s+(Salim-Resal_s)*(1-EXP((Tnet_s-t)/Tau_j)))*Salcycl</f>
        <v>3.9767907924652714E-2</v>
      </c>
      <c r="AD360" s="227">
        <f>(INDEX(Models!$BJ360:$BT360,,AH360)*(1-AF360)+INDEX(Models!$BJ360:$BT360,,AH360+1)*AF360-ERP_i)*AE360*Ramure*Pc/MaxiM</f>
        <v>5.8501441811646907E-3</v>
      </c>
      <c r="AE360" s="301">
        <f t="shared" si="143"/>
        <v>0.5</v>
      </c>
      <c r="AF360" s="173">
        <f t="shared" si="144"/>
        <v>0.99373250411656899</v>
      </c>
      <c r="AG360" s="172">
        <f t="shared" si="145"/>
        <v>0</v>
      </c>
      <c r="AH360" s="172">
        <f t="shared" si="146"/>
        <v>6</v>
      </c>
      <c r="AI360" s="221">
        <f t="shared" si="147"/>
        <v>0.99373250411656899</v>
      </c>
      <c r="AJ360" s="261" t="b">
        <f t="shared" si="148"/>
        <v>0</v>
      </c>
      <c r="AK360" s="261" t="b">
        <f t="shared" si="14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50"/>
        <v>45273</v>
      </c>
      <c r="B361" s="406">
        <f>'2022'!Wh/'2022'!Env_an*'2023'!Env_an</f>
        <v>5.6988733276074806</v>
      </c>
      <c r="C361" s="385"/>
      <c r="D361" s="388">
        <f t="shared" si="128"/>
        <v>5.757763529526656</v>
      </c>
      <c r="E361" s="380">
        <f t="shared" ref="E361:E379" si="151">Wh_pvt/(1-Psa)</f>
        <v>5.845520090158419</v>
      </c>
      <c r="F361" s="380">
        <f t="shared" si="129"/>
        <v>5.8472136444162688</v>
      </c>
      <c r="G361" s="110">
        <f t="shared" ref="G361:G379" si="152">+Wh_hp/MaxiM</f>
        <v>0.33258670182797695</v>
      </c>
      <c r="H361" s="409" t="b">
        <f>Wh_hp&gt;='2022'!Maxi_hp</f>
        <v>0</v>
      </c>
      <c r="I361" s="385">
        <f>IF(H361,Wh_hp,'2022'!Maxi_hp)</f>
        <v>5.8636677565978781</v>
      </c>
      <c r="J361" s="85">
        <f>IF(H361,An,'2022'!An_max)</f>
        <v>2022</v>
      </c>
      <c r="K361" s="193">
        <f t="shared" si="130"/>
        <v>45273</v>
      </c>
      <c r="L361" s="143">
        <f>IF(t&lt;Tvie,1-EXP((T0-t)*PertePVj)+'2022'!Pspv,1-EXP((T0-t)*PertePVj)+Pspv)</f>
        <v>1.0227964663220068E-2</v>
      </c>
      <c r="M361" s="836"/>
      <c r="N361" s="836"/>
      <c r="O361" s="48">
        <f>IF(t&lt;Tnet,'2022'!Resal+('2022'!Salim-'2022'!Resal)*(1-EXP(('2022'!Tnet-t)/('2022'!Tau_j))),Resal+(Salim-Resal)*(1-EXP((Tnet-t)/(Tau_j))))*Salcycl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5.8837610859596113E-3</v>
      </c>
      <c r="Q361" s="301">
        <f t="shared" si="131"/>
        <v>0.5</v>
      </c>
      <c r="R361" s="173">
        <f t="shared" si="132"/>
        <v>0.99374255884694485</v>
      </c>
      <c r="S361" s="802">
        <f t="shared" si="133"/>
        <v>0</v>
      </c>
      <c r="T361" s="172">
        <f t="shared" si="134"/>
        <v>6</v>
      </c>
      <c r="U361" s="247">
        <f t="shared" si="135"/>
        <v>0.99374255884694485</v>
      </c>
      <c r="V361" s="378">
        <f t="shared" si="136"/>
        <v>17.039117441726106</v>
      </c>
      <c r="W361" s="397">
        <f t="shared" si="137"/>
        <v>5.6988733276074806</v>
      </c>
      <c r="X361" s="153">
        <f t="shared" si="138"/>
        <v>45273</v>
      </c>
      <c r="Y361" s="380">
        <f t="shared" si="139"/>
        <v>5.5554732067968873</v>
      </c>
      <c r="Z361" s="380">
        <f t="shared" si="140"/>
        <v>5.612881561062272</v>
      </c>
      <c r="AA361" s="381">
        <f t="shared" si="141"/>
        <v>5.845520090158419</v>
      </c>
      <c r="AB361" s="193">
        <f t="shared" si="142"/>
        <v>45273</v>
      </c>
      <c r="AC361" s="420">
        <f>IF(OR(t&lt;Tnet,NoTnet),'2022'!Resal_s+('2022'!Salim-'2022'!Resal_s)*(1-EXP(('2022'!Tnet_s-t)/'2022'!Tau_j)),Resal_s+(Salim-Resal_s)*(1-EXP((Tnet_s-t)/Tau_j)))*Salcycl</f>
        <v>3.9797746908409398E-2</v>
      </c>
      <c r="AD361" s="227">
        <f>(INDEX(Models!$BJ361:$BT361,,AH361)*(1-AF361)+INDEX(Models!$BJ361:$BT361,,AH361+1)*AF361-ERP_i)*AE361*Ramure*Pc/MaxiM</f>
        <v>5.8837610859596113E-3</v>
      </c>
      <c r="AE361" s="301">
        <f t="shared" si="143"/>
        <v>0.5</v>
      </c>
      <c r="AF361" s="173">
        <f t="shared" si="144"/>
        <v>0.99374255884694485</v>
      </c>
      <c r="AG361" s="172">
        <f t="shared" si="145"/>
        <v>0</v>
      </c>
      <c r="AH361" s="172">
        <f t="shared" si="146"/>
        <v>6</v>
      </c>
      <c r="AI361" s="221">
        <f t="shared" si="147"/>
        <v>0.99374255884694485</v>
      </c>
      <c r="AJ361" s="261" t="b">
        <f t="shared" si="148"/>
        <v>0</v>
      </c>
      <c r="AK361" s="261" t="b">
        <f t="shared" si="14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50"/>
        <v>45274</v>
      </c>
      <c r="B362" s="406">
        <f>'2022'!Wh/'2022'!Env_an*'2023'!Env_an</f>
        <v>12.978024776475658</v>
      </c>
      <c r="C362" s="385"/>
      <c r="D362" s="388">
        <f t="shared" si="128"/>
        <v>13.112314728868309</v>
      </c>
      <c r="E362" s="380">
        <f t="shared" si="151"/>
        <v>13.312935577243074</v>
      </c>
      <c r="F362" s="380">
        <f t="shared" si="129"/>
        <v>13.365705370618045</v>
      </c>
      <c r="G362" s="110">
        <f t="shared" si="152"/>
        <v>0.76539660609919691</v>
      </c>
      <c r="H362" s="409" t="b">
        <f>Wh_hp&gt;='2022'!Maxi_hp</f>
        <v>0</v>
      </c>
      <c r="I362" s="385">
        <f>IF(H362,Wh_hp,'2022'!Maxi_hp)</f>
        <v>13.378981463837262</v>
      </c>
      <c r="J362" s="85">
        <f>IF(H362,An,'2022'!An_max)</f>
        <v>2022</v>
      </c>
      <c r="K362" s="193">
        <f t="shared" si="130"/>
        <v>45274</v>
      </c>
      <c r="L362" s="143">
        <f>IF(t&lt;Tvie,1-EXP((T0-t)*PertePVj)+'2022'!Pspv,1-EXP((T0-t)*PertePVj)+Pspv)</f>
        <v>1.0241513811211078E-2</v>
      </c>
      <c r="M362" s="836"/>
      <c r="N362" s="836"/>
      <c r="O362" s="48">
        <f>IF(t&lt;Tnet,'2022'!Resal+('2022'!Salim-'2022'!Resal)*(1-EXP(('2022'!Tnet-t)/('2022'!Tau_j))),Resal+(Salim-Resal)*(1-EXP((Tnet-t)/(Tau_j))))*Salcycl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5.9190843344592067E-3</v>
      </c>
      <c r="Q362" s="301">
        <f t="shared" si="131"/>
        <v>0.5</v>
      </c>
      <c r="R362" s="173">
        <f t="shared" si="132"/>
        <v>0.99375220912451423</v>
      </c>
      <c r="S362" s="802">
        <f t="shared" si="133"/>
        <v>0</v>
      </c>
      <c r="T362" s="172">
        <f t="shared" si="134"/>
        <v>6</v>
      </c>
      <c r="U362" s="247">
        <f t="shared" si="135"/>
        <v>0.99375220912451423</v>
      </c>
      <c r="V362" s="378">
        <f t="shared" si="136"/>
        <v>16.922396092976964</v>
      </c>
      <c r="W362" s="397">
        <f t="shared" si="137"/>
        <v>12.978024776475658</v>
      </c>
      <c r="X362" s="153">
        <f t="shared" si="138"/>
        <v>45274</v>
      </c>
      <c r="Y362" s="380">
        <f t="shared" si="139"/>
        <v>12.651793285483176</v>
      </c>
      <c r="Z362" s="380">
        <f t="shared" si="140"/>
        <v>12.782707561519146</v>
      </c>
      <c r="AA362" s="381">
        <f t="shared" si="141"/>
        <v>13.312935577243074</v>
      </c>
      <c r="AB362" s="193">
        <f t="shared" si="142"/>
        <v>45274</v>
      </c>
      <c r="AC362" s="420">
        <f>IF(OR(t&lt;Tnet,NoTnet),'2022'!Resal_s+('2022'!Salim-'2022'!Resal_s)*(1-EXP(('2022'!Tnet_s-t)/'2022'!Tau_j)),Resal_s+(Salim-Resal_s)*(1-EXP((Tnet_s-t)/Tau_j)))*Salcycl</f>
        <v>3.9828031364494206E-2</v>
      </c>
      <c r="AD362" s="227">
        <f>(INDEX(Models!$BJ362:$BT362,,AH362)*(1-AF362)+INDEX(Models!$BJ362:$BT362,,AH362+1)*AF362-ERP_i)*AE362*Ramure*Pc/MaxiM</f>
        <v>5.9190843344592067E-3</v>
      </c>
      <c r="AE362" s="301">
        <f t="shared" si="143"/>
        <v>0.5</v>
      </c>
      <c r="AF362" s="173">
        <f t="shared" si="144"/>
        <v>0.99375220912451423</v>
      </c>
      <c r="AG362" s="172">
        <f t="shared" si="145"/>
        <v>0</v>
      </c>
      <c r="AH362" s="172">
        <f t="shared" si="146"/>
        <v>6</v>
      </c>
      <c r="AI362" s="221">
        <f t="shared" si="147"/>
        <v>0.99375220912451423</v>
      </c>
      <c r="AJ362" s="261" t="b">
        <f t="shared" si="148"/>
        <v>0</v>
      </c>
      <c r="AK362" s="261" t="b">
        <f t="shared" si="149"/>
        <v>0</v>
      </c>
      <c r="AL362" s="261"/>
      <c r="AM362" s="261"/>
      <c r="AN362" s="75"/>
    </row>
    <row r="363" spans="1:40" s="6" customFormat="1" ht="11.25" x14ac:dyDescent="0.2">
      <c r="A363" s="56">
        <f t="shared" si="150"/>
        <v>45275</v>
      </c>
      <c r="B363" s="406">
        <f>'2022'!Wh/'2022'!Env_an*'2023'!Env_an</f>
        <v>6.9317658793961607</v>
      </c>
      <c r="C363" s="385"/>
      <c r="D363" s="388">
        <f t="shared" si="128"/>
        <v>7.00358811515843</v>
      </c>
      <c r="E363" s="380">
        <f t="shared" si="151"/>
        <v>7.1111565951060571</v>
      </c>
      <c r="F363" s="380">
        <f t="shared" si="129"/>
        <v>7.1179539485724863</v>
      </c>
      <c r="G363" s="110">
        <f t="shared" si="152"/>
        <v>0.41017794997186274</v>
      </c>
      <c r="H363" s="409" t="b">
        <f>Wh_hp&gt;='2022'!Maxi_hp</f>
        <v>0</v>
      </c>
      <c r="I363" s="385">
        <f>IF(H363,Wh_hp,'2022'!Maxi_hp)</f>
        <v>7.1358666165073297</v>
      </c>
      <c r="J363" s="85">
        <f>IF(H363,An,'2022'!An_max)</f>
        <v>2022</v>
      </c>
      <c r="K363" s="193">
        <f t="shared" si="130"/>
        <v>45275</v>
      </c>
      <c r="L363" s="143">
        <f>IF(t&lt;Tvie,1-EXP((T0-t)*PertePVj)+'2022'!Pspv,1-EXP((T0-t)*PertePVj)+Pspv)</f>
        <v>1.0255062773725787E-2</v>
      </c>
      <c r="M363" s="836"/>
      <c r="N363" s="836"/>
      <c r="O363" s="48">
        <f>IF(t&lt;Tnet,'2022'!Resal+('2022'!Salim-'2022'!Resal)*(1-EXP(('2022'!Tnet-t)/('2022'!Tau_j))),Resal+(Salim-Resal)*(1-EXP((Tnet-t)/(Tau_j))))*Salcycl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5.9556557645562835E-3</v>
      </c>
      <c r="Q363" s="301">
        <f t="shared" si="131"/>
        <v>0.5</v>
      </c>
      <c r="R363" s="173">
        <f t="shared" si="132"/>
        <v>0.99376147120377079</v>
      </c>
      <c r="S363" s="802">
        <f t="shared" si="133"/>
        <v>0</v>
      </c>
      <c r="T363" s="172">
        <f t="shared" si="134"/>
        <v>6</v>
      </c>
      <c r="U363" s="247">
        <f t="shared" si="135"/>
        <v>0.99376147120377079</v>
      </c>
      <c r="V363" s="378">
        <f t="shared" si="136"/>
        <v>16.814821679107443</v>
      </c>
      <c r="W363" s="397">
        <f t="shared" si="137"/>
        <v>6.9317658793961607</v>
      </c>
      <c r="X363" s="153">
        <f t="shared" si="138"/>
        <v>45275</v>
      </c>
      <c r="Y363" s="380">
        <f t="shared" si="139"/>
        <v>6.7576962240053335</v>
      </c>
      <c r="Z363" s="380">
        <f t="shared" si="140"/>
        <v>6.8277148685837608</v>
      </c>
      <c r="AA363" s="381">
        <f t="shared" si="141"/>
        <v>7.1111565951060571</v>
      </c>
      <c r="AB363" s="193">
        <f t="shared" si="142"/>
        <v>45275</v>
      </c>
      <c r="AC363" s="420">
        <f>IF(OR(t&lt;Tnet,NoTnet),'2022'!Resal_s+('2022'!Salim-'2022'!Resal_s)*(1-EXP(('2022'!Tnet_s-t)/'2022'!Tau_j)),Resal_s+(Salim-Resal_s)*(1-EXP((Tnet_s-t)/Tau_j)))*Salcycl</f>
        <v>3.9858737848265408E-2</v>
      </c>
      <c r="AD363" s="227">
        <f>(INDEX(Models!$BJ363:$BT363,,AH363)*(1-AF363)+INDEX(Models!$BJ363:$BT363,,AH363+1)*AF363-ERP_i)*AE363*Ramure*Pc/MaxiM</f>
        <v>5.9556557645562835E-3</v>
      </c>
      <c r="AE363" s="301">
        <f t="shared" si="143"/>
        <v>0.5</v>
      </c>
      <c r="AF363" s="173">
        <f t="shared" si="144"/>
        <v>0.99376147120377079</v>
      </c>
      <c r="AG363" s="172">
        <f t="shared" si="145"/>
        <v>0</v>
      </c>
      <c r="AH363" s="172">
        <f t="shared" si="146"/>
        <v>6</v>
      </c>
      <c r="AI363" s="221">
        <f t="shared" si="147"/>
        <v>0.99376147120377079</v>
      </c>
      <c r="AJ363" s="261" t="b">
        <f t="shared" si="148"/>
        <v>0</v>
      </c>
      <c r="AK363" s="261" t="b">
        <f t="shared" si="14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50"/>
        <v>45276</v>
      </c>
      <c r="B364" s="406">
        <f>'2022'!Wh/'2022'!Env_an*'2023'!Env_an</f>
        <v>5.8175164450516794</v>
      </c>
      <c r="C364" s="385"/>
      <c r="D364" s="388">
        <f t="shared" si="128"/>
        <v>5.87787405041977</v>
      </c>
      <c r="E364" s="380">
        <f t="shared" si="151"/>
        <v>5.9684992662620884</v>
      </c>
      <c r="F364" s="380">
        <f t="shared" si="129"/>
        <v>5.9709524890879537</v>
      </c>
      <c r="G364" s="110">
        <f t="shared" si="152"/>
        <v>0.34604632718956152</v>
      </c>
      <c r="H364" s="409" t="b">
        <f>Wh_hp&gt;='2022'!Maxi_hp</f>
        <v>0</v>
      </c>
      <c r="I364" s="385">
        <f>IF(H364,Wh_hp,'2022'!Maxi_hp)</f>
        <v>5.9877220322580982</v>
      </c>
      <c r="J364" s="85">
        <f>IF(H364,An,'2022'!An_max)</f>
        <v>2022</v>
      </c>
      <c r="K364" s="193">
        <f t="shared" si="130"/>
        <v>45276</v>
      </c>
      <c r="L364" s="143">
        <f>IF(t&lt;Tvie,1-EXP((T0-t)*PertePVj)+'2022'!Pspv,1-EXP((T0-t)*PertePVj)+Pspv)</f>
        <v>1.0268611550766416E-2</v>
      </c>
      <c r="M364" s="836"/>
      <c r="N364" s="836"/>
      <c r="O364" s="48">
        <f>IF(t&lt;Tnet,'2022'!Resal+('2022'!Salim-'2022'!Resal)*(1-EXP(('2022'!Tnet-t)/('2022'!Tau_j))),Resal+(Salim-Resal)*(1-EXP((Tnet-t)/(Tau_j))))*Salcycl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5.992993870122078E-3</v>
      </c>
      <c r="Q364" s="301">
        <f t="shared" si="131"/>
        <v>0.5</v>
      </c>
      <c r="R364" s="173">
        <f t="shared" si="132"/>
        <v>0.99377036068711599</v>
      </c>
      <c r="S364" s="802">
        <f t="shared" si="133"/>
        <v>0</v>
      </c>
      <c r="T364" s="172">
        <f t="shared" si="134"/>
        <v>6</v>
      </c>
      <c r="U364" s="247">
        <f t="shared" si="135"/>
        <v>0.99377036068711599</v>
      </c>
      <c r="V364" s="378">
        <f t="shared" si="136"/>
        <v>16.717498451728233</v>
      </c>
      <c r="W364" s="397">
        <f t="shared" si="137"/>
        <v>5.8175164450516794</v>
      </c>
      <c r="X364" s="153">
        <f t="shared" si="138"/>
        <v>45276</v>
      </c>
      <c r="Y364" s="380">
        <f t="shared" si="139"/>
        <v>5.6715733464142231</v>
      </c>
      <c r="Z364" s="380">
        <f t="shared" si="140"/>
        <v>5.7304167702519377</v>
      </c>
      <c r="AA364" s="381">
        <f t="shared" si="141"/>
        <v>5.9684992662620884</v>
      </c>
      <c r="AB364" s="193">
        <f t="shared" si="142"/>
        <v>45276</v>
      </c>
      <c r="AC364" s="420">
        <f>IF(OR(t&lt;Tnet,NoTnet),'2022'!Resal_s+('2022'!Salim-'2022'!Resal_s)*(1-EXP(('2022'!Tnet_s-t)/'2022'!Tau_j)),Resal_s+(Salim-Resal_s)*(1-EXP((Tnet_s-t)/Tau_j)))*Salcycl</f>
        <v>3.9889842553211152E-2</v>
      </c>
      <c r="AD364" s="227">
        <f>(INDEX(Models!$BJ364:$BT364,,AH364)*(1-AF364)+INDEX(Models!$BJ364:$BT364,,AH364+1)*AF364-ERP_i)*AE364*Ramure*Pc/MaxiM</f>
        <v>5.992993870122078E-3</v>
      </c>
      <c r="AE364" s="301">
        <f t="shared" si="143"/>
        <v>0.5</v>
      </c>
      <c r="AF364" s="173">
        <f t="shared" si="144"/>
        <v>0.99377036068711599</v>
      </c>
      <c r="AG364" s="172">
        <f t="shared" si="145"/>
        <v>0</v>
      </c>
      <c r="AH364" s="172">
        <f t="shared" si="146"/>
        <v>6</v>
      </c>
      <c r="AI364" s="221">
        <f t="shared" si="147"/>
        <v>0.99377036068711599</v>
      </c>
      <c r="AJ364" s="261" t="b">
        <f t="shared" si="148"/>
        <v>0</v>
      </c>
      <c r="AK364" s="261" t="b">
        <f t="shared" si="14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50"/>
        <v>45277</v>
      </c>
      <c r="B365" s="406">
        <f>'2022'!Wh/'2022'!Env_an*'2023'!Env_an</f>
        <v>3.7564573921024951</v>
      </c>
      <c r="C365" s="385"/>
      <c r="D365" s="388">
        <f t="shared" si="128"/>
        <v>3.7954831577479982</v>
      </c>
      <c r="E365" s="380">
        <f t="shared" si="151"/>
        <v>3.8542262213467806</v>
      </c>
      <c r="F365" s="380">
        <f t="shared" si="129"/>
        <v>3.8542262213467806</v>
      </c>
      <c r="G365" s="110">
        <f t="shared" si="152"/>
        <v>0.22450151299099877</v>
      </c>
      <c r="H365" s="409" t="b">
        <f>Wh_hp&gt;='2022'!Maxi_hp</f>
        <v>0</v>
      </c>
      <c r="I365" s="385">
        <f>IF(H365,Wh_hp,'2022'!Maxi_hp)</f>
        <v>3.8659187328041593</v>
      </c>
      <c r="J365" s="85">
        <f>IF(H365,An,'2022'!An_max)</f>
        <v>2022</v>
      </c>
      <c r="K365" s="193">
        <f t="shared" si="130"/>
        <v>45277</v>
      </c>
      <c r="L365" s="143">
        <f>IF(t&lt;Tvie,1-EXP((T0-t)*PertePVj)+'2022'!Pspv,1-EXP((T0-t)*PertePVj)+Pspv)</f>
        <v>1.0282160142335739E-2</v>
      </c>
      <c r="M365" s="836"/>
      <c r="N365" s="836"/>
      <c r="O365" s="48">
        <f>IF(t&lt;Tnet,'2022'!Resal+('2022'!Salim-'2022'!Resal)*(1-EXP(('2022'!Tnet-t)/('2022'!Tau_j))),Resal+(Salim-Resal)*(1-EXP((Tnet-t)/(Tau_j))))*Salcycl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6.0305953195200889E-3</v>
      </c>
      <c r="Q365" s="301">
        <f t="shared" si="131"/>
        <v>0.5</v>
      </c>
      <c r="R365" s="173">
        <f t="shared" si="132"/>
        <v>0.99377889255092833</v>
      </c>
      <c r="S365" s="802">
        <f t="shared" si="133"/>
        <v>0</v>
      </c>
      <c r="T365" s="172">
        <f t="shared" si="134"/>
        <v>6</v>
      </c>
      <c r="U365" s="247">
        <f t="shared" si="135"/>
        <v>0.99377889255092833</v>
      </c>
      <c r="V365" s="378">
        <f t="shared" si="136"/>
        <v>16.631530309042546</v>
      </c>
      <c r="W365" s="397">
        <f t="shared" si="137"/>
        <v>3.7564573921024951</v>
      </c>
      <c r="X365" s="153">
        <f t="shared" si="138"/>
        <v>45277</v>
      </c>
      <c r="Y365" s="380">
        <f t="shared" si="139"/>
        <v>3.662312718954142</v>
      </c>
      <c r="Z365" s="380">
        <f t="shared" si="140"/>
        <v>3.700360417349692</v>
      </c>
      <c r="AA365" s="381">
        <f t="shared" si="141"/>
        <v>3.8542262213467806</v>
      </c>
      <c r="AB365" s="193">
        <f t="shared" si="142"/>
        <v>45277</v>
      </c>
      <c r="AC365" s="420">
        <f>IF(OR(t&lt;Tnet,NoTnet),'2022'!Resal_s+('2022'!Salim-'2022'!Resal_s)*(1-EXP(('2022'!Tnet_s-t)/'2022'!Tau_j)),Resal_s+(Salim-Resal_s)*(1-EXP((Tnet_s-t)/Tau_j)))*Salcycl</f>
        <v>3.9921321469118004E-2</v>
      </c>
      <c r="AD365" s="227">
        <f>(INDEX(Models!$BJ365:$BT365,,AH365)*(1-AF365)+INDEX(Models!$BJ365:$BT365,,AH365+1)*AF365-ERP_i)*AE365*Ramure*Pc/MaxiM</f>
        <v>6.0305953195200889E-3</v>
      </c>
      <c r="AE365" s="301">
        <f t="shared" si="143"/>
        <v>0.5</v>
      </c>
      <c r="AF365" s="173">
        <f t="shared" si="144"/>
        <v>0.99377889255092833</v>
      </c>
      <c r="AG365" s="172">
        <f t="shared" si="145"/>
        <v>0</v>
      </c>
      <c r="AH365" s="172">
        <f t="shared" si="146"/>
        <v>6</v>
      </c>
      <c r="AI365" s="221">
        <f t="shared" si="147"/>
        <v>0.99377889255092833</v>
      </c>
      <c r="AJ365" s="261" t="b">
        <f t="shared" si="148"/>
        <v>0</v>
      </c>
      <c r="AK365" s="261" t="b">
        <f t="shared" si="14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50"/>
        <v>45278</v>
      </c>
      <c r="B366" s="406">
        <f>'2022'!Wh/'2022'!Env_an*'2023'!Env_an</f>
        <v>15.117513240378694</v>
      </c>
      <c r="C366" s="385"/>
      <c r="D366" s="388">
        <f t="shared" si="128"/>
        <v>15.274777901797696</v>
      </c>
      <c r="E366" s="380">
        <f t="shared" si="151"/>
        <v>15.512090814948534</v>
      </c>
      <c r="F366" s="380">
        <f t="shared" si="129"/>
        <v>15.594928302384629</v>
      </c>
      <c r="G366" s="110">
        <f t="shared" si="152"/>
        <v>0.91230841055589973</v>
      </c>
      <c r="H366" s="409" t="b">
        <f>Wh_hp&gt;='2022'!Maxi_hp</f>
        <v>0</v>
      </c>
      <c r="I366" s="385">
        <f>IF(H366,Wh_hp,'2022'!Maxi_hp)</f>
        <v>15.600858513413073</v>
      </c>
      <c r="J366" s="85">
        <f>IF(H366,An,'2022'!An_max)</f>
        <v>2022</v>
      </c>
      <c r="K366" s="193">
        <f t="shared" si="130"/>
        <v>45278</v>
      </c>
      <c r="L366" s="143">
        <f>IF(t&lt;Tvie,1-EXP((T0-t)*PertePVj)+'2022'!Pspv,1-EXP((T0-t)*PertePVj)+Pspv)</f>
        <v>1.02957085484362E-2</v>
      </c>
      <c r="M366" s="836"/>
      <c r="N366" s="836"/>
      <c r="O366" s="48">
        <f>IF(t&lt;Tnet,'2022'!Resal+('2022'!Salim-'2022'!Resal)*(1-EXP(('2022'!Tnet-t)/('2022'!Tau_j))),Resal+(Salim-Resal)*(1-EXP((Tnet-t)/(Tau_j))))*Salcycl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6.0656987107456555E-3</v>
      </c>
      <c r="Q366" s="301">
        <f t="shared" si="131"/>
        <v>0.5</v>
      </c>
      <c r="R366" s="173">
        <f t="shared" si="132"/>
        <v>0.99378708117059766</v>
      </c>
      <c r="S366" s="802">
        <f t="shared" si="133"/>
        <v>0</v>
      </c>
      <c r="T366" s="172">
        <f t="shared" si="134"/>
        <v>6</v>
      </c>
      <c r="U366" s="247">
        <f t="shared" si="135"/>
        <v>0.99378708117059766</v>
      </c>
      <c r="V366" s="378">
        <f t="shared" si="136"/>
        <v>16.558058073099748</v>
      </c>
      <c r="W366" s="397">
        <f t="shared" si="137"/>
        <v>15.117513240378694</v>
      </c>
      <c r="X366" s="153">
        <f t="shared" si="138"/>
        <v>45278</v>
      </c>
      <c r="Y366" s="380">
        <f t="shared" si="139"/>
        <v>14.73900678588398</v>
      </c>
      <c r="Z366" s="380">
        <f t="shared" si="140"/>
        <v>14.892333915483793</v>
      </c>
      <c r="AA366" s="381">
        <f t="shared" si="141"/>
        <v>15.512090814948534</v>
      </c>
      <c r="AB366" s="193">
        <f t="shared" si="142"/>
        <v>45278</v>
      </c>
      <c r="AC366" s="420">
        <f>IF(OR(t&lt;Tnet,NoTnet),'2022'!Resal_s+('2022'!Salim-'2022'!Resal_s)*(1-EXP(('2022'!Tnet_s-t)/'2022'!Tau_j)),Resal_s+(Salim-Resal_s)*(1-EXP((Tnet_s-t)/Tau_j)))*Salcycl</f>
        <v>3.9953150536451175E-2</v>
      </c>
      <c r="AD366" s="227">
        <f>(INDEX(Models!$BJ366:$BT366,,AH366)*(1-AF366)+INDEX(Models!$BJ366:$BT366,,AH366+1)*AF366-ERP_i)*AE366*Ramure*Pc/MaxiM</f>
        <v>6.0656987107456555E-3</v>
      </c>
      <c r="AE366" s="301">
        <f t="shared" si="143"/>
        <v>0.5</v>
      </c>
      <c r="AF366" s="173">
        <f t="shared" si="144"/>
        <v>0.99378708117059766</v>
      </c>
      <c r="AG366" s="172">
        <f t="shared" si="145"/>
        <v>0</v>
      </c>
      <c r="AH366" s="172">
        <f t="shared" si="146"/>
        <v>6</v>
      </c>
      <c r="AI366" s="221">
        <f t="shared" si="147"/>
        <v>0.99378708117059766</v>
      </c>
      <c r="AJ366" s="261" t="b">
        <f t="shared" si="148"/>
        <v>0</v>
      </c>
      <c r="AK366" s="261" t="b">
        <f t="shared" si="14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50"/>
        <v>45279</v>
      </c>
      <c r="B367" s="406">
        <f>'2022'!Wh/'2022'!Env_an*'2023'!Env_an</f>
        <v>14.474617664523528</v>
      </c>
      <c r="C367" s="385"/>
      <c r="D367" s="388">
        <f t="shared" si="128"/>
        <v>14.625394612937276</v>
      </c>
      <c r="E367" s="380">
        <f t="shared" si="151"/>
        <v>14.853485006373216</v>
      </c>
      <c r="F367" s="380">
        <f t="shared" si="129"/>
        <v>14.928498597729124</v>
      </c>
      <c r="G367" s="110">
        <f t="shared" si="152"/>
        <v>0.87640002574906528</v>
      </c>
      <c r="H367" s="409" t="b">
        <f>Wh_hp&gt;='2022'!Maxi_hp</f>
        <v>0</v>
      </c>
      <c r="I367" s="385">
        <f>IF(H367,Wh_hp,'2022'!Maxi_hp)</f>
        <v>14.936536539370893</v>
      </c>
      <c r="J367" s="85">
        <f>IF(H367,An,'2022'!An_max)</f>
        <v>2022</v>
      </c>
      <c r="K367" s="193">
        <f t="shared" si="130"/>
        <v>45279</v>
      </c>
      <c r="L367" s="143">
        <f>IF(t&lt;Tvie,1-EXP((T0-t)*PertePVj)+'2022'!Pspv,1-EXP((T0-t)*PertePVj)+Pspv)</f>
        <v>1.0309256769070352E-2</v>
      </c>
      <c r="M367" s="836"/>
      <c r="N367" s="836"/>
      <c r="O367" s="48">
        <f>IF(t&lt;Tnet,'2022'!Resal+('2022'!Salim-'2022'!Resal)*(1-EXP(('2022'!Tnet-t)/('2022'!Tau_j))),Resal+(Salim-Resal)*(1-EXP((Tnet-t)/(Tau_j))))*Salcycl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6.0924109885950959E-3</v>
      </c>
      <c r="Q367" s="301">
        <f t="shared" si="131"/>
        <v>0.5</v>
      </c>
      <c r="R367" s="173">
        <f t="shared" si="132"/>
        <v>0.99379494034456384</v>
      </c>
      <c r="S367" s="802">
        <f t="shared" si="133"/>
        <v>0</v>
      </c>
      <c r="T367" s="172">
        <f t="shared" si="134"/>
        <v>6</v>
      </c>
      <c r="U367" s="247">
        <f t="shared" si="135"/>
        <v>0.99379494034456384</v>
      </c>
      <c r="V367" s="378">
        <f t="shared" si="136"/>
        <v>16.498273374718931</v>
      </c>
      <c r="W367" s="397">
        <f t="shared" si="137"/>
        <v>14.474617664523528</v>
      </c>
      <c r="X367" s="153">
        <f t="shared" si="138"/>
        <v>45279</v>
      </c>
      <c r="Y367" s="380">
        <f t="shared" si="139"/>
        <v>14.112558360947533</v>
      </c>
      <c r="Z367" s="380">
        <f t="shared" si="140"/>
        <v>14.259563866259763</v>
      </c>
      <c r="AA367" s="381">
        <f t="shared" si="141"/>
        <v>14.853485006373216</v>
      </c>
      <c r="AB367" s="193">
        <f t="shared" si="142"/>
        <v>45279</v>
      </c>
      <c r="AC367" s="420">
        <f>IF(OR(t&lt;Tnet,NoTnet),'2022'!Resal_s+('2022'!Salim-'2022'!Resal_s)*(1-EXP(('2022'!Tnet_s-t)/'2022'!Tau_j)),Resal_s+(Salim-Resal_s)*(1-EXP((Tnet_s-t)/Tau_j)))*Salcycl</f>
        <v>3.9985305795819527E-2</v>
      </c>
      <c r="AD367" s="227">
        <f>(INDEX(Models!$BJ367:$BT367,,AH367)*(1-AF367)+INDEX(Models!$BJ367:$BT367,,AH367+1)*AF367-ERP_i)*AE367*Ramure*Pc/MaxiM</f>
        <v>6.0924109885950959E-3</v>
      </c>
      <c r="AE367" s="301">
        <f t="shared" si="143"/>
        <v>0.5</v>
      </c>
      <c r="AF367" s="173">
        <f t="shared" si="144"/>
        <v>0.99379494034456384</v>
      </c>
      <c r="AG367" s="172">
        <f t="shared" si="145"/>
        <v>0</v>
      </c>
      <c r="AH367" s="172">
        <f t="shared" si="146"/>
        <v>6</v>
      </c>
      <c r="AI367" s="221">
        <f t="shared" si="147"/>
        <v>0.99379494034456384</v>
      </c>
      <c r="AJ367" s="261" t="b">
        <f t="shared" si="148"/>
        <v>0</v>
      </c>
      <c r="AK367" s="261" t="b">
        <f t="shared" si="14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50"/>
        <v>45280</v>
      </c>
      <c r="B368" s="406">
        <f>'2022'!Wh/'2022'!Env_an*'2023'!Env_an</f>
        <v>4.3697324615122257</v>
      </c>
      <c r="C368" s="385"/>
      <c r="D368" s="388">
        <f t="shared" si="128"/>
        <v>4.4153108536040255</v>
      </c>
      <c r="E368" s="380">
        <f t="shared" si="151"/>
        <v>4.4844317580819819</v>
      </c>
      <c r="F368" s="380">
        <f t="shared" si="129"/>
        <v>4.4844317580819819</v>
      </c>
      <c r="G368" s="110">
        <f t="shared" si="152"/>
        <v>0.26396153890483032</v>
      </c>
      <c r="H368" s="409" t="b">
        <f>Wh_hp&gt;='2022'!Maxi_hp</f>
        <v>0</v>
      </c>
      <c r="I368" s="385">
        <f>IF(H368,Wh_hp,'2022'!Maxi_hp)</f>
        <v>4.4982170424996788</v>
      </c>
      <c r="J368" s="85">
        <f>IF(H368,An,'2022'!An_max)</f>
        <v>2022</v>
      </c>
      <c r="K368" s="193">
        <f t="shared" si="130"/>
        <v>45280</v>
      </c>
      <c r="L368" s="143">
        <f>IF(t&lt;Tvie,1-EXP((T0-t)*PertePVj)+'2022'!Pspv,1-EXP((T0-t)*PertePVj)+Pspv)</f>
        <v>1.0322804804240748E-2</v>
      </c>
      <c r="M368" s="836"/>
      <c r="N368" s="836"/>
      <c r="O368" s="48">
        <f>IF(t&lt;Tnet,'2022'!Resal+('2022'!Salim-'2022'!Resal)*(1-EXP(('2022'!Tnet-t)/('2022'!Tau_j))),Resal+(Salim-Resal)*(1-EXP((Tnet-t)/(Tau_j))))*Salcycl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6.1101540498766493E-3</v>
      </c>
      <c r="Q368" s="301">
        <f t="shared" si="131"/>
        <v>0.5</v>
      </c>
      <c r="R368" s="173">
        <f t="shared" si="132"/>
        <v>0.99380248331740217</v>
      </c>
      <c r="S368" s="802">
        <f t="shared" si="133"/>
        <v>0</v>
      </c>
      <c r="T368" s="172">
        <f t="shared" si="134"/>
        <v>6</v>
      </c>
      <c r="U368" s="247">
        <f t="shared" si="135"/>
        <v>0.99380248331740217</v>
      </c>
      <c r="V368" s="378">
        <f t="shared" si="136"/>
        <v>16.453278538361197</v>
      </c>
      <c r="W368" s="397">
        <f t="shared" si="137"/>
        <v>4.3697324615122257</v>
      </c>
      <c r="X368" s="153">
        <f t="shared" si="138"/>
        <v>45280</v>
      </c>
      <c r="Y368" s="380">
        <f t="shared" si="139"/>
        <v>4.2605354135732094</v>
      </c>
      <c r="Z368" s="380">
        <f t="shared" si="140"/>
        <v>4.3049748284140978</v>
      </c>
      <c r="AA368" s="381">
        <f t="shared" si="141"/>
        <v>4.4844317580819819</v>
      </c>
      <c r="AB368" s="193">
        <f t="shared" si="142"/>
        <v>45280</v>
      </c>
      <c r="AC368" s="420">
        <f>IF(OR(t&lt;Tnet,NoTnet),'2022'!Resal_s+('2022'!Salim-'2022'!Resal_s)*(1-EXP(('2022'!Tnet_s-t)/'2022'!Tau_j)),Resal_s+(Salim-Resal_s)*(1-EXP((Tnet_s-t)/Tau_j)))*Salcycl</f>
        <v>4.0017763531457806E-2</v>
      </c>
      <c r="AD368" s="227">
        <f>(INDEX(Models!$BJ368:$BT368,,AH368)*(1-AF368)+INDEX(Models!$BJ368:$BT368,,AH368+1)*AF368-ERP_i)*AE368*Ramure*Pc/MaxiM</f>
        <v>6.1101540498766493E-3</v>
      </c>
      <c r="AE368" s="301">
        <f t="shared" si="143"/>
        <v>0.5</v>
      </c>
      <c r="AF368" s="173">
        <f t="shared" si="144"/>
        <v>0.99380248331740217</v>
      </c>
      <c r="AG368" s="172">
        <f t="shared" si="145"/>
        <v>0</v>
      </c>
      <c r="AH368" s="172">
        <f t="shared" si="146"/>
        <v>6</v>
      </c>
      <c r="AI368" s="221">
        <f t="shared" si="147"/>
        <v>0.99380248331740217</v>
      </c>
      <c r="AJ368" s="261" t="b">
        <f t="shared" si="148"/>
        <v>0</v>
      </c>
      <c r="AK368" s="261" t="b">
        <f t="shared" si="14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50"/>
        <v>45281</v>
      </c>
      <c r="B369" s="406">
        <f>'2022'!Wh/'2022'!Env_an*'2023'!Env_an</f>
        <v>15.496040050065378</v>
      </c>
      <c r="C369" s="385"/>
      <c r="D369" s="388">
        <f t="shared" si="128"/>
        <v>15.657885476162152</v>
      </c>
      <c r="E369" s="380">
        <f t="shared" si="151"/>
        <v>15.903936716621647</v>
      </c>
      <c r="F369" s="380">
        <f t="shared" si="129"/>
        <v>15.993893582153174</v>
      </c>
      <c r="G369" s="110">
        <f t="shared" si="152"/>
        <v>0.9430210166145343</v>
      </c>
      <c r="H369" s="409" t="b">
        <f>Wh_hp&gt;='2022'!Maxi_hp</f>
        <v>0</v>
      </c>
      <c r="I369" s="385">
        <f>IF(H369,Wh_hp,'2022'!Maxi_hp)</f>
        <v>15.99787926279242</v>
      </c>
      <c r="J369" s="85">
        <f>IF(H369,An,'2022'!An_max)</f>
        <v>2022</v>
      </c>
      <c r="K369" s="193">
        <f t="shared" si="130"/>
        <v>45281</v>
      </c>
      <c r="L369" s="143">
        <f>IF(t&lt;Tvie,1-EXP((T0-t)*PertePVj)+'2022'!Pspv,1-EXP((T0-t)*PertePVj)+Pspv)</f>
        <v>1.0336352653949943E-2</v>
      </c>
      <c r="M369" s="836"/>
      <c r="N369" s="836"/>
      <c r="O369" s="48">
        <f>IF(t&lt;Tnet,'2022'!Resal+('2022'!Salim-'2022'!Resal)*(1-EXP(('2022'!Tnet-t)/('2022'!Tau_j))),Resal+(Salim-Resal)*(1-EXP((Tnet-t)/(Tau_j))))*Salcycl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6.1183817648644539E-3</v>
      </c>
      <c r="Q369" s="301">
        <f t="shared" si="131"/>
        <v>0.5</v>
      </c>
      <c r="R369" s="173">
        <f t="shared" si="132"/>
        <v>0.99380972280198909</v>
      </c>
      <c r="S369" s="802">
        <f t="shared" si="133"/>
        <v>0</v>
      </c>
      <c r="T369" s="172">
        <f t="shared" si="134"/>
        <v>6</v>
      </c>
      <c r="U369" s="247">
        <f t="shared" si="135"/>
        <v>0.99380972280198909</v>
      </c>
      <c r="V369" s="378">
        <f t="shared" si="136"/>
        <v>16.424175610409417</v>
      </c>
      <c r="W369" s="397">
        <f t="shared" si="137"/>
        <v>15.496040050065378</v>
      </c>
      <c r="X369" s="153">
        <f t="shared" si="138"/>
        <v>45281</v>
      </c>
      <c r="Y369" s="380">
        <f t="shared" si="139"/>
        <v>15.109171243814883</v>
      </c>
      <c r="Z369" s="380">
        <f t="shared" si="140"/>
        <v>15.266976092668123</v>
      </c>
      <c r="AA369" s="381">
        <f t="shared" si="141"/>
        <v>15.903936716621647</v>
      </c>
      <c r="AB369" s="193">
        <f t="shared" si="142"/>
        <v>45281</v>
      </c>
      <c r="AC369" s="420">
        <f>IF(OR(t&lt;Tnet,NoTnet),'2022'!Resal_s+('2022'!Salim-'2022'!Resal_s)*(1-EXP(('2022'!Tnet_s-t)/'2022'!Tau_j)),Resal_s+(Salim-Resal_s)*(1-EXP((Tnet_s-t)/Tau_j)))*Salcycl</f>
        <v>4.0050500407727334E-2</v>
      </c>
      <c r="AD369" s="227">
        <f>(INDEX(Models!$BJ369:$BT369,,AH369)*(1-AF369)+INDEX(Models!$BJ369:$BT369,,AH369+1)*AF369-ERP_i)*AE369*Ramure*Pc/MaxiM</f>
        <v>6.1183817648644539E-3</v>
      </c>
      <c r="AE369" s="301">
        <f t="shared" si="143"/>
        <v>0.5</v>
      </c>
      <c r="AF369" s="173">
        <f t="shared" si="144"/>
        <v>0.99380972280198909</v>
      </c>
      <c r="AG369" s="172">
        <f t="shared" si="145"/>
        <v>0</v>
      </c>
      <c r="AH369" s="172">
        <f t="shared" si="146"/>
        <v>6</v>
      </c>
      <c r="AI369" s="221">
        <f t="shared" si="147"/>
        <v>0.99380972280198909</v>
      </c>
      <c r="AJ369" s="261" t="b">
        <f t="shared" si="148"/>
        <v>0</v>
      </c>
      <c r="AK369" s="261" t="b">
        <f t="shared" si="14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50"/>
        <v>45282</v>
      </c>
      <c r="B370" s="406">
        <f>'2022'!Wh/'2022'!Env_an*'2023'!Env_an</f>
        <v>15.425865106566301</v>
      </c>
      <c r="C370" s="385"/>
      <c r="D370" s="388">
        <f t="shared" si="128"/>
        <v>15.587190979444303</v>
      </c>
      <c r="E370" s="380">
        <f t="shared" si="151"/>
        <v>15.833057855333195</v>
      </c>
      <c r="F370" s="380">
        <f t="shared" si="129"/>
        <v>15.92208662190748</v>
      </c>
      <c r="G370" s="110">
        <f t="shared" si="152"/>
        <v>0.93941369990913948</v>
      </c>
      <c r="H370" s="409" t="b">
        <f>Wh_hp&gt;='2022'!Maxi_hp</f>
        <v>0</v>
      </c>
      <c r="I370" s="385">
        <f>IF(H370,Wh_hp,'2022'!Maxi_hp)</f>
        <v>15.926304409611507</v>
      </c>
      <c r="J370" s="85">
        <f>IF(H370,An,'2022'!An_max)</f>
        <v>2022</v>
      </c>
      <c r="K370" s="193">
        <f t="shared" si="130"/>
        <v>45282</v>
      </c>
      <c r="L370" s="143">
        <f>IF(t&lt;Tvie,1-EXP((T0-t)*PertePVj)+'2022'!Pspv,1-EXP((T0-t)*PertePVj)+Pspv)</f>
        <v>1.0349900318200489E-2</v>
      </c>
      <c r="M370" s="836"/>
      <c r="N370" s="836"/>
      <c r="O370" s="48">
        <f>IF(t&lt;Tnet,'2022'!Resal+('2022'!Salim-'2022'!Resal)*(1-EXP(('2022'!Tnet-t)/('2022'!Tau_j))),Resal+(Salim-Resal)*(1-EXP((Tnet-t)/(Tau_j))))*Salcycl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6.116592169009949E-3</v>
      </c>
      <c r="Q370" s="301">
        <f t="shared" si="131"/>
        <v>0.5</v>
      </c>
      <c r="R370" s="173">
        <f t="shared" si="132"/>
        <v>0.99381667100078641</v>
      </c>
      <c r="S370" s="802">
        <f t="shared" si="133"/>
        <v>0</v>
      </c>
      <c r="T370" s="172">
        <f t="shared" si="134"/>
        <v>6</v>
      </c>
      <c r="U370" s="247">
        <f t="shared" si="135"/>
        <v>0.99381667100078641</v>
      </c>
      <c r="V370" s="378">
        <f t="shared" si="136"/>
        <v>16.412066344673825</v>
      </c>
      <c r="W370" s="397">
        <f t="shared" si="137"/>
        <v>15.425865106566301</v>
      </c>
      <c r="X370" s="153">
        <f t="shared" si="138"/>
        <v>45282</v>
      </c>
      <c r="Y370" s="380">
        <f t="shared" si="139"/>
        <v>15.041111516586634</v>
      </c>
      <c r="Z370" s="380">
        <f t="shared" si="140"/>
        <v>15.198413582156741</v>
      </c>
      <c r="AA370" s="381">
        <f t="shared" si="141"/>
        <v>15.833057855333195</v>
      </c>
      <c r="AB370" s="193">
        <f t="shared" si="142"/>
        <v>45282</v>
      </c>
      <c r="AC370" s="420">
        <f>IF(OR(t&lt;Tnet,NoTnet),'2022'!Resal_s+('2022'!Salim-'2022'!Resal_s)*(1-EXP(('2022'!Tnet_s-t)/'2022'!Tau_j)),Resal_s+(Salim-Resal_s)*(1-EXP((Tnet_s-t)/Tau_j)))*Salcycl</f>
        <v>4.0083493597712162E-2</v>
      </c>
      <c r="AD370" s="227">
        <f>(INDEX(Models!$BJ370:$BT370,,AH370)*(1-AF370)+INDEX(Models!$BJ370:$BT370,,AH370+1)*AF370-ERP_i)*AE370*Ramure*Pc/MaxiM</f>
        <v>6.116592169009949E-3</v>
      </c>
      <c r="AE370" s="301">
        <f t="shared" si="143"/>
        <v>0.5</v>
      </c>
      <c r="AF370" s="173">
        <f t="shared" si="144"/>
        <v>0.99381667100078641</v>
      </c>
      <c r="AG370" s="172">
        <f t="shared" si="145"/>
        <v>0</v>
      </c>
      <c r="AH370" s="172">
        <f t="shared" si="146"/>
        <v>6</v>
      </c>
      <c r="AI370" s="221">
        <f t="shared" si="147"/>
        <v>0.99381667100078641</v>
      </c>
      <c r="AJ370" s="261" t="b">
        <f t="shared" si="148"/>
        <v>0</v>
      </c>
      <c r="AK370" s="261" t="b">
        <f t="shared" si="14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50"/>
        <v>45283</v>
      </c>
      <c r="B371" s="406">
        <f>'2022'!Wh/'2022'!Env_an*'2023'!Env_an</f>
        <v>15.135590416289929</v>
      </c>
      <c r="C371" s="385"/>
      <c r="D371" s="388">
        <f t="shared" si="128"/>
        <v>15.294089918765602</v>
      </c>
      <c r="E371" s="380">
        <f t="shared" si="151"/>
        <v>15.536243413137276</v>
      </c>
      <c r="F371" s="380">
        <f t="shared" si="129"/>
        <v>15.620957804933939</v>
      </c>
      <c r="G371" s="110">
        <f t="shared" si="152"/>
        <v>0.92125566436362161</v>
      </c>
      <c r="H371" s="409" t="b">
        <f>Wh_hp&gt;='2022'!Maxi_hp</f>
        <v>0</v>
      </c>
      <c r="I371" s="385">
        <f>IF(H371,Wh_hp,'2022'!Maxi_hp)</f>
        <v>15.626325591893499</v>
      </c>
      <c r="J371" s="85">
        <f>IF(H371,An,'2022'!An_max)</f>
        <v>2022</v>
      </c>
      <c r="K371" s="193">
        <f t="shared" si="130"/>
        <v>45283</v>
      </c>
      <c r="L371" s="143">
        <f>IF(t&lt;Tvie,1-EXP((T0-t)*PertePVj)+'2022'!Pspv,1-EXP((T0-t)*PertePVj)+Pspv)</f>
        <v>1.0363447796994829E-2</v>
      </c>
      <c r="M371" s="836"/>
      <c r="N371" s="836"/>
      <c r="O371" s="48">
        <f>IF(t&lt;Tnet,'2022'!Resal+('2022'!Salim-'2022'!Resal)*(1-EXP(('2022'!Tnet-t)/('2022'!Tau_j))),Resal+(Salim-Resal)*(1-EXP((Tnet-t)/(Tau_j))))*Salcycl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6.1043026663658235E-3</v>
      </c>
      <c r="Q371" s="301">
        <f t="shared" si="131"/>
        <v>0.5</v>
      </c>
      <c r="R371" s="173">
        <f t="shared" si="132"/>
        <v>0.99381667100078641</v>
      </c>
      <c r="S371" s="802">
        <f t="shared" si="133"/>
        <v>0</v>
      </c>
      <c r="T371" s="172">
        <f t="shared" si="134"/>
        <v>6</v>
      </c>
      <c r="U371" s="247">
        <f t="shared" si="135"/>
        <v>0.99381667100078641</v>
      </c>
      <c r="V371" s="378">
        <f t="shared" si="136"/>
        <v>16.418052819834756</v>
      </c>
      <c r="W371" s="397">
        <f t="shared" si="137"/>
        <v>15.135590416289929</v>
      </c>
      <c r="X371" s="153">
        <f t="shared" si="138"/>
        <v>45283</v>
      </c>
      <c r="Y371" s="380">
        <f t="shared" si="139"/>
        <v>14.758430379701174</v>
      </c>
      <c r="Z371" s="380">
        <f t="shared" si="140"/>
        <v>14.912980272250254</v>
      </c>
      <c r="AA371" s="381">
        <f t="shared" si="141"/>
        <v>15.536243413137276</v>
      </c>
      <c r="AB371" s="193">
        <f t="shared" si="142"/>
        <v>45283</v>
      </c>
      <c r="AC371" s="420">
        <f>IF(OR(t&lt;Tnet,NoTnet),'2022'!Resal_s+('2022'!Salim-'2022'!Resal_s)*(1-EXP(('2022'!Tnet_s-t)/'2022'!Tau_j)),Resal_s+(Salim-Resal_s)*(1-EXP((Tnet_s-t)/Tau_j)))*Salcycl</f>
        <v>4.0116720903072264E-2</v>
      </c>
      <c r="AD371" s="227">
        <f>(INDEX(Models!$BJ371:$BT371,,AH371)*(1-AF371)+INDEX(Models!$BJ371:$BT371,,AH371+1)*AF371-ERP_i)*AE371*Ramure*Pc/MaxiM</f>
        <v>6.1043026663658235E-3</v>
      </c>
      <c r="AE371" s="301">
        <f t="shared" si="143"/>
        <v>0.5</v>
      </c>
      <c r="AF371" s="173">
        <f t="shared" si="144"/>
        <v>0.99381667100078641</v>
      </c>
      <c r="AG371" s="172">
        <f t="shared" si="145"/>
        <v>0</v>
      </c>
      <c r="AH371" s="172">
        <f t="shared" si="146"/>
        <v>6</v>
      </c>
      <c r="AI371" s="221">
        <f t="shared" si="147"/>
        <v>0.99381667100078641</v>
      </c>
      <c r="AJ371" s="261" t="b">
        <f t="shared" si="148"/>
        <v>0</v>
      </c>
      <c r="AK371" s="261" t="b">
        <f t="shared" si="14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50"/>
        <v>45284</v>
      </c>
      <c r="B372" s="406">
        <f>'2022'!Wh/'2022'!Env_an*'2023'!Env_an</f>
        <v>16.375677562097678</v>
      </c>
      <c r="C372" s="385"/>
      <c r="D372" s="388">
        <f t="shared" si="128"/>
        <v>16.547389744231435</v>
      </c>
      <c r="E372" s="380">
        <f t="shared" si="151"/>
        <v>16.810372074873865</v>
      </c>
      <c r="F372" s="380">
        <f t="shared" si="129"/>
        <v>16.912616879335616</v>
      </c>
      <c r="G372" s="110">
        <f t="shared" si="152"/>
        <v>0.99585567185196189</v>
      </c>
      <c r="H372" s="409" t="b">
        <f>Wh_hp&gt;='2022'!Maxi_hp</f>
        <v>0</v>
      </c>
      <c r="I372" s="385">
        <f>IF(H372,Wh_hp,'2022'!Maxi_hp)</f>
        <v>16.912921484564905</v>
      </c>
      <c r="J372" s="85">
        <f>IF(H372,An,'2022'!An_max)</f>
        <v>2022</v>
      </c>
      <c r="K372" s="193">
        <f t="shared" si="130"/>
        <v>45284</v>
      </c>
      <c r="L372" s="143">
        <f>IF(t&lt;Tvie,1-EXP((T0-t)*PertePVj)+'2022'!Pspv,1-EXP((T0-t)*PertePVj)+Pspv)</f>
        <v>1.0376995090335517E-2</v>
      </c>
      <c r="M372" s="836"/>
      <c r="N372" s="836"/>
      <c r="O372" s="48">
        <f>IF(t&lt;Tnet,'2022'!Resal+('2022'!Salim-'2022'!Resal)*(1-EXP(('2022'!Tnet-t)/('2022'!Tau_j))),Resal+(Salim-Resal)*(1-EXP((Tnet-t)/(Tau_j))))*Salcycl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6.081167798173341E-3</v>
      </c>
      <c r="Q372" s="301">
        <f t="shared" si="131"/>
        <v>0.5</v>
      </c>
      <c r="R372" s="173">
        <f t="shared" si="132"/>
        <v>0.99381667100078641</v>
      </c>
      <c r="S372" s="802">
        <f t="shared" si="133"/>
        <v>0</v>
      </c>
      <c r="T372" s="172">
        <f t="shared" si="134"/>
        <v>6</v>
      </c>
      <c r="U372" s="247">
        <f t="shared" si="135"/>
        <v>0.99381667100078641</v>
      </c>
      <c r="V372" s="378">
        <f t="shared" si="136"/>
        <v>16.443235679664404</v>
      </c>
      <c r="W372" s="397">
        <f t="shared" si="137"/>
        <v>16.375677562097678</v>
      </c>
      <c r="X372" s="153">
        <f t="shared" si="138"/>
        <v>45284</v>
      </c>
      <c r="Y372" s="380">
        <f t="shared" si="139"/>
        <v>15.967995623562652</v>
      </c>
      <c r="Z372" s="380">
        <f t="shared" si="140"/>
        <v>16.13543293187718</v>
      </c>
      <c r="AA372" s="381">
        <f t="shared" si="141"/>
        <v>16.810372074873865</v>
      </c>
      <c r="AB372" s="193">
        <f t="shared" si="142"/>
        <v>45284</v>
      </c>
      <c r="AC372" s="420">
        <f>IF(OR(t&lt;Tnet,NoTnet),'2022'!Resal_s+('2022'!Salim-'2022'!Resal_s)*(1-EXP(('2022'!Tnet_s-t)/'2022'!Tau_j)),Resal_s+(Salim-Resal_s)*(1-EXP((Tnet_s-t)/Tau_j)))*Salcycl</f>
        <v>4.0150160864404899E-2</v>
      </c>
      <c r="AD372" s="227">
        <f>(INDEX(Models!$BJ372:$BT372,,AH372)*(1-AF372)+INDEX(Models!$BJ372:$BT372,,AH372+1)*AF372-ERP_i)*AE372*Ramure*Pc/MaxiM</f>
        <v>6.081167798173341E-3</v>
      </c>
      <c r="AE372" s="301">
        <f t="shared" si="143"/>
        <v>0.5</v>
      </c>
      <c r="AF372" s="173">
        <f t="shared" si="144"/>
        <v>0.99381667100078641</v>
      </c>
      <c r="AG372" s="172">
        <f t="shared" si="145"/>
        <v>0</v>
      </c>
      <c r="AH372" s="172">
        <f t="shared" si="146"/>
        <v>6</v>
      </c>
      <c r="AI372" s="221">
        <f t="shared" si="147"/>
        <v>0.99381667100078641</v>
      </c>
      <c r="AJ372" s="261" t="b">
        <f t="shared" si="148"/>
        <v>0</v>
      </c>
      <c r="AK372" s="261" t="b">
        <f t="shared" si="14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50"/>
        <v>45285</v>
      </c>
      <c r="B373" s="406">
        <f>'2022'!Wh/'2022'!Env_an*'2023'!Env_an</f>
        <v>9.0806688404697642</v>
      </c>
      <c r="C373" s="385"/>
      <c r="D373" s="388">
        <f t="shared" si="128"/>
        <v>9.176012586460832</v>
      </c>
      <c r="E373" s="380">
        <f t="shared" si="151"/>
        <v>9.3223906226618229</v>
      </c>
      <c r="F373" s="380">
        <f t="shared" si="129"/>
        <v>9.3426210096317828</v>
      </c>
      <c r="G373" s="110">
        <f t="shared" si="152"/>
        <v>0.54854398527966663</v>
      </c>
      <c r="H373" s="409" t="b">
        <f>Wh_hp&gt;='2022'!Maxi_hp</f>
        <v>0</v>
      </c>
      <c r="I373" s="385">
        <f>IF(H373,Wh_hp,'2022'!Maxi_hp)</f>
        <v>9.3608811966692667</v>
      </c>
      <c r="J373" s="85">
        <f>IF(H373,An,'2022'!An_max)</f>
        <v>2022</v>
      </c>
      <c r="K373" s="193">
        <f t="shared" si="130"/>
        <v>45285</v>
      </c>
      <c r="L373" s="143">
        <f>IF(t&lt;Tvie,1-EXP((T0-t)*PertePVj)+'2022'!Pspv,1-EXP((T0-t)*PertePVj)+Pspv)</f>
        <v>1.0390542198225217E-2</v>
      </c>
      <c r="M373" s="836"/>
      <c r="N373" s="836"/>
      <c r="O373" s="48">
        <f>IF(t&lt;Tnet,'2022'!Resal+('2022'!Salim-'2022'!Resal)*(1-EXP(('2022'!Tnet-t)/('2022'!Tau_j))),Resal+(Salim-Resal)*(1-EXP((Tnet-t)/(Tau_j))))*Salcycl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6.046493647949654E-3</v>
      </c>
      <c r="Q373" s="301">
        <f t="shared" si="131"/>
        <v>0.5</v>
      </c>
      <c r="R373" s="173">
        <f t="shared" si="132"/>
        <v>0.99381667100078641</v>
      </c>
      <c r="S373" s="802">
        <f t="shared" si="133"/>
        <v>0</v>
      </c>
      <c r="T373" s="172">
        <f t="shared" si="134"/>
        <v>6</v>
      </c>
      <c r="U373" s="247">
        <f t="shared" si="135"/>
        <v>0.99381667100078641</v>
      </c>
      <c r="V373" s="378">
        <f t="shared" si="136"/>
        <v>16.48974294777155</v>
      </c>
      <c r="W373" s="397">
        <f t="shared" si="137"/>
        <v>9.0806688404697642</v>
      </c>
      <c r="X373" s="153">
        <f t="shared" si="138"/>
        <v>45285</v>
      </c>
      <c r="Y373" s="380">
        <f t="shared" si="139"/>
        <v>8.854809306519293</v>
      </c>
      <c r="Z373" s="380">
        <f t="shared" si="140"/>
        <v>8.947781608907146</v>
      </c>
      <c r="AA373" s="381">
        <f t="shared" si="141"/>
        <v>9.3223906226618229</v>
      </c>
      <c r="AB373" s="193">
        <f t="shared" si="142"/>
        <v>45285</v>
      </c>
      <c r="AC373" s="420">
        <f>IF(OR(t&lt;Tnet,NoTnet),'2022'!Resal_s+('2022'!Salim-'2022'!Resal_s)*(1-EXP(('2022'!Tnet_s-t)/'2022'!Tau_j)),Resal_s+(Salim-Resal_s)*(1-EXP((Tnet_s-t)/Tau_j)))*Salcycl</f>
        <v>4.0183792861461919E-2</v>
      </c>
      <c r="AD373" s="227">
        <f>(INDEX(Models!$BJ373:$BT373,,AH373)*(1-AF373)+INDEX(Models!$BJ373:$BT373,,AH373+1)*AF373-ERP_i)*AE373*Ramure*Pc/MaxiM</f>
        <v>6.046493647949654E-3</v>
      </c>
      <c r="AE373" s="301">
        <f t="shared" si="143"/>
        <v>0.5</v>
      </c>
      <c r="AF373" s="173">
        <f t="shared" si="144"/>
        <v>0.99381667100078641</v>
      </c>
      <c r="AG373" s="172">
        <f t="shared" si="145"/>
        <v>0</v>
      </c>
      <c r="AH373" s="172">
        <f t="shared" si="146"/>
        <v>6</v>
      </c>
      <c r="AI373" s="221">
        <f t="shared" si="147"/>
        <v>0.99381667100078641</v>
      </c>
      <c r="AJ373" s="261" t="b">
        <f t="shared" si="148"/>
        <v>0</v>
      </c>
      <c r="AK373" s="261" t="b">
        <f t="shared" si="14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50"/>
        <v>45286</v>
      </c>
      <c r="B374" s="406">
        <f>'2022'!Wh/'2022'!Env_an*'2023'!Env_an</f>
        <v>15.175045413014022</v>
      </c>
      <c r="C374" s="385"/>
      <c r="D374" s="388">
        <f t="shared" si="128"/>
        <v>15.33458783144102</v>
      </c>
      <c r="E374" s="380">
        <f t="shared" si="151"/>
        <v>15.580122926580394</v>
      </c>
      <c r="F374" s="380">
        <f t="shared" si="129"/>
        <v>15.662892896409945</v>
      </c>
      <c r="G374" s="110">
        <f t="shared" si="152"/>
        <v>0.91582502102449337</v>
      </c>
      <c r="H374" s="409" t="b">
        <f>Wh_hp&gt;='2022'!Maxi_hp</f>
        <v>0</v>
      </c>
      <c r="I374" s="385">
        <f>IF(H374,Wh_hp,'2022'!Maxi_hp)</f>
        <v>15.668548082708286</v>
      </c>
      <c r="J374" s="85">
        <f>IF(H374,An,'2022'!An_max)</f>
        <v>2022</v>
      </c>
      <c r="K374" s="193">
        <f t="shared" si="130"/>
        <v>45286</v>
      </c>
      <c r="L374" s="143">
        <f>IF(t&lt;Tvie,1-EXP((T0-t)*PertePVj)+'2022'!Pspv,1-EXP((T0-t)*PertePVj)+Pspv)</f>
        <v>1.0404089120666371E-2</v>
      </c>
      <c r="M374" s="836"/>
      <c r="N374" s="836"/>
      <c r="O374" s="48">
        <f>IF(t&lt;Tnet,'2022'!Resal+('2022'!Salim-'2022'!Resal)*(1-EXP(('2022'!Tnet-t)/('2022'!Tau_j))),Resal+(Salim-Resal)*(1-EXP((Tnet-t)/(Tau_j))))*Salcycl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6.0003505259026875E-3</v>
      </c>
      <c r="Q374" s="301">
        <f t="shared" si="131"/>
        <v>0.5</v>
      </c>
      <c r="R374" s="173">
        <f t="shared" si="132"/>
        <v>0.99381667100078641</v>
      </c>
      <c r="S374" s="802">
        <f t="shared" si="133"/>
        <v>0</v>
      </c>
      <c r="T374" s="172">
        <f t="shared" si="134"/>
        <v>6</v>
      </c>
      <c r="U374" s="247">
        <f t="shared" si="135"/>
        <v>0.99381667100078641</v>
      </c>
      <c r="V374" s="378">
        <f t="shared" si="136"/>
        <v>16.557883567086975</v>
      </c>
      <c r="W374" s="397">
        <f t="shared" si="137"/>
        <v>15.175045413014022</v>
      </c>
      <c r="X374" s="153">
        <f t="shared" si="138"/>
        <v>45286</v>
      </c>
      <c r="Y374" s="380">
        <f t="shared" si="139"/>
        <v>14.797949982260604</v>
      </c>
      <c r="Z374" s="380">
        <f t="shared" si="140"/>
        <v>14.953527818351093</v>
      </c>
      <c r="AA374" s="381">
        <f t="shared" si="141"/>
        <v>15.580122926580394</v>
      </c>
      <c r="AB374" s="193">
        <f t="shared" si="142"/>
        <v>45286</v>
      </c>
      <c r="AC374" s="420">
        <f>IF(OR(t&lt;Tnet,NoTnet),'2022'!Resal_s+('2022'!Salim-'2022'!Resal_s)*(1-EXP(('2022'!Tnet_s-t)/'2022'!Tau_j)),Resal_s+(Salim-Resal_s)*(1-EXP((Tnet_s-t)/Tau_j)))*Salcycl</f>
        <v>4.0217597202670471E-2</v>
      </c>
      <c r="AD374" s="227">
        <f>(INDEX(Models!$BJ374:$BT374,,AH374)*(1-AF374)+INDEX(Models!$BJ374:$BT374,,AH374+1)*AF374-ERP_i)*AE374*Ramure*Pc/MaxiM</f>
        <v>6.0003505259026875E-3</v>
      </c>
      <c r="AE374" s="301">
        <f t="shared" si="143"/>
        <v>0.5</v>
      </c>
      <c r="AF374" s="173">
        <f t="shared" si="144"/>
        <v>0.99381667100078641</v>
      </c>
      <c r="AG374" s="172">
        <f t="shared" si="145"/>
        <v>0</v>
      </c>
      <c r="AH374" s="172">
        <f t="shared" si="146"/>
        <v>6</v>
      </c>
      <c r="AI374" s="221">
        <f t="shared" si="147"/>
        <v>0.99381667100078641</v>
      </c>
      <c r="AJ374" s="261" t="b">
        <f t="shared" si="148"/>
        <v>0</v>
      </c>
      <c r="AK374" s="261" t="b">
        <f t="shared" si="14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50"/>
        <v>45287</v>
      </c>
      <c r="B375" s="406">
        <f>'2022'!Wh/'2022'!Env_an*'2023'!Env_an</f>
        <v>6.530731061586847</v>
      </c>
      <c r="C375" s="385"/>
      <c r="D375" s="388">
        <f t="shared" si="128"/>
        <v>6.5994820625638049</v>
      </c>
      <c r="E375" s="380">
        <f t="shared" si="151"/>
        <v>6.7055454364442921</v>
      </c>
      <c r="F375" s="380">
        <f t="shared" si="129"/>
        <v>6.7108111873414718</v>
      </c>
      <c r="G375" s="110">
        <f t="shared" si="152"/>
        <v>0.39030404666477042</v>
      </c>
      <c r="H375" s="409" t="b">
        <f>Wh_hp&gt;='2022'!Maxi_hp</f>
        <v>0</v>
      </c>
      <c r="I375" s="385">
        <f>IF(H375,Wh_hp,'2022'!Maxi_hp)</f>
        <v>6.728249126275637</v>
      </c>
      <c r="J375" s="85">
        <f>IF(H375,An,'2022'!An_max)</f>
        <v>2022</v>
      </c>
      <c r="K375" s="193">
        <f t="shared" si="130"/>
        <v>45287</v>
      </c>
      <c r="L375" s="143">
        <f>IF(t&lt;Tvie,1-EXP((T0-t)*PertePVj)+'2022'!Pspv,1-EXP((T0-t)*PertePVj)+Pspv)</f>
        <v>1.0417635857661423E-2</v>
      </c>
      <c r="M375" s="836"/>
      <c r="N375" s="836"/>
      <c r="O375" s="48">
        <f>IF(t&lt;Tnet,'2022'!Resal+('2022'!Salim-'2022'!Resal)*(1-EXP(('2022'!Tnet-t)/('2022'!Tau_j))),Resal+(Salim-Resal)*(1-EXP((Tnet-t)/(Tau_j))))*Salcycl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5.9488423982078436E-3</v>
      </c>
      <c r="Q375" s="301">
        <f t="shared" si="131"/>
        <v>0.5</v>
      </c>
      <c r="R375" s="173">
        <f t="shared" si="132"/>
        <v>0.99381667100078641</v>
      </c>
      <c r="S375" s="802">
        <f t="shared" si="133"/>
        <v>0</v>
      </c>
      <c r="T375" s="172">
        <f t="shared" si="134"/>
        <v>6</v>
      </c>
      <c r="U375" s="247">
        <f t="shared" si="135"/>
        <v>0.99381667100078641</v>
      </c>
      <c r="V375" s="378">
        <f t="shared" si="136"/>
        <v>16.645942543872675</v>
      </c>
      <c r="W375" s="397">
        <f t="shared" si="137"/>
        <v>6.530731061586847</v>
      </c>
      <c r="X375" s="153">
        <f t="shared" si="138"/>
        <v>45287</v>
      </c>
      <c r="Y375" s="380">
        <f t="shared" si="139"/>
        <v>6.3685926834019222</v>
      </c>
      <c r="Z375" s="380">
        <f t="shared" si="140"/>
        <v>6.4356368041396124</v>
      </c>
      <c r="AA375" s="381">
        <f t="shared" si="141"/>
        <v>6.7055454364442921</v>
      </c>
      <c r="AB375" s="193">
        <f t="shared" si="142"/>
        <v>45287</v>
      </c>
      <c r="AC375" s="420">
        <f>IF(OR(t&lt;Tnet,NoTnet),'2022'!Resal_s+('2022'!Salim-'2022'!Resal_s)*(1-EXP(('2022'!Tnet_s-t)/'2022'!Tau_j)),Resal_s+(Salim-Resal_s)*(1-EXP((Tnet_s-t)/Tau_j)))*Salcycl</f>
        <v>4.0251555203509648E-2</v>
      </c>
      <c r="AD375" s="227">
        <f>(INDEX(Models!$BJ375:$BT375,,AH375)*(1-AF375)+INDEX(Models!$BJ375:$BT375,,AH375+1)*AF375-ERP_i)*AE375*Ramure*Pc/MaxiM</f>
        <v>5.9488423982078436E-3</v>
      </c>
      <c r="AE375" s="301">
        <f t="shared" si="143"/>
        <v>0.5</v>
      </c>
      <c r="AF375" s="173">
        <f t="shared" si="144"/>
        <v>0.99381667100078641</v>
      </c>
      <c r="AG375" s="172">
        <f t="shared" si="145"/>
        <v>0</v>
      </c>
      <c r="AH375" s="172">
        <f t="shared" si="146"/>
        <v>6</v>
      </c>
      <c r="AI375" s="221">
        <f t="shared" si="147"/>
        <v>0.99381667100078641</v>
      </c>
      <c r="AJ375" s="261" t="b">
        <f t="shared" si="148"/>
        <v>0</v>
      </c>
      <c r="AK375" s="261" t="b">
        <f t="shared" si="14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50"/>
        <v>45288</v>
      </c>
      <c r="B376" s="406">
        <f>'2022'!Wh/'2022'!Env_an*'2023'!Env_an</f>
        <v>13.375994021543194</v>
      </c>
      <c r="C376" s="385"/>
      <c r="D376" s="388">
        <f t="shared" si="128"/>
        <v>13.516992233151111</v>
      </c>
      <c r="E376" s="380">
        <f t="shared" si="151"/>
        <v>13.735036259813228</v>
      </c>
      <c r="F376" s="380">
        <f t="shared" si="129"/>
        <v>13.792934858486412</v>
      </c>
      <c r="G376" s="110">
        <f t="shared" si="152"/>
        <v>0.79709834718265393</v>
      </c>
      <c r="H376" s="409" t="b">
        <f>Wh_hp&gt;='2022'!Maxi_hp</f>
        <v>0</v>
      </c>
      <c r="I376" s="385">
        <f>IF(H376,Wh_hp,'2022'!Maxi_hp)</f>
        <v>13.804733458354512</v>
      </c>
      <c r="J376" s="85">
        <f>IF(H376,An,'2022'!An_max)</f>
        <v>2022</v>
      </c>
      <c r="K376" s="193">
        <f t="shared" si="130"/>
        <v>45288</v>
      </c>
      <c r="L376" s="143">
        <f>IF(t&lt;Tvie,1-EXP((T0-t)*PertePVj)+'2022'!Pspv,1-EXP((T0-t)*PertePVj)+Pspv)</f>
        <v>1.0431182409213147E-2</v>
      </c>
      <c r="M376" s="836"/>
      <c r="N376" s="836"/>
      <c r="O376" s="48">
        <f>IF(t&lt;Tnet,'2022'!Resal+('2022'!Salim-'2022'!Resal)*(1-EXP(('2022'!Tnet-t)/('2022'!Tau_j))),Resal+(Salim-Resal)*(1-EXP((Tnet-t)/(Tau_j))))*Salcycl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5.8949449751818147E-3</v>
      </c>
      <c r="Q376" s="301">
        <f t="shared" si="131"/>
        <v>0.5</v>
      </c>
      <c r="R376" s="173">
        <f t="shared" si="132"/>
        <v>0.99381667100078641</v>
      </c>
      <c r="S376" s="802">
        <f t="shared" si="133"/>
        <v>0</v>
      </c>
      <c r="T376" s="172">
        <f t="shared" si="134"/>
        <v>6</v>
      </c>
      <c r="U376" s="247">
        <f t="shared" si="135"/>
        <v>0.99381667100078641</v>
      </c>
      <c r="V376" s="378">
        <f t="shared" si="136"/>
        <v>16.752256515025319</v>
      </c>
      <c r="W376" s="397">
        <f t="shared" si="137"/>
        <v>13.375994021543194</v>
      </c>
      <c r="X376" s="153">
        <f t="shared" si="138"/>
        <v>45288</v>
      </c>
      <c r="Y376" s="380">
        <f t="shared" si="139"/>
        <v>13.044210570420125</v>
      </c>
      <c r="Z376" s="380">
        <f t="shared" si="140"/>
        <v>13.181711406567638</v>
      </c>
      <c r="AA376" s="381">
        <f t="shared" si="141"/>
        <v>13.735036259813228</v>
      </c>
      <c r="AB376" s="193">
        <f t="shared" si="142"/>
        <v>45288</v>
      </c>
      <c r="AC376" s="420">
        <f>IF(OR(t&lt;Tnet,NoTnet),'2022'!Resal_s+('2022'!Salim-'2022'!Resal_s)*(1-EXP(('2022'!Tnet_s-t)/'2022'!Tau_j)),Resal_s+(Salim-Resal_s)*(1-EXP((Tnet_s-t)/Tau_j)))*Salcycl</f>
        <v>4.0285649253401688E-2</v>
      </c>
      <c r="AD376" s="227">
        <f>(INDEX(Models!$BJ376:$BT376,,AH376)*(1-AF376)+INDEX(Models!$BJ376:$BT376,,AH376+1)*AF376-ERP_i)*AE376*Ramure*Pc/MaxiM</f>
        <v>5.8949449751818147E-3</v>
      </c>
      <c r="AE376" s="301">
        <f t="shared" si="143"/>
        <v>0.5</v>
      </c>
      <c r="AF376" s="173">
        <f t="shared" si="144"/>
        <v>0.99381667100078641</v>
      </c>
      <c r="AG376" s="172">
        <f t="shared" si="145"/>
        <v>0</v>
      </c>
      <c r="AH376" s="172">
        <f t="shared" si="146"/>
        <v>6</v>
      </c>
      <c r="AI376" s="221">
        <f t="shared" si="147"/>
        <v>0.99381667100078641</v>
      </c>
      <c r="AJ376" s="261" t="b">
        <f t="shared" si="148"/>
        <v>0</v>
      </c>
      <c r="AK376" s="261" t="b">
        <f t="shared" si="149"/>
        <v>0</v>
      </c>
      <c r="AL376" s="261"/>
      <c r="AM376" s="261"/>
      <c r="AN376" s="75"/>
    </row>
    <row r="377" spans="1:40" s="6" customFormat="1" ht="11.25" x14ac:dyDescent="0.2">
      <c r="A377" s="56">
        <f t="shared" si="150"/>
        <v>45289</v>
      </c>
      <c r="B377" s="406">
        <f>'2022'!Wh/'2022'!Env_an*'2023'!Env_an</f>
        <v>10.191342211880853</v>
      </c>
      <c r="C377" s="385"/>
      <c r="D377" s="388">
        <f t="shared" si="128"/>
        <v>10.298911549698506</v>
      </c>
      <c r="E377" s="380">
        <f t="shared" si="151"/>
        <v>10.465658656048152</v>
      </c>
      <c r="F377" s="380">
        <f t="shared" si="129"/>
        <v>10.492259992159447</v>
      </c>
      <c r="G377" s="110">
        <f t="shared" si="152"/>
        <v>0.6019237783709086</v>
      </c>
      <c r="H377" s="409" t="b">
        <f>Wh_hp&gt;='2022'!Maxi_hp</f>
        <v>0</v>
      </c>
      <c r="I377" s="385">
        <f>IF(H377,Wh_hp,'2022'!Maxi_hp)</f>
        <v>10.509716295214137</v>
      </c>
      <c r="J377" s="85">
        <f>IF(H377,An,'2022'!An_max)</f>
        <v>2022</v>
      </c>
      <c r="K377" s="193">
        <f t="shared" si="130"/>
        <v>45289</v>
      </c>
      <c r="L377" s="143">
        <f>IF(t&lt;Tvie,1-EXP((T0-t)*PertePVj)+'2022'!Pspv,1-EXP((T0-t)*PertePVj)+Pspv)</f>
        <v>1.0444728775323986E-2</v>
      </c>
      <c r="M377" s="836"/>
      <c r="N377" s="836"/>
      <c r="O377" s="48">
        <f>IF(t&lt;Tnet,'2022'!Resal+('2022'!Salim-'2022'!Resal)*(1-EXP(('2022'!Tnet-t)/('2022'!Tau_j))),Resal+(Salim-Resal)*(1-EXP((Tnet-t)/(Tau_j))))*Salcycl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5.8393847894287485E-3</v>
      </c>
      <c r="Q377" s="301">
        <f t="shared" si="131"/>
        <v>0.5</v>
      </c>
      <c r="R377" s="173">
        <f t="shared" si="132"/>
        <v>0.99381667100078641</v>
      </c>
      <c r="S377" s="802">
        <f t="shared" si="133"/>
        <v>0</v>
      </c>
      <c r="T377" s="172">
        <f t="shared" si="134"/>
        <v>6</v>
      </c>
      <c r="U377" s="247">
        <f t="shared" si="135"/>
        <v>0.99381667100078641</v>
      </c>
      <c r="V377" s="378">
        <f t="shared" si="136"/>
        <v>16.875199535288044</v>
      </c>
      <c r="W377" s="397">
        <f t="shared" si="137"/>
        <v>10.191342211880853</v>
      </c>
      <c r="X377" s="153">
        <f t="shared" si="138"/>
        <v>45289</v>
      </c>
      <c r="Y377" s="380">
        <f t="shared" si="139"/>
        <v>9.9387811712293974</v>
      </c>
      <c r="Z377" s="380">
        <f t="shared" si="140"/>
        <v>10.043684734182799</v>
      </c>
      <c r="AA377" s="381">
        <f t="shared" si="141"/>
        <v>10.465658656048152</v>
      </c>
      <c r="AB377" s="193">
        <f t="shared" si="142"/>
        <v>45289</v>
      </c>
      <c r="AC377" s="420">
        <f>IF(OR(t&lt;Tnet,NoTnet),'2022'!Resal_s+('2022'!Salim-'2022'!Resal_s)*(1-EXP(('2022'!Tnet_s-t)/'2022'!Tau_j)),Resal_s+(Salim-Resal_s)*(1-EXP((Tnet_s-t)/Tau_j)))*Salcycl</f>
        <v>4.0319862870885174E-2</v>
      </c>
      <c r="AD377" s="227">
        <f>(INDEX(Models!$BJ377:$BT377,,AH377)*(1-AF377)+INDEX(Models!$BJ377:$BT377,,AH377+1)*AF377-ERP_i)*AE377*Ramure*Pc/MaxiM</f>
        <v>5.8393847894287485E-3</v>
      </c>
      <c r="AE377" s="301">
        <f t="shared" si="143"/>
        <v>0.5</v>
      </c>
      <c r="AF377" s="173">
        <f t="shared" si="144"/>
        <v>0.99381667100078641</v>
      </c>
      <c r="AG377" s="172">
        <f t="shared" si="145"/>
        <v>0</v>
      </c>
      <c r="AH377" s="172">
        <f t="shared" si="146"/>
        <v>6</v>
      </c>
      <c r="AI377" s="221">
        <f t="shared" si="147"/>
        <v>0.99381667100078641</v>
      </c>
      <c r="AJ377" s="261" t="b">
        <f t="shared" si="148"/>
        <v>0</v>
      </c>
      <c r="AK377" s="261" t="b">
        <f t="shared" si="149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50"/>
        <v>45290</v>
      </c>
      <c r="B378" s="406">
        <f>'2022'!Wh/'2022'!Env_an*'2023'!Env_an</f>
        <v>12.210443530915315</v>
      </c>
      <c r="C378" s="385"/>
      <c r="D378" s="388">
        <f t="shared" si="128"/>
        <v>12.339493345136439</v>
      </c>
      <c r="E378" s="380">
        <f t="shared" si="151"/>
        <v>12.540015031151988</v>
      </c>
      <c r="F378" s="380">
        <f t="shared" si="129"/>
        <v>12.583437567077796</v>
      </c>
      <c r="G378" s="110">
        <f t="shared" si="152"/>
        <v>0.71602683005771506</v>
      </c>
      <c r="H378" s="409" t="b">
        <f>Wh_hp&gt;='2022'!Maxi_hp</f>
        <v>0</v>
      </c>
      <c r="I378" s="385">
        <f>IF(H378,Wh_hp,'2022'!Maxi_hp)</f>
        <v>12.598220111558174</v>
      </c>
      <c r="J378" s="85">
        <f>IF(H378,An,'2022'!An_max)</f>
        <v>2022</v>
      </c>
      <c r="K378" s="193">
        <f t="shared" si="130"/>
        <v>45290</v>
      </c>
      <c r="L378" s="143">
        <f>IF(t&lt;Tvie,1-EXP((T0-t)*PertePVj)+'2022'!Pspv,1-EXP((T0-t)*PertePVj)+Pspv)</f>
        <v>1.0458274955996383E-2</v>
      </c>
      <c r="M378" s="836"/>
      <c r="N378" s="836"/>
      <c r="O378" s="48">
        <f>IF(t&lt;Tnet,'2022'!Resal+('2022'!Salim-'2022'!Resal)*(1-EXP(('2022'!Tnet-t)/('2022'!Tau_j))),Resal+(Salim-Resal)*(1-EXP((Tnet-t)/(Tau_j))))*Salcycl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5.7828617782723626E-3</v>
      </c>
      <c r="Q378" s="301">
        <f t="shared" si="131"/>
        <v>0.5</v>
      </c>
      <c r="R378" s="173">
        <f t="shared" si="132"/>
        <v>0.99381667100078641</v>
      </c>
      <c r="S378" s="802">
        <f t="shared" si="133"/>
        <v>0</v>
      </c>
      <c r="T378" s="172">
        <f t="shared" si="134"/>
        <v>6</v>
      </c>
      <c r="U378" s="247">
        <f t="shared" si="135"/>
        <v>0.99381667100078641</v>
      </c>
      <c r="V378" s="378">
        <f t="shared" si="136"/>
        <v>17.013146055508759</v>
      </c>
      <c r="W378" s="397">
        <f t="shared" si="137"/>
        <v>12.210443530915315</v>
      </c>
      <c r="X378" s="153">
        <f t="shared" si="138"/>
        <v>45290</v>
      </c>
      <c r="Y378" s="380">
        <f t="shared" si="139"/>
        <v>11.908118399589169</v>
      </c>
      <c r="Z378" s="380">
        <f t="shared" si="140"/>
        <v>12.03397299801545</v>
      </c>
      <c r="AA378" s="381">
        <f t="shared" si="141"/>
        <v>12.540015031151988</v>
      </c>
      <c r="AB378" s="193">
        <f t="shared" si="142"/>
        <v>45290</v>
      </c>
      <c r="AC378" s="420">
        <f>IF(OR(t&lt;Tnet,NoTnet),'2022'!Resal_s+('2022'!Salim-'2022'!Resal_s)*(1-EXP(('2022'!Tnet_s-t)/'2022'!Tau_j)),Resal_s+(Salim-Resal_s)*(1-EXP((Tnet_s-t)/Tau_j)))*Salcycl</f>
        <v>4.0354180746946855E-2</v>
      </c>
      <c r="AD378" s="227">
        <f>(INDEX(Models!$BJ378:$BT378,,AH378)*(1-AF378)+INDEX(Models!$BJ378:$BT378,,AH378+1)*AF378-ERP_i)*AE378*Ramure*Pc/MaxiM</f>
        <v>5.7828617782723626E-3</v>
      </c>
      <c r="AE378" s="301">
        <f t="shared" si="143"/>
        <v>0.5</v>
      </c>
      <c r="AF378" s="173">
        <f t="shared" si="144"/>
        <v>0.99381667100078641</v>
      </c>
      <c r="AG378" s="172">
        <f t="shared" si="145"/>
        <v>0</v>
      </c>
      <c r="AH378" s="172">
        <f t="shared" si="146"/>
        <v>6</v>
      </c>
      <c r="AI378" s="221">
        <f t="shared" si="147"/>
        <v>0.99381667100078641</v>
      </c>
      <c r="AJ378" s="261" t="b">
        <f t="shared" si="148"/>
        <v>0</v>
      </c>
      <c r="AK378" s="261" t="b">
        <f t="shared" si="149"/>
        <v>0</v>
      </c>
      <c r="AL378" s="261"/>
      <c r="AM378" s="261"/>
      <c r="AN378" s="75"/>
    </row>
    <row r="379" spans="1:40" s="18" customFormat="1" ht="12.75" x14ac:dyDescent="0.2">
      <c r="A379" s="56">
        <f t="shared" si="150"/>
        <v>45291</v>
      </c>
      <c r="B379" s="406">
        <f>'2022'!Wh/'2022'!Env_an*'2023'!Env_an</f>
        <v>11.102634949053186</v>
      </c>
      <c r="C379" s="385"/>
      <c r="D379" s="388">
        <f t="shared" si="128"/>
        <v>11.220130142959793</v>
      </c>
      <c r="E379" s="380">
        <f t="shared" si="151"/>
        <v>11.403130969265641</v>
      </c>
      <c r="F379" s="380">
        <f t="shared" si="129"/>
        <v>11.435575494767814</v>
      </c>
      <c r="G379" s="110">
        <f t="shared" si="152"/>
        <v>0.64496421151982564</v>
      </c>
      <c r="H379" s="409" t="b">
        <f>Wh_hp&gt;='2022'!Maxi_hp</f>
        <v>0</v>
      </c>
      <c r="I379" s="385">
        <f>IF(H379,Wh_hp,'2022'!Maxi_hp)</f>
        <v>11.452210730428593</v>
      </c>
      <c r="J379" s="85">
        <f>IF(H379,An,'2022'!An_max)</f>
        <v>2022</v>
      </c>
      <c r="K379" s="193">
        <f t="shared" si="130"/>
        <v>45291</v>
      </c>
      <c r="L379" s="143">
        <f>IF(t&lt;Tvie,1-EXP((T0-t)*PertePVj)+'2022'!Pspv,1-EXP((T0-t)*PertePVj)+Pspv)</f>
        <v>1.0471820951232891E-2</v>
      </c>
      <c r="M379" s="836"/>
      <c r="N379" s="836"/>
      <c r="O379" s="48">
        <f>IF(t&lt;Tnet,'2022'!Resal+('2022'!Salim-'2022'!Resal)*(1-EXP(('2022'!Tnet-t)/('2022'!Tau_j))),Resal+(Salim-Resal)*(1-EXP((Tnet-t)/(Tau_j))))*Salcycl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5.7260423574971792E-3</v>
      </c>
      <c r="Q379" s="302">
        <f t="shared" si="131"/>
        <v>0.5</v>
      </c>
      <c r="R379" s="173">
        <f t="shared" si="132"/>
        <v>0.99381667100078641</v>
      </c>
      <c r="S379" s="802">
        <f t="shared" si="133"/>
        <v>0</v>
      </c>
      <c r="T379" s="172">
        <f t="shared" si="134"/>
        <v>6</v>
      </c>
      <c r="U379" s="303">
        <f t="shared" si="135"/>
        <v>0.99381667100078641</v>
      </c>
      <c r="V379" s="378">
        <f t="shared" si="136"/>
        <v>17.16447092038047</v>
      </c>
      <c r="W379" s="397">
        <f t="shared" si="137"/>
        <v>11.102634949053186</v>
      </c>
      <c r="X379" s="153">
        <f t="shared" si="138"/>
        <v>45291</v>
      </c>
      <c r="Y379" s="380">
        <f t="shared" si="139"/>
        <v>10.827985919808052</v>
      </c>
      <c r="Z379" s="380">
        <f t="shared" si="140"/>
        <v>10.942574601783436</v>
      </c>
      <c r="AA379" s="381">
        <f t="shared" si="141"/>
        <v>11.403130969265641</v>
      </c>
      <c r="AB379" s="193">
        <f t="shared" si="142"/>
        <v>45291</v>
      </c>
      <c r="AC379" s="420">
        <f>IF(OR(t&lt;Tnet,NoTnet),'2022'!Resal_s+('2022'!Salim-'2022'!Resal_s)*(1-EXP(('2022'!Tnet_s-t)/'2022'!Tau_j)),Resal_s+(Salim-Resal_s)*(1-EXP((Tnet_s-t)/Tau_j)))*Salcycl</f>
        <v>4.0388588776496807E-2</v>
      </c>
      <c r="AD379" s="227">
        <f>(INDEX(Models!$BJ379:$BT379,,AH379)*(1-AF379)+INDEX(Models!$BJ379:$BT379,,AH379+1)*AF379-ERP_i)*AE379*Ramure*Pc/MaxiM</f>
        <v>5.7260423574971792E-3</v>
      </c>
      <c r="AE379" s="302">
        <f t="shared" si="143"/>
        <v>0.5</v>
      </c>
      <c r="AF379" s="173">
        <f t="shared" si="144"/>
        <v>0.99381667100078641</v>
      </c>
      <c r="AG379" s="172">
        <f t="shared" si="145"/>
        <v>0</v>
      </c>
      <c r="AH379" s="172">
        <f t="shared" si="146"/>
        <v>6</v>
      </c>
      <c r="AI379" s="218">
        <f t="shared" si="147"/>
        <v>0.99381667100078641</v>
      </c>
      <c r="AJ379" s="261" t="b">
        <f t="shared" si="148"/>
        <v>0</v>
      </c>
      <c r="AK379" s="261" t="b">
        <f t="shared" si="149"/>
        <v>0</v>
      </c>
      <c r="AL379" s="261"/>
      <c r="AM379" s="261"/>
      <c r="AN379" s="261"/>
    </row>
    <row r="380" spans="1:40" s="18" customFormat="1" ht="12" thickBot="1" x14ac:dyDescent="0.25">
      <c r="A380" s="103"/>
      <c r="B380" s="611"/>
      <c r="C380" s="844"/>
      <c r="D380" s="389"/>
      <c r="E380" s="390"/>
      <c r="F380" s="390"/>
      <c r="G380" s="97"/>
      <c r="H380" s="409" t="b">
        <f>Wh_hp&gt;='2022'!Maxi_hp</f>
        <v>1</v>
      </c>
      <c r="I380" s="385">
        <f>IF(H380,Wh_hp,'2022'!Maxi_hp)</f>
        <v>0</v>
      </c>
      <c r="J380" s="85">
        <f>IF(H380,An,'2022'!An_max)</f>
        <v>2023</v>
      </c>
      <c r="K380" s="195"/>
      <c r="L380" s="210"/>
      <c r="M380" s="841"/>
      <c r="N380" s="841"/>
      <c r="O380" s="211"/>
      <c r="P380" s="318"/>
      <c r="Q380" s="225"/>
      <c r="R380" s="225"/>
      <c r="S380" s="225"/>
      <c r="T380" s="225"/>
      <c r="U380" s="319"/>
      <c r="V380" s="378">
        <f>(V379+V15)/2</f>
        <v>17.23753333736714</v>
      </c>
      <c r="W380" s="58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8"/>
        <v>1</v>
      </c>
      <c r="AK380" s="261" t="b">
        <f t="shared" si="14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332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3">MIN(L15:L380)</f>
        <v>5.5288074192387793E-3</v>
      </c>
      <c r="M381" s="838"/>
      <c r="N381" s="838"/>
      <c r="O381" s="47">
        <f t="shared" si="153"/>
        <v>0</v>
      </c>
      <c r="P381" s="164">
        <f t="shared" si="153"/>
        <v>9.515338063436952E-7</v>
      </c>
      <c r="Q381" s="306">
        <f t="shared" si="153"/>
        <v>0.5</v>
      </c>
      <c r="R381" s="307">
        <f t="shared" si="153"/>
        <v>0.49381794403695745</v>
      </c>
      <c r="S381" s="802">
        <f t="shared" si="153"/>
        <v>0</v>
      </c>
      <c r="T381" s="172">
        <f t="shared" si="153"/>
        <v>6</v>
      </c>
      <c r="U381" s="248">
        <f>+MIN(U15:U380)</f>
        <v>0.49381794403695745</v>
      </c>
      <c r="V381" s="368">
        <f>MIN(V15:V380)</f>
        <v>16.412066344673825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4">MIN(AC15:AC380)</f>
        <v>2.4747838115258724E-2</v>
      </c>
      <c r="AD381" s="164">
        <f t="shared" si="154"/>
        <v>9.515338063436952E-7</v>
      </c>
      <c r="AE381" s="306">
        <f t="shared" si="154"/>
        <v>0.5</v>
      </c>
      <c r="AF381" s="307">
        <f t="shared" si="154"/>
        <v>0.49381794403695745</v>
      </c>
      <c r="AG381" s="802">
        <f t="shared" si="154"/>
        <v>0</v>
      </c>
      <c r="AH381" s="172">
        <f t="shared" si="154"/>
        <v>6</v>
      </c>
      <c r="AI381" s="222">
        <f>MIN(AI15:AI380)</f>
        <v>0.49381794403695745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31.259825560701042</v>
      </c>
      <c r="C382" s="370"/>
      <c r="D382" s="370">
        <f>AVERAGE(D15:D380)</f>
        <v>31.51063163975207</v>
      </c>
      <c r="E382" s="370">
        <f>AVERAGE(E15:E380)</f>
        <v>31.891040085960991</v>
      </c>
      <c r="F382" s="371">
        <f>AVERAGE(F15:F380)</f>
        <v>31.901486932411135</v>
      </c>
      <c r="G382" s="126">
        <f>AVERAGE(G15:G380)</f>
        <v>0.69557862632118517</v>
      </c>
      <c r="H382" s="332"/>
      <c r="I382" s="371">
        <f>AVERAGE(I15:I380)</f>
        <v>31.818016116143514</v>
      </c>
      <c r="J382" s="59">
        <f>AVERAGE(J15:J380)</f>
        <v>2022.0956284153006</v>
      </c>
      <c r="K382" s="196" t="s">
        <v>8</v>
      </c>
      <c r="L382" s="143">
        <f t="shared" ref="L382:V382" si="155">AVERAGE(L15:L380)</f>
        <v>8.0023610859540472E-3</v>
      </c>
      <c r="M382" s="836"/>
      <c r="N382" s="836"/>
      <c r="O382" s="48">
        <f t="shared" si="155"/>
        <v>1.4774673456475877E-2</v>
      </c>
      <c r="P382" s="165">
        <f t="shared" si="155"/>
        <v>1.2731113017016523E-3</v>
      </c>
      <c r="Q382" s="308">
        <f t="shared" si="155"/>
        <v>0.5</v>
      </c>
      <c r="R382" s="173">
        <f t="shared" si="155"/>
        <v>0.773701541036101</v>
      </c>
      <c r="S382" s="802">
        <f t="shared" si="155"/>
        <v>0</v>
      </c>
      <c r="T382" s="172">
        <f t="shared" si="155"/>
        <v>6</v>
      </c>
      <c r="U382" s="247">
        <f t="shared" si="155"/>
        <v>0.773701541036101</v>
      </c>
      <c r="V382" s="370">
        <f t="shared" si="155"/>
        <v>42.933564735340781</v>
      </c>
      <c r="X382" s="112" t="s">
        <v>8</v>
      </c>
      <c r="Y382" s="370">
        <f>AVERAGE(Y15:Y380)</f>
        <v>30.564840169888857</v>
      </c>
      <c r="Z382" s="370">
        <f>AVERAGE(Z15:Z380)</f>
        <v>30.809779698552632</v>
      </c>
      <c r="AA382" s="370">
        <f>AVERAGE(AA15:AA380)</f>
        <v>31.891040085960991</v>
      </c>
      <c r="AB382" s="196" t="s">
        <v>8</v>
      </c>
      <c r="AC382" s="48">
        <f t="shared" ref="AC382:AH382" si="156">AVERAGE(AC15:AC380)</f>
        <v>3.3742238841963611E-2</v>
      </c>
      <c r="AD382" s="165">
        <f t="shared" si="156"/>
        <v>1.2731113017016523E-3</v>
      </c>
      <c r="AE382" s="308">
        <f t="shared" si="156"/>
        <v>0.5</v>
      </c>
      <c r="AF382" s="173">
        <f t="shared" si="156"/>
        <v>0.773701541036101</v>
      </c>
      <c r="AG382" s="802">
        <f t="shared" si="156"/>
        <v>0</v>
      </c>
      <c r="AH382" s="172">
        <f t="shared" si="156"/>
        <v>6</v>
      </c>
      <c r="AI382" s="221">
        <f>AVERAGE(AI15:AI380)</f>
        <v>0.773701541036101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66.893794812563343</v>
      </c>
      <c r="C383" s="372"/>
      <c r="D383" s="372">
        <f>MAX(D15:D380)</f>
        <v>67.429799190718228</v>
      </c>
      <c r="E383" s="372">
        <f>MAX(E15:E380)</f>
        <v>67.727198950662526</v>
      </c>
      <c r="F383" s="373">
        <f>MAX(F15:F380)</f>
        <v>67.727273228607231</v>
      </c>
      <c r="G383" s="127">
        <f>+MAX(G15:G380)</f>
        <v>1.0444694332725442</v>
      </c>
      <c r="H383" s="332"/>
      <c r="I383" s="373">
        <f>MAX(I15:I380)</f>
        <v>67.727273228607231</v>
      </c>
      <c r="J383" s="60">
        <f>MAX(J15:J380)</f>
        <v>2023</v>
      </c>
      <c r="K383" s="196" t="s">
        <v>9</v>
      </c>
      <c r="L383" s="144">
        <f t="shared" ref="L383:T383" si="157">MAX(L15:L380)</f>
        <v>1.0471820951232891E-2</v>
      </c>
      <c r="M383" s="839"/>
      <c r="N383" s="839"/>
      <c r="O383" s="49">
        <f t="shared" si="157"/>
        <v>3.0700399563379131E-2</v>
      </c>
      <c r="P383" s="166">
        <f t="shared" si="157"/>
        <v>6.4124809173369468E-3</v>
      </c>
      <c r="Q383" s="309">
        <f t="shared" si="157"/>
        <v>0.5</v>
      </c>
      <c r="R383" s="310">
        <f t="shared" si="157"/>
        <v>0.99381667100078641</v>
      </c>
      <c r="S383" s="803">
        <f t="shared" si="157"/>
        <v>0</v>
      </c>
      <c r="T383" s="229">
        <f t="shared" si="157"/>
        <v>6</v>
      </c>
      <c r="U383" s="249">
        <f>+MAX(U15:U380)</f>
        <v>0.99381667100078641</v>
      </c>
      <c r="V383" s="372">
        <f>MAX(V15:V380)</f>
        <v>64.52972805471093</v>
      </c>
      <c r="X383" s="112" t="s">
        <v>9</v>
      </c>
      <c r="Y383" s="372">
        <f>MAX(Y15:Y380)</f>
        <v>64.86693472043919</v>
      </c>
      <c r="Z383" s="372">
        <f>MAX(Z15:Z380)</f>
        <v>65.386698341341031</v>
      </c>
      <c r="AA383" s="372">
        <f>MAX(AA15:AA380)</f>
        <v>67.727198950662526</v>
      </c>
      <c r="AB383" s="196" t="s">
        <v>9</v>
      </c>
      <c r="AC383" s="49">
        <f t="shared" ref="AC383:AH383" si="158">MAX(AC15:AC380)</f>
        <v>4.0388588776496807E-2</v>
      </c>
      <c r="AD383" s="166">
        <f t="shared" si="158"/>
        <v>6.4124809173369468E-3</v>
      </c>
      <c r="AE383" s="309">
        <f t="shared" si="158"/>
        <v>0.5</v>
      </c>
      <c r="AF383" s="310">
        <f t="shared" si="158"/>
        <v>0.99381667100078641</v>
      </c>
      <c r="AG383" s="803">
        <f t="shared" si="158"/>
        <v>0</v>
      </c>
      <c r="AH383" s="229">
        <f t="shared" si="158"/>
        <v>6</v>
      </c>
      <c r="AI383" s="223">
        <f>MAX(AI15:AI380)</f>
        <v>0.99381667100078641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W376" sqref="W376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'2023'!An+1</f>
        <v>2024</v>
      </c>
      <c r="K1" s="1250"/>
      <c r="L1" s="113" t="str">
        <f>"Calcul pertes et enveloppes en "&amp;TEXT(An,0)</f>
        <v>Calcul pertes et enveloppes en 2024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2024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466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/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0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244.71492065880142</v>
      </c>
      <c r="AK4" s="825">
        <f>AM12-AK12</f>
        <v>-0.13400936554940923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244.71492065880142</v>
      </c>
      <c r="AA5" s="233">
        <f>Wh_Pvg_s-Wh_Pvg</f>
        <v>-0.13400936554940923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0</v>
      </c>
      <c r="AK5" s="510">
        <f>SUMIF(AK15:AK380,"VRAI",Wh)</f>
        <v>0</v>
      </c>
      <c r="AL5" s="510">
        <f>SUMIF(AJ15:AJ380,"VRAI",Wh_s)</f>
        <v>0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11195.823795010287</v>
      </c>
      <c r="AK6" s="510">
        <f>SUMIF(AK15:AK380,"FAUX",Wh)</f>
        <v>11195.823795010287</v>
      </c>
      <c r="AL6" s="510">
        <f>SUMIF(AJ15:AJ380,"FAUX",Wh_s)</f>
        <v>10951.092256091391</v>
      </c>
      <c r="AM6" s="510">
        <f>SUMIF(AK15:AK380,"FAUX",Wh_s)</f>
        <v>10951.092256091391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AND(YEAR(Tnet)=An,Resal_2024="I")</f>
        <v>0</v>
      </c>
      <c r="F7" s="316" t="b">
        <f>YEAR(Tnet)=An</f>
        <v>0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0</v>
      </c>
      <c r="AK7" s="510">
        <f>SUMIF(AK15:AK380,"VRAI",Wh_sa)</f>
        <v>0</v>
      </c>
      <c r="AL7" s="510">
        <f>SUMIF(AJ15:AJ380,"VRAI",Wh_pvt_s)</f>
        <v>0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AND(YEAR(Tnet)=An,Resal_2024&lt;&gt;"I")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11342.098000933229</v>
      </c>
      <c r="AK8" s="510">
        <f>SUMIF(AK15:AK380,"FAUX",Wh_sa)</f>
        <v>11649.031979615924</v>
      </c>
      <c r="AL8" s="510">
        <f>SUMIF(AJ15:AJ380,"FAUX",Wh_pvt_s)</f>
        <v>11094.185061174223</v>
      </c>
      <c r="AM8" s="510">
        <f>SUMIF(AK15:AK380,"FAUX",Wh_sa_s)</f>
        <v>11649.031979615924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11342.098000933229</v>
      </c>
      <c r="E9" s="180">
        <f>SUM(E$15:E$380)</f>
        <v>11649.031979615924</v>
      </c>
      <c r="F9" s="180">
        <f>SUM(F$15:F$380)</f>
        <v>11655.410721774573</v>
      </c>
      <c r="H9" s="1251">
        <f>+SUM(Wh)</f>
        <v>11195.823795010287</v>
      </c>
      <c r="I9" s="1252"/>
      <c r="J9" s="1253"/>
      <c r="K9" s="187"/>
      <c r="L9" s="228"/>
      <c r="M9" s="228"/>
      <c r="N9" s="228"/>
      <c r="O9" s="219">
        <f>Tnet_2024</f>
        <v>45046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10951.092256091391</v>
      </c>
      <c r="Y9" s="1246"/>
      <c r="Z9" s="510">
        <f>SUM(Z$15:Z$380)</f>
        <v>11094.185061174223</v>
      </c>
      <c r="AA9" s="510">
        <f>SUM(AA$15:AA$380)</f>
        <v>11649.031979615924</v>
      </c>
      <c r="AB9" s="510">
        <f>F9</f>
        <v>11655.410721774573</v>
      </c>
      <c r="AC9" s="321">
        <f>IF(An_Tnet,Tnet,'2023'!Tnet_s)</f>
        <v>45046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0</v>
      </c>
      <c r="AK9" s="510">
        <f>SUMIF(AK15:AK380,"VRAI",Wh_hp)</f>
        <v>0</v>
      </c>
      <c r="AL9" s="510">
        <f>SUMIF(AJ15:AJ380,"VRAI",Wh_sa_s)</f>
        <v>0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IF(Inflex,'2023'!Resal+('2023'!Salim-'2023'!Resal)*(1-EXP(-(Tnet-'2023'!Tnet)/('2023'!Tau_j))),IF(An_Tnet,Resal_2024,'2023'!Resal))</f>
        <v>0</v>
      </c>
      <c r="P10" s="416" t="b">
        <f>NOT(Acti_tai)</f>
        <v>1</v>
      </c>
      <c r="Q10" s="253">
        <f>IF(Acti_tai,'2023'!PousD,Dens-Dd)</f>
        <v>0</v>
      </c>
      <c r="R10" s="270"/>
      <c r="S10" s="271"/>
      <c r="T10" s="272"/>
      <c r="U10" s="262">
        <f>IF(Acti_tai,'2023'!PousH,Hdtf-Hdd)</f>
        <v>0.49999999999999989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IF(OR(Inflex,GainD),'2023'!Resal_s+('2023'!Salim-'2023'!Resal_s)*(1-EXP(('2023'!Tnet_s-Tnet)/('2023'!Tau_j))),IF(Acti_net,'2023'!Resal+('2023'!Salim-'2023'!Resal)*(1-EXP(('2023'!Tnet-Tnet)/'2023'!Tau_j)),'2023'!Resal_s))</f>
        <v>3.042494311351579E-2</v>
      </c>
      <c r="AD10" s="422"/>
      <c r="AE10" s="422"/>
      <c r="AF10" s="256"/>
      <c r="AG10" s="257"/>
      <c r="AH10" s="258"/>
      <c r="AI10" s="517"/>
      <c r="AJ10" s="510">
        <f>SUMIF(AJ15:AJ380,"FAUX",Wh_sa)</f>
        <v>11649.031979615924</v>
      </c>
      <c r="AK10" s="510">
        <f>SUMIF(AK15:AK380,"FAUX",Wh_hp)</f>
        <v>11655.410721774573</v>
      </c>
      <c r="AL10" s="510">
        <f>SUMIF(AJ15:AJ380,"FAUX",Wh_sa_s)</f>
        <v>11649.031979615924</v>
      </c>
      <c r="AM10" s="510">
        <f>SUMIF(AK15:AK380,"FAUX",Wh_hp)</f>
        <v>11655.410721774573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146.2742059229422</v>
      </c>
      <c r="E11" s="51">
        <f>(E$9-D$9)*Prod_an/D$9</f>
        <v>302.97558192057153</v>
      </c>
      <c r="F11" s="182">
        <f>(F$9-E$9)*Prod_an/E$9</f>
        <v>6.1305757737645825</v>
      </c>
      <c r="G11" s="181" t="s">
        <v>6</v>
      </c>
      <c r="K11" s="190"/>
      <c r="L11" s="207">
        <f>Tvie_2024</f>
        <v>44522</v>
      </c>
      <c r="M11" s="835"/>
      <c r="N11" s="835"/>
      <c r="O11" s="198">
        <f>IF(An_Tnet,Salim_2024,'2023'!Salim)</f>
        <v>0.08</v>
      </c>
      <c r="P11" s="252">
        <f>Ttai_2024</f>
        <v>44562</v>
      </c>
      <c r="Q11" s="268">
        <f>Dens_2024</f>
        <v>0.5</v>
      </c>
      <c r="R11" s="273"/>
      <c r="S11" s="226"/>
      <c r="T11" s="226"/>
      <c r="U11" s="262">
        <f>Htf_2024</f>
        <v>1.4938166710007863</v>
      </c>
      <c r="V11" s="422"/>
      <c r="W11" s="513"/>
      <c r="X11" s="520" t="s">
        <v>43</v>
      </c>
      <c r="Y11" s="50">
        <f>Z$9-Prod_an_s</f>
        <v>143.09280508283155</v>
      </c>
      <c r="Z11" s="51">
        <f>(AA$9-Z$9)*Prod_an_s/Z$9</f>
        <v>547.69050257937295</v>
      </c>
      <c r="AA11" s="182">
        <f>(AB$9-AA$9)*Prod_an_s/AA$9</f>
        <v>5.9965664082151733</v>
      </c>
      <c r="AB11" s="521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0</v>
      </c>
      <c r="AK11" s="825">
        <f>IF($AK7=0,0,($AK9-$AK7)*$AK5/$AK7)</f>
        <v>0</v>
      </c>
      <c r="AL11" s="824">
        <f>IF($AL7=0,0,($AL9-$AL7)*$AL5/$AL7)</f>
        <v>0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Pspv_2024</f>
        <v>0</v>
      </c>
      <c r="M12" s="208"/>
      <c r="N12" s="208"/>
      <c r="O12" s="201">
        <f>IF(An_Tnet,Tau_2024*365,'2023'!Tau_j)</f>
        <v>1095</v>
      </c>
      <c r="P12" s="451">
        <f>INDEX(Croivg,MIN(MAX(Ttai-$A$15,0)+1,366))</f>
        <v>2.3909964587625958E-6</v>
      </c>
      <c r="Q12" s="276">
        <f>'2023'!Df</f>
        <v>0.5</v>
      </c>
      <c r="R12" s="274"/>
      <c r="S12" s="275"/>
      <c r="T12" s="275"/>
      <c r="U12" s="263">
        <f>'2023'!Hdf</f>
        <v>0.99381667100078641</v>
      </c>
      <c r="V12" s="512"/>
      <c r="W12" s="499"/>
      <c r="X12" s="500"/>
      <c r="Y12" s="499"/>
      <c r="Z12" s="422"/>
      <c r="AA12" s="422"/>
      <c r="AB12" s="526" t="s">
        <v>106</v>
      </c>
      <c r="AC12" s="314" t="b">
        <f>NOT(An_Tnet)</f>
        <v>1</v>
      </c>
      <c r="AD12" s="422"/>
      <c r="AE12" s="292">
        <f>'2023'!Df_s</f>
        <v>0.5</v>
      </c>
      <c r="AF12" s="199"/>
      <c r="AG12" s="199"/>
      <c r="AH12" s="199"/>
      <c r="AI12" s="293">
        <f>'2023'!Hdf_s</f>
        <v>0.99381667100078641</v>
      </c>
      <c r="AJ12" s="824">
        <f>IF($AJ8=0,0,($AJ10-$AJ8)*$AJ6/$AJ8)</f>
        <v>302.97558192057153</v>
      </c>
      <c r="AK12" s="825">
        <f>IF($AK8=0,0,($AK10-$AK8)*$AK6/$AK8)</f>
        <v>6.1305757737645825</v>
      </c>
      <c r="AL12" s="824">
        <f>IF($AL8=0,0,($AL10-$AL8)*$AL6/$AL8)</f>
        <v>547.69050257937295</v>
      </c>
      <c r="AM12" s="825">
        <f>IF($AM8=0,0,($AM10-$AM8)*$AM6/$AM8)</f>
        <v>5.9965664082151733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260" t="s">
        <v>41</v>
      </c>
      <c r="W13" s="843" t="s">
        <v>46</v>
      </c>
      <c r="X13" s="527"/>
      <c r="Y13" s="260" t="s">
        <v>100</v>
      </c>
      <c r="Z13" s="260" t="s">
        <v>101</v>
      </c>
      <c r="AA13" s="260" t="s">
        <v>74</v>
      </c>
      <c r="AB13" s="498"/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302.97558192057153</v>
      </c>
      <c r="AK13" s="73">
        <f>+AK11+AK12</f>
        <v>6.1305757737645825</v>
      </c>
      <c r="AL13" s="73">
        <f>+AL11+AL12</f>
        <v>547.69050257937295</v>
      </c>
      <c r="AM13" s="73">
        <f>+AM11+AM12</f>
        <v>5.9965664082151733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384"/>
      <c r="D14" s="53" t="s">
        <v>30</v>
      </c>
      <c r="E14" s="158" t="s">
        <v>29</v>
      </c>
      <c r="F14" s="158" t="str">
        <f>"Hors pertes "&amp; TEXT(An,0)</f>
        <v>Hors pertes 2024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2024</v>
      </c>
      <c r="W14" s="829" t="s">
        <v>116</v>
      </c>
      <c r="X14" s="254" t="s">
        <v>2</v>
      </c>
      <c r="Y14" s="107" t="str">
        <f>"Wh / Jour "&amp; TEXT(An,0)</f>
        <v>Wh / Jour 2024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129">
        <f>DATE(An,1,1)</f>
        <v>45292</v>
      </c>
      <c r="B15" s="405">
        <f>'2023'!Wh/'2023'!Env_an*'2024'!Env_an</f>
        <v>0</v>
      </c>
      <c r="C15" s="385"/>
      <c r="D15" s="388">
        <f t="shared" ref="D15:D78" si="0">Wh/(1-Ppv)</f>
        <v>0</v>
      </c>
      <c r="E15" s="380">
        <f>Wh_pvt/(1-Psa)</f>
        <v>0</v>
      </c>
      <c r="F15" s="380">
        <f t="shared" ref="F15:F78" si="1">Wh_sa/(1-Pvg*MEDIAN((-Sdif+Wh/Env_an)/Csdif,0,1))</f>
        <v>0</v>
      </c>
      <c r="G15" s="110">
        <f>+Wh_hp/MaxiM</f>
        <v>0</v>
      </c>
      <c r="H15" s="409" t="b">
        <f>Wh_hp&gt;='2023'!Maxi_hp</f>
        <v>1</v>
      </c>
      <c r="I15" s="374">
        <f>IF(H15,Wh_hp,'2023'!Maxi_hp)</f>
        <v>0</v>
      </c>
      <c r="J15" s="84">
        <f>IF(H15,An,'2023'!An_max)</f>
        <v>2024</v>
      </c>
      <c r="K15" s="193">
        <f>t</f>
        <v>45292</v>
      </c>
      <c r="L15" s="142">
        <f>IF(t&lt;Tvie,1-EXP((T0-t)*PertePVj)+'2023'!Pspv,1-EXP((T0-t)*PertePVj)+Pspv)</f>
        <v>1.0485366761036174E-2</v>
      </c>
      <c r="M15" s="838"/>
      <c r="N15" s="838"/>
      <c r="O15" s="47">
        <f>IF(t&lt;Tnet,'2023'!Resal+('2023'!Salim-'2023'!Resal)*(1-EXP(('2023'!Tnet-t)/('2023'!Tau_j))),Resal+(Salim-Resal)*(1-EXP((Tnet-t)/(Tau_j))))*Salcycl</f>
        <v>1.6106033604694817E-2</v>
      </c>
      <c r="P15" s="298">
        <f>(INDEX(Models!$BJ15:$BT15,,T15)*(1-R15)+INDEX(Models!$BJ15:$BT15,,T15+1)*R15-ERP_i)*Q15*Ramure*Pc/MaxiM</f>
        <v>5.6695612771068757E-3</v>
      </c>
      <c r="Q15" s="299">
        <f t="shared" ref="Q15:Q78" si="2">IF(OR(t&lt;Ttai,Notai),Dd+PousD*Croivg,Dens+PousD*(Croivg-Croi_tai))</f>
        <v>0.5</v>
      </c>
      <c r="R15" s="300">
        <f t="shared" ref="R15:R78" si="3">(Hp_vg-S15)/(INDEX(Echel_vg,T15+1)-S15)</f>
        <v>0.99381786649901582</v>
      </c>
      <c r="S15" s="801">
        <f t="shared" ref="S15:S78" si="4">INDEX(Echel_vg,T15)</f>
        <v>0</v>
      </c>
      <c r="T15" s="245">
        <f t="shared" ref="T15:T78" si="5">MIN(MATCH(Hp_vg,Echel_vg),10)</f>
        <v>6</v>
      </c>
      <c r="U15" s="246">
        <f>IF(OR(t&lt;Ttai,Notai),Hdd+PousH*Croivg,Hdtf+PousH*(Croivg-Croi_tai))</f>
        <v>0.99381786649901582</v>
      </c>
      <c r="V15" s="377">
        <f t="shared" ref="V15:V78" si="6">MaxiM*(1-Ppv)*(1-Pvg)*(1-Psa)</f>
        <v>17.327549273066261</v>
      </c>
      <c r="W15" s="397">
        <f t="shared" ref="W15:W78" si="7">Wh*(A15&gt;Tmaj)</f>
        <v>0</v>
      </c>
      <c r="X15" s="152">
        <f t="shared" ref="X15:X78" si="8">t</f>
        <v>45292</v>
      </c>
      <c r="Y15" s="380">
        <f t="shared" ref="Y15:Y78" si="9">Wh_pvt_s*(1-Ppv)</f>
        <v>0</v>
      </c>
      <c r="Z15" s="380">
        <f t="shared" ref="Z15:Z78" si="10">Wh_sa_s*(1-Psa_s)</f>
        <v>0</v>
      </c>
      <c r="AA15" s="381">
        <f t="shared" ref="AA15:AA78" si="11">Wh_hp*(1-Pvg_s*MEDIAN((-Sdif+Wh/Env_an)/Csdif,0,1))</f>
        <v>0</v>
      </c>
      <c r="AB15" s="193">
        <f t="shared" ref="AB15:AB78" si="12">t</f>
        <v>45292</v>
      </c>
      <c r="AC15" s="119">
        <f>IF(OR(t&lt;Tnet,NoTnet),'2023'!Resal_s+('2023'!Salim-'2023'!Resal_s)*(1-EXP(('2023'!Tnet_s-t)/'2023'!Tau_j)),Resal_s+(Salim-Resal_s)*(1-EXP((Tnet_s-t)/Tau_j)))*Salcycl</f>
        <v>4.0423074078079463E-2</v>
      </c>
      <c r="AD15" s="227">
        <f>(INDEX(Models!$BJ15:$BT15,,AH15)*(1-AF15)+INDEX(Models!$BJ15:$BT15,,AH15+1)*AF15-ERP_i)*AE15*Ramure*Pc/MaxiM</f>
        <v>5.6695612771068757E-3</v>
      </c>
      <c r="AE15" s="299">
        <f t="shared" ref="AE15:AE78" si="13">IF(OR(t&lt;Ttai,Notai),Dd_s+PousD*Croivg,Dens_s+PousD*(Croivg-Croi_tai))</f>
        <v>0.5</v>
      </c>
      <c r="AF15" s="300">
        <f>(Hp_vg_s-AG15)/(INDEX(Echel_vg,AH15+1)-AG15)</f>
        <v>0.99381786649901582</v>
      </c>
      <c r="AG15" s="801">
        <f>INDEX(Echel_vg,AH15)</f>
        <v>0</v>
      </c>
      <c r="AH15" s="245">
        <f t="shared" ref="AH15:AH78" si="14">MIN(MATCH(Hp_vg_s,Echel_vg),10)</f>
        <v>6</v>
      </c>
      <c r="AI15" s="220">
        <f>IF(OR(t&lt;Ttai,Notai),Hdd_s+PousH*Croivg,Hdtai_s+PousH*(Croivg-Croi_tai))</f>
        <v>0.99381786649901582</v>
      </c>
      <c r="AJ15" s="261" t="b">
        <f t="shared" ref="AJ15:AJ78" si="15">t&lt;Tnet</f>
        <v>0</v>
      </c>
      <c r="AK15" s="261" t="b">
        <f t="shared" ref="AK15:AK78" si="16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7">A15+1</f>
        <v>45293</v>
      </c>
      <c r="B16" s="406">
        <f>'2023'!Wh/'2023'!Env_an*'2024'!Env_an</f>
        <v>0</v>
      </c>
      <c r="C16" s="385"/>
      <c r="D16" s="388">
        <f t="shared" si="0"/>
        <v>0</v>
      </c>
      <c r="E16" s="380">
        <f t="shared" ref="E16:E79" si="18">Wh_pvt/(1-Psa)</f>
        <v>0</v>
      </c>
      <c r="F16" s="380">
        <f t="shared" si="1"/>
        <v>0</v>
      </c>
      <c r="G16" s="110">
        <f t="shared" ref="G16:G79" si="19">+Wh_hp/MaxiM</f>
        <v>0</v>
      </c>
      <c r="H16" s="409" t="b">
        <f>Wh_hp&gt;='2023'!Maxi_hp</f>
        <v>1</v>
      </c>
      <c r="I16" s="375">
        <f>IF(H16,Wh_hp,'2023'!Maxi_hp)</f>
        <v>0</v>
      </c>
      <c r="J16" s="85">
        <f>IF(H16,An,'2023'!An_max)</f>
        <v>2024</v>
      </c>
      <c r="K16" s="193">
        <f t="shared" ref="K16:K78" si="20">t</f>
        <v>45293</v>
      </c>
      <c r="L16" s="143">
        <f>IF(t&lt;Tvie,1-EXP((T0-t)*PertePVj)+'2023'!Pspv,1-EXP((T0-t)*PertePVj)+Pspv)</f>
        <v>1.0498912385408676E-2</v>
      </c>
      <c r="M16" s="836"/>
      <c r="N16" s="836"/>
      <c r="O16" s="48">
        <f>IF(t&lt;Tnet,'2023'!Resal+('2023'!Salim-'2023'!Resal)*(1-EXP(('2023'!Tnet-t)/('2023'!Tau_j))),Resal+(Salim-Resal)*(1-EXP((Tnet-t)/(Tau_j))))*Salcycl</f>
        <v>1.6163753114156187E-2</v>
      </c>
      <c r="P16" s="165">
        <f>(INDEX(Models!$BJ16:$BT16,,T16)*(1-R16)+INDEX(Models!$BJ16:$BT16,,T16+1)*R16-ERP_i)*Q16*Ramure*Pc/MaxiM</f>
        <v>5.6187349783759308E-3</v>
      </c>
      <c r="Q16" s="301">
        <f t="shared" si="2"/>
        <v>0.5</v>
      </c>
      <c r="R16" s="173">
        <f t="shared" si="3"/>
        <v>0.99384708111301001</v>
      </c>
      <c r="S16" s="802">
        <f t="shared" si="4"/>
        <v>0</v>
      </c>
      <c r="T16" s="172">
        <f t="shared" si="5"/>
        <v>6</v>
      </c>
      <c r="U16" s="247">
        <f t="shared" ref="U16:U78" si="21">IF(OR(t&lt;Ttai,Notai),Hdd+PousH*Croivg,Hdtf+PousH*(Croivg-Croi_tai))</f>
        <v>0.99384708111301001</v>
      </c>
      <c r="V16" s="378">
        <f t="shared" si="6"/>
        <v>17.500673538843976</v>
      </c>
      <c r="W16" s="397">
        <f t="shared" si="7"/>
        <v>0</v>
      </c>
      <c r="X16" s="153">
        <f t="shared" si="8"/>
        <v>45293</v>
      </c>
      <c r="Y16" s="380">
        <f t="shared" si="9"/>
        <v>0</v>
      </c>
      <c r="Z16" s="380">
        <f t="shared" si="10"/>
        <v>0</v>
      </c>
      <c r="AA16" s="381">
        <f t="shared" si="11"/>
        <v>0</v>
      </c>
      <c r="AB16" s="193">
        <f t="shared" si="12"/>
        <v>45293</v>
      </c>
      <c r="AC16" s="119">
        <f>IF(OR(t&lt;Tnet,NoTnet),'2023'!Resal_s+('2023'!Salim-'2023'!Resal_s)*(1-EXP(('2023'!Tnet_s-t)/'2023'!Tau_j)),Resal_s+(Salim-Resal_s)*(1-EXP((Tnet_s-t)/Tau_j)))*Salcycl</f>
        <v>4.0457625002016891E-2</v>
      </c>
      <c r="AD16" s="227">
        <f>(INDEX(Models!$BJ16:$BT16,,AH16)*(1-AF16)+INDEX(Models!$BJ16:$BT16,,AH16+1)*AF16-ERP_i)*AE16*Ramure*Pc/MaxiM</f>
        <v>5.6187349783759308E-3</v>
      </c>
      <c r="AE16" s="301">
        <f t="shared" si="13"/>
        <v>0.5</v>
      </c>
      <c r="AF16" s="173">
        <f t="shared" ref="AF16:AF78" si="22">(Hp_vg_s-AG16)/(INDEX(Echel_vg,AH16+1)-AG16)</f>
        <v>0.99384708111301001</v>
      </c>
      <c r="AG16" s="802">
        <f t="shared" ref="AG16:AG79" si="23">INDEX(Echel_vg,AH16)</f>
        <v>0</v>
      </c>
      <c r="AH16" s="172">
        <f t="shared" si="14"/>
        <v>6</v>
      </c>
      <c r="AI16" s="221">
        <f t="shared" ref="AI16:AI78" si="24">IF(OR(t&lt;Ttai,Notai),Hdd_s+PousH*Croivg,Hdtai_s+PousH*(Croivg-Croi_tai))</f>
        <v>0.99384708111301001</v>
      </c>
      <c r="AJ16" s="261" t="b">
        <f t="shared" si="15"/>
        <v>0</v>
      </c>
      <c r="AK16" s="261" t="b">
        <f t="shared" si="16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7"/>
        <v>45294</v>
      </c>
      <c r="B17" s="406">
        <f>'2023'!Wh/'2023'!Env_an*'2024'!Env_an</f>
        <v>0</v>
      </c>
      <c r="C17" s="385"/>
      <c r="D17" s="388">
        <f t="shared" si="0"/>
        <v>0</v>
      </c>
      <c r="E17" s="380">
        <f t="shared" si="18"/>
        <v>0</v>
      </c>
      <c r="F17" s="380">
        <f t="shared" si="1"/>
        <v>0</v>
      </c>
      <c r="G17" s="110">
        <f t="shared" si="19"/>
        <v>0</v>
      </c>
      <c r="H17" s="409" t="b">
        <f>Wh_hp&gt;='2023'!Maxi_hp</f>
        <v>1</v>
      </c>
      <c r="I17" s="375">
        <f>IF(H17,Wh_hp,'2023'!Maxi_hp)</f>
        <v>0</v>
      </c>
      <c r="J17" s="85">
        <f>IF(H17,An,'2023'!An_max)</f>
        <v>2024</v>
      </c>
      <c r="K17" s="193">
        <f t="shared" si="20"/>
        <v>45294</v>
      </c>
      <c r="L17" s="143">
        <f>IF(t&lt;Tvie,1-EXP((T0-t)*PertePVj)+'2023'!Pspv,1-EXP((T0-t)*PertePVj)+Pspv)</f>
        <v>1.051245782435295E-2</v>
      </c>
      <c r="M17" s="836"/>
      <c r="N17" s="836"/>
      <c r="O17" s="48">
        <f>IF(t&lt;Tnet,'2023'!Resal+('2023'!Salim-'2023'!Resal)*(1-EXP(('2023'!Tnet-t)/('2023'!Tau_j))),Resal+(Salim-Resal)*(1-EXP((Tnet-t)/(Tau_j))))*Salcycl</f>
        <v>1.6221451180702163E-2</v>
      </c>
      <c r="P17" s="165">
        <f>(INDEX(Models!$BJ17:$BT17,,T17)*(1-R17)+INDEX(Models!$BJ17:$BT17,,T17+1)*R17-ERP_i)*Q17*Ramure*Pc/MaxiM</f>
        <v>5.5738112373805689E-3</v>
      </c>
      <c r="Q17" s="301">
        <f t="shared" si="2"/>
        <v>0.5</v>
      </c>
      <c r="R17" s="173">
        <f t="shared" si="3"/>
        <v>0.99387751770849964</v>
      </c>
      <c r="S17" s="802">
        <f t="shared" si="4"/>
        <v>0</v>
      </c>
      <c r="T17" s="172">
        <f t="shared" si="5"/>
        <v>6</v>
      </c>
      <c r="U17" s="247">
        <f t="shared" si="21"/>
        <v>0.99387751770849964</v>
      </c>
      <c r="V17" s="378">
        <f t="shared" si="6"/>
        <v>17.682222468087875</v>
      </c>
      <c r="W17" s="397">
        <f t="shared" si="7"/>
        <v>0</v>
      </c>
      <c r="X17" s="153">
        <f t="shared" si="8"/>
        <v>45294</v>
      </c>
      <c r="Y17" s="380">
        <f t="shared" si="9"/>
        <v>0</v>
      </c>
      <c r="Z17" s="380">
        <f t="shared" si="10"/>
        <v>0</v>
      </c>
      <c r="AA17" s="381">
        <f t="shared" si="11"/>
        <v>0</v>
      </c>
      <c r="AB17" s="193">
        <f t="shared" si="12"/>
        <v>45294</v>
      </c>
      <c r="AC17" s="119">
        <f>IF(OR(t&lt;Tnet,NoTnet),'2023'!Resal_s+('2023'!Salim-'2023'!Resal_s)*(1-EXP(('2023'!Tnet_s-t)/'2023'!Tau_j)),Resal_s+(Salim-Resal_s)*(1-EXP((Tnet_s-t)/Tau_j)))*Salcycl</f>
        <v>4.0492231127282716E-2</v>
      </c>
      <c r="AD17" s="227">
        <f>(INDEX(Models!$BJ17:$BT17,,AH17)*(1-AF17)+INDEX(Models!$BJ17:$BT17,,AH17+1)*AF17-ERP_i)*AE17*Ramure*Pc/MaxiM</f>
        <v>5.5738112373805689E-3</v>
      </c>
      <c r="AE17" s="301">
        <f t="shared" si="13"/>
        <v>0.5</v>
      </c>
      <c r="AF17" s="173">
        <f>(Hp_vg_s-AG17)/(INDEX(Echel_vg,AH17+1)-AG17)</f>
        <v>0.99387751770849964</v>
      </c>
      <c r="AG17" s="802">
        <f>INDEX(Echel_vg,AH17)</f>
        <v>0</v>
      </c>
      <c r="AH17" s="172">
        <f t="shared" si="14"/>
        <v>6</v>
      </c>
      <c r="AI17" s="221">
        <f t="shared" si="24"/>
        <v>0.99387751770849964</v>
      </c>
      <c r="AJ17" s="261" t="b">
        <f t="shared" si="15"/>
        <v>0</v>
      </c>
      <c r="AK17" s="261" t="b">
        <f t="shared" si="16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7"/>
        <v>45295</v>
      </c>
      <c r="B18" s="406">
        <f>'2023'!Wh/'2023'!Env_an*'2024'!Env_an</f>
        <v>0</v>
      </c>
      <c r="C18" s="385"/>
      <c r="D18" s="388">
        <f t="shared" si="0"/>
        <v>0</v>
      </c>
      <c r="E18" s="380">
        <f t="shared" si="18"/>
        <v>0</v>
      </c>
      <c r="F18" s="380">
        <f t="shared" si="1"/>
        <v>0</v>
      </c>
      <c r="G18" s="110">
        <f t="shared" si="19"/>
        <v>0</v>
      </c>
      <c r="H18" s="409" t="b">
        <f>Wh_hp&gt;='2023'!Maxi_hp</f>
        <v>1</v>
      </c>
      <c r="I18" s="375">
        <f>IF(H18,Wh_hp,'2023'!Maxi_hp)</f>
        <v>0</v>
      </c>
      <c r="J18" s="85">
        <f>IF(H18,An,'2023'!An_max)</f>
        <v>2024</v>
      </c>
      <c r="K18" s="193">
        <f t="shared" si="20"/>
        <v>45295</v>
      </c>
      <c r="L18" s="143">
        <f>IF(t&lt;Tvie,1-EXP((T0-t)*PertePVj)+'2023'!Pspv,1-EXP((T0-t)*PertePVj)+Pspv)</f>
        <v>1.0526003077871549E-2</v>
      </c>
      <c r="M18" s="836"/>
      <c r="N18" s="836"/>
      <c r="O18" s="48">
        <f>IF(t&lt;Tnet,'2023'!Resal+('2023'!Salim-'2023'!Resal)*(1-EXP(('2023'!Tnet-t)/('2023'!Tau_j))),Resal+(Salim-Resal)*(1-EXP((Tnet-t)/(Tau_j))))*Salcycl</f>
        <v>1.6279124442909899E-2</v>
      </c>
      <c r="P18" s="165">
        <f>(INDEX(Models!$BJ18:$BT18,,T18)*(1-R18)+INDEX(Models!$BJ18:$BT18,,T18+1)*R18-ERP_i)*Q18*Ramure*Pc/MaxiM</f>
        <v>5.5351450602445264E-3</v>
      </c>
      <c r="Q18" s="301">
        <f t="shared" si="2"/>
        <v>0.5</v>
      </c>
      <c r="R18" s="173">
        <f t="shared" si="3"/>
        <v>0.99390922723979469</v>
      </c>
      <c r="S18" s="802">
        <f t="shared" si="4"/>
        <v>0</v>
      </c>
      <c r="T18" s="172">
        <f t="shared" si="5"/>
        <v>6</v>
      </c>
      <c r="U18" s="247">
        <f t="shared" si="21"/>
        <v>0.99390922723979469</v>
      </c>
      <c r="V18" s="378">
        <f t="shared" si="6"/>
        <v>17.870572566264574</v>
      </c>
      <c r="W18" s="397">
        <f t="shared" si="7"/>
        <v>0</v>
      </c>
      <c r="X18" s="153">
        <f t="shared" si="8"/>
        <v>45295</v>
      </c>
      <c r="Y18" s="380">
        <f t="shared" si="9"/>
        <v>0</v>
      </c>
      <c r="Z18" s="380">
        <f>Wh_sa_s*(1-Psa_s)</f>
        <v>0</v>
      </c>
      <c r="AA18" s="381">
        <f t="shared" si="11"/>
        <v>0</v>
      </c>
      <c r="AB18" s="193">
        <f>t</f>
        <v>45295</v>
      </c>
      <c r="AC18" s="119">
        <f>IF(OR(t&lt;Tnet,NoTnet),'2023'!Resal_s+('2023'!Salim-'2023'!Resal_s)*(1-EXP(('2023'!Tnet_s-t)/'2023'!Tau_j)),Resal_s+(Salim-Resal_s)*(1-EXP((Tnet_s-t)/Tau_j)))*Salcycl</f>
        <v>4.0526883247501526E-2</v>
      </c>
      <c r="AD18" s="227">
        <f>(INDEX(Models!$BJ18:$BT18,,AH18)*(1-AF18)+INDEX(Models!$BJ18:$BT18,,AH18+1)*AF18-ERP_i)*AE18*Ramure*Pc/MaxiM</f>
        <v>5.5351450602445264E-3</v>
      </c>
      <c r="AE18" s="301">
        <f t="shared" si="13"/>
        <v>0.5</v>
      </c>
      <c r="AF18" s="173">
        <f t="shared" si="22"/>
        <v>0.99390922723979469</v>
      </c>
      <c r="AG18" s="802">
        <f t="shared" si="23"/>
        <v>0</v>
      </c>
      <c r="AH18" s="172">
        <f t="shared" si="14"/>
        <v>6</v>
      </c>
      <c r="AI18" s="221">
        <f t="shared" si="24"/>
        <v>0.99390922723979469</v>
      </c>
      <c r="AJ18" s="261" t="b">
        <f t="shared" si="15"/>
        <v>0</v>
      </c>
      <c r="AK18" s="261" t="b">
        <f t="shared" si="16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7"/>
        <v>45296</v>
      </c>
      <c r="B19" s="406">
        <f>'2023'!Wh/'2023'!Env_an*'2024'!Env_an</f>
        <v>0</v>
      </c>
      <c r="C19" s="385"/>
      <c r="D19" s="388">
        <f t="shared" si="0"/>
        <v>0</v>
      </c>
      <c r="E19" s="380">
        <f t="shared" si="18"/>
        <v>0</v>
      </c>
      <c r="F19" s="380">
        <f t="shared" si="1"/>
        <v>0</v>
      </c>
      <c r="G19" s="110">
        <f t="shared" si="19"/>
        <v>0</v>
      </c>
      <c r="H19" s="409" t="b">
        <f>Wh_hp&gt;='2023'!Maxi_hp</f>
        <v>1</v>
      </c>
      <c r="I19" s="375">
        <f>IF(H19,Wh_hp,'2023'!Maxi_hp)</f>
        <v>0</v>
      </c>
      <c r="J19" s="85">
        <f>IF(H19,An,'2023'!An_max)</f>
        <v>2024</v>
      </c>
      <c r="K19" s="193">
        <f t="shared" si="20"/>
        <v>45296</v>
      </c>
      <c r="L19" s="143">
        <f>IF(t&lt;Tvie,1-EXP((T0-t)*PertePVj)+'2023'!Pspv,1-EXP((T0-t)*PertePVj)+Pspv)</f>
        <v>1.0539548145967026E-2</v>
      </c>
      <c r="M19" s="836"/>
      <c r="N19" s="836"/>
      <c r="O19" s="48">
        <f>IF(t&lt;Tnet,'2023'!Resal+('2023'!Salim-'2023'!Resal)*(1-EXP(('2023'!Tnet-t)/('2023'!Tau_j))),Resal+(Salim-Resal)*(1-EXP((Tnet-t)/(Tau_j))))*Salcycl</f>
        <v>1.6336769977292193E-2</v>
      </c>
      <c r="P19" s="165">
        <f>(INDEX(Models!$BJ19:$BT19,,T19)*(1-R19)+INDEX(Models!$BJ19:$BT19,,T19+1)*R19-ERP_i)*Q19*Ramure*Pc/MaxiM</f>
        <v>5.5030508101190151E-3</v>
      </c>
      <c r="Q19" s="301">
        <f t="shared" si="2"/>
        <v>0.5</v>
      </c>
      <c r="R19" s="173">
        <f t="shared" si="3"/>
        <v>0.99394226277235642</v>
      </c>
      <c r="S19" s="802">
        <f t="shared" si="4"/>
        <v>0</v>
      </c>
      <c r="T19" s="172">
        <f t="shared" si="5"/>
        <v>6</v>
      </c>
      <c r="U19" s="247">
        <f t="shared" si="21"/>
        <v>0.99394226277235642</v>
      </c>
      <c r="V19" s="378">
        <f t="shared" si="6"/>
        <v>18.064100744504263</v>
      </c>
      <c r="W19" s="397">
        <f t="shared" si="7"/>
        <v>0</v>
      </c>
      <c r="X19" s="153">
        <f t="shared" si="8"/>
        <v>45296</v>
      </c>
      <c r="Y19" s="380">
        <f t="shared" si="9"/>
        <v>0</v>
      </c>
      <c r="Z19" s="380">
        <f t="shared" si="10"/>
        <v>0</v>
      </c>
      <c r="AA19" s="381">
        <f t="shared" si="11"/>
        <v>0</v>
      </c>
      <c r="AB19" s="193">
        <f t="shared" si="12"/>
        <v>45296</v>
      </c>
      <c r="AC19" s="119">
        <f>IF(OR(t&lt;Tnet,NoTnet),'2023'!Resal_s+('2023'!Salim-'2023'!Resal_s)*(1-EXP(('2023'!Tnet_s-t)/'2023'!Tau_j)),Resal_s+(Salim-Resal_s)*(1-EXP((Tnet_s-t)/Tau_j)))*Salcycl</f>
        <v>4.0561573346560194E-2</v>
      </c>
      <c r="AD19" s="227">
        <f>(INDEX(Models!$BJ19:$BT19,,AH19)*(1-AF19)+INDEX(Models!$BJ19:$BT19,,AH19+1)*AF19-ERP_i)*AE19*Ramure*Pc/MaxiM</f>
        <v>5.5030508101190151E-3</v>
      </c>
      <c r="AE19" s="301">
        <f t="shared" si="13"/>
        <v>0.5</v>
      </c>
      <c r="AF19" s="173">
        <f t="shared" si="22"/>
        <v>0.99394226277235642</v>
      </c>
      <c r="AG19" s="802">
        <f t="shared" si="23"/>
        <v>0</v>
      </c>
      <c r="AH19" s="172">
        <f t="shared" si="14"/>
        <v>6</v>
      </c>
      <c r="AI19" s="221">
        <f t="shared" si="24"/>
        <v>0.99394226277235642</v>
      </c>
      <c r="AJ19" s="261" t="b">
        <f t="shared" si="15"/>
        <v>0</v>
      </c>
      <c r="AK19" s="261" t="b">
        <f t="shared" si="16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7"/>
        <v>45297</v>
      </c>
      <c r="B20" s="406">
        <f>'2023'!Wh/'2023'!Env_an*'2024'!Env_an</f>
        <v>0</v>
      </c>
      <c r="C20" s="385"/>
      <c r="D20" s="388">
        <f t="shared" si="0"/>
        <v>0</v>
      </c>
      <c r="E20" s="380">
        <f t="shared" si="18"/>
        <v>0</v>
      </c>
      <c r="F20" s="380">
        <f t="shared" si="1"/>
        <v>0</v>
      </c>
      <c r="G20" s="110">
        <f t="shared" si="19"/>
        <v>0</v>
      </c>
      <c r="H20" s="409" t="b">
        <f>Wh_hp&gt;='2023'!Maxi_hp</f>
        <v>1</v>
      </c>
      <c r="I20" s="375">
        <f>IF(H20,Wh_hp,'2023'!Maxi_hp)</f>
        <v>0</v>
      </c>
      <c r="J20" s="85">
        <f>IF(H20,An,'2023'!An_max)</f>
        <v>2024</v>
      </c>
      <c r="K20" s="193">
        <f t="shared" si="20"/>
        <v>45297</v>
      </c>
      <c r="L20" s="143">
        <f>IF(t&lt;Tvie,1-EXP((T0-t)*PertePVj)+'2023'!Pspv,1-EXP((T0-t)*PertePVj)+Pspv)</f>
        <v>1.0553093028641825E-2</v>
      </c>
      <c r="M20" s="836"/>
      <c r="N20" s="836"/>
      <c r="O20" s="48">
        <f>IF(t&lt;Tnet,'2023'!Resal+('2023'!Salim-'2023'!Resal)*(1-EXP(('2023'!Tnet-t)/('2023'!Tau_j))),Resal+(Salim-Resal)*(1-EXP((Tnet-t)/(Tau_j))))*Salcycl</f>
        <v>1.6394385291158688E-2</v>
      </c>
      <c r="P20" s="165">
        <f>(INDEX(Models!$BJ20:$BT20,,T20)*(1-R20)+INDEX(Models!$BJ20:$BT20,,T20+1)*R20-ERP_i)*Q20*Ramure*Pc/MaxiM</f>
        <v>5.4778085347194552E-3</v>
      </c>
      <c r="Q20" s="301">
        <f t="shared" si="2"/>
        <v>0.5</v>
      </c>
      <c r="R20" s="173">
        <f t="shared" si="3"/>
        <v>0.99397667956910707</v>
      </c>
      <c r="S20" s="802">
        <f t="shared" si="4"/>
        <v>0</v>
      </c>
      <c r="T20" s="172">
        <f t="shared" si="5"/>
        <v>6</v>
      </c>
      <c r="U20" s="247">
        <f t="shared" si="21"/>
        <v>0.99397667956910707</v>
      </c>
      <c r="V20" s="378">
        <f t="shared" si="6"/>
        <v>18.261184327877647</v>
      </c>
      <c r="W20" s="397">
        <f t="shared" si="7"/>
        <v>0</v>
      </c>
      <c r="X20" s="153">
        <f t="shared" si="8"/>
        <v>45297</v>
      </c>
      <c r="Y20" s="380">
        <f t="shared" si="9"/>
        <v>0</v>
      </c>
      <c r="Z20" s="380">
        <f t="shared" si="10"/>
        <v>0</v>
      </c>
      <c r="AA20" s="381">
        <f t="shared" si="11"/>
        <v>0</v>
      </c>
      <c r="AB20" s="193">
        <f t="shared" si="12"/>
        <v>45297</v>
      </c>
      <c r="AC20" s="119">
        <f>IF(OR(t&lt;Tnet,NoTnet),'2023'!Resal_s+('2023'!Salim-'2023'!Resal_s)*(1-EXP(('2023'!Tnet_s-t)/'2023'!Tau_j)),Resal_s+(Salim-Resal_s)*(1-EXP((Tnet_s-t)/Tau_j)))*Salcycl</f>
        <v>4.0596294564403591E-2</v>
      </c>
      <c r="AD20" s="227">
        <f>(INDEX(Models!$BJ20:$BT20,,AH20)*(1-AF20)+INDEX(Models!$BJ20:$BT20,,AH20+1)*AF20-ERP_i)*AE20*Ramure*Pc/MaxiM</f>
        <v>5.4778085347194552E-3</v>
      </c>
      <c r="AE20" s="301">
        <f t="shared" si="13"/>
        <v>0.5</v>
      </c>
      <c r="AF20" s="173">
        <f t="shared" si="22"/>
        <v>0.99397667956910707</v>
      </c>
      <c r="AG20" s="802">
        <f t="shared" si="23"/>
        <v>0</v>
      </c>
      <c r="AH20" s="172">
        <f t="shared" si="14"/>
        <v>6</v>
      </c>
      <c r="AI20" s="221">
        <f t="shared" si="24"/>
        <v>0.99397667956910707</v>
      </c>
      <c r="AJ20" s="261" t="b">
        <f t="shared" si="15"/>
        <v>0</v>
      </c>
      <c r="AK20" s="261" t="b">
        <f t="shared" si="16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7"/>
        <v>45298</v>
      </c>
      <c r="B21" s="406">
        <f>'2023'!Wh/'2023'!Env_an*'2024'!Env_an</f>
        <v>5.965942036121386</v>
      </c>
      <c r="C21" s="385"/>
      <c r="D21" s="388">
        <f t="shared" si="0"/>
        <v>6.0296552184265737</v>
      </c>
      <c r="E21" s="380">
        <f t="shared" si="18"/>
        <v>6.1305142445104117</v>
      </c>
      <c r="F21" s="380">
        <f t="shared" si="1"/>
        <v>6.1316227328568775</v>
      </c>
      <c r="G21" s="110">
        <f t="shared" si="19"/>
        <v>0.32147227330999012</v>
      </c>
      <c r="H21" s="409" t="b">
        <f>Wh_hp&gt;='2023'!Maxi_hp</f>
        <v>0</v>
      </c>
      <c r="I21" s="375">
        <f>IF(H21,Wh_hp,'2023'!Maxi_hp)</f>
        <v>6.1641621547056991</v>
      </c>
      <c r="J21" s="85">
        <f>IF(H21,An,'2023'!An_max)</f>
        <v>2022</v>
      </c>
      <c r="K21" s="193">
        <f t="shared" si="20"/>
        <v>45298</v>
      </c>
      <c r="L21" s="143">
        <f>IF(t&lt;Tvie,1-EXP((T0-t)*PertePVj)+'2023'!Pspv,1-EXP((T0-t)*PertePVj)+Pspv)</f>
        <v>1.0566637725898609E-2</v>
      </c>
      <c r="M21" s="836"/>
      <c r="N21" s="836"/>
      <c r="O21" s="48">
        <f>IF(t&lt;Tnet,'2023'!Resal+('2023'!Salim-'2023'!Resal)*(1-EXP(('2023'!Tnet-t)/('2023'!Tau_j))),Resal+(Salim-Resal)*(1-EXP((Tnet-t)/(Tau_j))))*Salcycl</f>
        <v>1.6451968311492454E-2</v>
      </c>
      <c r="P21" s="165">
        <f>(INDEX(Models!$BJ21:$BT21,,T21)*(1-R21)+INDEX(Models!$BJ21:$BT21,,T21+1)*R21-ERP_i)*Q21*Ramure*Pc/MaxiM</f>
        <v>5.4596705977389293E-3</v>
      </c>
      <c r="Q21" s="301">
        <f t="shared" si="2"/>
        <v>0.5</v>
      </c>
      <c r="R21" s="173">
        <f t="shared" si="3"/>
        <v>0.9940125351801703</v>
      </c>
      <c r="S21" s="802">
        <f t="shared" si="4"/>
        <v>0</v>
      </c>
      <c r="T21" s="172">
        <f t="shared" si="5"/>
        <v>6</v>
      </c>
      <c r="U21" s="247">
        <f t="shared" si="21"/>
        <v>0.9940125351801703</v>
      </c>
      <c r="V21" s="378">
        <f t="shared" si="6"/>
        <v>18.460201056896778</v>
      </c>
      <c r="W21" s="397">
        <f t="shared" si="7"/>
        <v>5.965942036121386</v>
      </c>
      <c r="X21" s="153">
        <f t="shared" si="8"/>
        <v>45298</v>
      </c>
      <c r="Y21" s="380">
        <f t="shared" si="9"/>
        <v>5.8192781799435451</v>
      </c>
      <c r="Z21" s="380">
        <f t="shared" si="10"/>
        <v>5.8814250679485767</v>
      </c>
      <c r="AA21" s="381">
        <f t="shared" si="11"/>
        <v>6.1305142445104117</v>
      </c>
      <c r="AB21" s="193">
        <f t="shared" si="12"/>
        <v>45298</v>
      </c>
      <c r="AC21" s="119">
        <f>IF(OR(t&lt;Tnet,NoTnet),'2023'!Resal_s+('2023'!Salim-'2023'!Resal_s)*(1-EXP(('2023'!Tnet_s-t)/'2023'!Tau_j)),Resal_s+(Salim-Resal_s)*(1-EXP((Tnet_s-t)/Tau_j)))*Salcycl</f>
        <v>4.0631041153665531E-2</v>
      </c>
      <c r="AD21" s="227">
        <f>(INDEX(Models!$BJ21:$BT21,,AH21)*(1-AF21)+INDEX(Models!$BJ21:$BT21,,AH21+1)*AF21-ERP_i)*AE21*Ramure*Pc/MaxiM</f>
        <v>5.4596705977389293E-3</v>
      </c>
      <c r="AE21" s="301">
        <f t="shared" si="13"/>
        <v>0.5</v>
      </c>
      <c r="AF21" s="173">
        <f t="shared" si="22"/>
        <v>0.9940125351801703</v>
      </c>
      <c r="AG21" s="802">
        <f t="shared" si="23"/>
        <v>0</v>
      </c>
      <c r="AH21" s="172">
        <f t="shared" si="14"/>
        <v>6</v>
      </c>
      <c r="AI21" s="221">
        <f t="shared" si="24"/>
        <v>0.9940125351801703</v>
      </c>
      <c r="AJ21" s="261" t="b">
        <f t="shared" si="15"/>
        <v>0</v>
      </c>
      <c r="AK21" s="261" t="b">
        <f t="shared" si="16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7"/>
        <v>45299</v>
      </c>
      <c r="B22" s="406">
        <f>'2023'!Wh/'2023'!Env_an*'2024'!Env_an</f>
        <v>7.7928245221206422</v>
      </c>
      <c r="C22" s="385"/>
      <c r="D22" s="388">
        <f t="shared" si="0"/>
        <v>7.8761556845964833</v>
      </c>
      <c r="E22" s="380">
        <f t="shared" si="18"/>
        <v>8.0083700083553708</v>
      </c>
      <c r="F22" s="380">
        <f t="shared" si="1"/>
        <v>8.0157096919805255</v>
      </c>
      <c r="G22" s="110">
        <f t="shared" si="19"/>
        <v>0.41573748318962284</v>
      </c>
      <c r="H22" s="409" t="b">
        <f>Wh_hp&gt;='2023'!Maxi_hp</f>
        <v>0</v>
      </c>
      <c r="I22" s="375">
        <f>IF(H22,Wh_hp,'2023'!Maxi_hp)</f>
        <v>8.052237097122509</v>
      </c>
      <c r="J22" s="85">
        <f>IF(H22,An,'2023'!An_max)</f>
        <v>2022</v>
      </c>
      <c r="K22" s="193">
        <f t="shared" si="20"/>
        <v>45299</v>
      </c>
      <c r="L22" s="143">
        <f>IF(t&lt;Tvie,1-EXP((T0-t)*PertePVj)+'2023'!Pspv,1-EXP((T0-t)*PertePVj)+Pspv)</f>
        <v>1.0580182237739821E-2</v>
      </c>
      <c r="M22" s="836"/>
      <c r="N22" s="836"/>
      <c r="O22" s="48">
        <f>IF(t&lt;Tnet,'2023'!Resal+('2023'!Salim-'2023'!Resal)*(1-EXP(('2023'!Tnet-t)/('2023'!Tau_j))),Resal+(Salim-Resal)*(1-EXP((Tnet-t)/(Tau_j))))*Salcycl</f>
        <v>1.6509517370069525E-2</v>
      </c>
      <c r="P22" s="165">
        <f>(INDEX(Models!$BJ22:$BT22,,T22)*(1-R22)+INDEX(Models!$BJ22:$BT22,,T22+1)*R22-ERP_i)*Q22*Ramure*Pc/MaxiM</f>
        <v>5.4488684579135265E-3</v>
      </c>
      <c r="Q22" s="301">
        <f t="shared" si="2"/>
        <v>0.5</v>
      </c>
      <c r="R22" s="173">
        <f t="shared" si="3"/>
        <v>0.99404988953616746</v>
      </c>
      <c r="S22" s="802">
        <f t="shared" si="4"/>
        <v>0</v>
      </c>
      <c r="T22" s="172">
        <f t="shared" si="5"/>
        <v>6</v>
      </c>
      <c r="U22" s="247">
        <f t="shared" si="21"/>
        <v>0.99404988953616746</v>
      </c>
      <c r="V22" s="378">
        <f t="shared" si="6"/>
        <v>18.659529100331859</v>
      </c>
      <c r="W22" s="397">
        <f t="shared" si="7"/>
        <v>7.7928245221206422</v>
      </c>
      <c r="X22" s="153">
        <f t="shared" si="8"/>
        <v>45299</v>
      </c>
      <c r="Y22" s="380">
        <f t="shared" si="9"/>
        <v>7.6014187681826568</v>
      </c>
      <c r="Z22" s="380">
        <f t="shared" si="10"/>
        <v>7.6827031677761903</v>
      </c>
      <c r="AA22" s="381">
        <f t="shared" si="11"/>
        <v>8.0083700083553708</v>
      </c>
      <c r="AB22" s="193">
        <f t="shared" si="12"/>
        <v>45299</v>
      </c>
      <c r="AC22" s="119">
        <f>IF(OR(t&lt;Tnet,NoTnet),'2023'!Resal_s+('2023'!Salim-'2023'!Resal_s)*(1-EXP(('2023'!Tnet_s-t)/'2023'!Tau_j)),Resal_s+(Salim-Resal_s)*(1-EXP((Tnet_s-t)/Tau_j)))*Salcycl</f>
        <v>4.0665808427857678E-2</v>
      </c>
      <c r="AD22" s="227">
        <f>(INDEX(Models!$BJ22:$BT22,,AH22)*(1-AF22)+INDEX(Models!$BJ22:$BT22,,AH22+1)*AF22-ERP_i)*AE22*Ramure*Pc/MaxiM</f>
        <v>5.4488684579135265E-3</v>
      </c>
      <c r="AE22" s="301">
        <f t="shared" si="13"/>
        <v>0.5</v>
      </c>
      <c r="AF22" s="173">
        <f t="shared" si="22"/>
        <v>0.99404988953616746</v>
      </c>
      <c r="AG22" s="802">
        <f t="shared" si="23"/>
        <v>0</v>
      </c>
      <c r="AH22" s="172">
        <f t="shared" si="14"/>
        <v>6</v>
      </c>
      <c r="AI22" s="221">
        <f t="shared" si="24"/>
        <v>0.99404988953616746</v>
      </c>
      <c r="AJ22" s="261" t="b">
        <f t="shared" si="15"/>
        <v>0</v>
      </c>
      <c r="AK22" s="261" t="b">
        <f t="shared" si="16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7"/>
        <v>45300</v>
      </c>
      <c r="B23" s="406">
        <f>'2023'!Wh/'2023'!Env_an*'2024'!Env_an</f>
        <v>2.3408005255166504</v>
      </c>
      <c r="C23" s="385"/>
      <c r="D23" s="388">
        <f t="shared" si="0"/>
        <v>2.3658638401270089</v>
      </c>
      <c r="E23" s="380">
        <f t="shared" si="18"/>
        <v>2.4057194696024697</v>
      </c>
      <c r="F23" s="380">
        <f t="shared" si="1"/>
        <v>2.4057194696024697</v>
      </c>
      <c r="G23" s="110">
        <f t="shared" si="19"/>
        <v>0.12342803203275798</v>
      </c>
      <c r="H23" s="409" t="b">
        <f>Wh_hp&gt;='2023'!Maxi_hp</f>
        <v>0</v>
      </c>
      <c r="I23" s="375">
        <f>IF(H23,Wh_hp,'2023'!Maxi_hp)</f>
        <v>2.4188853930491918</v>
      </c>
      <c r="J23" s="85">
        <f>IF(H23,An,'2023'!An_max)</f>
        <v>2022</v>
      </c>
      <c r="K23" s="193">
        <f t="shared" si="20"/>
        <v>45300</v>
      </c>
      <c r="L23" s="143">
        <f>IF(t&lt;Tvie,1-EXP((T0-t)*PertePVj)+'2023'!Pspv,1-EXP((T0-t)*PertePVj)+Pspv)</f>
        <v>1.0593726564168127E-2</v>
      </c>
      <c r="M23" s="836"/>
      <c r="N23" s="836"/>
      <c r="O23" s="48">
        <f>IF(t&lt;Tnet,'2023'!Resal+('2023'!Salim-'2023'!Resal)*(1-EXP(('2023'!Tnet-t)/('2023'!Tau_j))),Resal+(Salim-Resal)*(1-EXP((Tnet-t)/(Tau_j))))*Salcycl</f>
        <v>1.6567031185081058E-2</v>
      </c>
      <c r="P23" s="165">
        <f>(INDEX(Models!$BJ23:$BT23,,T23)*(1-R23)+INDEX(Models!$BJ23:$BT23,,T23+1)*R23-ERP_i)*Q23*Ramure*Pc/MaxiM</f>
        <v>5.4444417565564715E-3</v>
      </c>
      <c r="Q23" s="301">
        <f t="shared" si="2"/>
        <v>0.5</v>
      </c>
      <c r="R23" s="173">
        <f t="shared" si="3"/>
        <v>0.99408880504520258</v>
      </c>
      <c r="S23" s="802">
        <f t="shared" si="4"/>
        <v>0</v>
      </c>
      <c r="T23" s="172">
        <f t="shared" si="5"/>
        <v>6</v>
      </c>
      <c r="U23" s="247">
        <f t="shared" si="21"/>
        <v>0.99408880504520258</v>
      </c>
      <c r="V23" s="378">
        <f t="shared" si="6"/>
        <v>18.86164864699365</v>
      </c>
      <c r="W23" s="397">
        <f t="shared" si="7"/>
        <v>2.3408005255166504</v>
      </c>
      <c r="X23" s="153">
        <f t="shared" si="8"/>
        <v>45300</v>
      </c>
      <c r="Y23" s="380">
        <f t="shared" si="9"/>
        <v>2.2833570034134221</v>
      </c>
      <c r="Z23" s="380">
        <f t="shared" si="10"/>
        <v>2.3078052613151434</v>
      </c>
      <c r="AA23" s="381">
        <f t="shared" si="11"/>
        <v>2.4057194696024697</v>
      </c>
      <c r="AB23" s="193">
        <f t="shared" si="12"/>
        <v>45300</v>
      </c>
      <c r="AC23" s="119">
        <f>IF(OR(t&lt;Tnet,NoTnet),'2023'!Resal_s+('2023'!Salim-'2023'!Resal_s)*(1-EXP(('2023'!Tnet_s-t)/'2023'!Tau_j)),Resal_s+(Salim-Resal_s)*(1-EXP((Tnet_s-t)/Tau_j)))*Salcycl</f>
        <v>4.0700592701902127E-2</v>
      </c>
      <c r="AD23" s="227">
        <f>(INDEX(Models!$BJ23:$BT23,,AH23)*(1-AF23)+INDEX(Models!$BJ23:$BT23,,AH23+1)*AF23-ERP_i)*AE23*Ramure*Pc/MaxiM</f>
        <v>5.4444417565564715E-3</v>
      </c>
      <c r="AE23" s="301">
        <f t="shared" si="13"/>
        <v>0.5</v>
      </c>
      <c r="AF23" s="173">
        <f t="shared" si="22"/>
        <v>0.99408880504520258</v>
      </c>
      <c r="AG23" s="802">
        <f t="shared" si="23"/>
        <v>0</v>
      </c>
      <c r="AH23" s="172">
        <f t="shared" si="14"/>
        <v>6</v>
      </c>
      <c r="AI23" s="221">
        <f t="shared" si="24"/>
        <v>0.99408880504520258</v>
      </c>
      <c r="AJ23" s="261" t="b">
        <f t="shared" si="15"/>
        <v>0</v>
      </c>
      <c r="AK23" s="261" t="b">
        <f t="shared" si="16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7"/>
        <v>45301</v>
      </c>
      <c r="B24" s="406">
        <f>'2023'!Wh/'2023'!Env_an*'2024'!Env_an</f>
        <v>1.9356178091633516</v>
      </c>
      <c r="C24" s="385"/>
      <c r="D24" s="388">
        <f t="shared" si="0"/>
        <v>1.9563695505857979</v>
      </c>
      <c r="E24" s="380">
        <f t="shared" si="18"/>
        <v>1.9894430643956202</v>
      </c>
      <c r="F24" s="380">
        <f t="shared" si="1"/>
        <v>1.9894430643956202</v>
      </c>
      <c r="G24" s="110">
        <f t="shared" si="19"/>
        <v>0.10094698682751629</v>
      </c>
      <c r="H24" s="409" t="b">
        <f>Wh_hp&gt;='2023'!Maxi_hp</f>
        <v>0</v>
      </c>
      <c r="I24" s="375">
        <f>IF(H24,Wh_hp,'2023'!Maxi_hp)</f>
        <v>2.0003417507562942</v>
      </c>
      <c r="J24" s="85">
        <f>IF(H24,An,'2023'!An_max)</f>
        <v>2022</v>
      </c>
      <c r="K24" s="193">
        <f t="shared" si="20"/>
        <v>45301</v>
      </c>
      <c r="L24" s="143">
        <f>IF(t&lt;Tvie,1-EXP((T0-t)*PertePVj)+'2023'!Pspv,1-EXP((T0-t)*PertePVj)+Pspv)</f>
        <v>1.0607270705185856E-2</v>
      </c>
      <c r="M24" s="836"/>
      <c r="N24" s="836"/>
      <c r="O24" s="48">
        <f>IF(t&lt;Tnet,'2023'!Resal+('2023'!Salim-'2023'!Resal)*(1-EXP(('2023'!Tnet-t)/('2023'!Tau_j))),Resal+(Salim-Resal)*(1-EXP((Tnet-t)/(Tau_j))))*Salcycl</f>
        <v>1.662450883954792E-2</v>
      </c>
      <c r="P24" s="165">
        <f>(INDEX(Models!$BJ24:$BT24,,T24)*(1-R24)+INDEX(Models!$BJ24:$BT24,,T24+1)*R24-ERP_i)*Q24*Ramure*Pc/MaxiM</f>
        <v>5.4500932134321804E-3</v>
      </c>
      <c r="Q24" s="301">
        <f t="shared" si="2"/>
        <v>0.5</v>
      </c>
      <c r="R24" s="173">
        <f t="shared" si="3"/>
        <v>0.99412934669367214</v>
      </c>
      <c r="S24" s="802">
        <f t="shared" si="4"/>
        <v>0</v>
      </c>
      <c r="T24" s="172">
        <f t="shared" si="5"/>
        <v>6</v>
      </c>
      <c r="U24" s="247">
        <f t="shared" si="21"/>
        <v>0.99412934669367214</v>
      </c>
      <c r="V24" s="378">
        <f t="shared" si="6"/>
        <v>19.070093840117412</v>
      </c>
      <c r="W24" s="397">
        <f t="shared" si="7"/>
        <v>1.9356178091633516</v>
      </c>
      <c r="X24" s="153">
        <f t="shared" si="8"/>
        <v>45301</v>
      </c>
      <c r="Y24" s="380">
        <f t="shared" si="9"/>
        <v>1.8881593827930818</v>
      </c>
      <c r="Z24" s="380">
        <f t="shared" si="10"/>
        <v>1.9084023228459139</v>
      </c>
      <c r="AA24" s="381">
        <f t="shared" si="11"/>
        <v>1.9894430643956202</v>
      </c>
      <c r="AB24" s="193">
        <f t="shared" si="12"/>
        <v>45301</v>
      </c>
      <c r="AC24" s="119">
        <f>IF(OR(t&lt;Tnet,NoTnet),'2023'!Resal_s+('2023'!Salim-'2023'!Resal_s)*(1-EXP(('2023'!Tnet_s-t)/'2023'!Tau_j)),Resal_s+(Salim-Resal_s)*(1-EXP((Tnet_s-t)/Tau_j)))*Salcycl</f>
        <v>4.0735391225848336E-2</v>
      </c>
      <c r="AD24" s="227">
        <f>(INDEX(Models!$BJ24:$BT24,,AH24)*(1-AF24)+INDEX(Models!$BJ24:$BT24,,AH24+1)*AF24-ERP_i)*AE24*Ramure*Pc/MaxiM</f>
        <v>5.4500932134321804E-3</v>
      </c>
      <c r="AE24" s="301">
        <f t="shared" si="13"/>
        <v>0.5</v>
      </c>
      <c r="AF24" s="173">
        <f t="shared" si="22"/>
        <v>0.99412934669367214</v>
      </c>
      <c r="AG24" s="802">
        <f t="shared" si="23"/>
        <v>0</v>
      </c>
      <c r="AH24" s="172">
        <f t="shared" si="14"/>
        <v>6</v>
      </c>
      <c r="AI24" s="221">
        <f t="shared" si="24"/>
        <v>0.99412934669367214</v>
      </c>
      <c r="AJ24" s="261" t="b">
        <f t="shared" si="15"/>
        <v>0</v>
      </c>
      <c r="AK24" s="261" t="b">
        <f t="shared" si="16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7"/>
        <v>45302</v>
      </c>
      <c r="B25" s="406">
        <f>'2023'!Wh/'2023'!Env_an*'2024'!Env_an</f>
        <v>19.423243056947229</v>
      </c>
      <c r="C25" s="385"/>
      <c r="D25" s="388">
        <f t="shared" si="0"/>
        <v>19.631748216219101</v>
      </c>
      <c r="E25" s="380">
        <f t="shared" si="18"/>
        <v>19.964800006838619</v>
      </c>
      <c r="F25" s="380">
        <f t="shared" si="1"/>
        <v>20.074424837955931</v>
      </c>
      <c r="G25" s="110">
        <f t="shared" si="19"/>
        <v>1.0071655941106643</v>
      </c>
      <c r="H25" s="409" t="b">
        <f>Wh_hp&gt;='2023'!Maxi_hp</f>
        <v>1</v>
      </c>
      <c r="I25" s="375">
        <f>IF(H25,Wh_hp,'2023'!Maxi_hp)</f>
        <v>20.074424837955931</v>
      </c>
      <c r="J25" s="85">
        <f>IF(H25,An,'2023'!An_max)</f>
        <v>2024</v>
      </c>
      <c r="K25" s="193">
        <f t="shared" si="20"/>
        <v>45302</v>
      </c>
      <c r="L25" s="143">
        <f>IF(t&lt;Tvie,1-EXP((T0-t)*PertePVj)+'2023'!Pspv,1-EXP((T0-t)*PertePVj)+Pspv)</f>
        <v>1.0620814660795785E-2</v>
      </c>
      <c r="M25" s="836"/>
      <c r="N25" s="836"/>
      <c r="O25" s="48">
        <f>IF(t&lt;Tnet,'2023'!Resal+('2023'!Salim-'2023'!Resal)*(1-EXP(('2023'!Tnet-t)/('2023'!Tau_j))),Resal+(Salim-Resal)*(1-EXP((Tnet-t)/(Tau_j))))*Salcycl</f>
        <v>1.6681949756843926E-2</v>
      </c>
      <c r="P25" s="165">
        <f>(INDEX(Models!$BJ25:$BT25,,T25)*(1-R25)+INDEX(Models!$BJ25:$BT25,,T25+1)*R25-ERP_i)*Q25*Ramure*Pc/MaxiM</f>
        <v>5.4609201509992194E-3</v>
      </c>
      <c r="Q25" s="301">
        <f t="shared" si="2"/>
        <v>0.5</v>
      </c>
      <c r="R25" s="173">
        <f t="shared" si="3"/>
        <v>0.99417158215103818</v>
      </c>
      <c r="S25" s="802">
        <f t="shared" si="4"/>
        <v>0</v>
      </c>
      <c r="T25" s="172">
        <f t="shared" si="5"/>
        <v>6</v>
      </c>
      <c r="U25" s="247">
        <f t="shared" si="21"/>
        <v>0.99417158215103818</v>
      </c>
      <c r="V25" s="378">
        <f t="shared" si="6"/>
        <v>19.28505418624642</v>
      </c>
      <c r="W25" s="397">
        <f t="shared" si="7"/>
        <v>19.423243056947229</v>
      </c>
      <c r="X25" s="153">
        <f t="shared" si="8"/>
        <v>45302</v>
      </c>
      <c r="Y25" s="380">
        <f t="shared" si="9"/>
        <v>18.94743364796869</v>
      </c>
      <c r="Z25" s="380">
        <f t="shared" si="10"/>
        <v>19.150831075420946</v>
      </c>
      <c r="AA25" s="381">
        <f t="shared" si="11"/>
        <v>19.964800006838619</v>
      </c>
      <c r="AB25" s="193">
        <f t="shared" si="12"/>
        <v>45302</v>
      </c>
      <c r="AC25" s="119">
        <f>IF(OR(t&lt;Tnet,NoTnet),'2023'!Resal_s+('2023'!Salim-'2023'!Resal_s)*(1-EXP(('2023'!Tnet_s-t)/'2023'!Tau_j)),Resal_s+(Salim-Resal_s)*(1-EXP((Tnet_s-t)/Tau_j)))*Salcycl</f>
        <v>4.0770202112661282E-2</v>
      </c>
      <c r="AD25" s="227">
        <f>(INDEX(Models!$BJ25:$BT25,,AH25)*(1-AF25)+INDEX(Models!$BJ25:$BT25,,AH25+1)*AF25-ERP_i)*AE25*Ramure*Pc/MaxiM</f>
        <v>5.4609201509992194E-3</v>
      </c>
      <c r="AE25" s="301">
        <f t="shared" si="13"/>
        <v>0.5</v>
      </c>
      <c r="AF25" s="173">
        <f t="shared" si="22"/>
        <v>0.99417158215103818</v>
      </c>
      <c r="AG25" s="802">
        <f t="shared" si="23"/>
        <v>0</v>
      </c>
      <c r="AH25" s="172">
        <f t="shared" si="14"/>
        <v>6</v>
      </c>
      <c r="AI25" s="221">
        <f t="shared" si="24"/>
        <v>0.99417158215103818</v>
      </c>
      <c r="AJ25" s="261" t="b">
        <f t="shared" si="15"/>
        <v>0</v>
      </c>
      <c r="AK25" s="261" t="b">
        <f t="shared" si="16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7"/>
        <v>45303</v>
      </c>
      <c r="B26" s="406">
        <f>'2023'!Wh/'2023'!Env_an*'2024'!Env_an</f>
        <v>17.435080873356121</v>
      </c>
      <c r="C26" s="385"/>
      <c r="D26" s="388">
        <f t="shared" si="0"/>
        <v>17.622484692015831</v>
      </c>
      <c r="E26" s="380">
        <f t="shared" si="18"/>
        <v>17.922495686018866</v>
      </c>
      <c r="F26" s="380">
        <f t="shared" si="1"/>
        <v>18.006149147468104</v>
      </c>
      <c r="G26" s="110">
        <f t="shared" si="19"/>
        <v>0.89305665478280216</v>
      </c>
      <c r="H26" s="409" t="b">
        <f>Wh_hp&gt;='2023'!Maxi_hp</f>
        <v>0</v>
      </c>
      <c r="I26" s="375">
        <f>IF(H26,Wh_hp,'2023'!Maxi_hp)</f>
        <v>18.021186492350228</v>
      </c>
      <c r="J26" s="85">
        <f>IF(H26,An,'2023'!An_max)</f>
        <v>2022</v>
      </c>
      <c r="K26" s="193">
        <f t="shared" si="20"/>
        <v>45303</v>
      </c>
      <c r="L26" s="143">
        <f>IF(t&lt;Tvie,1-EXP((T0-t)*PertePVj)+'2023'!Pspv,1-EXP((T0-t)*PertePVj)+Pspv)</f>
        <v>1.0634358431000246E-2</v>
      </c>
      <c r="M26" s="836"/>
      <c r="N26" s="836"/>
      <c r="O26" s="48">
        <f>IF(t&lt;Tnet,'2023'!Resal+('2023'!Salim-'2023'!Resal)*(1-EXP(('2023'!Tnet-t)/('2023'!Tau_j))),Resal+(Salim-Resal)*(1-EXP((Tnet-t)/(Tau_j))))*Salcycl</f>
        <v>1.673935367366668E-2</v>
      </c>
      <c r="P26" s="165">
        <f>(INDEX(Models!$BJ26:$BT26,,T26)*(1-R26)+INDEX(Models!$BJ26:$BT26,,T26+1)*R26-ERP_i)*Q26*Ramure*Pc/MaxiM</f>
        <v>5.4766993883958526E-3</v>
      </c>
      <c r="Q26" s="301">
        <f t="shared" si="2"/>
        <v>0.5</v>
      </c>
      <c r="R26" s="173">
        <f t="shared" si="3"/>
        <v>0.99421558187870929</v>
      </c>
      <c r="S26" s="802">
        <f t="shared" si="4"/>
        <v>0</v>
      </c>
      <c r="T26" s="172">
        <f t="shared" si="5"/>
        <v>6</v>
      </c>
      <c r="U26" s="247">
        <f t="shared" si="21"/>
        <v>0.99421558187870929</v>
      </c>
      <c r="V26" s="378">
        <f t="shared" si="6"/>
        <v>19.506631348678635</v>
      </c>
      <c r="W26" s="397">
        <f t="shared" si="7"/>
        <v>17.435080873356121</v>
      </c>
      <c r="X26" s="153">
        <f t="shared" si="8"/>
        <v>45303</v>
      </c>
      <c r="Y26" s="380">
        <f t="shared" si="9"/>
        <v>17.008350774343786</v>
      </c>
      <c r="Z26" s="380">
        <f t="shared" si="10"/>
        <v>17.191167814733134</v>
      </c>
      <c r="AA26" s="381">
        <f t="shared" si="11"/>
        <v>17.922495686018866</v>
      </c>
      <c r="AB26" s="193">
        <f t="shared" si="12"/>
        <v>45303</v>
      </c>
      <c r="AC26" s="119">
        <f>IF(OR(t&lt;Tnet,NoTnet),'2023'!Resal_s+('2023'!Salim-'2023'!Resal_s)*(1-EXP(('2023'!Tnet_s-t)/'2023'!Tau_j)),Resal_s+(Salim-Resal_s)*(1-EXP((Tnet_s-t)/Tau_j)))*Salcycl</f>
        <v>4.0805024261003665E-2</v>
      </c>
      <c r="AD26" s="227">
        <f>(INDEX(Models!$BJ26:$BT26,,AH26)*(1-AF26)+INDEX(Models!$BJ26:$BT26,,AH26+1)*AF26-ERP_i)*AE26*Ramure*Pc/MaxiM</f>
        <v>5.4766993883958526E-3</v>
      </c>
      <c r="AE26" s="301">
        <f t="shared" si="13"/>
        <v>0.5</v>
      </c>
      <c r="AF26" s="173">
        <f t="shared" si="22"/>
        <v>0.99421558187870929</v>
      </c>
      <c r="AG26" s="802">
        <f t="shared" si="23"/>
        <v>0</v>
      </c>
      <c r="AH26" s="172">
        <f t="shared" si="14"/>
        <v>6</v>
      </c>
      <c r="AI26" s="221">
        <f t="shared" si="24"/>
        <v>0.99421558187870929</v>
      </c>
      <c r="AJ26" s="261" t="b">
        <f t="shared" si="15"/>
        <v>0</v>
      </c>
      <c r="AK26" s="261" t="b">
        <f t="shared" si="16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7"/>
        <v>45304</v>
      </c>
      <c r="B27" s="406">
        <f>'2023'!Wh/'2023'!Env_an*'2024'!Env_an</f>
        <v>5.9233859092547005</v>
      </c>
      <c r="C27" s="385"/>
      <c r="D27" s="388">
        <f t="shared" si="0"/>
        <v>5.9871363504697479</v>
      </c>
      <c r="E27" s="380">
        <f t="shared" si="18"/>
        <v>6.0894186136047619</v>
      </c>
      <c r="F27" s="380">
        <f t="shared" si="1"/>
        <v>6.0894256597798915</v>
      </c>
      <c r="G27" s="110">
        <f t="shared" si="19"/>
        <v>0.29849771721518265</v>
      </c>
      <c r="H27" s="409" t="b">
        <f>Wh_hp&gt;='2023'!Maxi_hp</f>
        <v>0</v>
      </c>
      <c r="I27" s="375">
        <f>IF(H27,Wh_hp,'2023'!Maxi_hp)</f>
        <v>6.1230639003066996</v>
      </c>
      <c r="J27" s="85">
        <f>IF(H27,An,'2023'!An_max)</f>
        <v>2022</v>
      </c>
      <c r="K27" s="193">
        <f t="shared" si="20"/>
        <v>45304</v>
      </c>
      <c r="L27" s="143">
        <f>IF(t&lt;Tvie,1-EXP((T0-t)*PertePVj)+'2023'!Pspv,1-EXP((T0-t)*PertePVj)+Pspv)</f>
        <v>1.0647902015801902E-2</v>
      </c>
      <c r="M27" s="836"/>
      <c r="N27" s="836"/>
      <c r="O27" s="48">
        <f>IF(t&lt;Tnet,'2023'!Resal+('2023'!Salim-'2023'!Resal)*(1-EXP(('2023'!Tnet-t)/('2023'!Tau_j))),Resal+(Salim-Resal)*(1-EXP((Tnet-t)/(Tau_j))))*Salcycl</f>
        <v>1.6796720610814685E-2</v>
      </c>
      <c r="P27" s="165">
        <f>(INDEX(Models!$BJ27:$BT27,,T27)*(1-R27)+INDEX(Models!$BJ27:$BT27,,T27+1)*R27-ERP_i)*Q27*Ramure*Pc/MaxiM</f>
        <v>5.4972079221260193E-3</v>
      </c>
      <c r="Q27" s="301">
        <f t="shared" si="2"/>
        <v>0.5</v>
      </c>
      <c r="R27" s="173">
        <f t="shared" si="3"/>
        <v>0.99426141924317835</v>
      </c>
      <c r="S27" s="802">
        <f t="shared" si="4"/>
        <v>0</v>
      </c>
      <c r="T27" s="172">
        <f t="shared" si="5"/>
        <v>6</v>
      </c>
      <c r="U27" s="247">
        <f t="shared" si="21"/>
        <v>0.99426141924317835</v>
      </c>
      <c r="V27" s="378">
        <f t="shared" si="6"/>
        <v>19.73492694230379</v>
      </c>
      <c r="W27" s="397">
        <f t="shared" si="7"/>
        <v>5.9233859092547005</v>
      </c>
      <c r="X27" s="153">
        <f t="shared" si="8"/>
        <v>45304</v>
      </c>
      <c r="Y27" s="380">
        <f t="shared" si="9"/>
        <v>5.7785361310753061</v>
      </c>
      <c r="Z27" s="380">
        <f t="shared" si="10"/>
        <v>5.8407276265437309</v>
      </c>
      <c r="AA27" s="381">
        <f t="shared" si="11"/>
        <v>6.0894186136047619</v>
      </c>
      <c r="AB27" s="193">
        <f t="shared" si="12"/>
        <v>45304</v>
      </c>
      <c r="AC27" s="119">
        <f>IF(OR(t&lt;Tnet,NoTnet),'2023'!Resal_s+('2023'!Salim-'2023'!Resal_s)*(1-EXP(('2023'!Tnet_s-t)/'2023'!Tau_j)),Resal_s+(Salim-Resal_s)*(1-EXP((Tnet_s-t)/Tau_j)))*Salcycl</f>
        <v>4.0839857273962756E-2</v>
      </c>
      <c r="AD27" s="227">
        <f>(INDEX(Models!$BJ27:$BT27,,AH27)*(1-AF27)+INDEX(Models!$BJ27:$BT27,,AH27+1)*AF27-ERP_i)*AE27*Ramure*Pc/MaxiM</f>
        <v>5.4972079221260193E-3</v>
      </c>
      <c r="AE27" s="301">
        <f t="shared" si="13"/>
        <v>0.5</v>
      </c>
      <c r="AF27" s="173">
        <f t="shared" si="22"/>
        <v>0.99426141924317835</v>
      </c>
      <c r="AG27" s="802">
        <f t="shared" si="23"/>
        <v>0</v>
      </c>
      <c r="AH27" s="172">
        <f t="shared" si="14"/>
        <v>6</v>
      </c>
      <c r="AI27" s="221">
        <f t="shared" si="24"/>
        <v>0.99426141924317835</v>
      </c>
      <c r="AJ27" s="261" t="b">
        <f t="shared" si="15"/>
        <v>0</v>
      </c>
      <c r="AK27" s="261" t="b">
        <f t="shared" si="16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7"/>
        <v>45305</v>
      </c>
      <c r="B28" s="406">
        <f>'2023'!Wh/'2023'!Env_an*'2024'!Env_an</f>
        <v>20.03877170173838</v>
      </c>
      <c r="C28" s="385"/>
      <c r="D28" s="388">
        <f t="shared" si="0"/>
        <v>20.254716253475237</v>
      </c>
      <c r="E28" s="380">
        <f t="shared" si="18"/>
        <v>20.601942438785468</v>
      </c>
      <c r="F28" s="380">
        <f t="shared" si="1"/>
        <v>20.71634270725017</v>
      </c>
      <c r="G28" s="110">
        <f t="shared" si="19"/>
        <v>1.0034416130426369</v>
      </c>
      <c r="H28" s="409" t="b">
        <f>Wh_hp&gt;='2023'!Maxi_hp</f>
        <v>1</v>
      </c>
      <c r="I28" s="375">
        <f>IF(H28,Wh_hp,'2023'!Maxi_hp)</f>
        <v>20.71634270725017</v>
      </c>
      <c r="J28" s="85">
        <f>IF(H28,An,'2023'!An_max)</f>
        <v>2024</v>
      </c>
      <c r="K28" s="193">
        <f t="shared" si="20"/>
        <v>45305</v>
      </c>
      <c r="L28" s="143">
        <f>IF(t&lt;Tvie,1-EXP((T0-t)*PertePVj)+'2023'!Pspv,1-EXP((T0-t)*PertePVj)+Pspv)</f>
        <v>1.0661445415203308E-2</v>
      </c>
      <c r="M28" s="836"/>
      <c r="N28" s="836"/>
      <c r="O28" s="48">
        <f>IF(t&lt;Tnet,'2023'!Resal+('2023'!Salim-'2023'!Resal)*(1-EXP(('2023'!Tnet-t)/('2023'!Tau_j))),Resal+(Salim-Resal)*(1-EXP((Tnet-t)/(Tau_j))))*Salcycl</f>
        <v>1.6854050842144794E-2</v>
      </c>
      <c r="P28" s="165">
        <f>(INDEX(Models!$BJ28:$BT28,,T28)*(1-R28)+INDEX(Models!$BJ28:$BT28,,T28+1)*R28-ERP_i)*Q28*Ramure*Pc/MaxiM</f>
        <v>5.522223207123588E-3</v>
      </c>
      <c r="Q28" s="301">
        <f t="shared" si="2"/>
        <v>0.5</v>
      </c>
      <c r="R28" s="173">
        <f t="shared" si="3"/>
        <v>0.99430917063356783</v>
      </c>
      <c r="S28" s="802">
        <f t="shared" si="4"/>
        <v>0</v>
      </c>
      <c r="T28" s="172">
        <f t="shared" si="5"/>
        <v>6</v>
      </c>
      <c r="U28" s="247">
        <f t="shared" si="21"/>
        <v>0.99430917063356783</v>
      </c>
      <c r="V28" s="378">
        <f t="shared" si="6"/>
        <v>19.970042542860856</v>
      </c>
      <c r="W28" s="397">
        <f t="shared" si="7"/>
        <v>20.03877170173838</v>
      </c>
      <c r="X28" s="153">
        <f t="shared" si="8"/>
        <v>45305</v>
      </c>
      <c r="Y28" s="380">
        <f t="shared" si="9"/>
        <v>19.549175693575791</v>
      </c>
      <c r="Z28" s="380">
        <f t="shared" si="10"/>
        <v>19.759844193861568</v>
      </c>
      <c r="AA28" s="381">
        <f t="shared" si="11"/>
        <v>20.601942438785468</v>
      </c>
      <c r="AB28" s="193">
        <f t="shared" si="12"/>
        <v>45305</v>
      </c>
      <c r="AC28" s="119">
        <f>IF(OR(t&lt;Tnet,NoTnet),'2023'!Resal_s+('2023'!Salim-'2023'!Resal_s)*(1-EXP(('2023'!Tnet_s-t)/'2023'!Tau_j)),Resal_s+(Salim-Resal_s)*(1-EXP((Tnet_s-t)/Tau_j)))*Salcycl</f>
        <v>4.0874701374689473E-2</v>
      </c>
      <c r="AD28" s="227">
        <f>(INDEX(Models!$BJ28:$BT28,,AH28)*(1-AF28)+INDEX(Models!$BJ28:$BT28,,AH28+1)*AF28-ERP_i)*AE28*Ramure*Pc/MaxiM</f>
        <v>5.522223207123588E-3</v>
      </c>
      <c r="AE28" s="301">
        <f t="shared" si="13"/>
        <v>0.5</v>
      </c>
      <c r="AF28" s="173">
        <f t="shared" si="22"/>
        <v>0.99430917063356783</v>
      </c>
      <c r="AG28" s="802">
        <f t="shared" si="23"/>
        <v>0</v>
      </c>
      <c r="AH28" s="172">
        <f t="shared" si="14"/>
        <v>6</v>
      </c>
      <c r="AI28" s="221">
        <f t="shared" si="24"/>
        <v>0.99430917063356783</v>
      </c>
      <c r="AJ28" s="261" t="b">
        <f t="shared" si="15"/>
        <v>0</v>
      </c>
      <c r="AK28" s="261" t="b">
        <f t="shared" si="16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7"/>
        <v>45306</v>
      </c>
      <c r="B29" s="406">
        <f>'2023'!Wh/'2023'!Env_an*'2024'!Env_an</f>
        <v>20.617522500698815</v>
      </c>
      <c r="C29" s="385"/>
      <c r="D29" s="388">
        <f t="shared" si="0"/>
        <v>20.839989147885287</v>
      </c>
      <c r="E29" s="380">
        <f t="shared" si="18"/>
        <v>21.19848402173039</v>
      </c>
      <c r="F29" s="380">
        <f t="shared" si="1"/>
        <v>21.31682487483608</v>
      </c>
      <c r="G29" s="110">
        <f t="shared" si="19"/>
        <v>1.0200594310119342</v>
      </c>
      <c r="H29" s="409" t="b">
        <f>Wh_hp&gt;='2023'!Maxi_hp</f>
        <v>1</v>
      </c>
      <c r="I29" s="375">
        <f>IF(H29,Wh_hp,'2023'!Maxi_hp)</f>
        <v>21.31682487483608</v>
      </c>
      <c r="J29" s="85">
        <f>IF(H29,An,'2023'!An_max)</f>
        <v>2024</v>
      </c>
      <c r="K29" s="193">
        <f t="shared" si="20"/>
        <v>45306</v>
      </c>
      <c r="L29" s="143">
        <f>IF(t&lt;Tvie,1-EXP((T0-t)*PertePVj)+'2023'!Pspv,1-EXP((T0-t)*PertePVj)+Pspv)</f>
        <v>1.0674988629206905E-2</v>
      </c>
      <c r="M29" s="836"/>
      <c r="N29" s="836"/>
      <c r="O29" s="48">
        <f>IF(t&lt;Tnet,'2023'!Resal+('2023'!Salim-'2023'!Resal)*(1-EXP(('2023'!Tnet-t)/('2023'!Tau_j))),Resal+(Salim-Resal)*(1-EXP((Tnet-t)/(Tau_j))))*Salcycl</f>
        <v>1.6911344862095584E-2</v>
      </c>
      <c r="P29" s="165">
        <f>(INDEX(Models!$BJ29:$BT29,,T29)*(1-R29)+INDEX(Models!$BJ29:$BT29,,T29+1)*R29-ERP_i)*Q29*Ramure*Pc/MaxiM</f>
        <v>5.5515234468800495E-3</v>
      </c>
      <c r="Q29" s="301">
        <f t="shared" si="2"/>
        <v>0.5</v>
      </c>
      <c r="R29" s="173">
        <f t="shared" si="3"/>
        <v>0.99435891558374012</v>
      </c>
      <c r="S29" s="802">
        <f t="shared" si="4"/>
        <v>0</v>
      </c>
      <c r="T29" s="172">
        <f t="shared" si="5"/>
        <v>6</v>
      </c>
      <c r="U29" s="247">
        <f t="shared" si="21"/>
        <v>0.99435891558374012</v>
      </c>
      <c r="V29" s="378">
        <f t="shared" si="6"/>
        <v>20.212079682696057</v>
      </c>
      <c r="W29" s="397">
        <f t="shared" si="7"/>
        <v>20.617522500698815</v>
      </c>
      <c r="X29" s="153">
        <f t="shared" si="8"/>
        <v>45306</v>
      </c>
      <c r="Y29" s="380">
        <f t="shared" si="9"/>
        <v>20.114227418673433</v>
      </c>
      <c r="Z29" s="380">
        <f t="shared" si="10"/>
        <v>20.331263424547892</v>
      </c>
      <c r="AA29" s="381">
        <f t="shared" si="11"/>
        <v>21.19848402173039</v>
      </c>
      <c r="AB29" s="193">
        <f t="shared" si="12"/>
        <v>45306</v>
      </c>
      <c r="AC29" s="119">
        <f>IF(OR(t&lt;Tnet,NoTnet),'2023'!Resal_s+('2023'!Salim-'2023'!Resal_s)*(1-EXP(('2023'!Tnet_s-t)/'2023'!Tau_j)),Resal_s+(Salim-Resal_s)*(1-EXP((Tnet_s-t)/Tau_j)))*Salcycl</f>
        <v>4.0909557319925301E-2</v>
      </c>
      <c r="AD29" s="227">
        <f>(INDEX(Models!$BJ29:$BT29,,AH29)*(1-AF29)+INDEX(Models!$BJ29:$BT29,,AH29+1)*AF29-ERP_i)*AE29*Ramure*Pc/MaxiM</f>
        <v>5.5515234468800495E-3</v>
      </c>
      <c r="AE29" s="301">
        <f t="shared" si="13"/>
        <v>0.5</v>
      </c>
      <c r="AF29" s="173">
        <f t="shared" si="22"/>
        <v>0.99435891558374012</v>
      </c>
      <c r="AG29" s="802">
        <f t="shared" si="23"/>
        <v>0</v>
      </c>
      <c r="AH29" s="172">
        <f t="shared" si="14"/>
        <v>6</v>
      </c>
      <c r="AI29" s="221">
        <f t="shared" si="24"/>
        <v>0.99435891558374012</v>
      </c>
      <c r="AJ29" s="261" t="b">
        <f t="shared" si="15"/>
        <v>0</v>
      </c>
      <c r="AK29" s="261" t="b">
        <f t="shared" si="16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7"/>
        <v>45307</v>
      </c>
      <c r="B30" s="406">
        <f>'2023'!Wh/'2023'!Env_an*'2024'!Env_an</f>
        <v>20.334494013660247</v>
      </c>
      <c r="C30" s="385"/>
      <c r="D30" s="388">
        <f t="shared" si="0"/>
        <v>20.554188103909574</v>
      </c>
      <c r="E30" s="380">
        <f t="shared" si="18"/>
        <v>20.9089843661149</v>
      </c>
      <c r="F30" s="380">
        <f t="shared" si="1"/>
        <v>21.025198431305611</v>
      </c>
      <c r="G30" s="110">
        <f t="shared" si="19"/>
        <v>0.9937529415059323</v>
      </c>
      <c r="H30" s="409" t="b">
        <f>Wh_hp&gt;='2023'!Maxi_hp</f>
        <v>0</v>
      </c>
      <c r="I30" s="375">
        <f>IF(H30,Wh_hp,'2023'!Maxi_hp)</f>
        <v>21.026241804609086</v>
      </c>
      <c r="J30" s="85">
        <f>IF(H30,An,'2023'!An_max)</f>
        <v>2022</v>
      </c>
      <c r="K30" s="193">
        <f t="shared" si="20"/>
        <v>45307</v>
      </c>
      <c r="L30" s="143">
        <f>IF(t&lt;Tvie,1-EXP((T0-t)*PertePVj)+'2023'!Pspv,1-EXP((T0-t)*PertePVj)+Pspv)</f>
        <v>1.0688531657815248E-2</v>
      </c>
      <c r="M30" s="836"/>
      <c r="N30" s="836"/>
      <c r="O30" s="48">
        <f>IF(t&lt;Tnet,'2023'!Resal+('2023'!Salim-'2023'!Resal)*(1-EXP(('2023'!Tnet-t)/('2023'!Tau_j))),Resal+(Salim-Resal)*(1-EXP((Tnet-t)/(Tau_j))))*Salcycl</f>
        <v>1.6968603352169941E-2</v>
      </c>
      <c r="P30" s="165">
        <f>(INDEX(Models!$BJ30:$BT30,,T30)*(1-R30)+INDEX(Models!$BJ30:$BT30,,T30+1)*R30-ERP_i)*Q30*Ramure*Pc/MaxiM</f>
        <v>5.5767465163177156E-3</v>
      </c>
      <c r="Q30" s="301">
        <f t="shared" si="2"/>
        <v>0.5</v>
      </c>
      <c r="R30" s="173">
        <f t="shared" si="3"/>
        <v>0.9944107368991334</v>
      </c>
      <c r="S30" s="802">
        <f t="shared" si="4"/>
        <v>0</v>
      </c>
      <c r="T30" s="172">
        <f t="shared" si="5"/>
        <v>6</v>
      </c>
      <c r="U30" s="247">
        <f t="shared" si="21"/>
        <v>0.9944107368991334</v>
      </c>
      <c r="V30" s="378">
        <f t="shared" si="6"/>
        <v>20.461307384446538</v>
      </c>
      <c r="W30" s="397">
        <f t="shared" si="7"/>
        <v>20.334494013660247</v>
      </c>
      <c r="X30" s="153">
        <f t="shared" si="8"/>
        <v>45307</v>
      </c>
      <c r="Y30" s="380">
        <f t="shared" si="9"/>
        <v>19.838542175174005</v>
      </c>
      <c r="Z30" s="380">
        <f t="shared" si="10"/>
        <v>20.052877996469576</v>
      </c>
      <c r="AA30" s="381">
        <f t="shared" si="11"/>
        <v>20.9089843661149</v>
      </c>
      <c r="AB30" s="193">
        <f t="shared" si="12"/>
        <v>45307</v>
      </c>
      <c r="AC30" s="119">
        <f>IF(OR(t&lt;Tnet,NoTnet),'2023'!Resal_s+('2023'!Salim-'2023'!Resal_s)*(1-EXP(('2023'!Tnet_s-t)/'2023'!Tau_j)),Resal_s+(Salim-Resal_s)*(1-EXP((Tnet_s-t)/Tau_j)))*Salcycl</f>
        <v>4.0944426312390779E-2</v>
      </c>
      <c r="AD30" s="227">
        <f>(INDEX(Models!$BJ30:$BT30,,AH30)*(1-AF30)+INDEX(Models!$BJ30:$BT30,,AH30+1)*AF30-ERP_i)*AE30*Ramure*Pc/MaxiM</f>
        <v>5.5767465163177156E-3</v>
      </c>
      <c r="AE30" s="301">
        <f t="shared" si="13"/>
        <v>0.5</v>
      </c>
      <c r="AF30" s="173">
        <f t="shared" si="22"/>
        <v>0.9944107368991334</v>
      </c>
      <c r="AG30" s="802">
        <f t="shared" si="23"/>
        <v>0</v>
      </c>
      <c r="AH30" s="172">
        <f t="shared" si="14"/>
        <v>6</v>
      </c>
      <c r="AI30" s="221">
        <f t="shared" si="24"/>
        <v>0.9944107368991334</v>
      </c>
      <c r="AJ30" s="261" t="b">
        <f t="shared" si="15"/>
        <v>0</v>
      </c>
      <c r="AK30" s="261" t="b">
        <f t="shared" si="16"/>
        <v>0</v>
      </c>
      <c r="AL30" s="261"/>
      <c r="AM30" s="261"/>
      <c r="AN30" s="75"/>
    </row>
    <row r="31" spans="1:40" s="6" customFormat="1" ht="11.25" x14ac:dyDescent="0.2">
      <c r="A31" s="56">
        <f t="shared" si="17"/>
        <v>45308</v>
      </c>
      <c r="B31" s="406">
        <f>'2023'!Wh/'2023'!Env_an*'2024'!Env_an</f>
        <v>13.644645804195985</v>
      </c>
      <c r="C31" s="385"/>
      <c r="D31" s="388">
        <f t="shared" si="0"/>
        <v>13.792251507364758</v>
      </c>
      <c r="E31" s="380">
        <f t="shared" si="18"/>
        <v>14.031143328344765</v>
      </c>
      <c r="F31" s="380">
        <f t="shared" si="1"/>
        <v>14.071481117745112</v>
      </c>
      <c r="G31" s="110">
        <f t="shared" si="19"/>
        <v>0.65679042462495818</v>
      </c>
      <c r="H31" s="409" t="b">
        <f>Wh_hp&gt;='2023'!Maxi_hp</f>
        <v>0</v>
      </c>
      <c r="I31" s="375">
        <f>IF(H31,Wh_hp,'2023'!Maxi_hp)</f>
        <v>14.110078337543527</v>
      </c>
      <c r="J31" s="85">
        <f>IF(H31,An,'2023'!An_max)</f>
        <v>2022</v>
      </c>
      <c r="K31" s="193">
        <f t="shared" si="20"/>
        <v>45308</v>
      </c>
      <c r="L31" s="143">
        <f>IF(t&lt;Tvie,1-EXP((T0-t)*PertePVj)+'2023'!Pspv,1-EXP((T0-t)*PertePVj)+Pspv)</f>
        <v>1.0702074501030889E-2</v>
      </c>
      <c r="M31" s="836"/>
      <c r="N31" s="836"/>
      <c r="O31" s="48">
        <f>IF(t&lt;Tnet,'2023'!Resal+('2023'!Salim-'2023'!Resal)*(1-EXP(('2023'!Tnet-t)/('2023'!Tau_j))),Resal+(Salim-Resal)*(1-EXP((Tnet-t)/(Tau_j))))*Salcycl</f>
        <v>1.7025827146773784E-2</v>
      </c>
      <c r="P31" s="165">
        <f>(INDEX(Models!$BJ31:$BT31,,T31)*(1-R31)+INDEX(Models!$BJ31:$BT31,,T31+1)*R31-ERP_i)*Q31*Ramure*Pc/MaxiM</f>
        <v>5.5958807114047191E-3</v>
      </c>
      <c r="Q31" s="301">
        <f t="shared" si="2"/>
        <v>0.5</v>
      </c>
      <c r="R31" s="173">
        <f t="shared" si="3"/>
        <v>0.99446472078848758</v>
      </c>
      <c r="S31" s="802">
        <f t="shared" si="4"/>
        <v>0</v>
      </c>
      <c r="T31" s="172">
        <f t="shared" si="5"/>
        <v>6</v>
      </c>
      <c r="U31" s="247">
        <f t="shared" si="21"/>
        <v>0.99446472078848758</v>
      </c>
      <c r="V31" s="378">
        <f t="shared" si="6"/>
        <v>20.717870774625549</v>
      </c>
      <c r="W31" s="397">
        <f t="shared" si="7"/>
        <v>13.644645804195985</v>
      </c>
      <c r="X31" s="153">
        <f t="shared" si="8"/>
        <v>45308</v>
      </c>
      <c r="Y31" s="380">
        <f t="shared" si="9"/>
        <v>13.312147965342957</v>
      </c>
      <c r="Z31" s="380">
        <f t="shared" si="10"/>
        <v>13.456156757458832</v>
      </c>
      <c r="AA31" s="381">
        <f t="shared" si="11"/>
        <v>14.031143328344765</v>
      </c>
      <c r="AB31" s="193">
        <f t="shared" si="12"/>
        <v>45308</v>
      </c>
      <c r="AC31" s="119">
        <f>IF(OR(t&lt;Tnet,NoTnet),'2023'!Resal_s+('2023'!Salim-'2023'!Resal_s)*(1-EXP(('2023'!Tnet_s-t)/'2023'!Tau_j)),Resal_s+(Salim-Resal_s)*(1-EXP((Tnet_s-t)/Tau_j)))*Salcycl</f>
        <v>4.0979309912997967E-2</v>
      </c>
      <c r="AD31" s="227">
        <f>(INDEX(Models!$BJ31:$BT31,,AH31)*(1-AF31)+INDEX(Models!$BJ31:$BT31,,AH31+1)*AF31-ERP_i)*AE31*Ramure*Pc/MaxiM</f>
        <v>5.5958807114047191E-3</v>
      </c>
      <c r="AE31" s="301">
        <f t="shared" si="13"/>
        <v>0.5</v>
      </c>
      <c r="AF31" s="173">
        <f t="shared" si="22"/>
        <v>0.99446472078848758</v>
      </c>
      <c r="AG31" s="802">
        <f t="shared" si="23"/>
        <v>0</v>
      </c>
      <c r="AH31" s="172">
        <f t="shared" si="14"/>
        <v>6</v>
      </c>
      <c r="AI31" s="221">
        <f t="shared" si="24"/>
        <v>0.99446472078848758</v>
      </c>
      <c r="AJ31" s="261" t="b">
        <f t="shared" si="15"/>
        <v>0</v>
      </c>
      <c r="AK31" s="261" t="b">
        <f t="shared" si="16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7"/>
        <v>45309</v>
      </c>
      <c r="B32" s="406">
        <f>'2023'!Wh/'2023'!Env_an*'2024'!Env_an</f>
        <v>4.3286191846998028</v>
      </c>
      <c r="C32" s="385"/>
      <c r="D32" s="388">
        <f t="shared" si="0"/>
        <v>4.3755054257182993</v>
      </c>
      <c r="E32" s="380">
        <f t="shared" si="18"/>
        <v>4.451551354061098</v>
      </c>
      <c r="F32" s="380">
        <f t="shared" si="1"/>
        <v>4.451551354061098</v>
      </c>
      <c r="G32" s="110">
        <f t="shared" si="19"/>
        <v>0.20514564685033604</v>
      </c>
      <c r="H32" s="409" t="b">
        <f>Wh_hp&gt;='2023'!Maxi_hp</f>
        <v>0</v>
      </c>
      <c r="I32" s="375">
        <f>IF(H32,Wh_hp,'2023'!Maxi_hp)</f>
        <v>4.4766449642017561</v>
      </c>
      <c r="J32" s="85">
        <f>IF(H32,An,'2023'!An_max)</f>
        <v>2022</v>
      </c>
      <c r="K32" s="193">
        <f t="shared" si="20"/>
        <v>45309</v>
      </c>
      <c r="L32" s="143">
        <f>IF(t&lt;Tvie,1-EXP((T0-t)*PertePVj)+'2023'!Pspv,1-EXP((T0-t)*PertePVj)+Pspv)</f>
        <v>1.0715617158856494E-2</v>
      </c>
      <c r="M32" s="836"/>
      <c r="N32" s="836"/>
      <c r="O32" s="48">
        <f>IF(t&lt;Tnet,'2023'!Resal+('2023'!Salim-'2023'!Resal)*(1-EXP(('2023'!Tnet-t)/('2023'!Tau_j))),Resal+(Salim-Resal)*(1-EXP((Tnet-t)/(Tau_j))))*Salcycl</f>
        <v>1.7083017198807084E-2</v>
      </c>
      <c r="P32" s="165">
        <f>(INDEX(Models!$BJ32:$BT32,,T32)*(1-R32)+INDEX(Models!$BJ32:$BT32,,T32+1)*R32-ERP_i)*Q32*Ramure*Pc/MaxiM</f>
        <v>5.6090932754469681E-3</v>
      </c>
      <c r="Q32" s="301">
        <f t="shared" si="2"/>
        <v>0.5</v>
      </c>
      <c r="R32" s="173">
        <f t="shared" si="3"/>
        <v>0.99452095700062926</v>
      </c>
      <c r="S32" s="802">
        <f t="shared" si="4"/>
        <v>0</v>
      </c>
      <c r="T32" s="172">
        <f t="shared" si="5"/>
        <v>6</v>
      </c>
      <c r="U32" s="247">
        <f t="shared" si="21"/>
        <v>0.99452095700062926</v>
      </c>
      <c r="V32" s="378">
        <f t="shared" si="6"/>
        <v>20.981871280355083</v>
      </c>
      <c r="W32" s="397">
        <f t="shared" si="7"/>
        <v>4.3286191846998028</v>
      </c>
      <c r="X32" s="153">
        <f t="shared" si="8"/>
        <v>45309</v>
      </c>
      <c r="Y32" s="380">
        <f t="shared" si="9"/>
        <v>4.2232297958859881</v>
      </c>
      <c r="Z32" s="380">
        <f t="shared" si="10"/>
        <v>4.2689744922053849</v>
      </c>
      <c r="AA32" s="381">
        <f t="shared" si="11"/>
        <v>4.451551354061098</v>
      </c>
      <c r="AB32" s="193">
        <f t="shared" si="12"/>
        <v>45309</v>
      </c>
      <c r="AC32" s="119">
        <f>IF(OR(t&lt;Tnet,NoTnet),'2023'!Resal_s+('2023'!Salim-'2023'!Resal_s)*(1-EXP(('2023'!Tnet_s-t)/'2023'!Tau_j)),Resal_s+(Salim-Resal_s)*(1-EXP((Tnet_s-t)/Tau_j)))*Salcycl</f>
        <v>4.1014209953828866E-2</v>
      </c>
      <c r="AD32" s="227">
        <f>(INDEX(Models!$BJ32:$BT32,,AH32)*(1-AF32)+INDEX(Models!$BJ32:$BT32,,AH32+1)*AF32-ERP_i)*AE32*Ramure*Pc/MaxiM</f>
        <v>5.6090932754469681E-3</v>
      </c>
      <c r="AE32" s="301">
        <f t="shared" si="13"/>
        <v>0.5</v>
      </c>
      <c r="AF32" s="173">
        <f t="shared" si="22"/>
        <v>0.99452095700062926</v>
      </c>
      <c r="AG32" s="802">
        <f t="shared" si="23"/>
        <v>0</v>
      </c>
      <c r="AH32" s="172">
        <f t="shared" si="14"/>
        <v>6</v>
      </c>
      <c r="AI32" s="221">
        <f t="shared" si="24"/>
        <v>0.99452095700062926</v>
      </c>
      <c r="AJ32" s="261" t="b">
        <f t="shared" si="15"/>
        <v>0</v>
      </c>
      <c r="AK32" s="261" t="b">
        <f t="shared" si="16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7"/>
        <v>45310</v>
      </c>
      <c r="B33" s="406">
        <f>'2023'!Wh/'2023'!Env_an*'2024'!Env_an</f>
        <v>10.944504711726704</v>
      </c>
      <c r="C33" s="385"/>
      <c r="D33" s="388">
        <f t="shared" si="0"/>
        <v>11.063203589067317</v>
      </c>
      <c r="E33" s="380">
        <f t="shared" si="18"/>
        <v>11.256135720015079</v>
      </c>
      <c r="F33" s="380">
        <f t="shared" si="1"/>
        <v>11.275582793120325</v>
      </c>
      <c r="G33" s="110">
        <f t="shared" si="19"/>
        <v>0.51294529282720902</v>
      </c>
      <c r="H33" s="409" t="b">
        <f>Wh_hp&gt;='2023'!Maxi_hp</f>
        <v>0</v>
      </c>
      <c r="I33" s="375">
        <f>IF(H33,Wh_hp,'2023'!Maxi_hp)</f>
        <v>11.319682789711347</v>
      </c>
      <c r="J33" s="85">
        <f>IF(H33,An,'2023'!An_max)</f>
        <v>2022</v>
      </c>
      <c r="K33" s="193">
        <f t="shared" si="20"/>
        <v>45310</v>
      </c>
      <c r="L33" s="143">
        <f>IF(t&lt;Tvie,1-EXP((T0-t)*PertePVj)+'2023'!Pspv,1-EXP((T0-t)*PertePVj)+Pspv)</f>
        <v>1.0729159631294394E-2</v>
      </c>
      <c r="M33" s="836"/>
      <c r="N33" s="836"/>
      <c r="O33" s="48">
        <f>IF(t&lt;Tnet,'2023'!Resal+('2023'!Salim-'2023'!Resal)*(1-EXP(('2023'!Tnet-t)/('2023'!Tau_j))),Resal+(Salim-Resal)*(1-EXP((Tnet-t)/(Tau_j))))*Salcycl</f>
        <v>1.7140174545399286E-2</v>
      </c>
      <c r="P33" s="165">
        <f>(INDEX(Models!$BJ33:$BT33,,T33)*(1-R33)+INDEX(Models!$BJ33:$BT33,,T33+1)*R33-ERP_i)*Q33*Ramure*Pc/MaxiM</f>
        <v>5.6165552144985583E-3</v>
      </c>
      <c r="Q33" s="301">
        <f t="shared" si="2"/>
        <v>0.5</v>
      </c>
      <c r="R33" s="173">
        <f t="shared" si="3"/>
        <v>0.9945795389664901</v>
      </c>
      <c r="S33" s="802">
        <f t="shared" si="4"/>
        <v>0</v>
      </c>
      <c r="T33" s="172">
        <f t="shared" si="5"/>
        <v>6</v>
      </c>
      <c r="U33" s="247">
        <f t="shared" si="21"/>
        <v>0.9945795389664901</v>
      </c>
      <c r="V33" s="378">
        <f t="shared" si="6"/>
        <v>21.253410295401611</v>
      </c>
      <c r="W33" s="397">
        <f t="shared" si="7"/>
        <v>10.944504711726704</v>
      </c>
      <c r="X33" s="153">
        <f t="shared" si="8"/>
        <v>45310</v>
      </c>
      <c r="Y33" s="380">
        <f t="shared" si="9"/>
        <v>10.678269739134462</v>
      </c>
      <c r="Z33" s="380">
        <f t="shared" si="10"/>
        <v>10.794081158962115</v>
      </c>
      <c r="AA33" s="381">
        <f t="shared" si="11"/>
        <v>11.256135720015079</v>
      </c>
      <c r="AB33" s="193">
        <f t="shared" si="12"/>
        <v>45310</v>
      </c>
      <c r="AC33" s="119">
        <f>IF(OR(t&lt;Tnet,NoTnet),'2023'!Resal_s+('2023'!Salim-'2023'!Resal_s)*(1-EXP(('2023'!Tnet_s-t)/'2023'!Tau_j)),Resal_s+(Salim-Resal_s)*(1-EXP((Tnet_s-t)/Tau_j)))*Salcycl</f>
        <v>4.1049128452792447E-2</v>
      </c>
      <c r="AD33" s="227">
        <f>(INDEX(Models!$BJ33:$BT33,,AH33)*(1-AF33)+INDEX(Models!$BJ33:$BT33,,AH33+1)*AF33-ERP_i)*AE33*Ramure*Pc/MaxiM</f>
        <v>5.6165552144985583E-3</v>
      </c>
      <c r="AE33" s="301">
        <f t="shared" si="13"/>
        <v>0.5</v>
      </c>
      <c r="AF33" s="173">
        <f t="shared" si="22"/>
        <v>0.9945795389664901</v>
      </c>
      <c r="AG33" s="802">
        <f t="shared" si="23"/>
        <v>0</v>
      </c>
      <c r="AH33" s="172">
        <f t="shared" si="14"/>
        <v>6</v>
      </c>
      <c r="AI33" s="221">
        <f t="shared" si="24"/>
        <v>0.9945795389664901</v>
      </c>
      <c r="AJ33" s="261" t="b">
        <f t="shared" si="15"/>
        <v>0</v>
      </c>
      <c r="AK33" s="261" t="b">
        <f t="shared" si="16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7"/>
        <v>45311</v>
      </c>
      <c r="B34" s="406">
        <f>'2023'!Wh/'2023'!Env_an*'2024'!Env_an</f>
        <v>6.3351262677141547</v>
      </c>
      <c r="C34" s="385"/>
      <c r="D34" s="388">
        <f t="shared" si="0"/>
        <v>6.4039216895332487</v>
      </c>
      <c r="E34" s="380">
        <f t="shared" si="18"/>
        <v>6.5159789358736511</v>
      </c>
      <c r="F34" s="380">
        <f t="shared" si="1"/>
        <v>6.5159789358736511</v>
      </c>
      <c r="G34" s="110">
        <f t="shared" si="19"/>
        <v>0.29255807006241608</v>
      </c>
      <c r="H34" s="409" t="b">
        <f>Wh_hp&gt;='2023'!Maxi_hp</f>
        <v>0</v>
      </c>
      <c r="I34" s="375">
        <f>IF(H34,Wh_hp,'2023'!Maxi_hp)</f>
        <v>6.552768311666</v>
      </c>
      <c r="J34" s="85">
        <f>IF(H34,An,'2023'!An_max)</f>
        <v>2022</v>
      </c>
      <c r="K34" s="193">
        <f t="shared" si="20"/>
        <v>45311</v>
      </c>
      <c r="L34" s="143">
        <f>IF(t&lt;Tvie,1-EXP((T0-t)*PertePVj)+'2023'!Pspv,1-EXP((T0-t)*PertePVj)+Pspv)</f>
        <v>1.0742701918347142E-2</v>
      </c>
      <c r="M34" s="836"/>
      <c r="N34" s="836"/>
      <c r="O34" s="48">
        <f>IF(t&lt;Tnet,'2023'!Resal+('2023'!Salim-'2023'!Resal)*(1-EXP(('2023'!Tnet-t)/('2023'!Tau_j))),Resal+(Salim-Resal)*(1-EXP((Tnet-t)/(Tau_j))))*Salcycl</f>
        <v>1.7197300274172492E-2</v>
      </c>
      <c r="P34" s="165">
        <f>(INDEX(Models!$BJ34:$BT34,,T34)*(1-R34)+INDEX(Models!$BJ34:$BT34,,T34+1)*R34-ERP_i)*Q34*Ramure*Pc/MaxiM</f>
        <v>5.6184670131179358E-3</v>
      </c>
      <c r="Q34" s="301">
        <f t="shared" si="2"/>
        <v>0.5</v>
      </c>
      <c r="R34" s="173">
        <f t="shared" si="3"/>
        <v>0.99464056394653277</v>
      </c>
      <c r="S34" s="802">
        <f t="shared" si="4"/>
        <v>0</v>
      </c>
      <c r="T34" s="172">
        <f t="shared" si="5"/>
        <v>6</v>
      </c>
      <c r="U34" s="247">
        <f t="shared" si="21"/>
        <v>0.99464056394653277</v>
      </c>
      <c r="V34" s="378">
        <f t="shared" si="6"/>
        <v>21.532588618769211</v>
      </c>
      <c r="W34" s="397">
        <f t="shared" si="7"/>
        <v>6.3351262677141547</v>
      </c>
      <c r="X34" s="153">
        <f t="shared" si="8"/>
        <v>45311</v>
      </c>
      <c r="Y34" s="380">
        <f t="shared" si="9"/>
        <v>6.1811526504859229</v>
      </c>
      <c r="Z34" s="380">
        <f t="shared" si="10"/>
        <v>6.248276017242719</v>
      </c>
      <c r="AA34" s="381">
        <f t="shared" si="11"/>
        <v>6.5159789358736511</v>
      </c>
      <c r="AB34" s="193">
        <f t="shared" si="12"/>
        <v>45311</v>
      </c>
      <c r="AC34" s="119">
        <f>IF(OR(t&lt;Tnet,NoTnet),'2023'!Resal_s+('2023'!Salim-'2023'!Resal_s)*(1-EXP(('2023'!Tnet_s-t)/'2023'!Tau_j)),Resal_s+(Salim-Resal_s)*(1-EXP((Tnet_s-t)/Tau_j)))*Salcycl</f>
        <v>4.1084067530835204E-2</v>
      </c>
      <c r="AD34" s="227">
        <f>(INDEX(Models!$BJ34:$BT34,,AH34)*(1-AF34)+INDEX(Models!$BJ34:$BT34,,AH34+1)*AF34-ERP_i)*AE34*Ramure*Pc/MaxiM</f>
        <v>5.6184670131179358E-3</v>
      </c>
      <c r="AE34" s="301">
        <f t="shared" si="13"/>
        <v>0.5</v>
      </c>
      <c r="AF34" s="173">
        <f t="shared" si="22"/>
        <v>0.99464056394653277</v>
      </c>
      <c r="AG34" s="802">
        <f t="shared" si="23"/>
        <v>0</v>
      </c>
      <c r="AH34" s="172">
        <f t="shared" si="14"/>
        <v>6</v>
      </c>
      <c r="AI34" s="221">
        <f t="shared" si="24"/>
        <v>0.99464056394653277</v>
      </c>
      <c r="AJ34" s="261" t="b">
        <f t="shared" si="15"/>
        <v>0</v>
      </c>
      <c r="AK34" s="261" t="b">
        <f t="shared" si="16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7"/>
        <v>45312</v>
      </c>
      <c r="B35" s="406">
        <f>'2023'!Wh/'2023'!Env_an*'2024'!Env_an</f>
        <v>17.832870997973945</v>
      </c>
      <c r="C35" s="385"/>
      <c r="D35" s="388">
        <f t="shared" si="0"/>
        <v>18.026771349502251</v>
      </c>
      <c r="E35" s="380">
        <f t="shared" si="18"/>
        <v>18.343273444095296</v>
      </c>
      <c r="F35" s="380">
        <f t="shared" si="1"/>
        <v>18.419704890887832</v>
      </c>
      <c r="G35" s="110">
        <f t="shared" si="19"/>
        <v>0.81608747570196438</v>
      </c>
      <c r="H35" s="409" t="b">
        <f>Wh_hp&gt;='2023'!Maxi_hp</f>
        <v>0</v>
      </c>
      <c r="I35" s="375">
        <f>IF(H35,Wh_hp,'2023'!Maxi_hp)</f>
        <v>18.44683212449177</v>
      </c>
      <c r="J35" s="85">
        <f>IF(H35,An,'2023'!An_max)</f>
        <v>2022</v>
      </c>
      <c r="K35" s="193">
        <f t="shared" si="20"/>
        <v>45312</v>
      </c>
      <c r="L35" s="143">
        <f>IF(t&lt;Tvie,1-EXP((T0-t)*PertePVj)+'2023'!Pspv,1-EXP((T0-t)*PertePVj)+Pspv)</f>
        <v>1.0756244020017514E-2</v>
      </c>
      <c r="M35" s="836"/>
      <c r="N35" s="836"/>
      <c r="O35" s="48">
        <f>IF(t&lt;Tnet,'2023'!Resal+('2023'!Salim-'2023'!Resal)*(1-EXP(('2023'!Tnet-t)/('2023'!Tau_j))),Resal+(Salim-Resal)*(1-EXP((Tnet-t)/(Tau_j))))*Salcycl</f>
        <v>1.7254395490403848E-2</v>
      </c>
      <c r="P35" s="165">
        <f>(INDEX(Models!$BJ35:$BT35,,T35)*(1-R35)+INDEX(Models!$BJ35:$BT35,,T35+1)*R35-ERP_i)*Q35*Ramure*Pc/MaxiM</f>
        <v>5.615043505808744E-3</v>
      </c>
      <c r="Q35" s="301">
        <f t="shared" si="2"/>
        <v>0.5</v>
      </c>
      <c r="R35" s="173">
        <f t="shared" si="3"/>
        <v>0.99470413318376893</v>
      </c>
      <c r="S35" s="802">
        <f t="shared" si="4"/>
        <v>0</v>
      </c>
      <c r="T35" s="172">
        <f t="shared" si="5"/>
        <v>6</v>
      </c>
      <c r="U35" s="247">
        <f t="shared" si="21"/>
        <v>0.99470413318376893</v>
      </c>
      <c r="V35" s="378">
        <f t="shared" si="6"/>
        <v>21.819506726315417</v>
      </c>
      <c r="W35" s="397">
        <f t="shared" si="7"/>
        <v>17.832870997973945</v>
      </c>
      <c r="X35" s="153">
        <f t="shared" si="8"/>
        <v>45312</v>
      </c>
      <c r="Y35" s="380">
        <f t="shared" si="9"/>
        <v>17.399824098788919</v>
      </c>
      <c r="Z35" s="380">
        <f t="shared" si="10"/>
        <v>17.589015845292842</v>
      </c>
      <c r="AA35" s="381">
        <f t="shared" si="11"/>
        <v>18.343273444095296</v>
      </c>
      <c r="AB35" s="193">
        <f t="shared" si="12"/>
        <v>45312</v>
      </c>
      <c r="AC35" s="119">
        <f>IF(OR(t&lt;Tnet,NoTnet),'2023'!Resal_s+('2023'!Salim-'2023'!Resal_s)*(1-EXP(('2023'!Tnet_s-t)/'2023'!Tau_j)),Resal_s+(Salim-Resal_s)*(1-EXP((Tnet_s-t)/Tau_j)))*Salcycl</f>
        <v>4.1119029332534293E-2</v>
      </c>
      <c r="AD35" s="227">
        <f>(INDEX(Models!$BJ35:$BT35,,AH35)*(1-AF35)+INDEX(Models!$BJ35:$BT35,,AH35+1)*AF35-ERP_i)*AE35*Ramure*Pc/MaxiM</f>
        <v>5.615043505808744E-3</v>
      </c>
      <c r="AE35" s="301">
        <f t="shared" si="13"/>
        <v>0.5</v>
      </c>
      <c r="AF35" s="173">
        <f t="shared" si="22"/>
        <v>0.99470413318376893</v>
      </c>
      <c r="AG35" s="802">
        <f t="shared" si="23"/>
        <v>0</v>
      </c>
      <c r="AH35" s="172">
        <f t="shared" si="14"/>
        <v>6</v>
      </c>
      <c r="AI35" s="221">
        <f t="shared" si="24"/>
        <v>0.99470413318376893</v>
      </c>
      <c r="AJ35" s="261" t="b">
        <f t="shared" si="15"/>
        <v>0</v>
      </c>
      <c r="AK35" s="261" t="b">
        <f t="shared" si="16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7"/>
        <v>45313</v>
      </c>
      <c r="B36" s="406">
        <f>'2023'!Wh/'2023'!Env_an*'2024'!Env_an</f>
        <v>21.992017802372168</v>
      </c>
      <c r="C36" s="385"/>
      <c r="D36" s="388">
        <f t="shared" si="0"/>
        <v>22.231445713764053</v>
      </c>
      <c r="E36" s="380">
        <f t="shared" si="18"/>
        <v>22.623084362869168</v>
      </c>
      <c r="F36" s="380">
        <f t="shared" si="1"/>
        <v>22.74962243836897</v>
      </c>
      <c r="G36" s="110">
        <f t="shared" si="19"/>
        <v>0.99442772198322127</v>
      </c>
      <c r="H36" s="409" t="b">
        <f>Wh_hp&gt;='2023'!Maxi_hp</f>
        <v>0</v>
      </c>
      <c r="I36" s="375">
        <f>IF(H36,Wh_hp,'2023'!Maxi_hp)</f>
        <v>22.750634528837967</v>
      </c>
      <c r="J36" s="85">
        <f>IF(H36,An,'2023'!An_max)</f>
        <v>2022</v>
      </c>
      <c r="K36" s="193">
        <f t="shared" si="20"/>
        <v>45313</v>
      </c>
      <c r="L36" s="143">
        <f>IF(t&lt;Tvie,1-EXP((T0-t)*PertePVj)+'2023'!Pspv,1-EXP((T0-t)*PertePVj)+Pspv)</f>
        <v>1.0769785936307841E-2</v>
      </c>
      <c r="M36" s="836"/>
      <c r="N36" s="836"/>
      <c r="O36" s="48">
        <f>IF(t&lt;Tnet,'2023'!Resal+('2023'!Salim-'2023'!Resal)*(1-EXP(('2023'!Tnet-t)/('2023'!Tau_j))),Resal+(Salim-Resal)*(1-EXP((Tnet-t)/(Tau_j))))*Salcycl</f>
        <v>1.7311461285442746E-2</v>
      </c>
      <c r="P36" s="165">
        <f>(INDEX(Models!$BJ36:$BT36,,T36)*(1-R36)+INDEX(Models!$BJ36:$BT36,,T36+1)*R36-ERP_i)*Q36*Ramure*Pc/MaxiM</f>
        <v>5.6064807093230626E-3</v>
      </c>
      <c r="Q36" s="301">
        <f t="shared" si="2"/>
        <v>0.5</v>
      </c>
      <c r="R36" s="173">
        <f t="shared" si="3"/>
        <v>0.99477035206255104</v>
      </c>
      <c r="S36" s="802">
        <f t="shared" si="4"/>
        <v>0</v>
      </c>
      <c r="T36" s="172">
        <f t="shared" si="5"/>
        <v>6</v>
      </c>
      <c r="U36" s="247">
        <f t="shared" si="21"/>
        <v>0.99477035206255104</v>
      </c>
      <c r="V36" s="378">
        <f t="shared" si="6"/>
        <v>22.114265490850901</v>
      </c>
      <c r="W36" s="397">
        <f t="shared" si="7"/>
        <v>21.992017802372168</v>
      </c>
      <c r="X36" s="153">
        <f t="shared" si="8"/>
        <v>45313</v>
      </c>
      <c r="Y36" s="380">
        <f t="shared" si="9"/>
        <v>21.458434814479027</v>
      </c>
      <c r="Z36" s="380">
        <f t="shared" si="10"/>
        <v>21.692053588142237</v>
      </c>
      <c r="AA36" s="381">
        <f t="shared" si="11"/>
        <v>22.623084362869168</v>
      </c>
      <c r="AB36" s="193">
        <f t="shared" si="12"/>
        <v>45313</v>
      </c>
      <c r="AC36" s="119">
        <f>IF(OR(t&lt;Tnet,NoTnet),'2023'!Resal_s+('2023'!Salim-'2023'!Resal_s)*(1-EXP(('2023'!Tnet_s-t)/'2023'!Tau_j)),Resal_s+(Salim-Resal_s)*(1-EXP((Tnet_s-t)/Tau_j)))*Salcycl</f>
        <v>4.115401595084945E-2</v>
      </c>
      <c r="AD36" s="227">
        <f>(INDEX(Models!$BJ36:$BT36,,AH36)*(1-AF36)+INDEX(Models!$BJ36:$BT36,,AH36+1)*AF36-ERP_i)*AE36*Ramure*Pc/MaxiM</f>
        <v>5.6064807093230626E-3</v>
      </c>
      <c r="AE36" s="301">
        <f t="shared" si="13"/>
        <v>0.5</v>
      </c>
      <c r="AF36" s="173">
        <f t="shared" si="22"/>
        <v>0.99477035206255104</v>
      </c>
      <c r="AG36" s="802">
        <f t="shared" si="23"/>
        <v>0</v>
      </c>
      <c r="AH36" s="172">
        <f t="shared" si="14"/>
        <v>6</v>
      </c>
      <c r="AI36" s="221">
        <f t="shared" si="24"/>
        <v>0.99477035206255104</v>
      </c>
      <c r="AJ36" s="261" t="b">
        <f t="shared" si="15"/>
        <v>0</v>
      </c>
      <c r="AK36" s="261" t="b">
        <f t="shared" si="16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7"/>
        <v>45314</v>
      </c>
      <c r="B37" s="406">
        <f>'2023'!Wh/'2023'!Env_an*'2024'!Env_an</f>
        <v>22.064485434101755</v>
      </c>
      <c r="C37" s="385"/>
      <c r="D37" s="388">
        <f t="shared" si="0"/>
        <v>22.305007640104865</v>
      </c>
      <c r="E37" s="380">
        <f t="shared" si="18"/>
        <v>22.699259702898139</v>
      </c>
      <c r="F37" s="380">
        <f t="shared" si="1"/>
        <v>22.824021897737627</v>
      </c>
      <c r="G37" s="110">
        <f t="shared" si="19"/>
        <v>0.98407162044865337</v>
      </c>
      <c r="H37" s="409" t="b">
        <f>Wh_hp&gt;='2023'!Maxi_hp</f>
        <v>0</v>
      </c>
      <c r="I37" s="375">
        <f>IF(H37,Wh_hp,'2023'!Maxi_hp)</f>
        <v>22.826917337644495</v>
      </c>
      <c r="J37" s="85">
        <f>IF(H37,An,'2023'!An_max)</f>
        <v>2022</v>
      </c>
      <c r="K37" s="193">
        <f t="shared" si="20"/>
        <v>45314</v>
      </c>
      <c r="L37" s="143">
        <f>IF(t&lt;Tvie,1-EXP((T0-t)*PertePVj)+'2023'!Pspv,1-EXP((T0-t)*PertePVj)+Pspv)</f>
        <v>1.0783327667220677E-2</v>
      </c>
      <c r="M37" s="836"/>
      <c r="N37" s="836"/>
      <c r="O37" s="48">
        <f>IF(t&lt;Tnet,'2023'!Resal+('2023'!Salim-'2023'!Resal)*(1-EXP(('2023'!Tnet-t)/('2023'!Tau_j))),Resal+(Salim-Resal)*(1-EXP((Tnet-t)/(Tau_j))))*Salcycl</f>
        <v>1.7368498706719422E-2</v>
      </c>
      <c r="P37" s="165">
        <f>(INDEX(Models!$BJ37:$BT37,,T37)*(1-R37)+INDEX(Models!$BJ37:$BT37,,T37+1)*R37-ERP_i)*Q37*Ramure*Pc/MaxiM</f>
        <v>5.592525595005924E-3</v>
      </c>
      <c r="Q37" s="301">
        <f t="shared" si="2"/>
        <v>0.5</v>
      </c>
      <c r="R37" s="173">
        <f t="shared" si="3"/>
        <v>0.99483933027332838</v>
      </c>
      <c r="S37" s="802">
        <f t="shared" si="4"/>
        <v>0</v>
      </c>
      <c r="T37" s="172">
        <f t="shared" si="5"/>
        <v>6</v>
      </c>
      <c r="U37" s="247">
        <f t="shared" si="21"/>
        <v>0.99483933027332838</v>
      </c>
      <c r="V37" s="378">
        <f t="shared" si="6"/>
        <v>22.418779111353867</v>
      </c>
      <c r="W37" s="397">
        <f t="shared" si="7"/>
        <v>22.064485434101755</v>
      </c>
      <c r="X37" s="153">
        <f t="shared" si="8"/>
        <v>45314</v>
      </c>
      <c r="Y37" s="380">
        <f t="shared" si="9"/>
        <v>21.529607658589345</v>
      </c>
      <c r="Z37" s="380">
        <f t="shared" si="10"/>
        <v>21.764299228618981</v>
      </c>
      <c r="AA37" s="381">
        <f t="shared" si="11"/>
        <v>22.699259702898139</v>
      </c>
      <c r="AB37" s="193">
        <f t="shared" si="12"/>
        <v>45314</v>
      </c>
      <c r="AC37" s="119">
        <f>IF(OR(t&lt;Tnet,NoTnet),'2023'!Resal_s+('2023'!Salim-'2023'!Resal_s)*(1-EXP(('2023'!Tnet_s-t)/'2023'!Tau_j)),Resal_s+(Salim-Resal_s)*(1-EXP((Tnet_s-t)/Tau_j)))*Salcycl</f>
        <v>4.1189029356749847E-2</v>
      </c>
      <c r="AD37" s="227">
        <f>(INDEX(Models!$BJ37:$BT37,,AH37)*(1-AF37)+INDEX(Models!$BJ37:$BT37,,AH37+1)*AF37-ERP_i)*AE37*Ramure*Pc/MaxiM</f>
        <v>5.592525595005924E-3</v>
      </c>
      <c r="AE37" s="301">
        <f t="shared" si="13"/>
        <v>0.5</v>
      </c>
      <c r="AF37" s="173">
        <f t="shared" si="22"/>
        <v>0.99483933027332838</v>
      </c>
      <c r="AG37" s="802">
        <f t="shared" si="23"/>
        <v>0</v>
      </c>
      <c r="AH37" s="172">
        <f t="shared" si="14"/>
        <v>6</v>
      </c>
      <c r="AI37" s="221">
        <f t="shared" si="24"/>
        <v>0.99483933027332838</v>
      </c>
      <c r="AJ37" s="261" t="b">
        <f t="shared" si="15"/>
        <v>0</v>
      </c>
      <c r="AK37" s="261" t="b">
        <f t="shared" si="16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7"/>
        <v>45315</v>
      </c>
      <c r="B38" s="406">
        <f>'2023'!Wh/'2023'!Env_an*'2024'!Env_an</f>
        <v>22.611808560966654</v>
      </c>
      <c r="C38" s="385"/>
      <c r="D38" s="388">
        <f t="shared" si="0"/>
        <v>22.858609983342259</v>
      </c>
      <c r="E38" s="380">
        <f t="shared" si="18"/>
        <v>23.263996965552256</v>
      </c>
      <c r="F38" s="380">
        <f t="shared" si="1"/>
        <v>23.392824076912245</v>
      </c>
      <c r="G38" s="110">
        <f t="shared" si="19"/>
        <v>0.99454796163414971</v>
      </c>
      <c r="H38" s="409" t="b">
        <f>Wh_hp&gt;='2023'!Maxi_hp</f>
        <v>0</v>
      </c>
      <c r="I38" s="375">
        <f>IF(H38,Wh_hp,'2023'!Maxi_hp)</f>
        <v>23.393832011186525</v>
      </c>
      <c r="J38" s="85">
        <f>IF(H38,An,'2023'!An_max)</f>
        <v>2022</v>
      </c>
      <c r="K38" s="193">
        <f t="shared" si="20"/>
        <v>45315</v>
      </c>
      <c r="L38" s="143">
        <f>IF(t&lt;Tvie,1-EXP((T0-t)*PertePVj)+'2023'!Pspv,1-EXP((T0-t)*PertePVj)+Pspv)</f>
        <v>1.0796869212758575E-2</v>
      </c>
      <c r="M38" s="836"/>
      <c r="N38" s="836"/>
      <c r="O38" s="48">
        <f>IF(t&lt;Tnet,'2023'!Resal+('2023'!Salim-'2023'!Resal)*(1-EXP(('2023'!Tnet-t)/('2023'!Tau_j))),Resal+(Salim-Resal)*(1-EXP((Tnet-t)/(Tau_j))))*Salcycl</f>
        <v>1.7425508729659204E-2</v>
      </c>
      <c r="P38" s="165">
        <f>(INDEX(Models!$BJ38:$BT38,,T38)*(1-R38)+INDEX(Models!$BJ38:$BT38,,T38+1)*R38-ERP_i)*Q38*Ramure*Pc/MaxiM</f>
        <v>5.5500078125902139E-3</v>
      </c>
      <c r="Q38" s="301">
        <f t="shared" si="2"/>
        <v>0.5</v>
      </c>
      <c r="R38" s="173">
        <f t="shared" si="3"/>
        <v>0.99491118198355788</v>
      </c>
      <c r="S38" s="802">
        <f t="shared" si="4"/>
        <v>0</v>
      </c>
      <c r="T38" s="172">
        <f t="shared" si="5"/>
        <v>6</v>
      </c>
      <c r="U38" s="247">
        <f t="shared" si="21"/>
        <v>0.99491118198355788</v>
      </c>
      <c r="V38" s="378">
        <f t="shared" si="6"/>
        <v>22.734784357707607</v>
      </c>
      <c r="W38" s="397">
        <f t="shared" si="7"/>
        <v>22.611808560966654</v>
      </c>
      <c r="X38" s="153">
        <f t="shared" si="8"/>
        <v>45315</v>
      </c>
      <c r="Y38" s="380">
        <f t="shared" si="9"/>
        <v>22.064136556019633</v>
      </c>
      <c r="Z38" s="380">
        <f t="shared" si="10"/>
        <v>22.304960295121838</v>
      </c>
      <c r="AA38" s="381">
        <f t="shared" si="11"/>
        <v>23.263996965552256</v>
      </c>
      <c r="AB38" s="193">
        <f t="shared" si="12"/>
        <v>45315</v>
      </c>
      <c r="AC38" s="119">
        <f>IF(OR(t&lt;Tnet,NoTnet),'2023'!Resal_s+('2023'!Salim-'2023'!Resal_s)*(1-EXP(('2023'!Tnet_s-t)/'2023'!Tau_j)),Resal_s+(Salim-Resal_s)*(1-EXP((Tnet_s-t)/Tau_j)))*Salcycl</f>
        <v>4.1224071334366758E-2</v>
      </c>
      <c r="AD38" s="227">
        <f>(INDEX(Models!$BJ38:$BT38,,AH38)*(1-AF38)+INDEX(Models!$BJ38:$BT38,,AH38+1)*AF38-ERP_i)*AE38*Ramure*Pc/MaxiM</f>
        <v>5.5500078125902139E-3</v>
      </c>
      <c r="AE38" s="301">
        <f t="shared" si="13"/>
        <v>0.5</v>
      </c>
      <c r="AF38" s="173">
        <f t="shared" si="22"/>
        <v>0.99491118198355788</v>
      </c>
      <c r="AG38" s="802">
        <f t="shared" si="23"/>
        <v>0</v>
      </c>
      <c r="AH38" s="172">
        <f t="shared" si="14"/>
        <v>6</v>
      </c>
      <c r="AI38" s="221">
        <f t="shared" si="24"/>
        <v>0.99491118198355788</v>
      </c>
      <c r="AJ38" s="261" t="b">
        <f t="shared" si="15"/>
        <v>0</v>
      </c>
      <c r="AK38" s="261" t="b">
        <f t="shared" si="16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7"/>
        <v>45316</v>
      </c>
      <c r="B39" s="406">
        <f>'2023'!Wh/'2023'!Env_an*'2024'!Env_an</f>
        <v>21.176390390163284</v>
      </c>
      <c r="C39" s="385"/>
      <c r="D39" s="388">
        <f t="shared" si="0"/>
        <v>21.407817688850059</v>
      </c>
      <c r="E39" s="380">
        <f t="shared" si="18"/>
        <v>21.788739151812141</v>
      </c>
      <c r="F39" s="380">
        <f t="shared" si="1"/>
        <v>21.894639900853822</v>
      </c>
      <c r="G39" s="110">
        <f t="shared" si="19"/>
        <v>0.91767049117728994</v>
      </c>
      <c r="H39" s="409" t="b">
        <f>Wh_hp&gt;='2023'!Maxi_hp</f>
        <v>0</v>
      </c>
      <c r="I39" s="375">
        <f>IF(H39,Wh_hp,'2023'!Maxi_hp)</f>
        <v>21.908704752489474</v>
      </c>
      <c r="J39" s="85">
        <f>IF(H39,An,'2023'!An_max)</f>
        <v>2022</v>
      </c>
      <c r="K39" s="193">
        <f t="shared" si="20"/>
        <v>45316</v>
      </c>
      <c r="L39" s="143">
        <f>IF(t&lt;Tvie,1-EXP((T0-t)*PertePVj)+'2023'!Pspv,1-EXP((T0-t)*PertePVj)+Pspv)</f>
        <v>1.081041057292409E-2</v>
      </c>
      <c r="M39" s="836"/>
      <c r="N39" s="836"/>
      <c r="O39" s="48">
        <f>IF(t&lt;Tnet,'2023'!Resal+('2023'!Salim-'2023'!Resal)*(1-EXP(('2023'!Tnet-t)/('2023'!Tau_j))),Resal+(Salim-Resal)*(1-EXP((Tnet-t)/(Tau_j))))*Salcycl</f>
        <v>1.7482492231791207E-2</v>
      </c>
      <c r="P39" s="165">
        <f>(INDEX(Models!$BJ39:$BT39,,T39)*(1-R39)+INDEX(Models!$BJ39:$BT39,,T39+1)*R39-ERP_i)*Q39*Ramure*Pc/MaxiM</f>
        <v>5.4763063044293101E-3</v>
      </c>
      <c r="Q39" s="301">
        <f t="shared" si="2"/>
        <v>0.5</v>
      </c>
      <c r="R39" s="173">
        <f t="shared" si="3"/>
        <v>0.99498602601496611</v>
      </c>
      <c r="S39" s="802">
        <f t="shared" si="4"/>
        <v>0</v>
      </c>
      <c r="T39" s="172">
        <f t="shared" si="5"/>
        <v>6</v>
      </c>
      <c r="U39" s="247">
        <f t="shared" si="21"/>
        <v>0.99498602601496611</v>
      </c>
      <c r="V39" s="378">
        <f t="shared" si="6"/>
        <v>23.061418091943953</v>
      </c>
      <c r="W39" s="397">
        <f t="shared" si="7"/>
        <v>21.176390390163284</v>
      </c>
      <c r="X39" s="153">
        <f t="shared" si="8"/>
        <v>45316</v>
      </c>
      <c r="Y39" s="380">
        <f t="shared" si="9"/>
        <v>20.663927615913462</v>
      </c>
      <c r="Z39" s="380">
        <f t="shared" si="10"/>
        <v>20.889754438157507</v>
      </c>
      <c r="AA39" s="381">
        <f t="shared" si="11"/>
        <v>21.788739151812141</v>
      </c>
      <c r="AB39" s="193">
        <f t="shared" si="12"/>
        <v>45316</v>
      </c>
      <c r="AC39" s="119">
        <f>IF(OR(t&lt;Tnet,NoTnet),'2023'!Resal_s+('2023'!Salim-'2023'!Resal_s)*(1-EXP(('2023'!Tnet_s-t)/'2023'!Tau_j)),Resal_s+(Salim-Resal_s)*(1-EXP((Tnet_s-t)/Tau_j)))*Salcycl</f>
        <v>4.1259143422251066E-2</v>
      </c>
      <c r="AD39" s="227">
        <f>(INDEX(Models!$BJ39:$BT39,,AH39)*(1-AF39)+INDEX(Models!$BJ39:$BT39,,AH39+1)*AF39-ERP_i)*AE39*Ramure*Pc/MaxiM</f>
        <v>5.4763063044293101E-3</v>
      </c>
      <c r="AE39" s="301">
        <f t="shared" si="13"/>
        <v>0.5</v>
      </c>
      <c r="AF39" s="173">
        <f t="shared" si="22"/>
        <v>0.99498602601496611</v>
      </c>
      <c r="AG39" s="802">
        <f t="shared" si="23"/>
        <v>0</v>
      </c>
      <c r="AH39" s="172">
        <f t="shared" si="14"/>
        <v>6</v>
      </c>
      <c r="AI39" s="221">
        <f t="shared" si="24"/>
        <v>0.99498602601496611</v>
      </c>
      <c r="AJ39" s="261" t="b">
        <f t="shared" si="15"/>
        <v>0</v>
      </c>
      <c r="AK39" s="261" t="b">
        <f t="shared" si="16"/>
        <v>0</v>
      </c>
      <c r="AL39" s="261"/>
      <c r="AM39" s="261"/>
      <c r="AN39" s="75"/>
    </row>
    <row r="40" spans="1:40" s="6" customFormat="1" ht="11.25" x14ac:dyDescent="0.2">
      <c r="A40" s="56">
        <f t="shared" si="17"/>
        <v>45317</v>
      </c>
      <c r="B40" s="406">
        <f>'2023'!Wh/'2023'!Env_an*'2024'!Env_an</f>
        <v>22.788380518719659</v>
      </c>
      <c r="C40" s="385"/>
      <c r="D40" s="388">
        <f t="shared" si="0"/>
        <v>23.037739903815073</v>
      </c>
      <c r="E40" s="380">
        <f t="shared" si="18"/>
        <v>23.449022867224024</v>
      </c>
      <c r="F40" s="380">
        <f t="shared" si="1"/>
        <v>23.57095886368084</v>
      </c>
      <c r="G40" s="110">
        <f t="shared" si="19"/>
        <v>0.97376149943345813</v>
      </c>
      <c r="H40" s="409" t="b">
        <f>Wh_hp&gt;='2023'!Maxi_hp</f>
        <v>0</v>
      </c>
      <c r="I40" s="375">
        <f>IF(H40,Wh_hp,'2023'!Maxi_hp)</f>
        <v>23.575691488486939</v>
      </c>
      <c r="J40" s="85">
        <f>IF(H40,An,'2023'!An_max)</f>
        <v>2022</v>
      </c>
      <c r="K40" s="193">
        <f t="shared" si="20"/>
        <v>45317</v>
      </c>
      <c r="L40" s="143">
        <f>IF(t&lt;Tvie,1-EXP((T0-t)*PertePVj)+'2023'!Pspv,1-EXP((T0-t)*PertePVj)+Pspv)</f>
        <v>1.0823951747719773E-2</v>
      </c>
      <c r="M40" s="836"/>
      <c r="N40" s="836"/>
      <c r="O40" s="48">
        <f>IF(t&lt;Tnet,'2023'!Resal+('2023'!Salim-'2023'!Resal)*(1-EXP(('2023'!Tnet-t)/('2023'!Tau_j))),Resal+(Salim-Resal)*(1-EXP((Tnet-t)/(Tau_j))))*Salcycl</f>
        <v>1.7539449969313045E-2</v>
      </c>
      <c r="P40" s="165">
        <f>(INDEX(Models!$BJ40:$BT40,,T40)*(1-R40)+INDEX(Models!$BJ40:$BT40,,T40+1)*R40-ERP_i)*Q40*Ramure*Pc/MaxiM</f>
        <v>5.3730440547223044E-3</v>
      </c>
      <c r="Q40" s="301">
        <f t="shared" si="2"/>
        <v>0.5</v>
      </c>
      <c r="R40" s="173">
        <f t="shared" si="3"/>
        <v>0.99506398602735879</v>
      </c>
      <c r="S40" s="802">
        <f t="shared" si="4"/>
        <v>0</v>
      </c>
      <c r="T40" s="172">
        <f t="shared" si="5"/>
        <v>6</v>
      </c>
      <c r="U40" s="247">
        <f t="shared" si="21"/>
        <v>0.99506398602735879</v>
      </c>
      <c r="V40" s="378">
        <f t="shared" si="6"/>
        <v>23.39772262131482</v>
      </c>
      <c r="W40" s="397">
        <f t="shared" si="7"/>
        <v>22.788380518719659</v>
      </c>
      <c r="X40" s="153">
        <f t="shared" si="8"/>
        <v>45317</v>
      </c>
      <c r="Y40" s="380">
        <f t="shared" si="9"/>
        <v>22.23738297413507</v>
      </c>
      <c r="Z40" s="380">
        <f t="shared" si="10"/>
        <v>22.480713128290013</v>
      </c>
      <c r="AA40" s="381">
        <f t="shared" si="11"/>
        <v>23.449022867224024</v>
      </c>
      <c r="AB40" s="193">
        <f t="shared" si="12"/>
        <v>45317</v>
      </c>
      <c r="AC40" s="119">
        <f>IF(OR(t&lt;Tnet,NoTnet),'2023'!Resal_s+('2023'!Salim-'2023'!Resal_s)*(1-EXP(('2023'!Tnet_s-t)/'2023'!Tau_j)),Resal_s+(Salim-Resal_s)*(1-EXP((Tnet_s-t)/Tau_j)))*Salcycl</f>
        <v>4.12942468612401E-2</v>
      </c>
      <c r="AD40" s="227">
        <f>(INDEX(Models!$BJ40:$BT40,,AH40)*(1-AF40)+INDEX(Models!$BJ40:$BT40,,AH40+1)*AF40-ERP_i)*AE40*Ramure*Pc/MaxiM</f>
        <v>5.3730440547223044E-3</v>
      </c>
      <c r="AE40" s="301">
        <f t="shared" si="13"/>
        <v>0.5</v>
      </c>
      <c r="AF40" s="173">
        <f t="shared" si="22"/>
        <v>0.99506398602735879</v>
      </c>
      <c r="AG40" s="802">
        <f t="shared" si="23"/>
        <v>0</v>
      </c>
      <c r="AH40" s="172">
        <f t="shared" si="14"/>
        <v>6</v>
      </c>
      <c r="AI40" s="221">
        <f t="shared" si="24"/>
        <v>0.99506398602735879</v>
      </c>
      <c r="AJ40" s="261" t="b">
        <f t="shared" si="15"/>
        <v>0</v>
      </c>
      <c r="AK40" s="261" t="b">
        <f t="shared" si="16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7"/>
        <v>45318</v>
      </c>
      <c r="B41" s="406">
        <f>'2023'!Wh/'2023'!Env_an*'2024'!Env_an</f>
        <v>19.077283815197163</v>
      </c>
      <c r="C41" s="385"/>
      <c r="D41" s="388">
        <f t="shared" si="0"/>
        <v>19.286298939884627</v>
      </c>
      <c r="E41" s="380">
        <f t="shared" si="18"/>
        <v>19.631746664441337</v>
      </c>
      <c r="F41" s="380">
        <f t="shared" si="1"/>
        <v>19.706045403711741</v>
      </c>
      <c r="G41" s="110">
        <f t="shared" si="19"/>
        <v>0.80231286749843644</v>
      </c>
      <c r="H41" s="409" t="b">
        <f>Wh_hp&gt;='2023'!Maxi_hp</f>
        <v>0</v>
      </c>
      <c r="I41" s="375">
        <f>IF(H41,Wh_hp,'2023'!Maxi_hp)</f>
        <v>19.735165141649773</v>
      </c>
      <c r="J41" s="85">
        <f>IF(H41,An,'2023'!An_max)</f>
        <v>2022</v>
      </c>
      <c r="K41" s="193">
        <f t="shared" si="20"/>
        <v>45318</v>
      </c>
      <c r="L41" s="143">
        <f>IF(t&lt;Tvie,1-EXP((T0-t)*PertePVj)+'2023'!Pspv,1-EXP((T0-t)*PertePVj)+Pspv)</f>
        <v>1.0837492737148069E-2</v>
      </c>
      <c r="M41" s="836"/>
      <c r="N41" s="836"/>
      <c r="O41" s="48">
        <f>IF(t&lt;Tnet,'2023'!Resal+('2023'!Salim-'2023'!Resal)*(1-EXP(('2023'!Tnet-t)/('2023'!Tau_j))),Resal+(Salim-Resal)*(1-EXP((Tnet-t)/(Tau_j))))*Salcycl</f>
        <v>1.7596382556342455E-2</v>
      </c>
      <c r="P41" s="165">
        <f>(INDEX(Models!$BJ41:$BT41,,T41)*(1-R41)+INDEX(Models!$BJ41:$BT41,,T41+1)*R41-ERP_i)*Q41*Ramure*Pc/MaxiM</f>
        <v>5.2418046242979311E-3</v>
      </c>
      <c r="Q41" s="301">
        <f t="shared" si="2"/>
        <v>0.5</v>
      </c>
      <c r="R41" s="173">
        <f t="shared" si="3"/>
        <v>0.9951451907091805</v>
      </c>
      <c r="S41" s="802">
        <f t="shared" si="4"/>
        <v>0</v>
      </c>
      <c r="T41" s="172">
        <f t="shared" si="5"/>
        <v>6</v>
      </c>
      <c r="U41" s="247">
        <f t="shared" si="21"/>
        <v>0.9951451907091805</v>
      </c>
      <c r="V41" s="378">
        <f t="shared" si="6"/>
        <v>23.74274056848822</v>
      </c>
      <c r="W41" s="397">
        <f t="shared" si="7"/>
        <v>19.077283815197163</v>
      </c>
      <c r="X41" s="153">
        <f t="shared" si="8"/>
        <v>45318</v>
      </c>
      <c r="Y41" s="380">
        <f t="shared" si="9"/>
        <v>18.616412979001566</v>
      </c>
      <c r="Z41" s="380">
        <f t="shared" si="10"/>
        <v>18.820378696434553</v>
      </c>
      <c r="AA41" s="381">
        <f t="shared" si="11"/>
        <v>19.631746664441337</v>
      </c>
      <c r="AB41" s="193">
        <f t="shared" si="12"/>
        <v>45318</v>
      </c>
      <c r="AC41" s="119">
        <f>IF(OR(t&lt;Tnet,NoTnet),'2023'!Resal_s+('2023'!Salim-'2023'!Resal_s)*(1-EXP(('2023'!Tnet_s-t)/'2023'!Tau_j)),Resal_s+(Salim-Resal_s)*(1-EXP((Tnet_s-t)/Tau_j)))*Salcycl</f>
        <v>4.1329382549358314E-2</v>
      </c>
      <c r="AD41" s="227">
        <f>(INDEX(Models!$BJ41:$BT41,,AH41)*(1-AF41)+INDEX(Models!$BJ41:$BT41,,AH41+1)*AF41-ERP_i)*AE41*Ramure*Pc/MaxiM</f>
        <v>5.2418046242979311E-3</v>
      </c>
      <c r="AE41" s="301">
        <f t="shared" si="13"/>
        <v>0.5</v>
      </c>
      <c r="AF41" s="173">
        <f t="shared" si="22"/>
        <v>0.9951451907091805</v>
      </c>
      <c r="AG41" s="802">
        <f t="shared" si="23"/>
        <v>0</v>
      </c>
      <c r="AH41" s="172">
        <f t="shared" si="14"/>
        <v>6</v>
      </c>
      <c r="AI41" s="221">
        <f t="shared" si="24"/>
        <v>0.9951451907091805</v>
      </c>
      <c r="AJ41" s="261" t="b">
        <f t="shared" si="15"/>
        <v>0</v>
      </c>
      <c r="AK41" s="261" t="b">
        <f t="shared" si="16"/>
        <v>0</v>
      </c>
      <c r="AL41" s="261"/>
      <c r="AM41" s="261"/>
      <c r="AN41" s="75"/>
    </row>
    <row r="42" spans="1:40" s="6" customFormat="1" ht="11.25" x14ac:dyDescent="0.2">
      <c r="A42" s="56">
        <f t="shared" si="17"/>
        <v>45319</v>
      </c>
      <c r="B42" s="406">
        <f>'2023'!Wh/'2023'!Env_an*'2024'!Env_an</f>
        <v>4.5501572179571159</v>
      </c>
      <c r="C42" s="385"/>
      <c r="D42" s="388">
        <f t="shared" si="0"/>
        <v>4.6000727617872847</v>
      </c>
      <c r="E42" s="380">
        <f t="shared" si="18"/>
        <v>4.6827385046983325</v>
      </c>
      <c r="F42" s="380">
        <f t="shared" si="1"/>
        <v>4.6827385046983325</v>
      </c>
      <c r="G42" s="110">
        <f t="shared" si="19"/>
        <v>0.18787827126681159</v>
      </c>
      <c r="H42" s="409" t="b">
        <f>Wh_hp&gt;='2023'!Maxi_hp</f>
        <v>0</v>
      </c>
      <c r="I42" s="375">
        <f>IF(H42,Wh_hp,'2023'!Maxi_hp)</f>
        <v>4.7066426478923402</v>
      </c>
      <c r="J42" s="85">
        <f>IF(H42,An,'2023'!An_max)</f>
        <v>2022</v>
      </c>
      <c r="K42" s="193">
        <f t="shared" si="20"/>
        <v>45319</v>
      </c>
      <c r="L42" s="143">
        <f>IF(t&lt;Tvie,1-EXP((T0-t)*PertePVj)+'2023'!Pspv,1-EXP((T0-t)*PertePVj)+Pspv)</f>
        <v>1.0851033541211752E-2</v>
      </c>
      <c r="M42" s="836"/>
      <c r="N42" s="836"/>
      <c r="O42" s="48">
        <f>IF(t&lt;Tnet,'2023'!Resal+('2023'!Salim-'2023'!Resal)*(1-EXP(('2023'!Tnet-t)/('2023'!Tau_j))),Resal+(Salim-Resal)*(1-EXP((Tnet-t)/(Tau_j))))*Salcycl</f>
        <v>1.7653290447055062E-2</v>
      </c>
      <c r="P42" s="165">
        <f>(INDEX(Models!$BJ42:$BT42,,T42)*(1-R42)+INDEX(Models!$BJ42:$BT42,,T42+1)*R42-ERP_i)*Q42*Ramure*Pc/MaxiM</f>
        <v>5.084117502331017E-3</v>
      </c>
      <c r="Q42" s="301">
        <f t="shared" si="2"/>
        <v>0.5</v>
      </c>
      <c r="R42" s="173">
        <f t="shared" si="3"/>
        <v>0.99522977397502643</v>
      </c>
      <c r="S42" s="802">
        <f t="shared" si="4"/>
        <v>0</v>
      </c>
      <c r="T42" s="172">
        <f t="shared" si="5"/>
        <v>6</v>
      </c>
      <c r="U42" s="247">
        <f t="shared" si="21"/>
        <v>0.99522977397502643</v>
      </c>
      <c r="V42" s="378">
        <f t="shared" si="6"/>
        <v>24.095514896334016</v>
      </c>
      <c r="W42" s="397">
        <f t="shared" si="7"/>
        <v>4.5501572179571159</v>
      </c>
      <c r="X42" s="153">
        <f t="shared" si="8"/>
        <v>45319</v>
      </c>
      <c r="Y42" s="380">
        <f t="shared" si="9"/>
        <v>4.4403284148255038</v>
      </c>
      <c r="Z42" s="380">
        <f t="shared" si="10"/>
        <v>4.4890391289818981</v>
      </c>
      <c r="AA42" s="381">
        <f t="shared" si="11"/>
        <v>4.6827385046983325</v>
      </c>
      <c r="AB42" s="193">
        <f t="shared" si="12"/>
        <v>45319</v>
      </c>
      <c r="AC42" s="119">
        <f>IF(OR(t&lt;Tnet,NoTnet),'2023'!Resal_s+('2023'!Salim-'2023'!Resal_s)*(1-EXP(('2023'!Tnet_s-t)/'2023'!Tau_j)),Resal_s+(Salim-Resal_s)*(1-EXP((Tnet_s-t)/Tau_j)))*Salcycl</f>
        <v>4.1364551004095078E-2</v>
      </c>
      <c r="AD42" s="227">
        <f>(INDEX(Models!$BJ42:$BT42,,AH42)*(1-AF42)+INDEX(Models!$BJ42:$BT42,,AH42+1)*AF42-ERP_i)*AE42*Ramure*Pc/MaxiM</f>
        <v>5.084117502331017E-3</v>
      </c>
      <c r="AE42" s="301">
        <f t="shared" si="13"/>
        <v>0.5</v>
      </c>
      <c r="AF42" s="173">
        <f t="shared" si="22"/>
        <v>0.99522977397502643</v>
      </c>
      <c r="AG42" s="802">
        <f t="shared" si="23"/>
        <v>0</v>
      </c>
      <c r="AH42" s="172">
        <f t="shared" si="14"/>
        <v>6</v>
      </c>
      <c r="AI42" s="221">
        <f t="shared" si="24"/>
        <v>0.99522977397502643</v>
      </c>
      <c r="AJ42" s="261" t="b">
        <f t="shared" si="15"/>
        <v>0</v>
      </c>
      <c r="AK42" s="261" t="b">
        <f t="shared" si="16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7"/>
        <v>45320</v>
      </c>
      <c r="B43" s="406">
        <f>'2023'!Wh/'2023'!Env_an*'2024'!Env_an</f>
        <v>6.8382337211953992</v>
      </c>
      <c r="C43" s="385"/>
      <c r="D43" s="388">
        <f t="shared" si="0"/>
        <v>6.9133442626297494</v>
      </c>
      <c r="E43" s="380">
        <f t="shared" si="18"/>
        <v>7.0379882587451954</v>
      </c>
      <c r="F43" s="380">
        <f t="shared" si="1"/>
        <v>7.0379882587451954</v>
      </c>
      <c r="G43" s="110">
        <f t="shared" si="19"/>
        <v>0.27825359829281343</v>
      </c>
      <c r="H43" s="409" t="b">
        <f>Wh_hp&gt;='2023'!Maxi_hp</f>
        <v>0</v>
      </c>
      <c r="I43" s="375">
        <f>IF(H43,Wh_hp,'2023'!Maxi_hp)</f>
        <v>7.0726171921905499</v>
      </c>
      <c r="J43" s="85">
        <f>IF(H43,An,'2023'!An_max)</f>
        <v>2022</v>
      </c>
      <c r="K43" s="193">
        <f t="shared" si="20"/>
        <v>45320</v>
      </c>
      <c r="L43" s="143">
        <f>IF(t&lt;Tvie,1-EXP((T0-t)*PertePVj)+'2023'!Pspv,1-EXP((T0-t)*PertePVj)+Pspv)</f>
        <v>1.0864574159913043E-2</v>
      </c>
      <c r="M43" s="836"/>
      <c r="N43" s="836"/>
      <c r="O43" s="48">
        <f>IF(t&lt;Tnet,'2023'!Resal+('2023'!Salim-'2023'!Resal)*(1-EXP(('2023'!Tnet-t)/('2023'!Tau_j))),Resal+(Salim-Resal)*(1-EXP((Tnet-t)/(Tau_j))))*Salcycl</f>
        <v>1.7710173920873876E-2</v>
      </c>
      <c r="P43" s="165">
        <f>(INDEX(Models!$BJ43:$BT43,,T43)*(1-R43)+INDEX(Models!$BJ43:$BT43,,T43+1)*R43-ERP_i)*Q43*Ramure*Pc/MaxiM</f>
        <v>4.901446220545988E-3</v>
      </c>
      <c r="Q43" s="301">
        <f t="shared" si="2"/>
        <v>0.5</v>
      </c>
      <c r="R43" s="173">
        <f t="shared" si="3"/>
        <v>0.99531787517031167</v>
      </c>
      <c r="S43" s="802">
        <f t="shared" si="4"/>
        <v>0</v>
      </c>
      <c r="T43" s="172">
        <f t="shared" si="5"/>
        <v>6</v>
      </c>
      <c r="U43" s="247">
        <f t="shared" si="21"/>
        <v>0.99531787517031167</v>
      </c>
      <c r="V43" s="378">
        <f t="shared" si="6"/>
        <v>24.455088912117709</v>
      </c>
      <c r="W43" s="397">
        <f t="shared" si="7"/>
        <v>6.8382337211953992</v>
      </c>
      <c r="X43" s="153">
        <f t="shared" si="8"/>
        <v>45320</v>
      </c>
      <c r="Y43" s="380">
        <f t="shared" si="9"/>
        <v>6.6733181640622687</v>
      </c>
      <c r="Z43" s="380">
        <f t="shared" si="10"/>
        <v>6.7466172879153765</v>
      </c>
      <c r="AA43" s="381">
        <f t="shared" si="11"/>
        <v>7.0379882587451954</v>
      </c>
      <c r="AB43" s="193">
        <f t="shared" si="12"/>
        <v>45320</v>
      </c>
      <c r="AC43" s="119">
        <f>IF(OR(t&lt;Tnet,NoTnet),'2023'!Resal_s+('2023'!Salim-'2023'!Resal_s)*(1-EXP(('2023'!Tnet_s-t)/'2023'!Tau_j)),Resal_s+(Salim-Resal_s)*(1-EXP((Tnet_s-t)/Tau_j)))*Salcycl</f>
        <v>4.1399752332318809E-2</v>
      </c>
      <c r="AD43" s="227">
        <f>(INDEX(Models!$BJ43:$BT43,,AH43)*(1-AF43)+INDEX(Models!$BJ43:$BT43,,AH43+1)*AF43-ERP_i)*AE43*Ramure*Pc/MaxiM</f>
        <v>4.901446220545988E-3</v>
      </c>
      <c r="AE43" s="301">
        <f t="shared" si="13"/>
        <v>0.5</v>
      </c>
      <c r="AF43" s="173">
        <f t="shared" si="22"/>
        <v>0.99531787517031167</v>
      </c>
      <c r="AG43" s="802">
        <f t="shared" si="23"/>
        <v>0</v>
      </c>
      <c r="AH43" s="172">
        <f t="shared" si="14"/>
        <v>6</v>
      </c>
      <c r="AI43" s="221">
        <f t="shared" si="24"/>
        <v>0.99531787517031167</v>
      </c>
      <c r="AJ43" s="261" t="b">
        <f t="shared" si="15"/>
        <v>0</v>
      </c>
      <c r="AK43" s="261" t="b">
        <f t="shared" si="16"/>
        <v>0</v>
      </c>
      <c r="AL43" s="261"/>
      <c r="AM43" s="261"/>
      <c r="AN43" s="75"/>
    </row>
    <row r="44" spans="1:40" s="6" customFormat="1" ht="11.25" x14ac:dyDescent="0.2">
      <c r="A44" s="56">
        <f t="shared" si="17"/>
        <v>45321</v>
      </c>
      <c r="B44" s="406">
        <f>'2023'!Wh/'2023'!Env_an*'2024'!Env_an</f>
        <v>4.928462673575627</v>
      </c>
      <c r="C44" s="385"/>
      <c r="D44" s="388">
        <f t="shared" si="0"/>
        <v>4.982664670844839</v>
      </c>
      <c r="E44" s="380">
        <f t="shared" si="18"/>
        <v>5.0727931545838665</v>
      </c>
      <c r="F44" s="380">
        <f t="shared" si="1"/>
        <v>5.0727931545838665</v>
      </c>
      <c r="G44" s="110">
        <f t="shared" si="19"/>
        <v>0.19763185350479109</v>
      </c>
      <c r="H44" s="409" t="b">
        <f>Wh_hp&gt;='2023'!Maxi_hp</f>
        <v>0</v>
      </c>
      <c r="I44" s="375">
        <f>IF(H44,Wh_hp,'2023'!Maxi_hp)</f>
        <v>5.0966884891748485</v>
      </c>
      <c r="J44" s="85">
        <f>IF(H44,An,'2023'!An_max)</f>
        <v>2022</v>
      </c>
      <c r="K44" s="193">
        <f t="shared" si="20"/>
        <v>45321</v>
      </c>
      <c r="L44" s="143">
        <f>IF(t&lt;Tvie,1-EXP((T0-t)*PertePVj)+'2023'!Pspv,1-EXP((T0-t)*PertePVj)+Pspv)</f>
        <v>1.0878114593254717E-2</v>
      </c>
      <c r="M44" s="836"/>
      <c r="N44" s="836"/>
      <c r="O44" s="48">
        <f>IF(t&lt;Tnet,'2023'!Resal+('2023'!Salim-'2023'!Resal)*(1-EXP(('2023'!Tnet-t)/('2023'!Tau_j))),Resal+(Salim-Resal)*(1-EXP((Tnet-t)/(Tau_j))))*Salcycl</f>
        <v>1.7767033070841081E-2</v>
      </c>
      <c r="P44" s="165">
        <f>(INDEX(Models!$BJ44:$BT44,,T44)*(1-R44)+INDEX(Models!$BJ44:$BT44,,T44+1)*R44-ERP_i)*Q44*Ramure*Pc/MaxiM</f>
        <v>4.6935451331541703E-3</v>
      </c>
      <c r="Q44" s="301">
        <f t="shared" si="2"/>
        <v>0.5</v>
      </c>
      <c r="R44" s="173">
        <f t="shared" si="3"/>
        <v>0.99540963928330517</v>
      </c>
      <c r="S44" s="802">
        <f t="shared" si="4"/>
        <v>0</v>
      </c>
      <c r="T44" s="172">
        <f t="shared" si="5"/>
        <v>6</v>
      </c>
      <c r="U44" s="247">
        <f t="shared" si="21"/>
        <v>0.99540963928330517</v>
      </c>
      <c r="V44" s="378">
        <f t="shared" si="6"/>
        <v>24.82054701501454</v>
      </c>
      <c r="W44" s="397">
        <f t="shared" si="7"/>
        <v>4.928462673575627</v>
      </c>
      <c r="X44" s="153">
        <f t="shared" si="8"/>
        <v>45321</v>
      </c>
      <c r="Y44" s="380">
        <f t="shared" si="9"/>
        <v>4.8097060979730824</v>
      </c>
      <c r="Z44" s="380">
        <f t="shared" si="10"/>
        <v>4.862602040187638</v>
      </c>
      <c r="AA44" s="381">
        <f t="shared" si="11"/>
        <v>5.0727931545838665</v>
      </c>
      <c r="AB44" s="193">
        <f t="shared" si="12"/>
        <v>45321</v>
      </c>
      <c r="AC44" s="119">
        <f>IF(OR(t&lt;Tnet,NoTnet),'2023'!Resal_s+('2023'!Salim-'2023'!Resal_s)*(1-EXP(('2023'!Tnet_s-t)/'2023'!Tau_j)),Resal_s+(Salim-Resal_s)*(1-EXP((Tnet_s-t)/Tau_j)))*Salcycl</f>
        <v>4.1434986208001776E-2</v>
      </c>
      <c r="AD44" s="227">
        <f>(INDEX(Models!$BJ44:$BT44,,AH44)*(1-AF44)+INDEX(Models!$BJ44:$BT44,,AH44+1)*AF44-ERP_i)*AE44*Ramure*Pc/MaxiM</f>
        <v>4.6935451331541703E-3</v>
      </c>
      <c r="AE44" s="301">
        <f t="shared" si="13"/>
        <v>0.5</v>
      </c>
      <c r="AF44" s="173">
        <f t="shared" si="22"/>
        <v>0.99540963928330517</v>
      </c>
      <c r="AG44" s="802">
        <f t="shared" si="23"/>
        <v>0</v>
      </c>
      <c r="AH44" s="172">
        <f t="shared" si="14"/>
        <v>6</v>
      </c>
      <c r="AI44" s="221">
        <f t="shared" si="24"/>
        <v>0.99540963928330517</v>
      </c>
      <c r="AJ44" s="261" t="b">
        <f t="shared" si="15"/>
        <v>0</v>
      </c>
      <c r="AK44" s="261" t="b">
        <f t="shared" si="16"/>
        <v>0</v>
      </c>
      <c r="AL44" s="261"/>
      <c r="AM44" s="261"/>
      <c r="AN44" s="75"/>
    </row>
    <row r="45" spans="1:40" s="6" customFormat="1" ht="11.25" x14ac:dyDescent="0.2">
      <c r="A45" s="56">
        <f t="shared" si="17"/>
        <v>45322</v>
      </c>
      <c r="B45" s="406">
        <f>'2023'!Wh/'2023'!Env_an*'2024'!Env_an</f>
        <v>11.427560457888335</v>
      </c>
      <c r="C45" s="385"/>
      <c r="D45" s="388">
        <f t="shared" si="0"/>
        <v>11.553396060018185</v>
      </c>
      <c r="E45" s="380">
        <f t="shared" si="18"/>
        <v>11.76305927337471</v>
      </c>
      <c r="F45" s="380">
        <f t="shared" si="1"/>
        <v>11.774607304164148</v>
      </c>
      <c r="G45" s="110">
        <f t="shared" si="19"/>
        <v>0.45205715813663283</v>
      </c>
      <c r="H45" s="409" t="b">
        <f>Wh_hp&gt;='2023'!Maxi_hp</f>
        <v>0</v>
      </c>
      <c r="I45" s="375">
        <f>IF(H45,Wh_hp,'2023'!Maxi_hp)</f>
        <v>11.815810990102225</v>
      </c>
      <c r="J45" s="85">
        <f>IF(H45,An,'2023'!An_max)</f>
        <v>2022</v>
      </c>
      <c r="K45" s="193">
        <f t="shared" si="20"/>
        <v>45322</v>
      </c>
      <c r="L45" s="143">
        <f>IF(t&lt;Tvie,1-EXP((T0-t)*PertePVj)+'2023'!Pspv,1-EXP((T0-t)*PertePVj)+Pspv)</f>
        <v>1.0891654841239218E-2</v>
      </c>
      <c r="M45" s="836"/>
      <c r="N45" s="836"/>
      <c r="O45" s="48">
        <f>IF(t&lt;Tnet,'2023'!Resal+('2023'!Salim-'2023'!Resal)*(1-EXP(('2023'!Tnet-t)/('2023'!Tau_j))),Resal+(Salim-Resal)*(1-EXP((Tnet-t)/(Tau_j))))*Salcycl</f>
        <v>1.7823867795267345E-2</v>
      </c>
      <c r="P45" s="165">
        <f>(INDEX(Models!$BJ45:$BT45,,T45)*(1-R45)+INDEX(Models!$BJ45:$BT45,,T45+1)*R45-ERP_i)*Q45*Ramure*Pc/MaxiM</f>
        <v>4.46840813294781E-3</v>
      </c>
      <c r="Q45" s="301">
        <f t="shared" si="2"/>
        <v>0.5</v>
      </c>
      <c r="R45" s="173">
        <f t="shared" si="3"/>
        <v>0.99550521716473528</v>
      </c>
      <c r="S45" s="802">
        <f t="shared" si="4"/>
        <v>0</v>
      </c>
      <c r="T45" s="172">
        <f t="shared" si="5"/>
        <v>6</v>
      </c>
      <c r="U45" s="247">
        <f t="shared" si="21"/>
        <v>0.99550521716473528</v>
      </c>
      <c r="V45" s="378">
        <f t="shared" si="6"/>
        <v>25.190765778491926</v>
      </c>
      <c r="W45" s="397">
        <f t="shared" si="7"/>
        <v>11.427560457888335</v>
      </c>
      <c r="X45" s="153">
        <f t="shared" si="8"/>
        <v>45322</v>
      </c>
      <c r="Y45" s="380">
        <f t="shared" si="9"/>
        <v>11.152436195930365</v>
      </c>
      <c r="Z45" s="380">
        <f t="shared" si="10"/>
        <v>11.275242242689094</v>
      </c>
      <c r="AA45" s="381">
        <f t="shared" si="11"/>
        <v>11.76305927337471</v>
      </c>
      <c r="AB45" s="193">
        <f t="shared" si="12"/>
        <v>45322</v>
      </c>
      <c r="AC45" s="119">
        <f>IF(OR(t&lt;Tnet,NoTnet),'2023'!Resal_s+('2023'!Salim-'2023'!Resal_s)*(1-EXP(('2023'!Tnet_s-t)/'2023'!Tau_j)),Resal_s+(Salim-Resal_s)*(1-EXP((Tnet_s-t)/Tau_j)))*Salcycl</f>
        <v>4.1470251857845586E-2</v>
      </c>
      <c r="AD45" s="227">
        <f>(INDEX(Models!$BJ45:$BT45,,AH45)*(1-AF45)+INDEX(Models!$BJ45:$BT45,,AH45+1)*AF45-ERP_i)*AE45*Ramure*Pc/MaxiM</f>
        <v>4.46840813294781E-3</v>
      </c>
      <c r="AE45" s="301">
        <f t="shared" si="13"/>
        <v>0.5</v>
      </c>
      <c r="AF45" s="173">
        <f t="shared" si="22"/>
        <v>0.99550521716473528</v>
      </c>
      <c r="AG45" s="802">
        <f t="shared" si="23"/>
        <v>0</v>
      </c>
      <c r="AH45" s="172">
        <f t="shared" si="14"/>
        <v>6</v>
      </c>
      <c r="AI45" s="221">
        <f t="shared" si="24"/>
        <v>0.99550521716473528</v>
      </c>
      <c r="AJ45" s="261" t="b">
        <f t="shared" si="15"/>
        <v>0</v>
      </c>
      <c r="AK45" s="261" t="b">
        <f t="shared" si="16"/>
        <v>0</v>
      </c>
      <c r="AL45" s="261"/>
      <c r="AM45" s="261"/>
      <c r="AN45" s="75"/>
    </row>
    <row r="46" spans="1:40" s="6" customFormat="1" ht="11.25" x14ac:dyDescent="0.2">
      <c r="A46" s="56">
        <f t="shared" si="17"/>
        <v>45323</v>
      </c>
      <c r="B46" s="406">
        <f>'2023'!Wh/'2023'!Env_an*'2024'!Env_an</f>
        <v>14.73230551046437</v>
      </c>
      <c r="C46" s="385"/>
      <c r="D46" s="388">
        <f t="shared" si="0"/>
        <v>14.894735504179021</v>
      </c>
      <c r="E46" s="380">
        <f t="shared" si="18"/>
        <v>15.165912295365056</v>
      </c>
      <c r="F46" s="380">
        <f t="shared" si="1"/>
        <v>15.191256022770848</v>
      </c>
      <c r="G46" s="110">
        <f t="shared" si="19"/>
        <v>0.57479630518279401</v>
      </c>
      <c r="H46" s="409" t="b">
        <f>Wh_hp&gt;='2023'!Maxi_hp</f>
        <v>0</v>
      </c>
      <c r="I46" s="375">
        <f>IF(H46,Wh_hp,'2023'!Maxi_hp)</f>
        <v>15.230246512611631</v>
      </c>
      <c r="J46" s="85">
        <f>IF(H46,An,'2023'!An_max)</f>
        <v>2022</v>
      </c>
      <c r="K46" s="193">
        <f t="shared" si="20"/>
        <v>45323</v>
      </c>
      <c r="L46" s="143">
        <f>IF(t&lt;Tvie,1-EXP((T0-t)*PertePVj)+'2023'!Pspv,1-EXP((T0-t)*PertePVj)+Pspv)</f>
        <v>1.0905194903869098E-2</v>
      </c>
      <c r="M46" s="836"/>
      <c r="N46" s="836"/>
      <c r="O46" s="48">
        <f>IF(t&lt;Tnet,'2023'!Resal+('2023'!Salim-'2023'!Resal)*(1-EXP(('2023'!Tnet-t)/('2023'!Tau_j))),Resal+(Salim-Resal)*(1-EXP((Tnet-t)/(Tau_j))))*Salcycl</f>
        <v>1.7880677792717431E-2</v>
      </c>
      <c r="P46" s="165">
        <f>(INDEX(Models!$BJ46:$BT46,,T46)*(1-R46)+INDEX(Models!$BJ46:$BT46,,T46+1)*R46-ERP_i)*Q46*Ramure*Pc/MaxiM</f>
        <v>4.227035925911316E-3</v>
      </c>
      <c r="Q46" s="301">
        <f t="shared" si="2"/>
        <v>0.5</v>
      </c>
      <c r="R46" s="173">
        <f t="shared" si="3"/>
        <v>0.99560476575517576</v>
      </c>
      <c r="S46" s="802">
        <f t="shared" si="4"/>
        <v>0</v>
      </c>
      <c r="T46" s="172">
        <f t="shared" si="5"/>
        <v>6</v>
      </c>
      <c r="U46" s="247">
        <f t="shared" si="21"/>
        <v>0.99560476575517576</v>
      </c>
      <c r="V46" s="378">
        <f t="shared" si="6"/>
        <v>25.564789570306939</v>
      </c>
      <c r="W46" s="397">
        <f t="shared" si="7"/>
        <v>14.73230551046437</v>
      </c>
      <c r="X46" s="153">
        <f t="shared" si="8"/>
        <v>45323</v>
      </c>
      <c r="Y46" s="380">
        <f t="shared" si="9"/>
        <v>14.377920051919435</v>
      </c>
      <c r="Z46" s="380">
        <f t="shared" si="10"/>
        <v>14.536442793794711</v>
      </c>
      <c r="AA46" s="381">
        <f t="shared" si="11"/>
        <v>15.165912295365056</v>
      </c>
      <c r="AB46" s="193">
        <f t="shared" si="12"/>
        <v>45323</v>
      </c>
      <c r="AC46" s="119">
        <f>IF(OR(t&lt;Tnet,NoTnet),'2023'!Resal_s+('2023'!Salim-'2023'!Resal_s)*(1-EXP(('2023'!Tnet_s-t)/'2023'!Tau_j)),Resal_s+(Salim-Resal_s)*(1-EXP((Tnet_s-t)/Tau_j)))*Salcycl</f>
        <v>4.1505548054812394E-2</v>
      </c>
      <c r="AD46" s="227">
        <f>(INDEX(Models!$BJ46:$BT46,,AH46)*(1-AF46)+INDEX(Models!$BJ46:$BT46,,AH46+1)*AF46-ERP_i)*AE46*Ramure*Pc/MaxiM</f>
        <v>4.227035925911316E-3</v>
      </c>
      <c r="AE46" s="301">
        <f t="shared" si="13"/>
        <v>0.5</v>
      </c>
      <c r="AF46" s="173">
        <f t="shared" si="22"/>
        <v>0.99560476575517576</v>
      </c>
      <c r="AG46" s="802">
        <f t="shared" si="23"/>
        <v>0</v>
      </c>
      <c r="AH46" s="172">
        <f t="shared" si="14"/>
        <v>6</v>
      </c>
      <c r="AI46" s="221">
        <f t="shared" si="24"/>
        <v>0.99560476575517576</v>
      </c>
      <c r="AJ46" s="261" t="b">
        <f t="shared" si="15"/>
        <v>0</v>
      </c>
      <c r="AK46" s="261" t="b">
        <f t="shared" si="16"/>
        <v>0</v>
      </c>
      <c r="AL46" s="261"/>
      <c r="AM46" s="261"/>
      <c r="AN46" s="75"/>
    </row>
    <row r="47" spans="1:40" s="6" customFormat="1" ht="11.25" x14ac:dyDescent="0.2">
      <c r="A47" s="56">
        <f t="shared" si="17"/>
        <v>45324</v>
      </c>
      <c r="B47" s="406">
        <f>'2023'!Wh/'2023'!Env_an*'2024'!Env_an</f>
        <v>5.9416172966448348</v>
      </c>
      <c r="C47" s="385"/>
      <c r="D47" s="388">
        <f t="shared" si="0"/>
        <v>6.0072084120713161</v>
      </c>
      <c r="E47" s="380">
        <f t="shared" si="18"/>
        <v>6.116930626162393</v>
      </c>
      <c r="F47" s="380">
        <f t="shared" si="1"/>
        <v>6.116930626162393</v>
      </c>
      <c r="G47" s="110">
        <f t="shared" si="19"/>
        <v>0.228128280940607</v>
      </c>
      <c r="H47" s="409" t="b">
        <f>Wh_hp&gt;='2023'!Maxi_hp</f>
        <v>0</v>
      </c>
      <c r="I47" s="375">
        <f>IF(H47,Wh_hp,'2023'!Maxi_hp)</f>
        <v>6.1412851991901132</v>
      </c>
      <c r="J47" s="85">
        <f>IF(H47,An,'2023'!An_max)</f>
        <v>2022</v>
      </c>
      <c r="K47" s="193">
        <f t="shared" si="20"/>
        <v>45324</v>
      </c>
      <c r="L47" s="143">
        <f>IF(t&lt;Tvie,1-EXP((T0-t)*PertePVj)+'2023'!Pspv,1-EXP((T0-t)*PertePVj)+Pspv)</f>
        <v>1.091873478114691E-2</v>
      </c>
      <c r="M47" s="836"/>
      <c r="N47" s="836"/>
      <c r="O47" s="48">
        <f>IF(t&lt;Tnet,'2023'!Resal+('2023'!Salim-'2023'!Resal)*(1-EXP(('2023'!Tnet-t)/('2023'!Tau_j))),Resal+(Salim-Resal)*(1-EXP((Tnet-t)/(Tau_j))))*Salcycl</f>
        <v>1.7937462560354979E-2</v>
      </c>
      <c r="P47" s="165">
        <f>(INDEX(Models!$BJ47:$BT47,,T47)*(1-R47)+INDEX(Models!$BJ47:$BT47,,T47+1)*R47-ERP_i)*Q47*Ramure*Pc/MaxiM</f>
        <v>3.9703477293899997E-3</v>
      </c>
      <c r="Q47" s="301">
        <f t="shared" si="2"/>
        <v>0.5</v>
      </c>
      <c r="R47" s="173">
        <f t="shared" si="3"/>
        <v>0.9957084483204206</v>
      </c>
      <c r="S47" s="802">
        <f t="shared" si="4"/>
        <v>0</v>
      </c>
      <c r="T47" s="172">
        <f t="shared" si="5"/>
        <v>6</v>
      </c>
      <c r="U47" s="247">
        <f t="shared" si="21"/>
        <v>0.9957084483204206</v>
      </c>
      <c r="V47" s="378">
        <f t="shared" si="6"/>
        <v>25.941663109463182</v>
      </c>
      <c r="W47" s="397">
        <f t="shared" si="7"/>
        <v>5.9416172966448348</v>
      </c>
      <c r="X47" s="153">
        <f t="shared" si="8"/>
        <v>45324</v>
      </c>
      <c r="Y47" s="380">
        <f t="shared" si="9"/>
        <v>5.7988133232812178</v>
      </c>
      <c r="Z47" s="380">
        <f t="shared" si="10"/>
        <v>5.862827987140288</v>
      </c>
      <c r="AA47" s="381">
        <f t="shared" si="11"/>
        <v>6.116930626162393</v>
      </c>
      <c r="AB47" s="193">
        <f t="shared" si="12"/>
        <v>45324</v>
      </c>
      <c r="AC47" s="119">
        <f>IF(OR(t&lt;Tnet,NoTnet),'2023'!Resal_s+('2023'!Salim-'2023'!Resal_s)*(1-EXP(('2023'!Tnet_s-t)/'2023'!Tau_j)),Resal_s+(Salim-Resal_s)*(1-EXP((Tnet_s-t)/Tau_j)))*Salcycl</f>
        <v>4.1540873119485226E-2</v>
      </c>
      <c r="AD47" s="227">
        <f>(INDEX(Models!$BJ47:$BT47,,AH47)*(1-AF47)+INDEX(Models!$BJ47:$BT47,,AH47+1)*AF47-ERP_i)*AE47*Ramure*Pc/MaxiM</f>
        <v>3.9703477293899997E-3</v>
      </c>
      <c r="AE47" s="301">
        <f t="shared" si="13"/>
        <v>0.5</v>
      </c>
      <c r="AF47" s="173">
        <f t="shared" si="22"/>
        <v>0.9957084483204206</v>
      </c>
      <c r="AG47" s="802">
        <f t="shared" si="23"/>
        <v>0</v>
      </c>
      <c r="AH47" s="172">
        <f t="shared" si="14"/>
        <v>6</v>
      </c>
      <c r="AI47" s="221">
        <f t="shared" si="24"/>
        <v>0.9957084483204206</v>
      </c>
      <c r="AJ47" s="261" t="b">
        <f t="shared" si="15"/>
        <v>0</v>
      </c>
      <c r="AK47" s="261" t="b">
        <f t="shared" si="16"/>
        <v>0</v>
      </c>
      <c r="AL47" s="261"/>
      <c r="AM47" s="261"/>
      <c r="AN47" s="75"/>
    </row>
    <row r="48" spans="1:40" s="6" customFormat="1" ht="11.25" x14ac:dyDescent="0.2">
      <c r="A48" s="56">
        <f t="shared" si="17"/>
        <v>45325</v>
      </c>
      <c r="B48" s="406">
        <f>'2023'!Wh/'2023'!Env_an*'2024'!Env_an</f>
        <v>13.730733551077501</v>
      </c>
      <c r="C48" s="385"/>
      <c r="D48" s="388">
        <f t="shared" si="0"/>
        <v>13.882500860861136</v>
      </c>
      <c r="E48" s="380">
        <f t="shared" si="18"/>
        <v>14.136883064569171</v>
      </c>
      <c r="F48" s="380">
        <f t="shared" si="1"/>
        <v>14.153463218941686</v>
      </c>
      <c r="G48" s="110">
        <f t="shared" si="19"/>
        <v>0.52035565399456885</v>
      </c>
      <c r="H48" s="409" t="b">
        <f>Wh_hp&gt;='2023'!Maxi_hp</f>
        <v>0</v>
      </c>
      <c r="I48" s="375">
        <f>IF(H48,Wh_hp,'2023'!Maxi_hp)</f>
        <v>14.189329287709032</v>
      </c>
      <c r="J48" s="85">
        <f>IF(H48,An,'2023'!An_max)</f>
        <v>2022</v>
      </c>
      <c r="K48" s="193">
        <f t="shared" si="20"/>
        <v>45325</v>
      </c>
      <c r="L48" s="143">
        <f>IF(t&lt;Tvie,1-EXP((T0-t)*PertePVj)+'2023'!Pspv,1-EXP((T0-t)*PertePVj)+Pspv)</f>
        <v>1.0932274473075099E-2</v>
      </c>
      <c r="M48" s="836"/>
      <c r="N48" s="836"/>
      <c r="O48" s="48">
        <f>IF(t&lt;Tnet,'2023'!Resal+('2023'!Salim-'2023'!Resal)*(1-EXP(('2023'!Tnet-t)/('2023'!Tau_j))),Resal+(Salim-Resal)*(1-EXP((Tnet-t)/(Tau_j))))*Salcycl</f>
        <v>1.7994221395633267E-2</v>
      </c>
      <c r="P48" s="165">
        <f>(INDEX(Models!$BJ48:$BT48,,T48)*(1-R48)+INDEX(Models!$BJ48:$BT48,,T48+1)*R48-ERP_i)*Q48*Ramure*Pc/MaxiM</f>
        <v>3.6991803035571732E-3</v>
      </c>
      <c r="Q48" s="301">
        <f t="shared" si="2"/>
        <v>0.5</v>
      </c>
      <c r="R48" s="173">
        <f t="shared" si="3"/>
        <v>0.99581643469505354</v>
      </c>
      <c r="S48" s="802">
        <f t="shared" si="4"/>
        <v>0</v>
      </c>
      <c r="T48" s="172">
        <f t="shared" si="5"/>
        <v>6</v>
      </c>
      <c r="U48" s="247">
        <f t="shared" si="21"/>
        <v>0.99581643469505354</v>
      </c>
      <c r="V48" s="378">
        <f t="shared" si="6"/>
        <v>26.320431470576185</v>
      </c>
      <c r="W48" s="397">
        <f t="shared" si="7"/>
        <v>13.730733551077501</v>
      </c>
      <c r="X48" s="153">
        <f t="shared" si="8"/>
        <v>45325</v>
      </c>
      <c r="Y48" s="380">
        <f t="shared" si="9"/>
        <v>13.401002082919762</v>
      </c>
      <c r="Z48" s="380">
        <f t="shared" si="10"/>
        <v>13.549124834480258</v>
      </c>
      <c r="AA48" s="381">
        <f t="shared" si="11"/>
        <v>14.136883064569171</v>
      </c>
      <c r="AB48" s="193">
        <f t="shared" si="12"/>
        <v>45325</v>
      </c>
      <c r="AC48" s="119">
        <f>IF(OR(t&lt;Tnet,NoTnet),'2023'!Resal_s+('2023'!Salim-'2023'!Resal_s)*(1-EXP(('2023'!Tnet_s-t)/'2023'!Tau_j)),Resal_s+(Salim-Resal_s)*(1-EXP((Tnet_s-t)/Tau_j)))*Salcycl</f>
        <v>4.1576224929100007E-2</v>
      </c>
      <c r="AD48" s="227">
        <f>(INDEX(Models!$BJ48:$BT48,,AH48)*(1-AF48)+INDEX(Models!$BJ48:$BT48,,AH48+1)*AF48-ERP_i)*AE48*Ramure*Pc/MaxiM</f>
        <v>3.6991803035571732E-3</v>
      </c>
      <c r="AE48" s="301">
        <f t="shared" si="13"/>
        <v>0.5</v>
      </c>
      <c r="AF48" s="173">
        <f t="shared" si="22"/>
        <v>0.99581643469505354</v>
      </c>
      <c r="AG48" s="802">
        <f t="shared" si="23"/>
        <v>0</v>
      </c>
      <c r="AH48" s="172">
        <f t="shared" si="14"/>
        <v>6</v>
      </c>
      <c r="AI48" s="221">
        <f t="shared" si="24"/>
        <v>0.99581643469505354</v>
      </c>
      <c r="AJ48" s="261" t="b">
        <f t="shared" si="15"/>
        <v>0</v>
      </c>
      <c r="AK48" s="261" t="b">
        <f t="shared" si="16"/>
        <v>0</v>
      </c>
      <c r="AL48" s="261"/>
      <c r="AM48" s="261"/>
      <c r="AN48" s="75"/>
    </row>
    <row r="49" spans="1:40" s="6" customFormat="1" ht="11.25" x14ac:dyDescent="0.2">
      <c r="A49" s="56">
        <f t="shared" si="17"/>
        <v>45326</v>
      </c>
      <c r="B49" s="406">
        <f>'2023'!Wh/'2023'!Env_an*'2024'!Env_an</f>
        <v>12.530989831041147</v>
      </c>
      <c r="C49" s="385"/>
      <c r="D49" s="388">
        <f t="shared" si="0"/>
        <v>12.669669678525985</v>
      </c>
      <c r="E49" s="380">
        <f t="shared" si="18"/>
        <v>12.902573430272474</v>
      </c>
      <c r="F49" s="380">
        <f t="shared" si="1"/>
        <v>12.913238242390381</v>
      </c>
      <c r="G49" s="110">
        <f t="shared" si="19"/>
        <v>0.46810719709797927</v>
      </c>
      <c r="H49" s="409" t="b">
        <f>Wh_hp&gt;='2023'!Maxi_hp</f>
        <v>0</v>
      </c>
      <c r="I49" s="375">
        <f>IF(H49,Wh_hp,'2023'!Maxi_hp)</f>
        <v>12.946736780036268</v>
      </c>
      <c r="J49" s="85">
        <f>IF(H49,An,'2023'!An_max)</f>
        <v>2022</v>
      </c>
      <c r="K49" s="193">
        <f t="shared" si="20"/>
        <v>45326</v>
      </c>
      <c r="L49" s="143">
        <f>IF(t&lt;Tvie,1-EXP((T0-t)*PertePVj)+'2023'!Pspv,1-EXP((T0-t)*PertePVj)+Pspv)</f>
        <v>1.0945813979656327E-2</v>
      </c>
      <c r="M49" s="836"/>
      <c r="N49" s="836"/>
      <c r="O49" s="48">
        <f>IF(t&lt;Tnet,'2023'!Resal+('2023'!Salim-'2023'!Resal)*(1-EXP(('2023'!Tnet-t)/('2023'!Tau_j))),Resal+(Salim-Resal)*(1-EXP((Tnet-t)/(Tau_j))))*Salcycl</f>
        <v>1.8050953401283699E-2</v>
      </c>
      <c r="P49" s="165">
        <f>(INDEX(Models!$BJ49:$BT49,,T49)*(1-R49)+INDEX(Models!$BJ49:$BT49,,T49+1)*R49-ERP_i)*Q49*Ramure*Pc/MaxiM</f>
        <v>3.4142878444003559E-3</v>
      </c>
      <c r="Q49" s="301">
        <f t="shared" si="2"/>
        <v>0.5</v>
      </c>
      <c r="R49" s="173">
        <f t="shared" si="3"/>
        <v>0.9959289015344196</v>
      </c>
      <c r="S49" s="802">
        <f t="shared" si="4"/>
        <v>0</v>
      </c>
      <c r="T49" s="172">
        <f t="shared" si="5"/>
        <v>6</v>
      </c>
      <c r="U49" s="247">
        <f t="shared" si="21"/>
        <v>0.9959289015344196</v>
      </c>
      <c r="V49" s="378">
        <f t="shared" si="6"/>
        <v>26.700140079893227</v>
      </c>
      <c r="W49" s="397">
        <f t="shared" si="7"/>
        <v>12.530989831041147</v>
      </c>
      <c r="X49" s="153">
        <f t="shared" si="8"/>
        <v>45326</v>
      </c>
      <c r="Y49" s="380">
        <f t="shared" si="9"/>
        <v>12.230324296848661</v>
      </c>
      <c r="Z49" s="380">
        <f t="shared" si="10"/>
        <v>12.365676693670146</v>
      </c>
      <c r="AA49" s="381">
        <f t="shared" si="11"/>
        <v>12.902573430272474</v>
      </c>
      <c r="AB49" s="193">
        <f t="shared" si="12"/>
        <v>45326</v>
      </c>
      <c r="AC49" s="119">
        <f>IF(OR(t&lt;Tnet,NoTnet),'2023'!Resal_s+('2023'!Salim-'2023'!Resal_s)*(1-EXP(('2023'!Tnet_s-t)/'2023'!Tau_j)),Resal_s+(Salim-Resal_s)*(1-EXP((Tnet_s-t)/Tau_j)))*Salcycl</f>
        <v>4.161160093401535E-2</v>
      </c>
      <c r="AD49" s="227">
        <f>(INDEX(Models!$BJ49:$BT49,,AH49)*(1-AF49)+INDEX(Models!$BJ49:$BT49,,AH49+1)*AF49-ERP_i)*AE49*Ramure*Pc/MaxiM</f>
        <v>3.4142878444003559E-3</v>
      </c>
      <c r="AE49" s="301">
        <f t="shared" si="13"/>
        <v>0.5</v>
      </c>
      <c r="AF49" s="173">
        <f t="shared" si="22"/>
        <v>0.9959289015344196</v>
      </c>
      <c r="AG49" s="802">
        <f t="shared" si="23"/>
        <v>0</v>
      </c>
      <c r="AH49" s="172">
        <f t="shared" si="14"/>
        <v>6</v>
      </c>
      <c r="AI49" s="221">
        <f t="shared" si="24"/>
        <v>0.9959289015344196</v>
      </c>
      <c r="AJ49" s="261" t="b">
        <f t="shared" si="15"/>
        <v>0</v>
      </c>
      <c r="AK49" s="261" t="b">
        <f t="shared" si="16"/>
        <v>0</v>
      </c>
      <c r="AL49" s="261"/>
      <c r="AM49" s="261"/>
      <c r="AN49" s="75"/>
    </row>
    <row r="50" spans="1:40" s="6" customFormat="1" ht="11.25" x14ac:dyDescent="0.2">
      <c r="A50" s="56">
        <f t="shared" si="17"/>
        <v>45327</v>
      </c>
      <c r="B50" s="406">
        <f>'2023'!Wh/'2023'!Env_an*'2024'!Env_an</f>
        <v>9.8410316088371754</v>
      </c>
      <c r="C50" s="385"/>
      <c r="D50" s="388">
        <f t="shared" si="0"/>
        <v>9.9500780293320794</v>
      </c>
      <c r="E50" s="380">
        <f t="shared" si="18"/>
        <v>10.133573303904658</v>
      </c>
      <c r="F50" s="380">
        <f t="shared" si="1"/>
        <v>10.136434694847438</v>
      </c>
      <c r="G50" s="110">
        <f t="shared" si="19"/>
        <v>0.36237790272024301</v>
      </c>
      <c r="H50" s="409" t="b">
        <f>Wh_hp&gt;='2023'!Maxi_hp</f>
        <v>0</v>
      </c>
      <c r="I50" s="375">
        <f>IF(H50,Wh_hp,'2023'!Maxi_hp)</f>
        <v>10.165216263192344</v>
      </c>
      <c r="J50" s="85">
        <f>IF(H50,An,'2023'!An_max)</f>
        <v>2022</v>
      </c>
      <c r="K50" s="193">
        <f t="shared" si="20"/>
        <v>45327</v>
      </c>
      <c r="L50" s="143">
        <f>IF(t&lt;Tvie,1-EXP((T0-t)*PertePVj)+'2023'!Pspv,1-EXP((T0-t)*PertePVj)+Pspv)</f>
        <v>1.0959353300893038E-2</v>
      </c>
      <c r="M50" s="836"/>
      <c r="N50" s="836"/>
      <c r="O50" s="48">
        <f>IF(t&lt;Tnet,'2023'!Resal+('2023'!Salim-'2023'!Resal)*(1-EXP(('2023'!Tnet-t)/('2023'!Tau_j))),Resal+(Salim-Resal)*(1-EXP((Tnet-t)/(Tau_j))))*Salcycl</f>
        <v>1.8107657493519565E-2</v>
      </c>
      <c r="P50" s="165">
        <f>(INDEX(Models!$BJ50:$BT50,,T50)*(1-R50)+INDEX(Models!$BJ50:$BT50,,T50+1)*R50-ERP_i)*Q50*Ramure*Pc/MaxiM</f>
        <v>3.116342546116836E-3</v>
      </c>
      <c r="Q50" s="301">
        <f t="shared" si="2"/>
        <v>0.5</v>
      </c>
      <c r="R50" s="173">
        <f t="shared" si="3"/>
        <v>0.99604603257520041</v>
      </c>
      <c r="S50" s="802">
        <f t="shared" si="4"/>
        <v>0</v>
      </c>
      <c r="T50" s="172">
        <f t="shared" si="5"/>
        <v>6</v>
      </c>
      <c r="U50" s="247">
        <f t="shared" si="21"/>
        <v>0.99604603257520041</v>
      </c>
      <c r="V50" s="378">
        <f t="shared" si="6"/>
        <v>27.079834715972506</v>
      </c>
      <c r="W50" s="397">
        <f t="shared" si="7"/>
        <v>9.8410316088371754</v>
      </c>
      <c r="X50" s="153">
        <f t="shared" si="8"/>
        <v>45327</v>
      </c>
      <c r="Y50" s="380">
        <f t="shared" si="9"/>
        <v>9.6051081926626214</v>
      </c>
      <c r="Z50" s="380">
        <f t="shared" si="10"/>
        <v>9.7115403949467378</v>
      </c>
      <c r="AA50" s="381">
        <f t="shared" si="11"/>
        <v>10.133573303904658</v>
      </c>
      <c r="AB50" s="193">
        <f t="shared" si="12"/>
        <v>45327</v>
      </c>
      <c r="AC50" s="119">
        <f>IF(OR(t&lt;Tnet,NoTnet),'2023'!Resal_s+('2023'!Salim-'2023'!Resal_s)*(1-EXP(('2023'!Tnet_s-t)/'2023'!Tau_j)),Resal_s+(Salim-Resal_s)*(1-EXP((Tnet_s-t)/Tau_j)))*Salcycl</f>
        <v>4.1646998181313052E-2</v>
      </c>
      <c r="AD50" s="227">
        <f>(INDEX(Models!$BJ50:$BT50,,AH50)*(1-AF50)+INDEX(Models!$BJ50:$BT50,,AH50+1)*AF50-ERP_i)*AE50*Ramure*Pc/MaxiM</f>
        <v>3.116342546116836E-3</v>
      </c>
      <c r="AE50" s="301">
        <f t="shared" si="13"/>
        <v>0.5</v>
      </c>
      <c r="AF50" s="173">
        <f t="shared" si="22"/>
        <v>0.99604603257520041</v>
      </c>
      <c r="AG50" s="802">
        <f t="shared" si="23"/>
        <v>0</v>
      </c>
      <c r="AH50" s="172">
        <f t="shared" si="14"/>
        <v>6</v>
      </c>
      <c r="AI50" s="221">
        <f t="shared" si="24"/>
        <v>0.99604603257520041</v>
      </c>
      <c r="AJ50" s="261" t="b">
        <f t="shared" si="15"/>
        <v>0</v>
      </c>
      <c r="AK50" s="261" t="b">
        <f t="shared" si="16"/>
        <v>0</v>
      </c>
      <c r="AL50" s="261"/>
      <c r="AM50" s="261"/>
      <c r="AN50" s="75"/>
    </row>
    <row r="51" spans="1:40" s="6" customFormat="1" ht="11.25" x14ac:dyDescent="0.2">
      <c r="A51" s="56">
        <f t="shared" si="17"/>
        <v>45328</v>
      </c>
      <c r="B51" s="406">
        <f>'2023'!Wh/'2023'!Env_an*'2024'!Env_an</f>
        <v>21.616118870408901</v>
      </c>
      <c r="C51" s="385"/>
      <c r="D51" s="388">
        <f t="shared" si="0"/>
        <v>21.855941768539786</v>
      </c>
      <c r="E51" s="380">
        <f t="shared" si="18"/>
        <v>22.260284984616032</v>
      </c>
      <c r="F51" s="380">
        <f t="shared" si="1"/>
        <v>22.303832495454781</v>
      </c>
      <c r="G51" s="110">
        <f t="shared" si="19"/>
        <v>0.78646588772439407</v>
      </c>
      <c r="H51" s="409" t="b">
        <f>Wh_hp&gt;='2023'!Maxi_hp</f>
        <v>0</v>
      </c>
      <c r="I51" s="375">
        <f>IF(H51,Wh_hp,'2023'!Maxi_hp)</f>
        <v>22.322890993589862</v>
      </c>
      <c r="J51" s="85">
        <f>IF(H51,An,'2023'!An_max)</f>
        <v>2022</v>
      </c>
      <c r="K51" s="193">
        <f t="shared" si="20"/>
        <v>45328</v>
      </c>
      <c r="L51" s="143">
        <f>IF(t&lt;Tvie,1-EXP((T0-t)*PertePVj)+'2023'!Pspv,1-EXP((T0-t)*PertePVj)+Pspv)</f>
        <v>1.0972892436787895E-2</v>
      </c>
      <c r="M51" s="836"/>
      <c r="N51" s="836"/>
      <c r="O51" s="48">
        <f>IF(t&lt;Tnet,'2023'!Resal+('2023'!Salim-'2023'!Resal)*(1-EXP(('2023'!Tnet-t)/('2023'!Tau_j))),Resal+(Salim-Resal)*(1-EXP((Tnet-t)/(Tau_j))))*Salcycl</f>
        <v>1.8164332413339895E-2</v>
      </c>
      <c r="P51" s="165">
        <f>(INDEX(Models!$BJ51:$BT51,,T51)*(1-R51)+INDEX(Models!$BJ51:$BT51,,T51+1)*R51-ERP_i)*Q51*Ramure*Pc/MaxiM</f>
        <v>2.8056222782960054E-3</v>
      </c>
      <c r="Q51" s="301">
        <f t="shared" si="2"/>
        <v>0.5</v>
      </c>
      <c r="R51" s="173">
        <f t="shared" si="3"/>
        <v>0.99616801890479456</v>
      </c>
      <c r="S51" s="802">
        <f t="shared" si="4"/>
        <v>0</v>
      </c>
      <c r="T51" s="172">
        <f t="shared" si="5"/>
        <v>6</v>
      </c>
      <c r="U51" s="247">
        <f t="shared" si="21"/>
        <v>0.99616801890479456</v>
      </c>
      <c r="V51" s="378">
        <f t="shared" si="6"/>
        <v>27.461637227319049</v>
      </c>
      <c r="W51" s="397">
        <f t="shared" si="7"/>
        <v>21.616118870408901</v>
      </c>
      <c r="X51" s="153">
        <f t="shared" si="8"/>
        <v>45328</v>
      </c>
      <c r="Y51" s="380">
        <f t="shared" si="9"/>
        <v>21.098344206268255</v>
      </c>
      <c r="Z51" s="380">
        <f t="shared" si="10"/>
        <v>21.332422584706343</v>
      </c>
      <c r="AA51" s="381">
        <f t="shared" si="11"/>
        <v>22.260284984616032</v>
      </c>
      <c r="AB51" s="193">
        <f t="shared" si="12"/>
        <v>45328</v>
      </c>
      <c r="AC51" s="119">
        <f>IF(OR(t&lt;Tnet,NoTnet),'2023'!Resal_s+('2023'!Salim-'2023'!Resal_s)*(1-EXP(('2023'!Tnet_s-t)/'2023'!Tau_j)),Resal_s+(Salim-Resal_s)*(1-EXP((Tnet_s-t)/Tau_j)))*Salcycl</f>
        <v>4.1682413345154025E-2</v>
      </c>
      <c r="AD51" s="227">
        <f>(INDEX(Models!$BJ51:$BT51,,AH51)*(1-AF51)+INDEX(Models!$BJ51:$BT51,,AH51+1)*AF51-ERP_i)*AE51*Ramure*Pc/MaxiM</f>
        <v>2.8056222782960054E-3</v>
      </c>
      <c r="AE51" s="301">
        <f t="shared" si="13"/>
        <v>0.5</v>
      </c>
      <c r="AF51" s="173">
        <f t="shared" si="22"/>
        <v>0.99616801890479456</v>
      </c>
      <c r="AG51" s="802">
        <f t="shared" si="23"/>
        <v>0</v>
      </c>
      <c r="AH51" s="172">
        <f t="shared" si="14"/>
        <v>6</v>
      </c>
      <c r="AI51" s="221">
        <f t="shared" si="24"/>
        <v>0.99616801890479456</v>
      </c>
      <c r="AJ51" s="261" t="b">
        <f t="shared" si="15"/>
        <v>0</v>
      </c>
      <c r="AK51" s="261" t="b">
        <f t="shared" si="16"/>
        <v>0</v>
      </c>
      <c r="AL51" s="261"/>
      <c r="AM51" s="261"/>
      <c r="AN51" s="75"/>
    </row>
    <row r="52" spans="1:40" s="6" customFormat="1" ht="11.25" x14ac:dyDescent="0.2">
      <c r="A52" s="56">
        <f t="shared" si="17"/>
        <v>45329</v>
      </c>
      <c r="B52" s="406">
        <f>'2023'!Wh/'2023'!Env_an*'2024'!Env_an</f>
        <v>14.813449738326657</v>
      </c>
      <c r="C52" s="385"/>
      <c r="D52" s="388">
        <f t="shared" si="0"/>
        <v>14.978004557719355</v>
      </c>
      <c r="E52" s="380">
        <f t="shared" si="18"/>
        <v>15.255983477826668</v>
      </c>
      <c r="F52" s="380">
        <f t="shared" si="1"/>
        <v>15.268612066193432</v>
      </c>
      <c r="G52" s="110">
        <f t="shared" si="19"/>
        <v>0.53105639562785822</v>
      </c>
      <c r="H52" s="409" t="b">
        <f>Wh_hp&gt;='2023'!Maxi_hp</f>
        <v>0</v>
      </c>
      <c r="I52" s="375">
        <f>IF(H52,Wh_hp,'2023'!Maxi_hp)</f>
        <v>15.294127889599769</v>
      </c>
      <c r="J52" s="85">
        <f>IF(H52,An,'2023'!An_max)</f>
        <v>2022</v>
      </c>
      <c r="K52" s="193">
        <f t="shared" si="20"/>
        <v>45329</v>
      </c>
      <c r="L52" s="143">
        <f>IF(t&lt;Tvie,1-EXP((T0-t)*PertePVj)+'2023'!Pspv,1-EXP((T0-t)*PertePVj)+Pspv)</f>
        <v>1.0986431387343232E-2</v>
      </c>
      <c r="M52" s="836"/>
      <c r="N52" s="836"/>
      <c r="O52" s="48">
        <f>IF(t&lt;Tnet,'2023'!Resal+('2023'!Salim-'2023'!Resal)*(1-EXP(('2023'!Tnet-t)/('2023'!Tau_j))),Resal+(Salim-Resal)*(1-EXP((Tnet-t)/(Tau_j))))*Salcycl</f>
        <v>1.8220976740787154E-2</v>
      </c>
      <c r="P52" s="165">
        <f>(INDEX(Models!$BJ52:$BT52,,T52)*(1-R52)+INDEX(Models!$BJ52:$BT52,,T52+1)*R52-ERP_i)*Q52*Ramure*Pc/MaxiM</f>
        <v>2.4961364936354927E-3</v>
      </c>
      <c r="Q52" s="301">
        <f t="shared" si="2"/>
        <v>0.5</v>
      </c>
      <c r="R52" s="173">
        <f t="shared" si="3"/>
        <v>0.99629505923969597</v>
      </c>
      <c r="S52" s="802">
        <f t="shared" si="4"/>
        <v>0</v>
      </c>
      <c r="T52" s="172">
        <f t="shared" si="5"/>
        <v>6</v>
      </c>
      <c r="U52" s="247">
        <f t="shared" si="21"/>
        <v>0.99629505923969597</v>
      </c>
      <c r="V52" s="378">
        <f t="shared" si="6"/>
        <v>27.847710953798725</v>
      </c>
      <c r="W52" s="397">
        <f t="shared" si="7"/>
        <v>14.813449738326657</v>
      </c>
      <c r="X52" s="153">
        <f t="shared" si="8"/>
        <v>45329</v>
      </c>
      <c r="Y52" s="380">
        <f t="shared" si="9"/>
        <v>14.458920220391512</v>
      </c>
      <c r="Z52" s="380">
        <f t="shared" si="10"/>
        <v>14.619536757896888</v>
      </c>
      <c r="AA52" s="381">
        <f t="shared" si="11"/>
        <v>15.255983477826668</v>
      </c>
      <c r="AB52" s="193">
        <f t="shared" si="12"/>
        <v>45329</v>
      </c>
      <c r="AC52" s="119">
        <f>IF(OR(t&lt;Tnet,NoTnet),'2023'!Resal_s+('2023'!Salim-'2023'!Resal_s)*(1-EXP(('2023'!Tnet_s-t)/'2023'!Tau_j)),Resal_s+(Salim-Resal_s)*(1-EXP((Tnet_s-t)/Tau_j)))*Salcycl</f>
        <v>4.1717842763450974E-2</v>
      </c>
      <c r="AD52" s="227">
        <f>(INDEX(Models!$BJ52:$BT52,,AH52)*(1-AF52)+INDEX(Models!$BJ52:$BT52,,AH52+1)*AF52-ERP_i)*AE52*Ramure*Pc/MaxiM</f>
        <v>2.4961364936354927E-3</v>
      </c>
      <c r="AE52" s="301">
        <f t="shared" si="13"/>
        <v>0.5</v>
      </c>
      <c r="AF52" s="173">
        <f t="shared" si="22"/>
        <v>0.99629505923969597</v>
      </c>
      <c r="AG52" s="802">
        <f t="shared" si="23"/>
        <v>0</v>
      </c>
      <c r="AH52" s="172">
        <f t="shared" si="14"/>
        <v>6</v>
      </c>
      <c r="AI52" s="221">
        <f t="shared" si="24"/>
        <v>0.99629505923969597</v>
      </c>
      <c r="AJ52" s="261" t="b">
        <f t="shared" si="15"/>
        <v>0</v>
      </c>
      <c r="AK52" s="261" t="b">
        <f t="shared" si="16"/>
        <v>0</v>
      </c>
      <c r="AL52" s="261"/>
      <c r="AM52" s="261"/>
      <c r="AN52" s="75"/>
    </row>
    <row r="53" spans="1:40" s="6" customFormat="1" ht="11.25" x14ac:dyDescent="0.2">
      <c r="A53" s="56">
        <f t="shared" si="17"/>
        <v>45330</v>
      </c>
      <c r="B53" s="406">
        <f>'2023'!Wh/'2023'!Env_an*'2024'!Env_an</f>
        <v>28.712309796952781</v>
      </c>
      <c r="C53" s="385"/>
      <c r="D53" s="388">
        <f t="shared" si="0"/>
        <v>29.031657159183204</v>
      </c>
      <c r="E53" s="380">
        <f t="shared" si="18"/>
        <v>29.572165034928975</v>
      </c>
      <c r="F53" s="380">
        <f t="shared" si="1"/>
        <v>29.637565329868828</v>
      </c>
      <c r="G53" s="110">
        <f t="shared" si="19"/>
        <v>1.016825364425431</v>
      </c>
      <c r="H53" s="409" t="b">
        <f>Wh_hp&gt;='2023'!Maxi_hp</f>
        <v>1</v>
      </c>
      <c r="I53" s="375">
        <f>IF(H53,Wh_hp,'2023'!Maxi_hp)</f>
        <v>29.637565329868828</v>
      </c>
      <c r="J53" s="85">
        <f>IF(H53,An,'2023'!An_max)</f>
        <v>2024</v>
      </c>
      <c r="K53" s="193">
        <f t="shared" si="20"/>
        <v>45330</v>
      </c>
      <c r="L53" s="143">
        <f>IF(t&lt;Tvie,1-EXP((T0-t)*PertePVj)+'2023'!Pspv,1-EXP((T0-t)*PertePVj)+Pspv)</f>
        <v>1.0999970152561822E-2</v>
      </c>
      <c r="M53" s="836"/>
      <c r="N53" s="836"/>
      <c r="O53" s="48">
        <f>IF(t&lt;Tnet,'2023'!Resal+('2023'!Salim-'2023'!Resal)*(1-EXP(('2023'!Tnet-t)/('2023'!Tau_j))),Resal+(Salim-Resal)*(1-EXP((Tnet-t)/(Tau_j))))*Salcycl</f>
        <v>1.8277588911983694E-2</v>
      </c>
      <c r="P53" s="165">
        <f>(INDEX(Models!$BJ53:$BT53,,T53)*(1-R53)+INDEX(Models!$BJ53:$BT53,,T53+1)*R53-ERP_i)*Q53*Ramure*Pc/MaxiM</f>
        <v>2.2066689423352725E-3</v>
      </c>
      <c r="Q53" s="301">
        <f t="shared" si="2"/>
        <v>0.5</v>
      </c>
      <c r="R53" s="173">
        <f t="shared" si="3"/>
        <v>0.99642736021306222</v>
      </c>
      <c r="S53" s="802">
        <f t="shared" si="4"/>
        <v>0</v>
      </c>
      <c r="T53" s="172">
        <f t="shared" si="5"/>
        <v>6</v>
      </c>
      <c r="U53" s="247">
        <f t="shared" si="21"/>
        <v>0.99642736021306222</v>
      </c>
      <c r="V53" s="378">
        <f t="shared" si="6"/>
        <v>28.237208474020516</v>
      </c>
      <c r="W53" s="397">
        <f t="shared" si="7"/>
        <v>28.712309796952781</v>
      </c>
      <c r="X53" s="153">
        <f t="shared" si="8"/>
        <v>45330</v>
      </c>
      <c r="Y53" s="380">
        <f t="shared" si="9"/>
        <v>28.025719189648012</v>
      </c>
      <c r="Z53" s="380">
        <f t="shared" si="10"/>
        <v>28.337430074669687</v>
      </c>
      <c r="AA53" s="381">
        <f t="shared" si="11"/>
        <v>29.572165034928975</v>
      </c>
      <c r="AB53" s="193">
        <f t="shared" si="12"/>
        <v>45330</v>
      </c>
      <c r="AC53" s="119">
        <f>IF(OR(t&lt;Tnet,NoTnet),'2023'!Resal_s+('2023'!Salim-'2023'!Resal_s)*(1-EXP(('2023'!Tnet_s-t)/'2023'!Tau_j)),Resal_s+(Salim-Resal_s)*(1-EXP((Tnet_s-t)/Tau_j)))*Salcycl</f>
        <v>4.1753282480362447E-2</v>
      </c>
      <c r="AD53" s="227">
        <f>(INDEX(Models!$BJ53:$BT53,,AH53)*(1-AF53)+INDEX(Models!$BJ53:$BT53,,AH53+1)*AF53-ERP_i)*AE53*Ramure*Pc/MaxiM</f>
        <v>2.2066689423352725E-3</v>
      </c>
      <c r="AE53" s="301">
        <f t="shared" si="13"/>
        <v>0.5</v>
      </c>
      <c r="AF53" s="173">
        <f t="shared" si="22"/>
        <v>0.99642736021306222</v>
      </c>
      <c r="AG53" s="802">
        <f t="shared" si="23"/>
        <v>0</v>
      </c>
      <c r="AH53" s="172">
        <f t="shared" si="14"/>
        <v>6</v>
      </c>
      <c r="AI53" s="221">
        <f t="shared" si="24"/>
        <v>0.99642736021306222</v>
      </c>
      <c r="AJ53" s="261" t="b">
        <f t="shared" si="15"/>
        <v>0</v>
      </c>
      <c r="AK53" s="261" t="b">
        <f t="shared" si="16"/>
        <v>0</v>
      </c>
      <c r="AL53" s="261"/>
      <c r="AM53" s="261"/>
      <c r="AN53" s="75"/>
    </row>
    <row r="54" spans="1:40" s="6" customFormat="1" ht="11.25" x14ac:dyDescent="0.2">
      <c r="A54" s="56">
        <f t="shared" si="17"/>
        <v>45331</v>
      </c>
      <c r="B54" s="406">
        <f>'2023'!Wh/'2023'!Env_an*'2024'!Env_an</f>
        <v>28.94083748476406</v>
      </c>
      <c r="C54" s="385"/>
      <c r="D54" s="388">
        <f t="shared" si="0"/>
        <v>29.263127191627731</v>
      </c>
      <c r="E54" s="380">
        <f t="shared" si="18"/>
        <v>29.809662529779249</v>
      </c>
      <c r="F54" s="380">
        <f t="shared" si="1"/>
        <v>29.867502380139101</v>
      </c>
      <c r="G54" s="110">
        <f t="shared" si="19"/>
        <v>1.0108637230245658</v>
      </c>
      <c r="H54" s="409" t="b">
        <f>Wh_hp&gt;='2023'!Maxi_hp</f>
        <v>1</v>
      </c>
      <c r="I54" s="375">
        <f>IF(H54,Wh_hp,'2023'!Maxi_hp)</f>
        <v>29.867502380139101</v>
      </c>
      <c r="J54" s="85">
        <f>IF(H54,An,'2023'!An_max)</f>
        <v>2024</v>
      </c>
      <c r="K54" s="193">
        <f t="shared" si="20"/>
        <v>45331</v>
      </c>
      <c r="L54" s="143">
        <f>IF(t&lt;Tvie,1-EXP((T0-t)*PertePVj)+'2023'!Pspv,1-EXP((T0-t)*PertePVj)+Pspv)</f>
        <v>1.1013508732445998E-2</v>
      </c>
      <c r="M54" s="836"/>
      <c r="N54" s="836"/>
      <c r="O54" s="48">
        <f>IF(t&lt;Tnet,'2023'!Resal+('2023'!Salim-'2023'!Resal)*(1-EXP(('2023'!Tnet-t)/('2023'!Tau_j))),Resal+(Salim-Resal)*(1-EXP((Tnet-t)/(Tau_j))))*Salcycl</f>
        <v>1.8334167238744842E-2</v>
      </c>
      <c r="P54" s="165">
        <f>(INDEX(Models!$BJ54:$BT54,,T54)*(1-R54)+INDEX(Models!$BJ54:$BT54,,T54+1)*R54-ERP_i)*Q54*Ramure*Pc/MaxiM</f>
        <v>1.9365479451108516E-3</v>
      </c>
      <c r="Q54" s="301">
        <f t="shared" si="2"/>
        <v>0.5</v>
      </c>
      <c r="R54" s="173">
        <f t="shared" si="3"/>
        <v>0.99656513667165336</v>
      </c>
      <c r="S54" s="802">
        <f t="shared" si="4"/>
        <v>0</v>
      </c>
      <c r="T54" s="172">
        <f t="shared" si="5"/>
        <v>6</v>
      </c>
      <c r="U54" s="247">
        <f t="shared" si="21"/>
        <v>0.99656513667165336</v>
      </c>
      <c r="V54" s="378">
        <f t="shared" si="6"/>
        <v>28.62981114622583</v>
      </c>
      <c r="W54" s="397">
        <f t="shared" si="7"/>
        <v>28.94083748476406</v>
      </c>
      <c r="X54" s="153">
        <f t="shared" si="8"/>
        <v>45331</v>
      </c>
      <c r="Y54" s="380">
        <f t="shared" si="9"/>
        <v>28.249365277904168</v>
      </c>
      <c r="Z54" s="380">
        <f t="shared" si="10"/>
        <v>28.563954641784655</v>
      </c>
      <c r="AA54" s="381">
        <f t="shared" si="11"/>
        <v>29.809662529779249</v>
      </c>
      <c r="AB54" s="193">
        <f t="shared" si="12"/>
        <v>45331</v>
      </c>
      <c r="AC54" s="119">
        <f>IF(OR(t&lt;Tnet,NoTnet),'2023'!Resal_s+('2023'!Salim-'2023'!Resal_s)*(1-EXP(('2023'!Tnet_s-t)/'2023'!Tau_j)),Resal_s+(Salim-Resal_s)*(1-EXP((Tnet_s-t)/Tau_j)))*Salcycl</f>
        <v>4.178872829406103E-2</v>
      </c>
      <c r="AD54" s="227">
        <f>(INDEX(Models!$BJ54:$BT54,,AH54)*(1-AF54)+INDEX(Models!$BJ54:$BT54,,AH54+1)*AF54-ERP_i)*AE54*Ramure*Pc/MaxiM</f>
        <v>1.9365479451108516E-3</v>
      </c>
      <c r="AE54" s="301">
        <f t="shared" si="13"/>
        <v>0.5</v>
      </c>
      <c r="AF54" s="173">
        <f t="shared" si="22"/>
        <v>0.99656513667165336</v>
      </c>
      <c r="AG54" s="802">
        <f t="shared" si="23"/>
        <v>0</v>
      </c>
      <c r="AH54" s="172">
        <f t="shared" si="14"/>
        <v>6</v>
      </c>
      <c r="AI54" s="221">
        <f t="shared" si="24"/>
        <v>0.99656513667165336</v>
      </c>
      <c r="AJ54" s="261" t="b">
        <f t="shared" si="15"/>
        <v>0</v>
      </c>
      <c r="AK54" s="261" t="b">
        <f t="shared" si="16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7"/>
        <v>45332</v>
      </c>
      <c r="B55" s="406">
        <f>'2023'!Wh/'2023'!Env_an*'2024'!Env_an</f>
        <v>27.93369073022258</v>
      </c>
      <c r="C55" s="385"/>
      <c r="D55" s="388">
        <f t="shared" si="0"/>
        <v>28.245151345215472</v>
      </c>
      <c r="E55" s="380">
        <f t="shared" si="18"/>
        <v>28.774331733572826</v>
      </c>
      <c r="F55" s="380">
        <f t="shared" si="1"/>
        <v>28.82028811319681</v>
      </c>
      <c r="G55" s="110">
        <f t="shared" si="19"/>
        <v>0.96230715135361511</v>
      </c>
      <c r="H55" s="409" t="b">
        <f>Wh_hp&gt;='2023'!Maxi_hp</f>
        <v>0</v>
      </c>
      <c r="I55" s="375">
        <f>IF(H55,Wh_hp,'2023'!Maxi_hp)</f>
        <v>28.822898257849857</v>
      </c>
      <c r="J55" s="85">
        <f>IF(H55,An,'2023'!An_max)</f>
        <v>2022</v>
      </c>
      <c r="K55" s="193">
        <f t="shared" si="20"/>
        <v>45332</v>
      </c>
      <c r="L55" s="143">
        <f>IF(t&lt;Tvie,1-EXP((T0-t)*PertePVj)+'2023'!Pspv,1-EXP((T0-t)*PertePVj)+Pspv)</f>
        <v>1.1027047126998424E-2</v>
      </c>
      <c r="M55" s="836"/>
      <c r="N55" s="836"/>
      <c r="O55" s="48">
        <f>IF(t&lt;Tnet,'2023'!Resal+('2023'!Salim-'2023'!Resal)*(1-EXP(('2023'!Tnet-t)/('2023'!Tau_j))),Resal+(Salim-Resal)*(1-EXP((Tnet-t)/(Tau_j))))*Salcycl</f>
        <v>1.8390709930542908E-2</v>
      </c>
      <c r="P55" s="165">
        <f>(INDEX(Models!$BJ55:$BT55,,T55)*(1-R55)+INDEX(Models!$BJ55:$BT55,,T55+1)*R55-ERP_i)*Q55*Ramure*Pc/MaxiM</f>
        <v>1.6851123779536451E-3</v>
      </c>
      <c r="Q55" s="301">
        <f t="shared" si="2"/>
        <v>0.5</v>
      </c>
      <c r="R55" s="173">
        <f t="shared" si="3"/>
        <v>0.99670861198231586</v>
      </c>
      <c r="S55" s="802">
        <f t="shared" si="4"/>
        <v>0</v>
      </c>
      <c r="T55" s="172">
        <f t="shared" si="5"/>
        <v>6</v>
      </c>
      <c r="U55" s="247">
        <f t="shared" si="21"/>
        <v>0.99670861198231586</v>
      </c>
      <c r="V55" s="378">
        <f t="shared" si="6"/>
        <v>29.025200394136764</v>
      </c>
      <c r="W55" s="397">
        <f t="shared" si="7"/>
        <v>27.93369073022258</v>
      </c>
      <c r="X55" s="153">
        <f t="shared" si="8"/>
        <v>45332</v>
      </c>
      <c r="Y55" s="380">
        <f t="shared" si="9"/>
        <v>27.266843752292178</v>
      </c>
      <c r="Z55" s="380">
        <f t="shared" si="10"/>
        <v>27.570869024356053</v>
      </c>
      <c r="AA55" s="381">
        <f t="shared" si="11"/>
        <v>28.774331733572826</v>
      </c>
      <c r="AB55" s="193">
        <f t="shared" si="12"/>
        <v>45332</v>
      </c>
      <c r="AC55" s="119">
        <f>IF(OR(t&lt;Tnet,NoTnet),'2023'!Resal_s+('2023'!Salim-'2023'!Resal_s)*(1-EXP(('2023'!Tnet_s-t)/'2023'!Tau_j)),Resal_s+(Salim-Resal_s)*(1-EXP((Tnet_s-t)/Tau_j)))*Salcycl</f>
        <v>4.1824175809185425E-2</v>
      </c>
      <c r="AD55" s="227">
        <f>(INDEX(Models!$BJ55:$BT55,,AH55)*(1-AF55)+INDEX(Models!$BJ55:$BT55,,AH55+1)*AF55-ERP_i)*AE55*Ramure*Pc/MaxiM</f>
        <v>1.6851123779536451E-3</v>
      </c>
      <c r="AE55" s="301">
        <f t="shared" si="13"/>
        <v>0.5</v>
      </c>
      <c r="AF55" s="173">
        <f t="shared" si="22"/>
        <v>0.99670861198231586</v>
      </c>
      <c r="AG55" s="802">
        <f t="shared" si="23"/>
        <v>0</v>
      </c>
      <c r="AH55" s="172">
        <f t="shared" si="14"/>
        <v>6</v>
      </c>
      <c r="AI55" s="221">
        <f t="shared" si="24"/>
        <v>0.99670861198231586</v>
      </c>
      <c r="AJ55" s="261" t="b">
        <f t="shared" si="15"/>
        <v>0</v>
      </c>
      <c r="AK55" s="261" t="b">
        <f t="shared" si="16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7"/>
        <v>45333</v>
      </c>
      <c r="B56" s="406">
        <f>'2023'!Wh/'2023'!Env_an*'2024'!Env_an</f>
        <v>14.604138096323789</v>
      </c>
      <c r="C56" s="385"/>
      <c r="D56" s="388">
        <f t="shared" si="0"/>
        <v>14.767176367180683</v>
      </c>
      <c r="E56" s="380">
        <f t="shared" si="18"/>
        <v>15.044709357087301</v>
      </c>
      <c r="F56" s="380">
        <f t="shared" si="1"/>
        <v>15.0508381482848</v>
      </c>
      <c r="G56" s="110">
        <f t="shared" si="19"/>
        <v>0.4958314629520334</v>
      </c>
      <c r="H56" s="409" t="b">
        <f>Wh_hp&gt;='2023'!Maxi_hp</f>
        <v>0</v>
      </c>
      <c r="I56" s="375">
        <f>IF(H56,Wh_hp,'2023'!Maxi_hp)</f>
        <v>15.066561571107581</v>
      </c>
      <c r="J56" s="85">
        <f>IF(H56,An,'2023'!An_max)</f>
        <v>2022</v>
      </c>
      <c r="K56" s="193">
        <f t="shared" si="20"/>
        <v>45333</v>
      </c>
      <c r="L56" s="143">
        <f>IF(t&lt;Tvie,1-EXP((T0-t)*PertePVj)+'2023'!Pspv,1-EXP((T0-t)*PertePVj)+Pspv)</f>
        <v>1.1040585336221653E-2</v>
      </c>
      <c r="M56" s="836"/>
      <c r="N56" s="836"/>
      <c r="O56" s="48">
        <f>IF(t&lt;Tnet,'2023'!Resal+('2023'!Salim-'2023'!Resal)*(1-EXP(('2023'!Tnet-t)/('2023'!Tau_j))),Resal+(Salim-Resal)*(1-EXP((Tnet-t)/(Tau_j))))*Salcycl</f>
        <v>1.8447215118574386E-2</v>
      </c>
      <c r="P56" s="165">
        <f>(INDEX(Models!$BJ56:$BT56,,T56)*(1-R56)+INDEX(Models!$BJ56:$BT56,,T56+1)*R56-ERP_i)*Q56*Ramure*Pc/MaxiM</f>
        <v>1.4517138440830071E-3</v>
      </c>
      <c r="Q56" s="301">
        <f t="shared" si="2"/>
        <v>0.5</v>
      </c>
      <c r="R56" s="173">
        <f t="shared" si="3"/>
        <v>0.99685801834817711</v>
      </c>
      <c r="S56" s="802">
        <f t="shared" si="4"/>
        <v>0</v>
      </c>
      <c r="T56" s="172">
        <f t="shared" si="5"/>
        <v>6</v>
      </c>
      <c r="U56" s="247">
        <f t="shared" si="21"/>
        <v>0.99685801834817711</v>
      </c>
      <c r="V56" s="378">
        <f t="shared" si="6"/>
        <v>29.423057702253228</v>
      </c>
      <c r="W56" s="397">
        <f t="shared" si="7"/>
        <v>14.604138096323789</v>
      </c>
      <c r="X56" s="153">
        <f t="shared" si="8"/>
        <v>45333</v>
      </c>
      <c r="Y56" s="380">
        <f t="shared" si="9"/>
        <v>14.255794118774375</v>
      </c>
      <c r="Z56" s="380">
        <f t="shared" si="10"/>
        <v>14.414943532966912</v>
      </c>
      <c r="AA56" s="381">
        <f t="shared" si="11"/>
        <v>15.044709357087301</v>
      </c>
      <c r="AB56" s="193">
        <f t="shared" si="12"/>
        <v>45333</v>
      </c>
      <c r="AC56" s="119">
        <f>IF(OR(t&lt;Tnet,NoTnet),'2023'!Resal_s+('2023'!Salim-'2023'!Resal_s)*(1-EXP(('2023'!Tnet_s-t)/'2023'!Tau_j)),Resal_s+(Salim-Resal_s)*(1-EXP((Tnet_s-t)/Tau_j)))*Salcycl</f>
        <v>4.185962049334755E-2</v>
      </c>
      <c r="AD56" s="227">
        <f>(INDEX(Models!$BJ56:$BT56,,AH56)*(1-AF56)+INDEX(Models!$BJ56:$BT56,,AH56+1)*AF56-ERP_i)*AE56*Ramure*Pc/MaxiM</f>
        <v>1.4517138440830071E-3</v>
      </c>
      <c r="AE56" s="301">
        <f t="shared" si="13"/>
        <v>0.5</v>
      </c>
      <c r="AF56" s="173">
        <f t="shared" si="22"/>
        <v>0.99685801834817711</v>
      </c>
      <c r="AG56" s="802">
        <f t="shared" si="23"/>
        <v>0</v>
      </c>
      <c r="AH56" s="172">
        <f t="shared" si="14"/>
        <v>6</v>
      </c>
      <c r="AI56" s="221">
        <f t="shared" si="24"/>
        <v>0.99685801834817711</v>
      </c>
      <c r="AJ56" s="261" t="b">
        <f t="shared" si="15"/>
        <v>0</v>
      </c>
      <c r="AK56" s="261" t="b">
        <f t="shared" si="16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7"/>
        <v>45334</v>
      </c>
      <c r="B57" s="406">
        <f>'2023'!Wh/'2023'!Env_an*'2024'!Env_an</f>
        <v>23.354936183316475</v>
      </c>
      <c r="C57" s="385"/>
      <c r="D57" s="388">
        <f t="shared" si="0"/>
        <v>23.615990252842746</v>
      </c>
      <c r="E57" s="380">
        <f t="shared" si="18"/>
        <v>24.061211227013736</v>
      </c>
      <c r="F57" s="380">
        <f t="shared" si="1"/>
        <v>24.081749384186431</v>
      </c>
      <c r="G57" s="110">
        <f t="shared" si="19"/>
        <v>0.78281648839943319</v>
      </c>
      <c r="H57" s="409" t="b">
        <f>Wh_hp&gt;='2023'!Maxi_hp</f>
        <v>0</v>
      </c>
      <c r="I57" s="375">
        <f>IF(H57,Wh_hp,'2023'!Maxi_hp)</f>
        <v>24.090968807798074</v>
      </c>
      <c r="J57" s="85">
        <f>IF(H57,An,'2023'!An_max)</f>
        <v>2022</v>
      </c>
      <c r="K57" s="193">
        <f t="shared" si="20"/>
        <v>45334</v>
      </c>
      <c r="L57" s="143">
        <f>IF(t&lt;Tvie,1-EXP((T0-t)*PertePVj)+'2023'!Pspv,1-EXP((T0-t)*PertePVj)+Pspv)</f>
        <v>1.1054123360118129E-2</v>
      </c>
      <c r="M57" s="836"/>
      <c r="N57" s="836"/>
      <c r="O57" s="48">
        <f>IF(t&lt;Tnet,'2023'!Resal+('2023'!Salim-'2023'!Resal)*(1-EXP(('2023'!Tnet-t)/('2023'!Tau_j))),Resal+(Salim-Resal)*(1-EXP((Tnet-t)/(Tau_j))))*Salcycl</f>
        <v>1.8503680881664764E-2</v>
      </c>
      <c r="P57" s="165">
        <f>(INDEX(Models!$BJ57:$BT57,,T57)*(1-R57)+INDEX(Models!$BJ57:$BT57,,T57+1)*R57-ERP_i)*Q57*Ramure*Pc/MaxiM</f>
        <v>1.2357184870588685E-3</v>
      </c>
      <c r="Q57" s="301">
        <f t="shared" si="2"/>
        <v>0.5</v>
      </c>
      <c r="R57" s="173">
        <f t="shared" si="3"/>
        <v>0.99701359713469995</v>
      </c>
      <c r="S57" s="802">
        <f t="shared" si="4"/>
        <v>0</v>
      </c>
      <c r="T57" s="172">
        <f t="shared" si="5"/>
        <v>6</v>
      </c>
      <c r="U57" s="247">
        <f t="shared" si="21"/>
        <v>0.99701359713469995</v>
      </c>
      <c r="V57" s="378">
        <f t="shared" si="6"/>
        <v>29.823064618235403</v>
      </c>
      <c r="W57" s="397">
        <f t="shared" si="7"/>
        <v>23.354936183316475</v>
      </c>
      <c r="X57" s="153">
        <f t="shared" si="8"/>
        <v>45334</v>
      </c>
      <c r="Y57" s="380">
        <f t="shared" si="9"/>
        <v>22.798332859334717</v>
      </c>
      <c r="Z57" s="380">
        <f t="shared" si="10"/>
        <v>23.053165393434952</v>
      </c>
      <c r="AA57" s="381">
        <f t="shared" si="11"/>
        <v>24.061211227013736</v>
      </c>
      <c r="AB57" s="193">
        <f t="shared" si="12"/>
        <v>45334</v>
      </c>
      <c r="AC57" s="119">
        <f>IF(OR(t&lt;Tnet,NoTnet),'2023'!Resal_s+('2023'!Salim-'2023'!Resal_s)*(1-EXP(('2023'!Tnet_s-t)/'2023'!Tau_j)),Resal_s+(Salim-Resal_s)*(1-EXP((Tnet_s-t)/Tau_j)))*Salcycl</f>
        <v>4.1895057737037091E-2</v>
      </c>
      <c r="AD57" s="227">
        <f>(INDEX(Models!$BJ57:$BT57,,AH57)*(1-AF57)+INDEX(Models!$BJ57:$BT57,,AH57+1)*AF57-ERP_i)*AE57*Ramure*Pc/MaxiM</f>
        <v>1.2357184870588685E-3</v>
      </c>
      <c r="AE57" s="301">
        <f t="shared" si="13"/>
        <v>0.5</v>
      </c>
      <c r="AF57" s="173">
        <f t="shared" si="22"/>
        <v>0.99701359713469995</v>
      </c>
      <c r="AG57" s="802">
        <f t="shared" si="23"/>
        <v>0</v>
      </c>
      <c r="AH57" s="172">
        <f t="shared" si="14"/>
        <v>6</v>
      </c>
      <c r="AI57" s="221">
        <f t="shared" si="24"/>
        <v>0.99701359713469995</v>
      </c>
      <c r="AJ57" s="261" t="b">
        <f t="shared" si="15"/>
        <v>0</v>
      </c>
      <c r="AK57" s="261" t="b">
        <f t="shared" si="16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7"/>
        <v>45335</v>
      </c>
      <c r="B58" s="406">
        <f>'2023'!Wh/'2023'!Env_an*'2024'!Env_an</f>
        <v>25.733278319180954</v>
      </c>
      <c r="C58" s="385"/>
      <c r="D58" s="388">
        <f t="shared" si="0"/>
        <v>26.021272952174265</v>
      </c>
      <c r="E58" s="380">
        <f t="shared" si="18"/>
        <v>26.51336377499894</v>
      </c>
      <c r="F58" s="380">
        <f t="shared" si="1"/>
        <v>26.535140491568765</v>
      </c>
      <c r="G58" s="110">
        <f t="shared" si="19"/>
        <v>0.85120934416513716</v>
      </c>
      <c r="H58" s="409" t="b">
        <f>Wh_hp&gt;='2023'!Maxi_hp</f>
        <v>0</v>
      </c>
      <c r="I58" s="375">
        <f>IF(H58,Wh_hp,'2023'!Maxi_hp)</f>
        <v>26.541007451756311</v>
      </c>
      <c r="J58" s="85">
        <f>IF(H58,An,'2023'!An_max)</f>
        <v>2022</v>
      </c>
      <c r="K58" s="193">
        <f t="shared" si="20"/>
        <v>45335</v>
      </c>
      <c r="L58" s="143">
        <f>IF(t&lt;Tvie,1-EXP((T0-t)*PertePVj)+'2023'!Pspv,1-EXP((T0-t)*PertePVj)+Pspv)</f>
        <v>1.1067661198690404E-2</v>
      </c>
      <c r="M58" s="836"/>
      <c r="N58" s="836"/>
      <c r="O58" s="48">
        <f>IF(t&lt;Tnet,'2023'!Resal+('2023'!Salim-'2023'!Resal)*(1-EXP(('2023'!Tnet-t)/('2023'!Tau_j))),Resal+(Salim-Resal)*(1-EXP((Tnet-t)/(Tau_j))))*Salcycl</f>
        <v>1.8560105273729866E-2</v>
      </c>
      <c r="P58" s="165">
        <f>(INDEX(Models!$BJ58:$BT58,,T58)*(1-R58)+INDEX(Models!$BJ58:$BT58,,T58+1)*R58-ERP_i)*Q58*Ramure*Pc/MaxiM</f>
        <v>1.0418471659434695E-3</v>
      </c>
      <c r="Q58" s="301">
        <f t="shared" si="2"/>
        <v>0.5</v>
      </c>
      <c r="R58" s="173">
        <f t="shared" si="3"/>
        <v>0.99717559920573917</v>
      </c>
      <c r="S58" s="802">
        <f t="shared" si="4"/>
        <v>0</v>
      </c>
      <c r="T58" s="172">
        <f t="shared" si="5"/>
        <v>6</v>
      </c>
      <c r="U58" s="247">
        <f t="shared" si="21"/>
        <v>0.99717559920573917</v>
      </c>
      <c r="V58" s="378">
        <f t="shared" si="6"/>
        <v>30.224741218336753</v>
      </c>
      <c r="W58" s="397">
        <f t="shared" si="7"/>
        <v>25.733278319180954</v>
      </c>
      <c r="X58" s="153">
        <f t="shared" si="8"/>
        <v>45335</v>
      </c>
      <c r="Y58" s="380">
        <f t="shared" si="9"/>
        <v>25.120508820477323</v>
      </c>
      <c r="Z58" s="380">
        <f t="shared" si="10"/>
        <v>25.401645628179207</v>
      </c>
      <c r="AA58" s="381">
        <f t="shared" si="11"/>
        <v>26.51336377499894</v>
      </c>
      <c r="AB58" s="193">
        <f t="shared" si="12"/>
        <v>45335</v>
      </c>
      <c r="AC58" s="119">
        <f>IF(OR(t&lt;Tnet,NoTnet),'2023'!Resal_s+('2023'!Salim-'2023'!Resal_s)*(1-EXP(('2023'!Tnet_s-t)/'2023'!Tau_j)),Resal_s+(Salim-Resal_s)*(1-EXP((Tnet_s-t)/Tau_j)))*Salcycl</f>
        <v>4.1930482916243114E-2</v>
      </c>
      <c r="AD58" s="227">
        <f>(INDEX(Models!$BJ58:$BT58,,AH58)*(1-AF58)+INDEX(Models!$BJ58:$BT58,,AH58+1)*AF58-ERP_i)*AE58*Ramure*Pc/MaxiM</f>
        <v>1.0418471659434695E-3</v>
      </c>
      <c r="AE58" s="301">
        <f t="shared" si="13"/>
        <v>0.5</v>
      </c>
      <c r="AF58" s="173">
        <f t="shared" si="22"/>
        <v>0.99717559920573917</v>
      </c>
      <c r="AG58" s="802">
        <f t="shared" si="23"/>
        <v>0</v>
      </c>
      <c r="AH58" s="172">
        <f t="shared" si="14"/>
        <v>6</v>
      </c>
      <c r="AI58" s="221">
        <f t="shared" si="24"/>
        <v>0.99717559920573917</v>
      </c>
      <c r="AJ58" s="261" t="b">
        <f t="shared" si="15"/>
        <v>0</v>
      </c>
      <c r="AK58" s="261" t="b">
        <f t="shared" si="16"/>
        <v>0</v>
      </c>
      <c r="AL58" s="261"/>
      <c r="AM58" s="261"/>
      <c r="AN58" s="75"/>
    </row>
    <row r="59" spans="1:40" s="6" customFormat="1" ht="11.25" x14ac:dyDescent="0.2">
      <c r="A59" s="56">
        <f t="shared" si="17"/>
        <v>45336</v>
      </c>
      <c r="B59" s="406">
        <f>'2023'!Wh/'2023'!Env_an*'2024'!Env_an</f>
        <v>16.523231798609061</v>
      </c>
      <c r="C59" s="385"/>
      <c r="D59" s="388">
        <f t="shared" si="0"/>
        <v>16.708380687501194</v>
      </c>
      <c r="E59" s="380">
        <f t="shared" si="18"/>
        <v>17.025332558727527</v>
      </c>
      <c r="F59" s="380">
        <f t="shared" si="1"/>
        <v>17.030405258882261</v>
      </c>
      <c r="G59" s="110">
        <f t="shared" si="19"/>
        <v>0.53917694844606778</v>
      </c>
      <c r="H59" s="409" t="b">
        <f>Wh_hp&gt;='2023'!Maxi_hp</f>
        <v>0</v>
      </c>
      <c r="I59" s="375">
        <f>IF(H59,Wh_hp,'2023'!Maxi_hp)</f>
        <v>17.04015432936102</v>
      </c>
      <c r="J59" s="85">
        <f>IF(H59,An,'2023'!An_max)</f>
        <v>2022</v>
      </c>
      <c r="K59" s="193">
        <f t="shared" si="20"/>
        <v>45336</v>
      </c>
      <c r="L59" s="143">
        <f>IF(t&lt;Tvie,1-EXP((T0-t)*PertePVj)+'2023'!Pspv,1-EXP((T0-t)*PertePVj)+Pspv)</f>
        <v>1.1081198851941032E-2</v>
      </c>
      <c r="M59" s="836"/>
      <c r="N59" s="836"/>
      <c r="O59" s="48">
        <f>IF(t&lt;Tnet,'2023'!Resal+('2023'!Salim-'2023'!Resal)*(1-EXP(('2023'!Tnet-t)/('2023'!Tau_j))),Resal+(Salim-Resal)*(1-EXP((Tnet-t)/(Tau_j))))*Salcycl</f>
        <v>1.8616486352500471E-2</v>
      </c>
      <c r="P59" s="165">
        <f>(INDEX(Models!$BJ59:$BT59,,T59)*(1-R59)+INDEX(Models!$BJ59:$BT59,,T59+1)*R59-ERP_i)*Q59*Ramure*Pc/MaxiM</f>
        <v>8.7062683198715896E-4</v>
      </c>
      <c r="Q59" s="301">
        <f t="shared" si="2"/>
        <v>0.5</v>
      </c>
      <c r="R59" s="173">
        <f t="shared" si="3"/>
        <v>0.99734428526972085</v>
      </c>
      <c r="S59" s="802">
        <f t="shared" si="4"/>
        <v>0</v>
      </c>
      <c r="T59" s="172">
        <f t="shared" si="5"/>
        <v>6</v>
      </c>
      <c r="U59" s="247">
        <f t="shared" si="21"/>
        <v>0.99734428526972085</v>
      </c>
      <c r="V59" s="378">
        <f t="shared" si="6"/>
        <v>30.627728225826612</v>
      </c>
      <c r="W59" s="397">
        <f t="shared" si="7"/>
        <v>16.523231798609061</v>
      </c>
      <c r="X59" s="153">
        <f t="shared" si="8"/>
        <v>45336</v>
      </c>
      <c r="Y59" s="380">
        <f t="shared" si="9"/>
        <v>16.13010553600358</v>
      </c>
      <c r="Z59" s="380">
        <f t="shared" si="10"/>
        <v>16.310849300546984</v>
      </c>
      <c r="AA59" s="381">
        <f t="shared" si="11"/>
        <v>17.025332558727527</v>
      </c>
      <c r="AB59" s="193">
        <f t="shared" si="12"/>
        <v>45336</v>
      </c>
      <c r="AC59" s="119">
        <f>IF(OR(t&lt;Tnet,NoTnet),'2023'!Resal_s+('2023'!Salim-'2023'!Resal_s)*(1-EXP(('2023'!Tnet_s-t)/'2023'!Tau_j)),Resal_s+(Salim-Resal_s)*(1-EXP((Tnet_s-t)/Tau_j)))*Salcycl</f>
        <v>4.1965891457097226E-2</v>
      </c>
      <c r="AD59" s="227">
        <f>(INDEX(Models!$BJ59:$BT59,,AH59)*(1-AF59)+INDEX(Models!$BJ59:$BT59,,AH59+1)*AF59-ERP_i)*AE59*Ramure*Pc/MaxiM</f>
        <v>8.7062683198715896E-4</v>
      </c>
      <c r="AE59" s="301">
        <f t="shared" si="13"/>
        <v>0.5</v>
      </c>
      <c r="AF59" s="173">
        <f t="shared" si="22"/>
        <v>0.99734428526972085</v>
      </c>
      <c r="AG59" s="802">
        <f t="shared" si="23"/>
        <v>0</v>
      </c>
      <c r="AH59" s="172">
        <f t="shared" si="14"/>
        <v>6</v>
      </c>
      <c r="AI59" s="221">
        <f t="shared" si="24"/>
        <v>0.99734428526972085</v>
      </c>
      <c r="AJ59" s="261" t="b">
        <f t="shared" si="15"/>
        <v>0</v>
      </c>
      <c r="AK59" s="261" t="b">
        <f t="shared" si="16"/>
        <v>0</v>
      </c>
      <c r="AL59" s="261"/>
      <c r="AM59" s="261"/>
      <c r="AN59" s="75"/>
    </row>
    <row r="60" spans="1:40" s="6" customFormat="1" ht="11.25" x14ac:dyDescent="0.2">
      <c r="A60" s="56">
        <f t="shared" si="17"/>
        <v>45337</v>
      </c>
      <c r="B60" s="406">
        <f>'2023'!Wh/'2023'!Env_an*'2024'!Env_an</f>
        <v>21.270718200634693</v>
      </c>
      <c r="C60" s="385"/>
      <c r="D60" s="388">
        <f t="shared" si="0"/>
        <v>21.50935886565869</v>
      </c>
      <c r="E60" s="380">
        <f t="shared" si="18"/>
        <v>21.918641766430582</v>
      </c>
      <c r="F60" s="380">
        <f t="shared" si="1"/>
        <v>21.927350019792726</v>
      </c>
      <c r="G60" s="110">
        <f t="shared" si="19"/>
        <v>0.68522887653776865</v>
      </c>
      <c r="H60" s="409" t="b">
        <f>Wh_hp&gt;='2023'!Maxi_hp</f>
        <v>0</v>
      </c>
      <c r="I60" s="375">
        <f>IF(H60,Wh_hp,'2023'!Maxi_hp)</f>
        <v>21.934451021953191</v>
      </c>
      <c r="J60" s="85">
        <f>IF(H60,An,'2023'!An_max)</f>
        <v>2022</v>
      </c>
      <c r="K60" s="193">
        <f t="shared" si="20"/>
        <v>45337</v>
      </c>
      <c r="L60" s="143">
        <f>IF(t&lt;Tvie,1-EXP((T0-t)*PertePVj)+'2023'!Pspv,1-EXP((T0-t)*PertePVj)+Pspv)</f>
        <v>1.1094736319872567E-2</v>
      </c>
      <c r="M60" s="836"/>
      <c r="N60" s="836"/>
      <c r="O60" s="48">
        <f>IF(t&lt;Tnet,'2023'!Resal+('2023'!Salim-'2023'!Resal)*(1-EXP(('2023'!Tnet-t)/('2023'!Tau_j))),Resal+(Salim-Resal)*(1-EXP((Tnet-t)/(Tau_j))))*Salcycl</f>
        <v>1.8672822209208531E-2</v>
      </c>
      <c r="P60" s="165">
        <f>(INDEX(Models!$BJ60:$BT60,,T60)*(1-R60)+INDEX(Models!$BJ60:$BT60,,T60+1)*R60-ERP_i)*Q60*Ramure*Pc/MaxiM</f>
        <v>7.2122976954549156E-4</v>
      </c>
      <c r="Q60" s="301">
        <f t="shared" si="2"/>
        <v>0.5</v>
      </c>
      <c r="R60" s="173">
        <f t="shared" si="3"/>
        <v>0.99751992623605124</v>
      </c>
      <c r="S60" s="802">
        <f t="shared" si="4"/>
        <v>0</v>
      </c>
      <c r="T60" s="172">
        <f t="shared" si="5"/>
        <v>6</v>
      </c>
      <c r="U60" s="247">
        <f t="shared" si="21"/>
        <v>0.99751992623605124</v>
      </c>
      <c r="V60" s="378">
        <f t="shared" si="6"/>
        <v>31.031707204028464</v>
      </c>
      <c r="W60" s="397">
        <f t="shared" si="7"/>
        <v>21.270718200634693</v>
      </c>
      <c r="X60" s="153">
        <f t="shared" si="8"/>
        <v>45337</v>
      </c>
      <c r="Y60" s="380">
        <f t="shared" si="9"/>
        <v>20.765063165703637</v>
      </c>
      <c r="Z60" s="380">
        <f t="shared" si="10"/>
        <v>20.998030780449291</v>
      </c>
      <c r="AA60" s="381">
        <f t="shared" si="11"/>
        <v>21.918641766430582</v>
      </c>
      <c r="AB60" s="193">
        <f t="shared" si="12"/>
        <v>45337</v>
      </c>
      <c r="AC60" s="119">
        <f>IF(OR(t&lt;Tnet,NoTnet),'2023'!Resal_s+('2023'!Salim-'2023'!Resal_s)*(1-EXP(('2023'!Tnet_s-t)/'2023'!Tau_j)),Resal_s+(Salim-Resal_s)*(1-EXP((Tnet_s-t)/Tau_j)))*Salcycl</f>
        <v>4.2001278901836421E-2</v>
      </c>
      <c r="AD60" s="227">
        <f>(INDEX(Models!$BJ60:$BT60,,AH60)*(1-AF60)+INDEX(Models!$BJ60:$BT60,,AH60+1)*AF60-ERP_i)*AE60*Ramure*Pc/MaxiM</f>
        <v>7.2122976954549156E-4</v>
      </c>
      <c r="AE60" s="301">
        <f t="shared" si="13"/>
        <v>0.5</v>
      </c>
      <c r="AF60" s="173">
        <f t="shared" si="22"/>
        <v>0.99751992623605124</v>
      </c>
      <c r="AG60" s="802">
        <f t="shared" si="23"/>
        <v>0</v>
      </c>
      <c r="AH60" s="172">
        <f t="shared" si="14"/>
        <v>6</v>
      </c>
      <c r="AI60" s="221">
        <f t="shared" si="24"/>
        <v>0.99751992623605124</v>
      </c>
      <c r="AJ60" s="261" t="b">
        <f t="shared" si="15"/>
        <v>0</v>
      </c>
      <c r="AK60" s="261" t="b">
        <f t="shared" si="16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7"/>
        <v>45338</v>
      </c>
      <c r="B61" s="406">
        <f>'2023'!Wh/'2023'!Env_an*'2024'!Env_an</f>
        <v>10.102505032081744</v>
      </c>
      <c r="C61" s="385"/>
      <c r="D61" s="388">
        <f t="shared" si="0"/>
        <v>10.215987010918486</v>
      </c>
      <c r="E61" s="380">
        <f t="shared" si="18"/>
        <v>10.41097532335673</v>
      </c>
      <c r="F61" s="380">
        <f t="shared" si="1"/>
        <v>10.411163700926741</v>
      </c>
      <c r="G61" s="110">
        <f t="shared" si="19"/>
        <v>0.32117899262813093</v>
      </c>
      <c r="H61" s="409" t="b">
        <f>Wh_hp&gt;='2023'!Maxi_hp</f>
        <v>0</v>
      </c>
      <c r="I61" s="375">
        <f>IF(H61,Wh_hp,'2023'!Maxi_hp)</f>
        <v>10.417141926380237</v>
      </c>
      <c r="J61" s="85">
        <f>IF(H61,An,'2023'!An_max)</f>
        <v>2022</v>
      </c>
      <c r="K61" s="193">
        <f t="shared" si="20"/>
        <v>45338</v>
      </c>
      <c r="L61" s="143">
        <f>IF(t&lt;Tvie,1-EXP((T0-t)*PertePVj)+'2023'!Pspv,1-EXP((T0-t)*PertePVj)+Pspv)</f>
        <v>1.1108273602487562E-2</v>
      </c>
      <c r="M61" s="836"/>
      <c r="N61" s="836"/>
      <c r="O61" s="48">
        <f>IF(t&lt;Tnet,'2023'!Resal+('2023'!Salim-'2023'!Resal)*(1-EXP(('2023'!Tnet-t)/('2023'!Tau_j))),Resal+(Salim-Resal)*(1-EXP((Tnet-t)/(Tau_j))))*Salcycl</f>
        <v>1.8729110998927646E-2</v>
      </c>
      <c r="P61" s="165">
        <f>(INDEX(Models!$BJ61:$BT61,,T61)*(1-R61)+INDEX(Models!$BJ61:$BT61,,T61+1)*R61-ERP_i)*Q61*Ramure*Pc/MaxiM</f>
        <v>5.9285896337500925E-4</v>
      </c>
      <c r="Q61" s="301">
        <f t="shared" si="2"/>
        <v>0.5</v>
      </c>
      <c r="R61" s="173">
        <f t="shared" si="3"/>
        <v>0.99770280358183938</v>
      </c>
      <c r="S61" s="802">
        <f t="shared" si="4"/>
        <v>0</v>
      </c>
      <c r="T61" s="172">
        <f t="shared" si="5"/>
        <v>6</v>
      </c>
      <c r="U61" s="247">
        <f t="shared" si="21"/>
        <v>0.99770280358183938</v>
      </c>
      <c r="V61" s="378">
        <f t="shared" si="6"/>
        <v>31.436359758455481</v>
      </c>
      <c r="W61" s="397">
        <f t="shared" si="7"/>
        <v>10.102505032081744</v>
      </c>
      <c r="X61" s="153">
        <f t="shared" si="8"/>
        <v>45338</v>
      </c>
      <c r="Y61" s="380">
        <f t="shared" si="9"/>
        <v>9.8625463809979035</v>
      </c>
      <c r="Z61" s="380">
        <f t="shared" si="10"/>
        <v>9.9733328914852102</v>
      </c>
      <c r="AA61" s="381">
        <f t="shared" si="11"/>
        <v>10.41097532335673</v>
      </c>
      <c r="AB61" s="193">
        <f t="shared" si="12"/>
        <v>45338</v>
      </c>
      <c r="AC61" s="119">
        <f>IF(OR(t&lt;Tnet,NoTnet),'2023'!Resal_s+('2023'!Salim-'2023'!Resal_s)*(1-EXP(('2023'!Tnet_s-t)/'2023'!Tau_j)),Resal_s+(Salim-Resal_s)*(1-EXP((Tnet_s-t)/Tau_j)))*Salcycl</f>
        <v>4.2036640975383135E-2</v>
      </c>
      <c r="AD61" s="227">
        <f>(INDEX(Models!$BJ61:$BT61,,AH61)*(1-AF61)+INDEX(Models!$BJ61:$BT61,,AH61+1)*AF61-ERP_i)*AE61*Ramure*Pc/MaxiM</f>
        <v>5.9285896337500925E-4</v>
      </c>
      <c r="AE61" s="301">
        <f t="shared" si="13"/>
        <v>0.5</v>
      </c>
      <c r="AF61" s="173">
        <f t="shared" si="22"/>
        <v>0.99770280358183938</v>
      </c>
      <c r="AG61" s="802">
        <f t="shared" si="23"/>
        <v>0</v>
      </c>
      <c r="AH61" s="172">
        <f t="shared" si="14"/>
        <v>6</v>
      </c>
      <c r="AI61" s="221">
        <f t="shared" si="24"/>
        <v>0.99770280358183938</v>
      </c>
      <c r="AJ61" s="261" t="b">
        <f t="shared" si="15"/>
        <v>0</v>
      </c>
      <c r="AK61" s="261" t="b">
        <f t="shared" si="16"/>
        <v>0</v>
      </c>
      <c r="AL61" s="261"/>
      <c r="AM61" s="261"/>
      <c r="AN61" s="75"/>
    </row>
    <row r="62" spans="1:40" s="6" customFormat="1" ht="11.25" x14ac:dyDescent="0.2">
      <c r="A62" s="56">
        <f t="shared" si="17"/>
        <v>45339</v>
      </c>
      <c r="B62" s="406">
        <f>'2023'!Wh/'2023'!Env_an*'2024'!Env_an</f>
        <v>12.140663377620678</v>
      </c>
      <c r="C62" s="385"/>
      <c r="D62" s="388">
        <f t="shared" si="0"/>
        <v>12.27720816272844</v>
      </c>
      <c r="E62" s="380">
        <f t="shared" si="18"/>
        <v>12.512255269406216</v>
      </c>
      <c r="F62" s="380">
        <f t="shared" si="1"/>
        <v>12.512959627670622</v>
      </c>
      <c r="G62" s="110">
        <f t="shared" si="19"/>
        <v>0.38112249114468655</v>
      </c>
      <c r="H62" s="409" t="b">
        <f>Wh_hp&gt;='2023'!Maxi_hp</f>
        <v>0</v>
      </c>
      <c r="I62" s="375">
        <f>IF(H62,Wh_hp,'2023'!Maxi_hp)</f>
        <v>12.518314703244648</v>
      </c>
      <c r="J62" s="85">
        <f>IF(H62,An,'2023'!An_max)</f>
        <v>2022</v>
      </c>
      <c r="K62" s="193">
        <f t="shared" si="20"/>
        <v>45339</v>
      </c>
      <c r="L62" s="143">
        <f>IF(t&lt;Tvie,1-EXP((T0-t)*PertePVj)+'2023'!Pspv,1-EXP((T0-t)*PertePVj)+Pspv)</f>
        <v>1.1121810699788459E-2</v>
      </c>
      <c r="M62" s="836"/>
      <c r="N62" s="836"/>
      <c r="O62" s="48">
        <f>IF(t&lt;Tnet,'2023'!Resal+('2023'!Salim-'2023'!Resal)*(1-EXP(('2023'!Tnet-t)/('2023'!Tau_j))),Resal+(Salim-Resal)*(1-EXP((Tnet-t)/(Tau_j))))*Salcycl</f>
        <v>1.8785350971258569E-2</v>
      </c>
      <c r="P62" s="165">
        <f>(INDEX(Models!$BJ62:$BT62,,T62)*(1-R62)+INDEX(Models!$BJ62:$BT62,,T62+1)*R62-ERP_i)*Q62*Ramure*Pc/MaxiM</f>
        <v>4.8474861549526089E-4</v>
      </c>
      <c r="Q62" s="301">
        <f t="shared" si="2"/>
        <v>0.5</v>
      </c>
      <c r="R62" s="173">
        <f t="shared" si="3"/>
        <v>0.99789320972899564</v>
      </c>
      <c r="S62" s="802">
        <f t="shared" si="4"/>
        <v>0</v>
      </c>
      <c r="T62" s="172">
        <f t="shared" si="5"/>
        <v>6</v>
      </c>
      <c r="U62" s="247">
        <f t="shared" si="21"/>
        <v>0.99789320972899564</v>
      </c>
      <c r="V62" s="378">
        <f t="shared" si="6"/>
        <v>31.841367535617302</v>
      </c>
      <c r="W62" s="397">
        <f t="shared" si="7"/>
        <v>12.140663377620678</v>
      </c>
      <c r="X62" s="153">
        <f t="shared" si="8"/>
        <v>45339</v>
      </c>
      <c r="Y62" s="380">
        <f t="shared" si="9"/>
        <v>11.852535751879913</v>
      </c>
      <c r="Z62" s="380">
        <f t="shared" si="10"/>
        <v>11.985839995386556</v>
      </c>
      <c r="AA62" s="381">
        <f t="shared" si="11"/>
        <v>12.512255269406216</v>
      </c>
      <c r="AB62" s="193">
        <f t="shared" si="12"/>
        <v>45339</v>
      </c>
      <c r="AC62" s="119">
        <f>IF(OR(t&lt;Tnet,NoTnet),'2023'!Resal_s+('2023'!Salim-'2023'!Resal_s)*(1-EXP(('2023'!Tnet_s-t)/'2023'!Tau_j)),Resal_s+(Salim-Resal_s)*(1-EXP((Tnet_s-t)/Tau_j)))*Salcycl</f>
        <v>4.2071973651848428E-2</v>
      </c>
      <c r="AD62" s="227">
        <f>(INDEX(Models!$BJ62:$BT62,,AH62)*(1-AF62)+INDEX(Models!$BJ62:$BT62,,AH62+1)*AF62-ERP_i)*AE62*Ramure*Pc/MaxiM</f>
        <v>4.8474861549526089E-4</v>
      </c>
      <c r="AE62" s="301">
        <f t="shared" si="13"/>
        <v>0.5</v>
      </c>
      <c r="AF62" s="173">
        <f t="shared" si="22"/>
        <v>0.99789320972899564</v>
      </c>
      <c r="AG62" s="802">
        <f t="shared" si="23"/>
        <v>0</v>
      </c>
      <c r="AH62" s="172">
        <f t="shared" si="14"/>
        <v>6</v>
      </c>
      <c r="AI62" s="221">
        <f t="shared" si="24"/>
        <v>0.99789320972899564</v>
      </c>
      <c r="AJ62" s="261" t="b">
        <f t="shared" si="15"/>
        <v>0</v>
      </c>
      <c r="AK62" s="261" t="b">
        <f t="shared" si="16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7"/>
        <v>45340</v>
      </c>
      <c r="B63" s="406">
        <f>'2023'!Wh/'2023'!Env_an*'2024'!Env_an</f>
        <v>28.449900900863778</v>
      </c>
      <c r="C63" s="385"/>
      <c r="D63" s="388">
        <f t="shared" si="0"/>
        <v>28.770267834080215</v>
      </c>
      <c r="E63" s="380">
        <f t="shared" si="18"/>
        <v>29.322753685243089</v>
      </c>
      <c r="F63" s="380">
        <f t="shared" si="1"/>
        <v>29.332419678993471</v>
      </c>
      <c r="G63" s="110">
        <f t="shared" si="19"/>
        <v>0.88220681466214612</v>
      </c>
      <c r="H63" s="409" t="b">
        <f>Wh_hp&gt;='2023'!Maxi_hp</f>
        <v>0</v>
      </c>
      <c r="I63" s="375">
        <f>IF(H63,Wh_hp,'2023'!Maxi_hp)</f>
        <v>29.334371482242279</v>
      </c>
      <c r="J63" s="85">
        <f>IF(H63,An,'2023'!An_max)</f>
        <v>2022</v>
      </c>
      <c r="K63" s="193">
        <f t="shared" si="20"/>
        <v>45340</v>
      </c>
      <c r="L63" s="143">
        <f>IF(t&lt;Tvie,1-EXP((T0-t)*PertePVj)+'2023'!Pspv,1-EXP((T0-t)*PertePVj)+Pspv)</f>
        <v>1.1135347611777924E-2</v>
      </c>
      <c r="M63" s="836"/>
      <c r="N63" s="836"/>
      <c r="O63" s="48">
        <f>IF(t&lt;Tnet,'2023'!Resal+('2023'!Salim-'2023'!Resal)*(1-EXP(('2023'!Tnet-t)/('2023'!Tau_j))),Resal+(Salim-Resal)*(1-EXP((Tnet-t)/(Tau_j))))*Salcycl</f>
        <v>1.8841540501051815E-2</v>
      </c>
      <c r="P63" s="165">
        <f>(INDEX(Models!$BJ63:$BT63,,T63)*(1-R63)+INDEX(Models!$BJ63:$BT63,,T63+1)*R63-ERP_i)*Q63*Ramure*Pc/MaxiM</f>
        <v>3.9616445917570712E-4</v>
      </c>
      <c r="Q63" s="301">
        <f t="shared" si="2"/>
        <v>0.5</v>
      </c>
      <c r="R63" s="173">
        <f t="shared" si="3"/>
        <v>0.99809144843174402</v>
      </c>
      <c r="S63" s="802">
        <f t="shared" si="4"/>
        <v>0</v>
      </c>
      <c r="T63" s="172">
        <f t="shared" si="5"/>
        <v>6</v>
      </c>
      <c r="U63" s="247">
        <f t="shared" si="21"/>
        <v>0.99809144843174402</v>
      </c>
      <c r="V63" s="378">
        <f t="shared" si="6"/>
        <v>32.246412222683098</v>
      </c>
      <c r="W63" s="397">
        <f t="shared" si="7"/>
        <v>28.449900900863778</v>
      </c>
      <c r="X63" s="153">
        <f t="shared" si="8"/>
        <v>45340</v>
      </c>
      <c r="Y63" s="380">
        <f t="shared" si="9"/>
        <v>27.775282256097661</v>
      </c>
      <c r="Z63" s="380">
        <f t="shared" si="10"/>
        <v>28.088052484247619</v>
      </c>
      <c r="AA63" s="381">
        <f t="shared" si="11"/>
        <v>29.322753685243089</v>
      </c>
      <c r="AB63" s="193">
        <f t="shared" si="12"/>
        <v>45340</v>
      </c>
      <c r="AC63" s="119">
        <f>IF(OR(t&lt;Tnet,NoTnet),'2023'!Resal_s+('2023'!Salim-'2023'!Resal_s)*(1-EXP(('2023'!Tnet_s-t)/'2023'!Tau_j)),Resal_s+(Salim-Resal_s)*(1-EXP((Tnet_s-t)/Tau_j)))*Salcycl</f>
        <v>4.2107273220278837E-2</v>
      </c>
      <c r="AD63" s="227">
        <f>(INDEX(Models!$BJ63:$BT63,,AH63)*(1-AF63)+INDEX(Models!$BJ63:$BT63,,AH63+1)*AF63-ERP_i)*AE63*Ramure*Pc/MaxiM</f>
        <v>3.9616445917570712E-4</v>
      </c>
      <c r="AE63" s="301">
        <f t="shared" si="13"/>
        <v>0.5</v>
      </c>
      <c r="AF63" s="173">
        <f t="shared" si="22"/>
        <v>0.99809144843174402</v>
      </c>
      <c r="AG63" s="802">
        <f t="shared" si="23"/>
        <v>0</v>
      </c>
      <c r="AH63" s="172">
        <f t="shared" si="14"/>
        <v>6</v>
      </c>
      <c r="AI63" s="221">
        <f t="shared" si="24"/>
        <v>0.99809144843174402</v>
      </c>
      <c r="AJ63" s="261" t="b">
        <f t="shared" si="15"/>
        <v>0</v>
      </c>
      <c r="AK63" s="261" t="b">
        <f t="shared" si="16"/>
        <v>0</v>
      </c>
      <c r="AL63" s="261"/>
      <c r="AM63" s="261"/>
      <c r="AN63" s="75"/>
    </row>
    <row r="64" spans="1:40" s="6" customFormat="1" ht="11.25" x14ac:dyDescent="0.2">
      <c r="A64" s="56">
        <f t="shared" si="17"/>
        <v>45341</v>
      </c>
      <c r="B64" s="406">
        <f>'2023'!Wh/'2023'!Env_an*'2024'!Env_an</f>
        <v>17.174107861669668</v>
      </c>
      <c r="C64" s="385"/>
      <c r="D64" s="388">
        <f t="shared" si="0"/>
        <v>17.367738772464435</v>
      </c>
      <c r="E64" s="380">
        <f t="shared" si="18"/>
        <v>17.702270583932624</v>
      </c>
      <c r="F64" s="380">
        <f t="shared" si="1"/>
        <v>17.704136174460793</v>
      </c>
      <c r="G64" s="110">
        <f t="shared" si="19"/>
        <v>0.52587115823322128</v>
      </c>
      <c r="H64" s="409" t="b">
        <f>Wh_hp&gt;='2023'!Maxi_hp</f>
        <v>0</v>
      </c>
      <c r="I64" s="375">
        <f>IF(H64,Wh_hp,'2023'!Maxi_hp)</f>
        <v>17.708043029969524</v>
      </c>
      <c r="J64" s="85">
        <f>IF(H64,An,'2023'!An_max)</f>
        <v>2022</v>
      </c>
      <c r="K64" s="193">
        <f t="shared" si="20"/>
        <v>45341</v>
      </c>
      <c r="L64" s="143">
        <f>IF(t&lt;Tvie,1-EXP((T0-t)*PertePVj)+'2023'!Pspv,1-EXP((T0-t)*PertePVj)+Pspv)</f>
        <v>1.1148884338458398E-2</v>
      </c>
      <c r="M64" s="836"/>
      <c r="N64" s="836"/>
      <c r="O64" s="48">
        <f>IF(t&lt;Tnet,'2023'!Resal+('2023'!Salim-'2023'!Resal)*(1-EXP(('2023'!Tnet-t)/('2023'!Tau_j))),Resal+(Salim-Resal)*(1-EXP((Tnet-t)/(Tau_j))))*Salcycl</f>
        <v>1.8897678118863802E-2</v>
      </c>
      <c r="P64" s="165">
        <f>(INDEX(Models!$BJ64:$BT64,,T64)*(1-R64)+INDEX(Models!$BJ64:$BT64,,T64+1)*R64-ERP_i)*Q64*Ramure*Pc/MaxiM</f>
        <v>3.2640390551919474E-4</v>
      </c>
      <c r="Q64" s="301">
        <f t="shared" si="2"/>
        <v>0.5</v>
      </c>
      <c r="R64" s="173">
        <f t="shared" si="3"/>
        <v>0.99829783517455295</v>
      </c>
      <c r="S64" s="802">
        <f t="shared" si="4"/>
        <v>0</v>
      </c>
      <c r="T64" s="172">
        <f t="shared" si="5"/>
        <v>6</v>
      </c>
      <c r="U64" s="247">
        <f t="shared" si="21"/>
        <v>0.99829783517455295</v>
      </c>
      <c r="V64" s="378">
        <f t="shared" si="6"/>
        <v>32.651175549753958</v>
      </c>
      <c r="W64" s="397">
        <f t="shared" si="7"/>
        <v>17.174107861669668</v>
      </c>
      <c r="X64" s="153">
        <f t="shared" si="8"/>
        <v>45341</v>
      </c>
      <c r="Y64" s="380">
        <f t="shared" si="9"/>
        <v>16.767208710001213</v>
      </c>
      <c r="Z64" s="380">
        <f t="shared" si="10"/>
        <v>16.956252002389608</v>
      </c>
      <c r="AA64" s="381">
        <f t="shared" si="11"/>
        <v>17.702270583932624</v>
      </c>
      <c r="AB64" s="193">
        <f t="shared" si="12"/>
        <v>45341</v>
      </c>
      <c r="AC64" s="119">
        <f>IF(OR(t&lt;Tnet,NoTnet),'2023'!Resal_s+('2023'!Salim-'2023'!Resal_s)*(1-EXP(('2023'!Tnet_s-t)/'2023'!Tau_j)),Resal_s+(Salim-Resal_s)*(1-EXP((Tnet_s-t)/Tau_j)))*Salcycl</f>
        <v>4.2142536348988853E-2</v>
      </c>
      <c r="AD64" s="227">
        <f>(INDEX(Models!$BJ64:$BT64,,AH64)*(1-AF64)+INDEX(Models!$BJ64:$BT64,,AH64+1)*AF64-ERP_i)*AE64*Ramure*Pc/MaxiM</f>
        <v>3.2640390551919474E-4</v>
      </c>
      <c r="AE64" s="301">
        <f t="shared" si="13"/>
        <v>0.5</v>
      </c>
      <c r="AF64" s="173">
        <f t="shared" si="22"/>
        <v>0.99829783517455295</v>
      </c>
      <c r="AG64" s="802">
        <f t="shared" si="23"/>
        <v>0</v>
      </c>
      <c r="AH64" s="172">
        <f t="shared" si="14"/>
        <v>6</v>
      </c>
      <c r="AI64" s="221">
        <f t="shared" si="24"/>
        <v>0.99829783517455295</v>
      </c>
      <c r="AJ64" s="261" t="b">
        <f t="shared" si="15"/>
        <v>0</v>
      </c>
      <c r="AK64" s="261" t="b">
        <f t="shared" si="16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7"/>
        <v>45342</v>
      </c>
      <c r="B65" s="406">
        <f>'2023'!Wh/'2023'!Env_an*'2024'!Env_an</f>
        <v>21.626300424434355</v>
      </c>
      <c r="C65" s="385"/>
      <c r="D65" s="388">
        <f t="shared" si="0"/>
        <v>21.870427339216484</v>
      </c>
      <c r="E65" s="380">
        <f t="shared" si="18"/>
        <v>22.292962863666428</v>
      </c>
      <c r="F65" s="380">
        <f t="shared" si="1"/>
        <v>22.29606336694011</v>
      </c>
      <c r="G65" s="110">
        <f t="shared" si="19"/>
        <v>0.65414984713135016</v>
      </c>
      <c r="H65" s="409" t="b">
        <f>Wh_hp&gt;='2023'!Maxi_hp</f>
        <v>0</v>
      </c>
      <c r="I65" s="375">
        <f>IF(H65,Wh_hp,'2023'!Maxi_hp)</f>
        <v>22.299083982726547</v>
      </c>
      <c r="J65" s="85">
        <f>IF(H65,An,'2023'!An_max)</f>
        <v>2022</v>
      </c>
      <c r="K65" s="193">
        <f t="shared" si="20"/>
        <v>45342</v>
      </c>
      <c r="L65" s="143">
        <f>IF(t&lt;Tvie,1-EXP((T0-t)*PertePVj)+'2023'!Pspv,1-EXP((T0-t)*PertePVj)+Pspv)</f>
        <v>1.1162420879832435E-2</v>
      </c>
      <c r="M65" s="836"/>
      <c r="N65" s="836"/>
      <c r="O65" s="48">
        <f>IF(t&lt;Tnet,'2023'!Resal+('2023'!Salim-'2023'!Resal)*(1-EXP(('2023'!Tnet-t)/('2023'!Tau_j))),Resal+(Salim-Resal)*(1-EXP((Tnet-t)/(Tau_j))))*Salcycl</f>
        <v>1.8953762540851141E-2</v>
      </c>
      <c r="P65" s="165">
        <f>(INDEX(Models!$BJ65:$BT65,,T65)*(1-R65)+INDEX(Models!$BJ65:$BT65,,T65+1)*R65-ERP_i)*Q65*Ramure*Pc/MaxiM</f>
        <v>2.7479326647409839E-4</v>
      </c>
      <c r="Q65" s="301">
        <f t="shared" si="2"/>
        <v>0.5</v>
      </c>
      <c r="R65" s="173">
        <f t="shared" si="3"/>
        <v>0.99851269758046324</v>
      </c>
      <c r="S65" s="802">
        <f t="shared" si="4"/>
        <v>0</v>
      </c>
      <c r="T65" s="172">
        <f t="shared" si="5"/>
        <v>6</v>
      </c>
      <c r="U65" s="247">
        <f t="shared" si="21"/>
        <v>0.99851269758046324</v>
      </c>
      <c r="V65" s="378">
        <f t="shared" si="6"/>
        <v>33.055674804369133</v>
      </c>
      <c r="W65" s="397">
        <f t="shared" si="7"/>
        <v>21.626300424434355</v>
      </c>
      <c r="X65" s="153">
        <f t="shared" si="8"/>
        <v>45342</v>
      </c>
      <c r="Y65" s="380">
        <f t="shared" si="9"/>
        <v>21.114347847554708</v>
      </c>
      <c r="Z65" s="380">
        <f t="shared" si="10"/>
        <v>21.352695623017787</v>
      </c>
      <c r="AA65" s="381">
        <f t="shared" si="11"/>
        <v>22.292962863666428</v>
      </c>
      <c r="AB65" s="193">
        <f t="shared" si="12"/>
        <v>45342</v>
      </c>
      <c r="AC65" s="119">
        <f>IF(OR(t&lt;Tnet,NoTnet),'2023'!Resal_s+('2023'!Salim-'2023'!Resal_s)*(1-EXP(('2023'!Tnet_s-t)/'2023'!Tau_j)),Resal_s+(Salim-Resal_s)*(1-EXP((Tnet_s-t)/Tau_j)))*Salcycl</f>
        <v>4.217776014784954E-2</v>
      </c>
      <c r="AD65" s="227">
        <f>(INDEX(Models!$BJ65:$BT65,,AH65)*(1-AF65)+INDEX(Models!$BJ65:$BT65,,AH65+1)*AF65-ERP_i)*AE65*Ramure*Pc/MaxiM</f>
        <v>2.7479326647409839E-4</v>
      </c>
      <c r="AE65" s="301">
        <f t="shared" si="13"/>
        <v>0.5</v>
      </c>
      <c r="AF65" s="173">
        <f t="shared" si="22"/>
        <v>0.99851269758046324</v>
      </c>
      <c r="AG65" s="802">
        <f t="shared" si="23"/>
        <v>0</v>
      </c>
      <c r="AH65" s="172">
        <f t="shared" si="14"/>
        <v>6</v>
      </c>
      <c r="AI65" s="221">
        <f t="shared" si="24"/>
        <v>0.99851269758046324</v>
      </c>
      <c r="AJ65" s="261" t="b">
        <f t="shared" si="15"/>
        <v>0</v>
      </c>
      <c r="AK65" s="261" t="b">
        <f t="shared" si="16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7"/>
        <v>45343</v>
      </c>
      <c r="B66" s="406">
        <f>'2023'!Wh/'2023'!Env_an*'2024'!Env_an</f>
        <v>19.068862374777339</v>
      </c>
      <c r="C66" s="385"/>
      <c r="D66" s="388">
        <f t="shared" si="0"/>
        <v>19.284383823711874</v>
      </c>
      <c r="E66" s="380">
        <f t="shared" si="18"/>
        <v>19.658079846429647</v>
      </c>
      <c r="F66" s="380">
        <f t="shared" si="1"/>
        <v>19.65990279048917</v>
      </c>
      <c r="G66" s="110">
        <f t="shared" si="19"/>
        <v>0.56981114229777674</v>
      </c>
      <c r="H66" s="409" t="b">
        <f>Wh_hp&gt;='2023'!Maxi_hp</f>
        <v>0</v>
      </c>
      <c r="I66" s="375">
        <f>IF(H66,Wh_hp,'2023'!Maxi_hp)</f>
        <v>19.662801372105708</v>
      </c>
      <c r="J66" s="85">
        <f>IF(H66,An,'2023'!An_max)</f>
        <v>2022</v>
      </c>
      <c r="K66" s="193">
        <f t="shared" si="20"/>
        <v>45343</v>
      </c>
      <c r="L66" s="143">
        <f>IF(t&lt;Tvie,1-EXP((T0-t)*PertePVj)+'2023'!Pspv,1-EXP((T0-t)*PertePVj)+Pspv)</f>
        <v>1.1175957235902589E-2</v>
      </c>
      <c r="M66" s="836"/>
      <c r="N66" s="836"/>
      <c r="O66" s="48">
        <f>IF(t&lt;Tnet,'2023'!Resal+('2023'!Salim-'2023'!Resal)*(1-EXP(('2023'!Tnet-t)/('2023'!Tau_j))),Resal+(Salim-Resal)*(1-EXP((Tnet-t)/(Tau_j))))*Salcycl</f>
        <v>1.9009792697817548E-2</v>
      </c>
      <c r="P66" s="165">
        <f>(INDEX(Models!$BJ66:$BT66,,T66)*(1-R66)+INDEX(Models!$BJ66:$BT66,,T66+1)*R66-ERP_i)*Q66*Ramure*Pc/MaxiM</f>
        <v>2.4048865668351517E-4</v>
      </c>
      <c r="Q66" s="301">
        <f t="shared" si="2"/>
        <v>0.5</v>
      </c>
      <c r="R66" s="173">
        <f t="shared" si="3"/>
        <v>0.99873637582974983</v>
      </c>
      <c r="S66" s="802">
        <f t="shared" si="4"/>
        <v>0</v>
      </c>
      <c r="T66" s="172">
        <f t="shared" si="5"/>
        <v>6</v>
      </c>
      <c r="U66" s="247">
        <f t="shared" si="21"/>
        <v>0.99873637582974983</v>
      </c>
      <c r="V66" s="378">
        <f t="shared" si="6"/>
        <v>33.460287090831862</v>
      </c>
      <c r="W66" s="397">
        <f t="shared" si="7"/>
        <v>19.068862374777339</v>
      </c>
      <c r="X66" s="153">
        <f t="shared" si="8"/>
        <v>45343</v>
      </c>
      <c r="Y66" s="380">
        <f t="shared" si="9"/>
        <v>18.617830690915746</v>
      </c>
      <c r="Z66" s="380">
        <f t="shared" si="10"/>
        <v>18.828254457560131</v>
      </c>
      <c r="AA66" s="381">
        <f t="shared" si="11"/>
        <v>19.658079846429647</v>
      </c>
      <c r="AB66" s="193">
        <f t="shared" si="12"/>
        <v>45343</v>
      </c>
      <c r="AC66" s="119">
        <f>IF(OR(t&lt;Tnet,NoTnet),'2023'!Resal_s+('2023'!Salim-'2023'!Resal_s)*(1-EXP(('2023'!Tnet_s-t)/'2023'!Tau_j)),Resal_s+(Salim-Resal_s)*(1-EXP((Tnet_s-t)/Tau_j)))*Salcycl</f>
        <v>4.2212942227937512E-2</v>
      </c>
      <c r="AD66" s="227">
        <f>(INDEX(Models!$BJ66:$BT66,,AH66)*(1-AF66)+INDEX(Models!$BJ66:$BT66,,AH66+1)*AF66-ERP_i)*AE66*Ramure*Pc/MaxiM</f>
        <v>2.4048865668351517E-4</v>
      </c>
      <c r="AE66" s="301">
        <f t="shared" si="13"/>
        <v>0.5</v>
      </c>
      <c r="AF66" s="173">
        <f t="shared" si="22"/>
        <v>0.99873637582974983</v>
      </c>
      <c r="AG66" s="802">
        <f t="shared" si="23"/>
        <v>0</v>
      </c>
      <c r="AH66" s="172">
        <f t="shared" si="14"/>
        <v>6</v>
      </c>
      <c r="AI66" s="221">
        <f t="shared" si="24"/>
        <v>0.99873637582974983</v>
      </c>
      <c r="AJ66" s="261" t="b">
        <f t="shared" si="15"/>
        <v>0</v>
      </c>
      <c r="AK66" s="261" t="b">
        <f t="shared" si="16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7"/>
        <v>45344</v>
      </c>
      <c r="B67" s="406">
        <f>'2023'!Wh/'2023'!Env_an*'2024'!Env_an</f>
        <v>31.161473719661366</v>
      </c>
      <c r="C67" s="385"/>
      <c r="D67" s="388">
        <f t="shared" si="0"/>
        <v>31.514100539869418</v>
      </c>
      <c r="E67" s="380">
        <f t="shared" si="18"/>
        <v>32.126619200562246</v>
      </c>
      <c r="F67" s="380">
        <f t="shared" si="1"/>
        <v>32.132641760241093</v>
      </c>
      <c r="G67" s="110">
        <f t="shared" si="19"/>
        <v>0.92012882624245285</v>
      </c>
      <c r="H67" s="409" t="b">
        <f>Wh_hp&gt;='2023'!Maxi_hp</f>
        <v>0</v>
      </c>
      <c r="I67" s="375">
        <f>IF(H67,Wh_hp,'2023'!Maxi_hp)</f>
        <v>32.133415210523701</v>
      </c>
      <c r="J67" s="85">
        <f>IF(H67,An,'2023'!An_max)</f>
        <v>2022</v>
      </c>
      <c r="K67" s="193">
        <f t="shared" si="20"/>
        <v>45344</v>
      </c>
      <c r="L67" s="143">
        <f>IF(t&lt;Tvie,1-EXP((T0-t)*PertePVj)+'2023'!Pspv,1-EXP((T0-t)*PertePVj)+Pspv)</f>
        <v>1.1189493406671525E-2</v>
      </c>
      <c r="M67" s="836"/>
      <c r="N67" s="836"/>
      <c r="O67" s="48">
        <f>IF(t&lt;Tnet,'2023'!Resal+('2023'!Salim-'2023'!Resal)*(1-EXP(('2023'!Tnet-t)/('2023'!Tau_j))),Resal+(Salim-Resal)*(1-EXP((Tnet-t)/(Tau_j))))*Salcycl</f>
        <v>1.906576776314238E-2</v>
      </c>
      <c r="P67" s="165">
        <f>(INDEX(Models!$BJ67:$BT67,,T67)*(1-R67)+INDEX(Models!$BJ67:$BT67,,T67+1)*R67-ERP_i)*Q67*Ramure*Pc/MaxiM</f>
        <v>2.1156082228884155E-4</v>
      </c>
      <c r="Q67" s="301">
        <f t="shared" si="2"/>
        <v>0.5</v>
      </c>
      <c r="R67" s="173">
        <f t="shared" si="3"/>
        <v>0.99896922308881908</v>
      </c>
      <c r="S67" s="802">
        <f t="shared" si="4"/>
        <v>0</v>
      </c>
      <c r="T67" s="172">
        <f t="shared" si="5"/>
        <v>6</v>
      </c>
      <c r="U67" s="247">
        <f t="shared" si="21"/>
        <v>0.99896922308881908</v>
      </c>
      <c r="V67" s="378">
        <f t="shared" si="6"/>
        <v>33.865607378525823</v>
      </c>
      <c r="W67" s="397">
        <f t="shared" si="7"/>
        <v>31.161473719661366</v>
      </c>
      <c r="X67" s="153">
        <f t="shared" si="8"/>
        <v>45344</v>
      </c>
      <c r="Y67" s="380">
        <f t="shared" si="9"/>
        <v>30.425037969526961</v>
      </c>
      <c r="Z67" s="380">
        <f t="shared" si="10"/>
        <v>30.769331198095745</v>
      </c>
      <c r="AA67" s="381">
        <f t="shared" si="11"/>
        <v>32.126619200562246</v>
      </c>
      <c r="AB67" s="193">
        <f t="shared" si="12"/>
        <v>45344</v>
      </c>
      <c r="AC67" s="119">
        <f>IF(OR(t&lt;Tnet,NoTnet),'2023'!Resal_s+('2023'!Salim-'2023'!Resal_s)*(1-EXP(('2023'!Tnet_s-t)/'2023'!Tau_j)),Resal_s+(Salim-Resal_s)*(1-EXP((Tnet_s-t)/Tau_j)))*Salcycl</f>
        <v>4.2248080757988526E-2</v>
      </c>
      <c r="AD67" s="227">
        <f>(INDEX(Models!$BJ67:$BT67,,AH67)*(1-AF67)+INDEX(Models!$BJ67:$BT67,,AH67+1)*AF67-ERP_i)*AE67*Ramure*Pc/MaxiM</f>
        <v>2.1156082228884155E-4</v>
      </c>
      <c r="AE67" s="301">
        <f t="shared" si="13"/>
        <v>0.5</v>
      </c>
      <c r="AF67" s="173">
        <f t="shared" si="22"/>
        <v>0.99896922308881908</v>
      </c>
      <c r="AG67" s="802">
        <f t="shared" si="23"/>
        <v>0</v>
      </c>
      <c r="AH67" s="172">
        <f t="shared" si="14"/>
        <v>6</v>
      </c>
      <c r="AI67" s="221">
        <f t="shared" si="24"/>
        <v>0.99896922308881908</v>
      </c>
      <c r="AJ67" s="261" t="b">
        <f t="shared" si="15"/>
        <v>0</v>
      </c>
      <c r="AK67" s="261" t="b">
        <f t="shared" si="16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7"/>
        <v>45345</v>
      </c>
      <c r="B68" s="406">
        <f>'2023'!Wh/'2023'!Env_an*'2024'!Env_an</f>
        <v>32.770223357557612</v>
      </c>
      <c r="C68" s="385"/>
      <c r="D68" s="388">
        <f t="shared" si="0"/>
        <v>33.141508653098178</v>
      </c>
      <c r="E68" s="380">
        <f t="shared" si="18"/>
        <v>33.787584270055603</v>
      </c>
      <c r="F68" s="380">
        <f t="shared" si="1"/>
        <v>33.793534197184357</v>
      </c>
      <c r="G68" s="110">
        <f t="shared" si="19"/>
        <v>0.95617366988491559</v>
      </c>
      <c r="H68" s="409" t="b">
        <f>Wh_hp&gt;='2023'!Maxi_hp</f>
        <v>0</v>
      </c>
      <c r="I68" s="375">
        <f>IF(H68,Wh_hp,'2023'!Maxi_hp)</f>
        <v>33.793930327105848</v>
      </c>
      <c r="J68" s="85">
        <f>IF(H68,An,'2023'!An_max)</f>
        <v>2022</v>
      </c>
      <c r="K68" s="193">
        <f t="shared" si="20"/>
        <v>45345</v>
      </c>
      <c r="L68" s="143">
        <f>IF(t&lt;Tvie,1-EXP((T0-t)*PertePVj)+'2023'!Pspv,1-EXP((T0-t)*PertePVj)+Pspv)</f>
        <v>1.1203029392141461E-2</v>
      </c>
      <c r="M68" s="836"/>
      <c r="N68" s="836"/>
      <c r="O68" s="48">
        <f>IF(t&lt;Tnet,'2023'!Resal+('2023'!Salim-'2023'!Resal)*(1-EXP(('2023'!Tnet-t)/('2023'!Tau_j))),Resal+(Salim-Resal)*(1-EXP((Tnet-t)/(Tau_j))))*Salcycl</f>
        <v>1.9121687179335108E-2</v>
      </c>
      <c r="P68" s="165">
        <f>(INDEX(Models!$BJ68:$BT68,,T68)*(1-R68)+INDEX(Models!$BJ68:$BT68,,T68+1)*R68-ERP_i)*Q68*Ramure*Pc/MaxiM</f>
        <v>1.87823458086421E-4</v>
      </c>
      <c r="Q68" s="301">
        <f t="shared" si="2"/>
        <v>0.5</v>
      </c>
      <c r="R68" s="173">
        <f t="shared" si="3"/>
        <v>0.999211605949197</v>
      </c>
      <c r="S68" s="802">
        <f t="shared" si="4"/>
        <v>0</v>
      </c>
      <c r="T68" s="172">
        <f t="shared" si="5"/>
        <v>6</v>
      </c>
      <c r="U68" s="247">
        <f t="shared" si="21"/>
        <v>0.999211605949197</v>
      </c>
      <c r="V68" s="378">
        <f t="shared" si="6"/>
        <v>34.271847323316685</v>
      </c>
      <c r="W68" s="397">
        <f t="shared" si="7"/>
        <v>32.770223357557612</v>
      </c>
      <c r="X68" s="153">
        <f t="shared" si="8"/>
        <v>45345</v>
      </c>
      <c r="Y68" s="380">
        <f t="shared" si="9"/>
        <v>31.996419814923858</v>
      </c>
      <c r="Z68" s="380">
        <f t="shared" si="10"/>
        <v>32.358937947852127</v>
      </c>
      <c r="AA68" s="381">
        <f t="shared" si="11"/>
        <v>33.787584270055603</v>
      </c>
      <c r="AB68" s="193">
        <f t="shared" si="12"/>
        <v>45345</v>
      </c>
      <c r="AC68" s="119">
        <f>IF(OR(t&lt;Tnet,NoTnet),'2023'!Resal_s+('2023'!Salim-'2023'!Resal_s)*(1-EXP(('2023'!Tnet_s-t)/'2023'!Tau_j)),Resal_s+(Salim-Resal_s)*(1-EXP((Tnet_s-t)/Tau_j)))*Salcycl</f>
        <v>4.2283174517144105E-2</v>
      </c>
      <c r="AD68" s="227">
        <f>(INDEX(Models!$BJ68:$BT68,,AH68)*(1-AF68)+INDEX(Models!$BJ68:$BT68,,AH68+1)*AF68-ERP_i)*AE68*Ramure*Pc/MaxiM</f>
        <v>1.87823458086421E-4</v>
      </c>
      <c r="AE68" s="301">
        <f t="shared" si="13"/>
        <v>0.5</v>
      </c>
      <c r="AF68" s="173">
        <f t="shared" si="22"/>
        <v>0.999211605949197</v>
      </c>
      <c r="AG68" s="802">
        <f t="shared" si="23"/>
        <v>0</v>
      </c>
      <c r="AH68" s="172">
        <f t="shared" si="14"/>
        <v>6</v>
      </c>
      <c r="AI68" s="221">
        <f t="shared" si="24"/>
        <v>0.999211605949197</v>
      </c>
      <c r="AJ68" s="261" t="b">
        <f t="shared" si="15"/>
        <v>0</v>
      </c>
      <c r="AK68" s="261" t="b">
        <f t="shared" si="16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7"/>
        <v>45346</v>
      </c>
      <c r="B69" s="406">
        <f>'2023'!Wh/'2023'!Env_an*'2024'!Env_an</f>
        <v>23.333991960981834</v>
      </c>
      <c r="C69" s="385"/>
      <c r="D69" s="388">
        <f t="shared" si="0"/>
        <v>23.598688185467246</v>
      </c>
      <c r="E69" s="380">
        <f t="shared" si="18"/>
        <v>24.060102011225162</v>
      </c>
      <c r="F69" s="380">
        <f t="shared" si="1"/>
        <v>24.062269311104806</v>
      </c>
      <c r="G69" s="110">
        <f t="shared" si="19"/>
        <v>0.67279912159698441</v>
      </c>
      <c r="H69" s="409" t="b">
        <f>Wh_hp&gt;='2023'!Maxi_hp</f>
        <v>0</v>
      </c>
      <c r="I69" s="375">
        <f>IF(H69,Wh_hp,'2023'!Maxi_hp)</f>
        <v>24.064164791213923</v>
      </c>
      <c r="J69" s="85">
        <f>IF(H69,An,'2023'!An_max)</f>
        <v>2022</v>
      </c>
      <c r="K69" s="193">
        <f t="shared" si="20"/>
        <v>45346</v>
      </c>
      <c r="L69" s="143">
        <f>IF(t&lt;Tvie,1-EXP((T0-t)*PertePVj)+'2023'!Pspv,1-EXP((T0-t)*PertePVj)+Pspv)</f>
        <v>1.1216565192315286E-2</v>
      </c>
      <c r="M69" s="836"/>
      <c r="N69" s="836"/>
      <c r="O69" s="48">
        <f>IF(t&lt;Tnet,'2023'!Resal+('2023'!Salim-'2023'!Resal)*(1-EXP(('2023'!Tnet-t)/('2023'!Tau_j))),Resal+(Salim-Resal)*(1-EXP((Tnet-t)/(Tau_j))))*Salcycl</f>
        <v>1.9177550682979036E-2</v>
      </c>
      <c r="P69" s="165">
        <f>(INDEX(Models!$BJ69:$BT69,,T69)*(1-R69)+INDEX(Models!$BJ69:$BT69,,T69+1)*R69-ERP_i)*Q69*Ramure*Pc/MaxiM</f>
        <v>1.691000108083561E-4</v>
      </c>
      <c r="Q69" s="301">
        <f t="shared" si="2"/>
        <v>0.5</v>
      </c>
      <c r="R69" s="173">
        <f t="shared" si="3"/>
        <v>0.99946390487641523</v>
      </c>
      <c r="S69" s="802">
        <f t="shared" si="4"/>
        <v>0</v>
      </c>
      <c r="T69" s="172">
        <f t="shared" si="5"/>
        <v>6</v>
      </c>
      <c r="U69" s="247">
        <f t="shared" si="21"/>
        <v>0.99946390487641523</v>
      </c>
      <c r="V69" s="378">
        <f t="shared" si="6"/>
        <v>34.679218463889271</v>
      </c>
      <c r="W69" s="397">
        <f t="shared" si="7"/>
        <v>23.333991960981834</v>
      </c>
      <c r="X69" s="153">
        <f t="shared" si="8"/>
        <v>45346</v>
      </c>
      <c r="Y69" s="380">
        <f t="shared" si="9"/>
        <v>22.78347003841024</v>
      </c>
      <c r="Z69" s="380">
        <f t="shared" si="10"/>
        <v>23.041921250270089</v>
      </c>
      <c r="AA69" s="381">
        <f t="shared" si="11"/>
        <v>24.060102011225162</v>
      </c>
      <c r="AB69" s="193">
        <f t="shared" si="12"/>
        <v>45346</v>
      </c>
      <c r="AC69" s="119">
        <f>IF(OR(t&lt;Tnet,NoTnet),'2023'!Resal_s+('2023'!Salim-'2023'!Resal_s)*(1-EXP(('2023'!Tnet_s-t)/'2023'!Tau_j)),Resal_s+(Salim-Resal_s)*(1-EXP((Tnet_s-t)/Tau_j)))*Salcycl</f>
        <v>4.2318222943528841E-2</v>
      </c>
      <c r="AD69" s="227">
        <f>(INDEX(Models!$BJ69:$BT69,,AH69)*(1-AF69)+INDEX(Models!$BJ69:$BT69,,AH69+1)*AF69-ERP_i)*AE69*Ramure*Pc/MaxiM</f>
        <v>1.691000108083561E-4</v>
      </c>
      <c r="AE69" s="301">
        <f t="shared" si="13"/>
        <v>0.5</v>
      </c>
      <c r="AF69" s="173">
        <f t="shared" si="22"/>
        <v>0.99946390487641523</v>
      </c>
      <c r="AG69" s="802">
        <f t="shared" si="23"/>
        <v>0</v>
      </c>
      <c r="AH69" s="172">
        <f t="shared" si="14"/>
        <v>6</v>
      </c>
      <c r="AI69" s="221">
        <f t="shared" si="24"/>
        <v>0.99946390487641523</v>
      </c>
      <c r="AJ69" s="261" t="b">
        <f t="shared" si="15"/>
        <v>0</v>
      </c>
      <c r="AK69" s="261" t="b">
        <f t="shared" si="16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7"/>
        <v>45347</v>
      </c>
      <c r="B70" s="406">
        <f>'2023'!Wh/'2023'!Env_an*'2024'!Env_an</f>
        <v>25.761359436463071</v>
      </c>
      <c r="C70" s="385"/>
      <c r="D70" s="388">
        <f t="shared" si="0"/>
        <v>26.05394789778056</v>
      </c>
      <c r="E70" s="380">
        <f t="shared" si="18"/>
        <v>26.56487974892789</v>
      </c>
      <c r="F70" s="380">
        <f t="shared" si="1"/>
        <v>26.567437677114963</v>
      </c>
      <c r="G70" s="110">
        <f t="shared" si="19"/>
        <v>0.73415100934840849</v>
      </c>
      <c r="H70" s="409" t="b">
        <f>Wh_hp&gt;='2023'!Maxi_hp</f>
        <v>0</v>
      </c>
      <c r="I70" s="375">
        <f>IF(H70,Wh_hp,'2023'!Maxi_hp)</f>
        <v>26.56899815763115</v>
      </c>
      <c r="J70" s="85">
        <f>IF(H70,An,'2023'!An_max)</f>
        <v>2022</v>
      </c>
      <c r="K70" s="193">
        <f t="shared" si="20"/>
        <v>45347</v>
      </c>
      <c r="L70" s="143">
        <f>IF(t&lt;Tvie,1-EXP((T0-t)*PertePVj)+'2023'!Pspv,1-EXP((T0-t)*PertePVj)+Pspv)</f>
        <v>1.123010080719522E-2</v>
      </c>
      <c r="M70" s="836"/>
      <c r="N70" s="836"/>
      <c r="O70" s="48">
        <f>IF(t&lt;Tnet,'2023'!Resal+('2023'!Salim-'2023'!Resal)*(1-EXP(('2023'!Tnet-t)/('2023'!Tau_j))),Resal+(Salim-Resal)*(1-EXP((Tnet-t)/(Tau_j))))*Salcycl</f>
        <v>1.9233358327848234E-2</v>
      </c>
      <c r="P70" s="165">
        <f>(INDEX(Models!$BJ70:$BT70,,T70)*(1-R70)+INDEX(Models!$BJ70:$BT70,,T70+1)*R70-ERP_i)*Q70*Ramure*Pc/MaxiM</f>
        <v>1.5522176290701763E-4</v>
      </c>
      <c r="Q70" s="301">
        <f t="shared" si="2"/>
        <v>0.5</v>
      </c>
      <c r="R70" s="173">
        <f t="shared" si="3"/>
        <v>0.99972651466855134</v>
      </c>
      <c r="S70" s="802">
        <f t="shared" si="4"/>
        <v>0</v>
      </c>
      <c r="T70" s="172">
        <f t="shared" si="5"/>
        <v>6</v>
      </c>
      <c r="U70" s="247">
        <f t="shared" si="21"/>
        <v>0.99972651466855134</v>
      </c>
      <c r="V70" s="378">
        <f t="shared" si="6"/>
        <v>35.087932260697556</v>
      </c>
      <c r="W70" s="397">
        <f t="shared" si="7"/>
        <v>25.761359436463071</v>
      </c>
      <c r="X70" s="153">
        <f t="shared" si="8"/>
        <v>45347</v>
      </c>
      <c r="Y70" s="380">
        <f t="shared" si="9"/>
        <v>25.15408019131845</v>
      </c>
      <c r="Z70" s="380">
        <f t="shared" si="10"/>
        <v>25.439771388523571</v>
      </c>
      <c r="AA70" s="381">
        <f t="shared" si="11"/>
        <v>26.56487974892789</v>
      </c>
      <c r="AB70" s="193">
        <f t="shared" si="12"/>
        <v>45347</v>
      </c>
      <c r="AC70" s="119">
        <f>IF(OR(t&lt;Tnet,NoTnet),'2023'!Resal_s+('2023'!Salim-'2023'!Resal_s)*(1-EXP(('2023'!Tnet_s-t)/'2023'!Tau_j)),Resal_s+(Salim-Resal_s)*(1-EXP((Tnet_s-t)/Tau_j)))*Salcycl</f>
        <v>4.2353226178248687E-2</v>
      </c>
      <c r="AD70" s="227">
        <f>(INDEX(Models!$BJ70:$BT70,,AH70)*(1-AF70)+INDEX(Models!$BJ70:$BT70,,AH70+1)*AF70-ERP_i)*AE70*Ramure*Pc/MaxiM</f>
        <v>1.5522176290701763E-4</v>
      </c>
      <c r="AE70" s="301">
        <f t="shared" si="13"/>
        <v>0.5</v>
      </c>
      <c r="AF70" s="173">
        <f t="shared" si="22"/>
        <v>0.99972651466855134</v>
      </c>
      <c r="AG70" s="802">
        <f t="shared" si="23"/>
        <v>0</v>
      </c>
      <c r="AH70" s="172">
        <f t="shared" si="14"/>
        <v>6</v>
      </c>
      <c r="AI70" s="221">
        <f t="shared" si="24"/>
        <v>0.99972651466855134</v>
      </c>
      <c r="AJ70" s="261" t="b">
        <f t="shared" si="15"/>
        <v>0</v>
      </c>
      <c r="AK70" s="261" t="b">
        <f t="shared" si="16"/>
        <v>0</v>
      </c>
      <c r="AL70" s="261"/>
      <c r="AM70" s="261"/>
      <c r="AN70" s="75"/>
    </row>
    <row r="71" spans="1:40" s="6" customFormat="1" ht="11.25" x14ac:dyDescent="0.2">
      <c r="A71" s="56">
        <f t="shared" si="17"/>
        <v>45348</v>
      </c>
      <c r="B71" s="406">
        <f>'2023'!Wh/'2023'!Env_an*'2024'!Env_an</f>
        <v>36.277049865325395</v>
      </c>
      <c r="C71" s="385"/>
      <c r="D71" s="388">
        <f t="shared" si="0"/>
        <v>36.689574090076754</v>
      </c>
      <c r="E71" s="380">
        <f t="shared" si="18"/>
        <v>37.411202917311314</v>
      </c>
      <c r="F71" s="380">
        <f t="shared" si="1"/>
        <v>37.416666766304843</v>
      </c>
      <c r="G71" s="110">
        <f t="shared" si="19"/>
        <v>1.0219405426181238</v>
      </c>
      <c r="H71" s="409" t="b">
        <f>Wh_hp&gt;='2023'!Maxi_hp</f>
        <v>1</v>
      </c>
      <c r="I71" s="375">
        <f>IF(H71,Wh_hp,'2023'!Maxi_hp)</f>
        <v>37.416666766304843</v>
      </c>
      <c r="J71" s="85">
        <f>IF(H71,An,'2023'!An_max)</f>
        <v>2024</v>
      </c>
      <c r="K71" s="193">
        <f t="shared" si="20"/>
        <v>45348</v>
      </c>
      <c r="L71" s="143">
        <f>IF(t&lt;Tvie,1-EXP((T0-t)*PertePVj)+'2023'!Pspv,1-EXP((T0-t)*PertePVj)+Pspv)</f>
        <v>1.1243636236784038E-2</v>
      </c>
      <c r="M71" s="836"/>
      <c r="N71" s="836"/>
      <c r="O71" s="48">
        <f>IF(t&lt;Tnet,'2023'!Resal+('2023'!Salim-'2023'!Resal)*(1-EXP(('2023'!Tnet-t)/('2023'!Tau_j))),Resal+(Salim-Resal)*(1-EXP((Tnet-t)/(Tau_j))))*Salcycl</f>
        <v>1.9289110506004046E-2</v>
      </c>
      <c r="P71" s="165">
        <f>(INDEX(Models!$BJ71:$BT71,,T71)*(1-R71)+INDEX(Models!$BJ71:$BT71,,T71+1)*R71-ERP_i)*Q71*Ramure*Pc/MaxiM</f>
        <v>1.4602714420438901E-4</v>
      </c>
      <c r="Q71" s="301">
        <f t="shared" si="2"/>
        <v>0.5</v>
      </c>
      <c r="R71" s="173">
        <f t="shared" si="3"/>
        <v>0.99999984492411664</v>
      </c>
      <c r="S71" s="802">
        <f t="shared" si="4"/>
        <v>0</v>
      </c>
      <c r="T71" s="172">
        <f t="shared" si="5"/>
        <v>6</v>
      </c>
      <c r="U71" s="247">
        <f t="shared" si="21"/>
        <v>0.99999984492411664</v>
      </c>
      <c r="V71" s="378">
        <f t="shared" si="6"/>
        <v>35.498200093311411</v>
      </c>
      <c r="W71" s="397">
        <f t="shared" si="7"/>
        <v>36.277049865325395</v>
      </c>
      <c r="X71" s="153">
        <f t="shared" si="8"/>
        <v>45348</v>
      </c>
      <c r="Y71" s="380">
        <f t="shared" si="9"/>
        <v>35.422602045863265</v>
      </c>
      <c r="Z71" s="380">
        <f t="shared" si="10"/>
        <v>35.825409923071959</v>
      </c>
      <c r="AA71" s="381">
        <f t="shared" si="11"/>
        <v>37.411202917311314</v>
      </c>
      <c r="AB71" s="193">
        <f t="shared" si="12"/>
        <v>45348</v>
      </c>
      <c r="AC71" s="119">
        <f>IF(OR(t&lt;Tnet,NoTnet),'2023'!Resal_s+('2023'!Salim-'2023'!Resal_s)*(1-EXP(('2023'!Tnet_s-t)/'2023'!Tau_j)),Resal_s+(Salim-Resal_s)*(1-EXP((Tnet_s-t)/Tau_j)))*Salcycl</f>
        <v>4.2388185104455953E-2</v>
      </c>
      <c r="AD71" s="227">
        <f>(INDEX(Models!$BJ71:$BT71,,AH71)*(1-AF71)+INDEX(Models!$BJ71:$BT71,,AH71+1)*AF71-ERP_i)*AE71*Ramure*Pc/MaxiM</f>
        <v>1.4602714420438901E-4</v>
      </c>
      <c r="AE71" s="301">
        <f t="shared" si="13"/>
        <v>0.5</v>
      </c>
      <c r="AF71" s="173">
        <f t="shared" si="22"/>
        <v>0.99999984492411664</v>
      </c>
      <c r="AG71" s="802">
        <f t="shared" si="23"/>
        <v>0</v>
      </c>
      <c r="AH71" s="172">
        <f t="shared" si="14"/>
        <v>6</v>
      </c>
      <c r="AI71" s="221">
        <f t="shared" si="24"/>
        <v>0.99999984492411664</v>
      </c>
      <c r="AJ71" s="261" t="b">
        <f t="shared" si="15"/>
        <v>0</v>
      </c>
      <c r="AK71" s="261" t="b">
        <f t="shared" si="16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7"/>
        <v>45349</v>
      </c>
      <c r="B72" s="406">
        <f>'2023'!Wh/'2023'!Env_an*'2024'!Env_an</f>
        <v>23.20344331843674</v>
      </c>
      <c r="C72" s="385"/>
      <c r="D72" s="388">
        <f t="shared" si="0"/>
        <v>23.467622367683074</v>
      </c>
      <c r="E72" s="380">
        <f t="shared" si="18"/>
        <v>23.930554346044016</v>
      </c>
      <c r="F72" s="380">
        <f t="shared" si="1"/>
        <v>23.932224061123943</v>
      </c>
      <c r="G72" s="110">
        <f t="shared" si="19"/>
        <v>0.6461050207738136</v>
      </c>
      <c r="H72" s="409" t="b">
        <f>Wh_hp&gt;='2023'!Maxi_hp</f>
        <v>0</v>
      </c>
      <c r="I72" s="375">
        <f>IF(H72,Wh_hp,'2023'!Maxi_hp)</f>
        <v>23.933924564086386</v>
      </c>
      <c r="J72" s="85">
        <f>IF(H72,An,'2023'!An_max)</f>
        <v>2022</v>
      </c>
      <c r="K72" s="193">
        <f t="shared" si="20"/>
        <v>45349</v>
      </c>
      <c r="L72" s="143">
        <f>IF(t&lt;Tvie,1-EXP((T0-t)*PertePVj)+'2023'!Pspv,1-EXP((T0-t)*PertePVj)+Pspv)</f>
        <v>1.1257171481084183E-2</v>
      </c>
      <c r="M72" s="836"/>
      <c r="N72" s="836"/>
      <c r="O72" s="48">
        <f>IF(t&lt;Tnet,'2023'!Resal+('2023'!Salim-'2023'!Resal)*(1-EXP(('2023'!Tnet-t)/('2023'!Tau_j))),Resal+(Salim-Resal)*(1-EXP((Tnet-t)/(Tau_j))))*Salcycl</f>
        <v>1.9344807966701849E-2</v>
      </c>
      <c r="P72" s="165">
        <f>(INDEX(Models!$BJ72:$BT72,,T72)*(1-R72)+INDEX(Models!$BJ72:$BT72,,T72+1)*R72-ERP_i)*Q72*Ramure*Pc/MaxiM</f>
        <v>1.4108850247502363E-4</v>
      </c>
      <c r="Q72" s="301">
        <f t="shared" si="2"/>
        <v>0.5</v>
      </c>
      <c r="R72" s="173">
        <f t="shared" si="3"/>
        <v>2.8432051892668397E-4</v>
      </c>
      <c r="S72" s="802">
        <f t="shared" si="4"/>
        <v>1</v>
      </c>
      <c r="T72" s="172">
        <f t="shared" si="5"/>
        <v>7</v>
      </c>
      <c r="U72" s="247">
        <f t="shared" si="21"/>
        <v>1.0002843205189267</v>
      </c>
      <c r="V72" s="378">
        <f t="shared" si="6"/>
        <v>35.910243051915401</v>
      </c>
      <c r="W72" s="397">
        <f t="shared" si="7"/>
        <v>23.20344331843674</v>
      </c>
      <c r="X72" s="153">
        <f t="shared" si="8"/>
        <v>45349</v>
      </c>
      <c r="Y72" s="380">
        <f t="shared" si="9"/>
        <v>22.657384033298079</v>
      </c>
      <c r="Z72" s="380">
        <f t="shared" si="10"/>
        <v>22.91534601291383</v>
      </c>
      <c r="AA72" s="381">
        <f t="shared" si="11"/>
        <v>23.930554346044016</v>
      </c>
      <c r="AB72" s="193">
        <f t="shared" si="12"/>
        <v>45349</v>
      </c>
      <c r="AC72" s="119">
        <f>IF(OR(t&lt;Tnet,NoTnet),'2023'!Resal_s+('2023'!Salim-'2023'!Resal_s)*(1-EXP(('2023'!Tnet_s-t)/'2023'!Tau_j)),Resal_s+(Salim-Resal_s)*(1-EXP((Tnet_s-t)/Tau_j)))*Salcycl</f>
        <v>4.2423101381185248E-2</v>
      </c>
      <c r="AD72" s="227">
        <f>(INDEX(Models!$BJ72:$BT72,,AH72)*(1-AF72)+INDEX(Models!$BJ72:$BT72,,AH72+1)*AF72-ERP_i)*AE72*Ramure*Pc/MaxiM</f>
        <v>1.4108850247502363E-4</v>
      </c>
      <c r="AE72" s="301">
        <f t="shared" si="13"/>
        <v>0.5</v>
      </c>
      <c r="AF72" s="173">
        <f t="shared" si="22"/>
        <v>2.8432051892668397E-4</v>
      </c>
      <c r="AG72" s="802">
        <f t="shared" si="23"/>
        <v>1</v>
      </c>
      <c r="AH72" s="172">
        <f t="shared" si="14"/>
        <v>7</v>
      </c>
      <c r="AI72" s="221">
        <f t="shared" si="24"/>
        <v>1.0002843205189267</v>
      </c>
      <c r="AJ72" s="261" t="b">
        <f t="shared" si="15"/>
        <v>0</v>
      </c>
      <c r="AK72" s="261" t="b">
        <f t="shared" si="16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7"/>
        <v>45350</v>
      </c>
      <c r="B73" s="406">
        <f>'2023'!Wh/'2023'!Env_an*'2024'!Env_an</f>
        <v>33.838080565772167</v>
      </c>
      <c r="C73" s="385"/>
      <c r="D73" s="388">
        <f t="shared" si="0"/>
        <v>34.223807051737239</v>
      </c>
      <c r="E73" s="380">
        <f t="shared" si="18"/>
        <v>34.900900286675977</v>
      </c>
      <c r="F73" s="380">
        <f t="shared" si="1"/>
        <v>34.905176453107387</v>
      </c>
      <c r="G73" s="110">
        <f t="shared" si="19"/>
        <v>0.93153908954503384</v>
      </c>
      <c r="H73" s="409" t="b">
        <f>Wh_hp&gt;='2023'!Maxi_hp</f>
        <v>0</v>
      </c>
      <c r="I73" s="375">
        <f>IF(H73,Wh_hp,'2023'!Maxi_hp)</f>
        <v>34.905638121982101</v>
      </c>
      <c r="J73" s="85">
        <f>IF(H73,An,'2023'!An_max)</f>
        <v>2022</v>
      </c>
      <c r="K73" s="193">
        <f t="shared" si="20"/>
        <v>45350</v>
      </c>
      <c r="L73" s="143">
        <f>IF(t&lt;Tvie,1-EXP((T0-t)*PertePVj)+'2023'!Pspv,1-EXP((T0-t)*PertePVj)+Pspv)</f>
        <v>1.1270706540098208E-2</v>
      </c>
      <c r="M73" s="836"/>
      <c r="N73" s="836"/>
      <c r="O73" s="48">
        <f>IF(t&lt;Tnet,'2023'!Resal+('2023'!Salim-'2023'!Resal)*(1-EXP(('2023'!Tnet-t)/('2023'!Tau_j))),Resal+(Salim-Resal)*(1-EXP((Tnet-t)/(Tau_j))))*Salcycl</f>
        <v>1.940045183296411E-2</v>
      </c>
      <c r="P73" s="165">
        <f>(INDEX(Models!$BJ73:$BT73,,T73)*(1-R73)+INDEX(Models!$BJ73:$BT73,,T73+1)*R73-ERP_i)*Q73*Ramure*Pc/MaxiM</f>
        <v>1.3578570727687422E-4</v>
      </c>
      <c r="Q73" s="301">
        <f t="shared" si="2"/>
        <v>0.5</v>
      </c>
      <c r="R73" s="173">
        <f t="shared" si="3"/>
        <v>5.8038209151445308E-4</v>
      </c>
      <c r="S73" s="802">
        <f t="shared" si="4"/>
        <v>1</v>
      </c>
      <c r="T73" s="172">
        <f t="shared" si="5"/>
        <v>7</v>
      </c>
      <c r="U73" s="247">
        <f t="shared" si="21"/>
        <v>1.0005803820915145</v>
      </c>
      <c r="V73" s="378">
        <f t="shared" si="6"/>
        <v>36.324435121774862</v>
      </c>
      <c r="W73" s="397">
        <f t="shared" si="7"/>
        <v>33.838080565772167</v>
      </c>
      <c r="X73" s="153">
        <f t="shared" si="8"/>
        <v>45350</v>
      </c>
      <c r="Y73" s="380">
        <f t="shared" si="9"/>
        <v>33.042422020273015</v>
      </c>
      <c r="Z73" s="380">
        <f t="shared" si="10"/>
        <v>33.41907864856141</v>
      </c>
      <c r="AA73" s="381">
        <f t="shared" si="11"/>
        <v>34.900900286675977</v>
      </c>
      <c r="AB73" s="193">
        <f t="shared" si="12"/>
        <v>45350</v>
      </c>
      <c r="AC73" s="119">
        <f>IF(OR(t&lt;Tnet,NoTnet),'2023'!Resal_s+('2023'!Salim-'2023'!Resal_s)*(1-EXP(('2023'!Tnet_s-t)/'2023'!Tau_j)),Resal_s+(Salim-Resal_s)*(1-EXP((Tnet_s-t)/Tau_j)))*Salcycl</f>
        <v>4.2457977471723828E-2</v>
      </c>
      <c r="AD73" s="227">
        <f>(INDEX(Models!$BJ73:$BT73,,AH73)*(1-AF73)+INDEX(Models!$BJ73:$BT73,,AH73+1)*AF73-ERP_i)*AE73*Ramure*Pc/MaxiM</f>
        <v>1.3578570727687422E-4</v>
      </c>
      <c r="AE73" s="301">
        <f t="shared" si="13"/>
        <v>0.5</v>
      </c>
      <c r="AF73" s="173">
        <f t="shared" si="22"/>
        <v>5.8038209151445308E-4</v>
      </c>
      <c r="AG73" s="802">
        <f t="shared" si="23"/>
        <v>1</v>
      </c>
      <c r="AH73" s="172">
        <f t="shared" si="14"/>
        <v>7</v>
      </c>
      <c r="AI73" s="221">
        <f t="shared" si="24"/>
        <v>1.0005803820915145</v>
      </c>
      <c r="AJ73" s="261" t="b">
        <f t="shared" si="15"/>
        <v>0</v>
      </c>
      <c r="AK73" s="261" t="b">
        <f t="shared" si="16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7"/>
        <v>45351</v>
      </c>
      <c r="B74" s="406">
        <f>'2023'!Wh/'2023'!Env_an*'2024'!Env_an</f>
        <v>35.702591844529636</v>
      </c>
      <c r="C74" s="385"/>
      <c r="D74" s="388">
        <f t="shared" si="0"/>
        <v>36.110066552982914</v>
      </c>
      <c r="E74" s="380">
        <f t="shared" si="18"/>
        <v>36.82656582386862</v>
      </c>
      <c r="F74" s="380">
        <f t="shared" si="1"/>
        <v>36.831165169901119</v>
      </c>
      <c r="G74" s="110">
        <f t="shared" si="19"/>
        <v>0.9717322945575837</v>
      </c>
      <c r="H74" s="409" t="b">
        <f>Wh_hp&gt;='2023'!Maxi_hp</f>
        <v>0</v>
      </c>
      <c r="I74" s="375">
        <f>IF(H74,Wh_hp,'2023'!Maxi_hp)</f>
        <v>36.831357903305943</v>
      </c>
      <c r="J74" s="85">
        <f>IF(H74,An,'2023'!An_max)</f>
        <v>2022</v>
      </c>
      <c r="K74" s="193">
        <f t="shared" si="20"/>
        <v>45351</v>
      </c>
      <c r="L74" s="143">
        <f>IF(t&lt;Tvie,1-EXP((T0-t)*PertePVj)+'2023'!Pspv,1-EXP((T0-t)*PertePVj)+Pspv)</f>
        <v>1.1284241413828666E-2</v>
      </c>
      <c r="M74" s="836"/>
      <c r="N74" s="836"/>
      <c r="O74" s="48">
        <f>IF(t&lt;Tnet,'2023'!Resal+('2023'!Salim-'2023'!Resal)*(1-EXP(('2023'!Tnet-t)/('2023'!Tau_j))),Resal+(Salim-Resal)*(1-EXP((Tnet-t)/(Tau_j))))*Salcycl</f>
        <v>1.9456043615701975E-2</v>
      </c>
      <c r="P74" s="165">
        <f>(INDEX(Models!$BJ74:$BT74,,T74)*(1-R74)+INDEX(Models!$BJ74:$BT74,,T74+1)*R74-ERP_i)*Q74*Ramure*Pc/MaxiM</f>
        <v>1.3013051166453269E-4</v>
      </c>
      <c r="Q74" s="301">
        <f t="shared" si="2"/>
        <v>0.5</v>
      </c>
      <c r="R74" s="173">
        <f t="shared" si="3"/>
        <v>8.8848653657325194E-4</v>
      </c>
      <c r="S74" s="802">
        <f t="shared" si="4"/>
        <v>1</v>
      </c>
      <c r="T74" s="172">
        <f t="shared" si="5"/>
        <v>7</v>
      </c>
      <c r="U74" s="247">
        <f t="shared" si="21"/>
        <v>1.0008884865365733</v>
      </c>
      <c r="V74" s="378">
        <f t="shared" si="6"/>
        <v>36.740987655028555</v>
      </c>
      <c r="W74" s="397">
        <f t="shared" si="7"/>
        <v>35.702591844529636</v>
      </c>
      <c r="X74" s="153">
        <f t="shared" si="8"/>
        <v>45351</v>
      </c>
      <c r="Y74" s="380">
        <f t="shared" si="9"/>
        <v>34.863799763576083</v>
      </c>
      <c r="Z74" s="380">
        <f t="shared" si="10"/>
        <v>35.261701313864044</v>
      </c>
      <c r="AA74" s="381">
        <f t="shared" si="11"/>
        <v>36.82656582386862</v>
      </c>
      <c r="AB74" s="193">
        <f t="shared" si="12"/>
        <v>45351</v>
      </c>
      <c r="AC74" s="119">
        <f>IF(OR(t&lt;Tnet,NoTnet),'2023'!Resal_s+('2023'!Salim-'2023'!Resal_s)*(1-EXP(('2023'!Tnet_s-t)/'2023'!Tau_j)),Resal_s+(Salim-Resal_s)*(1-EXP((Tnet_s-t)/Tau_j)))*Salcycl</f>
        <v>4.2492816666340652E-2</v>
      </c>
      <c r="AD74" s="227">
        <f>(INDEX(Models!$BJ74:$BT74,,AH74)*(1-AF74)+INDEX(Models!$BJ74:$BT74,,AH74+1)*AF74-ERP_i)*AE74*Ramure*Pc/MaxiM</f>
        <v>1.3013051166453269E-4</v>
      </c>
      <c r="AE74" s="301">
        <f t="shared" si="13"/>
        <v>0.5</v>
      </c>
      <c r="AF74" s="173">
        <f t="shared" si="22"/>
        <v>8.8848653657325194E-4</v>
      </c>
      <c r="AG74" s="802">
        <f t="shared" si="23"/>
        <v>1</v>
      </c>
      <c r="AH74" s="172">
        <f t="shared" si="14"/>
        <v>7</v>
      </c>
      <c r="AI74" s="221">
        <f t="shared" si="24"/>
        <v>1.0008884865365733</v>
      </c>
      <c r="AJ74" s="261" t="b">
        <f t="shared" si="15"/>
        <v>0</v>
      </c>
      <c r="AK74" s="261" t="b">
        <f t="shared" si="16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7"/>
        <v>45352</v>
      </c>
      <c r="B75" s="406">
        <f>'2023'!Wh/'2023'!Env_an*'2024'!Env_an</f>
        <v>16.497340999936885</v>
      </c>
      <c r="C75" s="385"/>
      <c r="D75" s="388">
        <f t="shared" si="0"/>
        <v>16.685854042989874</v>
      </c>
      <c r="E75" s="380">
        <f t="shared" si="18"/>
        <v>17.017900254154377</v>
      </c>
      <c r="F75" s="380">
        <f t="shared" si="1"/>
        <v>17.018334695981572</v>
      </c>
      <c r="G75" s="110">
        <f t="shared" si="19"/>
        <v>0.44390916382794848</v>
      </c>
      <c r="H75" s="409" t="b">
        <f>Wh_hp&gt;='2023'!Maxi_hp</f>
        <v>0</v>
      </c>
      <c r="I75" s="375">
        <f>IF(H75,Wh_hp,'2023'!Maxi_hp)</f>
        <v>17.020005743772145</v>
      </c>
      <c r="J75" s="85">
        <f>IF(H75,An,'2023'!An_max)</f>
        <v>2022</v>
      </c>
      <c r="K75" s="193">
        <f t="shared" si="20"/>
        <v>45352</v>
      </c>
      <c r="L75" s="143">
        <f>IF(t&lt;Tvie,1-EXP((T0-t)*PertePVj)+'2023'!Pspv,1-EXP((T0-t)*PertePVj)+Pspv)</f>
        <v>1.1297776102278001E-2</v>
      </c>
      <c r="M75" s="836"/>
      <c r="N75" s="836"/>
      <c r="O75" s="48">
        <f>IF(t&lt;Tnet,'2023'!Resal+('2023'!Salim-'2023'!Resal)*(1-EXP(('2023'!Tnet-t)/('2023'!Tau_j))),Resal+(Salim-Resal)*(1-EXP((Tnet-t)/(Tau_j))))*Salcycl</f>
        <v>1.9511585225294985E-2</v>
      </c>
      <c r="P75" s="165">
        <f>(INDEX(Models!$BJ75:$BT75,,T75)*(1-R75)+INDEX(Models!$BJ75:$BT75,,T75+1)*R75-ERP_i)*Q75*Ramure*Pc/MaxiM</f>
        <v>1.2413437649045646E-4</v>
      </c>
      <c r="Q75" s="301">
        <f t="shared" si="2"/>
        <v>0.5</v>
      </c>
      <c r="R75" s="173">
        <f t="shared" si="3"/>
        <v>1.2091075058346945E-3</v>
      </c>
      <c r="S75" s="802">
        <f t="shared" si="4"/>
        <v>1</v>
      </c>
      <c r="T75" s="172">
        <f t="shared" si="5"/>
        <v>7</v>
      </c>
      <c r="U75" s="247">
        <f t="shared" si="21"/>
        <v>1.0012091075058347</v>
      </c>
      <c r="V75" s="378">
        <f t="shared" si="6"/>
        <v>37.160111926933041</v>
      </c>
      <c r="W75" s="397">
        <f t="shared" si="7"/>
        <v>16.497340999936885</v>
      </c>
      <c r="X75" s="153">
        <f t="shared" si="8"/>
        <v>45352</v>
      </c>
      <c r="Y75" s="380">
        <f t="shared" si="9"/>
        <v>16.110081528481018</v>
      </c>
      <c r="Z75" s="380">
        <f t="shared" si="10"/>
        <v>16.294169406204908</v>
      </c>
      <c r="AA75" s="381">
        <f t="shared" si="11"/>
        <v>17.017900254154377</v>
      </c>
      <c r="AB75" s="193">
        <f t="shared" si="12"/>
        <v>45352</v>
      </c>
      <c r="AC75" s="119">
        <f>IF(OR(t&lt;Tnet,NoTnet),'2023'!Resal_s+('2023'!Salim-'2023'!Resal_s)*(1-EXP(('2023'!Tnet_s-t)/'2023'!Tau_j)),Resal_s+(Salim-Resal_s)*(1-EXP((Tnet_s-t)/Tau_j)))*Salcycl</f>
        <v>4.2527623099259532E-2</v>
      </c>
      <c r="AD75" s="227">
        <f>(INDEX(Models!$BJ75:$BT75,,AH75)*(1-AF75)+INDEX(Models!$BJ75:$BT75,,AH75+1)*AF75-ERP_i)*AE75*Ramure*Pc/MaxiM</f>
        <v>1.2413437649045646E-4</v>
      </c>
      <c r="AE75" s="301">
        <f t="shared" si="13"/>
        <v>0.5</v>
      </c>
      <c r="AF75" s="173">
        <f t="shared" si="22"/>
        <v>1.2091075058346945E-3</v>
      </c>
      <c r="AG75" s="802">
        <f t="shared" si="23"/>
        <v>1</v>
      </c>
      <c r="AH75" s="172">
        <f t="shared" si="14"/>
        <v>7</v>
      </c>
      <c r="AI75" s="221">
        <f t="shared" si="24"/>
        <v>1.0012091075058347</v>
      </c>
      <c r="AJ75" s="261" t="b">
        <f t="shared" si="15"/>
        <v>0</v>
      </c>
      <c r="AK75" s="261" t="b">
        <f t="shared" si="16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7"/>
        <v>45353</v>
      </c>
      <c r="B76" s="406">
        <f>'2023'!Wh/'2023'!Env_an*'2024'!Env_an</f>
        <v>28.45785837238726</v>
      </c>
      <c r="C76" s="385"/>
      <c r="D76" s="388">
        <f t="shared" si="0"/>
        <v>28.783436765939094</v>
      </c>
      <c r="E76" s="380">
        <f t="shared" si="18"/>
        <v>29.357884816852792</v>
      </c>
      <c r="F76" s="380">
        <f t="shared" si="1"/>
        <v>29.360144054715597</v>
      </c>
      <c r="G76" s="110">
        <f t="shared" si="19"/>
        <v>0.75718910711834853</v>
      </c>
      <c r="H76" s="409" t="b">
        <f>Wh_hp&gt;='2023'!Maxi_hp</f>
        <v>0</v>
      </c>
      <c r="I76" s="375">
        <f>IF(H76,Wh_hp,'2023'!Maxi_hp)</f>
        <v>29.361338384403382</v>
      </c>
      <c r="J76" s="85">
        <f>IF(H76,An,'2023'!An_max)</f>
        <v>2022</v>
      </c>
      <c r="K76" s="193">
        <f t="shared" si="20"/>
        <v>45353</v>
      </c>
      <c r="L76" s="143">
        <f>IF(t&lt;Tvie,1-EXP((T0-t)*PertePVj)+'2023'!Pspv,1-EXP((T0-t)*PertePVj)+Pspv)</f>
        <v>1.1311310605448877E-2</v>
      </c>
      <c r="M76" s="836"/>
      <c r="N76" s="836"/>
      <c r="O76" s="48">
        <f>IF(t&lt;Tnet,'2023'!Resal+('2023'!Salim-'2023'!Resal)*(1-EXP(('2023'!Tnet-t)/('2023'!Tau_j))),Resal+(Salim-Resal)*(1-EXP((Tnet-t)/(Tau_j))))*Salcycl</f>
        <v>1.9567078980565318E-2</v>
      </c>
      <c r="P76" s="165">
        <f>(INDEX(Models!$BJ76:$BT76,,T76)*(1-R76)+INDEX(Models!$BJ76:$BT76,,T76+1)*R76-ERP_i)*Q76*Ramure*Pc/MaxiM</f>
        <v>1.1780847924918277E-4</v>
      </c>
      <c r="Q76" s="301">
        <f t="shared" si="2"/>
        <v>0.5</v>
      </c>
      <c r="R76" s="173">
        <f t="shared" si="3"/>
        <v>1.5427359156925391E-3</v>
      </c>
      <c r="S76" s="802">
        <f t="shared" si="4"/>
        <v>1</v>
      </c>
      <c r="T76" s="172">
        <f t="shared" si="5"/>
        <v>7</v>
      </c>
      <c r="U76" s="247">
        <f t="shared" si="21"/>
        <v>1.0015427359156925</v>
      </c>
      <c r="V76" s="378">
        <f t="shared" si="6"/>
        <v>37.582019136463401</v>
      </c>
      <c r="W76" s="397">
        <f t="shared" si="7"/>
        <v>28.45785837238726</v>
      </c>
      <c r="X76" s="153">
        <f t="shared" si="8"/>
        <v>45353</v>
      </c>
      <c r="Y76" s="380">
        <f t="shared" si="9"/>
        <v>27.790400533253322</v>
      </c>
      <c r="Z76" s="380">
        <f t="shared" si="10"/>
        <v>28.108342728459338</v>
      </c>
      <c r="AA76" s="381">
        <f t="shared" si="11"/>
        <v>29.357884816852792</v>
      </c>
      <c r="AB76" s="193">
        <f t="shared" si="12"/>
        <v>45353</v>
      </c>
      <c r="AC76" s="119">
        <f>IF(OR(t&lt;Tnet,NoTnet),'2023'!Resal_s+('2023'!Salim-'2023'!Resal_s)*(1-EXP(('2023'!Tnet_s-t)/'2023'!Tau_j)),Resal_s+(Salim-Resal_s)*(1-EXP((Tnet_s-t)/Tau_j)))*Salcycl</f>
        <v>4.2562401759821573E-2</v>
      </c>
      <c r="AD76" s="227">
        <f>(INDEX(Models!$BJ76:$BT76,,AH76)*(1-AF76)+INDEX(Models!$BJ76:$BT76,,AH76+1)*AF76-ERP_i)*AE76*Ramure*Pc/MaxiM</f>
        <v>1.1780847924918277E-4</v>
      </c>
      <c r="AE76" s="301">
        <f t="shared" si="13"/>
        <v>0.5</v>
      </c>
      <c r="AF76" s="173">
        <f t="shared" si="22"/>
        <v>1.5427359156925391E-3</v>
      </c>
      <c r="AG76" s="802">
        <f t="shared" si="23"/>
        <v>1</v>
      </c>
      <c r="AH76" s="172">
        <f t="shared" si="14"/>
        <v>7</v>
      </c>
      <c r="AI76" s="221">
        <f t="shared" si="24"/>
        <v>1.0015427359156925</v>
      </c>
      <c r="AJ76" s="261" t="b">
        <f t="shared" si="15"/>
        <v>0</v>
      </c>
      <c r="AK76" s="261" t="b">
        <f t="shared" si="16"/>
        <v>0</v>
      </c>
      <c r="AL76" s="261"/>
      <c r="AM76" s="261"/>
      <c r="AN76" s="75"/>
    </row>
    <row r="77" spans="1:40" s="6" customFormat="1" ht="11.25" x14ac:dyDescent="0.2">
      <c r="A77" s="56">
        <f t="shared" si="17"/>
        <v>45354</v>
      </c>
      <c r="B77" s="406">
        <f>'2023'!Wh/'2023'!Env_an*'2024'!Env_an</f>
        <v>5.6048697533683871</v>
      </c>
      <c r="C77" s="385"/>
      <c r="D77" s="388">
        <f t="shared" si="0"/>
        <v>5.6690711044861013</v>
      </c>
      <c r="E77" s="380">
        <f t="shared" si="18"/>
        <v>5.7825391384151095</v>
      </c>
      <c r="F77" s="380">
        <f t="shared" si="1"/>
        <v>5.7825391384151095</v>
      </c>
      <c r="G77" s="110">
        <f t="shared" si="19"/>
        <v>0.14745332257378727</v>
      </c>
      <c r="H77" s="409" t="b">
        <f>Wh_hp&gt;='2023'!Maxi_hp</f>
        <v>0</v>
      </c>
      <c r="I77" s="375">
        <f>IF(H77,Wh_hp,'2023'!Maxi_hp)</f>
        <v>5.7831789540560674</v>
      </c>
      <c r="J77" s="85">
        <f>IF(H77,An,'2023'!An_max)</f>
        <v>2022</v>
      </c>
      <c r="K77" s="193">
        <f t="shared" si="20"/>
        <v>45354</v>
      </c>
      <c r="L77" s="143">
        <f>IF(t&lt;Tvie,1-EXP((T0-t)*PertePVj)+'2023'!Pspv,1-EXP((T0-t)*PertePVj)+Pspv)</f>
        <v>1.1324844923343735E-2</v>
      </c>
      <c r="M77" s="836"/>
      <c r="N77" s="836"/>
      <c r="O77" s="48">
        <f>IF(t&lt;Tnet,'2023'!Resal+('2023'!Salim-'2023'!Resal)*(1-EXP(('2023'!Tnet-t)/('2023'!Tau_j))),Resal+(Salim-Resal)*(1-EXP((Tnet-t)/(Tau_j))))*Salcycl</f>
        <v>1.9622527615110599E-2</v>
      </c>
      <c r="P77" s="165">
        <f>(INDEX(Models!$BJ77:$BT77,,T77)*(1-R77)+INDEX(Models!$BJ77:$BT77,,T77+1)*R77-ERP_i)*Q77*Ramure*Pc/MaxiM</f>
        <v>1.111637254142735E-4</v>
      </c>
      <c r="Q77" s="301">
        <f t="shared" si="2"/>
        <v>0.5</v>
      </c>
      <c r="R77" s="173">
        <f t="shared" si="3"/>
        <v>1.8898804607909714E-3</v>
      </c>
      <c r="S77" s="802">
        <f t="shared" si="4"/>
        <v>1</v>
      </c>
      <c r="T77" s="172">
        <f t="shared" si="5"/>
        <v>7</v>
      </c>
      <c r="U77" s="247">
        <f t="shared" si="21"/>
        <v>1.001889880460791</v>
      </c>
      <c r="V77" s="378">
        <f t="shared" si="6"/>
        <v>38.006920409417795</v>
      </c>
      <c r="W77" s="397">
        <f t="shared" si="7"/>
        <v>5.6048697533683871</v>
      </c>
      <c r="X77" s="153">
        <f t="shared" si="8"/>
        <v>45354</v>
      </c>
      <c r="Y77" s="380">
        <f t="shared" si="9"/>
        <v>5.4735225760243642</v>
      </c>
      <c r="Z77" s="380">
        <f t="shared" si="10"/>
        <v>5.5362194022160676</v>
      </c>
      <c r="AA77" s="381">
        <f t="shared" si="11"/>
        <v>5.7825391384151095</v>
      </c>
      <c r="AB77" s="193">
        <f t="shared" si="12"/>
        <v>45354</v>
      </c>
      <c r="AC77" s="119">
        <f>IF(OR(t&lt;Tnet,NoTnet),'2023'!Resal_s+('2023'!Salim-'2023'!Resal_s)*(1-EXP(('2023'!Tnet_s-t)/'2023'!Tau_j)),Resal_s+(Salim-Resal_s)*(1-EXP((Tnet_s-t)/Tau_j)))*Salcycl</f>
        <v>4.2597158497841889E-2</v>
      </c>
      <c r="AD77" s="227">
        <f>(INDEX(Models!$BJ77:$BT77,,AH77)*(1-AF77)+INDEX(Models!$BJ77:$BT77,,AH77+1)*AF77-ERP_i)*AE77*Ramure*Pc/MaxiM</f>
        <v>1.111637254142735E-4</v>
      </c>
      <c r="AE77" s="301">
        <f t="shared" si="13"/>
        <v>0.5</v>
      </c>
      <c r="AF77" s="173">
        <f t="shared" si="22"/>
        <v>1.8898804607909714E-3</v>
      </c>
      <c r="AG77" s="802">
        <f t="shared" si="23"/>
        <v>1</v>
      </c>
      <c r="AH77" s="172">
        <f t="shared" si="14"/>
        <v>7</v>
      </c>
      <c r="AI77" s="221">
        <f t="shared" si="24"/>
        <v>1.001889880460791</v>
      </c>
      <c r="AJ77" s="261" t="b">
        <f t="shared" si="15"/>
        <v>0</v>
      </c>
      <c r="AK77" s="261" t="b">
        <f t="shared" si="16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7"/>
        <v>45355</v>
      </c>
      <c r="B78" s="406">
        <f>'2023'!Wh/'2023'!Env_an*'2024'!Env_an</f>
        <v>14.535381415375713</v>
      </c>
      <c r="C78" s="385"/>
      <c r="D78" s="388">
        <f t="shared" si="0"/>
        <v>14.702079161823272</v>
      </c>
      <c r="E78" s="380">
        <f t="shared" si="18"/>
        <v>14.997192938873695</v>
      </c>
      <c r="F78" s="380">
        <f t="shared" si="1"/>
        <v>14.997367492360212</v>
      </c>
      <c r="G78" s="110">
        <f t="shared" si="19"/>
        <v>0.3781455887211066</v>
      </c>
      <c r="H78" s="409" t="b">
        <f>Wh_hp&gt;='2023'!Maxi_hp</f>
        <v>0</v>
      </c>
      <c r="I78" s="375">
        <f>IF(H78,Wh_hp,'2023'!Maxi_hp)</f>
        <v>14.998749007725031</v>
      </c>
      <c r="J78" s="85">
        <f>IF(H78,An,'2023'!An_max)</f>
        <v>2022</v>
      </c>
      <c r="K78" s="193">
        <f t="shared" si="20"/>
        <v>45355</v>
      </c>
      <c r="L78" s="143">
        <f>IF(t&lt;Tvie,1-EXP((T0-t)*PertePVj)+'2023'!Pspv,1-EXP((T0-t)*PertePVj)+Pspv)</f>
        <v>1.1338379055965131E-2</v>
      </c>
      <c r="M78" s="836"/>
      <c r="N78" s="836"/>
      <c r="O78" s="48">
        <f>IF(t&lt;Tnet,'2023'!Resal+('2023'!Salim-'2023'!Resal)*(1-EXP(('2023'!Tnet-t)/('2023'!Tau_j))),Resal+(Salim-Resal)*(1-EXP((Tnet-t)/(Tau_j))))*Salcycl</f>
        <v>1.9677934280985975E-2</v>
      </c>
      <c r="P78" s="165">
        <f>(INDEX(Models!$BJ78:$BT78,,T78)*(1-R78)+INDEX(Models!$BJ78:$BT78,,T78+1)*R78-ERP_i)*Q78*Ramure*Pc/MaxiM</f>
        <v>1.0421075596893606E-4</v>
      </c>
      <c r="Q78" s="301">
        <f t="shared" si="2"/>
        <v>0.5</v>
      </c>
      <c r="R78" s="173">
        <f t="shared" si="3"/>
        <v>2.2510681326866067E-3</v>
      </c>
      <c r="S78" s="802">
        <f t="shared" si="4"/>
        <v>1</v>
      </c>
      <c r="T78" s="172">
        <f t="shared" si="5"/>
        <v>7</v>
      </c>
      <c r="U78" s="247">
        <f t="shared" si="21"/>
        <v>1.0022510681326866</v>
      </c>
      <c r="V78" s="378">
        <f t="shared" si="6"/>
        <v>38.435026790186157</v>
      </c>
      <c r="W78" s="397">
        <f t="shared" si="7"/>
        <v>14.535381415375713</v>
      </c>
      <c r="X78" s="153">
        <f t="shared" si="8"/>
        <v>45355</v>
      </c>
      <c r="Y78" s="380">
        <f t="shared" si="9"/>
        <v>14.195039543325571</v>
      </c>
      <c r="Z78" s="380">
        <f t="shared" si="10"/>
        <v>14.357834108874657</v>
      </c>
      <c r="AA78" s="381">
        <f t="shared" si="11"/>
        <v>14.997192938873695</v>
      </c>
      <c r="AB78" s="193">
        <f t="shared" si="12"/>
        <v>45355</v>
      </c>
      <c r="AC78" s="119">
        <f>IF(OR(t&lt;Tnet,NoTnet),'2023'!Resal_s+('2023'!Salim-'2023'!Resal_s)*(1-EXP(('2023'!Tnet_s-t)/'2023'!Tau_j)),Resal_s+(Salim-Resal_s)*(1-EXP((Tnet_s-t)/Tau_j)))*Salcycl</f>
        <v>4.2631900023222299E-2</v>
      </c>
      <c r="AD78" s="227">
        <f>(INDEX(Models!$BJ78:$BT78,,AH78)*(1-AF78)+INDEX(Models!$BJ78:$BT78,,AH78+1)*AF78-ERP_i)*AE78*Ramure*Pc/MaxiM</f>
        <v>1.0421075596893606E-4</v>
      </c>
      <c r="AE78" s="301">
        <f t="shared" si="13"/>
        <v>0.5</v>
      </c>
      <c r="AF78" s="173">
        <f t="shared" si="22"/>
        <v>2.2510681326866067E-3</v>
      </c>
      <c r="AG78" s="802">
        <f t="shared" si="23"/>
        <v>1</v>
      </c>
      <c r="AH78" s="172">
        <f t="shared" si="14"/>
        <v>7</v>
      </c>
      <c r="AI78" s="221">
        <f t="shared" si="24"/>
        <v>1.0022510681326866</v>
      </c>
      <c r="AJ78" s="261" t="b">
        <f t="shared" si="15"/>
        <v>0</v>
      </c>
      <c r="AK78" s="261" t="b">
        <f t="shared" si="16"/>
        <v>0</v>
      </c>
      <c r="AL78" s="261"/>
      <c r="AM78" s="261"/>
      <c r="AN78" s="75"/>
    </row>
    <row r="79" spans="1:40" s="6" customFormat="1" ht="11.25" x14ac:dyDescent="0.2">
      <c r="A79" s="56">
        <f t="shared" si="17"/>
        <v>45356</v>
      </c>
      <c r="B79" s="406">
        <f>'2023'!Wh/'2023'!Env_an*'2024'!Env_an</f>
        <v>22.252140355736977</v>
      </c>
      <c r="C79" s="385"/>
      <c r="D79" s="388">
        <f t="shared" ref="D79:D142" si="25">Wh/(1-Ppv)</f>
        <v>22.507645185795628</v>
      </c>
      <c r="E79" s="380">
        <f t="shared" si="18"/>
        <v>22.960736342813462</v>
      </c>
      <c r="F79" s="380">
        <f t="shared" ref="F79:F142" si="26">Wh_sa/(1-Pvg*MEDIAN((-Sdif+Wh/Env_an)/Csdif,0,1))</f>
        <v>22.961603073851137</v>
      </c>
      <c r="G79" s="110">
        <f t="shared" si="19"/>
        <v>0.57248378546271439</v>
      </c>
      <c r="H79" s="409" t="b">
        <f>Wh_hp&gt;='2023'!Maxi_hp</f>
        <v>0</v>
      </c>
      <c r="I79" s="375">
        <f>IF(H79,Wh_hp,'2023'!Maxi_hp)</f>
        <v>22.962955608308192</v>
      </c>
      <c r="J79" s="85">
        <f>IF(H79,An,'2023'!An_max)</f>
        <v>2022</v>
      </c>
      <c r="K79" s="193">
        <f t="shared" ref="K79:K142" si="27">t</f>
        <v>45356</v>
      </c>
      <c r="L79" s="143">
        <f>IF(t&lt;Tvie,1-EXP((T0-t)*PertePVj)+'2023'!Pspv,1-EXP((T0-t)*PertePVj)+Pspv)</f>
        <v>1.1351913003315728E-2</v>
      </c>
      <c r="M79" s="836"/>
      <c r="N79" s="836"/>
      <c r="O79" s="48">
        <f>IF(t&lt;Tnet,'2023'!Resal+('2023'!Salim-'2023'!Resal)*(1-EXP(('2023'!Tnet-t)/('2023'!Tau_j))),Resal+(Salim-Resal)*(1-EXP((Tnet-t)/(Tau_j))))*Salcycl</f>
        <v>1.9733302549752463E-2</v>
      </c>
      <c r="P79" s="165">
        <f>(INDEX(Models!$BJ79:$BT79,,T79)*(1-R79)+INDEX(Models!$BJ79:$BT79,,T79+1)*R79-ERP_i)*Q79*Ramure*Pc/MaxiM</f>
        <v>9.6958411251270765E-5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2.6268447425847885E-3</v>
      </c>
      <c r="S79" s="802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1.0026268447425848</v>
      </c>
      <c r="V79" s="378">
        <f t="shared" ref="V79:V142" si="33">MaxiM*(1-Ppv)*(1-Pvg)*(1-Psa)</f>
        <v>38.867166703781763</v>
      </c>
      <c r="W79" s="397">
        <f t="shared" ref="W79:W142" si="34">Wh*(A79&gt;Tmaj)</f>
        <v>22.252140355736977</v>
      </c>
      <c r="X79" s="153">
        <f t="shared" ref="X79:X142" si="35">t</f>
        <v>45356</v>
      </c>
      <c r="Y79" s="380">
        <f t="shared" ref="Y79:Y142" si="36">Wh_pvt_s*(1-Ppv)</f>
        <v>21.731551714547482</v>
      </c>
      <c r="Z79" s="380">
        <f t="shared" ref="Z79:Z142" si="37">Wh_sa_s*(1-Psa_s)</f>
        <v>21.981079011201654</v>
      </c>
      <c r="AA79" s="381">
        <f t="shared" ref="AA79:AA142" si="38">Wh_hp*(1-Pvg_s*MEDIAN((-Sdif+Wh/Env_an)/Csdif,0,1))</f>
        <v>22.960736342813462</v>
      </c>
      <c r="AB79" s="193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4.2666633899937342E-2</v>
      </c>
      <c r="AD79" s="227">
        <f>(INDEX(Models!$BJ79:$BT79,,AH79)*(1-AF79)+INDEX(Models!$BJ79:$BT79,,AH79+1)*AF79-ERP_i)*AE79*Ramure*Pc/MaxiM</f>
        <v>9.6958411251270765E-5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2.6268447425847885E-3</v>
      </c>
      <c r="AG79" s="802">
        <f t="shared" si="23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1.0026268447425848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45357</v>
      </c>
      <c r="B80" s="406">
        <f>'2023'!Wh/'2023'!Env_an*'2024'!Env_an</f>
        <v>36.067018841486302</v>
      </c>
      <c r="C80" s="385"/>
      <c r="D80" s="388">
        <f t="shared" si="25"/>
        <v>36.481649082042175</v>
      </c>
      <c r="E80" s="380">
        <f t="shared" ref="E80:E143" si="47">Wh_pvt/(1-Psa)</f>
        <v>37.218145429842593</v>
      </c>
      <c r="F80" s="380">
        <f t="shared" si="26"/>
        <v>37.221091138060153</v>
      </c>
      <c r="G80" s="110">
        <f t="shared" ref="G80:G143" si="48">+Wh_hp/MaxiM</f>
        <v>0.91764062113378486</v>
      </c>
      <c r="H80" s="409" t="b">
        <f>Wh_hp&gt;='2023'!Maxi_hp</f>
        <v>0</v>
      </c>
      <c r="I80" s="375">
        <f>IF(H80,Wh_hp,'2023'!Maxi_hp)</f>
        <v>37.221481723491209</v>
      </c>
      <c r="J80" s="85">
        <f>IF(H80,An,'2023'!An_max)</f>
        <v>2022</v>
      </c>
      <c r="K80" s="193">
        <f t="shared" si="27"/>
        <v>45357</v>
      </c>
      <c r="L80" s="143">
        <f>IF(t&lt;Tvie,1-EXP((T0-t)*PertePVj)+'2023'!Pspv,1-EXP((T0-t)*PertePVj)+Pspv)</f>
        <v>1.1365446765397857E-2</v>
      </c>
      <c r="M80" s="836"/>
      <c r="N80" s="836"/>
      <c r="O80" s="48">
        <f>IF(t&lt;Tnet,'2023'!Resal+('2023'!Salim-'2023'!Resal)*(1-EXP(('2023'!Tnet-t)/('2023'!Tau_j))),Resal+(Salim-Resal)*(1-EXP((Tnet-t)/(Tau_j))))*Salcycl</f>
        <v>1.9788636410933931E-2</v>
      </c>
      <c r="P80" s="165">
        <f>(INDEX(Models!$BJ80:$BT80,,T80)*(1-R80)+INDEX(Models!$BJ80:$BT80,,T80+1)*R80-ERP_i)*Q80*Ramure*Pc/MaxiM</f>
        <v>8.9692474542959013E-5</v>
      </c>
      <c r="Q80" s="301">
        <f t="shared" si="28"/>
        <v>0.5</v>
      </c>
      <c r="R80" s="173">
        <f t="shared" si="29"/>
        <v>3.017775447020199E-3</v>
      </c>
      <c r="S80" s="802">
        <f t="shared" si="30"/>
        <v>1</v>
      </c>
      <c r="T80" s="172">
        <f t="shared" si="31"/>
        <v>7</v>
      </c>
      <c r="U80" s="247">
        <f t="shared" si="32"/>
        <v>1.0030177754470202</v>
      </c>
      <c r="V80" s="378">
        <f t="shared" si="33"/>
        <v>39.303663563419001</v>
      </c>
      <c r="W80" s="397">
        <f t="shared" si="34"/>
        <v>36.067018841486302</v>
      </c>
      <c r="X80" s="153">
        <f t="shared" si="35"/>
        <v>45357</v>
      </c>
      <c r="Y80" s="380">
        <f t="shared" si="36"/>
        <v>35.223941550291713</v>
      </c>
      <c r="Z80" s="380">
        <f t="shared" si="37"/>
        <v>35.628879685669958</v>
      </c>
      <c r="AA80" s="381">
        <f t="shared" si="38"/>
        <v>37.218145429842593</v>
      </c>
      <c r="AB80" s="193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4.2701368534562134E-2</v>
      </c>
      <c r="AD80" s="227">
        <f>(INDEX(Models!$BJ80:$BT80,,AH80)*(1-AF80)+INDEX(Models!$BJ80:$BT80,,AH80+1)*AF80-ERP_i)*AE80*Ramure*Pc/MaxiM</f>
        <v>8.9692474542959013E-5</v>
      </c>
      <c r="AE80" s="301">
        <f t="shared" si="40"/>
        <v>0.5</v>
      </c>
      <c r="AF80" s="173">
        <f t="shared" si="41"/>
        <v>3.017775447020199E-3</v>
      </c>
      <c r="AG80" s="802">
        <f t="shared" ref="AG80:AG143" si="49">INDEX(Echel_vg,AH80)</f>
        <v>1</v>
      </c>
      <c r="AH80" s="172">
        <f t="shared" si="42"/>
        <v>7</v>
      </c>
      <c r="AI80" s="221">
        <f t="shared" si="43"/>
        <v>1.0030177754470202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45358</v>
      </c>
      <c r="B81" s="406">
        <f>'2023'!Wh/'2023'!Env_an*'2024'!Env_an</f>
        <v>32.358834013434823</v>
      </c>
      <c r="C81" s="385"/>
      <c r="D81" s="388">
        <f t="shared" si="25"/>
        <v>32.731282635115249</v>
      </c>
      <c r="E81" s="380">
        <f t="shared" si="47"/>
        <v>33.393950187955902</v>
      </c>
      <c r="F81" s="380">
        <f t="shared" si="26"/>
        <v>33.395976110040309</v>
      </c>
      <c r="G81" s="110">
        <f t="shared" si="48"/>
        <v>0.81416416397235769</v>
      </c>
      <c r="H81" s="409" t="b">
        <f>Wh_hp&gt;='2023'!Maxi_hp</f>
        <v>0</v>
      </c>
      <c r="I81" s="375">
        <f>IF(H81,Wh_hp,'2023'!Maxi_hp)</f>
        <v>33.396703977303218</v>
      </c>
      <c r="J81" s="85">
        <f>IF(H81,An,'2023'!An_max)</f>
        <v>2022</v>
      </c>
      <c r="K81" s="193">
        <f t="shared" si="27"/>
        <v>45358</v>
      </c>
      <c r="L81" s="143">
        <f>IF(t&lt;Tvie,1-EXP((T0-t)*PertePVj)+'2023'!Pspv,1-EXP((T0-t)*PertePVj)+Pspv)</f>
        <v>1.1378980342214073E-2</v>
      </c>
      <c r="M81" s="836"/>
      <c r="N81" s="836"/>
      <c r="O81" s="48">
        <f>IF(t&lt;Tnet,'2023'!Resal+('2023'!Salim-'2023'!Resal)*(1-EXP(('2023'!Tnet-t)/('2023'!Tau_j))),Resal+(Salim-Resal)*(1-EXP((Tnet-t)/(Tau_j))))*Salcycl</f>
        <v>1.9843940267948775E-2</v>
      </c>
      <c r="P81" s="165">
        <f>(INDEX(Models!$BJ81:$BT81,,T81)*(1-R81)+INDEX(Models!$BJ81:$BT81,,T81+1)*R81-ERP_i)*Q81*Ramure*Pc/MaxiM</f>
        <v>8.2586632063601435E-5</v>
      </c>
      <c r="Q81" s="301">
        <f t="shared" si="28"/>
        <v>0.5</v>
      </c>
      <c r="R81" s="173">
        <f t="shared" si="29"/>
        <v>3.4244452752303367E-3</v>
      </c>
      <c r="S81" s="802">
        <f t="shared" si="30"/>
        <v>1</v>
      </c>
      <c r="T81" s="172">
        <f t="shared" si="31"/>
        <v>7</v>
      </c>
      <c r="U81" s="247">
        <f t="shared" si="32"/>
        <v>1.0034244452752303</v>
      </c>
      <c r="V81" s="378">
        <f t="shared" si="33"/>
        <v>39.743980391684069</v>
      </c>
      <c r="W81" s="397">
        <f t="shared" si="34"/>
        <v>32.358834013434823</v>
      </c>
      <c r="X81" s="153">
        <f t="shared" si="35"/>
        <v>45358</v>
      </c>
      <c r="Y81" s="380">
        <f t="shared" si="36"/>
        <v>31.603072708435104</v>
      </c>
      <c r="Z81" s="380">
        <f t="shared" si="37"/>
        <v>31.966822553878735</v>
      </c>
      <c r="AA81" s="381">
        <f t="shared" si="38"/>
        <v>33.393950187955902</v>
      </c>
      <c r="AB81" s="193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4.2736113159559108E-2</v>
      </c>
      <c r="AD81" s="227">
        <f>(INDEX(Models!$BJ81:$BT81,,AH81)*(1-AF81)+INDEX(Models!$BJ81:$BT81,,AH81+1)*AF81-ERP_i)*AE81*Ramure*Pc/MaxiM</f>
        <v>8.2586632063601435E-5</v>
      </c>
      <c r="AE81" s="301">
        <f t="shared" si="40"/>
        <v>0.5</v>
      </c>
      <c r="AF81" s="173">
        <f t="shared" si="41"/>
        <v>3.4244452752303367E-3</v>
      </c>
      <c r="AG81" s="802">
        <f t="shared" si="49"/>
        <v>1</v>
      </c>
      <c r="AH81" s="172">
        <f t="shared" si="42"/>
        <v>7</v>
      </c>
      <c r="AI81" s="221">
        <f t="shared" si="43"/>
        <v>1.0034244452752303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45359</v>
      </c>
      <c r="B82" s="406">
        <f>'2023'!Wh/'2023'!Env_an*'2024'!Env_an</f>
        <v>28.883173789967131</v>
      </c>
      <c r="C82" s="385"/>
      <c r="D82" s="388">
        <f t="shared" si="25"/>
        <v>29.216017672547615</v>
      </c>
      <c r="E82" s="380">
        <f t="shared" si="47"/>
        <v>29.809197418146759</v>
      </c>
      <c r="F82" s="380">
        <f t="shared" si="26"/>
        <v>29.810546150859487</v>
      </c>
      <c r="G82" s="110">
        <f t="shared" si="48"/>
        <v>0.71868698617055904</v>
      </c>
      <c r="H82" s="409" t="b">
        <f>Wh_hp&gt;='2023'!Maxi_hp</f>
        <v>0</v>
      </c>
      <c r="I82" s="375">
        <f>IF(H82,Wh_hp,'2023'!Maxi_hp)</f>
        <v>29.811446608214982</v>
      </c>
      <c r="J82" s="85">
        <f>IF(H82,An,'2023'!An_max)</f>
        <v>2022</v>
      </c>
      <c r="K82" s="193">
        <f t="shared" si="27"/>
        <v>45359</v>
      </c>
      <c r="L82" s="143">
        <f>IF(t&lt;Tvie,1-EXP((T0-t)*PertePVj)+'2023'!Pspv,1-EXP((T0-t)*PertePVj)+Pspv)</f>
        <v>1.1392513733767151E-2</v>
      </c>
      <c r="M82" s="836"/>
      <c r="N82" s="836"/>
      <c r="O82" s="48">
        <f>IF(t&lt;Tnet,'2023'!Resal+('2023'!Salim-'2023'!Resal)*(1-EXP(('2023'!Tnet-t)/('2023'!Tau_j))),Resal+(Salim-Resal)*(1-EXP((Tnet-t)/(Tau_j))))*Salcycl</f>
        <v>1.9899218931605331E-2</v>
      </c>
      <c r="P82" s="165">
        <f>(INDEX(Models!$BJ82:$BT82,,T82)*(1-R82)+INDEX(Models!$BJ82:$BT82,,T82+1)*R82-ERP_i)*Q82*Ramure*Pc/MaxiM</f>
        <v>7.5638320413985813E-5</v>
      </c>
      <c r="Q82" s="301">
        <f t="shared" si="28"/>
        <v>0.5</v>
      </c>
      <c r="R82" s="173">
        <f t="shared" si="29"/>
        <v>3.8474596568172093E-3</v>
      </c>
      <c r="S82" s="802">
        <f t="shared" si="30"/>
        <v>1</v>
      </c>
      <c r="T82" s="172">
        <f t="shared" si="31"/>
        <v>7</v>
      </c>
      <c r="U82" s="247">
        <f t="shared" si="32"/>
        <v>1.0038474596568172</v>
      </c>
      <c r="V82" s="378">
        <f t="shared" si="33"/>
        <v>40.187587094838726</v>
      </c>
      <c r="W82" s="397">
        <f t="shared" si="34"/>
        <v>28.883173789967131</v>
      </c>
      <c r="X82" s="153">
        <f t="shared" si="35"/>
        <v>45359</v>
      </c>
      <c r="Y82" s="380">
        <f t="shared" si="36"/>
        <v>28.209155249164436</v>
      </c>
      <c r="Z82" s="380">
        <f t="shared" si="37"/>
        <v>28.534231877713786</v>
      </c>
      <c r="AA82" s="381">
        <f t="shared" si="38"/>
        <v>29.809197418146759</v>
      </c>
      <c r="AB82" s="193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4.277087781158509E-2</v>
      </c>
      <c r="AD82" s="227">
        <f>(INDEX(Models!$BJ82:$BT82,,AH82)*(1-AF82)+INDEX(Models!$BJ82:$BT82,,AH82+1)*AF82-ERP_i)*AE82*Ramure*Pc/MaxiM</f>
        <v>7.5638320413985813E-5</v>
      </c>
      <c r="AE82" s="301">
        <f t="shared" si="40"/>
        <v>0.5</v>
      </c>
      <c r="AF82" s="173">
        <f t="shared" si="41"/>
        <v>3.8474596568172093E-3</v>
      </c>
      <c r="AG82" s="802">
        <f t="shared" si="49"/>
        <v>1</v>
      </c>
      <c r="AH82" s="172">
        <f t="shared" si="42"/>
        <v>7</v>
      </c>
      <c r="AI82" s="221">
        <f t="shared" si="43"/>
        <v>1.0038474596568172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6"/>
        <v>45360</v>
      </c>
      <c r="B83" s="406">
        <f>'2023'!Wh/'2023'!Env_an*'2024'!Env_an</f>
        <v>24.40340949784073</v>
      </c>
      <c r="C83" s="385"/>
      <c r="D83" s="388">
        <f t="shared" si="25"/>
        <v>24.684967394658035</v>
      </c>
      <c r="E83" s="380">
        <f t="shared" si="47"/>
        <v>25.187572241023794</v>
      </c>
      <c r="F83" s="380">
        <f t="shared" si="26"/>
        <v>25.188316822203991</v>
      </c>
      <c r="G83" s="110">
        <f t="shared" si="48"/>
        <v>0.60054335305395767</v>
      </c>
      <c r="H83" s="409" t="b">
        <f>Wh_hp&gt;='2023'!Maxi_hp</f>
        <v>0</v>
      </c>
      <c r="I83" s="375">
        <f>IF(H83,Wh_hp,'2023'!Maxi_hp)</f>
        <v>25.189299753187651</v>
      </c>
      <c r="J83" s="85">
        <f>IF(H83,An,'2023'!An_max)</f>
        <v>2022</v>
      </c>
      <c r="K83" s="193">
        <f t="shared" si="27"/>
        <v>45360</v>
      </c>
      <c r="L83" s="143">
        <f>IF(t&lt;Tvie,1-EXP((T0-t)*PertePVj)+'2023'!Pspv,1-EXP((T0-t)*PertePVj)+Pspv)</f>
        <v>1.1406046940059311E-2</v>
      </c>
      <c r="M83" s="836"/>
      <c r="N83" s="836"/>
      <c r="O83" s="48">
        <f>IF(t&lt;Tnet,'2023'!Resal+('2023'!Salim-'2023'!Resal)*(1-EXP(('2023'!Tnet-t)/('2023'!Tau_j))),Resal+(Salim-Resal)*(1-EXP((Tnet-t)/(Tau_j))))*Salcycl</f>
        <v>1.9954477611270168E-2</v>
      </c>
      <c r="P83" s="165">
        <f>(INDEX(Models!$BJ83:$BT83,,T83)*(1-R83)+INDEX(Models!$BJ83:$BT83,,T83+1)*R83-ERP_i)*Q83*Ramure*Pc/MaxiM</f>
        <v>6.8844575831381757E-5</v>
      </c>
      <c r="Q83" s="301">
        <f t="shared" si="28"/>
        <v>0.5</v>
      </c>
      <c r="R83" s="173">
        <f t="shared" si="29"/>
        <v>4.2874449481540289E-3</v>
      </c>
      <c r="S83" s="802">
        <f t="shared" si="30"/>
        <v>1</v>
      </c>
      <c r="T83" s="172">
        <f t="shared" si="31"/>
        <v>7</v>
      </c>
      <c r="U83" s="247">
        <f t="shared" si="32"/>
        <v>1.004287444948154</v>
      </c>
      <c r="V83" s="378">
        <f t="shared" si="33"/>
        <v>40.63395370525361</v>
      </c>
      <c r="W83" s="397">
        <f t="shared" si="34"/>
        <v>24.40340949784073</v>
      </c>
      <c r="X83" s="153">
        <f t="shared" si="35"/>
        <v>45360</v>
      </c>
      <c r="Y83" s="380">
        <f t="shared" si="36"/>
        <v>23.834408289944687</v>
      </c>
      <c r="Z83" s="380">
        <f t="shared" si="37"/>
        <v>24.109401252325437</v>
      </c>
      <c r="AA83" s="381">
        <f t="shared" si="38"/>
        <v>25.187572241023794</v>
      </c>
      <c r="AB83" s="193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4.2805673305119321E-2</v>
      </c>
      <c r="AD83" s="227">
        <f>(INDEX(Models!$BJ83:$BT83,,AH83)*(1-AF83)+INDEX(Models!$BJ83:$BT83,,AH83+1)*AF83-ERP_i)*AE83*Ramure*Pc/MaxiM</f>
        <v>6.8844575831381757E-5</v>
      </c>
      <c r="AE83" s="301">
        <f t="shared" si="40"/>
        <v>0.5</v>
      </c>
      <c r="AF83" s="173">
        <f t="shared" si="41"/>
        <v>4.2874449481540289E-3</v>
      </c>
      <c r="AG83" s="802">
        <f t="shared" si="49"/>
        <v>1</v>
      </c>
      <c r="AH83" s="172">
        <f t="shared" si="42"/>
        <v>7</v>
      </c>
      <c r="AI83" s="221">
        <f t="shared" si="43"/>
        <v>1.004287444948154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6"/>
        <v>45361</v>
      </c>
      <c r="B84" s="406">
        <f>'2023'!Wh/'2023'!Env_an*'2024'!Env_an</f>
        <v>17.61146277539136</v>
      </c>
      <c r="C84" s="385"/>
      <c r="D84" s="388">
        <f t="shared" si="25"/>
        <v>17.814901467194993</v>
      </c>
      <c r="E84" s="380">
        <f t="shared" si="47"/>
        <v>18.17865122274906</v>
      </c>
      <c r="F84" s="380">
        <f t="shared" si="26"/>
        <v>18.178859096905231</v>
      </c>
      <c r="G84" s="110">
        <f t="shared" si="48"/>
        <v>0.42866298507546713</v>
      </c>
      <c r="H84" s="409" t="b">
        <f>Wh_hp&gt;='2023'!Maxi_hp</f>
        <v>0</v>
      </c>
      <c r="I84" s="375">
        <f>IF(H84,Wh_hp,'2023'!Maxi_hp)</f>
        <v>18.179775420005882</v>
      </c>
      <c r="J84" s="85">
        <f>IF(H84,An,'2023'!An_max)</f>
        <v>2022</v>
      </c>
      <c r="K84" s="193">
        <f t="shared" si="27"/>
        <v>45361</v>
      </c>
      <c r="L84" s="143">
        <f>IF(t&lt;Tvie,1-EXP((T0-t)*PertePVj)+'2023'!Pspv,1-EXP((T0-t)*PertePVj)+Pspv)</f>
        <v>1.1419579961093329E-2</v>
      </c>
      <c r="M84" s="836"/>
      <c r="N84" s="836"/>
      <c r="O84" s="48">
        <f>IF(t&lt;Tnet,'2023'!Resal+('2023'!Salim-'2023'!Resal)*(1-EXP(('2023'!Tnet-t)/('2023'!Tau_j))),Resal+(Salim-Resal)*(1-EXP((Tnet-t)/(Tau_j))))*Salcycl</f>
        <v>2.0009721903837787E-2</v>
      </c>
      <c r="P84" s="165">
        <f>(INDEX(Models!$BJ84:$BT84,,T84)*(1-R84)+INDEX(Models!$BJ84:$BT84,,T84+1)*R84-ERP_i)*Q84*Ramure*Pc/MaxiM</f>
        <v>6.2202070049422262E-5</v>
      </c>
      <c r="Q84" s="301">
        <f t="shared" si="28"/>
        <v>0.5</v>
      </c>
      <c r="R84" s="173">
        <f t="shared" si="29"/>
        <v>4.7450489558189535E-3</v>
      </c>
      <c r="S84" s="802">
        <f t="shared" si="30"/>
        <v>1</v>
      </c>
      <c r="T84" s="172">
        <f t="shared" si="31"/>
        <v>7</v>
      </c>
      <c r="U84" s="247">
        <f t="shared" si="32"/>
        <v>1.004745048955819</v>
      </c>
      <c r="V84" s="378">
        <f t="shared" si="33"/>
        <v>41.082550383115844</v>
      </c>
      <c r="W84" s="397">
        <f t="shared" si="34"/>
        <v>17.61146277539136</v>
      </c>
      <c r="X84" s="153">
        <f t="shared" si="35"/>
        <v>45361</v>
      </c>
      <c r="Y84" s="380">
        <f t="shared" si="36"/>
        <v>17.201169321629667</v>
      </c>
      <c r="Z84" s="380">
        <f t="shared" si="37"/>
        <v>17.399868511408204</v>
      </c>
      <c r="AA84" s="381">
        <f t="shared" si="38"/>
        <v>18.17865122274906</v>
      </c>
      <c r="AB84" s="193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4.2840511201748206E-2</v>
      </c>
      <c r="AD84" s="227">
        <f>(INDEX(Models!$BJ84:$BT84,,AH84)*(1-AF84)+INDEX(Models!$BJ84:$BT84,,AH84+1)*AF84-ERP_i)*AE84*Ramure*Pc/MaxiM</f>
        <v>6.2202070049422262E-5</v>
      </c>
      <c r="AE84" s="301">
        <f t="shared" si="40"/>
        <v>0.5</v>
      </c>
      <c r="AF84" s="173">
        <f t="shared" si="41"/>
        <v>4.7450489558189535E-3</v>
      </c>
      <c r="AG84" s="802">
        <f t="shared" si="49"/>
        <v>1</v>
      </c>
      <c r="AH84" s="172">
        <f t="shared" si="42"/>
        <v>7</v>
      </c>
      <c r="AI84" s="221">
        <f t="shared" si="43"/>
        <v>1.004745048955819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6"/>
        <v>45362</v>
      </c>
      <c r="B85" s="406">
        <f>'2023'!Wh/'2023'!Env_an*'2024'!Env_an</f>
        <v>13.782437178682882</v>
      </c>
      <c r="C85" s="385"/>
      <c r="D85" s="388">
        <f t="shared" si="25"/>
        <v>13.941835759516897</v>
      </c>
      <c r="E85" s="380">
        <f t="shared" si="47"/>
        <v>14.227306054839588</v>
      </c>
      <c r="F85" s="380">
        <f t="shared" si="26"/>
        <v>14.227342110033911</v>
      </c>
      <c r="G85" s="110">
        <f t="shared" si="48"/>
        <v>0.33182661875413111</v>
      </c>
      <c r="H85" s="409" t="b">
        <f>Wh_hp&gt;='2023'!Maxi_hp</f>
        <v>0</v>
      </c>
      <c r="I85" s="375">
        <f>IF(H85,Wh_hp,'2023'!Maxi_hp)</f>
        <v>14.228092826357823</v>
      </c>
      <c r="J85" s="85">
        <f>IF(H85,An,'2023'!An_max)</f>
        <v>2022</v>
      </c>
      <c r="K85" s="193">
        <f t="shared" si="27"/>
        <v>45362</v>
      </c>
      <c r="L85" s="143">
        <f>IF(t&lt;Tvie,1-EXP((T0-t)*PertePVj)+'2023'!Pspv,1-EXP((T0-t)*PertePVj)+Pspv)</f>
        <v>1.1433112796871647E-2</v>
      </c>
      <c r="M85" s="836"/>
      <c r="N85" s="836"/>
      <c r="O85" s="48">
        <f>IF(t&lt;Tnet,'2023'!Resal+('2023'!Salim-'2023'!Resal)*(1-EXP(('2023'!Tnet-t)/('2023'!Tau_j))),Resal+(Salim-Resal)*(1-EXP((Tnet-t)/(Tau_j))))*Salcycl</f>
        <v>2.0064957780646382E-2</v>
      </c>
      <c r="P85" s="165">
        <f>(INDEX(Models!$BJ85:$BT85,,T85)*(1-R85)+INDEX(Models!$BJ85:$BT85,,T85+1)*R85-ERP_i)*Q85*Ramure*Pc/MaxiM</f>
        <v>5.5707143694600124E-5</v>
      </c>
      <c r="Q85" s="301">
        <f t="shared" si="28"/>
        <v>0.5</v>
      </c>
      <c r="R85" s="173">
        <f t="shared" si="29"/>
        <v>5.2209414551740441E-3</v>
      </c>
      <c r="S85" s="802">
        <f t="shared" si="30"/>
        <v>1</v>
      </c>
      <c r="T85" s="172">
        <f t="shared" si="31"/>
        <v>7</v>
      </c>
      <c r="U85" s="247">
        <f t="shared" si="32"/>
        <v>1.005220941455174</v>
      </c>
      <c r="V85" s="378">
        <f t="shared" si="33"/>
        <v>41.532847413115221</v>
      </c>
      <c r="W85" s="397">
        <f t="shared" si="34"/>
        <v>13.782437178682882</v>
      </c>
      <c r="X85" s="153">
        <f t="shared" si="35"/>
        <v>45362</v>
      </c>
      <c r="Y85" s="380">
        <f t="shared" si="36"/>
        <v>13.461616384041832</v>
      </c>
      <c r="Z85" s="380">
        <f t="shared" si="37"/>
        <v>13.617304563101122</v>
      </c>
      <c r="AA85" s="381">
        <f t="shared" si="38"/>
        <v>14.227306054839588</v>
      </c>
      <c r="AB85" s="193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4.2875403775472096E-2</v>
      </c>
      <c r="AD85" s="227">
        <f>(INDEX(Models!$BJ85:$BT85,,AH85)*(1-AF85)+INDEX(Models!$BJ85:$BT85,,AH85+1)*AF85-ERP_i)*AE85*Ramure*Pc/MaxiM</f>
        <v>5.5707143694600124E-5</v>
      </c>
      <c r="AE85" s="301">
        <f t="shared" si="40"/>
        <v>0.5</v>
      </c>
      <c r="AF85" s="173">
        <f t="shared" si="41"/>
        <v>5.2209414551740441E-3</v>
      </c>
      <c r="AG85" s="802">
        <f t="shared" si="49"/>
        <v>1</v>
      </c>
      <c r="AH85" s="172">
        <f t="shared" si="42"/>
        <v>7</v>
      </c>
      <c r="AI85" s="221">
        <f t="shared" si="43"/>
        <v>1.005220941455174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6"/>
        <v>45363</v>
      </c>
      <c r="B86" s="406">
        <f>'2023'!Wh/'2023'!Env_an*'2024'!Env_an</f>
        <v>8.7781616117157419</v>
      </c>
      <c r="C86" s="385"/>
      <c r="D86" s="388">
        <f t="shared" si="25"/>
        <v>8.8798055980382955</v>
      </c>
      <c r="E86" s="380">
        <f t="shared" si="47"/>
        <v>9.0621375414281609</v>
      </c>
      <c r="F86" s="380">
        <f t="shared" si="26"/>
        <v>9.0621375414281609</v>
      </c>
      <c r="G86" s="110">
        <f t="shared" si="48"/>
        <v>0.20907160960429064</v>
      </c>
      <c r="H86" s="409" t="b">
        <f>Wh_hp&gt;='2023'!Maxi_hp</f>
        <v>0</v>
      </c>
      <c r="I86" s="375">
        <f>IF(H86,Wh_hp,'2023'!Maxi_hp)</f>
        <v>9.0625850333182196</v>
      </c>
      <c r="J86" s="85">
        <f>IF(H86,An,'2023'!An_max)</f>
        <v>2022</v>
      </c>
      <c r="K86" s="193">
        <f t="shared" si="27"/>
        <v>45363</v>
      </c>
      <c r="L86" s="143">
        <f>IF(t&lt;Tvie,1-EXP((T0-t)*PertePVj)+'2023'!Pspv,1-EXP((T0-t)*PertePVj)+Pspv)</f>
        <v>1.1446645447396819E-2</v>
      </c>
      <c r="M86" s="836"/>
      <c r="N86" s="836"/>
      <c r="O86" s="48">
        <f>IF(t&lt;Tnet,'2023'!Resal+('2023'!Salim-'2023'!Resal)*(1-EXP(('2023'!Tnet-t)/('2023'!Tau_j))),Resal+(Salim-Resal)*(1-EXP((Tnet-t)/(Tau_j))))*Salcycl</f>
        <v>2.01201915724986E-2</v>
      </c>
      <c r="P86" s="165">
        <f>(INDEX(Models!$BJ86:$BT86,,T86)*(1-R86)+INDEX(Models!$BJ86:$BT86,,T86+1)*R86-ERP_i)*Q86*Ramure*Pc/MaxiM</f>
        <v>4.9792802523751453E-5</v>
      </c>
      <c r="Q86" s="301">
        <f t="shared" si="28"/>
        <v>0.5</v>
      </c>
      <c r="R86" s="173">
        <f t="shared" si="29"/>
        <v>5.7158147020199834E-3</v>
      </c>
      <c r="S86" s="802">
        <f t="shared" si="30"/>
        <v>1</v>
      </c>
      <c r="T86" s="172">
        <f t="shared" si="31"/>
        <v>7</v>
      </c>
      <c r="U86" s="247">
        <f t="shared" si="32"/>
        <v>1.00571581470202</v>
      </c>
      <c r="V86" s="378">
        <f t="shared" si="33"/>
        <v>41.984296859155904</v>
      </c>
      <c r="W86" s="397">
        <f t="shared" si="34"/>
        <v>8.7781616117157419</v>
      </c>
      <c r="X86" s="153">
        <f t="shared" si="35"/>
        <v>45363</v>
      </c>
      <c r="Y86" s="380">
        <f t="shared" si="36"/>
        <v>8.5739979839091767</v>
      </c>
      <c r="Z86" s="380">
        <f t="shared" si="37"/>
        <v>8.6732779211391922</v>
      </c>
      <c r="AA86" s="381">
        <f t="shared" si="38"/>
        <v>9.0621375414281609</v>
      </c>
      <c r="AB86" s="193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4.2910363974423341E-2</v>
      </c>
      <c r="AD86" s="227">
        <f>(INDEX(Models!$BJ86:$BT86,,AH86)*(1-AF86)+INDEX(Models!$BJ86:$BT86,,AH86+1)*AF86-ERP_i)*AE86*Ramure*Pc/MaxiM</f>
        <v>4.9792802523751453E-5</v>
      </c>
      <c r="AE86" s="301">
        <f t="shared" si="40"/>
        <v>0.5</v>
      </c>
      <c r="AF86" s="173">
        <f t="shared" si="41"/>
        <v>5.7158147020199834E-3</v>
      </c>
      <c r="AG86" s="802">
        <f t="shared" si="49"/>
        <v>1</v>
      </c>
      <c r="AH86" s="172">
        <f t="shared" si="42"/>
        <v>7</v>
      </c>
      <c r="AI86" s="221">
        <f t="shared" si="43"/>
        <v>1.00571581470202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6"/>
        <v>45364</v>
      </c>
      <c r="B87" s="406">
        <f>'2023'!Wh/'2023'!Env_an*'2024'!Env_an</f>
        <v>13.071147813861819</v>
      </c>
      <c r="C87" s="385"/>
      <c r="D87" s="388">
        <f t="shared" si="25"/>
        <v>13.222682103247735</v>
      </c>
      <c r="E87" s="380">
        <f t="shared" si="47"/>
        <v>13.494948491251765</v>
      </c>
      <c r="F87" s="380">
        <f t="shared" si="26"/>
        <v>13.494955398256653</v>
      </c>
      <c r="G87" s="110">
        <f t="shared" si="48"/>
        <v>0.30800405028289851</v>
      </c>
      <c r="H87" s="409" t="b">
        <f>Wh_hp&gt;='2023'!Maxi_hp</f>
        <v>0</v>
      </c>
      <c r="I87" s="375">
        <f>IF(H87,Wh_hp,'2023'!Maxi_hp)</f>
        <v>13.495546182179719</v>
      </c>
      <c r="J87" s="85">
        <f>IF(H87,An,'2023'!An_max)</f>
        <v>2022</v>
      </c>
      <c r="K87" s="193">
        <f t="shared" si="27"/>
        <v>45364</v>
      </c>
      <c r="L87" s="143">
        <f>IF(t&lt;Tvie,1-EXP((T0-t)*PertePVj)+'2023'!Pspv,1-EXP((T0-t)*PertePVj)+Pspv)</f>
        <v>1.1460177912671399E-2</v>
      </c>
      <c r="M87" s="836"/>
      <c r="N87" s="836"/>
      <c r="O87" s="48">
        <f>IF(t&lt;Tnet,'2023'!Resal+('2023'!Salim-'2023'!Resal)*(1-EXP(('2023'!Tnet-t)/('2023'!Tau_j))),Resal+(Salim-Resal)*(1-EXP((Tnet-t)/(Tau_j))))*Salcycl</f>
        <v>2.0175429952958304E-2</v>
      </c>
      <c r="P87" s="165">
        <f>(INDEX(Models!$BJ87:$BT87,,T87)*(1-R87)+INDEX(Models!$BJ87:$BT87,,T87+1)*R87-ERP_i)*Q87*Ramure*Pc/MaxiM</f>
        <v>4.4685734071342845E-5</v>
      </c>
      <c r="Q87" s="301">
        <f t="shared" si="28"/>
        <v>0.5</v>
      </c>
      <c r="R87" s="173">
        <f t="shared" si="29"/>
        <v>6.2303839350574819E-3</v>
      </c>
      <c r="S87" s="802">
        <f t="shared" si="30"/>
        <v>1</v>
      </c>
      <c r="T87" s="172">
        <f t="shared" si="31"/>
        <v>7</v>
      </c>
      <c r="U87" s="247">
        <f t="shared" si="32"/>
        <v>1.0062303839350575</v>
      </c>
      <c r="V87" s="378">
        <f t="shared" si="33"/>
        <v>42.436358865466396</v>
      </c>
      <c r="W87" s="397">
        <f t="shared" si="34"/>
        <v>13.071147813861819</v>
      </c>
      <c r="X87" s="153">
        <f t="shared" si="35"/>
        <v>45364</v>
      </c>
      <c r="Y87" s="380">
        <f t="shared" si="36"/>
        <v>12.767389647741552</v>
      </c>
      <c r="Z87" s="380">
        <f t="shared" si="37"/>
        <v>12.915402457720786</v>
      </c>
      <c r="AA87" s="381">
        <f t="shared" si="38"/>
        <v>13.494948491251765</v>
      </c>
      <c r="AB87" s="193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4.2945405379403744E-2</v>
      </c>
      <c r="AD87" s="227">
        <f>(INDEX(Models!$BJ87:$BT87,,AH87)*(1-AF87)+INDEX(Models!$BJ87:$BT87,,AH87+1)*AF87-ERP_i)*AE87*Ramure*Pc/MaxiM</f>
        <v>4.4685734071342845E-5</v>
      </c>
      <c r="AE87" s="301">
        <f t="shared" si="40"/>
        <v>0.5</v>
      </c>
      <c r="AF87" s="173">
        <f t="shared" si="41"/>
        <v>6.2303839350574819E-3</v>
      </c>
      <c r="AG87" s="802">
        <f t="shared" si="49"/>
        <v>1</v>
      </c>
      <c r="AH87" s="172">
        <f t="shared" si="42"/>
        <v>7</v>
      </c>
      <c r="AI87" s="221">
        <f t="shared" si="43"/>
        <v>1.0062303839350575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45365</v>
      </c>
      <c r="B88" s="406">
        <f>'2023'!Wh/'2023'!Env_an*'2024'!Env_an</f>
        <v>15.490074684306135</v>
      </c>
      <c r="C88" s="385"/>
      <c r="D88" s="388">
        <f t="shared" si="25"/>
        <v>15.669866187702185</v>
      </c>
      <c r="E88" s="380">
        <f t="shared" si="47"/>
        <v>15.993424030081245</v>
      </c>
      <c r="F88" s="380">
        <f t="shared" si="26"/>
        <v>15.993480441424881</v>
      </c>
      <c r="G88" s="110">
        <f t="shared" si="48"/>
        <v>0.36115748171192524</v>
      </c>
      <c r="H88" s="409" t="b">
        <f>Wh_hp&gt;='2023'!Maxi_hp</f>
        <v>0</v>
      </c>
      <c r="I88" s="375">
        <f>IF(H88,Wh_hp,'2023'!Maxi_hp)</f>
        <v>15.994063855850605</v>
      </c>
      <c r="J88" s="85">
        <f>IF(H88,An,'2023'!An_max)</f>
        <v>2022</v>
      </c>
      <c r="K88" s="193">
        <f t="shared" si="27"/>
        <v>45365</v>
      </c>
      <c r="L88" s="143">
        <f>IF(t&lt;Tvie,1-EXP((T0-t)*PertePVj)+'2023'!Pspv,1-EXP((T0-t)*PertePVj)+Pspv)</f>
        <v>1.1473710192697828E-2</v>
      </c>
      <c r="M88" s="836"/>
      <c r="N88" s="836"/>
      <c r="O88" s="48">
        <f>IF(t&lt;Tnet,'2023'!Resal+('2023'!Salim-'2023'!Resal)*(1-EXP(('2023'!Tnet-t)/('2023'!Tau_j))),Resal+(Salim-Resal)*(1-EXP((Tnet-t)/(Tau_j))))*Salcycl</f>
        <v>2.0230679920103148E-2</v>
      </c>
      <c r="P88" s="165">
        <f>(INDEX(Models!$BJ88:$BT88,,T88)*(1-R88)+INDEX(Models!$BJ88:$BT88,,T88+1)*R88-ERP_i)*Q88*Ramure*Pc/MaxiM</f>
        <v>4.0362442798827076E-5</v>
      </c>
      <c r="Q88" s="301">
        <f t="shared" si="28"/>
        <v>0.5</v>
      </c>
      <c r="R88" s="173">
        <f t="shared" si="29"/>
        <v>6.765387866689121E-3</v>
      </c>
      <c r="S88" s="802">
        <f t="shared" si="30"/>
        <v>1</v>
      </c>
      <c r="T88" s="172">
        <f t="shared" si="31"/>
        <v>7</v>
      </c>
      <c r="U88" s="247">
        <f t="shared" si="32"/>
        <v>1.0067653878666891</v>
      </c>
      <c r="V88" s="378">
        <f t="shared" si="33"/>
        <v>42.888504004890699</v>
      </c>
      <c r="W88" s="397">
        <f t="shared" si="34"/>
        <v>15.490074684306135</v>
      </c>
      <c r="X88" s="153">
        <f t="shared" si="35"/>
        <v>45365</v>
      </c>
      <c r="Y88" s="380">
        <f t="shared" si="36"/>
        <v>15.130401179608413</v>
      </c>
      <c r="Z88" s="380">
        <f t="shared" si="37"/>
        <v>15.306017994278987</v>
      </c>
      <c r="AA88" s="381">
        <f t="shared" si="38"/>
        <v>15.993424030081245</v>
      </c>
      <c r="AB88" s="193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4.2980542159661947E-2</v>
      </c>
      <c r="AD88" s="227">
        <f>(INDEX(Models!$BJ88:$BT88,,AH88)*(1-AF88)+INDEX(Models!$BJ88:$BT88,,AH88+1)*AF88-ERP_i)*AE88*Ramure*Pc/MaxiM</f>
        <v>4.0362442798827076E-5</v>
      </c>
      <c r="AE88" s="301">
        <f t="shared" si="40"/>
        <v>0.5</v>
      </c>
      <c r="AF88" s="173">
        <f t="shared" si="41"/>
        <v>6.765387866689121E-3</v>
      </c>
      <c r="AG88" s="802">
        <f t="shared" si="49"/>
        <v>1</v>
      </c>
      <c r="AH88" s="172">
        <f t="shared" si="42"/>
        <v>7</v>
      </c>
      <c r="AI88" s="221">
        <f t="shared" si="43"/>
        <v>1.0067653878666891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6"/>
        <v>45366</v>
      </c>
      <c r="B89" s="406">
        <f>'2023'!Wh/'2023'!Env_an*'2024'!Env_an</f>
        <v>13.006993502036558</v>
      </c>
      <c r="C89" s="385"/>
      <c r="D89" s="388">
        <f t="shared" si="25"/>
        <v>13.158144293590638</v>
      </c>
      <c r="E89" s="380">
        <f t="shared" si="47"/>
        <v>13.430596690089255</v>
      </c>
      <c r="F89" s="380">
        <f t="shared" si="26"/>
        <v>13.430596770448378</v>
      </c>
      <c r="G89" s="110">
        <f t="shared" si="48"/>
        <v>0.30010276898990895</v>
      </c>
      <c r="H89" s="409" t="b">
        <f>Wh_hp&gt;='2023'!Maxi_hp</f>
        <v>0</v>
      </c>
      <c r="I89" s="375">
        <f>IF(H89,Wh_hp,'2023'!Maxi_hp)</f>
        <v>13.431085760338645</v>
      </c>
      <c r="J89" s="85">
        <f>IF(H89,An,'2023'!An_max)</f>
        <v>2022</v>
      </c>
      <c r="K89" s="193">
        <f t="shared" si="27"/>
        <v>45366</v>
      </c>
      <c r="L89" s="143">
        <f>IF(t&lt;Tvie,1-EXP((T0-t)*PertePVj)+'2023'!Pspv,1-EXP((T0-t)*PertePVj)+Pspv)</f>
        <v>1.1487242287478661E-2</v>
      </c>
      <c r="M89" s="836"/>
      <c r="N89" s="836"/>
      <c r="O89" s="48">
        <f>IF(t&lt;Tnet,'2023'!Resal+('2023'!Salim-'2023'!Resal)*(1-EXP(('2023'!Tnet-t)/('2023'!Tau_j))),Resal+(Salim-Resal)*(1-EXP((Tnet-t)/(Tau_j))))*Salcycl</f>
        <v>2.0285948776919575E-2</v>
      </c>
      <c r="P89" s="165">
        <f>(INDEX(Models!$BJ89:$BT89,,T89)*(1-R89)+INDEX(Models!$BJ89:$BT89,,T89+1)*R89-ERP_i)*Q89*Ramure*Pc/MaxiM</f>
        <v>3.6800339983516078E-5</v>
      </c>
      <c r="Q89" s="301">
        <f t="shared" si="28"/>
        <v>0.5</v>
      </c>
      <c r="R89" s="173">
        <f t="shared" si="29"/>
        <v>7.3215891594611282E-3</v>
      </c>
      <c r="S89" s="802">
        <f t="shared" si="30"/>
        <v>1</v>
      </c>
      <c r="T89" s="172">
        <f t="shared" si="31"/>
        <v>7</v>
      </c>
      <c r="U89" s="247">
        <f t="shared" si="32"/>
        <v>1.0073215891594611</v>
      </c>
      <c r="V89" s="378">
        <f t="shared" si="33"/>
        <v>43.340202963980602</v>
      </c>
      <c r="W89" s="397">
        <f t="shared" si="34"/>
        <v>13.006993502036558</v>
      </c>
      <c r="X89" s="153">
        <f t="shared" si="35"/>
        <v>45366</v>
      </c>
      <c r="Y89" s="380">
        <f t="shared" si="36"/>
        <v>12.70522495634974</v>
      </c>
      <c r="Z89" s="380">
        <f t="shared" si="37"/>
        <v>12.852868976370527</v>
      </c>
      <c r="AA89" s="381">
        <f t="shared" si="38"/>
        <v>13.430596690089255</v>
      </c>
      <c r="AB89" s="193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4.3015789026339096E-2</v>
      </c>
      <c r="AD89" s="227">
        <f>(INDEX(Models!$BJ89:$BT89,,AH89)*(1-AF89)+INDEX(Models!$BJ89:$BT89,,AH89+1)*AF89-ERP_i)*AE89*Ramure*Pc/MaxiM</f>
        <v>3.6800339983516078E-5</v>
      </c>
      <c r="AE89" s="301">
        <f t="shared" si="40"/>
        <v>0.5</v>
      </c>
      <c r="AF89" s="173">
        <f t="shared" si="41"/>
        <v>7.3215891594611282E-3</v>
      </c>
      <c r="AG89" s="802">
        <f t="shared" si="49"/>
        <v>1</v>
      </c>
      <c r="AH89" s="172">
        <f t="shared" si="42"/>
        <v>7</v>
      </c>
      <c r="AI89" s="221">
        <f t="shared" si="43"/>
        <v>1.0073215891594611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6"/>
        <v>45367</v>
      </c>
      <c r="B90" s="406">
        <f>'2023'!Wh/'2023'!Env_an*'2024'!Env_an</f>
        <v>12.491921563243787</v>
      </c>
      <c r="C90" s="385"/>
      <c r="D90" s="388">
        <f t="shared" si="25"/>
        <v>12.637259835076023</v>
      </c>
      <c r="E90" s="380">
        <f t="shared" si="47"/>
        <v>12.899654863598068</v>
      </c>
      <c r="F90" s="380">
        <f t="shared" si="26"/>
        <v>12.899654863598068</v>
      </c>
      <c r="G90" s="110">
        <f t="shared" si="48"/>
        <v>0.28525309010608701</v>
      </c>
      <c r="H90" s="409" t="b">
        <f>Wh_hp&gt;='2023'!Maxi_hp</f>
        <v>0</v>
      </c>
      <c r="I90" s="375">
        <f>IF(H90,Wh_hp,'2023'!Maxi_hp)</f>
        <v>12.900088201183433</v>
      </c>
      <c r="J90" s="85">
        <f>IF(H90,An,'2023'!An_max)</f>
        <v>2022</v>
      </c>
      <c r="K90" s="193">
        <f t="shared" si="27"/>
        <v>45367</v>
      </c>
      <c r="L90" s="143">
        <f>IF(t&lt;Tvie,1-EXP((T0-t)*PertePVj)+'2023'!Pspv,1-EXP((T0-t)*PertePVj)+Pspv)</f>
        <v>1.1500774197016561E-2</v>
      </c>
      <c r="M90" s="836"/>
      <c r="N90" s="836"/>
      <c r="O90" s="48">
        <f>IF(t&lt;Tnet,'2023'!Resal+('2023'!Salim-'2023'!Resal)*(1-EXP(('2023'!Tnet-t)/('2023'!Tau_j))),Resal+(Salim-Resal)*(1-EXP((Tnet-t)/(Tau_j))))*Salcycl</f>
        <v>2.0341244110530808E-2</v>
      </c>
      <c r="P90" s="165">
        <f>(INDEX(Models!$BJ90:$BT90,,T90)*(1-R90)+INDEX(Models!$BJ90:$BT90,,T90+1)*R90-ERP_i)*Q90*Ramure*Pc/MaxiM</f>
        <v>3.397781980640921E-5</v>
      </c>
      <c r="Q90" s="301">
        <f t="shared" si="28"/>
        <v>0.5</v>
      </c>
      <c r="R90" s="173">
        <f t="shared" si="29"/>
        <v>7.899774885225419E-3</v>
      </c>
      <c r="S90" s="802">
        <f t="shared" si="30"/>
        <v>1</v>
      </c>
      <c r="T90" s="172">
        <f t="shared" si="31"/>
        <v>7</v>
      </c>
      <c r="U90" s="247">
        <f t="shared" si="32"/>
        <v>1.0078997748852254</v>
      </c>
      <c r="V90" s="378">
        <f t="shared" si="33"/>
        <v>43.790926542945527</v>
      </c>
      <c r="W90" s="397">
        <f t="shared" si="34"/>
        <v>12.491921563243787</v>
      </c>
      <c r="X90" s="153">
        <f t="shared" si="35"/>
        <v>45367</v>
      </c>
      <c r="Y90" s="380">
        <f t="shared" si="36"/>
        <v>12.202340623876671</v>
      </c>
      <c r="Z90" s="380">
        <f t="shared" si="37"/>
        <v>12.344309742847187</v>
      </c>
      <c r="AA90" s="381">
        <f t="shared" si="38"/>
        <v>12.899654863598068</v>
      </c>
      <c r="AB90" s="193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4.3051161184011671E-2</v>
      </c>
      <c r="AD90" s="227">
        <f>(INDEX(Models!$BJ90:$BT90,,AH90)*(1-AF90)+INDEX(Models!$BJ90:$BT90,,AH90+1)*AF90-ERP_i)*AE90*Ramure*Pc/MaxiM</f>
        <v>3.397781980640921E-5</v>
      </c>
      <c r="AE90" s="301">
        <f t="shared" si="40"/>
        <v>0.5</v>
      </c>
      <c r="AF90" s="173">
        <f t="shared" si="41"/>
        <v>7.899774885225419E-3</v>
      </c>
      <c r="AG90" s="802">
        <f t="shared" si="49"/>
        <v>1</v>
      </c>
      <c r="AH90" s="172">
        <f t="shared" si="42"/>
        <v>7</v>
      </c>
      <c r="AI90" s="221">
        <f t="shared" si="43"/>
        <v>1.0078997748852254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6"/>
        <v>45368</v>
      </c>
      <c r="B91" s="406">
        <f>'2023'!Wh/'2023'!Env_an*'2024'!Env_an</f>
        <v>14.744696092698828</v>
      </c>
      <c r="C91" s="385"/>
      <c r="D91" s="388">
        <f t="shared" si="25"/>
        <v>14.916448645664579</v>
      </c>
      <c r="E91" s="380">
        <f t="shared" si="47"/>
        <v>15.227027842355879</v>
      </c>
      <c r="F91" s="380">
        <f t="shared" si="26"/>
        <v>15.227050922711369</v>
      </c>
      <c r="G91" s="110">
        <f t="shared" si="48"/>
        <v>0.33327757505733946</v>
      </c>
      <c r="H91" s="409" t="b">
        <f>Wh_hp&gt;='2023'!Maxi_hp</f>
        <v>0</v>
      </c>
      <c r="I91" s="375">
        <f>IF(H91,Wh_hp,'2023'!Maxi_hp)</f>
        <v>15.227507547270084</v>
      </c>
      <c r="J91" s="85">
        <f>IF(H91,An,'2023'!An_max)</f>
        <v>2022</v>
      </c>
      <c r="K91" s="193">
        <f t="shared" si="27"/>
        <v>45368</v>
      </c>
      <c r="L91" s="143">
        <f>IF(t&lt;Tvie,1-EXP((T0-t)*PertePVj)+'2023'!Pspv,1-EXP((T0-t)*PertePVj)+Pspv)</f>
        <v>1.1514305921313972E-2</v>
      </c>
      <c r="M91" s="836"/>
      <c r="N91" s="836"/>
      <c r="O91" s="48">
        <f>IF(t&lt;Tnet,'2023'!Resal+('2023'!Salim-'2023'!Resal)*(1-EXP(('2023'!Tnet-t)/('2023'!Tau_j))),Resal+(Salim-Resal)*(1-EXP((Tnet-t)/(Tau_j))))*Salcycl</f>
        <v>2.0396573770449438E-2</v>
      </c>
      <c r="P91" s="165">
        <f>(INDEX(Models!$BJ91:$BT91,,T91)*(1-R91)+INDEX(Models!$BJ91:$BT91,,T91+1)*R91-ERP_i)*Q91*Ramure*Pc/MaxiM</f>
        <v>3.1874327699491634E-5</v>
      </c>
      <c r="Q91" s="301">
        <f t="shared" si="28"/>
        <v>0.5</v>
      </c>
      <c r="R91" s="173">
        <f t="shared" si="29"/>
        <v>8.5007569638506641E-3</v>
      </c>
      <c r="S91" s="802">
        <f t="shared" si="30"/>
        <v>1</v>
      </c>
      <c r="T91" s="172">
        <f t="shared" si="31"/>
        <v>7</v>
      </c>
      <c r="U91" s="247">
        <f t="shared" si="32"/>
        <v>1.0085007569638507</v>
      </c>
      <c r="V91" s="378">
        <f t="shared" si="33"/>
        <v>44.240145654672943</v>
      </c>
      <c r="W91" s="397">
        <f t="shared" si="34"/>
        <v>14.744696092698828</v>
      </c>
      <c r="X91" s="153">
        <f t="shared" si="35"/>
        <v>45368</v>
      </c>
      <c r="Y91" s="380">
        <f t="shared" si="36"/>
        <v>14.403171525328764</v>
      </c>
      <c r="Z91" s="380">
        <f t="shared" si="37"/>
        <v>14.570945853448269</v>
      </c>
      <c r="AA91" s="381">
        <f t="shared" si="38"/>
        <v>15.227027842355879</v>
      </c>
      <c r="AB91" s="193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4.3086674280757332E-2</v>
      </c>
      <c r="AD91" s="227">
        <f>(INDEX(Models!$BJ91:$BT91,,AH91)*(1-AF91)+INDEX(Models!$BJ91:$BT91,,AH91+1)*AF91-ERP_i)*AE91*Ramure*Pc/MaxiM</f>
        <v>3.1874327699491634E-5</v>
      </c>
      <c r="AE91" s="301">
        <f t="shared" si="40"/>
        <v>0.5</v>
      </c>
      <c r="AF91" s="173">
        <f t="shared" si="41"/>
        <v>8.5007569638506641E-3</v>
      </c>
      <c r="AG91" s="802">
        <f t="shared" si="49"/>
        <v>1</v>
      </c>
      <c r="AH91" s="172">
        <f t="shared" si="42"/>
        <v>7</v>
      </c>
      <c r="AI91" s="221">
        <f t="shared" si="43"/>
        <v>1.0085007569638507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6"/>
        <v>45369</v>
      </c>
      <c r="B92" s="406">
        <f>'2023'!Wh/'2023'!Env_an*'2024'!Env_an</f>
        <v>27.092383542785765</v>
      </c>
      <c r="C92" s="385"/>
      <c r="D92" s="388">
        <f t="shared" si="25"/>
        <v>27.408342459719666</v>
      </c>
      <c r="E92" s="380">
        <f t="shared" si="47"/>
        <v>27.980600179327102</v>
      </c>
      <c r="F92" s="380">
        <f t="shared" si="26"/>
        <v>27.980973207128478</v>
      </c>
      <c r="G92" s="110">
        <f t="shared" si="48"/>
        <v>0.60625502574280887</v>
      </c>
      <c r="H92" s="409" t="b">
        <f>Wh_hp&gt;='2023'!Maxi_hp</f>
        <v>0</v>
      </c>
      <c r="I92" s="375">
        <f>IF(H92,Wh_hp,'2023'!Maxi_hp)</f>
        <v>27.981446472007683</v>
      </c>
      <c r="J92" s="85">
        <f>IF(H92,An,'2023'!An_max)</f>
        <v>2022</v>
      </c>
      <c r="K92" s="193">
        <f t="shared" si="27"/>
        <v>45369</v>
      </c>
      <c r="L92" s="143">
        <f>IF(t&lt;Tvie,1-EXP((T0-t)*PertePVj)+'2023'!Pspv,1-EXP((T0-t)*PertePVj)+Pspv)</f>
        <v>1.1527837460373447E-2</v>
      </c>
      <c r="M92" s="836"/>
      <c r="N92" s="836"/>
      <c r="O92" s="48">
        <f>IF(t&lt;Tnet,'2023'!Resal+('2023'!Salim-'2023'!Resal)*(1-EXP(('2023'!Tnet-t)/('2023'!Tau_j))),Resal+(Salim-Resal)*(1-EXP((Tnet-t)/(Tau_j))))*Salcycl</f>
        <v>2.045194584604507E-2</v>
      </c>
      <c r="P92" s="165">
        <f>(INDEX(Models!$BJ92:$BT92,,T92)*(1-R92)+INDEX(Models!$BJ92:$BT92,,T92+1)*R92-ERP_i)*Q92*Ramure*Pc/MaxiM</f>
        <v>3.0470421767451037E-5</v>
      </c>
      <c r="Q92" s="301">
        <f t="shared" si="28"/>
        <v>0.5</v>
      </c>
      <c r="R92" s="173">
        <f t="shared" si="29"/>
        <v>9.1253725780573447E-3</v>
      </c>
      <c r="S92" s="802">
        <f t="shared" si="30"/>
        <v>1</v>
      </c>
      <c r="T92" s="172">
        <f t="shared" si="31"/>
        <v>7</v>
      </c>
      <c r="U92" s="247">
        <f t="shared" si="32"/>
        <v>1.0091253725780573</v>
      </c>
      <c r="V92" s="378">
        <f t="shared" si="33"/>
        <v>44.687331323370955</v>
      </c>
      <c r="W92" s="397">
        <f t="shared" si="34"/>
        <v>27.092383542785765</v>
      </c>
      <c r="X92" s="153">
        <f t="shared" si="35"/>
        <v>45369</v>
      </c>
      <c r="Y92" s="380">
        <f t="shared" si="36"/>
        <v>26.465364654915692</v>
      </c>
      <c r="Z92" s="380">
        <f t="shared" si="37"/>
        <v>26.774011103074166</v>
      </c>
      <c r="AA92" s="381">
        <f t="shared" si="38"/>
        <v>27.980600179327102</v>
      </c>
      <c r="AB92" s="193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4.3122344357159184E-2</v>
      </c>
      <c r="AD92" s="227">
        <f>(INDEX(Models!$BJ92:$BT92,,AH92)*(1-AF92)+INDEX(Models!$BJ92:$BT92,,AH92+1)*AF92-ERP_i)*AE92*Ramure*Pc/MaxiM</f>
        <v>3.0470421767451037E-5</v>
      </c>
      <c r="AE92" s="301">
        <f t="shared" si="40"/>
        <v>0.5</v>
      </c>
      <c r="AF92" s="173">
        <f t="shared" si="41"/>
        <v>9.1253725780573447E-3</v>
      </c>
      <c r="AG92" s="802">
        <f t="shared" si="49"/>
        <v>1</v>
      </c>
      <c r="AH92" s="172">
        <f t="shared" si="42"/>
        <v>7</v>
      </c>
      <c r="AI92" s="221">
        <f t="shared" si="43"/>
        <v>1.0091253725780573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45370</v>
      </c>
      <c r="B93" s="406">
        <f>'2023'!Wh/'2023'!Env_an*'2024'!Env_an</f>
        <v>32.475035130319824</v>
      </c>
      <c r="C93" s="385"/>
      <c r="D93" s="388">
        <f t="shared" si="25"/>
        <v>32.854217774760301</v>
      </c>
      <c r="E93" s="380">
        <f t="shared" si="47"/>
        <v>33.542077523602778</v>
      </c>
      <c r="F93" s="380">
        <f t="shared" si="26"/>
        <v>33.54267543116412</v>
      </c>
      <c r="G93" s="110">
        <f t="shared" si="48"/>
        <v>0.71948033850753235</v>
      </c>
      <c r="H93" s="409" t="b">
        <f>Wh_hp&gt;='2023'!Maxi_hp</f>
        <v>0</v>
      </c>
      <c r="I93" s="375">
        <f>IF(H93,Wh_hp,'2023'!Maxi_hp)</f>
        <v>33.543069625939346</v>
      </c>
      <c r="J93" s="85">
        <f>IF(H93,An,'2023'!An_max)</f>
        <v>2022</v>
      </c>
      <c r="K93" s="193">
        <f t="shared" si="27"/>
        <v>45370</v>
      </c>
      <c r="L93" s="143">
        <f>IF(t&lt;Tvie,1-EXP((T0-t)*PertePVj)+'2023'!Pspv,1-EXP((T0-t)*PertePVj)+Pspv)</f>
        <v>1.1541368814197539E-2</v>
      </c>
      <c r="M93" s="836"/>
      <c r="N93" s="836"/>
      <c r="O93" s="48">
        <f>IF(t&lt;Tnet,'2023'!Resal+('2023'!Salim-'2023'!Resal)*(1-EXP(('2023'!Tnet-t)/('2023'!Tau_j))),Resal+(Salim-Resal)*(1-EXP((Tnet-t)/(Tau_j))))*Salcycl</f>
        <v>2.0507368643413577E-2</v>
      </c>
      <c r="P93" s="165">
        <f>(INDEX(Models!$BJ93:$BT93,,T93)*(1-R93)+INDEX(Models!$BJ93:$BT93,,T93+1)*R93-ERP_i)*Q93*Ramure*Pc/MaxiM</f>
        <v>2.9744994778171267E-5</v>
      </c>
      <c r="Q93" s="301">
        <f t="shared" si="28"/>
        <v>0.5</v>
      </c>
      <c r="R93" s="173">
        <f t="shared" si="29"/>
        <v>9.7744845606788644E-3</v>
      </c>
      <c r="S93" s="802">
        <f t="shared" si="30"/>
        <v>1</v>
      </c>
      <c r="T93" s="172">
        <f t="shared" si="31"/>
        <v>7</v>
      </c>
      <c r="U93" s="247">
        <f t="shared" si="32"/>
        <v>1.0097744845606789</v>
      </c>
      <c r="V93" s="378">
        <f t="shared" si="33"/>
        <v>45.1362550053951</v>
      </c>
      <c r="W93" s="397">
        <f t="shared" si="34"/>
        <v>32.475035130319824</v>
      </c>
      <c r="X93" s="153">
        <f t="shared" si="35"/>
        <v>45370</v>
      </c>
      <c r="Y93" s="380">
        <f t="shared" si="36"/>
        <v>31.724048217178737</v>
      </c>
      <c r="Z93" s="380">
        <f t="shared" si="37"/>
        <v>32.094462242816419</v>
      </c>
      <c r="AA93" s="381">
        <f t="shared" si="38"/>
        <v>33.542077523602778</v>
      </c>
      <c r="AB93" s="193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4.3158187794649999E-2</v>
      </c>
      <c r="AD93" s="227">
        <f>(INDEX(Models!$BJ93:$BT93,,AH93)*(1-AF93)+INDEX(Models!$BJ93:$BT93,,AH93+1)*AF93-ERP_i)*AE93*Ramure*Pc/MaxiM</f>
        <v>2.9744994778171267E-5</v>
      </c>
      <c r="AE93" s="301">
        <f t="shared" si="40"/>
        <v>0.5</v>
      </c>
      <c r="AF93" s="173">
        <f t="shared" si="41"/>
        <v>9.7744845606788644E-3</v>
      </c>
      <c r="AG93" s="802">
        <f t="shared" si="49"/>
        <v>1</v>
      </c>
      <c r="AH93" s="172">
        <f t="shared" si="42"/>
        <v>7</v>
      </c>
      <c r="AI93" s="221">
        <f t="shared" si="43"/>
        <v>1.0097744845606789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6"/>
        <v>45371</v>
      </c>
      <c r="B94" s="406">
        <f>'2023'!Wh/'2023'!Env_an*'2024'!Env_an</f>
        <v>43.679188897625352</v>
      </c>
      <c r="C94" s="385"/>
      <c r="D94" s="388">
        <f t="shared" si="25"/>
        <v>44.189797589026227</v>
      </c>
      <c r="E94" s="380">
        <f t="shared" si="47"/>
        <v>45.117542885611677</v>
      </c>
      <c r="F94" s="380">
        <f t="shared" si="26"/>
        <v>45.118803479319993</v>
      </c>
      <c r="G94" s="110">
        <f t="shared" si="48"/>
        <v>0.95808280254053102</v>
      </c>
      <c r="H94" s="409" t="b">
        <f>Wh_hp&gt;='2023'!Maxi_hp</f>
        <v>0</v>
      </c>
      <c r="I94" s="375">
        <f>IF(H94,Wh_hp,'2023'!Maxi_hp)</f>
        <v>45.118882566979195</v>
      </c>
      <c r="J94" s="85">
        <f>IF(H94,An,'2023'!An_max)</f>
        <v>2022</v>
      </c>
      <c r="K94" s="193">
        <f t="shared" si="27"/>
        <v>45371</v>
      </c>
      <c r="L94" s="143">
        <f>IF(t&lt;Tvie,1-EXP((T0-t)*PertePVj)+'2023'!Pspv,1-EXP((T0-t)*PertePVj)+Pspv)</f>
        <v>1.1554899982788691E-2</v>
      </c>
      <c r="M94" s="836"/>
      <c r="N94" s="836"/>
      <c r="O94" s="48">
        <f>IF(t&lt;Tnet,'2023'!Resal+('2023'!Salim-'2023'!Resal)*(1-EXP(('2023'!Tnet-t)/('2023'!Tau_j))),Resal+(Salim-Resal)*(1-EXP((Tnet-t)/(Tau_j))))*Salcycl</f>
        <v>2.0562850661827954E-2</v>
      </c>
      <c r="P94" s="165">
        <f>(INDEX(Models!$BJ94:$BT94,,T94)*(1-R94)+INDEX(Models!$BJ94:$BT94,,T94+1)*R94-ERP_i)*Q94*Ramure*Pc/MaxiM</f>
        <v>2.9718982375676292E-5</v>
      </c>
      <c r="Q94" s="301">
        <f t="shared" si="28"/>
        <v>0.5</v>
      </c>
      <c r="R94" s="173">
        <f t="shared" si="29"/>
        <v>1.0448981750379005E-2</v>
      </c>
      <c r="S94" s="802">
        <f t="shared" si="30"/>
        <v>1</v>
      </c>
      <c r="T94" s="172">
        <f t="shared" si="31"/>
        <v>7</v>
      </c>
      <c r="U94" s="247">
        <f t="shared" si="32"/>
        <v>1.010448981750379</v>
      </c>
      <c r="V94" s="378">
        <f t="shared" si="33"/>
        <v>45.590121282086578</v>
      </c>
      <c r="W94" s="397">
        <f t="shared" si="34"/>
        <v>43.679188897625352</v>
      </c>
      <c r="X94" s="153">
        <f t="shared" si="35"/>
        <v>45371</v>
      </c>
      <c r="Y94" s="380">
        <f t="shared" si="36"/>
        <v>42.669915446854176</v>
      </c>
      <c r="Z94" s="380">
        <f t="shared" si="37"/>
        <v>43.168725755341583</v>
      </c>
      <c r="AA94" s="381">
        <f t="shared" si="38"/>
        <v>45.117542885611677</v>
      </c>
      <c r="AB94" s="193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4.3194221263578261E-2</v>
      </c>
      <c r="AD94" s="227">
        <f>(INDEX(Models!$BJ94:$BT94,,AH94)*(1-AF94)+INDEX(Models!$BJ94:$BT94,,AH94+1)*AF94-ERP_i)*AE94*Ramure*Pc/MaxiM</f>
        <v>2.9718982375676292E-5</v>
      </c>
      <c r="AE94" s="301">
        <f t="shared" si="40"/>
        <v>0.5</v>
      </c>
      <c r="AF94" s="173">
        <f t="shared" si="41"/>
        <v>1.0448981750379005E-2</v>
      </c>
      <c r="AG94" s="802">
        <f t="shared" si="49"/>
        <v>1</v>
      </c>
      <c r="AH94" s="172">
        <f t="shared" si="42"/>
        <v>7</v>
      </c>
      <c r="AI94" s="221">
        <f t="shared" si="43"/>
        <v>1.010448981750379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6"/>
        <v>45372</v>
      </c>
      <c r="B95" s="406">
        <f>'2023'!Wh/'2023'!Env_an*'2024'!Env_an</f>
        <v>42.631465793753549</v>
      </c>
      <c r="C95" s="385"/>
      <c r="D95" s="388">
        <f t="shared" si="25"/>
        <v>43.130417045890169</v>
      </c>
      <c r="E95" s="380">
        <f t="shared" si="47"/>
        <v>44.038418805284408</v>
      </c>
      <c r="F95" s="380">
        <f t="shared" si="26"/>
        <v>44.039605376889426</v>
      </c>
      <c r="G95" s="110">
        <f t="shared" si="48"/>
        <v>0.92581072812476395</v>
      </c>
      <c r="H95" s="409" t="b">
        <f>Wh_hp&gt;='2023'!Maxi_hp</f>
        <v>0</v>
      </c>
      <c r="I95" s="375">
        <f>IF(H95,Wh_hp,'2023'!Maxi_hp)</f>
        <v>44.0397438016956</v>
      </c>
      <c r="J95" s="85">
        <f>IF(H95,An,'2023'!An_max)</f>
        <v>2022</v>
      </c>
      <c r="K95" s="193">
        <f t="shared" si="27"/>
        <v>45372</v>
      </c>
      <c r="L95" s="143">
        <f>IF(t&lt;Tvie,1-EXP((T0-t)*PertePVj)+'2023'!Pspv,1-EXP((T0-t)*PertePVj)+Pspv)</f>
        <v>1.1568430966149568E-2</v>
      </c>
      <c r="M95" s="836"/>
      <c r="N95" s="836"/>
      <c r="O95" s="48">
        <f>IF(t&lt;Tnet,'2023'!Resal+('2023'!Salim-'2023'!Resal)*(1-EXP(('2023'!Tnet-t)/('2023'!Tau_j))),Resal+(Salim-Resal)*(1-EXP((Tnet-t)/(Tau_j))))*Salcycl</f>
        <v>2.0618400569942474E-2</v>
      </c>
      <c r="P95" s="165">
        <f>(INDEX(Models!$BJ95:$BT95,,T95)*(1-R95)+INDEX(Models!$BJ95:$BT95,,T95+1)*R95-ERP_i)*Q95*Ramure*Pc/MaxiM</f>
        <v>3.0137242770663899E-5</v>
      </c>
      <c r="Q95" s="301">
        <f t="shared" si="28"/>
        <v>0.5</v>
      </c>
      <c r="R95" s="173">
        <f t="shared" si="29"/>
        <v>1.1149779311553809E-2</v>
      </c>
      <c r="S95" s="802">
        <f t="shared" si="30"/>
        <v>1</v>
      </c>
      <c r="T95" s="172">
        <f t="shared" si="31"/>
        <v>7</v>
      </c>
      <c r="U95" s="247">
        <f t="shared" si="32"/>
        <v>1.0111497793115538</v>
      </c>
      <c r="V95" s="378">
        <f t="shared" si="33"/>
        <v>46.047564941595049</v>
      </c>
      <c r="W95" s="397">
        <f t="shared" si="34"/>
        <v>42.631465793753549</v>
      </c>
      <c r="X95" s="153">
        <f t="shared" si="35"/>
        <v>45372</v>
      </c>
      <c r="Y95" s="380">
        <f t="shared" si="36"/>
        <v>41.647186213728688</v>
      </c>
      <c r="Z95" s="380">
        <f t="shared" si="37"/>
        <v>42.134617629055526</v>
      </c>
      <c r="AA95" s="381">
        <f t="shared" si="38"/>
        <v>44.038418805284408</v>
      </c>
      <c r="AB95" s="193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4.3230461671353887E-2</v>
      </c>
      <c r="AD95" s="227">
        <f>(INDEX(Models!$BJ95:$BT95,,AH95)*(1-AF95)+INDEX(Models!$BJ95:$BT95,,AH95+1)*AF95-ERP_i)*AE95*Ramure*Pc/MaxiM</f>
        <v>3.0137242770663899E-5</v>
      </c>
      <c r="AE95" s="301">
        <f t="shared" si="40"/>
        <v>0.5</v>
      </c>
      <c r="AF95" s="173">
        <f t="shared" si="41"/>
        <v>1.1149779311553809E-2</v>
      </c>
      <c r="AG95" s="802">
        <f t="shared" si="49"/>
        <v>1</v>
      </c>
      <c r="AH95" s="172">
        <f t="shared" si="42"/>
        <v>7</v>
      </c>
      <c r="AI95" s="221">
        <f t="shared" si="43"/>
        <v>1.0111497793115538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45373</v>
      </c>
      <c r="B96" s="406">
        <f>'2023'!Wh/'2023'!Env_an*'2024'!Env_an</f>
        <v>45.48003483158476</v>
      </c>
      <c r="C96" s="385"/>
      <c r="D96" s="388">
        <f t="shared" si="25"/>
        <v>46.012955118428046</v>
      </c>
      <c r="E96" s="380">
        <f t="shared" si="47"/>
        <v>46.984310020923949</v>
      </c>
      <c r="F96" s="380">
        <f t="shared" si="26"/>
        <v>46.985720182668949</v>
      </c>
      <c r="G96" s="110">
        <f t="shared" si="48"/>
        <v>0.97791267637417356</v>
      </c>
      <c r="H96" s="409" t="b">
        <f>Wh_hp&gt;='2023'!Maxi_hp</f>
        <v>0</v>
      </c>
      <c r="I96" s="375">
        <f>IF(H96,Wh_hp,'2023'!Maxi_hp)</f>
        <v>46.985765354828146</v>
      </c>
      <c r="J96" s="85">
        <f>IF(H96,An,'2023'!An_max)</f>
        <v>2022</v>
      </c>
      <c r="K96" s="193">
        <f t="shared" si="27"/>
        <v>45373</v>
      </c>
      <c r="L96" s="143">
        <f>IF(t&lt;Tvie,1-EXP((T0-t)*PertePVj)+'2023'!Pspv,1-EXP((T0-t)*PertePVj)+Pspv)</f>
        <v>1.1581961764282611E-2</v>
      </c>
      <c r="M96" s="836"/>
      <c r="N96" s="836"/>
      <c r="O96" s="48">
        <f>IF(t&lt;Tnet,'2023'!Resal+('2023'!Salim-'2023'!Resal)*(1-EXP(('2023'!Tnet-t)/('2023'!Tau_j))),Resal+(Salim-Resal)*(1-EXP((Tnet-t)/(Tau_j))))*Salcycl</f>
        <v>2.067402718191072E-2</v>
      </c>
      <c r="P96" s="165">
        <f>(INDEX(Models!$BJ96:$BT96,,T96)*(1-R96)+INDEX(Models!$BJ96:$BT96,,T96+1)*R96-ERP_i)*Q96*Ramure*Pc/MaxiM</f>
        <v>3.0990366578486472E-5</v>
      </c>
      <c r="Q96" s="301">
        <f t="shared" si="28"/>
        <v>0.5</v>
      </c>
      <c r="R96" s="173">
        <f t="shared" si="29"/>
        <v>1.1877819013848434E-2</v>
      </c>
      <c r="S96" s="802">
        <f t="shared" si="30"/>
        <v>1</v>
      </c>
      <c r="T96" s="172">
        <f t="shared" si="31"/>
        <v>7</v>
      </c>
      <c r="U96" s="247">
        <f t="shared" si="32"/>
        <v>1.0118778190138484</v>
      </c>
      <c r="V96" s="378">
        <f t="shared" si="33"/>
        <v>46.507210161339536</v>
      </c>
      <c r="W96" s="397">
        <f t="shared" si="34"/>
        <v>45.48003483158476</v>
      </c>
      <c r="X96" s="153">
        <f t="shared" si="35"/>
        <v>45373</v>
      </c>
      <c r="Y96" s="380">
        <f t="shared" si="36"/>
        <v>44.43081745273301</v>
      </c>
      <c r="Z96" s="380">
        <f t="shared" si="37"/>
        <v>44.951443350872125</v>
      </c>
      <c r="AA96" s="381">
        <f t="shared" si="38"/>
        <v>46.984310020923949</v>
      </c>
      <c r="AB96" s="193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4.3266926111004168E-2</v>
      </c>
      <c r="AD96" s="227">
        <f>(INDEX(Models!$BJ96:$BT96,,AH96)*(1-AF96)+INDEX(Models!$BJ96:$BT96,,AH96+1)*AF96-ERP_i)*AE96*Ramure*Pc/MaxiM</f>
        <v>3.0990366578486472E-5</v>
      </c>
      <c r="AE96" s="301">
        <f t="shared" si="40"/>
        <v>0.5</v>
      </c>
      <c r="AF96" s="173">
        <f t="shared" si="41"/>
        <v>1.1877819013848434E-2</v>
      </c>
      <c r="AG96" s="802">
        <f t="shared" si="49"/>
        <v>1</v>
      </c>
      <c r="AH96" s="172">
        <f t="shared" si="42"/>
        <v>7</v>
      </c>
      <c r="AI96" s="221">
        <f t="shared" si="43"/>
        <v>1.0118778190138484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6"/>
        <v>45374</v>
      </c>
      <c r="B97" s="406">
        <f>'2023'!Wh/'2023'!Env_an*'2024'!Env_an</f>
        <v>45.181227272947659</v>
      </c>
      <c r="C97" s="385"/>
      <c r="D97" s="388">
        <f t="shared" si="25"/>
        <v>45.711271978728682</v>
      </c>
      <c r="E97" s="380">
        <f t="shared" si="47"/>
        <v>46.678913696703241</v>
      </c>
      <c r="F97" s="380">
        <f t="shared" si="26"/>
        <v>46.680338202387723</v>
      </c>
      <c r="G97" s="110">
        <f t="shared" si="48"/>
        <v>0.96196249500616404</v>
      </c>
      <c r="H97" s="409" t="b">
        <f>Wh_hp&gt;='2023'!Maxi_hp</f>
        <v>0</v>
      </c>
      <c r="I97" s="375">
        <f>IF(H97,Wh_hp,'2023'!Maxi_hp)</f>
        <v>46.68041860984021</v>
      </c>
      <c r="J97" s="85">
        <f>IF(H97,An,'2023'!An_max)</f>
        <v>2022</v>
      </c>
      <c r="K97" s="193">
        <f t="shared" si="27"/>
        <v>45374</v>
      </c>
      <c r="L97" s="143">
        <f>IF(t&lt;Tvie,1-EXP((T0-t)*PertePVj)+'2023'!Pspv,1-EXP((T0-t)*PertePVj)+Pspv)</f>
        <v>1.1595492377190375E-2</v>
      </c>
      <c r="M97" s="836"/>
      <c r="N97" s="836"/>
      <c r="O97" s="48">
        <f>IF(t&lt;Tnet,'2023'!Resal+('2023'!Salim-'2023'!Resal)*(1-EXP(('2023'!Tnet-t)/('2023'!Tau_j))),Resal+(Salim-Resal)*(1-EXP((Tnet-t)/(Tau_j))))*Salcycl</f>
        <v>2.0729739433565705E-2</v>
      </c>
      <c r="P97" s="165">
        <f>(INDEX(Models!$BJ97:$BT97,,T97)*(1-R97)+INDEX(Models!$BJ97:$BT97,,T97+1)*R97-ERP_i)*Q97*Ramure*Pc/MaxiM</f>
        <v>3.2269611874247022E-5</v>
      </c>
      <c r="Q97" s="301">
        <f t="shared" si="28"/>
        <v>0.5</v>
      </c>
      <c r="R97" s="173">
        <f t="shared" si="29"/>
        <v>1.2634069466408215E-2</v>
      </c>
      <c r="S97" s="802">
        <f t="shared" si="30"/>
        <v>1</v>
      </c>
      <c r="T97" s="172">
        <f t="shared" si="31"/>
        <v>7</v>
      </c>
      <c r="U97" s="247">
        <f t="shared" si="32"/>
        <v>1.0126340694664082</v>
      </c>
      <c r="V97" s="378">
        <f t="shared" si="33"/>
        <v>46.967681466745042</v>
      </c>
      <c r="W97" s="397">
        <f t="shared" si="34"/>
        <v>45.181227272947659</v>
      </c>
      <c r="X97" s="153">
        <f t="shared" si="35"/>
        <v>45374</v>
      </c>
      <c r="Y97" s="380">
        <f t="shared" si="36"/>
        <v>44.139720956474193</v>
      </c>
      <c r="Z97" s="380">
        <f t="shared" si="37"/>
        <v>44.65754720466996</v>
      </c>
      <c r="AA97" s="381">
        <f t="shared" si="38"/>
        <v>46.678913696703241</v>
      </c>
      <c r="AB97" s="193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4.3303631810438628E-2</v>
      </c>
      <c r="AD97" s="227">
        <f>(INDEX(Models!$BJ97:$BT97,,AH97)*(1-AF97)+INDEX(Models!$BJ97:$BT97,,AH97+1)*AF97-ERP_i)*AE97*Ramure*Pc/MaxiM</f>
        <v>3.2269611874247022E-5</v>
      </c>
      <c r="AE97" s="301">
        <f t="shared" si="40"/>
        <v>0.5</v>
      </c>
      <c r="AF97" s="173">
        <f t="shared" si="41"/>
        <v>1.2634069466408215E-2</v>
      </c>
      <c r="AG97" s="802">
        <f t="shared" si="49"/>
        <v>1</v>
      </c>
      <c r="AH97" s="172">
        <f t="shared" si="42"/>
        <v>7</v>
      </c>
      <c r="AI97" s="221">
        <f t="shared" si="43"/>
        <v>1.0126340694664082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45375</v>
      </c>
      <c r="B98" s="406">
        <f>'2023'!Wh/'2023'!Env_an*'2024'!Env_an</f>
        <v>37.636168485174707</v>
      </c>
      <c r="C98" s="385"/>
      <c r="D98" s="388">
        <f t="shared" si="25"/>
        <v>38.078219402588402</v>
      </c>
      <c r="E98" s="380">
        <f t="shared" si="47"/>
        <v>38.886496477860099</v>
      </c>
      <c r="F98" s="380">
        <f t="shared" si="26"/>
        <v>38.887427799678605</v>
      </c>
      <c r="G98" s="110">
        <f t="shared" si="48"/>
        <v>0.79354191405154584</v>
      </c>
      <c r="H98" s="409" t="b">
        <f>Wh_hp&gt;='2023'!Maxi_hp</f>
        <v>0</v>
      </c>
      <c r="I98" s="375">
        <f>IF(H98,Wh_hp,'2023'!Maxi_hp)</f>
        <v>38.887810174833888</v>
      </c>
      <c r="J98" s="85">
        <f>IF(H98,An,'2023'!An_max)</f>
        <v>2022</v>
      </c>
      <c r="K98" s="193">
        <f t="shared" si="27"/>
        <v>45375</v>
      </c>
      <c r="L98" s="143">
        <f>IF(t&lt;Tvie,1-EXP((T0-t)*PertePVj)+'2023'!Pspv,1-EXP((T0-t)*PertePVj)+Pspv)</f>
        <v>1.1609022804875413E-2</v>
      </c>
      <c r="M98" s="836"/>
      <c r="N98" s="836"/>
      <c r="O98" s="48">
        <f>IF(t&lt;Tnet,'2023'!Resal+('2023'!Salim-'2023'!Resal)*(1-EXP(('2023'!Tnet-t)/('2023'!Tau_j))),Resal+(Salim-Resal)*(1-EXP((Tnet-t)/(Tau_j))))*Salcycl</f>
        <v>2.0785546358795485E-2</v>
      </c>
      <c r="P98" s="165">
        <f>(INDEX(Models!$BJ98:$BT98,,T98)*(1-R98)+INDEX(Models!$BJ98:$BT98,,T98+1)*R98-ERP_i)*Q98*Ramure*Pc/MaxiM</f>
        <v>3.3967029094309571E-5</v>
      </c>
      <c r="Q98" s="301">
        <f t="shared" si="28"/>
        <v>0.5</v>
      </c>
      <c r="R98" s="173">
        <f t="shared" si="29"/>
        <v>1.3419526301655438E-2</v>
      </c>
      <c r="S98" s="802">
        <f t="shared" si="30"/>
        <v>1</v>
      </c>
      <c r="T98" s="172">
        <f t="shared" si="31"/>
        <v>7</v>
      </c>
      <c r="U98" s="247">
        <f t="shared" si="32"/>
        <v>1.0134195263016554</v>
      </c>
      <c r="V98" s="378">
        <f t="shared" si="33"/>
        <v>47.427603729650336</v>
      </c>
      <c r="W98" s="397">
        <f t="shared" si="34"/>
        <v>37.636168485174707</v>
      </c>
      <c r="X98" s="153">
        <f t="shared" si="35"/>
        <v>45375</v>
      </c>
      <c r="Y98" s="380">
        <f t="shared" si="36"/>
        <v>36.769263744907335</v>
      </c>
      <c r="Z98" s="380">
        <f t="shared" si="37"/>
        <v>37.201132540942325</v>
      </c>
      <c r="AA98" s="381">
        <f t="shared" si="38"/>
        <v>38.886496477860099</v>
      </c>
      <c r="AB98" s="193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4.3340596082687248E-2</v>
      </c>
      <c r="AD98" s="227">
        <f>(INDEX(Models!$BJ98:$BT98,,AH98)*(1-AF98)+INDEX(Models!$BJ98:$BT98,,AH98+1)*AF98-ERP_i)*AE98*Ramure*Pc/MaxiM</f>
        <v>3.3967029094309571E-5</v>
      </c>
      <c r="AE98" s="301">
        <f t="shared" si="40"/>
        <v>0.5</v>
      </c>
      <c r="AF98" s="173">
        <f t="shared" si="41"/>
        <v>1.3419526301655438E-2</v>
      </c>
      <c r="AG98" s="802">
        <f t="shared" si="49"/>
        <v>1</v>
      </c>
      <c r="AH98" s="172">
        <f t="shared" si="42"/>
        <v>7</v>
      </c>
      <c r="AI98" s="221">
        <f t="shared" si="43"/>
        <v>1.0134195263016554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45376</v>
      </c>
      <c r="B99" s="406">
        <f>'2023'!Wh/'2023'!Env_an*'2024'!Env_an</f>
        <v>41.337322880223098</v>
      </c>
      <c r="C99" s="385"/>
      <c r="D99" s="388">
        <f t="shared" si="25"/>
        <v>41.823417771898058</v>
      </c>
      <c r="E99" s="380">
        <f t="shared" si="47"/>
        <v>42.713632101483967</v>
      </c>
      <c r="F99" s="380">
        <f t="shared" si="26"/>
        <v>42.714872030320755</v>
      </c>
      <c r="G99" s="110">
        <f t="shared" si="48"/>
        <v>0.86324551995366183</v>
      </c>
      <c r="H99" s="409" t="b">
        <f>Wh_hp&gt;='2023'!Maxi_hp</f>
        <v>0</v>
      </c>
      <c r="I99" s="375">
        <f>IF(H99,Wh_hp,'2023'!Maxi_hp)</f>
        <v>42.715167261365842</v>
      </c>
      <c r="J99" s="85">
        <f>IF(H99,An,'2023'!An_max)</f>
        <v>2022</v>
      </c>
      <c r="K99" s="193">
        <f t="shared" si="27"/>
        <v>45376</v>
      </c>
      <c r="L99" s="143">
        <f>IF(t&lt;Tvie,1-EXP((T0-t)*PertePVj)+'2023'!Pspv,1-EXP((T0-t)*PertePVj)+Pspv)</f>
        <v>1.1622553047340278E-2</v>
      </c>
      <c r="M99" s="836"/>
      <c r="N99" s="836"/>
      <c r="O99" s="48">
        <f>IF(t&lt;Tnet,'2023'!Resal+('2023'!Salim-'2023'!Resal)*(1-EXP(('2023'!Tnet-t)/('2023'!Tau_j))),Resal+(Salim-Resal)*(1-EXP((Tnet-t)/(Tau_j))))*Salcycl</f>
        <v>2.084145706623209E-2</v>
      </c>
      <c r="P99" s="165">
        <f>(INDEX(Models!$BJ99:$BT99,,T99)*(1-R99)+INDEX(Models!$BJ99:$BT99,,T99+1)*R99-ERP_i)*Q99*Ramure*Pc/MaxiM</f>
        <v>3.607557431873084E-5</v>
      </c>
      <c r="Q99" s="301">
        <f t="shared" si="28"/>
        <v>0.5</v>
      </c>
      <c r="R99" s="173">
        <f t="shared" si="29"/>
        <v>1.423521230305913E-2</v>
      </c>
      <c r="S99" s="802">
        <f t="shared" si="30"/>
        <v>1</v>
      </c>
      <c r="T99" s="172">
        <f t="shared" si="31"/>
        <v>7</v>
      </c>
      <c r="U99" s="247">
        <f t="shared" si="32"/>
        <v>1.0142352123030591</v>
      </c>
      <c r="V99" s="378">
        <f t="shared" si="33"/>
        <v>47.885602172151579</v>
      </c>
      <c r="W99" s="397">
        <f t="shared" si="34"/>
        <v>41.337322880223098</v>
      </c>
      <c r="X99" s="153">
        <f t="shared" si="35"/>
        <v>45376</v>
      </c>
      <c r="Y99" s="380">
        <f t="shared" si="36"/>
        <v>40.385900262585047</v>
      </c>
      <c r="Z99" s="380">
        <f t="shared" si="37"/>
        <v>40.86080716137527</v>
      </c>
      <c r="AA99" s="381">
        <f t="shared" si="38"/>
        <v>42.713632101483967</v>
      </c>
      <c r="AB99" s="193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4.3377836277339717E-2</v>
      </c>
      <c r="AD99" s="227">
        <f>(INDEX(Models!$BJ99:$BT99,,AH99)*(1-AF99)+INDEX(Models!$BJ99:$BT99,,AH99+1)*AF99-ERP_i)*AE99*Ramure*Pc/MaxiM</f>
        <v>3.607557431873084E-5</v>
      </c>
      <c r="AE99" s="301">
        <f t="shared" si="40"/>
        <v>0.5</v>
      </c>
      <c r="AF99" s="173">
        <f t="shared" si="41"/>
        <v>1.423521230305913E-2</v>
      </c>
      <c r="AG99" s="802">
        <f t="shared" si="49"/>
        <v>1</v>
      </c>
      <c r="AH99" s="172">
        <f t="shared" si="42"/>
        <v>7</v>
      </c>
      <c r="AI99" s="221">
        <f t="shared" si="43"/>
        <v>1.0142352123030591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45377</v>
      </c>
      <c r="B100" s="406">
        <f>'2023'!Wh/'2023'!Env_an*'2024'!Env_an</f>
        <v>43.257985052776306</v>
      </c>
      <c r="C100" s="385"/>
      <c r="D100" s="388">
        <f t="shared" si="25"/>
        <v>43.767264580697777</v>
      </c>
      <c r="E100" s="380">
        <f t="shared" si="47"/>
        <v>44.701411464776768</v>
      </c>
      <c r="F100" s="380">
        <f t="shared" si="26"/>
        <v>44.702866510743462</v>
      </c>
      <c r="G100" s="110">
        <f t="shared" si="48"/>
        <v>0.89485836151137066</v>
      </c>
      <c r="H100" s="409" t="b">
        <f>Wh_hp&gt;='2023'!Maxi_hp</f>
        <v>0</v>
      </c>
      <c r="I100" s="375">
        <f>IF(H100,Wh_hp,'2023'!Maxi_hp)</f>
        <v>44.703118513444139</v>
      </c>
      <c r="J100" s="85">
        <f>IF(H100,An,'2023'!An_max)</f>
        <v>2022</v>
      </c>
      <c r="K100" s="193">
        <f t="shared" si="27"/>
        <v>45377</v>
      </c>
      <c r="L100" s="143">
        <f>IF(t&lt;Tvie,1-EXP((T0-t)*PertePVj)+'2023'!Pspv,1-EXP((T0-t)*PertePVj)+Pspv)</f>
        <v>1.1636083104587525E-2</v>
      </c>
      <c r="M100" s="836"/>
      <c r="N100" s="836"/>
      <c r="O100" s="48">
        <f>IF(t&lt;Tnet,'2023'!Resal+('2023'!Salim-'2023'!Resal)*(1-EXP(('2023'!Tnet-t)/('2023'!Tau_j))),Resal+(Salim-Resal)*(1-EXP((Tnet-t)/(Tau_j))))*Salcycl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3.8302052905279624E-5</v>
      </c>
      <c r="Q100" s="301">
        <f t="shared" si="28"/>
        <v>0.5</v>
      </c>
      <c r="R100" s="173">
        <f t="shared" si="29"/>
        <v>1.5082177471023694E-2</v>
      </c>
      <c r="S100" s="802">
        <f t="shared" si="30"/>
        <v>1</v>
      </c>
      <c r="T100" s="172">
        <f t="shared" si="31"/>
        <v>7</v>
      </c>
      <c r="U100" s="247">
        <f t="shared" si="32"/>
        <v>1.0150821774710237</v>
      </c>
      <c r="V100" s="378">
        <f t="shared" si="33"/>
        <v>48.340316246365866</v>
      </c>
      <c r="W100" s="397">
        <f t="shared" si="34"/>
        <v>43.257985052776306</v>
      </c>
      <c r="X100" s="153">
        <f t="shared" si="35"/>
        <v>45377</v>
      </c>
      <c r="Y100" s="380">
        <f t="shared" si="36"/>
        <v>42.263116295589349</v>
      </c>
      <c r="Z100" s="380">
        <f t="shared" si="37"/>
        <v>42.760683158429771</v>
      </c>
      <c r="AA100" s="381">
        <f t="shared" si="38"/>
        <v>44.701411464776768</v>
      </c>
      <c r="AB100" s="193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4.3415369733374641E-2</v>
      </c>
      <c r="AD100" s="227">
        <f>(INDEX(Models!$BJ100:$BT100,,AH100)*(1-AF100)+INDEX(Models!$BJ100:$BT100,,AH100+1)*AF100-ERP_i)*AE100*Ramure*Pc/MaxiM</f>
        <v>3.8302052905279624E-5</v>
      </c>
      <c r="AE100" s="301">
        <f t="shared" si="40"/>
        <v>0.5</v>
      </c>
      <c r="AF100" s="173">
        <f t="shared" si="41"/>
        <v>1.5082177471023694E-2</v>
      </c>
      <c r="AG100" s="802">
        <f t="shared" si="49"/>
        <v>1</v>
      </c>
      <c r="AH100" s="172">
        <f t="shared" si="42"/>
        <v>7</v>
      </c>
      <c r="AI100" s="221">
        <f t="shared" si="43"/>
        <v>1.0150821774710237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45378</v>
      </c>
      <c r="B101" s="406">
        <f>'2023'!Wh/'2023'!Env_an*'2024'!Env_an</f>
        <v>37.159845215999788</v>
      </c>
      <c r="C101" s="385"/>
      <c r="D101" s="388">
        <f t="shared" si="25"/>
        <v>37.597845565593666</v>
      </c>
      <c r="E101" s="380">
        <f t="shared" si="47"/>
        <v>38.402517575495168</v>
      </c>
      <c r="F101" s="380">
        <f t="shared" si="26"/>
        <v>38.403537271370872</v>
      </c>
      <c r="G101" s="110">
        <f t="shared" si="48"/>
        <v>0.76161176722741586</v>
      </c>
      <c r="H101" s="409" t="b">
        <f>Wh_hp&gt;='2023'!Maxi_hp</f>
        <v>0</v>
      </c>
      <c r="I101" s="375">
        <f>IF(H101,Wh_hp,'2023'!Maxi_hp)</f>
        <v>38.404052832194026</v>
      </c>
      <c r="J101" s="85">
        <f>IF(H101,An,'2023'!An_max)</f>
        <v>2022</v>
      </c>
      <c r="K101" s="193">
        <f t="shared" si="27"/>
        <v>45378</v>
      </c>
      <c r="L101" s="143">
        <f>IF(t&lt;Tvie,1-EXP((T0-t)*PertePVj)+'2023'!Pspv,1-EXP((T0-t)*PertePVj)+Pspv)</f>
        <v>1.1649612976619594E-2</v>
      </c>
      <c r="M101" s="836"/>
      <c r="N101" s="836"/>
      <c r="O101" s="48">
        <f>IF(t&lt;Tnet,'2023'!Resal+('2023'!Salim-'2023'!Resal)*(1-EXP(('2023'!Tnet-t)/('2023'!Tau_j))),Resal+(Salim-Resal)*(1-EXP((Tnet-t)/(Tau_j))))*Salcycl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4.0263430852952624E-5</v>
      </c>
      <c r="Q101" s="301">
        <f t="shared" si="28"/>
        <v>0.5</v>
      </c>
      <c r="R101" s="173">
        <f t="shared" si="29"/>
        <v>1.5961499020687775E-2</v>
      </c>
      <c r="S101" s="802">
        <f t="shared" si="30"/>
        <v>1</v>
      </c>
      <c r="T101" s="172">
        <f t="shared" si="31"/>
        <v>7</v>
      </c>
      <c r="U101" s="247">
        <f t="shared" si="32"/>
        <v>1.0159614990206878</v>
      </c>
      <c r="V101" s="378">
        <f t="shared" si="33"/>
        <v>48.790390710591687</v>
      </c>
      <c r="W101" s="397">
        <f t="shared" si="34"/>
        <v>37.159845215999788</v>
      </c>
      <c r="X101" s="153">
        <f t="shared" si="35"/>
        <v>45378</v>
      </c>
      <c r="Y101" s="380">
        <f t="shared" si="36"/>
        <v>36.305870162636353</v>
      </c>
      <c r="Z101" s="380">
        <f t="shared" si="37"/>
        <v>36.733804771381649</v>
      </c>
      <c r="AA101" s="381">
        <f t="shared" si="38"/>
        <v>38.402517575495168</v>
      </c>
      <c r="AB101" s="193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4.3453213733526987E-2</v>
      </c>
      <c r="AD101" s="227">
        <f>(INDEX(Models!$BJ101:$BT101,,AH101)*(1-AF101)+INDEX(Models!$BJ101:$BT101,,AH101+1)*AF101-ERP_i)*AE101*Ramure*Pc/MaxiM</f>
        <v>4.0263430852952624E-5</v>
      </c>
      <c r="AE101" s="301">
        <f t="shared" si="40"/>
        <v>0.5</v>
      </c>
      <c r="AF101" s="173">
        <f t="shared" si="41"/>
        <v>1.5961499020687775E-2</v>
      </c>
      <c r="AG101" s="802">
        <f t="shared" si="49"/>
        <v>1</v>
      </c>
      <c r="AH101" s="172">
        <f t="shared" si="42"/>
        <v>7</v>
      </c>
      <c r="AI101" s="221">
        <f t="shared" si="43"/>
        <v>1.0159614990206878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45379</v>
      </c>
      <c r="B102" s="406">
        <f>'2023'!Wh/'2023'!Env_an*'2024'!Env_an</f>
        <v>28.298369897895608</v>
      </c>
      <c r="C102" s="385"/>
      <c r="D102" s="388">
        <f t="shared" si="25"/>
        <v>28.632312645059123</v>
      </c>
      <c r="E102" s="380">
        <f t="shared" si="47"/>
        <v>29.246784774123039</v>
      </c>
      <c r="F102" s="380">
        <f t="shared" si="26"/>
        <v>29.247266593245325</v>
      </c>
      <c r="G102" s="110">
        <f t="shared" si="48"/>
        <v>0.57475298747435566</v>
      </c>
      <c r="H102" s="409" t="b">
        <f>Wh_hp&gt;='2023'!Maxi_hp</f>
        <v>0</v>
      </c>
      <c r="I102" s="375">
        <f>IF(H102,Wh_hp,'2023'!Maxi_hp)</f>
        <v>29.247996056103595</v>
      </c>
      <c r="J102" s="85">
        <f>IF(H102,An,'2023'!An_max)</f>
        <v>2022</v>
      </c>
      <c r="K102" s="193">
        <f t="shared" si="27"/>
        <v>45379</v>
      </c>
      <c r="L102" s="143">
        <f>IF(t&lt;Tvie,1-EXP((T0-t)*PertePVj)+'2023'!Pspv,1-EXP((T0-t)*PertePVj)+Pspv)</f>
        <v>1.1663142663439041E-2</v>
      </c>
      <c r="M102" s="836"/>
      <c r="N102" s="836"/>
      <c r="O102" s="48">
        <f>IF(t&lt;Tnet,'2023'!Resal+('2023'!Salim-'2023'!Resal)*(1-EXP(('2023'!Tnet-t)/('2023'!Tau_j))),Resal+(Salim-Resal)*(1-EXP((Tnet-t)/(Tau_j))))*Salcycl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4.1969249419398971E-5</v>
      </c>
      <c r="Q102" s="301">
        <f t="shared" si="28"/>
        <v>0.5</v>
      </c>
      <c r="R102" s="173">
        <f t="shared" si="29"/>
        <v>1.6874281305074179E-2</v>
      </c>
      <c r="S102" s="802">
        <f t="shared" si="30"/>
        <v>1</v>
      </c>
      <c r="T102" s="172">
        <f t="shared" si="31"/>
        <v>7</v>
      </c>
      <c r="U102" s="247">
        <f t="shared" si="32"/>
        <v>1.0168742813050742</v>
      </c>
      <c r="V102" s="378">
        <f t="shared" si="33"/>
        <v>49.234452066136399</v>
      </c>
      <c r="W102" s="397">
        <f t="shared" si="34"/>
        <v>28.298369897895608</v>
      </c>
      <c r="X102" s="153">
        <f t="shared" si="35"/>
        <v>45379</v>
      </c>
      <c r="Y102" s="380">
        <f t="shared" si="36"/>
        <v>27.64852748218113</v>
      </c>
      <c r="Z102" s="380">
        <f t="shared" si="37"/>
        <v>27.974801584037156</v>
      </c>
      <c r="AA102" s="381">
        <f t="shared" si="38"/>
        <v>29.246784774123039</v>
      </c>
      <c r="AB102" s="193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4.3491385460302165E-2</v>
      </c>
      <c r="AD102" s="227">
        <f>(INDEX(Models!$BJ102:$BT102,,AH102)*(1-AF102)+INDEX(Models!$BJ102:$BT102,,AH102+1)*AF102-ERP_i)*AE102*Ramure*Pc/MaxiM</f>
        <v>4.1969249419398971E-5</v>
      </c>
      <c r="AE102" s="301">
        <f t="shared" si="40"/>
        <v>0.5</v>
      </c>
      <c r="AF102" s="173">
        <f t="shared" si="41"/>
        <v>1.6874281305074179E-2</v>
      </c>
      <c r="AG102" s="802">
        <f t="shared" si="49"/>
        <v>1</v>
      </c>
      <c r="AH102" s="172">
        <f t="shared" si="42"/>
        <v>7</v>
      </c>
      <c r="AI102" s="221">
        <f t="shared" si="43"/>
        <v>1.0168742813050742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45380</v>
      </c>
      <c r="B103" s="406">
        <f>'2023'!Wh/'2023'!Env_an*'2024'!Env_an</f>
        <v>7.8810899420908731</v>
      </c>
      <c r="C103" s="385"/>
      <c r="D103" s="388">
        <f t="shared" si="25"/>
        <v>7.974202085622534</v>
      </c>
      <c r="E103" s="380">
        <f t="shared" si="47"/>
        <v>8.1458042139422684</v>
      </c>
      <c r="F103" s="380">
        <f t="shared" si="26"/>
        <v>8.1458042139422684</v>
      </c>
      <c r="G103" s="110">
        <f t="shared" si="48"/>
        <v>0.1586585230026645</v>
      </c>
      <c r="H103" s="409" t="b">
        <f>Wh_hp&gt;='2023'!Maxi_hp</f>
        <v>0</v>
      </c>
      <c r="I103" s="375">
        <f>IF(H103,Wh_hp,'2023'!Maxi_hp)</f>
        <v>8.146149983745957</v>
      </c>
      <c r="J103" s="85">
        <f>IF(H103,An,'2023'!An_max)</f>
        <v>2022</v>
      </c>
      <c r="K103" s="193">
        <f t="shared" si="27"/>
        <v>45380</v>
      </c>
      <c r="L103" s="143">
        <f>IF(t&lt;Tvie,1-EXP((T0-t)*PertePVj)+'2023'!Pspv,1-EXP((T0-t)*PertePVj)+Pspv)</f>
        <v>1.1676672165048529E-2</v>
      </c>
      <c r="M103" s="836"/>
      <c r="N103" s="836"/>
      <c r="O103" s="48">
        <f>IF(t&lt;Tnet,'2023'!Resal+('2023'!Salim-'2023'!Resal)*(1-EXP(('2023'!Tnet-t)/('2023'!Tau_j))),Resal+(Salim-Resal)*(1-EXP((Tnet-t)/(Tau_j))))*Salcycl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4.3428642260691596E-5</v>
      </c>
      <c r="Q103" s="301">
        <f t="shared" si="28"/>
        <v>0.5</v>
      </c>
      <c r="R103" s="173">
        <f t="shared" si="29"/>
        <v>1.7821655656692581E-2</v>
      </c>
      <c r="S103" s="802">
        <f t="shared" si="30"/>
        <v>1</v>
      </c>
      <c r="T103" s="172">
        <f t="shared" si="31"/>
        <v>7</v>
      </c>
      <c r="U103" s="247">
        <f t="shared" si="32"/>
        <v>1.0178216556566926</v>
      </c>
      <c r="V103" s="378">
        <f t="shared" si="33"/>
        <v>49.671127197640722</v>
      </c>
      <c r="W103" s="397">
        <f t="shared" si="34"/>
        <v>7.8810899420908731</v>
      </c>
      <c r="X103" s="153">
        <f t="shared" si="35"/>
        <v>45380</v>
      </c>
      <c r="Y103" s="380">
        <f t="shared" si="36"/>
        <v>7.7002426550109417</v>
      </c>
      <c r="Z103" s="380">
        <f t="shared" si="37"/>
        <v>7.7912181551752981</v>
      </c>
      <c r="AA103" s="381">
        <f t="shared" si="38"/>
        <v>8.1458042139422684</v>
      </c>
      <c r="AB103" s="193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4.352990195370332E-2</v>
      </c>
      <c r="AD103" s="227">
        <f>(INDEX(Models!$BJ103:$BT103,,AH103)*(1-AF103)+INDEX(Models!$BJ103:$BT103,,AH103+1)*AF103-ERP_i)*AE103*Ramure*Pc/MaxiM</f>
        <v>4.3428642260691596E-5</v>
      </c>
      <c r="AE103" s="301">
        <f t="shared" si="40"/>
        <v>0.5</v>
      </c>
      <c r="AF103" s="173">
        <f t="shared" si="41"/>
        <v>1.7821655656692581E-2</v>
      </c>
      <c r="AG103" s="802">
        <f t="shared" si="49"/>
        <v>1</v>
      </c>
      <c r="AH103" s="172">
        <f t="shared" si="42"/>
        <v>7</v>
      </c>
      <c r="AI103" s="221">
        <f t="shared" si="43"/>
        <v>1.0178216556566926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45381</v>
      </c>
      <c r="B104" s="406">
        <f>'2023'!Wh/'2023'!Env_an*'2024'!Env_an</f>
        <v>27.524384798946269</v>
      </c>
      <c r="C104" s="385"/>
      <c r="D104" s="388">
        <f t="shared" si="25"/>
        <v>27.849956400517936</v>
      </c>
      <c r="E104" s="380">
        <f t="shared" si="47"/>
        <v>28.450922055659468</v>
      </c>
      <c r="F104" s="380">
        <f t="shared" si="26"/>
        <v>28.451374666431363</v>
      </c>
      <c r="G104" s="110">
        <f t="shared" si="48"/>
        <v>0.54938361739731267</v>
      </c>
      <c r="H104" s="409" t="b">
        <f>Wh_hp&gt;='2023'!Maxi_hp</f>
        <v>0</v>
      </c>
      <c r="I104" s="375">
        <f>IF(H104,Wh_hp,'2023'!Maxi_hp)</f>
        <v>28.452173225194628</v>
      </c>
      <c r="J104" s="85">
        <f>IF(H104,An,'2023'!An_max)</f>
        <v>2022</v>
      </c>
      <c r="K104" s="193">
        <f t="shared" si="27"/>
        <v>45381</v>
      </c>
      <c r="L104" s="143">
        <f>IF(t&lt;Tvie,1-EXP((T0-t)*PertePVj)+'2023'!Pspv,1-EXP((T0-t)*PertePVj)+Pspv)</f>
        <v>1.1690201481450502E-2</v>
      </c>
      <c r="M104" s="836"/>
      <c r="N104" s="836"/>
      <c r="O104" s="48">
        <f>IF(t&lt;Tnet,'2023'!Resal+('2023'!Salim-'2023'!Resal)*(1-EXP(('2023'!Tnet-t)/('2023'!Tau_j))),Resal+(Salim-Resal)*(1-EXP((Tnet-t)/(Tau_j))))*Salcycl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4.4650286696206476E-5</v>
      </c>
      <c r="Q104" s="301">
        <f t="shared" si="28"/>
        <v>0.5</v>
      </c>
      <c r="R104" s="173">
        <f t="shared" si="29"/>
        <v>1.8804780140356803E-2</v>
      </c>
      <c r="S104" s="802">
        <f t="shared" si="30"/>
        <v>1</v>
      </c>
      <c r="T104" s="172">
        <f t="shared" si="31"/>
        <v>7</v>
      </c>
      <c r="U104" s="247">
        <f t="shared" si="32"/>
        <v>1.0188047801403568</v>
      </c>
      <c r="V104" s="378">
        <f t="shared" si="33"/>
        <v>50.099043377180386</v>
      </c>
      <c r="W104" s="397">
        <f t="shared" si="34"/>
        <v>27.524384798946269</v>
      </c>
      <c r="X104" s="153">
        <f t="shared" si="35"/>
        <v>45381</v>
      </c>
      <c r="Y104" s="380">
        <f t="shared" si="36"/>
        <v>26.893243924675719</v>
      </c>
      <c r="Z104" s="380">
        <f t="shared" si="37"/>
        <v>27.211350089807858</v>
      </c>
      <c r="AA104" s="381">
        <f t="shared" si="38"/>
        <v>28.450922055659468</v>
      </c>
      <c r="AB104" s="193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4.3568780070698469E-2</v>
      </c>
      <c r="AD104" s="227">
        <f>(INDEX(Models!$BJ104:$BT104,,AH104)*(1-AF104)+INDEX(Models!$BJ104:$BT104,,AH104+1)*AF104-ERP_i)*AE104*Ramure*Pc/MaxiM</f>
        <v>4.4650286696206476E-5</v>
      </c>
      <c r="AE104" s="301">
        <f t="shared" si="40"/>
        <v>0.5</v>
      </c>
      <c r="AF104" s="173">
        <f t="shared" si="41"/>
        <v>1.8804780140356803E-2</v>
      </c>
      <c r="AG104" s="802">
        <f t="shared" si="49"/>
        <v>1</v>
      </c>
      <c r="AH104" s="172">
        <f t="shared" si="42"/>
        <v>7</v>
      </c>
      <c r="AI104" s="221">
        <f t="shared" si="43"/>
        <v>1.0188047801403568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6"/>
        <v>45382</v>
      </c>
      <c r="B105" s="406">
        <f>'2023'!Wh/'2023'!Env_an*'2024'!Env_an</f>
        <v>30.274228371983099</v>
      </c>
      <c r="C105" s="385"/>
      <c r="D105" s="388">
        <f t="shared" si="25"/>
        <v>30.632745776476696</v>
      </c>
      <c r="E105" s="380">
        <f t="shared" si="47"/>
        <v>31.295573971220485</v>
      </c>
      <c r="F105" s="380">
        <f t="shared" si="26"/>
        <v>31.296184707364628</v>
      </c>
      <c r="G105" s="110">
        <f t="shared" si="48"/>
        <v>0.59927430917156288</v>
      </c>
      <c r="H105" s="409" t="b">
        <f>Wh_hp&gt;='2023'!Maxi_hp</f>
        <v>0</v>
      </c>
      <c r="I105" s="375">
        <f>IF(H105,Wh_hp,'2023'!Maxi_hp)</f>
        <v>31.296982474541696</v>
      </c>
      <c r="J105" s="85">
        <f>IF(H105,An,'2023'!An_max)</f>
        <v>2022</v>
      </c>
      <c r="K105" s="193">
        <f t="shared" si="27"/>
        <v>45382</v>
      </c>
      <c r="L105" s="143">
        <f>IF(t&lt;Tvie,1-EXP((T0-t)*PertePVj)+'2023'!Pspv,1-EXP((T0-t)*PertePVj)+Pspv)</f>
        <v>1.1703730612647401E-2</v>
      </c>
      <c r="M105" s="836"/>
      <c r="N105" s="836"/>
      <c r="O105" s="48">
        <f>IF(t&lt;Tnet,'2023'!Resal+('2023'!Salim-'2023'!Resal)*(1-EXP(('2023'!Tnet-t)/('2023'!Tau_j))),Resal+(Salim-Resal)*(1-EXP((Tnet-t)/(Tau_j))))*Salcycl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4.5642361614265354E-5</v>
      </c>
      <c r="Q105" s="301">
        <f t="shared" si="28"/>
        <v>0.5</v>
      </c>
      <c r="R105" s="173">
        <f t="shared" si="29"/>
        <v>1.9824839209642064E-2</v>
      </c>
      <c r="S105" s="802">
        <f t="shared" si="30"/>
        <v>1</v>
      </c>
      <c r="T105" s="172">
        <f t="shared" si="31"/>
        <v>7</v>
      </c>
      <c r="U105" s="247">
        <f t="shared" si="32"/>
        <v>1.0198248392096421</v>
      </c>
      <c r="V105" s="378">
        <f t="shared" si="33"/>
        <v>50.516828268635003</v>
      </c>
      <c r="W105" s="397">
        <f t="shared" si="34"/>
        <v>30.274228371983099</v>
      </c>
      <c r="X105" s="153">
        <f t="shared" si="35"/>
        <v>45382</v>
      </c>
      <c r="Y105" s="380">
        <f t="shared" si="36"/>
        <v>29.580533005860588</v>
      </c>
      <c r="Z105" s="380">
        <f t="shared" si="37"/>
        <v>29.930835440872034</v>
      </c>
      <c r="AA105" s="381">
        <f t="shared" si="38"/>
        <v>31.295573971220485</v>
      </c>
      <c r="AB105" s="193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4.3608036446414804E-2</v>
      </c>
      <c r="AD105" s="227">
        <f>(INDEX(Models!$BJ105:$BT105,,AH105)*(1-AF105)+INDEX(Models!$BJ105:$BT105,,AH105+1)*AF105-ERP_i)*AE105*Ramure*Pc/MaxiM</f>
        <v>4.5642361614265354E-5</v>
      </c>
      <c r="AE105" s="301">
        <f t="shared" si="40"/>
        <v>0.5</v>
      </c>
      <c r="AF105" s="173">
        <f t="shared" si="41"/>
        <v>1.9824839209642064E-2</v>
      </c>
      <c r="AG105" s="802">
        <f t="shared" si="49"/>
        <v>1</v>
      </c>
      <c r="AH105" s="172">
        <f t="shared" si="42"/>
        <v>7</v>
      </c>
      <c r="AI105" s="221">
        <f t="shared" si="43"/>
        <v>1.0198248392096421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6"/>
        <v>45383</v>
      </c>
      <c r="B106" s="406">
        <f>'2023'!Wh/'2023'!Env_an*'2024'!Env_an</f>
        <v>20.631151565082593</v>
      </c>
      <c r="C106" s="385"/>
      <c r="D106" s="388">
        <f t="shared" si="25"/>
        <v>20.875758242898087</v>
      </c>
      <c r="E106" s="380">
        <f t="shared" si="47"/>
        <v>21.328705476113033</v>
      </c>
      <c r="F106" s="380">
        <f t="shared" si="26"/>
        <v>21.32885416747154</v>
      </c>
      <c r="G106" s="110">
        <f t="shared" si="48"/>
        <v>0.40512721768400989</v>
      </c>
      <c r="H106" s="409" t="b">
        <f>Wh_hp&gt;='2023'!Maxi_hp</f>
        <v>0</v>
      </c>
      <c r="I106" s="375">
        <f>IF(H106,Wh_hp,'2023'!Maxi_hp)</f>
        <v>21.329674123347726</v>
      </c>
      <c r="J106" s="85">
        <f>IF(H106,An,'2023'!An_max)</f>
        <v>2022</v>
      </c>
      <c r="K106" s="193">
        <f t="shared" si="27"/>
        <v>45383</v>
      </c>
      <c r="L106" s="143">
        <f>IF(t&lt;Tvie,1-EXP((T0-t)*PertePVj)+'2023'!Pspv,1-EXP((T0-t)*PertePVj)+Pspv)</f>
        <v>1.171725955864189E-2</v>
      </c>
      <c r="M106" s="836"/>
      <c r="N106" s="836"/>
      <c r="O106" s="48">
        <f>IF(t&lt;Tnet,'2023'!Resal+('2023'!Salim-'2023'!Resal)*(1-EXP(('2023'!Tnet-t)/('2023'!Tau_j))),Resal+(Salim-Resal)*(1-EXP((Tnet-t)/(Tau_j))))*Salcycl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4.6412511090714057E-5</v>
      </c>
      <c r="Q106" s="301">
        <f t="shared" si="28"/>
        <v>0.5</v>
      </c>
      <c r="R106" s="173">
        <f t="shared" si="29"/>
        <v>2.0883043259081413E-2</v>
      </c>
      <c r="S106" s="802">
        <f t="shared" si="30"/>
        <v>1</v>
      </c>
      <c r="T106" s="172">
        <f t="shared" si="31"/>
        <v>7</v>
      </c>
      <c r="U106" s="247">
        <f t="shared" si="32"/>
        <v>1.0208830432590814</v>
      </c>
      <c r="V106" s="378">
        <f t="shared" si="33"/>
        <v>50.923109933741664</v>
      </c>
      <c r="W106" s="397">
        <f t="shared" si="34"/>
        <v>20.631151565082593</v>
      </c>
      <c r="X106" s="153">
        <f t="shared" si="35"/>
        <v>45383</v>
      </c>
      <c r="Y106" s="380">
        <f t="shared" si="36"/>
        <v>20.158750994723434</v>
      </c>
      <c r="Z106" s="380">
        <f t="shared" si="37"/>
        <v>20.397756805629044</v>
      </c>
      <c r="AA106" s="381">
        <f t="shared" si="38"/>
        <v>21.328705476113033</v>
      </c>
      <c r="AB106" s="193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4.364768745700956E-2</v>
      </c>
      <c r="AD106" s="227">
        <f>(INDEX(Models!$BJ106:$BT106,,AH106)*(1-AF106)+INDEX(Models!$BJ106:$BT106,,AH106+1)*AF106-ERP_i)*AE106*Ramure*Pc/MaxiM</f>
        <v>4.6412511090714057E-5</v>
      </c>
      <c r="AE106" s="301">
        <f t="shared" si="40"/>
        <v>0.5</v>
      </c>
      <c r="AF106" s="173">
        <f t="shared" si="41"/>
        <v>2.0883043259081413E-2</v>
      </c>
      <c r="AG106" s="802">
        <f t="shared" si="49"/>
        <v>1</v>
      </c>
      <c r="AH106" s="172">
        <f t="shared" si="42"/>
        <v>7</v>
      </c>
      <c r="AI106" s="221">
        <f t="shared" si="43"/>
        <v>1.0208830432590814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45384</v>
      </c>
      <c r="B107" s="406">
        <f>'2023'!Wh/'2023'!Env_an*'2024'!Env_an</f>
        <v>28.167485869368242</v>
      </c>
      <c r="C107" s="385"/>
      <c r="D107" s="388">
        <f t="shared" si="25"/>
        <v>28.501834860836247</v>
      </c>
      <c r="E107" s="380">
        <f t="shared" si="47"/>
        <v>29.121945302342109</v>
      </c>
      <c r="F107" s="380">
        <f t="shared" si="26"/>
        <v>29.122431528096708</v>
      </c>
      <c r="G107" s="110">
        <f t="shared" si="48"/>
        <v>0.54883639466212897</v>
      </c>
      <c r="H107" s="409" t="b">
        <f>Wh_hp&gt;='2023'!Maxi_hp</f>
        <v>0</v>
      </c>
      <c r="I107" s="375">
        <f>IF(H107,Wh_hp,'2023'!Maxi_hp)</f>
        <v>29.123289882556353</v>
      </c>
      <c r="J107" s="85">
        <f>IF(H107,An,'2023'!An_max)</f>
        <v>2022</v>
      </c>
      <c r="K107" s="193">
        <f t="shared" si="27"/>
        <v>45384</v>
      </c>
      <c r="L107" s="143">
        <f>IF(t&lt;Tvie,1-EXP((T0-t)*PertePVj)+'2023'!Pspv,1-EXP((T0-t)*PertePVj)+Pspv)</f>
        <v>1.1730788319436525E-2</v>
      </c>
      <c r="M107" s="836"/>
      <c r="N107" s="836"/>
      <c r="O107" s="48">
        <f>IF(t&lt;Tnet,'2023'!Resal+('2023'!Salim-'2023'!Resal)*(1-EXP(('2023'!Tnet-t)/('2023'!Tau_j))),Resal+(Salim-Resal)*(1-EXP((Tnet-t)/(Tau_j))))*Salcycl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4.6964042467355194E-5</v>
      </c>
      <c r="Q107" s="301">
        <f t="shared" si="28"/>
        <v>0.5</v>
      </c>
      <c r="R107" s="173">
        <f t="shared" si="29"/>
        <v>2.1980628063895002E-2</v>
      </c>
      <c r="S107" s="802">
        <f t="shared" si="30"/>
        <v>1</v>
      </c>
      <c r="T107" s="172">
        <f t="shared" si="31"/>
        <v>7</v>
      </c>
      <c r="U107" s="247">
        <f t="shared" si="32"/>
        <v>1.021980628063895</v>
      </c>
      <c r="V107" s="378">
        <f t="shared" si="33"/>
        <v>51.320636809317243</v>
      </c>
      <c r="W107" s="397">
        <f t="shared" si="34"/>
        <v>28.167485869368242</v>
      </c>
      <c r="X107" s="153">
        <f t="shared" si="35"/>
        <v>45384</v>
      </c>
      <c r="Y107" s="380">
        <f t="shared" si="36"/>
        <v>27.522974440784434</v>
      </c>
      <c r="Z107" s="380">
        <f t="shared" si="37"/>
        <v>27.849673060219381</v>
      </c>
      <c r="AA107" s="381">
        <f t="shared" si="38"/>
        <v>29.121945302342109</v>
      </c>
      <c r="AB107" s="193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4.368774918413186E-2</v>
      </c>
      <c r="AD107" s="227">
        <f>(INDEX(Models!$BJ107:$BT107,,AH107)*(1-AF107)+INDEX(Models!$BJ107:$BT107,,AH107+1)*AF107-ERP_i)*AE107*Ramure*Pc/MaxiM</f>
        <v>4.6964042467355194E-5</v>
      </c>
      <c r="AE107" s="301">
        <f t="shared" si="40"/>
        <v>0.5</v>
      </c>
      <c r="AF107" s="173">
        <f t="shared" si="41"/>
        <v>2.1980628063895002E-2</v>
      </c>
      <c r="AG107" s="802">
        <f t="shared" si="49"/>
        <v>1</v>
      </c>
      <c r="AH107" s="172">
        <f t="shared" si="42"/>
        <v>7</v>
      </c>
      <c r="AI107" s="221">
        <f t="shared" si="43"/>
        <v>1.021980628063895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45385</v>
      </c>
      <c r="B108" s="406">
        <f>'2023'!Wh/'2023'!Env_an*'2024'!Env_an</f>
        <v>43.743767371912575</v>
      </c>
      <c r="C108" s="385"/>
      <c r="D108" s="388">
        <f t="shared" si="25"/>
        <v>44.263613273111218</v>
      </c>
      <c r="E108" s="380">
        <f t="shared" si="47"/>
        <v>45.229296521297542</v>
      </c>
      <c r="F108" s="380">
        <f t="shared" si="26"/>
        <v>45.230960993753499</v>
      </c>
      <c r="G108" s="110">
        <f t="shared" si="48"/>
        <v>0.84588838071849692</v>
      </c>
      <c r="H108" s="409" t="b">
        <f>Wh_hp&gt;='2023'!Maxi_hp</f>
        <v>0</v>
      </c>
      <c r="I108" s="375">
        <f>IF(H108,Wh_hp,'2023'!Maxi_hp)</f>
        <v>45.231418078824802</v>
      </c>
      <c r="J108" s="85">
        <f>IF(H108,An,'2023'!An_max)</f>
        <v>2022</v>
      </c>
      <c r="K108" s="193">
        <f t="shared" si="27"/>
        <v>45385</v>
      </c>
      <c r="L108" s="143">
        <f>IF(t&lt;Tvie,1-EXP((T0-t)*PertePVj)+'2023'!Pspv,1-EXP((T0-t)*PertePVj)+Pspv)</f>
        <v>1.1744316895033746E-2</v>
      </c>
      <c r="M108" s="836"/>
      <c r="N108" s="836"/>
      <c r="O108" s="48">
        <f>IF(t&lt;Tnet,'2023'!Resal+('2023'!Salim-'2023'!Resal)*(1-EXP(('2023'!Tnet-t)/('2023'!Tau_j))),Resal+(Salim-Resal)*(1-EXP((Tnet-t)/(Tau_j))))*Salcycl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4.7187611605839027E-5</v>
      </c>
      <c r="Q108" s="301">
        <f t="shared" si="28"/>
        <v>0.5</v>
      </c>
      <c r="R108" s="173">
        <f t="shared" si="29"/>
        <v>2.3118854098747699E-2</v>
      </c>
      <c r="S108" s="802">
        <f t="shared" si="30"/>
        <v>1</v>
      </c>
      <c r="T108" s="172">
        <f t="shared" si="31"/>
        <v>7</v>
      </c>
      <c r="U108" s="247">
        <f t="shared" si="32"/>
        <v>1.0231188540987477</v>
      </c>
      <c r="V108" s="378">
        <f t="shared" si="33"/>
        <v>51.712866535351353</v>
      </c>
      <c r="W108" s="397">
        <f t="shared" si="34"/>
        <v>43.743767371912575</v>
      </c>
      <c r="X108" s="153">
        <f t="shared" si="35"/>
        <v>45385</v>
      </c>
      <c r="Y108" s="380">
        <f t="shared" si="36"/>
        <v>42.743539794753723</v>
      </c>
      <c r="Z108" s="380">
        <f t="shared" si="37"/>
        <v>43.251499106445081</v>
      </c>
      <c r="AA108" s="381">
        <f t="shared" si="38"/>
        <v>45.229296521297542</v>
      </c>
      <c r="AB108" s="193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4.3728237380856856E-2</v>
      </c>
      <c r="AD108" s="227">
        <f>(INDEX(Models!$BJ108:$BT108,,AH108)*(1-AF108)+INDEX(Models!$BJ108:$BT108,,AH108+1)*AF108-ERP_i)*AE108*Ramure*Pc/MaxiM</f>
        <v>4.7187611605839027E-5</v>
      </c>
      <c r="AE108" s="301">
        <f t="shared" si="40"/>
        <v>0.5</v>
      </c>
      <c r="AF108" s="173">
        <f t="shared" si="41"/>
        <v>2.3118854098747699E-2</v>
      </c>
      <c r="AG108" s="802">
        <f t="shared" si="49"/>
        <v>1</v>
      </c>
      <c r="AH108" s="172">
        <f t="shared" si="42"/>
        <v>7</v>
      </c>
      <c r="AI108" s="221">
        <f t="shared" si="43"/>
        <v>1.0231188540987477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45386</v>
      </c>
      <c r="B109" s="406">
        <f>'2023'!Wh/'2023'!Env_an*'2024'!Env_an</f>
        <v>52.351180603417774</v>
      </c>
      <c r="C109" s="385"/>
      <c r="D109" s="388">
        <f t="shared" si="25"/>
        <v>52.974041183801226</v>
      </c>
      <c r="E109" s="380">
        <f t="shared" si="47"/>
        <v>54.132934490207333</v>
      </c>
      <c r="F109" s="380">
        <f t="shared" si="26"/>
        <v>54.13548147924606</v>
      </c>
      <c r="G109" s="110">
        <f t="shared" si="48"/>
        <v>1.0048310592931586</v>
      </c>
      <c r="H109" s="409" t="b">
        <f>Wh_hp&gt;='2023'!Maxi_hp</f>
        <v>1</v>
      </c>
      <c r="I109" s="375">
        <f>IF(H109,Wh_hp,'2023'!Maxi_hp)</f>
        <v>54.13548147924606</v>
      </c>
      <c r="J109" s="85">
        <f>IF(H109,An,'2023'!An_max)</f>
        <v>2024</v>
      </c>
      <c r="K109" s="193">
        <f t="shared" si="27"/>
        <v>45386</v>
      </c>
      <c r="L109" s="143">
        <f>IF(t&lt;Tvie,1-EXP((T0-t)*PertePVj)+'2023'!Pspv,1-EXP((T0-t)*PertePVj)+Pspv)</f>
        <v>1.1757845285436108E-2</v>
      </c>
      <c r="M109" s="836"/>
      <c r="N109" s="836"/>
      <c r="O109" s="48">
        <f>IF(t&lt;Tnet,'2023'!Resal+('2023'!Salim-'2023'!Resal)*(1-EXP(('2023'!Tnet-t)/('2023'!Tau_j))),Resal+(Salim-Resal)*(1-EXP((Tnet-t)/(Tau_j))))*Salcycl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4.7048423125295307E-5</v>
      </c>
      <c r="Q109" s="301">
        <f t="shared" si="28"/>
        <v>0.5</v>
      </c>
      <c r="R109" s="173">
        <f t="shared" si="29"/>
        <v>2.4299005726766465E-2</v>
      </c>
      <c r="S109" s="802">
        <f t="shared" si="30"/>
        <v>1</v>
      </c>
      <c r="T109" s="172">
        <f t="shared" si="31"/>
        <v>7</v>
      </c>
      <c r="U109" s="247">
        <f t="shared" si="32"/>
        <v>1.0242990057267665</v>
      </c>
      <c r="V109" s="378">
        <f t="shared" si="33"/>
        <v>52.099484902709762</v>
      </c>
      <c r="W109" s="397">
        <f t="shared" si="34"/>
        <v>52.351180603417774</v>
      </c>
      <c r="X109" s="153">
        <f t="shared" si="35"/>
        <v>45386</v>
      </c>
      <c r="Y109" s="380">
        <f t="shared" si="36"/>
        <v>51.154952839531362</v>
      </c>
      <c r="Z109" s="380">
        <f t="shared" si="37"/>
        <v>51.763581016544023</v>
      </c>
      <c r="AA109" s="381">
        <f t="shared" si="38"/>
        <v>54.132934490207333</v>
      </c>
      <c r="AB109" s="193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4.3769167438944621E-2</v>
      </c>
      <c r="AD109" s="227">
        <f>(INDEX(Models!$BJ109:$BT109,,AH109)*(1-AF109)+INDEX(Models!$BJ109:$BT109,,AH109+1)*AF109-ERP_i)*AE109*Ramure*Pc/MaxiM</f>
        <v>4.7048423125295307E-5</v>
      </c>
      <c r="AE109" s="301">
        <f t="shared" si="40"/>
        <v>0.5</v>
      </c>
      <c r="AF109" s="173">
        <f t="shared" si="41"/>
        <v>2.4299005726766465E-2</v>
      </c>
      <c r="AG109" s="802">
        <f t="shared" si="49"/>
        <v>1</v>
      </c>
      <c r="AH109" s="172">
        <f t="shared" si="42"/>
        <v>7</v>
      </c>
      <c r="AI109" s="221">
        <f t="shared" si="43"/>
        <v>1.0242990057267665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6"/>
        <v>45387</v>
      </c>
      <c r="B110" s="406">
        <f>'2023'!Wh/'2023'!Env_an*'2024'!Env_an</f>
        <v>12.769860951905164</v>
      </c>
      <c r="C110" s="385"/>
      <c r="D110" s="388">
        <f t="shared" si="25"/>
        <v>12.921970290428836</v>
      </c>
      <c r="E110" s="380">
        <f t="shared" si="47"/>
        <v>13.205437395713298</v>
      </c>
      <c r="F110" s="380">
        <f t="shared" si="26"/>
        <v>13.205437395713298</v>
      </c>
      <c r="G110" s="110">
        <f t="shared" si="48"/>
        <v>0.24331600099652223</v>
      </c>
      <c r="H110" s="409" t="b">
        <f>Wh_hp&gt;='2023'!Maxi_hp</f>
        <v>0</v>
      </c>
      <c r="I110" s="375">
        <f>IF(H110,Wh_hp,'2023'!Maxi_hp)</f>
        <v>13.206034136650299</v>
      </c>
      <c r="J110" s="85">
        <f>IF(H110,An,'2023'!An_max)</f>
        <v>2022</v>
      </c>
      <c r="K110" s="193">
        <f t="shared" si="27"/>
        <v>45387</v>
      </c>
      <c r="L110" s="143">
        <f>IF(t&lt;Tvie,1-EXP((T0-t)*PertePVj)+'2023'!Pspv,1-EXP((T0-t)*PertePVj)+Pspv)</f>
        <v>1.1771373490646275E-2</v>
      </c>
      <c r="M110" s="836"/>
      <c r="N110" s="836"/>
      <c r="O110" s="48">
        <f>IF(t&lt;Tnet,'2023'!Resal+('2023'!Salim-'2023'!Resal)*(1-EXP(('2023'!Tnet-t)/('2023'!Tau_j))),Resal+(Salim-Resal)*(1-EXP((Tnet-t)/(Tau_j))))*Salcycl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4.6550118786745014E-5</v>
      </c>
      <c r="Q110" s="301">
        <f t="shared" si="28"/>
        <v>0.5</v>
      </c>
      <c r="R110" s="173">
        <f t="shared" si="29"/>
        <v>2.5522390249806515E-2</v>
      </c>
      <c r="S110" s="802">
        <f t="shared" si="30"/>
        <v>1</v>
      </c>
      <c r="T110" s="172">
        <f t="shared" si="31"/>
        <v>7</v>
      </c>
      <c r="U110" s="247">
        <f t="shared" si="32"/>
        <v>1.0255223902498065</v>
      </c>
      <c r="V110" s="378">
        <f t="shared" si="33"/>
        <v>52.480175825113427</v>
      </c>
      <c r="W110" s="397">
        <f t="shared" si="34"/>
        <v>12.769860951905164</v>
      </c>
      <c r="X110" s="153">
        <f t="shared" si="35"/>
        <v>45387</v>
      </c>
      <c r="Y110" s="380">
        <f t="shared" si="36"/>
        <v>12.478263908562223</v>
      </c>
      <c r="Z110" s="380">
        <f t="shared" si="37"/>
        <v>12.62689986287714</v>
      </c>
      <c r="AA110" s="381">
        <f t="shared" si="38"/>
        <v>13.205437395713298</v>
      </c>
      <c r="AB110" s="193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4.3810554357249912E-2</v>
      </c>
      <c r="AD110" s="227">
        <f>(INDEX(Models!$BJ110:$BT110,,AH110)*(1-AF110)+INDEX(Models!$BJ110:$BT110,,AH110+1)*AF110-ERP_i)*AE110*Ramure*Pc/MaxiM</f>
        <v>4.6550118786745014E-5</v>
      </c>
      <c r="AE110" s="301">
        <f t="shared" si="40"/>
        <v>0.5</v>
      </c>
      <c r="AF110" s="173">
        <f t="shared" si="41"/>
        <v>2.5522390249806515E-2</v>
      </c>
      <c r="AG110" s="802">
        <f t="shared" si="49"/>
        <v>1</v>
      </c>
      <c r="AH110" s="172">
        <f t="shared" si="42"/>
        <v>7</v>
      </c>
      <c r="AI110" s="221">
        <f t="shared" si="43"/>
        <v>1.0255223902498065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45388</v>
      </c>
      <c r="B111" s="406">
        <f>'2023'!Wh/'2023'!Env_an*'2024'!Env_an</f>
        <v>43.284338903968383</v>
      </c>
      <c r="C111" s="385"/>
      <c r="D111" s="388">
        <f t="shared" si="25"/>
        <v>43.800523762626547</v>
      </c>
      <c r="E111" s="380">
        <f t="shared" si="47"/>
        <v>44.764015596790742</v>
      </c>
      <c r="F111" s="380">
        <f t="shared" si="26"/>
        <v>44.765532050355951</v>
      </c>
      <c r="G111" s="110">
        <f t="shared" si="48"/>
        <v>0.81892225390702711</v>
      </c>
      <c r="H111" s="409" t="b">
        <f>Wh_hp&gt;='2023'!Maxi_hp</f>
        <v>0</v>
      </c>
      <c r="I111" s="375">
        <f>IF(H111,Wh_hp,'2023'!Maxi_hp)</f>
        <v>44.766045147251283</v>
      </c>
      <c r="J111" s="85">
        <f>IF(H111,An,'2023'!An_max)</f>
        <v>2022</v>
      </c>
      <c r="K111" s="193">
        <f t="shared" si="27"/>
        <v>45388</v>
      </c>
      <c r="L111" s="143">
        <f>IF(t&lt;Tvie,1-EXP((T0-t)*PertePVj)+'2023'!Pspv,1-EXP((T0-t)*PertePVj)+Pspv)</f>
        <v>1.1784901510666579E-2</v>
      </c>
      <c r="M111" s="836"/>
      <c r="N111" s="836"/>
      <c r="O111" s="48">
        <f>IF(t&lt;Tnet,'2023'!Resal+('2023'!Salim-'2023'!Resal)*(1-EXP(('2023'!Tnet-t)/('2023'!Tau_j))),Resal+(Salim-Resal)*(1-EXP((Tnet-t)/(Tau_j))))*Salcycl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4.5695455291159783E-5</v>
      </c>
      <c r="Q111" s="301">
        <f t="shared" si="28"/>
        <v>0.5</v>
      </c>
      <c r="R111" s="173">
        <f t="shared" si="29"/>
        <v>2.6790336810755599E-2</v>
      </c>
      <c r="S111" s="802">
        <f t="shared" si="30"/>
        <v>1</v>
      </c>
      <c r="T111" s="172">
        <f t="shared" si="31"/>
        <v>7</v>
      </c>
      <c r="U111" s="247">
        <f t="shared" si="32"/>
        <v>1.0267903368107556</v>
      </c>
      <c r="V111" s="378">
        <f t="shared" si="33"/>
        <v>52.854623329633291</v>
      </c>
      <c r="W111" s="397">
        <f t="shared" si="34"/>
        <v>43.284338903968383</v>
      </c>
      <c r="X111" s="153">
        <f t="shared" si="35"/>
        <v>45388</v>
      </c>
      <c r="Y111" s="380">
        <f t="shared" si="36"/>
        <v>42.296599875739084</v>
      </c>
      <c r="Z111" s="380">
        <f t="shared" si="37"/>
        <v>42.801005510234695</v>
      </c>
      <c r="AA111" s="381">
        <f t="shared" si="38"/>
        <v>44.764015596790742</v>
      </c>
      <c r="AB111" s="193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4.3852412711087981E-2</v>
      </c>
      <c r="AD111" s="227">
        <f>(INDEX(Models!$BJ111:$BT111,,AH111)*(1-AF111)+INDEX(Models!$BJ111:$BT111,,AH111+1)*AF111-ERP_i)*AE111*Ramure*Pc/MaxiM</f>
        <v>4.5695455291159783E-5</v>
      </c>
      <c r="AE111" s="301">
        <f t="shared" si="40"/>
        <v>0.5</v>
      </c>
      <c r="AF111" s="173">
        <f t="shared" si="41"/>
        <v>2.6790336810755599E-2</v>
      </c>
      <c r="AG111" s="802">
        <f t="shared" si="49"/>
        <v>1</v>
      </c>
      <c r="AH111" s="172">
        <f t="shared" si="42"/>
        <v>7</v>
      </c>
      <c r="AI111" s="221">
        <f t="shared" si="43"/>
        <v>1.0267903368107556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6"/>
        <v>45389</v>
      </c>
      <c r="B112" s="406">
        <f>'2023'!Wh/'2023'!Env_an*'2024'!Env_an</f>
        <v>36.870841227205645</v>
      </c>
      <c r="C112" s="385"/>
      <c r="D112" s="388">
        <f t="shared" si="25"/>
        <v>37.311053050427297</v>
      </c>
      <c r="E112" s="380">
        <f t="shared" si="47"/>
        <v>38.134057946758539</v>
      </c>
      <c r="F112" s="380">
        <f t="shared" si="26"/>
        <v>38.135009839124123</v>
      </c>
      <c r="G112" s="110">
        <f t="shared" si="48"/>
        <v>0.69275425394168266</v>
      </c>
      <c r="H112" s="409" t="b">
        <f>Wh_hp&gt;='2023'!Maxi_hp</f>
        <v>0</v>
      </c>
      <c r="I112" s="375">
        <f>IF(H112,Wh_hp,'2023'!Maxi_hp)</f>
        <v>38.135731064829805</v>
      </c>
      <c r="J112" s="85">
        <f>IF(H112,An,'2023'!An_max)</f>
        <v>2022</v>
      </c>
      <c r="K112" s="193">
        <f t="shared" si="27"/>
        <v>45389</v>
      </c>
      <c r="L112" s="143">
        <f>IF(t&lt;Tvie,1-EXP((T0-t)*PertePVj)+'2023'!Pspv,1-EXP((T0-t)*PertePVj)+Pspv)</f>
        <v>1.1798429345499573E-2</v>
      </c>
      <c r="M112" s="836"/>
      <c r="N112" s="836"/>
      <c r="O112" s="48">
        <f>IF(t&lt;Tnet,'2023'!Resal+('2023'!Salim-'2023'!Resal)*(1-EXP(('2023'!Tnet-t)/('2023'!Tau_j))),Resal+(Salim-Resal)*(1-EXP((Tnet-t)/(Tau_j))))*Salcycl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4.4486287697644524E-5</v>
      </c>
      <c r="Q112" s="301">
        <f t="shared" si="28"/>
        <v>0.5</v>
      </c>
      <c r="R112" s="173">
        <f t="shared" si="29"/>
        <v>2.8104195138499266E-2</v>
      </c>
      <c r="S112" s="802">
        <f t="shared" si="30"/>
        <v>1</v>
      </c>
      <c r="T112" s="172">
        <f t="shared" si="31"/>
        <v>7</v>
      </c>
      <c r="U112" s="247">
        <f t="shared" si="32"/>
        <v>1.0281041951384993</v>
      </c>
      <c r="V112" s="378">
        <f t="shared" si="33"/>
        <v>53.222511575939393</v>
      </c>
      <c r="W112" s="397">
        <f t="shared" si="34"/>
        <v>36.870841227205645</v>
      </c>
      <c r="X112" s="153">
        <f t="shared" si="35"/>
        <v>45389</v>
      </c>
      <c r="Y112" s="380">
        <f t="shared" si="36"/>
        <v>36.029999981998522</v>
      </c>
      <c r="Z112" s="380">
        <f t="shared" si="37"/>
        <v>36.460172754163224</v>
      </c>
      <c r="AA112" s="381">
        <f t="shared" si="38"/>
        <v>38.134057946758539</v>
      </c>
      <c r="AB112" s="193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4.3894756622343649E-2</v>
      </c>
      <c r="AD112" s="227">
        <f>(INDEX(Models!$BJ112:$BT112,,AH112)*(1-AF112)+INDEX(Models!$BJ112:$BT112,,AH112+1)*AF112-ERP_i)*AE112*Ramure*Pc/MaxiM</f>
        <v>4.4486287697644524E-5</v>
      </c>
      <c r="AE112" s="301">
        <f t="shared" si="40"/>
        <v>0.5</v>
      </c>
      <c r="AF112" s="173">
        <f t="shared" si="41"/>
        <v>2.8104195138499266E-2</v>
      </c>
      <c r="AG112" s="802">
        <f t="shared" si="49"/>
        <v>1</v>
      </c>
      <c r="AH112" s="172">
        <f t="shared" si="42"/>
        <v>7</v>
      </c>
      <c r="AI112" s="221">
        <f t="shared" si="43"/>
        <v>1.0281041951384993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45390</v>
      </c>
      <c r="B113" s="406">
        <f>'2023'!Wh/'2023'!Env_an*'2024'!Env_an</f>
        <v>34.301301263865483</v>
      </c>
      <c r="C113" s="385"/>
      <c r="D113" s="388">
        <f t="shared" si="25"/>
        <v>34.711309762019724</v>
      </c>
      <c r="E113" s="380">
        <f t="shared" si="47"/>
        <v>35.479084133701832</v>
      </c>
      <c r="F113" s="380">
        <f t="shared" si="26"/>
        <v>35.47982415627839</v>
      </c>
      <c r="G113" s="110">
        <f t="shared" si="48"/>
        <v>0.64013228785708765</v>
      </c>
      <c r="H113" s="409" t="b">
        <f>Wh_hp&gt;='2023'!Maxi_hp</f>
        <v>0</v>
      </c>
      <c r="I113" s="375">
        <f>IF(H113,Wh_hp,'2023'!Maxi_hp)</f>
        <v>35.480581616370678</v>
      </c>
      <c r="J113" s="85">
        <f>IF(H113,An,'2023'!An_max)</f>
        <v>2022</v>
      </c>
      <c r="K113" s="193">
        <f t="shared" si="27"/>
        <v>45390</v>
      </c>
      <c r="L113" s="143">
        <f>IF(t&lt;Tvie,1-EXP((T0-t)*PertePVj)+'2023'!Pspv,1-EXP((T0-t)*PertePVj)+Pspv)</f>
        <v>1.1811956995148032E-2</v>
      </c>
      <c r="M113" s="836"/>
      <c r="N113" s="836"/>
      <c r="O113" s="48">
        <f>IF(t&lt;Tnet,'2023'!Resal+('2023'!Salim-'2023'!Resal)*(1-EXP(('2023'!Tnet-t)/('2023'!Tau_j))),Resal+(Salim-Resal)*(1-EXP((Tnet-t)/(Tau_j))))*Salcycl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4.2923552093755541E-5</v>
      </c>
      <c r="Q113" s="301">
        <f t="shared" si="28"/>
        <v>0.5</v>
      </c>
      <c r="R113" s="173">
        <f t="shared" si="29"/>
        <v>2.9465334126065112E-2</v>
      </c>
      <c r="S113" s="802">
        <f t="shared" si="30"/>
        <v>1</v>
      </c>
      <c r="T113" s="172">
        <f t="shared" si="31"/>
        <v>7</v>
      </c>
      <c r="U113" s="247">
        <f t="shared" si="32"/>
        <v>1.0294653341260651</v>
      </c>
      <c r="V113" s="378">
        <f t="shared" si="33"/>
        <v>53.583524853394671</v>
      </c>
      <c r="W113" s="397">
        <f t="shared" si="34"/>
        <v>34.301301263865483</v>
      </c>
      <c r="X113" s="153">
        <f t="shared" si="35"/>
        <v>45390</v>
      </c>
      <c r="Y113" s="380">
        <f t="shared" si="36"/>
        <v>33.519554175990983</v>
      </c>
      <c r="Z113" s="380">
        <f t="shared" si="37"/>
        <v>33.920218336244737</v>
      </c>
      <c r="AA113" s="381">
        <f t="shared" si="38"/>
        <v>35.479084133701832</v>
      </c>
      <c r="AB113" s="193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4.3937599730098954E-2</v>
      </c>
      <c r="AD113" s="227">
        <f>(INDEX(Models!$BJ113:$BT113,,AH113)*(1-AF113)+INDEX(Models!$BJ113:$BT113,,AH113+1)*AF113-ERP_i)*AE113*Ramure*Pc/MaxiM</f>
        <v>4.2923552093755541E-5</v>
      </c>
      <c r="AE113" s="301">
        <f t="shared" si="40"/>
        <v>0.5</v>
      </c>
      <c r="AF113" s="173">
        <f t="shared" si="41"/>
        <v>2.9465334126065112E-2</v>
      </c>
      <c r="AG113" s="802">
        <f t="shared" si="49"/>
        <v>1</v>
      </c>
      <c r="AH113" s="172">
        <f t="shared" si="42"/>
        <v>7</v>
      </c>
      <c r="AI113" s="221">
        <f t="shared" si="43"/>
        <v>1.0294653341260651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45391</v>
      </c>
      <c r="B114" s="406">
        <f>'2023'!Wh/'2023'!Env_an*'2024'!Env_an</f>
        <v>56.198649273326353</v>
      </c>
      <c r="C114" s="385"/>
      <c r="D114" s="388">
        <f t="shared" si="25"/>
        <v>56.871178511008225</v>
      </c>
      <c r="E114" s="380">
        <f t="shared" si="47"/>
        <v>58.132582484966619</v>
      </c>
      <c r="F114" s="380">
        <f t="shared" si="26"/>
        <v>58.134973098692676</v>
      </c>
      <c r="G114" s="110">
        <f t="shared" si="48"/>
        <v>1.0419247187108809</v>
      </c>
      <c r="H114" s="409" t="b">
        <f>Wh_hp&gt;='2023'!Maxi_hp</f>
        <v>1</v>
      </c>
      <c r="I114" s="375">
        <f>IF(H114,Wh_hp,'2023'!Maxi_hp)</f>
        <v>58.134973098692676</v>
      </c>
      <c r="J114" s="85">
        <f>IF(H114,An,'2023'!An_max)</f>
        <v>2024</v>
      </c>
      <c r="K114" s="193">
        <f t="shared" si="27"/>
        <v>45391</v>
      </c>
      <c r="L114" s="143">
        <f>IF(t&lt;Tvie,1-EXP((T0-t)*PertePVj)+'2023'!Pspv,1-EXP((T0-t)*PertePVj)+Pspv)</f>
        <v>1.1825484459614177E-2</v>
      </c>
      <c r="M114" s="836"/>
      <c r="N114" s="836"/>
      <c r="O114" s="48">
        <f>IF(t&lt;Tnet,'2023'!Resal+('2023'!Salim-'2023'!Resal)*(1-EXP(('2023'!Tnet-t)/('2023'!Tau_j))),Resal+(Salim-Resal)*(1-EXP((Tnet-t)/(Tau_j))))*Salcycl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4.1121782614348715E-5</v>
      </c>
      <c r="Q114" s="301">
        <f t="shared" si="28"/>
        <v>0.5</v>
      </c>
      <c r="R114" s="173">
        <f t="shared" si="29"/>
        <v>3.0875140232407672E-2</v>
      </c>
      <c r="S114" s="802">
        <f t="shared" si="30"/>
        <v>1</v>
      </c>
      <c r="T114" s="172">
        <f t="shared" si="31"/>
        <v>7</v>
      </c>
      <c r="U114" s="247">
        <f t="shared" si="32"/>
        <v>1.0308751402324077</v>
      </c>
      <c r="V114" s="378">
        <f t="shared" si="33"/>
        <v>53.937341406832168</v>
      </c>
      <c r="W114" s="397">
        <f t="shared" si="34"/>
        <v>56.198649273326353</v>
      </c>
      <c r="X114" s="153">
        <f t="shared" si="35"/>
        <v>45391</v>
      </c>
      <c r="Y114" s="380">
        <f t="shared" si="36"/>
        <v>54.918644560034124</v>
      </c>
      <c r="Z114" s="380">
        <f t="shared" si="37"/>
        <v>55.575855981270394</v>
      </c>
      <c r="AA114" s="381">
        <f t="shared" si="38"/>
        <v>58.132582484966619</v>
      </c>
      <c r="AB114" s="193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4.398095516154657E-2</v>
      </c>
      <c r="AD114" s="227">
        <f>(INDEX(Models!$BJ114:$BT114,,AH114)*(1-AF114)+INDEX(Models!$BJ114:$BT114,,AH114+1)*AF114-ERP_i)*AE114*Ramure*Pc/MaxiM</f>
        <v>4.1121782614348715E-5</v>
      </c>
      <c r="AE114" s="301">
        <f t="shared" si="40"/>
        <v>0.5</v>
      </c>
      <c r="AF114" s="173">
        <f t="shared" si="41"/>
        <v>3.0875140232407672E-2</v>
      </c>
      <c r="AG114" s="802">
        <f t="shared" si="49"/>
        <v>1</v>
      </c>
      <c r="AH114" s="172">
        <f t="shared" si="42"/>
        <v>7</v>
      </c>
      <c r="AI114" s="221">
        <f t="shared" si="43"/>
        <v>1.0308751402324077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45392</v>
      </c>
      <c r="B115" s="406">
        <f>'2023'!Wh/'2023'!Env_an*'2024'!Env_an</f>
        <v>45.338565071878847</v>
      </c>
      <c r="C115" s="385"/>
      <c r="D115" s="388">
        <f t="shared" si="25"/>
        <v>45.881759764330177</v>
      </c>
      <c r="E115" s="380">
        <f t="shared" si="47"/>
        <v>46.902236675081745</v>
      </c>
      <c r="F115" s="380">
        <f t="shared" si="26"/>
        <v>46.903647743248108</v>
      </c>
      <c r="G115" s="110">
        <f t="shared" si="48"/>
        <v>0.83520840655509854</v>
      </c>
      <c r="H115" s="409" t="b">
        <f>Wh_hp&gt;='2023'!Maxi_hp</f>
        <v>0</v>
      </c>
      <c r="I115" s="375">
        <f>IF(H115,Wh_hp,'2023'!Maxi_hp)</f>
        <v>46.904067064445634</v>
      </c>
      <c r="J115" s="85">
        <f>IF(H115,An,'2023'!An_max)</f>
        <v>2022</v>
      </c>
      <c r="K115" s="193">
        <f t="shared" si="27"/>
        <v>45392</v>
      </c>
      <c r="L115" s="143">
        <f>IF(t&lt;Tvie,1-EXP((T0-t)*PertePVj)+'2023'!Pspv,1-EXP((T0-t)*PertePVj)+Pspv)</f>
        <v>1.1839011738900784E-2</v>
      </c>
      <c r="M115" s="836"/>
      <c r="N115" s="836"/>
      <c r="O115" s="48">
        <f>IF(t&lt;Tnet,'2023'!Resal+('2023'!Salim-'2023'!Resal)*(1-EXP(('2023'!Tnet-t)/('2023'!Tau_j))),Resal+(Salim-Resal)*(1-EXP((Tnet-t)/(Tau_j))))*Salcycl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3.9346871848337488E-5</v>
      </c>
      <c r="Q115" s="301">
        <f t="shared" si="28"/>
        <v>0.5</v>
      </c>
      <c r="R115" s="173">
        <f t="shared" si="29"/>
        <v>3.2335015698304881E-2</v>
      </c>
      <c r="S115" s="802">
        <f t="shared" si="30"/>
        <v>1</v>
      </c>
      <c r="T115" s="172">
        <f t="shared" si="31"/>
        <v>7</v>
      </c>
      <c r="U115" s="247">
        <f t="shared" si="32"/>
        <v>1.0323350156983049</v>
      </c>
      <c r="V115" s="378">
        <f t="shared" si="33"/>
        <v>54.283631194671202</v>
      </c>
      <c r="W115" s="397">
        <f t="shared" si="34"/>
        <v>45.338565071878847</v>
      </c>
      <c r="X115" s="153">
        <f t="shared" si="35"/>
        <v>45392</v>
      </c>
      <c r="Y115" s="380">
        <f t="shared" si="36"/>
        <v>44.30654323047105</v>
      </c>
      <c r="Z115" s="380">
        <f t="shared" si="37"/>
        <v>44.837373420740676</v>
      </c>
      <c r="AA115" s="381">
        <f t="shared" si="38"/>
        <v>46.902236675081745</v>
      </c>
      <c r="AB115" s="193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4.4024835502953601E-2</v>
      </c>
      <c r="AD115" s="227">
        <f>(INDEX(Models!$BJ115:$BT115,,AH115)*(1-AF115)+INDEX(Models!$BJ115:$BT115,,AH115+1)*AF115-ERP_i)*AE115*Ramure*Pc/MaxiM</f>
        <v>3.9346871848337488E-5</v>
      </c>
      <c r="AE115" s="301">
        <f t="shared" si="40"/>
        <v>0.5</v>
      </c>
      <c r="AF115" s="173">
        <f t="shared" si="41"/>
        <v>3.2335015698304881E-2</v>
      </c>
      <c r="AG115" s="802">
        <f t="shared" si="49"/>
        <v>1</v>
      </c>
      <c r="AH115" s="172">
        <f t="shared" si="42"/>
        <v>7</v>
      </c>
      <c r="AI115" s="221">
        <f t="shared" si="43"/>
        <v>1.0323350156983049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45393</v>
      </c>
      <c r="B116" s="406">
        <f>'2023'!Wh/'2023'!Env_an*'2024'!Env_an</f>
        <v>37.829581702582537</v>
      </c>
      <c r="C116" s="385"/>
      <c r="D116" s="388">
        <f t="shared" si="25"/>
        <v>38.283336434327602</v>
      </c>
      <c r="E116" s="380">
        <f t="shared" si="47"/>
        <v>39.13717538927304</v>
      </c>
      <c r="F116" s="380">
        <f t="shared" si="26"/>
        <v>39.138000563984122</v>
      </c>
      <c r="G116" s="110">
        <f t="shared" si="48"/>
        <v>0.69255799151939668</v>
      </c>
      <c r="H116" s="409" t="b">
        <f>Wh_hp&gt;='2023'!Maxi_hp</f>
        <v>0</v>
      </c>
      <c r="I116" s="375">
        <f>IF(H116,Wh_hp,'2023'!Maxi_hp)</f>
        <v>39.138623490789477</v>
      </c>
      <c r="J116" s="85">
        <f>IF(H116,An,'2023'!An_max)</f>
        <v>2022</v>
      </c>
      <c r="K116" s="193">
        <f t="shared" si="27"/>
        <v>45393</v>
      </c>
      <c r="L116" s="143">
        <f>IF(t&lt;Tvie,1-EXP((T0-t)*PertePVj)+'2023'!Pspv,1-EXP((T0-t)*PertePVj)+Pspv)</f>
        <v>1.1852538833010295E-2</v>
      </c>
      <c r="M116" s="836"/>
      <c r="N116" s="836"/>
      <c r="O116" s="48">
        <f>IF(t&lt;Tnet,'2023'!Resal+('2023'!Salim-'2023'!Resal)*(1-EXP(('2023'!Tnet-t)/('2023'!Tau_j))),Resal+(Salim-Resal)*(1-EXP((Tnet-t)/(Tau_j))))*Salcycl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3.7594891925856001E-5</v>
      </c>
      <c r="Q116" s="301">
        <f t="shared" si="28"/>
        <v>0.5</v>
      </c>
      <c r="R116" s="173">
        <f t="shared" si="29"/>
        <v>3.3846376566933234E-2</v>
      </c>
      <c r="S116" s="802">
        <f t="shared" si="30"/>
        <v>1</v>
      </c>
      <c r="T116" s="172">
        <f t="shared" si="31"/>
        <v>7</v>
      </c>
      <c r="U116" s="247">
        <f t="shared" si="32"/>
        <v>1.0338463765669332</v>
      </c>
      <c r="V116" s="378">
        <f t="shared" si="33"/>
        <v>54.622078644644311</v>
      </c>
      <c r="W116" s="397">
        <f t="shared" si="34"/>
        <v>37.829581702582537</v>
      </c>
      <c r="X116" s="153">
        <f t="shared" si="35"/>
        <v>45393</v>
      </c>
      <c r="Y116" s="380">
        <f t="shared" si="36"/>
        <v>36.968997043036744</v>
      </c>
      <c r="Z116" s="380">
        <f t="shared" si="37"/>
        <v>37.412429314321997</v>
      </c>
      <c r="AA116" s="381">
        <f t="shared" si="38"/>
        <v>39.13717538927304</v>
      </c>
      <c r="AB116" s="193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4.4069252770443178E-2</v>
      </c>
      <c r="AD116" s="227">
        <f>(INDEX(Models!$BJ116:$BT116,,AH116)*(1-AF116)+INDEX(Models!$BJ116:$BT116,,AH116+1)*AF116-ERP_i)*AE116*Ramure*Pc/MaxiM</f>
        <v>3.7594891925856001E-5</v>
      </c>
      <c r="AE116" s="301">
        <f t="shared" si="40"/>
        <v>0.5</v>
      </c>
      <c r="AF116" s="173">
        <f t="shared" si="41"/>
        <v>3.3846376566933234E-2</v>
      </c>
      <c r="AG116" s="802">
        <f t="shared" si="49"/>
        <v>1</v>
      </c>
      <c r="AH116" s="172">
        <f t="shared" si="42"/>
        <v>7</v>
      </c>
      <c r="AI116" s="221">
        <f t="shared" si="43"/>
        <v>1.0338463765669332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45394</v>
      </c>
      <c r="B117" s="406">
        <f>'2023'!Wh/'2023'!Env_an*'2024'!Env_an</f>
        <v>8.7475081051235914</v>
      </c>
      <c r="C117" s="385"/>
      <c r="D117" s="388">
        <f t="shared" si="25"/>
        <v>8.8525530819784066</v>
      </c>
      <c r="E117" s="380">
        <f t="shared" si="47"/>
        <v>9.0505415213643019</v>
      </c>
      <c r="F117" s="380">
        <f t="shared" si="26"/>
        <v>9.0505415213643019</v>
      </c>
      <c r="G117" s="110">
        <f t="shared" si="48"/>
        <v>0.15917775107972379</v>
      </c>
      <c r="H117" s="409" t="b">
        <f>Wh_hp&gt;='2023'!Maxi_hp</f>
        <v>0</v>
      </c>
      <c r="I117" s="375">
        <f>IF(H117,Wh_hp,'2023'!Maxi_hp)</f>
        <v>9.0508539778178534</v>
      </c>
      <c r="J117" s="85">
        <f>IF(H117,An,'2023'!An_max)</f>
        <v>2022</v>
      </c>
      <c r="K117" s="193">
        <f t="shared" si="27"/>
        <v>45394</v>
      </c>
      <c r="L117" s="143">
        <f>IF(t&lt;Tvie,1-EXP((T0-t)*PertePVj)+'2023'!Pspv,1-EXP((T0-t)*PertePVj)+Pspv)</f>
        <v>1.1866065741945264E-2</v>
      </c>
      <c r="M117" s="836"/>
      <c r="N117" s="836"/>
      <c r="O117" s="48">
        <f>IF(t&lt;Tnet,'2023'!Resal+('2023'!Salim-'2023'!Resal)*(1-EXP(('2023'!Tnet-t)/('2023'!Tau_j))),Resal+(Salim-Resal)*(1-EXP((Tnet-t)/(Tau_j))))*Salcycl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3.5861779276277108E-5</v>
      </c>
      <c r="Q117" s="301">
        <f t="shared" si="28"/>
        <v>0.5</v>
      </c>
      <c r="R117" s="173">
        <f t="shared" si="29"/>
        <v>3.5410650499854812E-2</v>
      </c>
      <c r="S117" s="802">
        <f t="shared" si="30"/>
        <v>1</v>
      </c>
      <c r="T117" s="172">
        <f t="shared" si="31"/>
        <v>7</v>
      </c>
      <c r="U117" s="247">
        <f t="shared" si="32"/>
        <v>1.0354106504998548</v>
      </c>
      <c r="V117" s="378">
        <f t="shared" si="33"/>
        <v>54.952368308920867</v>
      </c>
      <c r="W117" s="397">
        <f t="shared" si="34"/>
        <v>8.7475081051235914</v>
      </c>
      <c r="X117" s="153">
        <f t="shared" si="35"/>
        <v>45394</v>
      </c>
      <c r="Y117" s="380">
        <f t="shared" si="36"/>
        <v>8.5486272520533824</v>
      </c>
      <c r="Z117" s="380">
        <f t="shared" si="37"/>
        <v>8.6512839562302464</v>
      </c>
      <c r="AA117" s="381">
        <f t="shared" si="38"/>
        <v>9.0505415213643019</v>
      </c>
      <c r="AB117" s="193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4.4114218380368289E-2</v>
      </c>
      <c r="AD117" s="227">
        <f>(INDEX(Models!$BJ117:$BT117,,AH117)*(1-AF117)+INDEX(Models!$BJ117:$BT117,,AH117+1)*AF117-ERP_i)*AE117*Ramure*Pc/MaxiM</f>
        <v>3.5861779276277108E-5</v>
      </c>
      <c r="AE117" s="301">
        <f t="shared" si="40"/>
        <v>0.5</v>
      </c>
      <c r="AF117" s="173">
        <f t="shared" si="41"/>
        <v>3.5410650499854812E-2</v>
      </c>
      <c r="AG117" s="802">
        <f t="shared" si="49"/>
        <v>1</v>
      </c>
      <c r="AH117" s="172">
        <f t="shared" si="42"/>
        <v>7</v>
      </c>
      <c r="AI117" s="221">
        <f t="shared" si="43"/>
        <v>1.0354106504998548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45395</v>
      </c>
      <c r="B118" s="406">
        <f>'2023'!Wh/'2023'!Env_an*'2024'!Env_an</f>
        <v>40.381663944995992</v>
      </c>
      <c r="C118" s="385"/>
      <c r="D118" s="388">
        <f t="shared" si="25"/>
        <v>40.867149020596038</v>
      </c>
      <c r="E118" s="380">
        <f t="shared" si="47"/>
        <v>41.783692125149514</v>
      </c>
      <c r="F118" s="380">
        <f t="shared" si="26"/>
        <v>41.784569666285918</v>
      </c>
      <c r="G118" s="110">
        <f t="shared" si="48"/>
        <v>0.73056044776879348</v>
      </c>
      <c r="H118" s="409" t="b">
        <f>Wh_hp&gt;='2023'!Maxi_hp</f>
        <v>0</v>
      </c>
      <c r="I118" s="375">
        <f>IF(H118,Wh_hp,'2023'!Maxi_hp)</f>
        <v>41.785097562255523</v>
      </c>
      <c r="J118" s="85">
        <f>IF(H118,An,'2023'!An_max)</f>
        <v>2022</v>
      </c>
      <c r="K118" s="193">
        <f t="shared" si="27"/>
        <v>45395</v>
      </c>
      <c r="L118" s="143">
        <f>IF(t&lt;Tvie,1-EXP((T0-t)*PertePVj)+'2023'!Pspv,1-EXP((T0-t)*PertePVj)+Pspv)</f>
        <v>1.1879592465708133E-2</v>
      </c>
      <c r="M118" s="836"/>
      <c r="N118" s="836"/>
      <c r="O118" s="48">
        <f>IF(t&lt;Tnet,'2023'!Resal+('2023'!Salim-'2023'!Resal)*(1-EXP(('2023'!Tnet-t)/('2023'!Tau_j))),Resal+(Salim-Resal)*(1-EXP((Tnet-t)/(Tau_j))))*Salcycl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3.4143321997636374E-5</v>
      </c>
      <c r="Q118" s="301">
        <f t="shared" si="28"/>
        <v>0.5</v>
      </c>
      <c r="R118" s="173">
        <f t="shared" si="29"/>
        <v>3.7029274379418275E-2</v>
      </c>
      <c r="S118" s="802">
        <f t="shared" si="30"/>
        <v>1</v>
      </c>
      <c r="T118" s="172">
        <f t="shared" si="31"/>
        <v>7</v>
      </c>
      <c r="U118" s="247">
        <f t="shared" si="32"/>
        <v>1.0370292743794183</v>
      </c>
      <c r="V118" s="378">
        <f t="shared" si="33"/>
        <v>55.27418486855106</v>
      </c>
      <c r="W118" s="397">
        <f t="shared" si="34"/>
        <v>40.381663944995992</v>
      </c>
      <c r="X118" s="153">
        <f t="shared" si="35"/>
        <v>45395</v>
      </c>
      <c r="Y118" s="380">
        <f t="shared" si="36"/>
        <v>39.464081494689054</v>
      </c>
      <c r="Z118" s="380">
        <f t="shared" si="37"/>
        <v>39.938535014336793</v>
      </c>
      <c r="AA118" s="381">
        <f t="shared" si="38"/>
        <v>41.783692125149514</v>
      </c>
      <c r="AB118" s="193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4.4159743119065446E-2</v>
      </c>
      <c r="AD118" s="227">
        <f>(INDEX(Models!$BJ118:$BT118,,AH118)*(1-AF118)+INDEX(Models!$BJ118:$BT118,,AH118+1)*AF118-ERP_i)*AE118*Ramure*Pc/MaxiM</f>
        <v>3.4143321997636374E-5</v>
      </c>
      <c r="AE118" s="301">
        <f t="shared" si="40"/>
        <v>0.5</v>
      </c>
      <c r="AF118" s="173">
        <f t="shared" si="41"/>
        <v>3.7029274379418275E-2</v>
      </c>
      <c r="AG118" s="802">
        <f t="shared" si="49"/>
        <v>1</v>
      </c>
      <c r="AH118" s="172">
        <f t="shared" si="42"/>
        <v>7</v>
      </c>
      <c r="AI118" s="221">
        <f t="shared" si="43"/>
        <v>1.0370292743794183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45396</v>
      </c>
      <c r="B119" s="406">
        <f>'2023'!Wh/'2023'!Env_an*'2024'!Env_an</f>
        <v>44.24975287036748</v>
      </c>
      <c r="C119" s="385"/>
      <c r="D119" s="388">
        <f t="shared" si="25"/>
        <v>44.782354744638312</v>
      </c>
      <c r="E119" s="380">
        <f t="shared" si="47"/>
        <v>45.789506691819668</v>
      </c>
      <c r="F119" s="380">
        <f t="shared" si="26"/>
        <v>45.790559167728887</v>
      </c>
      <c r="G119" s="110">
        <f t="shared" si="48"/>
        <v>0.79603441489852556</v>
      </c>
      <c r="H119" s="409" t="b">
        <f>Wh_hp&gt;='2023'!Maxi_hp</f>
        <v>0</v>
      </c>
      <c r="I119" s="375">
        <f>IF(H119,Wh_hp,'2023'!Maxi_hp)</f>
        <v>45.790974578011351</v>
      </c>
      <c r="J119" s="85">
        <f>IF(H119,An,'2023'!An_max)</f>
        <v>2022</v>
      </c>
      <c r="K119" s="193">
        <f t="shared" si="27"/>
        <v>45396</v>
      </c>
      <c r="L119" s="143">
        <f>IF(t&lt;Tvie,1-EXP((T0-t)*PertePVj)+'2023'!Pspv,1-EXP((T0-t)*PertePVj)+Pspv)</f>
        <v>1.1893119004301567E-2</v>
      </c>
      <c r="M119" s="836"/>
      <c r="N119" s="836"/>
      <c r="O119" s="48">
        <f>IF(t&lt;Tnet,'2023'!Resal+('2023'!Salim-'2023'!Resal)*(1-EXP(('2023'!Tnet-t)/('2023'!Tau_j))),Resal+(Salim-Resal)*(1-EXP((Tnet-t)/(Tau_j))))*Salcycl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3.2435146300588916E-5</v>
      </c>
      <c r="Q119" s="301">
        <f t="shared" si="28"/>
        <v>0.5</v>
      </c>
      <c r="R119" s="173">
        <f t="shared" si="29"/>
        <v>3.8703691688949826E-2</v>
      </c>
      <c r="S119" s="802">
        <f t="shared" si="30"/>
        <v>1</v>
      </c>
      <c r="T119" s="172">
        <f t="shared" si="31"/>
        <v>7</v>
      </c>
      <c r="U119" s="247">
        <f t="shared" si="32"/>
        <v>1.0387036916889498</v>
      </c>
      <c r="V119" s="378">
        <f t="shared" si="33"/>
        <v>55.587213123619279</v>
      </c>
      <c r="W119" s="397">
        <f t="shared" si="34"/>
        <v>44.24975287036748</v>
      </c>
      <c r="X119" s="153">
        <f t="shared" si="35"/>
        <v>45396</v>
      </c>
      <c r="Y119" s="380">
        <f t="shared" si="36"/>
        <v>43.244836782421046</v>
      </c>
      <c r="Z119" s="380">
        <f t="shared" si="37"/>
        <v>43.765343217571733</v>
      </c>
      <c r="AA119" s="381">
        <f t="shared" si="38"/>
        <v>45.789506691819668</v>
      </c>
      <c r="AB119" s="193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4.4205837111793024E-2</v>
      </c>
      <c r="AD119" s="227">
        <f>(INDEX(Models!$BJ119:$BT119,,AH119)*(1-AF119)+INDEX(Models!$BJ119:$BT119,,AH119+1)*AF119-ERP_i)*AE119*Ramure*Pc/MaxiM</f>
        <v>3.2435146300588916E-5</v>
      </c>
      <c r="AE119" s="301">
        <f t="shared" si="40"/>
        <v>0.5</v>
      </c>
      <c r="AF119" s="173">
        <f t="shared" si="41"/>
        <v>3.8703691688949826E-2</v>
      </c>
      <c r="AG119" s="802">
        <f t="shared" si="49"/>
        <v>1</v>
      </c>
      <c r="AH119" s="172">
        <f t="shared" si="42"/>
        <v>7</v>
      </c>
      <c r="AI119" s="221">
        <f t="shared" si="43"/>
        <v>1.0387036916889498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45397</v>
      </c>
      <c r="B120" s="406">
        <f>'2023'!Wh/'2023'!Env_an*'2024'!Env_an</f>
        <v>40.26303313189247</v>
      </c>
      <c r="C120" s="385"/>
      <c r="D120" s="388">
        <f t="shared" si="25"/>
        <v>40.74820758861317</v>
      </c>
      <c r="E120" s="380">
        <f t="shared" si="47"/>
        <v>41.667192655131316</v>
      </c>
      <c r="F120" s="380">
        <f t="shared" si="26"/>
        <v>41.667961697458743</v>
      </c>
      <c r="G120" s="110">
        <f t="shared" si="48"/>
        <v>0.7203742895937475</v>
      </c>
      <c r="H120" s="409" t="b">
        <f>Wh_hp&gt;='2023'!Maxi_hp</f>
        <v>0</v>
      </c>
      <c r="I120" s="375">
        <f>IF(H120,Wh_hp,'2023'!Maxi_hp)</f>
        <v>41.668451970182822</v>
      </c>
      <c r="J120" s="85">
        <f>IF(H120,An,'2023'!An_max)</f>
        <v>2022</v>
      </c>
      <c r="K120" s="193">
        <f t="shared" si="27"/>
        <v>45397</v>
      </c>
      <c r="L120" s="143">
        <f>IF(t&lt;Tvie,1-EXP((T0-t)*PertePVj)+'2023'!Pspv,1-EXP((T0-t)*PertePVj)+Pspv)</f>
        <v>1.1906645357728007E-2</v>
      </c>
      <c r="M120" s="836"/>
      <c r="N120" s="836"/>
      <c r="O120" s="48">
        <f>IF(t&lt;Tnet,'2023'!Resal+('2023'!Salim-'2023'!Resal)*(1-EXP(('2023'!Tnet-t)/('2023'!Tau_j))),Resal+(Salim-Resal)*(1-EXP((Tnet-t)/(Tau_j))))*Salcycl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3.0732701974337067E-5</v>
      </c>
      <c r="Q120" s="301">
        <f t="shared" si="28"/>
        <v>0.5</v>
      </c>
      <c r="R120" s="173">
        <f t="shared" si="29"/>
        <v>4.0435349662592213E-2</v>
      </c>
      <c r="S120" s="802">
        <f t="shared" si="30"/>
        <v>1</v>
      </c>
      <c r="T120" s="172">
        <f t="shared" si="31"/>
        <v>7</v>
      </c>
      <c r="U120" s="247">
        <f t="shared" si="32"/>
        <v>1.0404353496625922</v>
      </c>
      <c r="V120" s="378">
        <f t="shared" si="33"/>
        <v>55.891138016630613</v>
      </c>
      <c r="W120" s="397">
        <f t="shared" si="34"/>
        <v>40.26303313189247</v>
      </c>
      <c r="X120" s="153">
        <f t="shared" si="35"/>
        <v>45397</v>
      </c>
      <c r="Y120" s="380">
        <f t="shared" si="36"/>
        <v>39.349152717867021</v>
      </c>
      <c r="Z120" s="380">
        <f t="shared" si="37"/>
        <v>39.823314804209907</v>
      </c>
      <c r="AA120" s="381">
        <f t="shared" si="38"/>
        <v>41.667192655131316</v>
      </c>
      <c r="AB120" s="193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4.4252509790681384E-2</v>
      </c>
      <c r="AD120" s="227">
        <f>(INDEX(Models!$BJ120:$BT120,,AH120)*(1-AF120)+INDEX(Models!$BJ120:$BT120,,AH120+1)*AF120-ERP_i)*AE120*Ramure*Pc/MaxiM</f>
        <v>3.0732701974337067E-5</v>
      </c>
      <c r="AE120" s="301">
        <f t="shared" si="40"/>
        <v>0.5</v>
      </c>
      <c r="AF120" s="173">
        <f t="shared" si="41"/>
        <v>4.0435349662592213E-2</v>
      </c>
      <c r="AG120" s="802">
        <f t="shared" si="49"/>
        <v>1</v>
      </c>
      <c r="AH120" s="172">
        <f t="shared" si="42"/>
        <v>7</v>
      </c>
      <c r="AI120" s="221">
        <f t="shared" si="43"/>
        <v>1.0404353496625922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45398</v>
      </c>
      <c r="B121" s="406">
        <f>'2023'!Wh/'2023'!Env_an*'2024'!Env_an</f>
        <v>55.762960328296188</v>
      </c>
      <c r="C121" s="385"/>
      <c r="D121" s="388">
        <f t="shared" si="25"/>
        <v>56.435683354063087</v>
      </c>
      <c r="E121" s="380">
        <f t="shared" si="47"/>
        <v>57.712028264970407</v>
      </c>
      <c r="F121" s="380">
        <f t="shared" si="26"/>
        <v>57.71368573441562</v>
      </c>
      <c r="G121" s="110">
        <f t="shared" si="48"/>
        <v>0.99247079262122018</v>
      </c>
      <c r="H121" s="409" t="b">
        <f>Wh_hp&gt;='2023'!Maxi_hp</f>
        <v>0</v>
      </c>
      <c r="I121" s="375">
        <f>IF(H121,Wh_hp,'2023'!Maxi_hp)</f>
        <v>57.713702978018006</v>
      </c>
      <c r="J121" s="85">
        <f>IF(H121,An,'2023'!An_max)</f>
        <v>2022</v>
      </c>
      <c r="K121" s="193">
        <f t="shared" si="27"/>
        <v>45398</v>
      </c>
      <c r="L121" s="143">
        <f>IF(t&lt;Tvie,1-EXP((T0-t)*PertePVj)+'2023'!Pspv,1-EXP((T0-t)*PertePVj)+Pspv)</f>
        <v>1.192017152599012E-2</v>
      </c>
      <c r="M121" s="836"/>
      <c r="N121" s="836"/>
      <c r="O121" s="48">
        <f>IF(t&lt;Tnet,'2023'!Resal+('2023'!Salim-'2023'!Resal)*(1-EXP(('2023'!Tnet-t)/('2023'!Tau_j))),Resal+(Salim-Resal)*(1-EXP((Tnet-t)/(Tau_j))))*Salcycl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2.9031074231206153E-5</v>
      </c>
      <c r="Q121" s="301">
        <f t="shared" si="28"/>
        <v>0.5</v>
      </c>
      <c r="R121" s="173">
        <f t="shared" si="29"/>
        <v>4.2225696197268903E-2</v>
      </c>
      <c r="S121" s="802">
        <f t="shared" si="30"/>
        <v>1</v>
      </c>
      <c r="T121" s="172">
        <f t="shared" si="31"/>
        <v>7</v>
      </c>
      <c r="U121" s="247">
        <f t="shared" si="32"/>
        <v>1.0422256961972689</v>
      </c>
      <c r="V121" s="378">
        <f t="shared" si="33"/>
        <v>56.185978802233976</v>
      </c>
      <c r="W121" s="397">
        <f t="shared" si="34"/>
        <v>55.762960328296188</v>
      </c>
      <c r="X121" s="153">
        <f t="shared" si="35"/>
        <v>45398</v>
      </c>
      <c r="Y121" s="380">
        <f t="shared" si="36"/>
        <v>54.497936881565131</v>
      </c>
      <c r="Z121" s="380">
        <f t="shared" si="37"/>
        <v>55.155398694589003</v>
      </c>
      <c r="AA121" s="381">
        <f t="shared" si="38"/>
        <v>57.712028264970407</v>
      </c>
      <c r="AB121" s="193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4.4299769861549022E-2</v>
      </c>
      <c r="AD121" s="227">
        <f>(INDEX(Models!$BJ121:$BT121,,AH121)*(1-AF121)+INDEX(Models!$BJ121:$BT121,,AH121+1)*AF121-ERP_i)*AE121*Ramure*Pc/MaxiM</f>
        <v>2.9031074231206153E-5</v>
      </c>
      <c r="AE121" s="301">
        <f t="shared" si="40"/>
        <v>0.5</v>
      </c>
      <c r="AF121" s="173">
        <f t="shared" si="41"/>
        <v>4.2225696197268903E-2</v>
      </c>
      <c r="AG121" s="802">
        <f t="shared" si="49"/>
        <v>1</v>
      </c>
      <c r="AH121" s="172">
        <f t="shared" si="42"/>
        <v>7</v>
      </c>
      <c r="AI121" s="221">
        <f t="shared" si="43"/>
        <v>1.0422256961972689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45399</v>
      </c>
      <c r="B122" s="406">
        <f>'2023'!Wh/'2023'!Env_an*'2024'!Env_an</f>
        <v>35.574352313639075</v>
      </c>
      <c r="C122" s="385"/>
      <c r="D122" s="388">
        <f t="shared" si="25"/>
        <v>36.00401331768559</v>
      </c>
      <c r="E122" s="380">
        <f t="shared" si="47"/>
        <v>36.820561887416751</v>
      </c>
      <c r="F122" s="380">
        <f t="shared" si="26"/>
        <v>36.821036523889212</v>
      </c>
      <c r="G122" s="110">
        <f t="shared" si="48"/>
        <v>0.62993645881098892</v>
      </c>
      <c r="H122" s="409" t="b">
        <f>Wh_hp&gt;='2023'!Maxi_hp</f>
        <v>0</v>
      </c>
      <c r="I122" s="375">
        <f>IF(H122,Wh_hp,'2023'!Maxi_hp)</f>
        <v>36.821545007941346</v>
      </c>
      <c r="J122" s="85">
        <f>IF(H122,An,'2023'!An_max)</f>
        <v>2022</v>
      </c>
      <c r="K122" s="193">
        <f t="shared" si="27"/>
        <v>45399</v>
      </c>
      <c r="L122" s="143">
        <f>IF(t&lt;Tvie,1-EXP((T0-t)*PertePVj)+'2023'!Pspv,1-EXP((T0-t)*PertePVj)+Pspv)</f>
        <v>1.1933697509090235E-2</v>
      </c>
      <c r="M122" s="836"/>
      <c r="N122" s="836"/>
      <c r="O122" s="48">
        <f>IF(t&lt;Tnet,'2023'!Resal+('2023'!Salim-'2023'!Resal)*(1-EXP(('2023'!Tnet-t)/('2023'!Tau_j))),Resal+(Salim-Resal)*(1-EXP((Tnet-t)/(Tau_j))))*Salcycl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2.7347702133198311E-5</v>
      </c>
      <c r="Q122" s="301">
        <f t="shared" si="28"/>
        <v>0.5</v>
      </c>
      <c r="R122" s="173">
        <f t="shared" si="29"/>
        <v>4.4076176519991961E-2</v>
      </c>
      <c r="S122" s="802">
        <f t="shared" si="30"/>
        <v>1</v>
      </c>
      <c r="T122" s="172">
        <f t="shared" si="31"/>
        <v>7</v>
      </c>
      <c r="U122" s="247">
        <f t="shared" si="32"/>
        <v>1.044076176519992</v>
      </c>
      <c r="V122" s="378">
        <f t="shared" si="33"/>
        <v>56.472105239990277</v>
      </c>
      <c r="W122" s="397">
        <f t="shared" si="34"/>
        <v>35.574352313639075</v>
      </c>
      <c r="X122" s="153">
        <f t="shared" si="35"/>
        <v>45399</v>
      </c>
      <c r="Y122" s="380">
        <f t="shared" si="36"/>
        <v>34.767738547078167</v>
      </c>
      <c r="Z122" s="380">
        <f t="shared" si="37"/>
        <v>35.187657406622293</v>
      </c>
      <c r="AA122" s="381">
        <f t="shared" si="38"/>
        <v>36.820561887416751</v>
      </c>
      <c r="AB122" s="193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4.4347625269469206E-2</v>
      </c>
      <c r="AD122" s="227">
        <f>(INDEX(Models!$BJ122:$BT122,,AH122)*(1-AF122)+INDEX(Models!$BJ122:$BT122,,AH122+1)*AF122-ERP_i)*AE122*Ramure*Pc/MaxiM</f>
        <v>2.7347702133198311E-5</v>
      </c>
      <c r="AE122" s="301">
        <f t="shared" si="40"/>
        <v>0.5</v>
      </c>
      <c r="AF122" s="173">
        <f t="shared" si="41"/>
        <v>4.4076176519991961E-2</v>
      </c>
      <c r="AG122" s="802">
        <f t="shared" si="49"/>
        <v>1</v>
      </c>
      <c r="AH122" s="172">
        <f t="shared" si="42"/>
        <v>7</v>
      </c>
      <c r="AI122" s="221">
        <f t="shared" si="43"/>
        <v>1.044076176519992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45400</v>
      </c>
      <c r="B123" s="406">
        <f>'2023'!Wh/'2023'!Env_an*'2024'!Env_an</f>
        <v>11.704340863291158</v>
      </c>
      <c r="C123" s="385"/>
      <c r="D123" s="388">
        <f t="shared" si="25"/>
        <v>11.845866070500612</v>
      </c>
      <c r="E123" s="380">
        <f t="shared" si="47"/>
        <v>12.115278341421204</v>
      </c>
      <c r="F123" s="380">
        <f t="shared" si="26"/>
        <v>12.115278341421204</v>
      </c>
      <c r="G123" s="110">
        <f t="shared" si="48"/>
        <v>0.20623957723833961</v>
      </c>
      <c r="H123" s="409" t="b">
        <f>Wh_hp&gt;='2023'!Maxi_hp</f>
        <v>0</v>
      </c>
      <c r="I123" s="375">
        <f>IF(H123,Wh_hp,'2023'!Maxi_hp)</f>
        <v>12.115576343034617</v>
      </c>
      <c r="J123" s="85">
        <f>IF(H123,An,'2023'!An_max)</f>
        <v>2022</v>
      </c>
      <c r="K123" s="193">
        <f t="shared" si="27"/>
        <v>45400</v>
      </c>
      <c r="L123" s="143">
        <f>IF(t&lt;Tvie,1-EXP((T0-t)*PertePVj)+'2023'!Pspv,1-EXP((T0-t)*PertePVj)+Pspv)</f>
        <v>1.194722330703113E-2</v>
      </c>
      <c r="M123" s="836"/>
      <c r="N123" s="836"/>
      <c r="O123" s="48">
        <f>IF(t&lt;Tnet,'2023'!Resal+('2023'!Salim-'2023'!Resal)*(1-EXP(('2023'!Tnet-t)/('2023'!Tau_j))),Resal+(Salim-Resal)*(1-EXP((Tnet-t)/(Tau_j))))*Salcycl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2.5797957221001811E-5</v>
      </c>
      <c r="Q123" s="301">
        <f t="shared" si="28"/>
        <v>0.5</v>
      </c>
      <c r="R123" s="173">
        <f t="shared" si="29"/>
        <v>4.5988229604628783E-2</v>
      </c>
      <c r="S123" s="802">
        <f t="shared" si="30"/>
        <v>1</v>
      </c>
      <c r="T123" s="172">
        <f t="shared" si="31"/>
        <v>7</v>
      </c>
      <c r="U123" s="247">
        <f t="shared" si="32"/>
        <v>1.0459882296046288</v>
      </c>
      <c r="V123" s="378">
        <f t="shared" si="33"/>
        <v>56.749723171128117</v>
      </c>
      <c r="W123" s="397">
        <f t="shared" si="34"/>
        <v>11.704340863291158</v>
      </c>
      <c r="X123" s="153">
        <f t="shared" si="35"/>
        <v>45400</v>
      </c>
      <c r="Y123" s="380">
        <f t="shared" si="36"/>
        <v>11.439089564670562</v>
      </c>
      <c r="Z123" s="380">
        <f t="shared" si="37"/>
        <v>11.577407436632493</v>
      </c>
      <c r="AA123" s="381">
        <f t="shared" si="38"/>
        <v>12.115278341421204</v>
      </c>
      <c r="AB123" s="193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4.4396083163006757E-2</v>
      </c>
      <c r="AD123" s="227">
        <f>(INDEX(Models!$BJ123:$BT123,,AH123)*(1-AF123)+INDEX(Models!$BJ123:$BT123,,AH123+1)*AF123-ERP_i)*AE123*Ramure*Pc/MaxiM</f>
        <v>2.5797957221001811E-5</v>
      </c>
      <c r="AE123" s="301">
        <f t="shared" si="40"/>
        <v>0.5</v>
      </c>
      <c r="AF123" s="173">
        <f t="shared" si="41"/>
        <v>4.5988229604628783E-2</v>
      </c>
      <c r="AG123" s="802">
        <f t="shared" si="49"/>
        <v>1</v>
      </c>
      <c r="AH123" s="172">
        <f t="shared" si="42"/>
        <v>7</v>
      </c>
      <c r="AI123" s="221">
        <f t="shared" si="43"/>
        <v>1.0459882296046288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6"/>
        <v>45401</v>
      </c>
      <c r="B124" s="406">
        <f>'2023'!Wh/'2023'!Env_an*'2024'!Env_an</f>
        <v>11.728876200851095</v>
      </c>
      <c r="C124" s="385"/>
      <c r="D124" s="388">
        <f t="shared" si="25"/>
        <v>11.870860583755524</v>
      </c>
      <c r="E124" s="380">
        <f t="shared" si="47"/>
        <v>12.141602107339336</v>
      </c>
      <c r="F124" s="380">
        <f t="shared" si="26"/>
        <v>12.141602107339336</v>
      </c>
      <c r="G124" s="110">
        <f t="shared" si="48"/>
        <v>0.20569601366921081</v>
      </c>
      <c r="H124" s="409" t="b">
        <f>Wh_hp&gt;='2023'!Maxi_hp</f>
        <v>0</v>
      </c>
      <c r="I124" s="375">
        <f>IF(H124,Wh_hp,'2023'!Maxi_hp)</f>
        <v>12.141883816288592</v>
      </c>
      <c r="J124" s="85">
        <f>IF(H124,An,'2023'!An_max)</f>
        <v>2022</v>
      </c>
      <c r="K124" s="193">
        <f t="shared" si="27"/>
        <v>45401</v>
      </c>
      <c r="L124" s="143">
        <f>IF(t&lt;Tvie,1-EXP((T0-t)*PertePVj)+'2023'!Pspv,1-EXP((T0-t)*PertePVj)+Pspv)</f>
        <v>1.1960748919815023E-2</v>
      </c>
      <c r="M124" s="836"/>
      <c r="N124" s="836"/>
      <c r="O124" s="48">
        <f>IF(t&lt;Tnet,'2023'!Resal+('2023'!Salim-'2023'!Resal)*(1-EXP(('2023'!Tnet-t)/('2023'!Tau_j))),Resal+(Salim-Resal)*(1-EXP((Tnet-t)/(Tau_j))))*Salcycl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2.4381062366566229E-5</v>
      </c>
      <c r="Q124" s="301">
        <f t="shared" si="28"/>
        <v>0.5</v>
      </c>
      <c r="R124" s="173">
        <f t="shared" si="29"/>
        <v>4.7963284333297995E-2</v>
      </c>
      <c r="S124" s="802">
        <f t="shared" si="30"/>
        <v>1</v>
      </c>
      <c r="T124" s="172">
        <f t="shared" si="31"/>
        <v>7</v>
      </c>
      <c r="U124" s="247">
        <f t="shared" si="32"/>
        <v>1.047963284333298</v>
      </c>
      <c r="V124" s="378">
        <f t="shared" si="33"/>
        <v>57.019044896272213</v>
      </c>
      <c r="W124" s="397">
        <f t="shared" si="34"/>
        <v>11.728876200851095</v>
      </c>
      <c r="X124" s="153">
        <f t="shared" si="35"/>
        <v>45401</v>
      </c>
      <c r="Y124" s="380">
        <f t="shared" si="36"/>
        <v>11.46319857051596</v>
      </c>
      <c r="Z124" s="380">
        <f t="shared" si="37"/>
        <v>11.601966782173573</v>
      </c>
      <c r="AA124" s="381">
        <f t="shared" si="38"/>
        <v>12.141602107339336</v>
      </c>
      <c r="AB124" s="193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4.4445149857082387E-2</v>
      </c>
      <c r="AD124" s="227">
        <f>(INDEX(Models!$BJ124:$BT124,,AH124)*(1-AF124)+INDEX(Models!$BJ124:$BT124,,AH124+1)*AF124-ERP_i)*AE124*Ramure*Pc/MaxiM</f>
        <v>2.4381062366566229E-5</v>
      </c>
      <c r="AE124" s="301">
        <f t="shared" si="40"/>
        <v>0.5</v>
      </c>
      <c r="AF124" s="173">
        <f t="shared" si="41"/>
        <v>4.7963284333297995E-2</v>
      </c>
      <c r="AG124" s="802">
        <f t="shared" si="49"/>
        <v>1</v>
      </c>
      <c r="AH124" s="172">
        <f t="shared" si="42"/>
        <v>7</v>
      </c>
      <c r="AI124" s="221">
        <f t="shared" si="43"/>
        <v>1.047963284333298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45402</v>
      </c>
      <c r="B125" s="406">
        <f>'2023'!Wh/'2023'!Env_an*'2024'!Env_an</f>
        <v>11.257570579511173</v>
      </c>
      <c r="C125" s="385"/>
      <c r="D125" s="388">
        <f t="shared" si="25"/>
        <v>11.394005527615139</v>
      </c>
      <c r="E125" s="380">
        <f t="shared" si="47"/>
        <v>11.654605231636973</v>
      </c>
      <c r="F125" s="380">
        <f t="shared" si="26"/>
        <v>11.654605231636973</v>
      </c>
      <c r="G125" s="110">
        <f t="shared" si="48"/>
        <v>0.19653029002895694</v>
      </c>
      <c r="H125" s="409" t="b">
        <f>Wh_hp&gt;='2023'!Maxi_hp</f>
        <v>0</v>
      </c>
      <c r="I125" s="375">
        <f>IF(H125,Wh_hp,'2023'!Maxi_hp)</f>
        <v>11.654860886678643</v>
      </c>
      <c r="J125" s="85">
        <f>IF(H125,An,'2023'!An_max)</f>
        <v>2022</v>
      </c>
      <c r="K125" s="193">
        <f t="shared" si="27"/>
        <v>45402</v>
      </c>
      <c r="L125" s="143">
        <f>IF(t&lt;Tvie,1-EXP((T0-t)*PertePVj)+'2023'!Pspv,1-EXP((T0-t)*PertePVj)+Pspv)</f>
        <v>1.1974274347444802E-2</v>
      </c>
      <c r="M125" s="836"/>
      <c r="N125" s="836"/>
      <c r="O125" s="48">
        <f>IF(t&lt;Tnet,'2023'!Resal+('2023'!Salim-'2023'!Resal)*(1-EXP(('2023'!Tnet-t)/('2023'!Tau_j))),Resal+(Salim-Resal)*(1-EXP((Tnet-t)/(Tau_j))))*Salcycl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2.3096677829568421E-5</v>
      </c>
      <c r="Q125" s="301">
        <f t="shared" si="28"/>
        <v>0.5</v>
      </c>
      <c r="R125" s="173">
        <f t="shared" si="29"/>
        <v>5.0002755398770971E-2</v>
      </c>
      <c r="S125" s="802">
        <f t="shared" si="30"/>
        <v>1</v>
      </c>
      <c r="T125" s="172">
        <f t="shared" si="31"/>
        <v>7</v>
      </c>
      <c r="U125" s="247">
        <f t="shared" si="32"/>
        <v>1.050002755398771</v>
      </c>
      <c r="V125" s="378">
        <f t="shared" si="33"/>
        <v>57.280282674857368</v>
      </c>
      <c r="W125" s="397">
        <f t="shared" si="34"/>
        <v>11.257570579511173</v>
      </c>
      <c r="X125" s="153">
        <f t="shared" si="35"/>
        <v>45402</v>
      </c>
      <c r="Y125" s="380">
        <f t="shared" si="36"/>
        <v>11.002689599133726</v>
      </c>
      <c r="Z125" s="380">
        <f t="shared" si="37"/>
        <v>11.13603554387903</v>
      </c>
      <c r="AA125" s="381">
        <f t="shared" si="38"/>
        <v>11.654605231636973</v>
      </c>
      <c r="AB125" s="193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4.4494830794462349E-2</v>
      </c>
      <c r="AD125" s="227">
        <f>(INDEX(Models!$BJ125:$BT125,,AH125)*(1-AF125)+INDEX(Models!$BJ125:$BT125,,AH125+1)*AF125-ERP_i)*AE125*Ramure*Pc/MaxiM</f>
        <v>2.3096677829568421E-5</v>
      </c>
      <c r="AE125" s="301">
        <f t="shared" si="40"/>
        <v>0.5</v>
      </c>
      <c r="AF125" s="173">
        <f t="shared" si="41"/>
        <v>5.0002755398770971E-2</v>
      </c>
      <c r="AG125" s="802">
        <f t="shared" si="49"/>
        <v>1</v>
      </c>
      <c r="AH125" s="172">
        <f t="shared" si="42"/>
        <v>7</v>
      </c>
      <c r="AI125" s="221">
        <f t="shared" si="43"/>
        <v>1.050002755398771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6"/>
        <v>45403</v>
      </c>
      <c r="B126" s="406">
        <f>'2023'!Wh/'2023'!Env_an*'2024'!Env_an</f>
        <v>29.944107080099492</v>
      </c>
      <c r="C126" s="385"/>
      <c r="D126" s="388">
        <f t="shared" si="25"/>
        <v>30.307426434279968</v>
      </c>
      <c r="E126" s="380">
        <f t="shared" si="47"/>
        <v>31.002569418379451</v>
      </c>
      <c r="F126" s="380">
        <f t="shared" si="26"/>
        <v>31.002783692480168</v>
      </c>
      <c r="G126" s="110">
        <f t="shared" si="48"/>
        <v>0.52045468308502707</v>
      </c>
      <c r="H126" s="409" t="b">
        <f>Wh_hp&gt;='2023'!Maxi_hp</f>
        <v>0</v>
      </c>
      <c r="I126" s="375">
        <f>IF(H126,Wh_hp,'2023'!Maxi_hp)</f>
        <v>31.003225427552021</v>
      </c>
      <c r="J126" s="85">
        <f>IF(H126,An,'2023'!An_max)</f>
        <v>2022</v>
      </c>
      <c r="K126" s="193">
        <f t="shared" si="27"/>
        <v>45403</v>
      </c>
      <c r="L126" s="143">
        <f>IF(t&lt;Tvie,1-EXP((T0-t)*PertePVj)+'2023'!Pspv,1-EXP((T0-t)*PertePVj)+Pspv)</f>
        <v>1.1987799589922798E-2</v>
      </c>
      <c r="M126" s="836"/>
      <c r="N126" s="836"/>
      <c r="O126" s="48">
        <f>IF(t&lt;Tnet,'2023'!Resal+('2023'!Salim-'2023'!Resal)*(1-EXP(('2023'!Tnet-t)/('2023'!Tau_j))),Resal+(Salim-Resal)*(1-EXP((Tnet-t)/(Tau_j))))*Salcycl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2.1944833407699503E-5</v>
      </c>
      <c r="Q126" s="301">
        <f t="shared" si="28"/>
        <v>0.5</v>
      </c>
      <c r="R126" s="173">
        <f t="shared" si="29"/>
        <v>5.2108038945653412E-2</v>
      </c>
      <c r="S126" s="802">
        <f t="shared" si="30"/>
        <v>1</v>
      </c>
      <c r="T126" s="172">
        <f t="shared" si="31"/>
        <v>7</v>
      </c>
      <c r="U126" s="247">
        <f t="shared" si="32"/>
        <v>1.0521080389456534</v>
      </c>
      <c r="V126" s="378">
        <f t="shared" si="33"/>
        <v>57.5336487283911</v>
      </c>
      <c r="W126" s="397">
        <f t="shared" si="34"/>
        <v>29.944107080099492</v>
      </c>
      <c r="X126" s="153">
        <f t="shared" si="35"/>
        <v>45403</v>
      </c>
      <c r="Y126" s="380">
        <f t="shared" si="36"/>
        <v>29.266458641736943</v>
      </c>
      <c r="Z126" s="380">
        <f t="shared" si="37"/>
        <v>29.621555917619052</v>
      </c>
      <c r="AA126" s="381">
        <f t="shared" si="38"/>
        <v>31.002569418379451</v>
      </c>
      <c r="AB126" s="193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4.454513050591493E-2</v>
      </c>
      <c r="AD126" s="227">
        <f>(INDEX(Models!$BJ126:$BT126,,AH126)*(1-AF126)+INDEX(Models!$BJ126:$BT126,,AH126+1)*AF126-ERP_i)*AE126*Ramure*Pc/MaxiM</f>
        <v>2.1944833407699503E-5</v>
      </c>
      <c r="AE126" s="301">
        <f t="shared" si="40"/>
        <v>0.5</v>
      </c>
      <c r="AF126" s="173">
        <f t="shared" si="41"/>
        <v>5.2108038945653412E-2</v>
      </c>
      <c r="AG126" s="802">
        <f t="shared" si="49"/>
        <v>1</v>
      </c>
      <c r="AH126" s="172">
        <f t="shared" si="42"/>
        <v>7</v>
      </c>
      <c r="AI126" s="221">
        <f t="shared" si="43"/>
        <v>1.0521080389456534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6"/>
        <v>45404</v>
      </c>
      <c r="B127" s="406">
        <f>'2023'!Wh/'2023'!Env_an*'2024'!Env_an</f>
        <v>9.8308217171931656</v>
      </c>
      <c r="C127" s="385"/>
      <c r="D127" s="388">
        <f t="shared" si="25"/>
        <v>9.9502377507573421</v>
      </c>
      <c r="E127" s="380">
        <f t="shared" si="47"/>
        <v>10.179107784035621</v>
      </c>
      <c r="F127" s="380">
        <f t="shared" si="26"/>
        <v>10.179107784035621</v>
      </c>
      <c r="G127" s="110">
        <f t="shared" si="48"/>
        <v>0.1701406317023012</v>
      </c>
      <c r="H127" s="409" t="b">
        <f>Wh_hp&gt;='2023'!Maxi_hp</f>
        <v>0</v>
      </c>
      <c r="I127" s="375">
        <f>IF(H127,Wh_hp,'2023'!Maxi_hp)</f>
        <v>10.179309228480937</v>
      </c>
      <c r="J127" s="85">
        <f>IF(H127,An,'2023'!An_max)</f>
        <v>2022</v>
      </c>
      <c r="K127" s="193">
        <f t="shared" si="27"/>
        <v>45404</v>
      </c>
      <c r="L127" s="143">
        <f>IF(t&lt;Tvie,1-EXP((T0-t)*PertePVj)+'2023'!Pspv,1-EXP((T0-t)*PertePVj)+Pspv)</f>
        <v>1.2001324647251566E-2</v>
      </c>
      <c r="M127" s="836"/>
      <c r="N127" s="836"/>
      <c r="O127" s="48">
        <f>IF(t&lt;Tnet,'2023'!Resal+('2023'!Salim-'2023'!Resal)*(1-EXP(('2023'!Tnet-t)/('2023'!Tau_j))),Resal+(Salim-Resal)*(1-EXP((Tnet-t)/(Tau_j))))*Salcycl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2.0925878642276697E-5</v>
      </c>
      <c r="Q127" s="301">
        <f t="shared" si="28"/>
        <v>0.5</v>
      </c>
      <c r="R127" s="173">
        <f t="shared" si="29"/>
        <v>5.4280507949686863E-2</v>
      </c>
      <c r="S127" s="802">
        <f t="shared" si="30"/>
        <v>1</v>
      </c>
      <c r="T127" s="172">
        <f t="shared" si="31"/>
        <v>7</v>
      </c>
      <c r="U127" s="247">
        <f t="shared" si="32"/>
        <v>1.0542805079496869</v>
      </c>
      <c r="V127" s="378">
        <f t="shared" si="33"/>
        <v>57.779355232510248</v>
      </c>
      <c r="W127" s="397">
        <f t="shared" si="34"/>
        <v>9.8308217171931656</v>
      </c>
      <c r="X127" s="153">
        <f t="shared" si="35"/>
        <v>45404</v>
      </c>
      <c r="Y127" s="380">
        <f t="shared" si="36"/>
        <v>9.6084449586875884</v>
      </c>
      <c r="Z127" s="380">
        <f t="shared" si="37"/>
        <v>9.7251597581920368</v>
      </c>
      <c r="AA127" s="381">
        <f t="shared" si="38"/>
        <v>10.179107784035621</v>
      </c>
      <c r="AB127" s="193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4.4596052569119235E-2</v>
      </c>
      <c r="AD127" s="227">
        <f>(INDEX(Models!$BJ127:$BT127,,AH127)*(1-AF127)+INDEX(Models!$BJ127:$BT127,,AH127+1)*AF127-ERP_i)*AE127*Ramure*Pc/MaxiM</f>
        <v>2.0925878642276697E-5</v>
      </c>
      <c r="AE127" s="301">
        <f t="shared" si="40"/>
        <v>0.5</v>
      </c>
      <c r="AF127" s="173">
        <f t="shared" si="41"/>
        <v>5.4280507949686863E-2</v>
      </c>
      <c r="AG127" s="802">
        <f t="shared" si="49"/>
        <v>1</v>
      </c>
      <c r="AH127" s="172">
        <f t="shared" si="42"/>
        <v>7</v>
      </c>
      <c r="AI127" s="221">
        <f t="shared" si="43"/>
        <v>1.0542805079496869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6"/>
        <v>45405</v>
      </c>
      <c r="B128" s="406">
        <f>'2023'!Wh/'2023'!Env_an*'2024'!Env_an</f>
        <v>35.249169356764526</v>
      </c>
      <c r="C128" s="385"/>
      <c r="D128" s="388">
        <f t="shared" si="25"/>
        <v>35.677833153280652</v>
      </c>
      <c r="E128" s="380">
        <f t="shared" si="47"/>
        <v>36.500809132012506</v>
      </c>
      <c r="F128" s="380">
        <f t="shared" si="26"/>
        <v>36.501130340388649</v>
      </c>
      <c r="G128" s="110">
        <f t="shared" si="48"/>
        <v>0.60755295678523091</v>
      </c>
      <c r="H128" s="409" t="b">
        <f>Wh_hp&gt;='2023'!Maxi_hp</f>
        <v>0</v>
      </c>
      <c r="I128" s="375">
        <f>IF(H128,Wh_hp,'2023'!Maxi_hp)</f>
        <v>36.501517073169801</v>
      </c>
      <c r="J128" s="85">
        <f>IF(H128,An,'2023'!An_max)</f>
        <v>2022</v>
      </c>
      <c r="K128" s="193">
        <f t="shared" si="27"/>
        <v>45405</v>
      </c>
      <c r="L128" s="143">
        <f>IF(t&lt;Tvie,1-EXP((T0-t)*PertePVj)+'2023'!Pspv,1-EXP((T0-t)*PertePVj)+Pspv)</f>
        <v>1.2014849519433657E-2</v>
      </c>
      <c r="M128" s="836"/>
      <c r="N128" s="836"/>
      <c r="O128" s="48">
        <f>IF(t&lt;Tnet,'2023'!Resal+('2023'!Salim-'2023'!Resal)*(1-EXP(('2023'!Tnet-t)/('2023'!Tau_j))),Resal+(Salim-Resal)*(1-EXP((Tnet-t)/(Tau_j))))*Salcycl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2.0028528754767379E-5</v>
      </c>
      <c r="Q128" s="301">
        <f t="shared" si="28"/>
        <v>0.5</v>
      </c>
      <c r="R128" s="173">
        <f t="shared" si="29"/>
        <v>5.6521507336268373E-2</v>
      </c>
      <c r="S128" s="802">
        <f t="shared" si="30"/>
        <v>1</v>
      </c>
      <c r="T128" s="172">
        <f t="shared" si="31"/>
        <v>7</v>
      </c>
      <c r="U128" s="247">
        <f t="shared" si="32"/>
        <v>1.0565215073362684</v>
      </c>
      <c r="V128" s="378">
        <f t="shared" si="33"/>
        <v>58.017615027282645</v>
      </c>
      <c r="W128" s="397">
        <f t="shared" si="34"/>
        <v>35.249169356764526</v>
      </c>
      <c r="X128" s="153">
        <f t="shared" si="35"/>
        <v>45405</v>
      </c>
      <c r="Y128" s="380">
        <f t="shared" si="36"/>
        <v>34.452164174964182</v>
      </c>
      <c r="Z128" s="380">
        <f t="shared" si="37"/>
        <v>34.871135622034693</v>
      </c>
      <c r="AA128" s="381">
        <f t="shared" si="38"/>
        <v>36.500809132012506</v>
      </c>
      <c r="AB128" s="193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4.4647599566458127E-2</v>
      </c>
      <c r="AD128" s="227">
        <f>(INDEX(Models!$BJ128:$BT128,,AH128)*(1-AF128)+INDEX(Models!$BJ128:$BT128,,AH128+1)*AF128-ERP_i)*AE128*Ramure*Pc/MaxiM</f>
        <v>2.0028528754767379E-5</v>
      </c>
      <c r="AE128" s="301">
        <f t="shared" si="40"/>
        <v>0.5</v>
      </c>
      <c r="AF128" s="173">
        <f t="shared" si="41"/>
        <v>5.6521507336268373E-2</v>
      </c>
      <c r="AG128" s="802">
        <f t="shared" si="49"/>
        <v>1</v>
      </c>
      <c r="AH128" s="172">
        <f t="shared" si="42"/>
        <v>7</v>
      </c>
      <c r="AI128" s="221">
        <f t="shared" si="43"/>
        <v>1.0565215073362684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6"/>
        <v>45406</v>
      </c>
      <c r="B129" s="406">
        <f>'2023'!Wh/'2023'!Env_an*'2024'!Env_an</f>
        <v>46.518970028465802</v>
      </c>
      <c r="C129" s="385"/>
      <c r="D129" s="388">
        <f t="shared" si="25"/>
        <v>47.085329997308627</v>
      </c>
      <c r="E129" s="380">
        <f t="shared" si="47"/>
        <v>48.174536834143439</v>
      </c>
      <c r="F129" s="380">
        <f t="shared" si="26"/>
        <v>48.175193608567149</v>
      </c>
      <c r="G129" s="110">
        <f t="shared" si="48"/>
        <v>0.79862308155116257</v>
      </c>
      <c r="H129" s="409" t="b">
        <f>Wh_hp&gt;='2023'!Maxi_hp</f>
        <v>0</v>
      </c>
      <c r="I129" s="375">
        <f>IF(H129,Wh_hp,'2023'!Maxi_hp)</f>
        <v>48.17544330333763</v>
      </c>
      <c r="J129" s="85">
        <f>IF(H129,An,'2023'!An_max)</f>
        <v>2022</v>
      </c>
      <c r="K129" s="193">
        <f t="shared" si="27"/>
        <v>45406</v>
      </c>
      <c r="L129" s="143">
        <f>IF(t&lt;Tvie,1-EXP((T0-t)*PertePVj)+'2023'!Pspv,1-EXP((T0-t)*PertePVj)+Pspv)</f>
        <v>1.2028374206471515E-2</v>
      </c>
      <c r="M129" s="836"/>
      <c r="N129" s="836"/>
      <c r="O129" s="48">
        <f>IF(t&lt;Tnet,'2023'!Resal+('2023'!Salim-'2023'!Resal)*(1-EXP(('2023'!Tnet-t)/('2023'!Tau_j))),Resal+(Salim-Resal)*(1-EXP((Tnet-t)/(Tau_j))))*Salcycl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1.9138795199728309E-5</v>
      </c>
      <c r="Q129" s="301">
        <f t="shared" si="28"/>
        <v>0.5</v>
      </c>
      <c r="R129" s="173">
        <f t="shared" si="29"/>
        <v>5.8832348841234117E-2</v>
      </c>
      <c r="S129" s="802">
        <f t="shared" si="30"/>
        <v>1</v>
      </c>
      <c r="T129" s="172">
        <f t="shared" si="31"/>
        <v>7</v>
      </c>
      <c r="U129" s="247">
        <f t="shared" si="32"/>
        <v>1.0588323488412341</v>
      </c>
      <c r="V129" s="378">
        <f t="shared" si="33"/>
        <v>58.248646924453013</v>
      </c>
      <c r="W129" s="397">
        <f t="shared" si="34"/>
        <v>46.518970028465802</v>
      </c>
      <c r="X129" s="153">
        <f t="shared" si="35"/>
        <v>45406</v>
      </c>
      <c r="Y129" s="380">
        <f t="shared" si="36"/>
        <v>45.467586406106911</v>
      </c>
      <c r="Z129" s="380">
        <f t="shared" si="37"/>
        <v>46.021145971259877</v>
      </c>
      <c r="AA129" s="381">
        <f t="shared" si="38"/>
        <v>48.174536834143439</v>
      </c>
      <c r="AB129" s="193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4.4699773041873024E-2</v>
      </c>
      <c r="AD129" s="227">
        <f>(INDEX(Models!$BJ129:$BT129,,AH129)*(1-AF129)+INDEX(Models!$BJ129:$BT129,,AH129+1)*AF129-ERP_i)*AE129*Ramure*Pc/MaxiM</f>
        <v>1.9138795199728309E-5</v>
      </c>
      <c r="AE129" s="301">
        <f t="shared" si="40"/>
        <v>0.5</v>
      </c>
      <c r="AF129" s="173">
        <f t="shared" si="41"/>
        <v>5.8832348841234117E-2</v>
      </c>
      <c r="AG129" s="802">
        <f t="shared" si="49"/>
        <v>1</v>
      </c>
      <c r="AH129" s="172">
        <f t="shared" si="42"/>
        <v>7</v>
      </c>
      <c r="AI129" s="221">
        <f t="shared" si="43"/>
        <v>1.0588323488412341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6"/>
        <v>45407</v>
      </c>
      <c r="B130" s="406">
        <f>'2023'!Wh/'2023'!Env_an*'2024'!Env_an</f>
        <v>58.082298367091759</v>
      </c>
      <c r="C130" s="385"/>
      <c r="D130" s="388">
        <f t="shared" si="25"/>
        <v>58.790244536844625</v>
      </c>
      <c r="E130" s="380">
        <f t="shared" si="47"/>
        <v>60.154101728707474</v>
      </c>
      <c r="F130" s="380">
        <f t="shared" si="26"/>
        <v>60.155189505106485</v>
      </c>
      <c r="G130" s="110">
        <f t="shared" si="48"/>
        <v>0.99332380520468766</v>
      </c>
      <c r="H130" s="409" t="b">
        <f>Wh_hp&gt;='2023'!Maxi_hp</f>
        <v>0</v>
      </c>
      <c r="I130" s="375">
        <f>IF(H130,Wh_hp,'2023'!Maxi_hp)</f>
        <v>60.155199341869753</v>
      </c>
      <c r="J130" s="85">
        <f>IF(H130,An,'2023'!An_max)</f>
        <v>2022</v>
      </c>
      <c r="K130" s="193">
        <f t="shared" si="27"/>
        <v>45407</v>
      </c>
      <c r="L130" s="143">
        <f>IF(t&lt;Tvie,1-EXP((T0-t)*PertePVj)+'2023'!Pspv,1-EXP((T0-t)*PertePVj)+Pspv)</f>
        <v>1.2041898708367915E-2</v>
      </c>
      <c r="M130" s="836"/>
      <c r="N130" s="836"/>
      <c r="O130" s="48">
        <f>IF(t&lt;Tnet,'2023'!Resal+('2023'!Salim-'2023'!Resal)*(1-EXP(('2023'!Tnet-t)/('2023'!Tau_j))),Resal+(Salim-Resal)*(1-EXP((Tnet-t)/(Tau_j))))*Salcycl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1.8256955305579782E-5</v>
      </c>
      <c r="Q130" s="301">
        <f t="shared" si="28"/>
        <v>0.5</v>
      </c>
      <c r="R130" s="173">
        <f t="shared" si="29"/>
        <v>6.1214305619093246E-2</v>
      </c>
      <c r="S130" s="802">
        <f t="shared" si="30"/>
        <v>1</v>
      </c>
      <c r="T130" s="172">
        <f t="shared" si="31"/>
        <v>7</v>
      </c>
      <c r="U130" s="247">
        <f t="shared" si="32"/>
        <v>1.0612143056190932</v>
      </c>
      <c r="V130" s="378">
        <f t="shared" si="33"/>
        <v>58.472663142976202</v>
      </c>
      <c r="W130" s="397">
        <f t="shared" si="34"/>
        <v>58.082298367091759</v>
      </c>
      <c r="X130" s="153">
        <f t="shared" si="35"/>
        <v>45407</v>
      </c>
      <c r="Y130" s="380">
        <f t="shared" si="36"/>
        <v>56.770098676173397</v>
      </c>
      <c r="Z130" s="380">
        <f t="shared" si="37"/>
        <v>57.462050872353359</v>
      </c>
      <c r="AA130" s="381">
        <f t="shared" si="38"/>
        <v>60.154101728707474</v>
      </c>
      <c r="AB130" s="193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4.4752573457004702E-2</v>
      </c>
      <c r="AD130" s="227">
        <f>(INDEX(Models!$BJ130:$BT130,,AH130)*(1-AF130)+INDEX(Models!$BJ130:$BT130,,AH130+1)*AF130-ERP_i)*AE130*Ramure*Pc/MaxiM</f>
        <v>1.8256955305579782E-5</v>
      </c>
      <c r="AE130" s="301">
        <f t="shared" si="40"/>
        <v>0.5</v>
      </c>
      <c r="AF130" s="173">
        <f t="shared" si="41"/>
        <v>6.1214305619093246E-2</v>
      </c>
      <c r="AG130" s="802">
        <f t="shared" si="49"/>
        <v>1</v>
      </c>
      <c r="AH130" s="172">
        <f t="shared" si="42"/>
        <v>7</v>
      </c>
      <c r="AI130" s="221">
        <f t="shared" si="43"/>
        <v>1.0612143056190932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6"/>
        <v>45408</v>
      </c>
      <c r="B131" s="406">
        <f>'2023'!Wh/'2023'!Env_an*'2024'!Env_an</f>
        <v>46.167410895376328</v>
      </c>
      <c r="C131" s="385"/>
      <c r="D131" s="388">
        <f t="shared" si="25"/>
        <v>46.730770097187801</v>
      </c>
      <c r="E131" s="380">
        <f t="shared" si="47"/>
        <v>47.81796721448768</v>
      </c>
      <c r="F131" s="380">
        <f t="shared" si="26"/>
        <v>47.818545091272071</v>
      </c>
      <c r="G131" s="110">
        <f t="shared" si="48"/>
        <v>0.78662913451068905</v>
      </c>
      <c r="H131" s="409" t="b">
        <f>Wh_hp&gt;='2023'!Maxi_hp</f>
        <v>0</v>
      </c>
      <c r="I131" s="375">
        <f>IF(H131,Wh_hp,'2023'!Maxi_hp)</f>
        <v>47.818782462690812</v>
      </c>
      <c r="J131" s="85">
        <f>IF(H131,An,'2023'!An_max)</f>
        <v>2022</v>
      </c>
      <c r="K131" s="193">
        <f t="shared" si="27"/>
        <v>45408</v>
      </c>
      <c r="L131" s="143">
        <f>IF(t&lt;Tvie,1-EXP((T0-t)*PertePVj)+'2023'!Pspv,1-EXP((T0-t)*PertePVj)+Pspv)</f>
        <v>1.2055423025125189E-2</v>
      </c>
      <c r="M131" s="836"/>
      <c r="N131" s="836"/>
      <c r="O131" s="48">
        <f>IF(t&lt;Tnet,'2023'!Resal+('2023'!Salim-'2023'!Resal)*(1-EXP(('2023'!Tnet-t)/('2023'!Tau_j))),Resal+(Salim-Resal)*(1-EXP((Tnet-t)/(Tau_j))))*Salcycl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1.7383415175471648E-5</v>
      </c>
      <c r="Q131" s="301">
        <f t="shared" si="28"/>
        <v>0.5</v>
      </c>
      <c r="R131" s="173">
        <f t="shared" si="29"/>
        <v>6.3668606606228195E-2</v>
      </c>
      <c r="S131" s="802">
        <f t="shared" si="30"/>
        <v>1</v>
      </c>
      <c r="T131" s="172">
        <f t="shared" si="31"/>
        <v>7</v>
      </c>
      <c r="U131" s="247">
        <f t="shared" si="32"/>
        <v>1.0636686066062282</v>
      </c>
      <c r="V131" s="378">
        <f t="shared" si="33"/>
        <v>58.689875880393018</v>
      </c>
      <c r="W131" s="397">
        <f t="shared" si="34"/>
        <v>46.167410895376328</v>
      </c>
      <c r="X131" s="153">
        <f t="shared" si="35"/>
        <v>45408</v>
      </c>
      <c r="Y131" s="380">
        <f t="shared" si="36"/>
        <v>45.12479867322795</v>
      </c>
      <c r="Z131" s="380">
        <f t="shared" si="37"/>
        <v>45.675435368451396</v>
      </c>
      <c r="AA131" s="381">
        <f t="shared" si="38"/>
        <v>47.81796721448768</v>
      </c>
      <c r="AB131" s="193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4.4806000146889409E-2</v>
      </c>
      <c r="AD131" s="227">
        <f>(INDEX(Models!$BJ131:$BT131,,AH131)*(1-AF131)+INDEX(Models!$BJ131:$BT131,,AH131+1)*AF131-ERP_i)*AE131*Ramure*Pc/MaxiM</f>
        <v>1.7383415175471648E-5</v>
      </c>
      <c r="AE131" s="301">
        <f t="shared" si="40"/>
        <v>0.5</v>
      </c>
      <c r="AF131" s="173">
        <f t="shared" si="41"/>
        <v>6.3668606606228195E-2</v>
      </c>
      <c r="AG131" s="802">
        <f t="shared" si="49"/>
        <v>1</v>
      </c>
      <c r="AH131" s="172">
        <f t="shared" si="42"/>
        <v>7</v>
      </c>
      <c r="AI131" s="221">
        <f t="shared" si="43"/>
        <v>1.0636686066062282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6"/>
        <v>45409</v>
      </c>
      <c r="B132" s="406">
        <f>'2023'!Wh/'2023'!Env_an*'2024'!Env_an</f>
        <v>24.612971807334098</v>
      </c>
      <c r="C132" s="385"/>
      <c r="D132" s="388">
        <f t="shared" si="25"/>
        <v>24.913653373378892</v>
      </c>
      <c r="E132" s="380">
        <f t="shared" si="47"/>
        <v>25.494935949591241</v>
      </c>
      <c r="F132" s="380">
        <f t="shared" si="26"/>
        <v>25.495006866613913</v>
      </c>
      <c r="G132" s="110">
        <f t="shared" si="48"/>
        <v>0.41786801171918059</v>
      </c>
      <c r="H132" s="409" t="b">
        <f>Wh_hp&gt;='2023'!Maxi_hp</f>
        <v>0</v>
      </c>
      <c r="I132" s="375">
        <f>IF(H132,Wh_hp,'2023'!Maxi_hp)</f>
        <v>25.495334159248106</v>
      </c>
      <c r="J132" s="85">
        <f>IF(H132,An,'2023'!An_max)</f>
        <v>2022</v>
      </c>
      <c r="K132" s="193">
        <f t="shared" si="27"/>
        <v>45409</v>
      </c>
      <c r="L132" s="143">
        <f>IF(t&lt;Tvie,1-EXP((T0-t)*PertePVj)+'2023'!Pspv,1-EXP((T0-t)*PertePVj)+Pspv)</f>
        <v>1.2068947156745891E-2</v>
      </c>
      <c r="M132" s="836"/>
      <c r="N132" s="836"/>
      <c r="O132" s="48">
        <f>IF(t&lt;Tnet,'2023'!Resal+('2023'!Salim-'2023'!Resal)*(1-EXP(('2023'!Tnet-t)/('2023'!Tau_j))),Resal+(Salim-Resal)*(1-EXP((Tnet-t)/(Tau_j))))*Salcycl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1.6518716239860241E-5</v>
      </c>
      <c r="Q132" s="301">
        <f t="shared" si="28"/>
        <v>0.5</v>
      </c>
      <c r="R132" s="173">
        <f t="shared" si="29"/>
        <v>6.6196430649105409E-2</v>
      </c>
      <c r="S132" s="802">
        <f t="shared" si="30"/>
        <v>1</v>
      </c>
      <c r="T132" s="172">
        <f t="shared" si="31"/>
        <v>7</v>
      </c>
      <c r="U132" s="247">
        <f t="shared" si="32"/>
        <v>1.0661964306491054</v>
      </c>
      <c r="V132" s="378">
        <f t="shared" si="33"/>
        <v>58.900497298144451</v>
      </c>
      <c r="W132" s="397">
        <f t="shared" si="34"/>
        <v>24.612971807334098</v>
      </c>
      <c r="X132" s="153">
        <f t="shared" si="35"/>
        <v>45409</v>
      </c>
      <c r="Y132" s="380">
        <f t="shared" si="36"/>
        <v>24.057338085641927</v>
      </c>
      <c r="Z132" s="380">
        <f t="shared" si="37"/>
        <v>24.351231815626392</v>
      </c>
      <c r="AA132" s="381">
        <f t="shared" si="38"/>
        <v>25.494935949591241</v>
      </c>
      <c r="AB132" s="193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4.4860051275523449E-2</v>
      </c>
      <c r="AD132" s="227">
        <f>(INDEX(Models!$BJ132:$BT132,,AH132)*(1-AF132)+INDEX(Models!$BJ132:$BT132,,AH132+1)*AF132-ERP_i)*AE132*Ramure*Pc/MaxiM</f>
        <v>1.6518716239860241E-5</v>
      </c>
      <c r="AE132" s="301">
        <f t="shared" si="40"/>
        <v>0.5</v>
      </c>
      <c r="AF132" s="173">
        <f t="shared" si="41"/>
        <v>6.6196430649105409E-2</v>
      </c>
      <c r="AG132" s="802">
        <f t="shared" si="49"/>
        <v>1</v>
      </c>
      <c r="AH132" s="172">
        <f t="shared" si="42"/>
        <v>7</v>
      </c>
      <c r="AI132" s="221">
        <f t="shared" si="43"/>
        <v>1.0661964306491054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6"/>
        <v>45410</v>
      </c>
      <c r="B133" s="406">
        <f>'2023'!Wh/'2023'!Env_an*'2024'!Env_an</f>
        <v>44.608921219701102</v>
      </c>
      <c r="C133" s="385"/>
      <c r="D133" s="388">
        <f t="shared" si="25"/>
        <v>45.154499150872461</v>
      </c>
      <c r="E133" s="380">
        <f t="shared" si="47"/>
        <v>46.211069036339339</v>
      </c>
      <c r="F133" s="380">
        <f t="shared" si="26"/>
        <v>46.211539264814583</v>
      </c>
      <c r="G133" s="110">
        <f t="shared" si="48"/>
        <v>0.75473941256534705</v>
      </c>
      <c r="H133" s="409" t="b">
        <f>Wh_hp&gt;='2023'!Maxi_hp</f>
        <v>0</v>
      </c>
      <c r="I133" s="375">
        <f>IF(H133,Wh_hp,'2023'!Maxi_hp)</f>
        <v>46.211775667555173</v>
      </c>
      <c r="J133" s="85">
        <f>IF(H133,An,'2023'!An_max)</f>
        <v>2022</v>
      </c>
      <c r="K133" s="193">
        <f t="shared" si="27"/>
        <v>45410</v>
      </c>
      <c r="L133" s="143">
        <f>IF(t&lt;Tvie,1-EXP((T0-t)*PertePVj)+'2023'!Pspv,1-EXP((T0-t)*PertePVj)+Pspv)</f>
        <v>1.2082471103232573E-2</v>
      </c>
      <c r="M133" s="836"/>
      <c r="N133" s="836"/>
      <c r="O133" s="48">
        <f>IF(t&lt;Tnet,'2023'!Resal+('2023'!Salim-'2023'!Resal)*(1-EXP(('2023'!Tnet-t)/('2023'!Tau_j))),Resal+(Salim-Resal)*(1-EXP((Tnet-t)/(Tau_j))))*Salcycl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1.5663542069602966E-5</v>
      </c>
      <c r="Q133" s="301">
        <f t="shared" si="28"/>
        <v>0.5</v>
      </c>
      <c r="R133" s="173">
        <f t="shared" si="29"/>
        <v>6.8798900410237618E-2</v>
      </c>
      <c r="S133" s="802">
        <f t="shared" si="30"/>
        <v>1</v>
      </c>
      <c r="T133" s="172">
        <f t="shared" si="31"/>
        <v>7</v>
      </c>
      <c r="U133" s="247">
        <f t="shared" si="32"/>
        <v>1.0687989004102376</v>
      </c>
      <c r="V133" s="378">
        <f t="shared" si="33"/>
        <v>59.104739545539786</v>
      </c>
      <c r="W133" s="397">
        <f t="shared" si="34"/>
        <v>44.608921219701102</v>
      </c>
      <c r="X133" s="153">
        <f t="shared" si="35"/>
        <v>45410</v>
      </c>
      <c r="Y133" s="380">
        <f t="shared" si="36"/>
        <v>43.602245590505561</v>
      </c>
      <c r="Z133" s="380">
        <f t="shared" si="37"/>
        <v>44.135511634455248</v>
      </c>
      <c r="AA133" s="381">
        <f t="shared" si="38"/>
        <v>46.211069036339339</v>
      </c>
      <c r="AB133" s="193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4.4914723791650825E-2</v>
      </c>
      <c r="AD133" s="227">
        <f>(INDEX(Models!$BJ133:$BT133,,AH133)*(1-AF133)+INDEX(Models!$BJ133:$BT133,,AH133+1)*AF133-ERP_i)*AE133*Ramure*Pc/MaxiM</f>
        <v>1.5663542069602966E-5</v>
      </c>
      <c r="AE133" s="301">
        <f t="shared" si="40"/>
        <v>0.5</v>
      </c>
      <c r="AF133" s="173">
        <f t="shared" si="41"/>
        <v>6.8798900410237618E-2</v>
      </c>
      <c r="AG133" s="802">
        <f t="shared" si="49"/>
        <v>1</v>
      </c>
      <c r="AH133" s="172">
        <f t="shared" si="42"/>
        <v>7</v>
      </c>
      <c r="AI133" s="221">
        <f t="shared" si="43"/>
        <v>1.0687989004102376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6"/>
        <v>45411</v>
      </c>
      <c r="B134" s="406">
        <f>'2023'!Wh/'2023'!Env_an*'2024'!Env_an</f>
        <v>43.99787396653857</v>
      </c>
      <c r="C134" s="385"/>
      <c r="D134" s="388">
        <f t="shared" si="25"/>
        <v>44.536588310022864</v>
      </c>
      <c r="E134" s="380">
        <f t="shared" si="47"/>
        <v>45.581703566147382</v>
      </c>
      <c r="F134" s="380">
        <f t="shared" si="26"/>
        <v>45.58212999827537</v>
      </c>
      <c r="G134" s="110">
        <f t="shared" si="48"/>
        <v>0.7419147602721895</v>
      </c>
      <c r="H134" s="409" t="b">
        <f>Wh_hp&gt;='2023'!Maxi_hp</f>
        <v>0</v>
      </c>
      <c r="I134" s="375">
        <f>IF(H134,Wh_hp,'2023'!Maxi_hp)</f>
        <v>45.582361552210081</v>
      </c>
      <c r="J134" s="85">
        <f>IF(H134,An,'2023'!An_max)</f>
        <v>2022</v>
      </c>
      <c r="K134" s="193">
        <f t="shared" si="27"/>
        <v>45411</v>
      </c>
      <c r="L134" s="143">
        <f>IF(t&lt;Tvie,1-EXP((T0-t)*PertePVj)+'2023'!Pspv,1-EXP((T0-t)*PertePVj)+Pspv)</f>
        <v>1.2095994864587789E-2</v>
      </c>
      <c r="M134" s="836"/>
      <c r="N134" s="836"/>
      <c r="O134" s="48">
        <f>IF(t&lt;Tnet,'2023'!Resal+('2023'!Salim-'2023'!Resal)*(1-EXP(('2023'!Tnet-t)/('2023'!Tau_j))),Resal+(Salim-Resal)*(1-EXP((Tnet-t)/(Tau_j))))*Salcycl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1.4818725425078044E-5</v>
      </c>
      <c r="Q134" s="301">
        <f t="shared" si="28"/>
        <v>0.5</v>
      </c>
      <c r="R134" s="173">
        <f t="shared" si="29"/>
        <v>7.1477076067516743E-2</v>
      </c>
      <c r="S134" s="802">
        <f t="shared" si="30"/>
        <v>1</v>
      </c>
      <c r="T134" s="172">
        <f t="shared" si="31"/>
        <v>7</v>
      </c>
      <c r="U134" s="247">
        <f t="shared" si="32"/>
        <v>1.0714770760675167</v>
      </c>
      <c r="V134" s="378">
        <f t="shared" si="33"/>
        <v>59.302814742160571</v>
      </c>
      <c r="W134" s="397">
        <f t="shared" si="34"/>
        <v>43.99787396653857</v>
      </c>
      <c r="X134" s="153">
        <f t="shared" si="35"/>
        <v>45411</v>
      </c>
      <c r="Y134" s="380">
        <f t="shared" si="36"/>
        <v>43.005332183453604</v>
      </c>
      <c r="Z134" s="380">
        <f t="shared" si="37"/>
        <v>43.531893746658973</v>
      </c>
      <c r="AA134" s="381">
        <f t="shared" si="38"/>
        <v>45.581703566147382</v>
      </c>
      <c r="AB134" s="193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4.4970013385168067E-2</v>
      </c>
      <c r="AD134" s="227">
        <f>(INDEX(Models!$BJ134:$BT134,,AH134)*(1-AF134)+INDEX(Models!$BJ134:$BT134,,AH134+1)*AF134-ERP_i)*AE134*Ramure*Pc/MaxiM</f>
        <v>1.4818725425078044E-5</v>
      </c>
      <c r="AE134" s="301">
        <f t="shared" si="40"/>
        <v>0.5</v>
      </c>
      <c r="AF134" s="173">
        <f t="shared" si="41"/>
        <v>7.1477076067516743E-2</v>
      </c>
      <c r="AG134" s="802">
        <f t="shared" si="49"/>
        <v>1</v>
      </c>
      <c r="AH134" s="172">
        <f t="shared" si="42"/>
        <v>7</v>
      </c>
      <c r="AI134" s="221">
        <f t="shared" si="43"/>
        <v>1.0714770760675167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6"/>
        <v>45412</v>
      </c>
      <c r="B135" s="406">
        <f>'2023'!Wh/'2023'!Env_an*'2024'!Env_an</f>
        <v>49.914248681467576</v>
      </c>
      <c r="C135" s="385"/>
      <c r="D135" s="388">
        <f t="shared" si="25"/>
        <v>50.526095365032774</v>
      </c>
      <c r="E135" s="380">
        <f t="shared" si="47"/>
        <v>51.715188021845123</v>
      </c>
      <c r="F135" s="380">
        <f t="shared" si="26"/>
        <v>51.715744930144481</v>
      </c>
      <c r="G135" s="110">
        <f t="shared" si="48"/>
        <v>0.83898397126908031</v>
      </c>
      <c r="H135" s="409" t="b">
        <f>Wh_hp&gt;='2023'!Maxi_hp</f>
        <v>0</v>
      </c>
      <c r="I135" s="375">
        <f>IF(H135,Wh_hp,'2023'!Maxi_hp)</f>
        <v>51.715899228512008</v>
      </c>
      <c r="J135" s="85">
        <f>IF(H135,An,'2023'!An_max)</f>
        <v>2022</v>
      </c>
      <c r="K135" s="193">
        <f t="shared" si="27"/>
        <v>45412</v>
      </c>
      <c r="L135" s="143">
        <f>IF(t&lt;Tvie,1-EXP((T0-t)*PertePVj)+'2023'!Pspv,1-EXP((T0-t)*PertePVj)+Pspv)</f>
        <v>1.2109518440814093E-2</v>
      </c>
      <c r="M135" s="836"/>
      <c r="N135" s="836"/>
      <c r="O135" s="48">
        <f>IF(t&lt;Tnet,'2023'!Resal+('2023'!Salim-'2023'!Resal)*(1-EXP(('2023'!Tnet-t)/('2023'!Tau_j))),Resal+(Salim-Resal)*(1-EXP((Tnet-t)/(Tau_j))))*Salcycl</f>
        <v>2.2993103231299494E-2</v>
      </c>
      <c r="P135" s="165">
        <f>(INDEX(Models!$BJ135:$BT135,,T135)*(1-R135)+INDEX(Models!$BJ135:$BT135,,T135+1)*R135-ERP_i)*Q135*Ramure*Pc/MaxiM</f>
        <v>1.3985594127087433E-5</v>
      </c>
      <c r="Q135" s="301">
        <f t="shared" si="28"/>
        <v>0.5</v>
      </c>
      <c r="R135" s="173">
        <f t="shared" si="29"/>
        <v>7.423194882557671E-2</v>
      </c>
      <c r="S135" s="802">
        <f t="shared" si="30"/>
        <v>1</v>
      </c>
      <c r="T135" s="172">
        <f t="shared" si="31"/>
        <v>7</v>
      </c>
      <c r="U135" s="247">
        <f t="shared" si="32"/>
        <v>1.0742319488255767</v>
      </c>
      <c r="V135" s="378">
        <f t="shared" si="33"/>
        <v>59.493494294588118</v>
      </c>
      <c r="W135" s="397">
        <f t="shared" si="34"/>
        <v>49.914248681467576</v>
      </c>
      <c r="X135" s="153">
        <f t="shared" si="35"/>
        <v>45412</v>
      </c>
      <c r="Y135" s="380">
        <f t="shared" si="36"/>
        <v>48.788615667321473</v>
      </c>
      <c r="Z135" s="380">
        <f t="shared" si="37"/>
        <v>49.386664390488392</v>
      </c>
      <c r="AA135" s="381">
        <f t="shared" si="38"/>
        <v>51.715188021845123</v>
      </c>
      <c r="AB135" s="193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4.5025914444575335E-2</v>
      </c>
      <c r="AD135" s="227">
        <f>(INDEX(Models!$BJ135:$BT135,,AH135)*(1-AF135)+INDEX(Models!$BJ135:$BT135,,AH135+1)*AF135-ERP_i)*AE135*Ramure*Pc/MaxiM</f>
        <v>1.3985594127087433E-5</v>
      </c>
      <c r="AE135" s="301">
        <f t="shared" si="40"/>
        <v>0.5</v>
      </c>
      <c r="AF135" s="173">
        <f t="shared" si="41"/>
        <v>7.423194882557671E-2</v>
      </c>
      <c r="AG135" s="802">
        <f t="shared" si="49"/>
        <v>1</v>
      </c>
      <c r="AH135" s="172">
        <f t="shared" si="42"/>
        <v>7</v>
      </c>
      <c r="AI135" s="221">
        <f t="shared" si="43"/>
        <v>1.0742319488255767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6"/>
        <v>45413</v>
      </c>
      <c r="B136" s="406">
        <f>'2023'!Wh/'2023'!Env_an*'2024'!Env_an</f>
        <v>32.082780361838054</v>
      </c>
      <c r="C136" s="385"/>
      <c r="D136" s="388">
        <f t="shared" si="25"/>
        <v>32.476494260309707</v>
      </c>
      <c r="E136" s="380">
        <f t="shared" si="47"/>
        <v>33.243015903242799</v>
      </c>
      <c r="F136" s="380">
        <f t="shared" si="26"/>
        <v>33.243164857086363</v>
      </c>
      <c r="G136" s="110">
        <f t="shared" si="48"/>
        <v>0.53761425144290254</v>
      </c>
      <c r="H136" s="409" t="b">
        <f>Wh_hp&gt;='2023'!Maxi_hp</f>
        <v>0</v>
      </c>
      <c r="I136" s="375">
        <f>IF(H136,Wh_hp,'2023'!Maxi_hp)</f>
        <v>33.243433014495245</v>
      </c>
      <c r="J136" s="85">
        <f>IF(H136,An,'2023'!An_max)</f>
        <v>2022</v>
      </c>
      <c r="K136" s="193">
        <f t="shared" si="27"/>
        <v>45413</v>
      </c>
      <c r="L136" s="143">
        <f>IF(t&lt;Tvie,1-EXP((T0-t)*PertePVj)+'2023'!Pspv,1-EXP((T0-t)*PertePVj)+Pspv)</f>
        <v>1.2123041831914039E-2</v>
      </c>
      <c r="M136" s="836"/>
      <c r="N136" s="836"/>
      <c r="O136" s="48">
        <f>IF(t&lt;Tnet,'2023'!Resal+('2023'!Salim-'2023'!Resal)*(1-EXP(('2023'!Tnet-t)/('2023'!Tau_j))),Resal+(Salim-Resal)*(1-EXP((Tnet-t)/(Tau_j))))*Salcycl</f>
        <v>2.3058125807963067E-2</v>
      </c>
      <c r="P136" s="165">
        <f>(INDEX(Models!$BJ136:$BT136,,T136)*(1-R136)+INDEX(Models!$BJ136:$BT136,,T136+1)*R136-ERP_i)*Q136*Ramure*Pc/MaxiM</f>
        <v>1.319976922756572E-5</v>
      </c>
      <c r="Q136" s="301">
        <f t="shared" si="28"/>
        <v>0.5</v>
      </c>
      <c r="R136" s="173">
        <f t="shared" si="29"/>
        <v>7.7064434261011616E-2</v>
      </c>
      <c r="S136" s="802">
        <f t="shared" si="30"/>
        <v>1</v>
      </c>
      <c r="T136" s="172">
        <f t="shared" si="31"/>
        <v>7</v>
      </c>
      <c r="U136" s="247">
        <f t="shared" si="32"/>
        <v>1.0770644342610116</v>
      </c>
      <c r="V136" s="378">
        <f t="shared" si="33"/>
        <v>59.675688551128516</v>
      </c>
      <c r="W136" s="397">
        <f t="shared" si="34"/>
        <v>32.082780361838054</v>
      </c>
      <c r="X136" s="153">
        <f t="shared" si="35"/>
        <v>45413</v>
      </c>
      <c r="Y136" s="380">
        <f t="shared" si="36"/>
        <v>31.359502332340917</v>
      </c>
      <c r="Z136" s="380">
        <f t="shared" si="37"/>
        <v>31.744340297696404</v>
      </c>
      <c r="AA136" s="381">
        <f t="shared" si="38"/>
        <v>33.243015903242799</v>
      </c>
      <c r="AB136" s="193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4.5082420015934856E-2</v>
      </c>
      <c r="AD136" s="227">
        <f>(INDEX(Models!$BJ136:$BT136,,AH136)*(1-AF136)+INDEX(Models!$BJ136:$BT136,,AH136+1)*AF136-ERP_i)*AE136*Ramure*Pc/MaxiM</f>
        <v>1.319976922756572E-5</v>
      </c>
      <c r="AE136" s="301">
        <f t="shared" si="40"/>
        <v>0.5</v>
      </c>
      <c r="AF136" s="173">
        <f t="shared" si="41"/>
        <v>7.7064434261011616E-2</v>
      </c>
      <c r="AG136" s="802">
        <f t="shared" si="49"/>
        <v>1</v>
      </c>
      <c r="AH136" s="172">
        <f t="shared" si="42"/>
        <v>7</v>
      </c>
      <c r="AI136" s="221">
        <f t="shared" si="43"/>
        <v>1.0770644342610116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6"/>
        <v>45414</v>
      </c>
      <c r="B137" s="406">
        <f>'2023'!Wh/'2023'!Env_an*'2024'!Env_an</f>
        <v>35.757451507895006</v>
      </c>
      <c r="C137" s="385"/>
      <c r="D137" s="388">
        <f t="shared" si="25"/>
        <v>36.196755788685003</v>
      </c>
      <c r="E137" s="380">
        <f t="shared" si="47"/>
        <v>37.053562311240313</v>
      </c>
      <c r="F137" s="380">
        <f t="shared" si="26"/>
        <v>37.053758035493523</v>
      </c>
      <c r="G137" s="110">
        <f t="shared" si="48"/>
        <v>0.59744864985751922</v>
      </c>
      <c r="H137" s="409" t="b">
        <f>Wh_hp&gt;='2023'!Maxi_hp</f>
        <v>0</v>
      </c>
      <c r="I137" s="375">
        <f>IF(H137,Wh_hp,'2023'!Maxi_hp)</f>
        <v>37.054002471299164</v>
      </c>
      <c r="J137" s="85">
        <f>IF(H137,An,'2023'!An_max)</f>
        <v>2022</v>
      </c>
      <c r="K137" s="193">
        <f t="shared" si="27"/>
        <v>45414</v>
      </c>
      <c r="L137" s="143">
        <f>IF(t&lt;Tvie,1-EXP((T0-t)*PertePVj)+'2023'!Pspv,1-EXP((T0-t)*PertePVj)+Pspv)</f>
        <v>1.2136565037890068E-2</v>
      </c>
      <c r="M137" s="836"/>
      <c r="N137" s="836"/>
      <c r="O137" s="48">
        <f>IF(t&lt;Tnet,'2023'!Resal+('2023'!Salim-'2023'!Resal)*(1-EXP(('2023'!Tnet-t)/('2023'!Tau_j))),Resal+(Salim-Resal)*(1-EXP((Tnet-t)/(Tau_j))))*Salcycl</f>
        <v>2.312345882855631E-2</v>
      </c>
      <c r="P137" s="165">
        <f>(INDEX(Models!$BJ137:$BT137,,T137)*(1-R137)+INDEX(Models!$BJ137:$BT137,,T137+1)*R137-ERP_i)*Q137*Ramure*Pc/MaxiM</f>
        <v>1.2430602694592741E-5</v>
      </c>
      <c r="Q137" s="301">
        <f t="shared" si="28"/>
        <v>0.5</v>
      </c>
      <c r="R137" s="173">
        <f t="shared" si="29"/>
        <v>7.9975365526575581E-2</v>
      </c>
      <c r="S137" s="802">
        <f t="shared" si="30"/>
        <v>1</v>
      </c>
      <c r="T137" s="172">
        <f t="shared" si="31"/>
        <v>7</v>
      </c>
      <c r="U137" s="247">
        <f t="shared" si="32"/>
        <v>1.0799753655265756</v>
      </c>
      <c r="V137" s="378">
        <f t="shared" si="33"/>
        <v>59.849822918406154</v>
      </c>
      <c r="W137" s="397">
        <f t="shared" si="34"/>
        <v>35.757451507895006</v>
      </c>
      <c r="X137" s="153">
        <f t="shared" si="35"/>
        <v>45414</v>
      </c>
      <c r="Y137" s="380">
        <f t="shared" si="36"/>
        <v>34.951578636939786</v>
      </c>
      <c r="Z137" s="380">
        <f t="shared" si="37"/>
        <v>35.380982228864838</v>
      </c>
      <c r="AA137" s="381">
        <f t="shared" si="38"/>
        <v>37.053562311240313</v>
      </c>
      <c r="AB137" s="193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4.5139521763824846E-2</v>
      </c>
      <c r="AD137" s="227">
        <f>(INDEX(Models!$BJ137:$BT137,,AH137)*(1-AF137)+INDEX(Models!$BJ137:$BT137,,AH137+1)*AF137-ERP_i)*AE137*Ramure*Pc/MaxiM</f>
        <v>1.2430602694592741E-5</v>
      </c>
      <c r="AE137" s="301">
        <f t="shared" si="40"/>
        <v>0.5</v>
      </c>
      <c r="AF137" s="173">
        <f t="shared" si="41"/>
        <v>7.9975365526575581E-2</v>
      </c>
      <c r="AG137" s="802">
        <f t="shared" si="49"/>
        <v>1</v>
      </c>
      <c r="AH137" s="172">
        <f t="shared" si="42"/>
        <v>7</v>
      </c>
      <c r="AI137" s="221">
        <f t="shared" si="43"/>
        <v>1.0799753655265756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6"/>
        <v>45415</v>
      </c>
      <c r="B138" s="406">
        <f>'2023'!Wh/'2023'!Env_an*'2024'!Env_an</f>
        <v>20.124411245399475</v>
      </c>
      <c r="C138" s="385"/>
      <c r="D138" s="388">
        <f t="shared" si="25"/>
        <v>20.371932013287683</v>
      </c>
      <c r="E138" s="380">
        <f t="shared" si="47"/>
        <v>20.855553501546655</v>
      </c>
      <c r="F138" s="380">
        <f t="shared" si="26"/>
        <v>20.855565788375948</v>
      </c>
      <c r="G138" s="110">
        <f t="shared" si="48"/>
        <v>0.33531192478950028</v>
      </c>
      <c r="H138" s="409" t="b">
        <f>Wh_hp&gt;='2023'!Maxi_hp</f>
        <v>0</v>
      </c>
      <c r="I138" s="375">
        <f>IF(H138,Wh_hp,'2023'!Maxi_hp)</f>
        <v>20.855778646437024</v>
      </c>
      <c r="J138" s="85">
        <f>IF(H138,An,'2023'!An_max)</f>
        <v>2022</v>
      </c>
      <c r="K138" s="193">
        <f t="shared" si="27"/>
        <v>45415</v>
      </c>
      <c r="L138" s="143">
        <f>IF(t&lt;Tvie,1-EXP((T0-t)*PertePVj)+'2023'!Pspv,1-EXP((T0-t)*PertePVj)+Pspv)</f>
        <v>1.2150088058744735E-2</v>
      </c>
      <c r="M138" s="836"/>
      <c r="N138" s="836"/>
      <c r="O138" s="48">
        <f>IF(t&lt;Tnet,'2023'!Resal+('2023'!Salim-'2023'!Resal)*(1-EXP(('2023'!Tnet-t)/('2023'!Tau_j))),Resal+(Salim-Resal)*(1-EXP((Tnet-t)/(Tau_j))))*Salcycl</f>
        <v>2.3189098684103834E-2</v>
      </c>
      <c r="P138" s="165">
        <f>(INDEX(Models!$BJ138:$BT138,,T138)*(1-R138)+INDEX(Models!$BJ138:$BT138,,T138+1)*R138-ERP_i)*Q138*Ramure*Pc/MaxiM</f>
        <v>1.1677470306850517E-5</v>
      </c>
      <c r="Q138" s="301">
        <f t="shared" si="28"/>
        <v>0.5</v>
      </c>
      <c r="R138" s="173">
        <f t="shared" si="29"/>
        <v>8.2965486442865943E-2</v>
      </c>
      <c r="S138" s="802">
        <f t="shared" si="30"/>
        <v>1</v>
      </c>
      <c r="T138" s="172">
        <f t="shared" si="31"/>
        <v>7</v>
      </c>
      <c r="U138" s="247">
        <f t="shared" si="32"/>
        <v>1.0829654864428659</v>
      </c>
      <c r="V138" s="378">
        <f t="shared" si="33"/>
        <v>60.016320957759653</v>
      </c>
      <c r="W138" s="397">
        <f t="shared" si="34"/>
        <v>20.124411245399475</v>
      </c>
      <c r="X138" s="153">
        <f t="shared" si="35"/>
        <v>45415</v>
      </c>
      <c r="Y138" s="380">
        <f t="shared" si="36"/>
        <v>19.670996688961939</v>
      </c>
      <c r="Z138" s="380">
        <f t="shared" si="37"/>
        <v>19.912940671630814</v>
      </c>
      <c r="AA138" s="381">
        <f t="shared" si="38"/>
        <v>20.855553501546655</v>
      </c>
      <c r="AB138" s="193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4.5197209934799289E-2</v>
      </c>
      <c r="AD138" s="227">
        <f>(INDEX(Models!$BJ138:$BT138,,AH138)*(1-AF138)+INDEX(Models!$BJ138:$BT138,,AH138+1)*AF138-ERP_i)*AE138*Ramure*Pc/MaxiM</f>
        <v>1.1677470306850517E-5</v>
      </c>
      <c r="AE138" s="301">
        <f t="shared" si="40"/>
        <v>0.5</v>
      </c>
      <c r="AF138" s="173">
        <f t="shared" si="41"/>
        <v>8.2965486442865943E-2</v>
      </c>
      <c r="AG138" s="802">
        <f t="shared" si="49"/>
        <v>1</v>
      </c>
      <c r="AH138" s="172">
        <f t="shared" si="42"/>
        <v>7</v>
      </c>
      <c r="AI138" s="221">
        <f t="shared" si="43"/>
        <v>1.0829654864428659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6"/>
        <v>45416</v>
      </c>
      <c r="B139" s="406">
        <f>'2023'!Wh/'2023'!Env_an*'2024'!Env_an</f>
        <v>40.507195057588959</v>
      </c>
      <c r="C139" s="385"/>
      <c r="D139" s="388">
        <f t="shared" si="25"/>
        <v>41.005975791464834</v>
      </c>
      <c r="E139" s="380">
        <f t="shared" si="47"/>
        <v>41.982275324660726</v>
      </c>
      <c r="F139" s="380">
        <f t="shared" si="26"/>
        <v>41.982520154077541</v>
      </c>
      <c r="G139" s="110">
        <f t="shared" si="48"/>
        <v>0.67314632505863048</v>
      </c>
      <c r="H139" s="409" t="b">
        <f>Wh_hp&gt;='2023'!Maxi_hp</f>
        <v>0</v>
      </c>
      <c r="I139" s="375">
        <f>IF(H139,Wh_hp,'2023'!Maxi_hp)</f>
        <v>41.982717028924689</v>
      </c>
      <c r="J139" s="85">
        <f>IF(H139,An,'2023'!An_max)</f>
        <v>2022</v>
      </c>
      <c r="K139" s="193">
        <f t="shared" si="27"/>
        <v>45416</v>
      </c>
      <c r="L139" s="143">
        <f>IF(t&lt;Tvie,1-EXP((T0-t)*PertePVj)+'2023'!Pspv,1-EXP((T0-t)*PertePVj)+Pspv)</f>
        <v>1.2163610894480703E-2</v>
      </c>
      <c r="M139" s="836"/>
      <c r="N139" s="836"/>
      <c r="O139" s="48">
        <f>IF(t&lt;Tnet,'2023'!Resal+('2023'!Salim-'2023'!Resal)*(1-EXP(('2023'!Tnet-t)/('2023'!Tau_j))),Resal+(Salim-Resal)*(1-EXP((Tnet-t)/(Tau_j))))*Salcycl</f>
        <v>2.3255040982078527E-2</v>
      </c>
      <c r="P139" s="165">
        <f>(INDEX(Models!$BJ139:$BT139,,T139)*(1-R139)+INDEX(Models!$BJ139:$BT139,,T139+1)*R139-ERP_i)*Q139*Ramure*Pc/MaxiM</f>
        <v>1.0939814604518753E-5</v>
      </c>
      <c r="Q139" s="301">
        <f t="shared" si="28"/>
        <v>0.5</v>
      </c>
      <c r="R139" s="173">
        <f t="shared" si="29"/>
        <v>8.6035444509442227E-2</v>
      </c>
      <c r="S139" s="802">
        <f t="shared" si="30"/>
        <v>1</v>
      </c>
      <c r="T139" s="172">
        <f t="shared" si="31"/>
        <v>7</v>
      </c>
      <c r="U139" s="247">
        <f t="shared" si="32"/>
        <v>1.0860354445094422</v>
      </c>
      <c r="V139" s="378">
        <f t="shared" si="33"/>
        <v>60.175606154301072</v>
      </c>
      <c r="W139" s="397">
        <f t="shared" si="34"/>
        <v>40.507195057588959</v>
      </c>
      <c r="X139" s="153">
        <f t="shared" si="35"/>
        <v>45416</v>
      </c>
      <c r="Y139" s="380">
        <f t="shared" si="36"/>
        <v>39.594801503885122</v>
      </c>
      <c r="Z139" s="380">
        <f t="shared" si="37"/>
        <v>40.082347583629726</v>
      </c>
      <c r="AA139" s="381">
        <f t="shared" si="38"/>
        <v>41.982275324660726</v>
      </c>
      <c r="AB139" s="193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4.5255473323880815E-2</v>
      </c>
      <c r="AD139" s="227">
        <f>(INDEX(Models!$BJ139:$BT139,,AH139)*(1-AF139)+INDEX(Models!$BJ139:$BT139,,AH139+1)*AF139-ERP_i)*AE139*Ramure*Pc/MaxiM</f>
        <v>1.0939814604518753E-5</v>
      </c>
      <c r="AE139" s="301">
        <f t="shared" si="40"/>
        <v>0.5</v>
      </c>
      <c r="AF139" s="173">
        <f t="shared" si="41"/>
        <v>8.6035444509442227E-2</v>
      </c>
      <c r="AG139" s="802">
        <f t="shared" si="49"/>
        <v>1</v>
      </c>
      <c r="AH139" s="172">
        <f t="shared" si="42"/>
        <v>7</v>
      </c>
      <c r="AI139" s="221">
        <f t="shared" si="43"/>
        <v>1.0860354445094422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6"/>
        <v>45417</v>
      </c>
      <c r="B140" s="406">
        <f>'2023'!Wh/'2023'!Env_an*'2024'!Env_an</f>
        <v>42.463476059897467</v>
      </c>
      <c r="C140" s="385"/>
      <c r="D140" s="388">
        <f t="shared" si="25"/>
        <v>42.986933692161287</v>
      </c>
      <c r="E140" s="380">
        <f t="shared" si="47"/>
        <v>44.013382123538015</v>
      </c>
      <c r="F140" s="380">
        <f t="shared" si="26"/>
        <v>44.01364158109245</v>
      </c>
      <c r="G140" s="110">
        <f t="shared" si="48"/>
        <v>0.70387250998232542</v>
      </c>
      <c r="H140" s="409" t="b">
        <f>Wh_hp&gt;='2023'!Maxi_hp</f>
        <v>0</v>
      </c>
      <c r="I140" s="375">
        <f>IF(H140,Wh_hp,'2023'!Maxi_hp)</f>
        <v>44.0138157587295</v>
      </c>
      <c r="J140" s="85">
        <f>IF(H140,An,'2023'!An_max)</f>
        <v>2022</v>
      </c>
      <c r="K140" s="193">
        <f t="shared" si="27"/>
        <v>45417</v>
      </c>
      <c r="L140" s="143">
        <f>IF(t&lt;Tvie,1-EXP((T0-t)*PertePVj)+'2023'!Pspv,1-EXP((T0-t)*PertePVj)+Pspv)</f>
        <v>1.2177133545100305E-2</v>
      </c>
      <c r="M140" s="836"/>
      <c r="N140" s="836"/>
      <c r="O140" s="48">
        <f>IF(t&lt;Tnet,'2023'!Resal+('2023'!Salim-'2023'!Resal)*(1-EXP(('2023'!Tnet-t)/('2023'!Tau_j))),Resal+(Salim-Resal)*(1-EXP((Tnet-t)/(Tau_j))))*Salcycl</f>
        <v>2.3321280525447036E-2</v>
      </c>
      <c r="P140" s="165">
        <f>(INDEX(Models!$BJ140:$BT140,,T140)*(1-R140)+INDEX(Models!$BJ140:$BT140,,T140+1)*R140-ERP_i)*Q140*Ramure*Pc/MaxiM</f>
        <v>1.0217143493443634E-5</v>
      </c>
      <c r="Q140" s="301">
        <f t="shared" si="28"/>
        <v>0.5</v>
      </c>
      <c r="R140" s="173">
        <f t="shared" si="29"/>
        <v>8.9185783870783686E-2</v>
      </c>
      <c r="S140" s="802">
        <f t="shared" si="30"/>
        <v>1</v>
      </c>
      <c r="T140" s="172">
        <f t="shared" si="31"/>
        <v>7</v>
      </c>
      <c r="U140" s="247">
        <f t="shared" si="32"/>
        <v>1.0891857838707837</v>
      </c>
      <c r="V140" s="378">
        <f t="shared" si="33"/>
        <v>60.328101922723455</v>
      </c>
      <c r="W140" s="397">
        <f t="shared" si="34"/>
        <v>42.463476059897467</v>
      </c>
      <c r="X140" s="153">
        <f t="shared" si="35"/>
        <v>45417</v>
      </c>
      <c r="Y140" s="380">
        <f t="shared" si="36"/>
        <v>41.50727623159662</v>
      </c>
      <c r="Z140" s="380">
        <f t="shared" si="37"/>
        <v>42.018946555224012</v>
      </c>
      <c r="AA140" s="381">
        <f t="shared" si="38"/>
        <v>44.013382123538015</v>
      </c>
      <c r="AB140" s="193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4.5314299244624413E-2</v>
      </c>
      <c r="AD140" s="227">
        <f>(INDEX(Models!$BJ140:$BT140,,AH140)*(1-AF140)+INDEX(Models!$BJ140:$BT140,,AH140+1)*AF140-ERP_i)*AE140*Ramure*Pc/MaxiM</f>
        <v>1.0217143493443634E-5</v>
      </c>
      <c r="AE140" s="301">
        <f t="shared" si="40"/>
        <v>0.5</v>
      </c>
      <c r="AF140" s="173">
        <f t="shared" si="41"/>
        <v>8.9185783870783686E-2</v>
      </c>
      <c r="AG140" s="802">
        <f t="shared" si="49"/>
        <v>1</v>
      </c>
      <c r="AH140" s="172">
        <f t="shared" si="42"/>
        <v>7</v>
      </c>
      <c r="AI140" s="221">
        <f t="shared" si="43"/>
        <v>1.0891857838707837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6"/>
        <v>45418</v>
      </c>
      <c r="B141" s="406">
        <f>'2023'!Wh/'2023'!Env_an*'2024'!Env_an</f>
        <v>48.840615695839524</v>
      </c>
      <c r="C141" s="385"/>
      <c r="D141" s="388">
        <f t="shared" si="25"/>
        <v>49.443362722800821</v>
      </c>
      <c r="E141" s="380">
        <f t="shared" si="47"/>
        <v>50.627427442103901</v>
      </c>
      <c r="F141" s="380">
        <f t="shared" si="26"/>
        <v>50.627776559596008</v>
      </c>
      <c r="G141" s="110">
        <f t="shared" si="48"/>
        <v>0.8076247811110604</v>
      </c>
      <c r="H141" s="409" t="b">
        <f>Wh_hp&gt;='2023'!Maxi_hp</f>
        <v>0</v>
      </c>
      <c r="I141" s="375">
        <f>IF(H141,Wh_hp,'2023'!Maxi_hp)</f>
        <v>50.627897365958461</v>
      </c>
      <c r="J141" s="85">
        <f>IF(H141,An,'2023'!An_max)</f>
        <v>2022</v>
      </c>
      <c r="K141" s="193">
        <f t="shared" si="27"/>
        <v>45418</v>
      </c>
      <c r="L141" s="143">
        <f>IF(t&lt;Tvie,1-EXP((T0-t)*PertePVj)+'2023'!Pspv,1-EXP((T0-t)*PertePVj)+Pspv)</f>
        <v>1.2190656010606205E-2</v>
      </c>
      <c r="M141" s="836"/>
      <c r="N141" s="836"/>
      <c r="O141" s="48">
        <f>IF(t&lt;Tnet,'2023'!Resal+('2023'!Salim-'2023'!Resal)*(1-EXP(('2023'!Tnet-t)/('2023'!Tau_j))),Resal+(Salim-Resal)*(1-EXP((Tnet-t)/(Tau_j))))*Salcycl</f>
        <v>2.3387811293732876E-2</v>
      </c>
      <c r="P141" s="165">
        <f>(INDEX(Models!$BJ141:$BT141,,T141)*(1-R141)+INDEX(Models!$BJ141:$BT141,,T141+1)*R141-ERP_i)*Q141*Ramure*Pc/MaxiM</f>
        <v>9.5090290368054917E-6</v>
      </c>
      <c r="Q141" s="301">
        <f t="shared" si="28"/>
        <v>0.5</v>
      </c>
      <c r="R141" s="173">
        <f t="shared" si="29"/>
        <v>9.2416938275935889E-2</v>
      </c>
      <c r="S141" s="802">
        <f t="shared" si="30"/>
        <v>1</v>
      </c>
      <c r="T141" s="172">
        <f t="shared" si="31"/>
        <v>7</v>
      </c>
      <c r="U141" s="247">
        <f t="shared" si="32"/>
        <v>1.0924169382759359</v>
      </c>
      <c r="V141" s="378">
        <f t="shared" si="33"/>
        <v>60.474231603664087</v>
      </c>
      <c r="W141" s="397">
        <f t="shared" si="34"/>
        <v>48.840615695839524</v>
      </c>
      <c r="X141" s="153">
        <f t="shared" si="35"/>
        <v>45418</v>
      </c>
      <c r="Y141" s="380">
        <f t="shared" si="36"/>
        <v>47.741097320647619</v>
      </c>
      <c r="Z141" s="380">
        <f t="shared" si="37"/>
        <v>48.330275079034095</v>
      </c>
      <c r="AA141" s="381">
        <f t="shared" si="38"/>
        <v>50.627427442103901</v>
      </c>
      <c r="AB141" s="193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4.5373673503295534E-2</v>
      </c>
      <c r="AD141" s="227">
        <f>(INDEX(Models!$BJ141:$BT141,,AH141)*(1-AF141)+INDEX(Models!$BJ141:$BT141,,AH141+1)*AF141-ERP_i)*AE141*Ramure*Pc/MaxiM</f>
        <v>9.5090290368054917E-6</v>
      </c>
      <c r="AE141" s="301">
        <f t="shared" si="40"/>
        <v>0.5</v>
      </c>
      <c r="AF141" s="173">
        <f t="shared" si="41"/>
        <v>9.2416938275935889E-2</v>
      </c>
      <c r="AG141" s="802">
        <f t="shared" si="49"/>
        <v>1</v>
      </c>
      <c r="AH141" s="172">
        <f t="shared" si="42"/>
        <v>7</v>
      </c>
      <c r="AI141" s="221">
        <f t="shared" si="43"/>
        <v>1.0924169382759359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6"/>
        <v>45419</v>
      </c>
      <c r="B142" s="406">
        <f>'2023'!Wh/'2023'!Env_an*'2024'!Env_an</f>
        <v>55.396780092263661</v>
      </c>
      <c r="C142" s="385"/>
      <c r="D142" s="388">
        <f t="shared" si="25"/>
        <v>56.081205118301611</v>
      </c>
      <c r="E142" s="380">
        <f t="shared" si="47"/>
        <v>57.428161185256904</v>
      </c>
      <c r="F142" s="380">
        <f t="shared" si="26"/>
        <v>57.428606502339647</v>
      </c>
      <c r="G142" s="110">
        <f t="shared" si="48"/>
        <v>0.91391986799138902</v>
      </c>
      <c r="H142" s="409" t="b">
        <f>Wh_hp&gt;='2023'!Maxi_hp</f>
        <v>0</v>
      </c>
      <c r="I142" s="375">
        <f>IF(H142,Wh_hp,'2023'!Maxi_hp)</f>
        <v>57.428663358551631</v>
      </c>
      <c r="J142" s="85">
        <f>IF(H142,An,'2023'!An_max)</f>
        <v>2022</v>
      </c>
      <c r="K142" s="193">
        <f t="shared" si="27"/>
        <v>45419</v>
      </c>
      <c r="L142" s="143">
        <f>IF(t&lt;Tvie,1-EXP((T0-t)*PertePVj)+'2023'!Pspv,1-EXP((T0-t)*PertePVj)+Pspv)</f>
        <v>1.2204178291000956E-2</v>
      </c>
      <c r="M142" s="836"/>
      <c r="N142" s="836"/>
      <c r="O142" s="48">
        <f>IF(t&lt;Tnet,'2023'!Resal+('2023'!Salim-'2023'!Resal)*(1-EXP(('2023'!Tnet-t)/('2023'!Tau_j))),Resal+(Salim-Resal)*(1-EXP((Tnet-t)/(Tau_j))))*Salcycl</f>
        <v>2.3454626426400151E-2</v>
      </c>
      <c r="P142" s="165">
        <f>(INDEX(Models!$BJ142:$BT142,,T142)*(1-R142)+INDEX(Models!$BJ142:$BT142,,T142+1)*R142-ERP_i)*Q142*Ramure*Pc/MaxiM</f>
        <v>8.8415157655296373E-6</v>
      </c>
      <c r="Q142" s="301">
        <f t="shared" si="28"/>
        <v>0.5</v>
      </c>
      <c r="R142" s="173">
        <f t="shared" si="29"/>
        <v>9.572922407406903E-2</v>
      </c>
      <c r="S142" s="802">
        <f t="shared" si="30"/>
        <v>1</v>
      </c>
      <c r="T142" s="172">
        <f t="shared" si="31"/>
        <v>7</v>
      </c>
      <c r="U142" s="247">
        <f t="shared" si="32"/>
        <v>1.095729224074069</v>
      </c>
      <c r="V142" s="378">
        <f t="shared" si="33"/>
        <v>60.614416867628975</v>
      </c>
      <c r="W142" s="397">
        <f t="shared" si="34"/>
        <v>55.396780092263661</v>
      </c>
      <c r="X142" s="153">
        <f t="shared" si="35"/>
        <v>45419</v>
      </c>
      <c r="Y142" s="380">
        <f t="shared" si="36"/>
        <v>54.14997342905378</v>
      </c>
      <c r="Z142" s="380">
        <f t="shared" si="37"/>
        <v>54.818994208102815</v>
      </c>
      <c r="AA142" s="381">
        <f t="shared" si="38"/>
        <v>57.428161185256904</v>
      </c>
      <c r="AB142" s="193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4.5433580377703606E-2</v>
      </c>
      <c r="AD142" s="227">
        <f>(INDEX(Models!$BJ142:$BT142,,AH142)*(1-AF142)+INDEX(Models!$BJ142:$BT142,,AH142+1)*AF142-ERP_i)*AE142*Ramure*Pc/MaxiM</f>
        <v>8.8415157655296373E-6</v>
      </c>
      <c r="AE142" s="301">
        <f t="shared" si="40"/>
        <v>0.5</v>
      </c>
      <c r="AF142" s="173">
        <f t="shared" si="41"/>
        <v>9.572922407406903E-2</v>
      </c>
      <c r="AG142" s="802">
        <f t="shared" si="49"/>
        <v>1</v>
      </c>
      <c r="AH142" s="172">
        <f t="shared" si="42"/>
        <v>7</v>
      </c>
      <c r="AI142" s="221">
        <f t="shared" si="43"/>
        <v>1.095729224074069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45420</v>
      </c>
      <c r="B143" s="406">
        <f>'2023'!Wh/'2023'!Env_an*'2024'!Env_an</f>
        <v>58.614823519820348</v>
      </c>
      <c r="C143" s="385"/>
      <c r="D143" s="388">
        <f t="shared" ref="D143:D206" si="50">Wh/(1-Ppv)</f>
        <v>59.339819657370406</v>
      </c>
      <c r="E143" s="380">
        <f t="shared" si="47"/>
        <v>60.769216032664069</v>
      </c>
      <c r="F143" s="380">
        <f t="shared" ref="F143:F206" si="51">Wh_sa/(1-Pvg*MEDIAN((-Sdif+Wh/Env_an)/Csdif,0,1))</f>
        <v>60.76969095439047</v>
      </c>
      <c r="G143" s="110">
        <f t="shared" si="48"/>
        <v>0.96486727460198563</v>
      </c>
      <c r="H143" s="409" t="b">
        <f>Wh_hp&gt;='2023'!Maxi_hp</f>
        <v>0</v>
      </c>
      <c r="I143" s="375">
        <f>IF(H143,Wh_hp,'2023'!Maxi_hp)</f>
        <v>60.769713742557045</v>
      </c>
      <c r="J143" s="85">
        <f>IF(H143,An,'2023'!An_max)</f>
        <v>2022</v>
      </c>
      <c r="K143" s="193">
        <f t="shared" ref="K143:K206" si="52">t</f>
        <v>45420</v>
      </c>
      <c r="L143" s="143">
        <f>IF(t&lt;Tvie,1-EXP((T0-t)*PertePVj)+'2023'!Pspv,1-EXP((T0-t)*PertePVj)+Pspv)</f>
        <v>1.2217700386287E-2</v>
      </c>
      <c r="M143" s="836"/>
      <c r="N143" s="836"/>
      <c r="O143" s="48">
        <f>IF(t&lt;Tnet,'2023'!Resal+('2023'!Salim-'2023'!Resal)*(1-EXP(('2023'!Tnet-t)/('2023'!Tau_j))),Resal+(Salim-Resal)*(1-EXP((Tnet-t)/(Tau_j))))*Salcycl</f>
        <v>2.3521718208860027E-2</v>
      </c>
      <c r="P143" s="165">
        <f>(INDEX(Models!$BJ143:$BT143,,T143)*(1-R143)+INDEX(Models!$BJ143:$BT143,,T143+1)*R143-ERP_i)*Q143*Ramure*Pc/MaxiM</f>
        <v>8.2280672524154233E-6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9.9122833291414247E-2</v>
      </c>
      <c r="S143" s="802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1.0991228332914142</v>
      </c>
      <c r="V143" s="378">
        <f t="shared" ref="V143:V206" si="58">MaxiM*(1-Ppv)*(1-Pvg)*(1-Psa)</f>
        <v>60.749080062129721</v>
      </c>
      <c r="W143" s="397">
        <f t="shared" ref="W143:W206" si="59">Wh*(A143&gt;Tmaj)</f>
        <v>58.614823519820348</v>
      </c>
      <c r="X143" s="153">
        <f t="shared" ref="X143:X206" si="60">t</f>
        <v>45420</v>
      </c>
      <c r="Y143" s="380">
        <f t="shared" ref="Y143:Y206" si="61">Wh_pvt_s*(1-Ppv)</f>
        <v>57.295898566749841</v>
      </c>
      <c r="Z143" s="380">
        <f t="shared" ref="Z143:Z206" si="62">Wh_sa_s*(1-Psa_s)</f>
        <v>58.004581160399674</v>
      </c>
      <c r="AA143" s="381">
        <f t="shared" ref="AA143:AA206" si="63">Wh_hp*(1-Pvg_s*MEDIAN((-Sdif+Wh/Env_an)/Csdif,0,1))</f>
        <v>60.769216032664069</v>
      </c>
      <c r="AB143" s="193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4.5494002601224444E-2</v>
      </c>
      <c r="AD143" s="227">
        <f>(INDEX(Models!$BJ143:$BT143,,AH143)*(1-AF143)+INDEX(Models!$BJ143:$BT143,,AH143+1)*AF143-ERP_i)*AE143*Ramure*Pc/MaxiM</f>
        <v>8.2280672524154233E-6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9.9122833291414247E-2</v>
      </c>
      <c r="AG143" s="802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1.0991228332914142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45421</v>
      </c>
      <c r="B144" s="406">
        <f>'2023'!Wh/'2023'!Env_an*'2024'!Env_an</f>
        <v>57.414916233191214</v>
      </c>
      <c r="C144" s="385"/>
      <c r="D144" s="388">
        <f t="shared" si="50"/>
        <v>58.125866629106604</v>
      </c>
      <c r="E144" s="380">
        <f t="shared" ref="E144:E169" si="72">Wh_pvt/(1-Psa)</f>
        <v>59.530127452590733</v>
      </c>
      <c r="F144" s="380">
        <f t="shared" si="51"/>
        <v>59.530546910870463</v>
      </c>
      <c r="G144" s="110">
        <f t="shared" ref="G144:G169" si="73">+Wh_hp/MaxiM</f>
        <v>0.94310379546996903</v>
      </c>
      <c r="H144" s="409" t="b">
        <f>Wh_hp&gt;='2023'!Maxi_hp</f>
        <v>0</v>
      </c>
      <c r="I144" s="375">
        <f>IF(H144,Wh_hp,'2023'!Maxi_hp)</f>
        <v>59.530580514371692</v>
      </c>
      <c r="J144" s="85">
        <f>IF(H144,An,'2023'!An_max)</f>
        <v>2022</v>
      </c>
      <c r="K144" s="193">
        <f t="shared" si="52"/>
        <v>45421</v>
      </c>
      <c r="L144" s="143">
        <f>IF(t&lt;Tvie,1-EXP((T0-t)*PertePVj)+'2023'!Pspv,1-EXP((T0-t)*PertePVj)+Pspv)</f>
        <v>1.2231222296466893E-2</v>
      </c>
      <c r="M144" s="836"/>
      <c r="N144" s="836"/>
      <c r="O144" s="48">
        <f>IF(t&lt;Tnet,'2023'!Resal+('2023'!Salim-'2023'!Resal)*(1-EXP(('2023'!Tnet-t)/('2023'!Tau_j))),Resal+(Salim-Resal)*(1-EXP((Tnet-t)/(Tau_j))))*Salcycl</f>
        <v>2.3589078061397848E-2</v>
      </c>
      <c r="P144" s="165">
        <f>(INDEX(Models!$BJ144:$BT144,,T144)*(1-R144)+INDEX(Models!$BJ144:$BT144,,T144+1)*R144-ERP_i)*Q144*Ramure*Pc/MaxiM</f>
        <v>7.6694720525355009E-6</v>
      </c>
      <c r="Q144" s="301">
        <f t="shared" si="53"/>
        <v>0.5</v>
      </c>
      <c r="R144" s="173">
        <f t="shared" si="54"/>
        <v>0.10259782683813246</v>
      </c>
      <c r="S144" s="802">
        <f t="shared" si="55"/>
        <v>1</v>
      </c>
      <c r="T144" s="172">
        <f t="shared" si="56"/>
        <v>7</v>
      </c>
      <c r="U144" s="247">
        <f t="shared" si="57"/>
        <v>1.1025978268381325</v>
      </c>
      <c r="V144" s="378">
        <f t="shared" si="58"/>
        <v>60.878644236145398</v>
      </c>
      <c r="W144" s="397">
        <f t="shared" si="59"/>
        <v>57.414916233191214</v>
      </c>
      <c r="X144" s="153">
        <f t="shared" si="60"/>
        <v>45421</v>
      </c>
      <c r="Y144" s="380">
        <f t="shared" si="61"/>
        <v>56.123280688959682</v>
      </c>
      <c r="Z144" s="380">
        <f t="shared" si="62"/>
        <v>56.81823717838185</v>
      </c>
      <c r="AA144" s="381">
        <f t="shared" si="63"/>
        <v>59.530127452590733</v>
      </c>
      <c r="AB144" s="193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4.5554921352530454E-2</v>
      </c>
      <c r="AD144" s="227">
        <f>(INDEX(Models!$BJ144:$BT144,,AH144)*(1-AF144)+INDEX(Models!$BJ144:$BT144,,AH144+1)*AF144-ERP_i)*AE144*Ramure*Pc/MaxiM</f>
        <v>7.6694720525355009E-6</v>
      </c>
      <c r="AE144" s="301">
        <f t="shared" si="65"/>
        <v>0.5</v>
      </c>
      <c r="AF144" s="173">
        <f t="shared" si="66"/>
        <v>0.10259782683813246</v>
      </c>
      <c r="AG144" s="802">
        <f t="shared" ref="AG144:AG207" si="74">INDEX(Echel_vg,AH144)</f>
        <v>1</v>
      </c>
      <c r="AH144" s="172">
        <f t="shared" si="67"/>
        <v>7</v>
      </c>
      <c r="AI144" s="221">
        <f t="shared" si="68"/>
        <v>1.1025978268381325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1"/>
        <v>45422</v>
      </c>
      <c r="B145" s="406">
        <f>'2023'!Wh/'2023'!Env_an*'2024'!Env_an</f>
        <v>61.247198865237507</v>
      </c>
      <c r="C145" s="385"/>
      <c r="D145" s="388">
        <f t="shared" si="50"/>
        <v>62.006451997632631</v>
      </c>
      <c r="E145" s="380">
        <f t="shared" si="72"/>
        <v>63.508861869938663</v>
      </c>
      <c r="F145" s="380">
        <f t="shared" si="51"/>
        <v>63.509317018832235</v>
      </c>
      <c r="G145" s="110">
        <f t="shared" si="73"/>
        <v>1.0039943016367112</v>
      </c>
      <c r="H145" s="409" t="b">
        <f>Wh_hp&gt;='2023'!Maxi_hp</f>
        <v>1</v>
      </c>
      <c r="I145" s="375">
        <f>IF(H145,Wh_hp,'2023'!Maxi_hp)</f>
        <v>63.509317018832235</v>
      </c>
      <c r="J145" s="85">
        <f>IF(H145,An,'2023'!An_max)</f>
        <v>2024</v>
      </c>
      <c r="K145" s="193">
        <f t="shared" si="52"/>
        <v>45422</v>
      </c>
      <c r="L145" s="143">
        <f>IF(t&lt;Tvie,1-EXP((T0-t)*PertePVj)+'2023'!Pspv,1-EXP((T0-t)*PertePVj)+Pspv)</f>
        <v>1.2244744021543297E-2</v>
      </c>
      <c r="M145" s="836"/>
      <c r="N145" s="836"/>
      <c r="O145" s="48">
        <f>IF(t&lt;Tnet,'2023'!Resal+('2023'!Salim-'2023'!Resal)*(1-EXP(('2023'!Tnet-t)/('2023'!Tau_j))),Resal+(Salim-Resal)*(1-EXP((Tnet-t)/(Tau_j))))*Salcycl</f>
        <v>2.3656696531310122E-2</v>
      </c>
      <c r="P145" s="165">
        <f>(INDEX(Models!$BJ145:$BT145,,T145)*(1-R145)+INDEX(Models!$BJ145:$BT145,,T145+1)*R145-ERP_i)*Q145*Ramure*Pc/MaxiM</f>
        <v>7.1666475871650893E-6</v>
      </c>
      <c r="Q145" s="301">
        <f t="shared" si="53"/>
        <v>0.5</v>
      </c>
      <c r="R145" s="173">
        <f t="shared" si="54"/>
        <v>0.10615412789649681</v>
      </c>
      <c r="S145" s="802">
        <f t="shared" si="55"/>
        <v>1</v>
      </c>
      <c r="T145" s="172">
        <f t="shared" si="56"/>
        <v>7</v>
      </c>
      <c r="U145" s="247">
        <f t="shared" si="57"/>
        <v>1.1061541278964968</v>
      </c>
      <c r="V145" s="378">
        <f t="shared" si="58"/>
        <v>61.003532356102362</v>
      </c>
      <c r="W145" s="397">
        <f t="shared" si="59"/>
        <v>61.247198865237507</v>
      </c>
      <c r="X145" s="153">
        <f t="shared" si="60"/>
        <v>45422</v>
      </c>
      <c r="Y145" s="380">
        <f t="shared" si="61"/>
        <v>59.869645302642567</v>
      </c>
      <c r="Z145" s="380">
        <f t="shared" si="62"/>
        <v>60.611821542105105</v>
      </c>
      <c r="AA145" s="381">
        <f t="shared" si="63"/>
        <v>63.508861869938663</v>
      </c>
      <c r="AB145" s="193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4.5616316251525339E-2</v>
      </c>
      <c r="AD145" s="227">
        <f>(INDEX(Models!$BJ145:$BT145,,AH145)*(1-AF145)+INDEX(Models!$BJ145:$BT145,,AH145+1)*AF145-ERP_i)*AE145*Ramure*Pc/MaxiM</f>
        <v>7.1666475871650893E-6</v>
      </c>
      <c r="AE145" s="301">
        <f t="shared" si="65"/>
        <v>0.5</v>
      </c>
      <c r="AF145" s="173">
        <f t="shared" si="66"/>
        <v>0.10615412789649681</v>
      </c>
      <c r="AG145" s="802">
        <f t="shared" si="74"/>
        <v>1</v>
      </c>
      <c r="AH145" s="172">
        <f t="shared" si="67"/>
        <v>7</v>
      </c>
      <c r="AI145" s="221">
        <f t="shared" si="68"/>
        <v>1.1061541278964968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1"/>
        <v>45423</v>
      </c>
      <c r="B146" s="406">
        <f>'2023'!Wh/'2023'!Env_an*'2024'!Env_an</f>
        <v>46.636815493307992</v>
      </c>
      <c r="C146" s="385"/>
      <c r="D146" s="388">
        <f t="shared" si="50"/>
        <v>47.215596817745507</v>
      </c>
      <c r="E146" s="380">
        <f t="shared" si="72"/>
        <v>48.362987577346622</v>
      </c>
      <c r="F146" s="380">
        <f t="shared" si="51"/>
        <v>48.363202555411867</v>
      </c>
      <c r="G146" s="110">
        <f t="shared" si="73"/>
        <v>0.76298314425056279</v>
      </c>
      <c r="H146" s="409" t="b">
        <f>Wh_hp&gt;='2023'!Maxi_hp</f>
        <v>0</v>
      </c>
      <c r="I146" s="375">
        <f>IF(H146,Wh_hp,'2023'!Maxi_hp)</f>
        <v>48.363301649060638</v>
      </c>
      <c r="J146" s="85">
        <f>IF(H146,An,'2023'!An_max)</f>
        <v>2022</v>
      </c>
      <c r="K146" s="193">
        <f t="shared" si="52"/>
        <v>45423</v>
      </c>
      <c r="L146" s="143">
        <f>IF(t&lt;Tvie,1-EXP((T0-t)*PertePVj)+'2023'!Pspv,1-EXP((T0-t)*PertePVj)+Pspv)</f>
        <v>1.2258265561518544E-2</v>
      </c>
      <c r="M146" s="836"/>
      <c r="N146" s="836"/>
      <c r="O146" s="48">
        <f>IF(t&lt;Tnet,'2023'!Resal+('2023'!Salim-'2023'!Resal)*(1-EXP(('2023'!Tnet-t)/('2023'!Tau_j))),Resal+(Salim-Resal)*(1-EXP((Tnet-t)/(Tau_j))))*Salcycl</f>
        <v>2.3724563288529284E-2</v>
      </c>
      <c r="P146" s="165">
        <f>(INDEX(Models!$BJ146:$BT146,,T146)*(1-R146)+INDEX(Models!$BJ146:$BT146,,T146+1)*R146-ERP_i)*Q146*Ramure*Pc/MaxiM</f>
        <v>6.7206353155596101E-6</v>
      </c>
      <c r="Q146" s="301">
        <f t="shared" si="53"/>
        <v>0.5</v>
      </c>
      <c r="R146" s="173">
        <f t="shared" si="54"/>
        <v>0.10979151554432565</v>
      </c>
      <c r="S146" s="802">
        <f t="shared" si="55"/>
        <v>1</v>
      </c>
      <c r="T146" s="172">
        <f t="shared" si="56"/>
        <v>7</v>
      </c>
      <c r="U146" s="247">
        <f t="shared" si="57"/>
        <v>1.1097915155443256</v>
      </c>
      <c r="V146" s="378">
        <f t="shared" si="58"/>
        <v>61.12416731533559</v>
      </c>
      <c r="W146" s="397">
        <f t="shared" si="59"/>
        <v>46.636815493307992</v>
      </c>
      <c r="X146" s="153">
        <f t="shared" si="60"/>
        <v>45423</v>
      </c>
      <c r="Y146" s="380">
        <f t="shared" si="61"/>
        <v>45.58808882170338</v>
      </c>
      <c r="Z146" s="380">
        <f t="shared" si="62"/>
        <v>46.153855033390514</v>
      </c>
      <c r="AA146" s="381">
        <f t="shared" si="63"/>
        <v>48.362987577346622</v>
      </c>
      <c r="AB146" s="193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4.5678165361952822E-2</v>
      </c>
      <c r="AD146" s="227">
        <f>(INDEX(Models!$BJ146:$BT146,,AH146)*(1-AF146)+INDEX(Models!$BJ146:$BT146,,AH146+1)*AF146-ERP_i)*AE146*Ramure*Pc/MaxiM</f>
        <v>6.7206353155596101E-6</v>
      </c>
      <c r="AE146" s="301">
        <f t="shared" si="65"/>
        <v>0.5</v>
      </c>
      <c r="AF146" s="173">
        <f t="shared" si="66"/>
        <v>0.10979151554432565</v>
      </c>
      <c r="AG146" s="802">
        <f t="shared" si="74"/>
        <v>1</v>
      </c>
      <c r="AH146" s="172">
        <f t="shared" si="67"/>
        <v>7</v>
      </c>
      <c r="AI146" s="221">
        <f t="shared" si="68"/>
        <v>1.1097915155443256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1"/>
        <v>45424</v>
      </c>
      <c r="B147" s="406">
        <f>'2023'!Wh/'2023'!Env_an*'2024'!Env_an</f>
        <v>49.419588295781509</v>
      </c>
      <c r="C147" s="385"/>
      <c r="D147" s="388">
        <f t="shared" si="50"/>
        <v>50.033589849071632</v>
      </c>
      <c r="E147" s="380">
        <f t="shared" si="72"/>
        <v>51.253036280437563</v>
      </c>
      <c r="F147" s="380">
        <f t="shared" si="51"/>
        <v>51.253271344922616</v>
      </c>
      <c r="G147" s="110">
        <f t="shared" si="73"/>
        <v>0.80696795695730805</v>
      </c>
      <c r="H147" s="409" t="b">
        <f>Wh_hp&gt;='2023'!Maxi_hp</f>
        <v>0</v>
      </c>
      <c r="I147" s="375">
        <f>IF(H147,Wh_hp,'2023'!Maxi_hp)</f>
        <v>51.253351704584936</v>
      </c>
      <c r="J147" s="85">
        <f>IF(H147,An,'2023'!An_max)</f>
        <v>2022</v>
      </c>
      <c r="K147" s="193">
        <f t="shared" si="52"/>
        <v>45424</v>
      </c>
      <c r="L147" s="143">
        <f>IF(t&lt;Tvie,1-EXP((T0-t)*PertePVj)+'2023'!Pspv,1-EXP((T0-t)*PertePVj)+Pspv)</f>
        <v>1.22717869163953E-2</v>
      </c>
      <c r="M147" s="836"/>
      <c r="N147" s="836"/>
      <c r="O147" s="48">
        <f>IF(t&lt;Tnet,'2023'!Resal+('2023'!Salim-'2023'!Resal)*(1-EXP(('2023'!Tnet-t)/('2023'!Tau_j))),Resal+(Salim-Resal)*(1-EXP((Tnet-t)/(Tau_j))))*Salcycl</f>
        <v>2.3792667124998647E-2</v>
      </c>
      <c r="P147" s="165">
        <f>(INDEX(Models!$BJ147:$BT147,,T147)*(1-R147)+INDEX(Models!$BJ147:$BT147,,T147+1)*R147-ERP_i)*Q147*Ramure*Pc/MaxiM</f>
        <v>6.3325955331941839E-6</v>
      </c>
      <c r="Q147" s="301">
        <f t="shared" si="53"/>
        <v>0.5</v>
      </c>
      <c r="R147" s="173">
        <f t="shared" si="54"/>
        <v>0.11350961866977771</v>
      </c>
      <c r="S147" s="802">
        <f t="shared" si="55"/>
        <v>1</v>
      </c>
      <c r="T147" s="172">
        <f t="shared" si="56"/>
        <v>7</v>
      </c>
      <c r="U147" s="247">
        <f t="shared" si="57"/>
        <v>1.1135096186697777</v>
      </c>
      <c r="V147" s="378">
        <f t="shared" si="58"/>
        <v>61.240971924171596</v>
      </c>
      <c r="W147" s="397">
        <f t="shared" si="59"/>
        <v>49.419588295781509</v>
      </c>
      <c r="X147" s="153">
        <f t="shared" si="60"/>
        <v>45424</v>
      </c>
      <c r="Y147" s="380">
        <f t="shared" si="61"/>
        <v>48.30850244342021</v>
      </c>
      <c r="Z147" s="380">
        <f t="shared" si="62"/>
        <v>48.908699583061534</v>
      </c>
      <c r="AA147" s="381">
        <f t="shared" si="63"/>
        <v>51.253036280437563</v>
      </c>
      <c r="AB147" s="193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4.574044520111345E-2</v>
      </c>
      <c r="AD147" s="227">
        <f>(INDEX(Models!$BJ147:$BT147,,AH147)*(1-AF147)+INDEX(Models!$BJ147:$BT147,,AH147+1)*AF147-ERP_i)*AE147*Ramure*Pc/MaxiM</f>
        <v>6.3325955331941839E-6</v>
      </c>
      <c r="AE147" s="301">
        <f t="shared" si="65"/>
        <v>0.5</v>
      </c>
      <c r="AF147" s="173">
        <f t="shared" si="66"/>
        <v>0.11350961866977771</v>
      </c>
      <c r="AG147" s="802">
        <f t="shared" si="74"/>
        <v>1</v>
      </c>
      <c r="AH147" s="172">
        <f t="shared" si="67"/>
        <v>7</v>
      </c>
      <c r="AI147" s="221">
        <f t="shared" si="68"/>
        <v>1.1135096186697777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1"/>
        <v>45425</v>
      </c>
      <c r="B148" s="406">
        <f>'2023'!Wh/'2023'!Env_an*'2024'!Env_an</f>
        <v>55.326372511004294</v>
      </c>
      <c r="C148" s="385"/>
      <c r="D148" s="388">
        <f t="shared" si="50"/>
        <v>56.014528247830704</v>
      </c>
      <c r="E148" s="380">
        <f t="shared" si="72"/>
        <v>57.383761960015796</v>
      </c>
      <c r="F148" s="380">
        <f t="shared" si="51"/>
        <v>57.384058126892832</v>
      </c>
      <c r="G148" s="110">
        <f t="shared" si="73"/>
        <v>0.90175038660434692</v>
      </c>
      <c r="H148" s="409" t="b">
        <f>Wh_hp&gt;='2023'!Maxi_hp</f>
        <v>0</v>
      </c>
      <c r="I148" s="375">
        <f>IF(H148,Wh_hp,'2023'!Maxi_hp)</f>
        <v>57.384101419419501</v>
      </c>
      <c r="J148" s="85">
        <f>IF(H148,An,'2023'!An_max)</f>
        <v>2022</v>
      </c>
      <c r="K148" s="193">
        <f t="shared" si="52"/>
        <v>45425</v>
      </c>
      <c r="L148" s="143">
        <f>IF(t&lt;Tvie,1-EXP((T0-t)*PertePVj)+'2023'!Pspv,1-EXP((T0-t)*PertePVj)+Pspv)</f>
        <v>1.2285308086176006E-2</v>
      </c>
      <c r="M148" s="836"/>
      <c r="N148" s="836"/>
      <c r="O148" s="48">
        <f>IF(t&lt;Tnet,'2023'!Resal+('2023'!Salim-'2023'!Resal)*(1-EXP(('2023'!Tnet-t)/('2023'!Tau_j))),Resal+(Salim-Resal)*(1-EXP((Tnet-t)/(Tau_j))))*Salcycl</f>
        <v>2.3860995958040532E-2</v>
      </c>
      <c r="P148" s="165">
        <f>(INDEX(Models!$BJ148:$BT148,,T148)*(1-R148)+INDEX(Models!$BJ148:$BT148,,T148+1)*R148-ERP_i)*Q148*Ramure*Pc/MaxiM</f>
        <v>6.0038017321210808E-6</v>
      </c>
      <c r="Q148" s="301">
        <f t="shared" si="53"/>
        <v>0.5</v>
      </c>
      <c r="R148" s="173">
        <f t="shared" si="54"/>
        <v>0.11730791023538001</v>
      </c>
      <c r="S148" s="802">
        <f t="shared" si="55"/>
        <v>1</v>
      </c>
      <c r="T148" s="172">
        <f t="shared" si="56"/>
        <v>7</v>
      </c>
      <c r="U148" s="247">
        <f t="shared" si="57"/>
        <v>1.11730791023538</v>
      </c>
      <c r="V148" s="378">
        <f t="shared" si="58"/>
        <v>61.354368915121043</v>
      </c>
      <c r="W148" s="397">
        <f t="shared" si="59"/>
        <v>55.326372511004294</v>
      </c>
      <c r="X148" s="153">
        <f t="shared" si="60"/>
        <v>45425</v>
      </c>
      <c r="Y148" s="380">
        <f t="shared" si="61"/>
        <v>54.0827189754405</v>
      </c>
      <c r="Z148" s="380">
        <f t="shared" si="62"/>
        <v>54.755406007627862</v>
      </c>
      <c r="AA148" s="381">
        <f t="shared" si="63"/>
        <v>57.383761960015796</v>
      </c>
      <c r="AB148" s="193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4.580313075708306E-2</v>
      </c>
      <c r="AD148" s="227">
        <f>(INDEX(Models!$BJ148:$BT148,,AH148)*(1-AF148)+INDEX(Models!$BJ148:$BT148,,AH148+1)*AF148-ERP_i)*AE148*Ramure*Pc/MaxiM</f>
        <v>6.0038017321210808E-6</v>
      </c>
      <c r="AE148" s="301">
        <f t="shared" si="65"/>
        <v>0.5</v>
      </c>
      <c r="AF148" s="173">
        <f t="shared" si="66"/>
        <v>0.11730791023538001</v>
      </c>
      <c r="AG148" s="802">
        <f t="shared" si="74"/>
        <v>1</v>
      </c>
      <c r="AH148" s="172">
        <f t="shared" si="67"/>
        <v>7</v>
      </c>
      <c r="AI148" s="221">
        <f t="shared" si="68"/>
        <v>1.11730791023538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1"/>
        <v>45426</v>
      </c>
      <c r="B149" s="406">
        <f>'2023'!Wh/'2023'!Env_an*'2024'!Env_an</f>
        <v>57.112494608897102</v>
      </c>
      <c r="C149" s="385"/>
      <c r="D149" s="388">
        <f t="shared" si="50"/>
        <v>57.82365789358235</v>
      </c>
      <c r="E149" s="380">
        <f t="shared" si="72"/>
        <v>59.241274145575325</v>
      </c>
      <c r="F149" s="380">
        <f t="shared" si="51"/>
        <v>59.241579580483247</v>
      </c>
      <c r="G149" s="110">
        <f t="shared" si="73"/>
        <v>0.92921284362437695</v>
      </c>
      <c r="H149" s="409" t="b">
        <f>Wh_hp&gt;='2023'!Maxi_hp</f>
        <v>0</v>
      </c>
      <c r="I149" s="375">
        <f>IF(H149,Wh_hp,'2023'!Maxi_hp)</f>
        <v>59.241610255931469</v>
      </c>
      <c r="J149" s="85">
        <f>IF(H149,An,'2023'!An_max)</f>
        <v>2022</v>
      </c>
      <c r="K149" s="193">
        <f t="shared" si="52"/>
        <v>45426</v>
      </c>
      <c r="L149" s="143">
        <f>IF(t&lt;Tvie,1-EXP((T0-t)*PertePVj)+'2023'!Pspv,1-EXP((T0-t)*PertePVj)+Pspv)</f>
        <v>1.2298829070863326E-2</v>
      </c>
      <c r="M149" s="836"/>
      <c r="N149" s="836"/>
      <c r="O149" s="48">
        <f>IF(t&lt;Tnet,'2023'!Resal+('2023'!Salim-'2023'!Resal)*(1-EXP(('2023'!Tnet-t)/('2023'!Tau_j))),Resal+(Salim-Resal)*(1-EXP((Tnet-t)/(Tau_j))))*Salcycl</f>
        <v>2.3929536837938786E-2</v>
      </c>
      <c r="P149" s="165">
        <f>(INDEX(Models!$BJ149:$BT149,,T149)*(1-R149)+INDEX(Models!$BJ149:$BT149,,T149+1)*R149-ERP_i)*Q149*Ramure*Pc/MaxiM</f>
        <v>5.7357753079475043E-6</v>
      </c>
      <c r="Q149" s="301">
        <f t="shared" si="53"/>
        <v>0.5</v>
      </c>
      <c r="R149" s="173">
        <f t="shared" si="54"/>
        <v>0.12118570195041967</v>
      </c>
      <c r="S149" s="802">
        <f t="shared" si="55"/>
        <v>1</v>
      </c>
      <c r="T149" s="172">
        <f t="shared" si="56"/>
        <v>7</v>
      </c>
      <c r="U149" s="247">
        <f t="shared" si="57"/>
        <v>1.1211857019504197</v>
      </c>
      <c r="V149" s="378">
        <f t="shared" si="58"/>
        <v>61.463271707908341</v>
      </c>
      <c r="W149" s="397">
        <f t="shared" si="59"/>
        <v>57.112494608897102</v>
      </c>
      <c r="X149" s="153">
        <f t="shared" si="60"/>
        <v>45426</v>
      </c>
      <c r="Y149" s="380">
        <f t="shared" si="61"/>
        <v>55.828922010764785</v>
      </c>
      <c r="Z149" s="380">
        <f t="shared" si="62"/>
        <v>56.524102283128983</v>
      </c>
      <c r="AA149" s="381">
        <f t="shared" si="63"/>
        <v>59.241274145575325</v>
      </c>
      <c r="AB149" s="193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4.5866195513779011E-2</v>
      </c>
      <c r="AD149" s="227">
        <f>(INDEX(Models!$BJ149:$BT149,,AH149)*(1-AF149)+INDEX(Models!$BJ149:$BT149,,AH149+1)*AF149-ERP_i)*AE149*Ramure*Pc/MaxiM</f>
        <v>5.7357753079475043E-6</v>
      </c>
      <c r="AE149" s="301">
        <f t="shared" si="65"/>
        <v>0.5</v>
      </c>
      <c r="AF149" s="173">
        <f t="shared" si="66"/>
        <v>0.12118570195041967</v>
      </c>
      <c r="AG149" s="802">
        <f t="shared" si="74"/>
        <v>1</v>
      </c>
      <c r="AH149" s="172">
        <f t="shared" si="67"/>
        <v>7</v>
      </c>
      <c r="AI149" s="221">
        <f t="shared" si="68"/>
        <v>1.1211857019504197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1"/>
        <v>45427</v>
      </c>
      <c r="B150" s="406">
        <f>'2023'!Wh/'2023'!Env_an*'2024'!Env_an</f>
        <v>55.819590129424441</v>
      </c>
      <c r="C150" s="385"/>
      <c r="D150" s="388">
        <f t="shared" si="50"/>
        <v>56.515427850194754</v>
      </c>
      <c r="E150" s="380">
        <f t="shared" si="72"/>
        <v>57.905049200378791</v>
      </c>
      <c r="F150" s="380">
        <f t="shared" si="51"/>
        <v>57.9053265529204</v>
      </c>
      <c r="G150" s="110">
        <f t="shared" si="73"/>
        <v>0.90665525443170114</v>
      </c>
      <c r="H150" s="409" t="b">
        <f>Wh_hp&gt;='2023'!Maxi_hp</f>
        <v>0</v>
      </c>
      <c r="I150" s="375">
        <f>IF(H150,Wh_hp,'2023'!Maxi_hp)</f>
        <v>57.905364539166378</v>
      </c>
      <c r="J150" s="85">
        <f>IF(H150,An,'2023'!An_max)</f>
        <v>2022</v>
      </c>
      <c r="K150" s="193">
        <f t="shared" si="52"/>
        <v>45427</v>
      </c>
      <c r="L150" s="143">
        <f>IF(t&lt;Tvie,1-EXP((T0-t)*PertePVj)+'2023'!Pspv,1-EXP((T0-t)*PertePVj)+Pspv)</f>
        <v>1.2312349870459594E-2</v>
      </c>
      <c r="M150" s="836"/>
      <c r="N150" s="836"/>
      <c r="O150" s="48">
        <f>IF(t&lt;Tnet,'2023'!Resal+('2023'!Salim-'2023'!Resal)*(1-EXP(('2023'!Tnet-t)/('2023'!Tau_j))),Resal+(Salim-Resal)*(1-EXP((Tnet-t)/(Tau_j))))*Salcycl</f>
        <v>2.3998275959930482E-2</v>
      </c>
      <c r="P150" s="165">
        <f>(INDEX(Models!$BJ150:$BT150,,T150)*(1-R150)+INDEX(Models!$BJ150:$BT150,,T150+1)*R150-ERP_i)*Q150*Ramure*Pc/MaxiM</f>
        <v>5.5267425316585615E-6</v>
      </c>
      <c r="Q150" s="301">
        <f t="shared" si="53"/>
        <v>0.5</v>
      </c>
      <c r="R150" s="173">
        <f t="shared" si="54"/>
        <v>0.12514213941154573</v>
      </c>
      <c r="S150" s="802">
        <f t="shared" si="55"/>
        <v>1</v>
      </c>
      <c r="T150" s="172">
        <f t="shared" si="56"/>
        <v>7</v>
      </c>
      <c r="U150" s="247">
        <f t="shared" si="57"/>
        <v>1.1251421394115457</v>
      </c>
      <c r="V150" s="378">
        <f t="shared" si="58"/>
        <v>61.566453972717675</v>
      </c>
      <c r="W150" s="397">
        <f t="shared" si="59"/>
        <v>55.819590129424441</v>
      </c>
      <c r="X150" s="153">
        <f t="shared" si="60"/>
        <v>45427</v>
      </c>
      <c r="Y150" s="380">
        <f t="shared" si="61"/>
        <v>54.565290951666476</v>
      </c>
      <c r="Z150" s="380">
        <f t="shared" si="62"/>
        <v>55.245492787633772</v>
      </c>
      <c r="AA150" s="381">
        <f t="shared" si="63"/>
        <v>57.905049200378791</v>
      </c>
      <c r="AB150" s="193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4.5929611484167909E-2</v>
      </c>
      <c r="AD150" s="227">
        <f>(INDEX(Models!$BJ150:$BT150,,AH150)*(1-AF150)+INDEX(Models!$BJ150:$BT150,,AH150+1)*AF150-ERP_i)*AE150*Ramure*Pc/MaxiM</f>
        <v>5.5267425316585615E-6</v>
      </c>
      <c r="AE150" s="301">
        <f t="shared" si="65"/>
        <v>0.5</v>
      </c>
      <c r="AF150" s="173">
        <f t="shared" si="66"/>
        <v>0.12514213941154573</v>
      </c>
      <c r="AG150" s="802">
        <f t="shared" si="74"/>
        <v>1</v>
      </c>
      <c r="AH150" s="172">
        <f t="shared" si="67"/>
        <v>7</v>
      </c>
      <c r="AI150" s="221">
        <f t="shared" si="68"/>
        <v>1.1251421394115457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1"/>
        <v>45428</v>
      </c>
      <c r="B151" s="406">
        <f>'2023'!Wh/'2023'!Env_an*'2024'!Env_an</f>
        <v>59.612752909239646</v>
      </c>
      <c r="C151" s="385"/>
      <c r="D151" s="388">
        <f t="shared" si="50"/>
        <v>60.356701798507864</v>
      </c>
      <c r="E151" s="380">
        <f t="shared" si="72"/>
        <v>61.845141096723147</v>
      </c>
      <c r="F151" s="380">
        <f t="shared" si="51"/>
        <v>61.845455641255498</v>
      </c>
      <c r="G151" s="110">
        <f t="shared" si="73"/>
        <v>0.96673279904721388</v>
      </c>
      <c r="H151" s="409" t="b">
        <f>Wh_hp&gt;='2023'!Maxi_hp</f>
        <v>0</v>
      </c>
      <c r="I151" s="375">
        <f>IF(H151,Wh_hp,'2023'!Maxi_hp)</f>
        <v>61.845469570151174</v>
      </c>
      <c r="J151" s="85">
        <f>IF(H151,An,'2023'!An_max)</f>
        <v>2022</v>
      </c>
      <c r="K151" s="193">
        <f t="shared" si="52"/>
        <v>45428</v>
      </c>
      <c r="L151" s="143">
        <f>IF(t&lt;Tvie,1-EXP((T0-t)*PertePVj)+'2023'!Pspv,1-EXP((T0-t)*PertePVj)+Pspv)</f>
        <v>1.2325870484967583E-2</v>
      </c>
      <c r="M151" s="836"/>
      <c r="N151" s="836"/>
      <c r="O151" s="48">
        <f>IF(t&lt;Tnet,'2023'!Resal+('2023'!Salim-'2023'!Resal)*(1-EXP(('2023'!Tnet-t)/('2023'!Tau_j))),Resal+(Salim-Resal)*(1-EXP((Tnet-t)/(Tau_j))))*Salcycl</f>
        <v>2.4067198680773071E-2</v>
      </c>
      <c r="P151" s="165">
        <f>(INDEX(Models!$BJ151:$BT151,,T151)*(1-R151)+INDEX(Models!$BJ151:$BT151,,T151+1)*R151-ERP_i)*Q151*Ramure*Pc/MaxiM</f>
        <v>5.3397436366890564E-6</v>
      </c>
      <c r="Q151" s="301">
        <f t="shared" si="53"/>
        <v>0.5</v>
      </c>
      <c r="R151" s="173">
        <f t="shared" si="54"/>
        <v>0.12917619777151956</v>
      </c>
      <c r="S151" s="802">
        <f t="shared" si="55"/>
        <v>1</v>
      </c>
      <c r="T151" s="172">
        <f t="shared" si="56"/>
        <v>7</v>
      </c>
      <c r="U151" s="247">
        <f t="shared" si="57"/>
        <v>1.1291761977715196</v>
      </c>
      <c r="V151" s="378">
        <f t="shared" si="58"/>
        <v>61.664130812729439</v>
      </c>
      <c r="W151" s="397">
        <f t="shared" si="59"/>
        <v>59.612752909239646</v>
      </c>
      <c r="X151" s="153">
        <f t="shared" si="60"/>
        <v>45428</v>
      </c>
      <c r="Y151" s="380">
        <f t="shared" si="61"/>
        <v>58.273441232782474</v>
      </c>
      <c r="Z151" s="380">
        <f t="shared" si="62"/>
        <v>59.00067592273161</v>
      </c>
      <c r="AA151" s="381">
        <f t="shared" si="63"/>
        <v>61.845141096723147</v>
      </c>
      <c r="AB151" s="193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4.5993349251850196E-2</v>
      </c>
      <c r="AD151" s="227">
        <f>(INDEX(Models!$BJ151:$BT151,,AH151)*(1-AF151)+INDEX(Models!$BJ151:$BT151,,AH151+1)*AF151-ERP_i)*AE151*Ramure*Pc/MaxiM</f>
        <v>5.3397436366890564E-6</v>
      </c>
      <c r="AE151" s="301">
        <f t="shared" si="65"/>
        <v>0.5</v>
      </c>
      <c r="AF151" s="173">
        <f t="shared" si="66"/>
        <v>0.12917619777151956</v>
      </c>
      <c r="AG151" s="802">
        <f t="shared" si="74"/>
        <v>1</v>
      </c>
      <c r="AH151" s="172">
        <f t="shared" si="67"/>
        <v>7</v>
      </c>
      <c r="AI151" s="221">
        <f t="shared" si="68"/>
        <v>1.1291761977715196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1"/>
        <v>45429</v>
      </c>
      <c r="B152" s="406">
        <f>'2023'!Wh/'2023'!Env_an*'2024'!Env_an</f>
        <v>56.918228529104063</v>
      </c>
      <c r="C152" s="385"/>
      <c r="D152" s="388">
        <f t="shared" si="50"/>
        <v>57.629339477049449</v>
      </c>
      <c r="E152" s="380">
        <f t="shared" si="72"/>
        <v>59.05470083510486</v>
      </c>
      <c r="F152" s="380">
        <f t="shared" si="51"/>
        <v>59.054972250811488</v>
      </c>
      <c r="G152" s="110">
        <f t="shared" si="73"/>
        <v>0.92165491410857003</v>
      </c>
      <c r="H152" s="409" t="b">
        <f>Wh_hp&gt;='2023'!Maxi_hp</f>
        <v>0</v>
      </c>
      <c r="I152" s="375">
        <f>IF(H152,Wh_hp,'2023'!Maxi_hp)</f>
        <v>59.055002518702814</v>
      </c>
      <c r="J152" s="85">
        <f>IF(H152,An,'2023'!An_max)</f>
        <v>2022</v>
      </c>
      <c r="K152" s="193">
        <f t="shared" si="52"/>
        <v>45429</v>
      </c>
      <c r="L152" s="143">
        <f>IF(t&lt;Tvie,1-EXP((T0-t)*PertePVj)+'2023'!Pspv,1-EXP((T0-t)*PertePVj)+Pspv)</f>
        <v>1.2339390914389736E-2</v>
      </c>
      <c r="M152" s="836"/>
      <c r="N152" s="836"/>
      <c r="O152" s="48">
        <f>IF(t&lt;Tnet,'2023'!Resal+('2023'!Salim-'2023'!Resal)*(1-EXP(('2023'!Tnet-t)/('2023'!Tau_j))),Resal+(Salim-Resal)*(1-EXP((Tnet-t)/(Tau_j))))*Salcycl</f>
        <v>2.4136289540021019E-2</v>
      </c>
      <c r="P152" s="165">
        <f>(INDEX(Models!$BJ152:$BT152,,T152)*(1-R152)+INDEX(Models!$BJ152:$BT152,,T152+1)*R152-ERP_i)*Q152*Ramure*Pc/MaxiM</f>
        <v>5.1751960017944993E-6</v>
      </c>
      <c r="Q152" s="301">
        <f t="shared" si="53"/>
        <v>0.5</v>
      </c>
      <c r="R152" s="173">
        <f t="shared" si="54"/>
        <v>0.13328667799547667</v>
      </c>
      <c r="S152" s="802">
        <f t="shared" si="55"/>
        <v>1</v>
      </c>
      <c r="T152" s="172">
        <f t="shared" si="56"/>
        <v>7</v>
      </c>
      <c r="U152" s="247">
        <f t="shared" si="57"/>
        <v>1.1332866779954767</v>
      </c>
      <c r="V152" s="378">
        <f t="shared" si="58"/>
        <v>61.756515036088253</v>
      </c>
      <c r="W152" s="397">
        <f t="shared" si="59"/>
        <v>56.918228529104063</v>
      </c>
      <c r="X152" s="153">
        <f t="shared" si="60"/>
        <v>45429</v>
      </c>
      <c r="Y152" s="380">
        <f t="shared" si="61"/>
        <v>55.639659082977204</v>
      </c>
      <c r="Z152" s="380">
        <f t="shared" si="62"/>
        <v>56.334796154813915</v>
      </c>
      <c r="AA152" s="381">
        <f t="shared" si="63"/>
        <v>59.05470083510486</v>
      </c>
      <c r="AB152" s="193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4.6057378021194056E-2</v>
      </c>
      <c r="AD152" s="227">
        <f>(INDEX(Models!$BJ152:$BT152,,AH152)*(1-AF152)+INDEX(Models!$BJ152:$BT152,,AH152+1)*AF152-ERP_i)*AE152*Ramure*Pc/MaxiM</f>
        <v>5.1751960017944993E-6</v>
      </c>
      <c r="AE152" s="301">
        <f t="shared" si="65"/>
        <v>0.5</v>
      </c>
      <c r="AF152" s="173">
        <f t="shared" si="66"/>
        <v>0.13328667799547667</v>
      </c>
      <c r="AG152" s="802">
        <f t="shared" si="74"/>
        <v>1</v>
      </c>
      <c r="AH152" s="172">
        <f t="shared" si="67"/>
        <v>7</v>
      </c>
      <c r="AI152" s="221">
        <f t="shared" si="68"/>
        <v>1.1332866779954767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1"/>
        <v>45430</v>
      </c>
      <c r="B153" s="406">
        <f>'2023'!Wh/'2023'!Env_an*'2024'!Env_an</f>
        <v>55.702569661923661</v>
      </c>
      <c r="C153" s="385"/>
      <c r="D153" s="388">
        <f t="shared" si="50"/>
        <v>56.399264769033131</v>
      </c>
      <c r="E153" s="380">
        <f t="shared" si="72"/>
        <v>57.79830346975271</v>
      </c>
      <c r="F153" s="380">
        <f t="shared" si="51"/>
        <v>57.798553130050422</v>
      </c>
      <c r="G153" s="110">
        <f t="shared" si="73"/>
        <v>0.90069679377061296</v>
      </c>
      <c r="H153" s="409" t="b">
        <f>Wh_hp&gt;='2023'!Maxi_hp</f>
        <v>0</v>
      </c>
      <c r="I153" s="375">
        <f>IF(H153,Wh_hp,'2023'!Maxi_hp)</f>
        <v>57.798589542149266</v>
      </c>
      <c r="J153" s="85">
        <f>IF(H153,An,'2023'!An_max)</f>
        <v>2022</v>
      </c>
      <c r="K153" s="193">
        <f t="shared" si="52"/>
        <v>45430</v>
      </c>
      <c r="L153" s="143">
        <f>IF(t&lt;Tvie,1-EXP((T0-t)*PertePVj)+'2023'!Pspv,1-EXP((T0-t)*PertePVj)+Pspv)</f>
        <v>1.2352911158728497E-2</v>
      </c>
      <c r="M153" s="836"/>
      <c r="N153" s="836"/>
      <c r="O153" s="48">
        <f>IF(t&lt;Tnet,'2023'!Resal+('2023'!Salim-'2023'!Resal)*(1-EXP(('2023'!Tnet-t)/('2023'!Tau_j))),Resal+(Salim-Resal)*(1-EXP((Tnet-t)/(Tau_j))))*Salcycl</f>
        <v>2.4205532286111678E-2</v>
      </c>
      <c r="P153" s="165">
        <f>(INDEX(Models!$BJ153:$BT153,,T153)*(1-R153)+INDEX(Models!$BJ153:$BT153,,T153+1)*R153-ERP_i)*Q153*Ramure*Pc/MaxiM</f>
        <v>5.033554535721752E-6</v>
      </c>
      <c r="Q153" s="301">
        <f t="shared" si="53"/>
        <v>0.5</v>
      </c>
      <c r="R153" s="173">
        <f t="shared" si="54"/>
        <v>0.13747220376277314</v>
      </c>
      <c r="S153" s="802">
        <f t="shared" si="55"/>
        <v>1</v>
      </c>
      <c r="T153" s="172">
        <f t="shared" si="56"/>
        <v>7</v>
      </c>
      <c r="U153" s="247">
        <f t="shared" si="57"/>
        <v>1.1374722037627731</v>
      </c>
      <c r="V153" s="378">
        <f t="shared" si="58"/>
        <v>61.843819442675844</v>
      </c>
      <c r="W153" s="397">
        <f t="shared" si="59"/>
        <v>55.702569661923661</v>
      </c>
      <c r="X153" s="153">
        <f t="shared" si="60"/>
        <v>45430</v>
      </c>
      <c r="Y153" s="380">
        <f t="shared" si="61"/>
        <v>54.451501955281216</v>
      </c>
      <c r="Z153" s="380">
        <f t="shared" si="62"/>
        <v>55.132549440473596</v>
      </c>
      <c r="AA153" s="381">
        <f t="shared" si="63"/>
        <v>57.79830346975271</v>
      </c>
      <c r="AB153" s="193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4.6121665676124392E-2</v>
      </c>
      <c r="AD153" s="227">
        <f>(INDEX(Models!$BJ153:$BT153,,AH153)*(1-AF153)+INDEX(Models!$BJ153:$BT153,,AH153+1)*AF153-ERP_i)*AE153*Ramure*Pc/MaxiM</f>
        <v>5.033554535721752E-6</v>
      </c>
      <c r="AE153" s="301">
        <f t="shared" si="65"/>
        <v>0.5</v>
      </c>
      <c r="AF153" s="173">
        <f t="shared" si="66"/>
        <v>0.13747220376277314</v>
      </c>
      <c r="AG153" s="802">
        <f t="shared" si="74"/>
        <v>1</v>
      </c>
      <c r="AH153" s="172">
        <f t="shared" si="67"/>
        <v>7</v>
      </c>
      <c r="AI153" s="221">
        <f t="shared" si="68"/>
        <v>1.1374722037627731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1"/>
        <v>45431</v>
      </c>
      <c r="B154" s="406">
        <f>'2023'!Wh/'2023'!Env_an*'2024'!Env_an</f>
        <v>52.939551007580086</v>
      </c>
      <c r="C154" s="385"/>
      <c r="D154" s="388">
        <f t="shared" si="50"/>
        <v>53.60242166825811</v>
      </c>
      <c r="E154" s="380">
        <f t="shared" si="72"/>
        <v>54.935987823339481</v>
      </c>
      <c r="F154" s="380">
        <f t="shared" si="51"/>
        <v>54.93620187123561</v>
      </c>
      <c r="G154" s="110">
        <f t="shared" si="73"/>
        <v>0.85487965504345143</v>
      </c>
      <c r="H154" s="409" t="b">
        <f>Wh_hp&gt;='2023'!Maxi_hp</f>
        <v>0</v>
      </c>
      <c r="I154" s="375">
        <f>IF(H154,Wh_hp,'2023'!Maxi_hp)</f>
        <v>54.936251111183481</v>
      </c>
      <c r="J154" s="85">
        <f>IF(H154,An,'2023'!An_max)</f>
        <v>2022</v>
      </c>
      <c r="K154" s="193">
        <f t="shared" si="52"/>
        <v>45431</v>
      </c>
      <c r="L154" s="143">
        <f>IF(t&lt;Tvie,1-EXP((T0-t)*PertePVj)+'2023'!Pspv,1-EXP((T0-t)*PertePVj)+Pspv)</f>
        <v>1.2366431217986529E-2</v>
      </c>
      <c r="M154" s="836"/>
      <c r="N154" s="836"/>
      <c r="O154" s="48">
        <f>IF(t&lt;Tnet,'2023'!Resal+('2023'!Salim-'2023'!Resal)*(1-EXP(('2023'!Tnet-t)/('2023'!Tau_j))),Resal+(Salim-Resal)*(1-EXP((Tnet-t)/(Tau_j))))*Salcycl</f>
        <v>2.427490990732312E-2</v>
      </c>
      <c r="P154" s="165">
        <f>(INDEX(Models!$BJ154:$BT154,,T154)*(1-R154)+INDEX(Models!$BJ154:$BT154,,T154+1)*R154-ERP_i)*Q154*Ramure*Pc/MaxiM</f>
        <v>4.9153097368993693E-6</v>
      </c>
      <c r="Q154" s="301">
        <f t="shared" si="53"/>
        <v>0.5</v>
      </c>
      <c r="R154" s="173">
        <f t="shared" si="54"/>
        <v>0.14173121907043384</v>
      </c>
      <c r="S154" s="802">
        <f t="shared" si="55"/>
        <v>1</v>
      </c>
      <c r="T154" s="172">
        <f t="shared" si="56"/>
        <v>7</v>
      </c>
      <c r="U154" s="247">
        <f t="shared" si="57"/>
        <v>1.1417312190704338</v>
      </c>
      <c r="V154" s="378">
        <f t="shared" si="58"/>
        <v>61.926256811825674</v>
      </c>
      <c r="W154" s="397">
        <f t="shared" si="59"/>
        <v>52.939551007580086</v>
      </c>
      <c r="X154" s="153">
        <f t="shared" si="60"/>
        <v>45431</v>
      </c>
      <c r="Y154" s="380">
        <f t="shared" si="61"/>
        <v>51.750719489888475</v>
      </c>
      <c r="Z154" s="380">
        <f t="shared" si="62"/>
        <v>52.398704464561071</v>
      </c>
      <c r="AA154" s="381">
        <f t="shared" si="63"/>
        <v>54.935987823339481</v>
      </c>
      <c r="AB154" s="193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4.618617884760131E-2</v>
      </c>
      <c r="AD154" s="227">
        <f>(INDEX(Models!$BJ154:$BT154,,AH154)*(1-AF154)+INDEX(Models!$BJ154:$BT154,,AH154+1)*AF154-ERP_i)*AE154*Ramure*Pc/MaxiM</f>
        <v>4.9153097368993693E-6</v>
      </c>
      <c r="AE154" s="301">
        <f t="shared" si="65"/>
        <v>0.5</v>
      </c>
      <c r="AF154" s="173">
        <f t="shared" si="66"/>
        <v>0.14173121907043384</v>
      </c>
      <c r="AG154" s="802">
        <f t="shared" si="74"/>
        <v>1</v>
      </c>
      <c r="AH154" s="172">
        <f t="shared" si="67"/>
        <v>7</v>
      </c>
      <c r="AI154" s="221">
        <f t="shared" si="68"/>
        <v>1.1417312190704338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45432</v>
      </c>
      <c r="B155" s="406">
        <f>'2023'!Wh/'2023'!Env_an*'2024'!Env_an</f>
        <v>55.439673347393992</v>
      </c>
      <c r="C155" s="385"/>
      <c r="D155" s="388">
        <f t="shared" si="50"/>
        <v>56.134617162442503</v>
      </c>
      <c r="E155" s="380">
        <f t="shared" si="72"/>
        <v>57.535279283997092</v>
      </c>
      <c r="F155" s="380">
        <f t="shared" si="51"/>
        <v>57.535514710467893</v>
      </c>
      <c r="G155" s="110">
        <f t="shared" si="73"/>
        <v>0.89412936647784469</v>
      </c>
      <c r="H155" s="409" t="b">
        <f>Wh_hp&gt;='2023'!Maxi_hp</f>
        <v>0</v>
      </c>
      <c r="I155" s="375">
        <f>IF(H155,Wh_hp,'2023'!Maxi_hp)</f>
        <v>57.535551497709676</v>
      </c>
      <c r="J155" s="85">
        <f>IF(H155,An,'2023'!An_max)</f>
        <v>2022</v>
      </c>
      <c r="K155" s="193">
        <f t="shared" si="52"/>
        <v>45432</v>
      </c>
      <c r="L155" s="143">
        <f>IF(t&lt;Tvie,1-EXP((T0-t)*PertePVj)+'2023'!Pspv,1-EXP((T0-t)*PertePVj)+Pspv)</f>
        <v>1.2379951092166164E-2</v>
      </c>
      <c r="M155" s="836"/>
      <c r="N155" s="836"/>
      <c r="O155" s="48">
        <f>IF(t&lt;Tnet,'2023'!Resal+('2023'!Salim-'2023'!Resal)*(1-EXP(('2023'!Tnet-t)/('2023'!Tau_j))),Resal+(Salim-Resal)*(1-EXP((Tnet-t)/(Tau_j))))*Salcycl</f>
        <v>2.4344404667627467E-2</v>
      </c>
      <c r="P155" s="165">
        <f>(INDEX(Models!$BJ155:$BT155,,T155)*(1-R155)+INDEX(Models!$BJ155:$BT155,,T155+1)*R155-ERP_i)*Q155*Ramure*Pc/MaxiM</f>
        <v>4.8209855972893687E-6</v>
      </c>
      <c r="Q155" s="301">
        <f t="shared" si="53"/>
        <v>0.5</v>
      </c>
      <c r="R155" s="173">
        <f t="shared" si="54"/>
        <v>0.14606198659137659</v>
      </c>
      <c r="S155" s="802">
        <f t="shared" si="55"/>
        <v>1</v>
      </c>
      <c r="T155" s="172">
        <f t="shared" si="56"/>
        <v>7</v>
      </c>
      <c r="U155" s="247">
        <f t="shared" si="57"/>
        <v>1.1460619865913766</v>
      </c>
      <c r="V155" s="378">
        <f t="shared" si="58"/>
        <v>62.004039910198046</v>
      </c>
      <c r="W155" s="397">
        <f t="shared" si="59"/>
        <v>55.439673347393992</v>
      </c>
      <c r="X155" s="153">
        <f t="shared" si="60"/>
        <v>45432</v>
      </c>
      <c r="Y155" s="380">
        <f t="shared" si="61"/>
        <v>54.194881631771764</v>
      </c>
      <c r="Z155" s="380">
        <f t="shared" si="62"/>
        <v>54.874221814050387</v>
      </c>
      <c r="AA155" s="381">
        <f t="shared" si="63"/>
        <v>57.535279283997092</v>
      </c>
      <c r="AB155" s="193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4.6250882989749463E-2</v>
      </c>
      <c r="AD155" s="227">
        <f>(INDEX(Models!$BJ155:$BT155,,AH155)*(1-AF155)+INDEX(Models!$BJ155:$BT155,,AH155+1)*AF155-ERP_i)*AE155*Ramure*Pc/MaxiM</f>
        <v>4.8209855972893687E-6</v>
      </c>
      <c r="AE155" s="301">
        <f t="shared" si="65"/>
        <v>0.5</v>
      </c>
      <c r="AF155" s="173">
        <f t="shared" si="66"/>
        <v>0.14606198659137659</v>
      </c>
      <c r="AG155" s="802">
        <f t="shared" si="74"/>
        <v>1</v>
      </c>
      <c r="AH155" s="172">
        <f t="shared" si="67"/>
        <v>7</v>
      </c>
      <c r="AI155" s="221">
        <f t="shared" si="68"/>
        <v>1.1460619865913766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1"/>
        <v>45433</v>
      </c>
      <c r="B156" s="406">
        <f>'2023'!Wh/'2023'!Env_an*'2024'!Env_an</f>
        <v>42.868235232552308</v>
      </c>
      <c r="C156" s="385"/>
      <c r="D156" s="388">
        <f t="shared" si="50"/>
        <v>43.406188562224543</v>
      </c>
      <c r="E156" s="380">
        <f t="shared" si="72"/>
        <v>44.49242658238115</v>
      </c>
      <c r="F156" s="380">
        <f t="shared" si="51"/>
        <v>44.492544405598494</v>
      </c>
      <c r="G156" s="110">
        <f t="shared" si="73"/>
        <v>0.69055981510799258</v>
      </c>
      <c r="H156" s="409" t="b">
        <f>Wh_hp&gt;='2023'!Maxi_hp</f>
        <v>0</v>
      </c>
      <c r="I156" s="375">
        <f>IF(H156,Wh_hp,'2023'!Maxi_hp)</f>
        <v>44.49262600996402</v>
      </c>
      <c r="J156" s="85">
        <f>IF(H156,An,'2023'!An_max)</f>
        <v>2022</v>
      </c>
      <c r="K156" s="193">
        <f t="shared" si="52"/>
        <v>45433</v>
      </c>
      <c r="L156" s="143">
        <f>IF(t&lt;Tvie,1-EXP((T0-t)*PertePVj)+'2023'!Pspv,1-EXP((T0-t)*PertePVj)+Pspv)</f>
        <v>1.2393470781270177E-2</v>
      </c>
      <c r="M156" s="836"/>
      <c r="N156" s="836"/>
      <c r="O156" s="48">
        <f>IF(t&lt;Tnet,'2023'!Resal+('2023'!Salim-'2023'!Resal)*(1-EXP(('2023'!Tnet-t)/('2023'!Tau_j))),Resal+(Salim-Resal)*(1-EXP((Tnet-t)/(Tau_j))))*Salcycl</f>
        <v>2.4413998147422955E-2</v>
      </c>
      <c r="P156" s="165">
        <f>(INDEX(Models!$BJ156:$BT156,,T156)*(1-R156)+INDEX(Models!$BJ156:$BT156,,T156+1)*R156-ERP_i)*Q156*Ramure*Pc/MaxiM</f>
        <v>4.7462707353942269E-6</v>
      </c>
      <c r="Q156" s="301">
        <f t="shared" si="53"/>
        <v>0.5</v>
      </c>
      <c r="R156" s="173">
        <f t="shared" si="54"/>
        <v>0.15046258683693225</v>
      </c>
      <c r="S156" s="802">
        <f t="shared" si="55"/>
        <v>1</v>
      </c>
      <c r="T156" s="172">
        <f t="shared" si="56"/>
        <v>7</v>
      </c>
      <c r="U156" s="247">
        <f t="shared" si="57"/>
        <v>1.1504625868369323</v>
      </c>
      <c r="V156" s="378">
        <f t="shared" si="58"/>
        <v>62.077381787922945</v>
      </c>
      <c r="W156" s="397">
        <f t="shared" si="59"/>
        <v>42.868235232552308</v>
      </c>
      <c r="X156" s="153">
        <f t="shared" si="60"/>
        <v>45433</v>
      </c>
      <c r="Y156" s="380">
        <f t="shared" si="61"/>
        <v>41.905850444736807</v>
      </c>
      <c r="Z156" s="380">
        <f t="shared" si="62"/>
        <v>42.431726811169881</v>
      </c>
      <c r="AA156" s="381">
        <f t="shared" si="63"/>
        <v>44.49242658238115</v>
      </c>
      <c r="AB156" s="193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4.6315742464523121E-2</v>
      </c>
      <c r="AD156" s="227">
        <f>(INDEX(Models!$BJ156:$BT156,,AH156)*(1-AF156)+INDEX(Models!$BJ156:$BT156,,AH156+1)*AF156-ERP_i)*AE156*Ramure*Pc/MaxiM</f>
        <v>4.7462707353942269E-6</v>
      </c>
      <c r="AE156" s="301">
        <f t="shared" si="65"/>
        <v>0.5</v>
      </c>
      <c r="AF156" s="173">
        <f t="shared" si="66"/>
        <v>0.15046258683693225</v>
      </c>
      <c r="AG156" s="802">
        <f t="shared" si="74"/>
        <v>1</v>
      </c>
      <c r="AH156" s="172">
        <f t="shared" si="67"/>
        <v>7</v>
      </c>
      <c r="AI156" s="221">
        <f t="shared" si="68"/>
        <v>1.1504625868369323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1"/>
        <v>45434</v>
      </c>
      <c r="B157" s="406">
        <f>'2023'!Wh/'2023'!Env_an*'2024'!Env_an</f>
        <v>20.39736694254303</v>
      </c>
      <c r="C157" s="385"/>
      <c r="D157" s="388">
        <f t="shared" si="50"/>
        <v>20.65361615756629</v>
      </c>
      <c r="E157" s="380">
        <f t="shared" si="72"/>
        <v>21.171984055724408</v>
      </c>
      <c r="F157" s="380">
        <f t="shared" si="51"/>
        <v>21.171988033290923</v>
      </c>
      <c r="G157" s="110">
        <f t="shared" si="73"/>
        <v>0.3282127981713891</v>
      </c>
      <c r="H157" s="409" t="b">
        <f>Wh_hp&gt;='2023'!Maxi_hp</f>
        <v>0</v>
      </c>
      <c r="I157" s="375">
        <f>IF(H157,Wh_hp,'2023'!Maxi_hp)</f>
        <v>21.172070560817748</v>
      </c>
      <c r="J157" s="85">
        <f>IF(H157,An,'2023'!An_max)</f>
        <v>2022</v>
      </c>
      <c r="K157" s="193">
        <f t="shared" si="52"/>
        <v>45434</v>
      </c>
      <c r="L157" s="143">
        <f>IF(t&lt;Tvie,1-EXP((T0-t)*PertePVj)+'2023'!Pspv,1-EXP((T0-t)*PertePVj)+Pspv)</f>
        <v>1.2406990285301012E-2</v>
      </c>
      <c r="M157" s="836"/>
      <c r="N157" s="836"/>
      <c r="O157" s="48">
        <f>IF(t&lt;Tnet,'2023'!Resal+('2023'!Salim-'2023'!Resal)*(1-EXP(('2023'!Tnet-t)/('2023'!Tau_j))),Resal+(Salim-Resal)*(1-EXP((Tnet-t)/(Tau_j))))*Salcycl</f>
        <v>2.4483671289085653E-2</v>
      </c>
      <c r="P157" s="165">
        <f>(INDEX(Models!$BJ157:$BT157,,T157)*(1-R157)+INDEX(Models!$BJ157:$BT157,,T157+1)*R157-ERP_i)*Q157*Ramure*Pc/MaxiM</f>
        <v>4.6610642486103491E-6</v>
      </c>
      <c r="Q157" s="301">
        <f t="shared" si="53"/>
        <v>0.5</v>
      </c>
      <c r="R157" s="173">
        <f t="shared" si="54"/>
        <v>0.15493091816870463</v>
      </c>
      <c r="S157" s="802">
        <f t="shared" si="55"/>
        <v>1</v>
      </c>
      <c r="T157" s="172">
        <f t="shared" si="56"/>
        <v>7</v>
      </c>
      <c r="U157" s="247">
        <f t="shared" si="57"/>
        <v>1.1549309181687046</v>
      </c>
      <c r="V157" s="378">
        <f t="shared" si="58"/>
        <v>62.146497073754659</v>
      </c>
      <c r="W157" s="397">
        <f t="shared" si="59"/>
        <v>20.39736694254303</v>
      </c>
      <c r="X157" s="153">
        <f t="shared" si="60"/>
        <v>45434</v>
      </c>
      <c r="Y157" s="380">
        <f t="shared" si="61"/>
        <v>19.939514893001242</v>
      </c>
      <c r="Z157" s="380">
        <f t="shared" si="62"/>
        <v>20.190012177953218</v>
      </c>
      <c r="AA157" s="381">
        <f t="shared" si="63"/>
        <v>21.171984055724408</v>
      </c>
      <c r="AB157" s="193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4.6380720634714719E-2</v>
      </c>
      <c r="AD157" s="227">
        <f>(INDEX(Models!$BJ157:$BT157,,AH157)*(1-AF157)+INDEX(Models!$BJ157:$BT157,,AH157+1)*AF157-ERP_i)*AE157*Ramure*Pc/MaxiM</f>
        <v>4.6610642486103491E-6</v>
      </c>
      <c r="AE157" s="301">
        <f t="shared" si="65"/>
        <v>0.5</v>
      </c>
      <c r="AF157" s="173">
        <f t="shared" si="66"/>
        <v>0.15493091816870463</v>
      </c>
      <c r="AG157" s="802">
        <f t="shared" si="74"/>
        <v>1</v>
      </c>
      <c r="AH157" s="172">
        <f t="shared" si="67"/>
        <v>7</v>
      </c>
      <c r="AI157" s="221">
        <f t="shared" si="68"/>
        <v>1.1549309181687046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1"/>
        <v>45435</v>
      </c>
      <c r="B158" s="406">
        <f>'2023'!Wh/'2023'!Env_an*'2024'!Env_an</f>
        <v>17.520796751505056</v>
      </c>
      <c r="C158" s="385"/>
      <c r="D158" s="388">
        <f t="shared" si="50"/>
        <v>17.741150886481243</v>
      </c>
      <c r="E158" s="380">
        <f t="shared" si="72"/>
        <v>18.187721365133044</v>
      </c>
      <c r="F158" s="380">
        <f t="shared" si="51"/>
        <v>18.187721365133044</v>
      </c>
      <c r="G158" s="110">
        <f t="shared" si="73"/>
        <v>0.28163103315915133</v>
      </c>
      <c r="H158" s="409" t="b">
        <f>Wh_hp&gt;='2023'!Maxi_hp</f>
        <v>0</v>
      </c>
      <c r="I158" s="375">
        <f>IF(H158,Wh_hp,'2023'!Maxi_hp)</f>
        <v>18.1877934787436</v>
      </c>
      <c r="J158" s="85">
        <f>IF(H158,An,'2023'!An_max)</f>
        <v>2022</v>
      </c>
      <c r="K158" s="193">
        <f t="shared" si="52"/>
        <v>45435</v>
      </c>
      <c r="L158" s="143">
        <f>IF(t&lt;Tvie,1-EXP((T0-t)*PertePVj)+'2023'!Pspv,1-EXP((T0-t)*PertePVj)+Pspv)</f>
        <v>1.2420509604261221E-2</v>
      </c>
      <c r="M158" s="836"/>
      <c r="N158" s="836"/>
      <c r="O158" s="48">
        <f>IF(t&lt;Tnet,'2023'!Resal+('2023'!Salim-'2023'!Resal)*(1-EXP(('2023'!Tnet-t)/('2023'!Tau_j))),Resal+(Salim-Resal)*(1-EXP((Tnet-t)/(Tau_j))))*Salcycl</f>
        <v>2.4553404447238913E-2</v>
      </c>
      <c r="P158" s="165">
        <f>(INDEX(Models!$BJ158:$BT158,,T158)*(1-R158)+INDEX(Models!$BJ158:$BT158,,T158+1)*R158-ERP_i)*Q158*Ramure*Pc/MaxiM</f>
        <v>4.5648202926425357E-6</v>
      </c>
      <c r="Q158" s="301">
        <f t="shared" si="53"/>
        <v>0.5</v>
      </c>
      <c r="R158" s="173">
        <f t="shared" si="54"/>
        <v>0.1594646976995342</v>
      </c>
      <c r="S158" s="802">
        <f t="shared" si="55"/>
        <v>1</v>
      </c>
      <c r="T158" s="172">
        <f t="shared" si="56"/>
        <v>7</v>
      </c>
      <c r="U158" s="247">
        <f t="shared" si="57"/>
        <v>1.1594646976995342</v>
      </c>
      <c r="V158" s="378">
        <f t="shared" si="58"/>
        <v>62.211598543245209</v>
      </c>
      <c r="W158" s="397">
        <f t="shared" si="59"/>
        <v>17.520796751505056</v>
      </c>
      <c r="X158" s="153">
        <f t="shared" si="60"/>
        <v>45435</v>
      </c>
      <c r="Y158" s="380">
        <f t="shared" si="61"/>
        <v>17.127569830007015</v>
      </c>
      <c r="Z158" s="380">
        <f t="shared" si="62"/>
        <v>17.342978460542682</v>
      </c>
      <c r="AA158" s="381">
        <f t="shared" si="63"/>
        <v>18.187721365133044</v>
      </c>
      <c r="AB158" s="193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4.644577996503646E-2</v>
      </c>
      <c r="AD158" s="227">
        <f>(INDEX(Models!$BJ158:$BT158,,AH158)*(1-AF158)+INDEX(Models!$BJ158:$BT158,,AH158+1)*AF158-ERP_i)*AE158*Ramure*Pc/MaxiM</f>
        <v>4.5648202926425357E-6</v>
      </c>
      <c r="AE158" s="301">
        <f t="shared" si="65"/>
        <v>0.5</v>
      </c>
      <c r="AF158" s="173">
        <f t="shared" si="66"/>
        <v>0.1594646976995342</v>
      </c>
      <c r="AG158" s="802">
        <f t="shared" si="74"/>
        <v>1</v>
      </c>
      <c r="AH158" s="172">
        <f t="shared" si="67"/>
        <v>7</v>
      </c>
      <c r="AI158" s="221">
        <f t="shared" si="68"/>
        <v>1.1594646976995342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1"/>
        <v>45436</v>
      </c>
      <c r="B159" s="406">
        <f>'2023'!Wh/'2023'!Env_an*'2024'!Env_an</f>
        <v>42.701212214425766</v>
      </c>
      <c r="C159" s="385"/>
      <c r="D159" s="388">
        <f t="shared" si="50"/>
        <v>43.23884525898049</v>
      </c>
      <c r="E159" s="380">
        <f t="shared" si="72"/>
        <v>44.330400578572345</v>
      </c>
      <c r="F159" s="380">
        <f t="shared" si="51"/>
        <v>44.330509448988117</v>
      </c>
      <c r="G159" s="110">
        <f t="shared" si="73"/>
        <v>0.68570963437619836</v>
      </c>
      <c r="H159" s="409" t="b">
        <f>Wh_hp&gt;='2023'!Maxi_hp</f>
        <v>0</v>
      </c>
      <c r="I159" s="375">
        <f>IF(H159,Wh_hp,'2023'!Maxi_hp)</f>
        <v>44.330586248471548</v>
      </c>
      <c r="J159" s="85">
        <f>IF(H159,An,'2023'!An_max)</f>
        <v>2022</v>
      </c>
      <c r="K159" s="193">
        <f t="shared" si="52"/>
        <v>45436</v>
      </c>
      <c r="L159" s="143">
        <f>IF(t&lt;Tvie,1-EXP((T0-t)*PertePVj)+'2023'!Pspv,1-EXP((T0-t)*PertePVj)+Pspv)</f>
        <v>1.2434028738153247E-2</v>
      </c>
      <c r="M159" s="836"/>
      <c r="N159" s="836"/>
      <c r="O159" s="48">
        <f>IF(t&lt;Tnet,'2023'!Resal+('2023'!Salim-'2023'!Resal)*(1-EXP(('2023'!Tnet-t)/('2023'!Tau_j))),Resal+(Salim-Resal)*(1-EXP((Tnet-t)/(Tau_j))))*Salcycl</f>
        <v>2.462317744359559E-2</v>
      </c>
      <c r="P159" s="165">
        <f>(INDEX(Models!$BJ159:$BT159,,T159)*(1-R159)+INDEX(Models!$BJ159:$BT159,,T159+1)*R159-ERP_i)*Q159*Ramure*Pc/MaxiM</f>
        <v>4.4570054715314902E-6</v>
      </c>
      <c r="Q159" s="301">
        <f t="shared" si="53"/>
        <v>0.5</v>
      </c>
      <c r="R159" s="173">
        <f t="shared" si="54"/>
        <v>0.16406146311725123</v>
      </c>
      <c r="S159" s="802">
        <f t="shared" si="55"/>
        <v>1</v>
      </c>
      <c r="T159" s="172">
        <f t="shared" si="56"/>
        <v>7</v>
      </c>
      <c r="U159" s="247">
        <f t="shared" si="57"/>
        <v>1.1640614631172512</v>
      </c>
      <c r="V159" s="378">
        <f t="shared" si="58"/>
        <v>62.272898940062994</v>
      </c>
      <c r="W159" s="397">
        <f t="shared" si="59"/>
        <v>42.701212214425766</v>
      </c>
      <c r="X159" s="153">
        <f t="shared" si="60"/>
        <v>45436</v>
      </c>
      <c r="Y159" s="380">
        <f t="shared" si="61"/>
        <v>41.742986120544657</v>
      </c>
      <c r="Z159" s="380">
        <f t="shared" si="62"/>
        <v>42.268554542445621</v>
      </c>
      <c r="AA159" s="381">
        <f t="shared" si="63"/>
        <v>44.330400578572345</v>
      </c>
      <c r="AB159" s="193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4.6510882130926245E-2</v>
      </c>
      <c r="AD159" s="227">
        <f>(INDEX(Models!$BJ159:$BT159,,AH159)*(1-AF159)+INDEX(Models!$BJ159:$BT159,,AH159+1)*AF159-ERP_i)*AE159*Ramure*Pc/MaxiM</f>
        <v>4.4570054715314902E-6</v>
      </c>
      <c r="AE159" s="301">
        <f t="shared" si="65"/>
        <v>0.5</v>
      </c>
      <c r="AF159" s="173">
        <f t="shared" si="66"/>
        <v>0.16406146311725123</v>
      </c>
      <c r="AG159" s="802">
        <f t="shared" si="74"/>
        <v>1</v>
      </c>
      <c r="AH159" s="172">
        <f t="shared" si="67"/>
        <v>7</v>
      </c>
      <c r="AI159" s="221">
        <f t="shared" si="68"/>
        <v>1.1640614631172512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1"/>
        <v>45437</v>
      </c>
      <c r="B160" s="406">
        <f>'2023'!Wh/'2023'!Env_an*'2024'!Env_an</f>
        <v>28.491327737224459</v>
      </c>
      <c r="C160" s="385"/>
      <c r="D160" s="388">
        <f t="shared" si="50"/>
        <v>28.850445027494786</v>
      </c>
      <c r="E160" s="380">
        <f t="shared" si="72"/>
        <v>29.580884920348598</v>
      </c>
      <c r="F160" s="380">
        <f t="shared" si="51"/>
        <v>29.580913713354441</v>
      </c>
      <c r="G160" s="110">
        <f t="shared" si="73"/>
        <v>0.45709855006266192</v>
      </c>
      <c r="H160" s="409" t="b">
        <f>Wh_hp&gt;='2023'!Maxi_hp</f>
        <v>0</v>
      </c>
      <c r="I160" s="375">
        <f>IF(H160,Wh_hp,'2023'!Maxi_hp)</f>
        <v>29.580999563850057</v>
      </c>
      <c r="J160" s="85">
        <f>IF(H160,An,'2023'!An_max)</f>
        <v>2022</v>
      </c>
      <c r="K160" s="193">
        <f t="shared" si="52"/>
        <v>45437</v>
      </c>
      <c r="L160" s="143">
        <f>IF(t&lt;Tvie,1-EXP((T0-t)*PertePVj)+'2023'!Pspv,1-EXP((T0-t)*PertePVj)+Pspv)</f>
        <v>1.2447547686979643E-2</v>
      </c>
      <c r="M160" s="836"/>
      <c r="N160" s="836"/>
      <c r="O160" s="48">
        <f>IF(t&lt;Tnet,'2023'!Resal+('2023'!Salim-'2023'!Resal)*(1-EXP(('2023'!Tnet-t)/('2023'!Tau_j))),Resal+(Salim-Resal)*(1-EXP((Tnet-t)/(Tau_j))))*Salcycl</f>
        <v>2.4692969626184058E-2</v>
      </c>
      <c r="P160" s="165">
        <f>(INDEX(Models!$BJ160:$BT160,,T160)*(1-R160)+INDEX(Models!$BJ160:$BT160,,T160+1)*R160-ERP_i)*Q160*Ramure*Pc/MaxiM</f>
        <v>4.3370760103775865E-6</v>
      </c>
      <c r="Q160" s="301">
        <f t="shared" si="53"/>
        <v>0.5</v>
      </c>
      <c r="R160" s="173">
        <f t="shared" si="54"/>
        <v>0.16871857545808355</v>
      </c>
      <c r="S160" s="802">
        <f t="shared" si="55"/>
        <v>1</v>
      </c>
      <c r="T160" s="172">
        <f t="shared" si="56"/>
        <v>7</v>
      </c>
      <c r="U160" s="247">
        <f t="shared" si="57"/>
        <v>1.1687185754580836</v>
      </c>
      <c r="V160" s="378">
        <f t="shared" si="58"/>
        <v>62.330610973526653</v>
      </c>
      <c r="W160" s="397">
        <f t="shared" si="59"/>
        <v>28.491327737224459</v>
      </c>
      <c r="X160" s="153">
        <f t="shared" si="60"/>
        <v>45437</v>
      </c>
      <c r="Y160" s="380">
        <f t="shared" si="61"/>
        <v>27.852066219786664</v>
      </c>
      <c r="Z160" s="380">
        <f t="shared" si="62"/>
        <v>28.203125975285928</v>
      </c>
      <c r="AA160" s="381">
        <f t="shared" si="63"/>
        <v>29.580884920348598</v>
      </c>
      <c r="AB160" s="193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4.6575988134652226E-2</v>
      </c>
      <c r="AD160" s="227">
        <f>(INDEX(Models!$BJ160:$BT160,,AH160)*(1-AF160)+INDEX(Models!$BJ160:$BT160,,AH160+1)*AF160-ERP_i)*AE160*Ramure*Pc/MaxiM</f>
        <v>4.3370760103775865E-6</v>
      </c>
      <c r="AE160" s="301">
        <f t="shared" si="65"/>
        <v>0.5</v>
      </c>
      <c r="AF160" s="173">
        <f t="shared" si="66"/>
        <v>0.16871857545808355</v>
      </c>
      <c r="AG160" s="802">
        <f t="shared" si="74"/>
        <v>1</v>
      </c>
      <c r="AH160" s="172">
        <f t="shared" si="67"/>
        <v>7</v>
      </c>
      <c r="AI160" s="221">
        <f t="shared" si="68"/>
        <v>1.1687185754580836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1"/>
        <v>45438</v>
      </c>
      <c r="B161" s="406">
        <f>'2023'!Wh/'2023'!Env_an*'2024'!Env_an</f>
        <v>44.61259824670973</v>
      </c>
      <c r="C161" s="385"/>
      <c r="D161" s="388">
        <f t="shared" si="50"/>
        <v>45.175533572504484</v>
      </c>
      <c r="E161" s="380">
        <f t="shared" si="72"/>
        <v>46.322609224180368</v>
      </c>
      <c r="F161" s="380">
        <f t="shared" si="51"/>
        <v>46.322724723611316</v>
      </c>
      <c r="G161" s="110">
        <f t="shared" si="73"/>
        <v>0.71511676826943427</v>
      </c>
      <c r="H161" s="409" t="b">
        <f>Wh_hp&gt;='2023'!Maxi_hp</f>
        <v>0</v>
      </c>
      <c r="I161" s="375">
        <f>IF(H161,Wh_hp,'2023'!Maxi_hp)</f>
        <v>46.32279287527755</v>
      </c>
      <c r="J161" s="85">
        <f>IF(H161,An,'2023'!An_max)</f>
        <v>2022</v>
      </c>
      <c r="K161" s="193">
        <f t="shared" si="52"/>
        <v>45438</v>
      </c>
      <c r="L161" s="143">
        <f>IF(t&lt;Tvie,1-EXP((T0-t)*PertePVj)+'2023'!Pspv,1-EXP((T0-t)*PertePVj)+Pspv)</f>
        <v>1.2461066450743075E-2</v>
      </c>
      <c r="M161" s="836"/>
      <c r="N161" s="836"/>
      <c r="O161" s="48">
        <f>IF(t&lt;Tnet,'2023'!Resal+('2023'!Salim-'2023'!Resal)*(1-EXP(('2023'!Tnet-t)/('2023'!Tau_j))),Resal+(Salim-Resal)*(1-EXP((Tnet-t)/(Tau_j))))*Salcycl</f>
        <v>2.4762759932726627E-2</v>
      </c>
      <c r="P161" s="165">
        <f>(INDEX(Models!$BJ161:$BT161,,T161)*(1-R161)+INDEX(Models!$BJ161:$BT161,,T161+1)*R161-ERP_i)*Q161*Ramure*Pc/MaxiM</f>
        <v>4.2044794176721261E-6</v>
      </c>
      <c r="Q161" s="301">
        <f t="shared" si="53"/>
        <v>0.5</v>
      </c>
      <c r="R161" s="173">
        <f t="shared" si="54"/>
        <v>0.17343322284905938</v>
      </c>
      <c r="S161" s="802">
        <f t="shared" si="55"/>
        <v>1</v>
      </c>
      <c r="T161" s="172">
        <f t="shared" si="56"/>
        <v>7</v>
      </c>
      <c r="U161" s="247">
        <f t="shared" si="57"/>
        <v>1.1734332228490594</v>
      </c>
      <c r="V161" s="378">
        <f t="shared" si="58"/>
        <v>62.384947310342184</v>
      </c>
      <c r="W161" s="397">
        <f t="shared" si="59"/>
        <v>44.61259824670973</v>
      </c>
      <c r="X161" s="153">
        <f t="shared" si="60"/>
        <v>45438</v>
      </c>
      <c r="Y161" s="380">
        <f t="shared" si="61"/>
        <v>43.611767165819636</v>
      </c>
      <c r="Z161" s="380">
        <f t="shared" si="62"/>
        <v>44.162073700808016</v>
      </c>
      <c r="AA161" s="381">
        <f t="shared" si="63"/>
        <v>46.322609224180368</v>
      </c>
      <c r="AB161" s="193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4.664105842821465E-2</v>
      </c>
      <c r="AD161" s="227">
        <f>(INDEX(Models!$BJ161:$BT161,,AH161)*(1-AF161)+INDEX(Models!$BJ161:$BT161,,AH161+1)*AF161-ERP_i)*AE161*Ramure*Pc/MaxiM</f>
        <v>4.2044794176721261E-6</v>
      </c>
      <c r="AE161" s="301">
        <f t="shared" si="65"/>
        <v>0.5</v>
      </c>
      <c r="AF161" s="173">
        <f t="shared" si="66"/>
        <v>0.17343322284905938</v>
      </c>
      <c r="AG161" s="802">
        <f t="shared" si="74"/>
        <v>1</v>
      </c>
      <c r="AH161" s="172">
        <f t="shared" si="67"/>
        <v>7</v>
      </c>
      <c r="AI161" s="221">
        <f t="shared" si="68"/>
        <v>1.1734332228490594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1"/>
        <v>45439</v>
      </c>
      <c r="B162" s="406">
        <f>'2023'!Wh/'2023'!Env_an*'2024'!Env_an</f>
        <v>58.569368695401273</v>
      </c>
      <c r="C162" s="385"/>
      <c r="D162" s="388">
        <f t="shared" si="50"/>
        <v>59.309226686735641</v>
      </c>
      <c r="E162" s="380">
        <f t="shared" si="72"/>
        <v>60.819529287329843</v>
      </c>
      <c r="F162" s="380">
        <f t="shared" si="51"/>
        <v>60.819754294478727</v>
      </c>
      <c r="G162" s="110">
        <f t="shared" si="73"/>
        <v>0.93806833483015639</v>
      </c>
      <c r="H162" s="409" t="b">
        <f>Wh_hp&gt;='2023'!Maxi_hp</f>
        <v>0</v>
      </c>
      <c r="I162" s="375">
        <f>IF(H162,Wh_hp,'2023'!Maxi_hp)</f>
        <v>60.819773004939982</v>
      </c>
      <c r="J162" s="85">
        <f>IF(H162,An,'2023'!An_max)</f>
        <v>2022</v>
      </c>
      <c r="K162" s="193">
        <f t="shared" si="52"/>
        <v>45439</v>
      </c>
      <c r="L162" s="143">
        <f>IF(t&lt;Tvie,1-EXP((T0-t)*PertePVj)+'2023'!Pspv,1-EXP((T0-t)*PertePVj)+Pspv)</f>
        <v>1.2474585029445984E-2</v>
      </c>
      <c r="M162" s="836"/>
      <c r="N162" s="836"/>
      <c r="O162" s="48">
        <f>IF(t&lt;Tnet,'2023'!Resal+('2023'!Salim-'2023'!Resal)*(1-EXP(('2023'!Tnet-t)/('2023'!Tau_j))),Resal+(Salim-Resal)*(1-EXP((Tnet-t)/(Tau_j))))*Salcycl</f>
        <v>2.4832526957896606E-2</v>
      </c>
      <c r="P162" s="165">
        <f>(INDEX(Models!$BJ162:$BT162,,T162)*(1-R162)+INDEX(Models!$BJ162:$BT162,,T162+1)*R162-ERP_i)*Q162*Ramure*Pc/MaxiM</f>
        <v>4.0586562819684008E-6</v>
      </c>
      <c r="Q162" s="301">
        <f t="shared" si="53"/>
        <v>0.5</v>
      </c>
      <c r="R162" s="173">
        <f t="shared" si="54"/>
        <v>0.17820242523060181</v>
      </c>
      <c r="S162" s="802">
        <f t="shared" si="55"/>
        <v>1</v>
      </c>
      <c r="T162" s="172">
        <f t="shared" si="56"/>
        <v>7</v>
      </c>
      <c r="U162" s="247">
        <f t="shared" si="57"/>
        <v>1.1782024252306018</v>
      </c>
      <c r="V162" s="378">
        <f t="shared" si="58"/>
        <v>62.436120578223878</v>
      </c>
      <c r="W162" s="397">
        <f t="shared" si="59"/>
        <v>58.569368695401273</v>
      </c>
      <c r="X162" s="153">
        <f t="shared" si="60"/>
        <v>45439</v>
      </c>
      <c r="Y162" s="380">
        <f t="shared" si="61"/>
        <v>57.255626544097389</v>
      </c>
      <c r="Z162" s="380">
        <f t="shared" si="62"/>
        <v>57.978889126417705</v>
      </c>
      <c r="AA162" s="381">
        <f t="shared" si="63"/>
        <v>60.819529287329843</v>
      </c>
      <c r="AB162" s="193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4.6706053042470851E-2</v>
      </c>
      <c r="AD162" s="227">
        <f>(INDEX(Models!$BJ162:$BT162,,AH162)*(1-AF162)+INDEX(Models!$BJ162:$BT162,,AH162+1)*AF162-ERP_i)*AE162*Ramure*Pc/MaxiM</f>
        <v>4.0586562819684008E-6</v>
      </c>
      <c r="AE162" s="301">
        <f t="shared" si="65"/>
        <v>0.5</v>
      </c>
      <c r="AF162" s="173">
        <f t="shared" si="66"/>
        <v>0.17820242523060181</v>
      </c>
      <c r="AG162" s="802">
        <f t="shared" si="74"/>
        <v>1</v>
      </c>
      <c r="AH162" s="172">
        <f t="shared" si="67"/>
        <v>7</v>
      </c>
      <c r="AI162" s="221">
        <f t="shared" si="68"/>
        <v>1.1782024252306018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45440</v>
      </c>
      <c r="B163" s="406">
        <f>'2023'!Wh/'2023'!Env_an*'2024'!Env_an</f>
        <v>63.693824080903291</v>
      </c>
      <c r="C163" s="385"/>
      <c r="D163" s="388">
        <f t="shared" si="50"/>
        <v>64.499297984854906</v>
      </c>
      <c r="E163" s="380">
        <f t="shared" si="72"/>
        <v>66.146494462022019</v>
      </c>
      <c r="F163" s="380">
        <f t="shared" si="51"/>
        <v>66.146752375052458</v>
      </c>
      <c r="G163" s="110">
        <f t="shared" si="73"/>
        <v>1.0193725542453587</v>
      </c>
      <c r="H163" s="409" t="b">
        <f>Wh_hp&gt;='2023'!Maxi_hp</f>
        <v>1</v>
      </c>
      <c r="I163" s="375">
        <f>IF(H163,Wh_hp,'2023'!Maxi_hp)</f>
        <v>66.146752375052458</v>
      </c>
      <c r="J163" s="85">
        <f>IF(H163,An,'2023'!An_max)</f>
        <v>2024</v>
      </c>
      <c r="K163" s="193">
        <f t="shared" si="52"/>
        <v>45440</v>
      </c>
      <c r="L163" s="143">
        <f>IF(t&lt;Tvie,1-EXP((T0-t)*PertePVj)+'2023'!Pspv,1-EXP((T0-t)*PertePVj)+Pspv)</f>
        <v>1.2488103423090813E-2</v>
      </c>
      <c r="M163" s="836"/>
      <c r="N163" s="836"/>
      <c r="O163" s="48">
        <f>IF(t&lt;Tnet,'2023'!Resal+('2023'!Salim-'2023'!Resal)*(1-EXP(('2023'!Tnet-t)/('2023'!Tau_j))),Resal+(Salim-Resal)*(1-EXP((Tnet-t)/(Tau_j))))*Salcycl</f>
        <v>2.4902249024139192E-2</v>
      </c>
      <c r="P163" s="165">
        <f>(INDEX(Models!$BJ163:$BT163,,T163)*(1-R163)+INDEX(Models!$BJ163:$BT163,,T163+1)*R163-ERP_i)*Q163*Ramure*Pc/MaxiM</f>
        <v>3.8991034506998272E-6</v>
      </c>
      <c r="Q163" s="301">
        <f t="shared" si="53"/>
        <v>0.5</v>
      </c>
      <c r="R163" s="173">
        <f t="shared" si="54"/>
        <v>0.18302304006182379</v>
      </c>
      <c r="S163" s="802">
        <f t="shared" si="55"/>
        <v>1</v>
      </c>
      <c r="T163" s="172">
        <f t="shared" si="56"/>
        <v>7</v>
      </c>
      <c r="U163" s="247">
        <f t="shared" si="57"/>
        <v>1.1830230400618238</v>
      </c>
      <c r="V163" s="378">
        <f t="shared" si="58"/>
        <v>62.483361765665578</v>
      </c>
      <c r="W163" s="397">
        <f t="shared" si="59"/>
        <v>63.693824080903291</v>
      </c>
      <c r="X163" s="153">
        <f t="shared" si="60"/>
        <v>45440</v>
      </c>
      <c r="Y163" s="380">
        <f t="shared" si="61"/>
        <v>62.265351881849988</v>
      </c>
      <c r="Z163" s="380">
        <f t="shared" si="62"/>
        <v>63.052761285899763</v>
      </c>
      <c r="AA163" s="381">
        <f t="shared" si="63"/>
        <v>66.146494462022019</v>
      </c>
      <c r="AB163" s="193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4.6770931721839368E-2</v>
      </c>
      <c r="AD163" s="227">
        <f>(INDEX(Models!$BJ163:$BT163,,AH163)*(1-AF163)+INDEX(Models!$BJ163:$BT163,,AH163+1)*AF163-ERP_i)*AE163*Ramure*Pc/MaxiM</f>
        <v>3.8991034506998272E-6</v>
      </c>
      <c r="AE163" s="301">
        <f t="shared" si="65"/>
        <v>0.5</v>
      </c>
      <c r="AF163" s="173">
        <f t="shared" si="66"/>
        <v>0.18302304006182379</v>
      </c>
      <c r="AG163" s="802">
        <f t="shared" si="74"/>
        <v>1</v>
      </c>
      <c r="AH163" s="172">
        <f t="shared" si="67"/>
        <v>7</v>
      </c>
      <c r="AI163" s="221">
        <f t="shared" si="68"/>
        <v>1.1830230400618238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45441</v>
      </c>
      <c r="B164" s="406">
        <f>'2023'!Wh/'2023'!Env_an*'2024'!Env_an</f>
        <v>51.224926246208653</v>
      </c>
      <c r="C164" s="385"/>
      <c r="D164" s="388">
        <f t="shared" si="50"/>
        <v>51.873428218534897</v>
      </c>
      <c r="E164" s="380">
        <f t="shared" si="72"/>
        <v>53.201983045357075</v>
      </c>
      <c r="F164" s="380">
        <f t="shared" si="51"/>
        <v>53.202130411970288</v>
      </c>
      <c r="G164" s="110">
        <f t="shared" si="73"/>
        <v>0.81925850822834323</v>
      </c>
      <c r="H164" s="409" t="b">
        <f>Wh_hp&gt;='2023'!Maxi_hp</f>
        <v>0</v>
      </c>
      <c r="I164" s="375">
        <f>IF(H164,Wh_hp,'2023'!Maxi_hp)</f>
        <v>53.20217402589779</v>
      </c>
      <c r="J164" s="85">
        <f>IF(H164,An,'2023'!An_max)</f>
        <v>2022</v>
      </c>
      <c r="K164" s="193">
        <f t="shared" si="52"/>
        <v>45441</v>
      </c>
      <c r="L164" s="143">
        <f>IF(t&lt;Tvie,1-EXP((T0-t)*PertePVj)+'2023'!Pspv,1-EXP((T0-t)*PertePVj)+Pspv)</f>
        <v>1.2501621631680226E-2</v>
      </c>
      <c r="M164" s="836"/>
      <c r="N164" s="836"/>
      <c r="O164" s="48">
        <f>IF(t&lt;Tnet,'2023'!Resal+('2023'!Salim-'2023'!Resal)*(1-EXP(('2023'!Tnet-t)/('2023'!Tau_j))),Resal+(Salim-Resal)*(1-EXP((Tnet-t)/(Tau_j))))*Salcycl</f>
        <v>2.4971904255702775E-2</v>
      </c>
      <c r="P164" s="165">
        <f>(INDEX(Models!$BJ164:$BT164,,T164)*(1-R164)+INDEX(Models!$BJ164:$BT164,,T164+1)*R164-ERP_i)*Q164*Ramure*Pc/MaxiM</f>
        <v>3.7340818840810343E-6</v>
      </c>
      <c r="Q164" s="301">
        <f t="shared" si="53"/>
        <v>0.5</v>
      </c>
      <c r="R164" s="173">
        <f t="shared" si="54"/>
        <v>0.18789176900191129</v>
      </c>
      <c r="S164" s="802">
        <f t="shared" si="55"/>
        <v>1</v>
      </c>
      <c r="T164" s="172">
        <f t="shared" si="56"/>
        <v>7</v>
      </c>
      <c r="U164" s="247">
        <f t="shared" si="57"/>
        <v>1.1878917690019113</v>
      </c>
      <c r="V164" s="378">
        <f t="shared" si="58"/>
        <v>62.525901584662279</v>
      </c>
      <c r="W164" s="397">
        <f t="shared" si="59"/>
        <v>51.224926246208653</v>
      </c>
      <c r="X164" s="153">
        <f t="shared" si="60"/>
        <v>45441</v>
      </c>
      <c r="Y164" s="380">
        <f t="shared" si="61"/>
        <v>50.076273221462543</v>
      </c>
      <c r="Z164" s="380">
        <f t="shared" si="62"/>
        <v>50.710233371932645</v>
      </c>
      <c r="AA164" s="381">
        <f t="shared" si="63"/>
        <v>53.201983045357075</v>
      </c>
      <c r="AB164" s="193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4.6835654063873876E-2</v>
      </c>
      <c r="AD164" s="227">
        <f>(INDEX(Models!$BJ164:$BT164,,AH164)*(1-AF164)+INDEX(Models!$BJ164:$BT164,,AH164+1)*AF164-ERP_i)*AE164*Ramure*Pc/MaxiM</f>
        <v>3.7340818840810343E-6</v>
      </c>
      <c r="AE164" s="301">
        <f t="shared" si="65"/>
        <v>0.5</v>
      </c>
      <c r="AF164" s="173">
        <f t="shared" si="66"/>
        <v>0.18789176900191129</v>
      </c>
      <c r="AG164" s="802">
        <f t="shared" si="74"/>
        <v>1</v>
      </c>
      <c r="AH164" s="172">
        <f t="shared" si="67"/>
        <v>7</v>
      </c>
      <c r="AI164" s="221">
        <f t="shared" si="68"/>
        <v>1.1878917690019113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45442</v>
      </c>
      <c r="B165" s="406">
        <f>'2023'!Wh/'2023'!Env_an*'2024'!Env_an</f>
        <v>60.551390219192726</v>
      </c>
      <c r="C165" s="385"/>
      <c r="D165" s="388">
        <f t="shared" si="50"/>
        <v>61.318803609860943</v>
      </c>
      <c r="E165" s="380">
        <f t="shared" si="72"/>
        <v>62.893755748859562</v>
      </c>
      <c r="F165" s="380">
        <f t="shared" si="51"/>
        <v>62.893969841010296</v>
      </c>
      <c r="G165" s="110">
        <f t="shared" si="73"/>
        <v>0.96783175757730378</v>
      </c>
      <c r="H165" s="409" t="b">
        <f>Wh_hp&gt;='2023'!Maxi_hp</f>
        <v>0</v>
      </c>
      <c r="I165" s="375">
        <f>IF(H165,Wh_hp,'2023'!Maxi_hp)</f>
        <v>62.893978575156851</v>
      </c>
      <c r="J165" s="85">
        <f>IF(H165,An,'2023'!An_max)</f>
        <v>2022</v>
      </c>
      <c r="K165" s="193">
        <f t="shared" si="52"/>
        <v>45442</v>
      </c>
      <c r="L165" s="143">
        <f>IF(t&lt;Tvie,1-EXP((T0-t)*PertePVj)+'2023'!Pspv,1-EXP((T0-t)*PertePVj)+Pspv)</f>
        <v>1.2515139655216778E-2</v>
      </c>
      <c r="M165" s="836"/>
      <c r="N165" s="836"/>
      <c r="O165" s="48">
        <f>IF(t&lt;Tnet,'2023'!Resal+('2023'!Salim-'2023'!Resal)*(1-EXP(('2023'!Tnet-t)/('2023'!Tau_j))),Resal+(Salim-Resal)*(1-EXP((Tnet-t)/(Tau_j))))*Salcycl</f>
        <v>2.5041470655489891E-2</v>
      </c>
      <c r="P165" s="165">
        <f>(INDEX(Models!$BJ165:$BT165,,T165)*(1-R165)+INDEX(Models!$BJ165:$BT165,,T165+1)*R165-ERP_i)*Q165*Ramure*Pc/MaxiM</f>
        <v>3.5679816031848394E-6</v>
      </c>
      <c r="Q165" s="301">
        <f t="shared" si="53"/>
        <v>0.5</v>
      </c>
      <c r="R165" s="173">
        <f t="shared" si="54"/>
        <v>0.19280516555153793</v>
      </c>
      <c r="S165" s="802">
        <f t="shared" si="55"/>
        <v>1</v>
      </c>
      <c r="T165" s="172">
        <f t="shared" si="56"/>
        <v>7</v>
      </c>
      <c r="U165" s="247">
        <f t="shared" si="57"/>
        <v>1.1928051655515379</v>
      </c>
      <c r="V165" s="378">
        <f t="shared" si="58"/>
        <v>62.563952687867577</v>
      </c>
      <c r="W165" s="397">
        <f t="shared" si="59"/>
        <v>60.551390219192726</v>
      </c>
      <c r="X165" s="153">
        <f t="shared" si="60"/>
        <v>45442</v>
      </c>
      <c r="Y165" s="380">
        <f t="shared" si="61"/>
        <v>59.193819431348466</v>
      </c>
      <c r="Z165" s="380">
        <f t="shared" si="62"/>
        <v>59.944027304561175</v>
      </c>
      <c r="AA165" s="381">
        <f t="shared" si="63"/>
        <v>62.893755748859562</v>
      </c>
      <c r="AB165" s="193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4.6900179662936956E-2</v>
      </c>
      <c r="AD165" s="227">
        <f>(INDEX(Models!$BJ165:$BT165,,AH165)*(1-AF165)+INDEX(Models!$BJ165:$BT165,,AH165+1)*AF165-ERP_i)*AE165*Ramure*Pc/MaxiM</f>
        <v>3.5679816031848394E-6</v>
      </c>
      <c r="AE165" s="301">
        <f t="shared" si="65"/>
        <v>0.5</v>
      </c>
      <c r="AF165" s="173">
        <f t="shared" si="66"/>
        <v>0.19280516555153793</v>
      </c>
      <c r="AG165" s="802">
        <f t="shared" si="74"/>
        <v>1</v>
      </c>
      <c r="AH165" s="172">
        <f t="shared" si="67"/>
        <v>7</v>
      </c>
      <c r="AI165" s="221">
        <f t="shared" si="68"/>
        <v>1.1928051655515379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1"/>
        <v>45443</v>
      </c>
      <c r="B166" s="406">
        <f>'2023'!Wh/'2023'!Env_an*'2024'!Env_an</f>
        <v>63.131801583399032</v>
      </c>
      <c r="C166" s="385"/>
      <c r="D166" s="388">
        <f t="shared" si="50"/>
        <v>63.93279365775259</v>
      </c>
      <c r="E166" s="380">
        <f t="shared" si="72"/>
        <v>65.579557074653508</v>
      </c>
      <c r="F166" s="380">
        <f t="shared" si="51"/>
        <v>65.579780102115691</v>
      </c>
      <c r="G166" s="110">
        <f t="shared" si="73"/>
        <v>1.0085318377265537</v>
      </c>
      <c r="H166" s="409" t="b">
        <f>Wh_hp&gt;='2023'!Maxi_hp</f>
        <v>1</v>
      </c>
      <c r="I166" s="375">
        <f>IF(H166,Wh_hp,'2023'!Maxi_hp)</f>
        <v>65.579780102115691</v>
      </c>
      <c r="J166" s="85">
        <f>IF(H166,An,'2023'!An_max)</f>
        <v>2024</v>
      </c>
      <c r="K166" s="193">
        <f t="shared" si="52"/>
        <v>45443</v>
      </c>
      <c r="L166" s="143">
        <f>IF(t&lt;Tvie,1-EXP((T0-t)*PertePVj)+'2023'!Pspv,1-EXP((T0-t)*PertePVj)+Pspv)</f>
        <v>1.2528657493702799E-2</v>
      </c>
      <c r="M166" s="836"/>
      <c r="N166" s="836"/>
      <c r="O166" s="48">
        <f>IF(t&lt;Tnet,'2023'!Resal+('2023'!Salim-'2023'!Resal)*(1-EXP(('2023'!Tnet-t)/('2023'!Tau_j))),Resal+(Salim-Resal)*(1-EXP((Tnet-t)/(Tau_j))))*Salcycl</f>
        <v>2.5110926184303224E-2</v>
      </c>
      <c r="P166" s="165">
        <f>(INDEX(Models!$BJ166:$BT166,,T166)*(1-R166)+INDEX(Models!$BJ166:$BT166,,T166+1)*R166-ERP_i)*Q166*Ramure*Pc/MaxiM</f>
        <v>3.4008571213853192E-6</v>
      </c>
      <c r="Q166" s="301">
        <f t="shared" si="53"/>
        <v>0.5</v>
      </c>
      <c r="R166" s="173">
        <f t="shared" si="54"/>
        <v>0.1977596436286202</v>
      </c>
      <c r="S166" s="802">
        <f t="shared" si="55"/>
        <v>1</v>
      </c>
      <c r="T166" s="172">
        <f t="shared" si="56"/>
        <v>7</v>
      </c>
      <c r="U166" s="247">
        <f t="shared" si="57"/>
        <v>1.1977596436286202</v>
      </c>
      <c r="V166" s="378">
        <f t="shared" si="58"/>
        <v>62.597727926677656</v>
      </c>
      <c r="W166" s="397">
        <f t="shared" si="59"/>
        <v>63.131801583399032</v>
      </c>
      <c r="X166" s="153">
        <f t="shared" si="60"/>
        <v>45443</v>
      </c>
      <c r="Y166" s="380">
        <f t="shared" si="61"/>
        <v>61.716611364231447</v>
      </c>
      <c r="Z166" s="380">
        <f t="shared" si="62"/>
        <v>62.499648048103104</v>
      </c>
      <c r="AA166" s="381">
        <f t="shared" si="63"/>
        <v>65.579557074653508</v>
      </c>
      <c r="AB166" s="193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4.6964468257148201E-2</v>
      </c>
      <c r="AD166" s="227">
        <f>(INDEX(Models!$BJ166:$BT166,,AH166)*(1-AF166)+INDEX(Models!$BJ166:$BT166,,AH166+1)*AF166-ERP_i)*AE166*Ramure*Pc/MaxiM</f>
        <v>3.4008571213853192E-6</v>
      </c>
      <c r="AE166" s="301">
        <f t="shared" si="65"/>
        <v>0.5</v>
      </c>
      <c r="AF166" s="173">
        <f t="shared" si="66"/>
        <v>0.1977596436286202</v>
      </c>
      <c r="AG166" s="802">
        <f t="shared" si="74"/>
        <v>1</v>
      </c>
      <c r="AH166" s="172">
        <f t="shared" si="67"/>
        <v>7</v>
      </c>
      <c r="AI166" s="221">
        <f t="shared" si="68"/>
        <v>1.1977596436286202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1"/>
        <v>45444</v>
      </c>
      <c r="B167" s="406">
        <f>'2023'!Wh/'2023'!Env_an*'2024'!Env_an</f>
        <v>45.473895604128735</v>
      </c>
      <c r="C167" s="385"/>
      <c r="D167" s="388">
        <f t="shared" si="50"/>
        <v>46.051481348993107</v>
      </c>
      <c r="E167" s="380">
        <f t="shared" si="72"/>
        <v>47.241022039499548</v>
      </c>
      <c r="F167" s="380">
        <f t="shared" si="51"/>
        <v>47.241115002736308</v>
      </c>
      <c r="G167" s="110">
        <f t="shared" si="73"/>
        <v>0.72610085971227412</v>
      </c>
      <c r="H167" s="409" t="b">
        <f>Wh_hp&gt;='2023'!Maxi_hp</f>
        <v>0</v>
      </c>
      <c r="I167" s="375">
        <f>IF(H167,Wh_hp,'2023'!Maxi_hp)</f>
        <v>47.241165214979837</v>
      </c>
      <c r="J167" s="85">
        <f>IF(H167,An,'2023'!An_max)</f>
        <v>2022</v>
      </c>
      <c r="K167" s="193">
        <f t="shared" si="52"/>
        <v>45444</v>
      </c>
      <c r="L167" s="143">
        <f>IF(t&lt;Tvie,1-EXP((T0-t)*PertePVj)+'2023'!Pspv,1-EXP((T0-t)*PertePVj)+Pspv)</f>
        <v>1.2542175147141066E-2</v>
      </c>
      <c r="M167" s="836"/>
      <c r="N167" s="836"/>
      <c r="O167" s="48">
        <f>IF(t&lt;Tnet,'2023'!Resal+('2023'!Salim-'2023'!Resal)*(1-EXP(('2023'!Tnet-t)/('2023'!Tau_j))),Resal+(Salim-Resal)*(1-EXP((Tnet-t)/(Tau_j))))*Salcycl</f>
        <v>2.5180248842030364E-2</v>
      </c>
      <c r="P167" s="165">
        <f>(INDEX(Models!$BJ167:$BT167,,T167)*(1-R167)+INDEX(Models!$BJ167:$BT167,,T167+1)*R167-ERP_i)*Q167*Ramure*Pc/MaxiM</f>
        <v>3.2327773185804245E-6</v>
      </c>
      <c r="Q167" s="301">
        <f t="shared" si="53"/>
        <v>0.5</v>
      </c>
      <c r="R167" s="173">
        <f t="shared" si="54"/>
        <v>0.20275148704303292</v>
      </c>
      <c r="S167" s="802">
        <f t="shared" si="55"/>
        <v>1</v>
      </c>
      <c r="T167" s="172">
        <f t="shared" si="56"/>
        <v>7</v>
      </c>
      <c r="U167" s="247">
        <f t="shared" si="57"/>
        <v>1.2027514870430329</v>
      </c>
      <c r="V167" s="378">
        <f t="shared" si="58"/>
        <v>62.627440078611123</v>
      </c>
      <c r="W167" s="397">
        <f t="shared" si="59"/>
        <v>45.473895604128735</v>
      </c>
      <c r="X167" s="153">
        <f t="shared" si="60"/>
        <v>45444</v>
      </c>
      <c r="Y167" s="380">
        <f t="shared" si="61"/>
        <v>44.45470803014674</v>
      </c>
      <c r="Z167" s="380">
        <f t="shared" si="62"/>
        <v>45.019348585111402</v>
      </c>
      <c r="AA167" s="381">
        <f t="shared" si="63"/>
        <v>47.241022039499548</v>
      </c>
      <c r="AB167" s="193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4.7028479877733009E-2</v>
      </c>
      <c r="AD167" s="227">
        <f>(INDEX(Models!$BJ167:$BT167,,AH167)*(1-AF167)+INDEX(Models!$BJ167:$BT167,,AH167+1)*AF167-ERP_i)*AE167*Ramure*Pc/MaxiM</f>
        <v>3.2327773185804245E-6</v>
      </c>
      <c r="AE167" s="301">
        <f t="shared" si="65"/>
        <v>0.5</v>
      </c>
      <c r="AF167" s="173">
        <f t="shared" si="66"/>
        <v>0.20275148704303292</v>
      </c>
      <c r="AG167" s="802">
        <f t="shared" si="74"/>
        <v>1</v>
      </c>
      <c r="AH167" s="172">
        <f t="shared" si="67"/>
        <v>7</v>
      </c>
      <c r="AI167" s="221">
        <f t="shared" si="68"/>
        <v>1.2027514870430329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1"/>
        <v>45445</v>
      </c>
      <c r="B168" s="406">
        <f>'2023'!Wh/'2023'!Env_an*'2024'!Env_an</f>
        <v>60.209451311860605</v>
      </c>
      <c r="C168" s="385"/>
      <c r="D168" s="388">
        <f t="shared" si="50"/>
        <v>60.975035109922182</v>
      </c>
      <c r="E168" s="380">
        <f t="shared" si="72"/>
        <v>62.554499743552647</v>
      </c>
      <c r="F168" s="380">
        <f t="shared" si="51"/>
        <v>62.554680720534805</v>
      </c>
      <c r="G168" s="110">
        <f t="shared" si="73"/>
        <v>0.96099390234480775</v>
      </c>
      <c r="H168" s="409" t="b">
        <f>Wh_hp&gt;='2023'!Maxi_hp</f>
        <v>0</v>
      </c>
      <c r="I168" s="375">
        <f>IF(H168,Wh_hp,'2023'!Maxi_hp)</f>
        <v>62.554689658440559</v>
      </c>
      <c r="J168" s="85">
        <f>IF(H168,An,'2023'!An_max)</f>
        <v>2022</v>
      </c>
      <c r="K168" s="193">
        <f t="shared" si="52"/>
        <v>45445</v>
      </c>
      <c r="L168" s="143">
        <f>IF(t&lt;Tvie,1-EXP((T0-t)*PertePVj)+'2023'!Pspv,1-EXP((T0-t)*PertePVj)+Pspv)</f>
        <v>1.255569261553402E-2</v>
      </c>
      <c r="M168" s="836"/>
      <c r="N168" s="836"/>
      <c r="O168" s="48">
        <f>IF(t&lt;Tnet,'2023'!Resal+('2023'!Salim-'2023'!Resal)*(1-EXP(('2023'!Tnet-t)/('2023'!Tau_j))),Resal+(Salim-Resal)*(1-EXP((Tnet-t)/(Tau_j))))*Salcycl</f>
        <v>2.5249416750283537E-2</v>
      </c>
      <c r="P168" s="165">
        <f>(INDEX(Models!$BJ168:$BT168,,T168)*(1-R168)+INDEX(Models!$BJ168:$BT168,,T168+1)*R168-ERP_i)*Q168*Ramure*Pc/MaxiM</f>
        <v>3.0638253784964758E-6</v>
      </c>
      <c r="Q168" s="301">
        <f t="shared" si="53"/>
        <v>0.5</v>
      </c>
      <c r="R168" s="173">
        <f t="shared" si="54"/>
        <v>0.20777685982530469</v>
      </c>
      <c r="S168" s="802">
        <f t="shared" si="55"/>
        <v>1</v>
      </c>
      <c r="T168" s="172">
        <f t="shared" si="56"/>
        <v>7</v>
      </c>
      <c r="U168" s="247">
        <f t="shared" si="57"/>
        <v>1.2077768598253047</v>
      </c>
      <c r="V168" s="378">
        <f t="shared" si="58"/>
        <v>62.653301842679319</v>
      </c>
      <c r="W168" s="397">
        <f t="shared" si="59"/>
        <v>60.209451311860605</v>
      </c>
      <c r="X168" s="153">
        <f t="shared" si="60"/>
        <v>45445</v>
      </c>
      <c r="Y168" s="380">
        <f t="shared" si="61"/>
        <v>58.860244128049743</v>
      </c>
      <c r="Z168" s="380">
        <f t="shared" si="62"/>
        <v>59.608672294600851</v>
      </c>
      <c r="AA168" s="381">
        <f t="shared" si="63"/>
        <v>62.554499743552647</v>
      </c>
      <c r="AB168" s="193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4.7092174999855491E-2</v>
      </c>
      <c r="AD168" s="227">
        <f>(INDEX(Models!$BJ168:$BT168,,AH168)*(1-AF168)+INDEX(Models!$BJ168:$BT168,,AH168+1)*AF168-ERP_i)*AE168*Ramure*Pc/MaxiM</f>
        <v>3.0638253784964758E-6</v>
      </c>
      <c r="AE168" s="301">
        <f t="shared" si="65"/>
        <v>0.5</v>
      </c>
      <c r="AF168" s="173">
        <f t="shared" si="66"/>
        <v>0.20777685982530469</v>
      </c>
      <c r="AG168" s="802">
        <f t="shared" si="74"/>
        <v>1</v>
      </c>
      <c r="AH168" s="172">
        <f t="shared" si="67"/>
        <v>7</v>
      </c>
      <c r="AI168" s="221">
        <f t="shared" si="68"/>
        <v>1.2077768598253047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1"/>
        <v>45446</v>
      </c>
      <c r="B169" s="406">
        <f>'2023'!Wh/'2023'!Env_an*'2024'!Env_an</f>
        <v>30.601687023406452</v>
      </c>
      <c r="C169" s="385"/>
      <c r="D169" s="388">
        <f t="shared" si="50"/>
        <v>30.991222200264538</v>
      </c>
      <c r="E169" s="380">
        <f t="shared" si="72"/>
        <v>31.7962527066665</v>
      </c>
      <c r="F169" s="380">
        <f t="shared" si="51"/>
        <v>31.796277454652486</v>
      </c>
      <c r="G169" s="110">
        <f t="shared" si="73"/>
        <v>0.48825473533977287</v>
      </c>
      <c r="H169" s="409" t="b">
        <f>Wh_hp&gt;='2023'!Maxi_hp</f>
        <v>0</v>
      </c>
      <c r="I169" s="375">
        <f>IF(H169,Wh_hp,'2023'!Maxi_hp)</f>
        <v>31.79633352939906</v>
      </c>
      <c r="J169" s="85">
        <f>IF(H169,An,'2023'!An_max)</f>
        <v>2022</v>
      </c>
      <c r="K169" s="193">
        <f t="shared" si="52"/>
        <v>45446</v>
      </c>
      <c r="L169" s="143">
        <f>IF(t&lt;Tvie,1-EXP((T0-t)*PertePVj)+'2023'!Pspv,1-EXP((T0-t)*PertePVj)+Pspv)</f>
        <v>1.2569209898884215E-2</v>
      </c>
      <c r="M169" s="836"/>
      <c r="N169" s="836"/>
      <c r="O169" s="48">
        <f>IF(t&lt;Tnet,'2023'!Resal+('2023'!Salim-'2023'!Resal)*(1-EXP(('2023'!Tnet-t)/('2023'!Tau_j))),Resal+(Salim-Resal)*(1-EXP((Tnet-t)/(Tau_j))))*Salcycl</f>
        <v>2.5318408235986221E-2</v>
      </c>
      <c r="P169" s="165">
        <f>(INDEX(Models!$BJ169:$BT169,,T169)*(1-R169)+INDEX(Models!$BJ169:$BT169,,T169+1)*R169-ERP_i)*Q169*Ramure*Pc/MaxiM</f>
        <v>2.8940986527233748E-6</v>
      </c>
      <c r="Q169" s="301">
        <f t="shared" si="53"/>
        <v>0.5</v>
      </c>
      <c r="R169" s="173">
        <f t="shared" si="54"/>
        <v>0.21283181735496459</v>
      </c>
      <c r="S169" s="802">
        <f t="shared" si="55"/>
        <v>1</v>
      </c>
      <c r="T169" s="172">
        <f t="shared" si="56"/>
        <v>7</v>
      </c>
      <c r="U169" s="247">
        <f t="shared" si="57"/>
        <v>1.2128318173549646</v>
      </c>
      <c r="V169" s="378">
        <f t="shared" si="58"/>
        <v>62.675525831736685</v>
      </c>
      <c r="W169" s="397">
        <f t="shared" si="59"/>
        <v>30.601687023406452</v>
      </c>
      <c r="X169" s="153">
        <f t="shared" si="60"/>
        <v>45446</v>
      </c>
      <c r="Y169" s="380">
        <f t="shared" si="61"/>
        <v>29.916076150100572</v>
      </c>
      <c r="Z169" s="380">
        <f t="shared" si="62"/>
        <v>30.296884044943624</v>
      </c>
      <c r="AA169" s="381">
        <f t="shared" si="63"/>
        <v>31.7962527066665</v>
      </c>
      <c r="AB169" s="193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4.7155514693985122E-2</v>
      </c>
      <c r="AD169" s="227">
        <f>(INDEX(Models!$BJ169:$BT169,,AH169)*(1-AF169)+INDEX(Models!$BJ169:$BT169,,AH169+1)*AF169-ERP_i)*AE169*Ramure*Pc/MaxiM</f>
        <v>2.8940986527233748E-6</v>
      </c>
      <c r="AE169" s="301">
        <f t="shared" si="65"/>
        <v>0.5</v>
      </c>
      <c r="AF169" s="173">
        <f t="shared" si="66"/>
        <v>0.21283181735496459</v>
      </c>
      <c r="AG169" s="802">
        <f t="shared" si="74"/>
        <v>1</v>
      </c>
      <c r="AH169" s="172">
        <f t="shared" si="67"/>
        <v>7</v>
      </c>
      <c r="AI169" s="221">
        <f t="shared" si="68"/>
        <v>1.2128318173549646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1"/>
        <v>45447</v>
      </c>
      <c r="B170" s="406">
        <f>'2023'!Wh/'2023'!Env_an*'2024'!Env_an</f>
        <v>33.817854501179468</v>
      </c>
      <c r="C170" s="385"/>
      <c r="D170" s="388">
        <f t="shared" si="50"/>
        <v>34.248797773546109</v>
      </c>
      <c r="E170" s="380">
        <f t="shared" ref="E170:E232" si="75">Wh_pvt/(1-Psa)</f>
        <v>35.140927597969451</v>
      </c>
      <c r="F170" s="380">
        <f t="shared" si="51"/>
        <v>35.140960401049362</v>
      </c>
      <c r="G170" s="110">
        <f t="shared" ref="G170:G232" si="76">+Wh_hp/MaxiM</f>
        <v>0.53940758105884101</v>
      </c>
      <c r="H170" s="409" t="b">
        <f>Wh_hp&gt;='2023'!Maxi_hp</f>
        <v>0</v>
      </c>
      <c r="I170" s="375">
        <f>IF(H170,Wh_hp,'2023'!Maxi_hp)</f>
        <v>35.141012790309702</v>
      </c>
      <c r="J170" s="85">
        <f>IF(H170,An,'2023'!An_max)</f>
        <v>2022</v>
      </c>
      <c r="K170" s="193">
        <f t="shared" si="52"/>
        <v>45447</v>
      </c>
      <c r="L170" s="143">
        <f>IF(t&lt;Tvie,1-EXP((T0-t)*PertePVj)+'2023'!Pspv,1-EXP((T0-t)*PertePVj)+Pspv)</f>
        <v>1.2582726997194094E-2</v>
      </c>
      <c r="M170" s="836"/>
      <c r="N170" s="836"/>
      <c r="O170" s="48">
        <f>IF(t&lt;Tnet,'2023'!Resal+('2023'!Salim-'2023'!Resal)*(1-EXP(('2023'!Tnet-t)/('2023'!Tau_j))),Resal+(Salim-Resal)*(1-EXP((Tnet-t)/(Tau_j))))*Salcycl</f>
        <v>2.5387201915378372E-2</v>
      </c>
      <c r="P170" s="165">
        <f>(INDEX(Models!$BJ170:$BT170,,T170)*(1-R170)+INDEX(Models!$BJ170:$BT170,,T170+1)*R170-ERP_i)*Q170*Ramure*Pc/MaxiM</f>
        <v>2.7293509314830481E-6</v>
      </c>
      <c r="Q170" s="301">
        <f t="shared" si="53"/>
        <v>0.5</v>
      </c>
      <c r="R170" s="173">
        <f t="shared" si="54"/>
        <v>0.21791231822523649</v>
      </c>
      <c r="S170" s="802">
        <f t="shared" si="55"/>
        <v>1</v>
      </c>
      <c r="T170" s="172">
        <f t="shared" si="56"/>
        <v>7</v>
      </c>
      <c r="U170" s="247">
        <f t="shared" si="57"/>
        <v>1.2179123182252365</v>
      </c>
      <c r="V170" s="378">
        <f t="shared" si="58"/>
        <v>62.694324210173733</v>
      </c>
      <c r="W170" s="397">
        <f t="shared" si="59"/>
        <v>33.817854501179468</v>
      </c>
      <c r="X170" s="153">
        <f t="shared" si="60"/>
        <v>45447</v>
      </c>
      <c r="Y170" s="380">
        <f t="shared" si="61"/>
        <v>33.060336913472099</v>
      </c>
      <c r="Z170" s="380">
        <f t="shared" si="62"/>
        <v>33.481627086523687</v>
      </c>
      <c r="AA170" s="381">
        <f t="shared" si="63"/>
        <v>35.140927597969451</v>
      </c>
      <c r="AB170" s="193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4.7218460776819092E-2</v>
      </c>
      <c r="AD170" s="227">
        <f>(INDEX(Models!$BJ170:$BT170,,AH170)*(1-AF170)+INDEX(Models!$BJ170:$BT170,,AH170+1)*AF170-ERP_i)*AE170*Ramure*Pc/MaxiM</f>
        <v>2.7293509314830481E-6</v>
      </c>
      <c r="AE170" s="301">
        <f t="shared" si="65"/>
        <v>0.5</v>
      </c>
      <c r="AF170" s="173">
        <f t="shared" si="66"/>
        <v>0.21791231822523649</v>
      </c>
      <c r="AG170" s="802">
        <f t="shared" si="74"/>
        <v>1</v>
      </c>
      <c r="AH170" s="172">
        <f t="shared" si="67"/>
        <v>7</v>
      </c>
      <c r="AI170" s="221">
        <f t="shared" si="68"/>
        <v>1.2179123182252365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1"/>
        <v>45448</v>
      </c>
      <c r="B171" s="406">
        <f>'2023'!Wh/'2023'!Env_an*'2024'!Env_an</f>
        <v>54.079952544693128</v>
      </c>
      <c r="C171" s="385"/>
      <c r="D171" s="388">
        <f t="shared" si="50"/>
        <v>54.769846895122988</v>
      </c>
      <c r="E171" s="380">
        <f t="shared" si="75"/>
        <v>56.200473606050679</v>
      </c>
      <c r="F171" s="380">
        <f t="shared" si="51"/>
        <v>56.200589898073957</v>
      </c>
      <c r="G171" s="110">
        <f t="shared" si="76"/>
        <v>0.86238245270859448</v>
      </c>
      <c r="H171" s="409" t="b">
        <f>Wh_hp&gt;='2023'!Maxi_hp</f>
        <v>0</v>
      </c>
      <c r="I171" s="375">
        <f>IF(H171,Wh_hp,'2023'!Maxi_hp)</f>
        <v>56.200613424709161</v>
      </c>
      <c r="J171" s="85">
        <f>IF(H171,An,'2023'!An_max)</f>
        <v>2022</v>
      </c>
      <c r="K171" s="193">
        <f t="shared" si="52"/>
        <v>45448</v>
      </c>
      <c r="L171" s="143">
        <f>IF(t&lt;Tvie,1-EXP((T0-t)*PertePVj)+'2023'!Pspv,1-EXP((T0-t)*PertePVj)+Pspv)</f>
        <v>1.2596243910466209E-2</v>
      </c>
      <c r="M171" s="836"/>
      <c r="N171" s="836"/>
      <c r="O171" s="48">
        <f>IF(t&lt;Tnet,'2023'!Resal+('2023'!Salim-'2023'!Resal)*(1-EXP(('2023'!Tnet-t)/('2023'!Tau_j))),Resal+(Salim-Resal)*(1-EXP((Tnet-t)/(Tau_j))))*Salcycl</f>
        <v>2.5455776777896507E-2</v>
      </c>
      <c r="P171" s="165">
        <f>(INDEX(Models!$BJ171:$BT171,,T171)*(1-R171)+INDEX(Models!$BJ171:$BT171,,T171+1)*R171-ERP_i)*Q171*Ramure*Pc/MaxiM</f>
        <v>2.5755797019200162E-6</v>
      </c>
      <c r="Q171" s="301">
        <f t="shared" si="53"/>
        <v>0.5</v>
      </c>
      <c r="R171" s="173">
        <f t="shared" si="54"/>
        <v>0.22301423677237642</v>
      </c>
      <c r="S171" s="802">
        <f t="shared" si="55"/>
        <v>1</v>
      </c>
      <c r="T171" s="172">
        <f t="shared" si="56"/>
        <v>7</v>
      </c>
      <c r="U171" s="247">
        <f t="shared" si="57"/>
        <v>1.2230142367723764</v>
      </c>
      <c r="V171" s="378">
        <f t="shared" si="58"/>
        <v>62.709909033383809</v>
      </c>
      <c r="W171" s="397">
        <f t="shared" si="59"/>
        <v>54.079952544693128</v>
      </c>
      <c r="X171" s="153">
        <f t="shared" si="60"/>
        <v>45448</v>
      </c>
      <c r="Y171" s="380">
        <f t="shared" si="61"/>
        <v>52.868816397186592</v>
      </c>
      <c r="Z171" s="380">
        <f t="shared" si="62"/>
        <v>53.543260364499424</v>
      </c>
      <c r="AA171" s="381">
        <f t="shared" si="63"/>
        <v>56.200473606050679</v>
      </c>
      <c r="AB171" s="193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4.7280975960764436E-2</v>
      </c>
      <c r="AD171" s="227">
        <f>(INDEX(Models!$BJ171:$BT171,,AH171)*(1-AF171)+INDEX(Models!$BJ171:$BT171,,AH171+1)*AF171-ERP_i)*AE171*Ramure*Pc/MaxiM</f>
        <v>2.5755797019200162E-6</v>
      </c>
      <c r="AE171" s="301">
        <f t="shared" si="65"/>
        <v>0.5</v>
      </c>
      <c r="AF171" s="173">
        <f t="shared" si="66"/>
        <v>0.22301423677237642</v>
      </c>
      <c r="AG171" s="802">
        <f t="shared" si="74"/>
        <v>1</v>
      </c>
      <c r="AH171" s="172">
        <f t="shared" si="67"/>
        <v>7</v>
      </c>
      <c r="AI171" s="221">
        <f t="shared" si="68"/>
        <v>1.2230142367723764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1"/>
        <v>45449</v>
      </c>
      <c r="B172" s="406">
        <f>'2023'!Wh/'2023'!Env_an*'2024'!Env_an</f>
        <v>28.239733127092254</v>
      </c>
      <c r="C172" s="385"/>
      <c r="D172" s="388">
        <f t="shared" si="50"/>
        <v>28.600377035688954</v>
      </c>
      <c r="E172" s="380">
        <f t="shared" si="75"/>
        <v>29.349496889342149</v>
      </c>
      <c r="F172" s="380">
        <f t="shared" si="51"/>
        <v>29.349512216395752</v>
      </c>
      <c r="G172" s="110">
        <f t="shared" si="76"/>
        <v>0.45023209362659594</v>
      </c>
      <c r="H172" s="409" t="b">
        <f>Wh_hp&gt;='2023'!Maxi_hp</f>
        <v>0</v>
      </c>
      <c r="I172" s="375">
        <f>IF(H172,Wh_hp,'2023'!Maxi_hp)</f>
        <v>29.349558396562763</v>
      </c>
      <c r="J172" s="85">
        <f>IF(H172,An,'2023'!An_max)</f>
        <v>2022</v>
      </c>
      <c r="K172" s="193">
        <f t="shared" si="52"/>
        <v>45449</v>
      </c>
      <c r="L172" s="143">
        <f>IF(t&lt;Tvie,1-EXP((T0-t)*PertePVj)+'2023'!Pspv,1-EXP((T0-t)*PertePVj)+Pspv)</f>
        <v>1.2609760638703116E-2</v>
      </c>
      <c r="M172" s="836"/>
      <c r="N172" s="836"/>
      <c r="O172" s="48">
        <f>IF(t&lt;Tnet,'2023'!Resal+('2023'!Salim-'2023'!Resal)*(1-EXP(('2023'!Tnet-t)/('2023'!Tau_j))),Resal+(Salim-Resal)*(1-EXP((Tnet-t)/(Tau_j))))*Salcycl</f>
        <v>2.5524112269373411E-2</v>
      </c>
      <c r="P172" s="165">
        <f>(INDEX(Models!$BJ172:$BT172,,T172)*(1-R172)+INDEX(Models!$BJ172:$BT172,,T172+1)*R172-ERP_i)*Q172*Ramure*Pc/MaxiM</f>
        <v>2.4332717925946335E-6</v>
      </c>
      <c r="Q172" s="301">
        <f t="shared" si="53"/>
        <v>0.5</v>
      </c>
      <c r="R172" s="173">
        <f t="shared" si="54"/>
        <v>0.22813337619020246</v>
      </c>
      <c r="S172" s="802">
        <f t="shared" si="55"/>
        <v>1</v>
      </c>
      <c r="T172" s="172">
        <f t="shared" si="56"/>
        <v>7</v>
      </c>
      <c r="U172" s="247">
        <f t="shared" si="57"/>
        <v>1.2281333761902025</v>
      </c>
      <c r="V172" s="378">
        <f t="shared" si="58"/>
        <v>62.722492597424427</v>
      </c>
      <c r="W172" s="397">
        <f t="shared" si="59"/>
        <v>28.239733127092254</v>
      </c>
      <c r="X172" s="153">
        <f t="shared" si="60"/>
        <v>45449</v>
      </c>
      <c r="Y172" s="380">
        <f t="shared" si="61"/>
        <v>27.607434008990015</v>
      </c>
      <c r="Z172" s="380">
        <f t="shared" si="62"/>
        <v>27.960002953693522</v>
      </c>
      <c r="AA172" s="381">
        <f t="shared" si="63"/>
        <v>29.349496889342149</v>
      </c>
      <c r="AB172" s="193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4.7343024000973698E-2</v>
      </c>
      <c r="AD172" s="227">
        <f>(INDEX(Models!$BJ172:$BT172,,AH172)*(1-AF172)+INDEX(Models!$BJ172:$BT172,,AH172+1)*AF172-ERP_i)*AE172*Ramure*Pc/MaxiM</f>
        <v>2.4332717925946335E-6</v>
      </c>
      <c r="AE172" s="301">
        <f t="shared" si="65"/>
        <v>0.5</v>
      </c>
      <c r="AF172" s="173">
        <f t="shared" si="66"/>
        <v>0.22813337619020246</v>
      </c>
      <c r="AG172" s="802">
        <f t="shared" si="74"/>
        <v>1</v>
      </c>
      <c r="AH172" s="172">
        <f t="shared" si="67"/>
        <v>7</v>
      </c>
      <c r="AI172" s="221">
        <f t="shared" si="68"/>
        <v>1.2281333761902025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1"/>
        <v>45450</v>
      </c>
      <c r="B173" s="406">
        <f>'2023'!Wh/'2023'!Env_an*'2024'!Env_an</f>
        <v>25.447231170614945</v>
      </c>
      <c r="C173" s="385"/>
      <c r="D173" s="388">
        <f t="shared" si="50"/>
        <v>25.772565407441924</v>
      </c>
      <c r="E173" s="380">
        <f t="shared" si="75"/>
        <v>26.449465100690222</v>
      </c>
      <c r="F173" s="380">
        <f t="shared" si="51"/>
        <v>26.449474293761678</v>
      </c>
      <c r="G173" s="110">
        <f t="shared" si="76"/>
        <v>0.405647276577286</v>
      </c>
      <c r="H173" s="409" t="b">
        <f>Wh_hp&gt;='2023'!Maxi_hp</f>
        <v>0</v>
      </c>
      <c r="I173" s="375">
        <f>IF(H173,Wh_hp,'2023'!Maxi_hp)</f>
        <v>26.449516701435005</v>
      </c>
      <c r="J173" s="85">
        <f>IF(H173,An,'2023'!An_max)</f>
        <v>2022</v>
      </c>
      <c r="K173" s="193">
        <f t="shared" si="52"/>
        <v>45450</v>
      </c>
      <c r="L173" s="143">
        <f>IF(t&lt;Tvie,1-EXP((T0-t)*PertePVj)+'2023'!Pspv,1-EXP((T0-t)*PertePVj)+Pspv)</f>
        <v>1.2623277181907477E-2</v>
      </c>
      <c r="M173" s="836"/>
      <c r="N173" s="836"/>
      <c r="O173" s="48">
        <f>IF(t&lt;Tnet,'2023'!Resal+('2023'!Salim-'2023'!Resal)*(1-EXP(('2023'!Tnet-t)/('2023'!Tau_j))),Resal+(Salim-Resal)*(1-EXP((Tnet-t)/(Tau_j))))*Salcycl</f>
        <v>2.5592188373995964E-2</v>
      </c>
      <c r="P173" s="165">
        <f>(INDEX(Models!$BJ173:$BT173,,T173)*(1-R173)+INDEX(Models!$BJ173:$BT173,,T173+1)*R173-ERP_i)*Q173*Ramure*Pc/MaxiM</f>
        <v>2.3029264335093616E-6</v>
      </c>
      <c r="Q173" s="301">
        <f t="shared" si="53"/>
        <v>0.5</v>
      </c>
      <c r="R173" s="173">
        <f t="shared" si="54"/>
        <v>0.23326548214346898</v>
      </c>
      <c r="S173" s="802">
        <f t="shared" si="55"/>
        <v>1</v>
      </c>
      <c r="T173" s="172">
        <f t="shared" si="56"/>
        <v>7</v>
      </c>
      <c r="U173" s="247">
        <f t="shared" si="57"/>
        <v>1.233265482143469</v>
      </c>
      <c r="V173" s="378">
        <f t="shared" si="58"/>
        <v>62.732287091711214</v>
      </c>
      <c r="W173" s="397">
        <f t="shared" si="59"/>
        <v>25.447231170614945</v>
      </c>
      <c r="X173" s="153">
        <f t="shared" si="60"/>
        <v>45450</v>
      </c>
      <c r="Y173" s="380">
        <f t="shared" si="61"/>
        <v>24.877588042863863</v>
      </c>
      <c r="Z173" s="380">
        <f t="shared" si="62"/>
        <v>25.195639585122301</v>
      </c>
      <c r="AA173" s="381">
        <f t="shared" si="63"/>
        <v>26.449465100690222</v>
      </c>
      <c r="AB173" s="193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4.7404569838926609E-2</v>
      </c>
      <c r="AD173" s="227">
        <f>(INDEX(Models!$BJ173:$BT173,,AH173)*(1-AF173)+INDEX(Models!$BJ173:$BT173,,AH173+1)*AF173-ERP_i)*AE173*Ramure*Pc/MaxiM</f>
        <v>2.3029264335093616E-6</v>
      </c>
      <c r="AE173" s="301">
        <f t="shared" si="65"/>
        <v>0.5</v>
      </c>
      <c r="AF173" s="173">
        <f t="shared" si="66"/>
        <v>0.23326548214346898</v>
      </c>
      <c r="AG173" s="802">
        <f t="shared" si="74"/>
        <v>1</v>
      </c>
      <c r="AH173" s="172">
        <f t="shared" si="67"/>
        <v>7</v>
      </c>
      <c r="AI173" s="221">
        <f t="shared" si="68"/>
        <v>1.233265482143469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1"/>
        <v>45451</v>
      </c>
      <c r="B174" s="406">
        <f>'2023'!Wh/'2023'!Env_an*'2024'!Env_an</f>
        <v>52.292378668316992</v>
      </c>
      <c r="C174" s="385"/>
      <c r="D174" s="388">
        <f t="shared" si="50"/>
        <v>52.961644029460579</v>
      </c>
      <c r="E174" s="380">
        <f t="shared" si="75"/>
        <v>54.356429225796319</v>
      </c>
      <c r="F174" s="380">
        <f t="shared" si="51"/>
        <v>54.356519744243244</v>
      </c>
      <c r="G174" s="110">
        <f t="shared" si="76"/>
        <v>0.83348365323814555</v>
      </c>
      <c r="H174" s="409" t="b">
        <f>Wh_hp&gt;='2023'!Maxi_hp</f>
        <v>0</v>
      </c>
      <c r="I174" s="375">
        <f>IF(H174,Wh_hp,'2023'!Maxi_hp)</f>
        <v>54.356542817414159</v>
      </c>
      <c r="J174" s="85">
        <f>IF(H174,An,'2023'!An_max)</f>
        <v>2022</v>
      </c>
      <c r="K174" s="193">
        <f t="shared" si="52"/>
        <v>45451</v>
      </c>
      <c r="L174" s="143">
        <f>IF(t&lt;Tvie,1-EXP((T0-t)*PertePVj)+'2023'!Pspv,1-EXP((T0-t)*PertePVj)+Pspv)</f>
        <v>1.2636793540081626E-2</v>
      </c>
      <c r="M174" s="836"/>
      <c r="N174" s="836"/>
      <c r="O174" s="48">
        <f>IF(t&lt;Tnet,'2023'!Resal+('2023'!Salim-'2023'!Resal)*(1-EXP(('2023'!Tnet-t)/('2023'!Tau_j))),Resal+(Salim-Resal)*(1-EXP((Tnet-t)/(Tau_j))))*Salcycl</f>
        <v>2.5659985694457852E-2</v>
      </c>
      <c r="P174" s="165">
        <f>(INDEX(Models!$BJ174:$BT174,,T174)*(1-R174)+INDEX(Models!$BJ174:$BT174,,T174+1)*R174-ERP_i)*Q174*Ramure*Pc/MaxiM</f>
        <v>2.1850532343850883E-6</v>
      </c>
      <c r="Q174" s="301">
        <f t="shared" si="53"/>
        <v>0.5</v>
      </c>
      <c r="R174" s="173">
        <f t="shared" si="54"/>
        <v>0.23840625678777494</v>
      </c>
      <c r="S174" s="802">
        <f t="shared" si="55"/>
        <v>1</v>
      </c>
      <c r="T174" s="172">
        <f t="shared" si="56"/>
        <v>7</v>
      </c>
      <c r="U174" s="247">
        <f t="shared" si="57"/>
        <v>1.2384062567877749</v>
      </c>
      <c r="V174" s="378">
        <f t="shared" si="58"/>
        <v>62.739504589645371</v>
      </c>
      <c r="W174" s="397">
        <f t="shared" si="59"/>
        <v>52.292378668316992</v>
      </c>
      <c r="X174" s="153">
        <f t="shared" si="60"/>
        <v>45451</v>
      </c>
      <c r="Y174" s="380">
        <f t="shared" si="61"/>
        <v>51.122082504496504</v>
      </c>
      <c r="Z174" s="380">
        <f t="shared" si="62"/>
        <v>51.776369799912921</v>
      </c>
      <c r="AA174" s="381">
        <f t="shared" si="63"/>
        <v>54.356429225796319</v>
      </c>
      <c r="AB174" s="193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4.7465579741558225E-2</v>
      </c>
      <c r="AD174" s="227">
        <f>(INDEX(Models!$BJ174:$BT174,,AH174)*(1-AF174)+INDEX(Models!$BJ174:$BT174,,AH174+1)*AF174-ERP_i)*AE174*Ramure*Pc/MaxiM</f>
        <v>2.1850532343850883E-6</v>
      </c>
      <c r="AE174" s="301">
        <f t="shared" si="65"/>
        <v>0.5</v>
      </c>
      <c r="AF174" s="173">
        <f t="shared" si="66"/>
        <v>0.23840625678777494</v>
      </c>
      <c r="AG174" s="802">
        <f t="shared" si="74"/>
        <v>1</v>
      </c>
      <c r="AH174" s="172">
        <f t="shared" si="67"/>
        <v>7</v>
      </c>
      <c r="AI174" s="221">
        <f t="shared" si="68"/>
        <v>1.2384062567877749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1"/>
        <v>45452</v>
      </c>
      <c r="B175" s="406">
        <f>'2023'!Wh/'2023'!Env_an*'2024'!Env_an</f>
        <v>64.33740587927835</v>
      </c>
      <c r="C175" s="385"/>
      <c r="D175" s="388">
        <f t="shared" si="50"/>
        <v>65.16172184202722</v>
      </c>
      <c r="E175" s="380">
        <f t="shared" si="75"/>
        <v>66.882438818935611</v>
      </c>
      <c r="F175" s="380">
        <f t="shared" si="51"/>
        <v>66.882577946073681</v>
      </c>
      <c r="G175" s="110">
        <f t="shared" si="76"/>
        <v>1.0253895155984705</v>
      </c>
      <c r="H175" s="409" t="b">
        <f>Wh_hp&gt;='2023'!Maxi_hp</f>
        <v>1</v>
      </c>
      <c r="I175" s="375">
        <f>IF(H175,Wh_hp,'2023'!Maxi_hp)</f>
        <v>66.882577946073681</v>
      </c>
      <c r="J175" s="85">
        <f>IF(H175,An,'2023'!An_max)</f>
        <v>2024</v>
      </c>
      <c r="K175" s="193">
        <f t="shared" si="52"/>
        <v>45452</v>
      </c>
      <c r="L175" s="143">
        <f>IF(t&lt;Tvie,1-EXP((T0-t)*PertePVj)+'2023'!Pspv,1-EXP((T0-t)*PertePVj)+Pspv)</f>
        <v>1.2650309713228225E-2</v>
      </c>
      <c r="M175" s="836"/>
      <c r="N175" s="836"/>
      <c r="O175" s="48">
        <f>IF(t&lt;Tnet,'2023'!Resal+('2023'!Salim-'2023'!Resal)*(1-EXP(('2023'!Tnet-t)/('2023'!Tau_j))),Resal+(Salim-Resal)*(1-EXP((Tnet-t)/(Tau_j))))*Salcycl</f>
        <v>2.5727485529747608E-2</v>
      </c>
      <c r="P175" s="165">
        <f>(INDEX(Models!$BJ175:$BT175,,T175)*(1-R175)+INDEX(Models!$BJ175:$BT175,,T175+1)*R175-ERP_i)*Q175*Ramure*Pc/MaxiM</f>
        <v>2.0801700881387685E-6</v>
      </c>
      <c r="Q175" s="301">
        <f t="shared" si="53"/>
        <v>0.5</v>
      </c>
      <c r="R175" s="173">
        <f t="shared" si="54"/>
        <v>0.24355137309878638</v>
      </c>
      <c r="S175" s="802">
        <f t="shared" si="55"/>
        <v>1</v>
      </c>
      <c r="T175" s="172">
        <f t="shared" si="56"/>
        <v>7</v>
      </c>
      <c r="U175" s="247">
        <f t="shared" si="57"/>
        <v>1.2435513730987864</v>
      </c>
      <c r="V175" s="378">
        <f t="shared" si="58"/>
        <v>62.744357047309684</v>
      </c>
      <c r="W175" s="397">
        <f t="shared" si="59"/>
        <v>64.33740587927835</v>
      </c>
      <c r="X175" s="153">
        <f t="shared" si="60"/>
        <v>45452</v>
      </c>
      <c r="Y175" s="380">
        <f t="shared" si="61"/>
        <v>62.897910018236161</v>
      </c>
      <c r="Z175" s="380">
        <f t="shared" si="62"/>
        <v>63.703782598005084</v>
      </c>
      <c r="AA175" s="381">
        <f t="shared" si="63"/>
        <v>66.882438818935611</v>
      </c>
      <c r="AB175" s="193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4.7526021434950862E-2</v>
      </c>
      <c r="AD175" s="227">
        <f>(INDEX(Models!$BJ175:$BT175,,AH175)*(1-AF175)+INDEX(Models!$BJ175:$BT175,,AH175+1)*AF175-ERP_i)*AE175*Ramure*Pc/MaxiM</f>
        <v>2.0801700881387685E-6</v>
      </c>
      <c r="AE175" s="301">
        <f t="shared" si="65"/>
        <v>0.5</v>
      </c>
      <c r="AF175" s="173">
        <f t="shared" si="66"/>
        <v>0.24355137309878638</v>
      </c>
      <c r="AG175" s="802">
        <f t="shared" si="74"/>
        <v>1</v>
      </c>
      <c r="AH175" s="172">
        <f t="shared" si="67"/>
        <v>7</v>
      </c>
      <c r="AI175" s="221">
        <f t="shared" si="68"/>
        <v>1.2435513730987864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1"/>
        <v>45453</v>
      </c>
      <c r="B176" s="406">
        <f>'2023'!Wh/'2023'!Env_an*'2024'!Env_an</f>
        <v>61.600763109933226</v>
      </c>
      <c r="C176" s="385"/>
      <c r="D176" s="388">
        <f t="shared" si="50"/>
        <v>62.390870215700389</v>
      </c>
      <c r="E176" s="380">
        <f t="shared" si="75"/>
        <v>64.042833980901719</v>
      </c>
      <c r="F176" s="380">
        <f t="shared" si="51"/>
        <v>64.042958025555535</v>
      </c>
      <c r="G176" s="110">
        <f t="shared" si="76"/>
        <v>0.98173147152727591</v>
      </c>
      <c r="H176" s="409" t="b">
        <f>Wh_hp&gt;='2023'!Maxi_hp</f>
        <v>0</v>
      </c>
      <c r="I176" s="375">
        <f>IF(H176,Wh_hp,'2023'!Maxi_hp)</f>
        <v>64.04296071880799</v>
      </c>
      <c r="J176" s="85">
        <f>IF(H176,An,'2023'!An_max)</f>
        <v>2022</v>
      </c>
      <c r="K176" s="193">
        <f t="shared" si="52"/>
        <v>45453</v>
      </c>
      <c r="L176" s="143">
        <f>IF(t&lt;Tvie,1-EXP((T0-t)*PertePVj)+'2023'!Pspv,1-EXP((T0-t)*PertePVj)+Pspv)</f>
        <v>1.2663825701349718E-2</v>
      </c>
      <c r="M176" s="836"/>
      <c r="N176" s="836"/>
      <c r="O176" s="48">
        <f>IF(t&lt;Tnet,'2023'!Resal+('2023'!Salim-'2023'!Resal)*(1-EXP(('2023'!Tnet-t)/('2023'!Tau_j))),Resal+(Salim-Resal)*(1-EXP((Tnet-t)/(Tau_j))))*Salcycl</f>
        <v>2.5794669950020731E-2</v>
      </c>
      <c r="P176" s="165">
        <f>(INDEX(Models!$BJ176:$BT176,,T176)*(1-R176)+INDEX(Models!$BJ176:$BT176,,T176+1)*R176-ERP_i)*Q176*Ramure*Pc/MaxiM</f>
        <v>1.9888010140084945E-6</v>
      </c>
      <c r="Q176" s="301">
        <f t="shared" si="53"/>
        <v>0.5</v>
      </c>
      <c r="R176" s="173">
        <f t="shared" si="54"/>
        <v>0.24869648940979783</v>
      </c>
      <c r="S176" s="802">
        <f t="shared" si="55"/>
        <v>1</v>
      </c>
      <c r="T176" s="172">
        <f t="shared" si="56"/>
        <v>7</v>
      </c>
      <c r="U176" s="247">
        <f t="shared" si="57"/>
        <v>1.2486964894097978</v>
      </c>
      <c r="V176" s="378">
        <f t="shared" si="58"/>
        <v>62.747056297183882</v>
      </c>
      <c r="W176" s="397">
        <f t="shared" si="59"/>
        <v>61.600763109933226</v>
      </c>
      <c r="X176" s="153">
        <f t="shared" si="60"/>
        <v>45453</v>
      </c>
      <c r="Y176" s="380">
        <f t="shared" si="61"/>
        <v>60.222866525488101</v>
      </c>
      <c r="Z176" s="380">
        <f t="shared" si="62"/>
        <v>60.995300378077545</v>
      </c>
      <c r="AA176" s="381">
        <f t="shared" si="63"/>
        <v>64.042833980901719</v>
      </c>
      <c r="AB176" s="193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4.7585864231632621E-2</v>
      </c>
      <c r="AD176" s="227">
        <f>(INDEX(Models!$BJ176:$BT176,,AH176)*(1-AF176)+INDEX(Models!$BJ176:$BT176,,AH176+1)*AF176-ERP_i)*AE176*Ramure*Pc/MaxiM</f>
        <v>1.9888010140084945E-6</v>
      </c>
      <c r="AE176" s="301">
        <f t="shared" si="65"/>
        <v>0.5</v>
      </c>
      <c r="AF176" s="173">
        <f t="shared" si="66"/>
        <v>0.24869648940979783</v>
      </c>
      <c r="AG176" s="802">
        <f t="shared" si="74"/>
        <v>1</v>
      </c>
      <c r="AH176" s="172">
        <f t="shared" si="67"/>
        <v>7</v>
      </c>
      <c r="AI176" s="221">
        <f t="shared" si="68"/>
        <v>1.2486964894097978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1"/>
        <v>45454</v>
      </c>
      <c r="B177" s="406">
        <f>'2023'!Wh/'2023'!Env_an*'2024'!Env_an</f>
        <v>49.673410488910349</v>
      </c>
      <c r="C177" s="385"/>
      <c r="D177" s="388">
        <f t="shared" si="50"/>
        <v>50.311223044957771</v>
      </c>
      <c r="E177" s="380">
        <f t="shared" si="75"/>
        <v>51.646890225951338</v>
      </c>
      <c r="F177" s="380">
        <f t="shared" si="51"/>
        <v>51.646959560143081</v>
      </c>
      <c r="G177" s="110">
        <f t="shared" si="76"/>
        <v>0.79162753147218778</v>
      </c>
      <c r="H177" s="409" t="b">
        <f>Wh_hp&gt;='2023'!Maxi_hp</f>
        <v>0</v>
      </c>
      <c r="I177" s="375">
        <f>IF(H177,Wh_hp,'2023'!Maxi_hp)</f>
        <v>51.646983281304863</v>
      </c>
      <c r="J177" s="85">
        <f>IF(H177,An,'2023'!An_max)</f>
        <v>2022</v>
      </c>
      <c r="K177" s="193">
        <f t="shared" si="52"/>
        <v>45454</v>
      </c>
      <c r="L177" s="143">
        <f>IF(t&lt;Tvie,1-EXP((T0-t)*PertePVj)+'2023'!Pspv,1-EXP((T0-t)*PertePVj)+Pspv)</f>
        <v>1.2677341504448769E-2</v>
      </c>
      <c r="M177" s="836"/>
      <c r="N177" s="836"/>
      <c r="O177" s="48">
        <f>IF(t&lt;Tnet,'2023'!Resal+('2023'!Salim-'2023'!Resal)*(1-EXP(('2023'!Tnet-t)/('2023'!Tau_j))),Resal+(Salim-Resal)*(1-EXP((Tnet-t)/(Tau_j))))*Salcycl</f>
        <v>2.58615218680181E-2</v>
      </c>
      <c r="P177" s="165">
        <f>(INDEX(Models!$BJ177:$BT177,,T177)*(1-R177)+INDEX(Models!$BJ177:$BT177,,T177+1)*R177-ERP_i)*Q177*Ramure*Pc/MaxiM</f>
        <v>1.9114552886170663E-6</v>
      </c>
      <c r="Q177" s="301">
        <f t="shared" si="53"/>
        <v>0.5</v>
      </c>
      <c r="R177" s="173">
        <f t="shared" si="54"/>
        <v>0.25383726405410378</v>
      </c>
      <c r="S177" s="802">
        <f t="shared" si="55"/>
        <v>1</v>
      </c>
      <c r="T177" s="172">
        <f t="shared" si="56"/>
        <v>7</v>
      </c>
      <c r="U177" s="247">
        <f t="shared" si="57"/>
        <v>1.2538372640541038</v>
      </c>
      <c r="V177" s="378">
        <f t="shared" si="58"/>
        <v>62.748426817299581</v>
      </c>
      <c r="W177" s="397">
        <f t="shared" si="59"/>
        <v>49.673410488910349</v>
      </c>
      <c r="X177" s="153">
        <f t="shared" si="60"/>
        <v>45454</v>
      </c>
      <c r="Y177" s="380">
        <f t="shared" si="61"/>
        <v>48.562620178194578</v>
      </c>
      <c r="Z177" s="380">
        <f t="shared" si="62"/>
        <v>49.186170053255587</v>
      </c>
      <c r="AA177" s="381">
        <f t="shared" si="63"/>
        <v>51.646890225951338</v>
      </c>
      <c r="AB177" s="193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4.7645079150560217E-2</v>
      </c>
      <c r="AD177" s="227">
        <f>(INDEX(Models!$BJ177:$BT177,,AH177)*(1-AF177)+INDEX(Models!$BJ177:$BT177,,AH177+1)*AF177-ERP_i)*AE177*Ramure*Pc/MaxiM</f>
        <v>1.9114552886170663E-6</v>
      </c>
      <c r="AE177" s="301">
        <f t="shared" si="65"/>
        <v>0.5</v>
      </c>
      <c r="AF177" s="173">
        <f t="shared" si="66"/>
        <v>0.25383726405410378</v>
      </c>
      <c r="AG177" s="802">
        <f t="shared" si="74"/>
        <v>1</v>
      </c>
      <c r="AH177" s="172">
        <f t="shared" si="67"/>
        <v>7</v>
      </c>
      <c r="AI177" s="221">
        <f t="shared" si="68"/>
        <v>1.2538372640541038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1"/>
        <v>45455</v>
      </c>
      <c r="B178" s="406">
        <f>'2023'!Wh/'2023'!Env_an*'2024'!Env_an</f>
        <v>55.533710283110054</v>
      </c>
      <c r="C178" s="385"/>
      <c r="D178" s="388">
        <f t="shared" si="50"/>
        <v>56.247539773873982</v>
      </c>
      <c r="E178" s="380">
        <f t="shared" si="75"/>
        <v>57.744747024494238</v>
      </c>
      <c r="F178" s="380">
        <f t="shared" si="51"/>
        <v>57.744836382543092</v>
      </c>
      <c r="G178" s="110">
        <f t="shared" si="76"/>
        <v>0.88501598880534704</v>
      </c>
      <c r="H178" s="409" t="b">
        <f>Wh_hp&gt;='2023'!Maxi_hp</f>
        <v>0</v>
      </c>
      <c r="I178" s="375">
        <f>IF(H178,Wh_hp,'2023'!Maxi_hp)</f>
        <v>57.744850509610608</v>
      </c>
      <c r="J178" s="85">
        <f>IF(H178,An,'2023'!An_max)</f>
        <v>2022</v>
      </c>
      <c r="K178" s="193">
        <f t="shared" si="52"/>
        <v>45455</v>
      </c>
      <c r="L178" s="143">
        <f>IF(t&lt;Tvie,1-EXP((T0-t)*PertePVj)+'2023'!Pspv,1-EXP((T0-t)*PertePVj)+Pspv)</f>
        <v>1.269085712252771E-2</v>
      </c>
      <c r="M178" s="836"/>
      <c r="N178" s="836"/>
      <c r="O178" s="48">
        <f>IF(t&lt;Tnet,'2023'!Resal+('2023'!Salim-'2023'!Resal)*(1-EXP(('2023'!Tnet-t)/('2023'!Tau_j))),Resal+(Salim-Resal)*(1-EXP((Tnet-t)/(Tau_j))))*Salcycl</f>
        <v>2.5928025106511664E-2</v>
      </c>
      <c r="P178" s="165">
        <f>(INDEX(Models!$BJ178:$BT178,,T178)*(1-R178)+INDEX(Models!$BJ178:$BT178,,T178+1)*R178-ERP_i)*Q178*Ramure*Pc/MaxiM</f>
        <v>1.8516147283530567E-6</v>
      </c>
      <c r="Q178" s="301">
        <f t="shared" si="53"/>
        <v>0.5</v>
      </c>
      <c r="R178" s="173">
        <f t="shared" si="54"/>
        <v>0.2589693700073703</v>
      </c>
      <c r="S178" s="802">
        <f t="shared" si="55"/>
        <v>1</v>
      </c>
      <c r="T178" s="172">
        <f t="shared" si="56"/>
        <v>7</v>
      </c>
      <c r="U178" s="247">
        <f t="shared" si="57"/>
        <v>1.2589693700073703</v>
      </c>
      <c r="V178" s="378">
        <f t="shared" si="58"/>
        <v>62.748802388781868</v>
      </c>
      <c r="W178" s="397">
        <f t="shared" si="59"/>
        <v>55.533710283110054</v>
      </c>
      <c r="X178" s="153">
        <f t="shared" si="60"/>
        <v>45455</v>
      </c>
      <c r="Y178" s="380">
        <f t="shared" si="61"/>
        <v>54.29224079628348</v>
      </c>
      <c r="Z178" s="380">
        <f t="shared" si="62"/>
        <v>54.990112456622207</v>
      </c>
      <c r="AA178" s="381">
        <f t="shared" si="63"/>
        <v>57.744747024494238</v>
      </c>
      <c r="AB178" s="193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4.7703639028907049E-2</v>
      </c>
      <c r="AD178" s="227">
        <f>(INDEX(Models!$BJ178:$BT178,,AH178)*(1-AF178)+INDEX(Models!$BJ178:$BT178,,AH178+1)*AF178-ERP_i)*AE178*Ramure*Pc/MaxiM</f>
        <v>1.8516147283530567E-6</v>
      </c>
      <c r="AE178" s="301">
        <f t="shared" si="65"/>
        <v>0.5</v>
      </c>
      <c r="AF178" s="173">
        <f t="shared" si="66"/>
        <v>0.2589693700073703</v>
      </c>
      <c r="AG178" s="802">
        <f t="shared" si="74"/>
        <v>1</v>
      </c>
      <c r="AH178" s="172">
        <f t="shared" si="67"/>
        <v>7</v>
      </c>
      <c r="AI178" s="221">
        <f t="shared" si="68"/>
        <v>1.2589693700073703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45456</v>
      </c>
      <c r="B179" s="406">
        <f>'2023'!Wh/'2023'!Env_an*'2024'!Env_an</f>
        <v>56.454367123296073</v>
      </c>
      <c r="C179" s="385"/>
      <c r="D179" s="388">
        <f t="shared" si="50"/>
        <v>57.180813480787663</v>
      </c>
      <c r="E179" s="380">
        <f t="shared" si="75"/>
        <v>58.70684896786188</v>
      </c>
      <c r="F179" s="380">
        <f t="shared" si="51"/>
        <v>58.706939465393212</v>
      </c>
      <c r="G179" s="110">
        <f t="shared" si="76"/>
        <v>0.89970451195332246</v>
      </c>
      <c r="H179" s="409" t="b">
        <f>Wh_hp&gt;='2023'!Maxi_hp</f>
        <v>0</v>
      </c>
      <c r="I179" s="375">
        <f>IF(H179,Wh_hp,'2023'!Maxi_hp)</f>
        <v>58.706951596633296</v>
      </c>
      <c r="J179" s="85">
        <f>IF(H179,An,'2023'!An_max)</f>
        <v>2022</v>
      </c>
      <c r="K179" s="193">
        <f t="shared" si="52"/>
        <v>45456</v>
      </c>
      <c r="L179" s="143">
        <f>IF(t&lt;Tvie,1-EXP((T0-t)*PertePVj)+'2023'!Pspv,1-EXP((T0-t)*PertePVj)+Pspv)</f>
        <v>1.2704372555589316E-2</v>
      </c>
      <c r="M179" s="836"/>
      <c r="N179" s="836"/>
      <c r="O179" s="48">
        <f>IF(t&lt;Tnet,'2023'!Resal+('2023'!Salim-'2023'!Resal)*(1-EXP(('2023'!Tnet-t)/('2023'!Tau_j))),Resal+(Salim-Resal)*(1-EXP((Tnet-t)/(Tau_j))))*Salcycl</f>
        <v>2.5994164461281506E-2</v>
      </c>
      <c r="P179" s="165">
        <f>(INDEX(Models!$BJ179:$BT179,,T179)*(1-R179)+INDEX(Models!$BJ179:$BT179,,T179+1)*R179-ERP_i)*Q179*Ramure*Pc/MaxiM</f>
        <v>1.7993176823475163E-6</v>
      </c>
      <c r="Q179" s="301">
        <f t="shared" si="53"/>
        <v>0.5</v>
      </c>
      <c r="R179" s="173">
        <f t="shared" si="54"/>
        <v>0.26408850942519635</v>
      </c>
      <c r="S179" s="802">
        <f t="shared" si="55"/>
        <v>1</v>
      </c>
      <c r="T179" s="172">
        <f t="shared" si="56"/>
        <v>7</v>
      </c>
      <c r="U179" s="247">
        <f t="shared" si="57"/>
        <v>1.2640885094251963</v>
      </c>
      <c r="V179" s="378">
        <f t="shared" si="58"/>
        <v>62.747659724999252</v>
      </c>
      <c r="W179" s="397">
        <f t="shared" si="59"/>
        <v>56.454367123296073</v>
      </c>
      <c r="X179" s="153">
        <f t="shared" si="60"/>
        <v>45456</v>
      </c>
      <c r="Y179" s="380">
        <f t="shared" si="61"/>
        <v>55.192709175864934</v>
      </c>
      <c r="Z179" s="380">
        <f t="shared" si="62"/>
        <v>55.902920707478309</v>
      </c>
      <c r="AA179" s="381">
        <f t="shared" si="63"/>
        <v>58.70684896786188</v>
      </c>
      <c r="AB179" s="193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4.7761518624829268E-2</v>
      </c>
      <c r="AD179" s="227">
        <f>(INDEX(Models!$BJ179:$BT179,,AH179)*(1-AF179)+INDEX(Models!$BJ179:$BT179,,AH179+1)*AF179-ERP_i)*AE179*Ramure*Pc/MaxiM</f>
        <v>1.7993176823475163E-6</v>
      </c>
      <c r="AE179" s="301">
        <f t="shared" si="65"/>
        <v>0.5</v>
      </c>
      <c r="AF179" s="173">
        <f t="shared" si="66"/>
        <v>0.26408850942519635</v>
      </c>
      <c r="AG179" s="802">
        <f t="shared" si="74"/>
        <v>1</v>
      </c>
      <c r="AH179" s="172">
        <f t="shared" si="67"/>
        <v>7</v>
      </c>
      <c r="AI179" s="221">
        <f t="shared" si="68"/>
        <v>1.2640885094251963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45457</v>
      </c>
      <c r="B180" s="406">
        <f>'2023'!Wh/'2023'!Env_an*'2024'!Env_an</f>
        <v>59.88598175213334</v>
      </c>
      <c r="C180" s="385"/>
      <c r="D180" s="388">
        <f t="shared" si="50"/>
        <v>60.657415962806787</v>
      </c>
      <c r="E180" s="380">
        <f t="shared" si="75"/>
        <v>62.280439594897459</v>
      </c>
      <c r="F180" s="380">
        <f t="shared" si="51"/>
        <v>62.280541773737475</v>
      </c>
      <c r="G180" s="110">
        <f t="shared" si="76"/>
        <v>0.95444220252321177</v>
      </c>
      <c r="H180" s="409" t="b">
        <f>Wh_hp&gt;='2023'!Maxi_hp</f>
        <v>0</v>
      </c>
      <c r="I180" s="375">
        <f>IF(H180,Wh_hp,'2023'!Maxi_hp)</f>
        <v>62.280547455261207</v>
      </c>
      <c r="J180" s="85">
        <f>IF(H180,An,'2023'!An_max)</f>
        <v>2022</v>
      </c>
      <c r="K180" s="193">
        <f t="shared" si="52"/>
        <v>45457</v>
      </c>
      <c r="L180" s="143">
        <f>IF(t&lt;Tvie,1-EXP((T0-t)*PertePVj)+'2023'!Pspv,1-EXP((T0-t)*PertePVj)+Pspv)</f>
        <v>1.2717887803635919E-2</v>
      </c>
      <c r="M180" s="836"/>
      <c r="N180" s="836"/>
      <c r="O180" s="48">
        <f>IF(t&lt;Tnet,'2023'!Resal+('2023'!Salim-'2023'!Resal)*(1-EXP(('2023'!Tnet-t)/('2023'!Tau_j))),Resal+(Salim-Resal)*(1-EXP((Tnet-t)/(Tau_j))))*Salcycl</f>
        <v>2.6059925759156673E-2</v>
      </c>
      <c r="P180" s="165">
        <f>(INDEX(Models!$BJ180:$BT180,,T180)*(1-R180)+INDEX(Models!$BJ180:$BT180,,T180+1)*R180-ERP_i)*Q180*Ramure*Pc/MaxiM</f>
        <v>1.7548308322275882E-6</v>
      </c>
      <c r="Q180" s="301">
        <f t="shared" si="53"/>
        <v>0.5</v>
      </c>
      <c r="R180" s="173">
        <f t="shared" si="54"/>
        <v>0.26919042797233628</v>
      </c>
      <c r="S180" s="802">
        <f t="shared" si="55"/>
        <v>1</v>
      </c>
      <c r="T180" s="172">
        <f t="shared" si="56"/>
        <v>7</v>
      </c>
      <c r="U180" s="247">
        <f t="shared" si="57"/>
        <v>1.2691904279723363</v>
      </c>
      <c r="V180" s="378">
        <f t="shared" si="58"/>
        <v>62.744474997342934</v>
      </c>
      <c r="W180" s="397">
        <f t="shared" si="59"/>
        <v>59.88598175213334</v>
      </c>
      <c r="X180" s="153">
        <f t="shared" si="60"/>
        <v>45457</v>
      </c>
      <c r="Y180" s="380">
        <f t="shared" si="61"/>
        <v>58.548070647714276</v>
      </c>
      <c r="Z180" s="380">
        <f t="shared" si="62"/>
        <v>59.302270267476942</v>
      </c>
      <c r="AA180" s="381">
        <f t="shared" si="63"/>
        <v>62.280439594897459</v>
      </c>
      <c r="AB180" s="193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4.7818694710441853E-2</v>
      </c>
      <c r="AD180" s="227">
        <f>(INDEX(Models!$BJ180:$BT180,,AH180)*(1-AF180)+INDEX(Models!$BJ180:$BT180,,AH180+1)*AF180-ERP_i)*AE180*Ramure*Pc/MaxiM</f>
        <v>1.7548308322275882E-6</v>
      </c>
      <c r="AE180" s="301">
        <f t="shared" si="65"/>
        <v>0.5</v>
      </c>
      <c r="AF180" s="173">
        <f t="shared" si="66"/>
        <v>0.26919042797233628</v>
      </c>
      <c r="AG180" s="802">
        <f t="shared" si="74"/>
        <v>1</v>
      </c>
      <c r="AH180" s="172">
        <f t="shared" si="67"/>
        <v>7</v>
      </c>
      <c r="AI180" s="221">
        <f t="shared" si="68"/>
        <v>1.2691904279723363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45458</v>
      </c>
      <c r="B181" s="406">
        <f>'2023'!Wh/'2023'!Env_an*'2024'!Env_an</f>
        <v>56.748275258751974</v>
      </c>
      <c r="C181" s="385"/>
      <c r="D181" s="388">
        <f t="shared" si="50"/>
        <v>57.480077279403389</v>
      </c>
      <c r="E181" s="380">
        <f t="shared" si="75"/>
        <v>59.022045688263212</v>
      </c>
      <c r="F181" s="380">
        <f t="shared" si="51"/>
        <v>59.022133278264775</v>
      </c>
      <c r="G181" s="110">
        <f t="shared" si="76"/>
        <v>0.90451730458932578</v>
      </c>
      <c r="H181" s="409" t="b">
        <f>Wh_hp&gt;='2023'!Maxi_hp</f>
        <v>0</v>
      </c>
      <c r="I181" s="375">
        <f>IF(H181,Wh_hp,'2023'!Maxi_hp)</f>
        <v>59.022144290710564</v>
      </c>
      <c r="J181" s="85">
        <f>IF(H181,An,'2023'!An_max)</f>
        <v>2022</v>
      </c>
      <c r="K181" s="193">
        <f t="shared" si="52"/>
        <v>45458</v>
      </c>
      <c r="L181" s="143">
        <f>IF(t&lt;Tvie,1-EXP((T0-t)*PertePVj)+'2023'!Pspv,1-EXP((T0-t)*PertePVj)+Pspv)</f>
        <v>1.2731402866670072E-2</v>
      </c>
      <c r="M181" s="836"/>
      <c r="N181" s="836"/>
      <c r="O181" s="48">
        <f>IF(t&lt;Tnet,'2023'!Resal+('2023'!Salim-'2023'!Resal)*(1-EXP(('2023'!Tnet-t)/('2023'!Tau_j))),Resal+(Salim-Resal)*(1-EXP((Tnet-t)/(Tau_j))))*Salcycl</f>
        <v>2.6125295910684587E-2</v>
      </c>
      <c r="P181" s="165">
        <f>(INDEX(Models!$BJ181:$BT181,,T181)*(1-R181)+INDEX(Models!$BJ181:$BT181,,T181+1)*R181-ERP_i)*Q181*Ramure*Pc/MaxiM</f>
        <v>1.718417876962608E-6</v>
      </c>
      <c r="Q181" s="301">
        <f t="shared" si="53"/>
        <v>0.5</v>
      </c>
      <c r="R181" s="173">
        <f t="shared" si="54"/>
        <v>0.27427092884260817</v>
      </c>
      <c r="S181" s="802">
        <f t="shared" si="55"/>
        <v>1</v>
      </c>
      <c r="T181" s="172">
        <f t="shared" si="56"/>
        <v>7</v>
      </c>
      <c r="U181" s="247">
        <f t="shared" si="57"/>
        <v>1.2742709288426082</v>
      </c>
      <c r="V181" s="378">
        <f t="shared" si="58"/>
        <v>62.738724476695829</v>
      </c>
      <c r="W181" s="397">
        <f t="shared" si="59"/>
        <v>56.748275258751974</v>
      </c>
      <c r="X181" s="153">
        <f t="shared" si="60"/>
        <v>45458</v>
      </c>
      <c r="Y181" s="380">
        <f t="shared" si="61"/>
        <v>55.480898168784591</v>
      </c>
      <c r="Z181" s="380">
        <f t="shared" si="62"/>
        <v>56.196356624611582</v>
      </c>
      <c r="AA181" s="381">
        <f t="shared" si="63"/>
        <v>59.022045688263212</v>
      </c>
      <c r="AB181" s="193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4.7875146154304292E-2</v>
      </c>
      <c r="AD181" s="227">
        <f>(INDEX(Models!$BJ181:$BT181,,AH181)*(1-AF181)+INDEX(Models!$BJ181:$BT181,,AH181+1)*AF181-ERP_i)*AE181*Ramure*Pc/MaxiM</f>
        <v>1.718417876962608E-6</v>
      </c>
      <c r="AE181" s="301">
        <f t="shared" si="65"/>
        <v>0.5</v>
      </c>
      <c r="AF181" s="173">
        <f t="shared" si="66"/>
        <v>0.27427092884260817</v>
      </c>
      <c r="AG181" s="802">
        <f t="shared" si="74"/>
        <v>1</v>
      </c>
      <c r="AH181" s="172">
        <f t="shared" si="67"/>
        <v>7</v>
      </c>
      <c r="AI181" s="221">
        <f t="shared" si="68"/>
        <v>1.2742709288426082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45459</v>
      </c>
      <c r="B182" s="406">
        <f>'2023'!Wh/'2023'!Env_an*'2024'!Env_an</f>
        <v>56.914810332647804</v>
      </c>
      <c r="C182" s="385"/>
      <c r="D182" s="388">
        <f t="shared" si="50"/>
        <v>57.649549093867876</v>
      </c>
      <c r="E182" s="380">
        <f t="shared" si="75"/>
        <v>59.200013001435117</v>
      </c>
      <c r="F182" s="380">
        <f t="shared" si="51"/>
        <v>59.200099817771395</v>
      </c>
      <c r="G182" s="110">
        <f t="shared" si="76"/>
        <v>0.90729957539968487</v>
      </c>
      <c r="H182" s="409" t="b">
        <f>Wh_hp&gt;='2023'!Maxi_hp</f>
        <v>0</v>
      </c>
      <c r="I182" s="375">
        <f>IF(H182,Wh_hp,'2023'!Maxi_hp)</f>
        <v>59.20011033031976</v>
      </c>
      <c r="J182" s="85">
        <f>IF(H182,An,'2023'!An_max)</f>
        <v>2022</v>
      </c>
      <c r="K182" s="193">
        <f t="shared" si="52"/>
        <v>45459</v>
      </c>
      <c r="L182" s="143">
        <f>IF(t&lt;Tvie,1-EXP((T0-t)*PertePVj)+'2023'!Pspv,1-EXP((T0-t)*PertePVj)+Pspv)</f>
        <v>1.2744917744694439E-2</v>
      </c>
      <c r="M182" s="836"/>
      <c r="N182" s="836"/>
      <c r="O182" s="48">
        <f>IF(t&lt;Tnet,'2023'!Resal+('2023'!Salim-'2023'!Resal)*(1-EXP(('2023'!Tnet-t)/('2023'!Tau_j))),Resal+(Salim-Resal)*(1-EXP((Tnet-t)/(Tau_j))))*Salcycl</f>
        <v>2.6190262957031012E-2</v>
      </c>
      <c r="P182" s="165">
        <f>(INDEX(Models!$BJ182:$BT182,,T182)*(1-R182)+INDEX(Models!$BJ182:$BT182,,T182+1)*R182-ERP_i)*Q182*Ramure*Pc/MaxiM</f>
        <v>1.690339470466316E-6</v>
      </c>
      <c r="Q182" s="301">
        <f t="shared" si="53"/>
        <v>0.5</v>
      </c>
      <c r="R182" s="173">
        <f t="shared" si="54"/>
        <v>0.27932588637226807</v>
      </c>
      <c r="S182" s="802">
        <f t="shared" si="55"/>
        <v>1</v>
      </c>
      <c r="T182" s="172">
        <f t="shared" si="56"/>
        <v>7</v>
      </c>
      <c r="U182" s="247">
        <f t="shared" si="57"/>
        <v>1.2793258863722681</v>
      </c>
      <c r="V182" s="378">
        <f t="shared" si="58"/>
        <v>62.729884522638912</v>
      </c>
      <c r="W182" s="397">
        <f t="shared" si="59"/>
        <v>56.914810332647804</v>
      </c>
      <c r="X182" s="153">
        <f t="shared" si="60"/>
        <v>45459</v>
      </c>
      <c r="Y182" s="380">
        <f t="shared" si="61"/>
        <v>55.644170321307243</v>
      </c>
      <c r="Z182" s="380">
        <f t="shared" si="62"/>
        <v>56.362505821892121</v>
      </c>
      <c r="AA182" s="381">
        <f t="shared" si="63"/>
        <v>59.200013001435117</v>
      </c>
      <c r="AB182" s="193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4.7930853992788902E-2</v>
      </c>
      <c r="AD182" s="227">
        <f>(INDEX(Models!$BJ182:$BT182,,AH182)*(1-AF182)+INDEX(Models!$BJ182:$BT182,,AH182+1)*AF182-ERP_i)*AE182*Ramure*Pc/MaxiM</f>
        <v>1.690339470466316E-6</v>
      </c>
      <c r="AE182" s="301">
        <f t="shared" si="65"/>
        <v>0.5</v>
      </c>
      <c r="AF182" s="173">
        <f t="shared" si="66"/>
        <v>0.27932588637226807</v>
      </c>
      <c r="AG182" s="802">
        <f t="shared" si="74"/>
        <v>1</v>
      </c>
      <c r="AH182" s="172">
        <f t="shared" si="67"/>
        <v>7</v>
      </c>
      <c r="AI182" s="221">
        <f t="shared" si="68"/>
        <v>1.2793258863722681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45460</v>
      </c>
      <c r="B183" s="406">
        <f>'2023'!Wh/'2023'!Env_an*'2024'!Env_an</f>
        <v>60.602784955609138</v>
      </c>
      <c r="C183" s="385"/>
      <c r="D183" s="388">
        <f t="shared" si="50"/>
        <v>61.385973754377495</v>
      </c>
      <c r="E183" s="380">
        <f t="shared" si="75"/>
        <v>63.041106410606382</v>
      </c>
      <c r="F183" s="380">
        <f t="shared" si="51"/>
        <v>63.041206669633112</v>
      </c>
      <c r="G183" s="110">
        <f t="shared" si="76"/>
        <v>0.96628287463329021</v>
      </c>
      <c r="H183" s="409" t="b">
        <f>Wh_hp&gt;='2023'!Maxi_hp</f>
        <v>0</v>
      </c>
      <c r="I183" s="375">
        <f>IF(H183,Wh_hp,'2023'!Maxi_hp)</f>
        <v>63.041210680811361</v>
      </c>
      <c r="J183" s="85">
        <f>IF(H183,An,'2023'!An_max)</f>
        <v>2022</v>
      </c>
      <c r="K183" s="193">
        <f t="shared" si="52"/>
        <v>45460</v>
      </c>
      <c r="L183" s="143">
        <f>IF(t&lt;Tvie,1-EXP((T0-t)*PertePVj)+'2023'!Pspv,1-EXP((T0-t)*PertePVj)+Pspv)</f>
        <v>1.2758432437711464E-2</v>
      </c>
      <c r="M183" s="836"/>
      <c r="N183" s="836"/>
      <c r="O183" s="48">
        <f>IF(t&lt;Tnet,'2023'!Resal+('2023'!Salim-'2023'!Resal)*(1-EXP(('2023'!Tnet-t)/('2023'!Tau_j))),Resal+(Salim-Resal)*(1-EXP((Tnet-t)/(Tau_j))))*Salcycl</f>
        <v>2.6254816110753074E-2</v>
      </c>
      <c r="P183" s="165">
        <f>(INDEX(Models!$BJ183:$BT183,,T183)*(1-R183)+INDEX(Models!$BJ183:$BT183,,T183+1)*R183-ERP_i)*Q183*Ramure*Pc/MaxiM</f>
        <v>1.6708532413008876E-6</v>
      </c>
      <c r="Q183" s="301">
        <f t="shared" si="53"/>
        <v>0.5</v>
      </c>
      <c r="R183" s="173">
        <f t="shared" si="54"/>
        <v>0.28435125915453985</v>
      </c>
      <c r="S183" s="802">
        <f t="shared" si="55"/>
        <v>1</v>
      </c>
      <c r="T183" s="172">
        <f t="shared" si="56"/>
        <v>7</v>
      </c>
      <c r="U183" s="247">
        <f t="shared" si="57"/>
        <v>1.2843512591545398</v>
      </c>
      <c r="V183" s="378">
        <f t="shared" si="58"/>
        <v>62.7174315815829</v>
      </c>
      <c r="W183" s="397">
        <f t="shared" si="59"/>
        <v>60.602784955609138</v>
      </c>
      <c r="X183" s="153">
        <f t="shared" si="60"/>
        <v>45460</v>
      </c>
      <c r="Y183" s="380">
        <f t="shared" si="61"/>
        <v>59.250317949262644</v>
      </c>
      <c r="Z183" s="380">
        <f t="shared" si="62"/>
        <v>60.016028392690558</v>
      </c>
      <c r="AA183" s="381">
        <f t="shared" si="63"/>
        <v>63.041106410606382</v>
      </c>
      <c r="AB183" s="193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4.7985801489785866E-2</v>
      </c>
      <c r="AD183" s="227">
        <f>(INDEX(Models!$BJ183:$BT183,,AH183)*(1-AF183)+INDEX(Models!$BJ183:$BT183,,AH183+1)*AF183-ERP_i)*AE183*Ramure*Pc/MaxiM</f>
        <v>1.6708532413008876E-6</v>
      </c>
      <c r="AE183" s="301">
        <f t="shared" si="65"/>
        <v>0.5</v>
      </c>
      <c r="AF183" s="173">
        <f t="shared" si="66"/>
        <v>0.28435125915453985</v>
      </c>
      <c r="AG183" s="802">
        <f t="shared" si="74"/>
        <v>1</v>
      </c>
      <c r="AH183" s="172">
        <f t="shared" si="67"/>
        <v>7</v>
      </c>
      <c r="AI183" s="221">
        <f t="shared" si="68"/>
        <v>1.2843512591545398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45461</v>
      </c>
      <c r="B184" s="406">
        <f>'2023'!Wh/'2023'!Env_an*'2024'!Env_an</f>
        <v>61.088247642228232</v>
      </c>
      <c r="C184" s="385"/>
      <c r="D184" s="388">
        <f t="shared" si="50"/>
        <v>61.878557293053028</v>
      </c>
      <c r="E184" s="380">
        <f t="shared" si="75"/>
        <v>63.551156742252587</v>
      </c>
      <c r="F184" s="380">
        <f t="shared" si="51"/>
        <v>63.551258565286787</v>
      </c>
      <c r="G184" s="110">
        <f t="shared" si="76"/>
        <v>0.97428107776416062</v>
      </c>
      <c r="H184" s="409" t="b">
        <f>Wh_hp&gt;='2023'!Maxi_hp</f>
        <v>0</v>
      </c>
      <c r="I184" s="375">
        <f>IF(H184,Wh_hp,'2023'!Maxi_hp)</f>
        <v>63.551261625570454</v>
      </c>
      <c r="J184" s="85">
        <f>IF(H184,An,'2023'!An_max)</f>
        <v>2022</v>
      </c>
      <c r="K184" s="193">
        <f t="shared" si="52"/>
        <v>45461</v>
      </c>
      <c r="L184" s="143">
        <f>IF(t&lt;Tvie,1-EXP((T0-t)*PertePVj)+'2023'!Pspv,1-EXP((T0-t)*PertePVj)+Pspv)</f>
        <v>1.27719469457237E-2</v>
      </c>
      <c r="M184" s="836"/>
      <c r="N184" s="836"/>
      <c r="O184" s="48">
        <f>IF(t&lt;Tnet,'2023'!Resal+('2023'!Salim-'2023'!Resal)*(1-EXP(('2023'!Tnet-t)/('2023'!Tau_j))),Resal+(Salim-Resal)*(1-EXP((Tnet-t)/(Tau_j))))*Salcycl</f>
        <v>2.6318945790132553E-2</v>
      </c>
      <c r="P184" s="165">
        <f>(INDEX(Models!$BJ184:$BT184,,T184)*(1-R184)+INDEX(Models!$BJ184:$BT184,,T184+1)*R184-ERP_i)*Q184*Ramure*Pc/MaxiM</f>
        <v>1.66333186677732E-6</v>
      </c>
      <c r="Q184" s="301">
        <f t="shared" si="53"/>
        <v>0.5</v>
      </c>
      <c r="R184" s="173">
        <f t="shared" si="54"/>
        <v>0.28934310256895235</v>
      </c>
      <c r="S184" s="802">
        <f t="shared" si="55"/>
        <v>1</v>
      </c>
      <c r="T184" s="172">
        <f t="shared" si="56"/>
        <v>7</v>
      </c>
      <c r="U184" s="247">
        <f t="shared" si="57"/>
        <v>1.2893431025689523</v>
      </c>
      <c r="V184" s="378">
        <f t="shared" si="58"/>
        <v>62.700841988159674</v>
      </c>
      <c r="W184" s="397">
        <f t="shared" si="59"/>
        <v>61.088247642228232</v>
      </c>
      <c r="X184" s="153">
        <f t="shared" si="60"/>
        <v>45461</v>
      </c>
      <c r="Y184" s="380">
        <f t="shared" si="61"/>
        <v>59.725481512756218</v>
      </c>
      <c r="Z184" s="380">
        <f t="shared" si="62"/>
        <v>60.498160812973374</v>
      </c>
      <c r="AA184" s="381">
        <f t="shared" si="63"/>
        <v>63.551156742252587</v>
      </c>
      <c r="AB184" s="193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4.8039974184284212E-2</v>
      </c>
      <c r="AD184" s="227">
        <f>(INDEX(Models!$BJ184:$BT184,,AH184)*(1-AF184)+INDEX(Models!$BJ184:$BT184,,AH184+1)*AF184-ERP_i)*AE184*Ramure*Pc/MaxiM</f>
        <v>1.66333186677732E-6</v>
      </c>
      <c r="AE184" s="301">
        <f t="shared" si="65"/>
        <v>0.5</v>
      </c>
      <c r="AF184" s="173">
        <f t="shared" si="66"/>
        <v>0.28934310256895235</v>
      </c>
      <c r="AG184" s="802">
        <f t="shared" si="74"/>
        <v>1</v>
      </c>
      <c r="AH184" s="172">
        <f t="shared" si="67"/>
        <v>7</v>
      </c>
      <c r="AI184" s="221">
        <f t="shared" si="68"/>
        <v>1.2893431025689523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45462</v>
      </c>
      <c r="B185" s="406">
        <f>'2023'!Wh/'2023'!Env_an*'2024'!Env_an</f>
        <v>33.032284131439525</v>
      </c>
      <c r="C185" s="385"/>
      <c r="D185" s="388">
        <f t="shared" si="50"/>
        <v>33.460086774949104</v>
      </c>
      <c r="E185" s="380">
        <f t="shared" si="75"/>
        <v>34.366773103016563</v>
      </c>
      <c r="F185" s="380">
        <f t="shared" si="51"/>
        <v>34.366791621455015</v>
      </c>
      <c r="G185" s="110">
        <f t="shared" si="76"/>
        <v>0.52700162199337197</v>
      </c>
      <c r="H185" s="409" t="b">
        <f>Wh_hp&gt;='2023'!Maxi_hp</f>
        <v>0</v>
      </c>
      <c r="I185" s="375">
        <f>IF(H185,Wh_hp,'2023'!Maxi_hp)</f>
        <v>34.366821926226663</v>
      </c>
      <c r="J185" s="85">
        <f>IF(H185,An,'2023'!An_max)</f>
        <v>2022</v>
      </c>
      <c r="K185" s="193">
        <f t="shared" si="52"/>
        <v>45462</v>
      </c>
      <c r="L185" s="143">
        <f>IF(t&lt;Tvie,1-EXP((T0-t)*PertePVj)+'2023'!Pspv,1-EXP((T0-t)*PertePVj)+Pspv)</f>
        <v>1.27854612687337E-2</v>
      </c>
      <c r="M185" s="836"/>
      <c r="N185" s="836"/>
      <c r="O185" s="48">
        <f>IF(t&lt;Tnet,'2023'!Resal+('2023'!Salim-'2023'!Resal)*(1-EXP(('2023'!Tnet-t)/('2023'!Tau_j))),Resal+(Salim-Resal)*(1-EXP((Tnet-t)/(Tau_j))))*Salcycl</f>
        <v>2.6382643646804066E-2</v>
      </c>
      <c r="P185" s="165">
        <f>(INDEX(Models!$BJ185:$BT185,,T185)*(1-R185)+INDEX(Models!$BJ185:$BT185,,T185+1)*R185-ERP_i)*Q185*Ramure*Pc/MaxiM</f>
        <v>1.6616261579095266E-6</v>
      </c>
      <c r="Q185" s="301">
        <f t="shared" si="53"/>
        <v>0.5</v>
      </c>
      <c r="R185" s="173">
        <f t="shared" si="54"/>
        <v>0.29429758064603462</v>
      </c>
      <c r="S185" s="802">
        <f t="shared" si="55"/>
        <v>1</v>
      </c>
      <c r="T185" s="172">
        <f t="shared" si="56"/>
        <v>7</v>
      </c>
      <c r="U185" s="247">
        <f t="shared" si="57"/>
        <v>1.2942975806460346</v>
      </c>
      <c r="V185" s="378">
        <f t="shared" si="58"/>
        <v>62.679592746814869</v>
      </c>
      <c r="W185" s="397">
        <f t="shared" si="59"/>
        <v>33.032284131439525</v>
      </c>
      <c r="X185" s="153">
        <f t="shared" si="60"/>
        <v>45462</v>
      </c>
      <c r="Y185" s="380">
        <f t="shared" si="61"/>
        <v>32.295696452374528</v>
      </c>
      <c r="Z185" s="380">
        <f t="shared" si="62"/>
        <v>32.713959514696604</v>
      </c>
      <c r="AA185" s="381">
        <f t="shared" si="63"/>
        <v>34.366773103016563</v>
      </c>
      <c r="AB185" s="193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4.8093359925459045E-2</v>
      </c>
      <c r="AD185" s="227">
        <f>(INDEX(Models!$BJ185:$BT185,,AH185)*(1-AF185)+INDEX(Models!$BJ185:$BT185,,AH185+1)*AF185-ERP_i)*AE185*Ramure*Pc/MaxiM</f>
        <v>1.6616261579095266E-6</v>
      </c>
      <c r="AE185" s="301">
        <f t="shared" si="65"/>
        <v>0.5</v>
      </c>
      <c r="AF185" s="173">
        <f t="shared" si="66"/>
        <v>0.29429758064603462</v>
      </c>
      <c r="AG185" s="802">
        <f t="shared" si="74"/>
        <v>1</v>
      </c>
      <c r="AH185" s="172">
        <f t="shared" si="67"/>
        <v>7</v>
      </c>
      <c r="AI185" s="221">
        <f t="shared" si="68"/>
        <v>1.2942975806460346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45463</v>
      </c>
      <c r="B186" s="406">
        <f>'2023'!Wh/'2023'!Env_an*'2024'!Env_an</f>
        <v>22.228359270034439</v>
      </c>
      <c r="C186" s="385"/>
      <c r="D186" s="388">
        <f t="shared" si="50"/>
        <v>22.516548014314417</v>
      </c>
      <c r="E186" s="380">
        <f t="shared" si="75"/>
        <v>23.128193979291595</v>
      </c>
      <c r="F186" s="380">
        <f t="shared" si="51"/>
        <v>23.128196994730679</v>
      </c>
      <c r="G186" s="110">
        <f t="shared" si="76"/>
        <v>0.35478378019130996</v>
      </c>
      <c r="H186" s="409" t="b">
        <f>Wh_hp&gt;='2023'!Maxi_hp</f>
        <v>0</v>
      </c>
      <c r="I186" s="375">
        <f>IF(H186,Wh_hp,'2023'!Maxi_hp)</f>
        <v>23.128224796765007</v>
      </c>
      <c r="J186" s="85">
        <f>IF(H186,An,'2023'!An_max)</f>
        <v>2022</v>
      </c>
      <c r="K186" s="193">
        <f t="shared" si="52"/>
        <v>45463</v>
      </c>
      <c r="L186" s="143">
        <f>IF(t&lt;Tvie,1-EXP((T0-t)*PertePVj)+'2023'!Pspv,1-EXP((T0-t)*PertePVj)+Pspv)</f>
        <v>1.2798975406743907E-2</v>
      </c>
      <c r="M186" s="836"/>
      <c r="N186" s="836"/>
      <c r="O186" s="48">
        <f>IF(t&lt;Tnet,'2023'!Resal+('2023'!Salim-'2023'!Resal)*(1-EXP(('2023'!Tnet-t)/('2023'!Tau_j))),Resal+(Salim-Resal)*(1-EXP((Tnet-t)/(Tau_j))))*Salcycl</f>
        <v>2.6445902586463482E-2</v>
      </c>
      <c r="P186" s="165">
        <f>(INDEX(Models!$BJ186:$BT186,,T186)*(1-R186)+INDEX(Models!$BJ186:$BT186,,T186+1)*R186-ERP_i)*Q186*Ramure*Pc/MaxiM</f>
        <v>1.6659060549448148E-6</v>
      </c>
      <c r="Q186" s="301">
        <f t="shared" si="53"/>
        <v>0.5</v>
      </c>
      <c r="R186" s="173">
        <f t="shared" si="54"/>
        <v>0.29921097719566148</v>
      </c>
      <c r="S186" s="802">
        <f t="shared" si="55"/>
        <v>1</v>
      </c>
      <c r="T186" s="172">
        <f t="shared" si="56"/>
        <v>7</v>
      </c>
      <c r="U186" s="247">
        <f t="shared" si="57"/>
        <v>1.2992109771956615</v>
      </c>
      <c r="V186" s="378">
        <f t="shared" si="58"/>
        <v>62.65316054134253</v>
      </c>
      <c r="W186" s="397">
        <f t="shared" si="59"/>
        <v>22.228359270034439</v>
      </c>
      <c r="X186" s="153">
        <f t="shared" si="60"/>
        <v>45463</v>
      </c>
      <c r="Y186" s="380">
        <f t="shared" si="61"/>
        <v>21.732899976294316</v>
      </c>
      <c r="Z186" s="380">
        <f t="shared" si="62"/>
        <v>22.014665133931203</v>
      </c>
      <c r="AA186" s="381">
        <f t="shared" si="63"/>
        <v>23.128193979291595</v>
      </c>
      <c r="AB186" s="193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4.8145948894990145E-2</v>
      </c>
      <c r="AD186" s="227">
        <f>(INDEX(Models!$BJ186:$BT186,,AH186)*(1-AF186)+INDEX(Models!$BJ186:$BT186,,AH186+1)*AF186-ERP_i)*AE186*Ramure*Pc/MaxiM</f>
        <v>1.6659060549448148E-6</v>
      </c>
      <c r="AE186" s="301">
        <f t="shared" si="65"/>
        <v>0.5</v>
      </c>
      <c r="AF186" s="173">
        <f t="shared" si="66"/>
        <v>0.29921097719566148</v>
      </c>
      <c r="AG186" s="802">
        <f t="shared" si="74"/>
        <v>1</v>
      </c>
      <c r="AH186" s="172">
        <f t="shared" si="67"/>
        <v>7</v>
      </c>
      <c r="AI186" s="221">
        <f t="shared" si="68"/>
        <v>1.2992109771956615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45464</v>
      </c>
      <c r="B187" s="406">
        <f>'2023'!Wh/'2023'!Env_an*'2024'!Env_an</f>
        <v>46.113037045247879</v>
      </c>
      <c r="C187" s="385"/>
      <c r="D187" s="388">
        <f t="shared" si="50"/>
        <v>46.711528000735285</v>
      </c>
      <c r="E187" s="380">
        <f t="shared" si="75"/>
        <v>47.983509257882702</v>
      </c>
      <c r="F187" s="380">
        <f t="shared" si="51"/>
        <v>47.983559402484836</v>
      </c>
      <c r="G187" s="110">
        <f t="shared" si="76"/>
        <v>0.73638223025192939</v>
      </c>
      <c r="H187" s="409" t="b">
        <f>Wh_hp&gt;='2023'!Maxi_hp</f>
        <v>0</v>
      </c>
      <c r="I187" s="375">
        <f>IF(H187,Wh_hp,'2023'!Maxi_hp)</f>
        <v>47.983583041866694</v>
      </c>
      <c r="J187" s="85">
        <f>IF(H187,An,'2023'!An_max)</f>
        <v>2022</v>
      </c>
      <c r="K187" s="193">
        <f t="shared" si="52"/>
        <v>45464</v>
      </c>
      <c r="L187" s="143">
        <f>IF(t&lt;Tvie,1-EXP((T0-t)*PertePVj)+'2023'!Pspv,1-EXP((T0-t)*PertePVj)+Pspv)</f>
        <v>1.2812489359756873E-2</v>
      </c>
      <c r="M187" s="836"/>
      <c r="N187" s="836"/>
      <c r="O187" s="48">
        <f>IF(t&lt;Tnet,'2023'!Resal+('2023'!Salim-'2023'!Resal)*(1-EXP(('2023'!Tnet-t)/('2023'!Tau_j))),Resal+(Salim-Resal)*(1-EXP((Tnet-t)/(Tau_j))))*Salcycl</f>
        <v>2.6508716782494546E-2</v>
      </c>
      <c r="P187" s="165">
        <f>(INDEX(Models!$BJ187:$BT187,,T187)*(1-R187)+INDEX(Models!$BJ187:$BT187,,T187+1)*R187-ERP_i)*Q187*Ramure*Pc/MaxiM</f>
        <v>1.6763405439482455E-6</v>
      </c>
      <c r="Q187" s="301">
        <f t="shared" si="53"/>
        <v>0.5</v>
      </c>
      <c r="R187" s="173">
        <f t="shared" si="54"/>
        <v>0.30407970613574897</v>
      </c>
      <c r="S187" s="802">
        <f t="shared" si="55"/>
        <v>1</v>
      </c>
      <c r="T187" s="172">
        <f t="shared" si="56"/>
        <v>7</v>
      </c>
      <c r="U187" s="247">
        <f t="shared" si="57"/>
        <v>1.304079706135749</v>
      </c>
      <c r="V187" s="378">
        <f t="shared" si="58"/>
        <v>62.621022126137618</v>
      </c>
      <c r="W187" s="397">
        <f t="shared" si="59"/>
        <v>46.113037045247879</v>
      </c>
      <c r="X187" s="153">
        <f t="shared" si="60"/>
        <v>45464</v>
      </c>
      <c r="Y187" s="380">
        <f t="shared" si="61"/>
        <v>45.085656056860522</v>
      </c>
      <c r="Z187" s="380">
        <f t="shared" si="62"/>
        <v>45.670812860689551</v>
      </c>
      <c r="AA187" s="381">
        <f t="shared" si="63"/>
        <v>47.983509257882702</v>
      </c>
      <c r="AB187" s="193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4.8197733616434549E-2</v>
      </c>
      <c r="AD187" s="227">
        <f>(INDEX(Models!$BJ187:$BT187,,AH187)*(1-AF187)+INDEX(Models!$BJ187:$BT187,,AH187+1)*AF187-ERP_i)*AE187*Ramure*Pc/MaxiM</f>
        <v>1.6763405439482455E-6</v>
      </c>
      <c r="AE187" s="301">
        <f t="shared" si="65"/>
        <v>0.5</v>
      </c>
      <c r="AF187" s="173">
        <f t="shared" si="66"/>
        <v>0.30407970613574897</v>
      </c>
      <c r="AG187" s="802">
        <f t="shared" si="74"/>
        <v>1</v>
      </c>
      <c r="AH187" s="172">
        <f t="shared" si="67"/>
        <v>7</v>
      </c>
      <c r="AI187" s="221">
        <f t="shared" si="68"/>
        <v>1.304079706135749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1"/>
        <v>45465</v>
      </c>
      <c r="B188" s="406">
        <f>'2023'!Wh/'2023'!Env_an*'2024'!Env_an</f>
        <v>45.595823961374762</v>
      </c>
      <c r="C188" s="385"/>
      <c r="D188" s="388">
        <f t="shared" si="50"/>
        <v>46.188234400258899</v>
      </c>
      <c r="E188" s="380">
        <f t="shared" si="75"/>
        <v>47.449005809368607</v>
      </c>
      <c r="F188" s="380">
        <f t="shared" si="51"/>
        <v>47.449054993990821</v>
      </c>
      <c r="G188" s="110">
        <f t="shared" si="76"/>
        <v>0.72856919417903065</v>
      </c>
      <c r="H188" s="409" t="b">
        <f>Wh_hp&gt;='2023'!Maxi_hp</f>
        <v>0</v>
      </c>
      <c r="I188" s="375">
        <f>IF(H188,Wh_hp,'2023'!Maxi_hp)</f>
        <v>47.44907922821023</v>
      </c>
      <c r="J188" s="85">
        <f>IF(H188,An,'2023'!An_max)</f>
        <v>2022</v>
      </c>
      <c r="K188" s="193">
        <f t="shared" si="52"/>
        <v>45465</v>
      </c>
      <c r="L188" s="143">
        <f>IF(t&lt;Tvie,1-EXP((T0-t)*PertePVj)+'2023'!Pspv,1-EXP((T0-t)*PertePVj)+Pspv)</f>
        <v>1.2826003127775265E-2</v>
      </c>
      <c r="M188" s="836"/>
      <c r="N188" s="836"/>
      <c r="O188" s="48">
        <f>IF(t&lt;Tnet,'2023'!Resal+('2023'!Salim-'2023'!Resal)*(1-EXP(('2023'!Tnet-t)/('2023'!Tau_j))),Resal+(Salim-Resal)*(1-EXP((Tnet-t)/(Tau_j))))*Salcycl</f>
        <v>2.6571081682406416E-2</v>
      </c>
      <c r="P188" s="165">
        <f>(INDEX(Models!$BJ188:$BT188,,T188)*(1-R188)+INDEX(Models!$BJ188:$BT188,,T188+1)*R188-ERP_i)*Q188*Ramure*Pc/MaxiM</f>
        <v>1.6930835004360992E-6</v>
      </c>
      <c r="Q188" s="301">
        <f t="shared" si="53"/>
        <v>0.5</v>
      </c>
      <c r="R188" s="173">
        <f t="shared" si="54"/>
        <v>0.30890032096697095</v>
      </c>
      <c r="S188" s="802">
        <f t="shared" si="55"/>
        <v>1</v>
      </c>
      <c r="T188" s="172">
        <f t="shared" si="56"/>
        <v>7</v>
      </c>
      <c r="U188" s="247">
        <f t="shared" si="57"/>
        <v>1.308900320966971</v>
      </c>
      <c r="V188" s="378">
        <f t="shared" si="58"/>
        <v>62.582654319868105</v>
      </c>
      <c r="W188" s="397">
        <f t="shared" si="59"/>
        <v>45.595823961374762</v>
      </c>
      <c r="X188" s="153">
        <f t="shared" si="60"/>
        <v>45465</v>
      </c>
      <c r="Y188" s="380">
        <f t="shared" si="61"/>
        <v>44.580434693328705</v>
      </c>
      <c r="Z188" s="380">
        <f t="shared" si="62"/>
        <v>45.159652538030734</v>
      </c>
      <c r="AA188" s="381">
        <f t="shared" si="63"/>
        <v>47.449005809368607</v>
      </c>
      <c r="AB188" s="193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4.8248708951576132E-2</v>
      </c>
      <c r="AD188" s="227">
        <f>(INDEX(Models!$BJ188:$BT188,,AH188)*(1-AF188)+INDEX(Models!$BJ188:$BT188,,AH188+1)*AF188-ERP_i)*AE188*Ramure*Pc/MaxiM</f>
        <v>1.6930835004360992E-6</v>
      </c>
      <c r="AE188" s="301">
        <f t="shared" si="65"/>
        <v>0.5</v>
      </c>
      <c r="AF188" s="173">
        <f t="shared" si="66"/>
        <v>0.30890032096697095</v>
      </c>
      <c r="AG188" s="802">
        <f t="shared" si="74"/>
        <v>1</v>
      </c>
      <c r="AH188" s="172">
        <f t="shared" si="67"/>
        <v>7</v>
      </c>
      <c r="AI188" s="221">
        <f t="shared" si="68"/>
        <v>1.308900320966971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45466</v>
      </c>
      <c r="B189" s="406">
        <f>'2023'!Wh/'2023'!Env_an*'2024'!Env_an</f>
        <v>49.047191268011581</v>
      </c>
      <c r="C189" s="385"/>
      <c r="D189" s="388">
        <f t="shared" si="50"/>
        <v>49.685124251111986</v>
      </c>
      <c r="E189" s="380">
        <f t="shared" si="75"/>
        <v>51.044594634093116</v>
      </c>
      <c r="F189" s="380">
        <f t="shared" si="51"/>
        <v>51.044655243819719</v>
      </c>
      <c r="G189" s="110">
        <f t="shared" si="76"/>
        <v>0.78428364828766095</v>
      </c>
      <c r="H189" s="409" t="b">
        <f>Wh_hp&gt;='2023'!Maxi_hp</f>
        <v>0</v>
      </c>
      <c r="I189" s="375">
        <f>IF(H189,Wh_hp,'2023'!Maxi_hp)</f>
        <v>51.044676183708283</v>
      </c>
      <c r="J189" s="85">
        <f>IF(H189,An,'2023'!An_max)</f>
        <v>2022</v>
      </c>
      <c r="K189" s="193">
        <f t="shared" si="52"/>
        <v>45466</v>
      </c>
      <c r="L189" s="143">
        <f>IF(t&lt;Tvie,1-EXP((T0-t)*PertePVj)+'2023'!Pspv,1-EXP((T0-t)*PertePVj)+Pspv)</f>
        <v>1.2839516710801524E-2</v>
      </c>
      <c r="M189" s="836"/>
      <c r="N189" s="836"/>
      <c r="O189" s="48">
        <f>IF(t&lt;Tnet,'2023'!Resal+('2023'!Salim-'2023'!Resal)*(1-EXP(('2023'!Tnet-t)/('2023'!Tau_j))),Resal+(Salim-Resal)*(1-EXP((Tnet-t)/(Tau_j))))*Salcycl</f>
        <v>2.6632994007030977E-2</v>
      </c>
      <c r="P189" s="165">
        <f>(INDEX(Models!$BJ189:$BT189,,T189)*(1-R189)+INDEX(Models!$BJ189:$BT189,,T189+1)*R189-ERP_i)*Q189*Ramure*Pc/MaxiM</f>
        <v>1.7162869989390362E-6</v>
      </c>
      <c r="Q189" s="301">
        <f t="shared" si="53"/>
        <v>0.5</v>
      </c>
      <c r="R189" s="173">
        <f t="shared" si="54"/>
        <v>0.31366952334851339</v>
      </c>
      <c r="S189" s="802">
        <f t="shared" si="55"/>
        <v>1</v>
      </c>
      <c r="T189" s="172">
        <f t="shared" si="56"/>
        <v>7</v>
      </c>
      <c r="U189" s="247">
        <f t="shared" si="57"/>
        <v>1.3136695233485134</v>
      </c>
      <c r="V189" s="378">
        <f t="shared" si="58"/>
        <v>62.537534008231177</v>
      </c>
      <c r="W189" s="397">
        <f t="shared" si="59"/>
        <v>49.047191268011581</v>
      </c>
      <c r="X189" s="153">
        <f t="shared" si="60"/>
        <v>45466</v>
      </c>
      <c r="Y189" s="380">
        <f t="shared" si="61"/>
        <v>47.955464859085801</v>
      </c>
      <c r="Z189" s="380">
        <f t="shared" si="62"/>
        <v>48.57919828729284</v>
      </c>
      <c r="AA189" s="381">
        <f t="shared" si="63"/>
        <v>51.044594634093116</v>
      </c>
      <c r="AB189" s="193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4.8298872083776263E-2</v>
      </c>
      <c r="AD189" s="227">
        <f>(INDEX(Models!$BJ189:$BT189,,AH189)*(1-AF189)+INDEX(Models!$BJ189:$BT189,,AH189+1)*AF189-ERP_i)*AE189*Ramure*Pc/MaxiM</f>
        <v>1.7162869989390362E-6</v>
      </c>
      <c r="AE189" s="301">
        <f t="shared" si="65"/>
        <v>0.5</v>
      </c>
      <c r="AF189" s="173">
        <f t="shared" si="66"/>
        <v>0.31366952334851339</v>
      </c>
      <c r="AG189" s="802">
        <f t="shared" si="74"/>
        <v>1</v>
      </c>
      <c r="AH189" s="172">
        <f t="shared" si="67"/>
        <v>7</v>
      </c>
      <c r="AI189" s="221">
        <f t="shared" si="68"/>
        <v>1.3136695233485134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45467</v>
      </c>
      <c r="B190" s="406">
        <f>'2023'!Wh/'2023'!Env_an*'2024'!Env_an</f>
        <v>40.85790189363351</v>
      </c>
      <c r="C190" s="385"/>
      <c r="D190" s="388">
        <f t="shared" si="50"/>
        <v>41.389887362099998</v>
      </c>
      <c r="E190" s="380">
        <f t="shared" si="75"/>
        <v>42.525070812756908</v>
      </c>
      <c r="F190" s="380">
        <f t="shared" si="51"/>
        <v>42.52510835143466</v>
      </c>
      <c r="G190" s="110">
        <f t="shared" si="76"/>
        <v>0.65388135218889754</v>
      </c>
      <c r="H190" s="409" t="b">
        <f>Wh_hp&gt;='2023'!Maxi_hp</f>
        <v>0</v>
      </c>
      <c r="I190" s="375">
        <f>IF(H190,Wh_hp,'2023'!Maxi_hp)</f>
        <v>42.525136744519635</v>
      </c>
      <c r="J190" s="85">
        <f>IF(H190,An,'2023'!An_max)</f>
        <v>2022</v>
      </c>
      <c r="K190" s="193">
        <f t="shared" si="52"/>
        <v>45467</v>
      </c>
      <c r="L190" s="143">
        <f>IF(t&lt;Tvie,1-EXP((T0-t)*PertePVj)+'2023'!Pspv,1-EXP((T0-t)*PertePVj)+Pspv)</f>
        <v>1.2853030108838093E-2</v>
      </c>
      <c r="M190" s="836"/>
      <c r="N190" s="836"/>
      <c r="O190" s="48">
        <f>IF(t&lt;Tnet,'2023'!Resal+('2023'!Salim-'2023'!Resal)*(1-EXP(('2023'!Tnet-t)/('2023'!Tau_j))),Resal+(Salim-Resal)*(1-EXP((Tnet-t)/(Tau_j))))*Salcycl</f>
        <v>2.6694451742485331E-2</v>
      </c>
      <c r="P190" s="165">
        <f>(INDEX(Models!$BJ190:$BT190,,T190)*(1-R190)+INDEX(Models!$BJ190:$BT190,,T190+1)*R190-ERP_i)*Q190*Ramure*Pc/MaxiM</f>
        <v>1.7461164807150116E-6</v>
      </c>
      <c r="Q190" s="301">
        <f t="shared" si="53"/>
        <v>0.5</v>
      </c>
      <c r="R190" s="173">
        <f t="shared" si="54"/>
        <v>0.31838417073948921</v>
      </c>
      <c r="S190" s="802">
        <f t="shared" si="55"/>
        <v>1</v>
      </c>
      <c r="T190" s="172">
        <f t="shared" si="56"/>
        <v>7</v>
      </c>
      <c r="U190" s="247">
        <f t="shared" si="57"/>
        <v>1.3183841707394892</v>
      </c>
      <c r="V190" s="378">
        <f t="shared" si="58"/>
        <v>62.485138138805105</v>
      </c>
      <c r="W190" s="397">
        <f t="shared" si="59"/>
        <v>40.85790189363351</v>
      </c>
      <c r="X190" s="153">
        <f t="shared" si="60"/>
        <v>45467</v>
      </c>
      <c r="Y190" s="380">
        <f t="shared" si="61"/>
        <v>39.948909191033763</v>
      </c>
      <c r="Z190" s="380">
        <f t="shared" si="62"/>
        <v>40.469059227764575</v>
      </c>
      <c r="AA190" s="381">
        <f t="shared" si="63"/>
        <v>42.525070812756908</v>
      </c>
      <c r="AB190" s="193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4.8348222488451567E-2</v>
      </c>
      <c r="AD190" s="227">
        <f>(INDEX(Models!$BJ190:$BT190,,AH190)*(1-AF190)+INDEX(Models!$BJ190:$BT190,,AH190+1)*AF190-ERP_i)*AE190*Ramure*Pc/MaxiM</f>
        <v>1.7461164807150116E-6</v>
      </c>
      <c r="AE190" s="301">
        <f t="shared" si="65"/>
        <v>0.5</v>
      </c>
      <c r="AF190" s="173">
        <f t="shared" si="66"/>
        <v>0.31838417073948921</v>
      </c>
      <c r="AG190" s="802">
        <f t="shared" si="74"/>
        <v>1</v>
      </c>
      <c r="AH190" s="172">
        <f t="shared" si="67"/>
        <v>7</v>
      </c>
      <c r="AI190" s="221">
        <f t="shared" si="68"/>
        <v>1.3183841707394892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45468</v>
      </c>
      <c r="B191" s="406">
        <f>'2023'!Wh/'2023'!Env_an*'2024'!Env_an</f>
        <v>12.778443654798478</v>
      </c>
      <c r="C191" s="385"/>
      <c r="D191" s="388">
        <f t="shared" si="50"/>
        <v>12.945001071891856</v>
      </c>
      <c r="E191" s="380">
        <f t="shared" si="75"/>
        <v>13.300871940929392</v>
      </c>
      <c r="F191" s="380">
        <f t="shared" si="51"/>
        <v>13.300871940929392</v>
      </c>
      <c r="G191" s="110">
        <f t="shared" si="76"/>
        <v>0.20469849453439781</v>
      </c>
      <c r="H191" s="409" t="b">
        <f>Wh_hp&gt;='2023'!Maxi_hp</f>
        <v>0</v>
      </c>
      <c r="I191" s="375">
        <f>IF(H191,Wh_hp,'2023'!Maxi_hp)</f>
        <v>13.300890225268683</v>
      </c>
      <c r="J191" s="85">
        <f>IF(H191,An,'2023'!An_max)</f>
        <v>2022</v>
      </c>
      <c r="K191" s="193">
        <f t="shared" si="52"/>
        <v>45468</v>
      </c>
      <c r="L191" s="143">
        <f>IF(t&lt;Tvie,1-EXP((T0-t)*PertePVj)+'2023'!Pspv,1-EXP((T0-t)*PertePVj)+Pspv)</f>
        <v>1.2866543321887636E-2</v>
      </c>
      <c r="M191" s="836"/>
      <c r="N191" s="836"/>
      <c r="O191" s="48">
        <f>IF(t&lt;Tnet,'2023'!Resal+('2023'!Salim-'2023'!Resal)*(1-EXP(('2023'!Tnet-t)/('2023'!Tau_j))),Resal+(Salim-Resal)*(1-EXP((Tnet-t)/(Tau_j))))*Salcycl</f>
        <v>2.675545412496241E-2</v>
      </c>
      <c r="P191" s="165">
        <f>(INDEX(Models!$BJ191:$BT191,,T191)*(1-R191)+INDEX(Models!$BJ191:$BT191,,T191+1)*R191-ERP_i)*Q191*Ramure*Pc/MaxiM</f>
        <v>1.7827193878875713E-6</v>
      </c>
      <c r="Q191" s="301">
        <f t="shared" si="53"/>
        <v>0.5</v>
      </c>
      <c r="R191" s="173">
        <f t="shared" si="54"/>
        <v>0.32304128308032154</v>
      </c>
      <c r="S191" s="802">
        <f t="shared" si="55"/>
        <v>1</v>
      </c>
      <c r="T191" s="172">
        <f t="shared" si="56"/>
        <v>7</v>
      </c>
      <c r="U191" s="247">
        <f t="shared" si="57"/>
        <v>1.3230412830803215</v>
      </c>
      <c r="V191" s="378">
        <f t="shared" si="58"/>
        <v>62.425573297374321</v>
      </c>
      <c r="W191" s="397">
        <f t="shared" si="59"/>
        <v>12.778443654798478</v>
      </c>
      <c r="X191" s="153">
        <f t="shared" si="60"/>
        <v>45468</v>
      </c>
      <c r="Y191" s="380">
        <f t="shared" si="61"/>
        <v>12.494299003718393</v>
      </c>
      <c r="Z191" s="380">
        <f t="shared" si="62"/>
        <v>12.657152808662804</v>
      </c>
      <c r="AA191" s="381">
        <f t="shared" si="63"/>
        <v>13.300871940929392</v>
      </c>
      <c r="AB191" s="193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4.839676189090561E-2</v>
      </c>
      <c r="AD191" s="227">
        <f>(INDEX(Models!$BJ191:$BT191,,AH191)*(1-AF191)+INDEX(Models!$BJ191:$BT191,,AH191+1)*AF191-ERP_i)*AE191*Ramure*Pc/MaxiM</f>
        <v>1.7827193878875713E-6</v>
      </c>
      <c r="AE191" s="301">
        <f t="shared" si="65"/>
        <v>0.5</v>
      </c>
      <c r="AF191" s="173">
        <f t="shared" si="66"/>
        <v>0.32304128308032154</v>
      </c>
      <c r="AG191" s="802">
        <f t="shared" si="74"/>
        <v>1</v>
      </c>
      <c r="AH191" s="172">
        <f t="shared" si="67"/>
        <v>7</v>
      </c>
      <c r="AI191" s="221">
        <f t="shared" si="68"/>
        <v>1.3230412830803215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1"/>
        <v>45469</v>
      </c>
      <c r="B192" s="406">
        <f>'2023'!Wh/'2023'!Env_an*'2024'!Env_an</f>
        <v>18.799485409428861</v>
      </c>
      <c r="C192" s="385"/>
      <c r="D192" s="388">
        <f t="shared" si="50"/>
        <v>19.044783291394658</v>
      </c>
      <c r="E192" s="380">
        <f t="shared" si="75"/>
        <v>19.569560661773512</v>
      </c>
      <c r="F192" s="380">
        <f t="shared" si="51"/>
        <v>19.569560737077047</v>
      </c>
      <c r="G192" s="110">
        <f t="shared" si="76"/>
        <v>0.30146889380089531</v>
      </c>
      <c r="H192" s="409" t="b">
        <f>Wh_hp&gt;='2023'!Maxi_hp</f>
        <v>0</v>
      </c>
      <c r="I192" s="375">
        <f>IF(H192,Wh_hp,'2023'!Maxi_hp)</f>
        <v>19.569588262631058</v>
      </c>
      <c r="J192" s="85">
        <f>IF(H192,An,'2023'!An_max)</f>
        <v>2022</v>
      </c>
      <c r="K192" s="193">
        <f t="shared" si="52"/>
        <v>45469</v>
      </c>
      <c r="L192" s="143">
        <f>IF(t&lt;Tvie,1-EXP((T0-t)*PertePVj)+'2023'!Pspv,1-EXP((T0-t)*PertePVj)+Pspv)</f>
        <v>1.2880056349952596E-2</v>
      </c>
      <c r="M192" s="836"/>
      <c r="N192" s="836"/>
      <c r="O192" s="48">
        <f>IF(t&lt;Tnet,'2023'!Resal+('2023'!Salim-'2023'!Resal)*(1-EXP(('2023'!Tnet-t)/('2023'!Tau_j))),Resal+(Salim-Resal)*(1-EXP((Tnet-t)/(Tau_j))))*Salcycl</f>
        <v>2.6816001618469358E-2</v>
      </c>
      <c r="P192" s="165">
        <f>(INDEX(Models!$BJ192:$BT192,,T192)*(1-R192)+INDEX(Models!$BJ192:$BT192,,T192+1)*R192-ERP_i)*Q192*Ramure*Pc/MaxiM</f>
        <v>1.8330694717608071E-6</v>
      </c>
      <c r="Q192" s="301">
        <f t="shared" si="53"/>
        <v>0.5</v>
      </c>
      <c r="R192" s="173">
        <f t="shared" si="54"/>
        <v>0.32763804849803857</v>
      </c>
      <c r="S192" s="802">
        <f t="shared" si="55"/>
        <v>1</v>
      </c>
      <c r="T192" s="172">
        <f t="shared" si="56"/>
        <v>7</v>
      </c>
      <c r="U192" s="247">
        <f t="shared" si="57"/>
        <v>1.3276380484980386</v>
      </c>
      <c r="V192" s="378">
        <f t="shared" si="58"/>
        <v>62.3595051017844</v>
      </c>
      <c r="W192" s="397">
        <f t="shared" si="59"/>
        <v>18.799485409428861</v>
      </c>
      <c r="X192" s="153">
        <f t="shared" si="60"/>
        <v>45469</v>
      </c>
      <c r="Y192" s="380">
        <f t="shared" si="61"/>
        <v>18.38167692551087</v>
      </c>
      <c r="Z192" s="380">
        <f t="shared" si="62"/>
        <v>18.621523193565949</v>
      </c>
      <c r="AA192" s="381">
        <f t="shared" si="63"/>
        <v>19.569560661773512</v>
      </c>
      <c r="AB192" s="193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4.8444494211841167E-2</v>
      </c>
      <c r="AD192" s="227">
        <f>(INDEX(Models!$BJ192:$BT192,,AH192)*(1-AF192)+INDEX(Models!$BJ192:$BT192,,AH192+1)*AF192-ERP_i)*AE192*Ramure*Pc/MaxiM</f>
        <v>1.8330694717608071E-6</v>
      </c>
      <c r="AE192" s="301">
        <f t="shared" si="65"/>
        <v>0.5</v>
      </c>
      <c r="AF192" s="173">
        <f t="shared" si="66"/>
        <v>0.32763804849803857</v>
      </c>
      <c r="AG192" s="802">
        <f t="shared" si="74"/>
        <v>1</v>
      </c>
      <c r="AH192" s="172">
        <f t="shared" si="67"/>
        <v>7</v>
      </c>
      <c r="AI192" s="221">
        <f t="shared" si="68"/>
        <v>1.3276380484980386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45470</v>
      </c>
      <c r="B193" s="406">
        <f>'2023'!Wh/'2023'!Env_an*'2024'!Env_an</f>
        <v>65.057128481310158</v>
      </c>
      <c r="C193" s="385"/>
      <c r="D193" s="388">
        <f t="shared" si="50"/>
        <v>65.90690370452316</v>
      </c>
      <c r="E193" s="380">
        <f t="shared" si="75"/>
        <v>67.727144946160138</v>
      </c>
      <c r="F193" s="380">
        <f t="shared" si="51"/>
        <v>67.727273228607245</v>
      </c>
      <c r="G193" s="110">
        <f t="shared" si="76"/>
        <v>1.0444694332725444</v>
      </c>
      <c r="H193" s="409" t="b">
        <f>Wh_hp&gt;='2023'!Maxi_hp</f>
        <v>1</v>
      </c>
      <c r="I193" s="375">
        <f>IF(H193,Wh_hp,'2023'!Maxi_hp)</f>
        <v>67.727273228607245</v>
      </c>
      <c r="J193" s="85">
        <f>IF(H193,An,'2023'!An_max)</f>
        <v>2024</v>
      </c>
      <c r="K193" s="193">
        <f t="shared" si="52"/>
        <v>45470</v>
      </c>
      <c r="L193" s="143">
        <f>IF(t&lt;Tvie,1-EXP((T0-t)*PertePVj)+'2023'!Pspv,1-EXP((T0-t)*PertePVj)+Pspv)</f>
        <v>1.2893569193035637E-2</v>
      </c>
      <c r="M193" s="836"/>
      <c r="N193" s="836"/>
      <c r="O193" s="48">
        <f>IF(t&lt;Tnet,'2023'!Resal+('2023'!Salim-'2023'!Resal)*(1-EXP(('2023'!Tnet-t)/('2023'!Tau_j))),Resal+(Salim-Resal)*(1-EXP((Tnet-t)/(Tau_j))))*Salcycl</f>
        <v>2.6876095885689334E-2</v>
      </c>
      <c r="P193" s="165">
        <f>(INDEX(Models!$BJ193:$BT193,,T193)*(1-R193)+INDEX(Models!$BJ193:$BT193,,T193+1)*R193-ERP_i)*Q193*Ramure*Pc/MaxiM</f>
        <v>1.8941032317769674E-6</v>
      </c>
      <c r="Q193" s="301">
        <f t="shared" si="53"/>
        <v>0.5</v>
      </c>
      <c r="R193" s="173">
        <f t="shared" si="54"/>
        <v>0.33217182802886813</v>
      </c>
      <c r="S193" s="802">
        <f t="shared" si="55"/>
        <v>1</v>
      </c>
      <c r="T193" s="172">
        <f t="shared" si="56"/>
        <v>7</v>
      </c>
      <c r="U193" s="247">
        <f t="shared" si="57"/>
        <v>1.3321718280288681</v>
      </c>
      <c r="V193" s="378">
        <f t="shared" si="58"/>
        <v>62.287249783339647</v>
      </c>
      <c r="W193" s="397">
        <f t="shared" si="59"/>
        <v>65.057128481310158</v>
      </c>
      <c r="X193" s="153">
        <f t="shared" si="60"/>
        <v>45470</v>
      </c>
      <c r="Y193" s="380">
        <f t="shared" si="61"/>
        <v>63.612059389900402</v>
      </c>
      <c r="Z193" s="380">
        <f t="shared" si="62"/>
        <v>64.44295914260961</v>
      </c>
      <c r="AA193" s="381">
        <f t="shared" si="63"/>
        <v>67.727144946160138</v>
      </c>
      <c r="AB193" s="193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4.8491425500976106E-2</v>
      </c>
      <c r="AD193" s="227">
        <f>(INDEX(Models!$BJ193:$BT193,,AH193)*(1-AF193)+INDEX(Models!$BJ193:$BT193,,AH193+1)*AF193-ERP_i)*AE193*Ramure*Pc/MaxiM</f>
        <v>1.8941032317769674E-6</v>
      </c>
      <c r="AE193" s="301">
        <f t="shared" si="65"/>
        <v>0.5</v>
      </c>
      <c r="AF193" s="173">
        <f t="shared" si="66"/>
        <v>0.33217182802886813</v>
      </c>
      <c r="AG193" s="802">
        <f t="shared" si="74"/>
        <v>1</v>
      </c>
      <c r="AH193" s="172">
        <f t="shared" si="67"/>
        <v>7</v>
      </c>
      <c r="AI193" s="221">
        <f t="shared" si="68"/>
        <v>1.3321718280288681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1"/>
        <v>45471</v>
      </c>
      <c r="B194" s="406">
        <f>'2023'!Wh/'2023'!Env_an*'2024'!Env_an</f>
        <v>63.1284823631891</v>
      </c>
      <c r="C194" s="385"/>
      <c r="D194" s="388">
        <f t="shared" si="50"/>
        <v>63.953941115874628</v>
      </c>
      <c r="E194" s="380">
        <f t="shared" si="75"/>
        <v>65.724273029602372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Wh_hp&gt;='2023'!Maxi_hp</f>
        <v>1</v>
      </c>
      <c r="I194" s="375">
        <f>IF(H194,Wh_hp,'2023'!Maxi_hp)</f>
        <v>65.724402245637052</v>
      </c>
      <c r="J194" s="85">
        <f>IF(H194,An,'2023'!An_max)</f>
        <v>2024</v>
      </c>
      <c r="K194" s="193">
        <f t="shared" si="52"/>
        <v>45471</v>
      </c>
      <c r="L194" s="143">
        <f>IF(t&lt;Tvie,1-EXP((T0-t)*PertePVj)+'2023'!Pspv,1-EXP((T0-t)*PertePVj)+Pspv)</f>
        <v>1.2907081851139202E-2</v>
      </c>
      <c r="M194" s="836"/>
      <c r="N194" s="836"/>
      <c r="O194" s="48">
        <f>IF(t&lt;Tnet,'2023'!Resal+('2023'!Salim-'2023'!Resal)*(1-EXP(('2023'!Tnet-t)/('2023'!Tau_j))),Resal+(Salim-Resal)*(1-EXP((Tnet-t)/(Tau_j))))*Salcycl</f>
        <v>2.6935739752197378E-2</v>
      </c>
      <c r="P194" s="165">
        <f>(INDEX(Models!$BJ194:$BT194,,T194)*(1-R194)+INDEX(Models!$BJ194:$BT194,,T194+1)*R194-ERP_i)*Q194*Ramure*Pc/MaxiM</f>
        <v>1.9660282979086596E-6</v>
      </c>
      <c r="Q194" s="301">
        <f t="shared" si="53"/>
        <v>0.5</v>
      </c>
      <c r="R194" s="173">
        <f t="shared" si="54"/>
        <v>0.33664015936064051</v>
      </c>
      <c r="S194" s="802">
        <f t="shared" si="55"/>
        <v>1</v>
      </c>
      <c r="T194" s="172">
        <f t="shared" si="56"/>
        <v>7</v>
      </c>
      <c r="U194" s="247">
        <f t="shared" si="57"/>
        <v>1.3366401593606405</v>
      </c>
      <c r="V194" s="378">
        <f t="shared" si="58"/>
        <v>62.209123183613727</v>
      </c>
      <c r="W194" s="397">
        <f t="shared" si="59"/>
        <v>63.1284823631891</v>
      </c>
      <c r="X194" s="153">
        <f t="shared" si="60"/>
        <v>45471</v>
      </c>
      <c r="Y194" s="380">
        <f t="shared" si="61"/>
        <v>61.727043190189988</v>
      </c>
      <c r="Z194" s="380">
        <f t="shared" si="62"/>
        <v>62.534176930323291</v>
      </c>
      <c r="AA194" s="381">
        <f t="shared" si="63"/>
        <v>65.724273029602372</v>
      </c>
      <c r="AB194" s="193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4.8537563859279959E-2</v>
      </c>
      <c r="AD194" s="227">
        <f>(INDEX(Models!$BJ194:$BT194,,AH194)*(1-AF194)+INDEX(Models!$BJ194:$BT194,,AH194+1)*AF194-ERP_i)*AE194*Ramure*Pc/MaxiM</f>
        <v>1.9660282979086596E-6</v>
      </c>
      <c r="AE194" s="301">
        <f t="shared" si="65"/>
        <v>0.5</v>
      </c>
      <c r="AF194" s="173">
        <f t="shared" si="66"/>
        <v>0.33664015936064051</v>
      </c>
      <c r="AG194" s="802">
        <f t="shared" si="74"/>
        <v>1</v>
      </c>
      <c r="AH194" s="172">
        <f t="shared" si="67"/>
        <v>7</v>
      </c>
      <c r="AI194" s="221">
        <f t="shared" si="68"/>
        <v>1.3366401593606405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1"/>
        <v>45472</v>
      </c>
      <c r="B195" s="406">
        <f>'2023'!Wh/'2023'!Env_an*'2024'!Env_an</f>
        <v>15.507098258630863</v>
      </c>
      <c r="C195" s="385"/>
      <c r="D195" s="388">
        <f t="shared" si="50"/>
        <v>15.710081853055199</v>
      </c>
      <c r="E195" s="380">
        <f t="shared" si="75"/>
        <v>16.145940502375577</v>
      </c>
      <c r="F195" s="380">
        <f t="shared" si="51"/>
        <v>16.145940502375577</v>
      </c>
      <c r="G195" s="110">
        <f t="shared" si="76"/>
        <v>0.24960895637889577</v>
      </c>
      <c r="H195" s="409" t="b">
        <f>Wh_hp&gt;='2023'!Maxi_hp</f>
        <v>0</v>
      </c>
      <c r="I195" s="375">
        <f>IF(H195,Wh_hp,'2023'!Maxi_hp)</f>
        <v>16.145965733793666</v>
      </c>
      <c r="J195" s="85">
        <f>IF(H195,An,'2023'!An_max)</f>
        <v>2022</v>
      </c>
      <c r="K195" s="193">
        <f t="shared" si="52"/>
        <v>45472</v>
      </c>
      <c r="L195" s="143">
        <f>IF(t&lt;Tvie,1-EXP((T0-t)*PertePVj)+'2023'!Pspv,1-EXP((T0-t)*PertePVj)+Pspv)</f>
        <v>1.2920594324265733E-2</v>
      </c>
      <c r="M195" s="836"/>
      <c r="N195" s="836"/>
      <c r="O195" s="48">
        <f>IF(t&lt;Tnet,'2023'!Resal+('2023'!Salim-'2023'!Resal)*(1-EXP(('2023'!Tnet-t)/('2023'!Tau_j))),Resal+(Salim-Resal)*(1-EXP((Tnet-t)/(Tau_j))))*Salcycl</f>
        <v>2.6994937164313743E-2</v>
      </c>
      <c r="P195" s="165">
        <f>(INDEX(Models!$BJ195:$BT195,,T195)*(1-R195)+INDEX(Models!$BJ195:$BT195,,T195+1)*R195-ERP_i)*Q195*Ramure*Pc/MaxiM</f>
        <v>2.049047716947763E-6</v>
      </c>
      <c r="Q195" s="301">
        <f t="shared" si="53"/>
        <v>0.5</v>
      </c>
      <c r="R195" s="173">
        <f t="shared" si="54"/>
        <v>0.34104075960619618</v>
      </c>
      <c r="S195" s="802">
        <f t="shared" si="55"/>
        <v>1</v>
      </c>
      <c r="T195" s="172">
        <f t="shared" si="56"/>
        <v>7</v>
      </c>
      <c r="U195" s="247">
        <f t="shared" si="57"/>
        <v>1.3410407596061962</v>
      </c>
      <c r="V195" s="378">
        <f t="shared" si="58"/>
        <v>62.125440964976889</v>
      </c>
      <c r="W195" s="397">
        <f t="shared" si="59"/>
        <v>15.507098258630863</v>
      </c>
      <c r="X195" s="153">
        <f t="shared" si="60"/>
        <v>45472</v>
      </c>
      <c r="Y195" s="380">
        <f t="shared" si="61"/>
        <v>15.163043562769207</v>
      </c>
      <c r="Z195" s="380">
        <f t="shared" si="62"/>
        <v>15.361523577111711</v>
      </c>
      <c r="AA195" s="381">
        <f t="shared" si="63"/>
        <v>16.145940502375577</v>
      </c>
      <c r="AB195" s="193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4.8582919350436876E-2</v>
      </c>
      <c r="AD195" s="227">
        <f>(INDEX(Models!$BJ195:$BT195,,AH195)*(1-AF195)+INDEX(Models!$BJ195:$BT195,,AH195+1)*AF195-ERP_i)*AE195*Ramure*Pc/MaxiM</f>
        <v>2.049047716947763E-6</v>
      </c>
      <c r="AE195" s="301">
        <f t="shared" si="65"/>
        <v>0.5</v>
      </c>
      <c r="AF195" s="173">
        <f t="shared" si="66"/>
        <v>0.34104075960619618</v>
      </c>
      <c r="AG195" s="802">
        <f t="shared" si="74"/>
        <v>1</v>
      </c>
      <c r="AH195" s="172">
        <f t="shared" si="67"/>
        <v>7</v>
      </c>
      <c r="AI195" s="221">
        <f t="shared" si="68"/>
        <v>1.3410407596061962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1"/>
        <v>45473</v>
      </c>
      <c r="B196" s="406">
        <f>'2023'!Wh/'2023'!Env_an*'2024'!Env_an</f>
        <v>52.60828949124712</v>
      </c>
      <c r="C196" s="385"/>
      <c r="D196" s="388">
        <f t="shared" si="50"/>
        <v>53.297646938946464</v>
      </c>
      <c r="E196" s="380">
        <f t="shared" si="75"/>
        <v>54.779638468442712</v>
      </c>
      <c r="F196" s="380">
        <f t="shared" si="51"/>
        <v>54.779730389355223</v>
      </c>
      <c r="G196" s="110">
        <f t="shared" si="76"/>
        <v>0.84802091075202035</v>
      </c>
      <c r="H196" s="409" t="b">
        <f>Wh_hp&gt;='2023'!Maxi_hp</f>
        <v>0</v>
      </c>
      <c r="I196" s="375">
        <f>IF(H196,Wh_hp,'2023'!Maxi_hp)</f>
        <v>54.779749779399616</v>
      </c>
      <c r="J196" s="85">
        <f>IF(H196,An,'2023'!An_max)</f>
        <v>2022</v>
      </c>
      <c r="K196" s="193">
        <f t="shared" si="52"/>
        <v>45473</v>
      </c>
      <c r="L196" s="143">
        <f>IF(t&lt;Tvie,1-EXP((T0-t)*PertePVj)+'2023'!Pspv,1-EXP((T0-t)*PertePVj)+Pspv)</f>
        <v>1.2934106612417895E-2</v>
      </c>
      <c r="M196" s="836"/>
      <c r="N196" s="836"/>
      <c r="O196" s="48">
        <f>IF(t&lt;Tnet,'2023'!Resal+('2023'!Salim-'2023'!Resal)*(1-EXP(('2023'!Tnet-t)/('2023'!Tau_j))),Resal+(Salim-Resal)*(1-EXP((Tnet-t)/(Tau_j))))*Salcycl</f>
        <v>2.7053693140928446E-2</v>
      </c>
      <c r="P196" s="165">
        <f>(INDEX(Models!$BJ196:$BT196,,T196)*(1-R196)+INDEX(Models!$BJ196:$BT196,,T196+1)*R196-ERP_i)*Q196*Ramure*Pc/MaxiM</f>
        <v>2.1433595666181347E-6</v>
      </c>
      <c r="Q196" s="301">
        <f t="shared" si="53"/>
        <v>0.5</v>
      </c>
      <c r="R196" s="173">
        <f t="shared" si="54"/>
        <v>0.34537152712713892</v>
      </c>
      <c r="S196" s="802">
        <f t="shared" si="55"/>
        <v>1</v>
      </c>
      <c r="T196" s="172">
        <f t="shared" si="56"/>
        <v>7</v>
      </c>
      <c r="U196" s="247">
        <f t="shared" si="57"/>
        <v>1.3453715271271389</v>
      </c>
      <c r="V196" s="378">
        <f t="shared" si="58"/>
        <v>62.036518608116197</v>
      </c>
      <c r="W196" s="397">
        <f t="shared" si="59"/>
        <v>52.60828949124712</v>
      </c>
      <c r="X196" s="153">
        <f t="shared" si="60"/>
        <v>45473</v>
      </c>
      <c r="Y196" s="380">
        <f t="shared" si="61"/>
        <v>51.441769536385891</v>
      </c>
      <c r="Z196" s="380">
        <f t="shared" si="62"/>
        <v>52.115841385056065</v>
      </c>
      <c r="AA196" s="381">
        <f t="shared" si="63"/>
        <v>54.779638468442712</v>
      </c>
      <c r="AB196" s="193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4.8627503902224603E-2</v>
      </c>
      <c r="AD196" s="227">
        <f>(INDEX(Models!$BJ196:$BT196,,AH196)*(1-AF196)+INDEX(Models!$BJ196:$BT196,,AH196+1)*AF196-ERP_i)*AE196*Ramure*Pc/MaxiM</f>
        <v>2.1433595666181347E-6</v>
      </c>
      <c r="AE196" s="301">
        <f t="shared" si="65"/>
        <v>0.5</v>
      </c>
      <c r="AF196" s="173">
        <f t="shared" si="66"/>
        <v>0.34537152712713892</v>
      </c>
      <c r="AG196" s="802">
        <f t="shared" si="74"/>
        <v>1</v>
      </c>
      <c r="AH196" s="172">
        <f t="shared" si="67"/>
        <v>7</v>
      </c>
      <c r="AI196" s="221">
        <f t="shared" si="68"/>
        <v>1.3453715271271389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1"/>
        <v>45474</v>
      </c>
      <c r="B197" s="406">
        <f>'2023'!Wh/'2023'!Env_an*'2024'!Env_an</f>
        <v>58.410707686368241</v>
      </c>
      <c r="C197" s="385"/>
      <c r="D197" s="388">
        <f t="shared" si="50"/>
        <v>59.176907724351281</v>
      </c>
      <c r="E197" s="380">
        <f t="shared" si="75"/>
        <v>60.826023713793148</v>
      </c>
      <c r="F197" s="380">
        <f t="shared" si="51"/>
        <v>60.826149377401713</v>
      </c>
      <c r="G197" s="110">
        <f t="shared" si="76"/>
        <v>0.94297994639810667</v>
      </c>
      <c r="H197" s="409" t="b">
        <f>Wh_hp&gt;='2023'!Maxi_hp</f>
        <v>0</v>
      </c>
      <c r="I197" s="375">
        <f>IF(H197,Wh_hp,'2023'!Maxi_hp)</f>
        <v>60.826157831959122</v>
      </c>
      <c r="J197" s="85">
        <f>IF(H197,An,'2023'!An_max)</f>
        <v>2022</v>
      </c>
      <c r="K197" s="193">
        <f t="shared" si="52"/>
        <v>45474</v>
      </c>
      <c r="L197" s="143">
        <f>IF(t&lt;Tvie,1-EXP((T0-t)*PertePVj)+'2023'!Pspv,1-EXP((T0-t)*PertePVj)+Pspv)</f>
        <v>1.2947618715598241E-2</v>
      </c>
      <c r="M197" s="836"/>
      <c r="N197" s="836"/>
      <c r="O197" s="48">
        <f>IF(t&lt;Tnet,'2023'!Resal+('2023'!Salim-'2023'!Resal)*(1-EXP(('2023'!Tnet-t)/('2023'!Tau_j))),Resal+(Salim-Resal)*(1-EXP((Tnet-t)/(Tau_j))))*Salcycl</f>
        <v>2.7112013719678727E-2</v>
      </c>
      <c r="P197" s="165">
        <f>(INDEX(Models!$BJ197:$BT197,,T197)*(1-R197)+INDEX(Models!$BJ197:$BT197,,T197+1)*R197-ERP_i)*Q197*Ramure*Pc/MaxiM</f>
        <v>2.2491566160430294E-6</v>
      </c>
      <c r="Q197" s="301">
        <f t="shared" si="53"/>
        <v>0.5</v>
      </c>
      <c r="R197" s="173">
        <f t="shared" si="54"/>
        <v>0.34963054243479963</v>
      </c>
      <c r="S197" s="802">
        <f t="shared" si="55"/>
        <v>1</v>
      </c>
      <c r="T197" s="172">
        <f t="shared" si="56"/>
        <v>7</v>
      </c>
      <c r="U197" s="247">
        <f t="shared" si="57"/>
        <v>1.3496305424347996</v>
      </c>
      <c r="V197" s="378">
        <f t="shared" si="58"/>
        <v>61.942671430141353</v>
      </c>
      <c r="W197" s="397">
        <f t="shared" si="59"/>
        <v>58.410707686368241</v>
      </c>
      <c r="X197" s="153">
        <f t="shared" si="60"/>
        <v>45474</v>
      </c>
      <c r="Y197" s="380">
        <f t="shared" si="61"/>
        <v>57.116319217257605</v>
      </c>
      <c r="Z197" s="380">
        <f t="shared" si="62"/>
        <v>57.865540168126643</v>
      </c>
      <c r="AA197" s="381">
        <f t="shared" si="63"/>
        <v>60.826023713793148</v>
      </c>
      <c r="AB197" s="193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4.8671331198576737E-2</v>
      </c>
      <c r="AD197" s="227">
        <f>(INDEX(Models!$BJ197:$BT197,,AH197)*(1-AF197)+INDEX(Models!$BJ197:$BT197,,AH197+1)*AF197-ERP_i)*AE197*Ramure*Pc/MaxiM</f>
        <v>2.2491566160430294E-6</v>
      </c>
      <c r="AE197" s="301">
        <f t="shared" si="65"/>
        <v>0.5</v>
      </c>
      <c r="AF197" s="173">
        <f t="shared" si="66"/>
        <v>0.34963054243479963</v>
      </c>
      <c r="AG197" s="802">
        <f t="shared" si="74"/>
        <v>1</v>
      </c>
      <c r="AH197" s="172">
        <f t="shared" si="67"/>
        <v>7</v>
      </c>
      <c r="AI197" s="221">
        <f t="shared" si="68"/>
        <v>1.3496305424347996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1"/>
        <v>45475</v>
      </c>
      <c r="B198" s="406">
        <f>'2023'!Wh/'2023'!Env_an*'2024'!Env_an</f>
        <v>54.321997150958083</v>
      </c>
      <c r="C198" s="385"/>
      <c r="D198" s="388">
        <f t="shared" si="50"/>
        <v>55.03531708517211</v>
      </c>
      <c r="E198" s="380">
        <f t="shared" si="75"/>
        <v>56.572383419088943</v>
      </c>
      <c r="F198" s="380">
        <f t="shared" si="51"/>
        <v>56.572494637609744</v>
      </c>
      <c r="G198" s="110">
        <f t="shared" si="76"/>
        <v>0.87836794041274147</v>
      </c>
      <c r="H198" s="409" t="b">
        <f>Wh_hp&gt;='2023'!Maxi_hp</f>
        <v>0</v>
      </c>
      <c r="I198" s="375">
        <f>IF(H198,Wh_hp,'2023'!Maxi_hp)</f>
        <v>56.572512342917904</v>
      </c>
      <c r="J198" s="85">
        <f>IF(H198,An,'2023'!An_max)</f>
        <v>2022</v>
      </c>
      <c r="K198" s="193">
        <f t="shared" si="52"/>
        <v>45475</v>
      </c>
      <c r="L198" s="143">
        <f>IF(t&lt;Tvie,1-EXP((T0-t)*PertePVj)+'2023'!Pspv,1-EXP((T0-t)*PertePVj)+Pspv)</f>
        <v>1.2961130633809215E-2</v>
      </c>
      <c r="M198" s="836"/>
      <c r="N198" s="836"/>
      <c r="O198" s="48">
        <f>IF(t&lt;Tnet,'2023'!Resal+('2023'!Salim-'2023'!Resal)*(1-EXP(('2023'!Tnet-t)/('2023'!Tau_j))),Resal+(Salim-Resal)*(1-EXP((Tnet-t)/(Tau_j))))*Salcycl</f>
        <v>2.7169905897904783E-2</v>
      </c>
      <c r="P198" s="165">
        <f>(INDEX(Models!$BJ198:$BT198,,T198)*(1-R198)+INDEX(Models!$BJ198:$BT198,,T198+1)*R198-ERP_i)*Q198*Ramure*Pc/MaxiM</f>
        <v>2.3793884030983659E-6</v>
      </c>
      <c r="Q198" s="301">
        <f t="shared" si="53"/>
        <v>0.5</v>
      </c>
      <c r="R198" s="173">
        <f t="shared" si="54"/>
        <v>0.3538160682020961</v>
      </c>
      <c r="S198" s="802">
        <f t="shared" si="55"/>
        <v>1</v>
      </c>
      <c r="T198" s="172">
        <f t="shared" si="56"/>
        <v>7</v>
      </c>
      <c r="U198" s="247">
        <f t="shared" si="57"/>
        <v>1.3538160682020961</v>
      </c>
      <c r="V198" s="378">
        <f t="shared" si="58"/>
        <v>61.844213788609395</v>
      </c>
      <c r="W198" s="397">
        <f t="shared" si="59"/>
        <v>54.321997150958083</v>
      </c>
      <c r="X198" s="153">
        <f t="shared" si="60"/>
        <v>45475</v>
      </c>
      <c r="Y198" s="380">
        <f t="shared" si="61"/>
        <v>53.118970174230618</v>
      </c>
      <c r="Z198" s="380">
        <f t="shared" si="62"/>
        <v>53.81649276724027</v>
      </c>
      <c r="AA198" s="381">
        <f t="shared" si="63"/>
        <v>56.572383419088943</v>
      </c>
      <c r="AB198" s="193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4.8714416563166607E-2</v>
      </c>
      <c r="AD198" s="227">
        <f>(INDEX(Models!$BJ198:$BT198,,AH198)*(1-AF198)+INDEX(Models!$BJ198:$BT198,,AH198+1)*AF198-ERP_i)*AE198*Ramure*Pc/MaxiM</f>
        <v>2.3793884030983659E-6</v>
      </c>
      <c r="AE198" s="301">
        <f t="shared" si="65"/>
        <v>0.5</v>
      </c>
      <c r="AF198" s="173">
        <f t="shared" si="66"/>
        <v>0.3538160682020961</v>
      </c>
      <c r="AG198" s="802">
        <f t="shared" si="74"/>
        <v>1</v>
      </c>
      <c r="AH198" s="172">
        <f t="shared" si="67"/>
        <v>7</v>
      </c>
      <c r="AI198" s="221">
        <f t="shared" si="68"/>
        <v>1.3538160682020961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1"/>
        <v>45476</v>
      </c>
      <c r="B199" s="406">
        <f>'2023'!Wh/'2023'!Env_an*'2024'!Env_an</f>
        <v>50.567802854690235</v>
      </c>
      <c r="C199" s="385"/>
      <c r="D199" s="388">
        <f t="shared" si="50"/>
        <v>51.232526564424198</v>
      </c>
      <c r="E199" s="380">
        <f t="shared" si="75"/>
        <v>52.666497168047407</v>
      </c>
      <c r="F199" s="380">
        <f t="shared" si="51"/>
        <v>52.666596006629987</v>
      </c>
      <c r="G199" s="110">
        <f t="shared" si="76"/>
        <v>0.81902451038145019</v>
      </c>
      <c r="H199" s="409" t="b">
        <f>Wh_hp&gt;='2023'!Maxi_hp</f>
        <v>0</v>
      </c>
      <c r="I199" s="375">
        <f>IF(H199,Wh_hp,'2023'!Maxi_hp)</f>
        <v>52.666622044945932</v>
      </c>
      <c r="J199" s="85">
        <f>IF(H199,An,'2023'!An_max)</f>
        <v>2022</v>
      </c>
      <c r="K199" s="193">
        <f t="shared" si="52"/>
        <v>45476</v>
      </c>
      <c r="L199" s="143">
        <f>IF(t&lt;Tvie,1-EXP((T0-t)*PertePVj)+'2023'!Pspv,1-EXP((T0-t)*PertePVj)+Pspv)</f>
        <v>1.2974642367053257E-2</v>
      </c>
      <c r="M199" s="836"/>
      <c r="N199" s="836"/>
      <c r="O199" s="48">
        <f>IF(t&lt;Tnet,'2023'!Resal+('2023'!Salim-'2023'!Resal)*(1-EXP(('2023'!Tnet-t)/('2023'!Tau_j))),Resal+(Salim-Resal)*(1-EXP((Tnet-t)/(Tau_j))))*Salcycl</f>
        <v>2.7227377568850249E-2</v>
      </c>
      <c r="P199" s="165">
        <f>(INDEX(Models!$BJ199:$BT199,,T199)*(1-R199)+INDEX(Models!$BJ199:$BT199,,T199+1)*R199-ERP_i)*Q199*Ramure*Pc/MaxiM</f>
        <v>2.5310515074167929E-6</v>
      </c>
      <c r="Q199" s="301">
        <f t="shared" si="53"/>
        <v>0.5</v>
      </c>
      <c r="R199" s="173">
        <f t="shared" si="54"/>
        <v>0.3579265484260532</v>
      </c>
      <c r="S199" s="802">
        <f t="shared" si="55"/>
        <v>1</v>
      </c>
      <c r="T199" s="172">
        <f t="shared" si="56"/>
        <v>7</v>
      </c>
      <c r="U199" s="247">
        <f t="shared" si="57"/>
        <v>1.3579265484260532</v>
      </c>
      <c r="V199" s="378">
        <f t="shared" si="58"/>
        <v>61.741460876638818</v>
      </c>
      <c r="W199" s="397">
        <f t="shared" si="59"/>
        <v>50.567802854690235</v>
      </c>
      <c r="X199" s="153">
        <f t="shared" si="60"/>
        <v>45476</v>
      </c>
      <c r="Y199" s="380">
        <f t="shared" si="61"/>
        <v>49.44863647131622</v>
      </c>
      <c r="Z199" s="380">
        <f t="shared" si="62"/>
        <v>50.098648518921934</v>
      </c>
      <c r="AA199" s="381">
        <f t="shared" si="63"/>
        <v>52.666497168047407</v>
      </c>
      <c r="AB199" s="193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4.8756776835414406E-2</v>
      </c>
      <c r="AD199" s="227">
        <f>(INDEX(Models!$BJ199:$BT199,,AH199)*(1-AF199)+INDEX(Models!$BJ199:$BT199,,AH199+1)*AF199-ERP_i)*AE199*Ramure*Pc/MaxiM</f>
        <v>2.5310515074167929E-6</v>
      </c>
      <c r="AE199" s="301">
        <f t="shared" si="65"/>
        <v>0.5</v>
      </c>
      <c r="AF199" s="173">
        <f t="shared" si="66"/>
        <v>0.3579265484260532</v>
      </c>
      <c r="AG199" s="802">
        <f t="shared" si="74"/>
        <v>1</v>
      </c>
      <c r="AH199" s="172">
        <f t="shared" si="67"/>
        <v>7</v>
      </c>
      <c r="AI199" s="221">
        <f t="shared" si="68"/>
        <v>1.3579265484260532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1"/>
        <v>45477</v>
      </c>
      <c r="B200" s="406">
        <f>'2023'!Wh/'2023'!Env_an*'2024'!Env_an</f>
        <v>60.635655431370054</v>
      </c>
      <c r="C200" s="385"/>
      <c r="D200" s="388">
        <f t="shared" si="50"/>
        <v>61.433564016382299</v>
      </c>
      <c r="E200" s="380">
        <f t="shared" si="75"/>
        <v>63.156760703571472</v>
      </c>
      <c r="F200" s="380">
        <f t="shared" si="51"/>
        <v>63.156927559607908</v>
      </c>
      <c r="G200" s="110">
        <f t="shared" si="76"/>
        <v>0.9837903739149515</v>
      </c>
      <c r="H200" s="409" t="b">
        <f>Wh_hp&gt;='2023'!Maxi_hp</f>
        <v>0</v>
      </c>
      <c r="I200" s="375">
        <f>IF(H200,Wh_hp,'2023'!Maxi_hp)</f>
        <v>63.156930543219005</v>
      </c>
      <c r="J200" s="85">
        <f>IF(H200,An,'2023'!An_max)</f>
        <v>2022</v>
      </c>
      <c r="K200" s="193">
        <f t="shared" si="52"/>
        <v>45477</v>
      </c>
      <c r="L200" s="143">
        <f>IF(t&lt;Tvie,1-EXP((T0-t)*PertePVj)+'2023'!Pspv,1-EXP((T0-t)*PertePVj)+Pspv)</f>
        <v>1.2988153915333145E-2</v>
      </c>
      <c r="M200" s="836"/>
      <c r="N200" s="836"/>
      <c r="O200" s="48">
        <f>IF(t&lt;Tnet,'2023'!Resal+('2023'!Salim-'2023'!Resal)*(1-EXP(('2023'!Tnet-t)/('2023'!Tau_j))),Resal+(Salim-Resal)*(1-EXP((Tnet-t)/(Tau_j))))*Salcycl</f>
        <v>2.7284437453609405E-2</v>
      </c>
      <c r="P200" s="165">
        <f>(INDEX(Models!$BJ200:$BT200,,T200)*(1-R200)+INDEX(Models!$BJ200:$BT200,,T200+1)*R200-ERP_i)*Q200*Ramure*Pc/MaxiM</f>
        <v>2.7045558034183036E-6</v>
      </c>
      <c r="Q200" s="301">
        <f t="shared" si="53"/>
        <v>0.5</v>
      </c>
      <c r="R200" s="173">
        <f t="shared" si="54"/>
        <v>0.36196060678602704</v>
      </c>
      <c r="S200" s="802">
        <f t="shared" si="55"/>
        <v>1</v>
      </c>
      <c r="T200" s="172">
        <f t="shared" si="56"/>
        <v>7</v>
      </c>
      <c r="U200" s="247">
        <f t="shared" si="57"/>
        <v>1.361960606786027</v>
      </c>
      <c r="V200" s="378">
        <f t="shared" si="58"/>
        <v>61.634727520830502</v>
      </c>
      <c r="W200" s="397">
        <f t="shared" si="59"/>
        <v>60.635655431370054</v>
      </c>
      <c r="X200" s="153">
        <f t="shared" si="60"/>
        <v>45477</v>
      </c>
      <c r="Y200" s="380">
        <f t="shared" si="61"/>
        <v>59.294549044497892</v>
      </c>
      <c r="Z200" s="380">
        <f t="shared" si="62"/>
        <v>60.07480992220183</v>
      </c>
      <c r="AA200" s="381">
        <f t="shared" si="63"/>
        <v>63.156760703571472</v>
      </c>
      <c r="AB200" s="193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4.8798430239874006E-2</v>
      </c>
      <c r="AD200" s="227">
        <f>(INDEX(Models!$BJ200:$BT200,,AH200)*(1-AF200)+INDEX(Models!$BJ200:$BT200,,AH200+1)*AF200-ERP_i)*AE200*Ramure*Pc/MaxiM</f>
        <v>2.7045558034183036E-6</v>
      </c>
      <c r="AE200" s="301">
        <f t="shared" si="65"/>
        <v>0.5</v>
      </c>
      <c r="AF200" s="173">
        <f t="shared" si="66"/>
        <v>0.36196060678602704</v>
      </c>
      <c r="AG200" s="802">
        <f t="shared" si="74"/>
        <v>1</v>
      </c>
      <c r="AH200" s="172">
        <f t="shared" si="67"/>
        <v>7</v>
      </c>
      <c r="AI200" s="221">
        <f t="shared" si="68"/>
        <v>1.361960606786027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1"/>
        <v>45478</v>
      </c>
      <c r="B201" s="406">
        <f>'2023'!Wh/'2023'!Env_an*'2024'!Env_an</f>
        <v>44.64017425973524</v>
      </c>
      <c r="C201" s="385"/>
      <c r="D201" s="388">
        <f t="shared" si="50"/>
        <v>45.228216390393548</v>
      </c>
      <c r="E201" s="380">
        <f t="shared" si="75"/>
        <v>46.499565427572527</v>
      </c>
      <c r="F201" s="380">
        <f t="shared" si="51"/>
        <v>46.499647418296725</v>
      </c>
      <c r="G201" s="110">
        <f t="shared" si="76"/>
        <v>0.72556864347329497</v>
      </c>
      <c r="H201" s="409" t="b">
        <f>Wh_hp&gt;='2023'!Maxi_hp</f>
        <v>0</v>
      </c>
      <c r="I201" s="375">
        <f>IF(H201,Wh_hp,'2023'!Maxi_hp)</f>
        <v>46.499687245486641</v>
      </c>
      <c r="J201" s="85">
        <f>IF(H201,An,'2023'!An_max)</f>
        <v>2022</v>
      </c>
      <c r="K201" s="193">
        <f t="shared" si="52"/>
        <v>45478</v>
      </c>
      <c r="L201" s="143">
        <f>IF(t&lt;Tvie,1-EXP((T0-t)*PertePVj)+'2023'!Pspv,1-EXP((T0-t)*PertePVj)+Pspv)</f>
        <v>1.300166527865132E-2</v>
      </c>
      <c r="M201" s="836"/>
      <c r="N201" s="836"/>
      <c r="O201" s="48">
        <f>IF(t&lt;Tnet,'2023'!Resal+('2023'!Salim-'2023'!Resal)*(1-EXP(('2023'!Tnet-t)/('2023'!Tau_j))),Resal+(Salim-Resal)*(1-EXP((Tnet-t)/(Tau_j))))*Salcycl</f>
        <v>2.7341095029355108E-2</v>
      </c>
      <c r="P201" s="165">
        <f>(INDEX(Models!$BJ201:$BT201,,T201)*(1-R201)+INDEX(Models!$BJ201:$BT201,,T201+1)*R201-ERP_i)*Q201*Ramure*Pc/MaxiM</f>
        <v>2.9002981103007595E-6</v>
      </c>
      <c r="Q201" s="301">
        <f t="shared" si="53"/>
        <v>0.5</v>
      </c>
      <c r="R201" s="173">
        <f t="shared" si="54"/>
        <v>0.3659170442471531</v>
      </c>
      <c r="S201" s="802">
        <f t="shared" si="55"/>
        <v>1</v>
      </c>
      <c r="T201" s="172">
        <f t="shared" si="56"/>
        <v>7</v>
      </c>
      <c r="U201" s="247">
        <f t="shared" si="57"/>
        <v>1.3659170442471531</v>
      </c>
      <c r="V201" s="378">
        <f t="shared" si="58"/>
        <v>61.524328405565974</v>
      </c>
      <c r="W201" s="397">
        <f t="shared" si="59"/>
        <v>44.64017425973524</v>
      </c>
      <c r="X201" s="153">
        <f t="shared" si="60"/>
        <v>45478</v>
      </c>
      <c r="Y201" s="380">
        <f t="shared" si="61"/>
        <v>43.653509861893774</v>
      </c>
      <c r="Z201" s="380">
        <f t="shared" si="62"/>
        <v>44.228554726202368</v>
      </c>
      <c r="AA201" s="381">
        <f t="shared" si="63"/>
        <v>46.499565427572527</v>
      </c>
      <c r="AB201" s="193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4.883939625000313E-2</v>
      </c>
      <c r="AD201" s="227">
        <f>(INDEX(Models!$BJ201:$BT201,,AH201)*(1-AF201)+INDEX(Models!$BJ201:$BT201,,AH201+1)*AF201-ERP_i)*AE201*Ramure*Pc/MaxiM</f>
        <v>2.9002981103007595E-6</v>
      </c>
      <c r="AE201" s="301">
        <f t="shared" si="65"/>
        <v>0.5</v>
      </c>
      <c r="AF201" s="173">
        <f t="shared" si="66"/>
        <v>0.3659170442471531</v>
      </c>
      <c r="AG201" s="802">
        <f t="shared" si="74"/>
        <v>1</v>
      </c>
      <c r="AH201" s="172">
        <f t="shared" si="67"/>
        <v>7</v>
      </c>
      <c r="AI201" s="221">
        <f t="shared" si="68"/>
        <v>1.3659170442471531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1"/>
        <v>45479</v>
      </c>
      <c r="B202" s="406">
        <f>'2023'!Wh/'2023'!Env_an*'2024'!Env_an</f>
        <v>60.175838097167258</v>
      </c>
      <c r="C202" s="385"/>
      <c r="D202" s="388">
        <f t="shared" si="50"/>
        <v>60.969365142974958</v>
      </c>
      <c r="E202" s="380">
        <f t="shared" si="75"/>
        <v>62.686818505304856</v>
      </c>
      <c r="F202" s="380">
        <f t="shared" si="51"/>
        <v>62.687008389486472</v>
      </c>
      <c r="G202" s="110">
        <f t="shared" si="76"/>
        <v>0.97989360453522001</v>
      </c>
      <c r="H202" s="409" t="b">
        <f>Wh_hp&gt;='2023'!Maxi_hp</f>
        <v>0</v>
      </c>
      <c r="I202" s="375">
        <f>IF(H202,Wh_hp,'2023'!Maxi_hp)</f>
        <v>62.68701261444199</v>
      </c>
      <c r="J202" s="85">
        <f>IF(H202,An,'2023'!An_max)</f>
        <v>2022</v>
      </c>
      <c r="K202" s="193">
        <f t="shared" si="52"/>
        <v>45479</v>
      </c>
      <c r="L202" s="143">
        <f>IF(t&lt;Tvie,1-EXP((T0-t)*PertePVj)+'2023'!Pspv,1-EXP((T0-t)*PertePVj)+Pspv)</f>
        <v>1.3015176457010114E-2</v>
      </c>
      <c r="M202" s="836"/>
      <c r="N202" s="836"/>
      <c r="O202" s="48">
        <f>IF(t&lt;Tnet,'2023'!Resal+('2023'!Salim-'2023'!Resal)*(1-EXP(('2023'!Tnet-t)/('2023'!Tau_j))),Resal+(Salim-Resal)*(1-EXP((Tnet-t)/(Tau_j))))*Salcycl</f>
        <v>2.7397360454408139E-2</v>
      </c>
      <c r="P202" s="165">
        <f>(INDEX(Models!$BJ202:$BT202,,T202)*(1-R202)+INDEX(Models!$BJ202:$BT202,,T202+1)*R202-ERP_i)*Q202*Ramure*Pc/MaxiM</f>
        <v>3.118661727623648E-6</v>
      </c>
      <c r="Q202" s="301">
        <f t="shared" si="53"/>
        <v>0.5</v>
      </c>
      <c r="R202" s="173">
        <f t="shared" si="54"/>
        <v>0.36979483596219254</v>
      </c>
      <c r="S202" s="802">
        <f t="shared" si="55"/>
        <v>1</v>
      </c>
      <c r="T202" s="172">
        <f t="shared" si="56"/>
        <v>7</v>
      </c>
      <c r="U202" s="247">
        <f t="shared" si="57"/>
        <v>1.3697948359621925</v>
      </c>
      <c r="V202" s="378">
        <f t="shared" si="58"/>
        <v>61.41057807520572</v>
      </c>
      <c r="W202" s="397">
        <f t="shared" si="59"/>
        <v>60.175838097167258</v>
      </c>
      <c r="X202" s="153">
        <f t="shared" si="60"/>
        <v>45479</v>
      </c>
      <c r="Y202" s="380">
        <f t="shared" si="61"/>
        <v>58.846705869962129</v>
      </c>
      <c r="Z202" s="380">
        <f t="shared" si="62"/>
        <v>59.622705908201795</v>
      </c>
      <c r="AA202" s="381">
        <f t="shared" si="63"/>
        <v>62.686818505304856</v>
      </c>
      <c r="AB202" s="193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4.8879695447357298E-2</v>
      </c>
      <c r="AD202" s="227">
        <f>(INDEX(Models!$BJ202:$BT202,,AH202)*(1-AF202)+INDEX(Models!$BJ202:$BT202,,AH202+1)*AF202-ERP_i)*AE202*Ramure*Pc/MaxiM</f>
        <v>3.118661727623648E-6</v>
      </c>
      <c r="AE202" s="301">
        <f t="shared" si="65"/>
        <v>0.5</v>
      </c>
      <c r="AF202" s="173">
        <f t="shared" si="66"/>
        <v>0.36979483596219254</v>
      </c>
      <c r="AG202" s="802">
        <f t="shared" si="74"/>
        <v>1</v>
      </c>
      <c r="AH202" s="172">
        <f t="shared" si="67"/>
        <v>7</v>
      </c>
      <c r="AI202" s="221">
        <f t="shared" si="68"/>
        <v>1.3697948359621925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1"/>
        <v>45480</v>
      </c>
      <c r="B203" s="406">
        <f>'2023'!Wh/'2023'!Env_an*'2024'!Env_an</f>
        <v>63.100470611429294</v>
      </c>
      <c r="C203" s="385"/>
      <c r="D203" s="388">
        <f t="shared" si="50"/>
        <v>63.933439411146999</v>
      </c>
      <c r="E203" s="380">
        <f t="shared" si="75"/>
        <v>65.738165336502021</v>
      </c>
      <c r="F203" s="380">
        <f t="shared" si="51"/>
        <v>65.738386218533634</v>
      </c>
      <c r="G203" s="110">
        <f t="shared" si="76"/>
        <v>1.0294757370422232</v>
      </c>
      <c r="H203" s="409" t="b">
        <f>Wh_hp&gt;='2023'!Maxi_hp</f>
        <v>1</v>
      </c>
      <c r="I203" s="375">
        <f>IF(H203,Wh_hp,'2023'!Maxi_hp)</f>
        <v>65.738386218533634</v>
      </c>
      <c r="J203" s="85">
        <f>IF(H203,An,'2023'!An_max)</f>
        <v>2024</v>
      </c>
      <c r="K203" s="193">
        <f t="shared" si="52"/>
        <v>45480</v>
      </c>
      <c r="L203" s="143">
        <f>IF(t&lt;Tvie,1-EXP((T0-t)*PertePVj)+'2023'!Pspv,1-EXP((T0-t)*PertePVj)+Pspv)</f>
        <v>1.3028687450412302E-2</v>
      </c>
      <c r="M203" s="836"/>
      <c r="N203" s="836"/>
      <c r="O203" s="48">
        <f>IF(t&lt;Tnet,'2023'!Resal+('2023'!Salim-'2023'!Resal)*(1-EXP(('2023'!Tnet-t)/('2023'!Tau_j))),Resal+(Salim-Resal)*(1-EXP((Tnet-t)/(Tau_j))))*Salcycl</f>
        <v>2.7453244490730042E-2</v>
      </c>
      <c r="P203" s="165">
        <f>(INDEX(Models!$BJ203:$BT203,,T203)*(1-R203)+INDEX(Models!$BJ203:$BT203,,T203+1)*R203-ERP_i)*Q203*Ramure*Pc/MaxiM</f>
        <v>3.3600160320477745E-6</v>
      </c>
      <c r="Q203" s="301">
        <f t="shared" si="53"/>
        <v>0.5</v>
      </c>
      <c r="R203" s="173">
        <f t="shared" si="54"/>
        <v>0.37359312752779505</v>
      </c>
      <c r="S203" s="802">
        <f t="shared" si="55"/>
        <v>1</v>
      </c>
      <c r="T203" s="172">
        <f t="shared" si="56"/>
        <v>7</v>
      </c>
      <c r="U203" s="247">
        <f t="shared" si="57"/>
        <v>1.3735931275277951</v>
      </c>
      <c r="V203" s="378">
        <f t="shared" si="58"/>
        <v>61.293790947150086</v>
      </c>
      <c r="W203" s="397">
        <f t="shared" si="59"/>
        <v>63.100470611429294</v>
      </c>
      <c r="X203" s="153">
        <f t="shared" si="60"/>
        <v>45480</v>
      </c>
      <c r="Y203" s="380">
        <f t="shared" si="61"/>
        <v>61.707713591921198</v>
      </c>
      <c r="Z203" s="380">
        <f t="shared" si="62"/>
        <v>62.522297058984542</v>
      </c>
      <c r="AA203" s="381">
        <f t="shared" si="63"/>
        <v>65.738165336502021</v>
      </c>
      <c r="AB203" s="193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4.8919349377276058E-2</v>
      </c>
      <c r="AD203" s="227">
        <f>(INDEX(Models!$BJ203:$BT203,,AH203)*(1-AF203)+INDEX(Models!$BJ203:$BT203,,AH203+1)*AF203-ERP_i)*AE203*Ramure*Pc/MaxiM</f>
        <v>3.3600160320477745E-6</v>
      </c>
      <c r="AE203" s="301">
        <f t="shared" si="65"/>
        <v>0.5</v>
      </c>
      <c r="AF203" s="173">
        <f t="shared" si="66"/>
        <v>0.37359312752779505</v>
      </c>
      <c r="AG203" s="802">
        <f t="shared" si="74"/>
        <v>1</v>
      </c>
      <c r="AH203" s="172">
        <f t="shared" si="67"/>
        <v>7</v>
      </c>
      <c r="AI203" s="221">
        <f t="shared" si="68"/>
        <v>1.3735931275277951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1"/>
        <v>45481</v>
      </c>
      <c r="B204" s="406">
        <f>'2023'!Wh/'2023'!Env_an*'2024'!Env_an</f>
        <v>62.126593937632535</v>
      </c>
      <c r="C204" s="385"/>
      <c r="D204" s="388">
        <f t="shared" si="50"/>
        <v>62.947568607322452</v>
      </c>
      <c r="E204" s="380">
        <f t="shared" si="75"/>
        <v>64.728159921871608</v>
      </c>
      <c r="F204" s="380">
        <f t="shared" si="51"/>
        <v>64.728394543927067</v>
      </c>
      <c r="G204" s="110">
        <f t="shared" si="76"/>
        <v>1.0155672058317351</v>
      </c>
      <c r="H204" s="409" t="b">
        <f>Wh_hp&gt;='2023'!Maxi_hp</f>
        <v>1</v>
      </c>
      <c r="I204" s="375">
        <f>IF(H204,Wh_hp,'2023'!Maxi_hp)</f>
        <v>64.728394543927067</v>
      </c>
      <c r="J204" s="85">
        <f>IF(H204,An,'2023'!An_max)</f>
        <v>2024</v>
      </c>
      <c r="K204" s="193">
        <f t="shared" si="52"/>
        <v>45481</v>
      </c>
      <c r="L204" s="143">
        <f>IF(t&lt;Tvie,1-EXP((T0-t)*PertePVj)+'2023'!Pspv,1-EXP((T0-t)*PertePVj)+Pspv)</f>
        <v>1.3042198258860438E-2</v>
      </c>
      <c r="M204" s="836"/>
      <c r="N204" s="836"/>
      <c r="O204" s="48">
        <f>IF(t&lt;Tnet,'2023'!Resal+('2023'!Salim-'2023'!Resal)*(1-EXP(('2023'!Tnet-t)/('2023'!Tau_j))),Resal+(Salim-Resal)*(1-EXP((Tnet-t)/(Tau_j))))*Salcycl</f>
        <v>2.7508758424437871E-2</v>
      </c>
      <c r="P204" s="165">
        <f>(INDEX(Models!$BJ204:$BT204,,T204)*(1-R204)+INDEX(Models!$BJ204:$BT204,,T204+1)*R204-ERP_i)*Q204*Ramure*Pc/MaxiM</f>
        <v>3.624716125215058E-6</v>
      </c>
      <c r="Q204" s="301">
        <f t="shared" si="53"/>
        <v>0.5</v>
      </c>
      <c r="R204" s="173">
        <f t="shared" si="54"/>
        <v>0.37731123065324712</v>
      </c>
      <c r="S204" s="802">
        <f t="shared" si="55"/>
        <v>1</v>
      </c>
      <c r="T204" s="172">
        <f t="shared" si="56"/>
        <v>7</v>
      </c>
      <c r="U204" s="247">
        <f t="shared" si="57"/>
        <v>1.3773112306532471</v>
      </c>
      <c r="V204" s="378">
        <f t="shared" si="58"/>
        <v>61.174281308888602</v>
      </c>
      <c r="W204" s="397">
        <f t="shared" si="59"/>
        <v>62.126593937632535</v>
      </c>
      <c r="X204" s="153">
        <f t="shared" si="60"/>
        <v>45481</v>
      </c>
      <c r="Y204" s="380">
        <f t="shared" si="61"/>
        <v>60.756307093130019</v>
      </c>
      <c r="Z204" s="380">
        <f t="shared" si="62"/>
        <v>61.559174045685545</v>
      </c>
      <c r="AA204" s="381">
        <f t="shared" si="63"/>
        <v>64.728159921871608</v>
      </c>
      <c r="AB204" s="193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4.8958380402148019E-2</v>
      </c>
      <c r="AD204" s="227">
        <f>(INDEX(Models!$BJ204:$BT204,,AH204)*(1-AF204)+INDEX(Models!$BJ204:$BT204,,AH204+1)*AF204-ERP_i)*AE204*Ramure*Pc/MaxiM</f>
        <v>3.624716125215058E-6</v>
      </c>
      <c r="AE204" s="301">
        <f t="shared" si="65"/>
        <v>0.5</v>
      </c>
      <c r="AF204" s="173">
        <f t="shared" si="66"/>
        <v>0.37731123065324712</v>
      </c>
      <c r="AG204" s="802">
        <f t="shared" si="74"/>
        <v>1</v>
      </c>
      <c r="AH204" s="172">
        <f t="shared" si="67"/>
        <v>7</v>
      </c>
      <c r="AI204" s="221">
        <f t="shared" si="68"/>
        <v>1.3773112306532471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1"/>
        <v>45482</v>
      </c>
      <c r="B205" s="406">
        <f>'2023'!Wh/'2023'!Env_an*'2024'!Env_an</f>
        <v>61.473596961919149</v>
      </c>
      <c r="C205" s="385"/>
      <c r="D205" s="388">
        <f t="shared" si="50"/>
        <v>62.286795227626008</v>
      </c>
      <c r="E205" s="380">
        <f t="shared" si="75"/>
        <v>64.052328089624183</v>
      </c>
      <c r="F205" s="380">
        <f t="shared" si="51"/>
        <v>64.052578735294134</v>
      </c>
      <c r="G205" s="110">
        <f t="shared" si="76"/>
        <v>1.0069050210726644</v>
      </c>
      <c r="H205" s="409" t="b">
        <f>Wh_hp&gt;='2023'!Maxi_hp</f>
        <v>1</v>
      </c>
      <c r="I205" s="375">
        <f>IF(H205,Wh_hp,'2023'!Maxi_hp)</f>
        <v>64.052578735294134</v>
      </c>
      <c r="J205" s="85">
        <f>IF(H205,An,'2023'!An_max)</f>
        <v>2024</v>
      </c>
      <c r="K205" s="193">
        <f t="shared" si="52"/>
        <v>45482</v>
      </c>
      <c r="L205" s="143">
        <f>IF(t&lt;Tvie,1-EXP((T0-t)*PertePVj)+'2023'!Pspv,1-EXP((T0-t)*PertePVj)+Pspv)</f>
        <v>1.3055708882356853E-2</v>
      </c>
      <c r="M205" s="836"/>
      <c r="N205" s="836"/>
      <c r="O205" s="48">
        <f>IF(t&lt;Tnet,'2023'!Resal+('2023'!Salim-'2023'!Resal)*(1-EXP(('2023'!Tnet-t)/('2023'!Tau_j))),Resal+(Salim-Resal)*(1-EXP((Tnet-t)/(Tau_j))))*Salcycl</f>
        <v>2.7563913984949669E-2</v>
      </c>
      <c r="P205" s="165">
        <f>(INDEX(Models!$BJ205:$BT205,,T205)*(1-R205)+INDEX(Models!$BJ205:$BT205,,T205+1)*R205-ERP_i)*Q205*Ramure*Pc/MaxiM</f>
        <v>3.9131237944642143E-6</v>
      </c>
      <c r="Q205" s="301">
        <f t="shared" si="53"/>
        <v>0.5</v>
      </c>
      <c r="R205" s="173">
        <f t="shared" si="54"/>
        <v>0.38094861830107574</v>
      </c>
      <c r="S205" s="802">
        <f t="shared" si="55"/>
        <v>1</v>
      </c>
      <c r="T205" s="172">
        <f t="shared" si="56"/>
        <v>7</v>
      </c>
      <c r="U205" s="247">
        <f t="shared" si="57"/>
        <v>1.3809486183010757</v>
      </c>
      <c r="V205" s="378">
        <f t="shared" si="58"/>
        <v>61.052031398582976</v>
      </c>
      <c r="W205" s="397">
        <f t="shared" si="59"/>
        <v>61.473596961919149</v>
      </c>
      <c r="X205" s="153">
        <f t="shared" si="60"/>
        <v>45482</v>
      </c>
      <c r="Y205" s="380">
        <f t="shared" si="61"/>
        <v>60.118693204444341</v>
      </c>
      <c r="Z205" s="380">
        <f t="shared" si="62"/>
        <v>60.913968240663579</v>
      </c>
      <c r="AA205" s="381">
        <f t="shared" si="63"/>
        <v>64.052328089624183</v>
      </c>
      <c r="AB205" s="193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4.8996811553349139E-2</v>
      </c>
      <c r="AD205" s="227">
        <f>(INDEX(Models!$BJ205:$BT205,,AH205)*(1-AF205)+INDEX(Models!$BJ205:$BT205,,AH205+1)*AF205-ERP_i)*AE205*Ramure*Pc/MaxiM</f>
        <v>3.9131237944642143E-6</v>
      </c>
      <c r="AE205" s="301">
        <f t="shared" si="65"/>
        <v>0.5</v>
      </c>
      <c r="AF205" s="173">
        <f t="shared" si="66"/>
        <v>0.38094861830107574</v>
      </c>
      <c r="AG205" s="802">
        <f t="shared" si="74"/>
        <v>1</v>
      </c>
      <c r="AH205" s="172">
        <f t="shared" si="67"/>
        <v>7</v>
      </c>
      <c r="AI205" s="221">
        <f t="shared" si="68"/>
        <v>1.3809486183010757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1"/>
        <v>45483</v>
      </c>
      <c r="B206" s="406">
        <f>'2023'!Wh/'2023'!Env_an*'2024'!Env_an</f>
        <v>60.416547558521764</v>
      </c>
      <c r="C206" s="385"/>
      <c r="D206" s="388">
        <f t="shared" si="50"/>
        <v>61.216600739668721</v>
      </c>
      <c r="E206" s="380">
        <f t="shared" si="75"/>
        <v>62.955347047729681</v>
      </c>
      <c r="F206" s="380">
        <f t="shared" si="51"/>
        <v>62.955609423648767</v>
      </c>
      <c r="G206" s="110">
        <f t="shared" si="76"/>
        <v>0.99162714857197143</v>
      </c>
      <c r="H206" s="409" t="b">
        <f>Wh_hp&gt;='2023'!Maxi_hp</f>
        <v>0</v>
      </c>
      <c r="I206" s="375">
        <f>IF(H206,Wh_hp,'2023'!Maxi_hp)</f>
        <v>62.955611805473744</v>
      </c>
      <c r="J206" s="85">
        <f>IF(H206,An,'2023'!An_max)</f>
        <v>2022</v>
      </c>
      <c r="K206" s="193">
        <f t="shared" si="52"/>
        <v>45483</v>
      </c>
      <c r="L206" s="143">
        <f>IF(t&lt;Tvie,1-EXP((T0-t)*PertePVj)+'2023'!Pspv,1-EXP((T0-t)*PertePVj)+Pspv)</f>
        <v>1.3069219320904213E-2</v>
      </c>
      <c r="M206" s="836"/>
      <c r="N206" s="836"/>
      <c r="O206" s="48">
        <f>IF(t&lt;Tnet,'2023'!Resal+('2023'!Salim-'2023'!Resal)*(1-EXP(('2023'!Tnet-t)/('2023'!Tau_j))),Resal+(Salim-Resal)*(1-EXP((Tnet-t)/(Tau_j))))*Salcycl</f>
        <v>2.7618723263374678E-2</v>
      </c>
      <c r="P206" s="165">
        <f>(INDEX(Models!$BJ206:$BT206,,T206)*(1-R206)+INDEX(Models!$BJ206:$BT206,,T206+1)*R206-ERP_i)*Q206*Ramure*Pc/MaxiM</f>
        <v>4.2180868420771239E-6</v>
      </c>
      <c r="Q206" s="301">
        <f t="shared" si="53"/>
        <v>0.5</v>
      </c>
      <c r="R206" s="173">
        <f t="shared" si="54"/>
        <v>0.38450491935944009</v>
      </c>
      <c r="S206" s="802">
        <f t="shared" si="55"/>
        <v>1</v>
      </c>
      <c r="T206" s="172">
        <f t="shared" si="56"/>
        <v>7</v>
      </c>
      <c r="U206" s="247">
        <f t="shared" si="57"/>
        <v>1.3845049193594401</v>
      </c>
      <c r="V206" s="378">
        <f t="shared" si="58"/>
        <v>60.926674503929327</v>
      </c>
      <c r="W206" s="397">
        <f t="shared" si="59"/>
        <v>60.416547558521764</v>
      </c>
      <c r="X206" s="153">
        <f t="shared" si="60"/>
        <v>45483</v>
      </c>
      <c r="Y206" s="380">
        <f t="shared" si="61"/>
        <v>59.085919977603524</v>
      </c>
      <c r="Z206" s="380">
        <f t="shared" si="62"/>
        <v>59.868352608221599</v>
      </c>
      <c r="AA206" s="381">
        <f t="shared" si="63"/>
        <v>62.955347047729681</v>
      </c>
      <c r="AB206" s="193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4.9034666382947144E-2</v>
      </c>
      <c r="AD206" s="227">
        <f>(INDEX(Models!$BJ206:$BT206,,AH206)*(1-AF206)+INDEX(Models!$BJ206:$BT206,,AH206+1)*AF206-ERP_i)*AE206*Ramure*Pc/MaxiM</f>
        <v>4.2180868420771239E-6</v>
      </c>
      <c r="AE206" s="301">
        <f t="shared" si="65"/>
        <v>0.5</v>
      </c>
      <c r="AF206" s="173">
        <f t="shared" si="66"/>
        <v>0.38450491935944009</v>
      </c>
      <c r="AG206" s="802">
        <f t="shared" si="74"/>
        <v>1</v>
      </c>
      <c r="AH206" s="172">
        <f t="shared" si="67"/>
        <v>7</v>
      </c>
      <c r="AI206" s="221">
        <f t="shared" si="68"/>
        <v>1.3845049193594401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1"/>
        <v>45484</v>
      </c>
      <c r="B207" s="406">
        <f>'2023'!Wh/'2023'!Env_an*'2024'!Env_an</f>
        <v>59.470039116292561</v>
      </c>
      <c r="C207" s="385"/>
      <c r="D207" s="388">
        <f t="shared" ref="D207:D270" si="77">Wh/(1-Ppv)</f>
        <v>60.25838324893526</v>
      </c>
      <c r="E207" s="380">
        <f t="shared" si="75"/>
        <v>61.973385043052303</v>
      </c>
      <c r="F207" s="380">
        <f t="shared" ref="F207:F270" si="78">Wh_sa/(1-Pvg*MEDIAN((-Sdif+Wh/Env_an)/Csdif,0,1))</f>
        <v>61.97365716215716</v>
      </c>
      <c r="G207" s="110">
        <f t="shared" si="76"/>
        <v>0.97815766161387574</v>
      </c>
      <c r="H207" s="409" t="b">
        <f>Wh_hp&gt;='2023'!Maxi_hp</f>
        <v>0</v>
      </c>
      <c r="I207" s="375">
        <f>IF(H207,Wh_hp,'2023'!Maxi_hp)</f>
        <v>61.973663730586807</v>
      </c>
      <c r="J207" s="85">
        <f>IF(H207,An,'2023'!An_max)</f>
        <v>2022</v>
      </c>
      <c r="K207" s="193">
        <f t="shared" ref="K207:K270" si="79">t</f>
        <v>45484</v>
      </c>
      <c r="L207" s="143">
        <f>IF(t&lt;Tvie,1-EXP((T0-t)*PertePVj)+'2023'!Pspv,1-EXP((T0-t)*PertePVj)+Pspv)</f>
        <v>1.3082729574504959E-2</v>
      </c>
      <c r="M207" s="836"/>
      <c r="N207" s="836"/>
      <c r="O207" s="48">
        <f>IF(t&lt;Tnet,'2023'!Resal+('2023'!Salim-'2023'!Resal)*(1-EXP(('2023'!Tnet-t)/('2023'!Tau_j))),Resal+(Salim-Resal)*(1-EXP((Tnet-t)/(Tau_j))))*Salcycl</f>
        <v>2.7673198630761332E-2</v>
      </c>
      <c r="P207" s="165">
        <f>(INDEX(Models!$BJ207:$BT207,,T207)*(1-R207)+INDEX(Models!$BJ207:$BT207,,T207+1)*R207-ERP_i)*Q207*Ramure*Pc/MaxiM</f>
        <v>4.5323056185841339E-6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0.3879799129061583</v>
      </c>
      <c r="S207" s="802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1.3879799129061583</v>
      </c>
      <c r="V207" s="378">
        <f t="shared" ref="V207:V270" si="85">MaxiM*(1-Ppv)*(1-Pvg)*(1-Psa)</f>
        <v>60.798001221758696</v>
      </c>
      <c r="W207" s="397">
        <f t="shared" ref="W207:W270" si="86">Wh*(A207&gt;Tmaj)</f>
        <v>59.470039116292561</v>
      </c>
      <c r="X207" s="153">
        <f t="shared" ref="X207:X270" si="87">t</f>
        <v>45484</v>
      </c>
      <c r="Y207" s="380">
        <f t="shared" ref="Y207:Y270" si="88">Wh_pvt_s*(1-Ppv)</f>
        <v>58.161234609228025</v>
      </c>
      <c r="Z207" s="380">
        <f t="shared" ref="Z207:Z270" si="89">Wh_sa_s*(1-Psa_s)</f>
        <v>58.932229024782039</v>
      </c>
      <c r="AA207" s="381">
        <f t="shared" ref="AA207:AA270" si="90">Wh_hp*(1-Pvg_s*MEDIAN((-Sdif+Wh/Env_an)/Csdif,0,1))</f>
        <v>61.973385043052303</v>
      </c>
      <c r="AB207" s="193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4.9071968816252462E-2</v>
      </c>
      <c r="AD207" s="227">
        <f>(INDEX(Models!$BJ207:$BT207,,AH207)*(1-AF207)+INDEX(Models!$BJ207:$BT207,,AH207+1)*AF207-ERP_i)*AE207*Ramure*Pc/MaxiM</f>
        <v>4.5323056185841339E-6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0.3879799129061583</v>
      </c>
      <c r="AG207" s="802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1.3879799129061583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98">A207+1</f>
        <v>45485</v>
      </c>
      <c r="B208" s="406">
        <f>'2023'!Wh/'2023'!Env_an*'2024'!Env_an</f>
        <v>58.291653586196794</v>
      </c>
      <c r="C208" s="385"/>
      <c r="D208" s="388">
        <f t="shared" si="77"/>
        <v>59.065185408879252</v>
      </c>
      <c r="E208" s="380">
        <f t="shared" si="75"/>
        <v>60.749611305305571</v>
      </c>
      <c r="F208" s="380">
        <f t="shared" si="78"/>
        <v>60.74988980826582</v>
      </c>
      <c r="G208" s="110">
        <f t="shared" si="76"/>
        <v>0.96086487103958806</v>
      </c>
      <c r="H208" s="409" t="b">
        <f>Wh_hp&gt;='2023'!Maxi_hp</f>
        <v>0</v>
      </c>
      <c r="I208" s="375">
        <f>IF(H208,Wh_hp,'2023'!Maxi_hp)</f>
        <v>60.749902162317959</v>
      </c>
      <c r="J208" s="85">
        <f>IF(H208,An,'2023'!An_max)</f>
        <v>2022</v>
      </c>
      <c r="K208" s="193">
        <f t="shared" si="79"/>
        <v>45485</v>
      </c>
      <c r="L208" s="143">
        <f>IF(t&lt;Tvie,1-EXP((T0-t)*PertePVj)+'2023'!Pspv,1-EXP((T0-t)*PertePVj)+Pspv)</f>
        <v>1.3096239643161645E-2</v>
      </c>
      <c r="M208" s="836"/>
      <c r="N208" s="836"/>
      <c r="O208" s="48">
        <f>IF(t&lt;Tnet,'2023'!Resal+('2023'!Salim-'2023'!Resal)*(1-EXP(('2023'!Tnet-t)/('2023'!Tau_j))),Resal+(Salim-Resal)*(1-EXP((Tnet-t)/(Tau_j))))*Salcycl</f>
        <v>2.772735265680969E-2</v>
      </c>
      <c r="P208" s="165">
        <f>(INDEX(Models!$BJ208:$BT208,,T208)*(1-R208)+INDEX(Models!$BJ208:$BT208,,T208+1)*R208-ERP_i)*Q208*Ramure*Pc/MaxiM</f>
        <v>4.8558976313808548E-6</v>
      </c>
      <c r="Q208" s="301">
        <f t="shared" si="80"/>
        <v>0.5</v>
      </c>
      <c r="R208" s="173">
        <f t="shared" si="81"/>
        <v>0.39137352212350374</v>
      </c>
      <c r="S208" s="802">
        <f t="shared" si="82"/>
        <v>1</v>
      </c>
      <c r="T208" s="172">
        <f t="shared" si="83"/>
        <v>7</v>
      </c>
      <c r="U208" s="247">
        <f t="shared" si="84"/>
        <v>1.3913735221235037</v>
      </c>
      <c r="V208" s="378">
        <f t="shared" si="85"/>
        <v>60.665801735606358</v>
      </c>
      <c r="W208" s="397">
        <f t="shared" si="86"/>
        <v>58.291653586196794</v>
      </c>
      <c r="X208" s="153">
        <f t="shared" si="87"/>
        <v>45485</v>
      </c>
      <c r="Y208" s="380">
        <f t="shared" si="88"/>
        <v>57.009753285033305</v>
      </c>
      <c r="Z208" s="380">
        <f t="shared" si="89"/>
        <v>57.766274255982246</v>
      </c>
      <c r="AA208" s="381">
        <f t="shared" si="90"/>
        <v>60.749611305305571</v>
      </c>
      <c r="AB208" s="193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4.9108743006274574E-2</v>
      </c>
      <c r="AD208" s="227">
        <f>(INDEX(Models!$BJ208:$BT208,,AH208)*(1-AF208)+INDEX(Models!$BJ208:$BT208,,AH208+1)*AF208-ERP_i)*AE208*Ramure*Pc/MaxiM</f>
        <v>4.8558976313808548E-6</v>
      </c>
      <c r="AE208" s="301">
        <f t="shared" si="92"/>
        <v>0.5</v>
      </c>
      <c r="AF208" s="173">
        <f t="shared" si="93"/>
        <v>0.39137352212350374</v>
      </c>
      <c r="AG208" s="802">
        <f t="shared" ref="AG208:AG271" si="99">INDEX(Echel_vg,AH208)</f>
        <v>1</v>
      </c>
      <c r="AH208" s="172">
        <f t="shared" si="94"/>
        <v>7</v>
      </c>
      <c r="AI208" s="221">
        <f t="shared" si="95"/>
        <v>1.3913735221235037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98"/>
        <v>45486</v>
      </c>
      <c r="B209" s="406">
        <f>'2023'!Wh/'2023'!Env_an*'2024'!Env_an</f>
        <v>58.135631370021613</v>
      </c>
      <c r="C209" s="385"/>
      <c r="D209" s="388">
        <f t="shared" si="77"/>
        <v>58.907899173338606</v>
      </c>
      <c r="E209" s="380">
        <f t="shared" si="75"/>
        <v>60.591195165072207</v>
      </c>
      <c r="F209" s="380">
        <f t="shared" si="78"/>
        <v>60.591491807405774</v>
      </c>
      <c r="G209" s="110">
        <f t="shared" si="76"/>
        <v>0.96044511400427457</v>
      </c>
      <c r="H209" s="409" t="b">
        <f>Wh_hp&gt;='2023'!Maxi_hp</f>
        <v>0</v>
      </c>
      <c r="I209" s="375">
        <f>IF(H209,Wh_hp,'2023'!Maxi_hp)</f>
        <v>60.591505110474671</v>
      </c>
      <c r="J209" s="85">
        <f>IF(H209,An,'2023'!An_max)</f>
        <v>2022</v>
      </c>
      <c r="K209" s="193">
        <f t="shared" si="79"/>
        <v>45486</v>
      </c>
      <c r="L209" s="143">
        <f>IF(t&lt;Tvie,1-EXP((T0-t)*PertePVj)+'2023'!Pspv,1-EXP((T0-t)*PertePVj)+Pspv)</f>
        <v>1.3109749526876935E-2</v>
      </c>
      <c r="M209" s="836"/>
      <c r="N209" s="836"/>
      <c r="O209" s="48">
        <f>IF(t&lt;Tnet,'2023'!Resal+('2023'!Salim-'2023'!Resal)*(1-EXP(('2023'!Tnet-t)/('2023'!Tau_j))),Resal+(Salim-Resal)*(1-EXP((Tnet-t)/(Tau_j))))*Salcycl</f>
        <v>2.7781198029642729E-2</v>
      </c>
      <c r="P209" s="165">
        <f>(INDEX(Models!$BJ209:$BT209,,T209)*(1-R209)+INDEX(Models!$BJ209:$BT209,,T209+1)*R209-ERP_i)*Q209*Ramure*Pc/MaxiM</f>
        <v>5.1889872890475666E-6</v>
      </c>
      <c r="Q209" s="301">
        <f t="shared" si="80"/>
        <v>0.5</v>
      </c>
      <c r="R209" s="173">
        <f t="shared" si="81"/>
        <v>0.39468580792163666</v>
      </c>
      <c r="S209" s="802">
        <f t="shared" si="82"/>
        <v>1</v>
      </c>
      <c r="T209" s="172">
        <f t="shared" si="83"/>
        <v>7</v>
      </c>
      <c r="U209" s="247">
        <f t="shared" si="84"/>
        <v>1.3946858079216367</v>
      </c>
      <c r="V209" s="378">
        <f t="shared" si="85"/>
        <v>60.52986628408182</v>
      </c>
      <c r="W209" s="397">
        <f t="shared" si="86"/>
        <v>58.135631370021613</v>
      </c>
      <c r="X209" s="153">
        <f t="shared" si="87"/>
        <v>45486</v>
      </c>
      <c r="Y209" s="380">
        <f t="shared" si="88"/>
        <v>56.858142310596627</v>
      </c>
      <c r="Z209" s="380">
        <f t="shared" si="89"/>
        <v>57.613440079419547</v>
      </c>
      <c r="AA209" s="381">
        <f t="shared" si="90"/>
        <v>60.591195165072207</v>
      </c>
      <c r="AB209" s="193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4.91450131911111E-2</v>
      </c>
      <c r="AD209" s="227">
        <f>(INDEX(Models!$BJ209:$BT209,,AH209)*(1-AF209)+INDEX(Models!$BJ209:$BT209,,AH209+1)*AF209-ERP_i)*AE209*Ramure*Pc/MaxiM</f>
        <v>5.1889872890475666E-6</v>
      </c>
      <c r="AE209" s="301">
        <f t="shared" si="92"/>
        <v>0.5</v>
      </c>
      <c r="AF209" s="173">
        <f t="shared" si="93"/>
        <v>0.39468580792163666</v>
      </c>
      <c r="AG209" s="802">
        <f t="shared" si="99"/>
        <v>1</v>
      </c>
      <c r="AH209" s="172">
        <f t="shared" si="94"/>
        <v>7</v>
      </c>
      <c r="AI209" s="221">
        <f t="shared" si="95"/>
        <v>1.3946858079216367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45487</v>
      </c>
      <c r="B210" s="406">
        <f>'2023'!Wh/'2023'!Env_an*'2024'!Env_an</f>
        <v>55.570888083833047</v>
      </c>
      <c r="C210" s="385"/>
      <c r="D210" s="388">
        <f t="shared" si="77"/>
        <v>56.309856933328568</v>
      </c>
      <c r="E210" s="380">
        <f t="shared" si="75"/>
        <v>57.922104073565123</v>
      </c>
      <c r="F210" s="380">
        <f t="shared" si="78"/>
        <v>57.922387956709258</v>
      </c>
      <c r="G210" s="110">
        <f t="shared" si="76"/>
        <v>0.92019981285620944</v>
      </c>
      <c r="H210" s="409" t="b">
        <f>Wh_hp&gt;='2023'!Maxi_hp</f>
        <v>0</v>
      </c>
      <c r="I210" s="375">
        <f>IF(H210,Wh_hp,'2023'!Maxi_hp)</f>
        <v>57.922415298819374</v>
      </c>
      <c r="J210" s="85">
        <f>IF(H210,An,'2023'!An_max)</f>
        <v>2022</v>
      </c>
      <c r="K210" s="193">
        <f t="shared" si="79"/>
        <v>45487</v>
      </c>
      <c r="L210" s="143">
        <f>IF(t&lt;Tvie,1-EXP((T0-t)*PertePVj)+'2023'!Pspv,1-EXP((T0-t)*PertePVj)+Pspv)</f>
        <v>1.3123259225653272E-2</v>
      </c>
      <c r="M210" s="836"/>
      <c r="N210" s="836"/>
      <c r="O210" s="48">
        <f>IF(t&lt;Tnet,'2023'!Resal+('2023'!Salim-'2023'!Resal)*(1-EXP(('2023'!Tnet-t)/('2023'!Tau_j))),Resal+(Salim-Resal)*(1-EXP((Tnet-t)/(Tau_j))))*Salcycl</f>
        <v>2.7834747477213418E-2</v>
      </c>
      <c r="P210" s="165">
        <f>(INDEX(Models!$BJ210:$BT210,,T210)*(1-R210)+INDEX(Models!$BJ210:$BT210,,T210+1)*R210-ERP_i)*Q210*Ramure*Pc/MaxiM</f>
        <v>5.5317067790729059E-6</v>
      </c>
      <c r="Q210" s="301">
        <f t="shared" si="80"/>
        <v>0.5</v>
      </c>
      <c r="R210" s="173">
        <f t="shared" si="81"/>
        <v>0.39791696232678908</v>
      </c>
      <c r="S210" s="802">
        <f t="shared" si="82"/>
        <v>1</v>
      </c>
      <c r="T210" s="172">
        <f t="shared" si="83"/>
        <v>7</v>
      </c>
      <c r="U210" s="247">
        <f t="shared" si="84"/>
        <v>1.3979169623267891</v>
      </c>
      <c r="V210" s="378">
        <f t="shared" si="85"/>
        <v>60.389985157175417</v>
      </c>
      <c r="W210" s="397">
        <f t="shared" si="86"/>
        <v>55.570888083833047</v>
      </c>
      <c r="X210" s="153">
        <f t="shared" si="87"/>
        <v>45487</v>
      </c>
      <c r="Y210" s="380">
        <f t="shared" si="88"/>
        <v>54.35070531113481</v>
      </c>
      <c r="Z210" s="380">
        <f t="shared" si="89"/>
        <v>55.073448451616017</v>
      </c>
      <c r="AA210" s="381">
        <f t="shared" si="90"/>
        <v>57.922104073565123</v>
      </c>
      <c r="AB210" s="193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4.9180803555256059E-2</v>
      </c>
      <c r="AD210" s="227">
        <f>(INDEX(Models!$BJ210:$BT210,,AH210)*(1-AF210)+INDEX(Models!$BJ210:$BT210,,AH210+1)*AF210-ERP_i)*AE210*Ramure*Pc/MaxiM</f>
        <v>5.5317067790729059E-6</v>
      </c>
      <c r="AE210" s="301">
        <f t="shared" si="92"/>
        <v>0.5</v>
      </c>
      <c r="AF210" s="173">
        <f t="shared" si="93"/>
        <v>0.39791696232678908</v>
      </c>
      <c r="AG210" s="802">
        <f t="shared" si="99"/>
        <v>1</v>
      </c>
      <c r="AH210" s="172">
        <f t="shared" si="94"/>
        <v>7</v>
      </c>
      <c r="AI210" s="221">
        <f t="shared" si="95"/>
        <v>1.3979169623267891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45488</v>
      </c>
      <c r="B211" s="406">
        <f>'2023'!Wh/'2023'!Env_an*'2024'!Env_an</f>
        <v>56.714124438284784</v>
      </c>
      <c r="C211" s="385"/>
      <c r="D211" s="388">
        <f t="shared" si="77"/>
        <v>57.469082484555237</v>
      </c>
      <c r="E211" s="380">
        <f t="shared" si="75"/>
        <v>59.117759367162066</v>
      </c>
      <c r="F211" s="380">
        <f t="shared" si="78"/>
        <v>59.118078096878506</v>
      </c>
      <c r="G211" s="110">
        <f t="shared" si="76"/>
        <v>0.94137610421703399</v>
      </c>
      <c r="H211" s="409" t="b">
        <f>Wh_hp&gt;='2023'!Maxi_hp</f>
        <v>0</v>
      </c>
      <c r="I211" s="375">
        <f>IF(H211,Wh_hp,'2023'!Maxi_hp)</f>
        <v>59.11809989916042</v>
      </c>
      <c r="J211" s="85">
        <f>IF(H211,An,'2023'!An_max)</f>
        <v>2022</v>
      </c>
      <c r="K211" s="193">
        <f t="shared" si="79"/>
        <v>45488</v>
      </c>
      <c r="L211" s="143">
        <f>IF(t&lt;Tvie,1-EXP((T0-t)*PertePVj)+'2023'!Pspv,1-EXP((T0-t)*PertePVj)+Pspv)</f>
        <v>1.3136768739493099E-2</v>
      </c>
      <c r="M211" s="836"/>
      <c r="N211" s="836"/>
      <c r="O211" s="48">
        <f>IF(t&lt;Tnet,'2023'!Resal+('2023'!Salim-'2023'!Resal)*(1-EXP(('2023'!Tnet-t)/('2023'!Tau_j))),Resal+(Salim-Resal)*(1-EXP((Tnet-t)/(Tau_j))))*Salcycl</f>
        <v>2.7888013690901315E-2</v>
      </c>
      <c r="P211" s="165">
        <f>(INDEX(Models!$BJ211:$BT211,,T211)*(1-R211)+INDEX(Models!$BJ211:$BT211,,T211+1)*R211-ERP_i)*Q211*Ramure*Pc/MaxiM</f>
        <v>5.8841969422541171E-6</v>
      </c>
      <c r="Q211" s="301">
        <f t="shared" si="80"/>
        <v>0.5</v>
      </c>
      <c r="R211" s="173">
        <f t="shared" si="81"/>
        <v>0.40106730168813054</v>
      </c>
      <c r="S211" s="802">
        <f t="shared" si="82"/>
        <v>1</v>
      </c>
      <c r="T211" s="172">
        <f t="shared" si="83"/>
        <v>7</v>
      </c>
      <c r="U211" s="247">
        <f t="shared" si="84"/>
        <v>1.4010673016881305</v>
      </c>
      <c r="V211" s="378">
        <f t="shared" si="85"/>
        <v>60.245948708510049</v>
      </c>
      <c r="W211" s="397">
        <f t="shared" si="86"/>
        <v>56.714124438284784</v>
      </c>
      <c r="X211" s="153">
        <f t="shared" si="87"/>
        <v>45488</v>
      </c>
      <c r="Y211" s="380">
        <f t="shared" si="88"/>
        <v>55.469817281734628</v>
      </c>
      <c r="Z211" s="380">
        <f t="shared" si="89"/>
        <v>56.208211558235675</v>
      </c>
      <c r="AA211" s="381">
        <f t="shared" si="90"/>
        <v>59.117759367162066</v>
      </c>
      <c r="AB211" s="193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4.9216138095763966E-2</v>
      </c>
      <c r="AD211" s="227">
        <f>(INDEX(Models!$BJ211:$BT211,,AH211)*(1-AF211)+INDEX(Models!$BJ211:$BT211,,AH211+1)*AF211-ERP_i)*AE211*Ramure*Pc/MaxiM</f>
        <v>5.8841969422541171E-6</v>
      </c>
      <c r="AE211" s="301">
        <f t="shared" si="92"/>
        <v>0.5</v>
      </c>
      <c r="AF211" s="173">
        <f t="shared" si="93"/>
        <v>0.40106730168813054</v>
      </c>
      <c r="AG211" s="802">
        <f t="shared" si="99"/>
        <v>1</v>
      </c>
      <c r="AH211" s="172">
        <f t="shared" si="94"/>
        <v>7</v>
      </c>
      <c r="AI211" s="221">
        <f t="shared" si="95"/>
        <v>1.4010673016881305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45489</v>
      </c>
      <c r="B212" s="406">
        <f>'2023'!Wh/'2023'!Env_an*'2024'!Env_an</f>
        <v>57.123603021131323</v>
      </c>
      <c r="C212" s="385"/>
      <c r="D212" s="388">
        <f t="shared" si="77"/>
        <v>57.884804293526052</v>
      </c>
      <c r="E212" s="380">
        <f t="shared" si="75"/>
        <v>59.548653779718876</v>
      </c>
      <c r="F212" s="380">
        <f t="shared" si="78"/>
        <v>59.548998962436187</v>
      </c>
      <c r="G212" s="110">
        <f t="shared" si="76"/>
        <v>0.95051428607977861</v>
      </c>
      <c r="H212" s="409" t="b">
        <f>Wh_hp&gt;='2023'!Maxi_hp</f>
        <v>0</v>
      </c>
      <c r="I212" s="375">
        <f>IF(H212,Wh_hp,'2023'!Maxi_hp)</f>
        <v>59.549018604675425</v>
      </c>
      <c r="J212" s="85">
        <f>IF(H212,An,'2023'!An_max)</f>
        <v>2022</v>
      </c>
      <c r="K212" s="193">
        <f t="shared" si="79"/>
        <v>45489</v>
      </c>
      <c r="L212" s="143">
        <f>IF(t&lt;Tvie,1-EXP((T0-t)*PertePVj)+'2023'!Pspv,1-EXP((T0-t)*PertePVj)+Pspv)</f>
        <v>1.3150278068399079E-2</v>
      </c>
      <c r="M212" s="836"/>
      <c r="N212" s="836"/>
      <c r="O212" s="48">
        <f>IF(t&lt;Tnet,'2023'!Resal+('2023'!Salim-'2023'!Resal)*(1-EXP(('2023'!Tnet-t)/('2023'!Tau_j))),Resal+(Salim-Resal)*(1-EXP((Tnet-t)/(Tau_j))))*Salcycl</f>
        <v>2.7941009251824571E-2</v>
      </c>
      <c r="P212" s="165">
        <f>(INDEX(Models!$BJ212:$BT212,,T212)*(1-R212)+INDEX(Models!$BJ212:$BT212,,T212+1)*R212-ERP_i)*Q212*Ramure*Pc/MaxiM</f>
        <v>6.2375709635675104E-6</v>
      </c>
      <c r="Q212" s="301">
        <f t="shared" si="80"/>
        <v>0.5</v>
      </c>
      <c r="R212" s="173">
        <f t="shared" si="81"/>
        <v>0.40413725975470682</v>
      </c>
      <c r="S212" s="802">
        <f t="shared" si="82"/>
        <v>1</v>
      </c>
      <c r="T212" s="172">
        <f t="shared" si="83"/>
        <v>7</v>
      </c>
      <c r="U212" s="247">
        <f t="shared" si="84"/>
        <v>1.4041372597547068</v>
      </c>
      <c r="V212" s="378">
        <f t="shared" si="85"/>
        <v>60.097547894498618</v>
      </c>
      <c r="W212" s="397">
        <f t="shared" si="86"/>
        <v>57.123603021131323</v>
      </c>
      <c r="X212" s="153">
        <f t="shared" si="87"/>
        <v>45489</v>
      </c>
      <c r="Y212" s="380">
        <f t="shared" si="88"/>
        <v>55.8713068368046</v>
      </c>
      <c r="Z212" s="380">
        <f t="shared" si="89"/>
        <v>56.615820621041905</v>
      </c>
      <c r="AA212" s="381">
        <f t="shared" si="90"/>
        <v>59.548653779718876</v>
      </c>
      <c r="AB212" s="193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4.9251040494148621E-2</v>
      </c>
      <c r="AD212" s="227">
        <f>(INDEX(Models!$BJ212:$BT212,,AH212)*(1-AF212)+INDEX(Models!$BJ212:$BT212,,AH212+1)*AF212-ERP_i)*AE212*Ramure*Pc/MaxiM</f>
        <v>6.2375709635675104E-6</v>
      </c>
      <c r="AE212" s="301">
        <f t="shared" si="92"/>
        <v>0.5</v>
      </c>
      <c r="AF212" s="173">
        <f t="shared" si="93"/>
        <v>0.40413725975470682</v>
      </c>
      <c r="AG212" s="802">
        <f t="shared" si="99"/>
        <v>1</v>
      </c>
      <c r="AH212" s="172">
        <f t="shared" si="94"/>
        <v>7</v>
      </c>
      <c r="AI212" s="221">
        <f t="shared" si="95"/>
        <v>1.4041372597547068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98"/>
        <v>45490</v>
      </c>
      <c r="B213" s="406">
        <f>'2023'!Wh/'2023'!Env_an*'2024'!Env_an</f>
        <v>58.867615230861574</v>
      </c>
      <c r="C213" s="385"/>
      <c r="D213" s="388">
        <f t="shared" si="77"/>
        <v>59.652872957075274</v>
      </c>
      <c r="E213" s="380">
        <f t="shared" si="75"/>
        <v>61.370873639939617</v>
      </c>
      <c r="F213" s="380">
        <f t="shared" si="78"/>
        <v>61.371266953898257</v>
      </c>
      <c r="G213" s="110">
        <f t="shared" si="76"/>
        <v>0.98203392408377788</v>
      </c>
      <c r="H213" s="409" t="b">
        <f>Wh_hp&gt;='2023'!Maxi_hp</f>
        <v>0</v>
      </c>
      <c r="I213" s="375">
        <f>IF(H213,Wh_hp,'2023'!Maxi_hp)</f>
        <v>61.371274698126008</v>
      </c>
      <c r="J213" s="85">
        <f>IF(H213,An,'2023'!An_max)</f>
        <v>2022</v>
      </c>
      <c r="K213" s="193">
        <f t="shared" si="79"/>
        <v>45490</v>
      </c>
      <c r="L213" s="143">
        <f>IF(t&lt;Tvie,1-EXP((T0-t)*PertePVj)+'2023'!Pspv,1-EXP((T0-t)*PertePVj)+Pspv)</f>
        <v>1.3163787212373657E-2</v>
      </c>
      <c r="M213" s="836"/>
      <c r="N213" s="836"/>
      <c r="O213" s="48">
        <f>IF(t&lt;Tnet,'2023'!Resal+('2023'!Salim-'2023'!Resal)*(1-EXP(('2023'!Tnet-t)/('2023'!Tau_j))),Resal+(Salim-Resal)*(1-EXP((Tnet-t)/(Tau_j))))*Salcycl</f>
        <v>2.7993746560359967E-2</v>
      </c>
      <c r="P213" s="165">
        <f>(INDEX(Models!$BJ213:$BT213,,T213)*(1-R213)+INDEX(Models!$BJ213:$BT213,,T213+1)*R213-ERP_i)*Q213*Ramure*Pc/MaxiM</f>
        <v>6.5775813546238714E-6</v>
      </c>
      <c r="Q213" s="301">
        <f t="shared" si="80"/>
        <v>0.5</v>
      </c>
      <c r="R213" s="173">
        <f t="shared" si="81"/>
        <v>0.40712738067099719</v>
      </c>
      <c r="S213" s="802">
        <f t="shared" si="82"/>
        <v>1</v>
      </c>
      <c r="T213" s="172">
        <f t="shared" si="83"/>
        <v>7</v>
      </c>
      <c r="U213" s="247">
        <f t="shared" si="84"/>
        <v>1.4071273806709972</v>
      </c>
      <c r="V213" s="378">
        <f t="shared" si="85"/>
        <v>59.944574061265776</v>
      </c>
      <c r="W213" s="397">
        <f t="shared" si="86"/>
        <v>58.867615230861574</v>
      </c>
      <c r="X213" s="153">
        <f t="shared" si="87"/>
        <v>45490</v>
      </c>
      <c r="Y213" s="380">
        <f t="shared" si="88"/>
        <v>57.578120697432155</v>
      </c>
      <c r="Z213" s="380">
        <f t="shared" si="89"/>
        <v>58.346177360866008</v>
      </c>
      <c r="AA213" s="381">
        <f t="shared" si="90"/>
        <v>61.370873639939617</v>
      </c>
      <c r="AB213" s="193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4.9285533994829198E-2</v>
      </c>
      <c r="AD213" s="227">
        <f>(INDEX(Models!$BJ213:$BT213,,AH213)*(1-AF213)+INDEX(Models!$BJ213:$BT213,,AH213+1)*AF213-ERP_i)*AE213*Ramure*Pc/MaxiM</f>
        <v>6.5775813546238714E-6</v>
      </c>
      <c r="AE213" s="301">
        <f t="shared" si="92"/>
        <v>0.5</v>
      </c>
      <c r="AF213" s="173">
        <f t="shared" si="93"/>
        <v>0.40712738067099719</v>
      </c>
      <c r="AG213" s="802">
        <f t="shared" si="99"/>
        <v>1</v>
      </c>
      <c r="AH213" s="172">
        <f t="shared" si="94"/>
        <v>7</v>
      </c>
      <c r="AI213" s="221">
        <f t="shared" si="95"/>
        <v>1.4071273806709972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98"/>
        <v>45491</v>
      </c>
      <c r="B214" s="406">
        <f>'2023'!Wh/'2023'!Env_an*'2024'!Env_an</f>
        <v>43.240234769613828</v>
      </c>
      <c r="C214" s="385"/>
      <c r="D214" s="388">
        <f t="shared" si="77"/>
        <v>43.817632693141825</v>
      </c>
      <c r="E214" s="380">
        <f t="shared" si="75"/>
        <v>45.082013564697334</v>
      </c>
      <c r="F214" s="380">
        <f t="shared" si="78"/>
        <v>45.082201751773951</v>
      </c>
      <c r="G214" s="110">
        <f t="shared" si="76"/>
        <v>0.72323830474803641</v>
      </c>
      <c r="H214" s="409" t="b">
        <f>Wh_hp&gt;='2023'!Maxi_hp</f>
        <v>0</v>
      </c>
      <c r="I214" s="375">
        <f>IF(H214,Wh_hp,'2023'!Maxi_hp)</f>
        <v>45.082293640742087</v>
      </c>
      <c r="J214" s="85">
        <f>IF(H214,An,'2023'!An_max)</f>
        <v>2022</v>
      </c>
      <c r="K214" s="193">
        <f t="shared" si="79"/>
        <v>45491</v>
      </c>
      <c r="L214" s="143">
        <f>IF(t&lt;Tvie,1-EXP((T0-t)*PertePVj)+'2023'!Pspv,1-EXP((T0-t)*PertePVj)+Pspv)</f>
        <v>1.3177296171419384E-2</v>
      </c>
      <c r="M214" s="836"/>
      <c r="N214" s="836"/>
      <c r="O214" s="48">
        <f>IF(t&lt;Tnet,'2023'!Resal+('2023'!Salim-'2023'!Resal)*(1-EXP(('2023'!Tnet-t)/('2023'!Tau_j))),Resal+(Salim-Resal)*(1-EXP((Tnet-t)/(Tau_j))))*Salcycl</f>
        <v>2.8046237769326566E-2</v>
      </c>
      <c r="P214" s="165">
        <f>(INDEX(Models!$BJ214:$BT214,,T214)*(1-R214)+INDEX(Models!$BJ214:$BT214,,T214+1)*R214-ERP_i)*Q214*Ramure*Pc/MaxiM</f>
        <v>6.9039196081659609E-6</v>
      </c>
      <c r="Q214" s="301">
        <f t="shared" si="80"/>
        <v>0.5</v>
      </c>
      <c r="R214" s="173">
        <f t="shared" si="81"/>
        <v>0.41003831193656093</v>
      </c>
      <c r="S214" s="802">
        <f t="shared" si="82"/>
        <v>1</v>
      </c>
      <c r="T214" s="172">
        <f t="shared" si="83"/>
        <v>7</v>
      </c>
      <c r="U214" s="247">
        <f t="shared" si="84"/>
        <v>1.4100383119365609</v>
      </c>
      <c r="V214" s="378">
        <f t="shared" si="85"/>
        <v>59.786817783685208</v>
      </c>
      <c r="W214" s="397">
        <f t="shared" si="86"/>
        <v>43.240234769613828</v>
      </c>
      <c r="X214" s="153">
        <f t="shared" si="87"/>
        <v>45491</v>
      </c>
      <c r="Y214" s="380">
        <f t="shared" si="88"/>
        <v>42.293824561263122</v>
      </c>
      <c r="Z214" s="380">
        <f t="shared" si="89"/>
        <v>42.858584827016621</v>
      </c>
      <c r="AA214" s="381">
        <f t="shared" si="90"/>
        <v>45.082013564697334</v>
      </c>
      <c r="AB214" s="193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4.9319641290863532E-2</v>
      </c>
      <c r="AD214" s="227">
        <f>(INDEX(Models!$BJ214:$BT214,,AH214)*(1-AF214)+INDEX(Models!$BJ214:$BT214,,AH214+1)*AF214-ERP_i)*AE214*Ramure*Pc/MaxiM</f>
        <v>6.9039196081659609E-6</v>
      </c>
      <c r="AE214" s="301">
        <f t="shared" si="92"/>
        <v>0.5</v>
      </c>
      <c r="AF214" s="173">
        <f t="shared" si="93"/>
        <v>0.41003831193656093</v>
      </c>
      <c r="AG214" s="802">
        <f t="shared" si="99"/>
        <v>1</v>
      </c>
      <c r="AH214" s="172">
        <f t="shared" si="94"/>
        <v>7</v>
      </c>
      <c r="AI214" s="221">
        <f t="shared" si="95"/>
        <v>1.4100383119365609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98"/>
        <v>45492</v>
      </c>
      <c r="B215" s="406">
        <f>'2023'!Wh/'2023'!Env_an*'2024'!Env_an</f>
        <v>40.604815626160175</v>
      </c>
      <c r="C215" s="385"/>
      <c r="D215" s="388">
        <f t="shared" si="77"/>
        <v>41.147585399140141</v>
      </c>
      <c r="E215" s="380">
        <f t="shared" si="75"/>
        <v>42.337196902826598</v>
      </c>
      <c r="F215" s="380">
        <f t="shared" si="78"/>
        <v>42.337363198413215</v>
      </c>
      <c r="G215" s="110">
        <f t="shared" si="76"/>
        <v>0.68101158304769982</v>
      </c>
      <c r="H215" s="409" t="b">
        <f>Wh_hp&gt;='2023'!Maxi_hp</f>
        <v>0</v>
      </c>
      <c r="I215" s="375">
        <f>IF(H215,Wh_hp,'2023'!Maxi_hp)</f>
        <v>42.337467031367346</v>
      </c>
      <c r="J215" s="85">
        <f>IF(H215,An,'2023'!An_max)</f>
        <v>2022</v>
      </c>
      <c r="K215" s="193">
        <f t="shared" si="79"/>
        <v>45492</v>
      </c>
      <c r="L215" s="143">
        <f>IF(t&lt;Tvie,1-EXP((T0-t)*PertePVj)+'2023'!Pspv,1-EXP((T0-t)*PertePVj)+Pspv)</f>
        <v>1.3190804945538925E-2</v>
      </c>
      <c r="M215" s="836"/>
      <c r="N215" s="836"/>
      <c r="O215" s="48">
        <f>IF(t&lt;Tnet,'2023'!Resal+('2023'!Salim-'2023'!Resal)*(1-EXP(('2023'!Tnet-t)/('2023'!Tau_j))),Resal+(Salim-Resal)*(1-EXP((Tnet-t)/(Tau_j))))*Salcycl</f>
        <v>2.8098494721246786E-2</v>
      </c>
      <c r="P215" s="165">
        <f>(INDEX(Models!$BJ215:$BT215,,T215)*(1-R215)+INDEX(Models!$BJ215:$BT215,,T215+1)*R215-ERP_i)*Q215*Ramure*Pc/MaxiM</f>
        <v>7.2162941191325168E-6</v>
      </c>
      <c r="Q215" s="301">
        <f t="shared" si="80"/>
        <v>0.5</v>
      </c>
      <c r="R215" s="173">
        <f t="shared" si="81"/>
        <v>0.41287079737199606</v>
      </c>
      <c r="S215" s="802">
        <f t="shared" si="82"/>
        <v>1</v>
      </c>
      <c r="T215" s="172">
        <f t="shared" si="83"/>
        <v>7</v>
      </c>
      <c r="U215" s="247">
        <f t="shared" si="84"/>
        <v>1.4128707973719961</v>
      </c>
      <c r="V215" s="378">
        <f t="shared" si="85"/>
        <v>59.624069708176123</v>
      </c>
      <c r="W215" s="397">
        <f t="shared" si="86"/>
        <v>40.604815626160175</v>
      </c>
      <c r="X215" s="153">
        <f t="shared" si="87"/>
        <v>45492</v>
      </c>
      <c r="Y215" s="380">
        <f t="shared" si="88"/>
        <v>39.716813217903336</v>
      </c>
      <c r="Z215" s="380">
        <f t="shared" si="89"/>
        <v>40.247712948916536</v>
      </c>
      <c r="AA215" s="381">
        <f t="shared" si="90"/>
        <v>42.337196902826598</v>
      </c>
      <c r="AB215" s="193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4.9353384417629174E-2</v>
      </c>
      <c r="AD215" s="227">
        <f>(INDEX(Models!$BJ215:$BT215,,AH215)*(1-AF215)+INDEX(Models!$BJ215:$BT215,,AH215+1)*AF215-ERP_i)*AE215*Ramure*Pc/MaxiM</f>
        <v>7.2162941191325168E-6</v>
      </c>
      <c r="AE215" s="301">
        <f t="shared" si="92"/>
        <v>0.5</v>
      </c>
      <c r="AF215" s="173">
        <f t="shared" si="93"/>
        <v>0.41287079737199606</v>
      </c>
      <c r="AG215" s="802">
        <f t="shared" si="99"/>
        <v>1</v>
      </c>
      <c r="AH215" s="172">
        <f t="shared" si="94"/>
        <v>7</v>
      </c>
      <c r="AI215" s="221">
        <f t="shared" si="95"/>
        <v>1.4128707973719961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98"/>
        <v>45493</v>
      </c>
      <c r="B216" s="406">
        <f>'2023'!Wh/'2023'!Env_an*'2024'!Env_an</f>
        <v>56.029912263999016</v>
      </c>
      <c r="C216" s="385"/>
      <c r="D216" s="388">
        <f t="shared" si="77"/>
        <v>56.779648545789662</v>
      </c>
      <c r="E216" s="380">
        <f t="shared" si="75"/>
        <v>58.424324171254426</v>
      </c>
      <c r="F216" s="380">
        <f t="shared" si="78"/>
        <v>58.424727057730713</v>
      </c>
      <c r="G216" s="110">
        <f t="shared" si="76"/>
        <v>0.94237358697977636</v>
      </c>
      <c r="H216" s="409" t="b">
        <f>Wh_hp&gt;='2023'!Maxi_hp</f>
        <v>0</v>
      </c>
      <c r="I216" s="375">
        <f>IF(H216,Wh_hp,'2023'!Maxi_hp)</f>
        <v>58.424753973984458</v>
      </c>
      <c r="J216" s="85">
        <f>IF(H216,An,'2023'!An_max)</f>
        <v>2022</v>
      </c>
      <c r="K216" s="193">
        <f t="shared" si="79"/>
        <v>45493</v>
      </c>
      <c r="L216" s="143">
        <f>IF(t&lt;Tvie,1-EXP((T0-t)*PertePVj)+'2023'!Pspv,1-EXP((T0-t)*PertePVj)+Pspv)</f>
        <v>1.3204313534734613E-2</v>
      </c>
      <c r="M216" s="836"/>
      <c r="N216" s="836"/>
      <c r="O216" s="48">
        <f>IF(t&lt;Tnet,'2023'!Resal+('2023'!Salim-'2023'!Resal)*(1-EXP(('2023'!Tnet-t)/('2023'!Tau_j))),Resal+(Salim-Resal)*(1-EXP((Tnet-t)/(Tau_j))))*Salcycl</f>
        <v>2.8150528890053737E-2</v>
      </c>
      <c r="P216" s="165">
        <f>(INDEX(Models!$BJ216:$BT216,,T216)*(1-R216)+INDEX(Models!$BJ216:$BT216,,T216+1)*R216-ERP_i)*Q216*Ramure*Pc/MaxiM</f>
        <v>7.5144286987206744E-6</v>
      </c>
      <c r="Q216" s="301">
        <f t="shared" si="80"/>
        <v>0.5</v>
      </c>
      <c r="R216" s="173">
        <f t="shared" si="81"/>
        <v>0.41562567013005602</v>
      </c>
      <c r="S216" s="802">
        <f t="shared" si="82"/>
        <v>1</v>
      </c>
      <c r="T216" s="172">
        <f t="shared" si="83"/>
        <v>7</v>
      </c>
      <c r="U216" s="247">
        <f t="shared" si="84"/>
        <v>1.415625670130056</v>
      </c>
      <c r="V216" s="378">
        <f t="shared" si="85"/>
        <v>59.456120563407929</v>
      </c>
      <c r="W216" s="397">
        <f t="shared" si="86"/>
        <v>56.029912263999016</v>
      </c>
      <c r="X216" s="153">
        <f t="shared" si="87"/>
        <v>45493</v>
      </c>
      <c r="Y216" s="380">
        <f t="shared" si="88"/>
        <v>54.805581148226125</v>
      </c>
      <c r="Z216" s="380">
        <f t="shared" si="89"/>
        <v>55.538934654793152</v>
      </c>
      <c r="AA216" s="381">
        <f t="shared" si="90"/>
        <v>58.424324171254426</v>
      </c>
      <c r="AB216" s="193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4.9386784655027785E-2</v>
      </c>
      <c r="AD216" s="227">
        <f>(INDEX(Models!$BJ216:$BT216,,AH216)*(1-AF216)+INDEX(Models!$BJ216:$BT216,,AH216+1)*AF216-ERP_i)*AE216*Ramure*Pc/MaxiM</f>
        <v>7.5144286987206744E-6</v>
      </c>
      <c r="AE216" s="301">
        <f t="shared" si="92"/>
        <v>0.5</v>
      </c>
      <c r="AF216" s="173">
        <f t="shared" si="93"/>
        <v>0.41562567013005602</v>
      </c>
      <c r="AG216" s="802">
        <f t="shared" si="99"/>
        <v>1</v>
      </c>
      <c r="AH216" s="172">
        <f t="shared" si="94"/>
        <v>7</v>
      </c>
      <c r="AI216" s="221">
        <f t="shared" si="95"/>
        <v>1.415625670130056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98"/>
        <v>45494</v>
      </c>
      <c r="B217" s="406">
        <f>'2023'!Wh/'2023'!Env_an*'2024'!Env_an</f>
        <v>48.122821773334486</v>
      </c>
      <c r="C217" s="385"/>
      <c r="D217" s="388">
        <f t="shared" si="77"/>
        <v>48.767420858669091</v>
      </c>
      <c r="E217" s="380">
        <f t="shared" si="75"/>
        <v>50.182690733291956</v>
      </c>
      <c r="F217" s="380">
        <f t="shared" si="78"/>
        <v>50.182976823792906</v>
      </c>
      <c r="G217" s="110">
        <f t="shared" si="76"/>
        <v>0.81174897915244471</v>
      </c>
      <c r="H217" s="409" t="b">
        <f>Wh_hp&gt;='2023'!Maxi_hp</f>
        <v>0</v>
      </c>
      <c r="I217" s="375">
        <f>IF(H217,Wh_hp,'2023'!Maxi_hp)</f>
        <v>50.183055073170451</v>
      </c>
      <c r="J217" s="85">
        <f>IF(H217,An,'2023'!An_max)</f>
        <v>2022</v>
      </c>
      <c r="K217" s="193">
        <f t="shared" si="79"/>
        <v>45494</v>
      </c>
      <c r="L217" s="143">
        <f>IF(t&lt;Tvie,1-EXP((T0-t)*PertePVj)+'2023'!Pspv,1-EXP((T0-t)*PertePVj)+Pspv)</f>
        <v>1.3217821939009E-2</v>
      </c>
      <c r="M217" s="836"/>
      <c r="N217" s="836"/>
      <c r="O217" s="48">
        <f>IF(t&lt;Tnet,'2023'!Resal+('2023'!Salim-'2023'!Resal)*(1-EXP(('2023'!Tnet-t)/('2023'!Tau_j))),Resal+(Salim-Resal)*(1-EXP((Tnet-t)/(Tau_j))))*Salcycl</f>
        <v>2.8202351327565399E-2</v>
      </c>
      <c r="P217" s="165">
        <f>(INDEX(Models!$BJ217:$BT217,,T217)*(1-R217)+INDEX(Models!$BJ217:$BT217,,T217+1)*R217-ERP_i)*Q217*Ramure*Pc/MaxiM</f>
        <v>7.7980610102383743E-6</v>
      </c>
      <c r="Q217" s="301">
        <f t="shared" si="80"/>
        <v>0.5</v>
      </c>
      <c r="R217" s="173">
        <f t="shared" si="81"/>
        <v>0.41830384578733515</v>
      </c>
      <c r="S217" s="802">
        <f t="shared" si="82"/>
        <v>1</v>
      </c>
      <c r="T217" s="172">
        <f t="shared" si="83"/>
        <v>7</v>
      </c>
      <c r="U217" s="247">
        <f t="shared" si="84"/>
        <v>1.4183038457873351</v>
      </c>
      <c r="V217" s="378">
        <f t="shared" si="85"/>
        <v>59.282761160932033</v>
      </c>
      <c r="W217" s="397">
        <f t="shared" si="86"/>
        <v>48.122821773334486</v>
      </c>
      <c r="X217" s="153">
        <f t="shared" si="87"/>
        <v>45494</v>
      </c>
      <c r="Y217" s="380">
        <f t="shared" si="88"/>
        <v>47.072143674792386</v>
      </c>
      <c r="Z217" s="380">
        <f t="shared" si="89"/>
        <v>47.702669060448876</v>
      </c>
      <c r="AA217" s="381">
        <f t="shared" si="90"/>
        <v>50.182690733291956</v>
      </c>
      <c r="AB217" s="193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4.941986243869937E-2</v>
      </c>
      <c r="AD217" s="227">
        <f>(INDEX(Models!$BJ217:$BT217,,AH217)*(1-AF217)+INDEX(Models!$BJ217:$BT217,,AH217+1)*AF217-ERP_i)*AE217*Ramure*Pc/MaxiM</f>
        <v>7.7980610102383743E-6</v>
      </c>
      <c r="AE217" s="301">
        <f t="shared" si="92"/>
        <v>0.5</v>
      </c>
      <c r="AF217" s="173">
        <f t="shared" si="93"/>
        <v>0.41830384578733515</v>
      </c>
      <c r="AG217" s="802">
        <f t="shared" si="99"/>
        <v>1</v>
      </c>
      <c r="AH217" s="172">
        <f t="shared" si="94"/>
        <v>7</v>
      </c>
      <c r="AI217" s="221">
        <f t="shared" si="95"/>
        <v>1.4183038457873351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45495</v>
      </c>
      <c r="B218" s="406">
        <f>'2023'!Wh/'2023'!Env_an*'2024'!Env_an</f>
        <v>45.535327429513274</v>
      </c>
      <c r="C218" s="385"/>
      <c r="D218" s="388">
        <f t="shared" si="77"/>
        <v>46.145899055369441</v>
      </c>
      <c r="E218" s="380">
        <f t="shared" si="75"/>
        <v>47.487612766011821</v>
      </c>
      <c r="F218" s="380">
        <f t="shared" si="78"/>
        <v>47.487870213432402</v>
      </c>
      <c r="G218" s="110">
        <f t="shared" si="76"/>
        <v>0.77042796787360046</v>
      </c>
      <c r="H218" s="409" t="b">
        <f>Wh_hp&gt;='2023'!Maxi_hp</f>
        <v>0</v>
      </c>
      <c r="I218" s="375">
        <f>IF(H218,Wh_hp,'2023'!Maxi_hp)</f>
        <v>47.487963460820495</v>
      </c>
      <c r="J218" s="85">
        <f>IF(H218,An,'2023'!An_max)</f>
        <v>2022</v>
      </c>
      <c r="K218" s="193">
        <f t="shared" si="79"/>
        <v>45495</v>
      </c>
      <c r="L218" s="143">
        <f>IF(t&lt;Tvie,1-EXP((T0-t)*PertePVj)+'2023'!Pspv,1-EXP((T0-t)*PertePVj)+Pspv)</f>
        <v>1.3231330158364751E-2</v>
      </c>
      <c r="M218" s="836"/>
      <c r="N218" s="836"/>
      <c r="O218" s="48">
        <f>IF(t&lt;Tnet,'2023'!Resal+('2023'!Salim-'2023'!Resal)*(1-EXP(('2023'!Tnet-t)/('2023'!Tau_j))),Resal+(Salim-Resal)*(1-EXP((Tnet-t)/(Tau_j))))*Salcycl</f>
        <v>2.8253972614994825E-2</v>
      </c>
      <c r="P218" s="165">
        <f>(INDEX(Models!$BJ218:$BT218,,T218)*(1-R218)+INDEX(Models!$BJ218:$BT218,,T218+1)*R218-ERP_i)*Q218*Ramure*Pc/MaxiM</f>
        <v>8.0669409400218811E-6</v>
      </c>
      <c r="Q218" s="301">
        <f t="shared" si="80"/>
        <v>0.5</v>
      </c>
      <c r="R218" s="173">
        <f t="shared" si="81"/>
        <v>0.42090631554846736</v>
      </c>
      <c r="S218" s="802">
        <f t="shared" si="82"/>
        <v>1</v>
      </c>
      <c r="T218" s="172">
        <f t="shared" si="83"/>
        <v>7</v>
      </c>
      <c r="U218" s="247">
        <f t="shared" si="84"/>
        <v>1.4209063155484674</v>
      </c>
      <c r="V218" s="378">
        <f t="shared" si="85"/>
        <v>59.103782389654107</v>
      </c>
      <c r="W218" s="397">
        <f t="shared" si="86"/>
        <v>45.535327429513274</v>
      </c>
      <c r="X218" s="153">
        <f t="shared" si="87"/>
        <v>45495</v>
      </c>
      <c r="Y218" s="380">
        <f t="shared" si="88"/>
        <v>44.541973086489946</v>
      </c>
      <c r="Z218" s="380">
        <f t="shared" si="89"/>
        <v>45.139225076570789</v>
      </c>
      <c r="AA218" s="381">
        <f t="shared" si="90"/>
        <v>47.487612766011821</v>
      </c>
      <c r="AB218" s="193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4.9452637280639242E-2</v>
      </c>
      <c r="AD218" s="227">
        <f>(INDEX(Models!$BJ218:$BT218,,AH218)*(1-AF218)+INDEX(Models!$BJ218:$BT218,,AH218+1)*AF218-ERP_i)*AE218*Ramure*Pc/MaxiM</f>
        <v>8.0669409400218811E-6</v>
      </c>
      <c r="AE218" s="301">
        <f t="shared" si="92"/>
        <v>0.5</v>
      </c>
      <c r="AF218" s="173">
        <f t="shared" si="93"/>
        <v>0.42090631554846736</v>
      </c>
      <c r="AG218" s="802">
        <f t="shared" si="99"/>
        <v>1</v>
      </c>
      <c r="AH218" s="172">
        <f t="shared" si="94"/>
        <v>7</v>
      </c>
      <c r="AI218" s="221">
        <f t="shared" si="95"/>
        <v>1.4209063155484674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98"/>
        <v>45496</v>
      </c>
      <c r="B219" s="406">
        <f>'2023'!Wh/'2023'!Env_an*'2024'!Env_an</f>
        <v>55.439570669776472</v>
      </c>
      <c r="C219" s="385"/>
      <c r="D219" s="388">
        <f t="shared" si="77"/>
        <v>56.183714882465381</v>
      </c>
      <c r="E219" s="380">
        <f t="shared" si="75"/>
        <v>57.820342981737426</v>
      </c>
      <c r="F219" s="380">
        <f t="shared" si="78"/>
        <v>57.820783520832485</v>
      </c>
      <c r="G219" s="110">
        <f t="shared" si="76"/>
        <v>0.94095503792320312</v>
      </c>
      <c r="H219" s="409" t="b">
        <f>Wh_hp&gt;='2023'!Maxi_hp</f>
        <v>0</v>
      </c>
      <c r="I219" s="375">
        <f>IF(H219,Wh_hp,'2023'!Maxi_hp)</f>
        <v>57.820813582801875</v>
      </c>
      <c r="J219" s="85">
        <f>IF(H219,An,'2023'!An_max)</f>
        <v>2022</v>
      </c>
      <c r="K219" s="193">
        <f t="shared" si="79"/>
        <v>45496</v>
      </c>
      <c r="L219" s="143">
        <f>IF(t&lt;Tvie,1-EXP((T0-t)*PertePVj)+'2023'!Pspv,1-EXP((T0-t)*PertePVj)+Pspv)</f>
        <v>1.3244838192804309E-2</v>
      </c>
      <c r="M219" s="836"/>
      <c r="N219" s="836"/>
      <c r="O219" s="48">
        <f>IF(t&lt;Tnet,'2023'!Resal+('2023'!Salim-'2023'!Resal)*(1-EXP(('2023'!Tnet-t)/('2023'!Tau_j))),Resal+(Salim-Resal)*(1-EXP((Tnet-t)/(Tau_j))))*Salcycl</f>
        <v>2.8305402819713051E-2</v>
      </c>
      <c r="P219" s="165">
        <f>(INDEX(Models!$BJ219:$BT219,,T219)*(1-R219)+INDEX(Models!$BJ219:$BT219,,T219+1)*R219-ERP_i)*Q219*Ramure*Pc/MaxiM</f>
        <v>8.3209039711703404E-6</v>
      </c>
      <c r="Q219" s="301">
        <f t="shared" si="80"/>
        <v>0.5</v>
      </c>
      <c r="R219" s="173">
        <f t="shared" si="81"/>
        <v>0.42343413959134457</v>
      </c>
      <c r="S219" s="802">
        <f t="shared" si="82"/>
        <v>1</v>
      </c>
      <c r="T219" s="172">
        <f t="shared" si="83"/>
        <v>7</v>
      </c>
      <c r="U219" s="247">
        <f t="shared" si="84"/>
        <v>1.4234341395913446</v>
      </c>
      <c r="V219" s="378">
        <f t="shared" si="85"/>
        <v>58.918364347171419</v>
      </c>
      <c r="W219" s="397">
        <f t="shared" si="86"/>
        <v>55.439570669776472</v>
      </c>
      <c r="X219" s="153">
        <f t="shared" si="87"/>
        <v>45496</v>
      </c>
      <c r="Y219" s="380">
        <f t="shared" si="88"/>
        <v>54.231171592898264</v>
      </c>
      <c r="Z219" s="380">
        <f t="shared" si="89"/>
        <v>54.959095925656392</v>
      </c>
      <c r="AA219" s="381">
        <f t="shared" si="90"/>
        <v>57.820342981737426</v>
      </c>
      <c r="AB219" s="193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4.9485127699515047E-2</v>
      </c>
      <c r="AD219" s="227">
        <f>(INDEX(Models!$BJ219:$BT219,,AH219)*(1-AF219)+INDEX(Models!$BJ219:$BT219,,AH219+1)*AF219-ERP_i)*AE219*Ramure*Pc/MaxiM</f>
        <v>8.3209039711703404E-6</v>
      </c>
      <c r="AE219" s="301">
        <f t="shared" si="92"/>
        <v>0.5</v>
      </c>
      <c r="AF219" s="173">
        <f t="shared" si="93"/>
        <v>0.42343413959134457</v>
      </c>
      <c r="AG219" s="802">
        <f t="shared" si="99"/>
        <v>1</v>
      </c>
      <c r="AH219" s="172">
        <f t="shared" si="94"/>
        <v>7</v>
      </c>
      <c r="AI219" s="221">
        <f t="shared" si="95"/>
        <v>1.4234341395913446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98"/>
        <v>45497</v>
      </c>
      <c r="B220" s="406">
        <f>'2023'!Wh/'2023'!Env_an*'2024'!Env_an</f>
        <v>29.246930037595632</v>
      </c>
      <c r="C220" s="385"/>
      <c r="D220" s="388">
        <f t="shared" si="77"/>
        <v>29.639906170263181</v>
      </c>
      <c r="E220" s="380">
        <f t="shared" si="75"/>
        <v>30.504923658173386</v>
      </c>
      <c r="F220" s="380">
        <f t="shared" si="78"/>
        <v>30.50499796151141</v>
      </c>
      <c r="G220" s="110">
        <f t="shared" si="76"/>
        <v>0.49801899074214112</v>
      </c>
      <c r="H220" s="409" t="b">
        <f>Wh_hp&gt;='2023'!Maxi_hp</f>
        <v>0</v>
      </c>
      <c r="I220" s="375">
        <f>IF(H220,Wh_hp,'2023'!Maxi_hp)</f>
        <v>30.505137185195856</v>
      </c>
      <c r="J220" s="85">
        <f>IF(H220,An,'2023'!An_max)</f>
        <v>2022</v>
      </c>
      <c r="K220" s="193">
        <f t="shared" si="79"/>
        <v>45497</v>
      </c>
      <c r="L220" s="143">
        <f>IF(t&lt;Tvie,1-EXP((T0-t)*PertePVj)+'2023'!Pspv,1-EXP((T0-t)*PertePVj)+Pspv)</f>
        <v>1.3258346042330227E-2</v>
      </c>
      <c r="M220" s="836"/>
      <c r="N220" s="836"/>
      <c r="O220" s="48">
        <f>IF(t&lt;Tnet,'2023'!Resal+('2023'!Salim-'2023'!Resal)*(1-EXP(('2023'!Tnet-t)/('2023'!Tau_j))),Resal+(Salim-Resal)*(1-EXP((Tnet-t)/(Tau_j))))*Salcycl</f>
        <v>2.8356651457425861E-2</v>
      </c>
      <c r="P220" s="165">
        <f>(INDEX(Models!$BJ220:$BT220,,T220)*(1-R220)+INDEX(Models!$BJ220:$BT220,,T220+1)*R220-ERP_i)*Q220*Ramure*Pc/MaxiM</f>
        <v>8.6103692712401446E-6</v>
      </c>
      <c r="Q220" s="301">
        <f t="shared" si="80"/>
        <v>0.5</v>
      </c>
      <c r="R220" s="173">
        <f t="shared" si="81"/>
        <v>0.42588844057847952</v>
      </c>
      <c r="S220" s="802">
        <f t="shared" si="82"/>
        <v>1</v>
      </c>
      <c r="T220" s="172">
        <f t="shared" si="83"/>
        <v>7</v>
      </c>
      <c r="U220" s="247">
        <f t="shared" si="84"/>
        <v>1.4258884405784795</v>
      </c>
      <c r="V220" s="378">
        <f t="shared" si="85"/>
        <v>58.726173083623799</v>
      </c>
      <c r="W220" s="397">
        <f t="shared" si="86"/>
        <v>29.246930037595632</v>
      </c>
      <c r="X220" s="153">
        <f t="shared" si="87"/>
        <v>45497</v>
      </c>
      <c r="Y220" s="380">
        <f t="shared" si="88"/>
        <v>28.609982844263939</v>
      </c>
      <c r="Z220" s="380">
        <f t="shared" si="89"/>
        <v>28.99440064125567</v>
      </c>
      <c r="AA220" s="381">
        <f t="shared" si="90"/>
        <v>30.504923658173386</v>
      </c>
      <c r="AB220" s="193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4.951735116088346E-2</v>
      </c>
      <c r="AD220" s="227">
        <f>(INDEX(Models!$BJ220:$BT220,,AH220)*(1-AF220)+INDEX(Models!$BJ220:$BT220,,AH220+1)*AF220-ERP_i)*AE220*Ramure*Pc/MaxiM</f>
        <v>8.6103692712401446E-6</v>
      </c>
      <c r="AE220" s="301">
        <f t="shared" si="92"/>
        <v>0.5</v>
      </c>
      <c r="AF220" s="173">
        <f t="shared" si="93"/>
        <v>0.42588844057847952</v>
      </c>
      <c r="AG220" s="802">
        <f t="shared" si="99"/>
        <v>1</v>
      </c>
      <c r="AH220" s="172">
        <f t="shared" si="94"/>
        <v>7</v>
      </c>
      <c r="AI220" s="221">
        <f t="shared" si="95"/>
        <v>1.4258884405784795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98"/>
        <v>45498</v>
      </c>
      <c r="B221" s="406">
        <f>'2023'!Wh/'2023'!Env_an*'2024'!Env_an</f>
        <v>51.833058301997518</v>
      </c>
      <c r="C221" s="385"/>
      <c r="D221" s="388">
        <f t="shared" si="77"/>
        <v>52.530231854360487</v>
      </c>
      <c r="E221" s="380">
        <f t="shared" si="75"/>
        <v>54.066127674137967</v>
      </c>
      <c r="F221" s="380">
        <f t="shared" si="78"/>
        <v>54.066532224634585</v>
      </c>
      <c r="G221" s="110">
        <f t="shared" si="76"/>
        <v>0.88561405759537493</v>
      </c>
      <c r="H221" s="409" t="b">
        <f>Wh_hp&gt;='2023'!Maxi_hp</f>
        <v>0</v>
      </c>
      <c r="I221" s="375">
        <f>IF(H221,Wh_hp,'2023'!Maxi_hp)</f>
        <v>54.066590490635548</v>
      </c>
      <c r="J221" s="85">
        <f>IF(H221,An,'2023'!An_max)</f>
        <v>2022</v>
      </c>
      <c r="K221" s="193">
        <f t="shared" si="79"/>
        <v>45498</v>
      </c>
      <c r="L221" s="143">
        <f>IF(t&lt;Tvie,1-EXP((T0-t)*PertePVj)+'2023'!Pspv,1-EXP((T0-t)*PertePVj)+Pspv)</f>
        <v>1.3271853706944947E-2</v>
      </c>
      <c r="M221" s="836"/>
      <c r="N221" s="836"/>
      <c r="O221" s="48">
        <f>IF(t&lt;Tnet,'2023'!Resal+('2023'!Salim-'2023'!Resal)*(1-EXP(('2023'!Tnet-t)/('2023'!Tau_j))),Resal+(Salim-Resal)*(1-EXP((Tnet-t)/(Tau_j))))*Salcycl</f>
        <v>2.8407727459870621E-2</v>
      </c>
      <c r="P221" s="165">
        <f>(INDEX(Models!$BJ221:$BT221,,T221)*(1-R221)+INDEX(Models!$BJ221:$BT221,,T221+1)*R221-ERP_i)*Q221*Ramure*Pc/MaxiM</f>
        <v>8.9439592155911886E-6</v>
      </c>
      <c r="Q221" s="301">
        <f t="shared" si="80"/>
        <v>0.5</v>
      </c>
      <c r="R221" s="173">
        <f t="shared" si="81"/>
        <v>0.42827039735633843</v>
      </c>
      <c r="S221" s="802">
        <f t="shared" si="82"/>
        <v>1</v>
      </c>
      <c r="T221" s="172">
        <f t="shared" si="83"/>
        <v>7</v>
      </c>
      <c r="U221" s="247">
        <f t="shared" si="84"/>
        <v>1.4282703973563384</v>
      </c>
      <c r="V221" s="378">
        <f t="shared" si="85"/>
        <v>58.527732371404241</v>
      </c>
      <c r="W221" s="397">
        <f t="shared" si="86"/>
        <v>51.833058301997518</v>
      </c>
      <c r="X221" s="153">
        <f t="shared" si="87"/>
        <v>45498</v>
      </c>
      <c r="Y221" s="380">
        <f t="shared" si="88"/>
        <v>50.705184358931334</v>
      </c>
      <c r="Z221" s="380">
        <f t="shared" si="89"/>
        <v>51.387187595104905</v>
      </c>
      <c r="AA221" s="381">
        <f t="shared" si="90"/>
        <v>54.066127674137967</v>
      </c>
      <c r="AB221" s="193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4.9549324027407741E-2</v>
      </c>
      <c r="AD221" s="227">
        <f>(INDEX(Models!$BJ221:$BT221,,AH221)*(1-AF221)+INDEX(Models!$BJ221:$BT221,,AH221+1)*AF221-ERP_i)*AE221*Ramure*Pc/MaxiM</f>
        <v>8.9439592155911886E-6</v>
      </c>
      <c r="AE221" s="301">
        <f t="shared" si="92"/>
        <v>0.5</v>
      </c>
      <c r="AF221" s="173">
        <f t="shared" si="93"/>
        <v>0.42827039735633843</v>
      </c>
      <c r="AG221" s="802">
        <f t="shared" si="99"/>
        <v>1</v>
      </c>
      <c r="AH221" s="172">
        <f t="shared" si="94"/>
        <v>7</v>
      </c>
      <c r="AI221" s="221">
        <f t="shared" si="95"/>
        <v>1.4282703973563384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98"/>
        <v>45499</v>
      </c>
      <c r="B222" s="406">
        <f>'2023'!Wh/'2023'!Env_an*'2024'!Env_an</f>
        <v>58.666231554566892</v>
      </c>
      <c r="C222" s="385"/>
      <c r="D222" s="388">
        <f t="shared" si="77"/>
        <v>59.456127685630136</v>
      </c>
      <c r="E222" s="380">
        <f t="shared" si="75"/>
        <v>61.197731853119173</v>
      </c>
      <c r="F222" s="380">
        <f t="shared" si="78"/>
        <v>61.19830236076286</v>
      </c>
      <c r="G222" s="110">
        <f t="shared" si="76"/>
        <v>1.0058752442346581</v>
      </c>
      <c r="H222" s="409" t="b">
        <f>Wh_hp&gt;='2023'!Maxi_hp</f>
        <v>1</v>
      </c>
      <c r="I222" s="375">
        <f>IF(H222,Wh_hp,'2023'!Maxi_hp)</f>
        <v>61.19830236076286</v>
      </c>
      <c r="J222" s="85">
        <f>IF(H222,An,'2023'!An_max)</f>
        <v>2024</v>
      </c>
      <c r="K222" s="193">
        <f t="shared" si="79"/>
        <v>45499</v>
      </c>
      <c r="L222" s="143">
        <f>IF(t&lt;Tvie,1-EXP((T0-t)*PertePVj)+'2023'!Pspv,1-EXP((T0-t)*PertePVj)+Pspv)</f>
        <v>1.3285361186651135E-2</v>
      </c>
      <c r="M222" s="836"/>
      <c r="N222" s="836"/>
      <c r="O222" s="48">
        <f>IF(t&lt;Tnet,'2023'!Resal+('2023'!Salim-'2023'!Resal)*(1-EXP(('2023'!Tnet-t)/('2023'!Tau_j))),Resal+(Salim-Resal)*(1-EXP((Tnet-t)/(Tau_j))))*Salcycl</f>
        <v>2.8458639148082596E-2</v>
      </c>
      <c r="P222" s="165">
        <f>(INDEX(Models!$BJ222:$BT222,,T222)*(1-R222)+INDEX(Models!$BJ222:$BT222,,T222+1)*R222-ERP_i)*Q222*Ramure*Pc/MaxiM</f>
        <v>9.3222789142072597E-6</v>
      </c>
      <c r="Q222" s="301">
        <f t="shared" si="80"/>
        <v>0.5</v>
      </c>
      <c r="R222" s="173">
        <f t="shared" si="81"/>
        <v>0.43058123886130439</v>
      </c>
      <c r="S222" s="802">
        <f t="shared" si="82"/>
        <v>1</v>
      </c>
      <c r="T222" s="172">
        <f t="shared" si="83"/>
        <v>7</v>
      </c>
      <c r="U222" s="247">
        <f t="shared" si="84"/>
        <v>1.4305812388613044</v>
      </c>
      <c r="V222" s="378">
        <f t="shared" si="85"/>
        <v>58.323566357579821</v>
      </c>
      <c r="W222" s="397">
        <f t="shared" si="86"/>
        <v>58.666231554566892</v>
      </c>
      <c r="X222" s="153">
        <f t="shared" si="87"/>
        <v>45499</v>
      </c>
      <c r="Y222" s="380">
        <f t="shared" si="88"/>
        <v>57.390760461165719</v>
      </c>
      <c r="Z222" s="380">
        <f t="shared" si="89"/>
        <v>58.163483345281556</v>
      </c>
      <c r="AA222" s="381">
        <f t="shared" si="90"/>
        <v>61.197731853119173</v>
      </c>
      <c r="AB222" s="193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4.958106151907931E-2</v>
      </c>
      <c r="AD222" s="227">
        <f>(INDEX(Models!$BJ222:$BT222,,AH222)*(1-AF222)+INDEX(Models!$BJ222:$BT222,,AH222+1)*AF222-ERP_i)*AE222*Ramure*Pc/MaxiM</f>
        <v>9.3222789142072597E-6</v>
      </c>
      <c r="AE222" s="301">
        <f t="shared" si="92"/>
        <v>0.5</v>
      </c>
      <c r="AF222" s="173">
        <f t="shared" si="93"/>
        <v>0.43058123886130439</v>
      </c>
      <c r="AG222" s="802">
        <f t="shared" si="99"/>
        <v>1</v>
      </c>
      <c r="AH222" s="172">
        <f t="shared" si="94"/>
        <v>7</v>
      </c>
      <c r="AI222" s="221">
        <f t="shared" si="95"/>
        <v>1.4305812388613044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98"/>
        <v>45500</v>
      </c>
      <c r="B223" s="406">
        <f>'2023'!Wh/'2023'!Env_an*'2024'!Env_an</f>
        <v>46.094297250846736</v>
      </c>
      <c r="C223" s="385"/>
      <c r="D223" s="388">
        <f t="shared" si="77"/>
        <v>46.715561357375648</v>
      </c>
      <c r="E223" s="380">
        <f t="shared" si="75"/>
        <v>48.08647770654067</v>
      </c>
      <c r="F223" s="380">
        <f t="shared" si="78"/>
        <v>48.086807883047513</v>
      </c>
      <c r="G223" s="110">
        <f t="shared" si="76"/>
        <v>0.79316527171227147</v>
      </c>
      <c r="H223" s="409" t="b">
        <f>Wh_hp&gt;='2023'!Maxi_hp</f>
        <v>0</v>
      </c>
      <c r="I223" s="375">
        <f>IF(H223,Wh_hp,'2023'!Maxi_hp)</f>
        <v>48.086909443668787</v>
      </c>
      <c r="J223" s="85">
        <f>IF(H223,An,'2023'!An_max)</f>
        <v>2022</v>
      </c>
      <c r="K223" s="193">
        <f t="shared" si="79"/>
        <v>45500</v>
      </c>
      <c r="L223" s="143">
        <f>IF(t&lt;Tvie,1-EXP((T0-t)*PertePVj)+'2023'!Pspv,1-EXP((T0-t)*PertePVj)+Pspv)</f>
        <v>1.3298868481451342E-2</v>
      </c>
      <c r="M223" s="836"/>
      <c r="N223" s="836"/>
      <c r="O223" s="48">
        <f>IF(t&lt;Tnet,'2023'!Resal+('2023'!Salim-'2023'!Resal)*(1-EXP(('2023'!Tnet-t)/('2023'!Tau_j))),Resal+(Salim-Resal)*(1-EXP((Tnet-t)/(Tau_j))))*Salcycl</f>
        <v>2.8509394211224344E-2</v>
      </c>
      <c r="P223" s="165">
        <f>(INDEX(Models!$BJ223:$BT223,,T223)*(1-R223)+INDEX(Models!$BJ223:$BT223,,T223+1)*R223-ERP_i)*Q223*Ramure*Pc/MaxiM</f>
        <v>9.7459406482601952E-6</v>
      </c>
      <c r="Q223" s="301">
        <f t="shared" si="80"/>
        <v>0.5</v>
      </c>
      <c r="R223" s="173">
        <f t="shared" si="81"/>
        <v>0.4328222382478859</v>
      </c>
      <c r="S223" s="802">
        <f t="shared" si="82"/>
        <v>1</v>
      </c>
      <c r="T223" s="172">
        <f t="shared" si="83"/>
        <v>7</v>
      </c>
      <c r="U223" s="247">
        <f t="shared" si="84"/>
        <v>1.4328222382478859</v>
      </c>
      <c r="V223" s="378">
        <f t="shared" si="85"/>
        <v>58.114199091892132</v>
      </c>
      <c r="W223" s="397">
        <f t="shared" si="86"/>
        <v>46.094297250846736</v>
      </c>
      <c r="X223" s="153">
        <f t="shared" si="87"/>
        <v>45500</v>
      </c>
      <c r="Y223" s="380">
        <f t="shared" si="88"/>
        <v>45.093014885266371</v>
      </c>
      <c r="Z223" s="380">
        <f t="shared" si="89"/>
        <v>45.700783595806264</v>
      </c>
      <c r="AA223" s="381">
        <f t="shared" si="90"/>
        <v>48.08647770654067</v>
      </c>
      <c r="AB223" s="193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4.9612577683349639E-2</v>
      </c>
      <c r="AD223" s="227">
        <f>(INDEX(Models!$BJ223:$BT223,,AH223)*(1-AF223)+INDEX(Models!$BJ223:$BT223,,AH223+1)*AF223-ERP_i)*AE223*Ramure*Pc/MaxiM</f>
        <v>9.7459406482601952E-6</v>
      </c>
      <c r="AE223" s="301">
        <f t="shared" si="92"/>
        <v>0.5</v>
      </c>
      <c r="AF223" s="173">
        <f t="shared" si="93"/>
        <v>0.4328222382478859</v>
      </c>
      <c r="AG223" s="802">
        <f t="shared" si="99"/>
        <v>1</v>
      </c>
      <c r="AH223" s="172">
        <f t="shared" si="94"/>
        <v>7</v>
      </c>
      <c r="AI223" s="221">
        <f t="shared" si="95"/>
        <v>1.4328222382478859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98"/>
        <v>45501</v>
      </c>
      <c r="B224" s="406">
        <f>'2023'!Wh/'2023'!Env_an*'2024'!Env_an</f>
        <v>28.634556168913413</v>
      </c>
      <c r="C224" s="385"/>
      <c r="D224" s="388">
        <f t="shared" si="77"/>
        <v>29.020893199177255</v>
      </c>
      <c r="E224" s="380">
        <f t="shared" si="75"/>
        <v>29.874097412031286</v>
      </c>
      <c r="F224" s="380">
        <f t="shared" si="78"/>
        <v>29.874182230962859</v>
      </c>
      <c r="G224" s="110">
        <f t="shared" si="76"/>
        <v>0.49454695216862132</v>
      </c>
      <c r="H224" s="409" t="b">
        <f>Wh_hp&gt;='2023'!Maxi_hp</f>
        <v>0</v>
      </c>
      <c r="I224" s="375">
        <f>IF(H224,Wh_hp,'2023'!Maxi_hp)</f>
        <v>29.87434338366489</v>
      </c>
      <c r="J224" s="85">
        <f>IF(H224,An,'2023'!An_max)</f>
        <v>2022</v>
      </c>
      <c r="K224" s="193">
        <f t="shared" si="79"/>
        <v>45501</v>
      </c>
      <c r="L224" s="143">
        <f>IF(t&lt;Tvie,1-EXP((T0-t)*PertePVj)+'2023'!Pspv,1-EXP((T0-t)*PertePVj)+Pspv)</f>
        <v>1.3312375591347902E-2</v>
      </c>
      <c r="M224" s="836"/>
      <c r="N224" s="836"/>
      <c r="O224" s="48">
        <f>IF(t&lt;Tnet,'2023'!Resal+('2023'!Salim-'2023'!Resal)*(1-EXP(('2023'!Tnet-t)/('2023'!Tau_j))),Resal+(Salim-Resal)*(1-EXP((Tnet-t)/(Tau_j))))*Salcycl</f>
        <v>2.855999969091683E-2</v>
      </c>
      <c r="P224" s="165">
        <f>(INDEX(Models!$BJ224:$BT224,,T224)*(1-R224)+INDEX(Models!$BJ224:$BT224,,T224+1)*R224-ERP_i)*Q224*Ramure*Pc/MaxiM</f>
        <v>1.0215561362448862E-5</v>
      </c>
      <c r="Q224" s="301">
        <f t="shared" si="80"/>
        <v>0.5</v>
      </c>
      <c r="R224" s="173">
        <f t="shared" si="81"/>
        <v>0.43499470725191935</v>
      </c>
      <c r="S224" s="802">
        <f t="shared" si="82"/>
        <v>1</v>
      </c>
      <c r="T224" s="172">
        <f t="shared" si="83"/>
        <v>7</v>
      </c>
      <c r="U224" s="247">
        <f t="shared" si="84"/>
        <v>1.4349947072519194</v>
      </c>
      <c r="V224" s="378">
        <f t="shared" si="85"/>
        <v>57.900154523374304</v>
      </c>
      <c r="W224" s="397">
        <f t="shared" si="86"/>
        <v>28.634556168913413</v>
      </c>
      <c r="X224" s="153">
        <f t="shared" si="87"/>
        <v>45501</v>
      </c>
      <c r="Y224" s="380">
        <f t="shared" si="88"/>
        <v>28.013079074407013</v>
      </c>
      <c r="Z224" s="380">
        <f t="shared" si="89"/>
        <v>28.391031144427284</v>
      </c>
      <c r="AA224" s="381">
        <f t="shared" si="90"/>
        <v>29.874097412031286</v>
      </c>
      <c r="AB224" s="193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4.9643885374984542E-2</v>
      </c>
      <c r="AD224" s="227">
        <f>(INDEX(Models!$BJ224:$BT224,,AH224)*(1-AF224)+INDEX(Models!$BJ224:$BT224,,AH224+1)*AF224-ERP_i)*AE224*Ramure*Pc/MaxiM</f>
        <v>1.0215561362448862E-5</v>
      </c>
      <c r="AE224" s="301">
        <f t="shared" si="92"/>
        <v>0.5</v>
      </c>
      <c r="AF224" s="173">
        <f t="shared" si="93"/>
        <v>0.43499470725191935</v>
      </c>
      <c r="AG224" s="802">
        <f t="shared" si="99"/>
        <v>1</v>
      </c>
      <c r="AH224" s="172">
        <f t="shared" si="94"/>
        <v>7</v>
      </c>
      <c r="AI224" s="221">
        <f t="shared" si="95"/>
        <v>1.4349947072519194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98"/>
        <v>45502</v>
      </c>
      <c r="B225" s="406">
        <f>'2023'!Wh/'2023'!Env_an*'2024'!Env_an</f>
        <v>47.096202425569842</v>
      </c>
      <c r="C225" s="385"/>
      <c r="D225" s="388">
        <f t="shared" si="77"/>
        <v>47.732277143015217</v>
      </c>
      <c r="E225" s="380">
        <f t="shared" si="75"/>
        <v>49.138142088563519</v>
      </c>
      <c r="F225" s="380">
        <f t="shared" si="78"/>
        <v>49.138531177739246</v>
      </c>
      <c r="G225" s="110">
        <f t="shared" si="76"/>
        <v>0.81647837156187664</v>
      </c>
      <c r="H225" s="409" t="b">
        <f>Wh_hp&gt;='2023'!Maxi_hp</f>
        <v>0</v>
      </c>
      <c r="I225" s="375">
        <f>IF(H225,Wh_hp,'2023'!Maxi_hp)</f>
        <v>49.138631982876142</v>
      </c>
      <c r="J225" s="85">
        <f>IF(H225,An,'2023'!An_max)</f>
        <v>2022</v>
      </c>
      <c r="K225" s="193">
        <f t="shared" si="79"/>
        <v>45502</v>
      </c>
      <c r="L225" s="143">
        <f>IF(t&lt;Tvie,1-EXP((T0-t)*PertePVj)+'2023'!Pspv,1-EXP((T0-t)*PertePVj)+Pspv)</f>
        <v>1.332588251634359E-2</v>
      </c>
      <c r="M225" s="836"/>
      <c r="N225" s="836"/>
      <c r="O225" s="48">
        <f>IF(t&lt;Tnet,'2023'!Resal+('2023'!Salim-'2023'!Resal)*(1-EXP(('2023'!Tnet-t)/('2023'!Tau_j))),Resal+(Salim-Resal)*(1-EXP((Tnet-t)/(Tau_j))))*Salcycl</f>
        <v>2.861046197095644E-2</v>
      </c>
      <c r="P225" s="165">
        <f>(INDEX(Models!$BJ225:$BT225,,T225)*(1-R225)+INDEX(Models!$BJ225:$BT225,,T225+1)*R225-ERP_i)*Q225*Ramure*Pc/MaxiM</f>
        <v>1.0731759892633951E-5</v>
      </c>
      <c r="Q225" s="301">
        <f t="shared" si="80"/>
        <v>0.5</v>
      </c>
      <c r="R225" s="173">
        <f t="shared" si="81"/>
        <v>0.43709999079880157</v>
      </c>
      <c r="S225" s="802">
        <f t="shared" si="82"/>
        <v>1</v>
      </c>
      <c r="T225" s="172">
        <f t="shared" si="83"/>
        <v>7</v>
      </c>
      <c r="U225" s="247">
        <f t="shared" si="84"/>
        <v>1.4370999907988016</v>
      </c>
      <c r="V225" s="378">
        <f t="shared" si="85"/>
        <v>57.681956506553121</v>
      </c>
      <c r="W225" s="397">
        <f t="shared" si="86"/>
        <v>47.096202425569842</v>
      </c>
      <c r="X225" s="153">
        <f t="shared" si="87"/>
        <v>45502</v>
      </c>
      <c r="Y225" s="380">
        <f t="shared" si="88"/>
        <v>46.074923596274822</v>
      </c>
      <c r="Z225" s="380">
        <f t="shared" si="89"/>
        <v>46.697205064810085</v>
      </c>
      <c r="AA225" s="381">
        <f t="shared" si="90"/>
        <v>49.138142088563519</v>
      </c>
      <c r="AB225" s="193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4.9674996245361515E-2</v>
      </c>
      <c r="AD225" s="227">
        <f>(INDEX(Models!$BJ225:$BT225,,AH225)*(1-AF225)+INDEX(Models!$BJ225:$BT225,,AH225+1)*AF225-ERP_i)*AE225*Ramure*Pc/MaxiM</f>
        <v>1.0731759892633951E-5</v>
      </c>
      <c r="AE225" s="301">
        <f t="shared" si="92"/>
        <v>0.5</v>
      </c>
      <c r="AF225" s="173">
        <f t="shared" si="93"/>
        <v>0.43709999079880157</v>
      </c>
      <c r="AG225" s="802">
        <f t="shared" si="99"/>
        <v>1</v>
      </c>
      <c r="AH225" s="172">
        <f t="shared" si="94"/>
        <v>7</v>
      </c>
      <c r="AI225" s="221">
        <f t="shared" si="95"/>
        <v>1.4370999907988016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98"/>
        <v>45503</v>
      </c>
      <c r="B226" s="406">
        <f>'2023'!Wh/'2023'!Env_an*'2024'!Env_an</f>
        <v>57.6743515618519</v>
      </c>
      <c r="C226" s="385"/>
      <c r="D226" s="388">
        <f t="shared" si="77"/>
        <v>58.454093468257355</v>
      </c>
      <c r="E226" s="380">
        <f t="shared" si="75"/>
        <v>60.17886714777535</v>
      </c>
      <c r="F226" s="380">
        <f t="shared" si="78"/>
        <v>60.179550846641462</v>
      </c>
      <c r="G226" s="110">
        <f t="shared" si="76"/>
        <v>1.0037282644841452</v>
      </c>
      <c r="H226" s="409" t="b">
        <f>Wh_hp&gt;='2023'!Maxi_hp</f>
        <v>1</v>
      </c>
      <c r="I226" s="375">
        <f>IF(H226,Wh_hp,'2023'!Maxi_hp)</f>
        <v>60.179550846641462</v>
      </c>
      <c r="J226" s="85">
        <f>IF(H226,An,'2023'!An_max)</f>
        <v>2024</v>
      </c>
      <c r="K226" s="193">
        <f t="shared" si="79"/>
        <v>45503</v>
      </c>
      <c r="L226" s="143">
        <f>IF(t&lt;Tvie,1-EXP((T0-t)*PertePVj)+'2023'!Pspv,1-EXP((T0-t)*PertePVj)+Pspv)</f>
        <v>1.3339389256440737E-2</v>
      </c>
      <c r="M226" s="836"/>
      <c r="N226" s="836"/>
      <c r="O226" s="48">
        <f>IF(t&lt;Tnet,'2023'!Resal+('2023'!Salim-'2023'!Resal)*(1-EXP(('2023'!Tnet-t)/('2023'!Tau_j))),Resal+(Salim-Resal)*(1-EXP((Tnet-t)/(Tau_j))))*Salcycl</f>
        <v>2.8660786772250653E-2</v>
      </c>
      <c r="P226" s="165">
        <f>(INDEX(Models!$BJ226:$BT226,,T226)*(1-R226)+INDEX(Models!$BJ226:$BT226,,T226+1)*R226-ERP_i)*Q226*Ramure*Pc/MaxiM</f>
        <v>1.1360983199316485E-5</v>
      </c>
      <c r="Q226" s="301">
        <f t="shared" si="80"/>
        <v>0.5</v>
      </c>
      <c r="R226" s="173">
        <f t="shared" si="81"/>
        <v>0.43913946186427477</v>
      </c>
      <c r="S226" s="802">
        <f t="shared" si="82"/>
        <v>1</v>
      </c>
      <c r="T226" s="172">
        <f t="shared" si="83"/>
        <v>7</v>
      </c>
      <c r="U226" s="247">
        <f t="shared" si="84"/>
        <v>1.4391394618642748</v>
      </c>
      <c r="V226" s="378">
        <f t="shared" si="85"/>
        <v>57.460125018490928</v>
      </c>
      <c r="W226" s="397">
        <f t="shared" si="86"/>
        <v>57.6743515618519</v>
      </c>
      <c r="X226" s="153">
        <f t="shared" si="87"/>
        <v>45503</v>
      </c>
      <c r="Y226" s="380">
        <f t="shared" si="88"/>
        <v>56.424773207923835</v>
      </c>
      <c r="Z226" s="380">
        <f t="shared" si="89"/>
        <v>57.187621147054251</v>
      </c>
      <c r="AA226" s="381">
        <f t="shared" si="90"/>
        <v>60.17886714777535</v>
      </c>
      <c r="AB226" s="193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4.9705920740843887E-2</v>
      </c>
      <c r="AD226" s="227">
        <f>(INDEX(Models!$BJ226:$BT226,,AH226)*(1-AF226)+INDEX(Models!$BJ226:$BT226,,AH226+1)*AF226-ERP_i)*AE226*Ramure*Pc/MaxiM</f>
        <v>1.1360983199316485E-5</v>
      </c>
      <c r="AE226" s="301">
        <f t="shared" si="92"/>
        <v>0.5</v>
      </c>
      <c r="AF226" s="173">
        <f t="shared" si="93"/>
        <v>0.43913946186427477</v>
      </c>
      <c r="AG226" s="802">
        <f t="shared" si="99"/>
        <v>1</v>
      </c>
      <c r="AH226" s="172">
        <f t="shared" si="94"/>
        <v>7</v>
      </c>
      <c r="AI226" s="221">
        <f t="shared" si="95"/>
        <v>1.4391394618642748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98"/>
        <v>45504</v>
      </c>
      <c r="B227" s="406">
        <f>'2023'!Wh/'2023'!Env_an*'2024'!Env_an</f>
        <v>57.169013512170032</v>
      </c>
      <c r="C227" s="385"/>
      <c r="D227" s="388">
        <f t="shared" si="77"/>
        <v>57.942716569566961</v>
      </c>
      <c r="E227" s="380">
        <f t="shared" si="75"/>
        <v>59.655483924881764</v>
      </c>
      <c r="F227" s="380">
        <f t="shared" si="78"/>
        <v>59.656205463936686</v>
      </c>
      <c r="G227" s="110">
        <f t="shared" si="76"/>
        <v>0.99884387963398102</v>
      </c>
      <c r="H227" s="409" t="b">
        <f>Wh_hp&gt;='2023'!Maxi_hp</f>
        <v>0</v>
      </c>
      <c r="I227" s="375">
        <f>IF(H227,Wh_hp,'2023'!Maxi_hp)</f>
        <v>59.656206328517612</v>
      </c>
      <c r="J227" s="85">
        <f>IF(H227,An,'2023'!An_max)</f>
        <v>2022</v>
      </c>
      <c r="K227" s="193">
        <f t="shared" si="79"/>
        <v>45504</v>
      </c>
      <c r="L227" s="143">
        <f>IF(t&lt;Tvie,1-EXP((T0-t)*PertePVj)+'2023'!Pspv,1-EXP((T0-t)*PertePVj)+Pspv)</f>
        <v>1.3352895811642007E-2</v>
      </c>
      <c r="M227" s="836"/>
      <c r="N227" s="836"/>
      <c r="O227" s="48">
        <f>IF(t&lt;Tnet,'2023'!Resal+('2023'!Salim-'2023'!Resal)*(1-EXP(('2023'!Tnet-t)/('2023'!Tau_j))),Resal+(Salim-Resal)*(1-EXP((Tnet-t)/(Tau_j))))*Salcycl</f>
        <v>2.871097915275524E-2</v>
      </c>
      <c r="P227" s="165">
        <f>(INDEX(Models!$BJ227:$BT227,,T227)*(1-R227)+INDEX(Models!$BJ227:$BT227,,T227+1)*R227-ERP_i)*Q227*Ramure*Pc/MaxiM</f>
        <v>1.2114962632437551E-5</v>
      </c>
      <c r="Q227" s="301">
        <f t="shared" si="80"/>
        <v>0.5</v>
      </c>
      <c r="R227" s="173">
        <f t="shared" si="81"/>
        <v>0.44111451659294398</v>
      </c>
      <c r="S227" s="802">
        <f t="shared" si="82"/>
        <v>1</v>
      </c>
      <c r="T227" s="172">
        <f t="shared" si="83"/>
        <v>7</v>
      </c>
      <c r="U227" s="247">
        <f t="shared" si="84"/>
        <v>1.441114516592944</v>
      </c>
      <c r="V227" s="378">
        <f t="shared" si="85"/>
        <v>57.235183129145121</v>
      </c>
      <c r="W227" s="397">
        <f t="shared" si="86"/>
        <v>57.169013512170032</v>
      </c>
      <c r="X227" s="153">
        <f t="shared" si="87"/>
        <v>45504</v>
      </c>
      <c r="Y227" s="380">
        <f t="shared" si="88"/>
        <v>55.93146436841613</v>
      </c>
      <c r="Z227" s="380">
        <f t="shared" si="89"/>
        <v>56.688418919981359</v>
      </c>
      <c r="AA227" s="381">
        <f t="shared" si="90"/>
        <v>59.655483924881764</v>
      </c>
      <c r="AB227" s="193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4.9736668109784027E-2</v>
      </c>
      <c r="AD227" s="227">
        <f>(INDEX(Models!$BJ227:$BT227,,AH227)*(1-AF227)+INDEX(Models!$BJ227:$BT227,,AH227+1)*AF227-ERP_i)*AE227*Ramure*Pc/MaxiM</f>
        <v>1.2114962632437551E-5</v>
      </c>
      <c r="AE227" s="301">
        <f t="shared" si="92"/>
        <v>0.5</v>
      </c>
      <c r="AF227" s="173">
        <f t="shared" si="93"/>
        <v>0.44111451659294398</v>
      </c>
      <c r="AG227" s="802">
        <f t="shared" si="99"/>
        <v>1</v>
      </c>
      <c r="AH227" s="172">
        <f t="shared" si="94"/>
        <v>7</v>
      </c>
      <c r="AI227" s="221">
        <f t="shared" si="95"/>
        <v>1.441114516592944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98"/>
        <v>45505</v>
      </c>
      <c r="B228" s="406">
        <f>'2023'!Wh/'2023'!Env_an*'2024'!Env_an</f>
        <v>57.180325304685624</v>
      </c>
      <c r="C228" s="385"/>
      <c r="D228" s="388">
        <f t="shared" si="77"/>
        <v>57.954974806392642</v>
      </c>
      <c r="E228" s="380">
        <f t="shared" si="75"/>
        <v>59.671180217036131</v>
      </c>
      <c r="F228" s="380">
        <f t="shared" si="78"/>
        <v>59.671955685390991</v>
      </c>
      <c r="G228" s="110">
        <f t="shared" si="76"/>
        <v>1.0030289075718304</v>
      </c>
      <c r="H228" s="409" t="b">
        <f>Wh_hp&gt;='2023'!Maxi_hp</f>
        <v>1</v>
      </c>
      <c r="I228" s="375">
        <f>IF(H228,Wh_hp,'2023'!Maxi_hp)</f>
        <v>59.671955685390991</v>
      </c>
      <c r="J228" s="85">
        <f>IF(H228,An,'2023'!An_max)</f>
        <v>2024</v>
      </c>
      <c r="K228" s="193">
        <f t="shared" si="79"/>
        <v>45505</v>
      </c>
      <c r="L228" s="143">
        <f>IF(t&lt;Tvie,1-EXP((T0-t)*PertePVj)+'2023'!Pspv,1-EXP((T0-t)*PertePVj)+Pspv)</f>
        <v>1.3366402181949844E-2</v>
      </c>
      <c r="M228" s="836"/>
      <c r="N228" s="836"/>
      <c r="O228" s="48">
        <f>IF(t&lt;Tnet,'2023'!Resal+('2023'!Salim-'2023'!Resal)*(1-EXP(('2023'!Tnet-t)/('2023'!Tau_j))),Resal+(Salim-Resal)*(1-EXP((Tnet-t)/(Tau_j))))*Salcycl</f>
        <v>2.8761043512149521E-2</v>
      </c>
      <c r="P228" s="165">
        <f>(INDEX(Models!$BJ228:$BT228,,T228)*(1-R228)+INDEX(Models!$BJ228:$BT228,,T228+1)*R228-ERP_i)*Q228*Ramure*Pc/MaxiM</f>
        <v>1.2995524379207272E-5</v>
      </c>
      <c r="Q228" s="301">
        <f t="shared" si="80"/>
        <v>0.5</v>
      </c>
      <c r="R228" s="173">
        <f t="shared" si="81"/>
        <v>0.44302656967758081</v>
      </c>
      <c r="S228" s="802">
        <f t="shared" si="82"/>
        <v>1</v>
      </c>
      <c r="T228" s="172">
        <f t="shared" si="83"/>
        <v>7</v>
      </c>
      <c r="U228" s="247">
        <f t="shared" si="84"/>
        <v>1.4430265696775808</v>
      </c>
      <c r="V228" s="378">
        <f t="shared" si="85"/>
        <v>57.007654388655538</v>
      </c>
      <c r="W228" s="397">
        <f t="shared" si="86"/>
        <v>57.180325304685624</v>
      </c>
      <c r="X228" s="153">
        <f t="shared" si="87"/>
        <v>45505</v>
      </c>
      <c r="Y228" s="380">
        <f t="shared" si="88"/>
        <v>55.943614701668622</v>
      </c>
      <c r="Z228" s="380">
        <f t="shared" si="89"/>
        <v>56.701509887143992</v>
      </c>
      <c r="AA228" s="381">
        <f t="shared" si="90"/>
        <v>59.671180217036131</v>
      </c>
      <c r="AB228" s="193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4.9767246417631514E-2</v>
      </c>
      <c r="AD228" s="227">
        <f>(INDEX(Models!$BJ228:$BT228,,AH228)*(1-AF228)+INDEX(Models!$BJ228:$BT228,,AH228+1)*AF228-ERP_i)*AE228*Ramure*Pc/MaxiM</f>
        <v>1.2995524379207272E-5</v>
      </c>
      <c r="AE228" s="301">
        <f t="shared" si="92"/>
        <v>0.5</v>
      </c>
      <c r="AF228" s="173">
        <f t="shared" si="93"/>
        <v>0.44302656967758081</v>
      </c>
      <c r="AG228" s="802">
        <f t="shared" si="99"/>
        <v>1</v>
      </c>
      <c r="AH228" s="172">
        <f t="shared" si="94"/>
        <v>7</v>
      </c>
      <c r="AI228" s="221">
        <f t="shared" si="95"/>
        <v>1.4430265696775808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98"/>
        <v>45506</v>
      </c>
      <c r="B229" s="406">
        <f>'2023'!Wh/'2023'!Env_an*'2024'!Env_an</f>
        <v>56.774776352674706</v>
      </c>
      <c r="C229" s="385"/>
      <c r="D229" s="388">
        <f t="shared" si="77"/>
        <v>57.54471942561527</v>
      </c>
      <c r="E229" s="380">
        <f t="shared" si="75"/>
        <v>59.251822718277552</v>
      </c>
      <c r="F229" s="380">
        <f t="shared" si="78"/>
        <v>59.252652452673026</v>
      </c>
      <c r="G229" s="110">
        <f t="shared" si="76"/>
        <v>0.99994212610206601</v>
      </c>
      <c r="H229" s="409" t="b">
        <f>Wh_hp&gt;='2023'!Maxi_hp</f>
        <v>0</v>
      </c>
      <c r="I229" s="375">
        <f>IF(H229,Wh_hp,'2023'!Maxi_hp)</f>
        <v>59.252652502044675</v>
      </c>
      <c r="J229" s="85">
        <f>IF(H229,An,'2023'!An_max)</f>
        <v>2022</v>
      </c>
      <c r="K229" s="193">
        <f t="shared" si="79"/>
        <v>45506</v>
      </c>
      <c r="L229" s="143">
        <f>IF(t&lt;Tvie,1-EXP((T0-t)*PertePVj)+'2023'!Pspv,1-EXP((T0-t)*PertePVj)+Pspv)</f>
        <v>1.33799083673668E-2</v>
      </c>
      <c r="M229" s="836"/>
      <c r="N229" s="836"/>
      <c r="O229" s="48">
        <f>IF(t&lt;Tnet,'2023'!Resal+('2023'!Salim-'2023'!Resal)*(1-EXP(('2023'!Tnet-t)/('2023'!Tau_j))),Resal+(Salim-Resal)*(1-EXP((Tnet-t)/(Tau_j))))*Salcycl</f>
        <v>2.8810983600943176E-2</v>
      </c>
      <c r="P229" s="165">
        <f>(INDEX(Models!$BJ229:$BT229,,T229)*(1-R229)+INDEX(Models!$BJ229:$BT229,,T229+1)*R229-ERP_i)*Q229*Ramure*Pc/MaxiM</f>
        <v>1.4004486978571244E-5</v>
      </c>
      <c r="Q229" s="301">
        <f t="shared" si="80"/>
        <v>0.5</v>
      </c>
      <c r="R229" s="173">
        <f t="shared" si="81"/>
        <v>0.44487705000030386</v>
      </c>
      <c r="S229" s="802">
        <f t="shared" si="82"/>
        <v>1</v>
      </c>
      <c r="T229" s="172">
        <f t="shared" si="83"/>
        <v>7</v>
      </c>
      <c r="U229" s="247">
        <f t="shared" si="84"/>
        <v>1.4448770500003039</v>
      </c>
      <c r="V229" s="378">
        <f t="shared" si="85"/>
        <v>56.7780622547183</v>
      </c>
      <c r="W229" s="397">
        <f t="shared" si="86"/>
        <v>56.774776352674706</v>
      </c>
      <c r="X229" s="153">
        <f t="shared" si="87"/>
        <v>45506</v>
      </c>
      <c r="Y229" s="380">
        <f t="shared" si="88"/>
        <v>55.547915273411157</v>
      </c>
      <c r="Z229" s="380">
        <f t="shared" si="89"/>
        <v>56.30122044392175</v>
      </c>
      <c r="AA229" s="381">
        <f t="shared" si="90"/>
        <v>59.251822718277552</v>
      </c>
      <c r="AB229" s="193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4.9797662569553765E-2</v>
      </c>
      <c r="AD229" s="227">
        <f>(INDEX(Models!$BJ229:$BT229,,AH229)*(1-AF229)+INDEX(Models!$BJ229:$BT229,,AH229+1)*AF229-ERP_i)*AE229*Ramure*Pc/MaxiM</f>
        <v>1.4004486978571244E-5</v>
      </c>
      <c r="AE229" s="301">
        <f t="shared" si="92"/>
        <v>0.5</v>
      </c>
      <c r="AF229" s="173">
        <f t="shared" si="93"/>
        <v>0.44487705000030386</v>
      </c>
      <c r="AG229" s="802">
        <f t="shared" si="99"/>
        <v>1</v>
      </c>
      <c r="AH229" s="172">
        <f t="shared" si="94"/>
        <v>7</v>
      </c>
      <c r="AI229" s="221">
        <f t="shared" si="95"/>
        <v>1.4448770500003039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98"/>
        <v>45507</v>
      </c>
      <c r="B230" s="406">
        <f>'2023'!Wh/'2023'!Env_an*'2024'!Env_an</f>
        <v>54.163570268277496</v>
      </c>
      <c r="C230" s="385"/>
      <c r="D230" s="388">
        <f t="shared" si="77"/>
        <v>54.898853359645557</v>
      </c>
      <c r="E230" s="380">
        <f t="shared" si="75"/>
        <v>56.5303650628816</v>
      </c>
      <c r="F230" s="380">
        <f t="shared" si="78"/>
        <v>56.531169604499986</v>
      </c>
      <c r="G230" s="110">
        <f t="shared" si="76"/>
        <v>0.9578507762698224</v>
      </c>
      <c r="H230" s="409" t="b">
        <f>Wh_hp&gt;='2023'!Maxi_hp</f>
        <v>0</v>
      </c>
      <c r="I230" s="375">
        <f>IF(H230,Wh_hp,'2023'!Maxi_hp)</f>
        <v>56.531206587752195</v>
      </c>
      <c r="J230" s="85">
        <f>IF(H230,An,'2023'!An_max)</f>
        <v>2022</v>
      </c>
      <c r="K230" s="193">
        <f t="shared" si="79"/>
        <v>45507</v>
      </c>
      <c r="L230" s="143">
        <f>IF(t&lt;Tvie,1-EXP((T0-t)*PertePVj)+'2023'!Pspv,1-EXP((T0-t)*PertePVj)+Pspv)</f>
        <v>1.3393414367895429E-2</v>
      </c>
      <c r="M230" s="836"/>
      <c r="N230" s="836"/>
      <c r="O230" s="48">
        <f>IF(t&lt;Tnet,'2023'!Resal+('2023'!Salim-'2023'!Resal)*(1-EXP(('2023'!Tnet-t)/('2023'!Tau_j))),Resal+(Salim-Resal)*(1-EXP((Tnet-t)/(Tau_j))))*Salcycl</f>
        <v>2.8860802533668951E-2</v>
      </c>
      <c r="P230" s="165">
        <f>(INDEX(Models!$BJ230:$BT230,,T230)*(1-R230)+INDEX(Models!$BJ230:$BT230,,T230+1)*R230-ERP_i)*Q230*Ramure*Pc/MaxiM</f>
        <v>1.5143651817436594E-5</v>
      </c>
      <c r="Q230" s="301">
        <f t="shared" si="80"/>
        <v>0.5</v>
      </c>
      <c r="R230" s="173">
        <f t="shared" si="81"/>
        <v>0.44666739653498055</v>
      </c>
      <c r="S230" s="802">
        <f t="shared" si="82"/>
        <v>1</v>
      </c>
      <c r="T230" s="172">
        <f t="shared" si="83"/>
        <v>7</v>
      </c>
      <c r="U230" s="247">
        <f t="shared" si="84"/>
        <v>1.4466673965349806</v>
      </c>
      <c r="V230" s="378">
        <f t="shared" si="85"/>
        <v>56.546930087187789</v>
      </c>
      <c r="W230" s="397">
        <f t="shared" si="86"/>
        <v>54.163570268277496</v>
      </c>
      <c r="X230" s="153">
        <f t="shared" si="87"/>
        <v>45507</v>
      </c>
      <c r="Y230" s="380">
        <f t="shared" si="88"/>
        <v>52.994166263257576</v>
      </c>
      <c r="Z230" s="380">
        <f t="shared" si="89"/>
        <v>53.713574422681333</v>
      </c>
      <c r="AA230" s="381">
        <f t="shared" si="90"/>
        <v>56.5303650628816</v>
      </c>
      <c r="AB230" s="193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4.9827922339914336E-2</v>
      </c>
      <c r="AD230" s="227">
        <f>(INDEX(Models!$BJ230:$BT230,,AH230)*(1-AF230)+INDEX(Models!$BJ230:$BT230,,AH230+1)*AF230-ERP_i)*AE230*Ramure*Pc/MaxiM</f>
        <v>1.5143651817436594E-5</v>
      </c>
      <c r="AE230" s="301">
        <f t="shared" si="92"/>
        <v>0.5</v>
      </c>
      <c r="AF230" s="173">
        <f t="shared" si="93"/>
        <v>0.44666739653498055</v>
      </c>
      <c r="AG230" s="802">
        <f t="shared" si="99"/>
        <v>1</v>
      </c>
      <c r="AH230" s="172">
        <f t="shared" si="94"/>
        <v>7</v>
      </c>
      <c r="AI230" s="221">
        <f t="shared" si="95"/>
        <v>1.4466673965349806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98"/>
        <v>45508</v>
      </c>
      <c r="B231" s="406">
        <f>'2023'!Wh/'2023'!Env_an*'2024'!Env_an</f>
        <v>43.235559870952109</v>
      </c>
      <c r="C231" s="385"/>
      <c r="D231" s="388">
        <f t="shared" si="77"/>
        <v>43.823092575305033</v>
      </c>
      <c r="E231" s="380">
        <f t="shared" si="75"/>
        <v>45.12775877189862</v>
      </c>
      <c r="F231" s="380">
        <f t="shared" si="78"/>
        <v>45.128253763488253</v>
      </c>
      <c r="G231" s="110">
        <f t="shared" si="76"/>
        <v>0.76774380569295331</v>
      </c>
      <c r="H231" s="409" t="b">
        <f>Wh_hp&gt;='2023'!Maxi_hp</f>
        <v>0</v>
      </c>
      <c r="I231" s="375">
        <f>IF(H231,Wh_hp,'2023'!Maxi_hp)</f>
        <v>45.128429594310724</v>
      </c>
      <c r="J231" s="85">
        <f>IF(H231,An,'2023'!An_max)</f>
        <v>2022</v>
      </c>
      <c r="K231" s="193">
        <f t="shared" si="79"/>
        <v>45508</v>
      </c>
      <c r="L231" s="143">
        <f>IF(t&lt;Tvie,1-EXP((T0-t)*PertePVj)+'2023'!Pspv,1-EXP((T0-t)*PertePVj)+Pspv)</f>
        <v>1.3406920183538285E-2</v>
      </c>
      <c r="M231" s="836"/>
      <c r="N231" s="836"/>
      <c r="O231" s="48">
        <f>IF(t&lt;Tnet,'2023'!Resal+('2023'!Salim-'2023'!Resal)*(1-EXP(('2023'!Tnet-t)/('2023'!Tau_j))),Resal+(Salim-Resal)*(1-EXP((Tnet-t)/(Tau_j))))*Salcycl</f>
        <v>2.8910502805781123E-2</v>
      </c>
      <c r="P231" s="165">
        <f>(INDEX(Models!$BJ231:$BT231,,T231)*(1-R231)+INDEX(Models!$BJ231:$BT231,,T231+1)*R231-ERP_i)*Q231*Ramure*Pc/MaxiM</f>
        <v>1.6414792754313471E-5</v>
      </c>
      <c r="Q231" s="301">
        <f t="shared" si="80"/>
        <v>0.5</v>
      </c>
      <c r="R231" s="173">
        <f t="shared" si="81"/>
        <v>0.44839905450862294</v>
      </c>
      <c r="S231" s="802">
        <f t="shared" si="82"/>
        <v>1</v>
      </c>
      <c r="T231" s="172">
        <f t="shared" si="83"/>
        <v>7</v>
      </c>
      <c r="U231" s="247">
        <f t="shared" si="84"/>
        <v>1.4483990545086229</v>
      </c>
      <c r="V231" s="378">
        <f t="shared" si="85"/>
        <v>56.314781150294664</v>
      </c>
      <c r="W231" s="397">
        <f t="shared" si="86"/>
        <v>43.235559870952109</v>
      </c>
      <c r="X231" s="153">
        <f t="shared" si="87"/>
        <v>45508</v>
      </c>
      <c r="Y231" s="380">
        <f t="shared" si="88"/>
        <v>42.302918660840497</v>
      </c>
      <c r="Z231" s="380">
        <f t="shared" si="89"/>
        <v>42.877777602808862</v>
      </c>
      <c r="AA231" s="381">
        <f t="shared" si="90"/>
        <v>45.12775877189862</v>
      </c>
      <c r="AB231" s="193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4.9858030407901321E-2</v>
      </c>
      <c r="AD231" s="227">
        <f>(INDEX(Models!$BJ231:$BT231,,AH231)*(1-AF231)+INDEX(Models!$BJ231:$BT231,,AH231+1)*AF231-ERP_i)*AE231*Ramure*Pc/MaxiM</f>
        <v>1.6414792754313471E-5</v>
      </c>
      <c r="AE231" s="301">
        <f t="shared" si="92"/>
        <v>0.5</v>
      </c>
      <c r="AF231" s="173">
        <f t="shared" si="93"/>
        <v>0.44839905450862294</v>
      </c>
      <c r="AG231" s="802">
        <f t="shared" si="99"/>
        <v>1</v>
      </c>
      <c r="AH231" s="172">
        <f t="shared" si="94"/>
        <v>7</v>
      </c>
      <c r="AI231" s="221">
        <f t="shared" si="95"/>
        <v>1.4483990545086229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98"/>
        <v>45509</v>
      </c>
      <c r="B232" s="406">
        <f>'2023'!Wh/'2023'!Env_an*'2024'!Env_an</f>
        <v>51.588997975601629</v>
      </c>
      <c r="C232" s="385"/>
      <c r="D232" s="388">
        <f t="shared" si="77"/>
        <v>52.290762271438552</v>
      </c>
      <c r="E232" s="380">
        <f t="shared" si="75"/>
        <v>53.850270760692354</v>
      </c>
      <c r="F232" s="380">
        <f t="shared" si="78"/>
        <v>53.851120538482249</v>
      </c>
      <c r="G232" s="110">
        <f t="shared" si="76"/>
        <v>0.91988098232619842</v>
      </c>
      <c r="H232" s="409" t="b">
        <f>Wh_hp&gt;='2023'!Maxi_hp</f>
        <v>0</v>
      </c>
      <c r="I232" s="375">
        <f>IF(H232,Wh_hp,'2023'!Maxi_hp)</f>
        <v>53.85119889796897</v>
      </c>
      <c r="J232" s="85">
        <f>IF(H232,An,'2023'!An_max)</f>
        <v>2022</v>
      </c>
      <c r="K232" s="193">
        <f t="shared" si="79"/>
        <v>45509</v>
      </c>
      <c r="L232" s="143">
        <f>IF(t&lt;Tvie,1-EXP((T0-t)*PertePVj)+'2023'!Pspv,1-EXP((T0-t)*PertePVj)+Pspv)</f>
        <v>1.3420425814297809E-2</v>
      </c>
      <c r="M232" s="836"/>
      <c r="N232" s="836"/>
      <c r="O232" s="48">
        <f>IF(t&lt;Tnet,'2023'!Resal+('2023'!Salim-'2023'!Resal)*(1-EXP(('2023'!Tnet-t)/('2023'!Tau_j))),Resal+(Salim-Resal)*(1-EXP((Tnet-t)/(Tau_j))))*Salcycl</f>
        <v>2.8960086313849318E-2</v>
      </c>
      <c r="P232" s="165">
        <f>(INDEX(Models!$BJ232:$BT232,,T232)*(1-R232)+INDEX(Models!$BJ232:$BT232,,T232+1)*R232-ERP_i)*Q232*Ramure*Pc/MaxiM</f>
        <v>1.7819644860237898E-5</v>
      </c>
      <c r="Q232" s="301">
        <f t="shared" si="80"/>
        <v>0.5</v>
      </c>
      <c r="R232" s="173">
        <f t="shared" si="81"/>
        <v>0.45007347181815449</v>
      </c>
      <c r="S232" s="802">
        <f t="shared" si="82"/>
        <v>1</v>
      </c>
      <c r="T232" s="172">
        <f t="shared" si="83"/>
        <v>7</v>
      </c>
      <c r="U232" s="247">
        <f t="shared" si="84"/>
        <v>1.4500734718181545</v>
      </c>
      <c r="V232" s="378">
        <f t="shared" si="85"/>
        <v>56.082138612168869</v>
      </c>
      <c r="W232" s="397">
        <f t="shared" si="86"/>
        <v>51.588997975601629</v>
      </c>
      <c r="X232" s="153">
        <f t="shared" si="87"/>
        <v>45509</v>
      </c>
      <c r="Y232" s="380">
        <f t="shared" si="88"/>
        <v>50.477149135772869</v>
      </c>
      <c r="Z232" s="380">
        <f t="shared" si="89"/>
        <v>51.163788970023461</v>
      </c>
      <c r="AA232" s="381">
        <f t="shared" si="90"/>
        <v>53.850270760692354</v>
      </c>
      <c r="AB232" s="193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4.9887990398552851E-2</v>
      </c>
      <c r="AD232" s="227">
        <f>(INDEX(Models!$BJ232:$BT232,,AH232)*(1-AF232)+INDEX(Models!$BJ232:$BT232,,AH232+1)*AF232-ERP_i)*AE232*Ramure*Pc/MaxiM</f>
        <v>1.7819644860237898E-5</v>
      </c>
      <c r="AE232" s="301">
        <f t="shared" si="92"/>
        <v>0.5</v>
      </c>
      <c r="AF232" s="173">
        <f t="shared" si="93"/>
        <v>0.45007347181815449</v>
      </c>
      <c r="AG232" s="802">
        <f t="shared" si="99"/>
        <v>1</v>
      </c>
      <c r="AH232" s="172">
        <f t="shared" si="94"/>
        <v>7</v>
      </c>
      <c r="AI232" s="221">
        <f t="shared" si="95"/>
        <v>1.4500734718181545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98"/>
        <v>45510</v>
      </c>
      <c r="B233" s="406">
        <f>'2023'!Wh/'2023'!Env_an*'2024'!Env_an</f>
        <v>54.394069129519352</v>
      </c>
      <c r="C233" s="385"/>
      <c r="D233" s="388">
        <f t="shared" si="77"/>
        <v>55.134745510758215</v>
      </c>
      <c r="E233" s="380">
        <f t="shared" ref="E233:E296" si="100">Wh_pvt/(1-Psa)</f>
        <v>56.781965012513197</v>
      </c>
      <c r="F233" s="380">
        <f t="shared" si="78"/>
        <v>56.783023491489161</v>
      </c>
      <c r="G233" s="110">
        <f t="shared" ref="G233:G296" si="101">+Wh_hp/MaxiM</f>
        <v>0.97397364836406242</v>
      </c>
      <c r="H233" s="409" t="b">
        <f>Wh_hp&gt;='2023'!Maxi_hp</f>
        <v>0</v>
      </c>
      <c r="I233" s="375">
        <f>IF(H233,Wh_hp,'2023'!Maxi_hp)</f>
        <v>56.783052579043542</v>
      </c>
      <c r="J233" s="85">
        <f>IF(H233,An,'2023'!An_max)</f>
        <v>2022</v>
      </c>
      <c r="K233" s="193">
        <f t="shared" si="79"/>
        <v>45510</v>
      </c>
      <c r="L233" s="143">
        <f>IF(t&lt;Tvie,1-EXP((T0-t)*PertePVj)+'2023'!Pspv,1-EXP((T0-t)*PertePVj)+Pspv)</f>
        <v>1.3433931260176668E-2</v>
      </c>
      <c r="M233" s="836"/>
      <c r="N233" s="836"/>
      <c r="O233" s="48">
        <f>IF(t&lt;Tnet,'2023'!Resal+('2023'!Salim-'2023'!Resal)*(1-EXP(('2023'!Tnet-t)/('2023'!Tau_j))),Resal+(Salim-Resal)*(1-EXP((Tnet-t)/(Tau_j))))*Salcycl</f>
        <v>2.9009554378612638E-2</v>
      </c>
      <c r="P233" s="165">
        <f>(INDEX(Models!$BJ233:$BT233,,T233)*(1-R233)+INDEX(Models!$BJ233:$BT233,,T233+1)*R233-ERP_i)*Q233*Ramure*Pc/MaxiM</f>
        <v>1.9360581381869107E-5</v>
      </c>
      <c r="Q233" s="301">
        <f t="shared" si="80"/>
        <v>0.5</v>
      </c>
      <c r="R233" s="173">
        <f t="shared" si="81"/>
        <v>0.45169209569771795</v>
      </c>
      <c r="S233" s="802">
        <f t="shared" si="82"/>
        <v>1</v>
      </c>
      <c r="T233" s="172">
        <f t="shared" si="83"/>
        <v>7</v>
      </c>
      <c r="U233" s="247">
        <f t="shared" si="84"/>
        <v>1.451692095697718</v>
      </c>
      <c r="V233" s="378">
        <f t="shared" si="85"/>
        <v>55.847537627317216</v>
      </c>
      <c r="W233" s="397">
        <f t="shared" si="86"/>
        <v>54.394069129519352</v>
      </c>
      <c r="X233" s="153">
        <f t="shared" si="87"/>
        <v>45510</v>
      </c>
      <c r="Y233" s="380">
        <f t="shared" si="88"/>
        <v>53.222806496698951</v>
      </c>
      <c r="Z233" s="380">
        <f t="shared" si="89"/>
        <v>53.947533959567835</v>
      </c>
      <c r="AA233" s="381">
        <f t="shared" si="90"/>
        <v>56.781965012513197</v>
      </c>
      <c r="AB233" s="193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4.9917804928391075E-2</v>
      </c>
      <c r="AD233" s="227">
        <f>(INDEX(Models!$BJ233:$BT233,,AH233)*(1-AF233)+INDEX(Models!$BJ233:$BT233,,AH233+1)*AF233-ERP_i)*AE233*Ramure*Pc/MaxiM</f>
        <v>1.9360581381869107E-5</v>
      </c>
      <c r="AE233" s="301">
        <f t="shared" si="92"/>
        <v>0.5</v>
      </c>
      <c r="AF233" s="173">
        <f t="shared" si="93"/>
        <v>0.45169209569771795</v>
      </c>
      <c r="AG233" s="802">
        <f t="shared" si="99"/>
        <v>1</v>
      </c>
      <c r="AH233" s="172">
        <f t="shared" si="94"/>
        <v>7</v>
      </c>
      <c r="AI233" s="221">
        <f t="shared" si="95"/>
        <v>1.451692095697718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98"/>
        <v>45511</v>
      </c>
      <c r="B234" s="406">
        <f>'2023'!Wh/'2023'!Env_an*'2024'!Env_an</f>
        <v>55.804707124396614</v>
      </c>
      <c r="C234" s="385"/>
      <c r="D234" s="388">
        <f t="shared" si="77"/>
        <v>56.565366296972286</v>
      </c>
      <c r="E234" s="380">
        <f t="shared" si="100"/>
        <v>58.258288530236065</v>
      </c>
      <c r="F234" s="380">
        <f t="shared" si="78"/>
        <v>58.259512816427652</v>
      </c>
      <c r="G234" s="110">
        <f t="shared" si="101"/>
        <v>1.0035125626922676</v>
      </c>
      <c r="H234" s="409" t="b">
        <f>Wh_hp&gt;='2023'!Maxi_hp</f>
        <v>1</v>
      </c>
      <c r="I234" s="375">
        <f>IF(H234,Wh_hp,'2023'!Maxi_hp)</f>
        <v>58.259512816427652</v>
      </c>
      <c r="J234" s="85">
        <f>IF(H234,An,'2023'!An_max)</f>
        <v>2024</v>
      </c>
      <c r="K234" s="193">
        <f t="shared" si="79"/>
        <v>45511</v>
      </c>
      <c r="L234" s="143">
        <f>IF(t&lt;Tvie,1-EXP((T0-t)*PertePVj)+'2023'!Pspv,1-EXP((T0-t)*PertePVj)+Pspv)</f>
        <v>1.3447436521177192E-2</v>
      </c>
      <c r="M234" s="836"/>
      <c r="N234" s="836"/>
      <c r="O234" s="48">
        <f>IF(t&lt;Tnet,'2023'!Resal+('2023'!Salim-'2023'!Resal)*(1-EXP(('2023'!Tnet-t)/('2023'!Tau_j))),Resal+(Salim-Resal)*(1-EXP((Tnet-t)/(Tau_j))))*Salcycl</f>
        <v>2.9058907770439426E-2</v>
      </c>
      <c r="P234" s="165">
        <f>(INDEX(Models!$BJ234:$BT234,,T234)*(1-R234)+INDEX(Models!$BJ234:$BT234,,T234+1)*R234-ERP_i)*Q234*Ramure*Pc/MaxiM</f>
        <v>2.1014356838940272E-5</v>
      </c>
      <c r="Q234" s="301">
        <f t="shared" si="80"/>
        <v>0.5</v>
      </c>
      <c r="R234" s="173">
        <f t="shared" si="81"/>
        <v>0.45325636963063953</v>
      </c>
      <c r="S234" s="802">
        <f t="shared" si="82"/>
        <v>1</v>
      </c>
      <c r="T234" s="172">
        <f t="shared" si="83"/>
        <v>7</v>
      </c>
      <c r="U234" s="247">
        <f t="shared" si="84"/>
        <v>1.4532563696306395</v>
      </c>
      <c r="V234" s="378">
        <f t="shared" si="85"/>
        <v>55.609375705951585</v>
      </c>
      <c r="W234" s="397">
        <f t="shared" si="86"/>
        <v>55.804707124396614</v>
      </c>
      <c r="X234" s="153">
        <f t="shared" si="87"/>
        <v>45511</v>
      </c>
      <c r="Y234" s="380">
        <f t="shared" si="88"/>
        <v>54.604139528312203</v>
      </c>
      <c r="Z234" s="380">
        <f t="shared" si="89"/>
        <v>55.348434082178862</v>
      </c>
      <c r="AA234" s="381">
        <f t="shared" si="90"/>
        <v>58.258288530236065</v>
      </c>
      <c r="AB234" s="193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4.9947475654850138E-2</v>
      </c>
      <c r="AD234" s="227">
        <f>(INDEX(Models!$BJ234:$BT234,,AH234)*(1-AF234)+INDEX(Models!$BJ234:$BT234,,AH234+1)*AF234-ERP_i)*AE234*Ramure*Pc/MaxiM</f>
        <v>2.1014356838940272E-5</v>
      </c>
      <c r="AE234" s="301">
        <f t="shared" si="92"/>
        <v>0.5</v>
      </c>
      <c r="AF234" s="173">
        <f t="shared" si="93"/>
        <v>0.45325636963063953</v>
      </c>
      <c r="AG234" s="802">
        <f t="shared" si="99"/>
        <v>1</v>
      </c>
      <c r="AH234" s="172">
        <f t="shared" si="94"/>
        <v>7</v>
      </c>
      <c r="AI234" s="221">
        <f t="shared" si="95"/>
        <v>1.4532563696306395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98"/>
        <v>45512</v>
      </c>
      <c r="B235" s="406">
        <f>'2023'!Wh/'2023'!Env_an*'2024'!Env_an</f>
        <v>53.205097603182246</v>
      </c>
      <c r="C235" s="385"/>
      <c r="D235" s="388">
        <f t="shared" si="77"/>
        <v>53.931060458291881</v>
      </c>
      <c r="E235" s="380">
        <f t="shared" si="100"/>
        <v>55.547958587790752</v>
      </c>
      <c r="F235" s="380">
        <f t="shared" si="78"/>
        <v>55.54915064456457</v>
      </c>
      <c r="G235" s="110">
        <f t="shared" si="101"/>
        <v>0.96093517265227424</v>
      </c>
      <c r="H235" s="409" t="b">
        <f>Wh_hp&gt;='2023'!Maxi_hp</f>
        <v>0</v>
      </c>
      <c r="I235" s="375">
        <f>IF(H235,Wh_hp,'2023'!Maxi_hp)</f>
        <v>55.54920055473837</v>
      </c>
      <c r="J235" s="85">
        <f>IF(H235,An,'2023'!An_max)</f>
        <v>2022</v>
      </c>
      <c r="K235" s="193">
        <f t="shared" si="79"/>
        <v>45512</v>
      </c>
      <c r="L235" s="143">
        <f>IF(t&lt;Tvie,1-EXP((T0-t)*PertePVj)+'2023'!Pspv,1-EXP((T0-t)*PertePVj)+Pspv)</f>
        <v>1.3460941597302156E-2</v>
      </c>
      <c r="M235" s="836"/>
      <c r="N235" s="836"/>
      <c r="O235" s="48">
        <f>IF(t&lt;Tnet,'2023'!Resal+('2023'!Salim-'2023'!Resal)*(1-EXP(('2023'!Tnet-t)/('2023'!Tau_j))),Resal+(Salim-Resal)*(1-EXP((Tnet-t)/(Tau_j))))*Salcycl</f>
        <v>2.9108146736723767E-2</v>
      </c>
      <c r="P235" s="165">
        <f>(INDEX(Models!$BJ235:$BT235,,T235)*(1-R235)+INDEX(Models!$BJ235:$BT235,,T235+1)*R235-ERP_i)*Q235*Ramure*Pc/MaxiM</f>
        <v>2.2727825802545203E-5</v>
      </c>
      <c r="Q235" s="301">
        <f t="shared" si="80"/>
        <v>0.5</v>
      </c>
      <c r="R235" s="173">
        <f t="shared" si="81"/>
        <v>0.45476773049926789</v>
      </c>
      <c r="S235" s="802">
        <f t="shared" si="82"/>
        <v>1</v>
      </c>
      <c r="T235" s="172">
        <f t="shared" si="83"/>
        <v>7</v>
      </c>
      <c r="U235" s="247">
        <f t="shared" si="84"/>
        <v>1.4547677304992679</v>
      </c>
      <c r="V235" s="378">
        <f t="shared" si="85"/>
        <v>55.367970321317259</v>
      </c>
      <c r="W235" s="397">
        <f t="shared" si="86"/>
        <v>53.205097603182246</v>
      </c>
      <c r="X235" s="153">
        <f t="shared" si="87"/>
        <v>45512</v>
      </c>
      <c r="Y235" s="380">
        <f t="shared" si="88"/>
        <v>52.061479446217426</v>
      </c>
      <c r="Z235" s="380">
        <f t="shared" si="89"/>
        <v>52.771838076548129</v>
      </c>
      <c r="AA235" s="381">
        <f t="shared" si="90"/>
        <v>55.547958587790752</v>
      </c>
      <c r="AB235" s="193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4.99770033286661E-2</v>
      </c>
      <c r="AD235" s="227">
        <f>(INDEX(Models!$BJ235:$BT235,,AH235)*(1-AF235)+INDEX(Models!$BJ235:$BT235,,AH235+1)*AF235-ERP_i)*AE235*Ramure*Pc/MaxiM</f>
        <v>2.2727825802545203E-5</v>
      </c>
      <c r="AE235" s="301">
        <f t="shared" si="92"/>
        <v>0.5</v>
      </c>
      <c r="AF235" s="173">
        <f t="shared" si="93"/>
        <v>0.45476773049926789</v>
      </c>
      <c r="AG235" s="802">
        <f t="shared" si="99"/>
        <v>1</v>
      </c>
      <c r="AH235" s="172">
        <f t="shared" si="94"/>
        <v>7</v>
      </c>
      <c r="AI235" s="221">
        <f t="shared" si="95"/>
        <v>1.4547677304992679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98"/>
        <v>45513</v>
      </c>
      <c r="B236" s="406">
        <f>'2023'!Wh/'2023'!Env_an*'2024'!Env_an</f>
        <v>51.671136410538232</v>
      </c>
      <c r="C236" s="385"/>
      <c r="D236" s="388">
        <f t="shared" si="77"/>
        <v>52.376885957611151</v>
      </c>
      <c r="E236" s="380">
        <f t="shared" si="100"/>
        <v>53.949918348999319</v>
      </c>
      <c r="F236" s="380">
        <f t="shared" si="78"/>
        <v>53.95112197236903</v>
      </c>
      <c r="G236" s="110">
        <f t="shared" si="101"/>
        <v>0.93736601954345944</v>
      </c>
      <c r="H236" s="409" t="b">
        <f>Wh_hp&gt;='2023'!Maxi_hp</f>
        <v>0</v>
      </c>
      <c r="I236" s="375">
        <f>IF(H236,Wh_hp,'2023'!Maxi_hp)</f>
        <v>53.951205583725304</v>
      </c>
      <c r="J236" s="85">
        <f>IF(H236,An,'2023'!An_max)</f>
        <v>2022</v>
      </c>
      <c r="K236" s="193">
        <f t="shared" si="79"/>
        <v>45513</v>
      </c>
      <c r="L236" s="143">
        <f>IF(t&lt;Tvie,1-EXP((T0-t)*PertePVj)+'2023'!Pspv,1-EXP((T0-t)*PertePVj)+Pspv)</f>
        <v>1.3474446488553893E-2</v>
      </c>
      <c r="M236" s="836"/>
      <c r="N236" s="836"/>
      <c r="O236" s="48">
        <f>IF(t&lt;Tnet,'2023'!Resal+('2023'!Salim-'2023'!Resal)*(1-EXP(('2023'!Tnet-t)/('2023'!Tau_j))),Resal+(Salim-Resal)*(1-EXP((Tnet-t)/(Tau_j))))*Salcycl</f>
        <v>2.9157271030741838E-2</v>
      </c>
      <c r="P236" s="165">
        <f>(INDEX(Models!$BJ236:$BT236,,T236)*(1-R236)+INDEX(Models!$BJ236:$BT236,,T236+1)*R236-ERP_i)*Q236*Ramure*Pc/MaxiM</f>
        <v>2.4501792897324113E-5</v>
      </c>
      <c r="Q236" s="301">
        <f t="shared" si="80"/>
        <v>0.5</v>
      </c>
      <c r="R236" s="173">
        <f t="shared" si="81"/>
        <v>0.45622760596516487</v>
      </c>
      <c r="S236" s="802">
        <f t="shared" si="82"/>
        <v>1</v>
      </c>
      <c r="T236" s="172">
        <f t="shared" si="83"/>
        <v>7</v>
      </c>
      <c r="U236" s="247">
        <f t="shared" si="84"/>
        <v>1.4562276059651649</v>
      </c>
      <c r="V236" s="378">
        <f t="shared" si="85"/>
        <v>55.123635861785885</v>
      </c>
      <c r="W236" s="397">
        <f t="shared" si="86"/>
        <v>51.671136410538232</v>
      </c>
      <c r="X236" s="153">
        <f t="shared" si="87"/>
        <v>45513</v>
      </c>
      <c r="Y236" s="380">
        <f t="shared" si="88"/>
        <v>50.561484427803848</v>
      </c>
      <c r="Z236" s="380">
        <f t="shared" si="89"/>
        <v>51.252077807650231</v>
      </c>
      <c r="AA236" s="381">
        <f t="shared" si="90"/>
        <v>53.949918348999319</v>
      </c>
      <c r="AB236" s="193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5.000638784839103E-2</v>
      </c>
      <c r="AD236" s="227">
        <f>(INDEX(Models!$BJ236:$BT236,,AH236)*(1-AF236)+INDEX(Models!$BJ236:$BT236,,AH236+1)*AF236-ERP_i)*AE236*Ramure*Pc/MaxiM</f>
        <v>2.4501792897324113E-5</v>
      </c>
      <c r="AE236" s="301">
        <f t="shared" si="92"/>
        <v>0.5</v>
      </c>
      <c r="AF236" s="173">
        <f t="shared" si="93"/>
        <v>0.45622760596516487</v>
      </c>
      <c r="AG236" s="802">
        <f t="shared" si="99"/>
        <v>1</v>
      </c>
      <c r="AH236" s="172">
        <f t="shared" si="94"/>
        <v>7</v>
      </c>
      <c r="AI236" s="221">
        <f t="shared" si="95"/>
        <v>1.4562276059651649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98"/>
        <v>45514</v>
      </c>
      <c r="B237" s="406">
        <f>'2023'!Wh/'2023'!Env_an*'2024'!Env_an</f>
        <v>48.765134340388457</v>
      </c>
      <c r="C237" s="385"/>
      <c r="D237" s="388">
        <f t="shared" si="77"/>
        <v>49.431868976619526</v>
      </c>
      <c r="E237" s="380">
        <f t="shared" si="100"/>
        <v>50.919024253309097</v>
      </c>
      <c r="F237" s="380">
        <f t="shared" si="78"/>
        <v>50.920151975098698</v>
      </c>
      <c r="G237" s="110">
        <f t="shared" si="101"/>
        <v>0.88862744760232537</v>
      </c>
      <c r="H237" s="409" t="b">
        <f>Wh_hp&gt;='2023'!Maxi_hp</f>
        <v>0</v>
      </c>
      <c r="I237" s="375">
        <f>IF(H237,Wh_hp,'2023'!Maxi_hp)</f>
        <v>50.920302507199573</v>
      </c>
      <c r="J237" s="85">
        <f>IF(H237,An,'2023'!An_max)</f>
        <v>2022</v>
      </c>
      <c r="K237" s="193">
        <f t="shared" si="79"/>
        <v>45514</v>
      </c>
      <c r="L237" s="143">
        <f>IF(t&lt;Tvie,1-EXP((T0-t)*PertePVj)+'2023'!Pspv,1-EXP((T0-t)*PertePVj)+Pspv)</f>
        <v>1.3487951194935066E-2</v>
      </c>
      <c r="M237" s="836"/>
      <c r="N237" s="836"/>
      <c r="O237" s="48">
        <f>IF(t&lt;Tnet,'2023'!Resal+('2023'!Salim-'2023'!Resal)*(1-EXP(('2023'!Tnet-t)/('2023'!Tau_j))),Resal+(Salim-Resal)*(1-EXP((Tnet-t)/(Tau_j))))*Salcycl</f>
        <v>2.9206279941488132E-2</v>
      </c>
      <c r="P237" s="165">
        <f>(INDEX(Models!$BJ237:$BT237,,T237)*(1-R237)+INDEX(Models!$BJ237:$BT237,,T237+1)*R237-ERP_i)*Q237*Ramure*Pc/MaxiM</f>
        <v>2.633704610955692E-5</v>
      </c>
      <c r="Q237" s="301">
        <f t="shared" si="80"/>
        <v>0.5</v>
      </c>
      <c r="R237" s="173">
        <f t="shared" si="81"/>
        <v>0.45763741207150743</v>
      </c>
      <c r="S237" s="802">
        <f t="shared" si="82"/>
        <v>1</v>
      </c>
      <c r="T237" s="172">
        <f t="shared" si="83"/>
        <v>7</v>
      </c>
      <c r="U237" s="247">
        <f t="shared" si="84"/>
        <v>1.4576374120715074</v>
      </c>
      <c r="V237" s="378">
        <f t="shared" si="85"/>
        <v>54.876686661829176</v>
      </c>
      <c r="W237" s="397">
        <f t="shared" si="86"/>
        <v>48.765134340388457</v>
      </c>
      <c r="X237" s="153">
        <f t="shared" si="87"/>
        <v>45514</v>
      </c>
      <c r="Y237" s="380">
        <f t="shared" si="88"/>
        <v>47.718829702515301</v>
      </c>
      <c r="Z237" s="380">
        <f t="shared" si="89"/>
        <v>48.371258881547178</v>
      </c>
      <c r="AA237" s="381">
        <f t="shared" si="90"/>
        <v>50.919024253309097</v>
      </c>
      <c r="AB237" s="193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5.0035628316195443E-2</v>
      </c>
      <c r="AD237" s="227">
        <f>(INDEX(Models!$BJ237:$BT237,,AH237)*(1-AF237)+INDEX(Models!$BJ237:$BT237,,AH237+1)*AF237-ERP_i)*AE237*Ramure*Pc/MaxiM</f>
        <v>2.633704610955692E-5</v>
      </c>
      <c r="AE237" s="301">
        <f t="shared" si="92"/>
        <v>0.5</v>
      </c>
      <c r="AF237" s="173">
        <f t="shared" si="93"/>
        <v>0.45763741207150743</v>
      </c>
      <c r="AG237" s="802">
        <f t="shared" si="99"/>
        <v>1</v>
      </c>
      <c r="AH237" s="172">
        <f t="shared" si="94"/>
        <v>7</v>
      </c>
      <c r="AI237" s="221">
        <f t="shared" si="95"/>
        <v>1.4576374120715074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98"/>
        <v>45515</v>
      </c>
      <c r="B238" s="406">
        <f>'2023'!Wh/'2023'!Env_an*'2024'!Env_an</f>
        <v>0</v>
      </c>
      <c r="C238" s="385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Wh_hp&gt;='2023'!Maxi_hp</f>
        <v>1</v>
      </c>
      <c r="I238" s="375">
        <f>IF(H238,Wh_hp,'2023'!Maxi_hp)</f>
        <v>0</v>
      </c>
      <c r="J238" s="85">
        <f>IF(H238,An,'2023'!An_max)</f>
        <v>2024</v>
      </c>
      <c r="K238" s="193">
        <f t="shared" si="79"/>
        <v>45515</v>
      </c>
      <c r="L238" s="143">
        <f>IF(t&lt;Tvie,1-EXP((T0-t)*PertePVj)+'2023'!Pspv,1-EXP((T0-t)*PertePVj)+Pspv)</f>
        <v>1.3501455716448119E-2</v>
      </c>
      <c r="M238" s="836"/>
      <c r="N238" s="836"/>
      <c r="O238" s="48">
        <f>IF(t&lt;Tnet,'2023'!Resal+('2023'!Salim-'2023'!Resal)*(1-EXP(('2023'!Tnet-t)/('2023'!Tau_j))),Resal+(Salim-Resal)*(1-EXP((Tnet-t)/(Tau_j))))*Salcycl</f>
        <v>2.9255172324015196E-2</v>
      </c>
      <c r="P238" s="165">
        <f>(INDEX(Models!$BJ238:$BT238,,T238)*(1-R238)+INDEX(Models!$BJ238:$BT238,,T238+1)*R238-ERP_i)*Q238*Ramure*Pc/MaxiM</f>
        <v>2.8234352583032348E-5</v>
      </c>
      <c r="Q238" s="301">
        <f t="shared" si="80"/>
        <v>0.5</v>
      </c>
      <c r="R238" s="173">
        <f t="shared" si="81"/>
        <v>0.4589985510590735</v>
      </c>
      <c r="S238" s="802">
        <f t="shared" si="82"/>
        <v>1</v>
      </c>
      <c r="T238" s="172">
        <f t="shared" si="83"/>
        <v>7</v>
      </c>
      <c r="U238" s="247">
        <f t="shared" si="84"/>
        <v>1.4589985510590735</v>
      </c>
      <c r="V238" s="378">
        <f t="shared" si="85"/>
        <v>54.627436996831314</v>
      </c>
      <c r="W238" s="397">
        <f t="shared" si="86"/>
        <v>0</v>
      </c>
      <c r="X238" s="153">
        <f t="shared" si="87"/>
        <v>45515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5.0064723094137099E-2</v>
      </c>
      <c r="AD238" s="227">
        <f>(INDEX(Models!$BJ238:$BT238,,AH238)*(1-AF238)+INDEX(Models!$BJ238:$BT238,,AH238+1)*AF238-ERP_i)*AE238*Ramure*Pc/MaxiM</f>
        <v>2.8234352583032348E-5</v>
      </c>
      <c r="AE238" s="301">
        <f t="shared" si="92"/>
        <v>0.5</v>
      </c>
      <c r="AF238" s="173">
        <f t="shared" si="93"/>
        <v>0.4589985510590735</v>
      </c>
      <c r="AG238" s="802">
        <f t="shared" si="99"/>
        <v>1</v>
      </c>
      <c r="AH238" s="172">
        <f t="shared" si="94"/>
        <v>7</v>
      </c>
      <c r="AI238" s="221">
        <f t="shared" si="95"/>
        <v>1.4589985510590735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98"/>
        <v>45516</v>
      </c>
      <c r="B239" s="406">
        <f>'2023'!Wh/'2023'!Env_an*'2024'!Env_an</f>
        <v>36.243493844625199</v>
      </c>
      <c r="C239" s="385"/>
      <c r="D239" s="388">
        <f t="shared" si="77"/>
        <v>36.740033935614406</v>
      </c>
      <c r="E239" s="380">
        <f t="shared" si="100"/>
        <v>37.849163811942475</v>
      </c>
      <c r="F239" s="380">
        <f t="shared" si="78"/>
        <v>37.849762229792809</v>
      </c>
      <c r="G239" s="110">
        <f t="shared" si="101"/>
        <v>0.66652270266704161</v>
      </c>
      <c r="H239" s="409" t="b">
        <f>Wh_hp&gt;='2023'!Maxi_hp</f>
        <v>0</v>
      </c>
      <c r="I239" s="375">
        <f>IF(H239,Wh_hp,'2023'!Maxi_hp)</f>
        <v>37.850144925351806</v>
      </c>
      <c r="J239" s="85">
        <f>IF(H239,An,'2023'!An_max)</f>
        <v>2022</v>
      </c>
      <c r="K239" s="193">
        <f t="shared" si="79"/>
        <v>45516</v>
      </c>
      <c r="L239" s="143">
        <f>IF(t&lt;Tvie,1-EXP((T0-t)*PertePVj)+'2023'!Pspv,1-EXP((T0-t)*PertePVj)+Pspv)</f>
        <v>1.3514960053095604E-2</v>
      </c>
      <c r="M239" s="836"/>
      <c r="N239" s="836"/>
      <c r="O239" s="48">
        <f>IF(t&lt;Tnet,'2023'!Resal+('2023'!Salim-'2023'!Resal)*(1-EXP(('2023'!Tnet-t)/('2023'!Tau_j))),Resal+(Salim-Resal)*(1-EXP((Tnet-t)/(Tau_j))))*Salcycl</f>
        <v>2.9303946629809181E-2</v>
      </c>
      <c r="P239" s="165">
        <f>(INDEX(Models!$BJ239:$BT239,,T239)*(1-R239)+INDEX(Models!$BJ239:$BT239,,T239+1)*R239-ERP_i)*Q239*Ramure*Pc/MaxiM</f>
        <v>3.0194454191647762E-5</v>
      </c>
      <c r="Q239" s="301">
        <f t="shared" si="80"/>
        <v>0.5</v>
      </c>
      <c r="R239" s="173">
        <f t="shared" si="81"/>
        <v>0.46031240938681717</v>
      </c>
      <c r="S239" s="802">
        <f t="shared" si="82"/>
        <v>1</v>
      </c>
      <c r="T239" s="172">
        <f t="shared" si="83"/>
        <v>7</v>
      </c>
      <c r="U239" s="247">
        <f t="shared" si="84"/>
        <v>1.4603124093868172</v>
      </c>
      <c r="V239" s="378">
        <f t="shared" si="85"/>
        <v>54.376201082176578</v>
      </c>
      <c r="W239" s="397">
        <f t="shared" si="86"/>
        <v>36.243493844625199</v>
      </c>
      <c r="X239" s="153">
        <f t="shared" si="87"/>
        <v>45516</v>
      </c>
      <c r="Y239" s="380">
        <f t="shared" si="88"/>
        <v>35.467254770290559</v>
      </c>
      <c r="Z239" s="380">
        <f t="shared" si="89"/>
        <v>35.953160295466333</v>
      </c>
      <c r="AA239" s="381">
        <f t="shared" si="90"/>
        <v>37.849163811942475</v>
      </c>
      <c r="AB239" s="193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5.0093669860095974E-2</v>
      </c>
      <c r="AD239" s="227">
        <f>(INDEX(Models!$BJ239:$BT239,,AH239)*(1-AF239)+INDEX(Models!$BJ239:$BT239,,AH239+1)*AF239-ERP_i)*AE239*Ramure*Pc/MaxiM</f>
        <v>3.0194454191647762E-5</v>
      </c>
      <c r="AE239" s="301">
        <f t="shared" si="92"/>
        <v>0.5</v>
      </c>
      <c r="AF239" s="173">
        <f t="shared" si="93"/>
        <v>0.46031240938681717</v>
      </c>
      <c r="AG239" s="802">
        <f t="shared" si="99"/>
        <v>1</v>
      </c>
      <c r="AH239" s="172">
        <f t="shared" si="94"/>
        <v>7</v>
      </c>
      <c r="AI239" s="221">
        <f t="shared" si="95"/>
        <v>1.4603124093868172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98"/>
        <v>45517</v>
      </c>
      <c r="B240" s="406">
        <f>'2023'!Wh/'2023'!Env_an*'2024'!Env_an</f>
        <v>36.310362104463131</v>
      </c>
      <c r="C240" s="385"/>
      <c r="D240" s="388">
        <f t="shared" si="77"/>
        <v>36.808322173428046</v>
      </c>
      <c r="E240" s="380">
        <f t="shared" si="100"/>
        <v>37.921414314766473</v>
      </c>
      <c r="F240" s="380">
        <f t="shared" si="78"/>
        <v>37.922065629727165</v>
      </c>
      <c r="G240" s="110">
        <f t="shared" si="101"/>
        <v>0.67087225885292701</v>
      </c>
      <c r="H240" s="409" t="b">
        <f>Wh_hp&gt;='2023'!Maxi_hp</f>
        <v>0</v>
      </c>
      <c r="I240" s="375">
        <f>IF(H240,Wh_hp,'2023'!Maxi_hp)</f>
        <v>37.922472113762595</v>
      </c>
      <c r="J240" s="85">
        <f>IF(H240,An,'2023'!An_max)</f>
        <v>2022</v>
      </c>
      <c r="K240" s="193">
        <f t="shared" si="79"/>
        <v>45517</v>
      </c>
      <c r="L240" s="143">
        <f>IF(t&lt;Tvie,1-EXP((T0-t)*PertePVj)+'2023'!Pspv,1-EXP((T0-t)*PertePVj)+Pspv)</f>
        <v>1.3528464204880075E-2</v>
      </c>
      <c r="M240" s="836"/>
      <c r="N240" s="836"/>
      <c r="O240" s="48">
        <f>IF(t&lt;Tnet,'2023'!Resal+('2023'!Salim-'2023'!Resal)*(1-EXP(('2023'!Tnet-t)/('2023'!Tau_j))),Resal+(Salim-Resal)*(1-EXP((Tnet-t)/(Tau_j))))*Salcycl</f>
        <v>2.9352600936748217E-2</v>
      </c>
      <c r="P240" s="165">
        <f>(INDEX(Models!$BJ240:$BT240,,T240)*(1-R240)+INDEX(Models!$BJ240:$BT240,,T240+1)*R240-ERP_i)*Q240*Ramure*Pc/MaxiM</f>
        <v>3.2416101654076652E-5</v>
      </c>
      <c r="Q240" s="301">
        <f t="shared" si="80"/>
        <v>0.5</v>
      </c>
      <c r="R240" s="173">
        <f t="shared" si="81"/>
        <v>0.46158035594776603</v>
      </c>
      <c r="S240" s="802">
        <f t="shared" si="82"/>
        <v>1</v>
      </c>
      <c r="T240" s="172">
        <f t="shared" si="83"/>
        <v>7</v>
      </c>
      <c r="U240" s="247">
        <f t="shared" si="84"/>
        <v>1.461580355947766</v>
      </c>
      <c r="V240" s="378">
        <f t="shared" si="85"/>
        <v>54.123282352525699</v>
      </c>
      <c r="W240" s="397">
        <f t="shared" si="86"/>
        <v>36.310362104463131</v>
      </c>
      <c r="X240" s="153">
        <f t="shared" si="87"/>
        <v>45517</v>
      </c>
      <c r="Y240" s="380">
        <f t="shared" si="88"/>
        <v>35.533394783699187</v>
      </c>
      <c r="Z240" s="380">
        <f t="shared" si="89"/>
        <v>36.020699527897087</v>
      </c>
      <c r="AA240" s="381">
        <f t="shared" si="90"/>
        <v>37.921414314766473</v>
      </c>
      <c r="AB240" s="193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5.0122465662607238E-2</v>
      </c>
      <c r="AD240" s="227">
        <f>(INDEX(Models!$BJ240:$BT240,,AH240)*(1-AF240)+INDEX(Models!$BJ240:$BT240,,AH240+1)*AF240-ERP_i)*AE240*Ramure*Pc/MaxiM</f>
        <v>3.2416101654076652E-5</v>
      </c>
      <c r="AE240" s="301">
        <f t="shared" si="92"/>
        <v>0.5</v>
      </c>
      <c r="AF240" s="173">
        <f t="shared" si="93"/>
        <v>0.46158035594776603</v>
      </c>
      <c r="AG240" s="802">
        <f t="shared" si="99"/>
        <v>1</v>
      </c>
      <c r="AH240" s="172">
        <f t="shared" si="94"/>
        <v>7</v>
      </c>
      <c r="AI240" s="221">
        <f t="shared" si="95"/>
        <v>1.461580355947766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98"/>
        <v>45518</v>
      </c>
      <c r="B241" s="406">
        <f>'2023'!Wh/'2023'!Env_an*'2024'!Env_an</f>
        <v>36.723665922572472</v>
      </c>
      <c r="C241" s="385"/>
      <c r="D241" s="388">
        <f t="shared" si="77"/>
        <v>37.227803654771563</v>
      </c>
      <c r="E241" s="380">
        <f t="shared" si="100"/>
        <v>38.35549877469186</v>
      </c>
      <c r="F241" s="380">
        <f t="shared" si="78"/>
        <v>38.356227350773615</v>
      </c>
      <c r="G241" s="110">
        <f t="shared" si="101"/>
        <v>0.68171091346089541</v>
      </c>
      <c r="H241" s="409" t="b">
        <f>Wh_hp&gt;='2023'!Maxi_hp</f>
        <v>0</v>
      </c>
      <c r="I241" s="375">
        <f>IF(H241,Wh_hp,'2023'!Maxi_hp)</f>
        <v>38.356655660783957</v>
      </c>
      <c r="J241" s="85">
        <f>IF(H241,An,'2023'!An_max)</f>
        <v>2022</v>
      </c>
      <c r="K241" s="193">
        <f t="shared" si="79"/>
        <v>45518</v>
      </c>
      <c r="L241" s="143">
        <f>IF(t&lt;Tvie,1-EXP((T0-t)*PertePVj)+'2023'!Pspv,1-EXP((T0-t)*PertePVj)+Pspv)</f>
        <v>1.3541968171804086E-2</v>
      </c>
      <c r="M241" s="836"/>
      <c r="N241" s="836"/>
      <c r="O241" s="48">
        <f>IF(t&lt;Tnet,'2023'!Resal+('2023'!Salim-'2023'!Resal)*(1-EXP(('2023'!Tnet-t)/('2023'!Tau_j))),Resal+(Salim-Resal)*(1-EXP((Tnet-t)/(Tau_j))))*Salcycl</f>
        <v>2.940113297821037E-2</v>
      </c>
      <c r="P241" s="165">
        <f>(INDEX(Models!$BJ241:$BT241,,T241)*(1-R241)+INDEX(Models!$BJ241:$BT241,,T241+1)*R241-ERP_i)*Q241*Ramure*Pc/MaxiM</f>
        <v>3.483294580728577E-5</v>
      </c>
      <c r="Q241" s="301">
        <f t="shared" si="80"/>
        <v>0.5</v>
      </c>
      <c r="R241" s="173">
        <f t="shared" si="81"/>
        <v>0.4628037404708063</v>
      </c>
      <c r="S241" s="802">
        <f t="shared" si="82"/>
        <v>1</v>
      </c>
      <c r="T241" s="172">
        <f t="shared" si="83"/>
        <v>7</v>
      </c>
      <c r="U241" s="247">
        <f t="shared" si="84"/>
        <v>1.4628037404708063</v>
      </c>
      <c r="V241" s="378">
        <f t="shared" si="85"/>
        <v>53.868998659888277</v>
      </c>
      <c r="W241" s="397">
        <f t="shared" si="86"/>
        <v>36.723665922572472</v>
      </c>
      <c r="X241" s="153">
        <f t="shared" si="87"/>
        <v>45518</v>
      </c>
      <c r="Y241" s="380">
        <f t="shared" si="88"/>
        <v>35.93856804248049</v>
      </c>
      <c r="Z241" s="380">
        <f t="shared" si="89"/>
        <v>36.431928052606345</v>
      </c>
      <c r="AA241" s="381">
        <f t="shared" si="90"/>
        <v>38.35549877469186</v>
      </c>
      <c r="AB241" s="193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5.0151106973864878E-2</v>
      </c>
      <c r="AD241" s="227">
        <f>(INDEX(Models!$BJ241:$BT241,,AH241)*(1-AF241)+INDEX(Models!$BJ241:$BT241,,AH241+1)*AF241-ERP_i)*AE241*Ramure*Pc/MaxiM</f>
        <v>3.483294580728577E-5</v>
      </c>
      <c r="AE241" s="301">
        <f t="shared" si="92"/>
        <v>0.5</v>
      </c>
      <c r="AF241" s="173">
        <f t="shared" si="93"/>
        <v>0.4628037404708063</v>
      </c>
      <c r="AG241" s="802">
        <f t="shared" si="99"/>
        <v>1</v>
      </c>
      <c r="AH241" s="172">
        <f t="shared" si="94"/>
        <v>7</v>
      </c>
      <c r="AI241" s="221">
        <f t="shared" si="95"/>
        <v>1.4628037404708063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98"/>
        <v>45519</v>
      </c>
      <c r="B242" s="406">
        <f>'2023'!Wh/'2023'!Env_an*'2024'!Env_an</f>
        <v>38.037331994290241</v>
      </c>
      <c r="C242" s="385"/>
      <c r="D242" s="388">
        <f t="shared" si="77"/>
        <v>38.560031418727149</v>
      </c>
      <c r="E242" s="380">
        <f t="shared" si="100"/>
        <v>39.730063520363451</v>
      </c>
      <c r="F242" s="380">
        <f t="shared" si="78"/>
        <v>39.730933858500585</v>
      </c>
      <c r="G242" s="110">
        <f t="shared" si="101"/>
        <v>0.70945982718872602</v>
      </c>
      <c r="H242" s="409" t="b">
        <f>Wh_hp&gt;='2023'!Maxi_hp</f>
        <v>0</v>
      </c>
      <c r="I242" s="375">
        <f>IF(H242,Wh_hp,'2023'!Maxi_hp)</f>
        <v>39.731371026563743</v>
      </c>
      <c r="J242" s="85">
        <f>IF(H242,An,'2023'!An_max)</f>
        <v>2022</v>
      </c>
      <c r="K242" s="193">
        <f t="shared" si="79"/>
        <v>45519</v>
      </c>
      <c r="L242" s="143">
        <f>IF(t&lt;Tvie,1-EXP((T0-t)*PertePVj)+'2023'!Pspv,1-EXP((T0-t)*PertePVj)+Pspv)</f>
        <v>1.355547195387008E-2</v>
      </c>
      <c r="M242" s="836"/>
      <c r="N242" s="836"/>
      <c r="O242" s="48">
        <f>IF(t&lt;Tnet,'2023'!Resal+('2023'!Salim-'2023'!Resal)*(1-EXP(('2023'!Tnet-t)/('2023'!Tau_j))),Resal+(Salim-Resal)*(1-EXP((Tnet-t)/(Tau_j))))*Salcycl</f>
        <v>2.9449540170923775E-2</v>
      </c>
      <c r="P242" s="165">
        <f>(INDEX(Models!$BJ242:$BT242,,T242)*(1-R242)+INDEX(Models!$BJ242:$BT242,,T242+1)*R242-ERP_i)*Q242*Ramure*Pc/MaxiM</f>
        <v>3.7448487893796705E-5</v>
      </c>
      <c r="Q242" s="301">
        <f t="shared" si="80"/>
        <v>0.5</v>
      </c>
      <c r="R242" s="173">
        <f t="shared" si="81"/>
        <v>0.46398389209882507</v>
      </c>
      <c r="S242" s="802">
        <f t="shared" si="82"/>
        <v>1</v>
      </c>
      <c r="T242" s="172">
        <f t="shared" si="83"/>
        <v>7</v>
      </c>
      <c r="U242" s="247">
        <f t="shared" si="84"/>
        <v>1.4639838920988251</v>
      </c>
      <c r="V242" s="378">
        <f t="shared" si="85"/>
        <v>53.613663975757611</v>
      </c>
      <c r="W242" s="397">
        <f t="shared" si="86"/>
        <v>38.037331994290241</v>
      </c>
      <c r="X242" s="153">
        <f t="shared" si="87"/>
        <v>45519</v>
      </c>
      <c r="Y242" s="380">
        <f t="shared" si="88"/>
        <v>37.224890178679551</v>
      </c>
      <c r="Z242" s="380">
        <f t="shared" si="89"/>
        <v>37.736425232558815</v>
      </c>
      <c r="AA242" s="381">
        <f t="shared" si="90"/>
        <v>39.730063520363451</v>
      </c>
      <c r="AB242" s="193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5.0179589740217828E-2</v>
      </c>
      <c r="AD242" s="227">
        <f>(INDEX(Models!$BJ242:$BT242,,AH242)*(1-AF242)+INDEX(Models!$BJ242:$BT242,,AH242+1)*AF242-ERP_i)*AE242*Ramure*Pc/MaxiM</f>
        <v>3.7448487893796705E-5</v>
      </c>
      <c r="AE242" s="301">
        <f t="shared" si="92"/>
        <v>0.5</v>
      </c>
      <c r="AF242" s="173">
        <f t="shared" si="93"/>
        <v>0.46398389209882507</v>
      </c>
      <c r="AG242" s="802">
        <f t="shared" si="99"/>
        <v>1</v>
      </c>
      <c r="AH242" s="172">
        <f t="shared" si="94"/>
        <v>7</v>
      </c>
      <c r="AI242" s="221">
        <f t="shared" si="95"/>
        <v>1.4639838920988251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45520</v>
      </c>
      <c r="B243" s="406">
        <f>'2023'!Wh/'2023'!Env_an*'2024'!Env_an</f>
        <v>26.458122674849719</v>
      </c>
      <c r="C243" s="385"/>
      <c r="D243" s="388">
        <f t="shared" si="77"/>
        <v>26.822070696357954</v>
      </c>
      <c r="E243" s="380">
        <f t="shared" si="100"/>
        <v>27.637311114995292</v>
      </c>
      <c r="F243" s="380">
        <f t="shared" si="78"/>
        <v>27.637622500125754</v>
      </c>
      <c r="G243" s="110">
        <f t="shared" si="101"/>
        <v>0.49584987437915901</v>
      </c>
      <c r="H243" s="409" t="b">
        <f>Wh_hp&gt;='2023'!Maxi_hp</f>
        <v>0</v>
      </c>
      <c r="I243" s="375">
        <f>IF(H243,Wh_hp,'2023'!Maxi_hp)</f>
        <v>27.638192909314213</v>
      </c>
      <c r="J243" s="85">
        <f>IF(H243,An,'2023'!An_max)</f>
        <v>2022</v>
      </c>
      <c r="K243" s="193">
        <f t="shared" si="79"/>
        <v>45520</v>
      </c>
      <c r="L243" s="143">
        <f>IF(t&lt;Tvie,1-EXP((T0-t)*PertePVj)+'2023'!Pspv,1-EXP((T0-t)*PertePVj)+Pspv)</f>
        <v>1.3568975551080609E-2</v>
      </c>
      <c r="M243" s="836"/>
      <c r="N243" s="836"/>
      <c r="O243" s="48">
        <f>IF(t&lt;Tnet,'2023'!Resal+('2023'!Salim-'2023'!Resal)*(1-EXP(('2023'!Tnet-t)/('2023'!Tau_j))),Resal+(Salim-Resal)*(1-EXP((Tnet-t)/(Tau_j))))*Salcycl</f>
        <v>2.9497819641180912E-2</v>
      </c>
      <c r="P243" s="165">
        <f>(INDEX(Models!$BJ243:$BT243,,T243)*(1-R243)+INDEX(Models!$BJ243:$BT243,,T243+1)*R243-ERP_i)*Q243*Ramure*Pc/MaxiM</f>
        <v>4.0266144331272178E-5</v>
      </c>
      <c r="Q243" s="301">
        <f t="shared" si="80"/>
        <v>0.5</v>
      </c>
      <c r="R243" s="173">
        <f t="shared" si="81"/>
        <v>0.46512211813367776</v>
      </c>
      <c r="S243" s="802">
        <f t="shared" si="82"/>
        <v>1</v>
      </c>
      <c r="T243" s="172">
        <f t="shared" si="83"/>
        <v>7</v>
      </c>
      <c r="U243" s="247">
        <f t="shared" si="84"/>
        <v>1.4651221181336778</v>
      </c>
      <c r="V243" s="378">
        <f t="shared" si="85"/>
        <v>53.357592212342425</v>
      </c>
      <c r="W243" s="397">
        <f t="shared" si="86"/>
        <v>26.458122674849719</v>
      </c>
      <c r="X243" s="153">
        <f t="shared" si="87"/>
        <v>45520</v>
      </c>
      <c r="Y243" s="380">
        <f t="shared" si="88"/>
        <v>25.893517970896461</v>
      </c>
      <c r="Z243" s="380">
        <f t="shared" si="89"/>
        <v>26.249699501657666</v>
      </c>
      <c r="AA243" s="381">
        <f t="shared" si="90"/>
        <v>27.637311114995292</v>
      </c>
      <c r="AB243" s="193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5.0207909429537227E-2</v>
      </c>
      <c r="AD243" s="227">
        <f>(INDEX(Models!$BJ243:$BT243,,AH243)*(1-AF243)+INDEX(Models!$BJ243:$BT243,,AH243+1)*AF243-ERP_i)*AE243*Ramure*Pc/MaxiM</f>
        <v>4.0266144331272178E-5</v>
      </c>
      <c r="AE243" s="301">
        <f t="shared" si="92"/>
        <v>0.5</v>
      </c>
      <c r="AF243" s="173">
        <f t="shared" si="93"/>
        <v>0.46512211813367776</v>
      </c>
      <c r="AG243" s="802">
        <f t="shared" si="99"/>
        <v>1</v>
      </c>
      <c r="AH243" s="172">
        <f t="shared" si="94"/>
        <v>7</v>
      </c>
      <c r="AI243" s="221">
        <f t="shared" si="95"/>
        <v>1.4651221181336778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45521</v>
      </c>
      <c r="B244" s="406">
        <f>'2023'!Wh/'2023'!Env_an*'2024'!Env_an</f>
        <v>40.371109232559313</v>
      </c>
      <c r="C244" s="385"/>
      <c r="D244" s="388">
        <f t="shared" si="77"/>
        <v>40.926999340133328</v>
      </c>
      <c r="E244" s="380">
        <f t="shared" si="100"/>
        <v>42.173042721345055</v>
      </c>
      <c r="F244" s="380">
        <f t="shared" si="78"/>
        <v>42.174243162133131</v>
      </c>
      <c r="G244" s="110">
        <f t="shared" si="101"/>
        <v>0.76025756176992398</v>
      </c>
      <c r="H244" s="409" t="b">
        <f>Wh_hp&gt;='2023'!Maxi_hp</f>
        <v>0</v>
      </c>
      <c r="I244" s="375">
        <f>IF(H244,Wh_hp,'2023'!Maxi_hp)</f>
        <v>42.174690936516853</v>
      </c>
      <c r="J244" s="85">
        <f>IF(H244,An,'2023'!An_max)</f>
        <v>2022</v>
      </c>
      <c r="K244" s="193">
        <f t="shared" si="79"/>
        <v>45521</v>
      </c>
      <c r="L244" s="143">
        <f>IF(t&lt;Tvie,1-EXP((T0-t)*PertePVj)+'2023'!Pspv,1-EXP((T0-t)*PertePVj)+Pspv)</f>
        <v>1.3582478963438338E-2</v>
      </c>
      <c r="M244" s="836"/>
      <c r="N244" s="836"/>
      <c r="O244" s="48">
        <f>IF(t&lt;Tnet,'2023'!Resal+('2023'!Salim-'2023'!Resal)*(1-EXP(('2023'!Tnet-t)/('2023'!Tau_j))),Resal+(Salim-Resal)*(1-EXP((Tnet-t)/(Tau_j))))*Salcycl</f>
        <v>2.9545968249074645E-2</v>
      </c>
      <c r="P244" s="165">
        <f>(INDEX(Models!$BJ244:$BT244,,T244)*(1-R244)+INDEX(Models!$BJ244:$BT244,,T244+1)*R244-ERP_i)*Q244*Ramure*Pc/MaxiM</f>
        <v>4.3289235637715901E-5</v>
      </c>
      <c r="Q244" s="301">
        <f t="shared" si="80"/>
        <v>0.5</v>
      </c>
      <c r="R244" s="173">
        <f t="shared" si="81"/>
        <v>0.46621970293849135</v>
      </c>
      <c r="S244" s="802">
        <f t="shared" si="82"/>
        <v>1</v>
      </c>
      <c r="T244" s="172">
        <f t="shared" si="83"/>
        <v>7</v>
      </c>
      <c r="U244" s="247">
        <f t="shared" si="84"/>
        <v>1.4662197029384914</v>
      </c>
      <c r="V244" s="378">
        <f t="shared" si="85"/>
        <v>53.101097217309984</v>
      </c>
      <c r="W244" s="397">
        <f t="shared" si="86"/>
        <v>40.371109232559313</v>
      </c>
      <c r="X244" s="153">
        <f t="shared" si="87"/>
        <v>45521</v>
      </c>
      <c r="Y244" s="380">
        <f t="shared" si="88"/>
        <v>39.510396648372215</v>
      </c>
      <c r="Z244" s="380">
        <f t="shared" si="89"/>
        <v>40.054435171481266</v>
      </c>
      <c r="AA244" s="381">
        <f t="shared" si="90"/>
        <v>42.173042721345055</v>
      </c>
      <c r="AB244" s="193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5.0236061074898405E-2</v>
      </c>
      <c r="AD244" s="227">
        <f>(INDEX(Models!$BJ244:$BT244,,AH244)*(1-AF244)+INDEX(Models!$BJ244:$BT244,,AH244+1)*AF244-ERP_i)*AE244*Ramure*Pc/MaxiM</f>
        <v>4.3289235637715901E-5</v>
      </c>
      <c r="AE244" s="301">
        <f t="shared" si="92"/>
        <v>0.5</v>
      </c>
      <c r="AF244" s="173">
        <f t="shared" si="93"/>
        <v>0.46621970293849135</v>
      </c>
      <c r="AG244" s="802">
        <f t="shared" si="99"/>
        <v>1</v>
      </c>
      <c r="AH244" s="172">
        <f t="shared" si="94"/>
        <v>7</v>
      </c>
      <c r="AI244" s="221">
        <f t="shared" si="95"/>
        <v>1.4662197029384914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98"/>
        <v>45522</v>
      </c>
      <c r="B245" s="406">
        <f>'2023'!Wh/'2023'!Env_an*'2024'!Env_an</f>
        <v>39.966259480806293</v>
      </c>
      <c r="C245" s="385"/>
      <c r="D245" s="388">
        <f t="shared" si="77"/>
        <v>40.517129654010454</v>
      </c>
      <c r="E245" s="380">
        <f t="shared" si="100"/>
        <v>41.752760110663814</v>
      </c>
      <c r="F245" s="380">
        <f t="shared" si="78"/>
        <v>41.754026301143348</v>
      </c>
      <c r="G245" s="110">
        <f t="shared" si="101"/>
        <v>0.75628717525283051</v>
      </c>
      <c r="H245" s="409" t="b">
        <f>Wh_hp&gt;='2023'!Maxi_hp</f>
        <v>0</v>
      </c>
      <c r="I245" s="375">
        <f>IF(H245,Wh_hp,'2023'!Maxi_hp)</f>
        <v>41.754513954757151</v>
      </c>
      <c r="J245" s="85">
        <f>IF(H245,An,'2023'!An_max)</f>
        <v>2022</v>
      </c>
      <c r="K245" s="193">
        <f t="shared" si="79"/>
        <v>45522</v>
      </c>
      <c r="L245" s="143">
        <f>IF(t&lt;Tvie,1-EXP((T0-t)*PertePVj)+'2023'!Pspv,1-EXP((T0-t)*PertePVj)+Pspv)</f>
        <v>1.3595982190945599E-2</v>
      </c>
      <c r="M245" s="836"/>
      <c r="N245" s="836"/>
      <c r="O245" s="48">
        <f>IF(t&lt;Tnet,'2023'!Resal+('2023'!Salim-'2023'!Resal)*(1-EXP(('2023'!Tnet-t)/('2023'!Tau_j))),Resal+(Salim-Resal)*(1-EXP((Tnet-t)/(Tau_j))))*Salcycl</f>
        <v>2.9593982610452128E-2</v>
      </c>
      <c r="P245" s="165">
        <f>(INDEX(Models!$BJ245:$BT245,,T245)*(1-R245)+INDEX(Models!$BJ245:$BT245,,T245+1)*R245-ERP_i)*Q245*Ramure*Pc/MaxiM</f>
        <v>4.6520974350556145E-5</v>
      </c>
      <c r="Q245" s="301">
        <f t="shared" si="80"/>
        <v>0.5</v>
      </c>
      <c r="R245" s="173">
        <f t="shared" si="81"/>
        <v>0.4672779069879307</v>
      </c>
      <c r="S245" s="802">
        <f t="shared" si="82"/>
        <v>1</v>
      </c>
      <c r="T245" s="172">
        <f t="shared" si="83"/>
        <v>7</v>
      </c>
      <c r="U245" s="247">
        <f t="shared" si="84"/>
        <v>1.4672779069879307</v>
      </c>
      <c r="V245" s="378">
        <f t="shared" si="85"/>
        <v>52.844492774785074</v>
      </c>
      <c r="W245" s="397">
        <f t="shared" si="86"/>
        <v>39.966259480806293</v>
      </c>
      <c r="X245" s="153">
        <f t="shared" si="87"/>
        <v>45522</v>
      </c>
      <c r="Y245" s="380">
        <f t="shared" si="88"/>
        <v>39.114961328386649</v>
      </c>
      <c r="Z245" s="380">
        <f t="shared" si="89"/>
        <v>39.654097734989584</v>
      </c>
      <c r="AA245" s="381">
        <f t="shared" si="90"/>
        <v>41.752760110663814</v>
      </c>
      <c r="AB245" s="193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5.0264039314091312E-2</v>
      </c>
      <c r="AD245" s="227">
        <f>(INDEX(Models!$BJ245:$BT245,,AH245)*(1-AF245)+INDEX(Models!$BJ245:$BT245,,AH245+1)*AF245-ERP_i)*AE245*Ramure*Pc/MaxiM</f>
        <v>4.6520974350556145E-5</v>
      </c>
      <c r="AE245" s="301">
        <f t="shared" si="92"/>
        <v>0.5</v>
      </c>
      <c r="AF245" s="173">
        <f t="shared" si="93"/>
        <v>0.4672779069879307</v>
      </c>
      <c r="AG245" s="802">
        <f t="shared" si="99"/>
        <v>1</v>
      </c>
      <c r="AH245" s="172">
        <f t="shared" si="94"/>
        <v>7</v>
      </c>
      <c r="AI245" s="221">
        <f t="shared" si="95"/>
        <v>1.4672779069879307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45523</v>
      </c>
      <c r="B246" s="406">
        <f>'2023'!Wh/'2023'!Env_an*'2024'!Env_an</f>
        <v>52.159033458953452</v>
      </c>
      <c r="C246" s="385"/>
      <c r="D246" s="388">
        <f t="shared" si="77"/>
        <v>52.87868514358756</v>
      </c>
      <c r="E246" s="380">
        <f t="shared" si="100"/>
        <v>54.493988266468925</v>
      </c>
      <c r="F246" s="380">
        <f t="shared" si="78"/>
        <v>54.496679426407681</v>
      </c>
      <c r="G246" s="110">
        <f t="shared" si="101"/>
        <v>0.99184055739915977</v>
      </c>
      <c r="H246" s="409" t="b">
        <f>Wh_hp&gt;='2023'!Maxi_hp</f>
        <v>0</v>
      </c>
      <c r="I246" s="375">
        <f>IF(H246,Wh_hp,'2023'!Maxi_hp)</f>
        <v>54.496702481805315</v>
      </c>
      <c r="J246" s="85">
        <f>IF(H246,An,'2023'!An_max)</f>
        <v>2022</v>
      </c>
      <c r="K246" s="193">
        <f t="shared" si="79"/>
        <v>45523</v>
      </c>
      <c r="L246" s="143">
        <f>IF(t&lt;Tvie,1-EXP((T0-t)*PertePVj)+'2023'!Pspv,1-EXP((T0-t)*PertePVj)+Pspv)</f>
        <v>1.3609485233605056E-2</v>
      </c>
      <c r="M246" s="836"/>
      <c r="N246" s="836"/>
      <c r="O246" s="48">
        <f>IF(t&lt;Tnet,'2023'!Resal+('2023'!Salim-'2023'!Resal)*(1-EXP(('2023'!Tnet-t)/('2023'!Tau_j))),Resal+(Salim-Resal)*(1-EXP((Tnet-t)/(Tau_j))))*Salcycl</f>
        <v>2.964185911632548E-2</v>
      </c>
      <c r="P246" s="165">
        <f>(INDEX(Models!$BJ246:$BT246,,T246)*(1-R246)+INDEX(Models!$BJ246:$BT246,,T246+1)*R246-ERP_i)*Q246*Ramure*Pc/MaxiM</f>
        <v>4.9964451932373744E-5</v>
      </c>
      <c r="Q246" s="301">
        <f t="shared" si="80"/>
        <v>0.5</v>
      </c>
      <c r="R246" s="173">
        <f t="shared" si="81"/>
        <v>0.46829796605721596</v>
      </c>
      <c r="S246" s="802">
        <f t="shared" si="82"/>
        <v>1</v>
      </c>
      <c r="T246" s="172">
        <f t="shared" si="83"/>
        <v>7</v>
      </c>
      <c r="U246" s="247">
        <f t="shared" si="84"/>
        <v>1.468297966057216</v>
      </c>
      <c r="V246" s="378">
        <f t="shared" si="85"/>
        <v>52.588092605127237</v>
      </c>
      <c r="W246" s="397">
        <f t="shared" si="86"/>
        <v>52.159033458953452</v>
      </c>
      <c r="X246" s="153">
        <f t="shared" si="87"/>
        <v>45523</v>
      </c>
      <c r="Y246" s="380">
        <f t="shared" si="88"/>
        <v>51.049048478888771</v>
      </c>
      <c r="Z246" s="380">
        <f t="shared" si="89"/>
        <v>51.753385413462361</v>
      </c>
      <c r="AA246" s="381">
        <f t="shared" si="90"/>
        <v>54.493988266468925</v>
      </c>
      <c r="AB246" s="193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5.029183842454981E-2</v>
      </c>
      <c r="AD246" s="227">
        <f>(INDEX(Models!$BJ246:$BT246,,AH246)*(1-AF246)+INDEX(Models!$BJ246:$BT246,,AH246+1)*AF246-ERP_i)*AE246*Ramure*Pc/MaxiM</f>
        <v>4.9964451932373744E-5</v>
      </c>
      <c r="AE246" s="301">
        <f t="shared" si="92"/>
        <v>0.5</v>
      </c>
      <c r="AF246" s="173">
        <f t="shared" si="93"/>
        <v>0.46829796605721596</v>
      </c>
      <c r="AG246" s="802">
        <f t="shared" si="99"/>
        <v>1</v>
      </c>
      <c r="AH246" s="172">
        <f t="shared" si="94"/>
        <v>7</v>
      </c>
      <c r="AI246" s="221">
        <f t="shared" si="95"/>
        <v>1.468297966057216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98"/>
        <v>45524</v>
      </c>
      <c r="B247" s="406">
        <f>'2023'!Wh/'2023'!Env_an*'2024'!Env_an</f>
        <v>37.639545680147187</v>
      </c>
      <c r="C247" s="385"/>
      <c r="D247" s="388">
        <f t="shared" si="77"/>
        <v>38.159390603920201</v>
      </c>
      <c r="E247" s="380">
        <f t="shared" si="100"/>
        <v>39.326993059100673</v>
      </c>
      <c r="F247" s="380">
        <f t="shared" si="78"/>
        <v>39.328256084500616</v>
      </c>
      <c r="G247" s="110">
        <f t="shared" si="101"/>
        <v>0.71922216278245199</v>
      </c>
      <c r="H247" s="409" t="b">
        <f>Wh_hp&gt;='2023'!Maxi_hp</f>
        <v>0</v>
      </c>
      <c r="I247" s="375">
        <f>IF(H247,Wh_hp,'2023'!Maxi_hp)</f>
        <v>39.328875280006322</v>
      </c>
      <c r="J247" s="85">
        <f>IF(H247,An,'2023'!An_max)</f>
        <v>2022</v>
      </c>
      <c r="K247" s="193">
        <f t="shared" si="79"/>
        <v>45524</v>
      </c>
      <c r="L247" s="143">
        <f>IF(t&lt;Tvie,1-EXP((T0-t)*PertePVj)+'2023'!Pspv,1-EXP((T0-t)*PertePVj)+Pspv)</f>
        <v>1.3622988091419153E-2</v>
      </c>
      <c r="M247" s="836"/>
      <c r="N247" s="836"/>
      <c r="O247" s="48">
        <f>IF(t&lt;Tnet,'2023'!Resal+('2023'!Salim-'2023'!Resal)*(1-EXP(('2023'!Tnet-t)/('2023'!Tau_j))),Resal+(Salim-Resal)*(1-EXP((Tnet-t)/(Tau_j))))*Salcycl</f>
        <v>2.9689593949524511E-2</v>
      </c>
      <c r="P247" s="165">
        <f>(INDEX(Models!$BJ247:$BT247,,T247)*(1-R247)+INDEX(Models!$BJ247:$BT247,,T247+1)*R247-ERP_i)*Q247*Ramure*Pc/MaxiM</f>
        <v>5.3622267638159447E-5</v>
      </c>
      <c r="Q247" s="301">
        <f t="shared" si="80"/>
        <v>0.5</v>
      </c>
      <c r="R247" s="173">
        <f t="shared" si="81"/>
        <v>0.46928109054088019</v>
      </c>
      <c r="S247" s="802">
        <f t="shared" si="82"/>
        <v>1</v>
      </c>
      <c r="T247" s="172">
        <f t="shared" si="83"/>
        <v>7</v>
      </c>
      <c r="U247" s="247">
        <f t="shared" si="84"/>
        <v>1.4692810905408802</v>
      </c>
      <c r="V247" s="378">
        <f t="shared" si="85"/>
        <v>52.332558806690585</v>
      </c>
      <c r="W247" s="397">
        <f t="shared" si="86"/>
        <v>37.639545680147187</v>
      </c>
      <c r="X247" s="153">
        <f t="shared" si="87"/>
        <v>45524</v>
      </c>
      <c r="Y247" s="380">
        <f t="shared" si="88"/>
        <v>36.839287852420476</v>
      </c>
      <c r="Z247" s="380">
        <f t="shared" si="89"/>
        <v>37.348080305661874</v>
      </c>
      <c r="AA247" s="381">
        <f t="shared" si="90"/>
        <v>39.326993059100673</v>
      </c>
      <c r="AB247" s="193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5.0319452353371805E-2</v>
      </c>
      <c r="AD247" s="227">
        <f>(INDEX(Models!$BJ247:$BT247,,AH247)*(1-AF247)+INDEX(Models!$BJ247:$BT247,,AH247+1)*AF247-ERP_i)*AE247*Ramure*Pc/MaxiM</f>
        <v>5.3622267638159447E-5</v>
      </c>
      <c r="AE247" s="301">
        <f t="shared" si="92"/>
        <v>0.5</v>
      </c>
      <c r="AF247" s="173">
        <f t="shared" si="93"/>
        <v>0.46928109054088019</v>
      </c>
      <c r="AG247" s="802">
        <f t="shared" si="99"/>
        <v>1</v>
      </c>
      <c r="AH247" s="172">
        <f t="shared" si="94"/>
        <v>7</v>
      </c>
      <c r="AI247" s="221">
        <f t="shared" si="95"/>
        <v>1.4692810905408802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98"/>
        <v>45525</v>
      </c>
      <c r="B248" s="406">
        <f>'2023'!Wh/'2023'!Env_an*'2024'!Env_an</f>
        <v>27.532786262259542</v>
      </c>
      <c r="C248" s="385"/>
      <c r="D248" s="388">
        <f t="shared" si="77"/>
        <v>27.913427457992949</v>
      </c>
      <c r="E248" s="380">
        <f t="shared" si="100"/>
        <v>28.768934531708982</v>
      </c>
      <c r="F248" s="380">
        <f t="shared" si="78"/>
        <v>28.769477182734743</v>
      </c>
      <c r="G248" s="110">
        <f t="shared" si="101"/>
        <v>0.52866324933131392</v>
      </c>
      <c r="H248" s="409" t="b">
        <f>Wh_hp&gt;='2023'!Maxi_hp</f>
        <v>0</v>
      </c>
      <c r="I248" s="375">
        <f>IF(H248,Wh_hp,'2023'!Maxi_hp)</f>
        <v>28.770301944261828</v>
      </c>
      <c r="J248" s="85">
        <f>IF(H248,An,'2023'!An_max)</f>
        <v>2022</v>
      </c>
      <c r="K248" s="193">
        <f t="shared" si="79"/>
        <v>45525</v>
      </c>
      <c r="L248" s="143">
        <f>IF(t&lt;Tvie,1-EXP((T0-t)*PertePVj)+'2023'!Pspv,1-EXP((T0-t)*PertePVj)+Pspv)</f>
        <v>1.3636490764390552E-2</v>
      </c>
      <c r="M248" s="836"/>
      <c r="N248" s="836"/>
      <c r="O248" s="48">
        <f>IF(t&lt;Tnet,'2023'!Resal+('2023'!Salim-'2023'!Resal)*(1-EXP(('2023'!Tnet-t)/('2023'!Tau_j))),Resal+(Salim-Resal)*(1-EXP((Tnet-t)/(Tau_j))))*Salcycl</f>
        <v>2.9737183098425123E-2</v>
      </c>
      <c r="P248" s="165">
        <f>(INDEX(Models!$BJ248:$BT248,,T248)*(1-R248)+INDEX(Models!$BJ248:$BT248,,T248+1)*R248-ERP_i)*Q248*Ramure*Pc/MaxiM</f>
        <v>5.7736611826744681E-5</v>
      </c>
      <c r="Q248" s="301">
        <f t="shared" si="80"/>
        <v>0.5</v>
      </c>
      <c r="R248" s="173">
        <f t="shared" si="81"/>
        <v>0.47022846489249859</v>
      </c>
      <c r="S248" s="802">
        <f t="shared" si="82"/>
        <v>1</v>
      </c>
      <c r="T248" s="172">
        <f t="shared" si="83"/>
        <v>7</v>
      </c>
      <c r="U248" s="247">
        <f t="shared" si="84"/>
        <v>1.4702284648924986</v>
      </c>
      <c r="V248" s="378">
        <f t="shared" si="85"/>
        <v>52.07798338850646</v>
      </c>
      <c r="W248" s="397">
        <f t="shared" si="86"/>
        <v>27.532786262259542</v>
      </c>
      <c r="X248" s="153">
        <f t="shared" si="87"/>
        <v>45525</v>
      </c>
      <c r="Y248" s="380">
        <f t="shared" si="88"/>
        <v>26.947952725331042</v>
      </c>
      <c r="Z248" s="380">
        <f t="shared" si="89"/>
        <v>27.320508588374867</v>
      </c>
      <c r="AA248" s="381">
        <f t="shared" si="90"/>
        <v>28.768934531708982</v>
      </c>
      <c r="AB248" s="193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5.0346874742186437E-2</v>
      </c>
      <c r="AD248" s="227">
        <f>(INDEX(Models!$BJ248:$BT248,,AH248)*(1-AF248)+INDEX(Models!$BJ248:$BT248,,AH248+1)*AF248-ERP_i)*AE248*Ramure*Pc/MaxiM</f>
        <v>5.7736611826744681E-5</v>
      </c>
      <c r="AE248" s="301">
        <f t="shared" si="92"/>
        <v>0.5</v>
      </c>
      <c r="AF248" s="173">
        <f t="shared" si="93"/>
        <v>0.47022846489249859</v>
      </c>
      <c r="AG248" s="802">
        <f t="shared" si="99"/>
        <v>1</v>
      </c>
      <c r="AH248" s="172">
        <f t="shared" si="94"/>
        <v>7</v>
      </c>
      <c r="AI248" s="221">
        <f t="shared" si="95"/>
        <v>1.4702284648924986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98"/>
        <v>45526</v>
      </c>
      <c r="B249" s="406">
        <f>'2023'!Wh/'2023'!Env_an*'2024'!Env_an</f>
        <v>46.576652435284736</v>
      </c>
      <c r="C249" s="385"/>
      <c r="D249" s="388">
        <f t="shared" si="77"/>
        <v>47.221221794150715</v>
      </c>
      <c r="E249" s="380">
        <f t="shared" si="100"/>
        <v>48.670865132426286</v>
      </c>
      <c r="F249" s="380">
        <f t="shared" si="78"/>
        <v>48.673460646393146</v>
      </c>
      <c r="G249" s="110">
        <f t="shared" si="101"/>
        <v>0.89874139783240392</v>
      </c>
      <c r="H249" s="409" t="b">
        <f>Wh_hp&gt;='2023'!Maxi_hp</f>
        <v>0</v>
      </c>
      <c r="I249" s="375">
        <f>IF(H249,Wh_hp,'2023'!Maxi_hp)</f>
        <v>48.673786569897885</v>
      </c>
      <c r="J249" s="85">
        <f>IF(H249,An,'2023'!An_max)</f>
        <v>2022</v>
      </c>
      <c r="K249" s="193">
        <f t="shared" si="79"/>
        <v>45526</v>
      </c>
      <c r="L249" s="143">
        <f>IF(t&lt;Tvie,1-EXP((T0-t)*PertePVj)+'2023'!Pspv,1-EXP((T0-t)*PertePVj)+Pspv)</f>
        <v>1.3649993252521586E-2</v>
      </c>
      <c r="M249" s="836"/>
      <c r="N249" s="836"/>
      <c r="O249" s="48">
        <f>IF(t&lt;Tnet,'2023'!Resal+('2023'!Salim-'2023'!Resal)*(1-EXP(('2023'!Tnet-t)/('2023'!Tau_j))),Resal+(Salim-Resal)*(1-EXP((Tnet-t)/(Tau_j))))*Salcycl</f>
        <v>2.9784622367638191E-2</v>
      </c>
      <c r="P249" s="165">
        <f>(INDEX(Models!$BJ249:$BT249,,T249)*(1-R249)+INDEX(Models!$BJ249:$BT249,,T249+1)*R249-ERP_i)*Q249*Ramure*Pc/MaxiM</f>
        <v>6.2342472041270134E-5</v>
      </c>
      <c r="Q249" s="301">
        <f t="shared" si="80"/>
        <v>0.5</v>
      </c>
      <c r="R249" s="173">
        <f t="shared" si="81"/>
        <v>0.47114124717688477</v>
      </c>
      <c r="S249" s="802">
        <f t="shared" si="82"/>
        <v>1</v>
      </c>
      <c r="T249" s="172">
        <f t="shared" si="83"/>
        <v>7</v>
      </c>
      <c r="U249" s="247">
        <f t="shared" si="84"/>
        <v>1.4711412471768848</v>
      </c>
      <c r="V249" s="378">
        <f t="shared" si="85"/>
        <v>51.823842234445387</v>
      </c>
      <c r="W249" s="397">
        <f t="shared" si="86"/>
        <v>46.576652435284736</v>
      </c>
      <c r="X249" s="153">
        <f t="shared" si="87"/>
        <v>45526</v>
      </c>
      <c r="Y249" s="380">
        <f t="shared" si="88"/>
        <v>45.588223560050608</v>
      </c>
      <c r="Z249" s="380">
        <f t="shared" si="89"/>
        <v>46.219114156423309</v>
      </c>
      <c r="AA249" s="381">
        <f t="shared" si="90"/>
        <v>48.670865132426286</v>
      </c>
      <c r="AB249" s="193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5.0374098946713207E-2</v>
      </c>
      <c r="AD249" s="227">
        <f>(INDEX(Models!$BJ249:$BT249,,AH249)*(1-AF249)+INDEX(Models!$BJ249:$BT249,,AH249+1)*AF249-ERP_i)*AE249*Ramure*Pc/MaxiM</f>
        <v>6.2342472041270134E-5</v>
      </c>
      <c r="AE249" s="301">
        <f t="shared" si="92"/>
        <v>0.5</v>
      </c>
      <c r="AF249" s="173">
        <f t="shared" si="93"/>
        <v>0.47114124717688477</v>
      </c>
      <c r="AG249" s="802">
        <f t="shared" si="99"/>
        <v>1</v>
      </c>
      <c r="AH249" s="172">
        <f t="shared" si="94"/>
        <v>7</v>
      </c>
      <c r="AI249" s="221">
        <f t="shared" si="95"/>
        <v>1.4711412471768848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45527</v>
      </c>
      <c r="B250" s="406">
        <f>'2023'!Wh/'2023'!Env_an*'2024'!Env_an</f>
        <v>50.588703584850997</v>
      </c>
      <c r="C250" s="385"/>
      <c r="D250" s="388">
        <f t="shared" si="77"/>
        <v>51.2894974047001</v>
      </c>
      <c r="E250" s="380">
        <f t="shared" si="100"/>
        <v>52.866609193964969</v>
      </c>
      <c r="F250" s="380">
        <f t="shared" si="78"/>
        <v>52.870078250195654</v>
      </c>
      <c r="G250" s="110">
        <f t="shared" si="101"/>
        <v>0.98097713159341449</v>
      </c>
      <c r="H250" s="409" t="b">
        <f>Wh_hp&gt;='2023'!Maxi_hp</f>
        <v>0</v>
      </c>
      <c r="I250" s="375">
        <f>IF(H250,Wh_hp,'2023'!Maxi_hp)</f>
        <v>52.870150667804495</v>
      </c>
      <c r="J250" s="85">
        <f>IF(H250,An,'2023'!An_max)</f>
        <v>2022</v>
      </c>
      <c r="K250" s="193">
        <f t="shared" si="79"/>
        <v>45527</v>
      </c>
      <c r="L250" s="143">
        <f>IF(t&lt;Tvie,1-EXP((T0-t)*PertePVj)+'2023'!Pspv,1-EXP((T0-t)*PertePVj)+Pspv)</f>
        <v>1.366349555581492E-2</v>
      </c>
      <c r="M250" s="836"/>
      <c r="N250" s="836"/>
      <c r="O250" s="48">
        <f>IF(t&lt;Tnet,'2023'!Resal+('2023'!Salim-'2023'!Resal)*(1-EXP(('2023'!Tnet-t)/('2023'!Tau_j))),Resal+(Salim-Resal)*(1-EXP((Tnet-t)/(Tau_j))))*Salcycl</f>
        <v>2.9831907385596136E-2</v>
      </c>
      <c r="P250" s="165">
        <f>(INDEX(Models!$BJ250:$BT250,,T250)*(1-R250)+INDEX(Models!$BJ250:$BT250,,T250+1)*R250-ERP_i)*Q250*Ramure*Pc/MaxiM</f>
        <v>6.7447483698215846E-5</v>
      </c>
      <c r="Q250" s="301">
        <f t="shared" si="80"/>
        <v>0.5</v>
      </c>
      <c r="R250" s="173">
        <f t="shared" si="81"/>
        <v>0.47202056872654907</v>
      </c>
      <c r="S250" s="802">
        <f t="shared" si="82"/>
        <v>1</v>
      </c>
      <c r="T250" s="172">
        <f t="shared" si="83"/>
        <v>7</v>
      </c>
      <c r="U250" s="247">
        <f t="shared" si="84"/>
        <v>1.4720205687265491</v>
      </c>
      <c r="V250" s="378">
        <f t="shared" si="85"/>
        <v>51.569612820911587</v>
      </c>
      <c r="W250" s="397">
        <f t="shared" si="86"/>
        <v>50.588703584850997</v>
      </c>
      <c r="X250" s="153">
        <f t="shared" si="87"/>
        <v>45527</v>
      </c>
      <c r="Y250" s="380">
        <f t="shared" si="88"/>
        <v>49.516137181930382</v>
      </c>
      <c r="Z250" s="380">
        <f t="shared" si="89"/>
        <v>50.20207298302666</v>
      </c>
      <c r="AA250" s="381">
        <f t="shared" si="90"/>
        <v>52.866609193964969</v>
      </c>
      <c r="AB250" s="193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5.0401118050947005E-2</v>
      </c>
      <c r="AD250" s="227">
        <f>(INDEX(Models!$BJ250:$BT250,,AH250)*(1-AF250)+INDEX(Models!$BJ250:$BT250,,AH250+1)*AF250-ERP_i)*AE250*Ramure*Pc/MaxiM</f>
        <v>6.7447483698215846E-5</v>
      </c>
      <c r="AE250" s="301">
        <f t="shared" si="92"/>
        <v>0.5</v>
      </c>
      <c r="AF250" s="173">
        <f t="shared" si="93"/>
        <v>0.47202056872654907</v>
      </c>
      <c r="AG250" s="802">
        <f t="shared" si="99"/>
        <v>1</v>
      </c>
      <c r="AH250" s="172">
        <f t="shared" si="94"/>
        <v>7</v>
      </c>
      <c r="AI250" s="221">
        <f t="shared" si="95"/>
        <v>1.4720205687265491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45528</v>
      </c>
      <c r="B251" s="406">
        <f>'2023'!Wh/'2023'!Env_an*'2024'!Env_an</f>
        <v>32.447477908673122</v>
      </c>
      <c r="C251" s="385"/>
      <c r="D251" s="388">
        <f t="shared" si="77"/>
        <v>32.897415787893742</v>
      </c>
      <c r="E251" s="380">
        <f t="shared" si="100"/>
        <v>33.910632722719271</v>
      </c>
      <c r="F251" s="380">
        <f t="shared" si="78"/>
        <v>33.911808944104088</v>
      </c>
      <c r="G251" s="110">
        <f t="shared" si="101"/>
        <v>0.63229808790068942</v>
      </c>
      <c r="H251" s="409" t="b">
        <f>Wh_hp&gt;='2023'!Maxi_hp</f>
        <v>0</v>
      </c>
      <c r="I251" s="375">
        <f>IF(H251,Wh_hp,'2023'!Maxi_hp)</f>
        <v>33.91278728080961</v>
      </c>
      <c r="J251" s="85">
        <f>IF(H251,An,'2023'!An_max)</f>
        <v>2022</v>
      </c>
      <c r="K251" s="193">
        <f t="shared" si="79"/>
        <v>45528</v>
      </c>
      <c r="L251" s="143">
        <f>IF(t&lt;Tvie,1-EXP((T0-t)*PertePVj)+'2023'!Pspv,1-EXP((T0-t)*PertePVj)+Pspv)</f>
        <v>1.3676997674273106E-2</v>
      </c>
      <c r="M251" s="836"/>
      <c r="N251" s="836"/>
      <c r="O251" s="48">
        <f>IF(t&lt;Tnet,'2023'!Resal+('2023'!Salim-'2023'!Resal)*(1-EXP(('2023'!Tnet-t)/('2023'!Tau_j))),Resal+(Salim-Resal)*(1-EXP((Tnet-t)/(Tau_j))))*Salcycl</f>
        <v>2.9879033609027879E-2</v>
      </c>
      <c r="P251" s="165">
        <f>(INDEX(Models!$BJ251:$BT251,,T251)*(1-R251)+INDEX(Models!$BJ251:$BT251,,T251+1)*R251-ERP_i)*Q251*Ramure*Pc/MaxiM</f>
        <v>7.3059483694910927E-5</v>
      </c>
      <c r="Q251" s="301">
        <f t="shared" si="80"/>
        <v>0.5</v>
      </c>
      <c r="R251" s="173">
        <f t="shared" si="81"/>
        <v>0.47286753389451364</v>
      </c>
      <c r="S251" s="802">
        <f t="shared" si="82"/>
        <v>1</v>
      </c>
      <c r="T251" s="172">
        <f t="shared" si="83"/>
        <v>7</v>
      </c>
      <c r="U251" s="247">
        <f t="shared" si="84"/>
        <v>1.4728675338945136</v>
      </c>
      <c r="V251" s="378">
        <f t="shared" si="85"/>
        <v>51.314772765971753</v>
      </c>
      <c r="W251" s="397">
        <f t="shared" si="86"/>
        <v>32.447477908673122</v>
      </c>
      <c r="X251" s="153">
        <f t="shared" si="87"/>
        <v>45528</v>
      </c>
      <c r="Y251" s="380">
        <f t="shared" si="88"/>
        <v>31.760182490336714</v>
      </c>
      <c r="Z251" s="380">
        <f t="shared" si="89"/>
        <v>32.200589883280564</v>
      </c>
      <c r="AA251" s="381">
        <f t="shared" si="90"/>
        <v>33.910632722719271</v>
      </c>
      <c r="AB251" s="193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5.0427924875993825E-2</v>
      </c>
      <c r="AD251" s="227">
        <f>(INDEX(Models!$BJ251:$BT251,,AH251)*(1-AF251)+INDEX(Models!$BJ251:$BT251,,AH251+1)*AF251-ERP_i)*AE251*Ramure*Pc/MaxiM</f>
        <v>7.3059483694910927E-5</v>
      </c>
      <c r="AE251" s="301">
        <f t="shared" si="92"/>
        <v>0.5</v>
      </c>
      <c r="AF251" s="173">
        <f t="shared" si="93"/>
        <v>0.47286753389451364</v>
      </c>
      <c r="AG251" s="802">
        <f t="shared" si="99"/>
        <v>1</v>
      </c>
      <c r="AH251" s="172">
        <f t="shared" si="94"/>
        <v>7</v>
      </c>
      <c r="AI251" s="221">
        <f t="shared" si="95"/>
        <v>1.4728675338945136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98"/>
        <v>45529</v>
      </c>
      <c r="B252" s="406">
        <f>'2023'!Wh/'2023'!Env_an*'2024'!Env_an</f>
        <v>37.397078692906405</v>
      </c>
      <c r="C252" s="385"/>
      <c r="D252" s="388">
        <f t="shared" si="77"/>
        <v>37.916170003471954</v>
      </c>
      <c r="E252" s="380">
        <f t="shared" si="100"/>
        <v>39.085853099667339</v>
      </c>
      <c r="F252" s="380">
        <f t="shared" si="78"/>
        <v>39.087765203364334</v>
      </c>
      <c r="G252" s="110">
        <f t="shared" si="101"/>
        <v>0.7324094341114421</v>
      </c>
      <c r="H252" s="409" t="b">
        <f>Wh_hp&gt;='2023'!Maxi_hp</f>
        <v>0</v>
      </c>
      <c r="I252" s="375">
        <f>IF(H252,Wh_hp,'2023'!Maxi_hp)</f>
        <v>39.08865945369719</v>
      </c>
      <c r="J252" s="85">
        <f>IF(H252,An,'2023'!An_max)</f>
        <v>2022</v>
      </c>
      <c r="K252" s="193">
        <f t="shared" si="79"/>
        <v>45529</v>
      </c>
      <c r="L252" s="143">
        <f>IF(t&lt;Tvie,1-EXP((T0-t)*PertePVj)+'2023'!Pspv,1-EXP((T0-t)*PertePVj)+Pspv)</f>
        <v>1.3690499607898698E-2</v>
      </c>
      <c r="M252" s="836"/>
      <c r="N252" s="836"/>
      <c r="O252" s="48">
        <f>IF(t&lt;Tnet,'2023'!Resal+('2023'!Salim-'2023'!Resal)*(1-EXP(('2023'!Tnet-t)/('2023'!Tau_j))),Resal+(Salim-Resal)*(1-EXP((Tnet-t)/(Tau_j))))*Salcycl</f>
        <v>2.9925996324366783E-2</v>
      </c>
      <c r="P252" s="165">
        <f>(INDEX(Models!$BJ252:$BT252,,T252)*(1-R252)+INDEX(Models!$BJ252:$BT252,,T252+1)*R252-ERP_i)*Q252*Ramure*Pc/MaxiM</f>
        <v>7.9186511902142132E-5</v>
      </c>
      <c r="Q252" s="301">
        <f t="shared" si="80"/>
        <v>0.5</v>
      </c>
      <c r="R252" s="173">
        <f t="shared" si="81"/>
        <v>0.47368321989591733</v>
      </c>
      <c r="S252" s="802">
        <f t="shared" si="82"/>
        <v>1</v>
      </c>
      <c r="T252" s="172">
        <f t="shared" si="83"/>
        <v>7</v>
      </c>
      <c r="U252" s="247">
        <f t="shared" si="84"/>
        <v>1.4736832198959173</v>
      </c>
      <c r="V252" s="378">
        <f t="shared" si="85"/>
        <v>51.058799832382832</v>
      </c>
      <c r="W252" s="397">
        <f t="shared" si="86"/>
        <v>37.397078692906405</v>
      </c>
      <c r="X252" s="153">
        <f t="shared" si="87"/>
        <v>45529</v>
      </c>
      <c r="Y252" s="380">
        <f t="shared" si="88"/>
        <v>36.605689053919342</v>
      </c>
      <c r="Z252" s="380">
        <f t="shared" si="89"/>
        <v>37.113795456058135</v>
      </c>
      <c r="AA252" s="381">
        <f t="shared" si="90"/>
        <v>39.085853099667339</v>
      </c>
      <c r="AB252" s="193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5.0454511983671922E-2</v>
      </c>
      <c r="AD252" s="227">
        <f>(INDEX(Models!$BJ252:$BT252,,AH252)*(1-AF252)+INDEX(Models!$BJ252:$BT252,,AH252+1)*AF252-ERP_i)*AE252*Ramure*Pc/MaxiM</f>
        <v>7.9186511902142132E-5</v>
      </c>
      <c r="AE252" s="301">
        <f t="shared" si="92"/>
        <v>0.5</v>
      </c>
      <c r="AF252" s="173">
        <f t="shared" si="93"/>
        <v>0.47368321989591733</v>
      </c>
      <c r="AG252" s="802">
        <f t="shared" si="99"/>
        <v>1</v>
      </c>
      <c r="AH252" s="172">
        <f t="shared" si="94"/>
        <v>7</v>
      </c>
      <c r="AI252" s="221">
        <f t="shared" si="95"/>
        <v>1.4736832198959173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98"/>
        <v>45530</v>
      </c>
      <c r="B253" s="406">
        <f>'2023'!Wh/'2023'!Env_an*'2024'!Env_an</f>
        <v>47.145435334005263</v>
      </c>
      <c r="C253" s="385"/>
      <c r="D253" s="388">
        <f t="shared" si="77"/>
        <v>47.800493359859423</v>
      </c>
      <c r="E253" s="380">
        <f t="shared" si="100"/>
        <v>49.277476857274962</v>
      </c>
      <c r="F253" s="380">
        <f t="shared" si="78"/>
        <v>49.281272139331897</v>
      </c>
      <c r="G253" s="110">
        <f t="shared" si="101"/>
        <v>0.92803015152911117</v>
      </c>
      <c r="H253" s="409" t="b">
        <f>Wh_hp&gt;='2023'!Maxi_hp</f>
        <v>0</v>
      </c>
      <c r="I253" s="375">
        <f>IF(H253,Wh_hp,'2023'!Maxi_hp)</f>
        <v>49.281602441092893</v>
      </c>
      <c r="J253" s="85">
        <f>IF(H253,An,'2023'!An_max)</f>
        <v>2022</v>
      </c>
      <c r="K253" s="193">
        <f t="shared" si="79"/>
        <v>45530</v>
      </c>
      <c r="L253" s="143">
        <f>IF(t&lt;Tvie,1-EXP((T0-t)*PertePVj)+'2023'!Pspv,1-EXP((T0-t)*PertePVj)+Pspv)</f>
        <v>1.3704001356694029E-2</v>
      </c>
      <c r="M253" s="836"/>
      <c r="N253" s="836"/>
      <c r="O253" s="48">
        <f>IF(t&lt;Tnet,'2023'!Resal+('2023'!Salim-'2023'!Resal)*(1-EXP(('2023'!Tnet-t)/('2023'!Tau_j))),Resal+(Salim-Resal)*(1-EXP((Tnet-t)/(Tau_j))))*Salcycl</f>
        <v>2.9972790646189278E-2</v>
      </c>
      <c r="P253" s="165">
        <f>(INDEX(Models!$BJ253:$BT253,,T253)*(1-R253)+INDEX(Models!$BJ253:$BT253,,T253+1)*R253-ERP_i)*Q253*Ramure*Pc/MaxiM</f>
        <v>8.5836900881030646E-5</v>
      </c>
      <c r="Q253" s="301">
        <f t="shared" si="80"/>
        <v>0.5</v>
      </c>
      <c r="R253" s="173">
        <f t="shared" si="81"/>
        <v>0.47446867673116455</v>
      </c>
      <c r="S253" s="802">
        <f t="shared" si="82"/>
        <v>1</v>
      </c>
      <c r="T253" s="172">
        <f t="shared" si="83"/>
        <v>7</v>
      </c>
      <c r="U253" s="247">
        <f t="shared" si="84"/>
        <v>1.4744686767311646</v>
      </c>
      <c r="V253" s="378">
        <f t="shared" si="85"/>
        <v>50.801171925069355</v>
      </c>
      <c r="W253" s="397">
        <f t="shared" si="86"/>
        <v>47.145435334005263</v>
      </c>
      <c r="X253" s="153">
        <f t="shared" si="87"/>
        <v>45530</v>
      </c>
      <c r="Y253" s="380">
        <f t="shared" si="88"/>
        <v>46.14869792432345</v>
      </c>
      <c r="Z253" s="380">
        <f t="shared" si="89"/>
        <v>46.789906871571048</v>
      </c>
      <c r="AA253" s="381">
        <f t="shared" si="90"/>
        <v>49.277476857274962</v>
      </c>
      <c r="AB253" s="193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5.0480871675081883E-2</v>
      </c>
      <c r="AD253" s="227">
        <f>(INDEX(Models!$BJ253:$BT253,,AH253)*(1-AF253)+INDEX(Models!$BJ253:$BT253,,AH253+1)*AF253-ERP_i)*AE253*Ramure*Pc/MaxiM</f>
        <v>8.5836900881030646E-5</v>
      </c>
      <c r="AE253" s="301">
        <f t="shared" si="92"/>
        <v>0.5</v>
      </c>
      <c r="AF253" s="173">
        <f t="shared" si="93"/>
        <v>0.47446867673116455</v>
      </c>
      <c r="AG253" s="802">
        <f t="shared" si="99"/>
        <v>1</v>
      </c>
      <c r="AH253" s="172">
        <f t="shared" si="94"/>
        <v>7</v>
      </c>
      <c r="AI253" s="221">
        <f t="shared" si="95"/>
        <v>1.4744686767311646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45531</v>
      </c>
      <c r="B254" s="406">
        <f>'2023'!Wh/'2023'!Env_an*'2024'!Env_an</f>
        <v>49.563175295143985</v>
      </c>
      <c r="C254" s="385"/>
      <c r="D254" s="388">
        <f t="shared" si="77"/>
        <v>50.252514306919757</v>
      </c>
      <c r="E254" s="380">
        <f t="shared" si="100"/>
        <v>51.807752550281798</v>
      </c>
      <c r="F254" s="380">
        <f t="shared" si="78"/>
        <v>51.812409096936243</v>
      </c>
      <c r="G254" s="110">
        <f t="shared" si="101"/>
        <v>0.98064263398512175</v>
      </c>
      <c r="H254" s="409" t="b">
        <f>Wh_hp&gt;='2023'!Maxi_hp</f>
        <v>0</v>
      </c>
      <c r="I254" s="375">
        <f>IF(H254,Wh_hp,'2023'!Maxi_hp)</f>
        <v>51.812510018223612</v>
      </c>
      <c r="J254" s="85">
        <f>IF(H254,An,'2023'!An_max)</f>
        <v>2022</v>
      </c>
      <c r="K254" s="193">
        <f t="shared" si="79"/>
        <v>45531</v>
      </c>
      <c r="L254" s="143">
        <f>IF(t&lt;Tvie,1-EXP((T0-t)*PertePVj)+'2023'!Pspv,1-EXP((T0-t)*PertePVj)+Pspv)</f>
        <v>1.3717502920661762E-2</v>
      </c>
      <c r="M254" s="836"/>
      <c r="N254" s="836"/>
      <c r="O254" s="48">
        <f>IF(t&lt;Tnet,'2023'!Resal+('2023'!Salim-'2023'!Resal)*(1-EXP(('2023'!Tnet-t)/('2023'!Tau_j))),Resal+(Salim-Resal)*(1-EXP((Tnet-t)/(Tau_j))))*Salcycl</f>
        <v>3.0019411512835027E-2</v>
      </c>
      <c r="P254" s="165">
        <f>(INDEX(Models!$BJ254:$BT254,,T254)*(1-R254)+INDEX(Models!$BJ254:$BT254,,T254+1)*R254-ERP_i)*Q254*Ramure*Pc/MaxiM</f>
        <v>9.2428831894522727E-5</v>
      </c>
      <c r="Q254" s="301">
        <f t="shared" si="80"/>
        <v>0.5</v>
      </c>
      <c r="R254" s="173">
        <f t="shared" si="81"/>
        <v>0.47522492718372433</v>
      </c>
      <c r="S254" s="802">
        <f t="shared" si="82"/>
        <v>1</v>
      </c>
      <c r="T254" s="172">
        <f t="shared" si="83"/>
        <v>7</v>
      </c>
      <c r="U254" s="247">
        <f t="shared" si="84"/>
        <v>1.4752249271837243</v>
      </c>
      <c r="V254" s="378">
        <f t="shared" si="85"/>
        <v>50.541396937616661</v>
      </c>
      <c r="W254" s="397">
        <f t="shared" si="86"/>
        <v>49.563175295143985</v>
      </c>
      <c r="X254" s="153">
        <f t="shared" si="87"/>
        <v>45531</v>
      </c>
      <c r="Y254" s="380">
        <f t="shared" si="88"/>
        <v>48.516319561542424</v>
      </c>
      <c r="Z254" s="380">
        <f t="shared" si="89"/>
        <v>49.19109860026208</v>
      </c>
      <c r="AA254" s="381">
        <f t="shared" si="90"/>
        <v>51.807752550281798</v>
      </c>
      <c r="AB254" s="193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5.0506995984435608E-2</v>
      </c>
      <c r="AD254" s="227">
        <f>(INDEX(Models!$BJ254:$BT254,,AH254)*(1-AF254)+INDEX(Models!$BJ254:$BT254,,AH254+1)*AF254-ERP_i)*AE254*Ramure*Pc/MaxiM</f>
        <v>9.2428831894522727E-5</v>
      </c>
      <c r="AE254" s="301">
        <f t="shared" si="92"/>
        <v>0.5</v>
      </c>
      <c r="AF254" s="173">
        <f t="shared" si="93"/>
        <v>0.47522492718372433</v>
      </c>
      <c r="AG254" s="802">
        <f t="shared" si="99"/>
        <v>1</v>
      </c>
      <c r="AH254" s="172">
        <f t="shared" si="94"/>
        <v>7</v>
      </c>
      <c r="AI254" s="221">
        <f t="shared" si="95"/>
        <v>1.4752249271837243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45532</v>
      </c>
      <c r="B255" s="406">
        <f>'2023'!Wh/'2023'!Env_an*'2024'!Env_an</f>
        <v>34.639618521622396</v>
      </c>
      <c r="C255" s="385"/>
      <c r="D255" s="388">
        <f t="shared" si="77"/>
        <v>35.121877168033869</v>
      </c>
      <c r="E255" s="380">
        <f t="shared" si="100"/>
        <v>36.210579142169017</v>
      </c>
      <c r="F255" s="380">
        <f t="shared" si="78"/>
        <v>36.212565991777268</v>
      </c>
      <c r="G255" s="110">
        <f t="shared" si="101"/>
        <v>0.68891830215677996</v>
      </c>
      <c r="H255" s="409" t="b">
        <f>Wh_hp&gt;='2023'!Maxi_hp</f>
        <v>0</v>
      </c>
      <c r="I255" s="375">
        <f>IF(H255,Wh_hp,'2023'!Maxi_hp)</f>
        <v>36.213779119220973</v>
      </c>
      <c r="J255" s="85">
        <f>IF(H255,An,'2023'!An_max)</f>
        <v>2022</v>
      </c>
      <c r="K255" s="193">
        <f t="shared" si="79"/>
        <v>45532</v>
      </c>
      <c r="L255" s="143">
        <f>IF(t&lt;Tvie,1-EXP((T0-t)*PertePVj)+'2023'!Pspv,1-EXP((T0-t)*PertePVj)+Pspv)</f>
        <v>1.373100429980445E-2</v>
      </c>
      <c r="M255" s="836"/>
      <c r="N255" s="836"/>
      <c r="O255" s="48">
        <f>IF(t&lt;Tnet,'2023'!Resal+('2023'!Salim-'2023'!Resal)*(1-EXP(('2023'!Tnet-t)/('2023'!Tau_j))),Resal+(Salim-Resal)*(1-EXP((Tnet-t)/(Tau_j))))*Salcycl</f>
        <v>3.0065853679409903E-2</v>
      </c>
      <c r="P255" s="165">
        <f>(INDEX(Models!$BJ255:$BT255,,T255)*(1-R255)+INDEX(Models!$BJ255:$BT255,,T255+1)*R255-ERP_i)*Q255*Ramure*Pc/MaxiM</f>
        <v>9.8744200346491013E-5</v>
      </c>
      <c r="Q255" s="301">
        <f t="shared" si="80"/>
        <v>0.5</v>
      </c>
      <c r="R255" s="173">
        <f t="shared" si="81"/>
        <v>0.47595296688601896</v>
      </c>
      <c r="S255" s="802">
        <f t="shared" si="82"/>
        <v>1</v>
      </c>
      <c r="T255" s="172">
        <f t="shared" si="83"/>
        <v>7</v>
      </c>
      <c r="U255" s="247">
        <f t="shared" si="84"/>
        <v>1.475952966886019</v>
      </c>
      <c r="V255" s="378">
        <f t="shared" si="85"/>
        <v>50.278964016705707</v>
      </c>
      <c r="W255" s="397">
        <f t="shared" si="86"/>
        <v>34.639618521622396</v>
      </c>
      <c r="X255" s="153">
        <f t="shared" si="87"/>
        <v>45532</v>
      </c>
      <c r="Y255" s="380">
        <f t="shared" si="88"/>
        <v>33.908672125616633</v>
      </c>
      <c r="Z255" s="380">
        <f t="shared" si="89"/>
        <v>34.380754412282201</v>
      </c>
      <c r="AA255" s="381">
        <f t="shared" si="90"/>
        <v>36.210579142169017</v>
      </c>
      <c r="AB255" s="193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5.0532876668517343E-2</v>
      </c>
      <c r="AD255" s="227">
        <f>(INDEX(Models!$BJ255:$BT255,,AH255)*(1-AF255)+INDEX(Models!$BJ255:$BT255,,AH255+1)*AF255-ERP_i)*AE255*Ramure*Pc/MaxiM</f>
        <v>9.8744200346491013E-5</v>
      </c>
      <c r="AE255" s="301">
        <f t="shared" si="92"/>
        <v>0.5</v>
      </c>
      <c r="AF255" s="173">
        <f t="shared" si="93"/>
        <v>0.47595296688601896</v>
      </c>
      <c r="AG255" s="802">
        <f t="shared" si="99"/>
        <v>1</v>
      </c>
      <c r="AH255" s="172">
        <f t="shared" si="94"/>
        <v>7</v>
      </c>
      <c r="AI255" s="221">
        <f t="shared" si="95"/>
        <v>1.475952966886019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98"/>
        <v>45533</v>
      </c>
      <c r="B256" s="406">
        <f>'2023'!Wh/'2023'!Env_an*'2024'!Env_an</f>
        <v>48.613415427019092</v>
      </c>
      <c r="C256" s="385"/>
      <c r="D256" s="388">
        <f t="shared" si="77"/>
        <v>49.290894395853215</v>
      </c>
      <c r="E256" s="380">
        <f t="shared" si="100"/>
        <v>50.821228918197257</v>
      </c>
      <c r="F256" s="380">
        <f t="shared" si="78"/>
        <v>50.826341481964796</v>
      </c>
      <c r="G256" s="110">
        <f t="shared" si="101"/>
        <v>0.97200467955535896</v>
      </c>
      <c r="H256" s="409" t="b">
        <f>Wh_hp&gt;='2023'!Maxi_hp</f>
        <v>0</v>
      </c>
      <c r="I256" s="375">
        <f>IF(H256,Wh_hp,'2023'!Maxi_hp)</f>
        <v>50.826504126845201</v>
      </c>
      <c r="J256" s="85">
        <f>IF(H256,An,'2023'!An_max)</f>
        <v>2022</v>
      </c>
      <c r="K256" s="193">
        <f t="shared" si="79"/>
        <v>45533</v>
      </c>
      <c r="L256" s="143">
        <f>IF(t&lt;Tvie,1-EXP((T0-t)*PertePVj)+'2023'!Pspv,1-EXP((T0-t)*PertePVj)+Pspv)</f>
        <v>1.3744505494124648E-2</v>
      </c>
      <c r="M256" s="836"/>
      <c r="N256" s="836"/>
      <c r="O256" s="48">
        <f>IF(t&lt;Tnet,'2023'!Resal+('2023'!Salim-'2023'!Resal)*(1-EXP(('2023'!Tnet-t)/('2023'!Tau_j))),Resal+(Salim-Resal)*(1-EXP((Tnet-t)/(Tau_j))))*Salcycl</f>
        <v>3.0112111708422026E-2</v>
      </c>
      <c r="P256" s="165">
        <f>(INDEX(Models!$BJ256:$BT256,,T256)*(1-R256)+INDEX(Models!$BJ256:$BT256,,T256+1)*R256-ERP_i)*Q256*Ramure*Pc/MaxiM</f>
        <v>1.0477869820839622E-4</v>
      </c>
      <c r="Q256" s="301">
        <f t="shared" si="80"/>
        <v>0.5</v>
      </c>
      <c r="R256" s="173">
        <f t="shared" si="81"/>
        <v>0.47665376444719376</v>
      </c>
      <c r="S256" s="802">
        <f t="shared" si="82"/>
        <v>1</v>
      </c>
      <c r="T256" s="172">
        <f t="shared" si="83"/>
        <v>7</v>
      </c>
      <c r="U256" s="247">
        <f t="shared" si="84"/>
        <v>1.4766537644471938</v>
      </c>
      <c r="V256" s="378">
        <f t="shared" si="85"/>
        <v>50.013351526703026</v>
      </c>
      <c r="W256" s="397">
        <f t="shared" si="86"/>
        <v>48.613415427019092</v>
      </c>
      <c r="X256" s="153">
        <f t="shared" si="87"/>
        <v>45533</v>
      </c>
      <c r="Y256" s="380">
        <f t="shared" si="88"/>
        <v>47.588586647928565</v>
      </c>
      <c r="Z256" s="380">
        <f t="shared" si="89"/>
        <v>48.251783552061184</v>
      </c>
      <c r="AA256" s="381">
        <f t="shared" si="90"/>
        <v>50.821228918197257</v>
      </c>
      <c r="AB256" s="193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5.0558505192227765E-2</v>
      </c>
      <c r="AD256" s="227">
        <f>(INDEX(Models!$BJ256:$BT256,,AH256)*(1-AF256)+INDEX(Models!$BJ256:$BT256,,AH256+1)*AF256-ERP_i)*AE256*Ramure*Pc/MaxiM</f>
        <v>1.0477869820839622E-4</v>
      </c>
      <c r="AE256" s="301">
        <f t="shared" si="92"/>
        <v>0.5</v>
      </c>
      <c r="AF256" s="173">
        <f t="shared" si="93"/>
        <v>0.47665376444719376</v>
      </c>
      <c r="AG256" s="802">
        <f t="shared" si="99"/>
        <v>1</v>
      </c>
      <c r="AH256" s="172">
        <f t="shared" si="94"/>
        <v>7</v>
      </c>
      <c r="AI256" s="221">
        <f t="shared" si="95"/>
        <v>1.4766537644471938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45534</v>
      </c>
      <c r="B257" s="406">
        <f>'2023'!Wh/'2023'!Env_an*'2024'!Env_an</f>
        <v>24.61272944499763</v>
      </c>
      <c r="C257" s="385"/>
      <c r="D257" s="388">
        <f t="shared" si="77"/>
        <v>24.956075291158335</v>
      </c>
      <c r="E257" s="380">
        <f t="shared" si="100"/>
        <v>25.732108860892925</v>
      </c>
      <c r="F257" s="380">
        <f t="shared" si="78"/>
        <v>25.73290031398848</v>
      </c>
      <c r="G257" s="110">
        <f t="shared" si="101"/>
        <v>0.49474805416476447</v>
      </c>
      <c r="H257" s="409" t="b">
        <f>Wh_hp&gt;='2023'!Maxi_hp</f>
        <v>0</v>
      </c>
      <c r="I257" s="375">
        <f>IF(H257,Wh_hp,'2023'!Maxi_hp)</f>
        <v>25.734466772860397</v>
      </c>
      <c r="J257" s="85">
        <f>IF(H257,An,'2023'!An_max)</f>
        <v>2022</v>
      </c>
      <c r="K257" s="193">
        <f t="shared" si="79"/>
        <v>45534</v>
      </c>
      <c r="L257" s="143">
        <f>IF(t&lt;Tvie,1-EXP((T0-t)*PertePVj)+'2023'!Pspv,1-EXP((T0-t)*PertePVj)+Pspv)</f>
        <v>1.3758006503624798E-2</v>
      </c>
      <c r="M257" s="836"/>
      <c r="N257" s="836"/>
      <c r="O257" s="48">
        <f>IF(t&lt;Tnet,'2023'!Resal+('2023'!Salim-'2023'!Resal)*(1-EXP(('2023'!Tnet-t)/('2023'!Tau_j))),Resal+(Salim-Resal)*(1-EXP((Tnet-t)/(Tau_j))))*Salcycl</f>
        <v>3.0158179958347214E-2</v>
      </c>
      <c r="P257" s="165">
        <f>(INDEX(Models!$BJ257:$BT257,,T257)*(1-R257)+INDEX(Models!$BJ257:$BT257,,T257+1)*R257-ERP_i)*Q257*Ramure*Pc/MaxiM</f>
        <v>1.1052826276093093E-4</v>
      </c>
      <c r="Q257" s="301">
        <f t="shared" si="80"/>
        <v>0.5</v>
      </c>
      <c r="R257" s="173">
        <f t="shared" si="81"/>
        <v>0.4773282616368939</v>
      </c>
      <c r="S257" s="802">
        <f t="shared" si="82"/>
        <v>1</v>
      </c>
      <c r="T257" s="172">
        <f t="shared" si="83"/>
        <v>7</v>
      </c>
      <c r="U257" s="247">
        <f t="shared" si="84"/>
        <v>1.4773282616368939</v>
      </c>
      <c r="V257" s="378">
        <f t="shared" si="85"/>
        <v>49.744037951855013</v>
      </c>
      <c r="W257" s="397">
        <f t="shared" si="86"/>
        <v>24.61272944499763</v>
      </c>
      <c r="X257" s="153">
        <f t="shared" si="87"/>
        <v>45534</v>
      </c>
      <c r="Y257" s="380">
        <f t="shared" si="88"/>
        <v>24.094364450776609</v>
      </c>
      <c r="Z257" s="380">
        <f t="shared" si="89"/>
        <v>24.430479141694715</v>
      </c>
      <c r="AA257" s="381">
        <f t="shared" si="90"/>
        <v>25.732108860892925</v>
      </c>
      <c r="AB257" s="193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5.0583872710736041E-2</v>
      </c>
      <c r="AD257" s="227">
        <f>(INDEX(Models!$BJ257:$BT257,,AH257)*(1-AF257)+INDEX(Models!$BJ257:$BT257,,AH257+1)*AF257-ERP_i)*AE257*Ramure*Pc/MaxiM</f>
        <v>1.1052826276093093E-4</v>
      </c>
      <c r="AE257" s="301">
        <f t="shared" si="92"/>
        <v>0.5</v>
      </c>
      <c r="AF257" s="173">
        <f t="shared" si="93"/>
        <v>0.4773282616368939</v>
      </c>
      <c r="AG257" s="802">
        <f t="shared" si="99"/>
        <v>1</v>
      </c>
      <c r="AH257" s="172">
        <f t="shared" si="94"/>
        <v>7</v>
      </c>
      <c r="AI257" s="221">
        <f t="shared" si="95"/>
        <v>1.4773282616368939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98"/>
        <v>45535</v>
      </c>
      <c r="B258" s="406">
        <f>'2023'!Wh/'2023'!Env_an*'2024'!Env_an</f>
        <v>42.322602059950349</v>
      </c>
      <c r="C258" s="385"/>
      <c r="D258" s="388">
        <f t="shared" si="77"/>
        <v>42.913586835539945</v>
      </c>
      <c r="E258" s="380">
        <f t="shared" si="100"/>
        <v>44.250119779612632</v>
      </c>
      <c r="F258" s="380">
        <f t="shared" si="78"/>
        <v>44.254193270142167</v>
      </c>
      <c r="G258" s="110">
        <f t="shared" si="101"/>
        <v>0.85549139543826247</v>
      </c>
      <c r="H258" s="409" t="b">
        <f>Wh_hp&gt;='2023'!Maxi_hp</f>
        <v>0</v>
      </c>
      <c r="I258" s="375">
        <f>IF(H258,Wh_hp,'2023'!Maxi_hp)</f>
        <v>44.255000274929195</v>
      </c>
      <c r="J258" s="85">
        <f>IF(H258,An,'2023'!An_max)</f>
        <v>2022</v>
      </c>
      <c r="K258" s="193">
        <f t="shared" si="79"/>
        <v>45535</v>
      </c>
      <c r="L258" s="143">
        <f>IF(t&lt;Tvie,1-EXP((T0-t)*PertePVj)+'2023'!Pspv,1-EXP((T0-t)*PertePVj)+Pspv)</f>
        <v>1.3771507328307453E-2</v>
      </c>
      <c r="M258" s="836"/>
      <c r="N258" s="836"/>
      <c r="O258" s="48">
        <f>IF(t&lt;Tnet,'2023'!Resal+('2023'!Salim-'2023'!Resal)*(1-EXP(('2023'!Tnet-t)/('2023'!Tau_j))),Resal+(Salim-Resal)*(1-EXP((Tnet-t)/(Tau_j))))*Salcycl</f>
        <v>3.0204052570462579E-2</v>
      </c>
      <c r="P258" s="165">
        <f>(INDEX(Models!$BJ258:$BT258,,T258)*(1-R258)+INDEX(Models!$BJ258:$BT258,,T258+1)*R258-ERP_i)*Q258*Ramure*Pc/MaxiM</f>
        <v>1.1598904483726098E-4</v>
      </c>
      <c r="Q258" s="301">
        <f t="shared" si="80"/>
        <v>0.5</v>
      </c>
      <c r="R258" s="173">
        <f t="shared" si="81"/>
        <v>0.47797737361951542</v>
      </c>
      <c r="S258" s="802">
        <f t="shared" si="82"/>
        <v>1</v>
      </c>
      <c r="T258" s="172">
        <f t="shared" si="83"/>
        <v>7</v>
      </c>
      <c r="U258" s="247">
        <f t="shared" si="84"/>
        <v>1.4779773736195154</v>
      </c>
      <c r="V258" s="378">
        <f t="shared" si="85"/>
        <v>49.470501896836687</v>
      </c>
      <c r="W258" s="397">
        <f t="shared" si="86"/>
        <v>42.322602059950349</v>
      </c>
      <c r="X258" s="153">
        <f t="shared" si="87"/>
        <v>45535</v>
      </c>
      <c r="Y258" s="380">
        <f t="shared" si="88"/>
        <v>41.432116587421746</v>
      </c>
      <c r="Z258" s="380">
        <f t="shared" si="89"/>
        <v>42.010666793029024</v>
      </c>
      <c r="AA258" s="381">
        <f t="shared" si="90"/>
        <v>44.250119779612632</v>
      </c>
      <c r="AB258" s="193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5.0608970048831275E-2</v>
      </c>
      <c r="AD258" s="227">
        <f>(INDEX(Models!$BJ258:$BT258,,AH258)*(1-AF258)+INDEX(Models!$BJ258:$BT258,,AH258+1)*AF258-ERP_i)*AE258*Ramure*Pc/MaxiM</f>
        <v>1.1598904483726098E-4</v>
      </c>
      <c r="AE258" s="301">
        <f t="shared" si="92"/>
        <v>0.5</v>
      </c>
      <c r="AF258" s="173">
        <f t="shared" si="93"/>
        <v>0.47797737361951542</v>
      </c>
      <c r="AG258" s="802">
        <f t="shared" si="99"/>
        <v>1</v>
      </c>
      <c r="AH258" s="172">
        <f t="shared" si="94"/>
        <v>7</v>
      </c>
      <c r="AI258" s="221">
        <f t="shared" si="95"/>
        <v>1.4779773736195154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45536</v>
      </c>
      <c r="B259" s="406">
        <f>'2023'!Wh/'2023'!Env_an*'2024'!Env_an</f>
        <v>40.006169393371408</v>
      </c>
      <c r="C259" s="385"/>
      <c r="D259" s="388">
        <f t="shared" si="77"/>
        <v>40.565363248990664</v>
      </c>
      <c r="E259" s="380">
        <f t="shared" si="100"/>
        <v>41.830731302792344</v>
      </c>
      <c r="F259" s="380">
        <f t="shared" si="78"/>
        <v>41.834447725009184</v>
      </c>
      <c r="G259" s="110">
        <f t="shared" si="101"/>
        <v>0.81323580326825573</v>
      </c>
      <c r="H259" s="409" t="b">
        <f>Wh_hp&gt;='2023'!Maxi_hp</f>
        <v>0</v>
      </c>
      <c r="I259" s="375">
        <f>IF(H259,Wh_hp,'2023'!Maxi_hp)</f>
        <v>41.8354747145045</v>
      </c>
      <c r="J259" s="85">
        <f>IF(H259,An,'2023'!An_max)</f>
        <v>2022</v>
      </c>
      <c r="K259" s="193">
        <f t="shared" si="79"/>
        <v>45536</v>
      </c>
      <c r="L259" s="143">
        <f>IF(t&lt;Tvie,1-EXP((T0-t)*PertePVj)+'2023'!Pspv,1-EXP((T0-t)*PertePVj)+Pspv)</f>
        <v>1.3785007968175167E-2</v>
      </c>
      <c r="M259" s="836"/>
      <c r="N259" s="836"/>
      <c r="O259" s="48">
        <f>IF(t&lt;Tnet,'2023'!Resal+('2023'!Salim-'2023'!Resal)*(1-EXP(('2023'!Tnet-t)/('2023'!Tau_j))),Resal+(Salim-Resal)*(1-EXP((Tnet-t)/(Tau_j))))*Salcycl</f>
        <v>3.0249723454325861E-2</v>
      </c>
      <c r="P259" s="165">
        <f>(INDEX(Models!$BJ259:$BT259,,T259)*(1-R259)+INDEX(Models!$BJ259:$BT259,,T259+1)*R259-ERP_i)*Q259*Ramure*Pc/MaxiM</f>
        <v>1.211573759348688E-4</v>
      </c>
      <c r="Q259" s="301">
        <f t="shared" si="80"/>
        <v>0.5</v>
      </c>
      <c r="R259" s="173">
        <f t="shared" si="81"/>
        <v>0.47860198923372188</v>
      </c>
      <c r="S259" s="802">
        <f t="shared" si="82"/>
        <v>1</v>
      </c>
      <c r="T259" s="172">
        <f t="shared" si="83"/>
        <v>7</v>
      </c>
      <c r="U259" s="247">
        <f t="shared" si="84"/>
        <v>1.4786019892337219</v>
      </c>
      <c r="V259" s="378">
        <f t="shared" si="85"/>
        <v>49.192222083367632</v>
      </c>
      <c r="W259" s="397">
        <f t="shared" si="86"/>
        <v>40.006169393371408</v>
      </c>
      <c r="X259" s="153">
        <f t="shared" si="87"/>
        <v>45536</v>
      </c>
      <c r="Y259" s="380">
        <f t="shared" si="88"/>
        <v>39.16524328488142</v>
      </c>
      <c r="Z259" s="380">
        <f t="shared" si="89"/>
        <v>39.712682935586088</v>
      </c>
      <c r="AA259" s="381">
        <f t="shared" si="90"/>
        <v>41.830731302792344</v>
      </c>
      <c r="AB259" s="193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5.0633787678124334E-2</v>
      </c>
      <c r="AD259" s="227">
        <f>(INDEX(Models!$BJ259:$BT259,,AH259)*(1-AF259)+INDEX(Models!$BJ259:$BT259,,AH259+1)*AF259-ERP_i)*AE259*Ramure*Pc/MaxiM</f>
        <v>1.211573759348688E-4</v>
      </c>
      <c r="AE259" s="301">
        <f t="shared" si="92"/>
        <v>0.5</v>
      </c>
      <c r="AF259" s="173">
        <f t="shared" si="93"/>
        <v>0.47860198923372188</v>
      </c>
      <c r="AG259" s="802">
        <f t="shared" si="99"/>
        <v>1</v>
      </c>
      <c r="AH259" s="172">
        <f t="shared" si="94"/>
        <v>7</v>
      </c>
      <c r="AI259" s="221">
        <f t="shared" si="95"/>
        <v>1.4786019892337219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45537</v>
      </c>
      <c r="B260" s="406">
        <f>'2023'!Wh/'2023'!Env_an*'2024'!Env_an</f>
        <v>36.804903577113841</v>
      </c>
      <c r="C260" s="385"/>
      <c r="D260" s="388">
        <f t="shared" si="77"/>
        <v>37.319862007376422</v>
      </c>
      <c r="E260" s="380">
        <f t="shared" si="100"/>
        <v>38.485796377470159</v>
      </c>
      <c r="F260" s="380">
        <f t="shared" si="78"/>
        <v>38.488932200029964</v>
      </c>
      <c r="G260" s="110">
        <f t="shared" si="101"/>
        <v>0.75248944648668781</v>
      </c>
      <c r="H260" s="409" t="b">
        <f>Wh_hp&gt;='2023'!Maxi_hp</f>
        <v>0</v>
      </c>
      <c r="I260" s="375">
        <f>IF(H260,Wh_hp,'2023'!Maxi_hp)</f>
        <v>38.490229957550994</v>
      </c>
      <c r="J260" s="85">
        <f>IF(H260,An,'2023'!An_max)</f>
        <v>2022</v>
      </c>
      <c r="K260" s="193">
        <f t="shared" si="79"/>
        <v>45537</v>
      </c>
      <c r="L260" s="143">
        <f>IF(t&lt;Tvie,1-EXP((T0-t)*PertePVj)+'2023'!Pspv,1-EXP((T0-t)*PertePVj)+Pspv)</f>
        <v>1.3798508423230493E-2</v>
      </c>
      <c r="M260" s="836"/>
      <c r="N260" s="836"/>
      <c r="O260" s="48">
        <f>IF(t&lt;Tnet,'2023'!Resal+('2023'!Salim-'2023'!Resal)*(1-EXP(('2023'!Tnet-t)/('2023'!Tau_j))),Resal+(Salim-Resal)*(1-EXP((Tnet-t)/(Tau_j))))*Salcycl</f>
        <v>3.0295186272312216E-2</v>
      </c>
      <c r="P260" s="165">
        <f>(INDEX(Models!$BJ260:$BT260,,T260)*(1-R260)+INDEX(Models!$BJ260:$BT260,,T260+1)*R260-ERP_i)*Q260*Ramure*Pc/MaxiM</f>
        <v>1.2602973417071044E-4</v>
      </c>
      <c r="Q260" s="301">
        <f t="shared" si="80"/>
        <v>0.5</v>
      </c>
      <c r="R260" s="173">
        <f t="shared" si="81"/>
        <v>0.47920297131234735</v>
      </c>
      <c r="S260" s="802">
        <f t="shared" si="82"/>
        <v>1</v>
      </c>
      <c r="T260" s="172">
        <f t="shared" si="83"/>
        <v>7</v>
      </c>
      <c r="U260" s="247">
        <f t="shared" si="84"/>
        <v>1.4792029713123473</v>
      </c>
      <c r="V260" s="378">
        <f t="shared" si="85"/>
        <v>48.908677353822561</v>
      </c>
      <c r="W260" s="397">
        <f t="shared" si="86"/>
        <v>36.804903577113841</v>
      </c>
      <c r="X260" s="153">
        <f t="shared" si="87"/>
        <v>45537</v>
      </c>
      <c r="Y260" s="380">
        <f t="shared" si="88"/>
        <v>36.032026094977375</v>
      </c>
      <c r="Z260" s="380">
        <f t="shared" si="89"/>
        <v>36.53617075489133</v>
      </c>
      <c r="AA260" s="381">
        <f t="shared" si="90"/>
        <v>38.485796377470159</v>
      </c>
      <c r="AB260" s="193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5.0658315692803164E-2</v>
      </c>
      <c r="AD260" s="227">
        <f>(INDEX(Models!$BJ260:$BT260,,AH260)*(1-AF260)+INDEX(Models!$BJ260:$BT260,,AH260+1)*AF260-ERP_i)*AE260*Ramure*Pc/MaxiM</f>
        <v>1.2602973417071044E-4</v>
      </c>
      <c r="AE260" s="301">
        <f t="shared" si="92"/>
        <v>0.5</v>
      </c>
      <c r="AF260" s="173">
        <f t="shared" si="93"/>
        <v>0.47920297131234735</v>
      </c>
      <c r="AG260" s="802">
        <f t="shared" si="99"/>
        <v>1</v>
      </c>
      <c r="AH260" s="172">
        <f t="shared" si="94"/>
        <v>7</v>
      </c>
      <c r="AI260" s="221">
        <f t="shared" si="95"/>
        <v>1.4792029713123473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45538</v>
      </c>
      <c r="B261" s="406">
        <f>'2023'!Wh/'2023'!Env_an*'2024'!Env_an</f>
        <v>48.259908040003062</v>
      </c>
      <c r="C261" s="385"/>
      <c r="D261" s="388">
        <f t="shared" si="77"/>
        <v>48.93580987136869</v>
      </c>
      <c r="E261" s="380">
        <f t="shared" si="100"/>
        <v>50.467000593432012</v>
      </c>
      <c r="F261" s="380">
        <f t="shared" si="78"/>
        <v>50.473522304623621</v>
      </c>
      <c r="G261" s="110">
        <f t="shared" si="101"/>
        <v>0.9925651975537727</v>
      </c>
      <c r="H261" s="409" t="b">
        <f>Wh_hp&gt;='2023'!Maxi_hp</f>
        <v>0</v>
      </c>
      <c r="I261" s="375">
        <f>IF(H261,Wh_hp,'2023'!Maxi_hp)</f>
        <v>50.473575037917115</v>
      </c>
      <c r="J261" s="85">
        <f>IF(H261,An,'2023'!An_max)</f>
        <v>2022</v>
      </c>
      <c r="K261" s="193">
        <f t="shared" si="79"/>
        <v>45538</v>
      </c>
      <c r="L261" s="143">
        <f>IF(t&lt;Tvie,1-EXP((T0-t)*PertePVj)+'2023'!Pspv,1-EXP((T0-t)*PertePVj)+Pspv)</f>
        <v>1.3812008693475875E-2</v>
      </c>
      <c r="M261" s="836"/>
      <c r="N261" s="836"/>
      <c r="O261" s="48">
        <f>IF(t&lt;Tnet,'2023'!Resal+('2023'!Salim-'2023'!Resal)*(1-EXP(('2023'!Tnet-t)/('2023'!Tau_j))),Resal+(Salim-Resal)*(1-EXP((Tnet-t)/(Tau_j))))*Salcycl</f>
        <v>3.0340434423649813E-2</v>
      </c>
      <c r="P261" s="165">
        <f>(INDEX(Models!$BJ261:$BT261,,T261)*(1-R261)+INDEX(Models!$BJ261:$BT261,,T261+1)*R261-ERP_i)*Q261*Ramure*Pc/MaxiM</f>
        <v>1.3059737938702978E-4</v>
      </c>
      <c r="Q261" s="301">
        <f t="shared" si="80"/>
        <v>0.5</v>
      </c>
      <c r="R261" s="173">
        <f t="shared" si="81"/>
        <v>0.47978115703811164</v>
      </c>
      <c r="S261" s="802">
        <f t="shared" si="82"/>
        <v>1</v>
      </c>
      <c r="T261" s="172">
        <f t="shared" si="83"/>
        <v>7</v>
      </c>
      <c r="U261" s="247">
        <f t="shared" si="84"/>
        <v>1.4797811570381116</v>
      </c>
      <c r="V261" s="378">
        <f t="shared" si="85"/>
        <v>48.621331094083608</v>
      </c>
      <c r="W261" s="397">
        <f t="shared" si="86"/>
        <v>48.259908040003062</v>
      </c>
      <c r="X261" s="153">
        <f t="shared" si="87"/>
        <v>45538</v>
      </c>
      <c r="Y261" s="380">
        <f t="shared" si="88"/>
        <v>47.247482275379291</v>
      </c>
      <c r="Z261" s="380">
        <f t="shared" si="89"/>
        <v>47.909204626173512</v>
      </c>
      <c r="AA261" s="381">
        <f t="shared" si="90"/>
        <v>50.467000593432012</v>
      </c>
      <c r="AB261" s="193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5.0682543784688193E-2</v>
      </c>
      <c r="AD261" s="227">
        <f>(INDEX(Models!$BJ261:$BT261,,AH261)*(1-AF261)+INDEX(Models!$BJ261:$BT261,,AH261+1)*AF261-ERP_i)*AE261*Ramure*Pc/MaxiM</f>
        <v>1.3059737938702978E-4</v>
      </c>
      <c r="AE261" s="301">
        <f t="shared" si="92"/>
        <v>0.5</v>
      </c>
      <c r="AF261" s="173">
        <f t="shared" si="93"/>
        <v>0.47978115703811164</v>
      </c>
      <c r="AG261" s="802">
        <f t="shared" si="99"/>
        <v>1</v>
      </c>
      <c r="AH261" s="172">
        <f t="shared" si="94"/>
        <v>7</v>
      </c>
      <c r="AI261" s="221">
        <f t="shared" si="95"/>
        <v>1.4797811570381116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45539</v>
      </c>
      <c r="B262" s="406">
        <f>'2023'!Wh/'2023'!Env_an*'2024'!Env_an</f>
        <v>40.383996721888515</v>
      </c>
      <c r="C262" s="385"/>
      <c r="D262" s="388">
        <f t="shared" si="77"/>
        <v>40.950153427599666</v>
      </c>
      <c r="E262" s="380">
        <f t="shared" si="100"/>
        <v>42.23343584661319</v>
      </c>
      <c r="F262" s="380">
        <f t="shared" si="78"/>
        <v>42.237773479100788</v>
      </c>
      <c r="G262" s="110">
        <f t="shared" si="101"/>
        <v>0.83553085332319721</v>
      </c>
      <c r="H262" s="409" t="b">
        <f>Wh_hp&gt;='2023'!Maxi_hp</f>
        <v>0</v>
      </c>
      <c r="I262" s="375">
        <f>IF(H262,Wh_hp,'2023'!Maxi_hp)</f>
        <v>42.238772053964766</v>
      </c>
      <c r="J262" s="85">
        <f>IF(H262,An,'2023'!An_max)</f>
        <v>2022</v>
      </c>
      <c r="K262" s="193">
        <f t="shared" si="79"/>
        <v>45539</v>
      </c>
      <c r="L262" s="143">
        <f>IF(t&lt;Tvie,1-EXP((T0-t)*PertePVj)+'2023'!Pspv,1-EXP((T0-t)*PertePVj)+Pspv)</f>
        <v>1.3825508778913864E-2</v>
      </c>
      <c r="M262" s="836"/>
      <c r="N262" s="836"/>
      <c r="O262" s="48">
        <f>IF(t&lt;Tnet,'2023'!Resal+('2023'!Salim-'2023'!Resal)*(1-EXP(('2023'!Tnet-t)/('2023'!Tau_j))),Resal+(Salim-Resal)*(1-EXP((Tnet-t)/(Tau_j))))*Salcycl</f>
        <v>3.0385461028419554E-2</v>
      </c>
      <c r="P262" s="165">
        <f>(INDEX(Models!$BJ262:$BT262,,T262)*(1-R262)+INDEX(Models!$BJ262:$BT262,,T262+1)*R262-ERP_i)*Q262*Ramure*Pc/MaxiM</f>
        <v>1.3422824477446024E-4</v>
      </c>
      <c r="Q262" s="301">
        <f t="shared" si="80"/>
        <v>0.5</v>
      </c>
      <c r="R262" s="173">
        <f t="shared" si="81"/>
        <v>0.48033735833088365</v>
      </c>
      <c r="S262" s="802">
        <f t="shared" si="82"/>
        <v>1</v>
      </c>
      <c r="T262" s="172">
        <f t="shared" si="83"/>
        <v>7</v>
      </c>
      <c r="U262" s="247">
        <f t="shared" si="84"/>
        <v>1.4803373583308836</v>
      </c>
      <c r="V262" s="378">
        <f t="shared" si="85"/>
        <v>48.331815653848224</v>
      </c>
      <c r="W262" s="397">
        <f t="shared" si="86"/>
        <v>40.383996721888515</v>
      </c>
      <c r="X262" s="153">
        <f t="shared" si="87"/>
        <v>45539</v>
      </c>
      <c r="Y262" s="380">
        <f t="shared" si="88"/>
        <v>39.537636470394361</v>
      </c>
      <c r="Z262" s="380">
        <f t="shared" si="89"/>
        <v>40.091927769738462</v>
      </c>
      <c r="AA262" s="381">
        <f t="shared" si="90"/>
        <v>42.23343584661319</v>
      </c>
      <c r="AB262" s="193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5.0706461218368026E-2</v>
      </c>
      <c r="AD262" s="227">
        <f>(INDEX(Models!$BJ262:$BT262,,AH262)*(1-AF262)+INDEX(Models!$BJ262:$BT262,,AH262+1)*AF262-ERP_i)*AE262*Ramure*Pc/MaxiM</f>
        <v>1.3422824477446024E-4</v>
      </c>
      <c r="AE262" s="301">
        <f t="shared" si="92"/>
        <v>0.5</v>
      </c>
      <c r="AF262" s="173">
        <f t="shared" si="93"/>
        <v>0.48033735833088365</v>
      </c>
      <c r="AG262" s="802">
        <f t="shared" si="99"/>
        <v>1</v>
      </c>
      <c r="AH262" s="172">
        <f t="shared" si="94"/>
        <v>7</v>
      </c>
      <c r="AI262" s="221">
        <f t="shared" si="95"/>
        <v>1.4803373583308836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45540</v>
      </c>
      <c r="B263" s="406">
        <f>'2023'!Wh/'2023'!Env_an*'2024'!Env_an</f>
        <v>44.018690155658078</v>
      </c>
      <c r="C263" s="385"/>
      <c r="D263" s="388">
        <f t="shared" si="77"/>
        <v>44.636413874693822</v>
      </c>
      <c r="E263" s="380">
        <f t="shared" si="100"/>
        <v>46.037342114869752</v>
      </c>
      <c r="F263" s="380">
        <f t="shared" si="78"/>
        <v>46.042881498107924</v>
      </c>
      <c r="G263" s="110">
        <f t="shared" si="101"/>
        <v>0.91628072327673638</v>
      </c>
      <c r="H263" s="409" t="b">
        <f>Wh_hp&gt;='2023'!Maxi_hp</f>
        <v>0</v>
      </c>
      <c r="I263" s="375">
        <f>IF(H263,Wh_hp,'2023'!Maxi_hp)</f>
        <v>46.043442826632116</v>
      </c>
      <c r="J263" s="85">
        <f>IF(H263,An,'2023'!An_max)</f>
        <v>2022</v>
      </c>
      <c r="K263" s="193">
        <f t="shared" si="79"/>
        <v>45540</v>
      </c>
      <c r="L263" s="143">
        <f>IF(t&lt;Tvie,1-EXP((T0-t)*PertePVj)+'2023'!Pspv,1-EXP((T0-t)*PertePVj)+Pspv)</f>
        <v>1.3839008679547127E-2</v>
      </c>
      <c r="M263" s="836"/>
      <c r="N263" s="836"/>
      <c r="O263" s="48">
        <f>IF(t&lt;Tnet,'2023'!Resal+('2023'!Salim-'2023'!Resal)*(1-EXP(('2023'!Tnet-t)/('2023'!Tau_j))),Resal+(Salim-Resal)*(1-EXP((Tnet-t)/(Tau_j))))*Salcycl</f>
        <v>3.0430258912002694E-2</v>
      </c>
      <c r="P263" s="165">
        <f>(INDEX(Models!$BJ263:$BT263,,T263)*(1-R263)+INDEX(Models!$BJ263:$BT263,,T263+1)*R263-ERP_i)*Q263*Ramure*Pc/MaxiM</f>
        <v>1.3664942904978734E-4</v>
      </c>
      <c r="Q263" s="301">
        <f t="shared" si="80"/>
        <v>0.5</v>
      </c>
      <c r="R263" s="173">
        <f t="shared" si="81"/>
        <v>0.48087236226251528</v>
      </c>
      <c r="S263" s="802">
        <f t="shared" si="82"/>
        <v>1</v>
      </c>
      <c r="T263" s="172">
        <f t="shared" si="83"/>
        <v>7</v>
      </c>
      <c r="U263" s="247">
        <f t="shared" si="84"/>
        <v>1.4808723622625153</v>
      </c>
      <c r="V263" s="378">
        <f t="shared" si="85"/>
        <v>48.039830672388618</v>
      </c>
      <c r="W263" s="397">
        <f t="shared" si="86"/>
        <v>44.018690155658078</v>
      </c>
      <c r="X263" s="153">
        <f t="shared" si="87"/>
        <v>45540</v>
      </c>
      <c r="Y263" s="380">
        <f t="shared" si="88"/>
        <v>43.097074643225355</v>
      </c>
      <c r="Z263" s="380">
        <f t="shared" si="89"/>
        <v>43.701865134128965</v>
      </c>
      <c r="AA263" s="381">
        <f t="shared" si="90"/>
        <v>46.037342114869752</v>
      </c>
      <c r="AB263" s="193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5.0730056807220571E-2</v>
      </c>
      <c r="AD263" s="227">
        <f>(INDEX(Models!$BJ263:$BT263,,AH263)*(1-AF263)+INDEX(Models!$BJ263:$BT263,,AH263+1)*AF263-ERP_i)*AE263*Ramure*Pc/MaxiM</f>
        <v>1.3664942904978734E-4</v>
      </c>
      <c r="AE263" s="301">
        <f t="shared" si="92"/>
        <v>0.5</v>
      </c>
      <c r="AF263" s="173">
        <f t="shared" si="93"/>
        <v>0.48087236226251528</v>
      </c>
      <c r="AG263" s="802">
        <f t="shared" si="99"/>
        <v>1</v>
      </c>
      <c r="AH263" s="172">
        <f t="shared" si="94"/>
        <v>7</v>
      </c>
      <c r="AI263" s="221">
        <f t="shared" si="95"/>
        <v>1.4808723622625153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98"/>
        <v>45541</v>
      </c>
      <c r="B264" s="406">
        <f>'2023'!Wh/'2023'!Env_an*'2024'!Env_an</f>
        <v>36.094702904239988</v>
      </c>
      <c r="C264" s="385"/>
      <c r="D264" s="388">
        <f t="shared" si="77"/>
        <v>36.601728657756915</v>
      </c>
      <c r="E264" s="380">
        <f t="shared" si="100"/>
        <v>37.752220813954089</v>
      </c>
      <c r="F264" s="380">
        <f t="shared" si="78"/>
        <v>37.755610948317489</v>
      </c>
      <c r="G264" s="110">
        <f t="shared" si="101"/>
        <v>0.75595183683052425</v>
      </c>
      <c r="H264" s="409" t="b">
        <f>Wh_hp&gt;='2023'!Maxi_hp</f>
        <v>0</v>
      </c>
      <c r="I264" s="375">
        <f>IF(H264,Wh_hp,'2023'!Maxi_hp)</f>
        <v>37.756957549064502</v>
      </c>
      <c r="J264" s="85">
        <f>IF(H264,An,'2023'!An_max)</f>
        <v>2022</v>
      </c>
      <c r="K264" s="193">
        <f t="shared" si="79"/>
        <v>45541</v>
      </c>
      <c r="L264" s="143">
        <f>IF(t&lt;Tvie,1-EXP((T0-t)*PertePVj)+'2023'!Pspv,1-EXP((T0-t)*PertePVj)+Pspv)</f>
        <v>1.3852508395377994E-2</v>
      </c>
      <c r="M264" s="836"/>
      <c r="N264" s="836"/>
      <c r="O264" s="48">
        <f>IF(t&lt;Tnet,'2023'!Resal+('2023'!Salim-'2023'!Resal)*(1-EXP(('2023'!Tnet-t)/('2023'!Tau_j))),Resal+(Salim-Resal)*(1-EXP((Tnet-t)/(Tau_j))))*Salcycl</f>
        <v>3.047482059047301E-2</v>
      </c>
      <c r="P264" s="165">
        <f>(INDEX(Models!$BJ264:$BT264,,T264)*(1-R264)+INDEX(Models!$BJ264:$BT264,,T264+1)*R264-ERP_i)*Q264*Ramure*Pc/MaxiM</f>
        <v>1.3784146425081876E-4</v>
      </c>
      <c r="Q264" s="301">
        <f t="shared" si="80"/>
        <v>0.5</v>
      </c>
      <c r="R264" s="173">
        <f t="shared" si="81"/>
        <v>0.48138693149555278</v>
      </c>
      <c r="S264" s="802">
        <f t="shared" si="82"/>
        <v>1</v>
      </c>
      <c r="T264" s="172">
        <f t="shared" si="83"/>
        <v>7</v>
      </c>
      <c r="U264" s="247">
        <f t="shared" si="84"/>
        <v>1.4813869314955528</v>
      </c>
      <c r="V264" s="378">
        <f t="shared" si="85"/>
        <v>47.745063431553021</v>
      </c>
      <c r="W264" s="397">
        <f t="shared" si="86"/>
        <v>36.094702904239988</v>
      </c>
      <c r="X264" s="153">
        <f t="shared" si="87"/>
        <v>45541</v>
      </c>
      <c r="Y264" s="380">
        <f t="shared" si="88"/>
        <v>35.339749462027726</v>
      </c>
      <c r="Z264" s="380">
        <f t="shared" si="89"/>
        <v>35.836170312134769</v>
      </c>
      <c r="AA264" s="381">
        <f t="shared" si="90"/>
        <v>37.752220813954089</v>
      </c>
      <c r="AB264" s="193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5.0753318891139342E-2</v>
      </c>
      <c r="AD264" s="227">
        <f>(INDEX(Models!$BJ264:$BT264,,AH264)*(1-AF264)+INDEX(Models!$BJ264:$BT264,,AH264+1)*AF264-ERP_i)*AE264*Ramure*Pc/MaxiM</f>
        <v>1.3784146425081876E-4</v>
      </c>
      <c r="AE264" s="301">
        <f t="shared" si="92"/>
        <v>0.5</v>
      </c>
      <c r="AF264" s="173">
        <f t="shared" si="93"/>
        <v>0.48138693149555278</v>
      </c>
      <c r="AG264" s="802">
        <f t="shared" si="99"/>
        <v>1</v>
      </c>
      <c r="AH264" s="172">
        <f t="shared" si="94"/>
        <v>7</v>
      </c>
      <c r="AI264" s="221">
        <f t="shared" si="95"/>
        <v>1.4813869314955528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customHeight="1" x14ac:dyDescent="0.2">
      <c r="A265" s="56">
        <f t="shared" si="98"/>
        <v>45542</v>
      </c>
      <c r="B265" s="406">
        <f>'2023'!Wh/'2023'!Env_an*'2024'!Env_an</f>
        <v>40.145511022569366</v>
      </c>
      <c r="C265" s="385"/>
      <c r="D265" s="388">
        <f t="shared" si="77"/>
        <v>40.709996151895638</v>
      </c>
      <c r="E265" s="380">
        <f t="shared" si="100"/>
        <v>41.991541822416892</v>
      </c>
      <c r="F265" s="380">
        <f t="shared" si="78"/>
        <v>41.996056120434744</v>
      </c>
      <c r="G265" s="110">
        <f t="shared" si="101"/>
        <v>0.84608351527422077</v>
      </c>
      <c r="H265" s="409" t="b">
        <f>Wh_hp&gt;='2023'!Maxi_hp</f>
        <v>0</v>
      </c>
      <c r="I265" s="375">
        <f>IF(H265,Wh_hp,'2023'!Maxi_hp)</f>
        <v>41.996995184866542</v>
      </c>
      <c r="J265" s="85">
        <f>IF(H265,An,'2023'!An_max)</f>
        <v>2022</v>
      </c>
      <c r="K265" s="193">
        <f t="shared" si="79"/>
        <v>45542</v>
      </c>
      <c r="L265" s="143">
        <f>IF(t&lt;Tvie,1-EXP((T0-t)*PertePVj)+'2023'!Pspv,1-EXP((T0-t)*PertePVj)+Pspv)</f>
        <v>1.386600792640913E-2</v>
      </c>
      <c r="M265" s="836"/>
      <c r="N265" s="836"/>
      <c r="O265" s="48">
        <f>IF(t&lt;Tnet,'2023'!Resal+('2023'!Salim-'2023'!Resal)*(1-EXP(('2023'!Tnet-t)/('2023'!Tau_j))),Resal+(Salim-Resal)*(1-EXP((Tnet-t)/(Tau_j))))*Salcycl</f>
        <v>3.0519138257436275E-2</v>
      </c>
      <c r="P265" s="165">
        <f>(INDEX(Models!$BJ265:$BT265,,T265)*(1-R265)+INDEX(Models!$BJ265:$BT265,,T265+1)*R265-ERP_i)*Q265*Ramure*Pc/MaxiM</f>
        <v>1.3778448192917323E-4</v>
      </c>
      <c r="Q265" s="301">
        <f t="shared" si="80"/>
        <v>0.5</v>
      </c>
      <c r="R265" s="173">
        <f t="shared" si="81"/>
        <v>0.48188180474239872</v>
      </c>
      <c r="S265" s="802">
        <f t="shared" si="82"/>
        <v>1</v>
      </c>
      <c r="T265" s="172">
        <f t="shared" si="83"/>
        <v>7</v>
      </c>
      <c r="U265" s="247">
        <f t="shared" si="84"/>
        <v>1.4818818047423987</v>
      </c>
      <c r="V265" s="378">
        <f t="shared" si="85"/>
        <v>47.447201269557006</v>
      </c>
      <c r="W265" s="397">
        <f t="shared" si="86"/>
        <v>40.145511022569366</v>
      </c>
      <c r="X265" s="153">
        <f t="shared" si="87"/>
        <v>45542</v>
      </c>
      <c r="Y265" s="380">
        <f t="shared" si="88"/>
        <v>39.306679081297446</v>
      </c>
      <c r="Z265" s="380">
        <f t="shared" si="89"/>
        <v>39.859369413527084</v>
      </c>
      <c r="AA265" s="381">
        <f t="shared" si="90"/>
        <v>41.991541822416892</v>
      </c>
      <c r="AB265" s="193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5.0776235316788557E-2</v>
      </c>
      <c r="AD265" s="227">
        <f>(INDEX(Models!$BJ265:$BT265,,AH265)*(1-AF265)+INDEX(Models!$BJ265:$BT265,,AH265+1)*AF265-ERP_i)*AE265*Ramure*Pc/MaxiM</f>
        <v>1.3778448192917323E-4</v>
      </c>
      <c r="AE265" s="301">
        <f t="shared" si="92"/>
        <v>0.5</v>
      </c>
      <c r="AF265" s="173">
        <f t="shared" si="93"/>
        <v>0.48188180474239872</v>
      </c>
      <c r="AG265" s="802">
        <f t="shared" si="99"/>
        <v>1</v>
      </c>
      <c r="AH265" s="172">
        <f t="shared" si="94"/>
        <v>7</v>
      </c>
      <c r="AI265" s="221">
        <f t="shared" si="95"/>
        <v>1.4818818047423987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45543</v>
      </c>
      <c r="B266" s="406">
        <f>'2023'!Wh/'2023'!Env_an*'2024'!Env_an</f>
        <v>19.126481085377439</v>
      </c>
      <c r="C266" s="385"/>
      <c r="D266" s="388">
        <f t="shared" si="77"/>
        <v>19.395683617200252</v>
      </c>
      <c r="E266" s="380">
        <f t="shared" si="100"/>
        <v>20.007166730913962</v>
      </c>
      <c r="F266" s="380">
        <f t="shared" si="78"/>
        <v>20.007578939029504</v>
      </c>
      <c r="G266" s="110">
        <f t="shared" si="101"/>
        <v>0.40563977616096358</v>
      </c>
      <c r="H266" s="409" t="b">
        <f>Wh_hp&gt;='2023'!Maxi_hp</f>
        <v>0</v>
      </c>
      <c r="I266" s="375">
        <f>IF(H266,Wh_hp,'2023'!Maxi_hp)</f>
        <v>20.009279692511022</v>
      </c>
      <c r="J266" s="85">
        <f>IF(H266,An,'2023'!An_max)</f>
        <v>2022</v>
      </c>
      <c r="K266" s="193">
        <f t="shared" si="79"/>
        <v>45543</v>
      </c>
      <c r="L266" s="143">
        <f>IF(t&lt;Tvie,1-EXP((T0-t)*PertePVj)+'2023'!Pspv,1-EXP((T0-t)*PertePVj)+Pspv)</f>
        <v>1.3879507272642977E-2</v>
      </c>
      <c r="M266" s="836"/>
      <c r="N266" s="836"/>
      <c r="O266" s="48">
        <f>IF(t&lt;Tnet,'2023'!Resal+('2023'!Salim-'2023'!Resal)*(1-EXP(('2023'!Tnet-t)/('2023'!Tau_j))),Resal+(Salim-Resal)*(1-EXP((Tnet-t)/(Tau_j))))*Salcycl</f>
        <v>3.0563203772820052E-2</v>
      </c>
      <c r="P266" s="165">
        <f>(INDEX(Models!$BJ266:$BT266,,T266)*(1-R266)+INDEX(Models!$BJ266:$BT266,,T266+1)*R266-ERP_i)*Q266*Ramure*Pc/MaxiM</f>
        <v>1.3645811886492124E-4</v>
      </c>
      <c r="Q266" s="301">
        <f t="shared" si="80"/>
        <v>0.5</v>
      </c>
      <c r="R266" s="173">
        <f t="shared" si="81"/>
        <v>0.48235769724175381</v>
      </c>
      <c r="S266" s="802">
        <f t="shared" si="82"/>
        <v>1</v>
      </c>
      <c r="T266" s="172">
        <f t="shared" si="83"/>
        <v>7</v>
      </c>
      <c r="U266" s="247">
        <f t="shared" si="84"/>
        <v>1.4823576972417538</v>
      </c>
      <c r="V266" s="378">
        <f t="shared" si="85"/>
        <v>47.145931575790712</v>
      </c>
      <c r="W266" s="397">
        <f t="shared" si="86"/>
        <v>19.126481085377439</v>
      </c>
      <c r="X266" s="153">
        <f t="shared" si="87"/>
        <v>45543</v>
      </c>
      <c r="Y266" s="380">
        <f t="shared" si="88"/>
        <v>18.72724348250582</v>
      </c>
      <c r="Z266" s="380">
        <f t="shared" si="89"/>
        <v>18.990826801206669</v>
      </c>
      <c r="AA266" s="381">
        <f t="shared" si="90"/>
        <v>20.007166730913962</v>
      </c>
      <c r="AB266" s="193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5.079879342120449E-2</v>
      </c>
      <c r="AD266" s="227">
        <f>(INDEX(Models!$BJ266:$BT266,,AH266)*(1-AF266)+INDEX(Models!$BJ266:$BT266,,AH266+1)*AF266-ERP_i)*AE266*Ramure*Pc/MaxiM</f>
        <v>1.3645811886492124E-4</v>
      </c>
      <c r="AE266" s="301">
        <f t="shared" si="92"/>
        <v>0.5</v>
      </c>
      <c r="AF266" s="173">
        <f t="shared" si="93"/>
        <v>0.48235769724175381</v>
      </c>
      <c r="AG266" s="802">
        <f t="shared" si="99"/>
        <v>1</v>
      </c>
      <c r="AH266" s="172">
        <f t="shared" si="94"/>
        <v>7</v>
      </c>
      <c r="AI266" s="221">
        <f t="shared" si="95"/>
        <v>1.4823576972417538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45544</v>
      </c>
      <c r="B267" s="406">
        <f>'2023'!Wh/'2023'!Env_an*'2024'!Env_an</f>
        <v>44.588625050757379</v>
      </c>
      <c r="C267" s="385"/>
      <c r="D267" s="388">
        <f t="shared" si="77"/>
        <v>45.216822658886038</v>
      </c>
      <c r="E267" s="380">
        <f t="shared" si="100"/>
        <v>46.644470367077595</v>
      </c>
      <c r="F267" s="380">
        <f t="shared" si="78"/>
        <v>46.6502852127512</v>
      </c>
      <c r="G267" s="110">
        <f t="shared" si="101"/>
        <v>0.95190688638017229</v>
      </c>
      <c r="H267" s="409" t="b">
        <f>Wh_hp&gt;='2023'!Maxi_hp</f>
        <v>0</v>
      </c>
      <c r="I267" s="375">
        <f>IF(H267,Wh_hp,'2023'!Maxi_hp)</f>
        <v>46.650597773955901</v>
      </c>
      <c r="J267" s="85">
        <f>IF(H267,An,'2023'!An_max)</f>
        <v>2022</v>
      </c>
      <c r="K267" s="193">
        <f t="shared" si="79"/>
        <v>45544</v>
      </c>
      <c r="L267" s="143">
        <f>IF(t&lt;Tvie,1-EXP((T0-t)*PertePVj)+'2023'!Pspv,1-EXP((T0-t)*PertePVj)+Pspv)</f>
        <v>1.38930064340822E-2</v>
      </c>
      <c r="M267" s="836"/>
      <c r="N267" s="836"/>
      <c r="O267" s="48">
        <f>IF(t&lt;Tnet,'2023'!Resal+('2023'!Salim-'2023'!Resal)*(1-EXP(('2023'!Tnet-t)/('2023'!Tau_j))),Resal+(Salim-Resal)*(1-EXP((Tnet-t)/(Tau_j))))*Salcycl</f>
        <v>3.0607008654110757E-2</v>
      </c>
      <c r="P267" s="165">
        <f>(INDEX(Models!$BJ267:$BT267,,T267)*(1-R267)+INDEX(Models!$BJ267:$BT267,,T267+1)*R267-ERP_i)*Q267*Ramure*Pc/MaxiM</f>
        <v>1.3384141825483088E-4</v>
      </c>
      <c r="Q267" s="301">
        <f t="shared" si="80"/>
        <v>0.5</v>
      </c>
      <c r="R267" s="173">
        <f t="shared" si="81"/>
        <v>0.48281530124941874</v>
      </c>
      <c r="S267" s="802">
        <f t="shared" si="82"/>
        <v>1</v>
      </c>
      <c r="T267" s="172">
        <f t="shared" si="83"/>
        <v>7</v>
      </c>
      <c r="U267" s="247">
        <f t="shared" si="84"/>
        <v>1.4828153012494187</v>
      </c>
      <c r="V267" s="378">
        <f t="shared" si="85"/>
        <v>46.840941795363122</v>
      </c>
      <c r="W267" s="397">
        <f t="shared" si="86"/>
        <v>44.588625050757379</v>
      </c>
      <c r="X267" s="153">
        <f t="shared" si="87"/>
        <v>45544</v>
      </c>
      <c r="Y267" s="380">
        <f t="shared" si="88"/>
        <v>43.658854361216207</v>
      </c>
      <c r="Z267" s="380">
        <f t="shared" si="89"/>
        <v>44.273952670530136</v>
      </c>
      <c r="AA267" s="381">
        <f t="shared" si="90"/>
        <v>46.644470367077595</v>
      </c>
      <c r="AB267" s="193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5.0820980019543986E-2</v>
      </c>
      <c r="AD267" s="227">
        <f>(INDEX(Models!$BJ267:$BT267,,AH267)*(1-AF267)+INDEX(Models!$BJ267:$BT267,,AH267+1)*AF267-ERP_i)*AE267*Ramure*Pc/MaxiM</f>
        <v>1.3384141825483088E-4</v>
      </c>
      <c r="AE267" s="301">
        <f t="shared" si="92"/>
        <v>0.5</v>
      </c>
      <c r="AF267" s="173">
        <f t="shared" si="93"/>
        <v>0.48281530124941874</v>
      </c>
      <c r="AG267" s="802">
        <f t="shared" si="99"/>
        <v>1</v>
      </c>
      <c r="AH267" s="172">
        <f t="shared" si="94"/>
        <v>7</v>
      </c>
      <c r="AI267" s="221">
        <f t="shared" si="95"/>
        <v>1.4828153012494187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45545</v>
      </c>
      <c r="B268" s="406">
        <f>'2023'!Wh/'2023'!Env_an*'2024'!Env_an</f>
        <v>46.129046165604485</v>
      </c>
      <c r="C268" s="385"/>
      <c r="D268" s="388">
        <f t="shared" si="77"/>
        <v>46.779586741740168</v>
      </c>
      <c r="E268" s="380">
        <f t="shared" si="100"/>
        <v>48.258743485737767</v>
      </c>
      <c r="F268" s="380">
        <f t="shared" si="78"/>
        <v>48.264948952192178</v>
      </c>
      <c r="G268" s="110">
        <f t="shared" si="101"/>
        <v>0.9913406719024942</v>
      </c>
      <c r="H268" s="409" t="b">
        <f>Wh_hp&gt;='2023'!Maxi_hp</f>
        <v>0</v>
      </c>
      <c r="I268" s="375">
        <f>IF(H268,Wh_hp,'2023'!Maxi_hp)</f>
        <v>48.265005171653357</v>
      </c>
      <c r="J268" s="85">
        <f>IF(H268,An,'2023'!An_max)</f>
        <v>2022</v>
      </c>
      <c r="K268" s="193">
        <f t="shared" si="79"/>
        <v>45545</v>
      </c>
      <c r="L268" s="143">
        <f>IF(t&lt;Tvie,1-EXP((T0-t)*PertePVj)+'2023'!Pspv,1-EXP((T0-t)*PertePVj)+Pspv)</f>
        <v>1.3906505410729131E-2</v>
      </c>
      <c r="M268" s="836"/>
      <c r="N268" s="836"/>
      <c r="O268" s="48">
        <f>IF(t&lt;Tnet,'2023'!Resal+('2023'!Salim-'2023'!Resal)*(1-EXP(('2023'!Tnet-t)/('2023'!Tau_j))),Resal+(Salim-Resal)*(1-EXP((Tnet-t)/(Tau_j))))*Salcycl</f>
        <v>3.0650544070521622E-2</v>
      </c>
      <c r="P268" s="165">
        <f>(INDEX(Models!$BJ268:$BT268,,T268)*(1-R268)+INDEX(Models!$BJ268:$BT268,,T268+1)*R268-ERP_i)*Q268*Ramure*Pc/MaxiM</f>
        <v>1.3018097228931626E-4</v>
      </c>
      <c r="Q268" s="301">
        <f t="shared" si="80"/>
        <v>0.5</v>
      </c>
      <c r="R268" s="173">
        <f t="shared" si="81"/>
        <v>0.48325528654075534</v>
      </c>
      <c r="S268" s="802">
        <f t="shared" si="82"/>
        <v>1</v>
      </c>
      <c r="T268" s="172">
        <f t="shared" si="83"/>
        <v>7</v>
      </c>
      <c r="U268" s="247">
        <f t="shared" si="84"/>
        <v>1.4832552865407553</v>
      </c>
      <c r="V268" s="378">
        <f t="shared" si="85"/>
        <v>46.53190693268197</v>
      </c>
      <c r="W268" s="397">
        <f t="shared" si="86"/>
        <v>46.129046165604485</v>
      </c>
      <c r="X268" s="153">
        <f t="shared" si="87"/>
        <v>45545</v>
      </c>
      <c r="Y268" s="380">
        <f t="shared" si="88"/>
        <v>45.16814538605891</v>
      </c>
      <c r="Z268" s="380">
        <f t="shared" si="89"/>
        <v>45.805134740162153</v>
      </c>
      <c r="AA268" s="381">
        <f t="shared" si="90"/>
        <v>48.258743485737767</v>
      </c>
      <c r="AB268" s="193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5.0842781397753362E-2</v>
      </c>
      <c r="AD268" s="227">
        <f>(INDEX(Models!$BJ268:$BT268,,AH268)*(1-AF268)+INDEX(Models!$BJ268:$BT268,,AH268+1)*AF268-ERP_i)*AE268*Ramure*Pc/MaxiM</f>
        <v>1.3018097228931626E-4</v>
      </c>
      <c r="AE268" s="301">
        <f t="shared" si="92"/>
        <v>0.5</v>
      </c>
      <c r="AF268" s="173">
        <f t="shared" si="93"/>
        <v>0.48325528654075534</v>
      </c>
      <c r="AG268" s="802">
        <f t="shared" si="99"/>
        <v>1</v>
      </c>
      <c r="AH268" s="172">
        <f t="shared" si="94"/>
        <v>7</v>
      </c>
      <c r="AI268" s="221">
        <f t="shared" si="95"/>
        <v>1.4832552865407553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45546</v>
      </c>
      <c r="B269" s="406">
        <f>'2023'!Wh/'2023'!Env_an*'2024'!Env_an</f>
        <v>35.831924185377282</v>
      </c>
      <c r="C269" s="385"/>
      <c r="D269" s="388">
        <f t="shared" si="77"/>
        <v>36.337745759055863</v>
      </c>
      <c r="E269" s="380">
        <f t="shared" si="100"/>
        <v>37.488407471825731</v>
      </c>
      <c r="F269" s="380">
        <f t="shared" si="78"/>
        <v>37.491617480291808</v>
      </c>
      <c r="G269" s="110">
        <f t="shared" si="101"/>
        <v>0.77524119654067158</v>
      </c>
      <c r="H269" s="409" t="b">
        <f>Wh_hp&gt;='2023'!Maxi_hp</f>
        <v>0</v>
      </c>
      <c r="I269" s="375">
        <f>IF(H269,Wh_hp,'2023'!Maxi_hp)</f>
        <v>37.492707900154691</v>
      </c>
      <c r="J269" s="85">
        <f>IF(H269,An,'2023'!An_max)</f>
        <v>2022</v>
      </c>
      <c r="K269" s="193">
        <f t="shared" si="79"/>
        <v>45546</v>
      </c>
      <c r="L269" s="143">
        <f>IF(t&lt;Tvie,1-EXP((T0-t)*PertePVj)+'2023'!Pspv,1-EXP((T0-t)*PertePVj)+Pspv)</f>
        <v>1.3920004202586544E-2</v>
      </c>
      <c r="M269" s="836"/>
      <c r="N269" s="836"/>
      <c r="O269" s="48">
        <f>IF(t&lt;Tnet,'2023'!Resal+('2023'!Salim-'2023'!Resal)*(1-EXP(('2023'!Tnet-t)/('2023'!Tau_j))),Resal+(Salim-Resal)*(1-EXP((Tnet-t)/(Tau_j))))*Salcycl</f>
        <v>3.0693800840556902E-2</v>
      </c>
      <c r="P269" s="165">
        <f>(INDEX(Models!$BJ269:$BT269,,T269)*(1-R269)+INDEX(Models!$BJ269:$BT269,,T269+1)*R269-ERP_i)*Q269*Ramure*Pc/MaxiM</f>
        <v>1.2610353940232583E-4</v>
      </c>
      <c r="Q269" s="301">
        <f t="shared" si="80"/>
        <v>0.5</v>
      </c>
      <c r="R269" s="173">
        <f t="shared" si="81"/>
        <v>0.48367830092234243</v>
      </c>
      <c r="S269" s="802">
        <f t="shared" si="82"/>
        <v>1</v>
      </c>
      <c r="T269" s="172">
        <f t="shared" si="83"/>
        <v>7</v>
      </c>
      <c r="U269" s="247">
        <f t="shared" si="84"/>
        <v>1.4836783009223424</v>
      </c>
      <c r="V269" s="378">
        <f t="shared" si="85"/>
        <v>46.218484769859089</v>
      </c>
      <c r="W269" s="397">
        <f t="shared" si="86"/>
        <v>35.831924185377282</v>
      </c>
      <c r="X269" s="153">
        <f t="shared" si="87"/>
        <v>45546</v>
      </c>
      <c r="Y269" s="380">
        <f t="shared" si="88"/>
        <v>35.086294356439929</v>
      </c>
      <c r="Z269" s="380">
        <f t="shared" si="89"/>
        <v>35.581590242145303</v>
      </c>
      <c r="AA269" s="381">
        <f t="shared" si="90"/>
        <v>37.488407471825731</v>
      </c>
      <c r="AB269" s="193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5.0864183310893867E-2</v>
      </c>
      <c r="AD269" s="227">
        <f>(INDEX(Models!$BJ269:$BT269,,AH269)*(1-AF269)+INDEX(Models!$BJ269:$BT269,,AH269+1)*AF269-ERP_i)*AE269*Ramure*Pc/MaxiM</f>
        <v>1.2610353940232583E-4</v>
      </c>
      <c r="AE269" s="301">
        <f t="shared" si="92"/>
        <v>0.5</v>
      </c>
      <c r="AF269" s="173">
        <f t="shared" si="93"/>
        <v>0.48367830092234243</v>
      </c>
      <c r="AG269" s="802">
        <f t="shared" si="99"/>
        <v>1</v>
      </c>
      <c r="AH269" s="172">
        <f t="shared" si="94"/>
        <v>7</v>
      </c>
      <c r="AI269" s="221">
        <f t="shared" si="95"/>
        <v>1.4836783009223424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45547</v>
      </c>
      <c r="B270" s="406">
        <f>'2023'!Wh/'2023'!Env_an*'2024'!Env_an</f>
        <v>13.73488672074509</v>
      </c>
      <c r="C270" s="385"/>
      <c r="D270" s="388">
        <f t="shared" si="77"/>
        <v>13.928966007749683</v>
      </c>
      <c r="E270" s="380">
        <f t="shared" si="100"/>
        <v>14.370674104296128</v>
      </c>
      <c r="F270" s="380">
        <f t="shared" si="78"/>
        <v>14.370674104296128</v>
      </c>
      <c r="G270" s="110">
        <f t="shared" si="101"/>
        <v>0.29919625089729379</v>
      </c>
      <c r="H270" s="409" t="b">
        <f>Wh_hp&gt;='2023'!Maxi_hp</f>
        <v>0</v>
      </c>
      <c r="I270" s="375">
        <f>IF(H270,Wh_hp,'2023'!Maxi_hp)</f>
        <v>14.371921268140474</v>
      </c>
      <c r="J270" s="85">
        <f>IF(H270,An,'2023'!An_max)</f>
        <v>2022</v>
      </c>
      <c r="K270" s="193">
        <f t="shared" si="79"/>
        <v>45547</v>
      </c>
      <c r="L270" s="143">
        <f>IF(t&lt;Tvie,1-EXP((T0-t)*PertePVj)+'2023'!Pspv,1-EXP((T0-t)*PertePVj)+Pspv)</f>
        <v>1.3933502809656662E-2</v>
      </c>
      <c r="M270" s="836"/>
      <c r="N270" s="836"/>
      <c r="O270" s="48">
        <f>IF(t&lt;Tnet,'2023'!Resal+('2023'!Salim-'2023'!Resal)*(1-EXP(('2023'!Tnet-t)/('2023'!Tau_j))),Resal+(Salim-Resal)*(1-EXP((Tnet-t)/(Tau_j))))*Salcycl</f>
        <v>3.0736769433411387E-2</v>
      </c>
      <c r="P270" s="165">
        <f>(INDEX(Models!$BJ270:$BT270,,T270)*(1-R270)+INDEX(Models!$BJ270:$BT270,,T270+1)*R270-ERP_i)*Q270*Ramure*Pc/MaxiM</f>
        <v>1.2160273900424112E-4</v>
      </c>
      <c r="Q270" s="301">
        <f t="shared" si="80"/>
        <v>0.5</v>
      </c>
      <c r="R270" s="173">
        <f t="shared" si="81"/>
        <v>0.48408497075055257</v>
      </c>
      <c r="S270" s="802">
        <f t="shared" si="82"/>
        <v>1</v>
      </c>
      <c r="T270" s="172">
        <f t="shared" si="83"/>
        <v>7</v>
      </c>
      <c r="U270" s="247">
        <f t="shared" si="84"/>
        <v>1.4840849707505526</v>
      </c>
      <c r="V270" s="378">
        <f t="shared" si="85"/>
        <v>45.900362988218681</v>
      </c>
      <c r="W270" s="397">
        <f t="shared" si="86"/>
        <v>13.73488672074509</v>
      </c>
      <c r="X270" s="153">
        <f t="shared" si="87"/>
        <v>45547</v>
      </c>
      <c r="Y270" s="380">
        <f t="shared" si="88"/>
        <v>13.449374999855806</v>
      </c>
      <c r="Z270" s="380">
        <f t="shared" si="89"/>
        <v>13.639419895288901</v>
      </c>
      <c r="AA270" s="381">
        <f t="shared" si="90"/>
        <v>14.370674104296128</v>
      </c>
      <c r="AB270" s="193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5.0885170987811722E-2</v>
      </c>
      <c r="AD270" s="227">
        <f>(INDEX(Models!$BJ270:$BT270,,AH270)*(1-AF270)+INDEX(Models!$BJ270:$BT270,,AH270+1)*AF270-ERP_i)*AE270*Ramure*Pc/MaxiM</f>
        <v>1.2160273900424112E-4</v>
      </c>
      <c r="AE270" s="301">
        <f t="shared" si="92"/>
        <v>0.5</v>
      </c>
      <c r="AF270" s="173">
        <f t="shared" si="93"/>
        <v>0.48408497075055257</v>
      </c>
      <c r="AG270" s="802">
        <f t="shared" si="99"/>
        <v>1</v>
      </c>
      <c r="AH270" s="172">
        <f t="shared" si="94"/>
        <v>7</v>
      </c>
      <c r="AI270" s="221">
        <f t="shared" si="95"/>
        <v>1.4840849707505526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45548</v>
      </c>
      <c r="B271" s="406">
        <f>'2023'!Wh/'2023'!Env_an*'2024'!Env_an</f>
        <v>36.906912649805989</v>
      </c>
      <c r="C271" s="385"/>
      <c r="D271" s="388">
        <f t="shared" ref="D271:D334" si="102">Wh/(1-Ppv)</f>
        <v>37.428934038957614</v>
      </c>
      <c r="E271" s="380">
        <f t="shared" si="100"/>
        <v>38.617560937808889</v>
      </c>
      <c r="F271" s="380">
        <f t="shared" ref="F271:F334" si="103">Wh_sa/(1-Pvg*MEDIAN((-Sdif+Wh/Env_an)/Csdif,0,1))</f>
        <v>38.620842349921595</v>
      </c>
      <c r="G271" s="110">
        <f t="shared" si="101"/>
        <v>0.80974080446012708</v>
      </c>
      <c r="H271" s="409" t="b">
        <f>Wh_hp&gt;='2023'!Maxi_hp</f>
        <v>0</v>
      </c>
      <c r="I271" s="375">
        <f>IF(H271,Wh_hp,'2023'!Maxi_hp)</f>
        <v>38.621710894977937</v>
      </c>
      <c r="J271" s="85">
        <f>IF(H271,An,'2023'!An_max)</f>
        <v>2022</v>
      </c>
      <c r="K271" s="193">
        <f t="shared" ref="K271:K334" si="104">t</f>
        <v>45548</v>
      </c>
      <c r="L271" s="143">
        <f>IF(t&lt;Tvie,1-EXP((T0-t)*PertePVj)+'2023'!Pspv,1-EXP((T0-t)*PertePVj)+Pspv)</f>
        <v>1.3947001231942258E-2</v>
      </c>
      <c r="M271" s="836"/>
      <c r="N271" s="836"/>
      <c r="O271" s="48">
        <f>IF(t&lt;Tnet,'2023'!Resal+('2023'!Salim-'2023'!Resal)*(1-EXP(('2023'!Tnet-t)/('2023'!Tau_j))),Resal+(Salim-Resal)*(1-EXP((Tnet-t)/(Tau_j))))*Salcycl</f>
        <v>3.0779439974613583E-2</v>
      </c>
      <c r="P271" s="165">
        <f>(INDEX(Models!$BJ271:$BT271,,T271)*(1-R271)+INDEX(Models!$BJ271:$BT271,,T271+1)*R271-ERP_i)*Q271*Ramure*Pc/MaxiM</f>
        <v>1.1667177326920848E-4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0.4844759014549882</v>
      </c>
      <c r="S271" s="802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1.4844759014549882</v>
      </c>
      <c r="V271" s="378">
        <f t="shared" ref="V271:V334" si="110">MaxiM*(1-Ppv)*(1-Pvg)*(1-Psa)</f>
        <v>45.577229331369004</v>
      </c>
      <c r="W271" s="397">
        <f t="shared" ref="W271:W334" si="111">Wh*(A271&gt;Tmaj)</f>
        <v>36.906912649805989</v>
      </c>
      <c r="X271" s="153">
        <f t="shared" ref="X271:X334" si="112">t</f>
        <v>45548</v>
      </c>
      <c r="Y271" s="380">
        <f t="shared" ref="Y271:Y334" si="113">Wh_pvt_s*(1-Ppv)</f>
        <v>36.140524454042833</v>
      </c>
      <c r="Z271" s="380">
        <f t="shared" ref="Z271:Z334" si="114">Wh_sa_s*(1-Psa_s)</f>
        <v>36.651705840553824</v>
      </c>
      <c r="AA271" s="381">
        <f t="shared" ref="AA271:AA334" si="115">Wh_hp*(1-Pvg_s*MEDIAN((-Sdif+Wh/Env_an)/Csdif,0,1))</f>
        <v>38.617560937808889</v>
      </c>
      <c r="AB271" s="193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5.0905729142784212E-2</v>
      </c>
      <c r="AD271" s="227">
        <f>(INDEX(Models!$BJ271:$BT271,,AH271)*(1-AF271)+INDEX(Models!$BJ271:$BT271,,AH271+1)*AF271-ERP_i)*AE271*Ramure*Pc/MaxiM</f>
        <v>1.1667177326920848E-4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0.4844759014549882</v>
      </c>
      <c r="AG271" s="802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1.4844759014549882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45549</v>
      </c>
      <c r="B272" s="406">
        <f>'2023'!Wh/'2023'!Env_an*'2024'!Env_an</f>
        <v>41.926467089916272</v>
      </c>
      <c r="C272" s="385"/>
      <c r="D272" s="388">
        <f t="shared" si="102"/>
        <v>42.520068483419855</v>
      </c>
      <c r="E272" s="380">
        <f t="shared" si="100"/>
        <v>43.872291578997718</v>
      </c>
      <c r="F272" s="380">
        <f t="shared" si="103"/>
        <v>43.876662956622141</v>
      </c>
      <c r="G272" s="110">
        <f t="shared" si="101"/>
        <v>0.92656609412548785</v>
      </c>
      <c r="H272" s="409" t="b">
        <f>Wh_hp&gt;='2023'!Maxi_hp</f>
        <v>0</v>
      </c>
      <c r="I272" s="375">
        <f>IF(H272,Wh_hp,'2023'!Maxi_hp)</f>
        <v>43.877024170324354</v>
      </c>
      <c r="J272" s="85">
        <f>IF(H272,An,'2023'!An_max)</f>
        <v>2022</v>
      </c>
      <c r="K272" s="193">
        <f t="shared" si="104"/>
        <v>45549</v>
      </c>
      <c r="L272" s="143">
        <f>IF(t&lt;Tvie,1-EXP((T0-t)*PertePVj)+'2023'!Pspv,1-EXP((T0-t)*PertePVj)+Pspv)</f>
        <v>1.3960499469445886E-2</v>
      </c>
      <c r="M272" s="836"/>
      <c r="N272" s="836"/>
      <c r="O272" s="48">
        <f>IF(t&lt;Tnet,'2023'!Resal+('2023'!Salim-'2023'!Resal)*(1-EXP(('2023'!Tnet-t)/('2023'!Tau_j))),Resal+(Salim-Resal)*(1-EXP((Tnet-t)/(Tau_j))))*Salcycl</f>
        <v>3.0821802256283105E-2</v>
      </c>
      <c r="P272" s="165">
        <f>(INDEX(Models!$BJ272:$BT272,,T272)*(1-R272)+INDEX(Models!$BJ272:$BT272,,T272+1)*R272-ERP_i)*Q272*Ramure*Pc/MaxiM</f>
        <v>1.1130338862810356E-4</v>
      </c>
      <c r="Q272" s="301">
        <f t="shared" si="105"/>
        <v>0.5</v>
      </c>
      <c r="R272" s="173">
        <f t="shared" si="106"/>
        <v>0.48485167806488616</v>
      </c>
      <c r="S272" s="802">
        <f t="shared" si="107"/>
        <v>1</v>
      </c>
      <c r="T272" s="172">
        <f t="shared" si="108"/>
        <v>7</v>
      </c>
      <c r="U272" s="247">
        <f t="shared" si="109"/>
        <v>1.4848516780648862</v>
      </c>
      <c r="V272" s="378">
        <f t="shared" si="110"/>
        <v>45.248771599914626</v>
      </c>
      <c r="W272" s="397">
        <f t="shared" si="111"/>
        <v>41.926467089916272</v>
      </c>
      <c r="X272" s="153">
        <f t="shared" si="112"/>
        <v>45549</v>
      </c>
      <c r="Y272" s="380">
        <f t="shared" si="113"/>
        <v>41.056770100828331</v>
      </c>
      <c r="Z272" s="380">
        <f t="shared" si="114"/>
        <v>41.638058190099976</v>
      </c>
      <c r="AA272" s="381">
        <f t="shared" si="115"/>
        <v>43.872291578997718</v>
      </c>
      <c r="AB272" s="193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5.0925841994706685E-2</v>
      </c>
      <c r="AD272" s="227">
        <f>(INDEX(Models!$BJ272:$BT272,,AH272)*(1-AF272)+INDEX(Models!$BJ272:$BT272,,AH272+1)*AF272-ERP_i)*AE272*Ramure*Pc/MaxiM</f>
        <v>1.1130338862810356E-4</v>
      </c>
      <c r="AE272" s="301">
        <f t="shared" si="117"/>
        <v>0.5</v>
      </c>
      <c r="AF272" s="173">
        <f t="shared" si="118"/>
        <v>0.48485167806488616</v>
      </c>
      <c r="AG272" s="802">
        <f t="shared" ref="AG272:AG335" si="124">INDEX(Echel_vg,AH272)</f>
        <v>1</v>
      </c>
      <c r="AH272" s="172">
        <f t="shared" si="119"/>
        <v>7</v>
      </c>
      <c r="AI272" s="221">
        <f t="shared" si="120"/>
        <v>1.4848516780648862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45550</v>
      </c>
      <c r="B273" s="406">
        <f>'2023'!Wh/'2023'!Env_an*'2024'!Env_an</f>
        <v>28.173984316367985</v>
      </c>
      <c r="C273" s="385"/>
      <c r="D273" s="388">
        <f t="shared" si="102"/>
        <v>28.573267079740578</v>
      </c>
      <c r="E273" s="380">
        <f t="shared" si="100"/>
        <v>29.483233036457815</v>
      </c>
      <c r="F273" s="380">
        <f t="shared" si="103"/>
        <v>29.484687241897692</v>
      </c>
      <c r="G273" s="110">
        <f t="shared" si="101"/>
        <v>0.62724265659689193</v>
      </c>
      <c r="H273" s="409" t="b">
        <f>Wh_hp&gt;='2023'!Maxi_hp</f>
        <v>0</v>
      </c>
      <c r="I273" s="375">
        <f>IF(H273,Wh_hp,'2023'!Maxi_hp)</f>
        <v>29.485848749759754</v>
      </c>
      <c r="J273" s="85">
        <f>IF(H273,An,'2023'!An_max)</f>
        <v>2022</v>
      </c>
      <c r="K273" s="193">
        <f t="shared" si="104"/>
        <v>45550</v>
      </c>
      <c r="L273" s="143">
        <f>IF(t&lt;Tvie,1-EXP((T0-t)*PertePVj)+'2023'!Pspv,1-EXP((T0-t)*PertePVj)+Pspv)</f>
        <v>1.3973997522169879E-2</v>
      </c>
      <c r="M273" s="836"/>
      <c r="N273" s="836"/>
      <c r="O273" s="48">
        <f>IF(t&lt;Tnet,'2023'!Resal+('2023'!Salim-'2023'!Resal)*(1-EXP(('2023'!Tnet-t)/('2023'!Tau_j))),Resal+(Salim-Resal)*(1-EXP((Tnet-t)/(Tau_j))))*Salcycl</f>
        <v>3.0863845752330192E-2</v>
      </c>
      <c r="P273" s="165">
        <f>(INDEX(Models!$BJ273:$BT273,,T273)*(1-R273)+INDEX(Models!$BJ273:$BT273,,T273+1)*R273-ERP_i)*Q273*Ramure*Pc/MaxiM</f>
        <v>1.0548983435193408E-4</v>
      </c>
      <c r="Q273" s="301">
        <f t="shared" si="105"/>
        <v>0.5</v>
      </c>
      <c r="R273" s="173">
        <f t="shared" si="106"/>
        <v>0.4852128657367818</v>
      </c>
      <c r="S273" s="802">
        <f t="shared" si="107"/>
        <v>1</v>
      </c>
      <c r="T273" s="172">
        <f t="shared" si="108"/>
        <v>7</v>
      </c>
      <c r="U273" s="247">
        <f t="shared" si="109"/>
        <v>1.4852128657367818</v>
      </c>
      <c r="V273" s="378">
        <f t="shared" si="110"/>
        <v>44.914677651034772</v>
      </c>
      <c r="W273" s="397">
        <f t="shared" si="111"/>
        <v>28.173984316367985</v>
      </c>
      <c r="X273" s="153">
        <f t="shared" si="112"/>
        <v>45550</v>
      </c>
      <c r="Y273" s="380">
        <f t="shared" si="113"/>
        <v>27.590186033314762</v>
      </c>
      <c r="Z273" s="380">
        <f t="shared" si="114"/>
        <v>27.981195185504351</v>
      </c>
      <c r="AA273" s="381">
        <f t="shared" si="115"/>
        <v>29.483233036457815</v>
      </c>
      <c r="AB273" s="193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5.0945493294310709E-2</v>
      </c>
      <c r="AD273" s="227">
        <f>(INDEX(Models!$BJ273:$BT273,,AH273)*(1-AF273)+INDEX(Models!$BJ273:$BT273,,AH273+1)*AF273-ERP_i)*AE273*Ramure*Pc/MaxiM</f>
        <v>1.0548983435193408E-4</v>
      </c>
      <c r="AE273" s="301">
        <f t="shared" si="117"/>
        <v>0.5</v>
      </c>
      <c r="AF273" s="173">
        <f t="shared" si="118"/>
        <v>0.4852128657367818</v>
      </c>
      <c r="AG273" s="802">
        <f t="shared" si="124"/>
        <v>1</v>
      </c>
      <c r="AH273" s="172">
        <f t="shared" si="119"/>
        <v>7</v>
      </c>
      <c r="AI273" s="221">
        <f t="shared" si="120"/>
        <v>1.4852128657367818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3"/>
        <v>45551</v>
      </c>
      <c r="B274" s="406">
        <f>'2023'!Wh/'2023'!Env_an*'2024'!Env_an</f>
        <v>45.239680633987284</v>
      </c>
      <c r="C274" s="385"/>
      <c r="D274" s="388">
        <f t="shared" si="102"/>
        <v>45.881447164695352</v>
      </c>
      <c r="E274" s="380">
        <f t="shared" si="100"/>
        <v>47.344660389959643</v>
      </c>
      <c r="F274" s="380">
        <f t="shared" si="103"/>
        <v>47.349358526733653</v>
      </c>
      <c r="G274" s="110">
        <f t="shared" si="101"/>
        <v>1.0149198133359907</v>
      </c>
      <c r="H274" s="409" t="b">
        <f>Wh_hp&gt;='2023'!Maxi_hp</f>
        <v>1</v>
      </c>
      <c r="I274" s="375">
        <f>IF(H274,Wh_hp,'2023'!Maxi_hp)</f>
        <v>47.349358526733653</v>
      </c>
      <c r="J274" s="85">
        <f>IF(H274,An,'2023'!An_max)</f>
        <v>2024</v>
      </c>
      <c r="K274" s="193">
        <f t="shared" si="104"/>
        <v>45551</v>
      </c>
      <c r="L274" s="143">
        <f>IF(t&lt;Tvie,1-EXP((T0-t)*PertePVj)+'2023'!Pspv,1-EXP((T0-t)*PertePVj)+Pspv)</f>
        <v>1.39874953901169E-2</v>
      </c>
      <c r="M274" s="836"/>
      <c r="N274" s="836"/>
      <c r="O274" s="48">
        <f>IF(t&lt;Tnet,'2023'!Resal+('2023'!Salim-'2023'!Resal)*(1-EXP(('2023'!Tnet-t)/('2023'!Tau_j))),Resal+(Salim-Resal)*(1-EXP((Tnet-t)/(Tau_j))))*Salcycl</f>
        <v>3.0905559638877311E-2</v>
      </c>
      <c r="P274" s="165">
        <f>(INDEX(Models!$BJ274:$BT274,,T274)*(1-R274)+INDEX(Models!$BJ274:$BT274,,T274+1)*R274-ERP_i)*Q274*Ramure*Pc/MaxiM</f>
        <v>9.9222817799309018E-5</v>
      </c>
      <c r="Q274" s="301">
        <f t="shared" si="105"/>
        <v>0.5</v>
      </c>
      <c r="R274" s="173">
        <f t="shared" si="106"/>
        <v>0.48556001028188023</v>
      </c>
      <c r="S274" s="802">
        <f t="shared" si="107"/>
        <v>1</v>
      </c>
      <c r="T274" s="172">
        <f t="shared" si="108"/>
        <v>7</v>
      </c>
      <c r="U274" s="247">
        <f t="shared" si="109"/>
        <v>1.4855600102818802</v>
      </c>
      <c r="V274" s="378">
        <f t="shared" si="110"/>
        <v>44.574635394383243</v>
      </c>
      <c r="W274" s="397">
        <f t="shared" si="111"/>
        <v>45.239680633987284</v>
      </c>
      <c r="X274" s="153">
        <f t="shared" si="112"/>
        <v>45551</v>
      </c>
      <c r="Y274" s="380">
        <f t="shared" si="113"/>
        <v>44.303272845371339</v>
      </c>
      <c r="Z274" s="380">
        <f t="shared" si="114"/>
        <v>44.931755569266308</v>
      </c>
      <c r="AA274" s="381">
        <f t="shared" si="115"/>
        <v>47.344660389959643</v>
      </c>
      <c r="AB274" s="193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5.0964666359821227E-2</v>
      </c>
      <c r="AD274" s="227">
        <f>(INDEX(Models!$BJ274:$BT274,,AH274)*(1-AF274)+INDEX(Models!$BJ274:$BT274,,AH274+1)*AF274-ERP_i)*AE274*Ramure*Pc/MaxiM</f>
        <v>9.9222817799309018E-5</v>
      </c>
      <c r="AE274" s="301">
        <f t="shared" si="117"/>
        <v>0.5</v>
      </c>
      <c r="AF274" s="173">
        <f t="shared" si="118"/>
        <v>0.48556001028188023</v>
      </c>
      <c r="AG274" s="802">
        <f t="shared" si="124"/>
        <v>1</v>
      </c>
      <c r="AH274" s="172">
        <f t="shared" si="119"/>
        <v>7</v>
      </c>
      <c r="AI274" s="221">
        <f t="shared" si="120"/>
        <v>1.4855600102818802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45552</v>
      </c>
      <c r="B275" s="406">
        <f>'2023'!Wh/'2023'!Env_an*'2024'!Env_an</f>
        <v>44.314343156809478</v>
      </c>
      <c r="C275" s="385"/>
      <c r="D275" s="388">
        <f t="shared" si="102"/>
        <v>44.943598163383719</v>
      </c>
      <c r="E275" s="380">
        <f t="shared" si="100"/>
        <v>46.378882318775588</v>
      </c>
      <c r="F275" s="380">
        <f t="shared" si="103"/>
        <v>46.383172558229624</v>
      </c>
      <c r="G275" s="110">
        <f t="shared" si="101"/>
        <v>1.0019679371990164</v>
      </c>
      <c r="H275" s="409" t="b">
        <f>Wh_hp&gt;='2023'!Maxi_hp</f>
        <v>1</v>
      </c>
      <c r="I275" s="375">
        <f>IF(H275,Wh_hp,'2023'!Maxi_hp)</f>
        <v>46.383172558229624</v>
      </c>
      <c r="J275" s="85">
        <f>IF(H275,An,'2023'!An_max)</f>
        <v>2024</v>
      </c>
      <c r="K275" s="193">
        <f t="shared" si="104"/>
        <v>45552</v>
      </c>
      <c r="L275" s="143">
        <f>IF(t&lt;Tvie,1-EXP((T0-t)*PertePVj)+'2023'!Pspv,1-EXP((T0-t)*PertePVj)+Pspv)</f>
        <v>1.4000993073289392E-2</v>
      </c>
      <c r="M275" s="836"/>
      <c r="N275" s="836"/>
      <c r="O275" s="48">
        <f>IF(t&lt;Tnet,'2023'!Resal+('2023'!Salim-'2023'!Resal)*(1-EXP(('2023'!Tnet-t)/('2023'!Tau_j))),Resal+(Salim-Resal)*(1-EXP((Tnet-t)/(Tau_j))))*Salcycl</f>
        <v>3.0946932820130182E-2</v>
      </c>
      <c r="P275" s="165">
        <f>(INDEX(Models!$BJ275:$BT275,,T275)*(1-R275)+INDEX(Models!$BJ275:$BT275,,T275+1)*R275-ERP_i)*Q275*Ramure*Pc/MaxiM</f>
        <v>9.2495601689361327E-5</v>
      </c>
      <c r="Q275" s="301">
        <f t="shared" si="105"/>
        <v>0.5</v>
      </c>
      <c r="R275" s="173">
        <f t="shared" si="106"/>
        <v>0.48589363869173807</v>
      </c>
      <c r="S275" s="802">
        <f t="shared" si="107"/>
        <v>1</v>
      </c>
      <c r="T275" s="172">
        <f t="shared" si="108"/>
        <v>7</v>
      </c>
      <c r="U275" s="247">
        <f t="shared" si="109"/>
        <v>1.4858936386917381</v>
      </c>
      <c r="V275" s="378">
        <f t="shared" si="110"/>
        <v>44.227306594948971</v>
      </c>
      <c r="W275" s="397">
        <f t="shared" si="111"/>
        <v>44.314343156809478</v>
      </c>
      <c r="X275" s="153">
        <f t="shared" si="112"/>
        <v>45552</v>
      </c>
      <c r="Y275" s="380">
        <f t="shared" si="113"/>
        <v>43.398087446873873</v>
      </c>
      <c r="Z275" s="380">
        <f t="shared" si="114"/>
        <v>44.014331801552878</v>
      </c>
      <c r="AA275" s="381">
        <f t="shared" si="115"/>
        <v>46.378882318775588</v>
      </c>
      <c r="AB275" s="193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5.0983344121371121E-2</v>
      </c>
      <c r="AD275" s="227">
        <f>(INDEX(Models!$BJ275:$BT275,,AH275)*(1-AF275)+INDEX(Models!$BJ275:$BT275,,AH275+1)*AF275-ERP_i)*AE275*Ramure*Pc/MaxiM</f>
        <v>9.2495601689361327E-5</v>
      </c>
      <c r="AE275" s="301">
        <f t="shared" si="117"/>
        <v>0.5</v>
      </c>
      <c r="AF275" s="173">
        <f t="shared" si="118"/>
        <v>0.48589363869173807</v>
      </c>
      <c r="AG275" s="802">
        <f t="shared" si="124"/>
        <v>1</v>
      </c>
      <c r="AH275" s="172">
        <f t="shared" si="119"/>
        <v>7</v>
      </c>
      <c r="AI275" s="221">
        <f t="shared" si="120"/>
        <v>1.4858936386917381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45553</v>
      </c>
      <c r="B276" s="406">
        <f>'2023'!Wh/'2023'!Env_an*'2024'!Env_an</f>
        <v>44.66556552769746</v>
      </c>
      <c r="C276" s="385"/>
      <c r="D276" s="388">
        <f t="shared" si="102"/>
        <v>45.300427948069192</v>
      </c>
      <c r="E276" s="380">
        <f t="shared" si="100"/>
        <v>46.749086487819667</v>
      </c>
      <c r="F276" s="380">
        <f t="shared" si="103"/>
        <v>46.753120968509734</v>
      </c>
      <c r="G276" s="110">
        <f t="shared" si="101"/>
        <v>1.0180864621196524</v>
      </c>
      <c r="H276" s="409" t="b">
        <f>Wh_hp&gt;='2023'!Maxi_hp</f>
        <v>1</v>
      </c>
      <c r="I276" s="375">
        <f>IF(H276,Wh_hp,'2023'!Maxi_hp)</f>
        <v>46.753120968509734</v>
      </c>
      <c r="J276" s="85">
        <f>IF(H276,An,'2023'!An_max)</f>
        <v>2024</v>
      </c>
      <c r="K276" s="193">
        <f t="shared" si="104"/>
        <v>45553</v>
      </c>
      <c r="L276" s="143">
        <f>IF(t&lt;Tvie,1-EXP((T0-t)*PertePVj)+'2023'!Pspv,1-EXP((T0-t)*PertePVj)+Pspv)</f>
        <v>1.4014490571689908E-2</v>
      </c>
      <c r="M276" s="836"/>
      <c r="N276" s="836"/>
      <c r="O276" s="48">
        <f>IF(t&lt;Tnet,'2023'!Resal+('2023'!Salim-'2023'!Resal)*(1-EXP(('2023'!Tnet-t)/('2023'!Tau_j))),Resal+(Salim-Resal)*(1-EXP((Tnet-t)/(Tau_j))))*Salcycl</f>
        <v>3.0987953959868739E-2</v>
      </c>
      <c r="P276" s="165">
        <f>(INDEX(Models!$BJ276:$BT276,,T276)*(1-R276)+INDEX(Models!$BJ276:$BT276,,T276+1)*R276-ERP_i)*Q276*Ramure*Pc/MaxiM</f>
        <v>8.6293291367339729E-5</v>
      </c>
      <c r="Q276" s="301">
        <f t="shared" si="105"/>
        <v>0.5</v>
      </c>
      <c r="R276" s="173">
        <f t="shared" si="106"/>
        <v>0.48621425966099951</v>
      </c>
      <c r="S276" s="802">
        <f t="shared" si="107"/>
        <v>1</v>
      </c>
      <c r="T276" s="172">
        <f t="shared" si="108"/>
        <v>7</v>
      </c>
      <c r="U276" s="247">
        <f t="shared" si="109"/>
        <v>1.4862142596609995</v>
      </c>
      <c r="V276" s="378">
        <f t="shared" si="110"/>
        <v>43.872074906785329</v>
      </c>
      <c r="W276" s="397">
        <f t="shared" si="111"/>
        <v>44.66556552769746</v>
      </c>
      <c r="X276" s="153">
        <f t="shared" si="112"/>
        <v>45553</v>
      </c>
      <c r="Y276" s="380">
        <f t="shared" si="113"/>
        <v>43.743062277578275</v>
      </c>
      <c r="Z276" s="380">
        <f t="shared" si="114"/>
        <v>44.3648125244165</v>
      </c>
      <c r="AA276" s="381">
        <f t="shared" si="115"/>
        <v>46.749086487819667</v>
      </c>
      <c r="AB276" s="193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5.1001509174396102E-2</v>
      </c>
      <c r="AD276" s="227">
        <f>(INDEX(Models!$BJ276:$BT276,,AH276)*(1-AF276)+INDEX(Models!$BJ276:$BT276,,AH276+1)*AF276-ERP_i)*AE276*Ramure*Pc/MaxiM</f>
        <v>8.6293291367339729E-5</v>
      </c>
      <c r="AE276" s="301">
        <f t="shared" si="117"/>
        <v>0.5</v>
      </c>
      <c r="AF276" s="173">
        <f t="shared" si="118"/>
        <v>0.48621425966099951</v>
      </c>
      <c r="AG276" s="802">
        <f t="shared" si="124"/>
        <v>1</v>
      </c>
      <c r="AH276" s="172">
        <f t="shared" si="119"/>
        <v>7</v>
      </c>
      <c r="AI276" s="221">
        <f t="shared" si="120"/>
        <v>1.4862142596609995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3"/>
        <v>45554</v>
      </c>
      <c r="B277" s="406">
        <f>'2023'!Wh/'2023'!Env_an*'2024'!Env_an</f>
        <v>45.019700803249002</v>
      </c>
      <c r="C277" s="385"/>
      <c r="D277" s="388">
        <f t="shared" si="102"/>
        <v>45.660221842090927</v>
      </c>
      <c r="E277" s="380">
        <f t="shared" si="100"/>
        <v>47.122363348265793</v>
      </c>
      <c r="F277" s="380">
        <f t="shared" si="103"/>
        <v>47.126194805421527</v>
      </c>
      <c r="G277" s="110">
        <f t="shared" si="101"/>
        <v>1.0347038043559278</v>
      </c>
      <c r="H277" s="409" t="b">
        <f>Wh_hp&gt;='2023'!Maxi_hp</f>
        <v>1</v>
      </c>
      <c r="I277" s="375">
        <f>IF(H277,Wh_hp,'2023'!Maxi_hp)</f>
        <v>47.126194805421527</v>
      </c>
      <c r="J277" s="85">
        <f>IF(H277,An,'2023'!An_max)</f>
        <v>2024</v>
      </c>
      <c r="K277" s="193">
        <f t="shared" si="104"/>
        <v>45554</v>
      </c>
      <c r="L277" s="143">
        <f>IF(t&lt;Tvie,1-EXP((T0-t)*PertePVj)+'2023'!Pspv,1-EXP((T0-t)*PertePVj)+Pspv)</f>
        <v>1.4027987885321114E-2</v>
      </c>
      <c r="M277" s="836"/>
      <c r="N277" s="836"/>
      <c r="O277" s="48">
        <f>IF(t&lt;Tnet,'2023'!Resal+('2023'!Salim-'2023'!Resal)*(1-EXP(('2023'!Tnet-t)/('2023'!Tau_j))),Resal+(Salim-Resal)*(1-EXP((Tnet-t)/(Tau_j))))*Salcycl</f>
        <v>3.1028611518668231E-2</v>
      </c>
      <c r="P277" s="165">
        <f>(INDEX(Models!$BJ277:$BT277,,T277)*(1-R277)+INDEX(Models!$BJ277:$BT277,,T277+1)*R277-ERP_i)*Q277*Ramure*Pc/MaxiM</f>
        <v>8.1302069296179121E-5</v>
      </c>
      <c r="Q277" s="301">
        <f t="shared" si="105"/>
        <v>0.5</v>
      </c>
      <c r="R277" s="173">
        <f t="shared" si="106"/>
        <v>0.48652236410605831</v>
      </c>
      <c r="S277" s="802">
        <f t="shared" si="107"/>
        <v>1</v>
      </c>
      <c r="T277" s="172">
        <f t="shared" si="108"/>
        <v>7</v>
      </c>
      <c r="U277" s="247">
        <f t="shared" si="109"/>
        <v>1.4865223641060583</v>
      </c>
      <c r="V277" s="378">
        <f t="shared" si="110"/>
        <v>43.509747053914055</v>
      </c>
      <c r="W277" s="397">
        <f t="shared" si="111"/>
        <v>45.019700803249002</v>
      </c>
      <c r="X277" s="153">
        <f t="shared" si="112"/>
        <v>45554</v>
      </c>
      <c r="Y277" s="380">
        <f t="shared" si="113"/>
        <v>44.090914055984399</v>
      </c>
      <c r="Z277" s="380">
        <f t="shared" si="114"/>
        <v>44.718220714419388</v>
      </c>
      <c r="AA277" s="381">
        <f t="shared" si="115"/>
        <v>47.122363348265793</v>
      </c>
      <c r="AB277" s="193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5.1019143842132422E-2</v>
      </c>
      <c r="AD277" s="227">
        <f>(INDEX(Models!$BJ277:$BT277,,AH277)*(1-AF277)+INDEX(Models!$BJ277:$BT277,,AH277+1)*AF277-ERP_i)*AE277*Ramure*Pc/MaxiM</f>
        <v>8.1302069296179121E-5</v>
      </c>
      <c r="AE277" s="301">
        <f t="shared" si="117"/>
        <v>0.5</v>
      </c>
      <c r="AF277" s="173">
        <f t="shared" si="118"/>
        <v>0.48652236410605831</v>
      </c>
      <c r="AG277" s="802">
        <f t="shared" si="124"/>
        <v>1</v>
      </c>
      <c r="AH277" s="172">
        <f t="shared" si="119"/>
        <v>7</v>
      </c>
      <c r="AI277" s="221">
        <f t="shared" si="120"/>
        <v>1.4865223641060583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45555</v>
      </c>
      <c r="B278" s="406">
        <f>'2023'!Wh/'2023'!Env_an*'2024'!Env_an</f>
        <v>43.690869724807953</v>
      </c>
      <c r="C278" s="385"/>
      <c r="D278" s="388">
        <f t="shared" si="102"/>
        <v>44.313091332688117</v>
      </c>
      <c r="E278" s="380">
        <f t="shared" si="100"/>
        <v>45.73399599723389</v>
      </c>
      <c r="F278" s="380">
        <f t="shared" si="103"/>
        <v>45.737542651525196</v>
      </c>
      <c r="G278" s="110">
        <f t="shared" si="101"/>
        <v>1.0127421343989176</v>
      </c>
      <c r="H278" s="409" t="b">
        <f>Wh_hp&gt;='2023'!Maxi_hp</f>
        <v>1</v>
      </c>
      <c r="I278" s="375">
        <f>IF(H278,Wh_hp,'2023'!Maxi_hp)</f>
        <v>45.737542651525196</v>
      </c>
      <c r="J278" s="85">
        <f>IF(H278,An,'2023'!An_max)</f>
        <v>2024</v>
      </c>
      <c r="K278" s="193">
        <f t="shared" si="104"/>
        <v>45555</v>
      </c>
      <c r="L278" s="143">
        <f>IF(t&lt;Tvie,1-EXP((T0-t)*PertePVj)+'2023'!Pspv,1-EXP((T0-t)*PertePVj)+Pspv)</f>
        <v>1.404148501418534E-2</v>
      </c>
      <c r="M278" s="836"/>
      <c r="N278" s="836"/>
      <c r="O278" s="48">
        <f>IF(t&lt;Tnet,'2023'!Resal+('2023'!Salim-'2023'!Resal)*(1-EXP(('2023'!Tnet-t)/('2023'!Tau_j))),Resal+(Salim-Resal)*(1-EXP((Tnet-t)/(Tau_j))))*Salcycl</f>
        <v>3.1068893796897087E-2</v>
      </c>
      <c r="P278" s="165">
        <f>(INDEX(Models!$BJ278:$BT278,,T278)*(1-R278)+INDEX(Models!$BJ278:$BT278,,T278+1)*R278-ERP_i)*Q278*Ramure*Pc/MaxiM</f>
        <v>7.7543612658241494E-5</v>
      </c>
      <c r="Q278" s="301">
        <f t="shared" si="105"/>
        <v>0.5</v>
      </c>
      <c r="R278" s="173">
        <f t="shared" si="106"/>
        <v>0.48681842567864608</v>
      </c>
      <c r="S278" s="802">
        <f t="shared" si="107"/>
        <v>1</v>
      </c>
      <c r="T278" s="172">
        <f t="shared" si="108"/>
        <v>7</v>
      </c>
      <c r="U278" s="247">
        <f t="shared" si="109"/>
        <v>1.4868184256786461</v>
      </c>
      <c r="V278" s="378">
        <f t="shared" si="110"/>
        <v>43.14115927519827</v>
      </c>
      <c r="W278" s="397">
        <f t="shared" si="111"/>
        <v>43.690869724807953</v>
      </c>
      <c r="X278" s="153">
        <f t="shared" si="112"/>
        <v>45555</v>
      </c>
      <c r="Y278" s="380">
        <f t="shared" si="113"/>
        <v>42.790506128244616</v>
      </c>
      <c r="Z278" s="380">
        <f t="shared" si="114"/>
        <v>43.399905247392944</v>
      </c>
      <c r="AA278" s="381">
        <f t="shared" si="115"/>
        <v>45.73399599723389</v>
      </c>
      <c r="AB278" s="193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5.1036230247234915E-2</v>
      </c>
      <c r="AD278" s="227">
        <f>(INDEX(Models!$BJ278:$BT278,,AH278)*(1-AF278)+INDEX(Models!$BJ278:$BT278,,AH278+1)*AF278-ERP_i)*AE278*Ramure*Pc/MaxiM</f>
        <v>7.7543612658241494E-5</v>
      </c>
      <c r="AE278" s="301">
        <f t="shared" si="117"/>
        <v>0.5</v>
      </c>
      <c r="AF278" s="173">
        <f t="shared" si="118"/>
        <v>0.48681842567864608</v>
      </c>
      <c r="AG278" s="802">
        <f t="shared" si="124"/>
        <v>1</v>
      </c>
      <c r="AH278" s="172">
        <f t="shared" si="119"/>
        <v>7</v>
      </c>
      <c r="AI278" s="221">
        <f t="shared" si="120"/>
        <v>1.4868184256786461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45556</v>
      </c>
      <c r="B279" s="406">
        <f>'2023'!Wh/'2023'!Env_an*'2024'!Env_an</f>
        <v>42.468678567988221</v>
      </c>
      <c r="C279" s="385"/>
      <c r="D279" s="388">
        <f t="shared" si="102"/>
        <v>43.074084042069167</v>
      </c>
      <c r="E279" s="380">
        <f t="shared" si="100"/>
        <v>44.45709028248622</v>
      </c>
      <c r="F279" s="380">
        <f t="shared" si="103"/>
        <v>44.460393376013315</v>
      </c>
      <c r="G279" s="110">
        <f t="shared" si="101"/>
        <v>0.99302032419534869</v>
      </c>
      <c r="H279" s="409" t="b">
        <f>Wh_hp&gt;='2023'!Maxi_hp</f>
        <v>0</v>
      </c>
      <c r="I279" s="375">
        <f>IF(H279,Wh_hp,'2023'!Maxi_hp)</f>
        <v>44.460416215759921</v>
      </c>
      <c r="J279" s="85">
        <f>IF(H279,An,'2023'!An_max)</f>
        <v>2022</v>
      </c>
      <c r="K279" s="193">
        <f t="shared" si="104"/>
        <v>45556</v>
      </c>
      <c r="L279" s="143">
        <f>IF(t&lt;Tvie,1-EXP((T0-t)*PertePVj)+'2023'!Pspv,1-EXP((T0-t)*PertePVj)+Pspv)</f>
        <v>1.4054981958285251E-2</v>
      </c>
      <c r="M279" s="836"/>
      <c r="N279" s="836"/>
      <c r="O279" s="48">
        <f>IF(t&lt;Tnet,'2023'!Resal+('2023'!Salim-'2023'!Resal)*(1-EXP(('2023'!Tnet-t)/('2023'!Tau_j))),Resal+(Salim-Resal)*(1-EXP((Tnet-t)/(Tau_j))))*Salcycl</f>
        <v>3.1108788983472597E-2</v>
      </c>
      <c r="P279" s="165">
        <f>(INDEX(Models!$BJ279:$BT279,,T279)*(1-R279)+INDEX(Models!$BJ279:$BT279,,T279+1)*R279-ERP_i)*Q279*Ramure*Pc/MaxiM</f>
        <v>7.5041096798314266E-5</v>
      </c>
      <c r="Q279" s="301">
        <f t="shared" si="105"/>
        <v>0.5</v>
      </c>
      <c r="R279" s="173">
        <f t="shared" si="106"/>
        <v>0.48710290127345601</v>
      </c>
      <c r="S279" s="802">
        <f t="shared" si="107"/>
        <v>1</v>
      </c>
      <c r="T279" s="172">
        <f t="shared" si="108"/>
        <v>7</v>
      </c>
      <c r="U279" s="247">
        <f t="shared" si="109"/>
        <v>1.487102901273456</v>
      </c>
      <c r="V279" s="378">
        <f t="shared" si="110"/>
        <v>42.767147618041683</v>
      </c>
      <c r="W279" s="397">
        <f t="shared" si="111"/>
        <v>42.468678567988221</v>
      </c>
      <c r="X279" s="153">
        <f t="shared" si="112"/>
        <v>45556</v>
      </c>
      <c r="Y279" s="380">
        <f t="shared" si="113"/>
        <v>41.594489931721654</v>
      </c>
      <c r="Z279" s="380">
        <f t="shared" si="114"/>
        <v>42.187433549120904</v>
      </c>
      <c r="AA279" s="381">
        <f t="shared" si="115"/>
        <v>44.45709028248622</v>
      </c>
      <c r="AB279" s="193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5.105275039242594E-2</v>
      </c>
      <c r="AD279" s="227">
        <f>(INDEX(Models!$BJ279:$BT279,,AH279)*(1-AF279)+INDEX(Models!$BJ279:$BT279,,AH279+1)*AF279-ERP_i)*AE279*Ramure*Pc/MaxiM</f>
        <v>7.5041096798314266E-5</v>
      </c>
      <c r="AE279" s="301">
        <f t="shared" si="117"/>
        <v>0.5</v>
      </c>
      <c r="AF279" s="173">
        <f t="shared" si="118"/>
        <v>0.48710290127345601</v>
      </c>
      <c r="AG279" s="802">
        <f t="shared" si="124"/>
        <v>1</v>
      </c>
      <c r="AH279" s="172">
        <f t="shared" si="119"/>
        <v>7</v>
      </c>
      <c r="AI279" s="221">
        <f t="shared" si="120"/>
        <v>1.487102901273456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45557</v>
      </c>
      <c r="B280" s="406">
        <f>'2023'!Wh/'2023'!Env_an*'2024'!Env_an</f>
        <v>31.121077732157335</v>
      </c>
      <c r="C280" s="385"/>
      <c r="D280" s="388">
        <f t="shared" si="102"/>
        <v>31.565151392744724</v>
      </c>
      <c r="E280" s="380">
        <f t="shared" si="100"/>
        <v>32.579961320082809</v>
      </c>
      <c r="F280" s="380">
        <f t="shared" si="103"/>
        <v>32.581453146811754</v>
      </c>
      <c r="G280" s="110">
        <f t="shared" si="101"/>
        <v>0.73416540142163955</v>
      </c>
      <c r="H280" s="409" t="b">
        <f>Wh_hp&gt;='2023'!Maxi_hp</f>
        <v>0</v>
      </c>
      <c r="I280" s="375">
        <f>IF(H280,Wh_hp,'2023'!Maxi_hp)</f>
        <v>32.582079960856511</v>
      </c>
      <c r="J280" s="85">
        <f>IF(H280,An,'2023'!An_max)</f>
        <v>2022</v>
      </c>
      <c r="K280" s="193">
        <f t="shared" si="104"/>
        <v>45557</v>
      </c>
      <c r="L280" s="143">
        <f>IF(t&lt;Tvie,1-EXP((T0-t)*PertePVj)+'2023'!Pspv,1-EXP((T0-t)*PertePVj)+Pspv)</f>
        <v>1.4068478717623401E-2</v>
      </c>
      <c r="M280" s="836"/>
      <c r="N280" s="836"/>
      <c r="O280" s="48">
        <f>IF(t&lt;Tnet,'2023'!Resal+('2023'!Salim-'2023'!Resal)*(1-EXP(('2023'!Tnet-t)/('2023'!Tau_j))),Resal+(Salim-Resal)*(1-EXP((Tnet-t)/(Tau_j))))*Salcycl</f>
        <v>3.1148285210287917E-2</v>
      </c>
      <c r="P280" s="165">
        <f>(INDEX(Models!$BJ280:$BT280,,T280)*(1-R280)+INDEX(Models!$BJ280:$BT280,,T280+1)*R280-ERP_i)*Q280*Ramure*Pc/MaxiM</f>
        <v>7.3819342944108257E-5</v>
      </c>
      <c r="Q280" s="301">
        <f t="shared" si="105"/>
        <v>0.5</v>
      </c>
      <c r="R280" s="173">
        <f t="shared" si="106"/>
        <v>0.48737623152902132</v>
      </c>
      <c r="S280" s="802">
        <f t="shared" si="107"/>
        <v>1</v>
      </c>
      <c r="T280" s="172">
        <f t="shared" si="108"/>
        <v>7</v>
      </c>
      <c r="U280" s="247">
        <f t="shared" si="109"/>
        <v>1.4873762315290213</v>
      </c>
      <c r="V280" s="378">
        <f t="shared" si="110"/>
        <v>42.388547940389991</v>
      </c>
      <c r="W280" s="397">
        <f t="shared" si="111"/>
        <v>31.121077732157335</v>
      </c>
      <c r="X280" s="153">
        <f t="shared" si="112"/>
        <v>45557</v>
      </c>
      <c r="Y280" s="380">
        <f t="shared" si="113"/>
        <v>30.481202362430164</v>
      </c>
      <c r="Z280" s="380">
        <f t="shared" si="114"/>
        <v>30.91614549739116</v>
      </c>
      <c r="AA280" s="381">
        <f t="shared" si="115"/>
        <v>32.579961320082809</v>
      </c>
      <c r="AB280" s="193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5.1068686249975646E-2</v>
      </c>
      <c r="AD280" s="227">
        <f>(INDEX(Models!$BJ280:$BT280,,AH280)*(1-AF280)+INDEX(Models!$BJ280:$BT280,,AH280+1)*AF280-ERP_i)*AE280*Ramure*Pc/MaxiM</f>
        <v>7.3819342944108257E-5</v>
      </c>
      <c r="AE280" s="301">
        <f t="shared" si="117"/>
        <v>0.5</v>
      </c>
      <c r="AF280" s="173">
        <f t="shared" si="118"/>
        <v>0.48737623152902132</v>
      </c>
      <c r="AG280" s="802">
        <f t="shared" si="124"/>
        <v>1</v>
      </c>
      <c r="AH280" s="172">
        <f t="shared" si="119"/>
        <v>7</v>
      </c>
      <c r="AI280" s="221">
        <f t="shared" si="120"/>
        <v>1.4873762315290213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45558</v>
      </c>
      <c r="B281" s="406">
        <f>'2023'!Wh/'2023'!Env_an*'2024'!Env_an</f>
        <v>19.223899387156212</v>
      </c>
      <c r="C281" s="385"/>
      <c r="D281" s="388">
        <f t="shared" si="102"/>
        <v>19.498476450771562</v>
      </c>
      <c r="E281" s="380">
        <f t="shared" si="100"/>
        <v>20.126158412170881</v>
      </c>
      <c r="F281" s="380">
        <f t="shared" si="103"/>
        <v>20.126493390936343</v>
      </c>
      <c r="G281" s="110">
        <f t="shared" si="101"/>
        <v>0.4576181722026712</v>
      </c>
      <c r="H281" s="409" t="b">
        <f>Wh_hp&gt;='2023'!Maxi_hp</f>
        <v>0</v>
      </c>
      <c r="I281" s="375">
        <f>IF(H281,Wh_hp,'2023'!Maxi_hp)</f>
        <v>20.127284995760309</v>
      </c>
      <c r="J281" s="85">
        <f>IF(H281,An,'2023'!An_max)</f>
        <v>2022</v>
      </c>
      <c r="K281" s="193">
        <f t="shared" si="104"/>
        <v>45558</v>
      </c>
      <c r="L281" s="143">
        <f>IF(t&lt;Tvie,1-EXP((T0-t)*PertePVj)+'2023'!Pspv,1-EXP((T0-t)*PertePVj)+Pspv)</f>
        <v>1.408197529220212E-2</v>
      </c>
      <c r="M281" s="836"/>
      <c r="N281" s="836"/>
      <c r="O281" s="48">
        <f>IF(t&lt;Tnet,'2023'!Resal+('2023'!Salim-'2023'!Resal)*(1-EXP(('2023'!Tnet-t)/('2023'!Tau_j))),Resal+(Salim-Resal)*(1-EXP((Tnet-t)/(Tau_j))))*Salcycl</f>
        <v>3.1187370612155232E-2</v>
      </c>
      <c r="P281" s="165">
        <f>(INDEX(Models!$BJ281:$BT281,,T281)*(1-R281)+INDEX(Models!$BJ281:$BT281,,T281+1)*R281-ERP_i)*Q281*Ramure*Pc/MaxiM</f>
        <v>7.3904131317037501E-5</v>
      </c>
      <c r="Q281" s="301">
        <f t="shared" si="105"/>
        <v>0.5</v>
      </c>
      <c r="R281" s="173">
        <f t="shared" si="106"/>
        <v>0.48763884132115742</v>
      </c>
      <c r="S281" s="802">
        <f t="shared" si="107"/>
        <v>1</v>
      </c>
      <c r="T281" s="172">
        <f t="shared" si="108"/>
        <v>7</v>
      </c>
      <c r="U281" s="247">
        <f t="shared" si="109"/>
        <v>1.4876388413211574</v>
      </c>
      <c r="V281" s="378">
        <f t="shared" si="110"/>
        <v>42.006195923144645</v>
      </c>
      <c r="W281" s="397">
        <f t="shared" si="111"/>
        <v>19.223899387156212</v>
      </c>
      <c r="X281" s="153">
        <f t="shared" si="112"/>
        <v>45558</v>
      </c>
      <c r="Y281" s="380">
        <f t="shared" si="113"/>
        <v>18.82909530257476</v>
      </c>
      <c r="Z281" s="380">
        <f t="shared" si="114"/>
        <v>19.098033336143992</v>
      </c>
      <c r="AA281" s="381">
        <f t="shared" si="115"/>
        <v>20.126158412170881</v>
      </c>
      <c r="AB281" s="193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5.108401985970424E-2</v>
      </c>
      <c r="AD281" s="227">
        <f>(INDEX(Models!$BJ281:$BT281,,AH281)*(1-AF281)+INDEX(Models!$BJ281:$BT281,,AH281+1)*AF281-ERP_i)*AE281*Ramure*Pc/MaxiM</f>
        <v>7.3904131317037501E-5</v>
      </c>
      <c r="AE281" s="301">
        <f t="shared" si="117"/>
        <v>0.5</v>
      </c>
      <c r="AF281" s="173">
        <f t="shared" si="118"/>
        <v>0.48763884132115742</v>
      </c>
      <c r="AG281" s="802">
        <f t="shared" si="124"/>
        <v>1</v>
      </c>
      <c r="AH281" s="172">
        <f t="shared" si="119"/>
        <v>7</v>
      </c>
      <c r="AI281" s="221">
        <f t="shared" si="120"/>
        <v>1.4876388413211574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45559</v>
      </c>
      <c r="B282" s="406">
        <f>'2023'!Wh/'2023'!Env_an*'2024'!Env_an</f>
        <v>30.771314924505599</v>
      </c>
      <c r="C282" s="385"/>
      <c r="D282" s="388">
        <f t="shared" si="102"/>
        <v>31.211252246709609</v>
      </c>
      <c r="E282" s="380">
        <f t="shared" si="100"/>
        <v>32.217269788939447</v>
      </c>
      <c r="F282" s="380">
        <f t="shared" si="103"/>
        <v>32.218806144909408</v>
      </c>
      <c r="G282" s="110">
        <f t="shared" si="101"/>
        <v>0.7393027167497227</v>
      </c>
      <c r="H282" s="409" t="b">
        <f>Wh_hp&gt;='2023'!Maxi_hp</f>
        <v>0</v>
      </c>
      <c r="I282" s="375">
        <f>IF(H282,Wh_hp,'2023'!Maxi_hp)</f>
        <v>32.219433852063254</v>
      </c>
      <c r="J282" s="85">
        <f>IF(H282,An,'2023'!An_max)</f>
        <v>2022</v>
      </c>
      <c r="K282" s="193">
        <f t="shared" si="104"/>
        <v>45559</v>
      </c>
      <c r="L282" s="143">
        <f>IF(t&lt;Tvie,1-EXP((T0-t)*PertePVj)+'2023'!Pspv,1-EXP((T0-t)*PertePVj)+Pspv)</f>
        <v>1.4095471682024185E-2</v>
      </c>
      <c r="M282" s="836"/>
      <c r="N282" s="836"/>
      <c r="O282" s="48">
        <f>IF(t&lt;Tnet,'2023'!Resal+('2023'!Salim-'2023'!Resal)*(1-EXP(('2023'!Tnet-t)/('2023'!Tau_j))),Resal+(Salim-Resal)*(1-EXP((Tnet-t)/(Tau_j))))*Salcycl</f>
        <v>3.1226033392041681E-2</v>
      </c>
      <c r="P282" s="165">
        <f>(INDEX(Models!$BJ282:$BT282,,T282)*(1-R282)+INDEX(Models!$BJ282:$BT282,,T282+1)*R282-ERP_i)*Q282*Ramure*Pc/MaxiM</f>
        <v>7.5979403355838014E-5</v>
      </c>
      <c r="Q282" s="301">
        <f t="shared" si="105"/>
        <v>0.5</v>
      </c>
      <c r="R282" s="173">
        <f t="shared" si="106"/>
        <v>0.48789114024837565</v>
      </c>
      <c r="S282" s="802">
        <f t="shared" si="107"/>
        <v>1</v>
      </c>
      <c r="T282" s="172">
        <f t="shared" si="108"/>
        <v>7</v>
      </c>
      <c r="U282" s="247">
        <f t="shared" si="109"/>
        <v>1.4878911402483757</v>
      </c>
      <c r="V282" s="378">
        <f t="shared" si="110"/>
        <v>41.620899709891212</v>
      </c>
      <c r="W282" s="397">
        <f t="shared" si="111"/>
        <v>30.771314924505599</v>
      </c>
      <c r="X282" s="153">
        <f t="shared" si="112"/>
        <v>45559</v>
      </c>
      <c r="Y282" s="380">
        <f t="shared" si="113"/>
        <v>30.140095328911055</v>
      </c>
      <c r="Z282" s="380">
        <f t="shared" si="114"/>
        <v>30.571008107988135</v>
      </c>
      <c r="AA282" s="381">
        <f t="shared" si="115"/>
        <v>32.217269788939447</v>
      </c>
      <c r="AB282" s="193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5.1098733435087397E-2</v>
      </c>
      <c r="AD282" s="227">
        <f>(INDEX(Models!$BJ282:$BT282,,AH282)*(1-AF282)+INDEX(Models!$BJ282:$BT282,,AH282+1)*AF282-ERP_i)*AE282*Ramure*Pc/MaxiM</f>
        <v>7.5979403355838014E-5</v>
      </c>
      <c r="AE282" s="301">
        <f t="shared" si="117"/>
        <v>0.5</v>
      </c>
      <c r="AF282" s="173">
        <f t="shared" si="118"/>
        <v>0.48789114024837565</v>
      </c>
      <c r="AG282" s="802">
        <f t="shared" si="124"/>
        <v>1</v>
      </c>
      <c r="AH282" s="172">
        <f t="shared" si="119"/>
        <v>7</v>
      </c>
      <c r="AI282" s="221">
        <f t="shared" si="120"/>
        <v>1.4878911402483757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45560</v>
      </c>
      <c r="B283" s="406">
        <f>'2023'!Wh/'2023'!Env_an*'2024'!Env_an</f>
        <v>33.188008501372018</v>
      </c>
      <c r="C283" s="385"/>
      <c r="D283" s="388">
        <f t="shared" si="102"/>
        <v>33.662958096134908</v>
      </c>
      <c r="E283" s="380">
        <f t="shared" si="100"/>
        <v>34.74937154879472</v>
      </c>
      <c r="F283" s="380">
        <f t="shared" si="103"/>
        <v>34.751371447941267</v>
      </c>
      <c r="G283" s="110">
        <f t="shared" si="101"/>
        <v>0.80486169384362938</v>
      </c>
      <c r="H283" s="409" t="b">
        <f>Wh_hp&gt;='2023'!Maxi_hp</f>
        <v>0</v>
      </c>
      <c r="I283" s="375">
        <f>IF(H283,Wh_hp,'2023'!Maxi_hp)</f>
        <v>34.75190503320507</v>
      </c>
      <c r="J283" s="85">
        <f>IF(H283,An,'2023'!An_max)</f>
        <v>2022</v>
      </c>
      <c r="K283" s="193">
        <f t="shared" si="104"/>
        <v>45560</v>
      </c>
      <c r="L283" s="143">
        <f>IF(t&lt;Tvie,1-EXP((T0-t)*PertePVj)+'2023'!Pspv,1-EXP((T0-t)*PertePVj)+Pspv)</f>
        <v>1.4108967887091928E-2</v>
      </c>
      <c r="M283" s="836"/>
      <c r="N283" s="836"/>
      <c r="O283" s="48">
        <f>IF(t&lt;Tnet,'2023'!Resal+('2023'!Salim-'2023'!Resal)*(1-EXP(('2023'!Tnet-t)/('2023'!Tau_j))),Resal+(Salim-Resal)*(1-EXP((Tnet-t)/(Tau_j))))*Salcycl</f>
        <v>3.1264261891305781E-2</v>
      </c>
      <c r="P283" s="165">
        <f>(INDEX(Models!$BJ283:$BT283,,T283)*(1-R283)+INDEX(Models!$BJ283:$BT283,,T283+1)*R283-ERP_i)*Q283*Ramure*Pc/MaxiM</f>
        <v>7.9789614510872002E-5</v>
      </c>
      <c r="Q283" s="301">
        <f t="shared" si="105"/>
        <v>0.5</v>
      </c>
      <c r="R283" s="173">
        <f t="shared" si="106"/>
        <v>0.48813352310875358</v>
      </c>
      <c r="S283" s="802">
        <f t="shared" si="107"/>
        <v>1</v>
      </c>
      <c r="T283" s="172">
        <f t="shared" si="108"/>
        <v>7</v>
      </c>
      <c r="U283" s="247">
        <f t="shared" si="109"/>
        <v>1.4881335231087536</v>
      </c>
      <c r="V283" s="378">
        <f t="shared" si="110"/>
        <v>41.23350705325678</v>
      </c>
      <c r="W283" s="397">
        <f t="shared" si="111"/>
        <v>33.188008501372018</v>
      </c>
      <c r="X283" s="153">
        <f t="shared" si="112"/>
        <v>45560</v>
      </c>
      <c r="Y283" s="380">
        <f t="shared" si="113"/>
        <v>32.508015248208984</v>
      </c>
      <c r="Z283" s="380">
        <f t="shared" si="114"/>
        <v>32.973233541377866</v>
      </c>
      <c r="AA283" s="381">
        <f t="shared" si="115"/>
        <v>34.74937154879472</v>
      </c>
      <c r="AB283" s="193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5.1112809476937415E-2</v>
      </c>
      <c r="AD283" s="227">
        <f>(INDEX(Models!$BJ283:$BT283,,AH283)*(1-AF283)+INDEX(Models!$BJ283:$BT283,,AH283+1)*AF283-ERP_i)*AE283*Ramure*Pc/MaxiM</f>
        <v>7.9789614510872002E-5</v>
      </c>
      <c r="AE283" s="301">
        <f t="shared" si="117"/>
        <v>0.5</v>
      </c>
      <c r="AF283" s="173">
        <f t="shared" si="118"/>
        <v>0.48813352310875358</v>
      </c>
      <c r="AG283" s="802">
        <f t="shared" si="124"/>
        <v>1</v>
      </c>
      <c r="AH283" s="172">
        <f t="shared" si="119"/>
        <v>7</v>
      </c>
      <c r="AI283" s="221">
        <f t="shared" si="120"/>
        <v>1.4881335231087536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45561</v>
      </c>
      <c r="B284" s="406">
        <f>'2023'!Wh/'2023'!Env_an*'2024'!Env_an</f>
        <v>16.24119230185913</v>
      </c>
      <c r="C284" s="385"/>
      <c r="D284" s="388">
        <f t="shared" si="102"/>
        <v>16.473843562993796</v>
      </c>
      <c r="E284" s="380">
        <f t="shared" si="100"/>
        <v>17.006171502952654</v>
      </c>
      <c r="F284" s="380">
        <f t="shared" si="103"/>
        <v>17.006373995599311</v>
      </c>
      <c r="G284" s="110">
        <f t="shared" si="101"/>
        <v>0.39760209360579396</v>
      </c>
      <c r="H284" s="409" t="b">
        <f>Wh_hp&gt;='2023'!Maxi_hp</f>
        <v>0</v>
      </c>
      <c r="I284" s="375">
        <f>IF(H284,Wh_hp,'2023'!Maxi_hp)</f>
        <v>17.007238726948835</v>
      </c>
      <c r="J284" s="85">
        <f>IF(H284,An,'2023'!An_max)</f>
        <v>2022</v>
      </c>
      <c r="K284" s="193">
        <f t="shared" si="104"/>
        <v>45561</v>
      </c>
      <c r="L284" s="143">
        <f>IF(t&lt;Tvie,1-EXP((T0-t)*PertePVj)+'2023'!Pspv,1-EXP((T0-t)*PertePVj)+Pspv)</f>
        <v>1.4122463907408012E-2</v>
      </c>
      <c r="M284" s="836"/>
      <c r="N284" s="836"/>
      <c r="O284" s="48">
        <f>IF(t&lt;Tnet,'2023'!Resal+('2023'!Salim-'2023'!Resal)*(1-EXP(('2023'!Tnet-t)/('2023'!Tau_j))),Resal+(Salim-Resal)*(1-EXP((Tnet-t)/(Tau_j))))*Salcycl</f>
        <v>3.1302044664575722E-2</v>
      </c>
      <c r="P284" s="165">
        <f>(INDEX(Models!$BJ284:$BT284,,T284)*(1-R284)+INDEX(Models!$BJ284:$BT284,,T284+1)*R284-ERP_i)*Q284*Ramure*Pc/MaxiM</f>
        <v>8.537023472624997E-5</v>
      </c>
      <c r="Q284" s="301">
        <f t="shared" si="105"/>
        <v>0.5</v>
      </c>
      <c r="R284" s="173">
        <f t="shared" si="106"/>
        <v>0.48836637036782293</v>
      </c>
      <c r="S284" s="802">
        <f t="shared" si="107"/>
        <v>1</v>
      </c>
      <c r="T284" s="172">
        <f t="shared" si="108"/>
        <v>7</v>
      </c>
      <c r="U284" s="247">
        <f t="shared" si="109"/>
        <v>1.4883663703678229</v>
      </c>
      <c r="V284" s="378">
        <f t="shared" si="110"/>
        <v>40.844853224249192</v>
      </c>
      <c r="W284" s="397">
        <f t="shared" si="111"/>
        <v>16.24119230185913</v>
      </c>
      <c r="X284" s="153">
        <f t="shared" si="112"/>
        <v>45561</v>
      </c>
      <c r="Y284" s="380">
        <f t="shared" si="113"/>
        <v>15.908819946774592</v>
      </c>
      <c r="Z284" s="380">
        <f t="shared" si="114"/>
        <v>16.136710052069247</v>
      </c>
      <c r="AA284" s="381">
        <f t="shared" si="115"/>
        <v>17.006171502952654</v>
      </c>
      <c r="AB284" s="193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5.1126230894028624E-2</v>
      </c>
      <c r="AD284" s="227">
        <f>(INDEX(Models!$BJ284:$BT284,,AH284)*(1-AF284)+INDEX(Models!$BJ284:$BT284,,AH284+1)*AF284-ERP_i)*AE284*Ramure*Pc/MaxiM</f>
        <v>8.537023472624997E-5</v>
      </c>
      <c r="AE284" s="301">
        <f t="shared" si="117"/>
        <v>0.5</v>
      </c>
      <c r="AF284" s="173">
        <f t="shared" si="118"/>
        <v>0.48836637036782293</v>
      </c>
      <c r="AG284" s="802">
        <f t="shared" si="124"/>
        <v>1</v>
      </c>
      <c r="AH284" s="172">
        <f t="shared" si="119"/>
        <v>7</v>
      </c>
      <c r="AI284" s="221">
        <f t="shared" si="120"/>
        <v>1.4883663703678229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45562</v>
      </c>
      <c r="B285" s="406">
        <f>'2023'!Wh/'2023'!Env_an*'2024'!Env_an</f>
        <v>18.553957386910277</v>
      </c>
      <c r="C285" s="385"/>
      <c r="D285" s="388">
        <f t="shared" si="102"/>
        <v>18.819996094058837</v>
      </c>
      <c r="E285" s="380">
        <f t="shared" si="100"/>
        <v>19.428885124521447</v>
      </c>
      <c r="F285" s="380">
        <f t="shared" si="103"/>
        <v>19.429293511656084</v>
      </c>
      <c r="G285" s="110">
        <f t="shared" si="101"/>
        <v>0.45859032749359563</v>
      </c>
      <c r="H285" s="409" t="b">
        <f>Wh_hp&gt;='2023'!Maxi_hp</f>
        <v>0</v>
      </c>
      <c r="I285" s="375">
        <f>IF(H285,Wh_hp,'2023'!Maxi_hp)</f>
        <v>19.430260578992954</v>
      </c>
      <c r="J285" s="85">
        <f>IF(H285,An,'2023'!An_max)</f>
        <v>2022</v>
      </c>
      <c r="K285" s="193">
        <f t="shared" si="104"/>
        <v>45562</v>
      </c>
      <c r="L285" s="143">
        <f>IF(t&lt;Tvie,1-EXP((T0-t)*PertePVj)+'2023'!Pspv,1-EXP((T0-t)*PertePVj)+Pspv)</f>
        <v>1.413595974297488E-2</v>
      </c>
      <c r="M285" s="836"/>
      <c r="N285" s="836"/>
      <c r="O285" s="48">
        <f>IF(t&lt;Tnet,'2023'!Resal+('2023'!Salim-'2023'!Resal)*(1-EXP(('2023'!Tnet-t)/('2023'!Tau_j))),Resal+(Salim-Resal)*(1-EXP((Tnet-t)/(Tau_j))))*Salcycl</f>
        <v>3.1339370558845087E-2</v>
      </c>
      <c r="P285" s="165">
        <f>(INDEX(Models!$BJ285:$BT285,,T285)*(1-R285)+INDEX(Models!$BJ285:$BT285,,T285+1)*R285-ERP_i)*Q285*Ramure*Pc/MaxiM</f>
        <v>9.2756915278620572E-5</v>
      </c>
      <c r="Q285" s="301">
        <f t="shared" si="105"/>
        <v>0.5</v>
      </c>
      <c r="R285" s="173">
        <f t="shared" si="106"/>
        <v>0.48859004861710953</v>
      </c>
      <c r="S285" s="802">
        <f t="shared" si="107"/>
        <v>1</v>
      </c>
      <c r="T285" s="172">
        <f t="shared" si="108"/>
        <v>7</v>
      </c>
      <c r="U285" s="247">
        <f t="shared" si="109"/>
        <v>1.4885900486171095</v>
      </c>
      <c r="V285" s="378">
        <f t="shared" si="110"/>
        <v>40.455773327788535</v>
      </c>
      <c r="W285" s="397">
        <f t="shared" si="111"/>
        <v>18.553957386910277</v>
      </c>
      <c r="X285" s="153">
        <f t="shared" si="112"/>
        <v>45562</v>
      </c>
      <c r="Y285" s="380">
        <f t="shared" si="113"/>
        <v>18.174710910231106</v>
      </c>
      <c r="Z285" s="380">
        <f t="shared" si="114"/>
        <v>18.435311734762905</v>
      </c>
      <c r="AA285" s="381">
        <f t="shared" si="115"/>
        <v>19.428885124521447</v>
      </c>
      <c r="AB285" s="193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5.1138981129933134E-2</v>
      </c>
      <c r="AD285" s="227">
        <f>(INDEX(Models!$BJ285:$BT285,,AH285)*(1-AF285)+INDEX(Models!$BJ285:$BT285,,AH285+1)*AF285-ERP_i)*AE285*Ramure*Pc/MaxiM</f>
        <v>9.2756915278620572E-5</v>
      </c>
      <c r="AE285" s="301">
        <f t="shared" si="117"/>
        <v>0.5</v>
      </c>
      <c r="AF285" s="173">
        <f t="shared" si="118"/>
        <v>0.48859004861710953</v>
      </c>
      <c r="AG285" s="802">
        <f t="shared" si="124"/>
        <v>1</v>
      </c>
      <c r="AH285" s="172">
        <f t="shared" si="119"/>
        <v>7</v>
      </c>
      <c r="AI285" s="221">
        <f t="shared" si="120"/>
        <v>1.4885900486171095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45563</v>
      </c>
      <c r="B286" s="406">
        <f>'2023'!Wh/'2023'!Env_an*'2024'!Env_an</f>
        <v>24.013586039846945</v>
      </c>
      <c r="C286" s="385"/>
      <c r="D286" s="388">
        <f t="shared" si="102"/>
        <v>24.35824189704039</v>
      </c>
      <c r="E286" s="380">
        <f t="shared" si="100"/>
        <v>25.147268342145495</v>
      </c>
      <c r="F286" s="380">
        <f t="shared" si="103"/>
        <v>25.148365084774063</v>
      </c>
      <c r="G286" s="110">
        <f t="shared" si="101"/>
        <v>0.59929924609008545</v>
      </c>
      <c r="H286" s="409" t="b">
        <f>Wh_hp&gt;='2023'!Maxi_hp</f>
        <v>0</v>
      </c>
      <c r="I286" s="375">
        <f>IF(H286,Wh_hp,'2023'!Maxi_hp)</f>
        <v>25.149385845472246</v>
      </c>
      <c r="J286" s="85">
        <f>IF(H286,An,'2023'!An_max)</f>
        <v>2022</v>
      </c>
      <c r="K286" s="193">
        <f t="shared" si="104"/>
        <v>45563</v>
      </c>
      <c r="L286" s="143">
        <f>IF(t&lt;Tvie,1-EXP((T0-t)*PertePVj)+'2023'!Pspv,1-EXP((T0-t)*PertePVj)+Pspv)</f>
        <v>1.4149455393795085E-2</v>
      </c>
      <c r="M286" s="836"/>
      <c r="N286" s="836"/>
      <c r="O286" s="48">
        <f>IF(t&lt;Tnet,'2023'!Resal+('2023'!Salim-'2023'!Resal)*(1-EXP(('2023'!Tnet-t)/('2023'!Tau_j))),Resal+(Salim-Resal)*(1-EXP((Tnet-t)/(Tau_j))))*Salcycl</f>
        <v>3.1376228796299893E-2</v>
      </c>
      <c r="P286" s="165">
        <f>(INDEX(Models!$BJ286:$BT286,,T286)*(1-R286)+INDEX(Models!$BJ286:$BT286,,T286+1)*R286-ERP_i)*Q286*Ramure*Pc/MaxiM</f>
        <v>1.0198507509413782E-4</v>
      </c>
      <c r="Q286" s="301">
        <f t="shared" si="105"/>
        <v>0.5</v>
      </c>
      <c r="R286" s="173">
        <f t="shared" si="106"/>
        <v>0.48880491102301971</v>
      </c>
      <c r="S286" s="802">
        <f t="shared" si="107"/>
        <v>1</v>
      </c>
      <c r="T286" s="172">
        <f t="shared" si="108"/>
        <v>7</v>
      </c>
      <c r="U286" s="247">
        <f t="shared" si="109"/>
        <v>1.4888049110230197</v>
      </c>
      <c r="V286" s="378">
        <f t="shared" si="110"/>
        <v>40.067102306397864</v>
      </c>
      <c r="W286" s="397">
        <f t="shared" si="111"/>
        <v>24.013586039846945</v>
      </c>
      <c r="X286" s="153">
        <f t="shared" si="112"/>
        <v>45563</v>
      </c>
      <c r="Y286" s="380">
        <f t="shared" si="113"/>
        <v>23.523339725929045</v>
      </c>
      <c r="Z286" s="380">
        <f t="shared" si="114"/>
        <v>23.860959305272154</v>
      </c>
      <c r="AA286" s="381">
        <f t="shared" si="115"/>
        <v>25.147268342145495</v>
      </c>
      <c r="AB286" s="193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5.1151044295238715E-2</v>
      </c>
      <c r="AD286" s="227">
        <f>(INDEX(Models!$BJ286:$BT286,,AH286)*(1-AF286)+INDEX(Models!$BJ286:$BT286,,AH286+1)*AF286-ERP_i)*AE286*Ramure*Pc/MaxiM</f>
        <v>1.0198507509413782E-4</v>
      </c>
      <c r="AE286" s="301">
        <f t="shared" si="117"/>
        <v>0.5</v>
      </c>
      <c r="AF286" s="173">
        <f t="shared" si="118"/>
        <v>0.48880491102301971</v>
      </c>
      <c r="AG286" s="802">
        <f t="shared" si="124"/>
        <v>1</v>
      </c>
      <c r="AH286" s="172">
        <f t="shared" si="119"/>
        <v>7</v>
      </c>
      <c r="AI286" s="221">
        <f t="shared" si="120"/>
        <v>1.4888049110230197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customHeight="1" x14ac:dyDescent="0.2">
      <c r="A287" s="56">
        <f t="shared" si="123"/>
        <v>45564</v>
      </c>
      <c r="B287" s="406">
        <f>'2023'!Wh/'2023'!Env_an*'2024'!Env_an</f>
        <v>25.751646372899053</v>
      </c>
      <c r="C287" s="385"/>
      <c r="D287" s="388">
        <f t="shared" si="102"/>
        <v>26.121605386367115</v>
      </c>
      <c r="E287" s="380">
        <f t="shared" si="100"/>
        <v>26.968764647065466</v>
      </c>
      <c r="F287" s="380">
        <f t="shared" si="103"/>
        <v>26.970285266427066</v>
      </c>
      <c r="G287" s="110">
        <f t="shared" si="101"/>
        <v>0.64895153498247837</v>
      </c>
      <c r="H287" s="409" t="b">
        <f>Wh_hp&gt;='2023'!Maxi_hp</f>
        <v>0</v>
      </c>
      <c r="I287" s="375">
        <f>IF(H287,Wh_hp,'2023'!Maxi_hp)</f>
        <v>26.97135071424043</v>
      </c>
      <c r="J287" s="85">
        <f>IF(H287,An,'2023'!An_max)</f>
        <v>2022</v>
      </c>
      <c r="K287" s="193">
        <f t="shared" si="104"/>
        <v>45564</v>
      </c>
      <c r="L287" s="143">
        <f>IF(t&lt;Tvie,1-EXP((T0-t)*PertePVj)+'2023'!Pspv,1-EXP((T0-t)*PertePVj)+Pspv)</f>
        <v>1.4162950859871071E-2</v>
      </c>
      <c r="M287" s="836"/>
      <c r="N287" s="836"/>
      <c r="O287" s="48">
        <f>IF(t&lt;Tnet,'2023'!Resal+('2023'!Salim-'2023'!Resal)*(1-EXP(('2023'!Tnet-t)/('2023'!Tau_j))),Resal+(Salim-Resal)*(1-EXP((Tnet-t)/(Tau_j))))*Salcycl</f>
        <v>3.141260906033129E-2</v>
      </c>
      <c r="P287" s="165">
        <f>(INDEX(Models!$BJ287:$BT287,,T287)*(1-R287)+INDEX(Models!$BJ287:$BT287,,T287+1)*R287-ERP_i)*Q287*Ramure*Pc/MaxiM</f>
        <v>1.1308945180649684E-4</v>
      </c>
      <c r="Q287" s="301">
        <f t="shared" si="105"/>
        <v>0.5</v>
      </c>
      <c r="R287" s="173">
        <f t="shared" si="106"/>
        <v>0.48901129776582875</v>
      </c>
      <c r="S287" s="802">
        <f t="shared" si="107"/>
        <v>1</v>
      </c>
      <c r="T287" s="172">
        <f t="shared" si="108"/>
        <v>7</v>
      </c>
      <c r="U287" s="247">
        <f t="shared" si="109"/>
        <v>1.4890112977658287</v>
      </c>
      <c r="V287" s="378">
        <f t="shared" si="110"/>
        <v>39.679674943086304</v>
      </c>
      <c r="W287" s="397">
        <f t="shared" si="111"/>
        <v>25.751646372899053</v>
      </c>
      <c r="X287" s="153">
        <f t="shared" si="112"/>
        <v>45564</v>
      </c>
      <c r="Y287" s="380">
        <f t="shared" si="113"/>
        <v>25.22656234479058</v>
      </c>
      <c r="Z287" s="380">
        <f t="shared" si="114"/>
        <v>25.588977779637926</v>
      </c>
      <c r="AA287" s="381">
        <f t="shared" si="115"/>
        <v>26.968764647065466</v>
      </c>
      <c r="AB287" s="193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5.1162405304229545E-2</v>
      </c>
      <c r="AD287" s="227">
        <f>(INDEX(Models!$BJ287:$BT287,,AH287)*(1-AF287)+INDEX(Models!$BJ287:$BT287,,AH287+1)*AF287-ERP_i)*AE287*Ramure*Pc/MaxiM</f>
        <v>1.1308945180649684E-4</v>
      </c>
      <c r="AE287" s="301">
        <f t="shared" si="117"/>
        <v>0.5</v>
      </c>
      <c r="AF287" s="173">
        <f t="shared" si="118"/>
        <v>0.48901129776582875</v>
      </c>
      <c r="AG287" s="802">
        <f t="shared" si="124"/>
        <v>1</v>
      </c>
      <c r="AH287" s="172">
        <f t="shared" si="119"/>
        <v>7</v>
      </c>
      <c r="AI287" s="221">
        <f t="shared" si="120"/>
        <v>1.4890112977658287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45565</v>
      </c>
      <c r="B288" s="406">
        <f>'2023'!Wh/'2023'!Env_an*'2024'!Env_an</f>
        <v>35.148347639512636</v>
      </c>
      <c r="C288" s="385"/>
      <c r="D288" s="388">
        <f t="shared" si="102"/>
        <v>35.653791697238297</v>
      </c>
      <c r="E288" s="380">
        <f t="shared" si="100"/>
        <v>36.811456856504336</v>
      </c>
      <c r="F288" s="380">
        <f t="shared" si="103"/>
        <v>36.815399640128391</v>
      </c>
      <c r="G288" s="110">
        <f t="shared" si="101"/>
        <v>0.89447213330655051</v>
      </c>
      <c r="H288" s="409" t="b">
        <f>Wh_hp&gt;='2023'!Maxi_hp</f>
        <v>0</v>
      </c>
      <c r="I288" s="375">
        <f>IF(H288,Wh_hp,'2023'!Maxi_hp)</f>
        <v>36.815887882487736</v>
      </c>
      <c r="J288" s="85">
        <f>IF(H288,An,'2023'!An_max)</f>
        <v>2022</v>
      </c>
      <c r="K288" s="193">
        <f t="shared" si="104"/>
        <v>45565</v>
      </c>
      <c r="L288" s="143">
        <f>IF(t&lt;Tvie,1-EXP((T0-t)*PertePVj)+'2023'!Pspv,1-EXP((T0-t)*PertePVj)+Pspv)</f>
        <v>1.4176446141205612E-2</v>
      </c>
      <c r="M288" s="836"/>
      <c r="N288" s="836"/>
      <c r="O288" s="48">
        <f>IF(t&lt;Tnet,'2023'!Resal+('2023'!Salim-'2023'!Resal)*(1-EXP(('2023'!Tnet-t)/('2023'!Tau_j))),Resal+(Salim-Resal)*(1-EXP((Tnet-t)/(Tau_j))))*Salcycl</f>
        <v>3.1448501584133474E-2</v>
      </c>
      <c r="P288" s="165">
        <f>(INDEX(Models!$BJ288:$BT288,,T288)*(1-R288)+INDEX(Models!$BJ288:$BT288,,T288+1)*R288-ERP_i)*Q288*Ramure*Pc/MaxiM</f>
        <v>1.2610361641797476E-4</v>
      </c>
      <c r="Q288" s="301">
        <f t="shared" si="105"/>
        <v>0.5</v>
      </c>
      <c r="R288" s="173">
        <f t="shared" si="106"/>
        <v>0.4892095364685769</v>
      </c>
      <c r="S288" s="802">
        <f t="shared" si="107"/>
        <v>1</v>
      </c>
      <c r="T288" s="172">
        <f t="shared" si="108"/>
        <v>7</v>
      </c>
      <c r="U288" s="247">
        <f t="shared" si="109"/>
        <v>1.4892095364685769</v>
      </c>
      <c r="V288" s="378">
        <f t="shared" si="110"/>
        <v>39.294325864831436</v>
      </c>
      <c r="W288" s="397">
        <f t="shared" si="111"/>
        <v>35.148347639512636</v>
      </c>
      <c r="X288" s="153">
        <f t="shared" si="112"/>
        <v>45565</v>
      </c>
      <c r="Y288" s="380">
        <f t="shared" si="113"/>
        <v>34.432551642691152</v>
      </c>
      <c r="Z288" s="380">
        <f t="shared" si="114"/>
        <v>34.927702333660349</v>
      </c>
      <c r="AA288" s="381">
        <f t="shared" si="115"/>
        <v>36.811456856504336</v>
      </c>
      <c r="AB288" s="193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5.1173050015029121E-2</v>
      </c>
      <c r="AD288" s="227">
        <f>(INDEX(Models!$BJ288:$BT288,,AH288)*(1-AF288)+INDEX(Models!$BJ288:$BT288,,AH288+1)*AF288-ERP_i)*AE288*Ramure*Pc/MaxiM</f>
        <v>1.2610361641797476E-4</v>
      </c>
      <c r="AE288" s="301">
        <f t="shared" si="117"/>
        <v>0.5</v>
      </c>
      <c r="AF288" s="173">
        <f t="shared" si="118"/>
        <v>0.4892095364685769</v>
      </c>
      <c r="AG288" s="802">
        <f t="shared" si="124"/>
        <v>1</v>
      </c>
      <c r="AH288" s="172">
        <f t="shared" si="119"/>
        <v>7</v>
      </c>
      <c r="AI288" s="221">
        <f t="shared" si="120"/>
        <v>1.4892095364685769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3"/>
        <v>45566</v>
      </c>
      <c r="B289" s="406">
        <f>'2023'!Wh/'2023'!Env_an*'2024'!Env_an</f>
        <v>36.553497586330785</v>
      </c>
      <c r="C289" s="385"/>
      <c r="D289" s="388">
        <f t="shared" si="102"/>
        <v>37.07965572214593</v>
      </c>
      <c r="E289" s="380">
        <f t="shared" si="100"/>
        <v>38.285017271810574</v>
      </c>
      <c r="F289" s="380">
        <f t="shared" si="103"/>
        <v>38.289951715468554</v>
      </c>
      <c r="G289" s="110">
        <f t="shared" si="101"/>
        <v>0.93945219263328639</v>
      </c>
      <c r="H289" s="409" t="b">
        <f>Wh_hp&gt;='2023'!Maxi_hp</f>
        <v>0</v>
      </c>
      <c r="I289" s="375">
        <f>IF(H289,Wh_hp,'2023'!Maxi_hp)</f>
        <v>38.290278052871017</v>
      </c>
      <c r="J289" s="85">
        <f>IF(H289,An,'2023'!An_max)</f>
        <v>2022</v>
      </c>
      <c r="K289" s="193">
        <f t="shared" si="104"/>
        <v>45566</v>
      </c>
      <c r="L289" s="143">
        <f>IF(t&lt;Tvie,1-EXP((T0-t)*PertePVj)+'2023'!Pspv,1-EXP((T0-t)*PertePVj)+Pspv)</f>
        <v>1.418994123780104E-2</v>
      </c>
      <c r="M289" s="836"/>
      <c r="N289" s="836"/>
      <c r="O289" s="48">
        <f>IF(t&lt;Tnet,'2023'!Resal+('2023'!Salim-'2023'!Resal)*(1-EXP(('2023'!Tnet-t)/('2023'!Tau_j))),Resal+(Salim-Resal)*(1-EXP((Tnet-t)/(Tau_j))))*Salcycl</f>
        <v>3.1483897241236423E-2</v>
      </c>
      <c r="P289" s="165">
        <f>(INDEX(Models!$BJ289:$BT289,,T289)*(1-R289)+INDEX(Models!$BJ289:$BT289,,T289+1)*R289-ERP_i)*Q289*Ramure*Pc/MaxiM</f>
        <v>1.4107028700483803E-4</v>
      </c>
      <c r="Q289" s="301">
        <f t="shared" si="105"/>
        <v>0.5</v>
      </c>
      <c r="R289" s="173">
        <f t="shared" si="106"/>
        <v>0.48939994261573339</v>
      </c>
      <c r="S289" s="802">
        <f t="shared" si="107"/>
        <v>1</v>
      </c>
      <c r="T289" s="172">
        <f t="shared" si="108"/>
        <v>7</v>
      </c>
      <c r="U289" s="247">
        <f t="shared" si="109"/>
        <v>1.4893999426157334</v>
      </c>
      <c r="V289" s="378">
        <f t="shared" si="110"/>
        <v>38.908900175130071</v>
      </c>
      <c r="W289" s="397">
        <f t="shared" si="111"/>
        <v>36.553497586330785</v>
      </c>
      <c r="X289" s="153">
        <f t="shared" si="112"/>
        <v>45566</v>
      </c>
      <c r="Y289" s="380">
        <f t="shared" si="113"/>
        <v>35.810020180715611</v>
      </c>
      <c r="Z289" s="380">
        <f t="shared" si="114"/>
        <v>36.325476558516073</v>
      </c>
      <c r="AA289" s="381">
        <f t="shared" si="115"/>
        <v>38.285017271810574</v>
      </c>
      <c r="AB289" s="193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5.118296537213065E-2</v>
      </c>
      <c r="AD289" s="227">
        <f>(INDEX(Models!$BJ289:$BT289,,AH289)*(1-AF289)+INDEX(Models!$BJ289:$BT289,,AH289+1)*AF289-ERP_i)*AE289*Ramure*Pc/MaxiM</f>
        <v>1.4107028700483803E-4</v>
      </c>
      <c r="AE289" s="301">
        <f t="shared" si="117"/>
        <v>0.5</v>
      </c>
      <c r="AF289" s="173">
        <f t="shared" si="118"/>
        <v>0.48939994261573339</v>
      </c>
      <c r="AG289" s="802">
        <f t="shared" si="124"/>
        <v>1</v>
      </c>
      <c r="AH289" s="172">
        <f t="shared" si="119"/>
        <v>7</v>
      </c>
      <c r="AI289" s="221">
        <f t="shared" si="120"/>
        <v>1.4893999426157334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45567</v>
      </c>
      <c r="B290" s="406">
        <f>'2023'!Wh/'2023'!Env_an*'2024'!Env_an</f>
        <v>33.103158197482706</v>
      </c>
      <c r="C290" s="385"/>
      <c r="D290" s="388">
        <f t="shared" si="102"/>
        <v>33.580111162274555</v>
      </c>
      <c r="E290" s="380">
        <f t="shared" si="100"/>
        <v>34.672960852128433</v>
      </c>
      <c r="F290" s="380">
        <f t="shared" si="103"/>
        <v>34.677321090391182</v>
      </c>
      <c r="G290" s="110">
        <f t="shared" si="101"/>
        <v>0.85932656539142915</v>
      </c>
      <c r="H290" s="409" t="b">
        <f>Wh_hp&gt;='2023'!Maxi_hp</f>
        <v>0</v>
      </c>
      <c r="I290" s="375">
        <f>IF(H290,Wh_hp,'2023'!Maxi_hp)</f>
        <v>34.678087657716873</v>
      </c>
      <c r="J290" s="85">
        <f>IF(H290,An,'2023'!An_max)</f>
        <v>2022</v>
      </c>
      <c r="K290" s="193">
        <f t="shared" si="104"/>
        <v>45567</v>
      </c>
      <c r="L290" s="143">
        <f>IF(t&lt;Tvie,1-EXP((T0-t)*PertePVj)+'2023'!Pspv,1-EXP((T0-t)*PertePVj)+Pspv)</f>
        <v>1.4203436149659909E-2</v>
      </c>
      <c r="M290" s="836"/>
      <c r="N290" s="836"/>
      <c r="O290" s="48">
        <f>IF(t&lt;Tnet,'2023'!Resal+('2023'!Salim-'2023'!Resal)*(1-EXP(('2023'!Tnet-t)/('2023'!Tau_j))),Resal+(Salim-Resal)*(1-EXP((Tnet-t)/(Tau_j))))*Salcycl</f>
        <v>3.1518787637277619E-2</v>
      </c>
      <c r="P290" s="165">
        <f>(INDEX(Models!$BJ290:$BT290,,T290)*(1-R290)+INDEX(Models!$BJ290:$BT290,,T290+1)*R290-ERP_i)*Q290*Ramure*Pc/MaxiM</f>
        <v>1.5735341660869684E-4</v>
      </c>
      <c r="Q290" s="301">
        <f t="shared" si="105"/>
        <v>0.5</v>
      </c>
      <c r="R290" s="173">
        <f t="shared" si="106"/>
        <v>0.48958281996152153</v>
      </c>
      <c r="S290" s="802">
        <f t="shared" si="107"/>
        <v>1</v>
      </c>
      <c r="T290" s="172">
        <f t="shared" si="108"/>
        <v>7</v>
      </c>
      <c r="U290" s="247">
        <f t="shared" si="109"/>
        <v>1.4895828199615215</v>
      </c>
      <c r="V290" s="378">
        <f t="shared" si="110"/>
        <v>38.520991682328756</v>
      </c>
      <c r="W290" s="397">
        <f t="shared" si="111"/>
        <v>33.103158197482706</v>
      </c>
      <c r="X290" s="153">
        <f t="shared" si="112"/>
        <v>45567</v>
      </c>
      <c r="Y290" s="380">
        <f t="shared" si="113"/>
        <v>32.430713474411014</v>
      </c>
      <c r="Z290" s="380">
        <f t="shared" si="114"/>
        <v>32.897977801568523</v>
      </c>
      <c r="AA290" s="381">
        <f t="shared" si="115"/>
        <v>34.672960852128433</v>
      </c>
      <c r="AB290" s="193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5.1192139550174855E-2</v>
      </c>
      <c r="AD290" s="227">
        <f>(INDEX(Models!$BJ290:$BT290,,AH290)*(1-AF290)+INDEX(Models!$BJ290:$BT290,,AH290+1)*AF290-ERP_i)*AE290*Ramure*Pc/MaxiM</f>
        <v>1.5735341660869684E-4</v>
      </c>
      <c r="AE290" s="301">
        <f t="shared" si="117"/>
        <v>0.5</v>
      </c>
      <c r="AF290" s="173">
        <f t="shared" si="118"/>
        <v>0.48958281996152153</v>
      </c>
      <c r="AG290" s="802">
        <f t="shared" si="124"/>
        <v>1</v>
      </c>
      <c r="AH290" s="172">
        <f t="shared" si="119"/>
        <v>7</v>
      </c>
      <c r="AI290" s="221">
        <f t="shared" si="120"/>
        <v>1.4895828199615215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3"/>
        <v>45568</v>
      </c>
      <c r="B291" s="406">
        <f>'2023'!Wh/'2023'!Env_an*'2024'!Env_an</f>
        <v>38.55696453937243</v>
      </c>
      <c r="C291" s="385"/>
      <c r="D291" s="388">
        <f t="shared" si="102"/>
        <v>39.113031808982214</v>
      </c>
      <c r="E291" s="380">
        <f t="shared" si="100"/>
        <v>40.387381530501578</v>
      </c>
      <c r="F291" s="380">
        <f t="shared" si="103"/>
        <v>40.394405046621046</v>
      </c>
      <c r="G291" s="110">
        <f t="shared" si="101"/>
        <v>1.0111694837797947</v>
      </c>
      <c r="H291" s="409" t="b">
        <f>Wh_hp&gt;='2023'!Maxi_hp</f>
        <v>1</v>
      </c>
      <c r="I291" s="375">
        <f>IF(H291,Wh_hp,'2023'!Maxi_hp)</f>
        <v>40.394405046621046</v>
      </c>
      <c r="J291" s="85">
        <f>IF(H291,An,'2023'!An_max)</f>
        <v>2024</v>
      </c>
      <c r="K291" s="193">
        <f t="shared" si="104"/>
        <v>45568</v>
      </c>
      <c r="L291" s="143">
        <f>IF(t&lt;Tvie,1-EXP((T0-t)*PertePVj)+'2023'!Pspv,1-EXP((T0-t)*PertePVj)+Pspv)</f>
        <v>1.4216930876784772E-2</v>
      </c>
      <c r="M291" s="836"/>
      <c r="N291" s="836"/>
      <c r="O291" s="48">
        <f>IF(t&lt;Tnet,'2023'!Resal+('2023'!Salim-'2023'!Resal)*(1-EXP(('2023'!Tnet-t)/('2023'!Tau_j))),Resal+(Salim-Resal)*(1-EXP((Tnet-t)/(Tau_j))))*Salcycl</f>
        <v>3.1553165202278445E-2</v>
      </c>
      <c r="P291" s="165">
        <f>(INDEX(Models!$BJ291:$BT291,,T291)*(1-R291)+INDEX(Models!$BJ291:$BT291,,T291+1)*R291-ERP_i)*Q291*Ramure*Pc/MaxiM</f>
        <v>1.7387348845364586E-4</v>
      </c>
      <c r="Q291" s="301">
        <f t="shared" si="105"/>
        <v>0.5</v>
      </c>
      <c r="R291" s="173">
        <f t="shared" si="106"/>
        <v>0.48975846092785202</v>
      </c>
      <c r="S291" s="802">
        <f t="shared" si="107"/>
        <v>1</v>
      </c>
      <c r="T291" s="172">
        <f t="shared" si="108"/>
        <v>7</v>
      </c>
      <c r="U291" s="247">
        <f t="shared" si="109"/>
        <v>1.489758460927852</v>
      </c>
      <c r="V291" s="378">
        <f t="shared" si="110"/>
        <v>38.131060280067842</v>
      </c>
      <c r="W291" s="397">
        <f t="shared" si="111"/>
        <v>38.55696453937243</v>
      </c>
      <c r="X291" s="153">
        <f t="shared" si="112"/>
        <v>45568</v>
      </c>
      <c r="Y291" s="380">
        <f t="shared" si="113"/>
        <v>37.774738857826271</v>
      </c>
      <c r="Z291" s="380">
        <f t="shared" si="114"/>
        <v>38.319524894482363</v>
      </c>
      <c r="AA291" s="381">
        <f t="shared" si="115"/>
        <v>40.387381530501578</v>
      </c>
      <c r="AB291" s="193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5.1200562097780879E-2</v>
      </c>
      <c r="AD291" s="227">
        <f>(INDEX(Models!$BJ291:$BT291,,AH291)*(1-AF291)+INDEX(Models!$BJ291:$BT291,,AH291+1)*AF291-ERP_i)*AE291*Ramure*Pc/MaxiM</f>
        <v>1.7387348845364586E-4</v>
      </c>
      <c r="AE291" s="301">
        <f t="shared" si="117"/>
        <v>0.5</v>
      </c>
      <c r="AF291" s="173">
        <f t="shared" si="118"/>
        <v>0.48975846092785202</v>
      </c>
      <c r="AG291" s="802">
        <f t="shared" si="124"/>
        <v>1</v>
      </c>
      <c r="AH291" s="172">
        <f t="shared" si="119"/>
        <v>7</v>
      </c>
      <c r="AI291" s="221">
        <f t="shared" si="120"/>
        <v>1.489758460927852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45569</v>
      </c>
      <c r="B292" s="406">
        <f>'2023'!Wh/'2023'!Env_an*'2024'!Env_an</f>
        <v>38.809671853125714</v>
      </c>
      <c r="C292" s="385"/>
      <c r="D292" s="388">
        <f t="shared" si="102"/>
        <v>39.369922600450238</v>
      </c>
      <c r="E292" s="380">
        <f t="shared" si="100"/>
        <v>40.654063449153305</v>
      </c>
      <c r="F292" s="380">
        <f t="shared" si="103"/>
        <v>40.661814891212082</v>
      </c>
      <c r="G292" s="110">
        <f t="shared" si="101"/>
        <v>1.0283561778969419</v>
      </c>
      <c r="H292" s="409" t="b">
        <f>Wh_hp&gt;='2023'!Maxi_hp</f>
        <v>1</v>
      </c>
      <c r="I292" s="375">
        <f>IF(H292,Wh_hp,'2023'!Maxi_hp)</f>
        <v>40.661814891212082</v>
      </c>
      <c r="J292" s="85">
        <f>IF(H292,An,'2023'!An_max)</f>
        <v>2024</v>
      </c>
      <c r="K292" s="193">
        <f t="shared" si="104"/>
        <v>45569</v>
      </c>
      <c r="L292" s="143">
        <f>IF(t&lt;Tvie,1-EXP((T0-t)*PertePVj)+'2023'!Pspv,1-EXP((T0-t)*PertePVj)+Pspv)</f>
        <v>1.4230425419178183E-2</v>
      </c>
      <c r="M292" s="836"/>
      <c r="N292" s="836"/>
      <c r="O292" s="48">
        <f>IF(t&lt;Tnet,'2023'!Resal+('2023'!Salim-'2023'!Resal)*(1-EXP(('2023'!Tnet-t)/('2023'!Tau_j))),Resal+(Salim-Resal)*(1-EXP((Tnet-t)/(Tau_j))))*Salcycl</f>
        <v>3.1587023282658173E-2</v>
      </c>
      <c r="P292" s="165">
        <f>(INDEX(Models!$BJ292:$BT292,,T292)*(1-R292)+INDEX(Models!$BJ292:$BT292,,T292+1)*R292-ERP_i)*Q292*Ramure*Pc/MaxiM</f>
        <v>1.9063197448305122E-4</v>
      </c>
      <c r="Q292" s="301">
        <f t="shared" si="105"/>
        <v>0.5</v>
      </c>
      <c r="R292" s="173">
        <f t="shared" si="106"/>
        <v>0.4899271469918336</v>
      </c>
      <c r="S292" s="802">
        <f t="shared" si="107"/>
        <v>1</v>
      </c>
      <c r="T292" s="172">
        <f t="shared" si="108"/>
        <v>7</v>
      </c>
      <c r="U292" s="247">
        <f t="shared" si="109"/>
        <v>1.4899271469918336</v>
      </c>
      <c r="V292" s="378">
        <f t="shared" si="110"/>
        <v>37.739523218982477</v>
      </c>
      <c r="W292" s="397">
        <f t="shared" si="111"/>
        <v>38.809671853125714</v>
      </c>
      <c r="X292" s="153">
        <f t="shared" si="112"/>
        <v>45569</v>
      </c>
      <c r="Y292" s="380">
        <f t="shared" si="113"/>
        <v>38.023341658648313</v>
      </c>
      <c r="Z292" s="380">
        <f t="shared" si="114"/>
        <v>38.572241058278713</v>
      </c>
      <c r="AA292" s="381">
        <f t="shared" si="115"/>
        <v>40.654063449153305</v>
      </c>
      <c r="AB292" s="193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5.1208224080192155E-2</v>
      </c>
      <c r="AD292" s="227">
        <f>(INDEX(Models!$BJ292:$BT292,,AH292)*(1-AF292)+INDEX(Models!$BJ292:$BT292,,AH292+1)*AF292-ERP_i)*AE292*Ramure*Pc/MaxiM</f>
        <v>1.9063197448305122E-4</v>
      </c>
      <c r="AE292" s="301">
        <f t="shared" si="117"/>
        <v>0.5</v>
      </c>
      <c r="AF292" s="173">
        <f t="shared" si="118"/>
        <v>0.4899271469918336</v>
      </c>
      <c r="AG292" s="802">
        <f t="shared" si="124"/>
        <v>1</v>
      </c>
      <c r="AH292" s="172">
        <f t="shared" si="119"/>
        <v>7</v>
      </c>
      <c r="AI292" s="221">
        <f t="shared" si="120"/>
        <v>1.4899271469918336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45570</v>
      </c>
      <c r="B293" s="406">
        <f>'2023'!Wh/'2023'!Env_an*'2024'!Env_an</f>
        <v>15.555433689138411</v>
      </c>
      <c r="C293" s="385"/>
      <c r="D293" s="388">
        <f t="shared" si="102"/>
        <v>15.780205672803906</v>
      </c>
      <c r="E293" s="380">
        <f t="shared" si="100"/>
        <v>16.295474377596062</v>
      </c>
      <c r="F293" s="380">
        <f t="shared" si="103"/>
        <v>16.296037559125388</v>
      </c>
      <c r="G293" s="110">
        <f t="shared" si="101"/>
        <v>0.41644109818722697</v>
      </c>
      <c r="H293" s="409" t="b">
        <f>Wh_hp&gt;='2023'!Maxi_hp</f>
        <v>0</v>
      </c>
      <c r="I293" s="375">
        <f>IF(H293,Wh_hp,'2023'!Maxi_hp)</f>
        <v>16.298012203209971</v>
      </c>
      <c r="J293" s="85">
        <f>IF(H293,An,'2023'!An_max)</f>
        <v>2022</v>
      </c>
      <c r="K293" s="193">
        <f t="shared" si="104"/>
        <v>45570</v>
      </c>
      <c r="L293" s="143">
        <f>IF(t&lt;Tvie,1-EXP((T0-t)*PertePVj)+'2023'!Pspv,1-EXP((T0-t)*PertePVj)+Pspv)</f>
        <v>1.4243919776842584E-2</v>
      </c>
      <c r="M293" s="836"/>
      <c r="N293" s="836"/>
      <c r="O293" s="48">
        <f>IF(t&lt;Tnet,'2023'!Resal+('2023'!Salim-'2023'!Resal)*(1-EXP(('2023'!Tnet-t)/('2023'!Tau_j))),Resal+(Salim-Resal)*(1-EXP((Tnet-t)/(Tau_j))))*Salcycl</f>
        <v>3.162035623219258E-2</v>
      </c>
      <c r="P293" s="165">
        <f>(INDEX(Models!$BJ293:$BT293,,T293)*(1-R293)+INDEX(Models!$BJ293:$BT293,,T293+1)*R293-ERP_i)*Q293*Ramure*Pc/MaxiM</f>
        <v>2.0762963725596184E-4</v>
      </c>
      <c r="Q293" s="301">
        <f t="shared" si="105"/>
        <v>0.5</v>
      </c>
      <c r="R293" s="173">
        <f t="shared" si="106"/>
        <v>0.49008914906287271</v>
      </c>
      <c r="S293" s="802">
        <f t="shared" si="107"/>
        <v>1</v>
      </c>
      <c r="T293" s="172">
        <f t="shared" si="108"/>
        <v>7</v>
      </c>
      <c r="U293" s="247">
        <f t="shared" si="109"/>
        <v>1.4900891490628727</v>
      </c>
      <c r="V293" s="378">
        <f t="shared" si="110"/>
        <v>37.346797617801435</v>
      </c>
      <c r="W293" s="397">
        <f t="shared" si="111"/>
        <v>15.555433689138411</v>
      </c>
      <c r="X293" s="153">
        <f t="shared" si="112"/>
        <v>45570</v>
      </c>
      <c r="Y293" s="380">
        <f t="shared" si="113"/>
        <v>15.240675915460386</v>
      </c>
      <c r="Z293" s="380">
        <f t="shared" si="114"/>
        <v>15.460899730905208</v>
      </c>
      <c r="AA293" s="381">
        <f t="shared" si="115"/>
        <v>16.295474377596062</v>
      </c>
      <c r="AB293" s="193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5.1215118219465609E-2</v>
      </c>
      <c r="AD293" s="227">
        <f>(INDEX(Models!$BJ293:$BT293,,AH293)*(1-AF293)+INDEX(Models!$BJ293:$BT293,,AH293+1)*AF293-ERP_i)*AE293*Ramure*Pc/MaxiM</f>
        <v>2.0762963725596184E-4</v>
      </c>
      <c r="AE293" s="301">
        <f t="shared" si="117"/>
        <v>0.5</v>
      </c>
      <c r="AF293" s="173">
        <f t="shared" si="118"/>
        <v>0.49008914906287271</v>
      </c>
      <c r="AG293" s="802">
        <f t="shared" si="124"/>
        <v>1</v>
      </c>
      <c r="AH293" s="172">
        <f t="shared" si="119"/>
        <v>7</v>
      </c>
      <c r="AI293" s="221">
        <f t="shared" si="120"/>
        <v>1.4900891490628727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3"/>
        <v>45571</v>
      </c>
      <c r="B294" s="406">
        <f>'2023'!Wh/'2023'!Env_an*'2024'!Env_an</f>
        <v>29.879192899832532</v>
      </c>
      <c r="C294" s="385"/>
      <c r="D294" s="388">
        <f t="shared" si="102"/>
        <v>30.311354427280786</v>
      </c>
      <c r="E294" s="380">
        <f t="shared" si="100"/>
        <v>31.302166909187541</v>
      </c>
      <c r="F294" s="380">
        <f t="shared" si="103"/>
        <v>31.30728160295099</v>
      </c>
      <c r="G294" s="110">
        <f t="shared" si="101"/>
        <v>0.80851655421024371</v>
      </c>
      <c r="H294" s="409" t="b">
        <f>Wh_hp&gt;='2023'!Maxi_hp</f>
        <v>0</v>
      </c>
      <c r="I294" s="375">
        <f>IF(H294,Wh_hp,'2023'!Maxi_hp)</f>
        <v>31.308629885145589</v>
      </c>
      <c r="J294" s="85">
        <f>IF(H294,An,'2023'!An_max)</f>
        <v>2022</v>
      </c>
      <c r="K294" s="193">
        <f t="shared" si="104"/>
        <v>45571</v>
      </c>
      <c r="L294" s="143">
        <f>IF(t&lt;Tvie,1-EXP((T0-t)*PertePVj)+'2023'!Pspv,1-EXP((T0-t)*PertePVj)+Pspv)</f>
        <v>1.4257413949780529E-2</v>
      </c>
      <c r="M294" s="836"/>
      <c r="N294" s="836"/>
      <c r="O294" s="48">
        <f>IF(t&lt;Tnet,'2023'!Resal+('2023'!Salim-'2023'!Resal)*(1-EXP(('2023'!Tnet-t)/('2023'!Tau_j))),Resal+(Salim-Resal)*(1-EXP((Tnet-t)/(Tau_j))))*Salcycl</f>
        <v>3.1653159501105955E-2</v>
      </c>
      <c r="P294" s="165">
        <f>(INDEX(Models!$BJ294:$BT294,,T294)*(1-R294)+INDEX(Models!$BJ294:$BT294,,T294+1)*R294-ERP_i)*Q294*Ramure*Pc/MaxiM</f>
        <v>2.248664947366696E-4</v>
      </c>
      <c r="Q294" s="301">
        <f t="shared" si="105"/>
        <v>0.5</v>
      </c>
      <c r="R294" s="173">
        <f t="shared" si="106"/>
        <v>0.49024472784939555</v>
      </c>
      <c r="S294" s="802">
        <f t="shared" si="107"/>
        <v>1</v>
      </c>
      <c r="T294" s="172">
        <f t="shared" si="108"/>
        <v>7</v>
      </c>
      <c r="U294" s="247">
        <f t="shared" si="109"/>
        <v>1.4902447278493955</v>
      </c>
      <c r="V294" s="378">
        <f t="shared" si="110"/>
        <v>36.953300461813477</v>
      </c>
      <c r="W294" s="397">
        <f t="shared" si="111"/>
        <v>29.879192899832532</v>
      </c>
      <c r="X294" s="153">
        <f t="shared" si="112"/>
        <v>45571</v>
      </c>
      <c r="Y294" s="380">
        <f t="shared" si="113"/>
        <v>29.27540260641954</v>
      </c>
      <c r="Z294" s="380">
        <f t="shared" si="114"/>
        <v>29.698831135746509</v>
      </c>
      <c r="AA294" s="381">
        <f t="shared" si="115"/>
        <v>31.302166909187541</v>
      </c>
      <c r="AB294" s="193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5.1221239030913045E-2</v>
      </c>
      <c r="AD294" s="227">
        <f>(INDEX(Models!$BJ294:$BT294,,AH294)*(1-AF294)+INDEX(Models!$BJ294:$BT294,,AH294+1)*AF294-ERP_i)*AE294*Ramure*Pc/MaxiM</f>
        <v>2.248664947366696E-4</v>
      </c>
      <c r="AE294" s="301">
        <f t="shared" si="117"/>
        <v>0.5</v>
      </c>
      <c r="AF294" s="173">
        <f t="shared" si="118"/>
        <v>0.49024472784939555</v>
      </c>
      <c r="AG294" s="802">
        <f t="shared" si="124"/>
        <v>1</v>
      </c>
      <c r="AH294" s="172">
        <f t="shared" si="119"/>
        <v>7</v>
      </c>
      <c r="AI294" s="221">
        <f t="shared" si="120"/>
        <v>1.4902447278493955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3"/>
        <v>45572</v>
      </c>
      <c r="B295" s="406">
        <f>'2023'!Wh/'2023'!Env_an*'2024'!Env_an</f>
        <v>15.110980085241589</v>
      </c>
      <c r="C295" s="385"/>
      <c r="D295" s="388">
        <f t="shared" si="102"/>
        <v>15.329749529489451</v>
      </c>
      <c r="E295" s="380">
        <f t="shared" si="100"/>
        <v>15.831373398724999</v>
      </c>
      <c r="F295" s="380">
        <f t="shared" si="103"/>
        <v>15.831994548657226</v>
      </c>
      <c r="G295" s="110">
        <f t="shared" si="101"/>
        <v>0.41324230485282676</v>
      </c>
      <c r="H295" s="409" t="b">
        <f>Wh_hp&gt;='2023'!Maxi_hp</f>
        <v>0</v>
      </c>
      <c r="I295" s="375">
        <f>IF(H295,Wh_hp,'2023'!Maxi_hp)</f>
        <v>15.834246656032258</v>
      </c>
      <c r="J295" s="85">
        <f>IF(H295,An,'2023'!An_max)</f>
        <v>2022</v>
      </c>
      <c r="K295" s="193">
        <f t="shared" si="104"/>
        <v>45572</v>
      </c>
      <c r="L295" s="143">
        <f>IF(t&lt;Tvie,1-EXP((T0-t)*PertePVj)+'2023'!Pspv,1-EXP((T0-t)*PertePVj)+Pspv)</f>
        <v>1.4270907937994681E-2</v>
      </c>
      <c r="M295" s="836"/>
      <c r="N295" s="836"/>
      <c r="O295" s="48">
        <f>IF(t&lt;Tnet,'2023'!Resal+('2023'!Salim-'2023'!Resal)*(1-EXP(('2023'!Tnet-t)/('2023'!Tau_j))),Resal+(Salim-Resal)*(1-EXP((Tnet-t)/(Tau_j))))*Salcycl</f>
        <v>3.1685429722474172E-2</v>
      </c>
      <c r="P295" s="165">
        <f>(INDEX(Models!$BJ295:$BT295,,T295)*(1-R295)+INDEX(Models!$BJ295:$BT295,,T295+1)*R295-ERP_i)*Q295*Ramure*Pc/MaxiM</f>
        <v>2.4234178466848115E-4</v>
      </c>
      <c r="Q295" s="301">
        <f t="shared" si="105"/>
        <v>0.5</v>
      </c>
      <c r="R295" s="173">
        <f t="shared" si="106"/>
        <v>0.4903941342152569</v>
      </c>
      <c r="S295" s="802">
        <f t="shared" si="107"/>
        <v>1</v>
      </c>
      <c r="T295" s="172">
        <f t="shared" si="108"/>
        <v>7</v>
      </c>
      <c r="U295" s="247">
        <f t="shared" si="109"/>
        <v>1.4903941342152569</v>
      </c>
      <c r="V295" s="378">
        <f t="shared" si="110"/>
        <v>36.559448602647507</v>
      </c>
      <c r="W295" s="397">
        <f t="shared" si="111"/>
        <v>15.110980085241589</v>
      </c>
      <c r="X295" s="153">
        <f t="shared" si="112"/>
        <v>45572</v>
      </c>
      <c r="Y295" s="380">
        <f t="shared" si="113"/>
        <v>14.806031686864113</v>
      </c>
      <c r="Z295" s="380">
        <f t="shared" si="114"/>
        <v>15.020386236031642</v>
      </c>
      <c r="AA295" s="381">
        <f t="shared" si="115"/>
        <v>15.831373398724999</v>
      </c>
      <c r="AB295" s="193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5.1226582954494004E-2</v>
      </c>
      <c r="AD295" s="227">
        <f>(INDEX(Models!$BJ295:$BT295,,AH295)*(1-AF295)+INDEX(Models!$BJ295:$BT295,,AH295+1)*AF295-ERP_i)*AE295*Ramure*Pc/MaxiM</f>
        <v>2.4234178466848115E-4</v>
      </c>
      <c r="AE295" s="301">
        <f t="shared" si="117"/>
        <v>0.5</v>
      </c>
      <c r="AF295" s="173">
        <f t="shared" si="118"/>
        <v>0.4903941342152569</v>
      </c>
      <c r="AG295" s="802">
        <f t="shared" si="124"/>
        <v>1</v>
      </c>
      <c r="AH295" s="172">
        <f t="shared" si="119"/>
        <v>7</v>
      </c>
      <c r="AI295" s="221">
        <f t="shared" si="120"/>
        <v>1.4903941342152569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3"/>
        <v>45573</v>
      </c>
      <c r="B296" s="406">
        <f>'2023'!Wh/'2023'!Env_an*'2024'!Env_an</f>
        <v>35.289074200271955</v>
      </c>
      <c r="C296" s="385"/>
      <c r="D296" s="388">
        <f t="shared" si="102"/>
        <v>35.800462387546681</v>
      </c>
      <c r="E296" s="380">
        <f t="shared" si="100"/>
        <v>36.973145744106247</v>
      </c>
      <c r="F296" s="380">
        <f t="shared" si="103"/>
        <v>36.982413934856794</v>
      </c>
      <c r="G296" s="110">
        <f t="shared" si="101"/>
        <v>0.97575274685261193</v>
      </c>
      <c r="H296" s="409" t="b">
        <f>Wh_hp&gt;='2023'!Maxi_hp</f>
        <v>0</v>
      </c>
      <c r="I296" s="375">
        <f>IF(H296,Wh_hp,'2023'!Maxi_hp)</f>
        <v>36.982646782683823</v>
      </c>
      <c r="J296" s="85">
        <f>IF(H296,An,'2023'!An_max)</f>
        <v>2022</v>
      </c>
      <c r="K296" s="193">
        <f t="shared" si="104"/>
        <v>45573</v>
      </c>
      <c r="L296" s="143">
        <f>IF(t&lt;Tvie,1-EXP((T0-t)*PertePVj)+'2023'!Pspv,1-EXP((T0-t)*PertePVj)+Pspv)</f>
        <v>1.4284401741487485E-2</v>
      </c>
      <c r="M296" s="836"/>
      <c r="N296" s="836"/>
      <c r="O296" s="48">
        <f>IF(t&lt;Tnet,'2023'!Resal+('2023'!Salim-'2023'!Resal)*(1-EXP(('2023'!Tnet-t)/('2023'!Tau_j))),Resal+(Salim-Resal)*(1-EXP((Tnet-t)/(Tau_j))))*Salcycl</f>
        <v>3.1717164795113398E-2</v>
      </c>
      <c r="P296" s="165">
        <f>(INDEX(Models!$BJ296:$BT296,,T296)*(1-R296)+INDEX(Models!$BJ296:$BT296,,T296+1)*R296-ERP_i)*Q296*Ramure*Pc/MaxiM</f>
        <v>2.5959976210019703E-4</v>
      </c>
      <c r="Q296" s="301">
        <f t="shared" si="105"/>
        <v>0.5</v>
      </c>
      <c r="R296" s="173">
        <f t="shared" si="106"/>
        <v>0.49053760952591929</v>
      </c>
      <c r="S296" s="802">
        <f t="shared" si="107"/>
        <v>1</v>
      </c>
      <c r="T296" s="172">
        <f t="shared" si="108"/>
        <v>7</v>
      </c>
      <c r="U296" s="247">
        <f t="shared" si="109"/>
        <v>1.4905376095259193</v>
      </c>
      <c r="V296" s="378">
        <f t="shared" si="110"/>
        <v>36.165675188630544</v>
      </c>
      <c r="W296" s="397">
        <f t="shared" si="111"/>
        <v>35.289074200271955</v>
      </c>
      <c r="X296" s="153">
        <f t="shared" si="112"/>
        <v>45573</v>
      </c>
      <c r="Y296" s="380">
        <f t="shared" si="113"/>
        <v>34.577886938495944</v>
      </c>
      <c r="Z296" s="380">
        <f t="shared" si="114"/>
        <v>35.078969024722269</v>
      </c>
      <c r="AA296" s="381">
        <f t="shared" si="115"/>
        <v>36.973145744106247</v>
      </c>
      <c r="AB296" s="193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5.1231148479864472E-2</v>
      </c>
      <c r="AD296" s="227">
        <f>(INDEX(Models!$BJ296:$BT296,,AH296)*(1-AF296)+INDEX(Models!$BJ296:$BT296,,AH296+1)*AF296-ERP_i)*AE296*Ramure*Pc/MaxiM</f>
        <v>2.5959976210019703E-4</v>
      </c>
      <c r="AE296" s="301">
        <f t="shared" si="117"/>
        <v>0.5</v>
      </c>
      <c r="AF296" s="173">
        <f t="shared" si="118"/>
        <v>0.49053760952591929</v>
      </c>
      <c r="AG296" s="802">
        <f t="shared" si="124"/>
        <v>1</v>
      </c>
      <c r="AH296" s="172">
        <f t="shared" si="119"/>
        <v>7</v>
      </c>
      <c r="AI296" s="221">
        <f t="shared" si="120"/>
        <v>1.4905376095259193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3"/>
        <v>45574</v>
      </c>
      <c r="B297" s="406">
        <f>'2023'!Wh/'2023'!Env_an*'2024'!Env_an</f>
        <v>30.897753073177391</v>
      </c>
      <c r="C297" s="385"/>
      <c r="D297" s="388">
        <f t="shared" si="102"/>
        <v>31.345933956862272</v>
      </c>
      <c r="E297" s="380">
        <f t="shared" ref="E297:E360" si="125">Wh_pvt/(1-Psa)</f>
        <v>32.373747474500938</v>
      </c>
      <c r="F297" s="380">
        <f t="shared" si="103"/>
        <v>32.380942164684484</v>
      </c>
      <c r="G297" s="110">
        <f t="shared" ref="G297:G360" si="126">+Wh_hp/MaxiM</f>
        <v>0.86368467224285872</v>
      </c>
      <c r="H297" s="409" t="b">
        <f>Wh_hp&gt;='2023'!Maxi_hp</f>
        <v>0</v>
      </c>
      <c r="I297" s="375">
        <f>IF(H297,Wh_hp,'2023'!Maxi_hp)</f>
        <v>32.382160198719454</v>
      </c>
      <c r="J297" s="85">
        <f>IF(H297,An,'2023'!An_max)</f>
        <v>2022</v>
      </c>
      <c r="K297" s="193">
        <f t="shared" si="104"/>
        <v>45574</v>
      </c>
      <c r="L297" s="143">
        <f>IF(t&lt;Tvie,1-EXP((T0-t)*PertePVj)+'2023'!Pspv,1-EXP((T0-t)*PertePVj)+Pspv)</f>
        <v>1.4297895360261381E-2</v>
      </c>
      <c r="M297" s="836"/>
      <c r="N297" s="836"/>
      <c r="O297" s="48">
        <f>IF(t&lt;Tnet,'2023'!Resal+('2023'!Salim-'2023'!Resal)*(1-EXP(('2023'!Tnet-t)/('2023'!Tau_j))),Resal+(Salim-Resal)*(1-EXP((Tnet-t)/(Tau_j))))*Salcycl</f>
        <v>3.1748363962133798E-2</v>
      </c>
      <c r="P297" s="165">
        <f>(INDEX(Models!$BJ297:$BT297,,T297)*(1-R297)+INDEX(Models!$BJ297:$BT297,,T297+1)*R297-ERP_i)*Q297*Ramure*Pc/MaxiM</f>
        <v>2.7589808275669777E-4</v>
      </c>
      <c r="Q297" s="301">
        <f t="shared" si="105"/>
        <v>0.5</v>
      </c>
      <c r="R297" s="173">
        <f t="shared" si="106"/>
        <v>0.49067538598451055</v>
      </c>
      <c r="S297" s="802">
        <f t="shared" si="107"/>
        <v>1</v>
      </c>
      <c r="T297" s="172">
        <f t="shared" si="108"/>
        <v>7</v>
      </c>
      <c r="U297" s="247">
        <f t="shared" si="109"/>
        <v>1.4906753859845105</v>
      </c>
      <c r="V297" s="378">
        <f t="shared" si="110"/>
        <v>35.772422746769223</v>
      </c>
      <c r="W297" s="397">
        <f t="shared" si="111"/>
        <v>30.897753073177391</v>
      </c>
      <c r="X297" s="153">
        <f t="shared" si="112"/>
        <v>45574</v>
      </c>
      <c r="Y297" s="380">
        <f t="shared" si="113"/>
        <v>30.27591957782349</v>
      </c>
      <c r="Z297" s="380">
        <f t="shared" si="114"/>
        <v>30.715080586024463</v>
      </c>
      <c r="AA297" s="381">
        <f t="shared" si="115"/>
        <v>32.373747474500938</v>
      </c>
      <c r="AB297" s="193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5.1234936263801913E-2</v>
      </c>
      <c r="AD297" s="227">
        <f>(INDEX(Models!$BJ297:$BT297,,AH297)*(1-AF297)+INDEX(Models!$BJ297:$BT297,,AH297+1)*AF297-ERP_i)*AE297*Ramure*Pc/MaxiM</f>
        <v>2.7589808275669777E-4</v>
      </c>
      <c r="AE297" s="301">
        <f t="shared" si="117"/>
        <v>0.5</v>
      </c>
      <c r="AF297" s="173">
        <f t="shared" si="118"/>
        <v>0.49067538598451055</v>
      </c>
      <c r="AG297" s="802">
        <f t="shared" si="124"/>
        <v>1</v>
      </c>
      <c r="AH297" s="172">
        <f t="shared" si="119"/>
        <v>7</v>
      </c>
      <c r="AI297" s="221">
        <f t="shared" si="120"/>
        <v>1.4906753859845105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3"/>
        <v>45575</v>
      </c>
      <c r="B298" s="406">
        <f>'2023'!Wh/'2023'!Env_an*'2024'!Env_an</f>
        <v>24.849711189061903</v>
      </c>
      <c r="C298" s="385"/>
      <c r="D298" s="388">
        <f t="shared" si="102"/>
        <v>25.210508579039043</v>
      </c>
      <c r="E298" s="380">
        <f t="shared" si="125"/>
        <v>26.037969952201951</v>
      </c>
      <c r="F298" s="380">
        <f t="shared" si="103"/>
        <v>26.042329140964423</v>
      </c>
      <c r="G298" s="110">
        <f t="shared" si="126"/>
        <v>0.70227695004876123</v>
      </c>
      <c r="H298" s="409" t="b">
        <f>Wh_hp&gt;='2023'!Maxi_hp</f>
        <v>0</v>
      </c>
      <c r="I298" s="375">
        <f>IF(H298,Wh_hp,'2023'!Maxi_hp)</f>
        <v>26.044587044663935</v>
      </c>
      <c r="J298" s="85">
        <f>IF(H298,An,'2023'!An_max)</f>
        <v>2022</v>
      </c>
      <c r="K298" s="193">
        <f t="shared" si="104"/>
        <v>45575</v>
      </c>
      <c r="L298" s="143">
        <f>IF(t&lt;Tvie,1-EXP((T0-t)*PertePVj)+'2023'!Pspv,1-EXP((T0-t)*PertePVj)+Pspv)</f>
        <v>1.4311388794318924E-2</v>
      </c>
      <c r="M298" s="836"/>
      <c r="N298" s="836"/>
      <c r="O298" s="48">
        <f>IF(t&lt;Tnet,'2023'!Resal+('2023'!Salim-'2023'!Resal)*(1-EXP(('2023'!Tnet-t)/('2023'!Tau_j))),Resal+(Salim-Resal)*(1-EXP((Tnet-t)/(Tau_j))))*Salcycl</f>
        <v>3.1779027884350552E-2</v>
      </c>
      <c r="P298" s="165">
        <f>(INDEX(Models!$BJ298:$BT298,,T298)*(1-R298)+INDEX(Models!$BJ298:$BT298,,T298+1)*R298-ERP_i)*Q298*Ramure*Pc/MaxiM</f>
        <v>2.9120903735513099E-4</v>
      </c>
      <c r="Q298" s="301">
        <f t="shared" si="105"/>
        <v>0.5</v>
      </c>
      <c r="R298" s="173">
        <f t="shared" si="106"/>
        <v>0.4908076869578768</v>
      </c>
      <c r="S298" s="802">
        <f t="shared" si="107"/>
        <v>1</v>
      </c>
      <c r="T298" s="172">
        <f t="shared" si="108"/>
        <v>7</v>
      </c>
      <c r="U298" s="247">
        <f t="shared" si="109"/>
        <v>1.4908076869578768</v>
      </c>
      <c r="V298" s="378">
        <f t="shared" si="110"/>
        <v>35.380107192558427</v>
      </c>
      <c r="W298" s="397">
        <f t="shared" si="111"/>
        <v>24.849711189061903</v>
      </c>
      <c r="X298" s="153">
        <f t="shared" si="112"/>
        <v>45575</v>
      </c>
      <c r="Y298" s="380">
        <f t="shared" si="113"/>
        <v>24.350291542479486</v>
      </c>
      <c r="Z298" s="380">
        <f t="shared" si="114"/>
        <v>24.703837769510734</v>
      </c>
      <c r="AA298" s="381">
        <f t="shared" si="115"/>
        <v>26.037969952201951</v>
      </c>
      <c r="AB298" s="193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5.1237949238757526E-2</v>
      </c>
      <c r="AD298" s="227">
        <f>(INDEX(Models!$BJ298:$BT298,,AH298)*(1-AF298)+INDEX(Models!$BJ298:$BT298,,AH298+1)*AF298-ERP_i)*AE298*Ramure*Pc/MaxiM</f>
        <v>2.9120903735513099E-4</v>
      </c>
      <c r="AE298" s="301">
        <f t="shared" si="117"/>
        <v>0.5</v>
      </c>
      <c r="AF298" s="173">
        <f t="shared" si="118"/>
        <v>0.4908076869578768</v>
      </c>
      <c r="AG298" s="802">
        <f t="shared" si="124"/>
        <v>1</v>
      </c>
      <c r="AH298" s="172">
        <f t="shared" si="119"/>
        <v>7</v>
      </c>
      <c r="AI298" s="221">
        <f t="shared" si="120"/>
        <v>1.4908076869578768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3"/>
        <v>45576</v>
      </c>
      <c r="B299" s="406">
        <f>'2023'!Wh/'2023'!Env_an*'2024'!Env_an</f>
        <v>24.754863439396971</v>
      </c>
      <c r="C299" s="385"/>
      <c r="D299" s="388">
        <f t="shared" si="102"/>
        <v>25.114627516136149</v>
      </c>
      <c r="E299" s="380">
        <f t="shared" si="125"/>
        <v>25.939749112495115</v>
      </c>
      <c r="F299" s="380">
        <f t="shared" si="103"/>
        <v>25.944363255972224</v>
      </c>
      <c r="G299" s="110">
        <f t="shared" si="126"/>
        <v>0.70741092039471098</v>
      </c>
      <c r="H299" s="409" t="b">
        <f>Wh_hp&gt;='2023'!Maxi_hp</f>
        <v>0</v>
      </c>
      <c r="I299" s="375">
        <f>IF(H299,Wh_hp,'2023'!Maxi_hp)</f>
        <v>25.946681721732432</v>
      </c>
      <c r="J299" s="85">
        <f>IF(H299,An,'2023'!An_max)</f>
        <v>2022</v>
      </c>
      <c r="K299" s="193">
        <f t="shared" si="104"/>
        <v>45576</v>
      </c>
      <c r="L299" s="143">
        <f>IF(t&lt;Tvie,1-EXP((T0-t)*PertePVj)+'2023'!Pspv,1-EXP((T0-t)*PertePVj)+Pspv)</f>
        <v>1.4324882043662779E-2</v>
      </c>
      <c r="M299" s="836"/>
      <c r="N299" s="836"/>
      <c r="O299" s="48">
        <f>IF(t&lt;Tnet,'2023'!Resal+('2023'!Salim-'2023'!Resal)*(1-EXP(('2023'!Tnet-t)/('2023'!Tau_j))),Resal+(Salim-Resal)*(1-EXP((Tnet-t)/(Tau_j))))*Salcycl</f>
        <v>3.180915870776517E-2</v>
      </c>
      <c r="P299" s="165">
        <f>(INDEX(Models!$BJ299:$BT299,,T299)*(1-R299)+INDEX(Models!$BJ299:$BT299,,T299+1)*R299-ERP_i)*Q299*Ramure*Pc/MaxiM</f>
        <v>3.0550418879557451E-4</v>
      </c>
      <c r="Q299" s="301">
        <f t="shared" si="105"/>
        <v>0.5</v>
      </c>
      <c r="R299" s="173">
        <f t="shared" si="106"/>
        <v>0.49093472729277821</v>
      </c>
      <c r="S299" s="802">
        <f t="shared" si="107"/>
        <v>1</v>
      </c>
      <c r="T299" s="172">
        <f t="shared" si="108"/>
        <v>7</v>
      </c>
      <c r="U299" s="247">
        <f t="shared" si="109"/>
        <v>1.4909347272927782</v>
      </c>
      <c r="V299" s="378">
        <f t="shared" si="110"/>
        <v>34.989144276636686</v>
      </c>
      <c r="W299" s="397">
        <f t="shared" si="111"/>
        <v>24.754863439396971</v>
      </c>
      <c r="X299" s="153">
        <f t="shared" si="112"/>
        <v>45576</v>
      </c>
      <c r="Y299" s="380">
        <f t="shared" si="113"/>
        <v>24.2580475507004</v>
      </c>
      <c r="Z299" s="380">
        <f t="shared" si="114"/>
        <v>24.610591369087363</v>
      </c>
      <c r="AA299" s="381">
        <f t="shared" si="115"/>
        <v>25.939749112495115</v>
      </c>
      <c r="AB299" s="193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5.1240192711328111E-2</v>
      </c>
      <c r="AD299" s="227">
        <f>(INDEX(Models!$BJ299:$BT299,,AH299)*(1-AF299)+INDEX(Models!$BJ299:$BT299,,AH299+1)*AF299-ERP_i)*AE299*Ramure*Pc/MaxiM</f>
        <v>3.0550418879557451E-4</v>
      </c>
      <c r="AE299" s="301">
        <f t="shared" si="117"/>
        <v>0.5</v>
      </c>
      <c r="AF299" s="173">
        <f t="shared" si="118"/>
        <v>0.49093472729277821</v>
      </c>
      <c r="AG299" s="802">
        <f t="shared" si="124"/>
        <v>1</v>
      </c>
      <c r="AH299" s="172">
        <f t="shared" si="119"/>
        <v>7</v>
      </c>
      <c r="AI299" s="221">
        <f t="shared" si="120"/>
        <v>1.4909347272927782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3"/>
        <v>45577</v>
      </c>
      <c r="B300" s="406">
        <f>'2023'!Wh/'2023'!Env_an*'2024'!Env_an</f>
        <v>22.423645011709009</v>
      </c>
      <c r="C300" s="385"/>
      <c r="D300" s="388">
        <f t="shared" si="102"/>
        <v>22.749840762211583</v>
      </c>
      <c r="E300" s="380">
        <f t="shared" si="125"/>
        <v>23.497987551261378</v>
      </c>
      <c r="F300" s="380">
        <f t="shared" si="103"/>
        <v>23.501712675935902</v>
      </c>
      <c r="G300" s="110">
        <f t="shared" si="126"/>
        <v>0.6479792981876219</v>
      </c>
      <c r="H300" s="409" t="b">
        <f>Wh_hp&gt;='2023'!Maxi_hp</f>
        <v>0</v>
      </c>
      <c r="I300" s="375">
        <f>IF(H300,Wh_hp,'2023'!Maxi_hp)</f>
        <v>23.504348128002412</v>
      </c>
      <c r="J300" s="85">
        <f>IF(H300,An,'2023'!An_max)</f>
        <v>2022</v>
      </c>
      <c r="K300" s="193">
        <f t="shared" si="104"/>
        <v>45577</v>
      </c>
      <c r="L300" s="143">
        <f>IF(t&lt;Tvie,1-EXP((T0-t)*PertePVj)+'2023'!Pspv,1-EXP((T0-t)*PertePVj)+Pspv)</f>
        <v>1.4338375108295276E-2</v>
      </c>
      <c r="M300" s="836"/>
      <c r="N300" s="836"/>
      <c r="O300" s="48">
        <f>IF(t&lt;Tnet,'2023'!Resal+('2023'!Salim-'2023'!Resal)*(1-EXP(('2023'!Tnet-t)/('2023'!Tau_j))),Resal+(Salim-Resal)*(1-EXP((Tnet-t)/(Tau_j))))*Salcycl</f>
        <v>3.1838760124359378E-2</v>
      </c>
      <c r="P300" s="165">
        <f>(INDEX(Models!$BJ300:$BT300,,T300)*(1-R300)+INDEX(Models!$BJ300:$BT300,,T300+1)*R300-ERP_i)*Q300*Ramure*Pc/MaxiM</f>
        <v>3.1875449267608204E-4</v>
      </c>
      <c r="Q300" s="301">
        <f t="shared" si="105"/>
        <v>0.5</v>
      </c>
      <c r="R300" s="173">
        <f t="shared" si="106"/>
        <v>0.49105671362237224</v>
      </c>
      <c r="S300" s="802">
        <f t="shared" si="107"/>
        <v>1</v>
      </c>
      <c r="T300" s="172">
        <f t="shared" si="108"/>
        <v>7</v>
      </c>
      <c r="U300" s="247">
        <f t="shared" si="109"/>
        <v>1.4910567136223722</v>
      </c>
      <c r="V300" s="378">
        <f t="shared" si="110"/>
        <v>34.599949586945137</v>
      </c>
      <c r="W300" s="397">
        <f t="shared" si="111"/>
        <v>22.423645011709009</v>
      </c>
      <c r="X300" s="153">
        <f t="shared" si="112"/>
        <v>45577</v>
      </c>
      <c r="Y300" s="380">
        <f t="shared" si="113"/>
        <v>21.97425285976194</v>
      </c>
      <c r="Z300" s="380">
        <f t="shared" si="114"/>
        <v>22.293911322941344</v>
      </c>
      <c r="AA300" s="381">
        <f t="shared" si="115"/>
        <v>23.497987551261378</v>
      </c>
      <c r="AB300" s="193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5.1241674449495414E-2</v>
      </c>
      <c r="AD300" s="227">
        <f>(INDEX(Models!$BJ300:$BT300,,AH300)*(1-AF300)+INDEX(Models!$BJ300:$BT300,,AH300+1)*AF300-ERP_i)*AE300*Ramure*Pc/MaxiM</f>
        <v>3.1875449267608204E-4</v>
      </c>
      <c r="AE300" s="301">
        <f t="shared" si="117"/>
        <v>0.5</v>
      </c>
      <c r="AF300" s="173">
        <f t="shared" si="118"/>
        <v>0.49105671362237224</v>
      </c>
      <c r="AG300" s="802">
        <f t="shared" si="124"/>
        <v>1</v>
      </c>
      <c r="AH300" s="172">
        <f t="shared" si="119"/>
        <v>7</v>
      </c>
      <c r="AI300" s="221">
        <f t="shared" si="120"/>
        <v>1.4910567136223722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3"/>
        <v>45578</v>
      </c>
      <c r="B301" s="406">
        <f>'2023'!Wh/'2023'!Env_an*'2024'!Env_an</f>
        <v>15.072249743743487</v>
      </c>
      <c r="C301" s="385"/>
      <c r="D301" s="388">
        <f t="shared" si="102"/>
        <v>15.291714410273279</v>
      </c>
      <c r="E301" s="380">
        <f t="shared" si="125"/>
        <v>15.795069104623652</v>
      </c>
      <c r="F301" s="380">
        <f t="shared" si="103"/>
        <v>15.796118638308247</v>
      </c>
      <c r="G301" s="110">
        <f t="shared" si="126"/>
        <v>0.44042586486911123</v>
      </c>
      <c r="H301" s="409" t="b">
        <f>Wh_hp&gt;='2023'!Maxi_hp</f>
        <v>0</v>
      </c>
      <c r="I301" s="375">
        <f>IF(H301,Wh_hp,'2023'!Maxi_hp)</f>
        <v>15.799040866811126</v>
      </c>
      <c r="J301" s="85">
        <f>IF(H301,An,'2023'!An_max)</f>
        <v>2022</v>
      </c>
      <c r="K301" s="193">
        <f t="shared" si="104"/>
        <v>45578</v>
      </c>
      <c r="L301" s="143">
        <f>IF(t&lt;Tvie,1-EXP((T0-t)*PertePVj)+'2023'!Pspv,1-EXP((T0-t)*PertePVj)+Pspv)</f>
        <v>1.4351867988219191E-2</v>
      </c>
      <c r="M301" s="836"/>
      <c r="N301" s="836"/>
      <c r="O301" s="48">
        <f>IF(t&lt;Tnet,'2023'!Resal+('2023'!Salim-'2023'!Resal)*(1-EXP(('2023'!Tnet-t)/('2023'!Tau_j))),Resal+(Salim-Resal)*(1-EXP((Tnet-t)/(Tau_j))))*Salcycl</f>
        <v>3.1867837425480237E-2</v>
      </c>
      <c r="P301" s="165">
        <f>(INDEX(Models!$BJ301:$BT301,,T301)*(1-R301)+INDEX(Models!$BJ301:$BT301,,T301+1)*R301-ERP_i)*Q301*Ramure*Pc/MaxiM</f>
        <v>3.3093042561964224E-4</v>
      </c>
      <c r="Q301" s="301">
        <f t="shared" si="105"/>
        <v>0.5</v>
      </c>
      <c r="R301" s="173">
        <f t="shared" si="106"/>
        <v>0.49117384466315306</v>
      </c>
      <c r="S301" s="802">
        <f t="shared" si="107"/>
        <v>1</v>
      </c>
      <c r="T301" s="172">
        <f t="shared" si="108"/>
        <v>7</v>
      </c>
      <c r="U301" s="247">
        <f t="shared" si="109"/>
        <v>1.4911738446631531</v>
      </c>
      <c r="V301" s="378">
        <f t="shared" si="110"/>
        <v>34.212938550589541</v>
      </c>
      <c r="W301" s="397">
        <f t="shared" si="111"/>
        <v>15.072249743743487</v>
      </c>
      <c r="X301" s="153">
        <f t="shared" si="112"/>
        <v>45578</v>
      </c>
      <c r="Y301" s="380">
        <f t="shared" si="113"/>
        <v>14.770619110246786</v>
      </c>
      <c r="Z301" s="380">
        <f t="shared" si="114"/>
        <v>14.9856917803911</v>
      </c>
      <c r="AA301" s="381">
        <f t="shared" si="115"/>
        <v>15.795069104623652</v>
      </c>
      <c r="AB301" s="193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5.12424047575471E-2</v>
      </c>
      <c r="AD301" s="227">
        <f>(INDEX(Models!$BJ301:$BT301,,AH301)*(1-AF301)+INDEX(Models!$BJ301:$BT301,,AH301+1)*AF301-ERP_i)*AE301*Ramure*Pc/MaxiM</f>
        <v>3.3093042561964224E-4</v>
      </c>
      <c r="AE301" s="301">
        <f t="shared" si="117"/>
        <v>0.5</v>
      </c>
      <c r="AF301" s="173">
        <f t="shared" si="118"/>
        <v>0.49117384466315306</v>
      </c>
      <c r="AG301" s="802">
        <f t="shared" si="124"/>
        <v>1</v>
      </c>
      <c r="AH301" s="172">
        <f t="shared" si="119"/>
        <v>7</v>
      </c>
      <c r="AI301" s="221">
        <f t="shared" si="120"/>
        <v>1.4911738446631531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3"/>
        <v>45579</v>
      </c>
      <c r="B302" s="406">
        <f>'2023'!Wh/'2023'!Env_an*'2024'!Env_an</f>
        <v>33.594356312215417</v>
      </c>
      <c r="C302" s="385"/>
      <c r="D302" s="388">
        <f t="shared" si="102"/>
        <v>34.083985051001925</v>
      </c>
      <c r="E302" s="380">
        <f t="shared" si="125"/>
        <v>35.206960251613744</v>
      </c>
      <c r="F302" s="380">
        <f t="shared" si="103"/>
        <v>35.218886073567113</v>
      </c>
      <c r="G302" s="110">
        <f t="shared" si="126"/>
        <v>0.99307437222043193</v>
      </c>
      <c r="H302" s="409" t="b">
        <f>Wh_hp&gt;='2023'!Maxi_hp</f>
        <v>0</v>
      </c>
      <c r="I302" s="375">
        <f>IF(H302,Wh_hp,'2023'!Maxi_hp)</f>
        <v>35.21896935140299</v>
      </c>
      <c r="J302" s="85">
        <f>IF(H302,An,'2023'!An_max)</f>
        <v>2022</v>
      </c>
      <c r="K302" s="193">
        <f t="shared" si="104"/>
        <v>45579</v>
      </c>
      <c r="L302" s="143">
        <f>IF(t&lt;Tvie,1-EXP((T0-t)*PertePVj)+'2023'!Pspv,1-EXP((T0-t)*PertePVj)+Pspv)</f>
        <v>1.4365360683436745E-2</v>
      </c>
      <c r="M302" s="836"/>
      <c r="N302" s="836"/>
      <c r="O302" s="48">
        <f>IF(t&lt;Tnet,'2023'!Resal+('2023'!Salim-'2023'!Resal)*(1-EXP(('2023'!Tnet-t)/('2023'!Tau_j))),Resal+(Salim-Resal)*(1-EXP((Tnet-t)/(Tau_j))))*Salcycl</f>
        <v>3.1896397547139708E-2</v>
      </c>
      <c r="P302" s="165">
        <f>(INDEX(Models!$BJ302:$BT302,,T302)*(1-R302)+INDEX(Models!$BJ302:$BT302,,T302+1)*R302-ERP_i)*Q302*Ramure*Pc/MaxiM</f>
        <v>3.4200212146504592E-4</v>
      </c>
      <c r="Q302" s="301">
        <f t="shared" si="105"/>
        <v>0.5</v>
      </c>
      <c r="R302" s="173">
        <f t="shared" si="106"/>
        <v>0.49128631150251922</v>
      </c>
      <c r="S302" s="802">
        <f t="shared" si="107"/>
        <v>1</v>
      </c>
      <c r="T302" s="172">
        <f t="shared" si="108"/>
        <v>7</v>
      </c>
      <c r="U302" s="247">
        <f t="shared" si="109"/>
        <v>1.4912863115025192</v>
      </c>
      <c r="V302" s="378">
        <f t="shared" si="110"/>
        <v>33.828526438604896</v>
      </c>
      <c r="W302" s="397">
        <f t="shared" si="111"/>
        <v>33.594356312215417</v>
      </c>
      <c r="X302" s="153">
        <f t="shared" si="112"/>
        <v>45579</v>
      </c>
      <c r="Y302" s="380">
        <f t="shared" si="113"/>
        <v>32.923026940382663</v>
      </c>
      <c r="Z302" s="380">
        <f t="shared" si="114"/>
        <v>33.402871233514489</v>
      </c>
      <c r="AA302" s="381">
        <f t="shared" si="115"/>
        <v>35.206960251613744</v>
      </c>
      <c r="AB302" s="193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5.1242396537672236E-2</v>
      </c>
      <c r="AD302" s="227">
        <f>(INDEX(Models!$BJ302:$BT302,,AH302)*(1-AF302)+INDEX(Models!$BJ302:$BT302,,AH302+1)*AF302-ERP_i)*AE302*Ramure*Pc/MaxiM</f>
        <v>3.4200212146504592E-4</v>
      </c>
      <c r="AE302" s="301">
        <f t="shared" si="117"/>
        <v>0.5</v>
      </c>
      <c r="AF302" s="173">
        <f t="shared" si="118"/>
        <v>0.49128631150251922</v>
      </c>
      <c r="AG302" s="802">
        <f t="shared" si="124"/>
        <v>1</v>
      </c>
      <c r="AH302" s="172">
        <f t="shared" si="119"/>
        <v>7</v>
      </c>
      <c r="AI302" s="221">
        <f t="shared" si="120"/>
        <v>1.4912863115025192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3"/>
        <v>45580</v>
      </c>
      <c r="B303" s="406">
        <f>'2023'!Wh/'2023'!Env_an*'2024'!Env_an</f>
        <v>29.450768809342335</v>
      </c>
      <c r="C303" s="385"/>
      <c r="D303" s="388">
        <f t="shared" si="102"/>
        <v>29.880414908688707</v>
      </c>
      <c r="E303" s="380">
        <f t="shared" si="125"/>
        <v>30.865788192991051</v>
      </c>
      <c r="F303" s="380">
        <f t="shared" si="103"/>
        <v>30.874800694792306</v>
      </c>
      <c r="G303" s="110">
        <f t="shared" si="126"/>
        <v>0.88050948399379225</v>
      </c>
      <c r="H303" s="409" t="b">
        <f>Wh_hp&gt;='2023'!Maxi_hp</f>
        <v>0</v>
      </c>
      <c r="I303" s="375">
        <f>IF(H303,Wh_hp,'2023'!Maxi_hp)</f>
        <v>30.876096250256072</v>
      </c>
      <c r="J303" s="85">
        <f>IF(H303,An,'2023'!An_max)</f>
        <v>2022</v>
      </c>
      <c r="K303" s="193">
        <f t="shared" si="104"/>
        <v>45580</v>
      </c>
      <c r="L303" s="143">
        <f>IF(t&lt;Tvie,1-EXP((T0-t)*PertePVj)+'2023'!Pspv,1-EXP((T0-t)*PertePVj)+Pspv)</f>
        <v>1.4378853193950714E-2</v>
      </c>
      <c r="M303" s="836"/>
      <c r="N303" s="836"/>
      <c r="O303" s="48">
        <f>IF(t&lt;Tnet,'2023'!Resal+('2023'!Salim-'2023'!Resal)*(1-EXP(('2023'!Tnet-t)/('2023'!Tau_j))),Resal+(Salim-Resal)*(1-EXP((Tnet-t)/(Tau_j))))*Salcycl</f>
        <v>3.1924449106603386E-2</v>
      </c>
      <c r="P303" s="165">
        <f>(INDEX(Models!$BJ303:$BT303,,T303)*(1-R303)+INDEX(Models!$BJ303:$BT303,,T303+1)*R303-ERP_i)*Q303*Ramure*Pc/MaxiM</f>
        <v>3.519576031951894E-4</v>
      </c>
      <c r="Q303" s="301">
        <f t="shared" si="105"/>
        <v>0.5</v>
      </c>
      <c r="R303" s="173">
        <f t="shared" si="106"/>
        <v>0.49139429787715216</v>
      </c>
      <c r="S303" s="802">
        <f t="shared" si="107"/>
        <v>1</v>
      </c>
      <c r="T303" s="172">
        <f t="shared" si="108"/>
        <v>7</v>
      </c>
      <c r="U303" s="247">
        <f t="shared" si="109"/>
        <v>1.4913942978771522</v>
      </c>
      <c r="V303" s="378">
        <f t="shared" si="110"/>
        <v>33.44540885288778</v>
      </c>
      <c r="W303" s="397">
        <f t="shared" si="111"/>
        <v>29.450768809342335</v>
      </c>
      <c r="X303" s="153">
        <f t="shared" si="112"/>
        <v>45580</v>
      </c>
      <c r="Y303" s="380">
        <f t="shared" si="113"/>
        <v>28.863100967999074</v>
      </c>
      <c r="Z303" s="380">
        <f t="shared" si="114"/>
        <v>29.284173804033408</v>
      </c>
      <c r="AA303" s="381">
        <f t="shared" si="115"/>
        <v>30.865788192991051</v>
      </c>
      <c r="AB303" s="193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5.1241665337313246E-2</v>
      </c>
      <c r="AD303" s="227">
        <f>(INDEX(Models!$BJ303:$BT303,,AH303)*(1-AF303)+INDEX(Models!$BJ303:$BT303,,AH303+1)*AF303-ERP_i)*AE303*Ramure*Pc/MaxiM</f>
        <v>3.519576031951894E-4</v>
      </c>
      <c r="AE303" s="301">
        <f t="shared" si="117"/>
        <v>0.5</v>
      </c>
      <c r="AF303" s="173">
        <f t="shared" si="118"/>
        <v>0.49139429787715216</v>
      </c>
      <c r="AG303" s="802">
        <f t="shared" si="124"/>
        <v>1</v>
      </c>
      <c r="AH303" s="172">
        <f t="shared" si="119"/>
        <v>7</v>
      </c>
      <c r="AI303" s="221">
        <f t="shared" si="120"/>
        <v>1.4913942978771522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3"/>
        <v>45581</v>
      </c>
      <c r="B304" s="406">
        <f>'2023'!Wh/'2023'!Env_an*'2024'!Env_an</f>
        <v>16.598077440784767</v>
      </c>
      <c r="C304" s="385"/>
      <c r="D304" s="388">
        <f t="shared" si="102"/>
        <v>16.84045103072766</v>
      </c>
      <c r="E304" s="380">
        <f t="shared" si="125"/>
        <v>17.396297573049555</v>
      </c>
      <c r="F304" s="380">
        <f t="shared" si="103"/>
        <v>17.398171248979452</v>
      </c>
      <c r="G304" s="110">
        <f t="shared" si="126"/>
        <v>0.50189854432641634</v>
      </c>
      <c r="H304" s="409" t="b">
        <f>Wh_hp&gt;='2023'!Maxi_hp</f>
        <v>0</v>
      </c>
      <c r="I304" s="375">
        <f>IF(H304,Wh_hp,'2023'!Maxi_hp)</f>
        <v>17.401400956915101</v>
      </c>
      <c r="J304" s="85">
        <f>IF(H304,An,'2023'!An_max)</f>
        <v>2022</v>
      </c>
      <c r="K304" s="193">
        <f t="shared" si="104"/>
        <v>45581</v>
      </c>
      <c r="L304" s="143">
        <f>IF(t&lt;Tvie,1-EXP((T0-t)*PertePVj)+'2023'!Pspv,1-EXP((T0-t)*PertePVj)+Pspv)</f>
        <v>1.439234551976365E-2</v>
      </c>
      <c r="M304" s="836"/>
      <c r="N304" s="836"/>
      <c r="O304" s="48">
        <f>IF(t&lt;Tnet,'2023'!Resal+('2023'!Salim-'2023'!Resal)*(1-EXP(('2023'!Tnet-t)/('2023'!Tau_j))),Resal+(Salim-Resal)*(1-EXP((Tnet-t)/(Tau_j))))*Salcycl</f>
        <v>3.1952002429701719E-2</v>
      </c>
      <c r="P304" s="165">
        <f>(INDEX(Models!$BJ304:$BT304,,T304)*(1-R304)+INDEX(Models!$BJ304:$BT304,,T304+1)*R304-ERP_i)*Q304*Ramure*Pc/MaxiM</f>
        <v>3.7313770869689864E-4</v>
      </c>
      <c r="Q304" s="301">
        <f t="shared" si="105"/>
        <v>0.5</v>
      </c>
      <c r="R304" s="173">
        <f t="shared" si="106"/>
        <v>0.4914979804423969</v>
      </c>
      <c r="S304" s="802">
        <f t="shared" si="107"/>
        <v>1</v>
      </c>
      <c r="T304" s="172">
        <f t="shared" si="108"/>
        <v>7</v>
      </c>
      <c r="U304" s="247">
        <f t="shared" si="109"/>
        <v>1.4914979804423969</v>
      </c>
      <c r="V304" s="378">
        <f t="shared" si="110"/>
        <v>33.061803617476876</v>
      </c>
      <c r="W304" s="397">
        <f t="shared" si="111"/>
        <v>16.598077440784767</v>
      </c>
      <c r="X304" s="153">
        <f t="shared" si="112"/>
        <v>45581</v>
      </c>
      <c r="Y304" s="380">
        <f t="shared" si="113"/>
        <v>16.267362966456851</v>
      </c>
      <c r="Z304" s="380">
        <f t="shared" si="114"/>
        <v>16.504907295018423</v>
      </c>
      <c r="AA304" s="381">
        <f t="shared" si="115"/>
        <v>17.396297573049555</v>
      </c>
      <c r="AB304" s="193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5.1240229381456455E-2</v>
      </c>
      <c r="AD304" s="227">
        <f>(INDEX(Models!$BJ304:$BT304,,AH304)*(1-AF304)+INDEX(Models!$BJ304:$BT304,,AH304+1)*AF304-ERP_i)*AE304*Ramure*Pc/MaxiM</f>
        <v>3.7313770869689864E-4</v>
      </c>
      <c r="AE304" s="301">
        <f t="shared" si="117"/>
        <v>0.5</v>
      </c>
      <c r="AF304" s="173">
        <f t="shared" si="118"/>
        <v>0.4914979804423969</v>
      </c>
      <c r="AG304" s="802">
        <f t="shared" si="124"/>
        <v>1</v>
      </c>
      <c r="AH304" s="172">
        <f t="shared" si="119"/>
        <v>7</v>
      </c>
      <c r="AI304" s="221">
        <f t="shared" si="120"/>
        <v>1.4914979804423969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3"/>
        <v>45582</v>
      </c>
      <c r="B305" s="406">
        <f>'2023'!Wh/'2023'!Env_an*'2024'!Env_an</f>
        <v>29.610161102512539</v>
      </c>
      <c r="C305" s="385"/>
      <c r="D305" s="388">
        <f t="shared" si="102"/>
        <v>30.042955035608568</v>
      </c>
      <c r="E305" s="380">
        <f t="shared" si="125"/>
        <v>31.035439514941569</v>
      </c>
      <c r="F305" s="380">
        <f t="shared" si="103"/>
        <v>31.046367545271675</v>
      </c>
      <c r="G305" s="110">
        <f t="shared" si="126"/>
        <v>0.90606961926912621</v>
      </c>
      <c r="H305" s="409" t="b">
        <f>Wh_hp&gt;='2023'!Maxi_hp</f>
        <v>0</v>
      </c>
      <c r="I305" s="375">
        <f>IF(H305,Wh_hp,'2023'!Maxi_hp)</f>
        <v>31.04755390716814</v>
      </c>
      <c r="J305" s="85">
        <f>IF(H305,An,'2023'!An_max)</f>
        <v>2022</v>
      </c>
      <c r="K305" s="193">
        <f t="shared" si="104"/>
        <v>45582</v>
      </c>
      <c r="L305" s="143">
        <f>IF(t&lt;Tvie,1-EXP((T0-t)*PertePVj)+'2023'!Pspv,1-EXP((T0-t)*PertePVj)+Pspv)</f>
        <v>1.4405837660877885E-2</v>
      </c>
      <c r="M305" s="836"/>
      <c r="N305" s="836"/>
      <c r="O305" s="48">
        <f>IF(t&lt;Tnet,'2023'!Resal+('2023'!Salim-'2023'!Resal)*(1-EXP(('2023'!Tnet-t)/('2023'!Tau_j))),Resal+(Salim-Resal)*(1-EXP((Tnet-t)/(Tau_j))))*Salcycl</f>
        <v>3.1979069568361843E-2</v>
      </c>
      <c r="P305" s="165">
        <f>(INDEX(Models!$BJ305:$BT305,,T305)*(1-R305)+INDEX(Models!$BJ305:$BT305,,T305+1)*R305-ERP_i)*Q305*Ramure*Pc/MaxiM</f>
        <v>4.0650997987487806E-4</v>
      </c>
      <c r="Q305" s="301">
        <f t="shared" si="105"/>
        <v>0.5</v>
      </c>
      <c r="R305" s="173">
        <f t="shared" si="106"/>
        <v>0.4915975290328376</v>
      </c>
      <c r="S305" s="802">
        <f t="shared" si="107"/>
        <v>1</v>
      </c>
      <c r="T305" s="172">
        <f t="shared" si="108"/>
        <v>7</v>
      </c>
      <c r="U305" s="247">
        <f t="shared" si="109"/>
        <v>1.4915975290328376</v>
      </c>
      <c r="V305" s="378">
        <f t="shared" si="110"/>
        <v>32.678003519310359</v>
      </c>
      <c r="W305" s="397">
        <f t="shared" si="111"/>
        <v>29.610161102512539</v>
      </c>
      <c r="X305" s="153">
        <f t="shared" si="112"/>
        <v>45582</v>
      </c>
      <c r="Y305" s="380">
        <f t="shared" si="113"/>
        <v>29.021058883988136</v>
      </c>
      <c r="Z305" s="380">
        <f t="shared" si="114"/>
        <v>29.445242263927497</v>
      </c>
      <c r="AA305" s="381">
        <f t="shared" si="115"/>
        <v>31.035439514941569</v>
      </c>
      <c r="AB305" s="193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5.1238109589151849E-2</v>
      </c>
      <c r="AD305" s="227">
        <f>(INDEX(Models!$BJ305:$BT305,,AH305)*(1-AF305)+INDEX(Models!$BJ305:$BT305,,AH305+1)*AF305-ERP_i)*AE305*Ramure*Pc/MaxiM</f>
        <v>4.0650997987487806E-4</v>
      </c>
      <c r="AE305" s="301">
        <f t="shared" si="117"/>
        <v>0.5</v>
      </c>
      <c r="AF305" s="173">
        <f t="shared" si="118"/>
        <v>0.4915975290328376</v>
      </c>
      <c r="AG305" s="802">
        <f t="shared" si="124"/>
        <v>1</v>
      </c>
      <c r="AH305" s="172">
        <f t="shared" si="119"/>
        <v>7</v>
      </c>
      <c r="AI305" s="221">
        <f t="shared" si="120"/>
        <v>1.4915975290328376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3"/>
        <v>45583</v>
      </c>
      <c r="B306" s="406">
        <f>'2023'!Wh/'2023'!Env_an*'2024'!Env_an</f>
        <v>16.540871617133725</v>
      </c>
      <c r="C306" s="385"/>
      <c r="D306" s="388">
        <f t="shared" si="102"/>
        <v>16.782869342101499</v>
      </c>
      <c r="E306" s="380">
        <f t="shared" si="125"/>
        <v>17.337776393187809</v>
      </c>
      <c r="F306" s="380">
        <f t="shared" si="103"/>
        <v>17.340153832107891</v>
      </c>
      <c r="G306" s="110">
        <f t="shared" si="126"/>
        <v>0.51202979065601417</v>
      </c>
      <c r="H306" s="409" t="b">
        <f>Wh_hp&gt;='2023'!Maxi_hp</f>
        <v>0</v>
      </c>
      <c r="I306" s="375">
        <f>IF(H306,Wh_hp,'2023'!Maxi_hp)</f>
        <v>17.343995779122771</v>
      </c>
      <c r="J306" s="85">
        <f>IF(H306,An,'2023'!An_max)</f>
        <v>2022</v>
      </c>
      <c r="K306" s="193">
        <f t="shared" si="104"/>
        <v>45583</v>
      </c>
      <c r="L306" s="143">
        <f>IF(t&lt;Tvie,1-EXP((T0-t)*PertePVj)+'2023'!Pspv,1-EXP((T0-t)*PertePVj)+Pspv)</f>
        <v>1.4419329617295973E-2</v>
      </c>
      <c r="M306" s="836"/>
      <c r="N306" s="836"/>
      <c r="O306" s="48">
        <f>IF(t&lt;Tnet,'2023'!Resal+('2023'!Salim-'2023'!Resal)*(1-EXP(('2023'!Tnet-t)/('2023'!Tau_j))),Resal+(Salim-Resal)*(1-EXP((Tnet-t)/(Tau_j))))*Salcycl</f>
        <v>3.200566430792931E-2</v>
      </c>
      <c r="P306" s="165">
        <f>(INDEX(Models!$BJ306:$BT306,,T306)*(1-R306)+INDEX(Models!$BJ306:$BT306,,T306+1)*R306-ERP_i)*Q306*Ramure*Pc/MaxiM</f>
        <v>4.523004143076516E-4</v>
      </c>
      <c r="Q306" s="301">
        <f t="shared" si="105"/>
        <v>0.5</v>
      </c>
      <c r="R306" s="173">
        <f t="shared" si="106"/>
        <v>0.4916931069142676</v>
      </c>
      <c r="S306" s="802">
        <f t="shared" si="107"/>
        <v>1</v>
      </c>
      <c r="T306" s="172">
        <f t="shared" si="108"/>
        <v>7</v>
      </c>
      <c r="U306" s="247">
        <f t="shared" si="109"/>
        <v>1.4916931069142676</v>
      </c>
      <c r="V306" s="378">
        <f t="shared" si="110"/>
        <v>32.294326645511596</v>
      </c>
      <c r="W306" s="397">
        <f t="shared" si="111"/>
        <v>16.540871617133725</v>
      </c>
      <c r="X306" s="153">
        <f t="shared" si="112"/>
        <v>45583</v>
      </c>
      <c r="Y306" s="380">
        <f t="shared" si="113"/>
        <v>16.212279379893332</v>
      </c>
      <c r="Z306" s="380">
        <f t="shared" si="114"/>
        <v>16.44946970560822</v>
      </c>
      <c r="AA306" s="381">
        <f t="shared" si="115"/>
        <v>17.337776393187809</v>
      </c>
      <c r="AB306" s="193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5.1235329573670982E-2</v>
      </c>
      <c r="AD306" s="227">
        <f>(INDEX(Models!$BJ306:$BT306,,AH306)*(1-AF306)+INDEX(Models!$BJ306:$BT306,,AH306+1)*AF306-ERP_i)*AE306*Ramure*Pc/MaxiM</f>
        <v>4.523004143076516E-4</v>
      </c>
      <c r="AE306" s="301">
        <f t="shared" si="117"/>
        <v>0.5</v>
      </c>
      <c r="AF306" s="173">
        <f t="shared" si="118"/>
        <v>0.4916931069142676</v>
      </c>
      <c r="AG306" s="802">
        <f t="shared" si="124"/>
        <v>1</v>
      </c>
      <c r="AH306" s="172">
        <f t="shared" si="119"/>
        <v>7</v>
      </c>
      <c r="AI306" s="221">
        <f t="shared" si="120"/>
        <v>1.4916931069142676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3"/>
        <v>45584</v>
      </c>
      <c r="B307" s="406">
        <f>'2023'!Wh/'2023'!Env_an*'2024'!Env_an</f>
        <v>8.7015264390150424</v>
      </c>
      <c r="C307" s="385"/>
      <c r="D307" s="388">
        <f t="shared" si="102"/>
        <v>8.828953142776772</v>
      </c>
      <c r="E307" s="380">
        <f t="shared" si="125"/>
        <v>9.1211190228296619</v>
      </c>
      <c r="F307" s="380">
        <f t="shared" si="103"/>
        <v>9.1211190228296619</v>
      </c>
      <c r="G307" s="110">
        <f t="shared" si="126"/>
        <v>0.27254104832714826</v>
      </c>
      <c r="H307" s="409" t="b">
        <f>Wh_hp&gt;='2023'!Maxi_hp</f>
        <v>0</v>
      </c>
      <c r="I307" s="375">
        <f>IF(H307,Wh_hp,'2023'!Maxi_hp)</f>
        <v>9.1244045846018054</v>
      </c>
      <c r="J307" s="85">
        <f>IF(H307,An,'2023'!An_max)</f>
        <v>2022</v>
      </c>
      <c r="K307" s="193">
        <f t="shared" si="104"/>
        <v>45584</v>
      </c>
      <c r="L307" s="143">
        <f>IF(t&lt;Tvie,1-EXP((T0-t)*PertePVj)+'2023'!Pspv,1-EXP((T0-t)*PertePVj)+Pspv)</f>
        <v>1.4432821389020578E-2</v>
      </c>
      <c r="M307" s="836"/>
      <c r="N307" s="836"/>
      <c r="O307" s="48">
        <f>IF(t&lt;Tnet,'2023'!Resal+('2023'!Salim-'2023'!Resal)*(1-EXP(('2023'!Tnet-t)/('2023'!Tau_j))),Resal+(Salim-Resal)*(1-EXP((Tnet-t)/(Tau_j))))*Salcycl</f>
        <v>3.2031802163924601E-2</v>
      </c>
      <c r="P307" s="165">
        <f>(INDEX(Models!$BJ307:$BT307,,T307)*(1-R307)+INDEX(Models!$BJ307:$BT307,,T307+1)*R307-ERP_i)*Q307*Ramure*Pc/MaxiM</f>
        <v>5.1073466500473335E-4</v>
      </c>
      <c r="Q307" s="301">
        <f t="shared" si="105"/>
        <v>0.5</v>
      </c>
      <c r="R307" s="173">
        <f t="shared" si="106"/>
        <v>0.49178487102726098</v>
      </c>
      <c r="S307" s="802">
        <f t="shared" si="107"/>
        <v>1</v>
      </c>
      <c r="T307" s="172">
        <f t="shared" si="108"/>
        <v>7</v>
      </c>
      <c r="U307" s="247">
        <f t="shared" si="109"/>
        <v>1.491784871027261</v>
      </c>
      <c r="V307" s="378">
        <f t="shared" si="110"/>
        <v>31.911091269394859</v>
      </c>
      <c r="W307" s="397">
        <f t="shared" si="111"/>
        <v>8.7015264390150424</v>
      </c>
      <c r="X307" s="153">
        <f t="shared" si="112"/>
        <v>45584</v>
      </c>
      <c r="Y307" s="380">
        <f t="shared" si="113"/>
        <v>8.5289274886627418</v>
      </c>
      <c r="Z307" s="380">
        <f t="shared" si="114"/>
        <v>8.6538266226388387</v>
      </c>
      <c r="AA307" s="381">
        <f t="shared" si="115"/>
        <v>9.1211190228296619</v>
      </c>
      <c r="AB307" s="193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5.1231915625836649E-2</v>
      </c>
      <c r="AD307" s="227">
        <f>(INDEX(Models!$BJ307:$BT307,,AH307)*(1-AF307)+INDEX(Models!$BJ307:$BT307,,AH307+1)*AF307-ERP_i)*AE307*Ramure*Pc/MaxiM</f>
        <v>5.1073466500473335E-4</v>
      </c>
      <c r="AE307" s="301">
        <f t="shared" si="117"/>
        <v>0.5</v>
      </c>
      <c r="AF307" s="173">
        <f t="shared" si="118"/>
        <v>0.49178487102726098</v>
      </c>
      <c r="AG307" s="802">
        <f t="shared" si="124"/>
        <v>1</v>
      </c>
      <c r="AH307" s="172">
        <f t="shared" si="119"/>
        <v>7</v>
      </c>
      <c r="AI307" s="221">
        <f t="shared" si="120"/>
        <v>1.491784871027261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3"/>
        <v>45585</v>
      </c>
      <c r="B308" s="406">
        <f>'2023'!Wh/'2023'!Env_an*'2024'!Env_an</f>
        <v>16.823790984026633</v>
      </c>
      <c r="C308" s="385"/>
      <c r="D308" s="388">
        <f t="shared" si="102"/>
        <v>17.070395256527377</v>
      </c>
      <c r="E308" s="380">
        <f t="shared" si="125"/>
        <v>17.635753428552466</v>
      </c>
      <c r="F308" s="380">
        <f t="shared" si="103"/>
        <v>17.639179616863348</v>
      </c>
      <c r="G308" s="110">
        <f t="shared" si="126"/>
        <v>0.53339688428003385</v>
      </c>
      <c r="H308" s="409" t="b">
        <f>Wh_hp&gt;='2023'!Maxi_hp</f>
        <v>0</v>
      </c>
      <c r="I308" s="375">
        <f>IF(H308,Wh_hp,'2023'!Maxi_hp)</f>
        <v>17.644021025065648</v>
      </c>
      <c r="J308" s="85">
        <f>IF(H308,An,'2023'!An_max)</f>
        <v>2022</v>
      </c>
      <c r="K308" s="193">
        <f t="shared" si="104"/>
        <v>45585</v>
      </c>
      <c r="L308" s="143">
        <f>IF(t&lt;Tvie,1-EXP((T0-t)*PertePVj)+'2023'!Pspv,1-EXP((T0-t)*PertePVj)+Pspv)</f>
        <v>1.4446312976054143E-2</v>
      </c>
      <c r="M308" s="836"/>
      <c r="N308" s="836"/>
      <c r="O308" s="48">
        <f>IF(t&lt;Tnet,'2023'!Resal+('2023'!Salim-'2023'!Resal)*(1-EXP(('2023'!Tnet-t)/('2023'!Tau_j))),Resal+(Salim-Resal)*(1-EXP((Tnet-t)/(Tau_j))))*Salcycl</f>
        <v>3.2057500367960817E-2</v>
      </c>
      <c r="P308" s="165">
        <f>(INDEX(Models!$BJ308:$BT308,,T308)*(1-R308)+INDEX(Models!$BJ308:$BT308,,T308+1)*R308-ERP_i)*Q308*Ramure*Pc/MaxiM</f>
        <v>5.8203738278057697E-4</v>
      </c>
      <c r="Q308" s="301">
        <f t="shared" si="105"/>
        <v>0.5</v>
      </c>
      <c r="R308" s="173">
        <f t="shared" si="106"/>
        <v>0.49187297222254633</v>
      </c>
      <c r="S308" s="802">
        <f t="shared" si="107"/>
        <v>1</v>
      </c>
      <c r="T308" s="172">
        <f t="shared" si="108"/>
        <v>7</v>
      </c>
      <c r="U308" s="247">
        <f t="shared" si="109"/>
        <v>1.4918729722225463</v>
      </c>
      <c r="V308" s="378">
        <f t="shared" si="110"/>
        <v>31.528615832274927</v>
      </c>
      <c r="W308" s="397">
        <f t="shared" si="111"/>
        <v>16.823790984026633</v>
      </c>
      <c r="X308" s="153">
        <f t="shared" si="112"/>
        <v>45585</v>
      </c>
      <c r="Y308" s="380">
        <f t="shared" si="113"/>
        <v>16.4905906743383</v>
      </c>
      <c r="Z308" s="380">
        <f t="shared" si="114"/>
        <v>16.732310874037278</v>
      </c>
      <c r="AA308" s="381">
        <f t="shared" si="115"/>
        <v>17.635753428552466</v>
      </c>
      <c r="AB308" s="193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5.1227896680189726E-2</v>
      </c>
      <c r="AD308" s="227">
        <f>(INDEX(Models!$BJ308:$BT308,,AH308)*(1-AF308)+INDEX(Models!$BJ308:$BT308,,AH308+1)*AF308-ERP_i)*AE308*Ramure*Pc/MaxiM</f>
        <v>5.8203738278057697E-4</v>
      </c>
      <c r="AE308" s="301">
        <f t="shared" si="117"/>
        <v>0.5</v>
      </c>
      <c r="AF308" s="173">
        <f t="shared" si="118"/>
        <v>0.49187297222254633</v>
      </c>
      <c r="AG308" s="802">
        <f t="shared" si="124"/>
        <v>1</v>
      </c>
      <c r="AH308" s="172">
        <f t="shared" si="119"/>
        <v>7</v>
      </c>
      <c r="AI308" s="221">
        <f t="shared" si="120"/>
        <v>1.4918729722225463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3"/>
        <v>45586</v>
      </c>
      <c r="B309" s="406">
        <f>'2023'!Wh/'2023'!Env_an*'2024'!Env_an</f>
        <v>28.838929503514564</v>
      </c>
      <c r="C309" s="385"/>
      <c r="D309" s="388">
        <f t="shared" si="102"/>
        <v>29.262053066567468</v>
      </c>
      <c r="E309" s="380">
        <f t="shared" si="125"/>
        <v>30.231978930332488</v>
      </c>
      <c r="F309" s="380">
        <f t="shared" si="103"/>
        <v>30.250004195246426</v>
      </c>
      <c r="G309" s="110">
        <f t="shared" si="126"/>
        <v>0.92582562903723986</v>
      </c>
      <c r="H309" s="409" t="b">
        <f>Wh_hp&gt;='2023'!Maxi_hp</f>
        <v>0</v>
      </c>
      <c r="I309" s="375">
        <f>IF(H309,Wh_hp,'2023'!Maxi_hp)</f>
        <v>30.251519935948156</v>
      </c>
      <c r="J309" s="85">
        <f>IF(H309,An,'2023'!An_max)</f>
        <v>2022</v>
      </c>
      <c r="K309" s="193">
        <f t="shared" si="104"/>
        <v>45586</v>
      </c>
      <c r="L309" s="143">
        <f>IF(t&lt;Tvie,1-EXP((T0-t)*PertePVj)+'2023'!Pspv,1-EXP((T0-t)*PertePVj)+Pspv)</f>
        <v>1.4459804378399221E-2</v>
      </c>
      <c r="M309" s="836"/>
      <c r="N309" s="836"/>
      <c r="O309" s="48">
        <f>IF(t&lt;Tnet,'2023'!Resal+('2023'!Salim-'2023'!Resal)*(1-EXP(('2023'!Tnet-t)/('2023'!Tau_j))),Resal+(Salim-Resal)*(1-EXP((Tnet-t)/(Tau_j))))*Salcycl</f>
        <v>3.2082777842633074E-2</v>
      </c>
      <c r="P309" s="165">
        <f>(INDEX(Models!$BJ309:$BT309,,T309)*(1-R309)+INDEX(Models!$BJ309:$BT309,,T309+1)*R309-ERP_i)*Q309*Ramure*Pc/MaxiM</f>
        <v>6.6643155786881786E-4</v>
      </c>
      <c r="Q309" s="301">
        <f t="shared" si="105"/>
        <v>0.5</v>
      </c>
      <c r="R309" s="173">
        <f t="shared" si="106"/>
        <v>0.49195755548839215</v>
      </c>
      <c r="S309" s="802">
        <f t="shared" si="107"/>
        <v>1</v>
      </c>
      <c r="T309" s="172">
        <f t="shared" si="108"/>
        <v>7</v>
      </c>
      <c r="U309" s="247">
        <f t="shared" si="109"/>
        <v>1.4919575554883922</v>
      </c>
      <c r="V309" s="378">
        <f t="shared" si="110"/>
        <v>31.147218927561799</v>
      </c>
      <c r="W309" s="397">
        <f t="shared" si="111"/>
        <v>28.838929503514564</v>
      </c>
      <c r="X309" s="153">
        <f t="shared" si="112"/>
        <v>45586</v>
      </c>
      <c r="Y309" s="380">
        <f t="shared" si="113"/>
        <v>28.268640764473698</v>
      </c>
      <c r="Z309" s="380">
        <f t="shared" si="114"/>
        <v>28.683397075087409</v>
      </c>
      <c r="AA309" s="381">
        <f t="shared" si="115"/>
        <v>30.231978930332488</v>
      </c>
      <c r="AB309" s="193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5.1223304263795608E-2</v>
      </c>
      <c r="AD309" s="227">
        <f>(INDEX(Models!$BJ309:$BT309,,AH309)*(1-AF309)+INDEX(Models!$BJ309:$BT309,,AH309+1)*AF309-ERP_i)*AE309*Ramure*Pc/MaxiM</f>
        <v>6.6643155786881786E-4</v>
      </c>
      <c r="AE309" s="301">
        <f t="shared" si="117"/>
        <v>0.5</v>
      </c>
      <c r="AF309" s="173">
        <f t="shared" si="118"/>
        <v>0.49195755548839215</v>
      </c>
      <c r="AG309" s="802">
        <f t="shared" si="124"/>
        <v>1</v>
      </c>
      <c r="AH309" s="172">
        <f t="shared" si="119"/>
        <v>7</v>
      </c>
      <c r="AI309" s="221">
        <f t="shared" si="120"/>
        <v>1.4919575554883922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3"/>
        <v>45587</v>
      </c>
      <c r="B310" s="406">
        <f>'2023'!Wh/'2023'!Env_an*'2024'!Env_an</f>
        <v>18.803330673385382</v>
      </c>
      <c r="C310" s="385"/>
      <c r="D310" s="388">
        <f t="shared" si="102"/>
        <v>19.079473533655143</v>
      </c>
      <c r="E310" s="380">
        <f t="shared" si="125"/>
        <v>19.712392225721317</v>
      </c>
      <c r="F310" s="380">
        <f t="shared" si="103"/>
        <v>19.719291777421539</v>
      </c>
      <c r="G310" s="110">
        <f t="shared" si="126"/>
        <v>0.61089494331312344</v>
      </c>
      <c r="H310" s="409" t="b">
        <f>Wh_hp&gt;='2023'!Maxi_hp</f>
        <v>0</v>
      </c>
      <c r="I310" s="375">
        <f>IF(H310,Wh_hp,'2023'!Maxi_hp)</f>
        <v>19.725415747408835</v>
      </c>
      <c r="J310" s="85">
        <f>IF(H310,An,'2023'!An_max)</f>
        <v>2022</v>
      </c>
      <c r="K310" s="193">
        <f t="shared" si="104"/>
        <v>45587</v>
      </c>
      <c r="L310" s="143">
        <f>IF(t&lt;Tvie,1-EXP((T0-t)*PertePVj)+'2023'!Pspv,1-EXP((T0-t)*PertePVj)+Pspv)</f>
        <v>1.4473295596058255E-2</v>
      </c>
      <c r="M310" s="836"/>
      <c r="N310" s="836"/>
      <c r="O310" s="48">
        <f>IF(t&lt;Tnet,'2023'!Resal+('2023'!Salim-'2023'!Resal)*(1-EXP(('2023'!Tnet-t)/('2023'!Tau_j))),Resal+(Salim-Resal)*(1-EXP((Tnet-t)/(Tau_j))))*Salcycl</f>
        <v>3.2107655165278415E-2</v>
      </c>
      <c r="P310" s="165">
        <f>(INDEX(Models!$BJ310:$BT310,,T310)*(1-R310)+INDEX(Models!$BJ310:$BT310,,T310+1)*R310-ERP_i)*Q310*Ramure*Pc/MaxiM</f>
        <v>7.8711953069858195E-4</v>
      </c>
      <c r="Q310" s="301">
        <f t="shared" si="105"/>
        <v>0.5</v>
      </c>
      <c r="R310" s="173">
        <f t="shared" si="106"/>
        <v>0.49203876017021386</v>
      </c>
      <c r="S310" s="802">
        <f t="shared" si="107"/>
        <v>1</v>
      </c>
      <c r="T310" s="172">
        <f t="shared" si="108"/>
        <v>7</v>
      </c>
      <c r="U310" s="247">
        <f t="shared" si="109"/>
        <v>1.4920387601702139</v>
      </c>
      <c r="V310" s="378">
        <f t="shared" si="110"/>
        <v>30.766511656784147</v>
      </c>
      <c r="W310" s="397">
        <f t="shared" si="111"/>
        <v>18.803330673385382</v>
      </c>
      <c r="X310" s="153">
        <f t="shared" si="112"/>
        <v>45587</v>
      </c>
      <c r="Y310" s="380">
        <f t="shared" si="113"/>
        <v>18.432068954723007</v>
      </c>
      <c r="Z310" s="380">
        <f t="shared" si="114"/>
        <v>18.702759521743189</v>
      </c>
      <c r="AA310" s="381">
        <f t="shared" si="115"/>
        <v>19.712392225721317</v>
      </c>
      <c r="AB310" s="193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5.1218172427632998E-2</v>
      </c>
      <c r="AD310" s="227">
        <f>(INDEX(Models!$BJ310:$BT310,,AH310)*(1-AF310)+INDEX(Models!$BJ310:$BT310,,AH310+1)*AF310-ERP_i)*AE310*Ramure*Pc/MaxiM</f>
        <v>7.8711953069858195E-4</v>
      </c>
      <c r="AE310" s="301">
        <f t="shared" si="117"/>
        <v>0.5</v>
      </c>
      <c r="AF310" s="173">
        <f t="shared" si="118"/>
        <v>0.49203876017021386</v>
      </c>
      <c r="AG310" s="802">
        <f t="shared" si="124"/>
        <v>1</v>
      </c>
      <c r="AH310" s="172">
        <f t="shared" si="119"/>
        <v>7</v>
      </c>
      <c r="AI310" s="221">
        <f t="shared" si="120"/>
        <v>1.4920387601702139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3"/>
        <v>45588</v>
      </c>
      <c r="B311" s="406">
        <f>'2023'!Wh/'2023'!Env_an*'2024'!Env_an</f>
        <v>24.391017860664359</v>
      </c>
      <c r="C311" s="385"/>
      <c r="D311" s="388">
        <f t="shared" si="102"/>
        <v>24.749559447543515</v>
      </c>
      <c r="E311" s="380">
        <f t="shared" si="125"/>
        <v>25.571217768149484</v>
      </c>
      <c r="F311" s="380">
        <f t="shared" si="103"/>
        <v>25.588587350273883</v>
      </c>
      <c r="G311" s="110">
        <f t="shared" si="126"/>
        <v>0.80247035418329127</v>
      </c>
      <c r="H311" s="409" t="b">
        <f>Wh_hp&gt;='2023'!Maxi_hp</f>
        <v>0</v>
      </c>
      <c r="I311" s="375">
        <f>IF(H311,Wh_hp,'2023'!Maxi_hp)</f>
        <v>25.593422126687972</v>
      </c>
      <c r="J311" s="85">
        <f>IF(H311,An,'2023'!An_max)</f>
        <v>2022</v>
      </c>
      <c r="K311" s="193">
        <f t="shared" si="104"/>
        <v>45588</v>
      </c>
      <c r="L311" s="143">
        <f>IF(t&lt;Tvie,1-EXP((T0-t)*PertePVj)+'2023'!Pspv,1-EXP((T0-t)*PertePVj)+Pspv)</f>
        <v>1.4486786629034021E-2</v>
      </c>
      <c r="M311" s="836"/>
      <c r="N311" s="836"/>
      <c r="O311" s="48">
        <f>IF(t&lt;Tnet,'2023'!Resal+('2023'!Salim-'2023'!Resal)*(1-EXP(('2023'!Tnet-t)/('2023'!Tau_j))),Resal+(Salim-Resal)*(1-EXP((Tnet-t)/(Tau_j))))*Salcycl</f>
        <v>3.2132154520595271E-2</v>
      </c>
      <c r="P311" s="165">
        <f>(INDEX(Models!$BJ311:$BT311,,T311)*(1-R311)+INDEX(Models!$BJ311:$BT311,,T311+1)*R311-ERP_i)*Q311*Ramure*Pc/MaxiM</f>
        <v>9.452478896325667E-4</v>
      </c>
      <c r="Q311" s="301">
        <f t="shared" si="105"/>
        <v>0.5</v>
      </c>
      <c r="R311" s="173">
        <f t="shared" si="106"/>
        <v>0.49211672018260666</v>
      </c>
      <c r="S311" s="802">
        <f t="shared" si="107"/>
        <v>1</v>
      </c>
      <c r="T311" s="172">
        <f t="shared" si="108"/>
        <v>7</v>
      </c>
      <c r="U311" s="247">
        <f t="shared" si="109"/>
        <v>1.4921167201826067</v>
      </c>
      <c r="V311" s="378">
        <f t="shared" si="110"/>
        <v>30.386810466697423</v>
      </c>
      <c r="W311" s="397">
        <f t="shared" si="111"/>
        <v>24.391017860664359</v>
      </c>
      <c r="X311" s="153">
        <f t="shared" si="112"/>
        <v>45588</v>
      </c>
      <c r="Y311" s="380">
        <f t="shared" si="113"/>
        <v>23.910177456541913</v>
      </c>
      <c r="Z311" s="380">
        <f t="shared" si="114"/>
        <v>24.2616508151694</v>
      </c>
      <c r="AA311" s="381">
        <f t="shared" si="115"/>
        <v>25.571217768149484</v>
      </c>
      <c r="AB311" s="193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5.1212537660651834E-2</v>
      </c>
      <c r="AD311" s="227">
        <f>(INDEX(Models!$BJ311:$BT311,,AH311)*(1-AF311)+INDEX(Models!$BJ311:$BT311,,AH311+1)*AF311-ERP_i)*AE311*Ramure*Pc/MaxiM</f>
        <v>9.452478896325667E-4</v>
      </c>
      <c r="AE311" s="301">
        <f t="shared" si="117"/>
        <v>0.5</v>
      </c>
      <c r="AF311" s="173">
        <f t="shared" si="118"/>
        <v>0.49211672018260666</v>
      </c>
      <c r="AG311" s="802">
        <f t="shared" si="124"/>
        <v>1</v>
      </c>
      <c r="AH311" s="172">
        <f t="shared" si="119"/>
        <v>7</v>
      </c>
      <c r="AI311" s="221">
        <f t="shared" si="120"/>
        <v>1.4921167201826067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3"/>
        <v>45589</v>
      </c>
      <c r="B312" s="406">
        <f>'2023'!Wh/'2023'!Env_an*'2024'!Env_an</f>
        <v>20.497462166320936</v>
      </c>
      <c r="C312" s="385"/>
      <c r="D312" s="388">
        <f t="shared" si="102"/>
        <v>20.799054223832513</v>
      </c>
      <c r="E312" s="380">
        <f t="shared" si="125"/>
        <v>21.490096196465849</v>
      </c>
      <c r="F312" s="380">
        <f t="shared" si="103"/>
        <v>21.503528134122412</v>
      </c>
      <c r="G312" s="110">
        <f t="shared" si="126"/>
        <v>0.6827031525475814</v>
      </c>
      <c r="H312" s="409" t="b">
        <f>Wh_hp&gt;='2023'!Maxi_hp</f>
        <v>0</v>
      </c>
      <c r="I312" s="375">
        <f>IF(H312,Wh_hp,'2023'!Maxi_hp)</f>
        <v>21.511387732569521</v>
      </c>
      <c r="J312" s="85">
        <f>IF(H312,An,'2023'!An_max)</f>
        <v>2022</v>
      </c>
      <c r="K312" s="193">
        <f t="shared" si="104"/>
        <v>45589</v>
      </c>
      <c r="L312" s="143">
        <f>IF(t&lt;Tvie,1-EXP((T0-t)*PertePVj)+'2023'!Pspv,1-EXP((T0-t)*PertePVj)+Pspv)</f>
        <v>1.4500277477328738E-2</v>
      </c>
      <c r="M312" s="836"/>
      <c r="N312" s="836"/>
      <c r="O312" s="48">
        <f>IF(t&lt;Tnet,'2023'!Resal+('2023'!Salim-'2023'!Resal)*(1-EXP(('2023'!Tnet-t)/('2023'!Tau_j))),Resal+(Salim-Resal)*(1-EXP((Tnet-t)/(Tau_j))))*Salcycl</f>
        <v>3.2156299642203588E-2</v>
      </c>
      <c r="P312" s="165">
        <f>(INDEX(Models!$BJ312:$BT312,,T312)*(1-R312)+INDEX(Models!$BJ312:$BT312,,T312+1)*R312-ERP_i)*Q312*Ramure*Pc/MaxiM</f>
        <v>1.1414693794499805E-3</v>
      </c>
      <c r="Q312" s="301">
        <f t="shared" si="105"/>
        <v>0.5</v>
      </c>
      <c r="R312" s="173">
        <f t="shared" si="106"/>
        <v>0.49219156421401489</v>
      </c>
      <c r="S312" s="802">
        <f t="shared" si="107"/>
        <v>1</v>
      </c>
      <c r="T312" s="172">
        <f t="shared" si="108"/>
        <v>7</v>
      </c>
      <c r="U312" s="247">
        <f t="shared" si="109"/>
        <v>1.4921915642140149</v>
      </c>
      <c r="V312" s="378">
        <f t="shared" si="110"/>
        <v>30.008447672909256</v>
      </c>
      <c r="W312" s="397">
        <f t="shared" si="111"/>
        <v>20.497462166320936</v>
      </c>
      <c r="X312" s="153">
        <f t="shared" si="112"/>
        <v>45589</v>
      </c>
      <c r="Y312" s="380">
        <f t="shared" si="113"/>
        <v>20.094009102325412</v>
      </c>
      <c r="Z312" s="380">
        <f t="shared" si="114"/>
        <v>20.389664901060542</v>
      </c>
      <c r="AA312" s="381">
        <f t="shared" si="115"/>
        <v>21.490096196465849</v>
      </c>
      <c r="AB312" s="193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5.1206438786731888E-2</v>
      </c>
      <c r="AD312" s="227">
        <f>(INDEX(Models!$BJ312:$BT312,,AH312)*(1-AF312)+INDEX(Models!$BJ312:$BT312,,AH312+1)*AF312-ERP_i)*AE312*Ramure*Pc/MaxiM</f>
        <v>1.1414693794499805E-3</v>
      </c>
      <c r="AE312" s="301">
        <f t="shared" si="117"/>
        <v>0.5</v>
      </c>
      <c r="AF312" s="173">
        <f t="shared" si="118"/>
        <v>0.49219156421401489</v>
      </c>
      <c r="AG312" s="802">
        <f t="shared" si="124"/>
        <v>1</v>
      </c>
      <c r="AH312" s="172">
        <f t="shared" si="119"/>
        <v>7</v>
      </c>
      <c r="AI312" s="221">
        <f t="shared" si="120"/>
        <v>1.4921915642140149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3"/>
        <v>45590</v>
      </c>
      <c r="B313" s="406">
        <f>'2023'!Wh/'2023'!Env_an*'2024'!Env_an</f>
        <v>15.317510450870904</v>
      </c>
      <c r="C313" s="385"/>
      <c r="D313" s="388">
        <f t="shared" si="102"/>
        <v>15.543099391632726</v>
      </c>
      <c r="E313" s="380">
        <f t="shared" si="125"/>
        <v>16.059909126139068</v>
      </c>
      <c r="F313" s="380">
        <f t="shared" si="103"/>
        <v>16.066762444396037</v>
      </c>
      <c r="G313" s="110">
        <f t="shared" si="126"/>
        <v>0.51643765253421436</v>
      </c>
      <c r="H313" s="409" t="b">
        <f>Wh_hp&gt;='2023'!Maxi_hp</f>
        <v>0</v>
      </c>
      <c r="I313" s="375">
        <f>IF(H313,Wh_hp,'2023'!Maxi_hp)</f>
        <v>16.077522083526727</v>
      </c>
      <c r="J313" s="85">
        <f>IF(H313,An,'2023'!An_max)</f>
        <v>2022</v>
      </c>
      <c r="K313" s="193">
        <f t="shared" si="104"/>
        <v>45590</v>
      </c>
      <c r="L313" s="143">
        <f>IF(t&lt;Tvie,1-EXP((T0-t)*PertePVj)+'2023'!Pspv,1-EXP((T0-t)*PertePVj)+Pspv)</f>
        <v>1.4513768140945071E-2</v>
      </c>
      <c r="M313" s="836"/>
      <c r="N313" s="836"/>
      <c r="O313" s="48">
        <f>IF(t&lt;Tnet,'2023'!Resal+('2023'!Salim-'2023'!Resal)*(1-EXP(('2023'!Tnet-t)/('2023'!Tau_j))),Resal+(Salim-Resal)*(1-EXP((Tnet-t)/(Tau_j))))*Salcycl</f>
        <v>3.2180115743319054E-2</v>
      </c>
      <c r="P313" s="165">
        <f>(INDEX(Models!$BJ313:$BT313,,T313)*(1-R313)+INDEX(Models!$BJ313:$BT313,,T313+1)*R313-ERP_i)*Q313*Ramure*Pc/MaxiM</f>
        <v>1.37642703598357E-3</v>
      </c>
      <c r="Q313" s="301">
        <f t="shared" si="105"/>
        <v>0.5</v>
      </c>
      <c r="R313" s="173">
        <f t="shared" si="106"/>
        <v>0.49226341592424427</v>
      </c>
      <c r="S313" s="802">
        <f t="shared" si="107"/>
        <v>1</v>
      </c>
      <c r="T313" s="172">
        <f t="shared" si="108"/>
        <v>7</v>
      </c>
      <c r="U313" s="247">
        <f t="shared" si="109"/>
        <v>1.4922634159242443</v>
      </c>
      <c r="V313" s="378">
        <f t="shared" si="110"/>
        <v>29.631756039327083</v>
      </c>
      <c r="W313" s="397">
        <f t="shared" si="111"/>
        <v>15.317510450870904</v>
      </c>
      <c r="X313" s="153">
        <f t="shared" si="112"/>
        <v>45590</v>
      </c>
      <c r="Y313" s="380">
        <f t="shared" si="113"/>
        <v>15.016487495167748</v>
      </c>
      <c r="Z313" s="380">
        <f t="shared" si="114"/>
        <v>15.237643114343802</v>
      </c>
      <c r="AA313" s="381">
        <f t="shared" si="115"/>
        <v>16.059909126139068</v>
      </c>
      <c r="AB313" s="193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5.1199916844918418E-2</v>
      </c>
      <c r="AD313" s="227">
        <f>(INDEX(Models!$BJ313:$BT313,,AH313)*(1-AF313)+INDEX(Models!$BJ313:$BT313,,AH313+1)*AF313-ERP_i)*AE313*Ramure*Pc/MaxiM</f>
        <v>1.37642703598357E-3</v>
      </c>
      <c r="AE313" s="301">
        <f t="shared" si="117"/>
        <v>0.5</v>
      </c>
      <c r="AF313" s="173">
        <f t="shared" si="118"/>
        <v>0.49226341592424427</v>
      </c>
      <c r="AG313" s="802">
        <f t="shared" si="124"/>
        <v>1</v>
      </c>
      <c r="AH313" s="172">
        <f t="shared" si="119"/>
        <v>7</v>
      </c>
      <c r="AI313" s="221">
        <f t="shared" si="120"/>
        <v>1.4922634159242443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3"/>
        <v>45591</v>
      </c>
      <c r="B314" s="406">
        <f>'2023'!Wh/'2023'!Env_an*'2024'!Env_an</f>
        <v>14.483168909242032</v>
      </c>
      <c r="C314" s="385"/>
      <c r="D314" s="388">
        <f t="shared" si="102"/>
        <v>14.696671253391488</v>
      </c>
      <c r="E314" s="380">
        <f t="shared" si="125"/>
        <v>15.185706105550921</v>
      </c>
      <c r="F314" s="380">
        <f t="shared" si="103"/>
        <v>15.192693648716695</v>
      </c>
      <c r="G314" s="110">
        <f t="shared" si="126"/>
        <v>0.49444167544239881</v>
      </c>
      <c r="H314" s="409" t="b">
        <f>Wh_hp&gt;='2023'!Maxi_hp</f>
        <v>0</v>
      </c>
      <c r="I314" s="375">
        <f>IF(H314,Wh_hp,'2023'!Maxi_hp)</f>
        <v>15.20541089305954</v>
      </c>
      <c r="J314" s="85">
        <f>IF(H314,An,'2023'!An_max)</f>
        <v>2022</v>
      </c>
      <c r="K314" s="193">
        <f t="shared" si="104"/>
        <v>45591</v>
      </c>
      <c r="L314" s="143">
        <f>IF(t&lt;Tvie,1-EXP((T0-t)*PertePVj)+'2023'!Pspv,1-EXP((T0-t)*PertePVj)+Pspv)</f>
        <v>1.4527258619885575E-2</v>
      </c>
      <c r="M314" s="836"/>
      <c r="N314" s="836"/>
      <c r="O314" s="48">
        <f>IF(t&lt;Tnet,'2023'!Resal+('2023'!Salim-'2023'!Resal)*(1-EXP(('2023'!Tnet-t)/('2023'!Tau_j))),Resal+(Salim-Resal)*(1-EXP((Tnet-t)/(Tau_j))))*Salcycl</f>
        <v>3.2203629436807837E-2</v>
      </c>
      <c r="P314" s="165">
        <f>(INDEX(Models!$BJ314:$BT314,,T314)*(1-R314)+INDEX(Models!$BJ314:$BT314,,T314+1)*R314-ERP_i)*Q314*Ramure*Pc/MaxiM</f>
        <v>1.6507569169764988E-3</v>
      </c>
      <c r="Q314" s="301">
        <f t="shared" si="105"/>
        <v>0.5</v>
      </c>
      <c r="R314" s="173">
        <f t="shared" si="106"/>
        <v>0.49233239413502172</v>
      </c>
      <c r="S314" s="802">
        <f t="shared" si="107"/>
        <v>1</v>
      </c>
      <c r="T314" s="172">
        <f t="shared" si="108"/>
        <v>7</v>
      </c>
      <c r="U314" s="247">
        <f t="shared" si="109"/>
        <v>1.4923323941350217</v>
      </c>
      <c r="V314" s="378">
        <f t="shared" si="110"/>
        <v>29.257068555139014</v>
      </c>
      <c r="W314" s="397">
        <f t="shared" si="111"/>
        <v>14.483168909242032</v>
      </c>
      <c r="X314" s="153">
        <f t="shared" si="112"/>
        <v>45591</v>
      </c>
      <c r="Y314" s="380">
        <f t="shared" si="113"/>
        <v>14.198990866953785</v>
      </c>
      <c r="Z314" s="380">
        <f t="shared" si="114"/>
        <v>14.408304025810676</v>
      </c>
      <c r="AA314" s="381">
        <f t="shared" si="115"/>
        <v>15.185706105550921</v>
      </c>
      <c r="AB314" s="193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5.1193014953455337E-2</v>
      </c>
      <c r="AD314" s="227">
        <f>(INDEX(Models!$BJ314:$BT314,,AH314)*(1-AF314)+INDEX(Models!$BJ314:$BT314,,AH314+1)*AF314-ERP_i)*AE314*Ramure*Pc/MaxiM</f>
        <v>1.6507569169764988E-3</v>
      </c>
      <c r="AE314" s="301">
        <f t="shared" si="117"/>
        <v>0.5</v>
      </c>
      <c r="AF314" s="173">
        <f t="shared" si="118"/>
        <v>0.49233239413502172</v>
      </c>
      <c r="AG314" s="802">
        <f t="shared" si="124"/>
        <v>1</v>
      </c>
      <c r="AH314" s="172">
        <f t="shared" si="119"/>
        <v>7</v>
      </c>
      <c r="AI314" s="221">
        <f t="shared" si="120"/>
        <v>1.4923323941350217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3"/>
        <v>45592</v>
      </c>
      <c r="B315" s="406">
        <f>'2023'!Wh/'2023'!Env_an*'2024'!Env_an</f>
        <v>16.658865939695431</v>
      </c>
      <c r="C315" s="385"/>
      <c r="D315" s="388">
        <f t="shared" si="102"/>
        <v>16.904672538554525</v>
      </c>
      <c r="E315" s="380">
        <f t="shared" si="125"/>
        <v>17.467598542321142</v>
      </c>
      <c r="F315" s="380">
        <f t="shared" si="103"/>
        <v>17.481179188244866</v>
      </c>
      <c r="G315" s="110">
        <f t="shared" si="126"/>
        <v>0.57605049357339</v>
      </c>
      <c r="H315" s="409" t="b">
        <f>Wh_hp&gt;='2023'!Maxi_hp</f>
        <v>0</v>
      </c>
      <c r="I315" s="375">
        <f>IF(H315,Wh_hp,'2023'!Maxi_hp)</f>
        <v>17.495740847674913</v>
      </c>
      <c r="J315" s="85">
        <f>IF(H315,An,'2023'!An_max)</f>
        <v>2022</v>
      </c>
      <c r="K315" s="193">
        <f t="shared" si="104"/>
        <v>45592</v>
      </c>
      <c r="L315" s="143">
        <f>IF(t&lt;Tvie,1-EXP((T0-t)*PertePVj)+'2023'!Pspv,1-EXP((T0-t)*PertePVj)+Pspv)</f>
        <v>1.4540748914152801E-2</v>
      </c>
      <c r="M315" s="836"/>
      <c r="N315" s="836"/>
      <c r="O315" s="48">
        <f>IF(t&lt;Tnet,'2023'!Resal+('2023'!Salim-'2023'!Resal)*(1-EXP(('2023'!Tnet-t)/('2023'!Tau_j))),Resal+(Salim-Resal)*(1-EXP((Tnet-t)/(Tau_j))))*Salcycl</f>
        <v>3.2226868644979367E-2</v>
      </c>
      <c r="P315" s="165">
        <f>(INDEX(Models!$BJ315:$BT315,,T315)*(1-R315)+INDEX(Models!$BJ315:$BT315,,T315+1)*R315-ERP_i)*Q315*Ramure*Pc/MaxiM</f>
        <v>1.9650861394968494E-3</v>
      </c>
      <c r="Q315" s="301">
        <f t="shared" si="105"/>
        <v>0.5</v>
      </c>
      <c r="R315" s="173">
        <f t="shared" si="106"/>
        <v>0.49239861301380383</v>
      </c>
      <c r="S315" s="802">
        <f t="shared" si="107"/>
        <v>1</v>
      </c>
      <c r="T315" s="172">
        <f t="shared" si="108"/>
        <v>7</v>
      </c>
      <c r="U315" s="247">
        <f t="shared" si="109"/>
        <v>1.4923986130138038</v>
      </c>
      <c r="V315" s="378">
        <f t="shared" si="110"/>
        <v>28.884718340866517</v>
      </c>
      <c r="W315" s="397">
        <f t="shared" si="111"/>
        <v>16.658865939695431</v>
      </c>
      <c r="X315" s="153">
        <f t="shared" si="112"/>
        <v>45592</v>
      </c>
      <c r="Y315" s="380">
        <f t="shared" si="113"/>
        <v>16.332514730189722</v>
      </c>
      <c r="Z315" s="380">
        <f t="shared" si="114"/>
        <v>16.573505918376053</v>
      </c>
      <c r="AA315" s="381">
        <f t="shared" si="115"/>
        <v>17.467598542321142</v>
      </c>
      <c r="AB315" s="193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5.1185778158276761E-2</v>
      </c>
      <c r="AD315" s="227">
        <f>(INDEX(Models!$BJ315:$BT315,,AH315)*(1-AF315)+INDEX(Models!$BJ315:$BT315,,AH315+1)*AF315-ERP_i)*AE315*Ramure*Pc/MaxiM</f>
        <v>1.9650861394968494E-3</v>
      </c>
      <c r="AE315" s="301">
        <f t="shared" si="117"/>
        <v>0.5</v>
      </c>
      <c r="AF315" s="173">
        <f t="shared" si="118"/>
        <v>0.49239861301380383</v>
      </c>
      <c r="AG315" s="802">
        <f t="shared" si="124"/>
        <v>1</v>
      </c>
      <c r="AH315" s="172">
        <f t="shared" si="119"/>
        <v>7</v>
      </c>
      <c r="AI315" s="221">
        <f t="shared" si="120"/>
        <v>1.4923986130138038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3"/>
        <v>45593</v>
      </c>
      <c r="B316" s="406">
        <f>'2023'!Wh/'2023'!Env_an*'2024'!Env_an</f>
        <v>23.436816045290879</v>
      </c>
      <c r="C316" s="385"/>
      <c r="D316" s="388">
        <f t="shared" si="102"/>
        <v>23.782958914017495</v>
      </c>
      <c r="E316" s="380">
        <f t="shared" si="125"/>
        <v>24.57551592340311</v>
      </c>
      <c r="F316" s="380">
        <f t="shared" si="103"/>
        <v>24.618099924576047</v>
      </c>
      <c r="G316" s="110">
        <f t="shared" si="126"/>
        <v>0.82142475557681838</v>
      </c>
      <c r="H316" s="409" t="b">
        <f>Wh_hp&gt;='2023'!Maxi_hp</f>
        <v>0</v>
      </c>
      <c r="I316" s="375">
        <f>IF(H316,Wh_hp,'2023'!Maxi_hp)</f>
        <v>24.628264313045676</v>
      </c>
      <c r="J316" s="85">
        <f>IF(H316,An,'2023'!An_max)</f>
        <v>2022</v>
      </c>
      <c r="K316" s="193">
        <f t="shared" si="104"/>
        <v>45593</v>
      </c>
      <c r="L316" s="143">
        <f>IF(t&lt;Tvie,1-EXP((T0-t)*PertePVj)+'2023'!Pspv,1-EXP((T0-t)*PertePVj)+Pspv)</f>
        <v>1.4554239023749194E-2</v>
      </c>
      <c r="M316" s="836"/>
      <c r="N316" s="836"/>
      <c r="O316" s="48">
        <f>IF(t&lt;Tnet,'2023'!Resal+('2023'!Salim-'2023'!Resal)*(1-EXP(('2023'!Tnet-t)/('2023'!Tau_j))),Resal+(Salim-Resal)*(1-EXP((Tnet-t)/(Tau_j))))*Salcycl</f>
        <v>3.2249862499564727E-2</v>
      </c>
      <c r="P316" s="165">
        <f>(INDEX(Models!$BJ316:$BT316,,T316)*(1-R316)+INDEX(Models!$BJ316:$BT316,,T316+1)*R316-ERP_i)*Q316*Ramure*Pc/MaxiM</f>
        <v>2.3200308108700766E-3</v>
      </c>
      <c r="Q316" s="301">
        <f t="shared" si="105"/>
        <v>0.5</v>
      </c>
      <c r="R316" s="173">
        <f t="shared" si="106"/>
        <v>0.49246218225103999</v>
      </c>
      <c r="S316" s="802">
        <f t="shared" si="107"/>
        <v>1</v>
      </c>
      <c r="T316" s="172">
        <f t="shared" si="108"/>
        <v>7</v>
      </c>
      <c r="U316" s="247">
        <f t="shared" si="109"/>
        <v>1.49246218225104</v>
      </c>
      <c r="V316" s="378">
        <f t="shared" si="110"/>
        <v>28.515038553975252</v>
      </c>
      <c r="W316" s="397">
        <f t="shared" si="111"/>
        <v>23.436816045290879</v>
      </c>
      <c r="X316" s="153">
        <f t="shared" si="112"/>
        <v>45593</v>
      </c>
      <c r="Y316" s="380">
        <f t="shared" si="113"/>
        <v>22.978411344269759</v>
      </c>
      <c r="Z316" s="380">
        <f t="shared" si="114"/>
        <v>23.317783945314002</v>
      </c>
      <c r="AA316" s="381">
        <f t="shared" si="115"/>
        <v>24.57551592340311</v>
      </c>
      <c r="AB316" s="193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5.11782532667555E-2</v>
      </c>
      <c r="AD316" s="227">
        <f>(INDEX(Models!$BJ316:$BT316,,AH316)*(1-AF316)+INDEX(Models!$BJ316:$BT316,,AH316+1)*AF316-ERP_i)*AE316*Ramure*Pc/MaxiM</f>
        <v>2.3200308108700766E-3</v>
      </c>
      <c r="AE316" s="301">
        <f t="shared" si="117"/>
        <v>0.5</v>
      </c>
      <c r="AF316" s="173">
        <f t="shared" si="118"/>
        <v>0.49246218225103999</v>
      </c>
      <c r="AG316" s="802">
        <f t="shared" si="124"/>
        <v>1</v>
      </c>
      <c r="AH316" s="172">
        <f t="shared" si="119"/>
        <v>7</v>
      </c>
      <c r="AI316" s="221">
        <f t="shared" si="120"/>
        <v>1.49246218225104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3"/>
        <v>45594</v>
      </c>
      <c r="B317" s="406">
        <f>'2023'!Wh/'2023'!Env_an*'2024'!Env_an</f>
        <v>20.522870165043305</v>
      </c>
      <c r="C317" s="385"/>
      <c r="D317" s="388">
        <f t="shared" si="102"/>
        <v>20.826261497553944</v>
      </c>
      <c r="E317" s="380">
        <f t="shared" si="125"/>
        <v>21.520794373403362</v>
      </c>
      <c r="F317" s="380">
        <f t="shared" si="103"/>
        <v>21.556693112027393</v>
      </c>
      <c r="G317" s="110">
        <f t="shared" si="126"/>
        <v>0.72837822861339563</v>
      </c>
      <c r="H317" s="409" t="b">
        <f>Wh_hp&gt;='2023'!Maxi_hp</f>
        <v>0</v>
      </c>
      <c r="I317" s="375">
        <f>IF(H317,Wh_hp,'2023'!Maxi_hp)</f>
        <v>21.572507516990949</v>
      </c>
      <c r="J317" s="85">
        <f>IF(H317,An,'2023'!An_max)</f>
        <v>2022</v>
      </c>
      <c r="K317" s="193">
        <f t="shared" si="104"/>
        <v>45594</v>
      </c>
      <c r="L317" s="143">
        <f>IF(t&lt;Tvie,1-EXP((T0-t)*PertePVj)+'2023'!Pspv,1-EXP((T0-t)*PertePVj)+Pspv)</f>
        <v>1.4567728948677305E-2</v>
      </c>
      <c r="M317" s="836"/>
      <c r="N317" s="836"/>
      <c r="O317" s="48">
        <f>IF(t&lt;Tnet,'2023'!Resal+('2023'!Salim-'2023'!Resal)*(1-EXP(('2023'!Tnet-t)/('2023'!Tau_j))),Resal+(Salim-Resal)*(1-EXP((Tnet-t)/(Tau_j))))*Salcycl</f>
        <v>3.2272641232414842E-2</v>
      </c>
      <c r="P317" s="165">
        <f>(INDEX(Models!$BJ317:$BT317,,T317)*(1-R317)+INDEX(Models!$BJ317:$BT317,,T317+1)*R317-ERP_i)*Q317*Ramure*Pc/MaxiM</f>
        <v>2.7163775931327806E-3</v>
      </c>
      <c r="Q317" s="301">
        <f t="shared" si="105"/>
        <v>0.5</v>
      </c>
      <c r="R317" s="173">
        <f t="shared" si="106"/>
        <v>0.49252320723108256</v>
      </c>
      <c r="S317" s="802">
        <f t="shared" si="107"/>
        <v>1</v>
      </c>
      <c r="T317" s="172">
        <f t="shared" si="108"/>
        <v>7</v>
      </c>
      <c r="U317" s="247">
        <f t="shared" si="109"/>
        <v>1.4925232072310826</v>
      </c>
      <c r="V317" s="378">
        <f t="shared" si="110"/>
        <v>28.14645277422472</v>
      </c>
      <c r="W317" s="397">
        <f t="shared" si="111"/>
        <v>20.522870165043305</v>
      </c>
      <c r="X317" s="153">
        <f t="shared" si="112"/>
        <v>45594</v>
      </c>
      <c r="Y317" s="380">
        <f t="shared" si="113"/>
        <v>20.122098123415995</v>
      </c>
      <c r="Z317" s="380">
        <f t="shared" si="114"/>
        <v>20.419564808800551</v>
      </c>
      <c r="AA317" s="381">
        <f t="shared" si="115"/>
        <v>21.520794373403362</v>
      </c>
      <c r="AB317" s="193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5.1170488667638243E-2</v>
      </c>
      <c r="AD317" s="227">
        <f>(INDEX(Models!$BJ317:$BT317,,AH317)*(1-AF317)+INDEX(Models!$BJ317:$BT317,,AH317+1)*AF317-ERP_i)*AE317*Ramure*Pc/MaxiM</f>
        <v>2.7163775931327806E-3</v>
      </c>
      <c r="AE317" s="301">
        <f t="shared" si="117"/>
        <v>0.5</v>
      </c>
      <c r="AF317" s="173">
        <f t="shared" si="118"/>
        <v>0.49252320723108256</v>
      </c>
      <c r="AG317" s="802">
        <f t="shared" si="124"/>
        <v>1</v>
      </c>
      <c r="AH317" s="172">
        <f t="shared" si="119"/>
        <v>7</v>
      </c>
      <c r="AI317" s="221">
        <f t="shared" si="120"/>
        <v>1.4925232072310826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3"/>
        <v>45595</v>
      </c>
      <c r="B318" s="406">
        <f>'2023'!Wh/'2023'!Env_an*'2024'!Env_an</f>
        <v>19.686280231419271</v>
      </c>
      <c r="C318" s="385"/>
      <c r="D318" s="388">
        <f t="shared" si="102"/>
        <v>19.977577660157298</v>
      </c>
      <c r="E318" s="380">
        <f t="shared" si="125"/>
        <v>20.644289874907649</v>
      </c>
      <c r="F318" s="380">
        <f t="shared" si="103"/>
        <v>20.682295764796223</v>
      </c>
      <c r="G318" s="110">
        <f t="shared" si="126"/>
        <v>0.70777719285198715</v>
      </c>
      <c r="H318" s="409" t="b">
        <f>Wh_hp&gt;='2023'!Maxi_hp</f>
        <v>0</v>
      </c>
      <c r="I318" s="375">
        <f>IF(H318,Wh_hp,'2023'!Maxi_hp)</f>
        <v>20.701155143834445</v>
      </c>
      <c r="J318" s="85">
        <f>IF(H318,An,'2023'!An_max)</f>
        <v>2022</v>
      </c>
      <c r="K318" s="193">
        <f t="shared" si="104"/>
        <v>45595</v>
      </c>
      <c r="L318" s="143">
        <f>IF(t&lt;Tvie,1-EXP((T0-t)*PertePVj)+'2023'!Pspv,1-EXP((T0-t)*PertePVj)+Pspv)</f>
        <v>1.4581218688939579E-2</v>
      </c>
      <c r="M318" s="836"/>
      <c r="N318" s="836"/>
      <c r="O318" s="48">
        <f>IF(t&lt;Tnet,'2023'!Resal+('2023'!Salim-'2023'!Resal)*(1-EXP(('2023'!Tnet-t)/('2023'!Tau_j))),Resal+(Salim-Resal)*(1-EXP((Tnet-t)/(Tau_j))))*Salcycl</f>
        <v>3.2295236057536328E-2</v>
      </c>
      <c r="P318" s="165">
        <f>(INDEX(Models!$BJ318:$BT318,,T318)*(1-R318)+INDEX(Models!$BJ318:$BT318,,T318+1)*R318-ERP_i)*Q318*Ramure*Pc/MaxiM</f>
        <v>3.1472991789202598E-3</v>
      </c>
      <c r="Q318" s="301">
        <f t="shared" si="105"/>
        <v>0.5</v>
      </c>
      <c r="R318" s="173">
        <f t="shared" si="106"/>
        <v>0.49258178919694351</v>
      </c>
      <c r="S318" s="802">
        <f t="shared" si="107"/>
        <v>1</v>
      </c>
      <c r="T318" s="172">
        <f t="shared" si="108"/>
        <v>7</v>
      </c>
      <c r="U318" s="247">
        <f t="shared" si="109"/>
        <v>1.4925817891969435</v>
      </c>
      <c r="V318" s="378">
        <f t="shared" si="110"/>
        <v>27.777738470433068</v>
      </c>
      <c r="W318" s="397">
        <f t="shared" si="111"/>
        <v>19.686280231419271</v>
      </c>
      <c r="X318" s="153">
        <f t="shared" si="112"/>
        <v>45595</v>
      </c>
      <c r="Y318" s="380">
        <f t="shared" si="113"/>
        <v>19.302457674100346</v>
      </c>
      <c r="Z318" s="380">
        <f t="shared" si="114"/>
        <v>19.588075689423327</v>
      </c>
      <c r="AA318" s="381">
        <f t="shared" si="115"/>
        <v>20.644289874907649</v>
      </c>
      <c r="AB318" s="193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5.1162534138222367E-2</v>
      </c>
      <c r="AD318" s="227">
        <f>(INDEX(Models!$BJ318:$BT318,,AH318)*(1-AF318)+INDEX(Models!$BJ318:$BT318,,AH318+1)*AF318-ERP_i)*AE318*Ramure*Pc/MaxiM</f>
        <v>3.1472991789202598E-3</v>
      </c>
      <c r="AE318" s="301">
        <f t="shared" si="117"/>
        <v>0.5</v>
      </c>
      <c r="AF318" s="173">
        <f t="shared" si="118"/>
        <v>0.49258178919694351</v>
      </c>
      <c r="AG318" s="802">
        <f t="shared" si="124"/>
        <v>1</v>
      </c>
      <c r="AH318" s="172">
        <f t="shared" si="119"/>
        <v>7</v>
      </c>
      <c r="AI318" s="221">
        <f t="shared" si="120"/>
        <v>1.4925817891969435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3"/>
        <v>45596</v>
      </c>
      <c r="B319" s="406">
        <f>'2023'!Wh/'2023'!Env_an*'2024'!Env_an</f>
        <v>17.949883914672853</v>
      </c>
      <c r="C319" s="385"/>
      <c r="D319" s="388">
        <f t="shared" si="102"/>
        <v>18.215737285818541</v>
      </c>
      <c r="E319" s="380">
        <f t="shared" si="125"/>
        <v>18.824088124132082</v>
      </c>
      <c r="F319" s="380">
        <f t="shared" si="103"/>
        <v>18.858504809146062</v>
      </c>
      <c r="G319" s="110">
        <f t="shared" si="126"/>
        <v>0.65370646339261529</v>
      </c>
      <c r="H319" s="409" t="b">
        <f>Wh_hp&gt;='2023'!Maxi_hp</f>
        <v>0</v>
      </c>
      <c r="I319" s="375">
        <f>IF(H319,Wh_hp,'2023'!Maxi_hp)</f>
        <v>18.881740725335344</v>
      </c>
      <c r="J319" s="85">
        <f>IF(H319,An,'2023'!An_max)</f>
        <v>2022</v>
      </c>
      <c r="K319" s="193">
        <f t="shared" si="104"/>
        <v>45596</v>
      </c>
      <c r="L319" s="143">
        <f>IF(t&lt;Tvie,1-EXP((T0-t)*PertePVj)+'2023'!Pspv,1-EXP((T0-t)*PertePVj)+Pspv)</f>
        <v>1.459470824453879E-2</v>
      </c>
      <c r="M319" s="836"/>
      <c r="N319" s="836"/>
      <c r="O319" s="48">
        <f>IF(t&lt;Tnet,'2023'!Resal+('2023'!Salim-'2023'!Resal)*(1-EXP(('2023'!Tnet-t)/('2023'!Tau_j))),Resal+(Salim-Resal)*(1-EXP((Tnet-t)/(Tau_j))))*Salcycl</f>
        <v>3.2317679045161848E-2</v>
      </c>
      <c r="P319" s="165">
        <f>(INDEX(Models!$BJ319:$BT319,,T319)*(1-R319)+INDEX(Models!$BJ319:$BT319,,T319+1)*R319-ERP_i)*Q319*Ramure*Pc/MaxiM</f>
        <v>3.5998915077051041E-3</v>
      </c>
      <c r="Q319" s="301">
        <f t="shared" si="105"/>
        <v>0.5</v>
      </c>
      <c r="R319" s="173">
        <f t="shared" si="106"/>
        <v>0.49263802540908519</v>
      </c>
      <c r="S319" s="802">
        <f t="shared" si="107"/>
        <v>1</v>
      </c>
      <c r="T319" s="172">
        <f t="shared" si="108"/>
        <v>7</v>
      </c>
      <c r="U319" s="247">
        <f t="shared" si="109"/>
        <v>1.4926380254090852</v>
      </c>
      <c r="V319" s="378">
        <f t="shared" si="110"/>
        <v>27.409804691070779</v>
      </c>
      <c r="W319" s="397">
        <f t="shared" si="111"/>
        <v>17.949883914672853</v>
      </c>
      <c r="X319" s="153">
        <f t="shared" si="112"/>
        <v>45596</v>
      </c>
      <c r="Y319" s="380">
        <f t="shared" si="113"/>
        <v>17.600474117022387</v>
      </c>
      <c r="Z319" s="380">
        <f t="shared" si="114"/>
        <v>17.861152425585036</v>
      </c>
      <c r="AA319" s="381">
        <f t="shared" si="115"/>
        <v>18.824088124132082</v>
      </c>
      <c r="AB319" s="193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5.1154440639947021E-2</v>
      </c>
      <c r="AD319" s="227">
        <f>(INDEX(Models!$BJ319:$BT319,,AH319)*(1-AF319)+INDEX(Models!$BJ319:$BT319,,AH319+1)*AF319-ERP_i)*AE319*Ramure*Pc/MaxiM</f>
        <v>3.5998915077051041E-3</v>
      </c>
      <c r="AE319" s="301">
        <f t="shared" si="117"/>
        <v>0.5</v>
      </c>
      <c r="AF319" s="173">
        <f t="shared" si="118"/>
        <v>0.49263802540908519</v>
      </c>
      <c r="AG319" s="802">
        <f t="shared" si="124"/>
        <v>1</v>
      </c>
      <c r="AH319" s="172">
        <f t="shared" si="119"/>
        <v>7</v>
      </c>
      <c r="AI319" s="221">
        <f t="shared" si="120"/>
        <v>1.4926380254090852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3"/>
        <v>45597</v>
      </c>
      <c r="B320" s="406">
        <f>'2023'!Wh/'2023'!Env_an*'2024'!Env_an</f>
        <v>24.845560209546271</v>
      </c>
      <c r="C320" s="385"/>
      <c r="D320" s="388">
        <f t="shared" si="102"/>
        <v>25.213889692834037</v>
      </c>
      <c r="E320" s="380">
        <f t="shared" si="125"/>
        <v>26.056558885049849</v>
      </c>
      <c r="F320" s="380">
        <f t="shared" si="103"/>
        <v>26.150741360562463</v>
      </c>
      <c r="G320" s="110">
        <f t="shared" si="126"/>
        <v>0.91830048269933795</v>
      </c>
      <c r="H320" s="409" t="b">
        <f>Wh_hp&gt;='2023'!Maxi_hp</f>
        <v>0</v>
      </c>
      <c r="I320" s="375">
        <f>IF(H320,Wh_hp,'2023'!Maxi_hp)</f>
        <v>26.159305907233136</v>
      </c>
      <c r="J320" s="85">
        <f>IF(H320,An,'2023'!An_max)</f>
        <v>2022</v>
      </c>
      <c r="K320" s="193">
        <f t="shared" si="104"/>
        <v>45597</v>
      </c>
      <c r="L320" s="143">
        <f>IF(t&lt;Tvie,1-EXP((T0-t)*PertePVj)+'2023'!Pspv,1-EXP((T0-t)*PertePVj)+Pspv)</f>
        <v>1.460819761547727E-2</v>
      </c>
      <c r="M320" s="836"/>
      <c r="N320" s="836"/>
      <c r="O320" s="48">
        <f>IF(t&lt;Tnet,'2023'!Resal+('2023'!Salim-'2023'!Resal)*(1-EXP(('2023'!Tnet-t)/('2023'!Tau_j))),Resal+(Salim-Resal)*(1-EXP((Tnet-t)/(Tau_j))))*Salcycl</f>
        <v>3.234000298862557E-2</v>
      </c>
      <c r="P320" s="165">
        <f>(INDEX(Models!$BJ320:$BT320,,T320)*(1-R320)+INDEX(Models!$BJ320:$BT320,,T320+1)*R320-ERP_i)*Q320*Ramure*Pc/MaxiM</f>
        <v>4.0745373993681085E-3</v>
      </c>
      <c r="Q320" s="301">
        <f t="shared" si="105"/>
        <v>0.5</v>
      </c>
      <c r="R320" s="173">
        <f t="shared" si="106"/>
        <v>0.49269200929843926</v>
      </c>
      <c r="S320" s="802">
        <f t="shared" si="107"/>
        <v>1</v>
      </c>
      <c r="T320" s="172">
        <f t="shared" si="108"/>
        <v>7</v>
      </c>
      <c r="U320" s="247">
        <f t="shared" si="109"/>
        <v>1.4926920092984393</v>
      </c>
      <c r="V320" s="378">
        <f t="shared" si="110"/>
        <v>27.043180168686185</v>
      </c>
      <c r="W320" s="397">
        <f t="shared" si="111"/>
        <v>24.845560209546271</v>
      </c>
      <c r="X320" s="153">
        <f t="shared" si="112"/>
        <v>45597</v>
      </c>
      <c r="Y320" s="380">
        <f t="shared" si="113"/>
        <v>24.362692265318575</v>
      </c>
      <c r="Z320" s="380">
        <f t="shared" si="114"/>
        <v>24.723863346908267</v>
      </c>
      <c r="AA320" s="381">
        <f t="shared" si="115"/>
        <v>26.056558885049849</v>
      </c>
      <c r="AB320" s="193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5.1146260103678821E-2</v>
      </c>
      <c r="AD320" s="227">
        <f>(INDEX(Models!$BJ320:$BT320,,AH320)*(1-AF320)+INDEX(Models!$BJ320:$BT320,,AH320+1)*AF320-ERP_i)*AE320*Ramure*Pc/MaxiM</f>
        <v>4.0745373993681085E-3</v>
      </c>
      <c r="AE320" s="301">
        <f t="shared" si="117"/>
        <v>0.5</v>
      </c>
      <c r="AF320" s="173">
        <f t="shared" si="118"/>
        <v>0.49269200929843926</v>
      </c>
      <c r="AG320" s="802">
        <f t="shared" si="124"/>
        <v>1</v>
      </c>
      <c r="AH320" s="172">
        <f t="shared" si="119"/>
        <v>7</v>
      </c>
      <c r="AI320" s="221">
        <f t="shared" si="120"/>
        <v>1.4926920092984393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3"/>
        <v>45598</v>
      </c>
      <c r="B321" s="406">
        <f>'2023'!Wh/'2023'!Env_an*'2024'!Env_an</f>
        <v>9.011387997500405</v>
      </c>
      <c r="C321" s="385"/>
      <c r="D321" s="388">
        <f t="shared" si="102"/>
        <v>9.1451048564811046</v>
      </c>
      <c r="E321" s="380">
        <f t="shared" si="125"/>
        <v>9.4509590742257288</v>
      </c>
      <c r="F321" s="380">
        <f t="shared" si="103"/>
        <v>9.4532914548190181</v>
      </c>
      <c r="G321" s="110">
        <f t="shared" si="126"/>
        <v>0.33631730008857114</v>
      </c>
      <c r="H321" s="409" t="b">
        <f>Wh_hp&gt;='2023'!Maxi_hp</f>
        <v>0</v>
      </c>
      <c r="I321" s="375">
        <f>IF(H321,Wh_hp,'2023'!Maxi_hp)</f>
        <v>9.4814767533858237</v>
      </c>
      <c r="J321" s="85">
        <f>IF(H321,An,'2023'!An_max)</f>
        <v>2022</v>
      </c>
      <c r="K321" s="193">
        <f t="shared" si="104"/>
        <v>45598</v>
      </c>
      <c r="L321" s="143">
        <f>IF(t&lt;Tvie,1-EXP((T0-t)*PertePVj)+'2023'!Pspv,1-EXP((T0-t)*PertePVj)+Pspv)</f>
        <v>1.4621686801757572E-2</v>
      </c>
      <c r="M321" s="836"/>
      <c r="N321" s="836"/>
      <c r="O321" s="48">
        <f>IF(t&lt;Tnet,'2023'!Resal+('2023'!Salim-'2023'!Resal)*(1-EXP(('2023'!Tnet-t)/('2023'!Tau_j))),Resal+(Salim-Resal)*(1-EXP((Tnet-t)/(Tau_j))))*Salcycl</f>
        <v>3.236224126488256E-2</v>
      </c>
      <c r="P321" s="165">
        <f>(INDEX(Models!$BJ321:$BT321,,T321)*(1-R321)+INDEX(Models!$BJ321:$BT321,,T321+1)*R321-ERP_i)*Q321*Ramure*Pc/MaxiM</f>
        <v>4.5716137934699542E-3</v>
      </c>
      <c r="Q321" s="301">
        <f t="shared" si="105"/>
        <v>0.5</v>
      </c>
      <c r="R321" s="173">
        <f t="shared" si="106"/>
        <v>0.49274383061383253</v>
      </c>
      <c r="S321" s="802">
        <f t="shared" si="107"/>
        <v>1</v>
      </c>
      <c r="T321" s="172">
        <f t="shared" si="108"/>
        <v>7</v>
      </c>
      <c r="U321" s="247">
        <f t="shared" si="109"/>
        <v>1.4927438306138325</v>
      </c>
      <c r="V321" s="378">
        <f t="shared" si="110"/>
        <v>26.678393120158525</v>
      </c>
      <c r="W321" s="397">
        <f t="shared" si="111"/>
        <v>9.011387997500405</v>
      </c>
      <c r="X321" s="153">
        <f t="shared" si="112"/>
        <v>45598</v>
      </c>
      <c r="Y321" s="380">
        <f t="shared" si="113"/>
        <v>8.8365332517531758</v>
      </c>
      <c r="Z321" s="380">
        <f t="shared" si="114"/>
        <v>8.9676555018472435</v>
      </c>
      <c r="AA321" s="381">
        <f t="shared" si="115"/>
        <v>9.4509590742257288</v>
      </c>
      <c r="AB321" s="193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5.1138045206071375E-2</v>
      </c>
      <c r="AD321" s="227">
        <f>(INDEX(Models!$BJ321:$BT321,,AH321)*(1-AF321)+INDEX(Models!$BJ321:$BT321,,AH321+1)*AF321-ERP_i)*AE321*Ramure*Pc/MaxiM</f>
        <v>4.5716137934699542E-3</v>
      </c>
      <c r="AE321" s="301">
        <f t="shared" si="117"/>
        <v>0.5</v>
      </c>
      <c r="AF321" s="173">
        <f t="shared" si="118"/>
        <v>0.49274383061383253</v>
      </c>
      <c r="AG321" s="802">
        <f t="shared" si="124"/>
        <v>1</v>
      </c>
      <c r="AH321" s="172">
        <f t="shared" si="119"/>
        <v>7</v>
      </c>
      <c r="AI321" s="221">
        <f t="shared" si="120"/>
        <v>1.4927438306138325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3"/>
        <v>45599</v>
      </c>
      <c r="B322" s="406">
        <f>'2023'!Wh/'2023'!Env_an*'2024'!Env_an</f>
        <v>12.503619458603163</v>
      </c>
      <c r="C322" s="385"/>
      <c r="D322" s="388">
        <f t="shared" si="102"/>
        <v>12.689330034484989</v>
      </c>
      <c r="E322" s="380">
        <f t="shared" si="125"/>
        <v>13.114020069133444</v>
      </c>
      <c r="F322" s="380">
        <f t="shared" si="103"/>
        <v>13.130746653398068</v>
      </c>
      <c r="G322" s="110">
        <f t="shared" si="126"/>
        <v>0.47331805317753095</v>
      </c>
      <c r="H322" s="409" t="b">
        <f>Wh_hp&gt;='2023'!Maxi_hp</f>
        <v>0</v>
      </c>
      <c r="I322" s="375">
        <f>IF(H322,Wh_hp,'2023'!Maxi_hp)</f>
        <v>13.165201026271244</v>
      </c>
      <c r="J322" s="85">
        <f>IF(H322,An,'2023'!An_max)</f>
        <v>2022</v>
      </c>
      <c r="K322" s="193">
        <f t="shared" si="104"/>
        <v>45599</v>
      </c>
      <c r="L322" s="143">
        <f>IF(t&lt;Tvie,1-EXP((T0-t)*PertePVj)+'2023'!Pspv,1-EXP((T0-t)*PertePVj)+Pspv)</f>
        <v>1.463517580338225E-2</v>
      </c>
      <c r="M322" s="836"/>
      <c r="N322" s="836"/>
      <c r="O322" s="48">
        <f>IF(t&lt;Tnet,'2023'!Resal+('2023'!Salim-'2023'!Resal)*(1-EXP(('2023'!Tnet-t)/('2023'!Tau_j))),Resal+(Salim-Resal)*(1-EXP((Tnet-t)/(Tau_j))))*Salcycl</f>
        <v>3.2384427689572538E-2</v>
      </c>
      <c r="P322" s="165">
        <f>(INDEX(Models!$BJ322:$BT322,,T322)*(1-R322)+INDEX(Models!$BJ322:$BT322,,T322+1)*R322-ERP_i)*Q322*Ramure*Pc/MaxiM</f>
        <v>5.0914885726594207E-3</v>
      </c>
      <c r="Q322" s="301">
        <f t="shared" si="105"/>
        <v>0.5</v>
      </c>
      <c r="R322" s="173">
        <f t="shared" si="106"/>
        <v>0.49279357556400494</v>
      </c>
      <c r="S322" s="802">
        <f t="shared" si="107"/>
        <v>1</v>
      </c>
      <c r="T322" s="172">
        <f t="shared" si="108"/>
        <v>7</v>
      </c>
      <c r="U322" s="247">
        <f t="shared" si="109"/>
        <v>1.4927935755640049</v>
      </c>
      <c r="V322" s="378">
        <f t="shared" si="110"/>
        <v>26.315971205105924</v>
      </c>
      <c r="W322" s="397">
        <f t="shared" si="111"/>
        <v>12.503619458603163</v>
      </c>
      <c r="X322" s="153">
        <f t="shared" si="112"/>
        <v>45599</v>
      </c>
      <c r="Y322" s="380">
        <f t="shared" si="113"/>
        <v>12.261389359072586</v>
      </c>
      <c r="Z322" s="380">
        <f t="shared" si="114"/>
        <v>12.443502201399847</v>
      </c>
      <c r="AA322" s="381">
        <f t="shared" si="115"/>
        <v>13.114020069133444</v>
      </c>
      <c r="AB322" s="193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5.112984913846521E-2</v>
      </c>
      <c r="AD322" s="227">
        <f>(INDEX(Models!$BJ322:$BT322,,AH322)*(1-AF322)+INDEX(Models!$BJ322:$BT322,,AH322+1)*AF322-ERP_i)*AE322*Ramure*Pc/MaxiM</f>
        <v>5.0914885726594207E-3</v>
      </c>
      <c r="AE322" s="301">
        <f t="shared" si="117"/>
        <v>0.5</v>
      </c>
      <c r="AF322" s="173">
        <f t="shared" si="118"/>
        <v>0.49279357556400494</v>
      </c>
      <c r="AG322" s="802">
        <f t="shared" si="124"/>
        <v>1</v>
      </c>
      <c r="AH322" s="172">
        <f t="shared" si="119"/>
        <v>7</v>
      </c>
      <c r="AI322" s="221">
        <f t="shared" si="120"/>
        <v>1.4927935755640049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3"/>
        <v>45600</v>
      </c>
      <c r="B323" s="406">
        <f>'2023'!Wh/'2023'!Env_an*'2024'!Env_an</f>
        <v>25.190948258761491</v>
      </c>
      <c r="C323" s="385"/>
      <c r="D323" s="388">
        <f t="shared" si="102"/>
        <v>25.565447931377353</v>
      </c>
      <c r="E323" s="380">
        <f t="shared" si="125"/>
        <v>26.421684806244809</v>
      </c>
      <c r="F323" s="380">
        <f t="shared" si="103"/>
        <v>26.565059915242333</v>
      </c>
      <c r="G323" s="110">
        <f t="shared" si="126"/>
        <v>0.9702769100819032</v>
      </c>
      <c r="H323" s="409" t="b">
        <f>Wh_hp&gt;='2023'!Maxi_hp</f>
        <v>0</v>
      </c>
      <c r="I323" s="375">
        <f>IF(H323,Wh_hp,'2023'!Maxi_hp)</f>
        <v>26.569385595807791</v>
      </c>
      <c r="J323" s="85">
        <f>IF(H323,An,'2023'!An_max)</f>
        <v>2022</v>
      </c>
      <c r="K323" s="193">
        <f t="shared" si="104"/>
        <v>45600</v>
      </c>
      <c r="L323" s="143">
        <f>IF(t&lt;Tvie,1-EXP((T0-t)*PertePVj)+'2023'!Pspv,1-EXP((T0-t)*PertePVj)+Pspv)</f>
        <v>1.4648664620353746E-2</v>
      </c>
      <c r="M323" s="836"/>
      <c r="N323" s="836"/>
      <c r="O323" s="48">
        <f>IF(t&lt;Tnet,'2023'!Resal+('2023'!Salim-'2023'!Resal)*(1-EXP(('2023'!Tnet-t)/('2023'!Tau_j))),Resal+(Salim-Resal)*(1-EXP((Tnet-t)/(Tau_j))))*Salcycl</f>
        <v>3.2406596367582266E-2</v>
      </c>
      <c r="P323" s="165">
        <f>(INDEX(Models!$BJ323:$BT323,,T323)*(1-R323)+INDEX(Models!$BJ323:$BT323,,T323+1)*R323-ERP_i)*Q323*Ramure*Pc/MaxiM</f>
        <v>5.6345168796070148E-3</v>
      </c>
      <c r="Q323" s="301">
        <f t="shared" si="105"/>
        <v>0.5</v>
      </c>
      <c r="R323" s="173">
        <f t="shared" si="106"/>
        <v>0.49284132695439431</v>
      </c>
      <c r="S323" s="802">
        <f t="shared" si="107"/>
        <v>1</v>
      </c>
      <c r="T323" s="172">
        <f t="shared" si="108"/>
        <v>7</v>
      </c>
      <c r="U323" s="247">
        <f t="shared" si="109"/>
        <v>1.4928413269543943</v>
      </c>
      <c r="V323" s="378">
        <f t="shared" si="110"/>
        <v>25.956441478094899</v>
      </c>
      <c r="W323" s="397">
        <f t="shared" si="111"/>
        <v>25.190948258761491</v>
      </c>
      <c r="X323" s="153">
        <f t="shared" si="112"/>
        <v>45600</v>
      </c>
      <c r="Y323" s="380">
        <f t="shared" si="113"/>
        <v>24.70370656758956</v>
      </c>
      <c r="Z323" s="380">
        <f t="shared" si="114"/>
        <v>25.07096269177071</v>
      </c>
      <c r="AA323" s="381">
        <f t="shared" si="115"/>
        <v>26.421684806244809</v>
      </c>
      <c r="AB323" s="193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5.112172536986942E-2</v>
      </c>
      <c r="AD323" s="227">
        <f>(INDEX(Models!$BJ323:$BT323,,AH323)*(1-AF323)+INDEX(Models!$BJ323:$BT323,,AH323+1)*AF323-ERP_i)*AE323*Ramure*Pc/MaxiM</f>
        <v>5.6345168796070148E-3</v>
      </c>
      <c r="AE323" s="301">
        <f t="shared" si="117"/>
        <v>0.5</v>
      </c>
      <c r="AF323" s="173">
        <f t="shared" si="118"/>
        <v>0.49284132695439431</v>
      </c>
      <c r="AG323" s="802">
        <f t="shared" si="124"/>
        <v>1</v>
      </c>
      <c r="AH323" s="172">
        <f t="shared" si="119"/>
        <v>7</v>
      </c>
      <c r="AI323" s="221">
        <f t="shared" si="120"/>
        <v>1.4928413269543943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3"/>
        <v>45601</v>
      </c>
      <c r="B324" s="406">
        <f>'2023'!Wh/'2023'!Env_an*'2024'!Env_an</f>
        <v>25.244958554342048</v>
      </c>
      <c r="C324" s="385"/>
      <c r="D324" s="388">
        <f t="shared" si="102"/>
        <v>25.620611892334761</v>
      </c>
      <c r="E324" s="380">
        <f t="shared" si="125"/>
        <v>26.479303438888721</v>
      </c>
      <c r="F324" s="380">
        <f t="shared" si="103"/>
        <v>26.640346033509559</v>
      </c>
      <c r="G324" s="110">
        <f t="shared" si="126"/>
        <v>0.98596372479831784</v>
      </c>
      <c r="H324" s="409" t="b">
        <f>Wh_hp&gt;='2023'!Maxi_hp</f>
        <v>0</v>
      </c>
      <c r="I324" s="375">
        <f>IF(H324,Wh_hp,'2023'!Maxi_hp)</f>
        <v>26.642580367893142</v>
      </c>
      <c r="J324" s="85">
        <f>IF(H324,An,'2023'!An_max)</f>
        <v>2022</v>
      </c>
      <c r="K324" s="193">
        <f t="shared" si="104"/>
        <v>45601</v>
      </c>
      <c r="L324" s="143">
        <f>IF(t&lt;Tvie,1-EXP((T0-t)*PertePVj)+'2023'!Pspv,1-EXP((T0-t)*PertePVj)+Pspv)</f>
        <v>1.4662153252674726E-2</v>
      </c>
      <c r="M324" s="836"/>
      <c r="N324" s="836"/>
      <c r="O324" s="48">
        <f>IF(t&lt;Tnet,'2023'!Resal+('2023'!Salim-'2023'!Resal)*(1-EXP(('2023'!Tnet-t)/('2023'!Tau_j))),Resal+(Salim-Resal)*(1-EXP((Tnet-t)/(Tau_j))))*Salcycl</f>
        <v>3.2428781540108267E-2</v>
      </c>
      <c r="P324" s="165">
        <f>(INDEX(Models!$BJ324:$BT324,,T324)*(1-R324)+INDEX(Models!$BJ324:$BT324,,T324+1)*R324-ERP_i)*Q324*Ramure*Pc/MaxiM</f>
        <v>6.1676651613737392E-3</v>
      </c>
      <c r="Q324" s="301">
        <f t="shared" si="105"/>
        <v>0.5</v>
      </c>
      <c r="R324" s="173">
        <f t="shared" si="106"/>
        <v>0.49288716431886348</v>
      </c>
      <c r="S324" s="802">
        <f t="shared" si="107"/>
        <v>1</v>
      </c>
      <c r="T324" s="172">
        <f t="shared" si="108"/>
        <v>7</v>
      </c>
      <c r="U324" s="247">
        <f t="shared" si="109"/>
        <v>1.4928871643188635</v>
      </c>
      <c r="V324" s="378">
        <f t="shared" si="110"/>
        <v>25.601190015991985</v>
      </c>
      <c r="W324" s="397">
        <f t="shared" si="111"/>
        <v>25.244958554342048</v>
      </c>
      <c r="X324" s="153">
        <f t="shared" si="112"/>
        <v>45601</v>
      </c>
      <c r="Y324" s="380">
        <f t="shared" si="113"/>
        <v>24.757448513772577</v>
      </c>
      <c r="Z324" s="380">
        <f t="shared" si="114"/>
        <v>25.125847541022388</v>
      </c>
      <c r="AA324" s="381">
        <f t="shared" si="115"/>
        <v>26.479303438888721</v>
      </c>
      <c r="AB324" s="193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5.1113727405630499E-2</v>
      </c>
      <c r="AD324" s="227">
        <f>(INDEX(Models!$BJ324:$BT324,,AH324)*(1-AF324)+INDEX(Models!$BJ324:$BT324,,AH324+1)*AF324-ERP_i)*AE324*Ramure*Pc/MaxiM</f>
        <v>6.1676651613737392E-3</v>
      </c>
      <c r="AE324" s="301">
        <f t="shared" si="117"/>
        <v>0.5</v>
      </c>
      <c r="AF324" s="173">
        <f t="shared" si="118"/>
        <v>0.49288716431886348</v>
      </c>
      <c r="AG324" s="802">
        <f t="shared" si="124"/>
        <v>1</v>
      </c>
      <c r="AH324" s="172">
        <f t="shared" si="119"/>
        <v>7</v>
      </c>
      <c r="AI324" s="221">
        <f t="shared" si="120"/>
        <v>1.4928871643188635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3"/>
        <v>45602</v>
      </c>
      <c r="B325" s="406">
        <f>'2023'!Wh/'2023'!Env_an*'2024'!Env_an</f>
        <v>25.038144595302391</v>
      </c>
      <c r="C325" s="385"/>
      <c r="D325" s="388">
        <f t="shared" si="102"/>
        <v>25.411068329326643</v>
      </c>
      <c r="E325" s="380">
        <f t="shared" si="125"/>
        <v>26.263340447953755</v>
      </c>
      <c r="F325" s="380">
        <f t="shared" si="103"/>
        <v>26.437433585565373</v>
      </c>
      <c r="G325" s="110">
        <f t="shared" si="126"/>
        <v>0.99147590591168211</v>
      </c>
      <c r="H325" s="409" t="b">
        <f>Wh_hp&gt;='2023'!Maxi_hp</f>
        <v>0</v>
      </c>
      <c r="I325" s="375">
        <f>IF(H325,Wh_hp,'2023'!Maxi_hp)</f>
        <v>26.438884406158653</v>
      </c>
      <c r="J325" s="85">
        <f>IF(H325,An,'2023'!An_max)</f>
        <v>2022</v>
      </c>
      <c r="K325" s="193">
        <f t="shared" si="104"/>
        <v>45602</v>
      </c>
      <c r="L325" s="143">
        <f>IF(t&lt;Tvie,1-EXP((T0-t)*PertePVj)+'2023'!Pspv,1-EXP((T0-t)*PertePVj)+Pspv)</f>
        <v>1.4675641700347741E-2</v>
      </c>
      <c r="M325" s="836"/>
      <c r="N325" s="836"/>
      <c r="O325" s="48">
        <f>IF(t&lt;Tnet,'2023'!Resal+('2023'!Salim-'2023'!Resal)*(1-EXP(('2023'!Tnet-t)/('2023'!Tau_j))),Resal+(Salim-Resal)*(1-EXP((Tnet-t)/(Tau_j))))*Salcycl</f>
        <v>3.2451017429259051E-2</v>
      </c>
      <c r="P325" s="165">
        <f>(INDEX(Models!$BJ325:$BT325,,T325)*(1-R325)+INDEX(Models!$BJ325:$BT325,,T325+1)*R325-ERP_i)*Q325*Ramure*Pc/MaxiM</f>
        <v>6.6655032618601149E-3</v>
      </c>
      <c r="Q325" s="301">
        <f t="shared" si="105"/>
        <v>0.5</v>
      </c>
      <c r="R325" s="173">
        <f t="shared" si="106"/>
        <v>0.49293116404653459</v>
      </c>
      <c r="S325" s="802">
        <f t="shared" si="107"/>
        <v>1</v>
      </c>
      <c r="T325" s="172">
        <f t="shared" si="108"/>
        <v>7</v>
      </c>
      <c r="U325" s="247">
        <f t="shared" si="109"/>
        <v>1.4929311640465346</v>
      </c>
      <c r="V325" s="378">
        <f t="shared" si="110"/>
        <v>25.251363090993177</v>
      </c>
      <c r="W325" s="397">
        <f t="shared" si="111"/>
        <v>25.038144595302391</v>
      </c>
      <c r="X325" s="153">
        <f t="shared" si="112"/>
        <v>45602</v>
      </c>
      <c r="Y325" s="380">
        <f t="shared" si="113"/>
        <v>24.555395019270073</v>
      </c>
      <c r="Z325" s="380">
        <f t="shared" si="114"/>
        <v>24.921128572975356</v>
      </c>
      <c r="AA325" s="381">
        <f t="shared" si="115"/>
        <v>26.263340447953755</v>
      </c>
      <c r="AB325" s="193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5.1105908543441769E-2</v>
      </c>
      <c r="AD325" s="227">
        <f>(INDEX(Models!$BJ325:$BT325,,AH325)*(1-AF325)+INDEX(Models!$BJ325:$BT325,,AH325+1)*AF325-ERP_i)*AE325*Ramure*Pc/MaxiM</f>
        <v>6.6655032618601149E-3</v>
      </c>
      <c r="AE325" s="301">
        <f t="shared" si="117"/>
        <v>0.5</v>
      </c>
      <c r="AF325" s="173">
        <f t="shared" si="118"/>
        <v>0.49293116404653459</v>
      </c>
      <c r="AG325" s="802">
        <f t="shared" si="124"/>
        <v>1</v>
      </c>
      <c r="AH325" s="172">
        <f t="shared" si="119"/>
        <v>7</v>
      </c>
      <c r="AI325" s="221">
        <f t="shared" si="120"/>
        <v>1.4929311640465346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3"/>
        <v>45603</v>
      </c>
      <c r="B326" s="406">
        <f>'2023'!Wh/'2023'!Env_an*'2024'!Env_an</f>
        <v>18.11189598554374</v>
      </c>
      <c r="C326" s="385"/>
      <c r="D326" s="388">
        <f t="shared" si="102"/>
        <v>18.381910254243419</v>
      </c>
      <c r="E326" s="380">
        <f t="shared" si="125"/>
        <v>18.998866881652294</v>
      </c>
      <c r="F326" s="380">
        <f t="shared" si="103"/>
        <v>19.081860115647281</v>
      </c>
      <c r="G326" s="110">
        <f t="shared" si="126"/>
        <v>0.72513886544305961</v>
      </c>
      <c r="H326" s="409" t="b">
        <f>Wh_hp&gt;='2023'!Maxi_hp</f>
        <v>0</v>
      </c>
      <c r="I326" s="375">
        <f>IF(H326,Wh_hp,'2023'!Maxi_hp)</f>
        <v>19.117935070519479</v>
      </c>
      <c r="J326" s="85">
        <f>IF(H326,An,'2023'!An_max)</f>
        <v>2022</v>
      </c>
      <c r="K326" s="193">
        <f t="shared" si="104"/>
        <v>45603</v>
      </c>
      <c r="L326" s="143">
        <f>IF(t&lt;Tvie,1-EXP((T0-t)*PertePVj)+'2023'!Pspv,1-EXP((T0-t)*PertePVj)+Pspv)</f>
        <v>1.4689129963375125E-2</v>
      </c>
      <c r="M326" s="836"/>
      <c r="N326" s="836"/>
      <c r="O326" s="48">
        <f>IF(t&lt;Tnet,'2023'!Resal+('2023'!Salim-'2023'!Resal)*(1-EXP(('2023'!Tnet-t)/('2023'!Tau_j))),Resal+(Salim-Resal)*(1-EXP((Tnet-t)/(Tau_j))))*Salcycl</f>
        <v>3.2473338081266671E-2</v>
      </c>
      <c r="P326" s="165">
        <f>(INDEX(Models!$BJ326:$BT326,,T326)*(1-R326)+INDEX(Models!$BJ326:$BT326,,T326+1)*R326-ERP_i)*Q326*Ramure*Pc/MaxiM</f>
        <v>7.1272437597020739E-3</v>
      </c>
      <c r="Q326" s="301">
        <f t="shared" si="105"/>
        <v>0.5</v>
      </c>
      <c r="R326" s="173">
        <f t="shared" si="106"/>
        <v>0.49297339950390073</v>
      </c>
      <c r="S326" s="802">
        <f t="shared" si="107"/>
        <v>1</v>
      </c>
      <c r="T326" s="172">
        <f t="shared" si="108"/>
        <v>7</v>
      </c>
      <c r="U326" s="247">
        <f t="shared" si="109"/>
        <v>1.4929733995039007</v>
      </c>
      <c r="V326" s="378">
        <f t="shared" si="110"/>
        <v>24.907453878315824</v>
      </c>
      <c r="W326" s="397">
        <f t="shared" si="111"/>
        <v>18.11189598554374</v>
      </c>
      <c r="X326" s="153">
        <f t="shared" si="112"/>
        <v>45603</v>
      </c>
      <c r="Y326" s="380">
        <f t="shared" si="113"/>
        <v>17.76324020372903</v>
      </c>
      <c r="Z326" s="380">
        <f t="shared" si="114"/>
        <v>18.028056671158772</v>
      </c>
      <c r="AA326" s="381">
        <f t="shared" si="115"/>
        <v>18.998866881652294</v>
      </c>
      <c r="AB326" s="193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5.1098321628383896E-2</v>
      </c>
      <c r="AD326" s="227">
        <f>(INDEX(Models!$BJ326:$BT326,,AH326)*(1-AF326)+INDEX(Models!$BJ326:$BT326,,AH326+1)*AF326-ERP_i)*AE326*Ramure*Pc/MaxiM</f>
        <v>7.1272437597020739E-3</v>
      </c>
      <c r="AE326" s="301">
        <f t="shared" si="117"/>
        <v>0.5</v>
      </c>
      <c r="AF326" s="173">
        <f t="shared" si="118"/>
        <v>0.49297339950390073</v>
      </c>
      <c r="AG326" s="802">
        <f t="shared" si="124"/>
        <v>1</v>
      </c>
      <c r="AH326" s="172">
        <f t="shared" si="119"/>
        <v>7</v>
      </c>
      <c r="AI326" s="221">
        <f t="shared" si="120"/>
        <v>1.4929733995039007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3"/>
        <v>45604</v>
      </c>
      <c r="B327" s="406">
        <f>'2023'!Wh/'2023'!Env_an*'2024'!Env_an</f>
        <v>10.100048194225042</v>
      </c>
      <c r="C327" s="385"/>
      <c r="D327" s="388">
        <f t="shared" si="102"/>
        <v>10.250761221096099</v>
      </c>
      <c r="E327" s="380">
        <f t="shared" si="125"/>
        <v>10.595055793688953</v>
      </c>
      <c r="F327" s="380">
        <f t="shared" si="103"/>
        <v>10.607767401345408</v>
      </c>
      <c r="G327" s="110">
        <f t="shared" si="126"/>
        <v>0.40845813657730118</v>
      </c>
      <c r="H327" s="409" t="b">
        <f>Wh_hp&gt;='2023'!Maxi_hp</f>
        <v>0</v>
      </c>
      <c r="I327" s="375">
        <f>IF(H327,Wh_hp,'2023'!Maxi_hp)</f>
        <v>10.653499434199968</v>
      </c>
      <c r="J327" s="85">
        <f>IF(H327,An,'2023'!An_max)</f>
        <v>2022</v>
      </c>
      <c r="K327" s="193">
        <f t="shared" si="104"/>
        <v>45604</v>
      </c>
      <c r="L327" s="143">
        <f>IF(t&lt;Tvie,1-EXP((T0-t)*PertePVj)+'2023'!Pspv,1-EXP((T0-t)*PertePVj)+Pspv)</f>
        <v>1.4702618041759541E-2</v>
      </c>
      <c r="M327" s="836"/>
      <c r="N327" s="836"/>
      <c r="O327" s="48">
        <f>IF(t&lt;Tnet,'2023'!Resal+('2023'!Salim-'2023'!Resal)*(1-EXP(('2023'!Tnet-t)/('2023'!Tau_j))),Resal+(Salim-Resal)*(1-EXP((Tnet-t)/(Tau_j))))*Salcycl</f>
        <v>3.2495777209397662E-2</v>
      </c>
      <c r="P327" s="165">
        <f>(INDEX(Models!$BJ327:$BT327,,T327)*(1-R327)+INDEX(Models!$BJ327:$BT327,,T327+1)*R327-ERP_i)*Q327*Ramure*Pc/MaxiM</f>
        <v>7.5520623277369981E-3</v>
      </c>
      <c r="Q327" s="301">
        <f t="shared" si="105"/>
        <v>0.5</v>
      </c>
      <c r="R327" s="173">
        <f t="shared" si="106"/>
        <v>0.49301394115237018</v>
      </c>
      <c r="S327" s="802">
        <f t="shared" si="107"/>
        <v>1</v>
      </c>
      <c r="T327" s="172">
        <f t="shared" si="108"/>
        <v>7</v>
      </c>
      <c r="U327" s="247">
        <f t="shared" si="109"/>
        <v>1.4930139411523702</v>
      </c>
      <c r="V327" s="378">
        <f t="shared" si="110"/>
        <v>24.569955404865862</v>
      </c>
      <c r="W327" s="397">
        <f t="shared" si="111"/>
        <v>10.100048194225042</v>
      </c>
      <c r="X327" s="153">
        <f t="shared" si="112"/>
        <v>45604</v>
      </c>
      <c r="Y327" s="380">
        <f t="shared" si="113"/>
        <v>9.9059272468305473</v>
      </c>
      <c r="Z327" s="380">
        <f t="shared" si="114"/>
        <v>10.053743598854286</v>
      </c>
      <c r="AA327" s="381">
        <f t="shared" si="115"/>
        <v>10.595055793688953</v>
      </c>
      <c r="AB327" s="193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5.1091018808707395E-2</v>
      </c>
      <c r="AD327" s="227">
        <f>(INDEX(Models!$BJ327:$BT327,,AH327)*(1-AF327)+INDEX(Models!$BJ327:$BT327,,AH327+1)*AF327-ERP_i)*AE327*Ramure*Pc/MaxiM</f>
        <v>7.5520623277369981E-3</v>
      </c>
      <c r="AE327" s="301">
        <f t="shared" si="117"/>
        <v>0.5</v>
      </c>
      <c r="AF327" s="173">
        <f t="shared" si="118"/>
        <v>0.49301394115237018</v>
      </c>
      <c r="AG327" s="802">
        <f t="shared" si="124"/>
        <v>1</v>
      </c>
      <c r="AH327" s="172">
        <f t="shared" si="119"/>
        <v>7</v>
      </c>
      <c r="AI327" s="221">
        <f t="shared" si="120"/>
        <v>1.4930139411523702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3"/>
        <v>45605</v>
      </c>
      <c r="B328" s="406">
        <f>'2023'!Wh/'2023'!Env_an*'2024'!Env_an</f>
        <v>18.363128051784646</v>
      </c>
      <c r="C328" s="385"/>
      <c r="D328" s="388">
        <f t="shared" si="102"/>
        <v>18.637397974743106</v>
      </c>
      <c r="E328" s="380">
        <f t="shared" si="125"/>
        <v>19.263826163749517</v>
      </c>
      <c r="F328" s="380">
        <f t="shared" si="103"/>
        <v>19.364319556644979</v>
      </c>
      <c r="G328" s="110">
        <f t="shared" si="126"/>
        <v>0.75548096337166837</v>
      </c>
      <c r="H328" s="409" t="b">
        <f>Wh_hp&gt;='2023'!Maxi_hp</f>
        <v>0</v>
      </c>
      <c r="I328" s="375">
        <f>IF(H328,Wh_hp,'2023'!Maxi_hp)</f>
        <v>19.400426866804658</v>
      </c>
      <c r="J328" s="85">
        <f>IF(H328,An,'2023'!An_max)</f>
        <v>2022</v>
      </c>
      <c r="K328" s="193">
        <f t="shared" si="104"/>
        <v>45605</v>
      </c>
      <c r="L328" s="143">
        <f>IF(t&lt;Tvie,1-EXP((T0-t)*PertePVj)+'2023'!Pspv,1-EXP((T0-t)*PertePVj)+Pspv)</f>
        <v>1.4716105935503543E-2</v>
      </c>
      <c r="M328" s="836"/>
      <c r="N328" s="836"/>
      <c r="O328" s="48">
        <f>IF(t&lt;Tnet,'2023'!Resal+('2023'!Salim-'2023'!Resal)*(1-EXP(('2023'!Tnet-t)/('2023'!Tau_j))),Resal+(Salim-Resal)*(1-EXP((Tnet-t)/(Tau_j))))*Salcycl</f>
        <v>3.2518368037665307E-2</v>
      </c>
      <c r="P328" s="165">
        <f>(INDEX(Models!$BJ328:$BT328,,T328)*(1-R328)+INDEX(Models!$BJ328:$BT328,,T328+1)*R328-ERP_i)*Q328*Ramure*Pc/MaxiM</f>
        <v>7.9390994086025631E-3</v>
      </c>
      <c r="Q328" s="301">
        <f t="shared" si="105"/>
        <v>0.5</v>
      </c>
      <c r="R328" s="173">
        <f t="shared" si="106"/>
        <v>0.49305285666140541</v>
      </c>
      <c r="S328" s="802">
        <f t="shared" si="107"/>
        <v>1</v>
      </c>
      <c r="T328" s="172">
        <f t="shared" si="108"/>
        <v>7</v>
      </c>
      <c r="U328" s="247">
        <f t="shared" si="109"/>
        <v>1.4930528566614054</v>
      </c>
      <c r="V328" s="378">
        <f t="shared" si="110"/>
        <v>24.239360682153933</v>
      </c>
      <c r="W328" s="397">
        <f t="shared" si="111"/>
        <v>18.363128051784646</v>
      </c>
      <c r="X328" s="153">
        <f t="shared" si="112"/>
        <v>45605</v>
      </c>
      <c r="Y328" s="380">
        <f t="shared" si="113"/>
        <v>18.010745114741344</v>
      </c>
      <c r="Z328" s="380">
        <f t="shared" si="114"/>
        <v>18.279751879880383</v>
      </c>
      <c r="AA328" s="381">
        <f t="shared" si="115"/>
        <v>19.263826163749517</v>
      </c>
      <c r="AB328" s="193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5.1084051294075457E-2</v>
      </c>
      <c r="AD328" s="227">
        <f>(INDEX(Models!$BJ328:$BT328,,AH328)*(1-AF328)+INDEX(Models!$BJ328:$BT328,,AH328+1)*AF328-ERP_i)*AE328*Ramure*Pc/MaxiM</f>
        <v>7.9390994086025631E-3</v>
      </c>
      <c r="AE328" s="301">
        <f t="shared" si="117"/>
        <v>0.5</v>
      </c>
      <c r="AF328" s="173">
        <f t="shared" si="118"/>
        <v>0.49305285666140541</v>
      </c>
      <c r="AG328" s="802">
        <f t="shared" si="124"/>
        <v>1</v>
      </c>
      <c r="AH328" s="172">
        <f t="shared" si="119"/>
        <v>7</v>
      </c>
      <c r="AI328" s="221">
        <f t="shared" si="120"/>
        <v>1.4930528566614054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3"/>
        <v>45606</v>
      </c>
      <c r="B329" s="406">
        <f>'2023'!Wh/'2023'!Env_an*'2024'!Env_an</f>
        <v>21.843685114435729</v>
      </c>
      <c r="C329" s="385"/>
      <c r="D329" s="388">
        <f t="shared" si="102"/>
        <v>22.170243796560996</v>
      </c>
      <c r="E329" s="380">
        <f t="shared" si="125"/>
        <v>22.915955174222958</v>
      </c>
      <c r="F329" s="380">
        <f t="shared" si="103"/>
        <v>23.083577091985024</v>
      </c>
      <c r="G329" s="110">
        <f t="shared" si="126"/>
        <v>0.9124001637755268</v>
      </c>
      <c r="H329" s="409" t="b">
        <f>Wh_hp&gt;='2023'!Maxi_hp</f>
        <v>0</v>
      </c>
      <c r="I329" s="375">
        <f>IF(H329,Wh_hp,'2023'!Maxi_hp)</f>
        <v>23.099620779371207</v>
      </c>
      <c r="J329" s="85">
        <f>IF(H329,An,'2023'!An_max)</f>
        <v>2022</v>
      </c>
      <c r="K329" s="193">
        <f t="shared" si="104"/>
        <v>45606</v>
      </c>
      <c r="L329" s="143">
        <f>IF(t&lt;Tvie,1-EXP((T0-t)*PertePVj)+'2023'!Pspv,1-EXP((T0-t)*PertePVj)+Pspv)</f>
        <v>1.4729593644609462E-2</v>
      </c>
      <c r="M329" s="836"/>
      <c r="N329" s="836"/>
      <c r="O329" s="48">
        <f>IF(t&lt;Tnet,'2023'!Resal+('2023'!Salim-'2023'!Resal)*(1-EXP(('2023'!Tnet-t)/('2023'!Tau_j))),Resal+(Salim-Resal)*(1-EXP((Tnet-t)/(Tau_j))))*Salcycl</f>
        <v>3.2541143146447356E-2</v>
      </c>
      <c r="P329" s="165">
        <f>(INDEX(Models!$BJ329:$BT329,,T329)*(1-R329)+INDEX(Models!$BJ329:$BT329,,T329+1)*R329-ERP_i)*Q329*Ramure*Pc/MaxiM</f>
        <v>8.2874625071597662E-3</v>
      </c>
      <c r="Q329" s="301">
        <f t="shared" si="105"/>
        <v>0.5</v>
      </c>
      <c r="R329" s="173">
        <f t="shared" si="106"/>
        <v>0.49309021101740247</v>
      </c>
      <c r="S329" s="802">
        <f t="shared" si="107"/>
        <v>1</v>
      </c>
      <c r="T329" s="172">
        <f t="shared" si="108"/>
        <v>7</v>
      </c>
      <c r="U329" s="247">
        <f t="shared" si="109"/>
        <v>1.4930902110174025</v>
      </c>
      <c r="V329" s="378">
        <f t="shared" si="110"/>
        <v>23.916162830944277</v>
      </c>
      <c r="W329" s="397">
        <f t="shared" si="111"/>
        <v>21.843685114435729</v>
      </c>
      <c r="X329" s="153">
        <f t="shared" si="112"/>
        <v>45606</v>
      </c>
      <c r="Y329" s="380">
        <f t="shared" si="113"/>
        <v>21.425164301036492</v>
      </c>
      <c r="Z329" s="380">
        <f t="shared" si="114"/>
        <v>21.745466181502625</v>
      </c>
      <c r="AA329" s="381">
        <f t="shared" si="115"/>
        <v>22.915955174222958</v>
      </c>
      <c r="AB329" s="193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5.1077469117977718E-2</v>
      </c>
      <c r="AD329" s="227">
        <f>(INDEX(Models!$BJ329:$BT329,,AH329)*(1-AF329)+INDEX(Models!$BJ329:$BT329,,AH329+1)*AF329-ERP_i)*AE329*Ramure*Pc/MaxiM</f>
        <v>8.2874625071597662E-3</v>
      </c>
      <c r="AE329" s="301">
        <f t="shared" si="117"/>
        <v>0.5</v>
      </c>
      <c r="AF329" s="173">
        <f t="shared" si="118"/>
        <v>0.49309021101740247</v>
      </c>
      <c r="AG329" s="802">
        <f t="shared" si="124"/>
        <v>1</v>
      </c>
      <c r="AH329" s="172">
        <f t="shared" si="119"/>
        <v>7</v>
      </c>
      <c r="AI329" s="221">
        <f t="shared" si="120"/>
        <v>1.4930902110174025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3"/>
        <v>45607</v>
      </c>
      <c r="B330" s="406">
        <f>'2023'!Wh/'2023'!Env_an*'2024'!Env_an</f>
        <v>21.972211505877798</v>
      </c>
      <c r="C330" s="385"/>
      <c r="D330" s="388">
        <f t="shared" si="102"/>
        <v>22.300996913525307</v>
      </c>
      <c r="E330" s="380">
        <f t="shared" si="125"/>
        <v>23.051654073084922</v>
      </c>
      <c r="F330" s="380">
        <f t="shared" si="103"/>
        <v>23.23167142852434</v>
      </c>
      <c r="G330" s="110">
        <f t="shared" si="126"/>
        <v>0.93019705416741894</v>
      </c>
      <c r="H330" s="409" t="b">
        <f>Wh_hp&gt;='2023'!Maxi_hp</f>
        <v>0</v>
      </c>
      <c r="I330" s="375">
        <f>IF(H330,Wh_hp,'2023'!Maxi_hp)</f>
        <v>23.244988021571906</v>
      </c>
      <c r="J330" s="85">
        <f>IF(H330,An,'2023'!An_max)</f>
        <v>2022</v>
      </c>
      <c r="K330" s="193">
        <f t="shared" si="104"/>
        <v>45607</v>
      </c>
      <c r="L330" s="143">
        <f>IF(t&lt;Tvie,1-EXP((T0-t)*PertePVj)+'2023'!Pspv,1-EXP((T0-t)*PertePVj)+Pspv)</f>
        <v>1.4743081169080074E-2</v>
      </c>
      <c r="M330" s="836"/>
      <c r="N330" s="836"/>
      <c r="O330" s="48">
        <f>IF(t&lt;Tnet,'2023'!Resal+('2023'!Salim-'2023'!Resal)*(1-EXP(('2023'!Tnet-t)/('2023'!Tau_j))),Resal+(Salim-Resal)*(1-EXP((Tnet-t)/(Tau_j))))*Salcycl</f>
        <v>3.256413432110622E-2</v>
      </c>
      <c r="P330" s="165">
        <f>(INDEX(Models!$BJ330:$BT330,,T330)*(1-R330)+INDEX(Models!$BJ330:$BT330,,T330+1)*R330-ERP_i)*Q330*Ramure*Pc/MaxiM</f>
        <v>8.5962292232129242E-3</v>
      </c>
      <c r="Q330" s="301">
        <f t="shared" si="105"/>
        <v>0.5</v>
      </c>
      <c r="R330" s="173">
        <f t="shared" si="106"/>
        <v>0.49312606662846559</v>
      </c>
      <c r="S330" s="802">
        <f t="shared" si="107"/>
        <v>1</v>
      </c>
      <c r="T330" s="172">
        <f t="shared" si="108"/>
        <v>7</v>
      </c>
      <c r="U330" s="247">
        <f t="shared" si="109"/>
        <v>1.4931260666284656</v>
      </c>
      <c r="V330" s="378">
        <f t="shared" si="110"/>
        <v>23.600855211460807</v>
      </c>
      <c r="W330" s="397">
        <f t="shared" si="111"/>
        <v>21.972211505877798</v>
      </c>
      <c r="X330" s="153">
        <f t="shared" si="112"/>
        <v>45607</v>
      </c>
      <c r="Y330" s="380">
        <f t="shared" si="113"/>
        <v>21.551879954765909</v>
      </c>
      <c r="Z330" s="380">
        <f t="shared" si="114"/>
        <v>21.874375650504241</v>
      </c>
      <c r="AA330" s="381">
        <f t="shared" si="115"/>
        <v>23.051654073084922</v>
      </c>
      <c r="AB330" s="193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5.1071320906002554E-2</v>
      </c>
      <c r="AD330" s="227">
        <f>(INDEX(Models!$BJ330:$BT330,,AH330)*(1-AF330)+INDEX(Models!$BJ330:$BT330,,AH330+1)*AF330-ERP_i)*AE330*Ramure*Pc/MaxiM</f>
        <v>8.5962292232129242E-3</v>
      </c>
      <c r="AE330" s="301">
        <f t="shared" si="117"/>
        <v>0.5</v>
      </c>
      <c r="AF330" s="173">
        <f t="shared" si="118"/>
        <v>0.49312606662846559</v>
      </c>
      <c r="AG330" s="802">
        <f t="shared" si="124"/>
        <v>1</v>
      </c>
      <c r="AH330" s="172">
        <f t="shared" si="119"/>
        <v>7</v>
      </c>
      <c r="AI330" s="221">
        <f t="shared" si="120"/>
        <v>1.4931260666284656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3"/>
        <v>45608</v>
      </c>
      <c r="B331" s="406">
        <f>'2023'!Wh/'2023'!Env_an*'2024'!Env_an</f>
        <v>20.920743013269789</v>
      </c>
      <c r="C331" s="385"/>
      <c r="D331" s="388">
        <f t="shared" si="102"/>
        <v>21.234085246940467</v>
      </c>
      <c r="E331" s="380">
        <f t="shared" si="125"/>
        <v>21.949357121502441</v>
      </c>
      <c r="F331" s="380">
        <f t="shared" si="103"/>
        <v>22.116900314128682</v>
      </c>
      <c r="G331" s="110">
        <f t="shared" si="126"/>
        <v>0.89700293812053178</v>
      </c>
      <c r="H331" s="409" t="b">
        <f>Wh_hp&gt;='2023'!Maxi_hp</f>
        <v>0</v>
      </c>
      <c r="I331" s="375">
        <f>IF(H331,Wh_hp,'2023'!Maxi_hp)</f>
        <v>22.136158270343074</v>
      </c>
      <c r="J331" s="85">
        <f>IF(H331,An,'2023'!An_max)</f>
        <v>2022</v>
      </c>
      <c r="K331" s="193">
        <f t="shared" si="104"/>
        <v>45608</v>
      </c>
      <c r="L331" s="143">
        <f>IF(t&lt;Tvie,1-EXP((T0-t)*PertePVj)+'2023'!Pspv,1-EXP((T0-t)*PertePVj)+Pspv)</f>
        <v>1.4756568508917822E-2</v>
      </c>
      <c r="M331" s="836"/>
      <c r="N331" s="836"/>
      <c r="O331" s="48">
        <f>IF(t&lt;Tnet,'2023'!Resal+('2023'!Salim-'2023'!Resal)*(1-EXP(('2023'!Tnet-t)/('2023'!Tau_j))),Resal+(Salim-Resal)*(1-EXP((Tnet-t)/(Tau_j))))*Salcycl</f>
        <v>3.2587372404691832E-2</v>
      </c>
      <c r="P331" s="165">
        <f>(INDEX(Models!$BJ331:$BT331,,T331)*(1-R331)+INDEX(Models!$BJ331:$BT331,,T331+1)*R331-ERP_i)*Q331*Ramure*Pc/MaxiM</f>
        <v>8.8649419961560599E-3</v>
      </c>
      <c r="Q331" s="301">
        <f t="shared" si="105"/>
        <v>0.5</v>
      </c>
      <c r="R331" s="173">
        <f t="shared" si="106"/>
        <v>0.49316048342521634</v>
      </c>
      <c r="S331" s="802">
        <f t="shared" si="107"/>
        <v>1</v>
      </c>
      <c r="T331" s="172">
        <f t="shared" si="108"/>
        <v>7</v>
      </c>
      <c r="U331" s="247">
        <f t="shared" si="109"/>
        <v>1.4931604834252163</v>
      </c>
      <c r="V331" s="378">
        <f t="shared" si="110"/>
        <v>23.292630269766995</v>
      </c>
      <c r="W331" s="397">
        <f t="shared" si="111"/>
        <v>20.920743013269789</v>
      </c>
      <c r="X331" s="153">
        <f t="shared" si="112"/>
        <v>45608</v>
      </c>
      <c r="Y331" s="380">
        <f t="shared" si="113"/>
        <v>20.521141682599943</v>
      </c>
      <c r="Z331" s="380">
        <f t="shared" si="114"/>
        <v>20.82849885286009</v>
      </c>
      <c r="AA331" s="381">
        <f t="shared" si="115"/>
        <v>21.949357121502441</v>
      </c>
      <c r="AB331" s="193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5.1065653651619469E-2</v>
      </c>
      <c r="AD331" s="227">
        <f>(INDEX(Models!$BJ331:$BT331,,AH331)*(1-AF331)+INDEX(Models!$BJ331:$BT331,,AH331+1)*AF331-ERP_i)*AE331*Ramure*Pc/MaxiM</f>
        <v>8.8649419961560599E-3</v>
      </c>
      <c r="AE331" s="301">
        <f t="shared" si="117"/>
        <v>0.5</v>
      </c>
      <c r="AF331" s="173">
        <f t="shared" si="118"/>
        <v>0.49316048342521634</v>
      </c>
      <c r="AG331" s="802">
        <f t="shared" si="124"/>
        <v>1</v>
      </c>
      <c r="AH331" s="172">
        <f t="shared" si="119"/>
        <v>7</v>
      </c>
      <c r="AI331" s="221">
        <f t="shared" si="120"/>
        <v>1.4931604834252163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3"/>
        <v>45609</v>
      </c>
      <c r="B332" s="406">
        <f>'2023'!Wh/'2023'!Env_an*'2024'!Env_an</f>
        <v>11.304481202612525</v>
      </c>
      <c r="C332" s="385"/>
      <c r="D332" s="388">
        <f t="shared" si="102"/>
        <v>11.47395211402417</v>
      </c>
      <c r="E332" s="380">
        <f t="shared" si="125"/>
        <v>11.860741413855312</v>
      </c>
      <c r="F332" s="380">
        <f t="shared" si="103"/>
        <v>11.890321200925904</v>
      </c>
      <c r="G332" s="110">
        <f t="shared" si="126"/>
        <v>0.48844970502723389</v>
      </c>
      <c r="H332" s="409" t="b">
        <f>Wh_hp&gt;='2023'!Maxi_hp</f>
        <v>0</v>
      </c>
      <c r="I332" s="375">
        <f>IF(H332,Wh_hp,'2023'!Maxi_hp)</f>
        <v>11.943103695327389</v>
      </c>
      <c r="J332" s="85">
        <f>IF(H332,An,'2023'!An_max)</f>
        <v>2022</v>
      </c>
      <c r="K332" s="193">
        <f t="shared" si="104"/>
        <v>45609</v>
      </c>
      <c r="L332" s="143">
        <f>IF(t&lt;Tvie,1-EXP((T0-t)*PertePVj)+'2023'!Pspv,1-EXP((T0-t)*PertePVj)+Pspv)</f>
        <v>1.4770055664125259E-2</v>
      </c>
      <c r="M332" s="836"/>
      <c r="N332" s="836"/>
      <c r="O332" s="48">
        <f>IF(t&lt;Tnet,'2023'!Resal+('2023'!Salim-'2023'!Resal)*(1-EXP(('2023'!Tnet-t)/('2023'!Tau_j))),Resal+(Salim-Resal)*(1-EXP((Tnet-t)/(Tau_j))))*Salcycl</f>
        <v>3.2610887155781657E-2</v>
      </c>
      <c r="P332" s="165">
        <f>(INDEX(Models!$BJ332:$BT332,,T332)*(1-R332)+INDEX(Models!$BJ332:$BT332,,T332+1)*R332-ERP_i)*Q332*Ramure*Pc/MaxiM</f>
        <v>9.0839500615290929E-3</v>
      </c>
      <c r="Q332" s="301">
        <f t="shared" si="105"/>
        <v>0.5</v>
      </c>
      <c r="R332" s="173">
        <f t="shared" si="106"/>
        <v>0.49319351895777808</v>
      </c>
      <c r="S332" s="802">
        <f t="shared" si="107"/>
        <v>1</v>
      </c>
      <c r="T332" s="172">
        <f t="shared" si="108"/>
        <v>7</v>
      </c>
      <c r="U332" s="247">
        <f t="shared" si="109"/>
        <v>1.4931935189577781</v>
      </c>
      <c r="V332" s="378">
        <f t="shared" si="110"/>
        <v>22.99055186504177</v>
      </c>
      <c r="W332" s="397">
        <f t="shared" si="111"/>
        <v>11.304481202612525</v>
      </c>
      <c r="X332" s="153">
        <f t="shared" si="112"/>
        <v>45609</v>
      </c>
      <c r="Y332" s="380">
        <f t="shared" si="113"/>
        <v>11.088887042887208</v>
      </c>
      <c r="Z332" s="380">
        <f t="shared" si="114"/>
        <v>11.255125878621179</v>
      </c>
      <c r="AA332" s="381">
        <f t="shared" si="115"/>
        <v>11.860741413855312</v>
      </c>
      <c r="AB332" s="193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5.1060512501071187E-2</v>
      </c>
      <c r="AD332" s="227">
        <f>(INDEX(Models!$BJ332:$BT332,,AH332)*(1-AF332)+INDEX(Models!$BJ332:$BT332,,AH332+1)*AF332-ERP_i)*AE332*Ramure*Pc/MaxiM</f>
        <v>9.0839500615290929E-3</v>
      </c>
      <c r="AE332" s="301">
        <f t="shared" si="117"/>
        <v>0.5</v>
      </c>
      <c r="AF332" s="173">
        <f t="shared" si="118"/>
        <v>0.49319351895777808</v>
      </c>
      <c r="AG332" s="802">
        <f t="shared" si="124"/>
        <v>1</v>
      </c>
      <c r="AH332" s="172">
        <f t="shared" si="119"/>
        <v>7</v>
      </c>
      <c r="AI332" s="221">
        <f t="shared" si="120"/>
        <v>1.4931935189577781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3"/>
        <v>45610</v>
      </c>
      <c r="B333" s="406">
        <f>'2023'!Wh/'2023'!Env_an*'2024'!Env_an</f>
        <v>12.835261638821992</v>
      </c>
      <c r="C333" s="385"/>
      <c r="D333" s="388">
        <f t="shared" si="102"/>
        <v>13.027859556007169</v>
      </c>
      <c r="E333" s="380">
        <f t="shared" si="125"/>
        <v>13.467363003193809</v>
      </c>
      <c r="F333" s="380">
        <f t="shared" si="103"/>
        <v>13.514846540167328</v>
      </c>
      <c r="G333" s="110">
        <f t="shared" si="126"/>
        <v>0.56230759903752336</v>
      </c>
      <c r="H333" s="409" t="b">
        <f>Wh_hp&gt;='2023'!Maxi_hp</f>
        <v>0</v>
      </c>
      <c r="I333" s="375">
        <f>IF(H333,Wh_hp,'2023'!Maxi_hp)</f>
        <v>13.567075240802856</v>
      </c>
      <c r="J333" s="85">
        <f>IF(H333,An,'2023'!An_max)</f>
        <v>2022</v>
      </c>
      <c r="K333" s="193">
        <f t="shared" si="104"/>
        <v>45610</v>
      </c>
      <c r="L333" s="143">
        <f>IF(t&lt;Tvie,1-EXP((T0-t)*PertePVj)+'2023'!Pspv,1-EXP((T0-t)*PertePVj)+Pspv)</f>
        <v>1.4783542634704716E-2</v>
      </c>
      <c r="M333" s="836"/>
      <c r="N333" s="836"/>
      <c r="O333" s="48">
        <f>IF(t&lt;Tnet,'2023'!Resal+('2023'!Salim-'2023'!Resal)*(1-EXP(('2023'!Tnet-t)/('2023'!Tau_j))),Resal+(Salim-Resal)*(1-EXP((Tnet-t)/(Tau_j))))*Salcycl</f>
        <v>3.2634707112477061E-2</v>
      </c>
      <c r="P333" s="165">
        <f>(INDEX(Models!$BJ333:$BT333,,T333)*(1-R333)+INDEX(Models!$BJ333:$BT333,,T333+1)*R333-ERP_i)*Q333*Ramure*Pc/MaxiM</f>
        <v>9.2608653765029157E-3</v>
      </c>
      <c r="Q333" s="301">
        <f t="shared" si="105"/>
        <v>0.5</v>
      </c>
      <c r="R333" s="173">
        <f t="shared" si="106"/>
        <v>0.49322522848907324</v>
      </c>
      <c r="S333" s="802">
        <f t="shared" si="107"/>
        <v>1</v>
      </c>
      <c r="T333" s="172">
        <f t="shared" si="108"/>
        <v>7</v>
      </c>
      <c r="U333" s="247">
        <f t="shared" si="109"/>
        <v>1.4932252284890732</v>
      </c>
      <c r="V333" s="378">
        <f t="shared" si="110"/>
        <v>22.694396787269945</v>
      </c>
      <c r="W333" s="397">
        <f t="shared" si="111"/>
        <v>12.835261638821992</v>
      </c>
      <c r="X333" s="153">
        <f t="shared" si="112"/>
        <v>45610</v>
      </c>
      <c r="Y333" s="380">
        <f t="shared" si="113"/>
        <v>12.590843782811595</v>
      </c>
      <c r="Z333" s="380">
        <f t="shared" si="114"/>
        <v>12.779774118352149</v>
      </c>
      <c r="AA333" s="381">
        <f t="shared" si="115"/>
        <v>13.467363003193809</v>
      </c>
      <c r="AB333" s="193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5.1055940548910536E-2</v>
      </c>
      <c r="AD333" s="227">
        <f>(INDEX(Models!$BJ333:$BT333,,AH333)*(1-AF333)+INDEX(Models!$BJ333:$BT333,,AH333+1)*AF333-ERP_i)*AE333*Ramure*Pc/MaxiM</f>
        <v>9.2608653765029157E-3</v>
      </c>
      <c r="AE333" s="301">
        <f t="shared" si="117"/>
        <v>0.5</v>
      </c>
      <c r="AF333" s="173">
        <f t="shared" si="118"/>
        <v>0.49322522848907324</v>
      </c>
      <c r="AG333" s="802">
        <f t="shared" si="124"/>
        <v>1</v>
      </c>
      <c r="AH333" s="172">
        <f t="shared" si="119"/>
        <v>7</v>
      </c>
      <c r="AI333" s="221">
        <f t="shared" si="120"/>
        <v>1.4932252284890732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3"/>
        <v>45611</v>
      </c>
      <c r="B334" s="406">
        <f>'2023'!Wh/'2023'!Env_an*'2024'!Env_an</f>
        <v>21.437697548944431</v>
      </c>
      <c r="C334" s="385"/>
      <c r="D334" s="388">
        <f t="shared" si="102"/>
        <v>21.75967611662616</v>
      </c>
      <c r="E334" s="380">
        <f t="shared" si="125"/>
        <v>22.494314781813852</v>
      </c>
      <c r="F334" s="380">
        <f t="shared" si="103"/>
        <v>22.694389290435488</v>
      </c>
      <c r="G334" s="110">
        <f t="shared" si="126"/>
        <v>0.95630430706665281</v>
      </c>
      <c r="H334" s="409" t="b">
        <f>Wh_hp&gt;='2023'!Maxi_hp</f>
        <v>0</v>
      </c>
      <c r="I334" s="375">
        <f>IF(H334,Wh_hp,'2023'!Maxi_hp)</f>
        <v>22.703232155133165</v>
      </c>
      <c r="J334" s="85">
        <f>IF(H334,An,'2023'!An_max)</f>
        <v>2022</v>
      </c>
      <c r="K334" s="193">
        <f t="shared" si="104"/>
        <v>45611</v>
      </c>
      <c r="L334" s="143">
        <f>IF(t&lt;Tvie,1-EXP((T0-t)*PertePVj)+'2023'!Pspv,1-EXP((T0-t)*PertePVj)+Pspv)</f>
        <v>1.4797029420658969E-2</v>
      </c>
      <c r="M334" s="836"/>
      <c r="N334" s="836"/>
      <c r="O334" s="48">
        <f>IF(t&lt;Tnet,'2023'!Resal+('2023'!Salim-'2023'!Resal)*(1-EXP(('2023'!Tnet-t)/('2023'!Tau_j))),Resal+(Salim-Resal)*(1-EXP((Tnet-t)/(Tau_j))))*Salcycl</f>
        <v>3.2658859463531295E-2</v>
      </c>
      <c r="P334" s="165">
        <f>(INDEX(Models!$BJ334:$BT334,,T334)*(1-R334)+INDEX(Models!$BJ334:$BT334,,T334+1)*R334-ERP_i)*Q334*Ramure*Pc/MaxiM</f>
        <v>9.394990728634145E-3</v>
      </c>
      <c r="Q334" s="301">
        <f t="shared" si="105"/>
        <v>0.5</v>
      </c>
      <c r="R334" s="173">
        <f t="shared" si="106"/>
        <v>0.49325566508456276</v>
      </c>
      <c r="S334" s="802">
        <f t="shared" si="107"/>
        <v>1</v>
      </c>
      <c r="T334" s="172">
        <f t="shared" si="108"/>
        <v>7</v>
      </c>
      <c r="U334" s="247">
        <f t="shared" si="109"/>
        <v>1.4932556650845628</v>
      </c>
      <c r="V334" s="378">
        <f t="shared" si="110"/>
        <v>22.404140082740685</v>
      </c>
      <c r="W334" s="397">
        <f t="shared" si="111"/>
        <v>21.437697548944431</v>
      </c>
      <c r="X334" s="153">
        <f t="shared" si="112"/>
        <v>45611</v>
      </c>
      <c r="Y334" s="380">
        <f t="shared" si="113"/>
        <v>21.030079068261362</v>
      </c>
      <c r="Z334" s="380">
        <f t="shared" si="114"/>
        <v>21.345935503924419</v>
      </c>
      <c r="AA334" s="381">
        <f t="shared" si="115"/>
        <v>22.494314781813852</v>
      </c>
      <c r="AB334" s="193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5.1051978645638596E-2</v>
      </c>
      <c r="AD334" s="227">
        <f>(INDEX(Models!$BJ334:$BT334,,AH334)*(1-AF334)+INDEX(Models!$BJ334:$BT334,,AH334+1)*AF334-ERP_i)*AE334*Ramure*Pc/MaxiM</f>
        <v>9.394990728634145E-3</v>
      </c>
      <c r="AE334" s="301">
        <f t="shared" si="117"/>
        <v>0.5</v>
      </c>
      <c r="AF334" s="173">
        <f t="shared" si="118"/>
        <v>0.49325566508456276</v>
      </c>
      <c r="AG334" s="802">
        <f t="shared" si="124"/>
        <v>1</v>
      </c>
      <c r="AH334" s="172">
        <f t="shared" si="119"/>
        <v>7</v>
      </c>
      <c r="AI334" s="221">
        <f t="shared" si="120"/>
        <v>1.4932556650845628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3"/>
        <v>45612</v>
      </c>
      <c r="B335" s="406">
        <f>'2023'!Wh/'2023'!Env_an*'2024'!Env_an</f>
        <v>14.091908082997103</v>
      </c>
      <c r="C335" s="385"/>
      <c r="D335" s="388">
        <f t="shared" ref="D335:D380" si="127">Wh/(1-Ppv)</f>
        <v>14.303754061702559</v>
      </c>
      <c r="E335" s="380">
        <f t="shared" si="125"/>
        <v>14.787044507475253</v>
      </c>
      <c r="F335" s="380">
        <f t="shared" ref="F335:F380" si="128">Wh_sa/(1-Pvg*MEDIAN((-Sdif+Wh/Env_an)/Csdif,0,1))</f>
        <v>14.854896289510325</v>
      </c>
      <c r="G335" s="110">
        <f t="shared" si="126"/>
        <v>0.63392586119463024</v>
      </c>
      <c r="H335" s="409" t="b">
        <f>Wh_hp&gt;='2023'!Maxi_hp</f>
        <v>0</v>
      </c>
      <c r="I335" s="375">
        <f>IF(H335,Wh_hp,'2023'!Maxi_hp)</f>
        <v>14.903968962126475</v>
      </c>
      <c r="J335" s="85">
        <f>IF(H335,An,'2023'!An_max)</f>
        <v>2022</v>
      </c>
      <c r="K335" s="193">
        <f t="shared" ref="K335:K380" si="129">t</f>
        <v>45612</v>
      </c>
      <c r="L335" s="143">
        <f>IF(t&lt;Tvie,1-EXP((T0-t)*PertePVj)+'2023'!Pspv,1-EXP((T0-t)*PertePVj)+Pspv)</f>
        <v>1.4810516021990461E-2</v>
      </c>
      <c r="M335" s="836"/>
      <c r="N335" s="836"/>
      <c r="O335" s="48">
        <f>IF(t&lt;Tnet,'2023'!Resal+('2023'!Salim-'2023'!Resal)*(1-EXP(('2023'!Tnet-t)/('2023'!Tau_j))),Resal+(Salim-Resal)*(1-EXP((Tnet-t)/(Tau_j))))*Salcycl</f>
        <v>3.2683369927531902E-2</v>
      </c>
      <c r="P335" s="165">
        <f>(INDEX(Models!$BJ335:$BT335,,T335)*(1-R335)+INDEX(Models!$BJ335:$BT335,,T335+1)*R335-ERP_i)*Q335*Ramure*Pc/MaxiM</f>
        <v>9.4856099177875602E-3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0.49328487969855694</v>
      </c>
      <c r="S335" s="802">
        <f t="shared" ref="S335:S379" si="132">INDEX(Echel_vg,T335)</f>
        <v>1</v>
      </c>
      <c r="T335" s="172">
        <f t="shared" ref="T335:T380" si="133">MIN(MATCH(Hp_vg,Echel_vg),10)</f>
        <v>7</v>
      </c>
      <c r="U335" s="247">
        <f t="shared" ref="U335:U380" si="134">IF(OR(t&lt;Ttai,Notai),Hdd+PousH*Croivg,Hdtf+PousH*(Croivg-Croi_tai))</f>
        <v>1.4932848796985569</v>
      </c>
      <c r="V335" s="378">
        <f t="shared" ref="V335:V380" si="135">MaxiM*(1-Ppv)*(1-Pvg)*(1-Psa)</f>
        <v>22.119757719972927</v>
      </c>
      <c r="W335" s="397">
        <f t="shared" ref="W335:W380" si="136">Wh*(A335&gt;Tmaj)</f>
        <v>14.091908082997103</v>
      </c>
      <c r="X335" s="153">
        <f t="shared" ref="X335:X380" si="137">t</f>
        <v>45612</v>
      </c>
      <c r="Y335" s="380">
        <f t="shared" ref="Y335:Y380" si="138">Wh_pvt_s*(1-Ppv)</f>
        <v>13.824361712846928</v>
      </c>
      <c r="Z335" s="380">
        <f t="shared" ref="Z335:Z380" si="139">Wh_sa_s*(1-Psa_s)</f>
        <v>14.032185622837506</v>
      </c>
      <c r="AA335" s="381">
        <f t="shared" ref="AA335:AA380" si="140">Wh_hp*(1-Pvg_s*MEDIAN((-Sdif+Wh/Env_an)/Csdif,0,1))</f>
        <v>14.787044507475253</v>
      </c>
      <c r="AB335" s="193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5.1048665218809866E-2</v>
      </c>
      <c r="AD335" s="227">
        <f>(INDEX(Models!$BJ335:$BT335,,AH335)*(1-AF335)+INDEX(Models!$BJ335:$BT335,,AH335+1)*AF335-ERP_i)*AE335*Ramure*Pc/MaxiM</f>
        <v>9.4856099177875602E-3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0.49328487969855694</v>
      </c>
      <c r="AG335" s="802">
        <f t="shared" si="124"/>
        <v>1</v>
      </c>
      <c r="AH335" s="172">
        <f t="shared" ref="AH335:AH380" si="144">MIN(MATCH(Hp_vg_s,Echel_vg),10)</f>
        <v>7</v>
      </c>
      <c r="AI335" s="221">
        <f t="shared" ref="AI335:AI380" si="145">IF(OR(t&lt;Ttai,Notai),Hdd_s+PousH*Croivg,Hdtai_s+PousH*(Croivg-Croi_tai))</f>
        <v>1.4932848796985569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80" si="148">A335+1</f>
        <v>45613</v>
      </c>
      <c r="B336" s="406">
        <f>'2023'!Wh/'2023'!Env_an*'2024'!Env_an</f>
        <v>11.680767147283451</v>
      </c>
      <c r="C336" s="385"/>
      <c r="D336" s="388">
        <f t="shared" si="127"/>
        <v>11.856528352495378</v>
      </c>
      <c r="E336" s="380">
        <f t="shared" si="125"/>
        <v>12.257448187107746</v>
      </c>
      <c r="F336" s="380">
        <f t="shared" si="128"/>
        <v>12.296765237516757</v>
      </c>
      <c r="G336" s="110">
        <f t="shared" si="126"/>
        <v>0.53140497028418154</v>
      </c>
      <c r="H336" s="409" t="b">
        <f>Wh_hp&gt;='2023'!Maxi_hp</f>
        <v>0</v>
      </c>
      <c r="I336" s="375">
        <f>IF(H336,Wh_hp,'2023'!Maxi_hp)</f>
        <v>12.349054372733571</v>
      </c>
      <c r="J336" s="85">
        <f>IF(H336,An,'2023'!An_max)</f>
        <v>2022</v>
      </c>
      <c r="K336" s="193">
        <f t="shared" si="129"/>
        <v>45613</v>
      </c>
      <c r="L336" s="143">
        <f>IF(t&lt;Tvie,1-EXP((T0-t)*PertePVj)+'2023'!Pspv,1-EXP((T0-t)*PertePVj)+Pspv)</f>
        <v>1.4824002438701633E-2</v>
      </c>
      <c r="M336" s="836"/>
      <c r="N336" s="836"/>
      <c r="O336" s="48">
        <f>IF(t&lt;Tnet,'2023'!Resal+('2023'!Salim-'2023'!Resal)*(1-EXP(('2023'!Tnet-t)/('2023'!Tau_j))),Resal+(Salim-Resal)*(1-EXP((Tnet-t)/(Tau_j))))*Salcycl</f>
        <v>3.2708262640999901E-2</v>
      </c>
      <c r="P336" s="165">
        <f>(INDEX(Models!$BJ336:$BT336,,T336)*(1-R336)+INDEX(Models!$BJ336:$BT336,,T336+1)*R336-ERP_i)*Q336*Ramure*Pc/MaxiM</f>
        <v>9.5319837775456242E-3</v>
      </c>
      <c r="Q336" s="301">
        <f t="shared" si="130"/>
        <v>0.5</v>
      </c>
      <c r="R336" s="173">
        <f t="shared" si="131"/>
        <v>0.49331292125722026</v>
      </c>
      <c r="S336" s="802">
        <f t="shared" si="132"/>
        <v>1</v>
      </c>
      <c r="T336" s="172">
        <f t="shared" si="133"/>
        <v>7</v>
      </c>
      <c r="U336" s="247">
        <f t="shared" si="134"/>
        <v>1.4933129212572203</v>
      </c>
      <c r="V336" s="378">
        <f t="shared" si="135"/>
        <v>21.84122667513488</v>
      </c>
      <c r="W336" s="397">
        <f t="shared" si="136"/>
        <v>11.680767147283451</v>
      </c>
      <c r="X336" s="153">
        <f t="shared" si="137"/>
        <v>45613</v>
      </c>
      <c r="Y336" s="380">
        <f t="shared" si="138"/>
        <v>11.459324894026309</v>
      </c>
      <c r="Z336" s="380">
        <f t="shared" si="139"/>
        <v>11.631754044346073</v>
      </c>
      <c r="AA336" s="381">
        <f t="shared" si="140"/>
        <v>12.257448187107746</v>
      </c>
      <c r="AB336" s="193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5.1046036108867501E-2</v>
      </c>
      <c r="AD336" s="227">
        <f>(INDEX(Models!$BJ336:$BT336,,AH336)*(1-AF336)+INDEX(Models!$BJ336:$BT336,,AH336+1)*AF336-ERP_i)*AE336*Ramure*Pc/MaxiM</f>
        <v>9.5319837775456242E-3</v>
      </c>
      <c r="AE336" s="301">
        <f t="shared" si="142"/>
        <v>0.5</v>
      </c>
      <c r="AF336" s="173">
        <f t="shared" si="143"/>
        <v>0.49331292125722026</v>
      </c>
      <c r="AG336" s="802">
        <f t="shared" ref="AG336:AG379" si="149">INDEX(Echel_vg,AH336)</f>
        <v>1</v>
      </c>
      <c r="AH336" s="172">
        <f t="shared" si="144"/>
        <v>7</v>
      </c>
      <c r="AI336" s="221">
        <f t="shared" si="145"/>
        <v>1.4933129212572203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48"/>
        <v>45614</v>
      </c>
      <c r="B337" s="406">
        <f>'2023'!Wh/'2023'!Env_an*'2024'!Env_an</f>
        <v>8.3828818740440099</v>
      </c>
      <c r="C337" s="385"/>
      <c r="D337" s="388">
        <f t="shared" si="127"/>
        <v>8.5091360842929618</v>
      </c>
      <c r="E337" s="380">
        <f t="shared" si="125"/>
        <v>8.7970963665268442</v>
      </c>
      <c r="F337" s="380">
        <f t="shared" si="128"/>
        <v>8.8077317345809458</v>
      </c>
      <c r="G337" s="110">
        <f t="shared" si="126"/>
        <v>0.38542287574380757</v>
      </c>
      <c r="H337" s="409" t="b">
        <f>Wh_hp&gt;='2023'!Maxi_hp</f>
        <v>0</v>
      </c>
      <c r="I337" s="375">
        <f>IF(H337,Wh_hp,'2023'!Maxi_hp)</f>
        <v>8.8569305429618339</v>
      </c>
      <c r="J337" s="85">
        <f>IF(H337,An,'2023'!An_max)</f>
        <v>2022</v>
      </c>
      <c r="K337" s="193">
        <f t="shared" si="129"/>
        <v>45614</v>
      </c>
      <c r="L337" s="143">
        <f>IF(t&lt;Tvie,1-EXP((T0-t)*PertePVj)+'2023'!Pspv,1-EXP((T0-t)*PertePVj)+Pspv)</f>
        <v>1.4837488670795151E-2</v>
      </c>
      <c r="M337" s="836"/>
      <c r="N337" s="836"/>
      <c r="O337" s="48">
        <f>IF(t&lt;Tnet,'2023'!Resal+('2023'!Salim-'2023'!Resal)*(1-EXP(('2023'!Tnet-t)/('2023'!Tau_j))),Resal+(Salim-Resal)*(1-EXP((Tnet-t)/(Tau_j))))*Salcycl</f>
        <v>3.273356005619979E-2</v>
      </c>
      <c r="P337" s="165">
        <f>(INDEX(Models!$BJ337:$BT337,,T337)*(1-R337)+INDEX(Models!$BJ337:$BT337,,T337+1)*R337-ERP_i)*Q337*Ramure*Pc/MaxiM</f>
        <v>9.5333463841713699E-3</v>
      </c>
      <c r="Q337" s="301">
        <f t="shared" si="130"/>
        <v>0.5</v>
      </c>
      <c r="R337" s="173">
        <f t="shared" si="131"/>
        <v>0.49333983673839077</v>
      </c>
      <c r="S337" s="802">
        <f t="shared" si="132"/>
        <v>1</v>
      </c>
      <c r="T337" s="172">
        <f t="shared" si="133"/>
        <v>7</v>
      </c>
      <c r="U337" s="247">
        <f t="shared" si="134"/>
        <v>1.4933398367383908</v>
      </c>
      <c r="V337" s="378">
        <f t="shared" si="135"/>
        <v>21.568525019784577</v>
      </c>
      <c r="W337" s="397">
        <f t="shared" si="136"/>
        <v>8.3828818740440099</v>
      </c>
      <c r="X337" s="153">
        <f t="shared" si="137"/>
        <v>45614</v>
      </c>
      <c r="Y337" s="380">
        <f t="shared" si="138"/>
        <v>8.2241920944989619</v>
      </c>
      <c r="Z337" s="380">
        <f t="shared" si="139"/>
        <v>8.3480562850515749</v>
      </c>
      <c r="AA337" s="381">
        <f t="shared" si="140"/>
        <v>8.7970963665268442</v>
      </c>
      <c r="AB337" s="193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5.1044124420857526E-2</v>
      </c>
      <c r="AD337" s="227">
        <f>(INDEX(Models!$BJ337:$BT337,,AH337)*(1-AF337)+INDEX(Models!$BJ337:$BT337,,AH337+1)*AF337-ERP_i)*AE337*Ramure*Pc/MaxiM</f>
        <v>9.5333463841713699E-3</v>
      </c>
      <c r="AE337" s="301">
        <f t="shared" si="142"/>
        <v>0.5</v>
      </c>
      <c r="AF337" s="173">
        <f t="shared" si="143"/>
        <v>0.49333983673839077</v>
      </c>
      <c r="AG337" s="802">
        <f t="shared" si="149"/>
        <v>1</v>
      </c>
      <c r="AH337" s="172">
        <f t="shared" si="144"/>
        <v>7</v>
      </c>
      <c r="AI337" s="221">
        <f t="shared" si="145"/>
        <v>1.4933398367383908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48"/>
        <v>45615</v>
      </c>
      <c r="B338" s="406">
        <f>'2023'!Wh/'2023'!Env_an*'2024'!Env_an</f>
        <v>15.090541303899109</v>
      </c>
      <c r="C338" s="385"/>
      <c r="D338" s="388">
        <f t="shared" si="127"/>
        <v>15.31802896478897</v>
      </c>
      <c r="E338" s="380">
        <f t="shared" si="125"/>
        <v>15.836832231292037</v>
      </c>
      <c r="F338" s="380">
        <f t="shared" si="128"/>
        <v>15.925053747852036</v>
      </c>
      <c r="G338" s="110">
        <f t="shared" si="126"/>
        <v>0.70560862002453539</v>
      </c>
      <c r="H338" s="409" t="b">
        <f>Wh_hp&gt;='2023'!Maxi_hp</f>
        <v>0</v>
      </c>
      <c r="I338" s="375">
        <f>IF(H338,Wh_hp,'2023'!Maxi_hp)</f>
        <v>15.967385749042172</v>
      </c>
      <c r="J338" s="85">
        <f>IF(H338,An,'2023'!An_max)</f>
        <v>2022</v>
      </c>
      <c r="K338" s="193">
        <f t="shared" si="129"/>
        <v>45615</v>
      </c>
      <c r="L338" s="143">
        <f>IF(t&lt;Tvie,1-EXP((T0-t)*PertePVj)+'2023'!Pspv,1-EXP((T0-t)*PertePVj)+Pspv)</f>
        <v>1.4850974718273457E-2</v>
      </c>
      <c r="M338" s="836"/>
      <c r="N338" s="836"/>
      <c r="O338" s="48">
        <f>IF(t&lt;Tnet,'2023'!Resal+('2023'!Salim-'2023'!Resal)*(1-EXP(('2023'!Tnet-t)/('2023'!Tau_j))),Resal+(Salim-Resal)*(1-EXP((Tnet-t)/(Tau_j))))*Salcycl</f>
        <v>3.2759282849379609E-2</v>
      </c>
      <c r="P338" s="165">
        <f>(INDEX(Models!$BJ338:$BT338,,T338)*(1-R338)+INDEX(Models!$BJ338:$BT338,,T338+1)*R338-ERP_i)*Q338*Ramure*Pc/MaxiM</f>
        <v>9.4946363316106702E-3</v>
      </c>
      <c r="Q338" s="301">
        <f t="shared" si="130"/>
        <v>0.5</v>
      </c>
      <c r="R338" s="173">
        <f t="shared" si="131"/>
        <v>0.49336567124832986</v>
      </c>
      <c r="S338" s="802">
        <f t="shared" si="132"/>
        <v>1</v>
      </c>
      <c r="T338" s="172">
        <f t="shared" si="133"/>
        <v>7</v>
      </c>
      <c r="U338" s="247">
        <f t="shared" si="134"/>
        <v>1.4933656712483299</v>
      </c>
      <c r="V338" s="378">
        <f t="shared" si="135"/>
        <v>21.301508661558668</v>
      </c>
      <c r="W338" s="397">
        <f t="shared" si="136"/>
        <v>15.090541303899109</v>
      </c>
      <c r="X338" s="153">
        <f t="shared" si="137"/>
        <v>45615</v>
      </c>
      <c r="Y338" s="380">
        <f t="shared" si="138"/>
        <v>14.805285951981441</v>
      </c>
      <c r="Z338" s="380">
        <f t="shared" si="139"/>
        <v>15.028473430958854</v>
      </c>
      <c r="AA338" s="381">
        <f t="shared" si="140"/>
        <v>15.836832231292037</v>
      </c>
      <c r="AB338" s="193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5.1042960393047947E-2</v>
      </c>
      <c r="AD338" s="227">
        <f>(INDEX(Models!$BJ338:$BT338,,AH338)*(1-AF338)+INDEX(Models!$BJ338:$BT338,,AH338+1)*AF338-ERP_i)*AE338*Ramure*Pc/MaxiM</f>
        <v>9.4946363316106702E-3</v>
      </c>
      <c r="AE338" s="301">
        <f t="shared" si="142"/>
        <v>0.5</v>
      </c>
      <c r="AF338" s="173">
        <f t="shared" si="143"/>
        <v>0.49336567124832986</v>
      </c>
      <c r="AG338" s="802">
        <f t="shared" si="149"/>
        <v>1</v>
      </c>
      <c r="AH338" s="172">
        <f t="shared" si="144"/>
        <v>7</v>
      </c>
      <c r="AI338" s="221">
        <f t="shared" si="145"/>
        <v>1.4933656712483299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48"/>
        <v>45616</v>
      </c>
      <c r="B339" s="406">
        <f>'2023'!Wh/'2023'!Env_an*'2024'!Env_an</f>
        <v>3.4365787294418846</v>
      </c>
      <c r="C339" s="385"/>
      <c r="D339" s="388">
        <f t="shared" si="127"/>
        <v>3.4884323952713645</v>
      </c>
      <c r="E339" s="380">
        <f t="shared" si="125"/>
        <v>3.60667898833261</v>
      </c>
      <c r="F339" s="380">
        <f t="shared" si="128"/>
        <v>3.60667898833261</v>
      </c>
      <c r="G339" s="110">
        <f t="shared" si="126"/>
        <v>0.16179643269769936</v>
      </c>
      <c r="H339" s="409" t="b">
        <f>Wh_hp&gt;='2023'!Maxi_hp</f>
        <v>0</v>
      </c>
      <c r="I339" s="375">
        <f>IF(H339,Wh_hp,'2023'!Maxi_hp)</f>
        <v>3.629559805133463</v>
      </c>
      <c r="J339" s="85">
        <f>IF(H339,An,'2023'!An_max)</f>
        <v>2022</v>
      </c>
      <c r="K339" s="193">
        <f t="shared" si="129"/>
        <v>45616</v>
      </c>
      <c r="L339" s="143">
        <f>IF(t&lt;Tvie,1-EXP((T0-t)*PertePVj)+'2023'!Pspv,1-EXP((T0-t)*PertePVj)+Pspv)</f>
        <v>1.4864460581139105E-2</v>
      </c>
      <c r="M339" s="836"/>
      <c r="N339" s="836"/>
      <c r="O339" s="48">
        <f>IF(t&lt;Tnet,'2023'!Resal+('2023'!Salim-'2023'!Resal)*(1-EXP(('2023'!Tnet-t)/('2023'!Tau_j))),Resal+(Salim-Resal)*(1-EXP((Tnet-t)/(Tau_j))))*Salcycl</f>
        <v>3.278544984007891E-2</v>
      </c>
      <c r="P339" s="165">
        <f>(INDEX(Models!$BJ339:$BT339,,T339)*(1-R339)+INDEX(Models!$BJ339:$BT339,,T339+1)*R339-ERP_i)*Q339*Ramure*Pc/MaxiM</f>
        <v>9.4516565271666585E-3</v>
      </c>
      <c r="Q339" s="301">
        <f t="shared" si="130"/>
        <v>0.5</v>
      </c>
      <c r="R339" s="173">
        <f t="shared" si="131"/>
        <v>0.49339046809551501</v>
      </c>
      <c r="S339" s="802">
        <f t="shared" si="132"/>
        <v>1</v>
      </c>
      <c r="T339" s="172">
        <f t="shared" si="133"/>
        <v>7</v>
      </c>
      <c r="U339" s="247">
        <f t="shared" si="134"/>
        <v>1.493390468095515</v>
      </c>
      <c r="V339" s="378">
        <f t="shared" si="135"/>
        <v>21.039384558143215</v>
      </c>
      <c r="W339" s="397">
        <f t="shared" si="136"/>
        <v>3.4365787294418846</v>
      </c>
      <c r="X339" s="153">
        <f t="shared" si="137"/>
        <v>45616</v>
      </c>
      <c r="Y339" s="380">
        <f t="shared" si="138"/>
        <v>3.371709941847246</v>
      </c>
      <c r="Z339" s="380">
        <f t="shared" si="139"/>
        <v>3.4225848189744976</v>
      </c>
      <c r="AA339" s="381">
        <f t="shared" si="140"/>
        <v>3.60667898833261</v>
      </c>
      <c r="AB339" s="193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5.1042571283345647E-2</v>
      </c>
      <c r="AD339" s="227">
        <f>(INDEX(Models!$BJ339:$BT339,,AH339)*(1-AF339)+INDEX(Models!$BJ339:$BT339,,AH339+1)*AF339-ERP_i)*AE339*Ramure*Pc/MaxiM</f>
        <v>9.4516565271666585E-3</v>
      </c>
      <c r="AE339" s="301">
        <f t="shared" si="142"/>
        <v>0.5</v>
      </c>
      <c r="AF339" s="173">
        <f t="shared" si="143"/>
        <v>0.49339046809551501</v>
      </c>
      <c r="AG339" s="802">
        <f t="shared" si="149"/>
        <v>1</v>
      </c>
      <c r="AH339" s="172">
        <f t="shared" si="144"/>
        <v>7</v>
      </c>
      <c r="AI339" s="221">
        <f t="shared" si="145"/>
        <v>1.493390468095515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48"/>
        <v>45617</v>
      </c>
      <c r="B340" s="406">
        <f>'2023'!Wh/'2023'!Env_an*'2024'!Env_an</f>
        <v>9.6430836516671317</v>
      </c>
      <c r="C340" s="385"/>
      <c r="D340" s="388">
        <f t="shared" si="127"/>
        <v>9.7887196972714143</v>
      </c>
      <c r="E340" s="380">
        <f t="shared" si="125"/>
        <v>10.120804317159942</v>
      </c>
      <c r="F340" s="380">
        <f t="shared" si="128"/>
        <v>10.143153848982799</v>
      </c>
      <c r="G340" s="110">
        <f t="shared" si="126"/>
        <v>0.46065930615039358</v>
      </c>
      <c r="H340" s="409" t="b">
        <f>Wh_hp&gt;='2023'!Maxi_hp</f>
        <v>0</v>
      </c>
      <c r="I340" s="375">
        <f>IF(H340,Wh_hp,'2023'!Maxi_hp)</f>
        <v>10.192243033063592</v>
      </c>
      <c r="J340" s="85">
        <f>IF(H340,An,'2023'!An_max)</f>
        <v>2022</v>
      </c>
      <c r="K340" s="193">
        <f t="shared" si="129"/>
        <v>45617</v>
      </c>
      <c r="L340" s="143">
        <f>IF(t&lt;Tvie,1-EXP((T0-t)*PertePVj)+'2023'!Pspv,1-EXP((T0-t)*PertePVj)+Pspv)</f>
        <v>1.4877946259394648E-2</v>
      </c>
      <c r="M340" s="836"/>
      <c r="N340" s="836"/>
      <c r="O340" s="48">
        <f>IF(t&lt;Tnet,'2023'!Resal+('2023'!Salim-'2023'!Resal)*(1-EXP(('2023'!Tnet-t)/('2023'!Tau_j))),Resal+(Salim-Resal)*(1-EXP((Tnet-t)/(Tau_j))))*Salcycl</f>
        <v>3.2812077922055524E-2</v>
      </c>
      <c r="P340" s="165">
        <f>(INDEX(Models!$BJ340:$BT340,,T340)*(1-R340)+INDEX(Models!$BJ340:$BT340,,T340+1)*R340-ERP_i)*Q340*Ramure*Pc/MaxiM</f>
        <v>9.4043436513107162E-3</v>
      </c>
      <c r="Q340" s="301">
        <f t="shared" si="130"/>
        <v>0.5</v>
      </c>
      <c r="R340" s="173">
        <f t="shared" si="131"/>
        <v>0.49341426886158368</v>
      </c>
      <c r="S340" s="802">
        <f t="shared" si="132"/>
        <v>1</v>
      </c>
      <c r="T340" s="172">
        <f t="shared" si="133"/>
        <v>7</v>
      </c>
      <c r="U340" s="247">
        <f t="shared" si="134"/>
        <v>1.4934142688615837</v>
      </c>
      <c r="V340" s="378">
        <f t="shared" si="135"/>
        <v>20.782150674664393</v>
      </c>
      <c r="W340" s="397">
        <f t="shared" si="136"/>
        <v>9.6430836516671317</v>
      </c>
      <c r="X340" s="153">
        <f t="shared" si="137"/>
        <v>45617</v>
      </c>
      <c r="Y340" s="380">
        <f t="shared" si="138"/>
        <v>9.4613173970874556</v>
      </c>
      <c r="Z340" s="380">
        <f t="shared" si="139"/>
        <v>9.6042082919186544</v>
      </c>
      <c r="AA340" s="381">
        <f t="shared" si="140"/>
        <v>10.120804317159942</v>
      </c>
      <c r="AB340" s="193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5.1042981274264314E-2</v>
      </c>
      <c r="AD340" s="227">
        <f>(INDEX(Models!$BJ340:$BT340,,AH340)*(1-AF340)+INDEX(Models!$BJ340:$BT340,,AH340+1)*AF340-ERP_i)*AE340*Ramure*Pc/MaxiM</f>
        <v>9.4043436513107162E-3</v>
      </c>
      <c r="AE340" s="301">
        <f t="shared" si="142"/>
        <v>0.5</v>
      </c>
      <c r="AF340" s="173">
        <f t="shared" si="143"/>
        <v>0.49341426886158368</v>
      </c>
      <c r="AG340" s="802">
        <f t="shared" si="149"/>
        <v>1</v>
      </c>
      <c r="AH340" s="172">
        <f t="shared" si="144"/>
        <v>7</v>
      </c>
      <c r="AI340" s="221">
        <f t="shared" si="145"/>
        <v>1.4934142688615837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48"/>
        <v>45618</v>
      </c>
      <c r="B341" s="406">
        <f>'2023'!Wh/'2023'!Env_an*'2024'!Env_an</f>
        <v>12.861263195224023</v>
      </c>
      <c r="C341" s="385"/>
      <c r="D341" s="388">
        <f t="shared" si="127"/>
        <v>13.055680977489807</v>
      </c>
      <c r="E341" s="380">
        <f t="shared" si="125"/>
        <v>13.498976317684862</v>
      </c>
      <c r="F341" s="380">
        <f t="shared" si="128"/>
        <v>13.558115166371033</v>
      </c>
      <c r="G341" s="110">
        <f t="shared" si="126"/>
        <v>0.62332762110102069</v>
      </c>
      <c r="H341" s="409" t="b">
        <f>Wh_hp&gt;='2023'!Maxi_hp</f>
        <v>0</v>
      </c>
      <c r="I341" s="375">
        <f>IF(H341,Wh_hp,'2023'!Maxi_hp)</f>
        <v>13.60365476086419</v>
      </c>
      <c r="J341" s="85">
        <f>IF(H341,An,'2023'!An_max)</f>
        <v>2022</v>
      </c>
      <c r="K341" s="193">
        <f t="shared" si="129"/>
        <v>45618</v>
      </c>
      <c r="L341" s="143">
        <f>IF(t&lt;Tvie,1-EXP((T0-t)*PertePVj)+'2023'!Pspv,1-EXP((T0-t)*PertePVj)+Pspv)</f>
        <v>1.4891431753042528E-2</v>
      </c>
      <c r="M341" s="836"/>
      <c r="N341" s="836"/>
      <c r="O341" s="48">
        <f>IF(t&lt;Tnet,'2023'!Resal+('2023'!Salim-'2023'!Resal)*(1-EXP(('2023'!Tnet-t)/('2023'!Tau_j))),Resal+(Salim-Resal)*(1-EXP((Tnet-t)/(Tau_j))))*Salcycl</f>
        <v>3.2839182006290296E-2</v>
      </c>
      <c r="P341" s="165">
        <f>(INDEX(Models!$BJ341:$BT341,,T341)*(1-R341)+INDEX(Models!$BJ341:$BT341,,T341+1)*R341-ERP_i)*Q341*Ramure*Pc/MaxiM</f>
        <v>9.3525749108773846E-3</v>
      </c>
      <c r="Q341" s="301">
        <f t="shared" si="130"/>
        <v>0.5</v>
      </c>
      <c r="R341" s="173">
        <f t="shared" si="131"/>
        <v>0.49343711346953323</v>
      </c>
      <c r="S341" s="802">
        <f t="shared" si="132"/>
        <v>1</v>
      </c>
      <c r="T341" s="172">
        <f t="shared" si="133"/>
        <v>7</v>
      </c>
      <c r="U341" s="247">
        <f t="shared" si="134"/>
        <v>1.4934371134695332</v>
      </c>
      <c r="V341" s="378">
        <f t="shared" si="135"/>
        <v>20.52980631491932</v>
      </c>
      <c r="W341" s="397">
        <f t="shared" si="136"/>
        <v>12.861263195224023</v>
      </c>
      <c r="X341" s="153">
        <f t="shared" si="137"/>
        <v>45618</v>
      </c>
      <c r="Y341" s="380">
        <f t="shared" si="138"/>
        <v>12.619173492958124</v>
      </c>
      <c r="Z341" s="380">
        <f t="shared" si="139"/>
        <v>12.809931716881195</v>
      </c>
      <c r="AA341" s="381">
        <f t="shared" si="140"/>
        <v>13.498976317684862</v>
      </c>
      <c r="AB341" s="193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5.104421139704933E-2</v>
      </c>
      <c r="AD341" s="227">
        <f>(INDEX(Models!$BJ341:$BT341,,AH341)*(1-AF341)+INDEX(Models!$BJ341:$BT341,,AH341+1)*AF341-ERP_i)*AE341*Ramure*Pc/MaxiM</f>
        <v>9.3525749108773846E-3</v>
      </c>
      <c r="AE341" s="301">
        <f t="shared" si="142"/>
        <v>0.5</v>
      </c>
      <c r="AF341" s="173">
        <f t="shared" si="143"/>
        <v>0.49343711346953323</v>
      </c>
      <c r="AG341" s="802">
        <f t="shared" si="149"/>
        <v>1</v>
      </c>
      <c r="AH341" s="172">
        <f t="shared" si="144"/>
        <v>7</v>
      </c>
      <c r="AI341" s="221">
        <f t="shared" si="145"/>
        <v>1.4934371134695332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45619</v>
      </c>
      <c r="B342" s="406">
        <f>'2023'!Wh/'2023'!Env_an*'2024'!Env_an</f>
        <v>11.958046916359535</v>
      </c>
      <c r="C342" s="385"/>
      <c r="D342" s="388">
        <f t="shared" si="127"/>
        <v>12.138977367236729</v>
      </c>
      <c r="E342" s="380">
        <f t="shared" si="125"/>
        <v>12.551504852850995</v>
      </c>
      <c r="F342" s="380">
        <f t="shared" si="128"/>
        <v>12.599960671593333</v>
      </c>
      <c r="G342" s="110">
        <f t="shared" si="126"/>
        <v>0.58635302558856006</v>
      </c>
      <c r="H342" s="409" t="b">
        <f>Wh_hp&gt;='2023'!Maxi_hp</f>
        <v>0</v>
      </c>
      <c r="I342" s="375">
        <f>IF(H342,Wh_hp,'2023'!Maxi_hp)</f>
        <v>12.646209273203628</v>
      </c>
      <c r="J342" s="85">
        <f>IF(H342,An,'2023'!An_max)</f>
        <v>2022</v>
      </c>
      <c r="K342" s="193">
        <f t="shared" si="129"/>
        <v>45619</v>
      </c>
      <c r="L342" s="143">
        <f>IF(t&lt;Tvie,1-EXP((T0-t)*PertePVj)+'2023'!Pspv,1-EXP((T0-t)*PertePVj)+Pspv)</f>
        <v>1.4904917062085299E-2</v>
      </c>
      <c r="M342" s="836"/>
      <c r="N342" s="836"/>
      <c r="O342" s="48">
        <f>IF(t&lt;Tnet,'2023'!Resal+('2023'!Salim-'2023'!Resal)*(1-EXP(('2023'!Tnet-t)/('2023'!Tau_j))),Resal+(Salim-Resal)*(1-EXP((Tnet-t)/(Tau_j))))*Salcycl</f>
        <v>3.2866774976433456E-2</v>
      </c>
      <c r="P342" s="165">
        <f>(INDEX(Models!$BJ342:$BT342,,T342)*(1-R342)+INDEX(Models!$BJ342:$BT342,,T342+1)*R342-ERP_i)*Q342*Ramure*Pc/MaxiM</f>
        <v>9.2962499333602185E-3</v>
      </c>
      <c r="Q342" s="301">
        <f t="shared" si="130"/>
        <v>0.5</v>
      </c>
      <c r="R342" s="173">
        <f t="shared" si="131"/>
        <v>0.49345904024928133</v>
      </c>
      <c r="S342" s="802">
        <f t="shared" si="132"/>
        <v>1</v>
      </c>
      <c r="T342" s="172">
        <f t="shared" si="133"/>
        <v>7</v>
      </c>
      <c r="U342" s="247">
        <f t="shared" si="134"/>
        <v>1.4934590402492813</v>
      </c>
      <c r="V342" s="378">
        <f t="shared" si="135"/>
        <v>20.282350367811766</v>
      </c>
      <c r="W342" s="397">
        <f t="shared" si="136"/>
        <v>11.958046916359535</v>
      </c>
      <c r="X342" s="153">
        <f t="shared" si="137"/>
        <v>45619</v>
      </c>
      <c r="Y342" s="380">
        <f t="shared" si="138"/>
        <v>11.733267783464276</v>
      </c>
      <c r="Z342" s="380">
        <f t="shared" si="139"/>
        <v>11.910797228295333</v>
      </c>
      <c r="AA342" s="381">
        <f t="shared" si="140"/>
        <v>12.551504852850995</v>
      </c>
      <c r="AB342" s="193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5.1046279475415124E-2</v>
      </c>
      <c r="AD342" s="227">
        <f>(INDEX(Models!$BJ342:$BT342,,AH342)*(1-AF342)+INDEX(Models!$BJ342:$BT342,,AH342+1)*AF342-ERP_i)*AE342*Ramure*Pc/MaxiM</f>
        <v>9.2962499333602185E-3</v>
      </c>
      <c r="AE342" s="301">
        <f t="shared" si="142"/>
        <v>0.5</v>
      </c>
      <c r="AF342" s="173">
        <f t="shared" si="143"/>
        <v>0.49345904024928133</v>
      </c>
      <c r="AG342" s="802">
        <f t="shared" si="149"/>
        <v>1</v>
      </c>
      <c r="AH342" s="172">
        <f t="shared" si="144"/>
        <v>7</v>
      </c>
      <c r="AI342" s="221">
        <f t="shared" si="145"/>
        <v>1.4934590402492813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48"/>
        <v>45620</v>
      </c>
      <c r="B343" s="406">
        <f>'2023'!Wh/'2023'!Env_an*'2024'!Env_an</f>
        <v>4.853385483900742</v>
      </c>
      <c r="C343" s="385"/>
      <c r="D343" s="388">
        <f t="shared" si="127"/>
        <v>4.9268867621459034</v>
      </c>
      <c r="E343" s="380">
        <f t="shared" si="125"/>
        <v>5.09446863363174</v>
      </c>
      <c r="F343" s="380">
        <f t="shared" si="128"/>
        <v>5.09446863363174</v>
      </c>
      <c r="G343" s="110">
        <f t="shared" si="126"/>
        <v>0.2399508744471634</v>
      </c>
      <c r="H343" s="409" t="b">
        <f>Wh_hp&gt;='2023'!Maxi_hp</f>
        <v>0</v>
      </c>
      <c r="I343" s="375">
        <f>IF(H343,Wh_hp,'2023'!Maxi_hp)</f>
        <v>5.1261400512885871</v>
      </c>
      <c r="J343" s="85">
        <f>IF(H343,An,'2023'!An_max)</f>
        <v>2022</v>
      </c>
      <c r="K343" s="193">
        <f t="shared" si="129"/>
        <v>45620</v>
      </c>
      <c r="L343" s="143">
        <f>IF(t&lt;Tvie,1-EXP((T0-t)*PertePVj)+'2023'!Pspv,1-EXP((T0-t)*PertePVj)+Pspv)</f>
        <v>1.4918402186525515E-2</v>
      </c>
      <c r="M343" s="836"/>
      <c r="N343" s="836"/>
      <c r="O343" s="48">
        <f>IF(t&lt;Tnet,'2023'!Resal+('2023'!Salim-'2023'!Resal)*(1-EXP(('2023'!Tnet-t)/('2023'!Tau_j))),Resal+(Salim-Resal)*(1-EXP((Tnet-t)/(Tau_j))))*Salcycl</f>
        <v>3.2894867656957427E-2</v>
      </c>
      <c r="P343" s="165">
        <f>(INDEX(Models!$BJ343:$BT343,,T343)*(1-R343)+INDEX(Models!$BJ343:$BT343,,T343+1)*R343-ERP_i)*Q343*Ramure*Pc/MaxiM</f>
        <v>9.2352972359706006E-3</v>
      </c>
      <c r="Q343" s="301">
        <f t="shared" si="130"/>
        <v>0.5</v>
      </c>
      <c r="R343" s="173">
        <f t="shared" si="131"/>
        <v>0.4934800860006785</v>
      </c>
      <c r="S343" s="802">
        <f t="shared" si="132"/>
        <v>1</v>
      </c>
      <c r="T343" s="172">
        <f t="shared" si="133"/>
        <v>7</v>
      </c>
      <c r="U343" s="247">
        <f t="shared" si="134"/>
        <v>1.4934800860006785</v>
      </c>
      <c r="V343" s="378">
        <f t="shared" si="135"/>
        <v>20.039781215362932</v>
      </c>
      <c r="W343" s="397">
        <f t="shared" si="136"/>
        <v>4.853385483900742</v>
      </c>
      <c r="X343" s="153">
        <f t="shared" si="137"/>
        <v>45620</v>
      </c>
      <c r="Y343" s="380">
        <f t="shared" si="138"/>
        <v>4.762278560206668</v>
      </c>
      <c r="Z343" s="380">
        <f t="shared" si="139"/>
        <v>4.8344000850053508</v>
      </c>
      <c r="AA343" s="381">
        <f t="shared" si="140"/>
        <v>5.09446863363174</v>
      </c>
      <c r="AB343" s="193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5.1049200089193898E-2</v>
      </c>
      <c r="AD343" s="227">
        <f>(INDEX(Models!$BJ343:$BT343,,AH343)*(1-AF343)+INDEX(Models!$BJ343:$BT343,,AH343+1)*AF343-ERP_i)*AE343*Ramure*Pc/MaxiM</f>
        <v>9.2352972359706006E-3</v>
      </c>
      <c r="AE343" s="301">
        <f t="shared" si="142"/>
        <v>0.5</v>
      </c>
      <c r="AF343" s="173">
        <f t="shared" si="143"/>
        <v>0.4934800860006785</v>
      </c>
      <c r="AG343" s="802">
        <f t="shared" si="149"/>
        <v>1</v>
      </c>
      <c r="AH343" s="172">
        <f t="shared" si="144"/>
        <v>7</v>
      </c>
      <c r="AI343" s="221">
        <f t="shared" si="145"/>
        <v>1.4934800860006785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45621</v>
      </c>
      <c r="B344" s="406">
        <f>'2023'!Wh/'2023'!Env_an*'2024'!Env_an</f>
        <v>9.7062948739846426</v>
      </c>
      <c r="C344" s="385"/>
      <c r="D344" s="388">
        <f t="shared" si="127"/>
        <v>9.8534251054675828</v>
      </c>
      <c r="E344" s="380">
        <f t="shared" si="125"/>
        <v>10.188878322981973</v>
      </c>
      <c r="F344" s="380">
        <f t="shared" si="128"/>
        <v>10.214322831244322</v>
      </c>
      <c r="G344" s="110">
        <f t="shared" si="126"/>
        <v>0.4868832084906381</v>
      </c>
      <c r="H344" s="409" t="b">
        <f>Wh_hp&gt;='2023'!Maxi_hp</f>
        <v>0</v>
      </c>
      <c r="I344" s="375">
        <f>IF(H344,Wh_hp,'2023'!Maxi_hp)</f>
        <v>10.260327974722742</v>
      </c>
      <c r="J344" s="85">
        <f>IF(H344,An,'2023'!An_max)</f>
        <v>2022</v>
      </c>
      <c r="K344" s="193">
        <f t="shared" si="129"/>
        <v>45621</v>
      </c>
      <c r="L344" s="143">
        <f>IF(t&lt;Tvie,1-EXP((T0-t)*PertePVj)+'2023'!Pspv,1-EXP((T0-t)*PertePVj)+Pspv)</f>
        <v>1.4931887126365728E-2</v>
      </c>
      <c r="M344" s="836"/>
      <c r="N344" s="836"/>
      <c r="O344" s="48">
        <f>IF(t&lt;Tnet,'2023'!Resal+('2023'!Salim-'2023'!Resal)*(1-EXP(('2023'!Tnet-t)/('2023'!Tau_j))),Resal+(Salim-Resal)*(1-EXP((Tnet-t)/(Tau_j))))*Salcycl</f>
        <v>3.2923468794179608E-2</v>
      </c>
      <c r="P344" s="165">
        <f>(INDEX(Models!$BJ344:$BT344,,T344)*(1-R344)+INDEX(Models!$BJ344:$BT344,,T344+1)*R344-ERP_i)*Q344*Ramure*Pc/MaxiM</f>
        <v>9.1696332833067322E-3</v>
      </c>
      <c r="Q344" s="301">
        <f t="shared" si="130"/>
        <v>0.5</v>
      </c>
      <c r="R344" s="173">
        <f t="shared" si="131"/>
        <v>0.49350028605407692</v>
      </c>
      <c r="S344" s="802">
        <f t="shared" si="132"/>
        <v>1</v>
      </c>
      <c r="T344" s="172">
        <f t="shared" si="133"/>
        <v>7</v>
      </c>
      <c r="U344" s="247">
        <f t="shared" si="134"/>
        <v>1.4935002860540769</v>
      </c>
      <c r="V344" s="378">
        <f t="shared" si="135"/>
        <v>19.802097579649931</v>
      </c>
      <c r="W344" s="397">
        <f t="shared" si="136"/>
        <v>9.7062948739846426</v>
      </c>
      <c r="X344" s="153">
        <f t="shared" si="137"/>
        <v>45621</v>
      </c>
      <c r="Y344" s="380">
        <f t="shared" si="138"/>
        <v>9.5243336534934908</v>
      </c>
      <c r="Z344" s="380">
        <f t="shared" si="139"/>
        <v>9.6687056752950475</v>
      </c>
      <c r="AA344" s="381">
        <f t="shared" si="140"/>
        <v>10.188878322981973</v>
      </c>
      <c r="AB344" s="193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5.1052984558037806E-2</v>
      </c>
      <c r="AD344" s="227">
        <f>(INDEX(Models!$BJ344:$BT344,,AH344)*(1-AF344)+INDEX(Models!$BJ344:$BT344,,AH344+1)*AF344-ERP_i)*AE344*Ramure*Pc/MaxiM</f>
        <v>9.1696332833067322E-3</v>
      </c>
      <c r="AE344" s="301">
        <f t="shared" si="142"/>
        <v>0.5</v>
      </c>
      <c r="AF344" s="173">
        <f t="shared" si="143"/>
        <v>0.49350028605407692</v>
      </c>
      <c r="AG344" s="802">
        <f t="shared" si="149"/>
        <v>1</v>
      </c>
      <c r="AH344" s="172">
        <f t="shared" si="144"/>
        <v>7</v>
      </c>
      <c r="AI344" s="221">
        <f t="shared" si="145"/>
        <v>1.4935002860540769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48"/>
        <v>45622</v>
      </c>
      <c r="B345" s="406">
        <f>'2023'!Wh/'2023'!Env_an*'2024'!Env_an</f>
        <v>13.876889008719553</v>
      </c>
      <c r="C345" s="385"/>
      <c r="D345" s="388">
        <f t="shared" si="127"/>
        <v>14.087430902412573</v>
      </c>
      <c r="E345" s="380">
        <f t="shared" si="125"/>
        <v>14.567466583987613</v>
      </c>
      <c r="F345" s="380">
        <f t="shared" si="128"/>
        <v>14.645375271752114</v>
      </c>
      <c r="G345" s="110">
        <f t="shared" si="126"/>
        <v>0.70650152146570755</v>
      </c>
      <c r="H345" s="409" t="b">
        <f>Wh_hp&gt;='2023'!Maxi_hp</f>
        <v>0</v>
      </c>
      <c r="I345" s="375">
        <f>IF(H345,Wh_hp,'2023'!Maxi_hp)</f>
        <v>14.682791656561243</v>
      </c>
      <c r="J345" s="85">
        <f>IF(H345,An,'2023'!An_max)</f>
        <v>2022</v>
      </c>
      <c r="K345" s="193">
        <f t="shared" si="129"/>
        <v>45622</v>
      </c>
      <c r="L345" s="143">
        <f>IF(t&lt;Tvie,1-EXP((T0-t)*PertePVj)+'2023'!Pspv,1-EXP((T0-t)*PertePVj)+Pspv)</f>
        <v>1.4945371881608494E-2</v>
      </c>
      <c r="M345" s="836"/>
      <c r="N345" s="836"/>
      <c r="O345" s="48">
        <f>IF(t&lt;Tnet,'2023'!Resal+('2023'!Salim-'2023'!Resal)*(1-EXP(('2023'!Tnet-t)/('2023'!Tau_j))),Resal+(Salim-Resal)*(1-EXP((Tnet-t)/(Tau_j))))*Salcycl</f>
        <v>3.2952585050216691E-2</v>
      </c>
      <c r="P345" s="165">
        <f>(INDEX(Models!$BJ345:$BT345,,T345)*(1-R345)+INDEX(Models!$BJ345:$BT345,,T345+1)*R345-ERP_i)*Q345*Ramure*Pc/MaxiM</f>
        <v>9.1002010746321395E-3</v>
      </c>
      <c r="Q345" s="301">
        <f t="shared" si="130"/>
        <v>0.5</v>
      </c>
      <c r="R345" s="173">
        <f t="shared" si="131"/>
        <v>0.49351967432853749</v>
      </c>
      <c r="S345" s="802">
        <f t="shared" si="132"/>
        <v>1</v>
      </c>
      <c r="T345" s="172">
        <f t="shared" si="133"/>
        <v>7</v>
      </c>
      <c r="U345" s="247">
        <f t="shared" si="134"/>
        <v>1.4935196743285375</v>
      </c>
      <c r="V345" s="378">
        <f t="shared" si="135"/>
        <v>19.567044264442487</v>
      </c>
      <c r="W345" s="397">
        <f t="shared" si="136"/>
        <v>13.876889008719553</v>
      </c>
      <c r="X345" s="153">
        <f t="shared" si="137"/>
        <v>45622</v>
      </c>
      <c r="Y345" s="380">
        <f t="shared" si="138"/>
        <v>13.617085976038053</v>
      </c>
      <c r="Z345" s="380">
        <f t="shared" si="139"/>
        <v>13.823686105661793</v>
      </c>
      <c r="AA345" s="381">
        <f t="shared" si="140"/>
        <v>14.567466583987613</v>
      </c>
      <c r="AB345" s="193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5.1057640945157606E-2</v>
      </c>
      <c r="AD345" s="227">
        <f>(INDEX(Models!$BJ345:$BT345,,AH345)*(1-AF345)+INDEX(Models!$BJ345:$BT345,,AH345+1)*AF345-ERP_i)*AE345*Ramure*Pc/MaxiM</f>
        <v>9.1002010746321395E-3</v>
      </c>
      <c r="AE345" s="301">
        <f t="shared" si="142"/>
        <v>0.5</v>
      </c>
      <c r="AF345" s="173">
        <f t="shared" si="143"/>
        <v>0.49351967432853749</v>
      </c>
      <c r="AG345" s="802">
        <f t="shared" si="149"/>
        <v>1</v>
      </c>
      <c r="AH345" s="172">
        <f t="shared" si="144"/>
        <v>7</v>
      </c>
      <c r="AI345" s="221">
        <f t="shared" si="145"/>
        <v>1.4935196743285375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48"/>
        <v>45623</v>
      </c>
      <c r="B346" s="406">
        <f>'2023'!Wh/'2023'!Env_an*'2024'!Env_an</f>
        <v>9.4764399163238764</v>
      </c>
      <c r="C346" s="385"/>
      <c r="D346" s="388">
        <f t="shared" si="127"/>
        <v>9.6203493411385264</v>
      </c>
      <c r="E346" s="380">
        <f t="shared" si="125"/>
        <v>9.9484720448312576</v>
      </c>
      <c r="F346" s="380">
        <f t="shared" si="128"/>
        <v>9.9729407206808691</v>
      </c>
      <c r="G346" s="110">
        <f t="shared" si="126"/>
        <v>0.48693725967352902</v>
      </c>
      <c r="H346" s="409" t="b">
        <f>Wh_hp&gt;='2023'!Maxi_hp</f>
        <v>0</v>
      </c>
      <c r="I346" s="375">
        <f>IF(H346,Wh_hp,'2023'!Maxi_hp)</f>
        <v>10.017285117579057</v>
      </c>
      <c r="J346" s="85">
        <f>IF(H346,An,'2023'!An_max)</f>
        <v>2022</v>
      </c>
      <c r="K346" s="193">
        <f t="shared" si="129"/>
        <v>45623</v>
      </c>
      <c r="L346" s="143">
        <f>IF(t&lt;Tvie,1-EXP((T0-t)*PertePVj)+'2023'!Pspv,1-EXP((T0-t)*PertePVj)+Pspv)</f>
        <v>1.4958856452256253E-2</v>
      </c>
      <c r="M346" s="836"/>
      <c r="N346" s="836"/>
      <c r="O346" s="48">
        <f>IF(t&lt;Tnet,'2023'!Resal+('2023'!Salim-'2023'!Resal)*(1-EXP(('2023'!Tnet-t)/('2023'!Tau_j))),Resal+(Salim-Resal)*(1-EXP((Tnet-t)/(Tau_j))))*Salcycl</f>
        <v>3.2982221009829157E-2</v>
      </c>
      <c r="P346" s="165">
        <f>(INDEX(Models!$BJ346:$BT346,,T346)*(1-R346)+INDEX(Models!$BJ346:$BT346,,T346+1)*R346-ERP_i)*Q346*Ramure*Pc/MaxiM</f>
        <v>9.03118444059961E-3</v>
      </c>
      <c r="Q346" s="301">
        <f t="shared" si="130"/>
        <v>0.5</v>
      </c>
      <c r="R346" s="173">
        <f t="shared" si="131"/>
        <v>0.49353828338777239</v>
      </c>
      <c r="S346" s="802">
        <f t="shared" si="132"/>
        <v>1</v>
      </c>
      <c r="T346" s="172">
        <f t="shared" si="133"/>
        <v>7</v>
      </c>
      <c r="U346" s="247">
        <f t="shared" si="134"/>
        <v>1.4935382833877724</v>
      </c>
      <c r="V346" s="378">
        <f t="shared" si="135"/>
        <v>19.33299095506268</v>
      </c>
      <c r="W346" s="397">
        <f t="shared" si="136"/>
        <v>9.4764399163238764</v>
      </c>
      <c r="X346" s="153">
        <f t="shared" si="137"/>
        <v>45623</v>
      </c>
      <c r="Y346" s="380">
        <f t="shared" si="138"/>
        <v>9.299252827181606</v>
      </c>
      <c r="Z346" s="380">
        <f t="shared" si="139"/>
        <v>9.4404714849668441</v>
      </c>
      <c r="AA346" s="381">
        <f t="shared" si="140"/>
        <v>9.9484720448312576</v>
      </c>
      <c r="AB346" s="193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5.1063174080922979E-2</v>
      </c>
      <c r="AD346" s="227">
        <f>(INDEX(Models!$BJ346:$BT346,,AH346)*(1-AF346)+INDEX(Models!$BJ346:$BT346,,AH346+1)*AF346-ERP_i)*AE346*Ramure*Pc/MaxiM</f>
        <v>9.03118444059961E-3</v>
      </c>
      <c r="AE346" s="301">
        <f t="shared" si="142"/>
        <v>0.5</v>
      </c>
      <c r="AF346" s="173">
        <f t="shared" si="143"/>
        <v>0.49353828338777239</v>
      </c>
      <c r="AG346" s="802">
        <f t="shared" si="149"/>
        <v>1</v>
      </c>
      <c r="AH346" s="172">
        <f t="shared" si="144"/>
        <v>7</v>
      </c>
      <c r="AI346" s="221">
        <f t="shared" si="145"/>
        <v>1.4935382833877724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48"/>
        <v>45624</v>
      </c>
      <c r="B347" s="406">
        <f>'2023'!Wh/'2023'!Env_an*'2024'!Env_an</f>
        <v>10.50365732965442</v>
      </c>
      <c r="C347" s="385"/>
      <c r="D347" s="388">
        <f t="shared" si="127"/>
        <v>10.663312072468704</v>
      </c>
      <c r="E347" s="380">
        <f t="shared" si="125"/>
        <v>11.027351170893954</v>
      </c>
      <c r="F347" s="380">
        <f t="shared" si="128"/>
        <v>11.062787918696891</v>
      </c>
      <c r="G347" s="110">
        <f t="shared" si="126"/>
        <v>0.54672454275509685</v>
      </c>
      <c r="H347" s="409" t="b">
        <f>Wh_hp&gt;='2023'!Maxi_hp</f>
        <v>0</v>
      </c>
      <c r="I347" s="375">
        <f>IF(H347,Wh_hp,'2023'!Maxi_hp)</f>
        <v>11.10599499175243</v>
      </c>
      <c r="J347" s="85">
        <f>IF(H347,An,'2023'!An_max)</f>
        <v>2022</v>
      </c>
      <c r="K347" s="193">
        <f t="shared" si="129"/>
        <v>45624</v>
      </c>
      <c r="L347" s="143">
        <f>IF(t&lt;Tvie,1-EXP((T0-t)*PertePVj)+'2023'!Pspv,1-EXP((T0-t)*PertePVj)+Pspv)</f>
        <v>1.497234083831156E-2</v>
      </c>
      <c r="M347" s="836"/>
      <c r="N347" s="836"/>
      <c r="O347" s="48">
        <f>IF(t&lt;Tnet,'2023'!Resal+('2023'!Salim-'2023'!Resal)*(1-EXP(('2023'!Tnet-t)/('2023'!Tau_j))),Resal+(Salim-Resal)*(1-EXP((Tnet-t)/(Tau_j))))*Salcycl</f>
        <v>3.3012379200012251E-2</v>
      </c>
      <c r="P347" s="165">
        <f>(INDEX(Models!$BJ347:$BT347,,T347)*(1-R347)+INDEX(Models!$BJ347:$BT347,,T347+1)*R347-ERP_i)*Q347*Ramure*Pc/MaxiM</f>
        <v>8.9723968357572018E-3</v>
      </c>
      <c r="Q347" s="301">
        <f t="shared" si="130"/>
        <v>0.5</v>
      </c>
      <c r="R347" s="173">
        <f t="shared" si="131"/>
        <v>0.49355614449390139</v>
      </c>
      <c r="S347" s="802">
        <f t="shared" si="132"/>
        <v>1</v>
      </c>
      <c r="T347" s="172">
        <f t="shared" si="133"/>
        <v>7</v>
      </c>
      <c r="U347" s="247">
        <f t="shared" si="134"/>
        <v>1.4935561444939014</v>
      </c>
      <c r="V347" s="378">
        <f t="shared" si="135"/>
        <v>19.100780226877866</v>
      </c>
      <c r="W347" s="397">
        <f t="shared" si="136"/>
        <v>10.50365732965442</v>
      </c>
      <c r="X347" s="153">
        <f t="shared" si="137"/>
        <v>45624</v>
      </c>
      <c r="Y347" s="380">
        <f t="shared" si="138"/>
        <v>10.307515513213838</v>
      </c>
      <c r="Z347" s="380">
        <f t="shared" si="139"/>
        <v>10.464188916264634</v>
      </c>
      <c r="AA347" s="381">
        <f t="shared" si="140"/>
        <v>11.027351170893954</v>
      </c>
      <c r="AB347" s="193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5.106958560599336E-2</v>
      </c>
      <c r="AD347" s="227">
        <f>(INDEX(Models!$BJ347:$BT347,,AH347)*(1-AF347)+INDEX(Models!$BJ347:$BT347,,AH347+1)*AF347-ERP_i)*AE347*Ramure*Pc/MaxiM</f>
        <v>8.9723968357572018E-3</v>
      </c>
      <c r="AE347" s="301">
        <f t="shared" si="142"/>
        <v>0.5</v>
      </c>
      <c r="AF347" s="173">
        <f t="shared" si="143"/>
        <v>0.49355614449390139</v>
      </c>
      <c r="AG347" s="802">
        <f t="shared" si="149"/>
        <v>1</v>
      </c>
      <c r="AH347" s="172">
        <f t="shared" si="144"/>
        <v>7</v>
      </c>
      <c r="AI347" s="221">
        <f t="shared" si="145"/>
        <v>1.4935561444939014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48"/>
        <v>45625</v>
      </c>
      <c r="B348" s="406">
        <f>'2023'!Wh/'2023'!Env_an*'2024'!Env_an</f>
        <v>4.4999317536267585</v>
      </c>
      <c r="C348" s="385"/>
      <c r="D348" s="388">
        <f t="shared" si="127"/>
        <v>4.568392890192138</v>
      </c>
      <c r="E348" s="380">
        <f t="shared" si="125"/>
        <v>4.7245049927134799</v>
      </c>
      <c r="F348" s="380">
        <f t="shared" si="128"/>
        <v>4.7245049927134799</v>
      </c>
      <c r="G348" s="110">
        <f t="shared" si="126"/>
        <v>0.23632391312624121</v>
      </c>
      <c r="H348" s="409" t="b">
        <f>Wh_hp&gt;='2023'!Maxi_hp</f>
        <v>0</v>
      </c>
      <c r="I348" s="375">
        <f>IF(H348,Wh_hp,'2023'!Maxi_hp)</f>
        <v>4.7530492210096416</v>
      </c>
      <c r="J348" s="85">
        <f>IF(H348,An,'2023'!An_max)</f>
        <v>2022</v>
      </c>
      <c r="K348" s="193">
        <f t="shared" si="129"/>
        <v>45625</v>
      </c>
      <c r="L348" s="143">
        <f>IF(t&lt;Tvie,1-EXP((T0-t)*PertePVj)+'2023'!Pspv,1-EXP((T0-t)*PertePVj)+Pspv)</f>
        <v>1.4985825039776857E-2</v>
      </c>
      <c r="M348" s="836"/>
      <c r="N348" s="836"/>
      <c r="O348" s="48">
        <f>IF(t&lt;Tnet,'2023'!Resal+('2023'!Salim-'2023'!Resal)*(1-EXP(('2023'!Tnet-t)/('2023'!Tau_j))),Resal+(Salim-Resal)*(1-EXP((Tnet-t)/(Tau_j))))*Salcycl</f>
        <v>3.3043060122089123E-2</v>
      </c>
      <c r="P348" s="165">
        <f>(INDEX(Models!$BJ348:$BT348,,T348)*(1-R348)+INDEX(Models!$BJ348:$BT348,,T348+1)*R348-ERP_i)*Q348*Ramure*Pc/MaxiM</f>
        <v>8.9235383067697745E-3</v>
      </c>
      <c r="Q348" s="301">
        <f t="shared" si="130"/>
        <v>0.5</v>
      </c>
      <c r="R348" s="173">
        <f t="shared" si="131"/>
        <v>0.49357328765911057</v>
      </c>
      <c r="S348" s="802">
        <f t="shared" si="132"/>
        <v>1</v>
      </c>
      <c r="T348" s="172">
        <f t="shared" si="133"/>
        <v>7</v>
      </c>
      <c r="U348" s="247">
        <f t="shared" si="134"/>
        <v>1.4935732876591106</v>
      </c>
      <c r="V348" s="378">
        <f t="shared" si="135"/>
        <v>18.871456473653875</v>
      </c>
      <c r="W348" s="397">
        <f t="shared" si="136"/>
        <v>4.4999317536267585</v>
      </c>
      <c r="X348" s="153">
        <f t="shared" si="137"/>
        <v>45625</v>
      </c>
      <c r="Y348" s="380">
        <f t="shared" si="138"/>
        <v>4.416007714704012</v>
      </c>
      <c r="Z348" s="380">
        <f t="shared" si="139"/>
        <v>4.483192046330033</v>
      </c>
      <c r="AA348" s="381">
        <f t="shared" si="140"/>
        <v>4.7245049927134799</v>
      </c>
      <c r="AB348" s="193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5.1076874033495423E-2</v>
      </c>
      <c r="AD348" s="227">
        <f>(INDEX(Models!$BJ348:$BT348,,AH348)*(1-AF348)+INDEX(Models!$BJ348:$BT348,,AH348+1)*AF348-ERP_i)*AE348*Ramure*Pc/MaxiM</f>
        <v>8.9235383067697745E-3</v>
      </c>
      <c r="AE348" s="301">
        <f t="shared" si="142"/>
        <v>0.5</v>
      </c>
      <c r="AF348" s="173">
        <f t="shared" si="143"/>
        <v>0.49357328765911057</v>
      </c>
      <c r="AG348" s="802">
        <f t="shared" si="149"/>
        <v>1</v>
      </c>
      <c r="AH348" s="172">
        <f t="shared" si="144"/>
        <v>7</v>
      </c>
      <c r="AI348" s="221">
        <f t="shared" si="145"/>
        <v>1.4935732876591106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48"/>
        <v>45626</v>
      </c>
      <c r="B349" s="406">
        <f>'2023'!Wh/'2023'!Env_an*'2024'!Env_an</f>
        <v>4.2467711574729785</v>
      </c>
      <c r="C349" s="385"/>
      <c r="D349" s="388">
        <f t="shared" si="127"/>
        <v>4.3114397751394495</v>
      </c>
      <c r="E349" s="380">
        <f t="shared" si="125"/>
        <v>4.4589151028050571</v>
      </c>
      <c r="F349" s="380">
        <f t="shared" si="128"/>
        <v>4.4589151028050571</v>
      </c>
      <c r="G349" s="110">
        <f t="shared" si="126"/>
        <v>0.22573351676362016</v>
      </c>
      <c r="H349" s="409" t="b">
        <f>Wh_hp&gt;='2023'!Maxi_hp</f>
        <v>0</v>
      </c>
      <c r="I349" s="375">
        <f>IF(H349,Wh_hp,'2023'!Maxi_hp)</f>
        <v>4.4857659812276731</v>
      </c>
      <c r="J349" s="85">
        <f>IF(H349,An,'2023'!An_max)</f>
        <v>2022</v>
      </c>
      <c r="K349" s="193">
        <f t="shared" si="129"/>
        <v>45626</v>
      </c>
      <c r="L349" s="143">
        <f>IF(t&lt;Tvie,1-EXP((T0-t)*PertePVj)+'2023'!Pspv,1-EXP((T0-t)*PertePVj)+Pspv)</f>
        <v>1.4999309056654919E-2</v>
      </c>
      <c r="M349" s="836"/>
      <c r="N349" s="836"/>
      <c r="O349" s="48">
        <f>IF(t&lt;Tnet,'2023'!Resal+('2023'!Salim-'2023'!Resal)*(1-EXP(('2023'!Tnet-t)/('2023'!Tau_j))),Resal+(Salim-Resal)*(1-EXP((Tnet-t)/(Tau_j))))*Salcycl</f>
        <v>3.3074262295963448E-2</v>
      </c>
      <c r="P349" s="165">
        <f>(INDEX(Models!$BJ349:$BT349,,T349)*(1-R349)+INDEX(Models!$BJ349:$BT349,,T349+1)*R349-ERP_i)*Q349*Ramure*Pc/MaxiM</f>
        <v>8.8843007640368975E-3</v>
      </c>
      <c r="Q349" s="301">
        <f t="shared" si="130"/>
        <v>0.5</v>
      </c>
      <c r="R349" s="173">
        <f t="shared" si="131"/>
        <v>0.49358974169528613</v>
      </c>
      <c r="S349" s="802">
        <f t="shared" si="132"/>
        <v>1</v>
      </c>
      <c r="T349" s="172">
        <f t="shared" si="133"/>
        <v>7</v>
      </c>
      <c r="U349" s="247">
        <f t="shared" si="134"/>
        <v>1.4935897416952861</v>
      </c>
      <c r="V349" s="378">
        <f t="shared" si="135"/>
        <v>18.646063843684786</v>
      </c>
      <c r="W349" s="397">
        <f t="shared" si="136"/>
        <v>4.2467711574729785</v>
      </c>
      <c r="X349" s="153">
        <f t="shared" si="137"/>
        <v>45626</v>
      </c>
      <c r="Y349" s="380">
        <f t="shared" si="138"/>
        <v>4.1676672239058181</v>
      </c>
      <c r="Z349" s="380">
        <f t="shared" si="139"/>
        <v>4.2311312694759646</v>
      </c>
      <c r="AA349" s="381">
        <f t="shared" si="140"/>
        <v>4.4589151028050571</v>
      </c>
      <c r="AB349" s="193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5.1085034829615038E-2</v>
      </c>
      <c r="AD349" s="227">
        <f>(INDEX(Models!$BJ349:$BT349,,AH349)*(1-AF349)+INDEX(Models!$BJ349:$BT349,,AH349+1)*AF349-ERP_i)*AE349*Ramure*Pc/MaxiM</f>
        <v>8.8843007640368975E-3</v>
      </c>
      <c r="AE349" s="301">
        <f t="shared" si="142"/>
        <v>0.5</v>
      </c>
      <c r="AF349" s="173">
        <f t="shared" si="143"/>
        <v>0.49358974169528613</v>
      </c>
      <c r="AG349" s="802">
        <f t="shared" si="149"/>
        <v>1</v>
      </c>
      <c r="AH349" s="172">
        <f t="shared" si="144"/>
        <v>7</v>
      </c>
      <c r="AI349" s="221">
        <f t="shared" si="145"/>
        <v>1.4935897416952861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48"/>
        <v>45627</v>
      </c>
      <c r="B350" s="406">
        <f>'2023'!Wh/'2023'!Env_an*'2024'!Env_an</f>
        <v>5.4189404422502179</v>
      </c>
      <c r="C350" s="385"/>
      <c r="D350" s="388">
        <f t="shared" si="127"/>
        <v>5.5015338302147727</v>
      </c>
      <c r="E350" s="380">
        <f t="shared" si="125"/>
        <v>5.6899036808533792</v>
      </c>
      <c r="F350" s="380">
        <f t="shared" si="128"/>
        <v>5.6899036808533792</v>
      </c>
      <c r="G350" s="110">
        <f t="shared" si="126"/>
        <v>0.29149366651447606</v>
      </c>
      <c r="H350" s="409" t="b">
        <f>Wh_hp&gt;='2023'!Maxi_hp</f>
        <v>0</v>
      </c>
      <c r="I350" s="375">
        <f>IF(H350,Wh_hp,'2023'!Maxi_hp)</f>
        <v>5.724087583959065</v>
      </c>
      <c r="J350" s="85">
        <f>IF(H350,An,'2023'!An_max)</f>
        <v>2022</v>
      </c>
      <c r="K350" s="193">
        <f t="shared" si="129"/>
        <v>45627</v>
      </c>
      <c r="L350" s="143">
        <f>IF(t&lt;Tvie,1-EXP((T0-t)*PertePVj)+'2023'!Pspv,1-EXP((T0-t)*PertePVj)+Pspv)</f>
        <v>1.5012792888947968E-2</v>
      </c>
      <c r="M350" s="836"/>
      <c r="N350" s="836"/>
      <c r="O350" s="48">
        <f>IF(t&lt;Tnet,'2023'!Resal+('2023'!Salim-'2023'!Resal)*(1-EXP(('2023'!Tnet-t)/('2023'!Tau_j))),Resal+(Salim-Resal)*(1-EXP((Tnet-t)/(Tau_j))))*Salcycl</f>
        <v>3.3105982316093394E-2</v>
      </c>
      <c r="P350" s="165">
        <f>(INDEX(Models!$BJ350:$BT350,,T350)*(1-R350)+INDEX(Models!$BJ350:$BT350,,T350+1)*R350-ERP_i)*Q350*Ramure*Pc/MaxiM</f>
        <v>8.8543633989555479E-3</v>
      </c>
      <c r="Q350" s="301">
        <f t="shared" si="130"/>
        <v>0.5</v>
      </c>
      <c r="R350" s="173">
        <f t="shared" si="131"/>
        <v>0.49360553426170783</v>
      </c>
      <c r="S350" s="802">
        <f t="shared" si="132"/>
        <v>1</v>
      </c>
      <c r="T350" s="172">
        <f t="shared" si="133"/>
        <v>7</v>
      </c>
      <c r="U350" s="247">
        <f t="shared" si="134"/>
        <v>1.4936055342617078</v>
      </c>
      <c r="V350" s="378">
        <f t="shared" si="135"/>
        <v>18.425646219213846</v>
      </c>
      <c r="W350" s="397">
        <f t="shared" si="136"/>
        <v>5.4189404422502179</v>
      </c>
      <c r="X350" s="153">
        <f t="shared" si="137"/>
        <v>45627</v>
      </c>
      <c r="Y350" s="380">
        <f t="shared" si="138"/>
        <v>5.3181265757555938</v>
      </c>
      <c r="Z350" s="380">
        <f t="shared" si="139"/>
        <v>5.3991833978773736</v>
      </c>
      <c r="AA350" s="381">
        <f t="shared" si="140"/>
        <v>5.6899036808533792</v>
      </c>
      <c r="AB350" s="193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5.1094060511829707E-2</v>
      </c>
      <c r="AD350" s="227">
        <f>(INDEX(Models!$BJ350:$BT350,,AH350)*(1-AF350)+INDEX(Models!$BJ350:$BT350,,AH350+1)*AF350-ERP_i)*AE350*Ramure*Pc/MaxiM</f>
        <v>8.8543633989555479E-3</v>
      </c>
      <c r="AE350" s="301">
        <f t="shared" si="142"/>
        <v>0.5</v>
      </c>
      <c r="AF350" s="173">
        <f t="shared" si="143"/>
        <v>0.49360553426170783</v>
      </c>
      <c r="AG350" s="802">
        <f t="shared" si="149"/>
        <v>1</v>
      </c>
      <c r="AH350" s="172">
        <f t="shared" si="144"/>
        <v>7</v>
      </c>
      <c r="AI350" s="221">
        <f t="shared" si="145"/>
        <v>1.4936055342617078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48"/>
        <v>45628</v>
      </c>
      <c r="B351" s="406">
        <f>'2023'!Wh/'2023'!Env_an*'2024'!Env_an</f>
        <v>9.7459134495969746</v>
      </c>
      <c r="C351" s="385"/>
      <c r="D351" s="388">
        <f t="shared" si="127"/>
        <v>9.8945923301675762</v>
      </c>
      <c r="E351" s="380">
        <f t="shared" si="125"/>
        <v>10.233719527279844</v>
      </c>
      <c r="F351" s="380">
        <f t="shared" si="128"/>
        <v>10.264178491672771</v>
      </c>
      <c r="G351" s="110">
        <f t="shared" si="126"/>
        <v>0.53201050844436049</v>
      </c>
      <c r="H351" s="409" t="b">
        <f>Wh_hp&gt;='2023'!Maxi_hp</f>
        <v>0</v>
      </c>
      <c r="I351" s="375">
        <f>IF(H351,Wh_hp,'2023'!Maxi_hp)</f>
        <v>10.305110354856382</v>
      </c>
      <c r="J351" s="85">
        <f>IF(H351,An,'2023'!An_max)</f>
        <v>2022</v>
      </c>
      <c r="K351" s="193">
        <f t="shared" si="129"/>
        <v>45628</v>
      </c>
      <c r="L351" s="143">
        <f>IF(t&lt;Tvie,1-EXP((T0-t)*PertePVj)+'2023'!Pspv,1-EXP((T0-t)*PertePVj)+Pspv)</f>
        <v>1.5026276536658778E-2</v>
      </c>
      <c r="M351" s="836"/>
      <c r="N351" s="836"/>
      <c r="O351" s="48">
        <f>IF(t&lt;Tnet,'2023'!Resal+('2023'!Salim-'2023'!Resal)*(1-EXP(('2023'!Tnet-t)/('2023'!Tau_j))),Resal+(Salim-Resal)*(1-EXP((Tnet-t)/(Tau_j))))*Salcycl</f>
        <v>3.3138214918658093E-2</v>
      </c>
      <c r="P351" s="165">
        <f>(INDEX(Models!$BJ351:$BT351,,T351)*(1-R351)+INDEX(Models!$BJ351:$BT351,,T351+1)*R351-ERP_i)*Q351*Ramure*Pc/MaxiM</f>
        <v>8.8333880657971101E-3</v>
      </c>
      <c r="Q351" s="301">
        <f t="shared" si="130"/>
        <v>0.5</v>
      </c>
      <c r="R351" s="173">
        <f t="shared" si="131"/>
        <v>0.49362069191087055</v>
      </c>
      <c r="S351" s="802">
        <f t="shared" si="132"/>
        <v>1</v>
      </c>
      <c r="T351" s="172">
        <f t="shared" si="133"/>
        <v>7</v>
      </c>
      <c r="U351" s="247">
        <f t="shared" si="134"/>
        <v>1.4936206919108705</v>
      </c>
      <c r="V351" s="378">
        <f t="shared" si="135"/>
        <v>18.211247184200996</v>
      </c>
      <c r="W351" s="397">
        <f t="shared" si="136"/>
        <v>9.7459134495969746</v>
      </c>
      <c r="X351" s="153">
        <f t="shared" si="137"/>
        <v>45628</v>
      </c>
      <c r="Y351" s="380">
        <f t="shared" si="138"/>
        <v>9.5648199242882725</v>
      </c>
      <c r="Z351" s="380">
        <f t="shared" si="139"/>
        <v>9.7107361307636513</v>
      </c>
      <c r="AA351" s="381">
        <f t="shared" si="140"/>
        <v>10.233719527279844</v>
      </c>
      <c r="AB351" s="193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5.1103940763872216E-2</v>
      </c>
      <c r="AD351" s="227">
        <f>(INDEX(Models!$BJ351:$BT351,,AH351)*(1-AF351)+INDEX(Models!$BJ351:$BT351,,AH351+1)*AF351-ERP_i)*AE351*Ramure*Pc/MaxiM</f>
        <v>8.8333880657971101E-3</v>
      </c>
      <c r="AE351" s="301">
        <f t="shared" si="142"/>
        <v>0.5</v>
      </c>
      <c r="AF351" s="173">
        <f t="shared" si="143"/>
        <v>0.49362069191087055</v>
      </c>
      <c r="AG351" s="802">
        <f t="shared" si="149"/>
        <v>1</v>
      </c>
      <c r="AH351" s="172">
        <f t="shared" si="144"/>
        <v>7</v>
      </c>
      <c r="AI351" s="221">
        <f t="shared" si="145"/>
        <v>1.4936206919108705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48"/>
        <v>45629</v>
      </c>
      <c r="B352" s="406">
        <f>'2023'!Wh/'2023'!Env_an*'2024'!Env_an</f>
        <v>13.032364173409505</v>
      </c>
      <c r="C352" s="385"/>
      <c r="D352" s="388">
        <f t="shared" si="127"/>
        <v>13.231360662240256</v>
      </c>
      <c r="E352" s="380">
        <f t="shared" si="125"/>
        <v>13.6853156244196</v>
      </c>
      <c r="F352" s="380">
        <f t="shared" si="128"/>
        <v>13.75886149376805</v>
      </c>
      <c r="G352" s="110">
        <f t="shared" si="126"/>
        <v>0.72133356323489017</v>
      </c>
      <c r="H352" s="409" t="b">
        <f>Wh_hp&gt;='2023'!Maxi_hp</f>
        <v>0</v>
      </c>
      <c r="I352" s="375">
        <f>IF(H352,Wh_hp,'2023'!Maxi_hp)</f>
        <v>13.791486870148061</v>
      </c>
      <c r="J352" s="85">
        <f>IF(H352,An,'2023'!An_max)</f>
        <v>2022</v>
      </c>
      <c r="K352" s="193">
        <f t="shared" si="129"/>
        <v>45629</v>
      </c>
      <c r="L352" s="143">
        <f>IF(t&lt;Tvie,1-EXP((T0-t)*PertePVj)+'2023'!Pspv,1-EXP((T0-t)*PertePVj)+Pspv)</f>
        <v>1.5039759999789681E-2</v>
      </c>
      <c r="M352" s="836"/>
      <c r="N352" s="836"/>
      <c r="O352" s="48">
        <f>IF(t&lt;Tnet,'2023'!Resal+('2023'!Salim-'2023'!Resal)*(1-EXP(('2023'!Tnet-t)/('2023'!Tau_j))),Resal+(Salim-Resal)*(1-EXP((Tnet-t)/(Tau_j))))*Salcycl</f>
        <v>3.3170953059301206E-2</v>
      </c>
      <c r="P352" s="165">
        <f>(INDEX(Models!$BJ352:$BT352,,T352)*(1-R352)+INDEX(Models!$BJ352:$BT352,,T352+1)*R352-ERP_i)*Q352*Ramure*Pc/MaxiM</f>
        <v>8.827615094686464E-3</v>
      </c>
      <c r="Q352" s="301">
        <f t="shared" si="130"/>
        <v>0.5</v>
      </c>
      <c r="R352" s="173">
        <f t="shared" si="131"/>
        <v>0.49363524013250548</v>
      </c>
      <c r="S352" s="802">
        <f t="shared" si="132"/>
        <v>1</v>
      </c>
      <c r="T352" s="172">
        <f t="shared" si="133"/>
        <v>7</v>
      </c>
      <c r="U352" s="247">
        <f t="shared" si="134"/>
        <v>1.4936352401325055</v>
      </c>
      <c r="V352" s="378">
        <f t="shared" si="135"/>
        <v>18.003790123614227</v>
      </c>
      <c r="W352" s="397">
        <f t="shared" si="136"/>
        <v>13.032364173409505</v>
      </c>
      <c r="X352" s="153">
        <f t="shared" si="137"/>
        <v>45629</v>
      </c>
      <c r="Y352" s="380">
        <f t="shared" si="138"/>
        <v>12.790492088930646</v>
      </c>
      <c r="Z352" s="380">
        <f t="shared" si="139"/>
        <v>12.985795334162844</v>
      </c>
      <c r="AA352" s="381">
        <f t="shared" si="140"/>
        <v>13.6853156244196</v>
      </c>
      <c r="AB352" s="193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5.1114662566390197E-2</v>
      </c>
      <c r="AD352" s="227">
        <f>(INDEX(Models!$BJ352:$BT352,,AH352)*(1-AF352)+INDEX(Models!$BJ352:$BT352,,AH352+1)*AF352-ERP_i)*AE352*Ramure*Pc/MaxiM</f>
        <v>8.827615094686464E-3</v>
      </c>
      <c r="AE352" s="301">
        <f t="shared" si="142"/>
        <v>0.5</v>
      </c>
      <c r="AF352" s="173">
        <f t="shared" si="143"/>
        <v>0.49363524013250548</v>
      </c>
      <c r="AG352" s="802">
        <f t="shared" si="149"/>
        <v>1</v>
      </c>
      <c r="AH352" s="172">
        <f t="shared" si="144"/>
        <v>7</v>
      </c>
      <c r="AI352" s="221">
        <f t="shared" si="145"/>
        <v>1.4936352401325055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48"/>
        <v>45630</v>
      </c>
      <c r="B353" s="406">
        <f>'2023'!Wh/'2023'!Env_an*'2024'!Env_an</f>
        <v>18.060864830196493</v>
      </c>
      <c r="C353" s="385"/>
      <c r="D353" s="388">
        <f t="shared" si="127"/>
        <v>18.336894565053576</v>
      </c>
      <c r="E353" s="380">
        <f t="shared" si="125"/>
        <v>18.966667353610671</v>
      </c>
      <c r="F353" s="380">
        <f t="shared" si="128"/>
        <v>19.135643499951627</v>
      </c>
      <c r="G353" s="110">
        <f t="shared" si="126"/>
        <v>1.0144026581276955</v>
      </c>
      <c r="H353" s="409" t="b">
        <f>Wh_hp&gt;='2023'!Maxi_hp</f>
        <v>1</v>
      </c>
      <c r="I353" s="375">
        <f>IF(H353,Wh_hp,'2023'!Maxi_hp)</f>
        <v>19.135643499951627</v>
      </c>
      <c r="J353" s="85">
        <f>IF(H353,An,'2023'!An_max)</f>
        <v>2024</v>
      </c>
      <c r="K353" s="193">
        <f t="shared" si="129"/>
        <v>45630</v>
      </c>
      <c r="L353" s="143">
        <f>IF(t&lt;Tvie,1-EXP((T0-t)*PertePVj)+'2023'!Pspv,1-EXP((T0-t)*PertePVj)+Pspv)</f>
        <v>1.5053243278343342E-2</v>
      </c>
      <c r="M353" s="836"/>
      <c r="N353" s="836"/>
      <c r="O353" s="48">
        <f>IF(t&lt;Tnet,'2023'!Resal+('2023'!Salim-'2023'!Resal)*(1-EXP(('2023'!Tnet-t)/('2023'!Tau_j))),Resal+(Salim-Resal)*(1-EXP((Tnet-t)/(Tau_j))))*Salcycl</f>
        <v>3.3204188000756182E-2</v>
      </c>
      <c r="P353" s="165">
        <f>(INDEX(Models!$BJ353:$BT353,,T353)*(1-R353)+INDEX(Models!$BJ353:$BT353,,T353+1)*R353-ERP_i)*Q353*Ramure*Pc/MaxiM</f>
        <v>8.8304397153606794E-3</v>
      </c>
      <c r="Q353" s="301">
        <f t="shared" si="130"/>
        <v>0.5</v>
      </c>
      <c r="R353" s="173">
        <f t="shared" si="131"/>
        <v>0.49364920339587437</v>
      </c>
      <c r="S353" s="802">
        <f t="shared" si="132"/>
        <v>1</v>
      </c>
      <c r="T353" s="172">
        <f t="shared" si="133"/>
        <v>7</v>
      </c>
      <c r="U353" s="247">
        <f t="shared" si="134"/>
        <v>1.4936492033958744</v>
      </c>
      <c r="V353" s="378">
        <f t="shared" si="135"/>
        <v>17.804433659047991</v>
      </c>
      <c r="W353" s="397">
        <f t="shared" si="136"/>
        <v>18.060864830196493</v>
      </c>
      <c r="X353" s="153">
        <f t="shared" si="137"/>
        <v>45630</v>
      </c>
      <c r="Y353" s="380">
        <f t="shared" si="138"/>
        <v>17.726060708194449</v>
      </c>
      <c r="Z353" s="380">
        <f t="shared" si="139"/>
        <v>17.996973529000396</v>
      </c>
      <c r="AA353" s="381">
        <f t="shared" si="140"/>
        <v>18.966667353610671</v>
      </c>
      <c r="AB353" s="193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5.1126210342149245E-2</v>
      </c>
      <c r="AD353" s="227">
        <f>(INDEX(Models!$BJ353:$BT353,,AH353)*(1-AF353)+INDEX(Models!$BJ353:$BT353,,AH353+1)*AF353-ERP_i)*AE353*Ramure*Pc/MaxiM</f>
        <v>8.8304397153606794E-3</v>
      </c>
      <c r="AE353" s="301">
        <f t="shared" si="142"/>
        <v>0.5</v>
      </c>
      <c r="AF353" s="173">
        <f t="shared" si="143"/>
        <v>0.49364920339587437</v>
      </c>
      <c r="AG353" s="802">
        <f t="shared" si="149"/>
        <v>1</v>
      </c>
      <c r="AH353" s="172">
        <f t="shared" si="144"/>
        <v>7</v>
      </c>
      <c r="AI353" s="221">
        <f t="shared" si="145"/>
        <v>1.4936492033958744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45631</v>
      </c>
      <c r="B354" s="406">
        <f>'2023'!Wh/'2023'!Env_an*'2024'!Env_an</f>
        <v>11.797965579167403</v>
      </c>
      <c r="C354" s="385"/>
      <c r="D354" s="388">
        <f t="shared" si="127"/>
        <v>11.978441479302937</v>
      </c>
      <c r="E354" s="380">
        <f t="shared" si="125"/>
        <v>12.390268087557626</v>
      </c>
      <c r="F354" s="380">
        <f t="shared" si="128"/>
        <v>12.44841190987254</v>
      </c>
      <c r="G354" s="110">
        <f t="shared" si="126"/>
        <v>0.6669911616738291</v>
      </c>
      <c r="H354" s="409" t="b">
        <f>Wh_hp&gt;='2023'!Maxi_hp</f>
        <v>0</v>
      </c>
      <c r="I354" s="375">
        <f>IF(H354,Wh_hp,'2023'!Maxi_hp)</f>
        <v>12.483813947652854</v>
      </c>
      <c r="J354" s="85">
        <f>IF(H354,An,'2023'!An_max)</f>
        <v>2022</v>
      </c>
      <c r="K354" s="193">
        <f t="shared" si="129"/>
        <v>45631</v>
      </c>
      <c r="L354" s="143">
        <f>IF(t&lt;Tvie,1-EXP((T0-t)*PertePVj)+'2023'!Pspv,1-EXP((T0-t)*PertePVj)+Pspv)</f>
        <v>1.5066726372322314E-2</v>
      </c>
      <c r="M354" s="836"/>
      <c r="N354" s="836"/>
      <c r="O354" s="48">
        <f>IF(t&lt;Tnet,'2023'!Resal+('2023'!Salim-'2023'!Resal)*(1-EXP(('2023'!Tnet-t)/('2023'!Tau_j))),Resal+(Salim-Resal)*(1-EXP((Tnet-t)/(Tau_j))))*Salcycl</f>
        <v>3.3237909409583009E-2</v>
      </c>
      <c r="P354" s="165">
        <f>(INDEX(Models!$BJ354:$BT354,,T354)*(1-R354)+INDEX(Models!$BJ354:$BT354,,T354+1)*R354-ERP_i)*Q354*Ramure*Pc/MaxiM</f>
        <v>8.8414475839125543E-3</v>
      </c>
      <c r="Q354" s="301">
        <f t="shared" si="130"/>
        <v>0.5</v>
      </c>
      <c r="R354" s="173">
        <f t="shared" si="131"/>
        <v>0.4936626051903974</v>
      </c>
      <c r="S354" s="802">
        <f t="shared" si="132"/>
        <v>1</v>
      </c>
      <c r="T354" s="172">
        <f t="shared" si="133"/>
        <v>7</v>
      </c>
      <c r="U354" s="247">
        <f t="shared" si="134"/>
        <v>1.4936626051903974</v>
      </c>
      <c r="V354" s="378">
        <f t="shared" si="135"/>
        <v>17.614220372047871</v>
      </c>
      <c r="W354" s="397">
        <f t="shared" si="136"/>
        <v>11.797965579167403</v>
      </c>
      <c r="X354" s="153">
        <f t="shared" si="137"/>
        <v>45631</v>
      </c>
      <c r="Y354" s="380">
        <f t="shared" si="138"/>
        <v>11.579513352187368</v>
      </c>
      <c r="Z354" s="380">
        <f t="shared" si="139"/>
        <v>11.756647543785418</v>
      </c>
      <c r="AA354" s="381">
        <f t="shared" si="140"/>
        <v>12.390268087557626</v>
      </c>
      <c r="AB354" s="193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5.1138566114521118E-2</v>
      </c>
      <c r="AD354" s="227">
        <f>(INDEX(Models!$BJ354:$BT354,,AH354)*(1-AF354)+INDEX(Models!$BJ354:$BT354,,AH354+1)*AF354-ERP_i)*AE354*Ramure*Pc/MaxiM</f>
        <v>8.8414475839125543E-3</v>
      </c>
      <c r="AE354" s="301">
        <f t="shared" si="142"/>
        <v>0.5</v>
      </c>
      <c r="AF354" s="173">
        <f t="shared" si="143"/>
        <v>0.4936626051903974</v>
      </c>
      <c r="AG354" s="802">
        <f t="shared" si="149"/>
        <v>1</v>
      </c>
      <c r="AH354" s="172">
        <f t="shared" si="144"/>
        <v>7</v>
      </c>
      <c r="AI354" s="221">
        <f t="shared" si="145"/>
        <v>1.4936626051903974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45632</v>
      </c>
      <c r="B355" s="406">
        <f>'2023'!Wh/'2023'!Env_an*'2024'!Env_an</f>
        <v>14.473347956546611</v>
      </c>
      <c r="C355" s="385"/>
      <c r="D355" s="388">
        <f t="shared" si="127"/>
        <v>14.694950891373249</v>
      </c>
      <c r="E355" s="380">
        <f t="shared" si="125"/>
        <v>15.200710535391671</v>
      </c>
      <c r="F355" s="380">
        <f t="shared" si="128"/>
        <v>15.303405294743145</v>
      </c>
      <c r="G355" s="110">
        <f t="shared" si="126"/>
        <v>0.82837365776741867</v>
      </c>
      <c r="H355" s="409" t="b">
        <f>Wh_hp&gt;='2023'!Maxi_hp</f>
        <v>0</v>
      </c>
      <c r="I355" s="375">
        <f>IF(H355,Wh_hp,'2023'!Maxi_hp)</f>
        <v>15.32586816121578</v>
      </c>
      <c r="J355" s="85">
        <f>IF(H355,An,'2023'!An_max)</f>
        <v>2022</v>
      </c>
      <c r="K355" s="193">
        <f t="shared" si="129"/>
        <v>45632</v>
      </c>
      <c r="L355" s="143">
        <f>IF(t&lt;Tvie,1-EXP((T0-t)*PertePVj)+'2023'!Pspv,1-EXP((T0-t)*PertePVj)+Pspv)</f>
        <v>1.5080209281728929E-2</v>
      </c>
      <c r="M355" s="836"/>
      <c r="N355" s="836"/>
      <c r="O355" s="48">
        <f>IF(t&lt;Tnet,'2023'!Resal+('2023'!Salim-'2023'!Resal)*(1-EXP(('2023'!Tnet-t)/('2023'!Tau_j))),Resal+(Salim-Resal)*(1-EXP((Tnet-t)/(Tau_j))))*Salcycl</f>
        <v>3.3272105461179993E-2</v>
      </c>
      <c r="P355" s="165">
        <f>(INDEX(Models!$BJ355:$BT355,,T355)*(1-R355)+INDEX(Models!$BJ355:$BT355,,T355+1)*R355-ERP_i)*Q355*Ramure*Pc/MaxiM</f>
        <v>8.8601869526413572E-3</v>
      </c>
      <c r="Q355" s="301">
        <f t="shared" si="130"/>
        <v>0.5</v>
      </c>
      <c r="R355" s="173">
        <f t="shared" si="131"/>
        <v>0.49367546806468243</v>
      </c>
      <c r="S355" s="802">
        <f t="shared" si="132"/>
        <v>1</v>
      </c>
      <c r="T355" s="172">
        <f t="shared" si="133"/>
        <v>7</v>
      </c>
      <c r="U355" s="247">
        <f t="shared" si="134"/>
        <v>1.4936754680646824</v>
      </c>
      <c r="V355" s="378">
        <f t="shared" si="135"/>
        <v>17.434192473126274</v>
      </c>
      <c r="W355" s="397">
        <f t="shared" si="136"/>
        <v>14.473347956546611</v>
      </c>
      <c r="X355" s="153">
        <f t="shared" si="137"/>
        <v>45632</v>
      </c>
      <c r="Y355" s="380">
        <f t="shared" si="138"/>
        <v>14.205663808177821</v>
      </c>
      <c r="Z355" s="380">
        <f t="shared" si="139"/>
        <v>14.423168203187466</v>
      </c>
      <c r="AA355" s="381">
        <f t="shared" si="140"/>
        <v>15.200710535391671</v>
      </c>
      <c r="AB355" s="193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5.115170967790364E-2</v>
      </c>
      <c r="AD355" s="227">
        <f>(INDEX(Models!$BJ355:$BT355,,AH355)*(1-AF355)+INDEX(Models!$BJ355:$BT355,,AH355+1)*AF355-ERP_i)*AE355*Ramure*Pc/MaxiM</f>
        <v>8.8601869526413572E-3</v>
      </c>
      <c r="AE355" s="301">
        <f t="shared" si="142"/>
        <v>0.5</v>
      </c>
      <c r="AF355" s="173">
        <f t="shared" si="143"/>
        <v>0.49367546806468243</v>
      </c>
      <c r="AG355" s="802">
        <f t="shared" si="149"/>
        <v>1</v>
      </c>
      <c r="AH355" s="172">
        <f t="shared" si="144"/>
        <v>7</v>
      </c>
      <c r="AI355" s="221">
        <f t="shared" si="145"/>
        <v>1.4936754680646824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48"/>
        <v>45633</v>
      </c>
      <c r="B356" s="406">
        <f>'2023'!Wh/'2023'!Env_an*'2024'!Env_an</f>
        <v>4.6629895715977447</v>
      </c>
      <c r="C356" s="385"/>
      <c r="D356" s="388">
        <f t="shared" si="127"/>
        <v>4.7344499002120628</v>
      </c>
      <c r="E356" s="380">
        <f t="shared" si="125"/>
        <v>4.8975721757095858</v>
      </c>
      <c r="F356" s="380">
        <f t="shared" si="128"/>
        <v>4.8975721757095858</v>
      </c>
      <c r="G356" s="110">
        <f t="shared" si="126"/>
        <v>0.2676773010134138</v>
      </c>
      <c r="H356" s="409" t="b">
        <f>Wh_hp&gt;='2023'!Maxi_hp</f>
        <v>0</v>
      </c>
      <c r="I356" s="375">
        <f>IF(H356,Wh_hp,'2023'!Maxi_hp)</f>
        <v>4.9272457155162224</v>
      </c>
      <c r="J356" s="85">
        <f>IF(H356,An,'2023'!An_max)</f>
        <v>2022</v>
      </c>
      <c r="K356" s="193">
        <f t="shared" si="129"/>
        <v>45633</v>
      </c>
      <c r="L356" s="143">
        <f>IF(t&lt;Tvie,1-EXP((T0-t)*PertePVj)+'2023'!Pspv,1-EXP((T0-t)*PertePVj)+Pspv)</f>
        <v>1.5093692006565962E-2</v>
      </c>
      <c r="M356" s="836"/>
      <c r="N356" s="836"/>
      <c r="O356" s="48">
        <f>IF(t&lt;Tnet,'2023'!Resal+('2023'!Salim-'2023'!Resal)*(1-EXP(('2023'!Tnet-t)/('2023'!Tau_j))),Resal+(Salim-Resal)*(1-EXP((Tnet-t)/(Tau_j))))*Salcycl</f>
        <v>3.3306762952174128E-2</v>
      </c>
      <c r="P356" s="165">
        <f>(INDEX(Models!$BJ356:$BT356,,T356)*(1-R356)+INDEX(Models!$BJ356:$BT356,,T356+1)*R356-ERP_i)*Q356*Ramure*Pc/MaxiM</f>
        <v>8.8861646608389966E-3</v>
      </c>
      <c r="Q356" s="301">
        <f t="shared" si="130"/>
        <v>0.5</v>
      </c>
      <c r="R356" s="173">
        <f t="shared" si="131"/>
        <v>0.49368781366401659</v>
      </c>
      <c r="S356" s="802">
        <f t="shared" si="132"/>
        <v>1</v>
      </c>
      <c r="T356" s="172">
        <f t="shared" si="133"/>
        <v>7</v>
      </c>
      <c r="U356" s="247">
        <f t="shared" si="134"/>
        <v>1.4936878136640166</v>
      </c>
      <c r="V356" s="378">
        <f t="shared" si="135"/>
        <v>17.265391801829164</v>
      </c>
      <c r="W356" s="397">
        <f t="shared" si="136"/>
        <v>4.6629895715977447</v>
      </c>
      <c r="X356" s="153">
        <f t="shared" si="137"/>
        <v>45633</v>
      </c>
      <c r="Y356" s="380">
        <f t="shared" si="138"/>
        <v>4.5768447065175071</v>
      </c>
      <c r="Z356" s="380">
        <f t="shared" si="139"/>
        <v>4.6469848648263703</v>
      </c>
      <c r="AA356" s="381">
        <f t="shared" si="140"/>
        <v>4.8975721757095858</v>
      </c>
      <c r="AB356" s="193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5.1165618778636762E-2</v>
      </c>
      <c r="AD356" s="227">
        <f>(INDEX(Models!$BJ356:$BT356,,AH356)*(1-AF356)+INDEX(Models!$BJ356:$BT356,,AH356+1)*AF356-ERP_i)*AE356*Ramure*Pc/MaxiM</f>
        <v>8.8861646608389966E-3</v>
      </c>
      <c r="AE356" s="301">
        <f t="shared" si="142"/>
        <v>0.5</v>
      </c>
      <c r="AF356" s="173">
        <f t="shared" si="143"/>
        <v>0.49368781366401659</v>
      </c>
      <c r="AG356" s="802">
        <f t="shared" si="149"/>
        <v>1</v>
      </c>
      <c r="AH356" s="172">
        <f t="shared" si="144"/>
        <v>7</v>
      </c>
      <c r="AI356" s="221">
        <f t="shared" si="145"/>
        <v>1.4936878136640166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45634</v>
      </c>
      <c r="B357" s="406">
        <f>'2023'!Wh/'2023'!Env_an*'2024'!Env_an</f>
        <v>7.7640629481997916</v>
      </c>
      <c r="C357" s="385"/>
      <c r="D357" s="388">
        <f t="shared" si="127"/>
        <v>7.8831551490157592</v>
      </c>
      <c r="E357" s="380">
        <f t="shared" si="125"/>
        <v>8.1550600810335343</v>
      </c>
      <c r="F357" s="380">
        <f t="shared" si="128"/>
        <v>8.1710724709434359</v>
      </c>
      <c r="G357" s="110">
        <f t="shared" si="126"/>
        <v>0.45063933426976155</v>
      </c>
      <c r="H357" s="409" t="b">
        <f>Wh_hp&gt;='2023'!Maxi_hp</f>
        <v>0</v>
      </c>
      <c r="I357" s="375">
        <f>IF(H357,Wh_hp,'2023'!Maxi_hp)</f>
        <v>8.2098937851281431</v>
      </c>
      <c r="J357" s="85">
        <f>IF(H357,An,'2023'!An_max)</f>
        <v>2022</v>
      </c>
      <c r="K357" s="193">
        <f t="shared" si="129"/>
        <v>45634</v>
      </c>
      <c r="L357" s="143">
        <f>IF(t&lt;Tvie,1-EXP((T0-t)*PertePVj)+'2023'!Pspv,1-EXP((T0-t)*PertePVj)+Pspv)</f>
        <v>1.5107174546835744E-2</v>
      </c>
      <c r="M357" s="836"/>
      <c r="N357" s="836"/>
      <c r="O357" s="48">
        <f>IF(t&lt;Tnet,'2023'!Resal+('2023'!Salim-'2023'!Resal)*(1-EXP(('2023'!Tnet-t)/('2023'!Tau_j))),Resal+(Salim-Resal)*(1-EXP((Tnet-t)/(Tau_j))))*Salcycl</f>
        <v>3.3341867419242291E-2</v>
      </c>
      <c r="P357" s="165">
        <f>(INDEX(Models!$BJ357:$BT357,,T357)*(1-R357)+INDEX(Models!$BJ357:$BT357,,T357+1)*R357-ERP_i)*Q357*Ramure*Pc/MaxiM</f>
        <v>8.9188427365674127E-3</v>
      </c>
      <c r="Q357" s="301">
        <f t="shared" si="130"/>
        <v>0.5</v>
      </c>
      <c r="R357" s="173">
        <f t="shared" si="131"/>
        <v>0.49369966276637656</v>
      </c>
      <c r="S357" s="802">
        <f t="shared" si="132"/>
        <v>1</v>
      </c>
      <c r="T357" s="172">
        <f t="shared" si="133"/>
        <v>7</v>
      </c>
      <c r="U357" s="247">
        <f t="shared" si="134"/>
        <v>1.4936996627663766</v>
      </c>
      <c r="V357" s="378">
        <f t="shared" si="135"/>
        <v>17.108859815501976</v>
      </c>
      <c r="W357" s="397">
        <f t="shared" si="136"/>
        <v>7.7640629481997916</v>
      </c>
      <c r="X357" s="153">
        <f t="shared" si="137"/>
        <v>45634</v>
      </c>
      <c r="Y357" s="380">
        <f t="shared" si="138"/>
        <v>7.6207873986879431</v>
      </c>
      <c r="Z357" s="380">
        <f t="shared" si="139"/>
        <v>7.7376819098885221</v>
      </c>
      <c r="AA357" s="381">
        <f t="shared" si="140"/>
        <v>8.1550600810335343</v>
      </c>
      <c r="AB357" s="193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5.1180269304909425E-2</v>
      </c>
      <c r="AD357" s="227">
        <f>(INDEX(Models!$BJ357:$BT357,,AH357)*(1-AF357)+INDEX(Models!$BJ357:$BT357,,AH357+1)*AF357-ERP_i)*AE357*Ramure*Pc/MaxiM</f>
        <v>8.9188427365674127E-3</v>
      </c>
      <c r="AE357" s="301">
        <f t="shared" si="142"/>
        <v>0.5</v>
      </c>
      <c r="AF357" s="173">
        <f t="shared" si="143"/>
        <v>0.49369966276637656</v>
      </c>
      <c r="AG357" s="802">
        <f t="shared" si="149"/>
        <v>1</v>
      </c>
      <c r="AH357" s="172">
        <f t="shared" si="144"/>
        <v>7</v>
      </c>
      <c r="AI357" s="221">
        <f t="shared" si="145"/>
        <v>1.4936996627663766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48"/>
        <v>45635</v>
      </c>
      <c r="B358" s="406">
        <f>'2023'!Wh/'2023'!Env_an*'2024'!Env_an</f>
        <v>11.306341174636167</v>
      </c>
      <c r="C358" s="385"/>
      <c r="D358" s="388">
        <f t="shared" si="127"/>
        <v>11.479925184619638</v>
      </c>
      <c r="E358" s="380">
        <f t="shared" si="125"/>
        <v>11.876326110497027</v>
      </c>
      <c r="F358" s="380">
        <f t="shared" si="128"/>
        <v>11.932276730421131</v>
      </c>
      <c r="G358" s="110">
        <f t="shared" si="126"/>
        <v>0.66356783060321201</v>
      </c>
      <c r="H358" s="409" t="b">
        <f>Wh_hp&gt;='2023'!Maxi_hp</f>
        <v>0</v>
      </c>
      <c r="I358" s="375">
        <f>IF(H358,Wh_hp,'2023'!Maxi_hp)</f>
        <v>11.96710133124366</v>
      </c>
      <c r="J358" s="85">
        <f>IF(H358,An,'2023'!An_max)</f>
        <v>2022</v>
      </c>
      <c r="K358" s="193">
        <f t="shared" si="129"/>
        <v>45635</v>
      </c>
      <c r="L358" s="143">
        <f>IF(t&lt;Tvie,1-EXP((T0-t)*PertePVj)+'2023'!Pspv,1-EXP((T0-t)*PertePVj)+Pspv)</f>
        <v>1.512065690254083E-2</v>
      </c>
      <c r="M358" s="836"/>
      <c r="N358" s="836"/>
      <c r="O358" s="48">
        <f>IF(t&lt;Tnet,'2023'!Resal+('2023'!Salim-'2023'!Resal)*(1-EXP(('2023'!Tnet-t)/('2023'!Tau_j))),Resal+(Salim-Resal)*(1-EXP((Tnet-t)/(Tau_j))))*Salcycl</f>
        <v>3.3377403263373365E-2</v>
      </c>
      <c r="P358" s="165">
        <f>(INDEX(Models!$BJ358:$BT358,,T358)*(1-R358)+INDEX(Models!$BJ358:$BT358,,T358+1)*R358-ERP_i)*Q358*Ramure*Pc/MaxiM</f>
        <v>8.9576357965826508E-3</v>
      </c>
      <c r="Q358" s="301">
        <f t="shared" si="130"/>
        <v>0.5</v>
      </c>
      <c r="R358" s="173">
        <f t="shared" si="131"/>
        <v>0.4937110353170211</v>
      </c>
      <c r="S358" s="802">
        <f t="shared" si="132"/>
        <v>1</v>
      </c>
      <c r="T358" s="172">
        <f t="shared" si="133"/>
        <v>7</v>
      </c>
      <c r="U358" s="247">
        <f t="shared" si="134"/>
        <v>1.4937110353170211</v>
      </c>
      <c r="V358" s="378">
        <f t="shared" si="135"/>
        <v>16.965637570581666</v>
      </c>
      <c r="W358" s="397">
        <f t="shared" si="136"/>
        <v>11.306341174636167</v>
      </c>
      <c r="X358" s="153">
        <f t="shared" si="137"/>
        <v>45635</v>
      </c>
      <c r="Y358" s="380">
        <f t="shared" si="138"/>
        <v>11.097925797945694</v>
      </c>
      <c r="Z358" s="380">
        <f t="shared" si="139"/>
        <v>11.268310048053769</v>
      </c>
      <c r="AA358" s="381">
        <f t="shared" si="140"/>
        <v>11.876326110497027</v>
      </c>
      <c r="AB358" s="193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5.1195635484096079E-2</v>
      </c>
      <c r="AD358" s="227">
        <f>(INDEX(Models!$BJ358:$BT358,,AH358)*(1-AF358)+INDEX(Models!$BJ358:$BT358,,AH358+1)*AF358-ERP_i)*AE358*Ramure*Pc/MaxiM</f>
        <v>8.9576357965826508E-3</v>
      </c>
      <c r="AE358" s="301">
        <f t="shared" si="142"/>
        <v>0.5</v>
      </c>
      <c r="AF358" s="173">
        <f t="shared" si="143"/>
        <v>0.4937110353170211</v>
      </c>
      <c r="AG358" s="802">
        <f t="shared" si="149"/>
        <v>1</v>
      </c>
      <c r="AH358" s="172">
        <f t="shared" si="144"/>
        <v>7</v>
      </c>
      <c r="AI358" s="221">
        <f t="shared" si="145"/>
        <v>1.4937110353170211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48"/>
        <v>45636</v>
      </c>
      <c r="B359" s="406">
        <f>'2023'!Wh/'2023'!Env_an*'2024'!Env_an</f>
        <v>12.857056303270731</v>
      </c>
      <c r="C359" s="385"/>
      <c r="D359" s="388">
        <f t="shared" si="127"/>
        <v>13.054626841444195</v>
      </c>
      <c r="E359" s="380">
        <f t="shared" si="125"/>
        <v>13.505904404770618</v>
      </c>
      <c r="F359" s="380">
        <f t="shared" si="128"/>
        <v>13.586975642204308</v>
      </c>
      <c r="G359" s="110">
        <f t="shared" si="126"/>
        <v>0.76151956395140674</v>
      </c>
      <c r="H359" s="409" t="b">
        <f>Wh_hp&gt;='2023'!Maxi_hp</f>
        <v>0</v>
      </c>
      <c r="I359" s="375">
        <f>IF(H359,Wh_hp,'2023'!Maxi_hp)</f>
        <v>13.615221721331118</v>
      </c>
      <c r="J359" s="85">
        <f>IF(H359,An,'2023'!An_max)</f>
        <v>2022</v>
      </c>
      <c r="K359" s="193">
        <f t="shared" si="129"/>
        <v>45636</v>
      </c>
      <c r="L359" s="143">
        <f>IF(t&lt;Tvie,1-EXP((T0-t)*PertePVj)+'2023'!Pspv,1-EXP((T0-t)*PertePVj)+Pspv)</f>
        <v>1.5134139073683883E-2</v>
      </c>
      <c r="M359" s="836"/>
      <c r="N359" s="836"/>
      <c r="O359" s="48">
        <f>IF(t&lt;Tnet,'2023'!Resal+('2023'!Salim-'2023'!Resal)*(1-EXP(('2023'!Tnet-t)/('2023'!Tau_j))),Resal+(Salim-Resal)*(1-EXP((Tnet-t)/(Tau_j))))*Salcycl</f>
        <v>3.3413353878546666E-2</v>
      </c>
      <c r="P359" s="165">
        <f>(INDEX(Models!$BJ359:$BT359,,T359)*(1-R359)+INDEX(Models!$BJ359:$BT359,,T359+1)*R359-ERP_i)*Q359*Ramure*Pc/MaxiM</f>
        <v>9.0045265788826108E-3</v>
      </c>
      <c r="Q359" s="301">
        <f t="shared" si="130"/>
        <v>0.5</v>
      </c>
      <c r="R359" s="173">
        <f t="shared" si="131"/>
        <v>0.49372195046171252</v>
      </c>
      <c r="S359" s="802">
        <f t="shared" si="132"/>
        <v>1</v>
      </c>
      <c r="T359" s="172">
        <f t="shared" si="133"/>
        <v>7</v>
      </c>
      <c r="U359" s="247">
        <f t="shared" si="134"/>
        <v>1.4937219504617125</v>
      </c>
      <c r="V359" s="378">
        <f t="shared" si="135"/>
        <v>16.83182769822843</v>
      </c>
      <c r="W359" s="397">
        <f t="shared" si="136"/>
        <v>12.857056303270731</v>
      </c>
      <c r="X359" s="153">
        <f t="shared" si="137"/>
        <v>45636</v>
      </c>
      <c r="Y359" s="380">
        <f t="shared" si="138"/>
        <v>12.620311660003658</v>
      </c>
      <c r="Z359" s="380">
        <f t="shared" si="139"/>
        <v>12.814244214063443</v>
      </c>
      <c r="AA359" s="381">
        <f t="shared" si="140"/>
        <v>13.505904404770618</v>
      </c>
      <c r="AB359" s="193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5.1211690085919949E-2</v>
      </c>
      <c r="AD359" s="227">
        <f>(INDEX(Models!$BJ359:$BT359,,AH359)*(1-AF359)+INDEX(Models!$BJ359:$BT359,,AH359+1)*AF359-ERP_i)*AE359*Ramure*Pc/MaxiM</f>
        <v>9.0045265788826108E-3</v>
      </c>
      <c r="AE359" s="301">
        <f t="shared" si="142"/>
        <v>0.5</v>
      </c>
      <c r="AF359" s="173">
        <f t="shared" si="143"/>
        <v>0.49372195046171252</v>
      </c>
      <c r="AG359" s="802">
        <f t="shared" si="149"/>
        <v>1</v>
      </c>
      <c r="AH359" s="172">
        <f t="shared" si="144"/>
        <v>7</v>
      </c>
      <c r="AI359" s="221">
        <f t="shared" si="145"/>
        <v>1.4937219504617125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48"/>
        <v>45637</v>
      </c>
      <c r="B360" s="406">
        <f>'2023'!Wh/'2023'!Env_an*'2024'!Env_an</f>
        <v>5.8871536649456537</v>
      </c>
      <c r="C360" s="385"/>
      <c r="D360" s="388">
        <f t="shared" si="127"/>
        <v>5.977701623956694</v>
      </c>
      <c r="E360" s="380">
        <f t="shared" si="125"/>
        <v>6.1845737722999035</v>
      </c>
      <c r="F360" s="380">
        <f t="shared" si="128"/>
        <v>6.1887756920132047</v>
      </c>
      <c r="G360" s="110">
        <f t="shared" si="126"/>
        <v>0.34949259013477052</v>
      </c>
      <c r="H360" s="409" t="b">
        <f>Wh_hp&gt;='2023'!Maxi_hp</f>
        <v>0</v>
      </c>
      <c r="I360" s="375">
        <f>IF(H360,Wh_hp,'2023'!Maxi_hp)</f>
        <v>6.2242364696996182</v>
      </c>
      <c r="J360" s="85">
        <f>IF(H360,An,'2023'!An_max)</f>
        <v>2022</v>
      </c>
      <c r="K360" s="193">
        <f t="shared" si="129"/>
        <v>45637</v>
      </c>
      <c r="L360" s="143">
        <f>IF(t&lt;Tvie,1-EXP((T0-t)*PertePVj)+'2023'!Pspv,1-EXP((T0-t)*PertePVj)+Pspv)</f>
        <v>1.5147621060267236E-2</v>
      </c>
      <c r="M360" s="836"/>
      <c r="N360" s="836"/>
      <c r="O360" s="48">
        <f>IF(t&lt;Tnet,'2023'!Resal+('2023'!Salim-'2023'!Resal)*(1-EXP(('2023'!Tnet-t)/('2023'!Tau_j))),Resal+(Salim-Resal)*(1-EXP((Tnet-t)/(Tau_j))))*Salcycl</f>
        <v>3.3449701783778416E-2</v>
      </c>
      <c r="P360" s="165">
        <f>(INDEX(Models!$BJ360:$BT360,,T360)*(1-R360)+INDEX(Models!$BJ360:$BT360,,T360+1)*R360-ERP_i)*Q360*Ramure*Pc/MaxiM</f>
        <v>9.061570918543654E-3</v>
      </c>
      <c r="Q360" s="301">
        <f t="shared" si="130"/>
        <v>0.5</v>
      </c>
      <c r="R360" s="173">
        <f t="shared" si="131"/>
        <v>0.49373242657862715</v>
      </c>
      <c r="S360" s="802">
        <f t="shared" si="132"/>
        <v>1</v>
      </c>
      <c r="T360" s="172">
        <f t="shared" si="133"/>
        <v>7</v>
      </c>
      <c r="U360" s="247">
        <f t="shared" si="134"/>
        <v>1.4937324265786271</v>
      </c>
      <c r="V360" s="378">
        <f t="shared" si="135"/>
        <v>16.703559878233932</v>
      </c>
      <c r="W360" s="397">
        <f t="shared" si="136"/>
        <v>5.8871536649456537</v>
      </c>
      <c r="X360" s="153">
        <f t="shared" si="137"/>
        <v>45637</v>
      </c>
      <c r="Y360" s="380">
        <f t="shared" si="138"/>
        <v>5.7788655025901434</v>
      </c>
      <c r="Z360" s="380">
        <f t="shared" si="139"/>
        <v>5.8677479246296018</v>
      </c>
      <c r="AA360" s="381">
        <f t="shared" si="140"/>
        <v>6.1845737722999035</v>
      </c>
      <c r="AB360" s="193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5.122840462981193E-2</v>
      </c>
      <c r="AD360" s="227">
        <f>(INDEX(Models!$BJ360:$BT360,,AH360)*(1-AF360)+INDEX(Models!$BJ360:$BT360,,AH360+1)*AF360-ERP_i)*AE360*Ramure*Pc/MaxiM</f>
        <v>9.061570918543654E-3</v>
      </c>
      <c r="AE360" s="301">
        <f t="shared" si="142"/>
        <v>0.5</v>
      </c>
      <c r="AF360" s="173">
        <f t="shared" si="143"/>
        <v>0.49373242657862715</v>
      </c>
      <c r="AG360" s="802">
        <f t="shared" si="149"/>
        <v>1</v>
      </c>
      <c r="AH360" s="172">
        <f t="shared" si="144"/>
        <v>7</v>
      </c>
      <c r="AI360" s="221">
        <f t="shared" si="145"/>
        <v>1.4937324265786271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48"/>
        <v>45638</v>
      </c>
      <c r="B361" s="406">
        <f>'2023'!Wh/'2023'!Env_an*'2024'!Env_an</f>
        <v>5.5459999207135215</v>
      </c>
      <c r="C361" s="385"/>
      <c r="D361" s="388">
        <f t="shared" si="127"/>
        <v>5.6313778190851096</v>
      </c>
      <c r="E361" s="380">
        <f t="shared" ref="E361:E380" si="150">Wh_pvt/(1-Psa)</f>
        <v>5.8264860283808906</v>
      </c>
      <c r="F361" s="380">
        <f t="shared" si="128"/>
        <v>5.8291031803077935</v>
      </c>
      <c r="G361" s="110">
        <f t="shared" ref="G361:G380" si="151">+Wh_hp/MaxiM</f>
        <v>0.33155658733367183</v>
      </c>
      <c r="H361" s="409" t="b">
        <f>Wh_hp&gt;='2023'!Maxi_hp</f>
        <v>0</v>
      </c>
      <c r="I361" s="375">
        <f>IF(H361,Wh_hp,'2023'!Maxi_hp)</f>
        <v>5.8636677565978781</v>
      </c>
      <c r="J361" s="85">
        <f>IF(H361,An,'2023'!An_max)</f>
        <v>2022</v>
      </c>
      <c r="K361" s="193">
        <f t="shared" si="129"/>
        <v>45638</v>
      </c>
      <c r="L361" s="143">
        <f>IF(t&lt;Tvie,1-EXP((T0-t)*PertePVj)+'2023'!Pspv,1-EXP((T0-t)*PertePVj)+Pspv)</f>
        <v>1.5161102862293552E-2</v>
      </c>
      <c r="M361" s="836"/>
      <c r="N361" s="836"/>
      <c r="O361" s="48">
        <f>IF(t&lt;Tnet,'2023'!Resal+('2023'!Salim-'2023'!Resal)*(1-EXP(('2023'!Tnet-t)/('2023'!Tau_j))),Resal+(Salim-Resal)*(1-EXP((Tnet-t)/(Tau_j))))*Salcycl</f>
        <v>3.3486428757471695E-2</v>
      </c>
      <c r="P361" s="165">
        <f>(INDEX(Models!$BJ361:$BT361,,T361)*(1-R361)+INDEX(Models!$BJ361:$BT361,,T361+1)*R361-ERP_i)*Q361*Ramure*Pc/MaxiM</f>
        <v>9.120781849499859E-3</v>
      </c>
      <c r="Q361" s="301">
        <f t="shared" si="130"/>
        <v>0.5</v>
      </c>
      <c r="R361" s="173">
        <f t="shared" si="131"/>
        <v>0.493742481309003</v>
      </c>
      <c r="S361" s="802">
        <f t="shared" si="132"/>
        <v>1</v>
      </c>
      <c r="T361" s="172">
        <f t="shared" si="133"/>
        <v>7</v>
      </c>
      <c r="U361" s="247">
        <f t="shared" si="134"/>
        <v>1.493742481309003</v>
      </c>
      <c r="V361" s="378">
        <f t="shared" si="135"/>
        <v>16.582039738109817</v>
      </c>
      <c r="W361" s="397">
        <f t="shared" si="136"/>
        <v>5.5459999207135215</v>
      </c>
      <c r="X361" s="153">
        <f t="shared" si="137"/>
        <v>45638</v>
      </c>
      <c r="Y361" s="380">
        <f t="shared" si="138"/>
        <v>5.4440942725297656</v>
      </c>
      <c r="Z361" s="380">
        <f t="shared" si="139"/>
        <v>5.5279033843527587</v>
      </c>
      <c r="AA361" s="381">
        <f t="shared" si="140"/>
        <v>5.8264860283808906</v>
      </c>
      <c r="AB361" s="193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5.1245749594821297E-2</v>
      </c>
      <c r="AD361" s="227">
        <f>(INDEX(Models!$BJ361:$BT361,,AH361)*(1-AF361)+INDEX(Models!$BJ361:$BT361,,AH361+1)*AF361-ERP_i)*AE361*Ramure*Pc/MaxiM</f>
        <v>9.120781849499859E-3</v>
      </c>
      <c r="AE361" s="301">
        <f t="shared" si="142"/>
        <v>0.5</v>
      </c>
      <c r="AF361" s="173">
        <f t="shared" si="143"/>
        <v>0.493742481309003</v>
      </c>
      <c r="AG361" s="802">
        <f t="shared" si="149"/>
        <v>1</v>
      </c>
      <c r="AH361" s="172">
        <f t="shared" si="144"/>
        <v>7</v>
      </c>
      <c r="AI361" s="221">
        <f t="shared" si="145"/>
        <v>1.493742481309003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48"/>
        <v>45639</v>
      </c>
      <c r="B362" s="406">
        <f>'2023'!Wh/'2023'!Env_an*'2024'!Env_an</f>
        <v>12.629808221967142</v>
      </c>
      <c r="C362" s="385"/>
      <c r="D362" s="388">
        <f t="shared" si="127"/>
        <v>12.824413365992832</v>
      </c>
      <c r="E362" s="380">
        <f t="shared" si="150"/>
        <v>13.269245116609138</v>
      </c>
      <c r="F362" s="380">
        <f t="shared" si="128"/>
        <v>13.351009664244812</v>
      </c>
      <c r="G362" s="110">
        <f t="shared" si="151"/>
        <v>0.76455504604154145</v>
      </c>
      <c r="H362" s="409" t="b">
        <f>Wh_hp&gt;='2023'!Maxi_hp</f>
        <v>0</v>
      </c>
      <c r="I362" s="375">
        <f>IF(H362,Wh_hp,'2023'!Maxi_hp)</f>
        <v>13.378981463837262</v>
      </c>
      <c r="J362" s="85">
        <f>IF(H362,An,'2023'!An_max)</f>
        <v>2022</v>
      </c>
      <c r="K362" s="193">
        <f t="shared" si="129"/>
        <v>45639</v>
      </c>
      <c r="L362" s="143">
        <f>IF(t&lt;Tvie,1-EXP((T0-t)*PertePVj)+'2023'!Pspv,1-EXP((T0-t)*PertePVj)+Pspv)</f>
        <v>1.5174584479765385E-2</v>
      </c>
      <c r="M362" s="836"/>
      <c r="N362" s="836"/>
      <c r="O362" s="48">
        <f>IF(t&lt;Tnet,'2023'!Resal+('2023'!Salim-'2023'!Resal)*(1-EXP(('2023'!Tnet-t)/('2023'!Tau_j))),Resal+(Salim-Resal)*(1-EXP((Tnet-t)/(Tau_j))))*Salcycl</f>
        <v>3.3523515973000531E-2</v>
      </c>
      <c r="P362" s="165">
        <f>(INDEX(Models!$BJ362:$BT362,,T362)*(1-R362)+INDEX(Models!$BJ362:$BT362,,T362+1)*R362-ERP_i)*Q362*Ramure*Pc/MaxiM</f>
        <v>9.1814642100949903E-3</v>
      </c>
      <c r="Q362" s="301">
        <f t="shared" si="130"/>
        <v>0.5</v>
      </c>
      <c r="R362" s="173">
        <f t="shared" si="131"/>
        <v>0.4937521315865725</v>
      </c>
      <c r="S362" s="802">
        <f t="shared" si="132"/>
        <v>1</v>
      </c>
      <c r="T362" s="172">
        <f t="shared" si="133"/>
        <v>7</v>
      </c>
      <c r="U362" s="247">
        <f t="shared" si="134"/>
        <v>1.4937521315865725</v>
      </c>
      <c r="V362" s="378">
        <f t="shared" si="135"/>
        <v>16.468347147700946</v>
      </c>
      <c r="W362" s="397">
        <f t="shared" si="136"/>
        <v>12.629808221967142</v>
      </c>
      <c r="X362" s="153">
        <f t="shared" si="137"/>
        <v>45639</v>
      </c>
      <c r="Y362" s="380">
        <f t="shared" si="138"/>
        <v>12.397981521607845</v>
      </c>
      <c r="Z362" s="380">
        <f t="shared" si="139"/>
        <v>12.589014586974894</v>
      </c>
      <c r="AA362" s="381">
        <f t="shared" si="140"/>
        <v>13.269245116609138</v>
      </c>
      <c r="AB362" s="193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5.1263694630435154E-2</v>
      </c>
      <c r="AD362" s="227">
        <f>(INDEX(Models!$BJ362:$BT362,,AH362)*(1-AF362)+INDEX(Models!$BJ362:$BT362,,AH362+1)*AF362-ERP_i)*AE362*Ramure*Pc/MaxiM</f>
        <v>9.1814642100949903E-3</v>
      </c>
      <c r="AE362" s="301">
        <f t="shared" si="142"/>
        <v>0.5</v>
      </c>
      <c r="AF362" s="173">
        <f t="shared" si="143"/>
        <v>0.4937521315865725</v>
      </c>
      <c r="AG362" s="802">
        <f t="shared" si="149"/>
        <v>1</v>
      </c>
      <c r="AH362" s="172">
        <f t="shared" si="144"/>
        <v>7</v>
      </c>
      <c r="AI362" s="221">
        <f t="shared" si="145"/>
        <v>1.4937521315865725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45640</v>
      </c>
      <c r="B363" s="406">
        <f>'2023'!Wh/'2023'!Env_an*'2024'!Env_an</f>
        <v>6.7457378321076407</v>
      </c>
      <c r="C363" s="385"/>
      <c r="D363" s="388">
        <f t="shared" si="127"/>
        <v>6.8497726303035984</v>
      </c>
      <c r="E363" s="380">
        <f t="shared" si="150"/>
        <v>7.0876405384599996</v>
      </c>
      <c r="F363" s="380">
        <f t="shared" si="128"/>
        <v>7.0981603620498408</v>
      </c>
      <c r="G363" s="110">
        <f t="shared" si="151"/>
        <v>0.40903732827058331</v>
      </c>
      <c r="H363" s="409" t="b">
        <f>Wh_hp&gt;='2023'!Maxi_hp</f>
        <v>0</v>
      </c>
      <c r="I363" s="375">
        <f>IF(H363,Wh_hp,'2023'!Maxi_hp)</f>
        <v>7.1358666165073297</v>
      </c>
      <c r="J363" s="85">
        <f>IF(H363,An,'2023'!An_max)</f>
        <v>2022</v>
      </c>
      <c r="K363" s="193">
        <f t="shared" si="129"/>
        <v>45640</v>
      </c>
      <c r="L363" s="143">
        <f>IF(t&lt;Tvie,1-EXP((T0-t)*PertePVj)+'2023'!Pspv,1-EXP((T0-t)*PertePVj)+Pspv)</f>
        <v>1.5188065912685178E-2</v>
      </c>
      <c r="M363" s="836"/>
      <c r="N363" s="836"/>
      <c r="O363" s="48">
        <f>IF(t&lt;Tnet,'2023'!Resal+('2023'!Salim-'2023'!Resal)*(1-EXP(('2023'!Tnet-t)/('2023'!Tau_j))),Resal+(Salim-Resal)*(1-EXP((Tnet-t)/(Tau_j))))*Salcycl</f>
        <v>3.3560944134461548E-2</v>
      </c>
      <c r="P363" s="165">
        <f>(INDEX(Models!$BJ363:$BT363,,T363)*(1-R363)+INDEX(Models!$BJ363:$BT363,,T363+1)*R363-ERP_i)*Q363*Ramure*Pc/MaxiM</f>
        <v>9.2428851758483005E-3</v>
      </c>
      <c r="Q363" s="301">
        <f t="shared" si="130"/>
        <v>0.5</v>
      </c>
      <c r="R363" s="173">
        <f t="shared" si="131"/>
        <v>0.49376139366582894</v>
      </c>
      <c r="S363" s="802">
        <f t="shared" si="132"/>
        <v>1</v>
      </c>
      <c r="T363" s="172">
        <f t="shared" si="133"/>
        <v>7</v>
      </c>
      <c r="U363" s="247">
        <f t="shared" si="134"/>
        <v>1.4937613936658289</v>
      </c>
      <c r="V363" s="378">
        <f t="shared" si="135"/>
        <v>16.363561712038052</v>
      </c>
      <c r="W363" s="397">
        <f t="shared" si="136"/>
        <v>6.7457378321076407</v>
      </c>
      <c r="X363" s="153">
        <f t="shared" si="137"/>
        <v>45640</v>
      </c>
      <c r="Y363" s="380">
        <f t="shared" si="138"/>
        <v>6.6220435292575965</v>
      </c>
      <c r="Z363" s="380">
        <f t="shared" si="139"/>
        <v>6.7241706767035145</v>
      </c>
      <c r="AA363" s="381">
        <f t="shared" si="140"/>
        <v>7.0876405384599996</v>
      </c>
      <c r="AB363" s="193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5.1282208766679285E-2</v>
      </c>
      <c r="AD363" s="227">
        <f>(INDEX(Models!$BJ363:$BT363,,AH363)*(1-AF363)+INDEX(Models!$BJ363:$BT363,,AH363+1)*AF363-ERP_i)*AE363*Ramure*Pc/MaxiM</f>
        <v>9.2428851758483005E-3</v>
      </c>
      <c r="AE363" s="301">
        <f t="shared" si="142"/>
        <v>0.5</v>
      </c>
      <c r="AF363" s="173">
        <f t="shared" si="143"/>
        <v>0.49376139366582894</v>
      </c>
      <c r="AG363" s="802">
        <f t="shared" si="149"/>
        <v>1</v>
      </c>
      <c r="AH363" s="172">
        <f t="shared" si="144"/>
        <v>7</v>
      </c>
      <c r="AI363" s="221">
        <f t="shared" si="145"/>
        <v>1.4937613936658289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48"/>
        <v>45641</v>
      </c>
      <c r="B364" s="406">
        <f>'2023'!Wh/'2023'!Env_an*'2024'!Env_an</f>
        <v>5.6613610638095917</v>
      </c>
      <c r="C364" s="385"/>
      <c r="D364" s="388">
        <f t="shared" si="127"/>
        <v>5.7487509728403881</v>
      </c>
      <c r="E364" s="380">
        <f t="shared" si="150"/>
        <v>5.9486167235473379</v>
      </c>
      <c r="F364" s="380">
        <f t="shared" si="128"/>
        <v>5.9524135893376116</v>
      </c>
      <c r="G364" s="110">
        <f t="shared" si="151"/>
        <v>0.34497190595099603</v>
      </c>
      <c r="H364" s="409" t="b">
        <f>Wh_hp&gt;='2023'!Maxi_hp</f>
        <v>0</v>
      </c>
      <c r="I364" s="375">
        <f>IF(H364,Wh_hp,'2023'!Maxi_hp)</f>
        <v>5.9877220322580982</v>
      </c>
      <c r="J364" s="85">
        <f>IF(H364,An,'2023'!An_max)</f>
        <v>2022</v>
      </c>
      <c r="K364" s="193">
        <f t="shared" si="129"/>
        <v>45641</v>
      </c>
      <c r="L364" s="143">
        <f>IF(t&lt;Tvie,1-EXP((T0-t)*PertePVj)+'2023'!Pspv,1-EXP((T0-t)*PertePVj)+Pspv)</f>
        <v>1.5201547161055373E-2</v>
      </c>
      <c r="M364" s="836"/>
      <c r="N364" s="836"/>
      <c r="O364" s="48">
        <f>IF(t&lt;Tnet,'2023'!Resal+('2023'!Salim-'2023'!Resal)*(1-EXP(('2023'!Tnet-t)/('2023'!Tau_j))),Resal+(Salim-Resal)*(1-EXP((Tnet-t)/(Tau_j))))*Salcycl</f>
        <v>3.359869361153995E-2</v>
      </c>
      <c r="P364" s="165">
        <f>(INDEX(Models!$BJ364:$BT364,,T364)*(1-R364)+INDEX(Models!$BJ364:$BT364,,T364+1)*R364-ERP_i)*Q364*Ramure*Pc/MaxiM</f>
        <v>9.3042763008416938E-3</v>
      </c>
      <c r="Q364" s="301">
        <f t="shared" si="130"/>
        <v>0.5</v>
      </c>
      <c r="R364" s="173">
        <f t="shared" si="131"/>
        <v>0.49377028314917415</v>
      </c>
      <c r="S364" s="802">
        <f t="shared" si="132"/>
        <v>1</v>
      </c>
      <c r="T364" s="172">
        <f t="shared" si="133"/>
        <v>7</v>
      </c>
      <c r="U364" s="247">
        <f t="shared" si="134"/>
        <v>1.4937702831491741</v>
      </c>
      <c r="V364" s="378">
        <f t="shared" si="135"/>
        <v>16.268762746586546</v>
      </c>
      <c r="W364" s="397">
        <f t="shared" si="136"/>
        <v>5.6613610638095917</v>
      </c>
      <c r="X364" s="153">
        <f t="shared" si="137"/>
        <v>45641</v>
      </c>
      <c r="Y364" s="380">
        <f t="shared" si="138"/>
        <v>5.5576560885167909</v>
      </c>
      <c r="Z364" s="380">
        <f t="shared" si="139"/>
        <v>5.643445186672829</v>
      </c>
      <c r="AA364" s="381">
        <f t="shared" si="140"/>
        <v>5.9486167235473379</v>
      </c>
      <c r="AB364" s="193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5.1301260621902364E-2</v>
      </c>
      <c r="AD364" s="227">
        <f>(INDEX(Models!$BJ364:$BT364,,AH364)*(1-AF364)+INDEX(Models!$BJ364:$BT364,,AH364+1)*AF364-ERP_i)*AE364*Ramure*Pc/MaxiM</f>
        <v>9.3042763008416938E-3</v>
      </c>
      <c r="AE364" s="301">
        <f t="shared" si="142"/>
        <v>0.5</v>
      </c>
      <c r="AF364" s="173">
        <f t="shared" si="143"/>
        <v>0.49377028314917415</v>
      </c>
      <c r="AG364" s="802">
        <f t="shared" si="149"/>
        <v>1</v>
      </c>
      <c r="AH364" s="172">
        <f t="shared" si="144"/>
        <v>7</v>
      </c>
      <c r="AI364" s="221">
        <f t="shared" si="145"/>
        <v>1.4937702831491741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48"/>
        <v>45642</v>
      </c>
      <c r="B365" s="406">
        <f>'2023'!Wh/'2023'!Env_an*'2024'!Env_an</f>
        <v>3.6556090612488714</v>
      </c>
      <c r="C365" s="385"/>
      <c r="D365" s="388">
        <f t="shared" si="127"/>
        <v>3.7120885939795203</v>
      </c>
      <c r="E365" s="380">
        <f t="shared" si="150"/>
        <v>3.8412973311337333</v>
      </c>
      <c r="F365" s="380">
        <f t="shared" si="128"/>
        <v>3.8412973311337333</v>
      </c>
      <c r="G365" s="110">
        <f t="shared" si="151"/>
        <v>0.22374842916886925</v>
      </c>
      <c r="H365" s="409" t="b">
        <f>Wh_hp&gt;='2023'!Maxi_hp</f>
        <v>0</v>
      </c>
      <c r="I365" s="375">
        <f>IF(H365,Wh_hp,'2023'!Maxi_hp)</f>
        <v>3.8659187328041593</v>
      </c>
      <c r="J365" s="85">
        <f>IF(H365,An,'2023'!An_max)</f>
        <v>2022</v>
      </c>
      <c r="K365" s="193">
        <f t="shared" si="129"/>
        <v>45642</v>
      </c>
      <c r="L365" s="143">
        <f>IF(t&lt;Tvie,1-EXP((T0-t)*PertePVj)+'2023'!Pspv,1-EXP((T0-t)*PertePVj)+Pspv)</f>
        <v>1.5215028224878746E-2</v>
      </c>
      <c r="M365" s="836"/>
      <c r="N365" s="836"/>
      <c r="O365" s="48">
        <f>IF(t&lt;Tnet,'2023'!Resal+('2023'!Salim-'2023'!Resal)*(1-EXP(('2023'!Tnet-t)/('2023'!Tau_j))),Resal+(Salim-Resal)*(1-EXP((Tnet-t)/(Tau_j))))*Salcycl</f>
        <v>3.363674457245884E-2</v>
      </c>
      <c r="P365" s="165">
        <f>(INDEX(Models!$BJ365:$BT365,,T365)*(1-R365)+INDEX(Models!$BJ365:$BT365,,T365+1)*R365-ERP_i)*Q365*Ramure*Pc/MaxiM</f>
        <v>9.3648368949280237E-3</v>
      </c>
      <c r="Q365" s="301">
        <f t="shared" si="130"/>
        <v>0.5</v>
      </c>
      <c r="R365" s="173">
        <f t="shared" si="131"/>
        <v>0.4937788150129867</v>
      </c>
      <c r="S365" s="802">
        <f t="shared" si="132"/>
        <v>1</v>
      </c>
      <c r="T365" s="172">
        <f t="shared" si="133"/>
        <v>7</v>
      </c>
      <c r="U365" s="247">
        <f t="shared" si="134"/>
        <v>1.4937788150129867</v>
      </c>
      <c r="V365" s="378">
        <f t="shared" si="135"/>
        <v>16.185029285302829</v>
      </c>
      <c r="W365" s="397">
        <f t="shared" si="136"/>
        <v>3.6556090612488714</v>
      </c>
      <c r="X365" s="153">
        <f t="shared" si="137"/>
        <v>45642</v>
      </c>
      <c r="Y365" s="380">
        <f t="shared" si="138"/>
        <v>3.5887128284748631</v>
      </c>
      <c r="Z365" s="380">
        <f t="shared" si="139"/>
        <v>3.6441588075882589</v>
      </c>
      <c r="AA365" s="381">
        <f t="shared" si="140"/>
        <v>3.8412973311337333</v>
      </c>
      <c r="AB365" s="193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5.1320818606689328E-2</v>
      </c>
      <c r="AD365" s="227">
        <f>(INDEX(Models!$BJ365:$BT365,,AH365)*(1-AF365)+INDEX(Models!$BJ365:$BT365,,AH365+1)*AF365-ERP_i)*AE365*Ramure*Pc/MaxiM</f>
        <v>9.3648368949280237E-3</v>
      </c>
      <c r="AE365" s="301">
        <f t="shared" si="142"/>
        <v>0.5</v>
      </c>
      <c r="AF365" s="173">
        <f t="shared" si="143"/>
        <v>0.4937788150129867</v>
      </c>
      <c r="AG365" s="802">
        <f t="shared" si="149"/>
        <v>1</v>
      </c>
      <c r="AH365" s="172">
        <f t="shared" si="144"/>
        <v>7</v>
      </c>
      <c r="AI365" s="221">
        <f t="shared" si="145"/>
        <v>1.4937788150129867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48"/>
        <v>45643</v>
      </c>
      <c r="B366" s="406">
        <f>'2023'!Wh/'2023'!Env_an*'2024'!Env_an</f>
        <v>14.711630001402252</v>
      </c>
      <c r="C366" s="385"/>
      <c r="D366" s="388">
        <f t="shared" si="127"/>
        <v>14.939130689109556</v>
      </c>
      <c r="E366" s="380">
        <f t="shared" si="150"/>
        <v>15.459738577882201</v>
      </c>
      <c r="F366" s="380">
        <f t="shared" si="128"/>
        <v>15.588332537873743</v>
      </c>
      <c r="G366" s="110">
        <f t="shared" si="151"/>
        <v>0.91192255617294582</v>
      </c>
      <c r="H366" s="409" t="b">
        <f>Wh_hp&gt;='2023'!Maxi_hp</f>
        <v>0</v>
      </c>
      <c r="I366" s="375">
        <f>IF(H366,Wh_hp,'2023'!Maxi_hp)</f>
        <v>15.600858513413073</v>
      </c>
      <c r="J366" s="85">
        <f>IF(H366,An,'2023'!An_max)</f>
        <v>2022</v>
      </c>
      <c r="K366" s="193">
        <f t="shared" si="129"/>
        <v>45643</v>
      </c>
      <c r="L366" s="143">
        <f>IF(t&lt;Tvie,1-EXP((T0-t)*PertePVj)+'2023'!Pspv,1-EXP((T0-t)*PertePVj)+Pspv)</f>
        <v>1.5228509104157517E-2</v>
      </c>
      <c r="M366" s="836"/>
      <c r="N366" s="836"/>
      <c r="O366" s="48">
        <f>IF(t&lt;Tnet,'2023'!Resal+('2023'!Salim-'2023'!Resal)*(1-EXP(('2023'!Tnet-t)/('2023'!Tau_j))),Resal+(Salim-Resal)*(1-EXP((Tnet-t)/(Tau_j))))*Salcycl</f>
        <v>3.3675077114011694E-2</v>
      </c>
      <c r="P366" s="165">
        <f>(INDEX(Models!$BJ366:$BT366,,T366)*(1-R366)+INDEX(Models!$BJ366:$BT366,,T366+1)*R366-ERP_i)*Q366*Ramure*Pc/MaxiM</f>
        <v>9.4201584538070576E-3</v>
      </c>
      <c r="Q366" s="301">
        <f t="shared" si="130"/>
        <v>0.5</v>
      </c>
      <c r="R366" s="173">
        <f t="shared" si="131"/>
        <v>0.49378700363265593</v>
      </c>
      <c r="S366" s="802">
        <f t="shared" si="132"/>
        <v>1</v>
      </c>
      <c r="T366" s="172">
        <f t="shared" si="133"/>
        <v>7</v>
      </c>
      <c r="U366" s="247">
        <f t="shared" si="134"/>
        <v>1.4937870036326559</v>
      </c>
      <c r="V366" s="378">
        <f t="shared" si="135"/>
        <v>16.113498300933053</v>
      </c>
      <c r="W366" s="397">
        <f t="shared" si="136"/>
        <v>14.711630001402252</v>
      </c>
      <c r="X366" s="153">
        <f t="shared" si="137"/>
        <v>45643</v>
      </c>
      <c r="Y366" s="380">
        <f t="shared" si="138"/>
        <v>14.442680784896798</v>
      </c>
      <c r="Z366" s="380">
        <f t="shared" si="139"/>
        <v>14.66602244116384</v>
      </c>
      <c r="AA366" s="381">
        <f t="shared" si="140"/>
        <v>15.459738577882201</v>
      </c>
      <c r="AB366" s="193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5.1340851122405641E-2</v>
      </c>
      <c r="AD366" s="227">
        <f>(INDEX(Models!$BJ366:$BT366,,AH366)*(1-AF366)+INDEX(Models!$BJ366:$BT366,,AH366+1)*AF366-ERP_i)*AE366*Ramure*Pc/MaxiM</f>
        <v>9.4201584538070576E-3</v>
      </c>
      <c r="AE366" s="301">
        <f t="shared" si="142"/>
        <v>0.5</v>
      </c>
      <c r="AF366" s="173">
        <f t="shared" si="143"/>
        <v>0.49378700363265593</v>
      </c>
      <c r="AG366" s="802">
        <f t="shared" si="149"/>
        <v>1</v>
      </c>
      <c r="AH366" s="172">
        <f t="shared" si="144"/>
        <v>7</v>
      </c>
      <c r="AI366" s="221">
        <f t="shared" si="145"/>
        <v>1.4937870036326559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48"/>
        <v>45644</v>
      </c>
      <c r="B367" s="406">
        <f>'2023'!Wh/'2023'!Env_an*'2024'!Env_an</f>
        <v>14.086034445142907</v>
      </c>
      <c r="C367" s="385"/>
      <c r="D367" s="388">
        <f t="shared" si="127"/>
        <v>14.304056731933851</v>
      </c>
      <c r="E367" s="380">
        <f t="shared" si="150"/>
        <v>14.803124403587917</v>
      </c>
      <c r="F367" s="380">
        <f t="shared" si="128"/>
        <v>14.919559752872679</v>
      </c>
      <c r="G367" s="110">
        <f t="shared" si="151"/>
        <v>0.87587525737995764</v>
      </c>
      <c r="H367" s="409" t="b">
        <f>Wh_hp&gt;='2023'!Maxi_hp</f>
        <v>0</v>
      </c>
      <c r="I367" s="375">
        <f>IF(H367,Wh_hp,'2023'!Maxi_hp)</f>
        <v>14.936536539370893</v>
      </c>
      <c r="J367" s="85">
        <f>IF(H367,An,'2023'!An_max)</f>
        <v>2022</v>
      </c>
      <c r="K367" s="193">
        <f t="shared" si="129"/>
        <v>45644</v>
      </c>
      <c r="L367" s="143">
        <f>IF(t&lt;Tvie,1-EXP((T0-t)*PertePVj)+'2023'!Pspv,1-EXP((T0-t)*PertePVj)+Pspv)</f>
        <v>1.5241989798894462E-2</v>
      </c>
      <c r="M367" s="836"/>
      <c r="N367" s="836"/>
      <c r="O367" s="48">
        <f>IF(t&lt;Tnet,'2023'!Resal+('2023'!Salim-'2023'!Resal)*(1-EXP(('2023'!Tnet-t)/('2023'!Tau_j))),Resal+(Salim-Resal)*(1-EXP((Tnet-t)/(Tau_j))))*Salcycl</f>
        <v>3.3713671387717553E-2</v>
      </c>
      <c r="P367" s="165">
        <f>(INDEX(Models!$BJ367:$BT367,,T367)*(1-R367)+INDEX(Models!$BJ367:$BT367,,T367+1)*R367-ERP_i)*Q367*Ramure*Pc/MaxiM</f>
        <v>9.4622454263732451E-3</v>
      </c>
      <c r="Q367" s="301">
        <f t="shared" si="130"/>
        <v>0.5</v>
      </c>
      <c r="R367" s="173">
        <f t="shared" si="131"/>
        <v>0.49379486280662199</v>
      </c>
      <c r="S367" s="802">
        <f t="shared" si="132"/>
        <v>1</v>
      </c>
      <c r="T367" s="172">
        <f t="shared" si="133"/>
        <v>7</v>
      </c>
      <c r="U367" s="247">
        <f t="shared" si="134"/>
        <v>1.493794862806622</v>
      </c>
      <c r="V367" s="378">
        <f t="shared" si="135"/>
        <v>16.05536342498791</v>
      </c>
      <c r="W367" s="397">
        <f t="shared" si="136"/>
        <v>14.086034445142907</v>
      </c>
      <c r="X367" s="153">
        <f t="shared" si="137"/>
        <v>45644</v>
      </c>
      <c r="Y367" s="380">
        <f t="shared" si="138"/>
        <v>13.828775831427874</v>
      </c>
      <c r="Z367" s="380">
        <f t="shared" si="139"/>
        <v>14.042816294130764</v>
      </c>
      <c r="AA367" s="381">
        <f t="shared" si="140"/>
        <v>14.803124403587917</v>
      </c>
      <c r="AB367" s="193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5.1361326752943574E-2</v>
      </c>
      <c r="AD367" s="227">
        <f>(INDEX(Models!$BJ367:$BT367,,AH367)*(1-AF367)+INDEX(Models!$BJ367:$BT367,,AH367+1)*AF367-ERP_i)*AE367*Ramure*Pc/MaxiM</f>
        <v>9.4622454263732451E-3</v>
      </c>
      <c r="AE367" s="301">
        <f t="shared" si="142"/>
        <v>0.5</v>
      </c>
      <c r="AF367" s="173">
        <f t="shared" si="143"/>
        <v>0.49379486280662199</v>
      </c>
      <c r="AG367" s="802">
        <f t="shared" si="149"/>
        <v>1</v>
      </c>
      <c r="AH367" s="172">
        <f t="shared" si="144"/>
        <v>7</v>
      </c>
      <c r="AI367" s="221">
        <f t="shared" si="145"/>
        <v>1.493794862806622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48"/>
        <v>45645</v>
      </c>
      <c r="B368" s="406">
        <f>'2023'!Wh/'2023'!Env_an*'2024'!Env_an</f>
        <v>4.2524567033195364</v>
      </c>
      <c r="C368" s="385"/>
      <c r="D368" s="388">
        <f t="shared" si="127"/>
        <v>4.318334933685084</v>
      </c>
      <c r="E368" s="380">
        <f t="shared" si="150"/>
        <v>4.469180999891293</v>
      </c>
      <c r="F368" s="380">
        <f t="shared" si="128"/>
        <v>4.469180999891293</v>
      </c>
      <c r="G368" s="110">
        <f t="shared" si="151"/>
        <v>0.26306385246011532</v>
      </c>
      <c r="H368" s="409" t="b">
        <f>Wh_hp&gt;='2023'!Maxi_hp</f>
        <v>0</v>
      </c>
      <c r="I368" s="375">
        <f>IF(H368,Wh_hp,'2023'!Maxi_hp)</f>
        <v>4.4982170424996788</v>
      </c>
      <c r="J368" s="85">
        <f>IF(H368,An,'2023'!An_max)</f>
        <v>2022</v>
      </c>
      <c r="K368" s="193">
        <f t="shared" si="129"/>
        <v>45645</v>
      </c>
      <c r="L368" s="143">
        <f>IF(t&lt;Tvie,1-EXP((T0-t)*PertePVj)+'2023'!Pspv,1-EXP((T0-t)*PertePVj)+Pspv)</f>
        <v>1.5255470309092023E-2</v>
      </c>
      <c r="M368" s="836"/>
      <c r="N368" s="836"/>
      <c r="O368" s="48">
        <f>IF(t&lt;Tnet,'2023'!Resal+('2023'!Salim-'2023'!Resal)*(1-EXP(('2023'!Tnet-t)/('2023'!Tau_j))),Resal+(Salim-Resal)*(1-EXP((Tnet-t)/(Tau_j))))*Salcycl</f>
        <v>3.3752507721186105E-2</v>
      </c>
      <c r="P368" s="165">
        <f>(INDEX(Models!$BJ368:$BT368,,T368)*(1-R368)+INDEX(Models!$BJ368:$BT368,,T368+1)*R368-ERP_i)*Q368*Ramure*Pc/MaxiM</f>
        <v>9.4901973923691846E-3</v>
      </c>
      <c r="Q368" s="301">
        <f t="shared" si="130"/>
        <v>0.5</v>
      </c>
      <c r="R368" s="173">
        <f t="shared" si="131"/>
        <v>0.49380240577946033</v>
      </c>
      <c r="S368" s="802">
        <f t="shared" si="132"/>
        <v>1</v>
      </c>
      <c r="T368" s="172">
        <f t="shared" si="133"/>
        <v>7</v>
      </c>
      <c r="U368" s="247">
        <f t="shared" si="134"/>
        <v>1.4938024057794603</v>
      </c>
      <c r="V368" s="378">
        <f t="shared" si="135"/>
        <v>16.011702141559535</v>
      </c>
      <c r="W368" s="397">
        <f t="shared" si="136"/>
        <v>4.2524567033195364</v>
      </c>
      <c r="X368" s="153">
        <f t="shared" si="137"/>
        <v>45645</v>
      </c>
      <c r="Y368" s="380">
        <f t="shared" si="138"/>
        <v>4.1748683368311958</v>
      </c>
      <c r="Z368" s="380">
        <f t="shared" si="139"/>
        <v>4.2395445833465102</v>
      </c>
      <c r="AA368" s="381">
        <f t="shared" si="140"/>
        <v>4.469180999891293</v>
      </c>
      <c r="AB368" s="193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5.1382214448322423E-2</v>
      </c>
      <c r="AD368" s="227">
        <f>(INDEX(Models!$BJ368:$BT368,,AH368)*(1-AF368)+INDEX(Models!$BJ368:$BT368,,AH368+1)*AF368-ERP_i)*AE368*Ramure*Pc/MaxiM</f>
        <v>9.4901973923691846E-3</v>
      </c>
      <c r="AE368" s="301">
        <f t="shared" si="142"/>
        <v>0.5</v>
      </c>
      <c r="AF368" s="173">
        <f t="shared" si="143"/>
        <v>0.49380240577946033</v>
      </c>
      <c r="AG368" s="802">
        <f t="shared" si="149"/>
        <v>1</v>
      </c>
      <c r="AH368" s="172">
        <f t="shared" si="144"/>
        <v>7</v>
      </c>
      <c r="AI368" s="221">
        <f t="shared" si="145"/>
        <v>1.4938024057794603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48"/>
        <v>45646</v>
      </c>
      <c r="B369" s="406">
        <f>'2023'!Wh/'2023'!Env_an*'2024'!Env_an</f>
        <v>15.080353726998931</v>
      </c>
      <c r="C369" s="385"/>
      <c r="D369" s="388">
        <f t="shared" si="127"/>
        <v>15.314185265834414</v>
      </c>
      <c r="E369" s="380">
        <f t="shared" si="150"/>
        <v>15.849773960331154</v>
      </c>
      <c r="F369" s="380">
        <f t="shared" si="128"/>
        <v>15.989457589981063</v>
      </c>
      <c r="G369" s="110">
        <f t="shared" si="151"/>
        <v>0.94275946467745597</v>
      </c>
      <c r="H369" s="409" t="b">
        <f>Wh_hp&gt;='2023'!Maxi_hp</f>
        <v>0</v>
      </c>
      <c r="I369" s="375">
        <f>IF(H369,Wh_hp,'2023'!Maxi_hp)</f>
        <v>15.99787926279242</v>
      </c>
      <c r="J369" s="85">
        <f>IF(H369,An,'2023'!An_max)</f>
        <v>2022</v>
      </c>
      <c r="K369" s="193">
        <f t="shared" si="129"/>
        <v>45646</v>
      </c>
      <c r="L369" s="143">
        <f>IF(t&lt;Tvie,1-EXP((T0-t)*PertePVj)+'2023'!Pspv,1-EXP((T0-t)*PertePVj)+Pspv)</f>
        <v>1.5268950634752754E-2</v>
      </c>
      <c r="M369" s="836"/>
      <c r="N369" s="836"/>
      <c r="O369" s="48">
        <f>IF(t&lt;Tnet,'2023'!Resal+('2023'!Salim-'2023'!Resal)*(1-EXP(('2023'!Tnet-t)/('2023'!Tau_j))),Resal+(Salim-Resal)*(1-EXP((Tnet-t)/(Tau_j))))*Salcycl</f>
        <v>3.3791566733835571E-2</v>
      </c>
      <c r="P369" s="165">
        <f>(INDEX(Models!$BJ369:$BT369,,T369)*(1-R369)+INDEX(Models!$BJ369:$BT369,,T369+1)*R369-ERP_i)*Q369*Ramure*Pc/MaxiM</f>
        <v>9.5031643397227965E-3</v>
      </c>
      <c r="Q369" s="301">
        <f t="shared" si="130"/>
        <v>0.5</v>
      </c>
      <c r="R369" s="173">
        <f t="shared" si="131"/>
        <v>0.49380964526404725</v>
      </c>
      <c r="S369" s="802">
        <f t="shared" si="132"/>
        <v>1</v>
      </c>
      <c r="T369" s="172">
        <f t="shared" si="133"/>
        <v>7</v>
      </c>
      <c r="U369" s="247">
        <f t="shared" si="134"/>
        <v>1.4938096452640472</v>
      </c>
      <c r="V369" s="378">
        <f t="shared" si="135"/>
        <v>15.983591748543372</v>
      </c>
      <c r="W369" s="397">
        <f t="shared" si="136"/>
        <v>15.080353726998931</v>
      </c>
      <c r="X369" s="153">
        <f t="shared" si="137"/>
        <v>45646</v>
      </c>
      <c r="Y369" s="380">
        <f t="shared" si="138"/>
        <v>14.805471073837134</v>
      </c>
      <c r="Z369" s="380">
        <f t="shared" si="139"/>
        <v>15.035040362930232</v>
      </c>
      <c r="AA369" s="381">
        <f t="shared" si="140"/>
        <v>15.849773960331154</v>
      </c>
      <c r="AB369" s="193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5.1403483698886726E-2</v>
      </c>
      <c r="AD369" s="227">
        <f>(INDEX(Models!$BJ369:$BT369,,AH369)*(1-AF369)+INDEX(Models!$BJ369:$BT369,,AH369+1)*AF369-ERP_i)*AE369*Ramure*Pc/MaxiM</f>
        <v>9.5031643397227965E-3</v>
      </c>
      <c r="AE369" s="301">
        <f t="shared" si="142"/>
        <v>0.5</v>
      </c>
      <c r="AF369" s="173">
        <f t="shared" si="143"/>
        <v>0.49380964526404725</v>
      </c>
      <c r="AG369" s="802">
        <f t="shared" si="149"/>
        <v>1</v>
      </c>
      <c r="AH369" s="172">
        <f t="shared" si="144"/>
        <v>7</v>
      </c>
      <c r="AI369" s="221">
        <f t="shared" si="145"/>
        <v>1.4938096452640472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48"/>
        <v>45647</v>
      </c>
      <c r="B370" s="406">
        <f>'2023'!Wh/'2023'!Env_an*'2024'!Env_an</f>
        <v>15.012345120478027</v>
      </c>
      <c r="C370" s="385"/>
      <c r="D370" s="388">
        <f t="shared" si="127"/>
        <v>15.245330833597862</v>
      </c>
      <c r="E370" s="380">
        <f t="shared" si="150"/>
        <v>15.779152655904829</v>
      </c>
      <c r="F370" s="380">
        <f t="shared" si="128"/>
        <v>15.917392457169777</v>
      </c>
      <c r="G370" s="110">
        <f t="shared" si="151"/>
        <v>0.93913674106769207</v>
      </c>
      <c r="H370" s="409" t="b">
        <f>Wh_hp&gt;='2023'!Maxi_hp</f>
        <v>0</v>
      </c>
      <c r="I370" s="375">
        <f>IF(H370,Wh_hp,'2023'!Maxi_hp)</f>
        <v>15.926304409611507</v>
      </c>
      <c r="J370" s="85">
        <f>IF(H370,An,'2023'!An_max)</f>
        <v>2022</v>
      </c>
      <c r="K370" s="193">
        <f t="shared" si="129"/>
        <v>45647</v>
      </c>
      <c r="L370" s="143">
        <f>IF(t&lt;Tvie,1-EXP((T0-t)*PertePVj)+'2023'!Pspv,1-EXP((T0-t)*PertePVj)+Pspv)</f>
        <v>1.5282430775879097E-2</v>
      </c>
      <c r="M370" s="836"/>
      <c r="N370" s="836"/>
      <c r="O370" s="48">
        <f>IF(t&lt;Tnet,'2023'!Resal+('2023'!Salim-'2023'!Resal)*(1-EXP(('2023'!Tnet-t)/('2023'!Tau_j))),Resal+(Salim-Resal)*(1-EXP((Tnet-t)/(Tau_j))))*Salcycl</f>
        <v>3.3830829446168123E-2</v>
      </c>
      <c r="P370" s="165">
        <f>(INDEX(Models!$BJ370:$BT370,,T370)*(1-R370)+INDEX(Models!$BJ370:$BT370,,T370+1)*R370-ERP_i)*Q370*Ramure*Pc/MaxiM</f>
        <v>9.5003657771906818E-3</v>
      </c>
      <c r="Q370" s="301">
        <f t="shared" si="130"/>
        <v>0.5</v>
      </c>
      <c r="R370" s="173">
        <f t="shared" si="131"/>
        <v>0.49381659346284468</v>
      </c>
      <c r="S370" s="802">
        <f t="shared" si="132"/>
        <v>1</v>
      </c>
      <c r="T370" s="172">
        <f t="shared" si="133"/>
        <v>7</v>
      </c>
      <c r="U370" s="247">
        <f t="shared" si="134"/>
        <v>1.4938165934628447</v>
      </c>
      <c r="V370" s="378">
        <f t="shared" si="135"/>
        <v>15.97210933742368</v>
      </c>
      <c r="W370" s="397">
        <f t="shared" si="136"/>
        <v>15.012345120478027</v>
      </c>
      <c r="X370" s="153">
        <f t="shared" si="137"/>
        <v>45647</v>
      </c>
      <c r="Y370" s="380">
        <f t="shared" si="138"/>
        <v>14.738965115930776</v>
      </c>
      <c r="Z370" s="380">
        <f t="shared" si="139"/>
        <v>14.967708078514237</v>
      </c>
      <c r="AA370" s="381">
        <f t="shared" si="140"/>
        <v>15.779152655904829</v>
      </c>
      <c r="AB370" s="193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5.1425104698948218E-2</v>
      </c>
      <c r="AD370" s="227">
        <f>(INDEX(Models!$BJ370:$BT370,,AH370)*(1-AF370)+INDEX(Models!$BJ370:$BT370,,AH370+1)*AF370-ERP_i)*AE370*Ramure*Pc/MaxiM</f>
        <v>9.5003657771906818E-3</v>
      </c>
      <c r="AE370" s="301">
        <f t="shared" si="142"/>
        <v>0.5</v>
      </c>
      <c r="AF370" s="173">
        <f t="shared" si="143"/>
        <v>0.49381659346284468</v>
      </c>
      <c r="AG370" s="802">
        <f t="shared" si="149"/>
        <v>1</v>
      </c>
      <c r="AH370" s="172">
        <f t="shared" si="144"/>
        <v>7</v>
      </c>
      <c r="AI370" s="221">
        <f t="shared" si="145"/>
        <v>1.4938165934628447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48"/>
        <v>45648</v>
      </c>
      <c r="B371" s="406">
        <f>'2023'!Wh/'2023'!Env_an*'2024'!Env_an</f>
        <v>14.730217879491903</v>
      </c>
      <c r="C371" s="385"/>
      <c r="D371" s="388">
        <f t="shared" si="127"/>
        <v>14.959029864950594</v>
      </c>
      <c r="E371" s="380">
        <f t="shared" si="150"/>
        <v>15.483458913170574</v>
      </c>
      <c r="F371" s="380">
        <f t="shared" si="128"/>
        <v>15.614985161368516</v>
      </c>
      <c r="G371" s="110">
        <f t="shared" si="151"/>
        <v>0.92090342400905556</v>
      </c>
      <c r="H371" s="409" t="b">
        <f>Wh_hp&gt;='2023'!Maxi_hp</f>
        <v>0</v>
      </c>
      <c r="I371" s="375">
        <f>IF(H371,Wh_hp,'2023'!Maxi_hp)</f>
        <v>15.626325591893499</v>
      </c>
      <c r="J371" s="85">
        <f>IF(H371,An,'2023'!An_max)</f>
        <v>2022</v>
      </c>
      <c r="K371" s="193">
        <f t="shared" si="129"/>
        <v>45648</v>
      </c>
      <c r="L371" s="143">
        <f>IF(t&lt;Tvie,1-EXP((T0-t)*PertePVj)+'2023'!Pspv,1-EXP((T0-t)*PertePVj)+Pspv)</f>
        <v>1.5295910732473605E-2</v>
      </c>
      <c r="M371" s="836"/>
      <c r="N371" s="836"/>
      <c r="O371" s="48">
        <f>IF(t&lt;Tnet,'2023'!Resal+('2023'!Salim-'2023'!Resal)*(1-EXP(('2023'!Tnet-t)/('2023'!Tau_j))),Resal+(Salim-Resal)*(1-EXP((Tnet-t)/(Tau_j))))*Salcycl</f>
        <v>3.3870277381876882E-2</v>
      </c>
      <c r="P371" s="165">
        <f>(INDEX(Models!$BJ371:$BT371,,T371)*(1-R371)+INDEX(Models!$BJ371:$BT371,,T371+1)*R371-ERP_i)*Q371*Ramure*Pc/MaxiM</f>
        <v>9.4810705250907186E-3</v>
      </c>
      <c r="Q371" s="301">
        <f t="shared" si="130"/>
        <v>0.5</v>
      </c>
      <c r="R371" s="173">
        <f t="shared" si="131"/>
        <v>0.49381659346284468</v>
      </c>
      <c r="S371" s="802">
        <f t="shared" si="132"/>
        <v>1</v>
      </c>
      <c r="T371" s="172">
        <f t="shared" si="133"/>
        <v>7</v>
      </c>
      <c r="U371" s="247">
        <f t="shared" si="134"/>
        <v>1.4938165934628447</v>
      </c>
      <c r="V371" s="378">
        <f t="shared" si="135"/>
        <v>15.978332429826223</v>
      </c>
      <c r="W371" s="397">
        <f t="shared" si="136"/>
        <v>14.730217879491903</v>
      </c>
      <c r="X371" s="153">
        <f t="shared" si="137"/>
        <v>45648</v>
      </c>
      <c r="Y371" s="380">
        <f t="shared" si="138"/>
        <v>14.462231436150699</v>
      </c>
      <c r="Z371" s="380">
        <f t="shared" si="139"/>
        <v>14.686880651535073</v>
      </c>
      <c r="AA371" s="381">
        <f t="shared" si="140"/>
        <v>15.483458913170574</v>
      </c>
      <c r="AB371" s="193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5.1447048498828203E-2</v>
      </c>
      <c r="AD371" s="227">
        <f>(INDEX(Models!$BJ371:$BT371,,AH371)*(1-AF371)+INDEX(Models!$BJ371:$BT371,,AH371+1)*AF371-ERP_i)*AE371*Ramure*Pc/MaxiM</f>
        <v>9.4810705250907186E-3</v>
      </c>
      <c r="AE371" s="301">
        <f t="shared" si="142"/>
        <v>0.5</v>
      </c>
      <c r="AF371" s="173">
        <f t="shared" si="143"/>
        <v>0.49381659346284468</v>
      </c>
      <c r="AG371" s="802">
        <f t="shared" si="149"/>
        <v>1</v>
      </c>
      <c r="AH371" s="172">
        <f t="shared" si="144"/>
        <v>7</v>
      </c>
      <c r="AI371" s="221">
        <f t="shared" si="145"/>
        <v>1.4938165934628447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48"/>
        <v>45649</v>
      </c>
      <c r="B372" s="406">
        <f>'2023'!Wh/'2023'!Env_an*'2024'!Env_an</f>
        <v>15.937586438071776</v>
      </c>
      <c r="C372" s="385"/>
      <c r="D372" s="388">
        <f t="shared" si="127"/>
        <v>16.185374659191606</v>
      </c>
      <c r="E372" s="380">
        <f t="shared" si="150"/>
        <v>16.753483485915829</v>
      </c>
      <c r="F372" s="380">
        <f t="shared" si="128"/>
        <v>16.91227776367527</v>
      </c>
      <c r="G372" s="110">
        <f t="shared" si="151"/>
        <v>0.99583570390399856</v>
      </c>
      <c r="H372" s="409" t="b">
        <f>Wh_hp&gt;='2023'!Maxi_hp</f>
        <v>0</v>
      </c>
      <c r="I372" s="375">
        <f>IF(H372,Wh_hp,'2023'!Maxi_hp)</f>
        <v>16.912921484564905</v>
      </c>
      <c r="J372" s="85">
        <f>IF(H372,An,'2023'!An_max)</f>
        <v>2022</v>
      </c>
      <c r="K372" s="193">
        <f t="shared" si="129"/>
        <v>45649</v>
      </c>
      <c r="L372" s="143">
        <f>IF(t&lt;Tvie,1-EXP((T0-t)*PertePVj)+'2023'!Pspv,1-EXP((T0-t)*PertePVj)+Pspv)</f>
        <v>1.5309390504538833E-2</v>
      </c>
      <c r="M372" s="836"/>
      <c r="N372" s="836"/>
      <c r="O372" s="48">
        <f>IF(t&lt;Tnet,'2023'!Resal+('2023'!Salim-'2023'!Resal)*(1-EXP(('2023'!Tnet-t)/('2023'!Tau_j))),Resal+(Salim-Resal)*(1-EXP((Tnet-t)/(Tau_j))))*Salcycl</f>
        <v>3.3909892662132998E-2</v>
      </c>
      <c r="P372" s="165">
        <f>(INDEX(Models!$BJ372:$BT372,,T372)*(1-R372)+INDEX(Models!$BJ372:$BT372,,T372+1)*R372-ERP_i)*Q372*Ramure*Pc/MaxiM</f>
        <v>9.4447245148797827E-3</v>
      </c>
      <c r="Q372" s="301">
        <f t="shared" si="130"/>
        <v>0.5</v>
      </c>
      <c r="R372" s="173">
        <f t="shared" si="131"/>
        <v>0.49381659346284468</v>
      </c>
      <c r="S372" s="802">
        <f t="shared" si="132"/>
        <v>1</v>
      </c>
      <c r="T372" s="172">
        <f t="shared" si="133"/>
        <v>7</v>
      </c>
      <c r="U372" s="247">
        <f t="shared" si="134"/>
        <v>1.4938165934628447</v>
      </c>
      <c r="V372" s="378">
        <f t="shared" si="135"/>
        <v>16.003337203756441</v>
      </c>
      <c r="W372" s="397">
        <f t="shared" si="136"/>
        <v>15.937586438071776</v>
      </c>
      <c r="X372" s="153">
        <f t="shared" si="137"/>
        <v>45649</v>
      </c>
      <c r="Y372" s="380">
        <f t="shared" si="138"/>
        <v>15.647909144788944</v>
      </c>
      <c r="Z372" s="380">
        <f t="shared" si="139"/>
        <v>15.891193633710662</v>
      </c>
      <c r="AA372" s="381">
        <f t="shared" si="140"/>
        <v>16.753483485915829</v>
      </c>
      <c r="AB372" s="193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5.1469287144376284E-2</v>
      </c>
      <c r="AD372" s="227">
        <f>(INDEX(Models!$BJ372:$BT372,,AH372)*(1-AF372)+INDEX(Models!$BJ372:$BT372,,AH372+1)*AF372-ERP_i)*AE372*Ramure*Pc/MaxiM</f>
        <v>9.4447245148797827E-3</v>
      </c>
      <c r="AE372" s="301">
        <f t="shared" si="142"/>
        <v>0.5</v>
      </c>
      <c r="AF372" s="173">
        <f t="shared" si="143"/>
        <v>0.49381659346284468</v>
      </c>
      <c r="AG372" s="802">
        <f t="shared" si="149"/>
        <v>1</v>
      </c>
      <c r="AH372" s="172">
        <f t="shared" si="144"/>
        <v>7</v>
      </c>
      <c r="AI372" s="221">
        <f t="shared" si="145"/>
        <v>1.4938165934628447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48"/>
        <v>45650</v>
      </c>
      <c r="B373" s="406">
        <f>'2023'!Wh/'2023'!Env_an*'2024'!Env_an</f>
        <v>8.8380699209813276</v>
      </c>
      <c r="C373" s="385"/>
      <c r="D373" s="388">
        <f t="shared" si="127"/>
        <v>8.9756019029382532</v>
      </c>
      <c r="E373" s="380">
        <f t="shared" si="150"/>
        <v>9.2910291664574576</v>
      </c>
      <c r="F373" s="380">
        <f t="shared" si="128"/>
        <v>9.3223790477737278</v>
      </c>
      <c r="G373" s="110">
        <f t="shared" si="151"/>
        <v>0.54735549583799392</v>
      </c>
      <c r="H373" s="409" t="b">
        <f>Wh_hp&gt;='2023'!Maxi_hp</f>
        <v>0</v>
      </c>
      <c r="I373" s="375">
        <f>IF(H373,Wh_hp,'2023'!Maxi_hp)</f>
        <v>9.3608811966692667</v>
      </c>
      <c r="J373" s="85">
        <f>IF(H373,An,'2023'!An_max)</f>
        <v>2022</v>
      </c>
      <c r="K373" s="193">
        <f t="shared" si="129"/>
        <v>45650</v>
      </c>
      <c r="L373" s="143">
        <f>IF(t&lt;Tvie,1-EXP((T0-t)*PertePVj)+'2023'!Pspv,1-EXP((T0-t)*PertePVj)+Pspv)</f>
        <v>1.5322870092077334E-2</v>
      </c>
      <c r="M373" s="836"/>
      <c r="N373" s="836"/>
      <c r="O373" s="48">
        <f>IF(t&lt;Tnet,'2023'!Resal+('2023'!Salim-'2023'!Resal)*(1-EXP(('2023'!Tnet-t)/('2023'!Tau_j))),Resal+(Salim-Resal)*(1-EXP((Tnet-t)/(Tau_j))))*Salcycl</f>
        <v>3.3949658091480601E-2</v>
      </c>
      <c r="P373" s="165">
        <f>(INDEX(Models!$BJ373:$BT373,,T373)*(1-R373)+INDEX(Models!$BJ373:$BT373,,T373+1)*R373-ERP_i)*Q373*Ramure*Pc/MaxiM</f>
        <v>9.390252842384119E-3</v>
      </c>
      <c r="Q373" s="301">
        <f t="shared" si="130"/>
        <v>0.5</v>
      </c>
      <c r="R373" s="173">
        <f t="shared" si="131"/>
        <v>0.49381659346284468</v>
      </c>
      <c r="S373" s="802">
        <f t="shared" si="132"/>
        <v>1</v>
      </c>
      <c r="T373" s="172">
        <f t="shared" si="133"/>
        <v>7</v>
      </c>
      <c r="U373" s="247">
        <f t="shared" si="134"/>
        <v>1.4938165934628447</v>
      </c>
      <c r="V373" s="378">
        <f t="shared" si="135"/>
        <v>16.049203391484362</v>
      </c>
      <c r="W373" s="397">
        <f t="shared" si="136"/>
        <v>8.8380699209813276</v>
      </c>
      <c r="X373" s="153">
        <f t="shared" si="137"/>
        <v>45650</v>
      </c>
      <c r="Y373" s="380">
        <f t="shared" si="138"/>
        <v>8.6775828166789477</v>
      </c>
      <c r="Z373" s="380">
        <f t="shared" si="139"/>
        <v>8.8126174083990261</v>
      </c>
      <c r="AA373" s="381">
        <f t="shared" si="140"/>
        <v>9.2910291664574576</v>
      </c>
      <c r="AB373" s="193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5.1491793803166354E-2</v>
      </c>
      <c r="AD373" s="227">
        <f>(INDEX(Models!$BJ373:$BT373,,AH373)*(1-AF373)+INDEX(Models!$BJ373:$BT373,,AH373+1)*AF373-ERP_i)*AE373*Ramure*Pc/MaxiM</f>
        <v>9.390252842384119E-3</v>
      </c>
      <c r="AE373" s="301">
        <f t="shared" si="142"/>
        <v>0.5</v>
      </c>
      <c r="AF373" s="173">
        <f t="shared" si="143"/>
        <v>0.49381659346284468</v>
      </c>
      <c r="AG373" s="802">
        <f t="shared" si="149"/>
        <v>1</v>
      </c>
      <c r="AH373" s="172">
        <f t="shared" si="144"/>
        <v>7</v>
      </c>
      <c r="AI373" s="221">
        <f t="shared" si="145"/>
        <v>1.4938165934628447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48"/>
        <v>45651</v>
      </c>
      <c r="B374" s="406">
        <f>'2023'!Wh/'2023'!Env_an*'2024'!Env_an</f>
        <v>14.770280715618249</v>
      </c>
      <c r="C374" s="385"/>
      <c r="D374" s="388">
        <f t="shared" si="127"/>
        <v>15.000331034911722</v>
      </c>
      <c r="E374" s="380">
        <f t="shared" si="150"/>
        <v>15.528125132865178</v>
      </c>
      <c r="F374" s="380">
        <f t="shared" si="128"/>
        <v>15.656604599112589</v>
      </c>
      <c r="G374" s="110">
        <f t="shared" si="151"/>
        <v>0.91545733798901274</v>
      </c>
      <c r="H374" s="409" t="b">
        <f>Wh_hp&gt;='2023'!Maxi_hp</f>
        <v>0</v>
      </c>
      <c r="I374" s="375">
        <f>IF(H374,Wh_hp,'2023'!Maxi_hp)</f>
        <v>15.668548082708286</v>
      </c>
      <c r="J374" s="85">
        <f>IF(H374,An,'2023'!An_max)</f>
        <v>2022</v>
      </c>
      <c r="K374" s="193">
        <f t="shared" si="129"/>
        <v>45651</v>
      </c>
      <c r="L374" s="143">
        <f>IF(t&lt;Tvie,1-EXP((T0-t)*PertePVj)+'2023'!Pspv,1-EXP((T0-t)*PertePVj)+Pspv)</f>
        <v>1.533634949509155E-2</v>
      </c>
      <c r="M374" s="836"/>
      <c r="N374" s="836"/>
      <c r="O374" s="48">
        <f>IF(t&lt;Tnet,'2023'!Resal+('2023'!Salim-'2023'!Resal)*(1-EXP(('2023'!Tnet-t)/('2023'!Tau_j))),Resal+(Salim-Resal)*(1-EXP((Tnet-t)/(Tau_j))))*Salcycl</f>
        <v>3.3989557234851385E-2</v>
      </c>
      <c r="P374" s="165">
        <f>(INDEX(Models!$BJ374:$BT374,,T374)*(1-R374)+INDEX(Models!$BJ374:$BT374,,T374+1)*R374-ERP_i)*Q374*Ramure*Pc/MaxiM</f>
        <v>9.3177690706674043E-3</v>
      </c>
      <c r="Q374" s="301">
        <f t="shared" si="130"/>
        <v>0.5</v>
      </c>
      <c r="R374" s="173">
        <f t="shared" si="131"/>
        <v>0.49381659346284468</v>
      </c>
      <c r="S374" s="802">
        <f t="shared" si="132"/>
        <v>1</v>
      </c>
      <c r="T374" s="172">
        <f t="shared" si="133"/>
        <v>7</v>
      </c>
      <c r="U374" s="247">
        <f t="shared" si="134"/>
        <v>1.4938165934628447</v>
      </c>
      <c r="V374" s="378">
        <f t="shared" si="135"/>
        <v>16.116234362808562</v>
      </c>
      <c r="W374" s="397">
        <f t="shared" si="136"/>
        <v>14.770280715618249</v>
      </c>
      <c r="X374" s="153">
        <f t="shared" si="137"/>
        <v>45651</v>
      </c>
      <c r="Y374" s="380">
        <f t="shared" si="138"/>
        <v>14.502324029015176</v>
      </c>
      <c r="Z374" s="380">
        <f t="shared" si="139"/>
        <v>14.728200864913397</v>
      </c>
      <c r="AA374" s="381">
        <f t="shared" si="140"/>
        <v>15.528125132865178</v>
      </c>
      <c r="AB374" s="193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5.151454287670218E-2</v>
      </c>
      <c r="AD374" s="227">
        <f>(INDEX(Models!$BJ374:$BT374,,AH374)*(1-AF374)+INDEX(Models!$BJ374:$BT374,,AH374+1)*AF374-ERP_i)*AE374*Ramure*Pc/MaxiM</f>
        <v>9.3177690706674043E-3</v>
      </c>
      <c r="AE374" s="301">
        <f t="shared" si="142"/>
        <v>0.5</v>
      </c>
      <c r="AF374" s="173">
        <f t="shared" si="143"/>
        <v>0.49381659346284468</v>
      </c>
      <c r="AG374" s="802">
        <f t="shared" si="149"/>
        <v>1</v>
      </c>
      <c r="AH374" s="172">
        <f t="shared" si="144"/>
        <v>7</v>
      </c>
      <c r="AI374" s="221">
        <f t="shared" si="145"/>
        <v>1.4938165934628447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48"/>
        <v>45652</v>
      </c>
      <c r="B375" s="406">
        <f>'2023'!Wh/'2023'!Env_an*'2024'!Env_an</f>
        <v>6.3568440208703176</v>
      </c>
      <c r="C375" s="385"/>
      <c r="D375" s="388">
        <f t="shared" si="127"/>
        <v>6.4559416189054151</v>
      </c>
      <c r="E375" s="380">
        <f t="shared" si="150"/>
        <v>6.6833739919785504</v>
      </c>
      <c r="F375" s="380">
        <f t="shared" si="128"/>
        <v>6.6915256024778955</v>
      </c>
      <c r="G375" s="110">
        <f t="shared" si="151"/>
        <v>0.38918238765747348</v>
      </c>
      <c r="H375" s="409" t="b">
        <f>Wh_hp&gt;='2023'!Maxi_hp</f>
        <v>0</v>
      </c>
      <c r="I375" s="375">
        <f>IF(H375,Wh_hp,'2023'!Maxi_hp)</f>
        <v>6.728249126275637</v>
      </c>
      <c r="J375" s="85">
        <f>IF(H375,An,'2023'!An_max)</f>
        <v>2022</v>
      </c>
      <c r="K375" s="193">
        <f t="shared" si="129"/>
        <v>45652</v>
      </c>
      <c r="L375" s="143">
        <f>IF(t&lt;Tvie,1-EXP((T0-t)*PertePVj)+'2023'!Pspv,1-EXP((T0-t)*PertePVj)+Pspv)</f>
        <v>1.5349828713584146E-2</v>
      </c>
      <c r="M375" s="836"/>
      <c r="N375" s="836"/>
      <c r="O375" s="48">
        <f>IF(t&lt;Tnet,'2023'!Resal+('2023'!Salim-'2023'!Resal)*(1-EXP(('2023'!Tnet-t)/('2023'!Tau_j))),Resal+(Salim-Resal)*(1-EXP((Tnet-t)/(Tau_j))))*Salcycl</f>
        <v>3.4029574485297698E-2</v>
      </c>
      <c r="P375" s="165">
        <f>(INDEX(Models!$BJ375:$BT375,,T375)*(1-R375)+INDEX(Models!$BJ375:$BT375,,T375+1)*R375-ERP_i)*Q375*Ramure*Pc/MaxiM</f>
        <v>9.2356070985245061E-3</v>
      </c>
      <c r="Q375" s="301">
        <f t="shared" si="130"/>
        <v>0.5</v>
      </c>
      <c r="R375" s="173">
        <f t="shared" si="131"/>
        <v>0.49381659346284468</v>
      </c>
      <c r="S375" s="802">
        <f t="shared" si="132"/>
        <v>1</v>
      </c>
      <c r="T375" s="172">
        <f t="shared" si="133"/>
        <v>7</v>
      </c>
      <c r="U375" s="247">
        <f t="shared" si="134"/>
        <v>1.4938165934628447</v>
      </c>
      <c r="V375" s="378">
        <f t="shared" si="135"/>
        <v>16.202728199016757</v>
      </c>
      <c r="W375" s="397">
        <f t="shared" si="136"/>
        <v>6.3568440208703176</v>
      </c>
      <c r="X375" s="153">
        <f t="shared" si="137"/>
        <v>45652</v>
      </c>
      <c r="Y375" s="380">
        <f t="shared" si="138"/>
        <v>6.2416280547513505</v>
      </c>
      <c r="Z375" s="380">
        <f t="shared" si="139"/>
        <v>6.3389295373775756</v>
      </c>
      <c r="AA375" s="381">
        <f t="shared" si="140"/>
        <v>6.6833739919785504</v>
      </c>
      <c r="AB375" s="193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5.1537510098100169E-2</v>
      </c>
      <c r="AD375" s="227">
        <f>(INDEX(Models!$BJ375:$BT375,,AH375)*(1-AF375)+INDEX(Models!$BJ375:$BT375,,AH375+1)*AF375-ERP_i)*AE375*Ramure*Pc/MaxiM</f>
        <v>9.2356070985245061E-3</v>
      </c>
      <c r="AE375" s="301">
        <f t="shared" si="142"/>
        <v>0.5</v>
      </c>
      <c r="AF375" s="173">
        <f t="shared" si="143"/>
        <v>0.49381659346284468</v>
      </c>
      <c r="AG375" s="802">
        <f t="shared" si="149"/>
        <v>1</v>
      </c>
      <c r="AH375" s="172">
        <f t="shared" si="144"/>
        <v>7</v>
      </c>
      <c r="AI375" s="221">
        <f t="shared" si="145"/>
        <v>1.4938165934628447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48"/>
        <v>45653</v>
      </c>
      <c r="B376" s="406">
        <f>'2023'!Wh/'2023'!Env_an*'2024'!Env_an</f>
        <v>13.020507078829972</v>
      </c>
      <c r="C376" s="385"/>
      <c r="D376" s="388">
        <f t="shared" si="127"/>
        <v>13.223666334274446</v>
      </c>
      <c r="E376" s="380">
        <f t="shared" si="150"/>
        <v>13.690083298449206</v>
      </c>
      <c r="F376" s="380">
        <f t="shared" si="128"/>
        <v>13.779852425837147</v>
      </c>
      <c r="G376" s="110">
        <f t="shared" si="151"/>
        <v>0.79634230899724623</v>
      </c>
      <c r="H376" s="409" t="b">
        <f>Wh_hp&gt;='2023'!Maxi_hp</f>
        <v>0</v>
      </c>
      <c r="I376" s="375">
        <f>IF(H376,Wh_hp,'2023'!Maxi_hp)</f>
        <v>13.804733458354512</v>
      </c>
      <c r="J376" s="85">
        <f>IF(H376,An,'2023'!An_max)</f>
        <v>2022</v>
      </c>
      <c r="K376" s="193">
        <f t="shared" si="129"/>
        <v>45653</v>
      </c>
      <c r="L376" s="143">
        <f>IF(t&lt;Tvie,1-EXP((T0-t)*PertePVj)+'2023'!Pspv,1-EXP((T0-t)*PertePVj)+Pspv)</f>
        <v>1.5363307747557453E-2</v>
      </c>
      <c r="M376" s="836"/>
      <c r="N376" s="836"/>
      <c r="O376" s="48">
        <f>IF(t&lt;Tnet,'2023'!Resal+('2023'!Salim-'2023'!Resal)*(1-EXP(('2023'!Tnet-t)/('2023'!Tau_j))),Resal+(Salim-Resal)*(1-EXP((Tnet-t)/(Tau_j))))*Salcycl</f>
        <v>3.4069695122132287E-2</v>
      </c>
      <c r="P376" s="165">
        <f>(INDEX(Models!$BJ376:$BT376,,T376)*(1-R376)+INDEX(Models!$BJ376:$BT376,,T376+1)*R376-ERP_i)*Q376*Ramure*Pc/MaxiM</f>
        <v>9.1485196498303379E-3</v>
      </c>
      <c r="Q376" s="301">
        <f t="shared" si="130"/>
        <v>0.5</v>
      </c>
      <c r="R376" s="173">
        <f t="shared" si="131"/>
        <v>0.49381659346284468</v>
      </c>
      <c r="S376" s="802">
        <f t="shared" si="132"/>
        <v>1</v>
      </c>
      <c r="T376" s="172">
        <f t="shared" si="133"/>
        <v>7</v>
      </c>
      <c r="U376" s="247">
        <f t="shared" si="134"/>
        <v>1.4938165934628447</v>
      </c>
      <c r="V376" s="378">
        <f t="shared" si="135"/>
        <v>16.307040373145874</v>
      </c>
      <c r="W376" s="397">
        <f t="shared" si="136"/>
        <v>13.020507078829972</v>
      </c>
      <c r="X376" s="153">
        <f t="shared" si="137"/>
        <v>45653</v>
      </c>
      <c r="Y376" s="380">
        <f t="shared" si="138"/>
        <v>12.784732929173861</v>
      </c>
      <c r="Z376" s="380">
        <f t="shared" si="139"/>
        <v>12.984213395427776</v>
      </c>
      <c r="AA376" s="381">
        <f t="shared" si="140"/>
        <v>13.690083298449206</v>
      </c>
      <c r="AB376" s="193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5.1560672614854731E-2</v>
      </c>
      <c r="AD376" s="227">
        <f>(INDEX(Models!$BJ376:$BT376,,AH376)*(1-AF376)+INDEX(Models!$BJ376:$BT376,,AH376+1)*AF376-ERP_i)*AE376*Ramure*Pc/MaxiM</f>
        <v>9.1485196498303379E-3</v>
      </c>
      <c r="AE376" s="301">
        <f t="shared" si="142"/>
        <v>0.5</v>
      </c>
      <c r="AF376" s="173">
        <f t="shared" si="143"/>
        <v>0.49381659346284468</v>
      </c>
      <c r="AG376" s="802">
        <f t="shared" si="149"/>
        <v>1</v>
      </c>
      <c r="AH376" s="172">
        <f t="shared" si="144"/>
        <v>7</v>
      </c>
      <c r="AI376" s="221">
        <f t="shared" si="145"/>
        <v>1.4938165934628447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48"/>
        <v>45654</v>
      </c>
      <c r="B377" s="406">
        <f>'2023'!Wh/'2023'!Env_an*'2024'!Env_an</f>
        <v>9.9210165843098661</v>
      </c>
      <c r="C377" s="385"/>
      <c r="D377" s="388">
        <f t="shared" si="127"/>
        <v>10.075952353409933</v>
      </c>
      <c r="E377" s="380">
        <f t="shared" si="150"/>
        <v>10.431779360111975</v>
      </c>
      <c r="F377" s="380">
        <f t="shared" si="128"/>
        <v>10.472965721903289</v>
      </c>
      <c r="G377" s="110">
        <f t="shared" si="151"/>
        <v>0.60081689767388291</v>
      </c>
      <c r="H377" s="409" t="b">
        <f>Wh_hp&gt;='2023'!Maxi_hp</f>
        <v>0</v>
      </c>
      <c r="I377" s="375">
        <f>IF(H377,Wh_hp,'2023'!Maxi_hp)</f>
        <v>10.509716295214137</v>
      </c>
      <c r="J377" s="85">
        <f>IF(H377,An,'2023'!An_max)</f>
        <v>2022</v>
      </c>
      <c r="K377" s="193">
        <f t="shared" si="129"/>
        <v>45654</v>
      </c>
      <c r="L377" s="143">
        <f>IF(t&lt;Tvie,1-EXP((T0-t)*PertePVj)+'2023'!Pspv,1-EXP((T0-t)*PertePVj)+Pspv)</f>
        <v>1.5376786597014136E-2</v>
      </c>
      <c r="M377" s="836"/>
      <c r="N377" s="836"/>
      <c r="O377" s="48">
        <f>IF(t&lt;Tnet,'2023'!Resal+('2023'!Salim-'2023'!Resal)*(1-EXP(('2023'!Tnet-t)/('2023'!Tau_j))),Resal+(Salim-Resal)*(1-EXP((Tnet-t)/(Tau_j))))*Salcycl</f>
        <v>3.4109905359254303E-2</v>
      </c>
      <c r="P377" s="165">
        <f>(INDEX(Models!$BJ377:$BT377,,T377)*(1-R377)+INDEX(Models!$BJ377:$BT377,,T377+1)*R377-ERP_i)*Q377*Ramure*Pc/MaxiM</f>
        <v>9.057668778783428E-3</v>
      </c>
      <c r="Q377" s="301">
        <f t="shared" si="130"/>
        <v>0.5</v>
      </c>
      <c r="R377" s="173">
        <f t="shared" si="131"/>
        <v>0.49381659346284468</v>
      </c>
      <c r="S377" s="802">
        <f t="shared" si="132"/>
        <v>1</v>
      </c>
      <c r="T377" s="172">
        <f t="shared" si="133"/>
        <v>7</v>
      </c>
      <c r="U377" s="247">
        <f t="shared" si="134"/>
        <v>1.4938165934628447</v>
      </c>
      <c r="V377" s="378">
        <f t="shared" si="135"/>
        <v>16.427584411595667</v>
      </c>
      <c r="W377" s="397">
        <f t="shared" si="136"/>
        <v>9.9210165843098661</v>
      </c>
      <c r="X377" s="153">
        <f t="shared" si="137"/>
        <v>45654</v>
      </c>
      <c r="Y377" s="380">
        <f t="shared" si="138"/>
        <v>9.7415335628589368</v>
      </c>
      <c r="Z377" s="380">
        <f t="shared" si="139"/>
        <v>9.8936663591252643</v>
      </c>
      <c r="AA377" s="381">
        <f t="shared" si="140"/>
        <v>10.431779360111975</v>
      </c>
      <c r="AB377" s="193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5.158400905643145E-2</v>
      </c>
      <c r="AD377" s="227">
        <f>(INDEX(Models!$BJ377:$BT377,,AH377)*(1-AF377)+INDEX(Models!$BJ377:$BT377,,AH377+1)*AF377-ERP_i)*AE377*Ramure*Pc/MaxiM</f>
        <v>9.057668778783428E-3</v>
      </c>
      <c r="AE377" s="301">
        <f t="shared" si="142"/>
        <v>0.5</v>
      </c>
      <c r="AF377" s="173">
        <f t="shared" si="143"/>
        <v>0.49381659346284468</v>
      </c>
      <c r="AG377" s="802">
        <f t="shared" si="149"/>
        <v>1</v>
      </c>
      <c r="AH377" s="172">
        <f t="shared" si="144"/>
        <v>7</v>
      </c>
      <c r="AI377" s="221">
        <f t="shared" si="145"/>
        <v>1.4938165934628447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48"/>
        <v>45655</v>
      </c>
      <c r="B378" s="406">
        <f>'2023'!Wh/'2023'!Env_an*'2024'!Env_an</f>
        <v>11.887208684618493</v>
      </c>
      <c r="C378" s="385"/>
      <c r="D378" s="388">
        <f t="shared" si="127"/>
        <v>12.073015597170691</v>
      </c>
      <c r="E378" s="380">
        <f t="shared" si="150"/>
        <v>12.49988921876435</v>
      </c>
      <c r="F378" s="380">
        <f t="shared" si="128"/>
        <v>12.567112407592051</v>
      </c>
      <c r="G378" s="110">
        <f t="shared" si="151"/>
        <v>0.71509789055811857</v>
      </c>
      <c r="H378" s="409" t="b">
        <f>Wh_hp&gt;='2023'!Maxi_hp</f>
        <v>0</v>
      </c>
      <c r="I378" s="375">
        <f>IF(H378,Wh_hp,'2023'!Maxi_hp)</f>
        <v>12.598220111558174</v>
      </c>
      <c r="J378" s="85">
        <f>IF(H378,An,'2023'!An_max)</f>
        <v>2022</v>
      </c>
      <c r="K378" s="193">
        <f t="shared" si="129"/>
        <v>45655</v>
      </c>
      <c r="L378" s="143">
        <f>IF(t&lt;Tvie,1-EXP((T0-t)*PertePVj)+'2023'!Pspv,1-EXP((T0-t)*PertePVj)+Pspv)</f>
        <v>1.5390265261956748E-2</v>
      </c>
      <c r="M378" s="836"/>
      <c r="N378" s="836"/>
      <c r="O378" s="48">
        <f>IF(t&lt;Tnet,'2023'!Resal+('2023'!Salim-'2023'!Resal)*(1-EXP(('2023'!Tnet-t)/('2023'!Tau_j))),Resal+(Salim-Resal)*(1-EXP((Tnet-t)/(Tau_j))))*Salcycl</f>
        <v>3.4150192383533423E-2</v>
      </c>
      <c r="P378" s="165">
        <f>(INDEX(Models!$BJ378:$BT378,,T378)*(1-R378)+INDEX(Models!$BJ378:$BT378,,T378+1)*R378-ERP_i)*Q378*Ramure*Pc/MaxiM</f>
        <v>8.9641793653529814E-3</v>
      </c>
      <c r="Q378" s="301">
        <f t="shared" si="130"/>
        <v>0.5</v>
      </c>
      <c r="R378" s="173">
        <f t="shared" si="131"/>
        <v>0.49381659346284468</v>
      </c>
      <c r="S378" s="802">
        <f t="shared" si="132"/>
        <v>1</v>
      </c>
      <c r="T378" s="172">
        <f t="shared" si="133"/>
        <v>7</v>
      </c>
      <c r="U378" s="247">
        <f t="shared" si="134"/>
        <v>1.4938165934628447</v>
      </c>
      <c r="V378" s="378">
        <f t="shared" si="135"/>
        <v>16.562774073823217</v>
      </c>
      <c r="W378" s="397">
        <f t="shared" si="136"/>
        <v>11.887208684618493</v>
      </c>
      <c r="X378" s="153">
        <f t="shared" si="137"/>
        <v>45655</v>
      </c>
      <c r="Y378" s="380">
        <f t="shared" si="138"/>
        <v>11.672352656116352</v>
      </c>
      <c r="Z378" s="380">
        <f t="shared" si="139"/>
        <v>11.854801191074754</v>
      </c>
      <c r="AA378" s="381">
        <f t="shared" si="140"/>
        <v>12.49988921876435</v>
      </c>
      <c r="AB378" s="193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5.1607499586573534E-2</v>
      </c>
      <c r="AD378" s="227">
        <f>(INDEX(Models!$BJ378:$BT378,,AH378)*(1-AF378)+INDEX(Models!$BJ378:$BT378,,AH378+1)*AF378-ERP_i)*AE378*Ramure*Pc/MaxiM</f>
        <v>8.9641793653529814E-3</v>
      </c>
      <c r="AE378" s="301">
        <f t="shared" si="142"/>
        <v>0.5</v>
      </c>
      <c r="AF378" s="173">
        <f t="shared" si="143"/>
        <v>0.49381659346284468</v>
      </c>
      <c r="AG378" s="802">
        <f t="shared" si="149"/>
        <v>1</v>
      </c>
      <c r="AH378" s="172">
        <f t="shared" si="144"/>
        <v>7</v>
      </c>
      <c r="AI378" s="221">
        <f t="shared" si="145"/>
        <v>1.4938165934628447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45656</v>
      </c>
      <c r="B379" s="406">
        <f>'2023'!Wh/'2023'!Env_an*'2024'!Env_an</f>
        <v>10.809327754424178</v>
      </c>
      <c r="C379" s="385"/>
      <c r="D379" s="388">
        <f t="shared" si="127"/>
        <v>10.978436781295255</v>
      </c>
      <c r="E379" s="380">
        <f t="shared" si="150"/>
        <v>11.367083556128792</v>
      </c>
      <c r="F379" s="380">
        <f t="shared" si="128"/>
        <v>11.417256718852213</v>
      </c>
      <c r="G379" s="110">
        <f t="shared" si="151"/>
        <v>0.64393103615669511</v>
      </c>
      <c r="H379" s="409" t="b">
        <f>Wh_hp&gt;='2023'!Maxi_hp</f>
        <v>0</v>
      </c>
      <c r="I379" s="375">
        <f>IF(H379,Wh_hp,'2023'!Maxi_hp)</f>
        <v>11.452210730428593</v>
      </c>
      <c r="J379" s="85">
        <f>IF(H379,An,'2023'!An_max)</f>
        <v>2022</v>
      </c>
      <c r="K379" s="193">
        <f t="shared" si="129"/>
        <v>45656</v>
      </c>
      <c r="L379" s="143">
        <f>IF(t&lt;Tvie,1-EXP((T0-t)*PertePVj)+'2023'!Pspv,1-EXP((T0-t)*PertePVj)+Pspv)</f>
        <v>1.5403743742387732E-2</v>
      </c>
      <c r="M379" s="836"/>
      <c r="N379" s="836"/>
      <c r="O379" s="48">
        <f>IF(t&lt;Tnet,'2023'!Resal+('2023'!Salim-'2023'!Resal)*(1-EXP(('2023'!Tnet-t)/('2023'!Tau_j))),Resal+(Salim-Resal)*(1-EXP((Tnet-t)/(Tau_j))))*Salcycl</f>
        <v>3.4190544383215206E-2</v>
      </c>
      <c r="P379" s="165">
        <f>(INDEX(Models!$BJ379:$BT379,,T379)*(1-R379)+INDEX(Models!$BJ379:$BT379,,T379+1)*R379-ERP_i)*Q379*Ramure*Pc/MaxiM</f>
        <v>8.8691268506027234E-3</v>
      </c>
      <c r="Q379" s="302">
        <f t="shared" si="130"/>
        <v>0.5</v>
      </c>
      <c r="R379" s="173">
        <f t="shared" si="131"/>
        <v>0.49381659346284468</v>
      </c>
      <c r="S379" s="802">
        <f t="shared" si="132"/>
        <v>1</v>
      </c>
      <c r="T379" s="172">
        <f t="shared" si="133"/>
        <v>7</v>
      </c>
      <c r="U379" s="303">
        <f t="shared" si="134"/>
        <v>1.4938165934628447</v>
      </c>
      <c r="V379" s="378">
        <f t="shared" si="135"/>
        <v>16.711023352658962</v>
      </c>
      <c r="W379" s="397">
        <f t="shared" si="136"/>
        <v>10.809327754424178</v>
      </c>
      <c r="X379" s="153">
        <f t="shared" si="137"/>
        <v>45656</v>
      </c>
      <c r="Y379" s="380">
        <f t="shared" si="138"/>
        <v>10.614132976424838</v>
      </c>
      <c r="Z379" s="380">
        <f t="shared" si="139"/>
        <v>10.78018823346788</v>
      </c>
      <c r="AA379" s="381">
        <f t="shared" si="140"/>
        <v>11.367083556128792</v>
      </c>
      <c r="AB379" s="193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5.1631125940345163E-2</v>
      </c>
      <c r="AD379" s="227">
        <f>(INDEX(Models!$BJ379:$BT379,,AH379)*(1-AF379)+INDEX(Models!$BJ379:$BT379,,AH379+1)*AF379-ERP_i)*AE379*Ramure*Pc/MaxiM</f>
        <v>8.8691268506027234E-3</v>
      </c>
      <c r="AE379" s="302">
        <f t="shared" si="142"/>
        <v>0.5</v>
      </c>
      <c r="AF379" s="173">
        <f t="shared" si="143"/>
        <v>0.49381659346284468</v>
      </c>
      <c r="AG379" s="802">
        <f t="shared" si="149"/>
        <v>1</v>
      </c>
      <c r="AH379" s="172">
        <f t="shared" si="144"/>
        <v>7</v>
      </c>
      <c r="AI379" s="218">
        <f t="shared" si="145"/>
        <v>1.4938165934628447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1.25" customHeight="1" thickBot="1" x14ac:dyDescent="0.25">
      <c r="A380" s="56">
        <f t="shared" si="148"/>
        <v>45657</v>
      </c>
      <c r="B380" s="794">
        <f>AVERAGE(B366:B379)</f>
        <v>12.100991362468408</v>
      </c>
      <c r="C380" s="385"/>
      <c r="D380" s="388">
        <f t="shared" si="127"/>
        <v>12.290476365552731</v>
      </c>
      <c r="E380" s="380">
        <f t="shared" si="150"/>
        <v>12.726102967123278</v>
      </c>
      <c r="F380" s="380">
        <f t="shared" si="128"/>
        <v>12.79301018817635</v>
      </c>
      <c r="G380" s="110">
        <f t="shared" si="151"/>
        <v>0.71472151542774032</v>
      </c>
      <c r="H380" s="409" t="b">
        <f>Wh_hp&gt;='2023'!Maxi_hp</f>
        <v>1</v>
      </c>
      <c r="I380" s="376">
        <f>IF(H380,Wh_hp,'2023'!Maxi_hp)</f>
        <v>12.79301018817635</v>
      </c>
      <c r="J380" s="128">
        <f>IF(H380,An,'2023'!An_max)</f>
        <v>2024</v>
      </c>
      <c r="K380" s="230">
        <f t="shared" si="129"/>
        <v>45657</v>
      </c>
      <c r="L380" s="143">
        <f>IF(t&lt;Tvie,1-EXP((T0-t)*PertePVj)+'2023'!Pspv,1-EXP((T0-t)*PertePVj)+Pspv)</f>
        <v>1.5417222038309641E-2</v>
      </c>
      <c r="M380" s="836"/>
      <c r="N380" s="836"/>
      <c r="O380" s="320">
        <f>IF(t&lt;Tnet,'2023'!Resal+('2023'!Salim-'2023'!Resal)*(1-EXP(('2023'!Tnet-t)/('2023'!Tau_j))),Resal+(Salim-Resal)*(1-EXP((Tnet-t)/(Tau_j))))*Salcycl</f>
        <v>3.4230950566402636E-2</v>
      </c>
      <c r="P380" s="227">
        <f>(INDEX(Models!$BJ380:$BT380,,T380)*(1-R380)+INDEX(Models!$BJ380:$BT380,,T380+1)*R380-ERP_i)*Q380*Ramure*Pc/MaxiM</f>
        <v>8.773528182965987E-3</v>
      </c>
      <c r="Q380" s="324">
        <f t="shared" si="130"/>
        <v>0.5</v>
      </c>
      <c r="R380" s="310">
        <f>(Hp_vg-S380)/(INDEX(Echel_vg,T380+1)-S380)</f>
        <v>0.49381659346284468</v>
      </c>
      <c r="S380" s="803">
        <f>INDEX(Echel_vg,T380)</f>
        <v>1</v>
      </c>
      <c r="T380" s="229">
        <f t="shared" si="133"/>
        <v>7</v>
      </c>
      <c r="U380" s="297">
        <f t="shared" si="134"/>
        <v>1.4938165934628447</v>
      </c>
      <c r="V380" s="378">
        <f t="shared" si="135"/>
        <v>16.870746500787924</v>
      </c>
      <c r="W380" s="397">
        <f t="shared" si="136"/>
        <v>12.100991362468408</v>
      </c>
      <c r="X380" s="322">
        <f t="shared" si="137"/>
        <v>45657</v>
      </c>
      <c r="Y380" s="393">
        <f t="shared" si="138"/>
        <v>11.882671344666139</v>
      </c>
      <c r="Z380" s="393">
        <f t="shared" si="139"/>
        <v>12.068737754347039</v>
      </c>
      <c r="AA380" s="394">
        <f t="shared" si="140"/>
        <v>12.726102967123278</v>
      </c>
      <c r="AB380" s="194">
        <f t="shared" si="141"/>
        <v>45657</v>
      </c>
      <c r="AC380" s="323">
        <f>IF(OR(t&lt;Tnet,NoTnet),'2023'!Resal_s+('2023'!Salim-'2023'!Resal_s)*(1-EXP(('2023'!Tnet_s-t)/'2023'!Tau_j)),Resal_s+(Salim-Resal_s)*(1-EXP((Tnet_s-t)/Tau_j)))*Salcycl</f>
        <v>5.1654871446072809E-2</v>
      </c>
      <c r="AD380" s="804">
        <f>(INDEX(Models!$BJ380:$BT380,,AH380)*(1-AF380)+INDEX(Models!$BJ380:$BT380,,AH380+1)*AF380-ERP_i)*AE380*Ramure*Pc/MaxiM</f>
        <v>8.773528182965987E-3</v>
      </c>
      <c r="AE380" s="324">
        <f t="shared" si="142"/>
        <v>0.5</v>
      </c>
      <c r="AF380" s="310">
        <f>(Hp_vg_s-AG380)/(INDEX(Echel_vg,AH380+1)-AG380)</f>
        <v>0.49381659346284468</v>
      </c>
      <c r="AG380" s="803">
        <f>INDEX(Echel_vg,AH380)</f>
        <v>1</v>
      </c>
      <c r="AH380" s="229">
        <f t="shared" si="144"/>
        <v>7</v>
      </c>
      <c r="AI380" s="223">
        <f t="shared" si="145"/>
        <v>1.4938165934628447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1.0485366761036174E-2</v>
      </c>
      <c r="M381" s="838"/>
      <c r="N381" s="838"/>
      <c r="O381" s="47">
        <f t="shared" si="152"/>
        <v>1.6106033604694817E-2</v>
      </c>
      <c r="P381" s="164">
        <f t="shared" si="152"/>
        <v>1.6616261579095266E-6</v>
      </c>
      <c r="Q381" s="306">
        <f t="shared" si="152"/>
        <v>0.5</v>
      </c>
      <c r="R381" s="307">
        <f t="shared" si="152"/>
        <v>2.8432051892668397E-4</v>
      </c>
      <c r="S381" s="802">
        <f t="shared" si="152"/>
        <v>0</v>
      </c>
      <c r="T381" s="172">
        <f t="shared" si="152"/>
        <v>6</v>
      </c>
      <c r="U381" s="248">
        <f>+MIN(U15:U380)</f>
        <v>0.99381786649901582</v>
      </c>
      <c r="V381" s="368">
        <f>MIN(V15:V380)</f>
        <v>15.97210933742368</v>
      </c>
      <c r="W381" s="795" t="s">
        <v>40</v>
      </c>
      <c r="X381" s="112" t="s">
        <v>7</v>
      </c>
      <c r="Y381" s="370">
        <f>MIN(Y15:Y380)</f>
        <v>0</v>
      </c>
      <c r="Z381" s="370">
        <f>MIN(Z15:Z380)</f>
        <v>0</v>
      </c>
      <c r="AA381" s="370">
        <f>MIN(AA15:AA380)</f>
        <v>0</v>
      </c>
      <c r="AB381" s="196" t="s">
        <v>7</v>
      </c>
      <c r="AC381" s="48">
        <f t="shared" ref="AC381:AH381" si="153">MIN(AC15:AC380)</f>
        <v>4.0423074078079463E-2</v>
      </c>
      <c r="AD381" s="165">
        <f t="shared" si="153"/>
        <v>1.6616261579095266E-6</v>
      </c>
      <c r="AE381" s="306">
        <f t="shared" si="153"/>
        <v>0.5</v>
      </c>
      <c r="AF381" s="307">
        <f t="shared" si="153"/>
        <v>2.8432051892668397E-4</v>
      </c>
      <c r="AG381" s="802">
        <f t="shared" si="153"/>
        <v>0</v>
      </c>
      <c r="AH381" s="172">
        <f t="shared" si="153"/>
        <v>6</v>
      </c>
      <c r="AI381" s="221">
        <f>MIN(AI15:AI380)</f>
        <v>0.99381786649901582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30.589682500028104</v>
      </c>
      <c r="C382" s="370"/>
      <c r="D382" s="370">
        <f>AVERAGE(D15:D380)</f>
        <v>30.989338800364013</v>
      </c>
      <c r="E382" s="370">
        <f>AVERAGE(E15:E380)</f>
        <v>31.82795622845881</v>
      </c>
      <c r="F382" s="371">
        <f>AVERAGE(F15:F380)</f>
        <v>31.845384485722878</v>
      </c>
      <c r="G382" s="126">
        <f>AVERAGE(G15:G380)</f>
        <v>0.69545446773736408</v>
      </c>
      <c r="H382" s="94"/>
      <c r="I382" s="371">
        <f>AVERAGE(I15:I380)</f>
        <v>31.852969695892629</v>
      </c>
      <c r="J382" s="59">
        <f>AVERAGE(J15:J380)</f>
        <v>2022.2021857923498</v>
      </c>
      <c r="K382" s="196" t="s">
        <v>8</v>
      </c>
      <c r="L382" s="143">
        <f t="shared" ref="L382:V382" si="154">AVERAGE(L15:L380)</f>
        <v>1.2953342305871784E-2</v>
      </c>
      <c r="M382" s="836"/>
      <c r="N382" s="836"/>
      <c r="O382" s="48">
        <f t="shared" si="154"/>
        <v>2.6260532882705766E-2</v>
      </c>
      <c r="P382" s="165">
        <f t="shared" si="154"/>
        <v>2.1078096618108357E-3</v>
      </c>
      <c r="Q382" s="308">
        <f t="shared" si="154"/>
        <v>0.5</v>
      </c>
      <c r="R382" s="173">
        <f t="shared" si="154"/>
        <v>0.4300405758751123</v>
      </c>
      <c r="S382" s="802">
        <f t="shared" si="154"/>
        <v>0.84426229508196726</v>
      </c>
      <c r="T382" s="172">
        <f t="shared" si="154"/>
        <v>6.8442622950819674</v>
      </c>
      <c r="U382" s="247">
        <f t="shared" si="154"/>
        <v>1.2743028709570785</v>
      </c>
      <c r="V382" s="370">
        <f t="shared" si="154"/>
        <v>42.138490800700204</v>
      </c>
      <c r="X382" s="112" t="s">
        <v>8</v>
      </c>
      <c r="Y382" s="370">
        <f>AVERAGE(Y15:Y380)</f>
        <v>29.921017093145878</v>
      </c>
      <c r="Z382" s="370">
        <f>AVERAGE(Z15:Z380)</f>
        <v>30.311981041459624</v>
      </c>
      <c r="AA382" s="370">
        <f>AVERAGE(AA15:AA380)</f>
        <v>31.82795622845881</v>
      </c>
      <c r="AB382" s="196" t="s">
        <v>8</v>
      </c>
      <c r="AC382" s="48">
        <f t="shared" ref="AC382:AH382" si="155">AVERAGE(AC15:AC380)</f>
        <v>4.7364553588106269E-2</v>
      </c>
      <c r="AD382" s="165">
        <f t="shared" si="155"/>
        <v>2.1078096618108357E-3</v>
      </c>
      <c r="AE382" s="308">
        <f t="shared" si="155"/>
        <v>0.5</v>
      </c>
      <c r="AF382" s="173">
        <f t="shared" si="155"/>
        <v>0.4300405758751123</v>
      </c>
      <c r="AG382" s="802">
        <f t="shared" si="155"/>
        <v>0.84426229508196726</v>
      </c>
      <c r="AH382" s="172">
        <f t="shared" si="155"/>
        <v>6.8442622950819674</v>
      </c>
      <c r="AI382" s="221">
        <f>AVERAGE(AI15:AI380)</f>
        <v>1.2743028709570785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65.057128481310158</v>
      </c>
      <c r="C383" s="372"/>
      <c r="D383" s="372">
        <f>MAX(D15:D380)</f>
        <v>65.90690370452316</v>
      </c>
      <c r="E383" s="372">
        <f>MAX(E15:E380)</f>
        <v>67.727144946160138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60">
        <f>MAX(J15:J380)</f>
        <v>2024</v>
      </c>
      <c r="K383" s="196" t="s">
        <v>9</v>
      </c>
      <c r="L383" s="144">
        <f t="shared" ref="L383:T383" si="156">MAX(L15:L380)</f>
        <v>1.5417222038309641E-2</v>
      </c>
      <c r="M383" s="839"/>
      <c r="N383" s="839"/>
      <c r="O383" s="49">
        <f t="shared" si="156"/>
        <v>3.4230950566402636E-2</v>
      </c>
      <c r="P383" s="166">
        <f t="shared" si="156"/>
        <v>9.5333463841713699E-3</v>
      </c>
      <c r="Q383" s="309">
        <f t="shared" si="156"/>
        <v>0.5</v>
      </c>
      <c r="R383" s="310">
        <f t="shared" si="156"/>
        <v>0.99999984492411664</v>
      </c>
      <c r="S383" s="803">
        <f t="shared" si="156"/>
        <v>1</v>
      </c>
      <c r="T383" s="229">
        <f t="shared" si="156"/>
        <v>7</v>
      </c>
      <c r="U383" s="249">
        <f>+MAX(U15:U380)</f>
        <v>1.4938165934628447</v>
      </c>
      <c r="V383" s="372">
        <f>MAX(V15:V380)</f>
        <v>62.748802388781868</v>
      </c>
      <c r="X383" s="112" t="s">
        <v>9</v>
      </c>
      <c r="Y383" s="372">
        <f>MAX(Y15:Y380)</f>
        <v>63.612059389900402</v>
      </c>
      <c r="Z383" s="372">
        <f>MAX(Z15:Z380)</f>
        <v>64.44295914260961</v>
      </c>
      <c r="AA383" s="372">
        <f>MAX(AA15:AA380)</f>
        <v>67.727144946160138</v>
      </c>
      <c r="AB383" s="196" t="s">
        <v>9</v>
      </c>
      <c r="AC383" s="49">
        <f t="shared" ref="AC383:AH383" si="157">MAX(AC15:AC380)</f>
        <v>5.1654871446072809E-2</v>
      </c>
      <c r="AD383" s="166">
        <f t="shared" si="157"/>
        <v>9.5333463841713699E-3</v>
      </c>
      <c r="AE383" s="309">
        <f t="shared" si="157"/>
        <v>0.5</v>
      </c>
      <c r="AF383" s="310">
        <f t="shared" si="157"/>
        <v>0.99999984492411664</v>
      </c>
      <c r="AG383" s="803">
        <f t="shared" si="157"/>
        <v>1</v>
      </c>
      <c r="AH383" s="229">
        <f t="shared" si="157"/>
        <v>7</v>
      </c>
      <c r="AI383" s="223">
        <f>MAX(AI15:AI380)</f>
        <v>1.4938165934628447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29" sqref="B2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'2024'!An+1</f>
        <v>2025</v>
      </c>
      <c r="K1" s="1250"/>
      <c r="L1" s="113" t="str">
        <f>"Calcul pertes et enveloppes en "&amp;TEXT(An,0)</f>
        <v>Calcul pertes et enveloppes en 2025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2025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45.35246426852612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321.44980082638807</v>
      </c>
      <c r="AK4" s="825">
        <f>AM12-AK12</f>
        <v>-0.27936598533131551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366.88569375122643</v>
      </c>
      <c r="AA5" s="233">
        <f>Wh_Pvg_s-Wh_Pvg</f>
        <v>-0.27936598533131551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2675.0005844494544</v>
      </c>
      <c r="AK5" s="510">
        <f>SUMIF(AK15:AK380,"VRAI",Wh)</f>
        <v>0</v>
      </c>
      <c r="AL5" s="510">
        <f>SUMIF(AJ15:AJ380,"VRAI",Wh_s)</f>
        <v>2629.6476317327538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8588.7700311051594</v>
      </c>
      <c r="AK6" s="510">
        <f>SUMIF(AK15:AK380,"FAUX",Wh)</f>
        <v>11263.770615554617</v>
      </c>
      <c r="AL6" s="510">
        <f>SUMIF(AJ15:AJ380,"FAUX",Wh_s)</f>
        <v>8267.3062238265775</v>
      </c>
      <c r="AM6" s="510">
        <f>SUMIF(AK15:AK380,"FAUX",Wh_s)</f>
        <v>10896.953855559335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AND(YEAR(Tnet)=An,Resal_2025="I")</f>
        <v>0</v>
      </c>
      <c r="F7" s="316" t="b">
        <f>YEAR(Tnet)=An</f>
        <v>1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2719.6300756090914</v>
      </c>
      <c r="AK7" s="510">
        <f>SUMIF(AK15:AK380,"VRAI",Wh_sa)</f>
        <v>0</v>
      </c>
      <c r="AL7" s="510">
        <f>SUMIF(AJ15:AJ380,"VRAI",Wh_pvt_s)</f>
        <v>2673.5209279212477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AND(YEAR(Tnet)=An,Resal_2025&lt;&gt;"I")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8748.7343503686079</v>
      </c>
      <c r="AK8" s="510">
        <f>SUMIF(AK15:AK380,"FAUX",Wh_sa)</f>
        <v>11632.299199131618</v>
      </c>
      <c r="AL8" s="510">
        <f>SUMIF(AJ15:AJ380,"FAUX",Wh_pvt_s)</f>
        <v>8421.2969785313908</v>
      </c>
      <c r="AM8" s="510">
        <f>SUMIF(AK15:AK380,"FAUX",Wh_sa_s)</f>
        <v>11632.299199131618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11468.364425977696</v>
      </c>
      <c r="E9" s="180">
        <f>SUM(E$15:E$380)</f>
        <v>11632.299199131618</v>
      </c>
      <c r="F9" s="180">
        <f>SUM(F$15:F$380)</f>
        <v>11641.158305589774</v>
      </c>
      <c r="H9" s="1251">
        <f>+SUM(Wh)</f>
        <v>11263.770615554617</v>
      </c>
      <c r="I9" s="1252"/>
      <c r="J9" s="1253"/>
      <c r="K9" s="187" t="s">
        <v>10</v>
      </c>
      <c r="L9" s="228"/>
      <c r="M9" s="228"/>
      <c r="N9" s="228"/>
      <c r="O9" s="219">
        <f>Tnet_2025</f>
        <v>45777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10896.953855559335</v>
      </c>
      <c r="Y9" s="1246"/>
      <c r="Z9" s="510">
        <f>SUM(Wh_pvt_s)</f>
        <v>11094.817906452632</v>
      </c>
      <c r="AA9" s="510">
        <f>SUM(Wh_sa_s)</f>
        <v>11632.299199131618</v>
      </c>
      <c r="AB9" s="510">
        <f>F9</f>
        <v>11641.158305589774</v>
      </c>
      <c r="AC9" s="321">
        <f>IF(An_Tnet,Tnet,'2024'!Tnet_s)</f>
        <v>45777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2824.9007911941881</v>
      </c>
      <c r="AK9" s="510">
        <f>SUMIF(AK15:AK380,"VRAI",Wh_hp)</f>
        <v>0</v>
      </c>
      <c r="AL9" s="510">
        <f>SUMIF(AJ15:AJ380,"VRAI",Wh_sa_s)</f>
        <v>2824.9007911941881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IF(Inflex,'2024'!Resal+('2024'!Salim-'2024'!Resal)*(1-EXP(-(Tnet-'2024'!Tnet)/('2024'!Tau_j))),IF(An_Tnet,Resal_2025,'2024'!Resal))</f>
        <v>0</v>
      </c>
      <c r="P10" s="416" t="b">
        <f>NOT(Acti_tai)</f>
        <v>1</v>
      </c>
      <c r="Q10" s="253">
        <f>IF(Acti_tai,'2024'!PousD,Dens-Dd)</f>
        <v>0</v>
      </c>
      <c r="R10" s="270"/>
      <c r="S10" s="271"/>
      <c r="T10" s="272"/>
      <c r="U10" s="262">
        <f>IF(Acti_tai,'2024'!PousH,Hdtf-Hdd)</f>
        <v>0.49999999999999978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IF(OR(Inflex,GainD),'2024'!Resal_s+('2024'!Salim-'2024'!Resal_s)*(1-EXP(('2024'!Tnet_s-Tnet)/('2024'!Tau_j))),IF(Acti_net,'2024'!Resal+('2024'!Salim-'2024'!Resal)*(1-EXP(('2024'!Tnet-Tnet)/'2024'!Tau_j)),'2024'!Resal_s))</f>
        <v>3.8964123281289738E-2</v>
      </c>
      <c r="AD10" s="422"/>
      <c r="AE10" s="422"/>
      <c r="AF10" s="256"/>
      <c r="AG10" s="257"/>
      <c r="AH10" s="258"/>
      <c r="AI10" s="467"/>
      <c r="AJ10" s="510">
        <f>SUMIF(AJ15:AJ380,"FAUX",Wh_sa)</f>
        <v>8807.3984079374259</v>
      </c>
      <c r="AK10" s="510">
        <f>SUMIF(AK15:AK380,"FAUX",Wh_hp)</f>
        <v>11641.158305589774</v>
      </c>
      <c r="AL10" s="510">
        <f>SUMIF(AJ15:AJ380,"FAUX",Wh_sa_s)</f>
        <v>8807.3984079374259</v>
      </c>
      <c r="AM10" s="510">
        <f>SUMIF(AK15:AK380,"FAUX",Wh_hp)</f>
        <v>11641.158305589774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204.59381042307905</v>
      </c>
      <c r="E11" s="51">
        <f>(E$9-D$9)*Prod_an/D$9</f>
        <v>161.01020268732336</v>
      </c>
      <c r="F11" s="182">
        <f>(F$9-E$9)*Prod_an/E$9</f>
        <v>8.5784367557273011</v>
      </c>
      <c r="G11" s="181" t="s">
        <v>6</v>
      </c>
      <c r="K11" s="190"/>
      <c r="L11" s="207">
        <f>Tvie_2025</f>
        <v>44522</v>
      </c>
      <c r="M11" s="835"/>
      <c r="N11" s="835"/>
      <c r="O11" s="198">
        <f>IF(An_Tnet,Salim_2025,'2024'!Salim)</f>
        <v>0.08</v>
      </c>
      <c r="P11" s="252">
        <f>Ttai_2025</f>
        <v>44562</v>
      </c>
      <c r="Q11" s="268">
        <f>Dens_2025</f>
        <v>0.5</v>
      </c>
      <c r="R11" s="273"/>
      <c r="S11" s="226"/>
      <c r="T11" s="226"/>
      <c r="U11" s="262">
        <f>Htf_2025</f>
        <v>1.9938165934628445</v>
      </c>
      <c r="V11" s="19"/>
      <c r="W11" s="827"/>
      <c r="X11" s="231" t="s">
        <v>43</v>
      </c>
      <c r="Y11" s="50">
        <f>Z$9-Prod_an_s</f>
        <v>197.86405089329674</v>
      </c>
      <c r="Z11" s="51">
        <f>(AA$9-Z$9)*Prod_an_s/Z$9</f>
        <v>527.89589643854981</v>
      </c>
      <c r="AA11" s="182">
        <f>(AB$9-AA$9)*Prod_an_s/AA$9</f>
        <v>8.2990707703959856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103.54320914489765</v>
      </c>
      <c r="AK11" s="825">
        <f>IF($AK7=0,0,($AK9-$AK7)*$AK5/$AK7)</f>
        <v>0</v>
      </c>
      <c r="AL11" s="824">
        <f>IF($AL7=0,0,($AL9-$AL7)*$AL5/$AL7)</f>
        <v>148.89567341342376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Pspv_2025</f>
        <v>0</v>
      </c>
      <c r="M12" s="208"/>
      <c r="N12" s="208"/>
      <c r="O12" s="201">
        <f>IF(An_Tnet,Tau_2025*365,'2024'!Tau_j)</f>
        <v>1095</v>
      </c>
      <c r="P12" s="277">
        <f>INDEX(Croivg,MIN(MAX(Ttai-$A$15,0)+1,366))</f>
        <v>2.3909964587625958E-6</v>
      </c>
      <c r="Q12" s="276">
        <f>'2024'!Df</f>
        <v>0.5</v>
      </c>
      <c r="R12" s="274"/>
      <c r="S12" s="275"/>
      <c r="T12" s="275"/>
      <c r="U12" s="263">
        <f>'2024'!Hdf</f>
        <v>1.4938165934628447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'2024'!Df_s</f>
        <v>0.5</v>
      </c>
      <c r="AF12" s="199"/>
      <c r="AG12" s="199"/>
      <c r="AH12" s="199"/>
      <c r="AI12" s="293">
        <f>'2024'!Hdf_s</f>
        <v>1.4938165934628447</v>
      </c>
      <c r="AJ12" s="824">
        <f>IF($AJ8=0,0,($AJ10-$AJ8)*$AJ6/$AJ8)</f>
        <v>57.591427442171998</v>
      </c>
      <c r="AK12" s="825">
        <f>IF($AK8=0,0,($AK10-$AK8)*$AK6/$AK8)</f>
        <v>8.5784367557273011</v>
      </c>
      <c r="AL12" s="824">
        <f>IF($AL8=0,0,($AL10-$AL8)*$AL6/$AL8)</f>
        <v>379.04122826856008</v>
      </c>
      <c r="AM12" s="825">
        <f>IF($AM8=0,0,($AM10-$AM8)*$AM6/$AM8)</f>
        <v>8.2990707703959856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273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161.13463658706965</v>
      </c>
      <c r="AK13" s="73">
        <f>+AK11+AK12</f>
        <v>8.5784367557273011</v>
      </c>
      <c r="AL13" s="73">
        <f>+AL11+AL12</f>
        <v>527.93690168198384</v>
      </c>
      <c r="AM13" s="73">
        <f>+AM11+AM12</f>
        <v>8.2990707703959856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384"/>
      <c r="D14" s="53" t="s">
        <v>30</v>
      </c>
      <c r="E14" s="158" t="s">
        <v>29</v>
      </c>
      <c r="F14" s="158" t="str">
        <f>"Hors pertes "&amp; TEXT(An,0)</f>
        <v>Hors pertes 2025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2025</v>
      </c>
      <c r="W14" s="829" t="s">
        <v>116</v>
      </c>
      <c r="X14" s="254" t="s">
        <v>2</v>
      </c>
      <c r="Y14" s="107" t="str">
        <f>"Wh / Jour "&amp; TEXT(An,0)</f>
        <v>Wh / Jour 2025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56">
        <f>DATE(An,1,1)</f>
        <v>45658</v>
      </c>
      <c r="B15" s="405">
        <f>'2024'!Wh/'2024'!Env_an*'2025'!Env_an</f>
        <v>0</v>
      </c>
      <c r="C15" s="385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Wh_hp&gt;='2024'!Maxi_hp</f>
        <v>1</v>
      </c>
      <c r="I15" s="374">
        <f>IF(H15,Wh_hp,'2024'!Maxi_hp)</f>
        <v>0</v>
      </c>
      <c r="J15" s="84">
        <f>IF(H15,An,'2024'!An_max)</f>
        <v>2025</v>
      </c>
      <c r="K15" s="193">
        <f t="shared" ref="K15:K78" si="3">t</f>
        <v>45658</v>
      </c>
      <c r="L15" s="142">
        <f>IF(t&lt;Tvie,1-EXP((T0-t)*PertePVj)+'2024'!Pspv,1-EXP((T0-t)*PertePVj)+Pspv)</f>
        <v>1.5430700149724919E-2</v>
      </c>
      <c r="M15" s="836"/>
      <c r="N15" s="836"/>
      <c r="O15" s="48">
        <f>IF(t&lt;Tnet,'2024'!Resal+('2024'!Salim-'2024'!Resal)*(1-EXP(('2024'!Tnet-t)/('2024'!Tau_j))),Resal+(Salim-Resal)*(1-EXP((Tnet-t)/(Tau_j))))*Salcycl</f>
        <v>3.42727714967953E-2</v>
      </c>
      <c r="P15" s="298">
        <f>(INDEX(Models!$BJ15:$BT15,,T15)*(1-R15)+INDEX(Models!$BJ15:$BT15,,T15+1)*R15-ERP_i)*Q15*Ramure*Pc/MaxiM</f>
        <v>8.7735356135990924E-3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0.49381778896107398</v>
      </c>
      <c r="S15" s="801">
        <f t="shared" ref="S15:S78" si="6">INDEX(Echel_vg,T15)</f>
        <v>1</v>
      </c>
      <c r="T15" s="245">
        <f t="shared" ref="T15:T78" si="7">MIN(MATCH(Hp_vg,Echel_vg),10)</f>
        <v>7</v>
      </c>
      <c r="U15" s="246">
        <f t="shared" ref="U15:U78" si="8">IF(OR(t&lt;Ttai,Notai),Hdd+PousH*Croivg,Hdtf+PousH*(Croivg-Croi_tai))</f>
        <v>1.493817788961074</v>
      </c>
      <c r="V15" s="377">
        <f t="shared" ref="V15:V78" si="9">MaxiM*(1-Ppv)*(1-Pvg)*(1-Psa)</f>
        <v>16.869784878090989</v>
      </c>
      <c r="W15" s="397">
        <f t="shared" ref="W15:W78" si="10">Wh*(A15&gt;Tmaj)</f>
        <v>0</v>
      </c>
      <c r="X15" s="152">
        <f t="shared" ref="X15:X78" si="11">t</f>
        <v>45658</v>
      </c>
      <c r="Y15" s="380">
        <f t="shared" ref="Y15:Y78" si="12">Wh_pvt_s*(1-Ppv)</f>
        <v>0</v>
      </c>
      <c r="Z15" s="380">
        <f t="shared" ref="Z15:Z78" si="13">Wh_sa_s*(1-Psa_s)</f>
        <v>0</v>
      </c>
      <c r="AA15" s="381">
        <f t="shared" ref="AA15:AA78" si="14">Wh_hp*(1-Pvg_s*MEDIAN((-Sdif+Wh/Env_an)/Csdif,0,1))</f>
        <v>0</v>
      </c>
      <c r="AB15" s="193">
        <f t="shared" ref="AB15:AB78" si="15">t</f>
        <v>45658</v>
      </c>
      <c r="AC15" s="119">
        <f>IF(OR(t&lt;Tnet,NoTnet),'2024'!Resal_s+('2024'!Salim-'2024'!Resal_s)*(1-EXP(('2024'!Tnet_s-t)/'2024'!Tau_j)),Resal_s+(Salim-Resal_s)*(1-EXP((Tnet_s-t)/Tau_j)))*Salcycl</f>
        <v>5.1680787383613584E-2</v>
      </c>
      <c r="AD15" s="227">
        <f>(INDEX(Models!$BJ15:$BT15,,AH15)*(1-AF15)+INDEX(Models!$BJ15:$BT15,,AH15+1)*AF15-ERP_i)*AE15*Ramure*Pc/MaxiM</f>
        <v>8.7735356135990924E-3</v>
      </c>
      <c r="AE15" s="299">
        <f t="shared" ref="AE15:AE78" si="16">IF(OR(t&lt;Ttai,Notai),Dd_s+PousD*Croivg,Dens_s+PousD*(Croivg-Croi_tai))</f>
        <v>0.5</v>
      </c>
      <c r="AF15" s="300">
        <f>(Hp_vg_s-AG15)/(INDEX(Echel_vg,AH15+1)-AG15)</f>
        <v>0.49381778896107398</v>
      </c>
      <c r="AG15" s="801">
        <f>INDEX(Echel_vg,AH15)</f>
        <v>1</v>
      </c>
      <c r="AH15" s="245">
        <f t="shared" ref="AH15:AH78" si="17">MIN(MATCH(Hp_vg_s,Echel_vg),10)</f>
        <v>7</v>
      </c>
      <c r="AI15" s="220">
        <f t="shared" ref="AI15:AI78" si="18">IF(OR(t&lt;Ttai,Notai),Hdd_s+PousH*Croivg,Hdtai_s+PousH*(Croivg-Croi_tai))</f>
        <v>1.493817788961074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1">A15+1</f>
        <v>45659</v>
      </c>
      <c r="B16" s="406">
        <f>'2024'!Wh/'2024'!Env_an*'2025'!Env_an</f>
        <v>0</v>
      </c>
      <c r="C16" s="385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22">+Wh_hp/MaxiM</f>
        <v>0</v>
      </c>
      <c r="H16" s="409" t="b">
        <f>Wh_hp&gt;='2024'!Maxi_hp</f>
        <v>1</v>
      </c>
      <c r="I16" s="375">
        <f>IF(H16,Wh_hp,'2024'!Maxi_hp)</f>
        <v>0</v>
      </c>
      <c r="J16" s="85">
        <f>IF(H16,An,'2024'!An_max)</f>
        <v>2025</v>
      </c>
      <c r="K16" s="193">
        <f t="shared" si="3"/>
        <v>45659</v>
      </c>
      <c r="L16" s="143">
        <f>IF(t&lt;Tvie,1-EXP((T0-t)*PertePVj)+'2024'!Pspv,1-EXP((T0-t)*PertePVj)+Pspv)</f>
        <v>1.5444178076636228E-2</v>
      </c>
      <c r="M16" s="836"/>
      <c r="N16" s="836"/>
      <c r="O16" s="48">
        <f>IF(t&lt;Tnet,'2024'!Resal+('2024'!Salim-'2024'!Resal)*(1-EXP(('2024'!Tnet-t)/('2024'!Tau_j))),Resal+(Salim-Resal)*(1-EXP((Tnet-t)/(Tau_j))))*Salcycl</f>
        <v>3.4313182254354681E-2</v>
      </c>
      <c r="P16" s="165">
        <f>(INDEX(Models!$BJ16:$BT16,,T16)*(1-R16)+INDEX(Models!$BJ16:$BT16,,T16+1)*R16-ERP_i)*Q16*Ramure*Pc/MaxiM</f>
        <v>8.6856300625473507E-3</v>
      </c>
      <c r="Q16" s="301">
        <f t="shared" si="4"/>
        <v>0.5</v>
      </c>
      <c r="R16" s="173">
        <f t="shared" si="5"/>
        <v>0.49384700357506839</v>
      </c>
      <c r="S16" s="802">
        <f t="shared" si="6"/>
        <v>1</v>
      </c>
      <c r="T16" s="172">
        <f t="shared" si="7"/>
        <v>7</v>
      </c>
      <c r="U16" s="247">
        <f t="shared" si="8"/>
        <v>1.4938470035750684</v>
      </c>
      <c r="V16" s="378">
        <f t="shared" si="9"/>
        <v>17.039262153495983</v>
      </c>
      <c r="W16" s="397">
        <f t="shared" si="10"/>
        <v>0</v>
      </c>
      <c r="X16" s="153">
        <f t="shared" si="11"/>
        <v>45659</v>
      </c>
      <c r="Y16" s="380">
        <f t="shared" si="12"/>
        <v>0</v>
      </c>
      <c r="Z16" s="380">
        <f t="shared" si="13"/>
        <v>0</v>
      </c>
      <c r="AA16" s="381">
        <f t="shared" si="14"/>
        <v>0</v>
      </c>
      <c r="AB16" s="193">
        <f t="shared" si="15"/>
        <v>45659</v>
      </c>
      <c r="AC16" s="119">
        <f>IF(OR(t&lt;Tnet,NoTnet),'2024'!Resal_s+('2024'!Salim-'2024'!Resal_s)*(1-EXP(('2024'!Tnet_s-t)/'2024'!Tau_j)),Resal_s+(Salim-Resal_s)*(1-EXP((Tnet_s-t)/Tau_j)))*Salcycl</f>
        <v>5.1704612278048824E-2</v>
      </c>
      <c r="AD16" s="227">
        <f>(INDEX(Models!$BJ16:$BT16,,AH16)*(1-AF16)+INDEX(Models!$BJ16:$BT16,,AH16+1)*AF16-ERP_i)*AE16*Ramure*Pc/MaxiM</f>
        <v>8.6856300625473507E-3</v>
      </c>
      <c r="AE16" s="301">
        <f t="shared" si="16"/>
        <v>0.5</v>
      </c>
      <c r="AF16" s="173">
        <f t="shared" ref="AF16:AF78" si="23">(Hp_vg_s-AG16)/(INDEX(Echel_vg,AH16+1)-AG16)</f>
        <v>0.49384700357506839</v>
      </c>
      <c r="AG16" s="802">
        <f t="shared" ref="AG16:AG79" si="24">INDEX(Echel_vg,AH16)</f>
        <v>1</v>
      </c>
      <c r="AH16" s="172">
        <f t="shared" si="17"/>
        <v>7</v>
      </c>
      <c r="AI16" s="221">
        <f t="shared" si="18"/>
        <v>1.4938470035750684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x14ac:dyDescent="0.2">
      <c r="A17" s="56">
        <f t="shared" si="21"/>
        <v>45660</v>
      </c>
      <c r="B17" s="406">
        <f>'2024'!Wh/'2024'!Env_an*'2025'!Env_an</f>
        <v>0</v>
      </c>
      <c r="C17" s="385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22"/>
        <v>0</v>
      </c>
      <c r="H17" s="409" t="b">
        <f>Wh_hp&gt;='2024'!Maxi_hp</f>
        <v>1</v>
      </c>
      <c r="I17" s="375">
        <f>IF(H17,Wh_hp,'2024'!Maxi_hp)</f>
        <v>0</v>
      </c>
      <c r="J17" s="85">
        <f>IF(H17,An,'2024'!An_max)</f>
        <v>2025</v>
      </c>
      <c r="K17" s="193">
        <f t="shared" si="3"/>
        <v>45660</v>
      </c>
      <c r="L17" s="143">
        <f>IF(t&lt;Tvie,1-EXP((T0-t)*PertePVj)+'2024'!Pspv,1-EXP((T0-t)*PertePVj)+Pspv)</f>
        <v>1.5457655819046123E-2</v>
      </c>
      <c r="M17" s="836"/>
      <c r="N17" s="836"/>
      <c r="O17" s="48">
        <f>IF(t&lt;Tnet,'2024'!Resal+('2024'!Salim-'2024'!Resal)*(1-EXP(('2024'!Tnet-t)/('2024'!Tau_j))),Resal+(Salim-Resal)*(1-EXP((Tnet-t)/(Tau_j))))*Salcycl</f>
        <v>3.4353628828264648E-2</v>
      </c>
      <c r="P17" s="165">
        <f>(INDEX(Models!$BJ17:$BT17,,T17)*(1-R17)+INDEX(Models!$BJ17:$BT17,,T17+1)*R17-ERP_i)*Q17*Ramure*Pc/MaxiM</f>
        <v>8.6059047806512565E-3</v>
      </c>
      <c r="Q17" s="301">
        <f t="shared" si="4"/>
        <v>0.5</v>
      </c>
      <c r="R17" s="173">
        <f t="shared" si="5"/>
        <v>0.4938774401705579</v>
      </c>
      <c r="S17" s="802">
        <f t="shared" si="6"/>
        <v>1</v>
      </c>
      <c r="T17" s="172">
        <f t="shared" si="7"/>
        <v>7</v>
      </c>
      <c r="U17" s="247">
        <f t="shared" si="8"/>
        <v>1.4938774401705579</v>
      </c>
      <c r="V17" s="378">
        <f t="shared" si="9"/>
        <v>17.216919860937509</v>
      </c>
      <c r="W17" s="397">
        <f t="shared" si="10"/>
        <v>0</v>
      </c>
      <c r="X17" s="153">
        <f t="shared" si="11"/>
        <v>45660</v>
      </c>
      <c r="Y17" s="380">
        <f t="shared" si="12"/>
        <v>0</v>
      </c>
      <c r="Z17" s="380">
        <f t="shared" si="13"/>
        <v>0</v>
      </c>
      <c r="AA17" s="381">
        <f t="shared" si="14"/>
        <v>0</v>
      </c>
      <c r="AB17" s="193">
        <f t="shared" si="15"/>
        <v>45660</v>
      </c>
      <c r="AC17" s="119">
        <f>IF(OR(t&lt;Tnet,NoTnet),'2024'!Resal_s+('2024'!Salim-'2024'!Resal_s)*(1-EXP(('2024'!Tnet_s-t)/'2024'!Tau_j)),Resal_s+(Salim-Resal_s)*(1-EXP((Tnet_s-t)/Tau_j)))*Salcycl</f>
        <v>5.1728527856704565E-2</v>
      </c>
      <c r="AD17" s="227">
        <f>(INDEX(Models!$BJ17:$BT17,,AH17)*(1-AF17)+INDEX(Models!$BJ17:$BT17,,AH17+1)*AF17-ERP_i)*AE17*Ramure*Pc/MaxiM</f>
        <v>8.6059047806512565E-3</v>
      </c>
      <c r="AE17" s="301">
        <f t="shared" si="16"/>
        <v>0.5</v>
      </c>
      <c r="AF17" s="173">
        <f>(Hp_vg_s-AG17)/(INDEX(Echel_vg,AH17+1)-AG17)</f>
        <v>0.4938774401705579</v>
      </c>
      <c r="AG17" s="802">
        <f>INDEX(Echel_vg,AH17)</f>
        <v>1</v>
      </c>
      <c r="AH17" s="172">
        <f t="shared" si="17"/>
        <v>7</v>
      </c>
      <c r="AI17" s="221">
        <f t="shared" si="18"/>
        <v>1.4938774401705579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x14ac:dyDescent="0.2">
      <c r="A18" s="56">
        <f t="shared" si="21"/>
        <v>45661</v>
      </c>
      <c r="B18" s="406">
        <f>'2024'!Wh/'2024'!Env_an*'2025'!Env_an</f>
        <v>0</v>
      </c>
      <c r="C18" s="385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22"/>
        <v>0</v>
      </c>
      <c r="H18" s="409" t="b">
        <f>Wh_hp&gt;='2024'!Maxi_hp</f>
        <v>1</v>
      </c>
      <c r="I18" s="375">
        <f>IF(H18,Wh_hp,'2024'!Maxi_hp)</f>
        <v>0</v>
      </c>
      <c r="J18" s="85">
        <f>IF(H18,An,'2024'!An_max)</f>
        <v>2025</v>
      </c>
      <c r="K18" s="193">
        <f t="shared" si="3"/>
        <v>45661</v>
      </c>
      <c r="L18" s="143">
        <f>IF(t&lt;Tvie,1-EXP((T0-t)*PertePVj)+'2024'!Pspv,1-EXP((T0-t)*PertePVj)+Pspv)</f>
        <v>1.5471133376956936E-2</v>
      </c>
      <c r="M18" s="836"/>
      <c r="N18" s="836"/>
      <c r="O18" s="48">
        <f>IF(t&lt;Tnet,'2024'!Resal+('2024'!Salim-'2024'!Resal)*(1-EXP(('2024'!Tnet-t)/('2024'!Tau_j))),Resal+(Salim-Resal)*(1-EXP((Tnet-t)/(Tau_j))))*Salcycl</f>
        <v>3.4394103490463984E-2</v>
      </c>
      <c r="P18" s="165">
        <f>(INDEX(Models!$BJ18:$BT18,,T18)*(1-R18)+INDEX(Models!$BJ18:$BT18,,T18+1)*R18-ERP_i)*Q18*Ramure*Pc/MaxiM</f>
        <v>8.5349488415988155E-3</v>
      </c>
      <c r="Q18" s="301">
        <f t="shared" si="4"/>
        <v>0.5</v>
      </c>
      <c r="R18" s="173">
        <f t="shared" si="5"/>
        <v>0.49390914970185307</v>
      </c>
      <c r="S18" s="802">
        <f t="shared" si="6"/>
        <v>1</v>
      </c>
      <c r="T18" s="172">
        <f t="shared" si="7"/>
        <v>7</v>
      </c>
      <c r="U18" s="247">
        <f t="shared" si="8"/>
        <v>1.4939091497018531</v>
      </c>
      <c r="V18" s="378">
        <f t="shared" si="9"/>
        <v>17.401173136430774</v>
      </c>
      <c r="W18" s="397">
        <f t="shared" si="10"/>
        <v>0</v>
      </c>
      <c r="X18" s="153">
        <f t="shared" si="11"/>
        <v>45661</v>
      </c>
      <c r="Y18" s="380">
        <f t="shared" si="12"/>
        <v>0</v>
      </c>
      <c r="Z18" s="380">
        <f>Wh_sa_s*(1-Psa_s)</f>
        <v>0</v>
      </c>
      <c r="AA18" s="381">
        <f t="shared" si="14"/>
        <v>0</v>
      </c>
      <c r="AB18" s="193">
        <f>t</f>
        <v>45661</v>
      </c>
      <c r="AC18" s="119">
        <f>IF(OR(t&lt;Tnet,NoTnet),'2024'!Resal_s+('2024'!Salim-'2024'!Resal_s)*(1-EXP(('2024'!Tnet_s-t)/'2024'!Tau_j)),Resal_s+(Salim-Resal_s)*(1-EXP((Tnet_s-t)/Tau_j)))*Salcycl</f>
        <v>5.1752522207251073E-2</v>
      </c>
      <c r="AD18" s="227">
        <f>(INDEX(Models!$BJ18:$BT18,,AH18)*(1-AF18)+INDEX(Models!$BJ18:$BT18,,AH18+1)*AF18-ERP_i)*AE18*Ramure*Pc/MaxiM</f>
        <v>8.5349488415988155E-3</v>
      </c>
      <c r="AE18" s="301">
        <f t="shared" si="16"/>
        <v>0.5</v>
      </c>
      <c r="AF18" s="173">
        <f t="shared" si="23"/>
        <v>0.49390914970185307</v>
      </c>
      <c r="AG18" s="802">
        <f t="shared" si="24"/>
        <v>1</v>
      </c>
      <c r="AH18" s="172">
        <f t="shared" si="17"/>
        <v>7</v>
      </c>
      <c r="AI18" s="221">
        <f t="shared" si="18"/>
        <v>1.4939091497018531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x14ac:dyDescent="0.2">
      <c r="A19" s="56">
        <f t="shared" si="21"/>
        <v>45662</v>
      </c>
      <c r="B19" s="406">
        <f>'2024'!Wh/'2024'!Env_an*'2025'!Env_an</f>
        <v>0</v>
      </c>
      <c r="C19" s="385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22"/>
        <v>0</v>
      </c>
      <c r="H19" s="409" t="b">
        <f>Wh_hp&gt;='2024'!Maxi_hp</f>
        <v>1</v>
      </c>
      <c r="I19" s="375">
        <f>IF(H19,Wh_hp,'2024'!Maxi_hp)</f>
        <v>0</v>
      </c>
      <c r="J19" s="85">
        <f>IF(H19,An,'2024'!An_max)</f>
        <v>2025</v>
      </c>
      <c r="K19" s="193">
        <f t="shared" si="3"/>
        <v>45662</v>
      </c>
      <c r="L19" s="143">
        <f>IF(t&lt;Tvie,1-EXP((T0-t)*PertePVj)+'2024'!Pspv,1-EXP((T0-t)*PertePVj)+Pspv)</f>
        <v>1.548461075037133E-2</v>
      </c>
      <c r="M19" s="836"/>
      <c r="N19" s="836"/>
      <c r="O19" s="48">
        <f>IF(t&lt;Tnet,'2024'!Resal+('2024'!Salim-'2024'!Resal)*(1-EXP(('2024'!Tnet-t)/('2024'!Tau_j))),Resal+(Salim-Resal)*(1-EXP((Tnet-t)/(Tau_j))))*Salcycl</f>
        <v>3.4434599512874225E-2</v>
      </c>
      <c r="P19" s="165">
        <f>(INDEX(Models!$BJ19:$BT19,,T19)*(1-R19)+INDEX(Models!$BJ19:$BT19,,T19+1)*R19-ERP_i)*Q19*Ramure*Pc/MaxiM</f>
        <v>8.4732850483777954E-3</v>
      </c>
      <c r="Q19" s="301">
        <f t="shared" si="4"/>
        <v>0.5</v>
      </c>
      <c r="R19" s="173">
        <f t="shared" si="5"/>
        <v>0.49394218523441458</v>
      </c>
      <c r="S19" s="802">
        <f t="shared" si="6"/>
        <v>1</v>
      </c>
      <c r="T19" s="172">
        <f t="shared" si="7"/>
        <v>7</v>
      </c>
      <c r="U19" s="247">
        <f t="shared" si="8"/>
        <v>1.4939421852344146</v>
      </c>
      <c r="V19" s="378">
        <f t="shared" si="9"/>
        <v>17.590437366652981</v>
      </c>
      <c r="W19" s="397">
        <f t="shared" si="10"/>
        <v>0</v>
      </c>
      <c r="X19" s="153">
        <f t="shared" si="11"/>
        <v>45662</v>
      </c>
      <c r="Y19" s="380">
        <f t="shared" si="12"/>
        <v>0</v>
      </c>
      <c r="Z19" s="380">
        <f t="shared" si="13"/>
        <v>0</v>
      </c>
      <c r="AA19" s="381">
        <f t="shared" si="14"/>
        <v>0</v>
      </c>
      <c r="AB19" s="193">
        <f t="shared" si="15"/>
        <v>45662</v>
      </c>
      <c r="AC19" s="119">
        <f>IF(OR(t&lt;Tnet,NoTnet),'2024'!Resal_s+('2024'!Salim-'2024'!Resal_s)*(1-EXP(('2024'!Tnet_s-t)/'2024'!Tau_j)),Resal_s+(Salim-Resal_s)*(1-EXP((Tnet_s-t)/Tau_j)))*Salcycl</f>
        <v>5.1776584955914855E-2</v>
      </c>
      <c r="AD19" s="227">
        <f>(INDEX(Models!$BJ19:$BT19,,AH19)*(1-AF19)+INDEX(Models!$BJ19:$BT19,,AH19+1)*AF19-ERP_i)*AE19*Ramure*Pc/MaxiM</f>
        <v>8.4732850483777954E-3</v>
      </c>
      <c r="AE19" s="301">
        <f t="shared" si="16"/>
        <v>0.5</v>
      </c>
      <c r="AF19" s="173">
        <f t="shared" si="23"/>
        <v>0.49394218523441458</v>
      </c>
      <c r="AG19" s="802">
        <f t="shared" si="24"/>
        <v>1</v>
      </c>
      <c r="AH19" s="172">
        <f t="shared" si="17"/>
        <v>7</v>
      </c>
      <c r="AI19" s="221">
        <f t="shared" si="18"/>
        <v>1.4939421852344146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x14ac:dyDescent="0.2">
      <c r="A20" s="56">
        <f t="shared" si="21"/>
        <v>45663</v>
      </c>
      <c r="B20" s="406">
        <f>'2024'!Wh/'2024'!Env_an*'2025'!Env_an</f>
        <v>0</v>
      </c>
      <c r="C20" s="385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22"/>
        <v>0</v>
      </c>
      <c r="H20" s="409" t="b">
        <f>Wh_hp&gt;='2024'!Maxi_hp</f>
        <v>1</v>
      </c>
      <c r="I20" s="375">
        <f>IF(H20,Wh_hp,'2024'!Maxi_hp)</f>
        <v>0</v>
      </c>
      <c r="J20" s="85">
        <f>IF(H20,An,'2024'!An_max)</f>
        <v>2025</v>
      </c>
      <c r="K20" s="193">
        <f t="shared" si="3"/>
        <v>45663</v>
      </c>
      <c r="L20" s="143">
        <f>IF(t&lt;Tvie,1-EXP((T0-t)*PertePVj)+'2024'!Pspv,1-EXP((T0-t)*PertePVj)+Pspv)</f>
        <v>1.5498087939291749E-2</v>
      </c>
      <c r="M20" s="836"/>
      <c r="N20" s="836"/>
      <c r="O20" s="48">
        <f>IF(t&lt;Tnet,'2024'!Resal+('2024'!Salim-'2024'!Resal)*(1-EXP(('2024'!Tnet-t)/('2024'!Tau_j))),Resal+(Salim-Resal)*(1-EXP((Tnet-t)/(Tau_j))))*Salcycl</f>
        <v>3.4475111140040704E-2</v>
      </c>
      <c r="P20" s="165">
        <f>(INDEX(Models!$BJ20:$BT20,,T20)*(1-R20)+INDEX(Models!$BJ20:$BT20,,T20+1)*R20-ERP_i)*Q20*Ramure*Pc/MaxiM</f>
        <v>8.4213790134087564E-3</v>
      </c>
      <c r="Q20" s="301">
        <f t="shared" si="4"/>
        <v>0.5</v>
      </c>
      <c r="R20" s="173">
        <f t="shared" si="5"/>
        <v>0.49397660203116533</v>
      </c>
      <c r="S20" s="802">
        <f t="shared" si="6"/>
        <v>1</v>
      </c>
      <c r="T20" s="172">
        <f t="shared" si="7"/>
        <v>7</v>
      </c>
      <c r="U20" s="247">
        <f t="shared" si="8"/>
        <v>1.4939766020311653</v>
      </c>
      <c r="V20" s="378">
        <f t="shared" si="9"/>
        <v>17.783128201055536</v>
      </c>
      <c r="W20" s="397">
        <f t="shared" si="10"/>
        <v>0</v>
      </c>
      <c r="X20" s="153">
        <f t="shared" si="11"/>
        <v>45663</v>
      </c>
      <c r="Y20" s="380">
        <f t="shared" si="12"/>
        <v>0</v>
      </c>
      <c r="Z20" s="380">
        <f t="shared" si="13"/>
        <v>0</v>
      </c>
      <c r="AA20" s="381">
        <f t="shared" si="14"/>
        <v>0</v>
      </c>
      <c r="AB20" s="193">
        <f t="shared" si="15"/>
        <v>45663</v>
      </c>
      <c r="AC20" s="119">
        <f>IF(OR(t&lt;Tnet,NoTnet),'2024'!Resal_s+('2024'!Salim-'2024'!Resal_s)*(1-EXP(('2024'!Tnet_s-t)/'2024'!Tau_j)),Resal_s+(Salim-Resal_s)*(1-EXP((Tnet_s-t)/Tau_j)))*Salcycl</f>
        <v>5.1800707220744237E-2</v>
      </c>
      <c r="AD20" s="227">
        <f>(INDEX(Models!$BJ20:$BT20,,AH20)*(1-AF20)+INDEX(Models!$BJ20:$BT20,,AH20+1)*AF20-ERP_i)*AE20*Ramure*Pc/MaxiM</f>
        <v>8.4213790134087564E-3</v>
      </c>
      <c r="AE20" s="301">
        <f t="shared" si="16"/>
        <v>0.5</v>
      </c>
      <c r="AF20" s="173">
        <f t="shared" si="23"/>
        <v>0.49397660203116533</v>
      </c>
      <c r="AG20" s="802">
        <f t="shared" si="24"/>
        <v>1</v>
      </c>
      <c r="AH20" s="172">
        <f t="shared" si="17"/>
        <v>7</v>
      </c>
      <c r="AI20" s="221">
        <f t="shared" si="18"/>
        <v>1.4939766020311653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x14ac:dyDescent="0.2">
      <c r="A21" s="56">
        <f t="shared" si="21"/>
        <v>45664</v>
      </c>
      <c r="B21" s="406">
        <f>'2024'!Wh/'2024'!Env_an*'2025'!Env_an</f>
        <v>5.809995593461605</v>
      </c>
      <c r="C21" s="385"/>
      <c r="D21" s="388">
        <f t="shared" si="0"/>
        <v>5.9015376784283617</v>
      </c>
      <c r="E21" s="380">
        <f t="shared" si="1"/>
        <v>6.1125150064850313</v>
      </c>
      <c r="F21" s="380">
        <f t="shared" si="2"/>
        <v>6.1142115130407504</v>
      </c>
      <c r="G21" s="110">
        <f t="shared" si="22"/>
        <v>0.32055942777802399</v>
      </c>
      <c r="H21" s="409" t="b">
        <f>Wh_hp&gt;='2024'!Maxi_hp</f>
        <v>0</v>
      </c>
      <c r="I21" s="375">
        <f>IF(H21,Wh_hp,'2024'!Maxi_hp)</f>
        <v>6.1641621547056991</v>
      </c>
      <c r="J21" s="85">
        <f>IF(H21,An,'2024'!An_max)</f>
        <v>2022</v>
      </c>
      <c r="K21" s="193">
        <f t="shared" si="3"/>
        <v>45664</v>
      </c>
      <c r="L21" s="143">
        <f>IF(t&lt;Tvie,1-EXP((T0-t)*PertePVj)+'2024'!Pspv,1-EXP((T0-t)*PertePVj)+Pspv)</f>
        <v>1.5511564943720857E-2</v>
      </c>
      <c r="M21" s="836"/>
      <c r="N21" s="836"/>
      <c r="O21" s="48">
        <f>IF(t&lt;Tnet,'2024'!Resal+('2024'!Salim-'2024'!Resal)*(1-EXP(('2024'!Tnet-t)/('2024'!Tau_j))),Resal+(Salim-Resal)*(1-EXP((Tnet-t)/(Tau_j))))*Salcycl</f>
        <v>3.451563355391922E-2</v>
      </c>
      <c r="P21" s="165">
        <f>(INDEX(Models!$BJ21:$BT21,,T21)*(1-R21)+INDEX(Models!$BJ21:$BT21,,T21+1)*R21-ERP_i)*Q21*Ramure*Pc/MaxiM</f>
        <v>8.3796488248151831E-3</v>
      </c>
      <c r="Q21" s="301">
        <f t="shared" si="4"/>
        <v>0.5</v>
      </c>
      <c r="R21" s="173">
        <f t="shared" si="5"/>
        <v>0.49401245764222845</v>
      </c>
      <c r="S21" s="802">
        <f t="shared" si="6"/>
        <v>1</v>
      </c>
      <c r="T21" s="172">
        <f t="shared" si="7"/>
        <v>7</v>
      </c>
      <c r="U21" s="247">
        <f t="shared" si="8"/>
        <v>1.4940124576422285</v>
      </c>
      <c r="V21" s="378">
        <f t="shared" si="9"/>
        <v>17.977661557153503</v>
      </c>
      <c r="W21" s="397">
        <f t="shared" si="10"/>
        <v>5.809995593461605</v>
      </c>
      <c r="X21" s="153">
        <f t="shared" si="11"/>
        <v>45664</v>
      </c>
      <c r="Y21" s="380">
        <f t="shared" si="12"/>
        <v>5.705833726011809</v>
      </c>
      <c r="Z21" s="380">
        <f t="shared" si="13"/>
        <v>5.7957346402811023</v>
      </c>
      <c r="AA21" s="381">
        <f t="shared" si="14"/>
        <v>6.1125150064850313</v>
      </c>
      <c r="AB21" s="193">
        <f t="shared" si="15"/>
        <v>45664</v>
      </c>
      <c r="AC21" s="119">
        <f>IF(OR(t&lt;Tnet,NoTnet),'2024'!Resal_s+('2024'!Salim-'2024'!Resal_s)*(1-EXP(('2024'!Tnet_s-t)/'2024'!Tau_j)),Resal_s+(Salim-Resal_s)*(1-EXP((Tnet_s-t)/Tau_j)))*Salcycl</f>
        <v>5.1824881553311962E-2</v>
      </c>
      <c r="AD21" s="227">
        <f>(INDEX(Models!$BJ21:$BT21,,AH21)*(1-AF21)+INDEX(Models!$BJ21:$BT21,,AH21+1)*AF21-ERP_i)*AE21*Ramure*Pc/MaxiM</f>
        <v>8.3796488248151831E-3</v>
      </c>
      <c r="AE21" s="301">
        <f t="shared" si="16"/>
        <v>0.5</v>
      </c>
      <c r="AF21" s="173">
        <f t="shared" si="23"/>
        <v>0.49401245764222845</v>
      </c>
      <c r="AG21" s="802">
        <f t="shared" si="24"/>
        <v>1</v>
      </c>
      <c r="AH21" s="172">
        <f t="shared" si="17"/>
        <v>7</v>
      </c>
      <c r="AI21" s="221">
        <f t="shared" si="18"/>
        <v>1.4940124576422285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x14ac:dyDescent="0.2">
      <c r="A22" s="56">
        <f t="shared" si="21"/>
        <v>45665</v>
      </c>
      <c r="B22" s="406">
        <f>'2024'!Wh/'2024'!Env_an*'2025'!Env_an</f>
        <v>7.5894060115736135</v>
      </c>
      <c r="C22" s="385"/>
      <c r="D22" s="388">
        <f t="shared" si="0"/>
        <v>7.7090899550861449</v>
      </c>
      <c r="E22" s="380">
        <f t="shared" si="1"/>
        <v>7.9850216639167515</v>
      </c>
      <c r="F22" s="380">
        <f t="shared" si="2"/>
        <v>7.9962398335112157</v>
      </c>
      <c r="G22" s="110">
        <f t="shared" si="22"/>
        <v>0.41472767242187669</v>
      </c>
      <c r="H22" s="409" t="b">
        <f>Wh_hp&gt;='2024'!Maxi_hp</f>
        <v>0</v>
      </c>
      <c r="I22" s="375">
        <f>IF(H22,Wh_hp,'2024'!Maxi_hp)</f>
        <v>8.052237097122509</v>
      </c>
      <c r="J22" s="85">
        <f>IF(H22,An,'2024'!An_max)</f>
        <v>2022</v>
      </c>
      <c r="K22" s="193">
        <f t="shared" si="3"/>
        <v>45665</v>
      </c>
      <c r="L22" s="143">
        <f>IF(t&lt;Tvie,1-EXP((T0-t)*PertePVj)+'2024'!Pspv,1-EXP((T0-t)*PertePVj)+Pspv)</f>
        <v>1.5525041763660985E-2</v>
      </c>
      <c r="M22" s="836"/>
      <c r="N22" s="836"/>
      <c r="O22" s="48">
        <f>IF(t&lt;Tnet,'2024'!Resal+('2024'!Salim-'2024'!Resal)*(1-EXP(('2024'!Tnet-t)/('2024'!Tau_j))),Resal+(Salim-Resal)*(1-EXP((Tnet-t)/(Tau_j))))*Salcycl</f>
        <v>3.4556162831405411E-2</v>
      </c>
      <c r="P22" s="165">
        <f>(INDEX(Models!$BJ22:$BT22,,T22)*(1-R22)+INDEX(Models!$BJ22:$BT22,,T22+1)*R22-ERP_i)*Q22*Ramure*Pc/MaxiM</f>
        <v>8.348475039132202E-3</v>
      </c>
      <c r="Q22" s="301">
        <f t="shared" si="4"/>
        <v>0.5</v>
      </c>
      <c r="R22" s="173">
        <f t="shared" si="5"/>
        <v>0.49404981199822573</v>
      </c>
      <c r="S22" s="802">
        <f t="shared" si="6"/>
        <v>1</v>
      </c>
      <c r="T22" s="172">
        <f t="shared" si="7"/>
        <v>7</v>
      </c>
      <c r="U22" s="247">
        <f t="shared" si="8"/>
        <v>1.4940498119982257</v>
      </c>
      <c r="V22" s="378">
        <f t="shared" si="9"/>
        <v>18.172453636701949</v>
      </c>
      <c r="W22" s="397">
        <f t="shared" si="10"/>
        <v>7.5894060115736135</v>
      </c>
      <c r="X22" s="153">
        <f t="shared" si="11"/>
        <v>45665</v>
      </c>
      <c r="Y22" s="380">
        <f t="shared" si="12"/>
        <v>7.4534652862376634</v>
      </c>
      <c r="Z22" s="380">
        <f t="shared" si="13"/>
        <v>7.5710054622317164</v>
      </c>
      <c r="AA22" s="381">
        <f t="shared" si="14"/>
        <v>7.9850216639167515</v>
      </c>
      <c r="AB22" s="193">
        <f t="shared" si="15"/>
        <v>45665</v>
      </c>
      <c r="AC22" s="119">
        <f>IF(OR(t&lt;Tnet,NoTnet),'2024'!Resal_s+('2024'!Salim-'2024'!Resal_s)*(1-EXP(('2024'!Tnet_s-t)/'2024'!Tau_j)),Resal_s+(Salim-Resal_s)*(1-EXP((Tnet_s-t)/Tau_j)))*Salcycl</f>
        <v>5.1849101869806909E-2</v>
      </c>
      <c r="AD22" s="227">
        <f>(INDEX(Models!$BJ22:$BT22,,AH22)*(1-AF22)+INDEX(Models!$BJ22:$BT22,,AH22+1)*AF22-ERP_i)*AE22*Ramure*Pc/MaxiM</f>
        <v>8.348475039132202E-3</v>
      </c>
      <c r="AE22" s="301">
        <f t="shared" si="16"/>
        <v>0.5</v>
      </c>
      <c r="AF22" s="173">
        <f t="shared" si="23"/>
        <v>0.49404981199822573</v>
      </c>
      <c r="AG22" s="802">
        <f t="shared" si="24"/>
        <v>1</v>
      </c>
      <c r="AH22" s="172">
        <f t="shared" si="17"/>
        <v>7</v>
      </c>
      <c r="AI22" s="221">
        <f t="shared" si="18"/>
        <v>1.4940498119982257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x14ac:dyDescent="0.2">
      <c r="A23" s="56">
        <f t="shared" si="21"/>
        <v>45666</v>
      </c>
      <c r="B23" s="406">
        <f>'2024'!Wh/'2024'!Env_an*'2025'!Env_an</f>
        <v>2.2797760711704029</v>
      </c>
      <c r="C23" s="385"/>
      <c r="D23" s="388">
        <f t="shared" si="0"/>
        <v>2.3157595434441354</v>
      </c>
      <c r="E23" s="380">
        <f t="shared" si="1"/>
        <v>2.3987483092277566</v>
      </c>
      <c r="F23" s="380">
        <f t="shared" si="2"/>
        <v>2.3987483092277566</v>
      </c>
      <c r="G23" s="110">
        <f t="shared" si="22"/>
        <v>0.12307036913111562</v>
      </c>
      <c r="H23" s="409" t="b">
        <f>Wh_hp&gt;='2024'!Maxi_hp</f>
        <v>0</v>
      </c>
      <c r="I23" s="375">
        <f>IF(H23,Wh_hp,'2024'!Maxi_hp)</f>
        <v>2.4188853930491918</v>
      </c>
      <c r="J23" s="85">
        <f>IF(H23,An,'2024'!An_max)</f>
        <v>2022</v>
      </c>
      <c r="K23" s="193">
        <f t="shared" si="3"/>
        <v>45666</v>
      </c>
      <c r="L23" s="143">
        <f>IF(t&lt;Tvie,1-EXP((T0-t)*PertePVj)+'2024'!Pspv,1-EXP((T0-t)*PertePVj)+Pspv)</f>
        <v>1.5538518399114909E-2</v>
      </c>
      <c r="M23" s="836"/>
      <c r="N23" s="836"/>
      <c r="O23" s="48">
        <f>IF(t&lt;Tnet,'2024'!Resal+('2024'!Salim-'2024'!Resal)*(1-EXP(('2024'!Tnet-t)/('2024'!Tau_j))),Resal+(Salim-Resal)*(1-EXP((Tnet-t)/(Tau_j))))*Salcycl</f>
        <v>3.459669589525978E-2</v>
      </c>
      <c r="P23" s="165">
        <f>(INDEX(Models!$BJ23:$BT23,,T23)*(1-R23)+INDEX(Models!$BJ23:$BT23,,T23+1)*R23-ERP_i)*Q23*Ramure*Pc/MaxiM</f>
        <v>8.3264096608284353E-3</v>
      </c>
      <c r="Q23" s="301">
        <f t="shared" si="4"/>
        <v>0.5</v>
      </c>
      <c r="R23" s="173">
        <f t="shared" si="5"/>
        <v>0.49408872750726074</v>
      </c>
      <c r="S23" s="802">
        <f t="shared" si="6"/>
        <v>1</v>
      </c>
      <c r="T23" s="172">
        <f t="shared" si="7"/>
        <v>7</v>
      </c>
      <c r="U23" s="247">
        <f t="shared" si="8"/>
        <v>1.4940887275072607</v>
      </c>
      <c r="V23" s="378">
        <f t="shared" si="9"/>
        <v>18.369927202040806</v>
      </c>
      <c r="W23" s="397">
        <f t="shared" si="10"/>
        <v>2.2797760711704029</v>
      </c>
      <c r="X23" s="153">
        <f t="shared" si="11"/>
        <v>45666</v>
      </c>
      <c r="Y23" s="380">
        <f t="shared" si="12"/>
        <v>2.2389776474061445</v>
      </c>
      <c r="Z23" s="380">
        <f t="shared" si="13"/>
        <v>2.2743171665439097</v>
      </c>
      <c r="AA23" s="381">
        <f t="shared" si="14"/>
        <v>2.3987483092277566</v>
      </c>
      <c r="AB23" s="193">
        <f t="shared" si="15"/>
        <v>45666</v>
      </c>
      <c r="AC23" s="119">
        <f>IF(OR(t&lt;Tnet,NoTnet),'2024'!Resal_s+('2024'!Salim-'2024'!Resal_s)*(1-EXP(('2024'!Tnet_s-t)/'2024'!Tau_j)),Resal_s+(Salim-Resal_s)*(1-EXP((Tnet_s-t)/Tau_j)))*Salcycl</f>
        <v>5.1873363372543974E-2</v>
      </c>
      <c r="AD23" s="227">
        <f>(INDEX(Models!$BJ23:$BT23,,AH23)*(1-AF23)+INDEX(Models!$BJ23:$BT23,,AH23+1)*AF23-ERP_i)*AE23*Ramure*Pc/MaxiM</f>
        <v>8.3264096608284353E-3</v>
      </c>
      <c r="AE23" s="301">
        <f t="shared" si="16"/>
        <v>0.5</v>
      </c>
      <c r="AF23" s="173">
        <f t="shared" si="23"/>
        <v>0.49408872750726074</v>
      </c>
      <c r="AG23" s="802">
        <f t="shared" si="24"/>
        <v>1</v>
      </c>
      <c r="AH23" s="172">
        <f t="shared" si="17"/>
        <v>7</v>
      </c>
      <c r="AI23" s="221">
        <f t="shared" si="18"/>
        <v>1.4940887275072607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x14ac:dyDescent="0.2">
      <c r="A24" s="56">
        <f t="shared" si="21"/>
        <v>45667</v>
      </c>
      <c r="B24" s="406">
        <f>'2024'!Wh/'2024'!Env_an*'2025'!Env_an</f>
        <v>1.8852152611054418</v>
      </c>
      <c r="C24" s="385"/>
      <c r="D24" s="388">
        <f t="shared" si="0"/>
        <v>1.9149972890831901</v>
      </c>
      <c r="E24" s="380">
        <f t="shared" si="1"/>
        <v>1.983707420158713</v>
      </c>
      <c r="F24" s="380">
        <f t="shared" si="2"/>
        <v>1.983707420158713</v>
      </c>
      <c r="G24" s="110">
        <f t="shared" si="22"/>
        <v>0.10065595261116074</v>
      </c>
      <c r="H24" s="409" t="b">
        <f>Wh_hp&gt;='2024'!Maxi_hp</f>
        <v>0</v>
      </c>
      <c r="I24" s="375">
        <f>IF(H24,Wh_hp,'2024'!Maxi_hp)</f>
        <v>2.0003417507562942</v>
      </c>
      <c r="J24" s="85">
        <f>IF(H24,An,'2024'!An_max)</f>
        <v>2022</v>
      </c>
      <c r="K24" s="193">
        <f t="shared" si="3"/>
        <v>45667</v>
      </c>
      <c r="L24" s="143">
        <f>IF(t&lt;Tvie,1-EXP((T0-t)*PertePVj)+'2024'!Pspv,1-EXP((T0-t)*PertePVj)+Pspv)</f>
        <v>1.5551994850084849E-2</v>
      </c>
      <c r="M24" s="836"/>
      <c r="N24" s="836"/>
      <c r="O24" s="48">
        <f>IF(t&lt;Tnet,'2024'!Resal+('2024'!Salim-'2024'!Resal)*(1-EXP(('2024'!Tnet-t)/('2024'!Tau_j))),Resal+(Salim-Resal)*(1-EXP((Tnet-t)/(Tau_j))))*Salcycl</f>
        <v>3.4637230459129732E-2</v>
      </c>
      <c r="P24" s="165">
        <f>(INDEX(Models!$BJ24:$BT24,,T24)*(1-R24)+INDEX(Models!$BJ24:$BT24,,T24+1)*R24-ERP_i)*Q24*Ramure*Pc/MaxiM</f>
        <v>8.3174205289338141E-3</v>
      </c>
      <c r="Q24" s="301">
        <f t="shared" si="4"/>
        <v>0.5</v>
      </c>
      <c r="R24" s="173">
        <f t="shared" si="5"/>
        <v>0.49412926915573041</v>
      </c>
      <c r="S24" s="802">
        <f t="shared" si="6"/>
        <v>1</v>
      </c>
      <c r="T24" s="172">
        <f t="shared" si="7"/>
        <v>7</v>
      </c>
      <c r="U24" s="247">
        <f t="shared" si="8"/>
        <v>1.4941292691557304</v>
      </c>
      <c r="V24" s="378">
        <f t="shared" si="9"/>
        <v>18.573517854561242</v>
      </c>
      <c r="W24" s="397">
        <f t="shared" si="10"/>
        <v>1.8852152611054418</v>
      </c>
      <c r="X24" s="153">
        <f t="shared" si="11"/>
        <v>45667</v>
      </c>
      <c r="Y24" s="380">
        <f t="shared" si="12"/>
        <v>1.8515081088786967</v>
      </c>
      <c r="Z24" s="380">
        <f t="shared" si="13"/>
        <v>1.8807576420419914</v>
      </c>
      <c r="AA24" s="381">
        <f t="shared" si="14"/>
        <v>1.983707420158713</v>
      </c>
      <c r="AB24" s="193">
        <f t="shared" si="15"/>
        <v>45667</v>
      </c>
      <c r="AC24" s="119">
        <f>IF(OR(t&lt;Tnet,NoTnet),'2024'!Resal_s+('2024'!Salim-'2024'!Resal_s)*(1-EXP(('2024'!Tnet_s-t)/'2024'!Tau_j)),Resal_s+(Salim-Resal_s)*(1-EXP((Tnet_s-t)/Tau_j)))*Salcycl</f>
        <v>5.1897662462987985E-2</v>
      </c>
      <c r="AD24" s="227">
        <f>(INDEX(Models!$BJ24:$BT24,,AH24)*(1-AF24)+INDEX(Models!$BJ24:$BT24,,AH24+1)*AF24-ERP_i)*AE24*Ramure*Pc/MaxiM</f>
        <v>8.3174205289338141E-3</v>
      </c>
      <c r="AE24" s="301">
        <f t="shared" si="16"/>
        <v>0.5</v>
      </c>
      <c r="AF24" s="173">
        <f t="shared" si="23"/>
        <v>0.49412926915573041</v>
      </c>
      <c r="AG24" s="802">
        <f t="shared" si="24"/>
        <v>1</v>
      </c>
      <c r="AH24" s="172">
        <f t="shared" si="17"/>
        <v>7</v>
      </c>
      <c r="AI24" s="221">
        <f t="shared" si="18"/>
        <v>1.4941292691557304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x14ac:dyDescent="0.2">
      <c r="A25" s="56">
        <f t="shared" si="21"/>
        <v>45668</v>
      </c>
      <c r="B25" s="406">
        <f>'2024'!Wh/'2024'!Env_an*'2025'!Env_an</f>
        <v>18.918034294674641</v>
      </c>
      <c r="C25" s="385"/>
      <c r="D25" s="388">
        <f t="shared" si="0"/>
        <v>19.217158418988017</v>
      </c>
      <c r="E25" s="380">
        <f t="shared" si="1"/>
        <v>19.907506241518664</v>
      </c>
      <c r="F25" s="380">
        <f t="shared" si="2"/>
        <v>20.074424837955931</v>
      </c>
      <c r="G25" s="110">
        <f t="shared" si="22"/>
        <v>1.0071655941106643</v>
      </c>
      <c r="H25" s="409" t="b">
        <f>Wh_hp&gt;='2024'!Maxi_hp</f>
        <v>1</v>
      </c>
      <c r="I25" s="375">
        <f>IF(H25,Wh_hp,'2024'!Maxi_hp)</f>
        <v>20.074424837955931</v>
      </c>
      <c r="J25" s="85">
        <f>IF(H25,An,'2024'!An_max)</f>
        <v>2025</v>
      </c>
      <c r="K25" s="193">
        <f t="shared" si="3"/>
        <v>45668</v>
      </c>
      <c r="L25" s="143">
        <f>IF(t&lt;Tvie,1-EXP((T0-t)*PertePVj)+'2024'!Pspv,1-EXP((T0-t)*PertePVj)+Pspv)</f>
        <v>1.5565471116573582E-2</v>
      </c>
      <c r="M25" s="836"/>
      <c r="N25" s="836"/>
      <c r="O25" s="48">
        <f>IF(t&lt;Tnet,'2024'!Resal+('2024'!Salim-'2024'!Resal)*(1-EXP(('2024'!Tnet-t)/('2024'!Tau_j))),Resal+(Salim-Resal)*(1-EXP((Tnet-t)/(Tau_j))))*Salcycl</f>
        <v>3.4677764967410804E-2</v>
      </c>
      <c r="P25" s="165">
        <f>(INDEX(Models!$BJ25:$BT25,,T25)*(1-R25)+INDEX(Models!$BJ25:$BT25,,T25+1)*R25-ERP_i)*Q25*Ramure*Pc/MaxiM</f>
        <v>8.3149877411013637E-3</v>
      </c>
      <c r="Q25" s="301">
        <f t="shared" si="4"/>
        <v>0.5</v>
      </c>
      <c r="R25" s="173">
        <f t="shared" si="5"/>
        <v>0.49417150461309634</v>
      </c>
      <c r="S25" s="802">
        <f t="shared" si="6"/>
        <v>1</v>
      </c>
      <c r="T25" s="172">
        <f t="shared" si="7"/>
        <v>7</v>
      </c>
      <c r="U25" s="247">
        <f t="shared" si="8"/>
        <v>1.4941715046130963</v>
      </c>
      <c r="V25" s="378">
        <f t="shared" si="9"/>
        <v>18.783439789143536</v>
      </c>
      <c r="W25" s="397">
        <f t="shared" si="10"/>
        <v>18.918034294674641</v>
      </c>
      <c r="X25" s="153">
        <f t="shared" si="11"/>
        <v>45668</v>
      </c>
      <c r="Y25" s="380">
        <f t="shared" si="12"/>
        <v>18.580088110002798</v>
      </c>
      <c r="Z25" s="380">
        <f t="shared" si="13"/>
        <v>18.873868769187588</v>
      </c>
      <c r="AA25" s="381">
        <f t="shared" si="14"/>
        <v>19.907506241518664</v>
      </c>
      <c r="AB25" s="193">
        <f t="shared" si="15"/>
        <v>45668</v>
      </c>
      <c r="AC25" s="119">
        <f>IF(OR(t&lt;Tnet,NoTnet),'2024'!Resal_s+('2024'!Salim-'2024'!Resal_s)*(1-EXP(('2024'!Tnet_s-t)/'2024'!Tau_j)),Resal_s+(Salim-Resal_s)*(1-EXP((Tnet_s-t)/Tau_j)))*Salcycl</f>
        <v>5.1921996647442667E-2</v>
      </c>
      <c r="AD25" s="227">
        <f>(INDEX(Models!$BJ25:$BT25,,AH25)*(1-AF25)+INDEX(Models!$BJ25:$BT25,,AH25+1)*AF25-ERP_i)*AE25*Ramure*Pc/MaxiM</f>
        <v>8.3149877411013637E-3</v>
      </c>
      <c r="AE25" s="301">
        <f t="shared" si="16"/>
        <v>0.5</v>
      </c>
      <c r="AF25" s="173">
        <f t="shared" si="23"/>
        <v>0.49417150461309634</v>
      </c>
      <c r="AG25" s="802">
        <f t="shared" si="24"/>
        <v>1</v>
      </c>
      <c r="AH25" s="172">
        <f t="shared" si="17"/>
        <v>7</v>
      </c>
      <c r="AI25" s="221">
        <f t="shared" si="18"/>
        <v>1.4941715046130963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x14ac:dyDescent="0.2">
      <c r="A26" s="56">
        <f t="shared" si="21"/>
        <v>45669</v>
      </c>
      <c r="B26" s="406">
        <f>'2024'!Wh/'2024'!Env_an*'2025'!Env_an</f>
        <v>16.982067148510748</v>
      </c>
      <c r="C26" s="385"/>
      <c r="D26" s="388">
        <f t="shared" si="0"/>
        <v>17.250816711186769</v>
      </c>
      <c r="E26" s="380">
        <f t="shared" si="1"/>
        <v>17.871277042679775</v>
      </c>
      <c r="F26" s="380">
        <f t="shared" si="2"/>
        <v>17.998286999407735</v>
      </c>
      <c r="G26" s="110">
        <f t="shared" si="22"/>
        <v>0.89266671334731285</v>
      </c>
      <c r="H26" s="409" t="b">
        <f>Wh_hp&gt;='2024'!Maxi_hp</f>
        <v>0</v>
      </c>
      <c r="I26" s="375">
        <f>IF(H26,Wh_hp,'2024'!Maxi_hp)</f>
        <v>18.021186492350228</v>
      </c>
      <c r="J26" s="85">
        <f>IF(H26,An,'2024'!An_max)</f>
        <v>2022</v>
      </c>
      <c r="K26" s="193">
        <f t="shared" si="3"/>
        <v>45669</v>
      </c>
      <c r="L26" s="143">
        <f>IF(t&lt;Tvie,1-EXP((T0-t)*PertePVj)+'2024'!Pspv,1-EXP((T0-t)*PertePVj)+Pspv)</f>
        <v>1.5578947198583548E-2</v>
      </c>
      <c r="M26" s="836"/>
      <c r="N26" s="836"/>
      <c r="O26" s="48">
        <f>IF(t&lt;Tnet,'2024'!Resal+('2024'!Salim-'2024'!Resal)*(1-EXP(('2024'!Tnet-t)/('2024'!Tau_j))),Resal+(Salim-Resal)*(1-EXP((Tnet-t)/(Tau_j))))*Salcycl</f>
        <v>3.4718298530722731E-2</v>
      </c>
      <c r="P26" s="165">
        <f>(INDEX(Models!$BJ26:$BT26,,T26)*(1-R26)+INDEX(Models!$BJ26:$BT26,,T26+1)*R26-ERP_i)*Q26*Ramure*Pc/MaxiM</f>
        <v>8.3188333812736718E-3</v>
      </c>
      <c r="Q26" s="301">
        <f t="shared" si="4"/>
        <v>0.5</v>
      </c>
      <c r="R26" s="173">
        <f t="shared" si="5"/>
        <v>0.49421550434076744</v>
      </c>
      <c r="S26" s="802">
        <f t="shared" si="6"/>
        <v>1</v>
      </c>
      <c r="T26" s="172">
        <f t="shared" si="7"/>
        <v>7</v>
      </c>
      <c r="U26" s="247">
        <f t="shared" si="8"/>
        <v>1.4942155043407674</v>
      </c>
      <c r="V26" s="378">
        <f t="shared" si="9"/>
        <v>18.999792763263493</v>
      </c>
      <c r="W26" s="397">
        <f t="shared" si="10"/>
        <v>16.982067148510748</v>
      </c>
      <c r="X26" s="153">
        <f t="shared" si="11"/>
        <v>45669</v>
      </c>
      <c r="Y26" s="380">
        <f t="shared" si="12"/>
        <v>16.67897617350603</v>
      </c>
      <c r="Z26" s="380">
        <f t="shared" si="13"/>
        <v>16.942929172473331</v>
      </c>
      <c r="AA26" s="381">
        <f t="shared" si="14"/>
        <v>17.871277042679775</v>
      </c>
      <c r="AB26" s="193">
        <f t="shared" si="15"/>
        <v>45669</v>
      </c>
      <c r="AC26" s="119">
        <f>IF(OR(t&lt;Tnet,NoTnet),'2024'!Resal_s+('2024'!Salim-'2024'!Resal_s)*(1-EXP(('2024'!Tnet_s-t)/'2024'!Tau_j)),Resal_s+(Salim-Resal_s)*(1-EXP((Tnet_s-t)/Tau_j)))*Salcycl</f>
        <v>5.1946364436597621E-2</v>
      </c>
      <c r="AD26" s="227">
        <f>(INDEX(Models!$BJ26:$BT26,,AH26)*(1-AF26)+INDEX(Models!$BJ26:$BT26,,AH26+1)*AF26-ERP_i)*AE26*Ramure*Pc/MaxiM</f>
        <v>8.3188333812736718E-3</v>
      </c>
      <c r="AE26" s="301">
        <f t="shared" si="16"/>
        <v>0.5</v>
      </c>
      <c r="AF26" s="173">
        <f t="shared" si="23"/>
        <v>0.49421550434076744</v>
      </c>
      <c r="AG26" s="802">
        <f t="shared" si="24"/>
        <v>1</v>
      </c>
      <c r="AH26" s="172">
        <f t="shared" si="17"/>
        <v>7</v>
      </c>
      <c r="AI26" s="221">
        <f t="shared" si="18"/>
        <v>1.4942155043407674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x14ac:dyDescent="0.2">
      <c r="A27" s="56">
        <f t="shared" si="21"/>
        <v>45670</v>
      </c>
      <c r="B27" s="406">
        <f>'2024'!Wh/'2024'!Env_an*'2025'!Env_an</f>
        <v>5.7696352929048285</v>
      </c>
      <c r="C27" s="385"/>
      <c r="D27" s="388">
        <f t="shared" si="0"/>
        <v>5.8610228408148206</v>
      </c>
      <c r="E27" s="380">
        <f t="shared" si="1"/>
        <v>6.0720812872325549</v>
      </c>
      <c r="F27" s="380">
        <f t="shared" si="2"/>
        <v>6.0720919323254838</v>
      </c>
      <c r="G27" s="110">
        <f t="shared" si="22"/>
        <v>0.29764803477137763</v>
      </c>
      <c r="H27" s="409" t="b">
        <f>Wh_hp&gt;='2024'!Maxi_hp</f>
        <v>0</v>
      </c>
      <c r="I27" s="375">
        <f>IF(H27,Wh_hp,'2024'!Maxi_hp)</f>
        <v>6.1230639003066996</v>
      </c>
      <c r="J27" s="85">
        <f>IF(H27,An,'2024'!An_max)</f>
        <v>2022</v>
      </c>
      <c r="K27" s="193">
        <f t="shared" si="3"/>
        <v>45670</v>
      </c>
      <c r="L27" s="143">
        <f>IF(t&lt;Tvie,1-EXP((T0-t)*PertePVj)+'2024'!Pspv,1-EXP((T0-t)*PertePVj)+Pspv)</f>
        <v>1.5592423096117303E-2</v>
      </c>
      <c r="M27" s="836"/>
      <c r="N27" s="836"/>
      <c r="O27" s="48">
        <f>IF(t&lt;Tnet,'2024'!Resal+('2024'!Salim-'2024'!Resal)*(1-EXP(('2024'!Tnet-t)/('2024'!Tau_j))),Resal+(Salim-Resal)*(1-EXP((Tnet-t)/(Tau_j))))*Salcycl</f>
        <v>3.4758830857800953E-2</v>
      </c>
      <c r="P27" s="165">
        <f>(INDEX(Models!$BJ27:$BT27,,T27)*(1-R27)+INDEX(Models!$BJ27:$BT27,,T27+1)*R27-ERP_i)*Q27*Ramure*Pc/MaxiM</f>
        <v>8.328680116500042E-3</v>
      </c>
      <c r="Q27" s="301">
        <f t="shared" si="4"/>
        <v>0.5</v>
      </c>
      <c r="R27" s="173">
        <f t="shared" si="5"/>
        <v>0.49426134170523661</v>
      </c>
      <c r="S27" s="802">
        <f t="shared" si="6"/>
        <v>1</v>
      </c>
      <c r="T27" s="172">
        <f t="shared" si="7"/>
        <v>7</v>
      </c>
      <c r="U27" s="247">
        <f t="shared" si="8"/>
        <v>1.4942613417052366</v>
      </c>
      <c r="V27" s="378">
        <f t="shared" si="9"/>
        <v>19.222676478213955</v>
      </c>
      <c r="W27" s="397">
        <f t="shared" si="10"/>
        <v>5.7696352929048285</v>
      </c>
      <c r="X27" s="153">
        <f t="shared" si="11"/>
        <v>45670</v>
      </c>
      <c r="Y27" s="380">
        <f t="shared" si="12"/>
        <v>5.6667526276742688</v>
      </c>
      <c r="Z27" s="380">
        <f t="shared" si="13"/>
        <v>5.7565105761346338</v>
      </c>
      <c r="AA27" s="381">
        <f t="shared" si="14"/>
        <v>6.0720812872325549</v>
      </c>
      <c r="AB27" s="193">
        <f t="shared" si="15"/>
        <v>45670</v>
      </c>
      <c r="AC27" s="119">
        <f>IF(OR(t&lt;Tnet,NoTnet),'2024'!Resal_s+('2024'!Salim-'2024'!Resal_s)*(1-EXP(('2024'!Tnet_s-t)/'2024'!Tau_j)),Resal_s+(Salim-Resal_s)*(1-EXP((Tnet_s-t)/Tau_j)))*Salcycl</f>
        <v>5.1970765240158319E-2</v>
      </c>
      <c r="AD27" s="227">
        <f>(INDEX(Models!$BJ27:$BT27,,AH27)*(1-AF27)+INDEX(Models!$BJ27:$BT27,,AH27+1)*AF27-ERP_i)*AE27*Ramure*Pc/MaxiM</f>
        <v>8.328680116500042E-3</v>
      </c>
      <c r="AE27" s="301">
        <f t="shared" si="16"/>
        <v>0.5</v>
      </c>
      <c r="AF27" s="173">
        <f t="shared" si="23"/>
        <v>0.49426134170523661</v>
      </c>
      <c r="AG27" s="802">
        <f t="shared" si="24"/>
        <v>1</v>
      </c>
      <c r="AH27" s="172">
        <f t="shared" si="17"/>
        <v>7</v>
      </c>
      <c r="AI27" s="221">
        <f t="shared" si="18"/>
        <v>1.4942613417052366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x14ac:dyDescent="0.2">
      <c r="A28" s="56">
        <f t="shared" si="21"/>
        <v>45671</v>
      </c>
      <c r="B28" s="406">
        <f>'2024'!Wh/'2024'!Env_an*'2025'!Env_an</f>
        <v>19.519137503475545</v>
      </c>
      <c r="C28" s="385"/>
      <c r="D28" s="388">
        <f t="shared" si="0"/>
        <v>19.828580321502557</v>
      </c>
      <c r="E28" s="380">
        <f t="shared" si="1"/>
        <v>20.54348033418448</v>
      </c>
      <c r="F28" s="380">
        <f t="shared" si="2"/>
        <v>20.71634270725017</v>
      </c>
      <c r="G28" s="110">
        <f t="shared" si="22"/>
        <v>1.0034416130426369</v>
      </c>
      <c r="H28" s="409" t="b">
        <f>Wh_hp&gt;='2024'!Maxi_hp</f>
        <v>1</v>
      </c>
      <c r="I28" s="375">
        <f>IF(H28,Wh_hp,'2024'!Maxi_hp)</f>
        <v>20.71634270725017</v>
      </c>
      <c r="J28" s="85">
        <f>IF(H28,An,'2024'!An_max)</f>
        <v>2025</v>
      </c>
      <c r="K28" s="193">
        <f t="shared" si="3"/>
        <v>45671</v>
      </c>
      <c r="L28" s="143">
        <f>IF(t&lt;Tvie,1-EXP((T0-t)*PertePVj)+'2024'!Pspv,1-EXP((T0-t)*PertePVj)+Pspv)</f>
        <v>1.5605898809177288E-2</v>
      </c>
      <c r="M28" s="836"/>
      <c r="N28" s="836"/>
      <c r="O28" s="48">
        <f>IF(t&lt;Tnet,'2024'!Resal+('2024'!Salim-'2024'!Resal)*(1-EXP(('2024'!Tnet-t)/('2024'!Tau_j))),Resal+(Salim-Resal)*(1-EXP((Tnet-t)/(Tau_j))))*Salcycl</f>
        <v>3.4799362184621013E-2</v>
      </c>
      <c r="P28" s="165">
        <f>(INDEX(Models!$BJ28:$BT28,,T28)*(1-R28)+INDEX(Models!$BJ28:$BT28,,T28+1)*R28-ERP_i)*Q28*Ramure*Pc/MaxiM</f>
        <v>8.3442514689232566E-3</v>
      </c>
      <c r="Q28" s="301">
        <f t="shared" si="4"/>
        <v>0.5</v>
      </c>
      <c r="R28" s="173">
        <f t="shared" si="5"/>
        <v>0.49430909309562621</v>
      </c>
      <c r="S28" s="802">
        <f t="shared" si="6"/>
        <v>1</v>
      </c>
      <c r="T28" s="172">
        <f t="shared" si="7"/>
        <v>7</v>
      </c>
      <c r="U28" s="247">
        <f t="shared" si="8"/>
        <v>1.4943090930956262</v>
      </c>
      <c r="V28" s="378">
        <f t="shared" si="9"/>
        <v>19.45219059063097</v>
      </c>
      <c r="W28" s="397">
        <f t="shared" si="10"/>
        <v>19.519137503475545</v>
      </c>
      <c r="X28" s="153">
        <f t="shared" si="11"/>
        <v>45671</v>
      </c>
      <c r="Y28" s="380">
        <f t="shared" si="12"/>
        <v>19.17138813907555</v>
      </c>
      <c r="Z28" s="380">
        <f t="shared" si="13"/>
        <v>19.47531798075984</v>
      </c>
      <c r="AA28" s="381">
        <f t="shared" si="14"/>
        <v>20.54348033418448</v>
      </c>
      <c r="AB28" s="193">
        <f t="shared" si="15"/>
        <v>45671</v>
      </c>
      <c r="AC28" s="119">
        <f>IF(OR(t&lt;Tnet,NoTnet),'2024'!Resal_s+('2024'!Salim-'2024'!Resal_s)*(1-EXP(('2024'!Tnet_s-t)/'2024'!Tau_j)),Resal_s+(Salim-Resal_s)*(1-EXP((Tnet_s-t)/Tau_j)))*Salcycl</f>
        <v>5.1995199257801085E-2</v>
      </c>
      <c r="AD28" s="227">
        <f>(INDEX(Models!$BJ28:$BT28,,AH28)*(1-AF28)+INDEX(Models!$BJ28:$BT28,,AH28+1)*AF28-ERP_i)*AE28*Ramure*Pc/MaxiM</f>
        <v>8.3442514689232566E-3</v>
      </c>
      <c r="AE28" s="301">
        <f t="shared" si="16"/>
        <v>0.5</v>
      </c>
      <c r="AF28" s="173">
        <f t="shared" si="23"/>
        <v>0.49430909309562621</v>
      </c>
      <c r="AG28" s="802">
        <f t="shared" si="24"/>
        <v>1</v>
      </c>
      <c r="AH28" s="172">
        <f t="shared" si="17"/>
        <v>7</v>
      </c>
      <c r="AI28" s="221">
        <f t="shared" si="18"/>
        <v>1.4943090930956262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x14ac:dyDescent="0.2">
      <c r="A29" s="56">
        <f t="shared" si="21"/>
        <v>45672</v>
      </c>
      <c r="B29" s="406">
        <f>'2024'!Wh/'2024'!Env_an*'2025'!Env_an</f>
        <v>20.083373508678957</v>
      </c>
      <c r="C29" s="385"/>
      <c r="D29" s="388">
        <f t="shared" si="0"/>
        <v>20.402040618351293</v>
      </c>
      <c r="E29" s="380">
        <f t="shared" si="1"/>
        <v>21.138503834382416</v>
      </c>
      <c r="F29" s="380">
        <f t="shared" si="2"/>
        <v>21.31682487483608</v>
      </c>
      <c r="G29" s="110">
        <f t="shared" si="22"/>
        <v>1.0200594310119342</v>
      </c>
      <c r="H29" s="409" t="b">
        <f>Wh_hp&gt;='2024'!Maxi_hp</f>
        <v>1</v>
      </c>
      <c r="I29" s="375">
        <f>IF(H29,Wh_hp,'2024'!Maxi_hp)</f>
        <v>21.31682487483608</v>
      </c>
      <c r="J29" s="85">
        <f>IF(H29,An,'2024'!An_max)</f>
        <v>2025</v>
      </c>
      <c r="K29" s="193">
        <f t="shared" si="3"/>
        <v>45672</v>
      </c>
      <c r="L29" s="143">
        <f>IF(t&lt;Tvie,1-EXP((T0-t)*PertePVj)+'2024'!Pspv,1-EXP((T0-t)*PertePVj)+Pspv)</f>
        <v>1.5619374337766057E-2</v>
      </c>
      <c r="M29" s="836"/>
      <c r="N29" s="836"/>
      <c r="O29" s="48">
        <f>IF(t&lt;Tnet,'2024'!Resal+('2024'!Salim-'2024'!Resal)*(1-EXP(('2024'!Tnet-t)/('2024'!Tau_j))),Resal+(Salim-Resal)*(1-EXP((Tnet-t)/(Tau_j))))*Salcycl</f>
        <v>3.4839893201582345E-2</v>
      </c>
      <c r="P29" s="165">
        <f>(INDEX(Models!$BJ29:$BT29,,T29)*(1-R29)+INDEX(Models!$BJ29:$BT29,,T29+1)*R29-ERP_i)*Q29*Ramure*Pc/MaxiM</f>
        <v>8.3652721031716726E-3</v>
      </c>
      <c r="Q29" s="301">
        <f t="shared" si="4"/>
        <v>0.5</v>
      </c>
      <c r="R29" s="173">
        <f t="shared" si="5"/>
        <v>0.49435883804579839</v>
      </c>
      <c r="S29" s="802">
        <f t="shared" si="6"/>
        <v>1</v>
      </c>
      <c r="T29" s="172">
        <f t="shared" si="7"/>
        <v>7</v>
      </c>
      <c r="U29" s="247">
        <f t="shared" si="8"/>
        <v>1.4943588380457984</v>
      </c>
      <c r="V29" s="378">
        <f t="shared" si="9"/>
        <v>19.688434710863422</v>
      </c>
      <c r="W29" s="397">
        <f t="shared" si="10"/>
        <v>20.083373508678957</v>
      </c>
      <c r="X29" s="153">
        <f t="shared" si="11"/>
        <v>45672</v>
      </c>
      <c r="Y29" s="380">
        <f t="shared" si="12"/>
        <v>19.725891036141373</v>
      </c>
      <c r="Z29" s="380">
        <f t="shared" si="13"/>
        <v>20.038885896266947</v>
      </c>
      <c r="AA29" s="381">
        <f t="shared" si="14"/>
        <v>21.138503834382416</v>
      </c>
      <c r="AB29" s="193">
        <f t="shared" si="15"/>
        <v>45672</v>
      </c>
      <c r="AC29" s="119">
        <f>IF(OR(t&lt;Tnet,NoTnet),'2024'!Resal_s+('2024'!Salim-'2024'!Resal_s)*(1-EXP(('2024'!Tnet_s-t)/'2024'!Tau_j)),Resal_s+(Salim-Resal_s)*(1-EXP((Tnet_s-t)/Tau_j)))*Salcycl</f>
        <v>5.2019667367702027E-2</v>
      </c>
      <c r="AD29" s="227">
        <f>(INDEX(Models!$BJ29:$BT29,,AH29)*(1-AF29)+INDEX(Models!$BJ29:$BT29,,AH29+1)*AF29-ERP_i)*AE29*Ramure*Pc/MaxiM</f>
        <v>8.3652721031716726E-3</v>
      </c>
      <c r="AE29" s="301">
        <f t="shared" si="16"/>
        <v>0.5</v>
      </c>
      <c r="AF29" s="173">
        <f t="shared" si="23"/>
        <v>0.49435883804579839</v>
      </c>
      <c r="AG29" s="802">
        <f t="shared" si="24"/>
        <v>1</v>
      </c>
      <c r="AH29" s="172">
        <f t="shared" si="17"/>
        <v>7</v>
      </c>
      <c r="AI29" s="221">
        <f t="shared" si="18"/>
        <v>1.4943588380457984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x14ac:dyDescent="0.2">
      <c r="A30" s="56">
        <f t="shared" si="21"/>
        <v>45673</v>
      </c>
      <c r="B30" s="406">
        <f>'2024'!Wh/'2024'!Env_an*'2025'!Env_an</f>
        <v>19.808163128052541</v>
      </c>
      <c r="C30" s="385"/>
      <c r="D30" s="388">
        <f t="shared" si="0"/>
        <v>20.122738880153832</v>
      </c>
      <c r="E30" s="380">
        <f t="shared" si="1"/>
        <v>20.849995587052558</v>
      </c>
      <c r="F30" s="380">
        <f t="shared" si="2"/>
        <v>21.024668849085081</v>
      </c>
      <c r="G30" s="110">
        <f t="shared" si="22"/>
        <v>0.99372791087941337</v>
      </c>
      <c r="H30" s="409" t="b">
        <f>Wh_hp&gt;='2024'!Maxi_hp</f>
        <v>0</v>
      </c>
      <c r="I30" s="375">
        <f>IF(H30,Wh_hp,'2024'!Maxi_hp)</f>
        <v>21.026241804609086</v>
      </c>
      <c r="J30" s="85">
        <f>IF(H30,An,'2024'!An_max)</f>
        <v>2022</v>
      </c>
      <c r="K30" s="193">
        <f t="shared" si="3"/>
        <v>45673</v>
      </c>
      <c r="L30" s="143">
        <f>IF(t&lt;Tvie,1-EXP((T0-t)*PertePVj)+'2024'!Pspv,1-EXP((T0-t)*PertePVj)+Pspv)</f>
        <v>1.5632849681886163E-2</v>
      </c>
      <c r="M30" s="836"/>
      <c r="N30" s="836"/>
      <c r="O30" s="48">
        <f>IF(t&lt;Tnet,'2024'!Resal+('2024'!Salim-'2024'!Resal)*(1-EXP(('2024'!Tnet-t)/('2024'!Tau_j))),Resal+(Salim-Resal)*(1-EXP((Tnet-t)/(Tau_j))))*Salcycl</f>
        <v>3.4880424979578335E-2</v>
      </c>
      <c r="P30" s="165">
        <f>(INDEX(Models!$BJ30:$BT30,,T30)*(1-R30)+INDEX(Models!$BJ30:$BT30,,T30+1)*R30-ERP_i)*Q30*Ramure*Pc/MaxiM</f>
        <v>8.3822301575639264E-3</v>
      </c>
      <c r="Q30" s="301">
        <f t="shared" si="4"/>
        <v>0.5</v>
      </c>
      <c r="R30" s="173">
        <f t="shared" si="5"/>
        <v>0.49441065936119166</v>
      </c>
      <c r="S30" s="802">
        <f t="shared" si="6"/>
        <v>1</v>
      </c>
      <c r="T30" s="172">
        <f t="shared" si="7"/>
        <v>7</v>
      </c>
      <c r="U30" s="247">
        <f t="shared" si="8"/>
        <v>1.4944106593611917</v>
      </c>
      <c r="V30" s="378">
        <f t="shared" si="9"/>
        <v>19.931694106185834</v>
      </c>
      <c r="W30" s="397">
        <f t="shared" si="10"/>
        <v>19.808163128052541</v>
      </c>
      <c r="X30" s="153">
        <f t="shared" si="11"/>
        <v>45673</v>
      </c>
      <c r="Y30" s="380">
        <f t="shared" si="12"/>
        <v>19.455893533553056</v>
      </c>
      <c r="Z30" s="380">
        <f t="shared" si="13"/>
        <v>19.764874851081302</v>
      </c>
      <c r="AA30" s="381">
        <f t="shared" si="14"/>
        <v>20.849995587052558</v>
      </c>
      <c r="AB30" s="193">
        <f t="shared" si="15"/>
        <v>45673</v>
      </c>
      <c r="AC30" s="119">
        <f>IF(OR(t&lt;Tnet,NoTnet),'2024'!Resal_s+('2024'!Salim-'2024'!Resal_s)*(1-EXP(('2024'!Tnet_s-t)/'2024'!Tau_j)),Resal_s+(Salim-Resal_s)*(1-EXP((Tnet_s-t)/Tau_j)))*Salcycl</f>
        <v>5.2044171013882388E-2</v>
      </c>
      <c r="AD30" s="227">
        <f>(INDEX(Models!$BJ30:$BT30,,AH30)*(1-AF30)+INDEX(Models!$BJ30:$BT30,,AH30+1)*AF30-ERP_i)*AE30*Ramure*Pc/MaxiM</f>
        <v>8.3822301575639264E-3</v>
      </c>
      <c r="AE30" s="301">
        <f t="shared" si="16"/>
        <v>0.5</v>
      </c>
      <c r="AF30" s="173">
        <f t="shared" si="23"/>
        <v>0.49441065936119166</v>
      </c>
      <c r="AG30" s="802">
        <f t="shared" si="24"/>
        <v>1</v>
      </c>
      <c r="AH30" s="172">
        <f t="shared" si="17"/>
        <v>7</v>
      </c>
      <c r="AI30" s="221">
        <f t="shared" si="18"/>
        <v>1.4944106593611917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45674</v>
      </c>
      <c r="B31" s="406">
        <f>'2024'!Wh/'2024'!Env_an*'2025'!Env_an</f>
        <v>13.291812487463746</v>
      </c>
      <c r="C31" s="385"/>
      <c r="D31" s="388">
        <f t="shared" si="0"/>
        <v>13.503086159884605</v>
      </c>
      <c r="E31" s="380">
        <f t="shared" si="1"/>
        <v>13.991689369229892</v>
      </c>
      <c r="F31" s="380">
        <f t="shared" si="2"/>
        <v>14.052099825750647</v>
      </c>
      <c r="G31" s="110">
        <f t="shared" si="22"/>
        <v>0.65588579725188279</v>
      </c>
      <c r="H31" s="409" t="b">
        <f>Wh_hp&gt;='2024'!Maxi_hp</f>
        <v>0</v>
      </c>
      <c r="I31" s="375">
        <f>IF(H31,Wh_hp,'2024'!Maxi_hp)</f>
        <v>14.110078337543527</v>
      </c>
      <c r="J31" s="85">
        <f>IF(H31,An,'2024'!An_max)</f>
        <v>2022</v>
      </c>
      <c r="K31" s="193">
        <f t="shared" si="3"/>
        <v>45674</v>
      </c>
      <c r="L31" s="143">
        <f>IF(t&lt;Tvie,1-EXP((T0-t)*PertePVj)+'2024'!Pspv,1-EXP((T0-t)*PertePVj)+Pspv)</f>
        <v>1.564632484154016E-2</v>
      </c>
      <c r="M31" s="836"/>
      <c r="N31" s="836"/>
      <c r="O31" s="48">
        <f>IF(t&lt;Tnet,'2024'!Resal+('2024'!Salim-'2024'!Resal)*(1-EXP(('2024'!Tnet-t)/('2024'!Tau_j))),Resal+(Salim-Resal)*(1-EXP((Tnet-t)/(Tau_j))))*Salcycl</f>
        <v>3.4920958895772014E-2</v>
      </c>
      <c r="P31" s="165">
        <f>(INDEX(Models!$BJ31:$BT31,,T31)*(1-R31)+INDEX(Models!$BJ31:$BT31,,T31+1)*R31-ERP_i)*Q31*Ramure*Pc/MaxiM</f>
        <v>8.3920305723225955E-3</v>
      </c>
      <c r="Q31" s="301">
        <f t="shared" si="4"/>
        <v>0.5</v>
      </c>
      <c r="R31" s="173">
        <f t="shared" si="5"/>
        <v>0.49446464325054573</v>
      </c>
      <c r="S31" s="802">
        <f t="shared" si="6"/>
        <v>1</v>
      </c>
      <c r="T31" s="172">
        <f t="shared" si="7"/>
        <v>7</v>
      </c>
      <c r="U31" s="247">
        <f t="shared" si="8"/>
        <v>1.4944646432505457</v>
      </c>
      <c r="V31" s="378">
        <f t="shared" si="9"/>
        <v>20.182132788756167</v>
      </c>
      <c r="W31" s="397">
        <f t="shared" si="10"/>
        <v>13.291812487463746</v>
      </c>
      <c r="X31" s="153">
        <f t="shared" si="11"/>
        <v>45674</v>
      </c>
      <c r="Y31" s="380">
        <f t="shared" si="12"/>
        <v>13.055640412038738</v>
      </c>
      <c r="Z31" s="380">
        <f t="shared" si="13"/>
        <v>13.263160123760455</v>
      </c>
      <c r="AA31" s="381">
        <f t="shared" si="14"/>
        <v>13.991689369229892</v>
      </c>
      <c r="AB31" s="193">
        <f t="shared" si="15"/>
        <v>45674</v>
      </c>
      <c r="AC31" s="119">
        <f>IF(OR(t&lt;Tnet,NoTnet),'2024'!Resal_s+('2024'!Salim-'2024'!Resal_s)*(1-EXP(('2024'!Tnet_s-t)/'2024'!Tau_j)),Resal_s+(Salim-Resal_s)*(1-EXP((Tnet_s-t)/Tau_j)))*Salcycl</f>
        <v>5.2068712093594434E-2</v>
      </c>
      <c r="AD31" s="227">
        <f>(INDEX(Models!$BJ31:$BT31,,AH31)*(1-AF31)+INDEX(Models!$BJ31:$BT31,,AH31+1)*AF31-ERP_i)*AE31*Ramure*Pc/MaxiM</f>
        <v>8.3920305723225955E-3</v>
      </c>
      <c r="AE31" s="301">
        <f t="shared" si="16"/>
        <v>0.5</v>
      </c>
      <c r="AF31" s="173">
        <f t="shared" si="23"/>
        <v>0.49446464325054573</v>
      </c>
      <c r="AG31" s="802">
        <f t="shared" si="24"/>
        <v>1</v>
      </c>
      <c r="AH31" s="172">
        <f t="shared" si="17"/>
        <v>7</v>
      </c>
      <c r="AI31" s="221">
        <f t="shared" si="18"/>
        <v>1.4944646432505457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x14ac:dyDescent="0.2">
      <c r="A32" s="56">
        <f t="shared" si="21"/>
        <v>45675</v>
      </c>
      <c r="B32" s="406">
        <f>'2024'!Wh/'2024'!Env_an*'2025'!Env_an</f>
        <v>4.2167987181124538</v>
      </c>
      <c r="C32" s="385"/>
      <c r="D32" s="388">
        <f t="shared" si="0"/>
        <v>4.2838834757813897</v>
      </c>
      <c r="E32" s="380">
        <f t="shared" si="1"/>
        <v>4.4390803688251053</v>
      </c>
      <c r="F32" s="380">
        <f t="shared" si="2"/>
        <v>4.4390803688251053</v>
      </c>
      <c r="G32" s="110">
        <f t="shared" si="22"/>
        <v>0.20457093297429263</v>
      </c>
      <c r="H32" s="409" t="b">
        <f>Wh_hp&gt;='2024'!Maxi_hp</f>
        <v>0</v>
      </c>
      <c r="I32" s="375">
        <f>IF(H32,Wh_hp,'2024'!Maxi_hp)</f>
        <v>4.4766449642017561</v>
      </c>
      <c r="J32" s="85">
        <f>IF(H32,An,'2024'!An_max)</f>
        <v>2022</v>
      </c>
      <c r="K32" s="193">
        <f t="shared" si="3"/>
        <v>45675</v>
      </c>
      <c r="L32" s="143">
        <f>IF(t&lt;Tvie,1-EXP((T0-t)*PertePVj)+'2024'!Pspv,1-EXP((T0-t)*PertePVj)+Pspv)</f>
        <v>1.5659799816730491E-2</v>
      </c>
      <c r="M32" s="836"/>
      <c r="N32" s="836"/>
      <c r="O32" s="48">
        <f>IF(t&lt;Tnet,'2024'!Resal+('2024'!Salim-'2024'!Resal)*(1-EXP(('2024'!Tnet-t)/('2024'!Tau_j))),Resal+(Salim-Resal)*(1-EXP((Tnet-t)/(Tau_j))))*Salcycl</f>
        <v>3.496149655988133E-2</v>
      </c>
      <c r="P32" s="165">
        <f>(INDEX(Models!$BJ32:$BT32,,T32)*(1-R32)+INDEX(Models!$BJ32:$BT32,,T32+1)*R32-ERP_i)*Q32*Ramure*Pc/MaxiM</f>
        <v>8.3948713851959948E-3</v>
      </c>
      <c r="Q32" s="301">
        <f t="shared" si="4"/>
        <v>0.5</v>
      </c>
      <c r="R32" s="173">
        <f t="shared" si="5"/>
        <v>0.49452087946268741</v>
      </c>
      <c r="S32" s="802">
        <f t="shared" si="6"/>
        <v>1</v>
      </c>
      <c r="T32" s="172">
        <f t="shared" si="7"/>
        <v>7</v>
      </c>
      <c r="U32" s="247">
        <f t="shared" si="8"/>
        <v>1.4945208794626874</v>
      </c>
      <c r="V32" s="378">
        <f t="shared" si="9"/>
        <v>20.439850248627916</v>
      </c>
      <c r="W32" s="397">
        <f t="shared" si="10"/>
        <v>4.2167987181124538</v>
      </c>
      <c r="X32" s="153">
        <f t="shared" si="11"/>
        <v>45675</v>
      </c>
      <c r="Y32" s="380">
        <f t="shared" si="12"/>
        <v>4.1419402162386891</v>
      </c>
      <c r="Z32" s="380">
        <f t="shared" si="13"/>
        <v>4.2078340552052245</v>
      </c>
      <c r="AA32" s="381">
        <f t="shared" si="14"/>
        <v>4.4390803688251053</v>
      </c>
      <c r="AB32" s="193">
        <f t="shared" si="15"/>
        <v>45675</v>
      </c>
      <c r="AC32" s="119">
        <f>IF(OR(t&lt;Tnet,NoTnet),'2024'!Resal_s+('2024'!Salim-'2024'!Resal_s)*(1-EXP(('2024'!Tnet_s-t)/'2024'!Tau_j)),Resal_s+(Salim-Resal_s)*(1-EXP((Tnet_s-t)/Tau_j)))*Salcycl</f>
        <v>5.2093292845942489E-2</v>
      </c>
      <c r="AD32" s="227">
        <f>(INDEX(Models!$BJ32:$BT32,,AH32)*(1-AF32)+INDEX(Models!$BJ32:$BT32,,AH32+1)*AF32-ERP_i)*AE32*Ramure*Pc/MaxiM</f>
        <v>8.3948713851959948E-3</v>
      </c>
      <c r="AE32" s="301">
        <f t="shared" si="16"/>
        <v>0.5</v>
      </c>
      <c r="AF32" s="173">
        <f t="shared" si="23"/>
        <v>0.49452087946268741</v>
      </c>
      <c r="AG32" s="802">
        <f t="shared" si="24"/>
        <v>1</v>
      </c>
      <c r="AH32" s="172">
        <f t="shared" si="17"/>
        <v>7</v>
      </c>
      <c r="AI32" s="221">
        <f t="shared" si="18"/>
        <v>1.4945208794626874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x14ac:dyDescent="0.2">
      <c r="A33" s="56">
        <f t="shared" si="21"/>
        <v>45676</v>
      </c>
      <c r="B33" s="406">
        <f>'2024'!Wh/'2024'!Env_an*'2025'!Env_an</f>
        <v>10.662071418093293</v>
      </c>
      <c r="C33" s="385"/>
      <c r="D33" s="388">
        <f t="shared" si="0"/>
        <v>10.83184184991153</v>
      </c>
      <c r="E33" s="380">
        <f t="shared" si="1"/>
        <v>11.224730306178886</v>
      </c>
      <c r="F33" s="380">
        <f t="shared" si="2"/>
        <v>11.253727302221419</v>
      </c>
      <c r="G33" s="110">
        <f t="shared" si="22"/>
        <v>0.51195104965728067</v>
      </c>
      <c r="H33" s="409" t="b">
        <f>Wh_hp&gt;='2024'!Maxi_hp</f>
        <v>0</v>
      </c>
      <c r="I33" s="375">
        <f>IF(H33,Wh_hp,'2024'!Maxi_hp)</f>
        <v>11.319682789711347</v>
      </c>
      <c r="J33" s="85">
        <f>IF(H33,An,'2024'!An_max)</f>
        <v>2022</v>
      </c>
      <c r="K33" s="193">
        <f t="shared" si="3"/>
        <v>45676</v>
      </c>
      <c r="L33" s="143">
        <f>IF(t&lt;Tvie,1-EXP((T0-t)*PertePVj)+'2024'!Pspv,1-EXP((T0-t)*PertePVj)+Pspv)</f>
        <v>1.5673274607459708E-2</v>
      </c>
      <c r="M33" s="836"/>
      <c r="N33" s="836"/>
      <c r="O33" s="48">
        <f>IF(t&lt;Tnet,'2024'!Resal+('2024'!Salim-'2024'!Resal)*(1-EXP(('2024'!Tnet-t)/('2024'!Tau_j))),Resal+(Salim-Resal)*(1-EXP((Tnet-t)/(Tau_j))))*Salcycl</f>
        <v>3.5002039741755017E-2</v>
      </c>
      <c r="P33" s="165">
        <f>(INDEX(Models!$BJ33:$BT33,,T33)*(1-R33)+INDEX(Models!$BJ33:$BT33,,T33+1)*R33-ERP_i)*Q33*Ramure*Pc/MaxiM</f>
        <v>8.3909552725770914E-3</v>
      </c>
      <c r="Q33" s="301">
        <f t="shared" si="4"/>
        <v>0.5</v>
      </c>
      <c r="R33" s="173">
        <f t="shared" si="5"/>
        <v>0.49457946142854836</v>
      </c>
      <c r="S33" s="802">
        <f t="shared" si="6"/>
        <v>1</v>
      </c>
      <c r="T33" s="172">
        <f t="shared" si="7"/>
        <v>7</v>
      </c>
      <c r="U33" s="247">
        <f t="shared" si="8"/>
        <v>1.4945794614285484</v>
      </c>
      <c r="V33" s="378">
        <f t="shared" si="9"/>
        <v>20.704945944681302</v>
      </c>
      <c r="W33" s="397">
        <f t="shared" si="10"/>
        <v>10.662071418093293</v>
      </c>
      <c r="X33" s="153">
        <f t="shared" si="11"/>
        <v>45676</v>
      </c>
      <c r="Y33" s="380">
        <f t="shared" si="12"/>
        <v>10.472961492660366</v>
      </c>
      <c r="Z33" s="380">
        <f t="shared" si="13"/>
        <v>10.639720757844756</v>
      </c>
      <c r="AA33" s="381">
        <f t="shared" si="14"/>
        <v>11.224730306178886</v>
      </c>
      <c r="AB33" s="193">
        <f t="shared" si="15"/>
        <v>45676</v>
      </c>
      <c r="AC33" s="119">
        <f>IF(OR(t&lt;Tnet,NoTnet),'2024'!Resal_s+('2024'!Salim-'2024'!Resal_s)*(1-EXP(('2024'!Tnet_s-t)/'2024'!Tau_j)),Resal_s+(Salim-Resal_s)*(1-EXP((Tnet_s-t)/Tau_j)))*Salcycl</f>
        <v>5.211791574289304E-2</v>
      </c>
      <c r="AD33" s="227">
        <f>(INDEX(Models!$BJ33:$BT33,,AH33)*(1-AF33)+INDEX(Models!$BJ33:$BT33,,AH33+1)*AF33-ERP_i)*AE33*Ramure*Pc/MaxiM</f>
        <v>8.3909552725770914E-3</v>
      </c>
      <c r="AE33" s="301">
        <f t="shared" si="16"/>
        <v>0.5</v>
      </c>
      <c r="AF33" s="173">
        <f t="shared" si="23"/>
        <v>0.49457946142854836</v>
      </c>
      <c r="AG33" s="802">
        <f t="shared" si="24"/>
        <v>1</v>
      </c>
      <c r="AH33" s="172">
        <f t="shared" si="17"/>
        <v>7</v>
      </c>
      <c r="AI33" s="221">
        <f t="shared" si="18"/>
        <v>1.4945794614285484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x14ac:dyDescent="0.2">
      <c r="A34" s="56">
        <f t="shared" si="21"/>
        <v>45677</v>
      </c>
      <c r="B34" s="406">
        <f>'2024'!Wh/'2024'!Env_an*'2025'!Env_an</f>
        <v>6.1718184809678363</v>
      </c>
      <c r="C34" s="385"/>
      <c r="D34" s="388">
        <f t="shared" si="0"/>
        <v>6.2701771778829425</v>
      </c>
      <c r="E34" s="380">
        <f t="shared" si="1"/>
        <v>6.4978797145448493</v>
      </c>
      <c r="F34" s="380">
        <f t="shared" si="2"/>
        <v>6.4978797145448493</v>
      </c>
      <c r="G34" s="110">
        <f t="shared" si="22"/>
        <v>0.29174544109082218</v>
      </c>
      <c r="H34" s="409" t="b">
        <f>Wh_hp&gt;='2024'!Maxi_hp</f>
        <v>0</v>
      </c>
      <c r="I34" s="375">
        <f>IF(H34,Wh_hp,'2024'!Maxi_hp)</f>
        <v>6.552768311666</v>
      </c>
      <c r="J34" s="85">
        <f>IF(H34,An,'2024'!An_max)</f>
        <v>2022</v>
      </c>
      <c r="K34" s="193">
        <f t="shared" si="3"/>
        <v>45677</v>
      </c>
      <c r="L34" s="143">
        <f>IF(t&lt;Tvie,1-EXP((T0-t)*PertePVj)+'2024'!Pspv,1-EXP((T0-t)*PertePVj)+Pspv)</f>
        <v>1.5686749213730478E-2</v>
      </c>
      <c r="M34" s="836"/>
      <c r="N34" s="836"/>
      <c r="O34" s="48">
        <f>IF(t&lt;Tnet,'2024'!Resal+('2024'!Salim-'2024'!Resal)*(1-EXP(('2024'!Tnet-t)/('2024'!Tau_j))),Resal+(Salim-Resal)*(1-EXP((Tnet-t)/(Tau_j))))*Salcycl</f>
        <v>3.5042590300989621E-2</v>
      </c>
      <c r="P34" s="165">
        <f>(INDEX(Models!$BJ34:$BT34,,T34)*(1-R34)+INDEX(Models!$BJ34:$BT34,,T34+1)*R34-ERP_i)*Q34*Ramure*Pc/MaxiM</f>
        <v>8.3805280369370766E-3</v>
      </c>
      <c r="Q34" s="301">
        <f t="shared" si="4"/>
        <v>0.5</v>
      </c>
      <c r="R34" s="173">
        <f t="shared" si="5"/>
        <v>0.49464048640859115</v>
      </c>
      <c r="S34" s="802">
        <f t="shared" si="6"/>
        <v>1</v>
      </c>
      <c r="T34" s="172">
        <f t="shared" si="7"/>
        <v>7</v>
      </c>
      <c r="U34" s="247">
        <f t="shared" si="8"/>
        <v>1.4946404864085912</v>
      </c>
      <c r="V34" s="378">
        <f t="shared" si="9"/>
        <v>20.97751848414994</v>
      </c>
      <c r="W34" s="397">
        <f t="shared" si="10"/>
        <v>6.1718184809678363</v>
      </c>
      <c r="X34" s="153">
        <f t="shared" si="11"/>
        <v>45677</v>
      </c>
      <c r="Y34" s="380">
        <f t="shared" si="12"/>
        <v>6.0624477955137674</v>
      </c>
      <c r="Z34" s="380">
        <f t="shared" si="13"/>
        <v>6.1590634797114472</v>
      </c>
      <c r="AA34" s="381">
        <f t="shared" si="14"/>
        <v>6.4978797145448493</v>
      </c>
      <c r="AB34" s="193">
        <f t="shared" si="15"/>
        <v>45677</v>
      </c>
      <c r="AC34" s="119">
        <f>IF(OR(t&lt;Tnet,NoTnet),'2024'!Resal_s+('2024'!Salim-'2024'!Resal_s)*(1-EXP(('2024'!Tnet_s-t)/'2024'!Tau_j)),Resal_s+(Salim-Resal_s)*(1-EXP((Tnet_s-t)/Tau_j)))*Salcycl</f>
        <v>5.2142583383776052E-2</v>
      </c>
      <c r="AD34" s="227">
        <f>(INDEX(Models!$BJ34:$BT34,,AH34)*(1-AF34)+INDEX(Models!$BJ34:$BT34,,AH34+1)*AF34-ERP_i)*AE34*Ramure*Pc/MaxiM</f>
        <v>8.3805280369370766E-3</v>
      </c>
      <c r="AE34" s="301">
        <f t="shared" si="16"/>
        <v>0.5</v>
      </c>
      <c r="AF34" s="173">
        <f t="shared" si="23"/>
        <v>0.49464048640859115</v>
      </c>
      <c r="AG34" s="802">
        <f t="shared" si="24"/>
        <v>1</v>
      </c>
      <c r="AH34" s="172">
        <f t="shared" si="17"/>
        <v>7</v>
      </c>
      <c r="AI34" s="221">
        <f t="shared" si="18"/>
        <v>1.4946404864085912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x14ac:dyDescent="0.2">
      <c r="A35" s="56">
        <f t="shared" si="21"/>
        <v>45678</v>
      </c>
      <c r="B35" s="406">
        <f>'2024'!Wh/'2024'!Env_an*'2025'!Env_an</f>
        <v>17.373684051679533</v>
      </c>
      <c r="C35" s="385"/>
      <c r="D35" s="388">
        <f t="shared" si="0"/>
        <v>17.650805647695901</v>
      </c>
      <c r="E35" s="380">
        <f t="shared" si="1"/>
        <v>18.292566504438408</v>
      </c>
      <c r="F35" s="380">
        <f t="shared" si="2"/>
        <v>18.406331873175034</v>
      </c>
      <c r="G35" s="110">
        <f t="shared" si="22"/>
        <v>0.81549498237308626</v>
      </c>
      <c r="H35" s="409" t="b">
        <f>Wh_hp&gt;='2024'!Maxi_hp</f>
        <v>0</v>
      </c>
      <c r="I35" s="375">
        <f>IF(H35,Wh_hp,'2024'!Maxi_hp)</f>
        <v>18.44683212449177</v>
      </c>
      <c r="J35" s="85">
        <f>IF(H35,An,'2024'!An_max)</f>
        <v>2022</v>
      </c>
      <c r="K35" s="193">
        <f t="shared" si="3"/>
        <v>45678</v>
      </c>
      <c r="L35" s="143">
        <f>IF(t&lt;Tvie,1-EXP((T0-t)*PertePVj)+'2024'!Pspv,1-EXP((T0-t)*PertePVj)+Pspv)</f>
        <v>1.570022363554513E-2</v>
      </c>
      <c r="M35" s="836"/>
      <c r="N35" s="836"/>
      <c r="O35" s="48">
        <f>IF(t&lt;Tnet,'2024'!Resal+('2024'!Salim-'2024'!Resal)*(1-EXP(('2024'!Tnet-t)/('2024'!Tau_j))),Resal+(Salim-Resal)*(1-EXP((Tnet-t)/(Tau_j))))*Salcycl</f>
        <v>3.5083150119300952E-2</v>
      </c>
      <c r="P35" s="165">
        <f>(INDEX(Models!$BJ35:$BT35,,T35)*(1-R35)+INDEX(Models!$BJ35:$BT35,,T35+1)*R35-ERP_i)*Q35*Ramure*Pc/MaxiM</f>
        <v>8.3638559322458082E-3</v>
      </c>
      <c r="Q35" s="301">
        <f t="shared" si="4"/>
        <v>0.5</v>
      </c>
      <c r="R35" s="173">
        <f t="shared" si="5"/>
        <v>0.49470405564582731</v>
      </c>
      <c r="S35" s="802">
        <f t="shared" si="6"/>
        <v>1</v>
      </c>
      <c r="T35" s="172">
        <f t="shared" si="7"/>
        <v>7</v>
      </c>
      <c r="U35" s="247">
        <f t="shared" si="8"/>
        <v>1.4947040556458273</v>
      </c>
      <c r="V35" s="378">
        <f t="shared" si="9"/>
        <v>21.257666029747519</v>
      </c>
      <c r="W35" s="397">
        <f t="shared" si="10"/>
        <v>17.373684051679533</v>
      </c>
      <c r="X35" s="153">
        <f t="shared" si="11"/>
        <v>45678</v>
      </c>
      <c r="Y35" s="380">
        <f t="shared" si="12"/>
        <v>17.066077655896411</v>
      </c>
      <c r="Z35" s="380">
        <f t="shared" si="13"/>
        <v>17.338292729203452</v>
      </c>
      <c r="AA35" s="381">
        <f t="shared" si="14"/>
        <v>18.292566504438408</v>
      </c>
      <c r="AB35" s="193">
        <f t="shared" si="15"/>
        <v>45678</v>
      </c>
      <c r="AC35" s="119">
        <f>IF(OR(t&lt;Tnet,NoTnet),'2024'!Resal_s+('2024'!Salim-'2024'!Resal_s)*(1-EXP(('2024'!Tnet_s-t)/'2024'!Tau_j)),Resal_s+(Salim-Resal_s)*(1-EXP((Tnet_s-t)/Tau_j)))*Salcycl</f>
        <v>5.2167298394318579E-2</v>
      </c>
      <c r="AD35" s="227">
        <f>(INDEX(Models!$BJ35:$BT35,,AH35)*(1-AF35)+INDEX(Models!$BJ35:$BT35,,AH35+1)*AF35-ERP_i)*AE35*Ramure*Pc/MaxiM</f>
        <v>8.3638559322458082E-3</v>
      </c>
      <c r="AE35" s="301">
        <f t="shared" si="16"/>
        <v>0.5</v>
      </c>
      <c r="AF35" s="173">
        <f t="shared" si="23"/>
        <v>0.49470405564582731</v>
      </c>
      <c r="AG35" s="802">
        <f t="shared" si="24"/>
        <v>1</v>
      </c>
      <c r="AH35" s="172">
        <f t="shared" si="17"/>
        <v>7</v>
      </c>
      <c r="AI35" s="221">
        <f t="shared" si="18"/>
        <v>1.4947040556458273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x14ac:dyDescent="0.2">
      <c r="A36" s="56">
        <f t="shared" si="21"/>
        <v>45679</v>
      </c>
      <c r="B36" s="406">
        <f>'2024'!Wh/'2024'!Env_an*'2025'!Env_an</f>
        <v>21.426383859605885</v>
      </c>
      <c r="C36" s="385"/>
      <c r="D36" s="388">
        <f t="shared" si="0"/>
        <v>21.768446653481163</v>
      </c>
      <c r="E36" s="380">
        <f t="shared" si="1"/>
        <v>22.560868297914258</v>
      </c>
      <c r="F36" s="380">
        <f t="shared" si="2"/>
        <v>22.749124238181398</v>
      </c>
      <c r="G36" s="110">
        <f t="shared" si="22"/>
        <v>0.99440594473927102</v>
      </c>
      <c r="H36" s="409" t="b">
        <f>Wh_hp&gt;='2024'!Maxi_hp</f>
        <v>0</v>
      </c>
      <c r="I36" s="375">
        <f>IF(H36,Wh_hp,'2024'!Maxi_hp)</f>
        <v>22.750634528837967</v>
      </c>
      <c r="J36" s="85">
        <f>IF(H36,An,'2024'!An_max)</f>
        <v>2022</v>
      </c>
      <c r="K36" s="193">
        <f t="shared" si="3"/>
        <v>45679</v>
      </c>
      <c r="L36" s="143">
        <f>IF(t&lt;Tvie,1-EXP((T0-t)*PertePVj)+'2024'!Pspv,1-EXP((T0-t)*PertePVj)+Pspv)</f>
        <v>1.5713697872906218E-2</v>
      </c>
      <c r="M36" s="836"/>
      <c r="N36" s="836"/>
      <c r="O36" s="48">
        <f>IF(t&lt;Tnet,'2024'!Resal+('2024'!Salim-'2024'!Resal)*(1-EXP(('2024'!Tnet-t)/('2024'!Tau_j))),Resal+(Salim-Resal)*(1-EXP((Tnet-t)/(Tau_j))))*Salcycl</f>
        <v>3.512372103631993E-2</v>
      </c>
      <c r="P36" s="165">
        <f>(INDEX(Models!$BJ36:$BT36,,T36)*(1-R36)+INDEX(Models!$BJ36:$BT36,,T36+1)*R36-ERP_i)*Q36*Ramure*Pc/MaxiM</f>
        <v>8.3411764207737635E-3</v>
      </c>
      <c r="Q36" s="301">
        <f t="shared" si="4"/>
        <v>0.5</v>
      </c>
      <c r="R36" s="173">
        <f t="shared" si="5"/>
        <v>0.49477027452460942</v>
      </c>
      <c r="S36" s="802">
        <f t="shared" si="6"/>
        <v>1</v>
      </c>
      <c r="T36" s="172">
        <f t="shared" si="7"/>
        <v>7</v>
      </c>
      <c r="U36" s="247">
        <f t="shared" si="8"/>
        <v>1.4947702745246094</v>
      </c>
      <c r="V36" s="378">
        <f t="shared" si="9"/>
        <v>21.545487341734404</v>
      </c>
      <c r="W36" s="397">
        <f t="shared" si="10"/>
        <v>21.426383859605885</v>
      </c>
      <c r="X36" s="153">
        <f t="shared" si="11"/>
        <v>45679</v>
      </c>
      <c r="Y36" s="380">
        <f t="shared" si="12"/>
        <v>21.047358214732903</v>
      </c>
      <c r="Z36" s="380">
        <f t="shared" si="13"/>
        <v>21.38337003090307</v>
      </c>
      <c r="AA36" s="381">
        <f t="shared" si="14"/>
        <v>22.560868297914258</v>
      </c>
      <c r="AB36" s="193">
        <f t="shared" si="15"/>
        <v>45679</v>
      </c>
      <c r="AC36" s="119">
        <f>IF(OR(t&lt;Tnet,NoTnet),'2024'!Resal_s+('2024'!Salim-'2024'!Resal_s)*(1-EXP(('2024'!Tnet_s-t)/'2024'!Tau_j)),Resal_s+(Salim-Resal_s)*(1-EXP((Tnet_s-t)/Tau_j)))*Salcycl</f>
        <v>5.2192063331181572E-2</v>
      </c>
      <c r="AD36" s="227">
        <f>(INDEX(Models!$BJ36:$BT36,,AH36)*(1-AF36)+INDEX(Models!$BJ36:$BT36,,AH36+1)*AF36-ERP_i)*AE36*Ramure*Pc/MaxiM</f>
        <v>8.3411764207737635E-3</v>
      </c>
      <c r="AE36" s="301">
        <f t="shared" si="16"/>
        <v>0.5</v>
      </c>
      <c r="AF36" s="173">
        <f t="shared" si="23"/>
        <v>0.49477027452460942</v>
      </c>
      <c r="AG36" s="802">
        <f t="shared" si="24"/>
        <v>1</v>
      </c>
      <c r="AH36" s="172">
        <f t="shared" si="17"/>
        <v>7</v>
      </c>
      <c r="AI36" s="221">
        <f t="shared" si="18"/>
        <v>1.4947702745246094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x14ac:dyDescent="0.2">
      <c r="A37" s="56">
        <f t="shared" si="21"/>
        <v>45680</v>
      </c>
      <c r="B37" s="406">
        <f>'2024'!Wh/'2024'!Env_an*'2025'!Env_an</f>
        <v>21.497660707764091</v>
      </c>
      <c r="C37" s="385"/>
      <c r="D37" s="388">
        <f t="shared" si="0"/>
        <v>21.841160392313331</v>
      </c>
      <c r="E37" s="380">
        <f t="shared" si="1"/>
        <v>22.637181129110989</v>
      </c>
      <c r="F37" s="380">
        <f t="shared" si="2"/>
        <v>22.822601145296176</v>
      </c>
      <c r="G37" s="110">
        <f t="shared" si="22"/>
        <v>0.98401036384087504</v>
      </c>
      <c r="H37" s="409" t="b">
        <f>Wh_hp&gt;='2024'!Maxi_hp</f>
        <v>0</v>
      </c>
      <c r="I37" s="375">
        <f>IF(H37,Wh_hp,'2024'!Maxi_hp)</f>
        <v>22.826917337644495</v>
      </c>
      <c r="J37" s="85">
        <f>IF(H37,An,'2024'!An_max)</f>
        <v>2022</v>
      </c>
      <c r="K37" s="193">
        <f t="shared" si="3"/>
        <v>45680</v>
      </c>
      <c r="L37" s="143">
        <f>IF(t&lt;Tvie,1-EXP((T0-t)*PertePVj)+'2024'!Pspv,1-EXP((T0-t)*PertePVj)+Pspv)</f>
        <v>1.5727171925816297E-2</v>
      </c>
      <c r="M37" s="836"/>
      <c r="N37" s="836"/>
      <c r="O37" s="48">
        <f>IF(t&lt;Tnet,'2024'!Resal+('2024'!Salim-'2024'!Resal)*(1-EXP(('2024'!Tnet-t)/('2024'!Tau_j))),Resal+(Salim-Resal)*(1-EXP((Tnet-t)/(Tau_j))))*Salcycl</f>
        <v>3.5164304789432908E-2</v>
      </c>
      <c r="P37" s="165">
        <f>(INDEX(Models!$BJ37:$BT37,,T37)*(1-R37)+INDEX(Models!$BJ37:$BT37,,T37+1)*R37-ERP_i)*Q37*Ramure*Pc/MaxiM</f>
        <v>8.3120591208708829E-3</v>
      </c>
      <c r="Q37" s="301">
        <f t="shared" si="4"/>
        <v>0.5</v>
      </c>
      <c r="R37" s="173">
        <f t="shared" si="5"/>
        <v>0.49483925273538665</v>
      </c>
      <c r="S37" s="802">
        <f t="shared" si="6"/>
        <v>1</v>
      </c>
      <c r="T37" s="172">
        <f t="shared" si="7"/>
        <v>7</v>
      </c>
      <c r="U37" s="247">
        <f t="shared" si="8"/>
        <v>1.4948392527353866</v>
      </c>
      <c r="V37" s="378">
        <f t="shared" si="9"/>
        <v>21.842852771599865</v>
      </c>
      <c r="W37" s="397">
        <f t="shared" si="10"/>
        <v>21.497660707764091</v>
      </c>
      <c r="X37" s="153">
        <f t="shared" si="11"/>
        <v>45680</v>
      </c>
      <c r="Y37" s="380">
        <f t="shared" si="12"/>
        <v>21.117709498831896</v>
      </c>
      <c r="Z37" s="380">
        <f t="shared" si="13"/>
        <v>21.455138145132533</v>
      </c>
      <c r="AA37" s="381">
        <f t="shared" si="14"/>
        <v>22.637181129110989</v>
      </c>
      <c r="AB37" s="193">
        <f t="shared" si="15"/>
        <v>45680</v>
      </c>
      <c r="AC37" s="119">
        <f>IF(OR(t&lt;Tnet,NoTnet),'2024'!Resal_s+('2024'!Salim-'2024'!Resal_s)*(1-EXP(('2024'!Tnet_s-t)/'2024'!Tau_j)),Resal_s+(Salim-Resal_s)*(1-EXP((Tnet_s-t)/Tau_j)))*Salcycl</f>
        <v>5.2216880592891882E-2</v>
      </c>
      <c r="AD37" s="227">
        <f>(INDEX(Models!$BJ37:$BT37,,AH37)*(1-AF37)+INDEX(Models!$BJ37:$BT37,,AH37+1)*AF37-ERP_i)*AE37*Ramure*Pc/MaxiM</f>
        <v>8.3120591208708829E-3</v>
      </c>
      <c r="AE37" s="301">
        <f t="shared" si="16"/>
        <v>0.5</v>
      </c>
      <c r="AF37" s="173">
        <f t="shared" si="23"/>
        <v>0.49483925273538665</v>
      </c>
      <c r="AG37" s="802">
        <f t="shared" si="24"/>
        <v>1</v>
      </c>
      <c r="AH37" s="172">
        <f t="shared" si="17"/>
        <v>7</v>
      </c>
      <c r="AI37" s="221">
        <f t="shared" si="18"/>
        <v>1.4948392527353866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x14ac:dyDescent="0.2">
      <c r="A38" s="56">
        <f t="shared" si="21"/>
        <v>45681</v>
      </c>
      <c r="B38" s="406">
        <f>'2024'!Wh/'2024'!Env_an*'2025'!Env_an</f>
        <v>22.031814171382411</v>
      </c>
      <c r="C38" s="385"/>
      <c r="D38" s="388">
        <f t="shared" si="0"/>
        <v>22.384155230266167</v>
      </c>
      <c r="E38" s="380">
        <f t="shared" si="1"/>
        <v>23.200942147094171</v>
      </c>
      <c r="F38" s="380">
        <f t="shared" si="2"/>
        <v>23.392330090241902</v>
      </c>
      <c r="G38" s="110">
        <f t="shared" si="22"/>
        <v>0.99452695974765459</v>
      </c>
      <c r="H38" s="409" t="b">
        <f>Wh_hp&gt;='2024'!Maxi_hp</f>
        <v>0</v>
      </c>
      <c r="I38" s="375">
        <f>IF(H38,Wh_hp,'2024'!Maxi_hp)</f>
        <v>23.393832011186525</v>
      </c>
      <c r="J38" s="85">
        <f>IF(H38,An,'2024'!An_max)</f>
        <v>2022</v>
      </c>
      <c r="K38" s="193">
        <f t="shared" si="3"/>
        <v>45681</v>
      </c>
      <c r="L38" s="143">
        <f>IF(t&lt;Tvie,1-EXP((T0-t)*PertePVj)+'2024'!Pspv,1-EXP((T0-t)*PertePVj)+Pspv)</f>
        <v>1.574064579427803E-2</v>
      </c>
      <c r="M38" s="836"/>
      <c r="N38" s="836"/>
      <c r="O38" s="48">
        <f>IF(t&lt;Tnet,'2024'!Resal+('2024'!Salim-'2024'!Resal)*(1-EXP(('2024'!Tnet-t)/('2024'!Tau_j))),Resal+(Salim-Resal)*(1-EXP((Tnet-t)/(Tau_j))))*Salcycl</f>
        <v>3.5204902958231997E-2</v>
      </c>
      <c r="P38" s="165">
        <f>(INDEX(Models!$BJ38:$BT38,,T38)*(1-R38)+INDEX(Models!$BJ38:$BT38,,T38+1)*R38-ERP_i)*Q38*Ramure*Pc/MaxiM</f>
        <v>8.2453685373988766E-3</v>
      </c>
      <c r="Q38" s="301">
        <f t="shared" si="4"/>
        <v>0.5</v>
      </c>
      <c r="R38" s="173">
        <f t="shared" si="5"/>
        <v>0.49491110444561603</v>
      </c>
      <c r="S38" s="802">
        <f t="shared" si="6"/>
        <v>1</v>
      </c>
      <c r="T38" s="172">
        <f t="shared" si="7"/>
        <v>7</v>
      </c>
      <c r="U38" s="247">
        <f t="shared" si="8"/>
        <v>1.494911104445616</v>
      </c>
      <c r="V38" s="378">
        <f t="shared" si="9"/>
        <v>22.151635630779136</v>
      </c>
      <c r="W38" s="397">
        <f t="shared" si="10"/>
        <v>22.031814171382411</v>
      </c>
      <c r="X38" s="153">
        <f t="shared" si="11"/>
        <v>45681</v>
      </c>
      <c r="Y38" s="380">
        <f t="shared" si="12"/>
        <v>21.642765034678416</v>
      </c>
      <c r="Z38" s="380">
        <f t="shared" si="13"/>
        <v>21.988884273437971</v>
      </c>
      <c r="AA38" s="381">
        <f t="shared" si="14"/>
        <v>23.200942147094171</v>
      </c>
      <c r="AB38" s="193">
        <f t="shared" si="15"/>
        <v>45681</v>
      </c>
      <c r="AC38" s="119">
        <f>IF(OR(t&lt;Tnet,NoTnet),'2024'!Resal_s+('2024'!Salim-'2024'!Resal_s)*(1-EXP(('2024'!Tnet_s-t)/'2024'!Tau_j)),Resal_s+(Salim-Resal_s)*(1-EXP((Tnet_s-t)/Tau_j)))*Salcycl</f>
        <v>5.2241752337975823E-2</v>
      </c>
      <c r="AD38" s="227">
        <f>(INDEX(Models!$BJ38:$BT38,,AH38)*(1-AF38)+INDEX(Models!$BJ38:$BT38,,AH38+1)*AF38-ERP_i)*AE38*Ramure*Pc/MaxiM</f>
        <v>8.2453685373988766E-3</v>
      </c>
      <c r="AE38" s="301">
        <f t="shared" si="16"/>
        <v>0.5</v>
      </c>
      <c r="AF38" s="173">
        <f t="shared" si="23"/>
        <v>0.49491110444561603</v>
      </c>
      <c r="AG38" s="802">
        <f t="shared" si="24"/>
        <v>1</v>
      </c>
      <c r="AH38" s="172">
        <f t="shared" si="17"/>
        <v>7</v>
      </c>
      <c r="AI38" s="221">
        <f t="shared" si="18"/>
        <v>1.494911104445616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x14ac:dyDescent="0.2">
      <c r="A39" s="56">
        <f t="shared" si="21"/>
        <v>45682</v>
      </c>
      <c r="B39" s="406">
        <f>'2024'!Wh/'2024'!Env_an*'2025'!Env_an</f>
        <v>20.634241586236424</v>
      </c>
      <c r="C39" s="385"/>
      <c r="D39" s="388">
        <f t="shared" si="0"/>
        <v>20.964519125342036</v>
      </c>
      <c r="E39" s="380">
        <f t="shared" si="1"/>
        <v>21.730418974870929</v>
      </c>
      <c r="F39" s="380">
        <f t="shared" si="2"/>
        <v>21.887747172054404</v>
      </c>
      <c r="G39" s="110">
        <f t="shared" si="22"/>
        <v>0.91738159609376457</v>
      </c>
      <c r="H39" s="409" t="b">
        <f>Wh_hp&gt;='2024'!Maxi_hp</f>
        <v>0</v>
      </c>
      <c r="I39" s="375">
        <f>IF(H39,Wh_hp,'2024'!Maxi_hp)</f>
        <v>21.908704752489474</v>
      </c>
      <c r="J39" s="85">
        <f>IF(H39,An,'2024'!An_max)</f>
        <v>2022</v>
      </c>
      <c r="K39" s="193">
        <f t="shared" si="3"/>
        <v>45682</v>
      </c>
      <c r="L39" s="143">
        <f>IF(t&lt;Tvie,1-EXP((T0-t)*PertePVj)+'2024'!Pspv,1-EXP((T0-t)*PertePVj)+Pspv)</f>
        <v>1.5754119478293749E-2</v>
      </c>
      <c r="M39" s="836"/>
      <c r="N39" s="836"/>
      <c r="O39" s="48">
        <f>IF(t&lt;Tnet,'2024'!Resal+('2024'!Salim-'2024'!Resal)*(1-EXP(('2024'!Tnet-t)/('2024'!Tau_j))),Resal+(Salim-Resal)*(1-EXP((Tnet-t)/(Tau_j))))*Salcycl</f>
        <v>3.5245516914081475E-2</v>
      </c>
      <c r="P39" s="165">
        <f>(INDEX(Models!$BJ39:$BT39,,T39)*(1-R39)+INDEX(Models!$BJ39:$BT39,,T39+1)*R39-ERP_i)*Q39*Ramure*Pc/MaxiM</f>
        <v>8.1382684025770018E-3</v>
      </c>
      <c r="Q39" s="301">
        <f t="shared" si="4"/>
        <v>0.5</v>
      </c>
      <c r="R39" s="173">
        <f t="shared" si="5"/>
        <v>0.49498594847702426</v>
      </c>
      <c r="S39" s="802">
        <f t="shared" si="6"/>
        <v>1</v>
      </c>
      <c r="T39" s="172">
        <f t="shared" si="7"/>
        <v>7</v>
      </c>
      <c r="U39" s="247">
        <f t="shared" si="8"/>
        <v>1.4949859484770243</v>
      </c>
      <c r="V39" s="378">
        <f t="shared" si="9"/>
        <v>22.471009622651078</v>
      </c>
      <c r="W39" s="397">
        <f t="shared" si="10"/>
        <v>20.634241586236424</v>
      </c>
      <c r="X39" s="153">
        <f t="shared" si="11"/>
        <v>45682</v>
      </c>
      <c r="Y39" s="380">
        <f t="shared" si="12"/>
        <v>20.270191658682855</v>
      </c>
      <c r="Z39" s="380">
        <f t="shared" si="13"/>
        <v>20.594642111114045</v>
      </c>
      <c r="AA39" s="381">
        <f t="shared" si="14"/>
        <v>21.730418974870929</v>
      </c>
      <c r="AB39" s="193">
        <f t="shared" si="15"/>
        <v>45682</v>
      </c>
      <c r="AC39" s="119">
        <f>IF(OR(t&lt;Tnet,NoTnet),'2024'!Resal_s+('2024'!Salim-'2024'!Resal_s)*(1-EXP(('2024'!Tnet_s-t)/'2024'!Tau_j)),Resal_s+(Salim-Resal_s)*(1-EXP((Tnet_s-t)/Tau_j)))*Salcycl</f>
        <v>5.2266680411008112E-2</v>
      </c>
      <c r="AD39" s="227">
        <f>(INDEX(Models!$BJ39:$BT39,,AH39)*(1-AF39)+INDEX(Models!$BJ39:$BT39,,AH39+1)*AF39-ERP_i)*AE39*Ramure*Pc/MaxiM</f>
        <v>8.1382684025770018E-3</v>
      </c>
      <c r="AE39" s="301">
        <f t="shared" si="16"/>
        <v>0.5</v>
      </c>
      <c r="AF39" s="173">
        <f t="shared" si="23"/>
        <v>0.49498594847702426</v>
      </c>
      <c r="AG39" s="802">
        <f t="shared" si="24"/>
        <v>1</v>
      </c>
      <c r="AH39" s="172">
        <f t="shared" si="17"/>
        <v>7</v>
      </c>
      <c r="AI39" s="221">
        <f t="shared" si="18"/>
        <v>1.4949859484770243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45683</v>
      </c>
      <c r="B40" s="406">
        <f>'2024'!Wh/'2024'!Env_an*'2025'!Env_an</f>
        <v>22.206262534730975</v>
      </c>
      <c r="C40" s="385"/>
      <c r="D40" s="388">
        <f t="shared" si="0"/>
        <v>22.562011143199015</v>
      </c>
      <c r="E40" s="380">
        <f t="shared" si="1"/>
        <v>23.387257362551651</v>
      </c>
      <c r="F40" s="380">
        <f t="shared" si="2"/>
        <v>23.568631077335574</v>
      </c>
      <c r="G40" s="110">
        <f t="shared" si="22"/>
        <v>0.97366533411684808</v>
      </c>
      <c r="H40" s="409" t="b">
        <f>Wh_hp&gt;='2024'!Maxi_hp</f>
        <v>0</v>
      </c>
      <c r="I40" s="375">
        <f>IF(H40,Wh_hp,'2024'!Maxi_hp)</f>
        <v>23.575691488486939</v>
      </c>
      <c r="J40" s="85">
        <f>IF(H40,An,'2024'!An_max)</f>
        <v>2022</v>
      </c>
      <c r="K40" s="193">
        <f t="shared" si="3"/>
        <v>45683</v>
      </c>
      <c r="L40" s="143">
        <f>IF(t&lt;Tvie,1-EXP((T0-t)*PertePVj)+'2024'!Pspv,1-EXP((T0-t)*PertePVj)+Pspv)</f>
        <v>1.5767592977866007E-2</v>
      </c>
      <c r="M40" s="836"/>
      <c r="N40" s="836"/>
      <c r="O40" s="48">
        <f>IF(t&lt;Tnet,'2024'!Resal+('2024'!Salim-'2024'!Resal)*(1-EXP(('2024'!Tnet-t)/('2024'!Tau_j))),Resal+(Salim-Resal)*(1-EXP((Tnet-t)/(Tau_j))))*Salcycl</f>
        <v>3.5286147775242853E-2</v>
      </c>
      <c r="P40" s="165">
        <f>(INDEX(Models!$BJ40:$BT40,,T40)*(1-R40)+INDEX(Models!$BJ40:$BT40,,T40+1)*R40-ERP_i)*Q40*Ramure*Pc/MaxiM</f>
        <v>7.9929244754361195E-3</v>
      </c>
      <c r="Q40" s="301">
        <f t="shared" si="4"/>
        <v>0.5</v>
      </c>
      <c r="R40" s="173">
        <f t="shared" si="5"/>
        <v>0.49506390848941706</v>
      </c>
      <c r="S40" s="802">
        <f t="shared" si="6"/>
        <v>1</v>
      </c>
      <c r="T40" s="172">
        <f t="shared" si="7"/>
        <v>7</v>
      </c>
      <c r="U40" s="247">
        <f t="shared" si="8"/>
        <v>1.4950639084894171</v>
      </c>
      <c r="V40" s="378">
        <f t="shared" si="9"/>
        <v>22.800039292696631</v>
      </c>
      <c r="W40" s="397">
        <f t="shared" si="10"/>
        <v>22.206262534730975</v>
      </c>
      <c r="X40" s="153">
        <f t="shared" si="11"/>
        <v>45683</v>
      </c>
      <c r="Y40" s="380">
        <f t="shared" si="12"/>
        <v>21.814821064783526</v>
      </c>
      <c r="Z40" s="380">
        <f t="shared" si="13"/>
        <v>22.164298705410278</v>
      </c>
      <c r="AA40" s="381">
        <f t="shared" si="14"/>
        <v>23.387257362551651</v>
      </c>
      <c r="AB40" s="193">
        <f t="shared" si="15"/>
        <v>45683</v>
      </c>
      <c r="AC40" s="119">
        <f>IF(OR(t&lt;Tnet,NoTnet),'2024'!Resal_s+('2024'!Salim-'2024'!Resal_s)*(1-EXP(('2024'!Tnet_s-t)/'2024'!Tau_j)),Resal_s+(Salim-Resal_s)*(1-EXP((Tnet_s-t)/Tau_j)))*Salcycl</f>
        <v>5.229166627719279E-2</v>
      </c>
      <c r="AD40" s="227">
        <f>(INDEX(Models!$BJ40:$BT40,,AH40)*(1-AF40)+INDEX(Models!$BJ40:$BT40,,AH40+1)*AF40-ERP_i)*AE40*Ramure*Pc/MaxiM</f>
        <v>7.9929244754361195E-3</v>
      </c>
      <c r="AE40" s="301">
        <f t="shared" si="16"/>
        <v>0.5</v>
      </c>
      <c r="AF40" s="173">
        <f t="shared" si="23"/>
        <v>0.49506390848941706</v>
      </c>
      <c r="AG40" s="802">
        <f t="shared" si="24"/>
        <v>1</v>
      </c>
      <c r="AH40" s="172">
        <f t="shared" si="17"/>
        <v>7</v>
      </c>
      <c r="AI40" s="221">
        <f t="shared" si="18"/>
        <v>1.4950639084894171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x14ac:dyDescent="0.2">
      <c r="A41" s="56">
        <f t="shared" si="21"/>
        <v>45684</v>
      </c>
      <c r="B41" s="406">
        <f>'2024'!Wh/'2024'!Env_an*'2025'!Env_an</f>
        <v>18.591205794945701</v>
      </c>
      <c r="C41" s="385"/>
      <c r="D41" s="388">
        <f t="shared" si="0"/>
        <v>18.889299075890587</v>
      </c>
      <c r="E41" s="380">
        <f t="shared" si="1"/>
        <v>19.581034286814422</v>
      </c>
      <c r="F41" s="380">
        <f t="shared" si="2"/>
        <v>19.691675070954208</v>
      </c>
      <c r="G41" s="110">
        <f t="shared" si="22"/>
        <v>0.80172779308876152</v>
      </c>
      <c r="H41" s="409" t="b">
        <f>Wh_hp&gt;='2024'!Maxi_hp</f>
        <v>0</v>
      </c>
      <c r="I41" s="375">
        <f>IF(H41,Wh_hp,'2024'!Maxi_hp)</f>
        <v>19.735165141649773</v>
      </c>
      <c r="J41" s="85">
        <f>IF(H41,An,'2024'!An_max)</f>
        <v>2022</v>
      </c>
      <c r="K41" s="193">
        <f t="shared" si="3"/>
        <v>45684</v>
      </c>
      <c r="L41" s="143">
        <f>IF(t&lt;Tvie,1-EXP((T0-t)*PertePVj)+'2024'!Pspv,1-EXP((T0-t)*PertePVj)+Pspv)</f>
        <v>1.578106629299747E-2</v>
      </c>
      <c r="M41" s="836"/>
      <c r="N41" s="836"/>
      <c r="O41" s="48">
        <f>IF(t&lt;Tnet,'2024'!Resal+('2024'!Salim-'2024'!Resal)*(1-EXP(('2024'!Tnet-t)/('2024'!Tau_j))),Resal+(Salim-Resal)*(1-EXP((Tnet-t)/(Tau_j))))*Salcycl</f>
        <v>3.5326796367934482E-2</v>
      </c>
      <c r="P41" s="165">
        <f>(INDEX(Models!$BJ41:$BT41,,T41)*(1-R41)+INDEX(Models!$BJ41:$BT41,,T41+1)*R41-ERP_i)*Q41*Ramure*Pc/MaxiM</f>
        <v>7.8114462417061417E-3</v>
      </c>
      <c r="Q41" s="301">
        <f t="shared" si="4"/>
        <v>0.5</v>
      </c>
      <c r="R41" s="173">
        <f t="shared" si="5"/>
        <v>0.49514511317123877</v>
      </c>
      <c r="S41" s="802">
        <f t="shared" si="6"/>
        <v>1</v>
      </c>
      <c r="T41" s="172">
        <f t="shared" si="7"/>
        <v>7</v>
      </c>
      <c r="U41" s="247">
        <f t="shared" si="8"/>
        <v>1.4951451131712388</v>
      </c>
      <c r="V41" s="378">
        <f t="shared" si="9"/>
        <v>23.137789442181589</v>
      </c>
      <c r="W41" s="397">
        <f t="shared" si="10"/>
        <v>18.591205794945701</v>
      </c>
      <c r="X41" s="153">
        <f t="shared" si="11"/>
        <v>45684</v>
      </c>
      <c r="Y41" s="380">
        <f t="shared" si="12"/>
        <v>18.26377574138791</v>
      </c>
      <c r="Z41" s="380">
        <f t="shared" si="13"/>
        <v>18.556618975616001</v>
      </c>
      <c r="AA41" s="381">
        <f t="shared" si="14"/>
        <v>19.581034286814422</v>
      </c>
      <c r="AB41" s="193">
        <f t="shared" si="15"/>
        <v>45684</v>
      </c>
      <c r="AC41" s="119">
        <f>IF(OR(t&lt;Tnet,NoTnet),'2024'!Resal_s+('2024'!Salim-'2024'!Resal_s)*(1-EXP(('2024'!Tnet_s-t)/'2024'!Tau_j)),Resal_s+(Salim-Resal_s)*(1-EXP((Tnet_s-t)/Tau_j)))*Salcycl</f>
        <v>5.2316710965990561E-2</v>
      </c>
      <c r="AD41" s="227">
        <f>(INDEX(Models!$BJ41:$BT41,,AH41)*(1-AF41)+INDEX(Models!$BJ41:$BT41,,AH41+1)*AF41-ERP_i)*AE41*Ramure*Pc/MaxiM</f>
        <v>7.8114462417061417E-3</v>
      </c>
      <c r="AE41" s="301">
        <f t="shared" si="16"/>
        <v>0.5</v>
      </c>
      <c r="AF41" s="173">
        <f t="shared" si="23"/>
        <v>0.49514511317123877</v>
      </c>
      <c r="AG41" s="802">
        <f t="shared" si="24"/>
        <v>1</v>
      </c>
      <c r="AH41" s="172">
        <f t="shared" si="17"/>
        <v>7</v>
      </c>
      <c r="AI41" s="221">
        <f t="shared" si="18"/>
        <v>1.4951451131712388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45685</v>
      </c>
      <c r="B42" s="406">
        <f>'2024'!Wh/'2024'!Env_an*'2025'!Env_an</f>
        <v>4.4345523190022273</v>
      </c>
      <c r="C42" s="385"/>
      <c r="D42" s="388">
        <f t="shared" si="0"/>
        <v>4.5057180605414837</v>
      </c>
      <c r="E42" s="380">
        <f t="shared" si="1"/>
        <v>4.6709165289600056</v>
      </c>
      <c r="F42" s="380">
        <f t="shared" si="2"/>
        <v>4.6709165289600056</v>
      </c>
      <c r="G42" s="110">
        <f t="shared" si="22"/>
        <v>0.18740395642679938</v>
      </c>
      <c r="H42" s="409" t="b">
        <f>Wh_hp&gt;='2024'!Maxi_hp</f>
        <v>0</v>
      </c>
      <c r="I42" s="375">
        <f>IF(H42,Wh_hp,'2024'!Maxi_hp)</f>
        <v>4.7066426478923402</v>
      </c>
      <c r="J42" s="85">
        <f>IF(H42,An,'2024'!An_max)</f>
        <v>2022</v>
      </c>
      <c r="K42" s="193">
        <f t="shared" si="3"/>
        <v>45685</v>
      </c>
      <c r="L42" s="143">
        <f>IF(t&lt;Tvie,1-EXP((T0-t)*PertePVj)+'2024'!Pspv,1-EXP((T0-t)*PertePVj)+Pspv)</f>
        <v>1.5794539423690468E-2</v>
      </c>
      <c r="M42" s="836"/>
      <c r="N42" s="836"/>
      <c r="O42" s="48">
        <f>IF(t&lt;Tnet,'2024'!Resal+('2024'!Salim-'2024'!Resal)*(1-EXP(('2024'!Tnet-t)/('2024'!Tau_j))),Resal+(Salim-Resal)*(1-EXP((Tnet-t)/(Tau_j))))*Salcycl</f>
        <v>3.536746319363232E-2</v>
      </c>
      <c r="P42" s="165">
        <f>(INDEX(Models!$BJ42:$BT42,,T42)*(1-R42)+INDEX(Models!$BJ42:$BT42,,T42+1)*R42-ERP_i)*Q42*Ramure*Pc/MaxiM</f>
        <v>7.5958681398613781E-3</v>
      </c>
      <c r="Q42" s="301">
        <f t="shared" si="4"/>
        <v>0.5</v>
      </c>
      <c r="R42" s="173">
        <f t="shared" si="5"/>
        <v>0.49522969643708481</v>
      </c>
      <c r="S42" s="802">
        <f t="shared" si="6"/>
        <v>1</v>
      </c>
      <c r="T42" s="172">
        <f t="shared" si="7"/>
        <v>7</v>
      </c>
      <c r="U42" s="247">
        <f t="shared" si="8"/>
        <v>1.4952296964370848</v>
      </c>
      <c r="V42" s="378">
        <f t="shared" si="9"/>
        <v>23.483325156194148</v>
      </c>
      <c r="W42" s="397">
        <f t="shared" si="10"/>
        <v>4.4345523190022273</v>
      </c>
      <c r="X42" s="153">
        <f t="shared" si="11"/>
        <v>45685</v>
      </c>
      <c r="Y42" s="380">
        <f t="shared" si="12"/>
        <v>4.3565188208548147</v>
      </c>
      <c r="Z42" s="380">
        <f t="shared" si="13"/>
        <v>4.4264322800076918</v>
      </c>
      <c r="AA42" s="381">
        <f t="shared" si="14"/>
        <v>4.6709165289600056</v>
      </c>
      <c r="AB42" s="193">
        <f t="shared" si="15"/>
        <v>45685</v>
      </c>
      <c r="AC42" s="119">
        <f>IF(OR(t&lt;Tnet,NoTnet),'2024'!Resal_s+('2024'!Salim-'2024'!Resal_s)*(1-EXP(('2024'!Tnet_s-t)/'2024'!Tau_j)),Resal_s+(Salim-Resal_s)*(1-EXP((Tnet_s-t)/Tau_j)))*Salcycl</f>
        <v>5.2341815024202272E-2</v>
      </c>
      <c r="AD42" s="227">
        <f>(INDEX(Models!$BJ42:$BT42,,AH42)*(1-AF42)+INDEX(Models!$BJ42:$BT42,,AH42+1)*AF42-ERP_i)*AE42*Ramure*Pc/MaxiM</f>
        <v>7.5958681398613781E-3</v>
      </c>
      <c r="AE42" s="301">
        <f t="shared" si="16"/>
        <v>0.5</v>
      </c>
      <c r="AF42" s="173">
        <f t="shared" si="23"/>
        <v>0.49522969643708481</v>
      </c>
      <c r="AG42" s="802">
        <f t="shared" si="24"/>
        <v>1</v>
      </c>
      <c r="AH42" s="172">
        <f t="shared" si="17"/>
        <v>7</v>
      </c>
      <c r="AI42" s="221">
        <f t="shared" si="18"/>
        <v>1.4952296964370848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x14ac:dyDescent="0.2">
      <c r="A43" s="56">
        <f t="shared" si="21"/>
        <v>45686</v>
      </c>
      <c r="B43" s="406">
        <f>'2024'!Wh/'2024'!Env_an*'2025'!Env_an</f>
        <v>6.6650409188956541</v>
      </c>
      <c r="C43" s="385"/>
      <c r="D43" s="388">
        <f t="shared" si="0"/>
        <v>6.7720942688683774</v>
      </c>
      <c r="E43" s="380">
        <f t="shared" si="1"/>
        <v>7.0206836784441782</v>
      </c>
      <c r="F43" s="380">
        <f t="shared" si="2"/>
        <v>7.0206836784441782</v>
      </c>
      <c r="G43" s="110">
        <f t="shared" si="22"/>
        <v>0.27756944515718945</v>
      </c>
      <c r="H43" s="409" t="b">
        <f>Wh_hp&gt;='2024'!Maxi_hp</f>
        <v>0</v>
      </c>
      <c r="I43" s="375">
        <f>IF(H43,Wh_hp,'2024'!Maxi_hp)</f>
        <v>7.0726171921905499</v>
      </c>
      <c r="J43" s="85">
        <f>IF(H43,An,'2024'!An_max)</f>
        <v>2022</v>
      </c>
      <c r="K43" s="193">
        <f t="shared" si="3"/>
        <v>45686</v>
      </c>
      <c r="L43" s="143">
        <f>IF(t&lt;Tvie,1-EXP((T0-t)*PertePVj)+'2024'!Pspv,1-EXP((T0-t)*PertePVj)+Pspv)</f>
        <v>1.5808012369947666E-2</v>
      </c>
      <c r="M43" s="836"/>
      <c r="N43" s="836"/>
      <c r="O43" s="48">
        <f>IF(t&lt;Tnet,'2024'!Resal+('2024'!Salim-'2024'!Resal)*(1-EXP(('2024'!Tnet-t)/('2024'!Tau_j))),Resal+(Salim-Resal)*(1-EXP((Tnet-t)/(Tau_j))))*Salcycl</f>
        <v>3.5408148402847527E-2</v>
      </c>
      <c r="P43" s="165">
        <f>(INDEX(Models!$BJ43:$BT43,,T43)*(1-R43)+INDEX(Models!$BJ43:$BT43,,T43+1)*R43-ERP_i)*Q43*Ramure*Pc/MaxiM</f>
        <v>7.3481344215252844E-3</v>
      </c>
      <c r="Q43" s="301">
        <f t="shared" si="4"/>
        <v>0.5</v>
      </c>
      <c r="R43" s="173">
        <f t="shared" si="5"/>
        <v>0.49531779763236994</v>
      </c>
      <c r="S43" s="802">
        <f t="shared" si="6"/>
        <v>1</v>
      </c>
      <c r="T43" s="172">
        <f t="shared" si="7"/>
        <v>7</v>
      </c>
      <c r="U43" s="247">
        <f t="shared" si="8"/>
        <v>1.4953177976323699</v>
      </c>
      <c r="V43" s="378">
        <f t="shared" si="9"/>
        <v>23.835711810973716</v>
      </c>
      <c r="W43" s="397">
        <f t="shared" si="10"/>
        <v>6.6650409188956541</v>
      </c>
      <c r="X43" s="153">
        <f t="shared" si="11"/>
        <v>45686</v>
      </c>
      <c r="Y43" s="380">
        <f t="shared" si="12"/>
        <v>6.5478604801372908</v>
      </c>
      <c r="Z43" s="380">
        <f t="shared" si="13"/>
        <v>6.6530316873485509</v>
      </c>
      <c r="AA43" s="381">
        <f t="shared" si="14"/>
        <v>7.0206836784441782</v>
      </c>
      <c r="AB43" s="193">
        <f t="shared" si="15"/>
        <v>45686</v>
      </c>
      <c r="AC43" s="119">
        <f>IF(OR(t&lt;Tnet,NoTnet),'2024'!Resal_s+('2024'!Salim-'2024'!Resal_s)*(1-EXP(('2024'!Tnet_s-t)/'2024'!Tau_j)),Resal_s+(Salim-Resal_s)*(1-EXP((Tnet_s-t)/Tau_j)))*Salcycl</f>
        <v>5.236697847881118E-2</v>
      </c>
      <c r="AD43" s="227">
        <f>(INDEX(Models!$BJ43:$BT43,,AH43)*(1-AF43)+INDEX(Models!$BJ43:$BT43,,AH43+1)*AF43-ERP_i)*AE43*Ramure*Pc/MaxiM</f>
        <v>7.3481344215252844E-3</v>
      </c>
      <c r="AE43" s="301">
        <f t="shared" si="16"/>
        <v>0.5</v>
      </c>
      <c r="AF43" s="173">
        <f t="shared" si="23"/>
        <v>0.49531779763236994</v>
      </c>
      <c r="AG43" s="802">
        <f t="shared" si="24"/>
        <v>1</v>
      </c>
      <c r="AH43" s="172">
        <f t="shared" si="17"/>
        <v>7</v>
      </c>
      <c r="AI43" s="221">
        <f t="shared" si="18"/>
        <v>1.4953177976323699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45687</v>
      </c>
      <c r="B44" s="406">
        <f>'2024'!Wh/'2024'!Env_an*'2025'!Env_an</f>
        <v>4.8040891368548095</v>
      </c>
      <c r="C44" s="385"/>
      <c r="D44" s="388">
        <f t="shared" si="0"/>
        <v>4.8813188504709721</v>
      </c>
      <c r="E44" s="380">
        <f t="shared" si="1"/>
        <v>5.0607154005845061</v>
      </c>
      <c r="F44" s="380">
        <f t="shared" si="2"/>
        <v>5.0607154005845061</v>
      </c>
      <c r="G44" s="110">
        <f t="shared" si="22"/>
        <v>0.19716131413203714</v>
      </c>
      <c r="H44" s="409" t="b">
        <f>Wh_hp&gt;='2024'!Maxi_hp</f>
        <v>0</v>
      </c>
      <c r="I44" s="375">
        <f>IF(H44,Wh_hp,'2024'!Maxi_hp)</f>
        <v>5.0966884891748485</v>
      </c>
      <c r="J44" s="85">
        <f>IF(H44,An,'2024'!An_max)</f>
        <v>2022</v>
      </c>
      <c r="K44" s="193">
        <f t="shared" si="3"/>
        <v>45687</v>
      </c>
      <c r="L44" s="143">
        <f>IF(t&lt;Tvie,1-EXP((T0-t)*PertePVj)+'2024'!Pspv,1-EXP((T0-t)*PertePVj)+Pspv)</f>
        <v>1.5821485131771507E-2</v>
      </c>
      <c r="M44" s="836"/>
      <c r="N44" s="836"/>
      <c r="O44" s="48">
        <f>IF(t&lt;Tnet,'2024'!Resal+('2024'!Salim-'2024'!Resal)*(1-EXP(('2024'!Tnet-t)/('2024'!Tau_j))),Resal+(Salim-Resal)*(1-EXP((Tnet-t)/(Tau_j))))*Salcycl</f>
        <v>3.5448851775544202E-2</v>
      </c>
      <c r="P44" s="165">
        <f>(INDEX(Models!$BJ44:$BT44,,T44)*(1-R44)+INDEX(Models!$BJ44:$BT44,,T44+1)*R44-ERP_i)*Q44*Ramure*Pc/MaxiM</f>
        <v>7.0632586518288281E-3</v>
      </c>
      <c r="Q44" s="301">
        <f t="shared" si="4"/>
        <v>0.5</v>
      </c>
      <c r="R44" s="173">
        <f t="shared" si="5"/>
        <v>0.49540956174536355</v>
      </c>
      <c r="S44" s="802">
        <f t="shared" si="6"/>
        <v>1</v>
      </c>
      <c r="T44" s="172">
        <f t="shared" si="7"/>
        <v>7</v>
      </c>
      <c r="U44" s="247">
        <f t="shared" si="8"/>
        <v>1.4954095617453635</v>
      </c>
      <c r="V44" s="378">
        <f t="shared" si="9"/>
        <v>24.194181468582791</v>
      </c>
      <c r="W44" s="397">
        <f t="shared" si="10"/>
        <v>4.8040891368548095</v>
      </c>
      <c r="X44" s="153">
        <f t="shared" si="11"/>
        <v>45687</v>
      </c>
      <c r="Y44" s="380">
        <f t="shared" si="12"/>
        <v>4.7197002900972871</v>
      </c>
      <c r="Z44" s="380">
        <f t="shared" si="13"/>
        <v>4.7955733830759426</v>
      </c>
      <c r="AA44" s="381">
        <f t="shared" si="14"/>
        <v>5.0607154005845061</v>
      </c>
      <c r="AB44" s="193">
        <f t="shared" si="15"/>
        <v>45687</v>
      </c>
      <c r="AC44" s="119">
        <f>IF(OR(t&lt;Tnet,NoTnet),'2024'!Resal_s+('2024'!Salim-'2024'!Resal_s)*(1-EXP(('2024'!Tnet_s-t)/'2024'!Tau_j)),Resal_s+(Salim-Resal_s)*(1-EXP((Tnet_s-t)/Tau_j)))*Salcycl</f>
        <v>5.2392200809778744E-2</v>
      </c>
      <c r="AD44" s="227">
        <f>(INDEX(Models!$BJ44:$BT44,,AH44)*(1-AF44)+INDEX(Models!$BJ44:$BT44,,AH44+1)*AF44-ERP_i)*AE44*Ramure*Pc/MaxiM</f>
        <v>7.0632586518288281E-3</v>
      </c>
      <c r="AE44" s="301">
        <f t="shared" si="16"/>
        <v>0.5</v>
      </c>
      <c r="AF44" s="173">
        <f t="shared" si="23"/>
        <v>0.49540956174536355</v>
      </c>
      <c r="AG44" s="802">
        <f t="shared" si="24"/>
        <v>1</v>
      </c>
      <c r="AH44" s="172">
        <f t="shared" si="17"/>
        <v>7</v>
      </c>
      <c r="AI44" s="221">
        <f t="shared" si="18"/>
        <v>1.4954095617453635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45688</v>
      </c>
      <c r="B45" s="406">
        <f>'2024'!Wh/'2024'!Env_an*'2025'!Env_an</f>
        <v>11.140337246827894</v>
      </c>
      <c r="C45" s="385"/>
      <c r="D45" s="388">
        <f t="shared" si="0"/>
        <v>11.319582354699975</v>
      </c>
      <c r="E45" s="380">
        <f t="shared" si="1"/>
        <v>11.736091217266249</v>
      </c>
      <c r="F45" s="380">
        <f t="shared" si="2"/>
        <v>11.753506454554023</v>
      </c>
      <c r="G45" s="110">
        <f t="shared" si="22"/>
        <v>0.45124704278733807</v>
      </c>
      <c r="H45" s="409" t="b">
        <f>Wh_hp&gt;='2024'!Maxi_hp</f>
        <v>0</v>
      </c>
      <c r="I45" s="375">
        <f>IF(H45,Wh_hp,'2024'!Maxi_hp)</f>
        <v>11.815810990102225</v>
      </c>
      <c r="J45" s="85">
        <f>IF(H45,An,'2024'!An_max)</f>
        <v>2022</v>
      </c>
      <c r="K45" s="193">
        <f t="shared" si="3"/>
        <v>45688</v>
      </c>
      <c r="L45" s="143">
        <f>IF(t&lt;Tvie,1-EXP((T0-t)*PertePVj)+'2024'!Pspv,1-EXP((T0-t)*PertePVj)+Pspv)</f>
        <v>1.5834957709164654E-2</v>
      </c>
      <c r="M45" s="836"/>
      <c r="N45" s="836"/>
      <c r="O45" s="48">
        <f>IF(t&lt;Tnet,'2024'!Resal+('2024'!Salim-'2024'!Resal)*(1-EXP(('2024'!Tnet-t)/('2024'!Tau_j))),Resal+(Salim-Resal)*(1-EXP((Tnet-t)/(Tau_j))))*Salcycl</f>
        <v>3.5489572708288314E-2</v>
      </c>
      <c r="P45" s="165">
        <f>(INDEX(Models!$BJ45:$BT45,,T45)*(1-R45)+INDEX(Models!$BJ45:$BT45,,T45+1)*R45-ERP_i)*Q45*Ramure*Pc/MaxiM</f>
        <v>6.7507694815797398E-3</v>
      </c>
      <c r="Q45" s="301">
        <f t="shared" si="4"/>
        <v>0.5</v>
      </c>
      <c r="R45" s="173">
        <f t="shared" si="5"/>
        <v>0.49550513962679354</v>
      </c>
      <c r="S45" s="802">
        <f t="shared" si="6"/>
        <v>1</v>
      </c>
      <c r="T45" s="172">
        <f t="shared" si="7"/>
        <v>7</v>
      </c>
      <c r="U45" s="247">
        <f t="shared" si="8"/>
        <v>1.4955051396267935</v>
      </c>
      <c r="V45" s="378">
        <f t="shared" si="9"/>
        <v>24.557614664338299</v>
      </c>
      <c r="W45" s="397">
        <f t="shared" si="10"/>
        <v>11.140337246827894</v>
      </c>
      <c r="X45" s="153">
        <f t="shared" si="11"/>
        <v>45688</v>
      </c>
      <c r="Y45" s="380">
        <f t="shared" si="12"/>
        <v>10.944815662852026</v>
      </c>
      <c r="Z45" s="380">
        <f t="shared" si="13"/>
        <v>11.12091487965864</v>
      </c>
      <c r="AA45" s="381">
        <f t="shared" si="14"/>
        <v>11.736091217266249</v>
      </c>
      <c r="AB45" s="193">
        <f t="shared" si="15"/>
        <v>45688</v>
      </c>
      <c r="AC45" s="119">
        <f>IF(OR(t&lt;Tnet,NoTnet),'2024'!Resal_s+('2024'!Salim-'2024'!Resal_s)*(1-EXP(('2024'!Tnet_s-t)/'2024'!Tau_j)),Resal_s+(Salim-Resal_s)*(1-EXP((Tnet_s-t)/Tau_j)))*Salcycl</f>
        <v>5.2417480932881309E-2</v>
      </c>
      <c r="AD45" s="227">
        <f>(INDEX(Models!$BJ45:$BT45,,AH45)*(1-AF45)+INDEX(Models!$BJ45:$BT45,,AH45+1)*AF45-ERP_i)*AE45*Ramure*Pc/MaxiM</f>
        <v>6.7507694815797398E-3</v>
      </c>
      <c r="AE45" s="301">
        <f t="shared" si="16"/>
        <v>0.5</v>
      </c>
      <c r="AF45" s="173">
        <f t="shared" si="23"/>
        <v>0.49550513962679354</v>
      </c>
      <c r="AG45" s="802">
        <f t="shared" si="24"/>
        <v>1</v>
      </c>
      <c r="AH45" s="172">
        <f t="shared" si="17"/>
        <v>7</v>
      </c>
      <c r="AI45" s="221">
        <f t="shared" si="18"/>
        <v>1.4955051396267935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45689</v>
      </c>
      <c r="B46" s="406">
        <f>'2024'!Wh/'2024'!Env_an*'2025'!Env_an</f>
        <v>14.363656685507882</v>
      </c>
      <c r="C46" s="385"/>
      <c r="D46" s="388">
        <f t="shared" si="0"/>
        <v>14.594963951536913</v>
      </c>
      <c r="E46" s="380">
        <f t="shared" si="1"/>
        <v>15.132631026161871</v>
      </c>
      <c r="F46" s="380">
        <f t="shared" si="2"/>
        <v>15.171025211137321</v>
      </c>
      <c r="G46" s="110">
        <f t="shared" si="22"/>
        <v>0.57403082563585139</v>
      </c>
      <c r="H46" s="409" t="b">
        <f>Wh_hp&gt;='2024'!Maxi_hp</f>
        <v>0</v>
      </c>
      <c r="I46" s="375">
        <f>IF(H46,Wh_hp,'2024'!Maxi_hp)</f>
        <v>15.230246512611631</v>
      </c>
      <c r="J46" s="85">
        <f>IF(H46,An,'2024'!An_max)</f>
        <v>2022</v>
      </c>
      <c r="K46" s="193">
        <f t="shared" si="3"/>
        <v>45689</v>
      </c>
      <c r="L46" s="143">
        <f>IF(t&lt;Tvie,1-EXP((T0-t)*PertePVj)+'2024'!Pspv,1-EXP((T0-t)*PertePVj)+Pspv)</f>
        <v>1.584843010212944E-2</v>
      </c>
      <c r="M46" s="836"/>
      <c r="N46" s="836"/>
      <c r="O46" s="48">
        <f>IF(t&lt;Tnet,'2024'!Resal+('2024'!Salim-'2024'!Resal)*(1-EXP(('2024'!Tnet-t)/('2024'!Tau_j))),Resal+(Salim-Resal)*(1-EXP((Tnet-t)/(Tau_j))))*Salcycl</f>
        <v>3.5530310208146829E-2</v>
      </c>
      <c r="P46" s="165">
        <f>(INDEX(Models!$BJ46:$BT46,,T46)*(1-R46)+INDEX(Models!$BJ46:$BT46,,T46+1)*R46-ERP_i)*Q46*Ramure*Pc/MaxiM</f>
        <v>6.4122383349170765E-3</v>
      </c>
      <c r="Q46" s="301">
        <f t="shared" si="4"/>
        <v>0.5</v>
      </c>
      <c r="R46" s="173">
        <f t="shared" si="5"/>
        <v>0.49560468821723402</v>
      </c>
      <c r="S46" s="802">
        <f t="shared" si="6"/>
        <v>1</v>
      </c>
      <c r="T46" s="172">
        <f t="shared" si="7"/>
        <v>7</v>
      </c>
      <c r="U46" s="247">
        <f t="shared" si="8"/>
        <v>1.495604688217234</v>
      </c>
      <c r="V46" s="378">
        <f t="shared" si="9"/>
        <v>24.925077773082847</v>
      </c>
      <c r="W46" s="397">
        <f t="shared" si="10"/>
        <v>14.363656685507882</v>
      </c>
      <c r="X46" s="153">
        <f t="shared" si="11"/>
        <v>45689</v>
      </c>
      <c r="Y46" s="380">
        <f t="shared" si="12"/>
        <v>14.111782057837718</v>
      </c>
      <c r="Z46" s="380">
        <f t="shared" si="13"/>
        <v>14.339033223614281</v>
      </c>
      <c r="AA46" s="381">
        <f t="shared" si="14"/>
        <v>15.132631026161871</v>
      </c>
      <c r="AB46" s="193">
        <f t="shared" si="15"/>
        <v>45689</v>
      </c>
      <c r="AC46" s="119">
        <f>IF(OR(t&lt;Tnet,NoTnet),'2024'!Resal_s+('2024'!Salim-'2024'!Resal_s)*(1-EXP(('2024'!Tnet_s-t)/'2024'!Tau_j)),Resal_s+(Salim-Resal_s)*(1-EXP((Tnet_s-t)/Tau_j)))*Salcycl</f>
        <v>5.2442817192567992E-2</v>
      </c>
      <c r="AD46" s="227">
        <f>(INDEX(Models!$BJ46:$BT46,,AH46)*(1-AF46)+INDEX(Models!$BJ46:$BT46,,AH46+1)*AF46-ERP_i)*AE46*Ramure*Pc/MaxiM</f>
        <v>6.4122383349170765E-3</v>
      </c>
      <c r="AE46" s="301">
        <f t="shared" si="16"/>
        <v>0.5</v>
      </c>
      <c r="AF46" s="173">
        <f t="shared" si="23"/>
        <v>0.49560468821723402</v>
      </c>
      <c r="AG46" s="802">
        <f t="shared" si="24"/>
        <v>1</v>
      </c>
      <c r="AH46" s="172">
        <f t="shared" si="17"/>
        <v>7</v>
      </c>
      <c r="AI46" s="221">
        <f t="shared" si="18"/>
        <v>1.495604688217234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45690</v>
      </c>
      <c r="B47" s="406">
        <f>'2024'!Wh/'2024'!Env_an*'2025'!Env_an</f>
        <v>5.7936531131212172</v>
      </c>
      <c r="C47" s="385"/>
      <c r="D47" s="388">
        <f t="shared" si="0"/>
        <v>5.8870326499138672</v>
      </c>
      <c r="E47" s="380">
        <f t="shared" si="1"/>
        <v>6.1041642607437261</v>
      </c>
      <c r="F47" s="380">
        <f t="shared" si="2"/>
        <v>6.1041642607437261</v>
      </c>
      <c r="G47" s="110">
        <f t="shared" si="22"/>
        <v>0.22765216486625364</v>
      </c>
      <c r="H47" s="409" t="b">
        <f>Wh_hp&gt;='2024'!Maxi_hp</f>
        <v>0</v>
      </c>
      <c r="I47" s="375">
        <f>IF(H47,Wh_hp,'2024'!Maxi_hp)</f>
        <v>6.1412851991901132</v>
      </c>
      <c r="J47" s="85">
        <f>IF(H47,An,'2024'!An_max)</f>
        <v>2022</v>
      </c>
      <c r="K47" s="193">
        <f t="shared" si="3"/>
        <v>45690</v>
      </c>
      <c r="L47" s="143">
        <f>IF(t&lt;Tvie,1-EXP((T0-t)*PertePVj)+'2024'!Pspv,1-EXP((T0-t)*PertePVj)+Pspv)</f>
        <v>1.586190231066853E-2</v>
      </c>
      <c r="M47" s="836"/>
      <c r="N47" s="836"/>
      <c r="O47" s="48">
        <f>IF(t&lt;Tnet,'2024'!Resal+('2024'!Salim-'2024'!Resal)*(1-EXP(('2024'!Tnet-t)/('2024'!Tau_j))),Resal+(Salim-Resal)*(1-EXP((Tnet-t)/(Tau_j))))*Salcycl</f>
        <v>3.5571062893285314E-2</v>
      </c>
      <c r="P47" s="165">
        <f>(INDEX(Models!$BJ47:$BT47,,T47)*(1-R47)+INDEX(Models!$BJ47:$BT47,,T47+1)*R47-ERP_i)*Q47*Ramure*Pc/MaxiM</f>
        <v>6.0491155438112763E-3</v>
      </c>
      <c r="Q47" s="301">
        <f t="shared" si="4"/>
        <v>0.5</v>
      </c>
      <c r="R47" s="173">
        <f t="shared" si="5"/>
        <v>0.49570837078247876</v>
      </c>
      <c r="S47" s="802">
        <f t="shared" si="6"/>
        <v>1</v>
      </c>
      <c r="T47" s="172">
        <f t="shared" si="7"/>
        <v>7</v>
      </c>
      <c r="U47" s="247">
        <f t="shared" si="8"/>
        <v>1.4957083707824788</v>
      </c>
      <c r="V47" s="378">
        <f t="shared" si="9"/>
        <v>25.295637488896205</v>
      </c>
      <c r="W47" s="397">
        <f t="shared" si="10"/>
        <v>5.7936531131212172</v>
      </c>
      <c r="X47" s="153">
        <f t="shared" si="11"/>
        <v>45690</v>
      </c>
      <c r="Y47" s="380">
        <f t="shared" si="12"/>
        <v>5.6921462110539087</v>
      </c>
      <c r="Z47" s="380">
        <f t="shared" si="13"/>
        <v>5.7838897045227293</v>
      </c>
      <c r="AA47" s="381">
        <f t="shared" si="14"/>
        <v>6.1041642607437261</v>
      </c>
      <c r="AB47" s="193">
        <f t="shared" si="15"/>
        <v>45690</v>
      </c>
      <c r="AC47" s="119">
        <f>IF(OR(t&lt;Tnet,NoTnet),'2024'!Resal_s+('2024'!Salim-'2024'!Resal_s)*(1-EXP(('2024'!Tnet_s-t)/'2024'!Tau_j)),Resal_s+(Salim-Resal_s)*(1-EXP((Tnet_s-t)/Tau_j)))*Salcycl</f>
        <v>5.2468207364717079E-2</v>
      </c>
      <c r="AD47" s="227">
        <f>(INDEX(Models!$BJ47:$BT47,,AH47)*(1-AF47)+INDEX(Models!$BJ47:$BT47,,AH47+1)*AF47-ERP_i)*AE47*Ramure*Pc/MaxiM</f>
        <v>6.0491155438112763E-3</v>
      </c>
      <c r="AE47" s="301">
        <f t="shared" si="16"/>
        <v>0.5</v>
      </c>
      <c r="AF47" s="173">
        <f t="shared" si="23"/>
        <v>0.49570837078247876</v>
      </c>
      <c r="AG47" s="802">
        <f t="shared" si="24"/>
        <v>1</v>
      </c>
      <c r="AH47" s="172">
        <f t="shared" si="17"/>
        <v>7</v>
      </c>
      <c r="AI47" s="221">
        <f t="shared" si="18"/>
        <v>1.4957083707824788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45691</v>
      </c>
      <c r="B48" s="406">
        <f>'2024'!Wh/'2024'!Env_an*'2025'!Env_an</f>
        <v>13.390564043156127</v>
      </c>
      <c r="C48" s="385"/>
      <c r="D48" s="388">
        <f t="shared" si="0"/>
        <v>13.606573490735304</v>
      </c>
      <c r="E48" s="380">
        <f t="shared" si="1"/>
        <v>14.109021553663712</v>
      </c>
      <c r="F48" s="380">
        <f t="shared" si="2"/>
        <v>14.134368314407933</v>
      </c>
      <c r="G48" s="110">
        <f t="shared" si="22"/>
        <v>0.51965362500117529</v>
      </c>
      <c r="H48" s="409" t="b">
        <f>Wh_hp&gt;='2024'!Maxi_hp</f>
        <v>0</v>
      </c>
      <c r="I48" s="375">
        <f>IF(H48,Wh_hp,'2024'!Maxi_hp)</f>
        <v>14.189329287709032</v>
      </c>
      <c r="J48" s="85">
        <f>IF(H48,An,'2024'!An_max)</f>
        <v>2022</v>
      </c>
      <c r="K48" s="193">
        <f t="shared" si="3"/>
        <v>45691</v>
      </c>
      <c r="L48" s="143">
        <f>IF(t&lt;Tvie,1-EXP((T0-t)*PertePVj)+'2024'!Pspv,1-EXP((T0-t)*PertePVj)+Pspv)</f>
        <v>1.5875374334784365E-2</v>
      </c>
      <c r="M48" s="836"/>
      <c r="N48" s="836"/>
      <c r="O48" s="48">
        <f>IF(t&lt;Tnet,'2024'!Resal+('2024'!Salim-'2024'!Resal)*(1-EXP(('2024'!Tnet-t)/('2024'!Tau_j))),Resal+(Salim-Resal)*(1-EXP((Tnet-t)/(Tau_j))))*Salcycl</f>
        <v>3.5611829000143216E-2</v>
      </c>
      <c r="P48" s="165">
        <f>(INDEX(Models!$BJ48:$BT48,,T48)*(1-R48)+INDEX(Models!$BJ48:$BT48,,T48+1)*R48-ERP_i)*Q48*Ramure*Pc/MaxiM</f>
        <v>5.662728139831044E-3</v>
      </c>
      <c r="Q48" s="301">
        <f t="shared" si="4"/>
        <v>0.5</v>
      </c>
      <c r="R48" s="173">
        <f t="shared" si="5"/>
        <v>0.49581635715711192</v>
      </c>
      <c r="S48" s="802">
        <f t="shared" si="6"/>
        <v>1</v>
      </c>
      <c r="T48" s="172">
        <f t="shared" si="7"/>
        <v>7</v>
      </c>
      <c r="U48" s="247">
        <f t="shared" si="8"/>
        <v>1.4958163571571119</v>
      </c>
      <c r="V48" s="378">
        <f t="shared" si="9"/>
        <v>25.668360830044275</v>
      </c>
      <c r="W48" s="397">
        <f t="shared" si="10"/>
        <v>13.390564043156127</v>
      </c>
      <c r="X48" s="153">
        <f t="shared" si="11"/>
        <v>45691</v>
      </c>
      <c r="Y48" s="380">
        <f t="shared" si="12"/>
        <v>13.156159376819998</v>
      </c>
      <c r="Z48" s="380">
        <f t="shared" si="13"/>
        <v>13.3683875331614</v>
      </c>
      <c r="AA48" s="381">
        <f t="shared" si="14"/>
        <v>14.109021553663712</v>
      </c>
      <c r="AB48" s="193">
        <f t="shared" si="15"/>
        <v>45691</v>
      </c>
      <c r="AC48" s="119">
        <f>IF(OR(t&lt;Tnet,NoTnet),'2024'!Resal_s+('2024'!Salim-'2024'!Resal_s)*(1-EXP(('2024'!Tnet_s-t)/'2024'!Tau_j)),Resal_s+(Salim-Resal_s)*(1-EXP((Tnet_s-t)/Tau_j)))*Salcycl</f>
        <v>5.2493648669066723E-2</v>
      </c>
      <c r="AD48" s="227">
        <f>(INDEX(Models!$BJ48:$BT48,,AH48)*(1-AF48)+INDEX(Models!$BJ48:$BT48,,AH48+1)*AF48-ERP_i)*AE48*Ramure*Pc/MaxiM</f>
        <v>5.662728139831044E-3</v>
      </c>
      <c r="AE48" s="301">
        <f t="shared" si="16"/>
        <v>0.5</v>
      </c>
      <c r="AF48" s="173">
        <f t="shared" si="23"/>
        <v>0.49581635715711192</v>
      </c>
      <c r="AG48" s="802">
        <f t="shared" si="24"/>
        <v>1</v>
      </c>
      <c r="AH48" s="172">
        <f t="shared" si="17"/>
        <v>7</v>
      </c>
      <c r="AI48" s="221">
        <f t="shared" si="18"/>
        <v>1.4958163571571119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45692</v>
      </c>
      <c r="B49" s="406">
        <f>'2024'!Wh/'2024'!Env_an*'2025'!Env_an</f>
        <v>12.222257454696402</v>
      </c>
      <c r="C49" s="385"/>
      <c r="D49" s="388">
        <f t="shared" si="0"/>
        <v>12.419590416372179</v>
      </c>
      <c r="E49" s="380">
        <f t="shared" si="1"/>
        <v>12.878751473543195</v>
      </c>
      <c r="F49" s="380">
        <f t="shared" si="2"/>
        <v>12.895140650006672</v>
      </c>
      <c r="G49" s="110">
        <f t="shared" si="22"/>
        <v>0.4674511561355234</v>
      </c>
      <c r="H49" s="409" t="b">
        <f>Wh_hp&gt;='2024'!Maxi_hp</f>
        <v>0</v>
      </c>
      <c r="I49" s="375">
        <f>IF(H49,Wh_hp,'2024'!Maxi_hp)</f>
        <v>12.946736780036268</v>
      </c>
      <c r="J49" s="85">
        <f>IF(H49,An,'2024'!An_max)</f>
        <v>2022</v>
      </c>
      <c r="K49" s="193">
        <f t="shared" si="3"/>
        <v>45692</v>
      </c>
      <c r="L49" s="143">
        <f>IF(t&lt;Tvie,1-EXP((T0-t)*PertePVj)+'2024'!Pspv,1-EXP((T0-t)*PertePVj)+Pspv)</f>
        <v>1.5888846174479498E-2</v>
      </c>
      <c r="M49" s="836"/>
      <c r="N49" s="836"/>
      <c r="O49" s="48">
        <f>IF(t&lt;Tnet,'2024'!Resal+('2024'!Salim-'2024'!Resal)*(1-EXP(('2024'!Tnet-t)/('2024'!Tau_j))),Resal+(Salim-Resal)*(1-EXP((Tnet-t)/(Tau_j))))*Salcycl</f>
        <v>3.5652606396999756E-2</v>
      </c>
      <c r="P49" s="165">
        <f>(INDEX(Models!$BJ49:$BT49,,T49)*(1-R49)+INDEX(Models!$BJ49:$BT49,,T49+1)*R49-ERP_i)*Q49*Ramure*Pc/MaxiM</f>
        <v>5.2542790554782658E-3</v>
      </c>
      <c r="Q49" s="301">
        <f t="shared" si="4"/>
        <v>0.5</v>
      </c>
      <c r="R49" s="173">
        <f t="shared" si="5"/>
        <v>0.49592882399647786</v>
      </c>
      <c r="S49" s="802">
        <f t="shared" si="6"/>
        <v>1</v>
      </c>
      <c r="T49" s="172">
        <f t="shared" si="7"/>
        <v>7</v>
      </c>
      <c r="U49" s="247">
        <f t="shared" si="8"/>
        <v>1.4959288239964779</v>
      </c>
      <c r="V49" s="378">
        <f t="shared" si="9"/>
        <v>26.042315134956844</v>
      </c>
      <c r="W49" s="397">
        <f t="shared" si="10"/>
        <v>12.222257454696402</v>
      </c>
      <c r="X49" s="153">
        <f t="shared" si="11"/>
        <v>45692</v>
      </c>
      <c r="Y49" s="380">
        <f t="shared" si="12"/>
        <v>12.008488961689972</v>
      </c>
      <c r="Z49" s="380">
        <f t="shared" si="13"/>
        <v>12.202370550328135</v>
      </c>
      <c r="AA49" s="381">
        <f t="shared" si="14"/>
        <v>12.878751473543195</v>
      </c>
      <c r="AB49" s="193">
        <f t="shared" si="15"/>
        <v>45692</v>
      </c>
      <c r="AC49" s="119">
        <f>IF(OR(t&lt;Tnet,NoTnet),'2024'!Resal_s+('2024'!Salim-'2024'!Resal_s)*(1-EXP(('2024'!Tnet_s-t)/'2024'!Tau_j)),Resal_s+(Salim-Resal_s)*(1-EXP((Tnet_s-t)/Tau_j)))*Salcycl</f>
        <v>5.2519137791000078E-2</v>
      </c>
      <c r="AD49" s="227">
        <f>(INDEX(Models!$BJ49:$BT49,,AH49)*(1-AF49)+INDEX(Models!$BJ49:$BT49,,AH49+1)*AF49-ERP_i)*AE49*Ramure*Pc/MaxiM</f>
        <v>5.2542790554782658E-3</v>
      </c>
      <c r="AE49" s="301">
        <f t="shared" si="16"/>
        <v>0.5</v>
      </c>
      <c r="AF49" s="173">
        <f t="shared" si="23"/>
        <v>0.49592882399647786</v>
      </c>
      <c r="AG49" s="802">
        <f t="shared" si="24"/>
        <v>1</v>
      </c>
      <c r="AH49" s="172">
        <f t="shared" si="17"/>
        <v>7</v>
      </c>
      <c r="AI49" s="221">
        <f t="shared" si="18"/>
        <v>1.4959288239964779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45693</v>
      </c>
      <c r="B50" s="406">
        <f>'2024'!Wh/'2024'!Env_an*'2025'!Env_an</f>
        <v>9.5999951263321517</v>
      </c>
      <c r="C50" s="385"/>
      <c r="D50" s="388">
        <f t="shared" si="0"/>
        <v>9.7551242120204531</v>
      </c>
      <c r="E50" s="380">
        <f t="shared" si="1"/>
        <v>10.116205921641271</v>
      </c>
      <c r="F50" s="380">
        <f t="shared" si="2"/>
        <v>10.120629134897372</v>
      </c>
      <c r="G50" s="110">
        <f t="shared" si="22"/>
        <v>0.36181285338697639</v>
      </c>
      <c r="H50" s="409" t="b">
        <f>Wh_hp&gt;='2024'!Maxi_hp</f>
        <v>0</v>
      </c>
      <c r="I50" s="375">
        <f>IF(H50,Wh_hp,'2024'!Maxi_hp)</f>
        <v>10.165216263192344</v>
      </c>
      <c r="J50" s="85">
        <f>IF(H50,An,'2024'!An_max)</f>
        <v>2022</v>
      </c>
      <c r="K50" s="193">
        <f t="shared" si="3"/>
        <v>45693</v>
      </c>
      <c r="L50" s="143">
        <f>IF(t&lt;Tvie,1-EXP((T0-t)*PertePVj)+'2024'!Pspv,1-EXP((T0-t)*PertePVj)+Pspv)</f>
        <v>1.5902317829756374E-2</v>
      </c>
      <c r="M50" s="836"/>
      <c r="N50" s="836"/>
      <c r="O50" s="48">
        <f>IF(t&lt;Tnet,'2024'!Resal+('2024'!Salim-'2024'!Resal)*(1-EXP(('2024'!Tnet-t)/('2024'!Tau_j))),Resal+(Salim-Resal)*(1-EXP((Tnet-t)/(Tau_j))))*Salcycl</f>
        <v>3.5693392603680318E-2</v>
      </c>
      <c r="P50" s="165">
        <f>(INDEX(Models!$BJ50:$BT50,,T50)*(1-R50)+INDEX(Models!$BJ50:$BT50,,T50+1)*R50-ERP_i)*Q50*Ramure*Pc/MaxiM</f>
        <v>4.8248474369293765E-3</v>
      </c>
      <c r="Q50" s="301">
        <f t="shared" si="4"/>
        <v>0.5</v>
      </c>
      <c r="R50" s="173">
        <f t="shared" si="5"/>
        <v>0.49604595503725868</v>
      </c>
      <c r="S50" s="802">
        <f t="shared" si="6"/>
        <v>1</v>
      </c>
      <c r="T50" s="172">
        <f t="shared" si="7"/>
        <v>7</v>
      </c>
      <c r="U50" s="247">
        <f t="shared" si="8"/>
        <v>1.4960459550372587</v>
      </c>
      <c r="V50" s="378">
        <f t="shared" si="9"/>
        <v>26.416568062007688</v>
      </c>
      <c r="W50" s="397">
        <f t="shared" si="10"/>
        <v>9.5999951263321517</v>
      </c>
      <c r="X50" s="153">
        <f t="shared" si="11"/>
        <v>45693</v>
      </c>
      <c r="Y50" s="380">
        <f t="shared" si="12"/>
        <v>9.4322350089647546</v>
      </c>
      <c r="Z50" s="380">
        <f t="shared" si="13"/>
        <v>9.5846532106078346</v>
      </c>
      <c r="AA50" s="381">
        <f t="shared" si="14"/>
        <v>10.116205921641271</v>
      </c>
      <c r="AB50" s="193">
        <f t="shared" si="15"/>
        <v>45693</v>
      </c>
      <c r="AC50" s="119">
        <f>IF(OR(t&lt;Tnet,NoTnet),'2024'!Resal_s+('2024'!Salim-'2024'!Resal_s)*(1-EXP(('2024'!Tnet_s-t)/'2024'!Tau_j)),Resal_s+(Salim-Resal_s)*(1-EXP((Tnet_s-t)/Tau_j)))*Salcycl</f>
        <v>5.2544670912273821E-2</v>
      </c>
      <c r="AD50" s="227">
        <f>(INDEX(Models!$BJ50:$BT50,,AH50)*(1-AF50)+INDEX(Models!$BJ50:$BT50,,AH50+1)*AF50-ERP_i)*AE50*Ramure*Pc/MaxiM</f>
        <v>4.8248474369293765E-3</v>
      </c>
      <c r="AE50" s="301">
        <f t="shared" si="16"/>
        <v>0.5</v>
      </c>
      <c r="AF50" s="173">
        <f t="shared" si="23"/>
        <v>0.49604595503725868</v>
      </c>
      <c r="AG50" s="802">
        <f t="shared" si="24"/>
        <v>1</v>
      </c>
      <c r="AH50" s="172">
        <f t="shared" si="17"/>
        <v>7</v>
      </c>
      <c r="AI50" s="221">
        <f t="shared" si="18"/>
        <v>1.4960459550372587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45694</v>
      </c>
      <c r="B51" s="406">
        <f>'2024'!Wh/'2024'!Env_an*'2025'!Env_an</f>
        <v>21.089960648490493</v>
      </c>
      <c r="C51" s="385"/>
      <c r="D51" s="388">
        <f t="shared" si="0"/>
        <v>21.431052768849931</v>
      </c>
      <c r="E51" s="380">
        <f t="shared" si="1"/>
        <v>22.225254106705822</v>
      </c>
      <c r="F51" s="380">
        <f t="shared" si="2"/>
        <v>22.293126609653424</v>
      </c>
      <c r="G51" s="110">
        <f t="shared" si="22"/>
        <v>0.78608838246908164</v>
      </c>
      <c r="H51" s="409" t="b">
        <f>Wh_hp&gt;='2024'!Maxi_hp</f>
        <v>0</v>
      </c>
      <c r="I51" s="375">
        <f>IF(H51,Wh_hp,'2024'!Maxi_hp)</f>
        <v>22.322890993589862</v>
      </c>
      <c r="J51" s="85">
        <f>IF(H51,An,'2024'!An_max)</f>
        <v>2022</v>
      </c>
      <c r="K51" s="193">
        <f t="shared" si="3"/>
        <v>45694</v>
      </c>
      <c r="L51" s="143">
        <f>IF(t&lt;Tvie,1-EXP((T0-t)*PertePVj)+'2024'!Pspv,1-EXP((T0-t)*PertePVj)+Pspv)</f>
        <v>1.5915789300617766E-2</v>
      </c>
      <c r="M51" s="836"/>
      <c r="N51" s="836"/>
      <c r="O51" s="48">
        <f>IF(t&lt;Tnet,'2024'!Resal+('2024'!Salim-'2024'!Resal)*(1-EXP(('2024'!Tnet-t)/('2024'!Tau_j))),Resal+(Salim-Resal)*(1-EXP((Tnet-t)/(Tau_j))))*Salcycl</f>
        <v>3.5734184817093596E-2</v>
      </c>
      <c r="P51" s="165">
        <f>(INDEX(Models!$BJ51:$BT51,,T51)*(1-R51)+INDEX(Models!$BJ51:$BT51,,T51+1)*R51-ERP_i)*Q51*Ramure*Pc/MaxiM</f>
        <v>4.3749011317723314E-3</v>
      </c>
      <c r="Q51" s="301">
        <f t="shared" si="4"/>
        <v>0.5</v>
      </c>
      <c r="R51" s="173">
        <f t="shared" si="5"/>
        <v>0.49616794136685272</v>
      </c>
      <c r="S51" s="802">
        <f t="shared" si="6"/>
        <v>1</v>
      </c>
      <c r="T51" s="172">
        <f t="shared" si="7"/>
        <v>7</v>
      </c>
      <c r="U51" s="247">
        <f t="shared" si="8"/>
        <v>1.4961679413668527</v>
      </c>
      <c r="V51" s="378">
        <f t="shared" si="9"/>
        <v>26.793193169386221</v>
      </c>
      <c r="W51" s="397">
        <f t="shared" si="10"/>
        <v>21.089960648490493</v>
      </c>
      <c r="X51" s="153">
        <f t="shared" si="11"/>
        <v>45694</v>
      </c>
      <c r="Y51" s="380">
        <f t="shared" si="12"/>
        <v>20.72173042111547</v>
      </c>
      <c r="Z51" s="380">
        <f t="shared" si="13"/>
        <v>21.05686708090629</v>
      </c>
      <c r="AA51" s="381">
        <f t="shared" si="14"/>
        <v>22.225254106705822</v>
      </c>
      <c r="AB51" s="193">
        <f t="shared" si="15"/>
        <v>45694</v>
      </c>
      <c r="AC51" s="119">
        <f>IF(OR(t&lt;Tnet,NoTnet),'2024'!Resal_s+('2024'!Salim-'2024'!Resal_s)*(1-EXP(('2024'!Tnet_s-t)/'2024'!Tau_j)),Resal_s+(Salim-Resal_s)*(1-EXP((Tnet_s-t)/Tau_j)))*Salcycl</f>
        <v>5.2570243750194284E-2</v>
      </c>
      <c r="AD51" s="227">
        <f>(INDEX(Models!$BJ51:$BT51,,AH51)*(1-AF51)+INDEX(Models!$BJ51:$BT51,,AH51+1)*AF51-ERP_i)*AE51*Ramure*Pc/MaxiM</f>
        <v>4.3749011317723314E-3</v>
      </c>
      <c r="AE51" s="301">
        <f t="shared" si="16"/>
        <v>0.5</v>
      </c>
      <c r="AF51" s="173">
        <f t="shared" si="23"/>
        <v>0.49616794136685272</v>
      </c>
      <c r="AG51" s="802">
        <f t="shared" si="24"/>
        <v>1</v>
      </c>
      <c r="AH51" s="172">
        <f t="shared" si="17"/>
        <v>7</v>
      </c>
      <c r="AI51" s="221">
        <f t="shared" si="18"/>
        <v>1.4961679413668527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45695</v>
      </c>
      <c r="B52" s="406">
        <f>'2024'!Wh/'2024'!Env_an*'2025'!Env_an</f>
        <v>14.455157471000806</v>
      </c>
      <c r="C52" s="385"/>
      <c r="D52" s="388">
        <f t="shared" si="0"/>
        <v>14.689144684481018</v>
      </c>
      <c r="E52" s="380">
        <f t="shared" si="1"/>
        <v>15.234145950289717</v>
      </c>
      <c r="F52" s="380">
        <f t="shared" si="2"/>
        <v>15.253979289834058</v>
      </c>
      <c r="G52" s="110">
        <f t="shared" si="22"/>
        <v>0.53054745418395033</v>
      </c>
      <c r="H52" s="409" t="b">
        <f>Wh_hp&gt;='2024'!Maxi_hp</f>
        <v>0</v>
      </c>
      <c r="I52" s="375">
        <f>IF(H52,Wh_hp,'2024'!Maxi_hp)</f>
        <v>15.294127889599769</v>
      </c>
      <c r="J52" s="85">
        <f>IF(H52,An,'2024'!An_max)</f>
        <v>2022</v>
      </c>
      <c r="K52" s="193">
        <f t="shared" si="3"/>
        <v>45695</v>
      </c>
      <c r="L52" s="143">
        <f>IF(t&lt;Tvie,1-EXP((T0-t)*PertePVj)+'2024'!Pspv,1-EXP((T0-t)*PertePVj)+Pspv)</f>
        <v>1.5929260587065897E-2</v>
      </c>
      <c r="M52" s="836"/>
      <c r="N52" s="836"/>
      <c r="O52" s="48">
        <f>IF(t&lt;Tnet,'2024'!Resal+('2024'!Salim-'2024'!Resal)*(1-EXP(('2024'!Tnet-t)/('2024'!Tau_j))),Resal+(Salim-Resal)*(1-EXP((Tnet-t)/(Tau_j))))*Salcycl</f>
        <v>3.577497994223517E-2</v>
      </c>
      <c r="P52" s="165">
        <f>(INDEX(Models!$BJ52:$BT52,,T52)*(1-R52)+INDEX(Models!$BJ52:$BT52,,T52+1)*R52-ERP_i)*Q52*Ramure*Pc/MaxiM</f>
        <v>3.9239708983591134E-3</v>
      </c>
      <c r="Q52" s="301">
        <f t="shared" si="4"/>
        <v>0.5</v>
      </c>
      <c r="R52" s="173">
        <f t="shared" si="5"/>
        <v>0.49629498170175435</v>
      </c>
      <c r="S52" s="802">
        <f t="shared" si="6"/>
        <v>1</v>
      </c>
      <c r="T52" s="172">
        <f t="shared" si="7"/>
        <v>7</v>
      </c>
      <c r="U52" s="247">
        <f t="shared" si="8"/>
        <v>1.4962949817017543</v>
      </c>
      <c r="V52" s="378">
        <f t="shared" si="9"/>
        <v>27.174159574901712</v>
      </c>
      <c r="W52" s="397">
        <f t="shared" si="10"/>
        <v>14.455157471000806</v>
      </c>
      <c r="X52" s="153">
        <f t="shared" si="11"/>
        <v>45695</v>
      </c>
      <c r="Y52" s="380">
        <f t="shared" si="12"/>
        <v>14.202987755818155</v>
      </c>
      <c r="Z52" s="380">
        <f t="shared" si="13"/>
        <v>14.432893070564434</v>
      </c>
      <c r="AA52" s="381">
        <f t="shared" si="14"/>
        <v>15.234145950289717</v>
      </c>
      <c r="AB52" s="193">
        <f t="shared" si="15"/>
        <v>45695</v>
      </c>
      <c r="AC52" s="119">
        <f>IF(OR(t&lt;Tnet,NoTnet),'2024'!Resal_s+('2024'!Salim-'2024'!Resal_s)*(1-EXP(('2024'!Tnet_s-t)/'2024'!Tau_j)),Resal_s+(Salim-Resal_s)*(1-EXP((Tnet_s-t)/Tau_j)))*Salcycl</f>
        <v>5.2595851604667378E-2</v>
      </c>
      <c r="AD52" s="227">
        <f>(INDEX(Models!$BJ52:$BT52,,AH52)*(1-AF52)+INDEX(Models!$BJ52:$BT52,,AH52+1)*AF52-ERP_i)*AE52*Ramure*Pc/MaxiM</f>
        <v>3.9239708983591134E-3</v>
      </c>
      <c r="AE52" s="301">
        <f t="shared" si="16"/>
        <v>0.5</v>
      </c>
      <c r="AF52" s="173">
        <f t="shared" si="23"/>
        <v>0.49629498170175435</v>
      </c>
      <c r="AG52" s="802">
        <f t="shared" si="24"/>
        <v>1</v>
      </c>
      <c r="AH52" s="172">
        <f t="shared" si="17"/>
        <v>7</v>
      </c>
      <c r="AI52" s="221">
        <f t="shared" si="18"/>
        <v>1.4962949817017543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45696</v>
      </c>
      <c r="B53" s="406">
        <f>'2024'!Wh/'2024'!Env_an*'2025'!Env_an</f>
        <v>28.022144886056754</v>
      </c>
      <c r="C53" s="385"/>
      <c r="D53" s="388">
        <f t="shared" si="0"/>
        <v>28.476132221609308</v>
      </c>
      <c r="E53" s="380">
        <f t="shared" si="1"/>
        <v>29.533912163549306</v>
      </c>
      <c r="F53" s="380">
        <f t="shared" si="2"/>
        <v>29.637565329868828</v>
      </c>
      <c r="G53" s="110">
        <f t="shared" si="22"/>
        <v>1.016825364425431</v>
      </c>
      <c r="H53" s="409" t="b">
        <f>Wh_hp&gt;='2024'!Maxi_hp</f>
        <v>1</v>
      </c>
      <c r="I53" s="375">
        <f>IF(H53,Wh_hp,'2024'!Maxi_hp)</f>
        <v>29.637565329868828</v>
      </c>
      <c r="J53" s="85">
        <f>IF(H53,An,'2024'!An_max)</f>
        <v>2025</v>
      </c>
      <c r="K53" s="193">
        <f t="shared" si="3"/>
        <v>45696</v>
      </c>
      <c r="L53" s="143">
        <f>IF(t&lt;Tvie,1-EXP((T0-t)*PertePVj)+'2024'!Pspv,1-EXP((T0-t)*PertePVj)+Pspv)</f>
        <v>1.594273168910354E-2</v>
      </c>
      <c r="M53" s="836"/>
      <c r="N53" s="836"/>
      <c r="O53" s="48">
        <f>IF(t&lt;Tnet,'2024'!Resal+('2024'!Salim-'2024'!Resal)*(1-EXP(('2024'!Tnet-t)/('2024'!Tau_j))),Resal+(Salim-Resal)*(1-EXP((Tnet-t)/(Tau_j))))*Salcycl</f>
        <v>3.5815774628242654E-2</v>
      </c>
      <c r="P53" s="165">
        <f>(INDEX(Models!$BJ53:$BT53,,T53)*(1-R53)+INDEX(Models!$BJ53:$BT53,,T53+1)*R53-ERP_i)*Q53*Ramure*Pc/MaxiM</f>
        <v>3.4973576663890416E-3</v>
      </c>
      <c r="Q53" s="301">
        <f t="shared" si="4"/>
        <v>0.5</v>
      </c>
      <c r="R53" s="173">
        <f t="shared" si="5"/>
        <v>0.4964272826751206</v>
      </c>
      <c r="S53" s="802">
        <f t="shared" si="6"/>
        <v>1</v>
      </c>
      <c r="T53" s="172">
        <f t="shared" si="7"/>
        <v>7</v>
      </c>
      <c r="U53" s="247">
        <f t="shared" si="8"/>
        <v>1.4964272826751206</v>
      </c>
      <c r="V53" s="378">
        <f t="shared" si="9"/>
        <v>27.558463691443212</v>
      </c>
      <c r="W53" s="397">
        <f t="shared" si="10"/>
        <v>28.022144886056754</v>
      </c>
      <c r="X53" s="153">
        <f t="shared" si="11"/>
        <v>45696</v>
      </c>
      <c r="Y53" s="380">
        <f t="shared" si="12"/>
        <v>27.533719373374243</v>
      </c>
      <c r="Z53" s="380">
        <f t="shared" si="13"/>
        <v>27.979793717326036</v>
      </c>
      <c r="AA53" s="381">
        <f t="shared" si="14"/>
        <v>29.533912163549306</v>
      </c>
      <c r="AB53" s="193">
        <f t="shared" si="15"/>
        <v>45696</v>
      </c>
      <c r="AC53" s="119">
        <f>IF(OR(t&lt;Tnet,NoTnet),'2024'!Resal_s+('2024'!Salim-'2024'!Resal_s)*(1-EXP(('2024'!Tnet_s-t)/'2024'!Tau_j)),Resal_s+(Salim-Resal_s)*(1-EXP((Tnet_s-t)/Tau_j)))*Salcycl</f>
        <v>5.2621489412478219E-2</v>
      </c>
      <c r="AD53" s="227">
        <f>(INDEX(Models!$BJ53:$BT53,,AH53)*(1-AF53)+INDEX(Models!$BJ53:$BT53,,AH53+1)*AF53-ERP_i)*AE53*Ramure*Pc/MaxiM</f>
        <v>3.4973576663890416E-3</v>
      </c>
      <c r="AE53" s="301">
        <f t="shared" si="16"/>
        <v>0.5</v>
      </c>
      <c r="AF53" s="173">
        <f t="shared" si="23"/>
        <v>0.4964272826751206</v>
      </c>
      <c r="AG53" s="802">
        <f t="shared" si="24"/>
        <v>1</v>
      </c>
      <c r="AH53" s="172">
        <f t="shared" si="17"/>
        <v>7</v>
      </c>
      <c r="AI53" s="221">
        <f t="shared" si="18"/>
        <v>1.4964272826751206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45697</v>
      </c>
      <c r="B54" s="406">
        <f>'2024'!Wh/'2024'!Env_an*'2025'!Env_an</f>
        <v>28.249389891464247</v>
      </c>
      <c r="C54" s="385"/>
      <c r="D54" s="388">
        <f t="shared" si="0"/>
        <v>28.707451808849271</v>
      </c>
      <c r="E54" s="380">
        <f t="shared" si="1"/>
        <v>29.775084054844033</v>
      </c>
      <c r="F54" s="380">
        <f t="shared" si="2"/>
        <v>29.867502380139104</v>
      </c>
      <c r="G54" s="110">
        <f t="shared" si="22"/>
        <v>1.0108637230245661</v>
      </c>
      <c r="H54" s="409" t="b">
        <f>Wh_hp&gt;='2024'!Maxi_hp</f>
        <v>1</v>
      </c>
      <c r="I54" s="375">
        <f>IF(H54,Wh_hp,'2024'!Maxi_hp)</f>
        <v>29.867502380139104</v>
      </c>
      <c r="J54" s="85">
        <f>IF(H54,An,'2024'!An_max)</f>
        <v>2025</v>
      </c>
      <c r="K54" s="193">
        <f t="shared" si="3"/>
        <v>45697</v>
      </c>
      <c r="L54" s="143">
        <f>IF(t&lt;Tvie,1-EXP((T0-t)*PertePVj)+'2024'!Pspv,1-EXP((T0-t)*PertePVj)+Pspv)</f>
        <v>1.5956202606733028E-2</v>
      </c>
      <c r="M54" s="836"/>
      <c r="N54" s="836"/>
      <c r="O54" s="48">
        <f>IF(t&lt;Tnet,'2024'!Resal+('2024'!Salim-'2024'!Resal)*(1-EXP(('2024'!Tnet-t)/('2024'!Tau_j))),Resal+(Salim-Resal)*(1-EXP((Tnet-t)/(Tau_j))))*Salcycl</f>
        <v>3.5856565309042972E-2</v>
      </c>
      <c r="P54" s="165">
        <f>(INDEX(Models!$BJ54:$BT54,,T54)*(1-R54)+INDEX(Models!$BJ54:$BT54,,T54+1)*R54-ERP_i)*Q54*Ramure*Pc/MaxiM</f>
        <v>3.0942769877043267E-3</v>
      </c>
      <c r="Q54" s="301">
        <f t="shared" si="4"/>
        <v>0.5</v>
      </c>
      <c r="R54" s="173">
        <f t="shared" si="5"/>
        <v>0.49656505913371163</v>
      </c>
      <c r="S54" s="802">
        <f t="shared" si="6"/>
        <v>1</v>
      </c>
      <c r="T54" s="172">
        <f t="shared" si="7"/>
        <v>7</v>
      </c>
      <c r="U54" s="247">
        <f t="shared" si="8"/>
        <v>1.4965650591337116</v>
      </c>
      <c r="V54" s="378">
        <f t="shared" si="9"/>
        <v>27.945794520096484</v>
      </c>
      <c r="W54" s="397">
        <f t="shared" si="10"/>
        <v>28.249389891464247</v>
      </c>
      <c r="X54" s="153">
        <f t="shared" si="11"/>
        <v>45697</v>
      </c>
      <c r="Y54" s="380">
        <f t="shared" si="12"/>
        <v>27.75742592899627</v>
      </c>
      <c r="Z54" s="380">
        <f t="shared" si="13"/>
        <v>28.207510684509895</v>
      </c>
      <c r="AA54" s="381">
        <f t="shared" si="14"/>
        <v>29.775084054844033</v>
      </c>
      <c r="AB54" s="193">
        <f t="shared" si="15"/>
        <v>45697</v>
      </c>
      <c r="AC54" s="119">
        <f>IF(OR(t&lt;Tnet,NoTnet),'2024'!Resal_s+('2024'!Salim-'2024'!Resal_s)*(1-EXP(('2024'!Tnet_s-t)/'2024'!Tau_j)),Resal_s+(Salim-Resal_s)*(1-EXP((Tnet_s-t)/Tau_j)))*Salcycl</f>
        <v>5.2647151808094171E-2</v>
      </c>
      <c r="AD54" s="227">
        <f>(INDEX(Models!$BJ54:$BT54,,AH54)*(1-AF54)+INDEX(Models!$BJ54:$BT54,,AH54+1)*AF54-ERP_i)*AE54*Ramure*Pc/MaxiM</f>
        <v>3.0942769877043267E-3</v>
      </c>
      <c r="AE54" s="301">
        <f t="shared" si="16"/>
        <v>0.5</v>
      </c>
      <c r="AF54" s="173">
        <f t="shared" si="23"/>
        <v>0.49656505913371163</v>
      </c>
      <c r="AG54" s="802">
        <f t="shared" si="24"/>
        <v>1</v>
      </c>
      <c r="AH54" s="172">
        <f t="shared" si="17"/>
        <v>7</v>
      </c>
      <c r="AI54" s="221">
        <f t="shared" si="18"/>
        <v>1.4965650591337116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x14ac:dyDescent="0.2">
      <c r="A55" s="56">
        <f t="shared" si="21"/>
        <v>45698</v>
      </c>
      <c r="B55" s="406">
        <f>'2024'!Wh/'2024'!Env_an*'2025'!Env_an</f>
        <v>27.270255212454497</v>
      </c>
      <c r="C55" s="385"/>
      <c r="D55" s="388">
        <f t="shared" si="0"/>
        <v>27.712819893482475</v>
      </c>
      <c r="E55" s="380">
        <f t="shared" si="1"/>
        <v>28.744677595403854</v>
      </c>
      <c r="F55" s="380">
        <f t="shared" si="2"/>
        <v>28.81868837296895</v>
      </c>
      <c r="G55" s="110">
        <f t="shared" si="22"/>
        <v>0.96225373615333909</v>
      </c>
      <c r="H55" s="409" t="b">
        <f>Wh_hp&gt;='2024'!Maxi_hp</f>
        <v>0</v>
      </c>
      <c r="I55" s="375">
        <f>IF(H55,Wh_hp,'2024'!Maxi_hp)</f>
        <v>28.822898257849857</v>
      </c>
      <c r="J55" s="85">
        <f>IF(H55,An,'2024'!An_max)</f>
        <v>2022</v>
      </c>
      <c r="K55" s="193">
        <f t="shared" si="3"/>
        <v>45698</v>
      </c>
      <c r="L55" s="143">
        <f>IF(t&lt;Tvie,1-EXP((T0-t)*PertePVj)+'2024'!Pspv,1-EXP((T0-t)*PertePVj)+Pspv)</f>
        <v>1.5969673339957025E-2</v>
      </c>
      <c r="M55" s="836"/>
      <c r="N55" s="836"/>
      <c r="O55" s="48">
        <f>IF(t&lt;Tnet,'2024'!Resal+('2024'!Salim-'2024'!Resal)*(1-EXP(('2024'!Tnet-t)/('2024'!Tau_j))),Resal+(Salim-Resal)*(1-EXP((Tnet-t)/(Tau_j))))*Salcycl</f>
        <v>3.5897348248093264E-2</v>
      </c>
      <c r="P55" s="165">
        <f>(INDEX(Models!$BJ55:$BT55,,T55)*(1-R55)+INDEX(Models!$BJ55:$BT55,,T55+1)*R55-ERP_i)*Q55*Ramure*Pc/MaxiM</f>
        <v>2.7139518272169074E-3</v>
      </c>
      <c r="Q55" s="301">
        <f t="shared" si="4"/>
        <v>0.5</v>
      </c>
      <c r="R55" s="173">
        <f t="shared" si="5"/>
        <v>0.49670853444437424</v>
      </c>
      <c r="S55" s="802">
        <f t="shared" si="6"/>
        <v>1</v>
      </c>
      <c r="T55" s="172">
        <f t="shared" si="7"/>
        <v>7</v>
      </c>
      <c r="U55" s="247">
        <f t="shared" si="8"/>
        <v>1.4967085344443742</v>
      </c>
      <c r="V55" s="378">
        <f t="shared" si="9"/>
        <v>28.335841116919156</v>
      </c>
      <c r="W55" s="397">
        <f t="shared" si="10"/>
        <v>27.270255212454497</v>
      </c>
      <c r="X55" s="153">
        <f t="shared" si="11"/>
        <v>45698</v>
      </c>
      <c r="Y55" s="380">
        <f t="shared" si="12"/>
        <v>26.795749977090299</v>
      </c>
      <c r="Z55" s="380">
        <f t="shared" si="13"/>
        <v>27.230613987314172</v>
      </c>
      <c r="AA55" s="381">
        <f t="shared" si="14"/>
        <v>28.744677595403854</v>
      </c>
      <c r="AB55" s="193">
        <f t="shared" si="15"/>
        <v>45698</v>
      </c>
      <c r="AC55" s="119">
        <f>IF(OR(t&lt;Tnet,NoTnet),'2024'!Resal_s+('2024'!Salim-'2024'!Resal_s)*(1-EXP(('2024'!Tnet_s-t)/'2024'!Tau_j)),Resal_s+(Salim-Resal_s)*(1-EXP((Tnet_s-t)/Tau_j)))*Salcycl</f>
        <v>5.2672833190231222E-2</v>
      </c>
      <c r="AD55" s="227">
        <f>(INDEX(Models!$BJ55:$BT55,,AH55)*(1-AF55)+INDEX(Models!$BJ55:$BT55,,AH55+1)*AF55-ERP_i)*AE55*Ramure*Pc/MaxiM</f>
        <v>2.7139518272169074E-3</v>
      </c>
      <c r="AE55" s="301">
        <f t="shared" si="16"/>
        <v>0.5</v>
      </c>
      <c r="AF55" s="173">
        <f t="shared" si="23"/>
        <v>0.49670853444437424</v>
      </c>
      <c r="AG55" s="802">
        <f t="shared" si="24"/>
        <v>1</v>
      </c>
      <c r="AH55" s="172">
        <f t="shared" si="17"/>
        <v>7</v>
      </c>
      <c r="AI55" s="221">
        <f t="shared" si="18"/>
        <v>1.4967085344443742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x14ac:dyDescent="0.2">
      <c r="A56" s="56">
        <f t="shared" si="21"/>
        <v>45699</v>
      </c>
      <c r="B56" s="406">
        <f>'2024'!Wh/'2024'!Env_an*'2025'!Env_an</f>
        <v>14.259291351071491</v>
      </c>
      <c r="C56" s="385"/>
      <c r="D56" s="388">
        <f t="shared" si="0"/>
        <v>14.490901515064884</v>
      </c>
      <c r="E56" s="380">
        <f t="shared" si="1"/>
        <v>15.031090648301831</v>
      </c>
      <c r="F56" s="380">
        <f t="shared" si="2"/>
        <v>15.041029016478637</v>
      </c>
      <c r="G56" s="110">
        <f t="shared" si="22"/>
        <v>0.49550831309646914</v>
      </c>
      <c r="H56" s="409" t="b">
        <f>Wh_hp&gt;='2024'!Maxi_hp</f>
        <v>0</v>
      </c>
      <c r="I56" s="375">
        <f>IF(H56,Wh_hp,'2024'!Maxi_hp)</f>
        <v>15.066561571107581</v>
      </c>
      <c r="J56" s="85">
        <f>IF(H56,An,'2024'!An_max)</f>
        <v>2022</v>
      </c>
      <c r="K56" s="193">
        <f t="shared" si="3"/>
        <v>45699</v>
      </c>
      <c r="L56" s="143">
        <f>IF(t&lt;Tvie,1-EXP((T0-t)*PertePVj)+'2024'!Pspv,1-EXP((T0-t)*PertePVj)+Pspv)</f>
        <v>1.5983143888777973E-2</v>
      </c>
      <c r="M56" s="836"/>
      <c r="N56" s="836"/>
      <c r="O56" s="48">
        <f>IF(t&lt;Tnet,'2024'!Resal+('2024'!Salim-'2024'!Resal)*(1-EXP(('2024'!Tnet-t)/('2024'!Tau_j))),Resal+(Salim-Resal)*(1-EXP((Tnet-t)/(Tau_j))))*Salcycl</f>
        <v>3.5938119586683276E-2</v>
      </c>
      <c r="P56" s="165">
        <f>(INDEX(Models!$BJ56:$BT56,,T56)*(1-R56)+INDEX(Models!$BJ56:$BT56,,T56+1)*R56-ERP_i)*Q56*Ramure*Pc/MaxiM</f>
        <v>2.3556155409927811E-3</v>
      </c>
      <c r="Q56" s="301">
        <f t="shared" si="4"/>
        <v>0.5</v>
      </c>
      <c r="R56" s="173">
        <f t="shared" si="5"/>
        <v>0.49685794081023538</v>
      </c>
      <c r="S56" s="802">
        <f t="shared" si="6"/>
        <v>1</v>
      </c>
      <c r="T56" s="172">
        <f t="shared" si="7"/>
        <v>7</v>
      </c>
      <c r="U56" s="247">
        <f t="shared" si="8"/>
        <v>1.4968579408102354</v>
      </c>
      <c r="V56" s="378">
        <f t="shared" si="9"/>
        <v>28.728292587251566</v>
      </c>
      <c r="W56" s="397">
        <f t="shared" si="10"/>
        <v>14.259291351071491</v>
      </c>
      <c r="X56" s="153">
        <f t="shared" si="11"/>
        <v>45699</v>
      </c>
      <c r="Y56" s="380">
        <f t="shared" si="12"/>
        <v>14.011390724941856</v>
      </c>
      <c r="Z56" s="380">
        <f t="shared" si="13"/>
        <v>14.238974300007488</v>
      </c>
      <c r="AA56" s="381">
        <f t="shared" si="14"/>
        <v>15.031090648301831</v>
      </c>
      <c r="AB56" s="193">
        <f t="shared" si="15"/>
        <v>45699</v>
      </c>
      <c r="AC56" s="119">
        <f>IF(OR(t&lt;Tnet,NoTnet),'2024'!Resal_s+('2024'!Salim-'2024'!Resal_s)*(1-EXP(('2024'!Tnet_s-t)/'2024'!Tau_j)),Resal_s+(Salim-Resal_s)*(1-EXP((Tnet_s-t)/Tau_j)))*Salcycl</f>
        <v>5.2698527793379531E-2</v>
      </c>
      <c r="AD56" s="227">
        <f>(INDEX(Models!$BJ56:$BT56,,AH56)*(1-AF56)+INDEX(Models!$BJ56:$BT56,,AH56+1)*AF56-ERP_i)*AE56*Ramure*Pc/MaxiM</f>
        <v>2.3556155409927811E-3</v>
      </c>
      <c r="AE56" s="301">
        <f t="shared" si="16"/>
        <v>0.5</v>
      </c>
      <c r="AF56" s="173">
        <f t="shared" si="23"/>
        <v>0.49685794081023538</v>
      </c>
      <c r="AG56" s="802">
        <f t="shared" si="24"/>
        <v>1</v>
      </c>
      <c r="AH56" s="172">
        <f t="shared" si="17"/>
        <v>7</v>
      </c>
      <c r="AI56" s="221">
        <f t="shared" si="18"/>
        <v>1.4968579408102354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x14ac:dyDescent="0.2">
      <c r="A57" s="56">
        <f t="shared" si="21"/>
        <v>45700</v>
      </c>
      <c r="B57" s="406">
        <f>'2024'!Wh/'2024'!Env_an*'2025'!Env_an</f>
        <v>22.806577181488375</v>
      </c>
      <c r="C57" s="385"/>
      <c r="D57" s="388">
        <f t="shared" si="0"/>
        <v>23.17733608627729</v>
      </c>
      <c r="E57" s="380">
        <f t="shared" si="1"/>
        <v>24.04235290567912</v>
      </c>
      <c r="F57" s="380">
        <f t="shared" si="2"/>
        <v>24.075893299534147</v>
      </c>
      <c r="G57" s="110">
        <f t="shared" si="22"/>
        <v>0.78262612682934396</v>
      </c>
      <c r="H57" s="409" t="b">
        <f>Wh_hp&gt;='2024'!Maxi_hp</f>
        <v>0</v>
      </c>
      <c r="I57" s="375">
        <f>IF(H57,Wh_hp,'2024'!Maxi_hp)</f>
        <v>24.090968807798074</v>
      </c>
      <c r="J57" s="85">
        <f>IF(H57,An,'2024'!An_max)</f>
        <v>2022</v>
      </c>
      <c r="K57" s="193">
        <f t="shared" si="3"/>
        <v>45700</v>
      </c>
      <c r="L57" s="143">
        <f>IF(t&lt;Tvie,1-EXP((T0-t)*PertePVj)+'2024'!Pspv,1-EXP((T0-t)*PertePVj)+Pspv)</f>
        <v>1.5996614253198427E-2</v>
      </c>
      <c r="M57" s="836"/>
      <c r="N57" s="836"/>
      <c r="O57" s="48">
        <f>IF(t&lt;Tnet,'2024'!Resal+('2024'!Salim-'2024'!Resal)*(1-EXP(('2024'!Tnet-t)/('2024'!Tau_j))),Resal+(Salim-Resal)*(1-EXP((Tnet-t)/(Tau_j))))*Salcycl</f>
        <v>3.5978875395240667E-2</v>
      </c>
      <c r="P57" s="165">
        <f>(INDEX(Models!$BJ57:$BT57,,T57)*(1-R57)+INDEX(Models!$BJ57:$BT57,,T57+1)*R57-ERP_i)*Q57*Ramure*Pc/MaxiM</f>
        <v>2.0185143978966374E-3</v>
      </c>
      <c r="Q57" s="301">
        <f t="shared" si="4"/>
        <v>0.5</v>
      </c>
      <c r="R57" s="173">
        <f t="shared" si="5"/>
        <v>0.49701351959675821</v>
      </c>
      <c r="S57" s="802">
        <f t="shared" si="6"/>
        <v>1</v>
      </c>
      <c r="T57" s="172">
        <f t="shared" si="7"/>
        <v>7</v>
      </c>
      <c r="U57" s="247">
        <f t="shared" si="8"/>
        <v>1.4970135195967582</v>
      </c>
      <c r="V57" s="378">
        <f t="shared" si="9"/>
        <v>29.12283808722939</v>
      </c>
      <c r="W57" s="397">
        <f t="shared" si="10"/>
        <v>22.806577181488375</v>
      </c>
      <c r="X57" s="153">
        <f t="shared" si="11"/>
        <v>45700</v>
      </c>
      <c r="Y57" s="380">
        <f t="shared" si="12"/>
        <v>22.41041966265135</v>
      </c>
      <c r="Z57" s="380">
        <f t="shared" si="13"/>
        <v>22.774738367026185</v>
      </c>
      <c r="AA57" s="381">
        <f t="shared" si="14"/>
        <v>24.04235290567912</v>
      </c>
      <c r="AB57" s="193">
        <f t="shared" si="15"/>
        <v>45700</v>
      </c>
      <c r="AC57" s="119">
        <f>IF(OR(t&lt;Tnet,NoTnet),'2024'!Resal_s+('2024'!Salim-'2024'!Resal_s)*(1-EXP(('2024'!Tnet_s-t)/'2024'!Tau_j)),Resal_s+(Salim-Resal_s)*(1-EXP((Tnet_s-t)/Tau_j)))*Salcycl</f>
        <v>5.2724229763448364E-2</v>
      </c>
      <c r="AD57" s="227">
        <f>(INDEX(Models!$BJ57:$BT57,,AH57)*(1-AF57)+INDEX(Models!$BJ57:$BT57,,AH57+1)*AF57-ERP_i)*AE57*Ramure*Pc/MaxiM</f>
        <v>2.0185143978966374E-3</v>
      </c>
      <c r="AE57" s="301">
        <f t="shared" si="16"/>
        <v>0.5</v>
      </c>
      <c r="AF57" s="173">
        <f t="shared" si="23"/>
        <v>0.49701351959675821</v>
      </c>
      <c r="AG57" s="802">
        <f t="shared" si="24"/>
        <v>1</v>
      </c>
      <c r="AH57" s="172">
        <f t="shared" si="17"/>
        <v>7</v>
      </c>
      <c r="AI57" s="221">
        <f t="shared" si="18"/>
        <v>1.4970135195967582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x14ac:dyDescent="0.2">
      <c r="A58" s="56">
        <f t="shared" si="21"/>
        <v>45701</v>
      </c>
      <c r="B58" s="406">
        <f>'2024'!Wh/'2024'!Env_an*'2025'!Env_an</f>
        <v>25.132306816201723</v>
      </c>
      <c r="C58" s="385"/>
      <c r="D58" s="388">
        <f t="shared" si="0"/>
        <v>25.541223968464649</v>
      </c>
      <c r="E58" s="380">
        <f t="shared" si="1"/>
        <v>26.495584639666898</v>
      </c>
      <c r="F58" s="380">
        <f t="shared" si="2"/>
        <v>26.531357979220086</v>
      </c>
      <c r="G58" s="110">
        <f t="shared" si="22"/>
        <v>0.85108800658048644</v>
      </c>
      <c r="H58" s="409" t="b">
        <f>Wh_hp&gt;='2024'!Maxi_hp</f>
        <v>0</v>
      </c>
      <c r="I58" s="375">
        <f>IF(H58,Wh_hp,'2024'!Maxi_hp)</f>
        <v>26.541007451756311</v>
      </c>
      <c r="J58" s="85">
        <f>IF(H58,An,'2024'!An_max)</f>
        <v>2022</v>
      </c>
      <c r="K58" s="193">
        <f t="shared" si="3"/>
        <v>45701</v>
      </c>
      <c r="L58" s="143">
        <f>IF(t&lt;Tvie,1-EXP((T0-t)*PertePVj)+'2024'!Pspv,1-EXP((T0-t)*PertePVj)+Pspv)</f>
        <v>1.6010084433220939E-2</v>
      </c>
      <c r="M58" s="836"/>
      <c r="N58" s="836"/>
      <c r="O58" s="48">
        <f>IF(t&lt;Tnet,'2024'!Resal+('2024'!Salim-'2024'!Resal)*(1-EXP(('2024'!Tnet-t)/('2024'!Tau_j))),Resal+(Salim-Resal)*(1-EXP((Tnet-t)/(Tau_j))))*Salcycl</f>
        <v>3.6019611727059746E-2</v>
      </c>
      <c r="P58" s="165">
        <f>(INDEX(Models!$BJ58:$BT58,,T58)*(1-R58)+INDEX(Models!$BJ58:$BT58,,T58+1)*R58-ERP_i)*Q58*Ramure*Pc/MaxiM</f>
        <v>1.7117211336908987E-3</v>
      </c>
      <c r="Q58" s="301">
        <f t="shared" si="4"/>
        <v>0.5</v>
      </c>
      <c r="R58" s="173">
        <f t="shared" si="5"/>
        <v>0.49717552166779733</v>
      </c>
      <c r="S58" s="802">
        <f t="shared" si="6"/>
        <v>1</v>
      </c>
      <c r="T58" s="172">
        <f t="shared" si="7"/>
        <v>7</v>
      </c>
      <c r="U58" s="247">
        <f t="shared" si="8"/>
        <v>1.4971755216677973</v>
      </c>
      <c r="V58" s="378">
        <f t="shared" si="9"/>
        <v>29.518876698012381</v>
      </c>
      <c r="W58" s="397">
        <f t="shared" si="10"/>
        <v>25.132306816201723</v>
      </c>
      <c r="X58" s="153">
        <f t="shared" si="11"/>
        <v>45701</v>
      </c>
      <c r="Y58" s="380">
        <f t="shared" si="12"/>
        <v>24.696124111212864</v>
      </c>
      <c r="Z58" s="380">
        <f t="shared" si="13"/>
        <v>25.097944318858058</v>
      </c>
      <c r="AA58" s="381">
        <f t="shared" si="14"/>
        <v>26.495584639666898</v>
      </c>
      <c r="AB58" s="193">
        <f t="shared" si="15"/>
        <v>45701</v>
      </c>
      <c r="AC58" s="119">
        <f>IF(OR(t&lt;Tnet,NoTnet),'2024'!Resal_s+('2024'!Salim-'2024'!Resal_s)*(1-EXP(('2024'!Tnet_s-t)/'2024'!Tau_j)),Resal_s+(Salim-Resal_s)*(1-EXP((Tnet_s-t)/Tau_j)))*Salcycl</f>
        <v>5.27499332366652E-2</v>
      </c>
      <c r="AD58" s="227">
        <f>(INDEX(Models!$BJ58:$BT58,,AH58)*(1-AF58)+INDEX(Models!$BJ58:$BT58,,AH58+1)*AF58-ERP_i)*AE58*Ramure*Pc/MaxiM</f>
        <v>1.7117211336908987E-3</v>
      </c>
      <c r="AE58" s="301">
        <f t="shared" si="16"/>
        <v>0.5</v>
      </c>
      <c r="AF58" s="173">
        <f t="shared" si="23"/>
        <v>0.49717552166779733</v>
      </c>
      <c r="AG58" s="802">
        <f t="shared" si="24"/>
        <v>1</v>
      </c>
      <c r="AH58" s="172">
        <f t="shared" si="17"/>
        <v>7</v>
      </c>
      <c r="AI58" s="221">
        <f t="shared" si="18"/>
        <v>1.4971755216677973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45702</v>
      </c>
      <c r="B59" s="406">
        <f>'2024'!Wh/'2024'!Env_an*'2025'!Env_an</f>
        <v>16.139226883648977</v>
      </c>
      <c r="C59" s="385"/>
      <c r="D59" s="388">
        <f t="shared" si="0"/>
        <v>16.40204595983079</v>
      </c>
      <c r="E59" s="380">
        <f t="shared" si="1"/>
        <v>17.015635293029426</v>
      </c>
      <c r="F59" s="380">
        <f t="shared" si="2"/>
        <v>17.024020604362423</v>
      </c>
      <c r="G59" s="110">
        <f t="shared" si="22"/>
        <v>0.53897481241415557</v>
      </c>
      <c r="H59" s="409" t="b">
        <f>Wh_hp&gt;='2024'!Maxi_hp</f>
        <v>0</v>
      </c>
      <c r="I59" s="375">
        <f>IF(H59,Wh_hp,'2024'!Maxi_hp)</f>
        <v>17.04015432936102</v>
      </c>
      <c r="J59" s="85">
        <f>IF(H59,An,'2024'!An_max)</f>
        <v>2022</v>
      </c>
      <c r="K59" s="193">
        <f t="shared" si="3"/>
        <v>45702</v>
      </c>
      <c r="L59" s="143">
        <f>IF(t&lt;Tvie,1-EXP((T0-t)*PertePVj)+'2024'!Pspv,1-EXP((T0-t)*PertePVj)+Pspv)</f>
        <v>1.6023554428847953E-2</v>
      </c>
      <c r="M59" s="836"/>
      <c r="N59" s="836"/>
      <c r="O59" s="48">
        <f>IF(t&lt;Tnet,'2024'!Resal+('2024'!Salim-'2024'!Resal)*(1-EXP(('2024'!Tnet-t)/('2024'!Tau_j))),Resal+(Salim-Resal)*(1-EXP((Tnet-t)/(Tau_j))))*Salcycl</f>
        <v>3.6060324673860174E-2</v>
      </c>
      <c r="P59" s="165">
        <f>(INDEX(Models!$BJ59:$BT59,,T59)*(1-R59)+INDEX(Models!$BJ59:$BT59,,T59+1)*R59-ERP_i)*Q59*Ramure*Pc/MaxiM</f>
        <v>1.4397095776522654E-3</v>
      </c>
      <c r="Q59" s="301">
        <f t="shared" si="4"/>
        <v>0.5</v>
      </c>
      <c r="R59" s="173">
        <f t="shared" si="5"/>
        <v>0.49734420773177912</v>
      </c>
      <c r="S59" s="802">
        <f t="shared" si="6"/>
        <v>1</v>
      </c>
      <c r="T59" s="172">
        <f t="shared" si="7"/>
        <v>7</v>
      </c>
      <c r="U59" s="247">
        <f t="shared" si="8"/>
        <v>1.4973442077317791</v>
      </c>
      <c r="V59" s="378">
        <f t="shared" si="9"/>
        <v>29.91593053902244</v>
      </c>
      <c r="W59" s="397">
        <f t="shared" si="10"/>
        <v>16.139226883648977</v>
      </c>
      <c r="X59" s="153">
        <f t="shared" si="11"/>
        <v>45702</v>
      </c>
      <c r="Y59" s="380">
        <f t="shared" si="12"/>
        <v>15.859362747890303</v>
      </c>
      <c r="Z59" s="380">
        <f t="shared" si="13"/>
        <v>16.117624379397302</v>
      </c>
      <c r="AA59" s="381">
        <f t="shared" si="14"/>
        <v>17.015635293029426</v>
      </c>
      <c r="AB59" s="193">
        <f t="shared" si="15"/>
        <v>45702</v>
      </c>
      <c r="AC59" s="119">
        <f>IF(OR(t&lt;Tnet,NoTnet),'2024'!Resal_s+('2024'!Salim-'2024'!Resal_s)*(1-EXP(('2024'!Tnet_s-t)/'2024'!Tau_j)),Resal_s+(Salim-Resal_s)*(1-EXP((Tnet_s-t)/Tau_j)))*Salcycl</f>
        <v>5.2775632420847728E-2</v>
      </c>
      <c r="AD59" s="227">
        <f>(INDEX(Models!$BJ59:$BT59,,AH59)*(1-AF59)+INDEX(Models!$BJ59:$BT59,,AH59+1)*AF59-ERP_i)*AE59*Ramure*Pc/MaxiM</f>
        <v>1.4397095776522654E-3</v>
      </c>
      <c r="AE59" s="301">
        <f t="shared" si="16"/>
        <v>0.5</v>
      </c>
      <c r="AF59" s="173">
        <f t="shared" si="23"/>
        <v>0.49734420773177912</v>
      </c>
      <c r="AG59" s="802">
        <f t="shared" si="24"/>
        <v>1</v>
      </c>
      <c r="AH59" s="172">
        <f t="shared" si="17"/>
        <v>7</v>
      </c>
      <c r="AI59" s="221">
        <f t="shared" si="18"/>
        <v>1.4973442077317791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45703</v>
      </c>
      <c r="B60" s="406">
        <f>'2024'!Wh/'2024'!Env_an*'2025'!Env_an</f>
        <v>20.778551478061061</v>
      </c>
      <c r="C60" s="385"/>
      <c r="D60" s="388">
        <f t="shared" si="0"/>
        <v>21.117208665309501</v>
      </c>
      <c r="E60" s="380">
        <f t="shared" si="1"/>
        <v>21.90811370656931</v>
      </c>
      <c r="F60" s="380">
        <f t="shared" si="2"/>
        <v>21.922614165579041</v>
      </c>
      <c r="G60" s="110">
        <f t="shared" si="22"/>
        <v>0.68508088126887567</v>
      </c>
      <c r="H60" s="409" t="b">
        <f>Wh_hp&gt;='2024'!Maxi_hp</f>
        <v>0</v>
      </c>
      <c r="I60" s="375">
        <f>IF(H60,Wh_hp,'2024'!Maxi_hp)</f>
        <v>21.934451021953191</v>
      </c>
      <c r="J60" s="85">
        <f>IF(H60,An,'2024'!An_max)</f>
        <v>2022</v>
      </c>
      <c r="K60" s="193">
        <f t="shared" si="3"/>
        <v>45703</v>
      </c>
      <c r="L60" s="143">
        <f>IF(t&lt;Tvie,1-EXP((T0-t)*PertePVj)+'2024'!Pspv,1-EXP((T0-t)*PertePVj)+Pspv)</f>
        <v>1.6037024240082021E-2</v>
      </c>
      <c r="M60" s="836"/>
      <c r="N60" s="836"/>
      <c r="O60" s="48">
        <f>IF(t&lt;Tnet,'2024'!Resal+('2024'!Salim-'2024'!Resal)*(1-EXP(('2024'!Tnet-t)/('2024'!Tau_j))),Resal+(Salim-Resal)*(1-EXP((Tnet-t)/(Tau_j))))*Salcycl</f>
        <v>3.6101010422574603E-2</v>
      </c>
      <c r="P60" s="165">
        <f>(INDEX(Models!$BJ60:$BT60,,T60)*(1-R60)+INDEX(Models!$BJ60:$BT60,,T60+1)*R60-ERP_i)*Q60*Ramure*Pc/MaxiM</f>
        <v>1.2012078093890394E-3</v>
      </c>
      <c r="Q60" s="301">
        <f t="shared" si="4"/>
        <v>0.5</v>
      </c>
      <c r="R60" s="173">
        <f t="shared" si="5"/>
        <v>0.49751984869810961</v>
      </c>
      <c r="S60" s="802">
        <f t="shared" si="6"/>
        <v>1</v>
      </c>
      <c r="T60" s="172">
        <f t="shared" si="7"/>
        <v>7</v>
      </c>
      <c r="U60" s="247">
        <f t="shared" si="8"/>
        <v>1.4975198486981096</v>
      </c>
      <c r="V60" s="378">
        <f t="shared" si="9"/>
        <v>30.313688494626565</v>
      </c>
      <c r="W60" s="397">
        <f t="shared" si="10"/>
        <v>20.778551478061061</v>
      </c>
      <c r="X60" s="153">
        <f t="shared" si="11"/>
        <v>45703</v>
      </c>
      <c r="Y60" s="380">
        <f t="shared" si="12"/>
        <v>20.418546663369874</v>
      </c>
      <c r="Z60" s="380">
        <f t="shared" si="13"/>
        <v>20.751336347387014</v>
      </c>
      <c r="AA60" s="381">
        <f t="shared" si="14"/>
        <v>21.90811370656931</v>
      </c>
      <c r="AB60" s="193">
        <f t="shared" si="15"/>
        <v>45703</v>
      </c>
      <c r="AC60" s="119">
        <f>IF(OR(t&lt;Tnet,NoTnet),'2024'!Resal_s+('2024'!Salim-'2024'!Resal_s)*(1-EXP(('2024'!Tnet_s-t)/'2024'!Tau_j)),Resal_s+(Salim-Resal_s)*(1-EXP((Tnet_s-t)/Tau_j)))*Salcycl</f>
        <v>5.280132167816113E-2</v>
      </c>
      <c r="AD60" s="227">
        <f>(INDEX(Models!$BJ60:$BT60,,AH60)*(1-AF60)+INDEX(Models!$BJ60:$BT60,,AH60+1)*AF60-ERP_i)*AE60*Ramure*Pc/MaxiM</f>
        <v>1.2012078093890394E-3</v>
      </c>
      <c r="AE60" s="301">
        <f t="shared" si="16"/>
        <v>0.5</v>
      </c>
      <c r="AF60" s="173">
        <f t="shared" si="23"/>
        <v>0.49751984869810961</v>
      </c>
      <c r="AG60" s="802">
        <f t="shared" si="24"/>
        <v>1</v>
      </c>
      <c r="AH60" s="172">
        <f t="shared" si="17"/>
        <v>7</v>
      </c>
      <c r="AI60" s="221">
        <f t="shared" si="18"/>
        <v>1.4975198486981096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x14ac:dyDescent="0.2">
      <c r="A61" s="56">
        <f t="shared" si="21"/>
        <v>45704</v>
      </c>
      <c r="B61" s="406">
        <f>'2024'!Wh/'2024'!Env_an*'2025'!Env_an</f>
        <v>9.8696705030772431</v>
      </c>
      <c r="C61" s="385"/>
      <c r="D61" s="388">
        <f t="shared" si="0"/>
        <v>10.030667673044615</v>
      </c>
      <c r="E61" s="380">
        <f t="shared" si="1"/>
        <v>10.40678625899881</v>
      </c>
      <c r="F61" s="380">
        <f t="shared" si="2"/>
        <v>10.40710228822959</v>
      </c>
      <c r="G61" s="110">
        <f t="shared" si="22"/>
        <v>0.3210537001559165</v>
      </c>
      <c r="H61" s="409" t="b">
        <f>Wh_hp&gt;='2024'!Maxi_hp</f>
        <v>0</v>
      </c>
      <c r="I61" s="375">
        <f>IF(H61,Wh_hp,'2024'!Maxi_hp)</f>
        <v>10.417141926380237</v>
      </c>
      <c r="J61" s="85">
        <f>IF(H61,An,'2024'!An_max)</f>
        <v>2022</v>
      </c>
      <c r="K61" s="193">
        <f t="shared" si="3"/>
        <v>45704</v>
      </c>
      <c r="L61" s="143">
        <f>IF(t&lt;Tvie,1-EXP((T0-t)*PertePVj)+'2024'!Pspv,1-EXP((T0-t)*PertePVj)+Pspv)</f>
        <v>1.6050493866925697E-2</v>
      </c>
      <c r="M61" s="836"/>
      <c r="N61" s="836"/>
      <c r="O61" s="48">
        <f>IF(t&lt;Tnet,'2024'!Resal+('2024'!Salim-'2024'!Resal)*(1-EXP(('2024'!Tnet-t)/('2024'!Tau_j))),Resal+(Salim-Resal)*(1-EXP((Tnet-t)/(Tau_j))))*Salcycl</f>
        <v>3.6141665312762944E-2</v>
      </c>
      <c r="P61" s="165">
        <f>(INDEX(Models!$BJ61:$BT61,,T61)*(1-R61)+INDEX(Models!$BJ61:$BT61,,T61+1)*R61-ERP_i)*Q61*Ramure*Pc/MaxiM</f>
        <v>9.9499043555053191E-4</v>
      </c>
      <c r="Q61" s="301">
        <f t="shared" si="4"/>
        <v>0.5</v>
      </c>
      <c r="R61" s="173">
        <f t="shared" si="5"/>
        <v>0.49770272604389754</v>
      </c>
      <c r="S61" s="802">
        <f t="shared" si="6"/>
        <v>1</v>
      </c>
      <c r="T61" s="172">
        <f t="shared" si="7"/>
        <v>7</v>
      </c>
      <c r="U61" s="247">
        <f t="shared" si="8"/>
        <v>1.4977027260438975</v>
      </c>
      <c r="V61" s="378">
        <f t="shared" si="9"/>
        <v>30.711839454359403</v>
      </c>
      <c r="W61" s="397">
        <f t="shared" si="10"/>
        <v>9.8696705030772431</v>
      </c>
      <c r="X61" s="153">
        <f t="shared" si="11"/>
        <v>45704</v>
      </c>
      <c r="Y61" s="380">
        <f t="shared" si="12"/>
        <v>9.6988168554744227</v>
      </c>
      <c r="Z61" s="380">
        <f t="shared" si="13"/>
        <v>9.8570270069963382</v>
      </c>
      <c r="AA61" s="381">
        <f t="shared" si="14"/>
        <v>10.40678625899881</v>
      </c>
      <c r="AB61" s="193">
        <f t="shared" si="15"/>
        <v>45704</v>
      </c>
      <c r="AC61" s="119">
        <f>IF(OR(t&lt;Tnet,NoTnet),'2024'!Resal_s+('2024'!Salim-'2024'!Resal_s)*(1-EXP(('2024'!Tnet_s-t)/'2024'!Tau_j)),Resal_s+(Salim-Resal_s)*(1-EXP((Tnet_s-t)/Tau_j)))*Salcycl</f>
        <v>5.282699560847539E-2</v>
      </c>
      <c r="AD61" s="227">
        <f>(INDEX(Models!$BJ61:$BT61,,AH61)*(1-AF61)+INDEX(Models!$BJ61:$BT61,,AH61+1)*AF61-ERP_i)*AE61*Ramure*Pc/MaxiM</f>
        <v>9.9499043555053191E-4</v>
      </c>
      <c r="AE61" s="301">
        <f t="shared" si="16"/>
        <v>0.5</v>
      </c>
      <c r="AF61" s="173">
        <f t="shared" si="23"/>
        <v>0.49770272604389754</v>
      </c>
      <c r="AG61" s="802">
        <f t="shared" si="24"/>
        <v>1</v>
      </c>
      <c r="AH61" s="172">
        <f t="shared" si="17"/>
        <v>7</v>
      </c>
      <c r="AI61" s="221">
        <f t="shared" si="18"/>
        <v>1.4977027260438975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45705</v>
      </c>
      <c r="B62" s="406">
        <f>'2024'!Wh/'2024'!Env_an*'2025'!Env_an</f>
        <v>11.861830845457764</v>
      </c>
      <c r="C62" s="385"/>
      <c r="D62" s="388">
        <f t="shared" si="0"/>
        <v>12.055489791139248</v>
      </c>
      <c r="E62" s="380">
        <f t="shared" si="1"/>
        <v>12.508059993815491</v>
      </c>
      <c r="F62" s="380">
        <f t="shared" si="2"/>
        <v>12.50925095682935</v>
      </c>
      <c r="G62" s="110">
        <f t="shared" si="22"/>
        <v>0.38100953162815976</v>
      </c>
      <c r="H62" s="409" t="b">
        <f>Wh_hp&gt;='2024'!Maxi_hp</f>
        <v>0</v>
      </c>
      <c r="I62" s="375">
        <f>IF(H62,Wh_hp,'2024'!Maxi_hp)</f>
        <v>12.518314703244648</v>
      </c>
      <c r="J62" s="85">
        <f>IF(H62,An,'2024'!An_max)</f>
        <v>2022</v>
      </c>
      <c r="K62" s="193">
        <f t="shared" si="3"/>
        <v>45705</v>
      </c>
      <c r="L62" s="143">
        <f>IF(t&lt;Tvie,1-EXP((T0-t)*PertePVj)+'2024'!Pspv,1-EXP((T0-t)*PertePVj)+Pspv)</f>
        <v>1.6063963309381535E-2</v>
      </c>
      <c r="M62" s="836"/>
      <c r="N62" s="836"/>
      <c r="O62" s="48">
        <f>IF(t&lt;Tnet,'2024'!Resal+('2024'!Salim-'2024'!Resal)*(1-EXP(('2024'!Tnet-t)/('2024'!Tau_j))),Resal+(Salim-Resal)*(1-EXP((Tnet-t)/(Tau_j))))*Salcycl</f>
        <v>3.6182285894056587E-2</v>
      </c>
      <c r="P62" s="165">
        <f>(INDEX(Models!$BJ62:$BT62,,T62)*(1-R62)+INDEX(Models!$BJ62:$BT62,,T62+1)*R62-ERP_i)*Q62*Ramure*Pc/MaxiM</f>
        <v>8.198794009854184E-4</v>
      </c>
      <c r="Q62" s="301">
        <f t="shared" si="4"/>
        <v>0.5</v>
      </c>
      <c r="R62" s="173">
        <f t="shared" si="5"/>
        <v>0.49789313219105402</v>
      </c>
      <c r="S62" s="802">
        <f t="shared" si="6"/>
        <v>1</v>
      </c>
      <c r="T62" s="172">
        <f t="shared" si="7"/>
        <v>7</v>
      </c>
      <c r="U62" s="247">
        <f t="shared" si="8"/>
        <v>1.497893132191054</v>
      </c>
      <c r="V62" s="378">
        <f t="shared" si="9"/>
        <v>31.110072312174069</v>
      </c>
      <c r="W62" s="397">
        <f t="shared" si="10"/>
        <v>11.861830845457764</v>
      </c>
      <c r="X62" s="153">
        <f t="shared" si="11"/>
        <v>45705</v>
      </c>
      <c r="Y62" s="380">
        <f t="shared" si="12"/>
        <v>11.656666501648628</v>
      </c>
      <c r="Z62" s="380">
        <f t="shared" si="13"/>
        <v>11.84697588763472</v>
      </c>
      <c r="AA62" s="381">
        <f t="shared" si="14"/>
        <v>12.508059993815491</v>
      </c>
      <c r="AB62" s="193">
        <f t="shared" si="15"/>
        <v>45705</v>
      </c>
      <c r="AC62" s="119">
        <f>IF(OR(t&lt;Tnet,NoTnet),'2024'!Resal_s+('2024'!Salim-'2024'!Resal_s)*(1-EXP(('2024'!Tnet_s-t)/'2024'!Tau_j)),Resal_s+(Salim-Resal_s)*(1-EXP((Tnet_s-t)/Tau_j)))*Salcycl</f>
        <v>5.2852649132450615E-2</v>
      </c>
      <c r="AD62" s="227">
        <f>(INDEX(Models!$BJ62:$BT62,,AH62)*(1-AF62)+INDEX(Models!$BJ62:$BT62,,AH62+1)*AF62-ERP_i)*AE62*Ramure*Pc/MaxiM</f>
        <v>8.198794009854184E-4</v>
      </c>
      <c r="AE62" s="301">
        <f t="shared" si="16"/>
        <v>0.5</v>
      </c>
      <c r="AF62" s="173">
        <f t="shared" si="23"/>
        <v>0.49789313219105402</v>
      </c>
      <c r="AG62" s="802">
        <f t="shared" si="24"/>
        <v>1</v>
      </c>
      <c r="AH62" s="172">
        <f t="shared" si="17"/>
        <v>7</v>
      </c>
      <c r="AI62" s="221">
        <f t="shared" si="18"/>
        <v>1.497893132191054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x14ac:dyDescent="0.2">
      <c r="A63" s="56">
        <f t="shared" si="21"/>
        <v>45706</v>
      </c>
      <c r="B63" s="406">
        <f>'2024'!Wh/'2024'!Env_an*'2025'!Env_an</f>
        <v>27.798492205302455</v>
      </c>
      <c r="C63" s="385"/>
      <c r="D63" s="388">
        <f t="shared" si="0"/>
        <v>28.252723461603249</v>
      </c>
      <c r="E63" s="380">
        <f t="shared" si="1"/>
        <v>29.314581714334402</v>
      </c>
      <c r="F63" s="380">
        <f t="shared" si="2"/>
        <v>29.331043993913188</v>
      </c>
      <c r="G63" s="110">
        <f t="shared" si="22"/>
        <v>0.88216543932502978</v>
      </c>
      <c r="H63" s="409" t="b">
        <f>Wh_hp&gt;='2024'!Maxi_hp</f>
        <v>0</v>
      </c>
      <c r="I63" s="375">
        <f>IF(H63,Wh_hp,'2024'!Maxi_hp)</f>
        <v>29.334371482242279</v>
      </c>
      <c r="J63" s="85">
        <f>IF(H63,An,'2024'!An_max)</f>
        <v>2022</v>
      </c>
      <c r="K63" s="193">
        <f t="shared" si="3"/>
        <v>45706</v>
      </c>
      <c r="L63" s="143">
        <f>IF(t&lt;Tvie,1-EXP((T0-t)*PertePVj)+'2024'!Pspv,1-EXP((T0-t)*PertePVj)+Pspv)</f>
        <v>1.6077432567451977E-2</v>
      </c>
      <c r="M63" s="836"/>
      <c r="N63" s="836"/>
      <c r="O63" s="48">
        <f>IF(t&lt;Tnet,'2024'!Resal+('2024'!Salim-'2024'!Resal)*(1-EXP(('2024'!Tnet-t)/('2024'!Tau_j))),Resal+(Salim-Resal)*(1-EXP((Tnet-t)/(Tau_j))))*Salcycl</f>
        <v>3.6222868983046712E-2</v>
      </c>
      <c r="P63" s="165">
        <f>(INDEX(Models!$BJ63:$BT63,,T63)*(1-R63)+INDEX(Models!$BJ63:$BT63,,T63+1)*R63-ERP_i)*Q63*Ramure*Pc/MaxiM</f>
        <v>6.7474448450097885E-4</v>
      </c>
      <c r="Q63" s="301">
        <f t="shared" si="4"/>
        <v>0.5</v>
      </c>
      <c r="R63" s="173">
        <f t="shared" si="5"/>
        <v>0.49809137089380218</v>
      </c>
      <c r="S63" s="802">
        <f t="shared" si="6"/>
        <v>1</v>
      </c>
      <c r="T63" s="172">
        <f t="shared" si="7"/>
        <v>7</v>
      </c>
      <c r="U63" s="247">
        <f t="shared" si="8"/>
        <v>1.4980913708938022</v>
      </c>
      <c r="V63" s="378">
        <f t="shared" si="9"/>
        <v>31.508075966409077</v>
      </c>
      <c r="W63" s="397">
        <f t="shared" si="10"/>
        <v>27.798492205302455</v>
      </c>
      <c r="X63" s="153">
        <f t="shared" si="11"/>
        <v>45706</v>
      </c>
      <c r="Y63" s="380">
        <f t="shared" si="12"/>
        <v>27.318095616737153</v>
      </c>
      <c r="Z63" s="380">
        <f t="shared" si="13"/>
        <v>27.764477125492828</v>
      </c>
      <c r="AA63" s="381">
        <f t="shared" si="14"/>
        <v>29.314581714334402</v>
      </c>
      <c r="AB63" s="193">
        <f t="shared" si="15"/>
        <v>45706</v>
      </c>
      <c r="AC63" s="119">
        <f>IF(OR(t&lt;Tnet,NoTnet),'2024'!Resal_s+('2024'!Salim-'2024'!Resal_s)*(1-EXP(('2024'!Tnet_s-t)/'2024'!Tau_j)),Resal_s+(Salim-Resal_s)*(1-EXP((Tnet_s-t)/Tau_j)))*Salcycl</f>
        <v>5.287827757349841E-2</v>
      </c>
      <c r="AD63" s="227">
        <f>(INDEX(Models!$BJ63:$BT63,,AH63)*(1-AF63)+INDEX(Models!$BJ63:$BT63,,AH63+1)*AF63-ERP_i)*AE63*Ramure*Pc/MaxiM</f>
        <v>6.7474448450097885E-4</v>
      </c>
      <c r="AE63" s="301">
        <f t="shared" si="16"/>
        <v>0.5</v>
      </c>
      <c r="AF63" s="173">
        <f t="shared" si="23"/>
        <v>0.49809137089380218</v>
      </c>
      <c r="AG63" s="802">
        <f t="shared" si="24"/>
        <v>1</v>
      </c>
      <c r="AH63" s="172">
        <f t="shared" si="17"/>
        <v>7</v>
      </c>
      <c r="AI63" s="221">
        <f t="shared" si="18"/>
        <v>1.4980913708938022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45707</v>
      </c>
      <c r="B64" s="406">
        <f>'2024'!Wh/'2024'!Env_an*'2025'!Env_an</f>
        <v>16.78191257975022</v>
      </c>
      <c r="C64" s="385"/>
      <c r="D64" s="388">
        <f t="shared" si="0"/>
        <v>17.056364869216164</v>
      </c>
      <c r="E64" s="380">
        <f t="shared" si="1"/>
        <v>17.698160551982536</v>
      </c>
      <c r="F64" s="380">
        <f t="shared" si="2"/>
        <v>17.701352226596224</v>
      </c>
      <c r="G64" s="110">
        <f t="shared" si="22"/>
        <v>0.5257884658118811</v>
      </c>
      <c r="H64" s="409" t="b">
        <f>Wh_hp&gt;='2024'!Maxi_hp</f>
        <v>0</v>
      </c>
      <c r="I64" s="375">
        <f>IF(H64,Wh_hp,'2024'!Maxi_hp)</f>
        <v>17.708043029969524</v>
      </c>
      <c r="J64" s="85">
        <f>IF(H64,An,'2024'!An_max)</f>
        <v>2022</v>
      </c>
      <c r="K64" s="193">
        <f t="shared" si="3"/>
        <v>45707</v>
      </c>
      <c r="L64" s="143">
        <f>IF(t&lt;Tvie,1-EXP((T0-t)*PertePVj)+'2024'!Pspv,1-EXP((T0-t)*PertePVj)+Pspv)</f>
        <v>1.6090901641139577E-2</v>
      </c>
      <c r="M64" s="836"/>
      <c r="N64" s="836"/>
      <c r="O64" s="48">
        <f>IF(t&lt;Tnet,'2024'!Resal+('2024'!Salim-'2024'!Resal)*(1-EXP(('2024'!Tnet-t)/('2024'!Tau_j))),Resal+(Salim-Resal)*(1-EXP((Tnet-t)/(Tau_j))))*Salcycl</f>
        <v>3.6263411719048885E-2</v>
      </c>
      <c r="P64" s="165">
        <f>(INDEX(Models!$BJ64:$BT64,,T64)*(1-R64)+INDEX(Models!$BJ64:$BT64,,T64+1)*R64-ERP_i)*Q64*Ramure*Pc/MaxiM</f>
        <v>5.5850353365018666E-4</v>
      </c>
      <c r="Q64" s="301">
        <f t="shared" si="4"/>
        <v>0.5</v>
      </c>
      <c r="R64" s="173">
        <f t="shared" si="5"/>
        <v>0.49829775763661122</v>
      </c>
      <c r="S64" s="802">
        <f t="shared" si="6"/>
        <v>1</v>
      </c>
      <c r="T64" s="172">
        <f t="shared" si="7"/>
        <v>7</v>
      </c>
      <c r="U64" s="247">
        <f t="shared" si="8"/>
        <v>1.4982977576366112</v>
      </c>
      <c r="V64" s="378">
        <f t="shared" si="9"/>
        <v>31.9055393220744</v>
      </c>
      <c r="W64" s="397">
        <f t="shared" si="10"/>
        <v>16.78191257975022</v>
      </c>
      <c r="X64" s="153">
        <f t="shared" si="11"/>
        <v>45707</v>
      </c>
      <c r="Y64" s="380">
        <f t="shared" si="12"/>
        <v>16.492145819178059</v>
      </c>
      <c r="Z64" s="380">
        <f t="shared" si="13"/>
        <v>16.761859247654698</v>
      </c>
      <c r="AA64" s="381">
        <f t="shared" si="14"/>
        <v>17.698160551982536</v>
      </c>
      <c r="AB64" s="193">
        <f t="shared" si="15"/>
        <v>45707</v>
      </c>
      <c r="AC64" s="119">
        <f>IF(OR(t&lt;Tnet,NoTnet),'2024'!Resal_s+('2024'!Salim-'2024'!Resal_s)*(1-EXP(('2024'!Tnet_s-t)/'2024'!Tau_j)),Resal_s+(Salim-Resal_s)*(1-EXP((Tnet_s-t)/Tau_j)))*Salcycl</f>
        <v>5.290387673779768E-2</v>
      </c>
      <c r="AD64" s="227">
        <f>(INDEX(Models!$BJ64:$BT64,,AH64)*(1-AF64)+INDEX(Models!$BJ64:$BT64,,AH64+1)*AF64-ERP_i)*AE64*Ramure*Pc/MaxiM</f>
        <v>5.5850353365018666E-4</v>
      </c>
      <c r="AE64" s="301">
        <f t="shared" si="16"/>
        <v>0.5</v>
      </c>
      <c r="AF64" s="173">
        <f t="shared" si="23"/>
        <v>0.49829775763661122</v>
      </c>
      <c r="AG64" s="802">
        <f t="shared" si="24"/>
        <v>1</v>
      </c>
      <c r="AH64" s="172">
        <f t="shared" si="17"/>
        <v>7</v>
      </c>
      <c r="AI64" s="221">
        <f t="shared" si="18"/>
        <v>1.4982977576366112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x14ac:dyDescent="0.2">
      <c r="A65" s="56">
        <f t="shared" si="21"/>
        <v>45708</v>
      </c>
      <c r="B65" s="406">
        <f>'2024'!Wh/'2024'!Env_an*'2025'!Env_an</f>
        <v>21.133530756569741</v>
      </c>
      <c r="C65" s="385"/>
      <c r="D65" s="388">
        <f t="shared" si="0"/>
        <v>21.479443676321079</v>
      </c>
      <c r="E65" s="380">
        <f t="shared" si="1"/>
        <v>22.288607306052747</v>
      </c>
      <c r="F65" s="380">
        <f t="shared" si="2"/>
        <v>22.293911150795449</v>
      </c>
      <c r="G65" s="110">
        <f t="shared" si="22"/>
        <v>0.65408670271707159</v>
      </c>
      <c r="H65" s="409" t="b">
        <f>Wh_hp&gt;='2024'!Maxi_hp</f>
        <v>0</v>
      </c>
      <c r="I65" s="375">
        <f>IF(H65,Wh_hp,'2024'!Maxi_hp)</f>
        <v>22.299083982726547</v>
      </c>
      <c r="J65" s="85">
        <f>IF(H65,An,'2024'!An_max)</f>
        <v>2022</v>
      </c>
      <c r="K65" s="193">
        <f t="shared" si="3"/>
        <v>45708</v>
      </c>
      <c r="L65" s="143">
        <f>IF(t&lt;Tvie,1-EXP((T0-t)*PertePVj)+'2024'!Pspv,1-EXP((T0-t)*PertePVj)+Pspv)</f>
        <v>1.6104370530446888E-2</v>
      </c>
      <c r="M65" s="836"/>
      <c r="N65" s="836"/>
      <c r="O65" s="48">
        <f>IF(t&lt;Tnet,'2024'!Resal+('2024'!Salim-'2024'!Resal)*(1-EXP(('2024'!Tnet-t)/('2024'!Tau_j))),Resal+(Salim-Resal)*(1-EXP((Tnet-t)/(Tau_j))))*Salcycl</f>
        <v>3.6303911618198313E-2</v>
      </c>
      <c r="P65" s="165">
        <f>(INDEX(Models!$BJ65:$BT65,,T65)*(1-R65)+INDEX(Models!$BJ65:$BT65,,T65+1)*R65-ERP_i)*Q65*Ramure*Pc/MaxiM</f>
        <v>4.7011771762059867E-4</v>
      </c>
      <c r="Q65" s="301">
        <f t="shared" si="4"/>
        <v>0.5</v>
      </c>
      <c r="R65" s="173">
        <f t="shared" si="5"/>
        <v>0.49851262004252139</v>
      </c>
      <c r="S65" s="802">
        <f t="shared" si="6"/>
        <v>1</v>
      </c>
      <c r="T65" s="172">
        <f t="shared" si="7"/>
        <v>7</v>
      </c>
      <c r="U65" s="247">
        <f t="shared" si="8"/>
        <v>1.4985126200425214</v>
      </c>
      <c r="V65" s="378">
        <f t="shared" si="9"/>
        <v>32.302479224232556</v>
      </c>
      <c r="W65" s="397">
        <f t="shared" si="10"/>
        <v>21.133530756569741</v>
      </c>
      <c r="X65" s="153">
        <f t="shared" si="11"/>
        <v>45708</v>
      </c>
      <c r="Y65" s="380">
        <f t="shared" si="12"/>
        <v>20.768938451112042</v>
      </c>
      <c r="Z65" s="380">
        <f t="shared" si="13"/>
        <v>21.108883736285303</v>
      </c>
      <c r="AA65" s="381">
        <f t="shared" si="14"/>
        <v>22.288607306052747</v>
      </c>
      <c r="AB65" s="193">
        <f t="shared" si="15"/>
        <v>45708</v>
      </c>
      <c r="AC65" s="119">
        <f>IF(OR(t&lt;Tnet,NoTnet),'2024'!Resal_s+('2024'!Salim-'2024'!Resal_s)*(1-EXP(('2024'!Tnet_s-t)/'2024'!Tau_j)),Resal_s+(Salim-Resal_s)*(1-EXP((Tnet_s-t)/Tau_j)))*Salcycl</f>
        <v>5.292944299158038E-2</v>
      </c>
      <c r="AD65" s="227">
        <f>(INDEX(Models!$BJ65:$BT65,,AH65)*(1-AF65)+INDEX(Models!$BJ65:$BT65,,AH65+1)*AF65-ERP_i)*AE65*Ramure*Pc/MaxiM</f>
        <v>4.7011771762059867E-4</v>
      </c>
      <c r="AE65" s="301">
        <f t="shared" si="16"/>
        <v>0.5</v>
      </c>
      <c r="AF65" s="173">
        <f t="shared" si="23"/>
        <v>0.49851262004252139</v>
      </c>
      <c r="AG65" s="802">
        <f t="shared" si="24"/>
        <v>1</v>
      </c>
      <c r="AH65" s="172">
        <f t="shared" si="17"/>
        <v>7</v>
      </c>
      <c r="AI65" s="221">
        <f t="shared" si="18"/>
        <v>1.4985126200425214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x14ac:dyDescent="0.2">
      <c r="A66" s="56">
        <f t="shared" si="21"/>
        <v>45709</v>
      </c>
      <c r="B66" s="406">
        <f>'2024'!Wh/'2024'!Env_an*'2025'!Env_an</f>
        <v>18.635161636172977</v>
      </c>
      <c r="C66" s="385"/>
      <c r="D66" s="388">
        <f t="shared" si="0"/>
        <v>18.94044061302084</v>
      </c>
      <c r="E66" s="380">
        <f t="shared" si="1"/>
        <v>19.654781186400591</v>
      </c>
      <c r="F66" s="380">
        <f t="shared" si="2"/>
        <v>19.657875470591367</v>
      </c>
      <c r="G66" s="110">
        <f t="shared" si="22"/>
        <v>0.56975238364168967</v>
      </c>
      <c r="H66" s="409" t="b">
        <f>Wh_hp&gt;='2024'!Maxi_hp</f>
        <v>0</v>
      </c>
      <c r="I66" s="375">
        <f>IF(H66,Wh_hp,'2024'!Maxi_hp)</f>
        <v>19.662801372105708</v>
      </c>
      <c r="J66" s="85">
        <f>IF(H66,An,'2024'!An_max)</f>
        <v>2022</v>
      </c>
      <c r="K66" s="193">
        <f t="shared" si="3"/>
        <v>45709</v>
      </c>
      <c r="L66" s="143">
        <f>IF(t&lt;Tvie,1-EXP((T0-t)*PertePVj)+'2024'!Pspv,1-EXP((T0-t)*PertePVj)+Pspv)</f>
        <v>1.6117839235376352E-2</v>
      </c>
      <c r="M66" s="836"/>
      <c r="N66" s="836"/>
      <c r="O66" s="48">
        <f>IF(t&lt;Tnet,'2024'!Resal+('2024'!Salim-'2024'!Resal)*(1-EXP(('2024'!Tnet-t)/('2024'!Tau_j))),Resal+(Salim-Resal)*(1-EXP((Tnet-t)/(Tau_j))))*Salcycl</f>
        <v>3.634436662535899E-2</v>
      </c>
      <c r="P66" s="165">
        <f>(INDEX(Models!$BJ66:$BT66,,T66)*(1-R66)+INDEX(Models!$BJ66:$BT66,,T66+1)*R66-ERP_i)*Q66*Ramure*Pc/MaxiM</f>
        <v>4.0825004357882341E-4</v>
      </c>
      <c r="Q66" s="301">
        <f t="shared" si="4"/>
        <v>0.5</v>
      </c>
      <c r="R66" s="173">
        <f t="shared" si="5"/>
        <v>0.49873629829180821</v>
      </c>
      <c r="S66" s="802">
        <f t="shared" si="6"/>
        <v>1</v>
      </c>
      <c r="T66" s="172">
        <f t="shared" si="7"/>
        <v>7</v>
      </c>
      <c r="U66" s="247">
        <f t="shared" si="8"/>
        <v>1.4987362982918082</v>
      </c>
      <c r="V66" s="378">
        <f t="shared" si="9"/>
        <v>32.699268895829171</v>
      </c>
      <c r="W66" s="397">
        <f t="shared" si="10"/>
        <v>18.635161636172977</v>
      </c>
      <c r="X66" s="153">
        <f t="shared" si="11"/>
        <v>45709</v>
      </c>
      <c r="Y66" s="380">
        <f t="shared" si="12"/>
        <v>18.313945913265719</v>
      </c>
      <c r="Z66" s="380">
        <f t="shared" si="13"/>
        <v>18.613962772770513</v>
      </c>
      <c r="AA66" s="381">
        <f t="shared" si="14"/>
        <v>19.654781186400591</v>
      </c>
      <c r="AB66" s="193">
        <f t="shared" si="15"/>
        <v>45709</v>
      </c>
      <c r="AC66" s="119">
        <f>IF(OR(t&lt;Tnet,NoTnet),'2024'!Resal_s+('2024'!Salim-'2024'!Resal_s)*(1-EXP(('2024'!Tnet_s-t)/'2024'!Tau_j)),Resal_s+(Salim-Resal_s)*(1-EXP((Tnet_s-t)/Tau_j)))*Salcycl</f>
        <v>5.2954973334947926E-2</v>
      </c>
      <c r="AD66" s="227">
        <f>(INDEX(Models!$BJ66:$BT66,,AH66)*(1-AF66)+INDEX(Models!$BJ66:$BT66,,AH66+1)*AF66-ERP_i)*AE66*Ramure*Pc/MaxiM</f>
        <v>4.0825004357882341E-4</v>
      </c>
      <c r="AE66" s="301">
        <f t="shared" si="16"/>
        <v>0.5</v>
      </c>
      <c r="AF66" s="173">
        <f t="shared" si="23"/>
        <v>0.49873629829180821</v>
      </c>
      <c r="AG66" s="802">
        <f t="shared" si="24"/>
        <v>1</v>
      </c>
      <c r="AH66" s="172">
        <f t="shared" si="17"/>
        <v>7</v>
      </c>
      <c r="AI66" s="221">
        <f t="shared" si="18"/>
        <v>1.4987362982918082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x14ac:dyDescent="0.2">
      <c r="A67" s="56">
        <f t="shared" si="21"/>
        <v>45710</v>
      </c>
      <c r="B67" s="406">
        <f>'2024'!Wh/'2024'!Env_an*'2025'!Env_an</f>
        <v>30.453902938446493</v>
      </c>
      <c r="C67" s="385"/>
      <c r="D67" s="388">
        <f t="shared" si="0"/>
        <v>30.953218837551709</v>
      </c>
      <c r="E67" s="380">
        <f t="shared" si="1"/>
        <v>32.121969474692804</v>
      </c>
      <c r="F67" s="380">
        <f t="shared" si="2"/>
        <v>32.132111099333372</v>
      </c>
      <c r="G67" s="110">
        <f t="shared" si="22"/>
        <v>0.92011363059181828</v>
      </c>
      <c r="H67" s="409" t="b">
        <f>Wh_hp&gt;='2024'!Maxi_hp</f>
        <v>0</v>
      </c>
      <c r="I67" s="375">
        <f>IF(H67,Wh_hp,'2024'!Maxi_hp)</f>
        <v>32.133415210523701</v>
      </c>
      <c r="J67" s="85">
        <f>IF(H67,An,'2024'!An_max)</f>
        <v>2022</v>
      </c>
      <c r="K67" s="193">
        <f t="shared" si="3"/>
        <v>45710</v>
      </c>
      <c r="L67" s="143">
        <f>IF(t&lt;Tvie,1-EXP((T0-t)*PertePVj)+'2024'!Pspv,1-EXP((T0-t)*PertePVj)+Pspv)</f>
        <v>1.6131307755930635E-2</v>
      </c>
      <c r="M67" s="836"/>
      <c r="N67" s="836"/>
      <c r="O67" s="48">
        <f>IF(t&lt;Tnet,'2024'!Resal+('2024'!Salim-'2024'!Resal)*(1-EXP(('2024'!Tnet-t)/('2024'!Tau_j))),Resal+(Salim-Resal)*(1-EXP((Tnet-t)/(Tau_j))))*Salcycl</f>
        <v>3.6384775163362658E-2</v>
      </c>
      <c r="P67" s="165">
        <f>(INDEX(Models!$BJ67:$BT67,,T67)*(1-R67)+INDEX(Models!$BJ67:$BT67,,T67+1)*R67-ERP_i)*Q67*Ramure*Pc/MaxiM</f>
        <v>3.5626145638294708E-4</v>
      </c>
      <c r="Q67" s="301">
        <f t="shared" si="4"/>
        <v>0.5</v>
      </c>
      <c r="R67" s="173">
        <f t="shared" si="5"/>
        <v>0.49896914555087735</v>
      </c>
      <c r="S67" s="802">
        <f t="shared" si="6"/>
        <v>1</v>
      </c>
      <c r="T67" s="172">
        <f t="shared" si="7"/>
        <v>7</v>
      </c>
      <c r="U67" s="247">
        <f t="shared" si="8"/>
        <v>1.4989691455508773</v>
      </c>
      <c r="V67" s="378">
        <f t="shared" si="9"/>
        <v>33.096634945299066</v>
      </c>
      <c r="W67" s="397">
        <f t="shared" si="10"/>
        <v>30.453902938446493</v>
      </c>
      <c r="X67" s="153">
        <f t="shared" si="11"/>
        <v>45710</v>
      </c>
      <c r="Y67" s="380">
        <f t="shared" si="12"/>
        <v>29.9294160594361</v>
      </c>
      <c r="Z67" s="380">
        <f t="shared" si="13"/>
        <v>30.420132580061281</v>
      </c>
      <c r="AA67" s="381">
        <f t="shared" si="14"/>
        <v>32.121969474692804</v>
      </c>
      <c r="AB67" s="193">
        <f t="shared" si="15"/>
        <v>45710</v>
      </c>
      <c r="AC67" s="119">
        <f>IF(OR(t&lt;Tnet,NoTnet),'2024'!Resal_s+('2024'!Salim-'2024'!Resal_s)*(1-EXP(('2024'!Tnet_s-t)/'2024'!Tau_j)),Resal_s+(Salim-Resal_s)*(1-EXP((Tnet_s-t)/Tau_j)))*Salcycl</f>
        <v>5.2980465471530541E-2</v>
      </c>
      <c r="AD67" s="227">
        <f>(INDEX(Models!$BJ67:$BT67,,AH67)*(1-AF67)+INDEX(Models!$BJ67:$BT67,,AH67+1)*AF67-ERP_i)*AE67*Ramure*Pc/MaxiM</f>
        <v>3.5626145638294708E-4</v>
      </c>
      <c r="AE67" s="301">
        <f t="shared" si="16"/>
        <v>0.5</v>
      </c>
      <c r="AF67" s="173">
        <f t="shared" si="23"/>
        <v>0.49896914555087735</v>
      </c>
      <c r="AG67" s="802">
        <f t="shared" si="24"/>
        <v>1</v>
      </c>
      <c r="AH67" s="172">
        <f t="shared" si="17"/>
        <v>7</v>
      </c>
      <c r="AI67" s="221">
        <f t="shared" si="18"/>
        <v>1.4989691455508773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x14ac:dyDescent="0.2">
      <c r="A68" s="56">
        <f t="shared" si="21"/>
        <v>45711</v>
      </c>
      <c r="B68" s="406">
        <f>'2024'!Wh/'2024'!Env_an*'2025'!Env_an</f>
        <v>32.027207335725244</v>
      </c>
      <c r="C68" s="385"/>
      <c r="D68" s="388">
        <f t="shared" si="0"/>
        <v>32.552764428604334</v>
      </c>
      <c r="E68" s="380">
        <f t="shared" si="1"/>
        <v>33.783326704396025</v>
      </c>
      <c r="F68" s="380">
        <f t="shared" si="2"/>
        <v>33.793267578097598</v>
      </c>
      <c r="G68" s="110">
        <f t="shared" si="22"/>
        <v>0.95616612601131068</v>
      </c>
      <c r="H68" s="409" t="b">
        <f>Wh_hp&gt;='2024'!Maxi_hp</f>
        <v>0</v>
      </c>
      <c r="I68" s="375">
        <f>IF(H68,Wh_hp,'2024'!Maxi_hp)</f>
        <v>33.793930327105848</v>
      </c>
      <c r="J68" s="85">
        <f>IF(H68,An,'2024'!An_max)</f>
        <v>2022</v>
      </c>
      <c r="K68" s="193">
        <f t="shared" si="3"/>
        <v>45711</v>
      </c>
      <c r="L68" s="143">
        <f>IF(t&lt;Tvie,1-EXP((T0-t)*PertePVj)+'2024'!Pspv,1-EXP((T0-t)*PertePVj)+Pspv)</f>
        <v>1.6144776092112179E-2</v>
      </c>
      <c r="M68" s="836"/>
      <c r="N68" s="836"/>
      <c r="O68" s="48">
        <f>IF(t&lt;Tnet,'2024'!Resal+('2024'!Salim-'2024'!Resal)*(1-EXP(('2024'!Tnet-t)/('2024'!Tau_j))),Resal+(Salim-Resal)*(1-EXP((Tnet-t)/(Tau_j))))*Salcycl</f>
        <v>3.6425136179130846E-2</v>
      </c>
      <c r="P68" s="165">
        <f>(INDEX(Models!$BJ68:$BT68,,T68)*(1-R68)+INDEX(Models!$BJ68:$BT68,,T68+1)*R68-ERP_i)*Q68*Ramure*Pc/MaxiM</f>
        <v>3.13809558627297E-4</v>
      </c>
      <c r="Q68" s="301">
        <f t="shared" si="4"/>
        <v>0.5</v>
      </c>
      <c r="R68" s="173">
        <f t="shared" si="5"/>
        <v>0.49921152841125527</v>
      </c>
      <c r="S68" s="802">
        <f t="shared" si="6"/>
        <v>1</v>
      </c>
      <c r="T68" s="172">
        <f t="shared" si="7"/>
        <v>7</v>
      </c>
      <c r="U68" s="247">
        <f t="shared" si="8"/>
        <v>1.4992115284112553</v>
      </c>
      <c r="V68" s="378">
        <f t="shared" si="9"/>
        <v>33.494784213884316</v>
      </c>
      <c r="W68" s="397">
        <f t="shared" si="10"/>
        <v>32.027207335725244</v>
      </c>
      <c r="X68" s="153">
        <f t="shared" si="11"/>
        <v>45711</v>
      </c>
      <c r="Y68" s="380">
        <f t="shared" si="12"/>
        <v>31.476096931076718</v>
      </c>
      <c r="Z68" s="380">
        <f t="shared" si="13"/>
        <v>31.992610463613929</v>
      </c>
      <c r="AA68" s="381">
        <f t="shared" si="14"/>
        <v>33.783326704396025</v>
      </c>
      <c r="AB68" s="193">
        <f t="shared" si="15"/>
        <v>45711</v>
      </c>
      <c r="AC68" s="119">
        <f>IF(OR(t&lt;Tnet,NoTnet),'2024'!Resal_s+('2024'!Salim-'2024'!Resal_s)*(1-EXP(('2024'!Tnet_s-t)/'2024'!Tau_j)),Resal_s+(Salim-Resal_s)*(1-EXP((Tnet_s-t)/Tau_j)))*Salcycl</f>
        <v>5.3005917873359752E-2</v>
      </c>
      <c r="AD68" s="227">
        <f>(INDEX(Models!$BJ68:$BT68,,AH68)*(1-AF68)+INDEX(Models!$BJ68:$BT68,,AH68+1)*AF68-ERP_i)*AE68*Ramure*Pc/MaxiM</f>
        <v>3.13809558627297E-4</v>
      </c>
      <c r="AE68" s="301">
        <f t="shared" si="16"/>
        <v>0.5</v>
      </c>
      <c r="AF68" s="173">
        <f t="shared" si="23"/>
        <v>0.49921152841125527</v>
      </c>
      <c r="AG68" s="802">
        <f t="shared" si="24"/>
        <v>1</v>
      </c>
      <c r="AH68" s="172">
        <f t="shared" si="17"/>
        <v>7</v>
      </c>
      <c r="AI68" s="221">
        <f t="shared" si="18"/>
        <v>1.4992115284112553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x14ac:dyDescent="0.2">
      <c r="A69" s="56">
        <f t="shared" si="21"/>
        <v>45712</v>
      </c>
      <c r="B69" s="406">
        <f>'2024'!Wh/'2024'!Env_an*'2025'!Env_an</f>
        <v>22.805604369158004</v>
      </c>
      <c r="C69" s="385"/>
      <c r="D69" s="388">
        <f t="shared" si="0"/>
        <v>23.180154974853689</v>
      </c>
      <c r="E69" s="380">
        <f t="shared" si="1"/>
        <v>24.057419586331971</v>
      </c>
      <c r="F69" s="380">
        <f t="shared" si="2"/>
        <v>24.061015369169795</v>
      </c>
      <c r="G69" s="110">
        <f t="shared" si="22"/>
        <v>0.6727640604387245</v>
      </c>
      <c r="H69" s="409" t="b">
        <f>Wh_hp&gt;='2024'!Maxi_hp</f>
        <v>0</v>
      </c>
      <c r="I69" s="375">
        <f>IF(H69,Wh_hp,'2024'!Maxi_hp)</f>
        <v>24.064164791213923</v>
      </c>
      <c r="J69" s="85">
        <f>IF(H69,An,'2024'!An_max)</f>
        <v>2022</v>
      </c>
      <c r="K69" s="193">
        <f t="shared" si="3"/>
        <v>45712</v>
      </c>
      <c r="L69" s="143">
        <f>IF(t&lt;Tvie,1-EXP((T0-t)*PertePVj)+'2024'!Pspv,1-EXP((T0-t)*PertePVj)+Pspv)</f>
        <v>1.6158244243923536E-2</v>
      </c>
      <c r="M69" s="836"/>
      <c r="N69" s="836"/>
      <c r="O69" s="48">
        <f>IF(t&lt;Tnet,'2024'!Resal+('2024'!Salim-'2024'!Resal)*(1-EXP(('2024'!Tnet-t)/('2024'!Tau_j))),Resal+(Salim-Resal)*(1-EXP((Tnet-t)/(Tau_j))))*Salcycl</f>
        <v>3.6465449186274784E-2</v>
      </c>
      <c r="P69" s="165">
        <f>(INDEX(Models!$BJ69:$BT69,,T69)*(1-R69)+INDEX(Models!$BJ69:$BT69,,T69+1)*R69-ERP_i)*Q69*Ramure*Pc/MaxiM</f>
        <v>2.805696668331423E-4</v>
      </c>
      <c r="Q69" s="301">
        <f t="shared" si="4"/>
        <v>0.5</v>
      </c>
      <c r="R69" s="173">
        <f t="shared" si="5"/>
        <v>0.4994638273384735</v>
      </c>
      <c r="S69" s="802">
        <f t="shared" si="6"/>
        <v>1</v>
      </c>
      <c r="T69" s="172">
        <f t="shared" si="7"/>
        <v>7</v>
      </c>
      <c r="U69" s="247">
        <f t="shared" si="8"/>
        <v>1.4994638273384735</v>
      </c>
      <c r="V69" s="378">
        <f t="shared" si="9"/>
        <v>33.893923399028203</v>
      </c>
      <c r="W69" s="397">
        <f t="shared" si="10"/>
        <v>22.805604369158004</v>
      </c>
      <c r="X69" s="153">
        <f t="shared" si="11"/>
        <v>45712</v>
      </c>
      <c r="Y69" s="380">
        <f t="shared" si="12"/>
        <v>22.413511610361432</v>
      </c>
      <c r="Z69" s="380">
        <f t="shared" si="13"/>
        <v>22.781622633140614</v>
      </c>
      <c r="AA69" s="381">
        <f t="shared" si="14"/>
        <v>24.057419586331971</v>
      </c>
      <c r="AB69" s="193">
        <f t="shared" si="15"/>
        <v>45712</v>
      </c>
      <c r="AC69" s="119">
        <f>IF(OR(t&lt;Tnet,NoTnet),'2024'!Resal_s+('2024'!Salim-'2024'!Resal_s)*(1-EXP(('2024'!Tnet_s-t)/'2024'!Tau_j)),Resal_s+(Salim-Resal_s)*(1-EXP((Tnet_s-t)/Tau_j)))*Salcycl</f>
        <v>5.3031329840386984E-2</v>
      </c>
      <c r="AD69" s="227">
        <f>(INDEX(Models!$BJ69:$BT69,,AH69)*(1-AF69)+INDEX(Models!$BJ69:$BT69,,AH69+1)*AF69-ERP_i)*AE69*Ramure*Pc/MaxiM</f>
        <v>2.805696668331423E-4</v>
      </c>
      <c r="AE69" s="301">
        <f t="shared" si="16"/>
        <v>0.5</v>
      </c>
      <c r="AF69" s="173">
        <f t="shared" si="23"/>
        <v>0.4994638273384735</v>
      </c>
      <c r="AG69" s="802">
        <f t="shared" si="24"/>
        <v>1</v>
      </c>
      <c r="AH69" s="172">
        <f t="shared" si="17"/>
        <v>7</v>
      </c>
      <c r="AI69" s="221">
        <f t="shared" si="18"/>
        <v>1.4994638273384735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x14ac:dyDescent="0.2">
      <c r="A70" s="56">
        <f t="shared" si="21"/>
        <v>45713</v>
      </c>
      <c r="B70" s="406">
        <f>'2024'!Wh/'2024'!Env_an*'2025'!Env_an</f>
        <v>25.178649148991195</v>
      </c>
      <c r="C70" s="385"/>
      <c r="D70" s="388">
        <f t="shared" si="0"/>
        <v>25.592524083227634</v>
      </c>
      <c r="E70" s="380">
        <f t="shared" si="1"/>
        <v>26.562196022507141</v>
      </c>
      <c r="F70" s="380">
        <f t="shared" si="2"/>
        <v>26.56641834582085</v>
      </c>
      <c r="G70" s="110">
        <f t="shared" si="22"/>
        <v>0.73412284166782416</v>
      </c>
      <c r="H70" s="409" t="b">
        <f>Wh_hp&gt;='2024'!Maxi_hp</f>
        <v>0</v>
      </c>
      <c r="I70" s="375">
        <f>IF(H70,Wh_hp,'2024'!Maxi_hp)</f>
        <v>26.56899815763115</v>
      </c>
      <c r="J70" s="85">
        <f>IF(H70,An,'2024'!An_max)</f>
        <v>2022</v>
      </c>
      <c r="K70" s="193">
        <f t="shared" si="3"/>
        <v>45713</v>
      </c>
      <c r="L70" s="143">
        <f>IF(t&lt;Tvie,1-EXP((T0-t)*PertePVj)+'2024'!Pspv,1-EXP((T0-t)*PertePVj)+Pspv)</f>
        <v>1.6171712211367151E-2</v>
      </c>
      <c r="M70" s="836"/>
      <c r="N70" s="836"/>
      <c r="O70" s="48">
        <f>IF(t&lt;Tnet,'2024'!Resal+('2024'!Salim-'2024'!Resal)*(1-EXP(('2024'!Tnet-t)/('2024'!Tau_j))),Resal+(Salim-Resal)*(1-EXP((Tnet-t)/(Tau_j))))*Salcycl</f>
        <v>3.6505714303812296E-2</v>
      </c>
      <c r="P70" s="165">
        <f>(INDEX(Models!$BJ70:$BT70,,T70)*(1-R70)+INDEX(Models!$BJ70:$BT70,,T70+1)*R70-ERP_i)*Q70*Ramure*Pc/MaxiM</f>
        <v>2.5623143708449088E-4</v>
      </c>
      <c r="Q70" s="301">
        <f t="shared" si="4"/>
        <v>0.5</v>
      </c>
      <c r="R70" s="173">
        <f t="shared" si="5"/>
        <v>0.4997264371306096</v>
      </c>
      <c r="S70" s="802">
        <f t="shared" si="6"/>
        <v>1</v>
      </c>
      <c r="T70" s="172">
        <f t="shared" si="7"/>
        <v>7</v>
      </c>
      <c r="U70" s="247">
        <f t="shared" si="8"/>
        <v>1.4997264371306096</v>
      </c>
      <c r="V70" s="378">
        <f t="shared" si="9"/>
        <v>34.294259118375528</v>
      </c>
      <c r="W70" s="397">
        <f t="shared" si="10"/>
        <v>25.178649148991195</v>
      </c>
      <c r="X70" s="153">
        <f t="shared" si="11"/>
        <v>45713</v>
      </c>
      <c r="Y70" s="380">
        <f t="shared" si="12"/>
        <v>24.746128160302053</v>
      </c>
      <c r="Z70" s="380">
        <f t="shared" si="13"/>
        <v>25.152893515518176</v>
      </c>
      <c r="AA70" s="381">
        <f t="shared" si="14"/>
        <v>26.562196022507141</v>
      </c>
      <c r="AB70" s="193">
        <f t="shared" si="15"/>
        <v>45713</v>
      </c>
      <c r="AC70" s="119">
        <f>IF(OR(t&lt;Tnet,NoTnet),'2024'!Resal_s+('2024'!Salim-'2024'!Resal_s)*(1-EXP(('2024'!Tnet_s-t)/'2024'!Tau_j)),Resal_s+(Salim-Resal_s)*(1-EXP((Tnet_s-t)/Tau_j)))*Salcycl</f>
        <v>5.3056701554148974E-2</v>
      </c>
      <c r="AD70" s="227">
        <f>(INDEX(Models!$BJ70:$BT70,,AH70)*(1-AF70)+INDEX(Models!$BJ70:$BT70,,AH70+1)*AF70-ERP_i)*AE70*Ramure*Pc/MaxiM</f>
        <v>2.5623143708449088E-4</v>
      </c>
      <c r="AE70" s="301">
        <f t="shared" si="16"/>
        <v>0.5</v>
      </c>
      <c r="AF70" s="173">
        <f t="shared" si="23"/>
        <v>0.4997264371306096</v>
      </c>
      <c r="AG70" s="802">
        <f t="shared" si="24"/>
        <v>1</v>
      </c>
      <c r="AH70" s="172">
        <f t="shared" si="17"/>
        <v>7</v>
      </c>
      <c r="AI70" s="221">
        <f t="shared" si="18"/>
        <v>1.4997264371306096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45714</v>
      </c>
      <c r="B71" s="406">
        <f>'2024'!Wh/'2024'!Env_an*'2025'!Env_an</f>
        <v>35.457246927194731</v>
      </c>
      <c r="C71" s="385"/>
      <c r="D71" s="388">
        <f t="shared" si="0"/>
        <v>36.040570040401043</v>
      </c>
      <c r="E71" s="380">
        <f t="shared" si="1"/>
        <v>37.407668147678642</v>
      </c>
      <c r="F71" s="380">
        <f t="shared" si="2"/>
        <v>37.416666766304836</v>
      </c>
      <c r="G71" s="110">
        <f t="shared" si="22"/>
        <v>1.0219405426181236</v>
      </c>
      <c r="H71" s="409" t="b">
        <f>Wh_hp&gt;='2024'!Maxi_hp</f>
        <v>1</v>
      </c>
      <c r="I71" s="375">
        <f>IF(H71,Wh_hp,'2024'!Maxi_hp)</f>
        <v>37.416666766304836</v>
      </c>
      <c r="J71" s="85">
        <f>IF(H71,An,'2024'!An_max)</f>
        <v>2025</v>
      </c>
      <c r="K71" s="193">
        <f t="shared" si="3"/>
        <v>45714</v>
      </c>
      <c r="L71" s="143">
        <f>IF(t&lt;Tvie,1-EXP((T0-t)*PertePVj)+'2024'!Pspv,1-EXP((T0-t)*PertePVj)+Pspv)</f>
        <v>1.6185179994445575E-2</v>
      </c>
      <c r="M71" s="836"/>
      <c r="N71" s="836"/>
      <c r="O71" s="48">
        <f>IF(t&lt;Tnet,'2024'!Resal+('2024'!Salim-'2024'!Resal)*(1-EXP(('2024'!Tnet-t)/('2024'!Tau_j))),Resal+(Salim-Resal)*(1-EXP((Tnet-t)/(Tau_j))))*Salcycl</f>
        <v>3.6545932290688254E-2</v>
      </c>
      <c r="P71" s="165">
        <f>(INDEX(Models!$BJ71:$BT71,,T71)*(1-R71)+INDEX(Models!$BJ71:$BT71,,T71+1)*R71-ERP_i)*Q71*Ramure*Pc/MaxiM</f>
        <v>2.4049760184145162E-4</v>
      </c>
      <c r="Q71" s="301">
        <f t="shared" si="4"/>
        <v>0.5</v>
      </c>
      <c r="R71" s="173">
        <f t="shared" si="5"/>
        <v>0.49999976738617491</v>
      </c>
      <c r="S71" s="802">
        <f t="shared" si="6"/>
        <v>1</v>
      </c>
      <c r="T71" s="172">
        <f t="shared" si="7"/>
        <v>7</v>
      </c>
      <c r="U71" s="247">
        <f t="shared" si="8"/>
        <v>1.4999997673861749</v>
      </c>
      <c r="V71" s="378">
        <f t="shared" si="9"/>
        <v>34.695997906449932</v>
      </c>
      <c r="W71" s="397">
        <f t="shared" si="10"/>
        <v>35.457246927194731</v>
      </c>
      <c r="X71" s="153">
        <f t="shared" si="11"/>
        <v>45714</v>
      </c>
      <c r="Y71" s="380">
        <f t="shared" si="12"/>
        <v>34.848681697560238</v>
      </c>
      <c r="Z71" s="380">
        <f t="shared" si="13"/>
        <v>35.421993030521222</v>
      </c>
      <c r="AA71" s="381">
        <f t="shared" si="14"/>
        <v>37.407668147678642</v>
      </c>
      <c r="AB71" s="193">
        <f t="shared" si="15"/>
        <v>45714</v>
      </c>
      <c r="AC71" s="119">
        <f>IF(OR(t&lt;Tnet,NoTnet),'2024'!Resal_s+('2024'!Salim-'2024'!Resal_s)*(1-EXP(('2024'!Tnet_s-t)/'2024'!Tau_j)),Resal_s+(Salim-Resal_s)*(1-EXP((Tnet_s-t)/Tau_j)))*Salcycl</f>
        <v>5.3082034125151445E-2</v>
      </c>
      <c r="AD71" s="227">
        <f>(INDEX(Models!$BJ71:$BT71,,AH71)*(1-AF71)+INDEX(Models!$BJ71:$BT71,,AH71+1)*AF71-ERP_i)*AE71*Ramure*Pc/MaxiM</f>
        <v>2.4049760184145162E-4</v>
      </c>
      <c r="AE71" s="301">
        <f t="shared" si="16"/>
        <v>0.5</v>
      </c>
      <c r="AF71" s="173">
        <f t="shared" si="23"/>
        <v>0.49999976738617491</v>
      </c>
      <c r="AG71" s="802">
        <f t="shared" si="24"/>
        <v>1</v>
      </c>
      <c r="AH71" s="172">
        <f t="shared" si="17"/>
        <v>7</v>
      </c>
      <c r="AI71" s="221">
        <f t="shared" si="18"/>
        <v>1.4999997673861749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x14ac:dyDescent="0.2">
      <c r="A72" s="56">
        <f t="shared" si="21"/>
        <v>45715</v>
      </c>
      <c r="B72" s="406">
        <f>'2024'!Wh/'2024'!Env_an*'2025'!Env_an</f>
        <v>22.679492881789173</v>
      </c>
      <c r="C72" s="385"/>
      <c r="D72" s="388">
        <f t="shared" si="0"/>
        <v>23.052918992543074</v>
      </c>
      <c r="E72" s="380">
        <f t="shared" si="1"/>
        <v>23.928364643727178</v>
      </c>
      <c r="F72" s="380">
        <f t="shared" si="2"/>
        <v>23.931116965508437</v>
      </c>
      <c r="G72" s="110">
        <f t="shared" si="22"/>
        <v>0.64607513220040613</v>
      </c>
      <c r="H72" s="409" t="b">
        <f>Wh_hp&gt;='2024'!Maxi_hp</f>
        <v>0</v>
      </c>
      <c r="I72" s="375">
        <f>IF(H72,Wh_hp,'2024'!Maxi_hp)</f>
        <v>23.933924564086386</v>
      </c>
      <c r="J72" s="85">
        <f>IF(H72,An,'2024'!An_max)</f>
        <v>2022</v>
      </c>
      <c r="K72" s="193">
        <f t="shared" si="3"/>
        <v>45715</v>
      </c>
      <c r="L72" s="143">
        <f>IF(t&lt;Tvie,1-EXP((T0-t)*PertePVj)+'2024'!Pspv,1-EXP((T0-t)*PertePVj)+Pspv)</f>
        <v>1.6198647593161364E-2</v>
      </c>
      <c r="M72" s="836"/>
      <c r="N72" s="836"/>
      <c r="O72" s="48">
        <f>IF(t&lt;Tnet,'2024'!Resal+('2024'!Salim-'2024'!Resal)*(1-EXP(('2024'!Tnet-t)/('2024'!Tau_j))),Resal+(Salim-Resal)*(1-EXP((Tnet-t)/(Tau_j))))*Salcycl</f>
        <v>3.658610457583452E-2</v>
      </c>
      <c r="P72" s="165">
        <f>(INDEX(Models!$BJ72:$BT72,,T72)*(1-R72)+INDEX(Models!$BJ72:$BT72,,T72+1)*R72-ERP_i)*Q72*Ramure*Pc/MaxiM</f>
        <v>2.3257795747731849E-4</v>
      </c>
      <c r="Q72" s="301">
        <f t="shared" si="4"/>
        <v>0.5</v>
      </c>
      <c r="R72" s="173">
        <f t="shared" si="5"/>
        <v>0.50028424298098506</v>
      </c>
      <c r="S72" s="802">
        <f t="shared" si="6"/>
        <v>1</v>
      </c>
      <c r="T72" s="172">
        <f t="shared" si="7"/>
        <v>7</v>
      </c>
      <c r="U72" s="247">
        <f t="shared" si="8"/>
        <v>1.5002842429809851</v>
      </c>
      <c r="V72" s="378">
        <f t="shared" si="9"/>
        <v>35.099363939321734</v>
      </c>
      <c r="W72" s="397">
        <f t="shared" si="10"/>
        <v>22.679492881789173</v>
      </c>
      <c r="X72" s="153">
        <f t="shared" si="11"/>
        <v>45715</v>
      </c>
      <c r="Y72" s="380">
        <f t="shared" si="12"/>
        <v>22.290570729144243</v>
      </c>
      <c r="Z72" s="380">
        <f t="shared" si="13"/>
        <v>22.657593094999385</v>
      </c>
      <c r="AA72" s="381">
        <f t="shared" si="14"/>
        <v>23.928364643727178</v>
      </c>
      <c r="AB72" s="193">
        <f t="shared" si="15"/>
        <v>45715</v>
      </c>
      <c r="AC72" s="119">
        <f>IF(OR(t&lt;Tnet,NoTnet),'2024'!Resal_s+('2024'!Salim-'2024'!Resal_s)*(1-EXP(('2024'!Tnet_s-t)/'2024'!Tau_j)),Resal_s+(Salim-Resal_s)*(1-EXP((Tnet_s-t)/Tau_j)))*Salcycl</f>
        <v>5.3107329633616494E-2</v>
      </c>
      <c r="AD72" s="227">
        <f>(INDEX(Models!$BJ72:$BT72,,AH72)*(1-AF72)+INDEX(Models!$BJ72:$BT72,,AH72+1)*AF72-ERP_i)*AE72*Ramure*Pc/MaxiM</f>
        <v>2.3257795747731849E-4</v>
      </c>
      <c r="AE72" s="301">
        <f t="shared" si="16"/>
        <v>0.5</v>
      </c>
      <c r="AF72" s="173">
        <f t="shared" si="23"/>
        <v>0.50028424298098506</v>
      </c>
      <c r="AG72" s="802">
        <f t="shared" si="24"/>
        <v>1</v>
      </c>
      <c r="AH72" s="172">
        <f t="shared" si="17"/>
        <v>7</v>
      </c>
      <c r="AI72" s="221">
        <f t="shared" si="18"/>
        <v>1.5002842429809851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x14ac:dyDescent="0.2">
      <c r="A73" s="56">
        <f t="shared" si="21"/>
        <v>45716</v>
      </c>
      <c r="B73" s="406">
        <f>'2024'!Wh/'2024'!Env_an*'2025'!Env_an</f>
        <v>33.074599627798989</v>
      </c>
      <c r="C73" s="385"/>
      <c r="D73" s="388">
        <f t="shared" si="0"/>
        <v>33.619645182001513</v>
      </c>
      <c r="E73" s="380">
        <f t="shared" si="1"/>
        <v>34.897820911805063</v>
      </c>
      <c r="F73" s="380">
        <f t="shared" si="2"/>
        <v>34.904875242889808</v>
      </c>
      <c r="G73" s="110">
        <f t="shared" si="22"/>
        <v>0.93153105093528143</v>
      </c>
      <c r="H73" s="409" t="b">
        <f>Wh_hp&gt;='2024'!Maxi_hp</f>
        <v>0</v>
      </c>
      <c r="I73" s="375">
        <f>IF(H73,Wh_hp,'2024'!Maxi_hp)</f>
        <v>34.905638121982101</v>
      </c>
      <c r="J73" s="85">
        <f>IF(H73,An,'2024'!An_max)</f>
        <v>2022</v>
      </c>
      <c r="K73" s="193">
        <f t="shared" si="3"/>
        <v>45716</v>
      </c>
      <c r="L73" s="143">
        <f>IF(t&lt;Tvie,1-EXP((T0-t)*PertePVj)+'2024'!Pspv,1-EXP((T0-t)*PertePVj)+Pspv)</f>
        <v>1.6212115007517069E-2</v>
      </c>
      <c r="M73" s="836"/>
      <c r="N73" s="836"/>
      <c r="O73" s="48">
        <f>IF(t&lt;Tnet,'2024'!Resal+('2024'!Salim-'2024'!Resal)*(1-EXP(('2024'!Tnet-t)/('2024'!Tau_j))),Resal+(Salim-Resal)*(1-EXP((Tnet-t)/(Tau_j))))*Salcycl</f>
        <v>3.6626233283556534E-2</v>
      </c>
      <c r="P73" s="165">
        <f>(INDEX(Models!$BJ73:$BT73,,T73)*(1-R73)+INDEX(Models!$BJ73:$BT73,,T73+1)*R73-ERP_i)*Q73*Ramure*Pc/MaxiM</f>
        <v>2.2400568757922088E-4</v>
      </c>
      <c r="Q73" s="301">
        <f t="shared" si="4"/>
        <v>0.5</v>
      </c>
      <c r="R73" s="173">
        <f t="shared" si="5"/>
        <v>0.50058030455357261</v>
      </c>
      <c r="S73" s="802">
        <f t="shared" si="6"/>
        <v>1</v>
      </c>
      <c r="T73" s="172">
        <f t="shared" si="7"/>
        <v>7</v>
      </c>
      <c r="U73" s="247">
        <f t="shared" si="8"/>
        <v>1.5005803045535726</v>
      </c>
      <c r="V73" s="378">
        <f t="shared" si="9"/>
        <v>35.504855129812462</v>
      </c>
      <c r="W73" s="397">
        <f t="shared" si="10"/>
        <v>33.074599627798989</v>
      </c>
      <c r="X73" s="153">
        <f t="shared" si="11"/>
        <v>45716</v>
      </c>
      <c r="Y73" s="380">
        <f t="shared" si="12"/>
        <v>32.507902467207892</v>
      </c>
      <c r="Z73" s="380">
        <f t="shared" si="13"/>
        <v>33.043609260807557</v>
      </c>
      <c r="AA73" s="381">
        <f t="shared" si="14"/>
        <v>34.897820911805063</v>
      </c>
      <c r="AB73" s="193">
        <f t="shared" si="15"/>
        <v>45716</v>
      </c>
      <c r="AC73" s="119">
        <f>IF(OR(t&lt;Tnet,NoTnet),'2024'!Resal_s+('2024'!Salim-'2024'!Resal_s)*(1-EXP(('2024'!Tnet_s-t)/'2024'!Tau_j)),Resal_s+(Salim-Resal_s)*(1-EXP((Tnet_s-t)/Tau_j)))*Salcycl</f>
        <v>5.3132591163314632E-2</v>
      </c>
      <c r="AD73" s="227">
        <f>(INDEX(Models!$BJ73:$BT73,,AH73)*(1-AF73)+INDEX(Models!$BJ73:$BT73,,AH73+1)*AF73-ERP_i)*AE73*Ramure*Pc/MaxiM</f>
        <v>2.2400568757922088E-4</v>
      </c>
      <c r="AE73" s="301">
        <f t="shared" si="16"/>
        <v>0.5</v>
      </c>
      <c r="AF73" s="173">
        <f t="shared" si="23"/>
        <v>0.50058030455357261</v>
      </c>
      <c r="AG73" s="802">
        <f t="shared" si="24"/>
        <v>1</v>
      </c>
      <c r="AH73" s="172">
        <f t="shared" si="17"/>
        <v>7</v>
      </c>
      <c r="AI73" s="221">
        <f t="shared" si="18"/>
        <v>1.5005803045535726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x14ac:dyDescent="0.2">
      <c r="A74" s="56">
        <f t="shared" si="21"/>
        <v>45717</v>
      </c>
      <c r="B74" s="406">
        <f>'2024'!Wh/'2024'!Env_an*'2025'!Env_an</f>
        <v>34.897692489414467</v>
      </c>
      <c r="C74" s="385"/>
      <c r="D74" s="388">
        <f t="shared" si="0"/>
        <v>35.473266898712858</v>
      </c>
      <c r="E74" s="380">
        <f t="shared" si="1"/>
        <v>36.823447245083976</v>
      </c>
      <c r="F74" s="380">
        <f t="shared" si="2"/>
        <v>36.831039215151925</v>
      </c>
      <c r="G74" s="110">
        <f t="shared" si="22"/>
        <v>0.97172897143986858</v>
      </c>
      <c r="H74" s="409" t="b">
        <f>Wh_hp&gt;='2024'!Maxi_hp</f>
        <v>0</v>
      </c>
      <c r="I74" s="375">
        <f>IF(H74,Wh_hp,'2024'!Maxi_hp)</f>
        <v>36.831357903305943</v>
      </c>
      <c r="J74" s="85">
        <f>IF(H74,An,'2024'!An_max)</f>
        <v>2022</v>
      </c>
      <c r="K74" s="193">
        <f t="shared" si="3"/>
        <v>45717</v>
      </c>
      <c r="L74" s="143">
        <f>IF(t&lt;Tvie,1-EXP((T0-t)*PertePVj)+'2024'!Pspv,1-EXP((T0-t)*PertePVj)+Pspv)</f>
        <v>1.6225582237515246E-2</v>
      </c>
      <c r="M74" s="836"/>
      <c r="N74" s="836"/>
      <c r="O74" s="48">
        <f>IF(t&lt;Tnet,'2024'!Resal+('2024'!Salim-'2024'!Resal)*(1-EXP(('2024'!Tnet-t)/('2024'!Tau_j))),Resal+(Salim-Resal)*(1-EXP((Tnet-t)/(Tau_j))))*Salcycl</f>
        <v>3.6666321254085407E-2</v>
      </c>
      <c r="P74" s="165">
        <f>(INDEX(Models!$BJ74:$BT74,,T74)*(1-R74)+INDEX(Models!$BJ74:$BT74,,T74+1)*R74-ERP_i)*Q74*Ramure*Pc/MaxiM</f>
        <v>2.1480234822159237E-4</v>
      </c>
      <c r="Q74" s="301">
        <f t="shared" si="4"/>
        <v>0.5</v>
      </c>
      <c r="R74" s="173">
        <f t="shared" si="5"/>
        <v>0.50088840899863141</v>
      </c>
      <c r="S74" s="802">
        <f t="shared" si="6"/>
        <v>1</v>
      </c>
      <c r="T74" s="172">
        <f t="shared" si="7"/>
        <v>7</v>
      </c>
      <c r="U74" s="247">
        <f t="shared" si="8"/>
        <v>1.5008884089986314</v>
      </c>
      <c r="V74" s="378">
        <f t="shared" si="9"/>
        <v>35.912678119446248</v>
      </c>
      <c r="W74" s="397">
        <f t="shared" si="10"/>
        <v>34.897692489414467</v>
      </c>
      <c r="X74" s="153">
        <f t="shared" si="11"/>
        <v>45717</v>
      </c>
      <c r="Y74" s="380">
        <f t="shared" si="12"/>
        <v>34.300271924430056</v>
      </c>
      <c r="Z74" s="380">
        <f t="shared" si="13"/>
        <v>34.865992960503334</v>
      </c>
      <c r="AA74" s="381">
        <f t="shared" si="14"/>
        <v>36.823447245083976</v>
      </c>
      <c r="AB74" s="193">
        <f t="shared" si="15"/>
        <v>45717</v>
      </c>
      <c r="AC74" s="119">
        <f>IF(OR(t&lt;Tnet,NoTnet),'2024'!Resal_s+('2024'!Salim-'2024'!Resal_s)*(1-EXP(('2024'!Tnet_s-t)/'2024'!Tau_j)),Resal_s+(Salim-Resal_s)*(1-EXP((Tnet_s-t)/Tau_j)))*Salcycl</f>
        <v>5.3157822828278717E-2</v>
      </c>
      <c r="AD74" s="227">
        <f>(INDEX(Models!$BJ74:$BT74,,AH74)*(1-AF74)+INDEX(Models!$BJ74:$BT74,,AH74+1)*AF74-ERP_i)*AE74*Ramure*Pc/MaxiM</f>
        <v>2.1480234822159237E-4</v>
      </c>
      <c r="AE74" s="301">
        <f t="shared" si="16"/>
        <v>0.5</v>
      </c>
      <c r="AF74" s="173">
        <f t="shared" si="23"/>
        <v>0.50088840899863141</v>
      </c>
      <c r="AG74" s="802">
        <f t="shared" si="24"/>
        <v>1</v>
      </c>
      <c r="AH74" s="172">
        <f t="shared" si="17"/>
        <v>7</v>
      </c>
      <c r="AI74" s="221">
        <f t="shared" si="18"/>
        <v>1.5008884089986314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x14ac:dyDescent="0.2">
      <c r="A75" s="56">
        <f t="shared" si="21"/>
        <v>45718</v>
      </c>
      <c r="B75" s="406">
        <f>'2024'!Wh/'2024'!Env_an*'2025'!Env_an</f>
        <v>16.125720221009615</v>
      </c>
      <c r="C75" s="385"/>
      <c r="D75" s="388">
        <f t="shared" si="0"/>
        <v>16.391909243052602</v>
      </c>
      <c r="E75" s="380">
        <f t="shared" si="1"/>
        <v>17.016524108119356</v>
      </c>
      <c r="F75" s="380">
        <f t="shared" si="2"/>
        <v>17.017241476340509</v>
      </c>
      <c r="G75" s="110">
        <f t="shared" si="22"/>
        <v>0.44388064809915284</v>
      </c>
      <c r="H75" s="409" t="b">
        <f>Wh_hp&gt;='2024'!Maxi_hp</f>
        <v>0</v>
      </c>
      <c r="I75" s="375">
        <f>IF(H75,Wh_hp,'2024'!Maxi_hp)</f>
        <v>17.020005743772145</v>
      </c>
      <c r="J75" s="85">
        <f>IF(H75,An,'2024'!An_max)</f>
        <v>2022</v>
      </c>
      <c r="K75" s="193">
        <f t="shared" si="3"/>
        <v>45718</v>
      </c>
      <c r="L75" s="143">
        <f>IF(t&lt;Tvie,1-EXP((T0-t)*PertePVj)+'2024'!Pspv,1-EXP((T0-t)*PertePVj)+Pspv)</f>
        <v>1.6239049283158224E-2</v>
      </c>
      <c r="M75" s="836"/>
      <c r="N75" s="836"/>
      <c r="O75" s="48">
        <f>IF(t&lt;Tnet,'2024'!Resal+('2024'!Salim-'2024'!Resal)*(1-EXP(('2024'!Tnet-t)/('2024'!Tau_j))),Resal+(Salim-Resal)*(1-EXP((Tnet-t)/(Tau_j))))*Salcycl</f>
        <v>3.6706372059186906E-2</v>
      </c>
      <c r="P75" s="165">
        <f>(INDEX(Models!$BJ75:$BT75,,T75)*(1-R75)+INDEX(Models!$BJ75:$BT75,,T75+1)*R75-ERP_i)*Q75*Ramure*Pc/MaxiM</f>
        <v>2.0498895828012455E-4</v>
      </c>
      <c r="Q75" s="301">
        <f t="shared" si="4"/>
        <v>0.5</v>
      </c>
      <c r="R75" s="173">
        <f t="shared" si="5"/>
        <v>0.50120902996789307</v>
      </c>
      <c r="S75" s="802">
        <f t="shared" si="6"/>
        <v>1</v>
      </c>
      <c r="T75" s="172">
        <f t="shared" si="7"/>
        <v>7</v>
      </c>
      <c r="U75" s="247">
        <f t="shared" si="8"/>
        <v>1.5012090299678931</v>
      </c>
      <c r="V75" s="378">
        <f t="shared" si="9"/>
        <v>36.323039471477088</v>
      </c>
      <c r="W75" s="397">
        <f t="shared" si="10"/>
        <v>16.125720221009615</v>
      </c>
      <c r="X75" s="153">
        <f t="shared" si="11"/>
        <v>45718</v>
      </c>
      <c r="Y75" s="380">
        <f t="shared" si="12"/>
        <v>15.84989780811868</v>
      </c>
      <c r="Z75" s="380">
        <f t="shared" si="13"/>
        <v>16.111533799516295</v>
      </c>
      <c r="AA75" s="381">
        <f t="shared" si="14"/>
        <v>17.016524108119356</v>
      </c>
      <c r="AB75" s="193">
        <f t="shared" si="15"/>
        <v>45718</v>
      </c>
      <c r="AC75" s="119">
        <f>IF(OR(t&lt;Tnet,NoTnet),'2024'!Resal_s+('2024'!Salim-'2024'!Resal_s)*(1-EXP(('2024'!Tnet_s-t)/'2024'!Tau_j)),Resal_s+(Salim-Resal_s)*(1-EXP((Tnet_s-t)/Tau_j)))*Salcycl</f>
        <v>5.3183029792274052E-2</v>
      </c>
      <c r="AD75" s="227">
        <f>(INDEX(Models!$BJ75:$BT75,,AH75)*(1-AF75)+INDEX(Models!$BJ75:$BT75,,AH75+1)*AF75-ERP_i)*AE75*Ramure*Pc/MaxiM</f>
        <v>2.0498895828012455E-4</v>
      </c>
      <c r="AE75" s="301">
        <f t="shared" si="16"/>
        <v>0.5</v>
      </c>
      <c r="AF75" s="173">
        <f t="shared" si="23"/>
        <v>0.50120902996789307</v>
      </c>
      <c r="AG75" s="802">
        <f t="shared" si="24"/>
        <v>1</v>
      </c>
      <c r="AH75" s="172">
        <f t="shared" si="17"/>
        <v>7</v>
      </c>
      <c r="AI75" s="221">
        <f t="shared" si="18"/>
        <v>1.5012090299678931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x14ac:dyDescent="0.2">
      <c r="A76" s="56">
        <f t="shared" si="21"/>
        <v>45719</v>
      </c>
      <c r="B76" s="406">
        <f>'2024'!Wh/'2024'!Env_an*'2025'!Env_an</f>
        <v>27.817346025124195</v>
      </c>
      <c r="C76" s="385"/>
      <c r="D76" s="388">
        <f t="shared" si="0"/>
        <v>28.276917076424017</v>
      </c>
      <c r="E76" s="380">
        <f t="shared" si="1"/>
        <v>29.355630524757547</v>
      </c>
      <c r="F76" s="380">
        <f t="shared" si="2"/>
        <v>29.359362042406687</v>
      </c>
      <c r="G76" s="110">
        <f t="shared" si="22"/>
        <v>0.75716893926083273</v>
      </c>
      <c r="H76" s="409" t="b">
        <f>Wh_hp&gt;='2024'!Maxi_hp</f>
        <v>0</v>
      </c>
      <c r="I76" s="375">
        <f>IF(H76,Wh_hp,'2024'!Maxi_hp)</f>
        <v>29.361338384403382</v>
      </c>
      <c r="J76" s="85">
        <f>IF(H76,An,'2024'!An_max)</f>
        <v>2022</v>
      </c>
      <c r="K76" s="193">
        <f t="shared" si="3"/>
        <v>45719</v>
      </c>
      <c r="L76" s="143">
        <f>IF(t&lt;Tvie,1-EXP((T0-t)*PertePVj)+'2024'!Pspv,1-EXP((T0-t)*PertePVj)+Pspv)</f>
        <v>1.6252516144448781E-2</v>
      </c>
      <c r="M76" s="836"/>
      <c r="N76" s="836"/>
      <c r="O76" s="48">
        <f>IF(t&lt;Tnet,'2024'!Resal+('2024'!Salim-'2024'!Resal)*(1-EXP(('2024'!Tnet-t)/('2024'!Tau_j))),Resal+(Salim-Resal)*(1-EXP((Tnet-t)/(Tau_j))))*Salcycl</f>
        <v>3.6746390012770462E-2</v>
      </c>
      <c r="P76" s="165">
        <f>(INDEX(Models!$BJ76:$BT76,,T76)*(1-R76)+INDEX(Models!$BJ76:$BT76,,T76+1)*R76-ERP_i)*Q76*Ramure*Pc/MaxiM</f>
        <v>1.9458603098999492E-4</v>
      </c>
      <c r="Q76" s="301">
        <f t="shared" si="4"/>
        <v>0.5</v>
      </c>
      <c r="R76" s="173">
        <f t="shared" si="5"/>
        <v>0.50154265837775092</v>
      </c>
      <c r="S76" s="802">
        <f t="shared" si="6"/>
        <v>1</v>
      </c>
      <c r="T76" s="172">
        <f t="shared" si="7"/>
        <v>7</v>
      </c>
      <c r="U76" s="247">
        <f t="shared" si="8"/>
        <v>1.5015426583777509</v>
      </c>
      <c r="V76" s="378">
        <f t="shared" si="9"/>
        <v>36.736145670618249</v>
      </c>
      <c r="W76" s="397">
        <f t="shared" si="10"/>
        <v>27.817346025124195</v>
      </c>
      <c r="X76" s="153">
        <f t="shared" si="11"/>
        <v>45719</v>
      </c>
      <c r="Y76" s="380">
        <f t="shared" si="12"/>
        <v>27.341952662052499</v>
      </c>
      <c r="Z76" s="380">
        <f t="shared" si="13"/>
        <v>27.793669728020632</v>
      </c>
      <c r="AA76" s="381">
        <f t="shared" si="14"/>
        <v>29.355630524757547</v>
      </c>
      <c r="AB76" s="193">
        <f t="shared" si="15"/>
        <v>45719</v>
      </c>
      <c r="AC76" s="119">
        <f>IF(OR(t&lt;Tnet,NoTnet),'2024'!Resal_s+('2024'!Salim-'2024'!Resal_s)*(1-EXP(('2024'!Tnet_s-t)/'2024'!Tau_j)),Resal_s+(Salim-Resal_s)*(1-EXP((Tnet_s-t)/Tau_j)))*Salcycl</f>
        <v>5.3208218280973781E-2</v>
      </c>
      <c r="AD76" s="227">
        <f>(INDEX(Models!$BJ76:$BT76,,AH76)*(1-AF76)+INDEX(Models!$BJ76:$BT76,,AH76+1)*AF76-ERP_i)*AE76*Ramure*Pc/MaxiM</f>
        <v>1.9458603098999492E-4</v>
      </c>
      <c r="AE76" s="301">
        <f t="shared" si="16"/>
        <v>0.5</v>
      </c>
      <c r="AF76" s="173">
        <f t="shared" si="23"/>
        <v>0.50154265837775092</v>
      </c>
      <c r="AG76" s="802">
        <f t="shared" si="24"/>
        <v>1</v>
      </c>
      <c r="AH76" s="172">
        <f t="shared" si="17"/>
        <v>7</v>
      </c>
      <c r="AI76" s="221">
        <f t="shared" si="18"/>
        <v>1.5015426583777509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45720</v>
      </c>
      <c r="B77" s="406">
        <f>'2024'!Wh/'2024'!Env_an*'2025'!Env_an</f>
        <v>5.4788248383822502</v>
      </c>
      <c r="C77" s="385"/>
      <c r="D77" s="388">
        <f t="shared" si="0"/>
        <v>5.5694168776390827</v>
      </c>
      <c r="E77" s="380">
        <f t="shared" si="1"/>
        <v>5.782120147615422</v>
      </c>
      <c r="F77" s="380">
        <f t="shared" si="2"/>
        <v>5.782120147615422</v>
      </c>
      <c r="G77" s="110">
        <f t="shared" si="22"/>
        <v>0.14744263841168079</v>
      </c>
      <c r="H77" s="409" t="b">
        <f>Wh_hp&gt;='2024'!Maxi_hp</f>
        <v>0</v>
      </c>
      <c r="I77" s="375">
        <f>IF(H77,Wh_hp,'2024'!Maxi_hp)</f>
        <v>5.7831789540560674</v>
      </c>
      <c r="J77" s="85">
        <f>IF(H77,An,'2024'!An_max)</f>
        <v>2022</v>
      </c>
      <c r="K77" s="193">
        <f t="shared" si="3"/>
        <v>45720</v>
      </c>
      <c r="L77" s="143">
        <f>IF(t&lt;Tvie,1-EXP((T0-t)*PertePVj)+'2024'!Pspv,1-EXP((T0-t)*PertePVj)+Pspv)</f>
        <v>1.6265982821389247E-2</v>
      </c>
      <c r="M77" s="836"/>
      <c r="N77" s="836"/>
      <c r="O77" s="48">
        <f>IF(t&lt;Tnet,'2024'!Resal+('2024'!Salim-'2024'!Resal)*(1-EXP(('2024'!Tnet-t)/('2024'!Tau_j))),Resal+(Salim-Resal)*(1-EXP((Tnet-t)/(Tau_j))))*Salcycl</f>
        <v>3.6786380176492744E-2</v>
      </c>
      <c r="P77" s="165">
        <f>(INDEX(Models!$BJ77:$BT77,,T77)*(1-R77)+INDEX(Models!$BJ77:$BT77,,T77+1)*R77-ERP_i)*Q77*Ramure*Pc/MaxiM</f>
        <v>1.8361359788060568E-4</v>
      </c>
      <c r="Q77" s="301">
        <f t="shared" si="4"/>
        <v>0.5</v>
      </c>
      <c r="R77" s="173">
        <f t="shared" si="5"/>
        <v>0.50188980292284913</v>
      </c>
      <c r="S77" s="802">
        <f t="shared" si="6"/>
        <v>1</v>
      </c>
      <c r="T77" s="172">
        <f t="shared" si="7"/>
        <v>7</v>
      </c>
      <c r="U77" s="247">
        <f t="shared" si="8"/>
        <v>1.5018898029228491</v>
      </c>
      <c r="V77" s="378">
        <f t="shared" si="9"/>
        <v>37.152203125575305</v>
      </c>
      <c r="W77" s="397">
        <f t="shared" si="10"/>
        <v>5.4788248383822502</v>
      </c>
      <c r="X77" s="153">
        <f t="shared" si="11"/>
        <v>45720</v>
      </c>
      <c r="Y77" s="380">
        <f t="shared" si="12"/>
        <v>5.3852730917156002</v>
      </c>
      <c r="Z77" s="380">
        <f t="shared" si="13"/>
        <v>5.4743182584666359</v>
      </c>
      <c r="AA77" s="381">
        <f t="shared" si="14"/>
        <v>5.782120147615422</v>
      </c>
      <c r="AB77" s="193">
        <f t="shared" si="15"/>
        <v>45720</v>
      </c>
      <c r="AC77" s="119">
        <f>IF(OR(t&lt;Tnet,NoTnet),'2024'!Resal_s+('2024'!Salim-'2024'!Resal_s)*(1-EXP(('2024'!Tnet_s-t)/'2024'!Tau_j)),Resal_s+(Salim-Resal_s)*(1-EXP((Tnet_s-t)/Tau_j)))*Salcycl</f>
        <v>5.3233395586863734E-2</v>
      </c>
      <c r="AD77" s="227">
        <f>(INDEX(Models!$BJ77:$BT77,,AH77)*(1-AF77)+INDEX(Models!$BJ77:$BT77,,AH77+1)*AF77-ERP_i)*AE77*Ramure*Pc/MaxiM</f>
        <v>1.8361359788060568E-4</v>
      </c>
      <c r="AE77" s="301">
        <f t="shared" si="16"/>
        <v>0.5</v>
      </c>
      <c r="AF77" s="173">
        <f t="shared" si="23"/>
        <v>0.50188980292284913</v>
      </c>
      <c r="AG77" s="802">
        <f t="shared" si="24"/>
        <v>1</v>
      </c>
      <c r="AH77" s="172">
        <f t="shared" si="17"/>
        <v>7</v>
      </c>
      <c r="AI77" s="221">
        <f t="shared" si="18"/>
        <v>1.5018898029228491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x14ac:dyDescent="0.2">
      <c r="A78" s="56">
        <f t="shared" si="21"/>
        <v>45721</v>
      </c>
      <c r="B78" s="406">
        <f>'2024'!Wh/'2024'!Env_an*'2025'!Env_an</f>
        <v>14.208781387415124</v>
      </c>
      <c r="C78" s="385"/>
      <c r="D78" s="388">
        <f t="shared" si="0"/>
        <v>14.44392045841305</v>
      </c>
      <c r="E78" s="380">
        <f t="shared" si="1"/>
        <v>14.996174816270479</v>
      </c>
      <c r="F78" s="380">
        <f t="shared" si="2"/>
        <v>14.996463052466815</v>
      </c>
      <c r="G78" s="110">
        <f t="shared" si="22"/>
        <v>0.37812278405514599</v>
      </c>
      <c r="H78" s="409" t="b">
        <f>Wh_hp&gt;='2024'!Maxi_hp</f>
        <v>0</v>
      </c>
      <c r="I78" s="375">
        <f>IF(H78,Wh_hp,'2024'!Maxi_hp)</f>
        <v>14.998749007725031</v>
      </c>
      <c r="J78" s="85">
        <f>IF(H78,An,'2024'!An_max)</f>
        <v>2022</v>
      </c>
      <c r="K78" s="193">
        <f t="shared" si="3"/>
        <v>45721</v>
      </c>
      <c r="L78" s="143">
        <f>IF(t&lt;Tvie,1-EXP((T0-t)*PertePVj)+'2024'!Pspv,1-EXP((T0-t)*PertePVj)+Pspv)</f>
        <v>1.6279449313982175E-2</v>
      </c>
      <c r="M78" s="836"/>
      <c r="N78" s="836"/>
      <c r="O78" s="48">
        <f>IF(t&lt;Tnet,'2024'!Resal+('2024'!Salim-'2024'!Resal)*(1-EXP(('2024'!Tnet-t)/('2024'!Tau_j))),Resal+(Salim-Resal)*(1-EXP((Tnet-t)/(Tau_j))))*Salcycl</f>
        <v>3.6826348360399622E-2</v>
      </c>
      <c r="P78" s="165">
        <f>(INDEX(Models!$BJ78:$BT78,,T78)*(1-R78)+INDEX(Models!$BJ78:$BT78,,T78+1)*R78-ERP_i)*Q78*Ramure*Pc/MaxiM</f>
        <v>1.7209122587003635E-4</v>
      </c>
      <c r="Q78" s="301">
        <f t="shared" si="4"/>
        <v>0.5</v>
      </c>
      <c r="R78" s="173">
        <f t="shared" si="5"/>
        <v>0.50225099059474476</v>
      </c>
      <c r="S78" s="802">
        <f t="shared" si="6"/>
        <v>1</v>
      </c>
      <c r="T78" s="172">
        <f t="shared" si="7"/>
        <v>7</v>
      </c>
      <c r="U78" s="247">
        <f t="shared" si="8"/>
        <v>1.5022509905947448</v>
      </c>
      <c r="V78" s="378">
        <f t="shared" si="9"/>
        <v>37.571418160620908</v>
      </c>
      <c r="W78" s="397">
        <f t="shared" si="10"/>
        <v>14.208781387415124</v>
      </c>
      <c r="X78" s="153">
        <f t="shared" si="11"/>
        <v>45721</v>
      </c>
      <c r="Y78" s="380">
        <f t="shared" si="12"/>
        <v>13.966372507624071</v>
      </c>
      <c r="Z78" s="380">
        <f t="shared" si="13"/>
        <v>14.197499989081587</v>
      </c>
      <c r="AA78" s="381">
        <f t="shared" si="14"/>
        <v>14.996174816270479</v>
      </c>
      <c r="AB78" s="193">
        <f t="shared" si="15"/>
        <v>45721</v>
      </c>
      <c r="AC78" s="119">
        <f>IF(OR(t&lt;Tnet,NoTnet),'2024'!Resal_s+('2024'!Salim-'2024'!Resal_s)*(1-EXP(('2024'!Tnet_s-t)/'2024'!Tau_j)),Resal_s+(Salim-Resal_s)*(1-EXP((Tnet_s-t)/Tau_j)))*Salcycl</f>
        <v>5.3258570066971281E-2</v>
      </c>
      <c r="AD78" s="227">
        <f>(INDEX(Models!$BJ78:$BT78,,AH78)*(1-AF78)+INDEX(Models!$BJ78:$BT78,,AH78+1)*AF78-ERP_i)*AE78*Ramure*Pc/MaxiM</f>
        <v>1.7209122587003635E-4</v>
      </c>
      <c r="AE78" s="301">
        <f t="shared" si="16"/>
        <v>0.5</v>
      </c>
      <c r="AF78" s="173">
        <f t="shared" si="23"/>
        <v>0.50225099059474476</v>
      </c>
      <c r="AG78" s="802">
        <f t="shared" si="24"/>
        <v>1</v>
      </c>
      <c r="AH78" s="172">
        <f t="shared" si="17"/>
        <v>7</v>
      </c>
      <c r="AI78" s="221">
        <f t="shared" si="18"/>
        <v>1.5022509905947448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45722</v>
      </c>
      <c r="B79" s="406">
        <f>'2024'!Wh/'2024'!Env_an*'2025'!Env_an</f>
        <v>21.75258085942836</v>
      </c>
      <c r="C79" s="385"/>
      <c r="D79" s="388">
        <f t="shared" ref="D79:D142" si="25">Wh/(1-Ppv)</f>
        <v>22.112863884870414</v>
      </c>
      <c r="E79" s="380">
        <f t="shared" si="1"/>
        <v>22.959287906294769</v>
      </c>
      <c r="F79" s="380">
        <f t="shared" ref="F79:F142" si="26">Wh_sa/(1-Pvg*MEDIAN((-Sdif+Wh/Env_an)/Csdif,0,1))</f>
        <v>22.96071844106779</v>
      </c>
      <c r="G79" s="110">
        <f t="shared" si="22"/>
        <v>0.57246172960176578</v>
      </c>
      <c r="H79" s="409" t="b">
        <f>Wh_hp&gt;='2024'!Maxi_hp</f>
        <v>0</v>
      </c>
      <c r="I79" s="375">
        <f>IF(H79,Wh_hp,'2024'!Maxi_hp)</f>
        <v>22.962955608308192</v>
      </c>
      <c r="J79" s="85">
        <f>IF(H79,An,'2024'!An_max)</f>
        <v>2022</v>
      </c>
      <c r="K79" s="193">
        <f t="shared" ref="K79:K142" si="27">t</f>
        <v>45722</v>
      </c>
      <c r="L79" s="143">
        <f>IF(t&lt;Tvie,1-EXP((T0-t)*PertePVj)+'2024'!Pspv,1-EXP((T0-t)*PertePVj)+Pspv)</f>
        <v>1.6292915622230231E-2</v>
      </c>
      <c r="M79" s="836"/>
      <c r="N79" s="836"/>
      <c r="O79" s="48">
        <f>IF(t&lt;Tnet,'2024'!Resal+('2024'!Salim-'2024'!Resal)*(1-EXP(('2024'!Tnet-t)/('2024'!Tau_j))),Resal+(Salim-Resal)*(1-EXP((Tnet-t)/(Tau_j))))*Salcycl</f>
        <v>3.6866301118698395E-2</v>
      </c>
      <c r="P79" s="165">
        <f>(INDEX(Models!$BJ79:$BT79,,T79)*(1-R79)+INDEX(Models!$BJ79:$BT79,,T79+1)*R79-ERP_i)*Q79*Ramure*Pc/MaxiM</f>
        <v>1.6003548591311161E-4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0.50262676720464294</v>
      </c>
      <c r="S79" s="802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1.5026267672046429</v>
      </c>
      <c r="V79" s="378">
        <f t="shared" ref="V79:V142" si="33">MaxiM*(1-Ppv)*(1-Pvg)*(1-Psa)</f>
        <v>37.994600653456708</v>
      </c>
      <c r="W79" s="397">
        <f t="shared" ref="W79:W142" si="34">Wh*(A79&gt;Tmaj)</f>
        <v>21.75258085942836</v>
      </c>
      <c r="X79" s="153">
        <f t="shared" ref="X79:X142" si="35">t</f>
        <v>45722</v>
      </c>
      <c r="Y79" s="380">
        <f t="shared" ref="Y79:Y142" si="36">Wh_pvt_s*(1-Ppv)</f>
        <v>21.381789234787696</v>
      </c>
      <c r="Z79" s="380">
        <f t="shared" ref="Z79:Z142" si="37">Wh_sa_s*(1-Psa_s)</f>
        <v>21.735930923291509</v>
      </c>
      <c r="AA79" s="381">
        <f t="shared" ref="AA79:AA142" si="38">Wh_hp*(1-Pvg_s*MEDIAN((-Sdif+Wh/Env_an)/Csdif,0,1))</f>
        <v>22.959287906294769</v>
      </c>
      <c r="AB79" s="193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5.3283751133581685E-2</v>
      </c>
      <c r="AD79" s="227">
        <f>(INDEX(Models!$BJ79:$BT79,,AH79)*(1-AF79)+INDEX(Models!$BJ79:$BT79,,AH79+1)*AF79-ERP_i)*AE79*Ramure*Pc/MaxiM</f>
        <v>1.6003548591311161E-4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0.50262676720464294</v>
      </c>
      <c r="AG79" s="802">
        <f t="shared" si="24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1.5026267672046429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45723</v>
      </c>
      <c r="B80" s="406">
        <f>'2024'!Wh/'2024'!Env_an*'2025'!Env_an</f>
        <v>35.258014411639422</v>
      </c>
      <c r="C80" s="385"/>
      <c r="D80" s="388">
        <f t="shared" si="25"/>
        <v>35.842475499866765</v>
      </c>
      <c r="E80" s="380">
        <f t="shared" ref="E80:E143" si="47">Wh_pvt/(1-Psa)</f>
        <v>37.215977511385944</v>
      </c>
      <c r="F80" s="380">
        <f t="shared" si="26"/>
        <v>37.220836045398727</v>
      </c>
      <c r="G80" s="110">
        <f t="shared" ref="G80:G143" si="48">+Wh_hp/MaxiM</f>
        <v>0.91763433213523271</v>
      </c>
      <c r="H80" s="409" t="b">
        <f>Wh_hp&gt;='2024'!Maxi_hp</f>
        <v>0</v>
      </c>
      <c r="I80" s="375">
        <f>IF(H80,Wh_hp,'2024'!Maxi_hp)</f>
        <v>37.221481723491209</v>
      </c>
      <c r="J80" s="85">
        <f>IF(H80,An,'2024'!An_max)</f>
        <v>2022</v>
      </c>
      <c r="K80" s="193">
        <f t="shared" si="27"/>
        <v>45723</v>
      </c>
      <c r="L80" s="143">
        <f>IF(t&lt;Tvie,1-EXP((T0-t)*PertePVj)+'2024'!Pspv,1-EXP((T0-t)*PertePVj)+Pspv)</f>
        <v>1.6306381746135745E-2</v>
      </c>
      <c r="M80" s="836"/>
      <c r="N80" s="836"/>
      <c r="O80" s="48">
        <f>IF(t&lt;Tnet,'2024'!Resal+('2024'!Salim-'2024'!Resal)*(1-EXP(('2024'!Tnet-t)/('2024'!Tau_j))),Resal+(Salim-Resal)*(1-EXP((Tnet-t)/(Tau_j))))*Salcycl</f>
        <v>3.6906245740796893E-2</v>
      </c>
      <c r="P80" s="165">
        <f>(INDEX(Models!$BJ80:$BT80,,T80)*(1-R80)+INDEX(Models!$BJ80:$BT80,,T80+1)*R80-ERP_i)*Q80*Ramure*Pc/MaxiM</f>
        <v>1.4793621521399055E-4</v>
      </c>
      <c r="Q80" s="301">
        <f t="shared" si="28"/>
        <v>0.5</v>
      </c>
      <c r="R80" s="173">
        <f t="shared" si="29"/>
        <v>0.50301769790907858</v>
      </c>
      <c r="S80" s="802">
        <f t="shared" si="30"/>
        <v>1</v>
      </c>
      <c r="T80" s="172">
        <f t="shared" si="31"/>
        <v>7</v>
      </c>
      <c r="U80" s="247">
        <f t="shared" si="32"/>
        <v>1.5030176979090786</v>
      </c>
      <c r="V80" s="378">
        <f t="shared" si="33"/>
        <v>38.422059290225157</v>
      </c>
      <c r="W80" s="397">
        <f t="shared" si="34"/>
        <v>35.258014411639422</v>
      </c>
      <c r="X80" s="153">
        <f t="shared" si="35"/>
        <v>45723</v>
      </c>
      <c r="Y80" s="380">
        <f t="shared" si="36"/>
        <v>34.657525877950363</v>
      </c>
      <c r="Z80" s="380">
        <f t="shared" si="37"/>
        <v>35.232032855382627</v>
      </c>
      <c r="AA80" s="381">
        <f t="shared" si="38"/>
        <v>37.215977511385944</v>
      </c>
      <c r="AB80" s="193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5.330894923816925E-2</v>
      </c>
      <c r="AD80" s="227">
        <f>(INDEX(Models!$BJ80:$BT80,,AH80)*(1-AF80)+INDEX(Models!$BJ80:$BT80,,AH80+1)*AF80-ERP_i)*AE80*Ramure*Pc/MaxiM</f>
        <v>1.4793621521399055E-4</v>
      </c>
      <c r="AE80" s="301">
        <f t="shared" si="40"/>
        <v>0.5</v>
      </c>
      <c r="AF80" s="173">
        <f t="shared" si="41"/>
        <v>0.50301769790907858</v>
      </c>
      <c r="AG80" s="802">
        <f t="shared" ref="AG80:AG143" si="49">INDEX(Echel_vg,AH80)</f>
        <v>1</v>
      </c>
      <c r="AH80" s="172">
        <f t="shared" si="42"/>
        <v>7</v>
      </c>
      <c r="AI80" s="221">
        <f t="shared" si="43"/>
        <v>1.5030176979090786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45724</v>
      </c>
      <c r="B81" s="406">
        <f>'2024'!Wh/'2024'!Env_an*'2025'!Env_an</f>
        <v>31.633629070199078</v>
      </c>
      <c r="C81" s="385"/>
      <c r="D81" s="388">
        <f t="shared" si="25"/>
        <v>32.158450077268327</v>
      </c>
      <c r="E81" s="380">
        <f t="shared" si="47"/>
        <v>33.392163294809663</v>
      </c>
      <c r="F81" s="380">
        <f t="shared" si="26"/>
        <v>33.395501695431179</v>
      </c>
      <c r="G81" s="110">
        <f t="shared" si="48"/>
        <v>0.81415259816657481</v>
      </c>
      <c r="H81" s="409" t="b">
        <f>Wh_hp&gt;='2024'!Maxi_hp</f>
        <v>0</v>
      </c>
      <c r="I81" s="375">
        <f>IF(H81,Wh_hp,'2024'!Maxi_hp)</f>
        <v>33.396703977303218</v>
      </c>
      <c r="J81" s="85">
        <f>IF(H81,An,'2024'!An_max)</f>
        <v>2022</v>
      </c>
      <c r="K81" s="193">
        <f t="shared" si="27"/>
        <v>45724</v>
      </c>
      <c r="L81" s="143">
        <f>IF(t&lt;Tvie,1-EXP((T0-t)*PertePVj)+'2024'!Pspv,1-EXP((T0-t)*PertePVj)+Pspv)</f>
        <v>1.6319847685701383E-2</v>
      </c>
      <c r="M81" s="836"/>
      <c r="N81" s="836"/>
      <c r="O81" s="48">
        <f>IF(t&lt;Tnet,'2024'!Resal+('2024'!Salim-'2024'!Resal)*(1-EXP(('2024'!Tnet-t)/('2024'!Tau_j))),Resal+(Salim-Resal)*(1-EXP((Tnet-t)/(Tau_j))))*Salcycl</f>
        <v>3.6946190237788459E-2</v>
      </c>
      <c r="P81" s="165">
        <f>(INDEX(Models!$BJ81:$BT81,,T81)*(1-R81)+INDEX(Models!$BJ81:$BT81,,T81+1)*R81-ERP_i)*Q81*Ramure*Pc/MaxiM</f>
        <v>1.3609169997878516E-4</v>
      </c>
      <c r="Q81" s="301">
        <f t="shared" si="28"/>
        <v>0.5</v>
      </c>
      <c r="R81" s="173">
        <f t="shared" si="29"/>
        <v>0.50342436773728871</v>
      </c>
      <c r="S81" s="802">
        <f t="shared" si="30"/>
        <v>1</v>
      </c>
      <c r="T81" s="172">
        <f t="shared" si="31"/>
        <v>7</v>
      </c>
      <c r="U81" s="247">
        <f t="shared" si="32"/>
        <v>1.5034243677372887</v>
      </c>
      <c r="V81" s="378">
        <f t="shared" si="33"/>
        <v>38.853264396418382</v>
      </c>
      <c r="W81" s="397">
        <f t="shared" si="34"/>
        <v>31.633629070199078</v>
      </c>
      <c r="X81" s="153">
        <f t="shared" si="35"/>
        <v>45724</v>
      </c>
      <c r="Y81" s="380">
        <f t="shared" si="36"/>
        <v>31.095329493610048</v>
      </c>
      <c r="Z81" s="380">
        <f t="shared" si="37"/>
        <v>31.611219785671437</v>
      </c>
      <c r="AA81" s="381">
        <f t="shared" si="38"/>
        <v>33.392163294809663</v>
      </c>
      <c r="AB81" s="193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5.3334175848830039E-2</v>
      </c>
      <c r="AD81" s="227">
        <f>(INDEX(Models!$BJ81:$BT81,,AH81)*(1-AF81)+INDEX(Models!$BJ81:$BT81,,AH81+1)*AF81-ERP_i)*AE81*Ramure*Pc/MaxiM</f>
        <v>1.3609169997878516E-4</v>
      </c>
      <c r="AE81" s="301">
        <f t="shared" si="40"/>
        <v>0.5</v>
      </c>
      <c r="AF81" s="173">
        <f t="shared" si="41"/>
        <v>0.50342436773728871</v>
      </c>
      <c r="AG81" s="802">
        <f t="shared" si="49"/>
        <v>1</v>
      </c>
      <c r="AH81" s="172">
        <f t="shared" si="42"/>
        <v>7</v>
      </c>
      <c r="AI81" s="221">
        <f t="shared" si="43"/>
        <v>1.5034243677372887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45725</v>
      </c>
      <c r="B82" s="406">
        <f>'2024'!Wh/'2024'!Env_an*'2025'!Env_an</f>
        <v>28.236415326996031</v>
      </c>
      <c r="C82" s="385"/>
      <c r="D82" s="388">
        <f t="shared" si="25"/>
        <v>28.70526745778983</v>
      </c>
      <c r="E82" s="380">
        <f t="shared" si="47"/>
        <v>29.807740832399499</v>
      </c>
      <c r="F82" s="380">
        <f t="shared" si="26"/>
        <v>29.809960759774313</v>
      </c>
      <c r="G82" s="110">
        <f t="shared" si="48"/>
        <v>0.71867287328069085</v>
      </c>
      <c r="H82" s="409" t="b">
        <f>Wh_hp&gt;='2024'!Maxi_hp</f>
        <v>0</v>
      </c>
      <c r="I82" s="375">
        <f>IF(H82,Wh_hp,'2024'!Maxi_hp)</f>
        <v>29.811446608214982</v>
      </c>
      <c r="J82" s="85">
        <f>IF(H82,An,'2024'!An_max)</f>
        <v>2022</v>
      </c>
      <c r="K82" s="193">
        <f t="shared" si="27"/>
        <v>45725</v>
      </c>
      <c r="L82" s="143">
        <f>IF(t&lt;Tvie,1-EXP((T0-t)*PertePVj)+'2024'!Pspv,1-EXP((T0-t)*PertePVj)+Pspv)</f>
        <v>1.6333313440929587E-2</v>
      </c>
      <c r="M82" s="836"/>
      <c r="N82" s="836"/>
      <c r="O82" s="48">
        <f>IF(t&lt;Tnet,'2024'!Resal+('2024'!Salim-'2024'!Resal)*(1-EXP(('2024'!Tnet-t)/('2024'!Tau_j))),Resal+(Salim-Resal)*(1-EXP((Tnet-t)/(Tau_j))))*Salcycl</f>
        <v>3.6986143324600408E-2</v>
      </c>
      <c r="P82" s="165">
        <f>(INDEX(Models!$BJ82:$BT82,,T82)*(1-R82)+INDEX(Models!$BJ82:$BT82,,T82+1)*R82-ERP_i)*Q82*Ramure*Pc/MaxiM</f>
        <v>1.2449825961779779E-4</v>
      </c>
      <c r="Q82" s="301">
        <f t="shared" si="28"/>
        <v>0.5</v>
      </c>
      <c r="R82" s="173">
        <f t="shared" si="29"/>
        <v>0.50384738211887559</v>
      </c>
      <c r="S82" s="802">
        <f t="shared" si="30"/>
        <v>1</v>
      </c>
      <c r="T82" s="172">
        <f t="shared" si="31"/>
        <v>7</v>
      </c>
      <c r="U82" s="247">
        <f t="shared" si="32"/>
        <v>1.5038473821188756</v>
      </c>
      <c r="V82" s="378">
        <f t="shared" si="33"/>
        <v>39.287697690406183</v>
      </c>
      <c r="W82" s="397">
        <f t="shared" si="34"/>
        <v>28.236415326996031</v>
      </c>
      <c r="X82" s="153">
        <f t="shared" si="35"/>
        <v>45725</v>
      </c>
      <c r="Y82" s="380">
        <f t="shared" si="36"/>
        <v>27.756335732495391</v>
      </c>
      <c r="Z82" s="380">
        <f t="shared" si="37"/>
        <v>28.217216371928632</v>
      </c>
      <c r="AA82" s="381">
        <f t="shared" si="38"/>
        <v>29.807740832399499</v>
      </c>
      <c r="AB82" s="193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5.3359443421557413E-2</v>
      </c>
      <c r="AD82" s="227">
        <f>(INDEX(Models!$BJ82:$BT82,,AH82)*(1-AF82)+INDEX(Models!$BJ82:$BT82,,AH82+1)*AF82-ERP_i)*AE82*Ramure*Pc/MaxiM</f>
        <v>1.2449825961779779E-4</v>
      </c>
      <c r="AE82" s="301">
        <f t="shared" si="40"/>
        <v>0.5</v>
      </c>
      <c r="AF82" s="173">
        <f t="shared" si="41"/>
        <v>0.50384738211887559</v>
      </c>
      <c r="AG82" s="802">
        <f t="shared" si="49"/>
        <v>1</v>
      </c>
      <c r="AH82" s="172">
        <f t="shared" si="42"/>
        <v>7</v>
      </c>
      <c r="AI82" s="221">
        <f t="shared" si="43"/>
        <v>1.5038473821188756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45726</v>
      </c>
      <c r="B83" s="406">
        <f>'2024'!Wh/'2024'!Env_an*'2025'!Env_an</f>
        <v>23.857426435156246</v>
      </c>
      <c r="C83" s="385"/>
      <c r="D83" s="388">
        <f t="shared" si="25"/>
        <v>24.253899571628605</v>
      </c>
      <c r="E83" s="380">
        <f t="shared" si="47"/>
        <v>25.186456179409092</v>
      </c>
      <c r="F83" s="380">
        <f t="shared" si="26"/>
        <v>25.187679926864618</v>
      </c>
      <c r="G83" s="110">
        <f t="shared" si="48"/>
        <v>0.60052816810669218</v>
      </c>
      <c r="H83" s="409" t="b">
        <f>Wh_hp&gt;='2024'!Maxi_hp</f>
        <v>0</v>
      </c>
      <c r="I83" s="375">
        <f>IF(H83,Wh_hp,'2024'!Maxi_hp)</f>
        <v>25.189299753187651</v>
      </c>
      <c r="J83" s="85">
        <f>IF(H83,An,'2024'!An_max)</f>
        <v>2022</v>
      </c>
      <c r="K83" s="193">
        <f t="shared" si="27"/>
        <v>45726</v>
      </c>
      <c r="L83" s="143">
        <f>IF(t&lt;Tvie,1-EXP((T0-t)*PertePVj)+'2024'!Pspv,1-EXP((T0-t)*PertePVj)+Pspv)</f>
        <v>1.6346779011822909E-2</v>
      </c>
      <c r="M83" s="836"/>
      <c r="N83" s="836"/>
      <c r="O83" s="48">
        <f>IF(t&lt;Tnet,'2024'!Resal+('2024'!Salim-'2024'!Resal)*(1-EXP(('2024'!Tnet-t)/('2024'!Tau_j))),Resal+(Salim-Resal)*(1-EXP((Tnet-t)/(Tau_j))))*Salcycl</f>
        <v>3.7026114398058439E-2</v>
      </c>
      <c r="P83" s="165">
        <f>(INDEX(Models!$BJ83:$BT83,,T83)*(1-R83)+INDEX(Models!$BJ83:$BT83,,T83+1)*R83-ERP_i)*Q83*Ramure*Pc/MaxiM</f>
        <v>1.1315153678937903E-4</v>
      </c>
      <c r="Q83" s="301">
        <f t="shared" si="28"/>
        <v>0.5</v>
      </c>
      <c r="R83" s="173">
        <f t="shared" si="29"/>
        <v>0.50428736741021218</v>
      </c>
      <c r="S83" s="802">
        <f t="shared" si="30"/>
        <v>1</v>
      </c>
      <c r="T83" s="172">
        <f t="shared" si="31"/>
        <v>7</v>
      </c>
      <c r="U83" s="247">
        <f t="shared" si="32"/>
        <v>1.5042873674102122</v>
      </c>
      <c r="V83" s="378">
        <f t="shared" si="33"/>
        <v>39.724840964472982</v>
      </c>
      <c r="W83" s="397">
        <f t="shared" si="34"/>
        <v>23.857426435156246</v>
      </c>
      <c r="X83" s="153">
        <f t="shared" si="35"/>
        <v>45726</v>
      </c>
      <c r="Y83" s="380">
        <f t="shared" si="36"/>
        <v>23.452145131192189</v>
      </c>
      <c r="Z83" s="380">
        <f t="shared" si="37"/>
        <v>23.841883125876603</v>
      </c>
      <c r="AA83" s="381">
        <f t="shared" si="38"/>
        <v>25.186456179409092</v>
      </c>
      <c r="AB83" s="193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5.3384765365749633E-2</v>
      </c>
      <c r="AD83" s="227">
        <f>(INDEX(Models!$BJ83:$BT83,,AH83)*(1-AF83)+INDEX(Models!$BJ83:$BT83,,AH83+1)*AF83-ERP_i)*AE83*Ramure*Pc/MaxiM</f>
        <v>1.1315153678937903E-4</v>
      </c>
      <c r="AE83" s="301">
        <f t="shared" si="40"/>
        <v>0.5</v>
      </c>
      <c r="AF83" s="173">
        <f t="shared" si="41"/>
        <v>0.50428736741021218</v>
      </c>
      <c r="AG83" s="802">
        <f t="shared" si="49"/>
        <v>1</v>
      </c>
      <c r="AH83" s="172">
        <f t="shared" si="42"/>
        <v>7</v>
      </c>
      <c r="AI83" s="221">
        <f t="shared" si="43"/>
        <v>1.5042873674102122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45727</v>
      </c>
      <c r="B84" s="406">
        <f>'2024'!Wh/'2024'!Env_an*'2025'!Env_an</f>
        <v>17.217769721186059</v>
      </c>
      <c r="C84" s="385"/>
      <c r="D84" s="388">
        <f t="shared" si="25"/>
        <v>17.504141758336399</v>
      </c>
      <c r="E84" s="380">
        <f t="shared" si="47"/>
        <v>18.177926858677523</v>
      </c>
      <c r="F84" s="380">
        <f t="shared" si="26"/>
        <v>18.178267878708319</v>
      </c>
      <c r="G84" s="110">
        <f t="shared" si="48"/>
        <v>0.42864904397191556</v>
      </c>
      <c r="H84" s="409" t="b">
        <f>Wh_hp&gt;='2024'!Maxi_hp</f>
        <v>0</v>
      </c>
      <c r="I84" s="375">
        <f>IF(H84,Wh_hp,'2024'!Maxi_hp)</f>
        <v>18.179775420005882</v>
      </c>
      <c r="J84" s="85">
        <f>IF(H84,An,'2024'!An_max)</f>
        <v>2022</v>
      </c>
      <c r="K84" s="193">
        <f t="shared" si="27"/>
        <v>45727</v>
      </c>
      <c r="L84" s="143">
        <f>IF(t&lt;Tvie,1-EXP((T0-t)*PertePVj)+'2024'!Pspv,1-EXP((T0-t)*PertePVj)+Pspv)</f>
        <v>1.6360244398383905E-2</v>
      </c>
      <c r="M84" s="836"/>
      <c r="N84" s="836"/>
      <c r="O84" s="48">
        <f>IF(t&lt;Tnet,'2024'!Resal+('2024'!Salim-'2024'!Resal)*(1-EXP(('2024'!Tnet-t)/('2024'!Tau_j))),Resal+(Salim-Resal)*(1-EXP((Tnet-t)/(Tau_j))))*Salcycl</f>
        <v>3.7066113511150078E-2</v>
      </c>
      <c r="P84" s="165">
        <f>(INDEX(Models!$BJ84:$BT84,,T84)*(1-R84)+INDEX(Models!$BJ84:$BT84,,T84+1)*R84-ERP_i)*Q84*Ramure*Pc/MaxiM</f>
        <v>1.0204655607420959E-4</v>
      </c>
      <c r="Q84" s="301">
        <f t="shared" si="28"/>
        <v>0.5</v>
      </c>
      <c r="R84" s="173">
        <f t="shared" si="29"/>
        <v>0.50474497141787711</v>
      </c>
      <c r="S84" s="802">
        <f t="shared" si="30"/>
        <v>1</v>
      </c>
      <c r="T84" s="172">
        <f t="shared" si="31"/>
        <v>7</v>
      </c>
      <c r="U84" s="247">
        <f t="shared" si="32"/>
        <v>1.5047449714178771</v>
      </c>
      <c r="V84" s="378">
        <f t="shared" si="33"/>
        <v>40.16417608671884</v>
      </c>
      <c r="W84" s="397">
        <f t="shared" si="34"/>
        <v>17.217769721186059</v>
      </c>
      <c r="X84" s="153">
        <f t="shared" si="35"/>
        <v>45727</v>
      </c>
      <c r="Y84" s="380">
        <f t="shared" si="36"/>
        <v>16.925529554015458</v>
      </c>
      <c r="Z84" s="380">
        <f t="shared" si="37"/>
        <v>17.207040949319321</v>
      </c>
      <c r="AA84" s="381">
        <f t="shared" si="38"/>
        <v>18.177926858677523</v>
      </c>
      <c r="AB84" s="193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5.3410156004381433E-2</v>
      </c>
      <c r="AD84" s="227">
        <f>(INDEX(Models!$BJ84:$BT84,,AH84)*(1-AF84)+INDEX(Models!$BJ84:$BT84,,AH84+1)*AF84-ERP_i)*AE84*Ramure*Pc/MaxiM</f>
        <v>1.0204655607420959E-4</v>
      </c>
      <c r="AE84" s="301">
        <f t="shared" si="40"/>
        <v>0.5</v>
      </c>
      <c r="AF84" s="173">
        <f t="shared" si="41"/>
        <v>0.50474497141787711</v>
      </c>
      <c r="AG84" s="802">
        <f t="shared" si="49"/>
        <v>1</v>
      </c>
      <c r="AH84" s="172">
        <f t="shared" si="42"/>
        <v>7</v>
      </c>
      <c r="AI84" s="221">
        <f t="shared" si="43"/>
        <v>1.5047449714178771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45728</v>
      </c>
      <c r="B85" s="406">
        <f>'2024'!Wh/'2024'!Env_an*'2025'!Env_an</f>
        <v>13.474597727424641</v>
      </c>
      <c r="C85" s="385"/>
      <c r="D85" s="388">
        <f t="shared" si="25"/>
        <v>13.698899530179808</v>
      </c>
      <c r="E85" s="380">
        <f t="shared" si="47"/>
        <v>14.22680137514404</v>
      </c>
      <c r="F85" s="380">
        <f t="shared" si="26"/>
        <v>14.226860385910067</v>
      </c>
      <c r="G85" s="110">
        <f t="shared" si="48"/>
        <v>0.33181538342388101</v>
      </c>
      <c r="H85" s="409" t="b">
        <f>Wh_hp&gt;='2024'!Maxi_hp</f>
        <v>0</v>
      </c>
      <c r="I85" s="375">
        <f>IF(H85,Wh_hp,'2024'!Maxi_hp)</f>
        <v>14.228092826357823</v>
      </c>
      <c r="J85" s="85">
        <f>IF(H85,An,'2024'!An_max)</f>
        <v>2022</v>
      </c>
      <c r="K85" s="193">
        <f t="shared" si="27"/>
        <v>45728</v>
      </c>
      <c r="L85" s="143">
        <f>IF(t&lt;Tvie,1-EXP((T0-t)*PertePVj)+'2024'!Pspv,1-EXP((T0-t)*PertePVj)+Pspv)</f>
        <v>1.6373709600615127E-2</v>
      </c>
      <c r="M85" s="836"/>
      <c r="N85" s="836"/>
      <c r="O85" s="48">
        <f>IF(t&lt;Tnet,'2024'!Resal+('2024'!Salim-'2024'!Resal)*(1-EXP(('2024'!Tnet-t)/('2024'!Tau_j))),Resal+(Salim-Resal)*(1-EXP((Tnet-t)/(Tau_j))))*Salcycl</f>
        <v>3.7106151343796849E-2</v>
      </c>
      <c r="P85" s="165">
        <f>(INDEX(Models!$BJ85:$BT85,,T85)*(1-R85)+INDEX(Models!$BJ85:$BT85,,T85+1)*R85-ERP_i)*Q85*Ramure*Pc/MaxiM</f>
        <v>9.1177778777662175E-5</v>
      </c>
      <c r="Q85" s="301">
        <f t="shared" si="28"/>
        <v>0.5</v>
      </c>
      <c r="R85" s="173">
        <f t="shared" si="29"/>
        <v>0.50522086391723242</v>
      </c>
      <c r="S85" s="802">
        <f t="shared" si="30"/>
        <v>1</v>
      </c>
      <c r="T85" s="172">
        <f t="shared" si="31"/>
        <v>7</v>
      </c>
      <c r="U85" s="247">
        <f t="shared" si="32"/>
        <v>1.5052208639172324</v>
      </c>
      <c r="V85" s="378">
        <f t="shared" si="33"/>
        <v>40.605184998181763</v>
      </c>
      <c r="W85" s="397">
        <f t="shared" si="34"/>
        <v>13.474597727424641</v>
      </c>
      <c r="X85" s="153">
        <f t="shared" si="35"/>
        <v>45728</v>
      </c>
      <c r="Y85" s="380">
        <f t="shared" si="36"/>
        <v>13.246085349419346</v>
      </c>
      <c r="Z85" s="380">
        <f t="shared" si="37"/>
        <v>13.466583273248009</v>
      </c>
      <c r="AA85" s="381">
        <f t="shared" si="38"/>
        <v>14.22680137514404</v>
      </c>
      <c r="AB85" s="193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5.3435630529306756E-2</v>
      </c>
      <c r="AD85" s="227">
        <f>(INDEX(Models!$BJ85:$BT85,,AH85)*(1-AF85)+INDEX(Models!$BJ85:$BT85,,AH85+1)*AF85-ERP_i)*AE85*Ramure*Pc/MaxiM</f>
        <v>9.1177778777662175E-5</v>
      </c>
      <c r="AE85" s="301">
        <f t="shared" si="40"/>
        <v>0.5</v>
      </c>
      <c r="AF85" s="173">
        <f t="shared" si="41"/>
        <v>0.50522086391723242</v>
      </c>
      <c r="AG85" s="802">
        <f t="shared" si="49"/>
        <v>1</v>
      </c>
      <c r="AH85" s="172">
        <f t="shared" si="42"/>
        <v>7</v>
      </c>
      <c r="AI85" s="221">
        <f t="shared" si="43"/>
        <v>1.5052208639172324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45729</v>
      </c>
      <c r="B86" s="406">
        <f>'2024'!Wh/'2024'!Env_an*'2025'!Env_an</f>
        <v>8.5822568319878556</v>
      </c>
      <c r="C86" s="385"/>
      <c r="D86" s="388">
        <f t="shared" si="25"/>
        <v>8.7252388445213107</v>
      </c>
      <c r="E86" s="380">
        <f t="shared" si="47"/>
        <v>9.0618525880858556</v>
      </c>
      <c r="F86" s="380">
        <f t="shared" si="26"/>
        <v>9.0618525880858556</v>
      </c>
      <c r="G86" s="110">
        <f t="shared" si="48"/>
        <v>0.20906503547609342</v>
      </c>
      <c r="H86" s="409" t="b">
        <f>Wh_hp&gt;='2024'!Maxi_hp</f>
        <v>0</v>
      </c>
      <c r="I86" s="375">
        <f>IF(H86,Wh_hp,'2024'!Maxi_hp)</f>
        <v>9.0625850333182196</v>
      </c>
      <c r="J86" s="85">
        <f>IF(H86,An,'2024'!An_max)</f>
        <v>2022</v>
      </c>
      <c r="K86" s="193">
        <f t="shared" si="27"/>
        <v>45729</v>
      </c>
      <c r="L86" s="143">
        <f>IF(t&lt;Tvie,1-EXP((T0-t)*PertePVj)+'2024'!Pspv,1-EXP((T0-t)*PertePVj)+Pspv)</f>
        <v>1.6387174618518907E-2</v>
      </c>
      <c r="M86" s="836"/>
      <c r="N86" s="836"/>
      <c r="O86" s="48">
        <f>IF(t&lt;Tnet,'2024'!Resal+('2024'!Salim-'2024'!Resal)*(1-EXP(('2024'!Tnet-t)/('2024'!Tau_j))),Resal+(Salim-Resal)*(1-EXP((Tnet-t)/(Tau_j))))*Salcycl</f>
        <v>3.7146239170466076E-2</v>
      </c>
      <c r="P86" s="165">
        <f>(INDEX(Models!$BJ86:$BT86,,T86)*(1-R86)+INDEX(Models!$BJ86:$BT86,,T86+1)*R86-ERP_i)*Q86*Ramure*Pc/MaxiM</f>
        <v>8.123562187799012E-5</v>
      </c>
      <c r="Q86" s="301">
        <f t="shared" si="28"/>
        <v>0.5</v>
      </c>
      <c r="R86" s="173">
        <f t="shared" si="29"/>
        <v>0.50571573716407814</v>
      </c>
      <c r="S86" s="802">
        <f t="shared" si="30"/>
        <v>1</v>
      </c>
      <c r="T86" s="172">
        <f t="shared" si="31"/>
        <v>7</v>
      </c>
      <c r="U86" s="247">
        <f t="shared" si="32"/>
        <v>1.5057157371640781</v>
      </c>
      <c r="V86" s="378">
        <f t="shared" si="33"/>
        <v>41.047321124140304</v>
      </c>
      <c r="W86" s="397">
        <f t="shared" si="34"/>
        <v>8.5822568319878556</v>
      </c>
      <c r="X86" s="153">
        <f t="shared" si="35"/>
        <v>45729</v>
      </c>
      <c r="Y86" s="380">
        <f t="shared" si="36"/>
        <v>8.4368357595051524</v>
      </c>
      <c r="Z86" s="380">
        <f t="shared" si="37"/>
        <v>8.5773950296276773</v>
      </c>
      <c r="AA86" s="381">
        <f t="shared" si="38"/>
        <v>9.0618525880858556</v>
      </c>
      <c r="AB86" s="193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5.3461204952188666E-2</v>
      </c>
      <c r="AD86" s="227">
        <f>(INDEX(Models!$BJ86:$BT86,,AH86)*(1-AF86)+INDEX(Models!$BJ86:$BT86,,AH86+1)*AF86-ERP_i)*AE86*Ramure*Pc/MaxiM</f>
        <v>8.123562187799012E-5</v>
      </c>
      <c r="AE86" s="301">
        <f t="shared" si="40"/>
        <v>0.5</v>
      </c>
      <c r="AF86" s="173">
        <f t="shared" si="41"/>
        <v>0.50571573716407814</v>
      </c>
      <c r="AG86" s="802">
        <f t="shared" si="49"/>
        <v>1</v>
      </c>
      <c r="AH86" s="172">
        <f t="shared" si="42"/>
        <v>7</v>
      </c>
      <c r="AI86" s="221">
        <f t="shared" si="43"/>
        <v>1.5057157371640781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45730</v>
      </c>
      <c r="B87" s="406">
        <f>'2024'!Wh/'2024'!Env_an*'2025'!Env_an</f>
        <v>12.779667554720012</v>
      </c>
      <c r="C87" s="385"/>
      <c r="D87" s="388">
        <f t="shared" si="25"/>
        <v>12.992757079062407</v>
      </c>
      <c r="E87" s="380">
        <f t="shared" si="47"/>
        <v>13.494571460415779</v>
      </c>
      <c r="F87" s="380">
        <f t="shared" si="26"/>
        <v>13.494582685353855</v>
      </c>
      <c r="G87" s="110">
        <f t="shared" si="48"/>
        <v>0.30799554361649861</v>
      </c>
      <c r="H87" s="409" t="b">
        <f>Wh_hp&gt;='2024'!Maxi_hp</f>
        <v>0</v>
      </c>
      <c r="I87" s="375">
        <f>IF(H87,Wh_hp,'2024'!Maxi_hp)</f>
        <v>13.495546182179719</v>
      </c>
      <c r="J87" s="85">
        <f>IF(H87,An,'2024'!An_max)</f>
        <v>2022</v>
      </c>
      <c r="K87" s="193">
        <f t="shared" si="27"/>
        <v>45730</v>
      </c>
      <c r="L87" s="143">
        <f>IF(t&lt;Tvie,1-EXP((T0-t)*PertePVj)+'2024'!Pspv,1-EXP((T0-t)*PertePVj)+Pspv)</f>
        <v>1.6400639452097909E-2</v>
      </c>
      <c r="M87" s="836"/>
      <c r="N87" s="836"/>
      <c r="O87" s="48">
        <f>IF(t&lt;Tnet,'2024'!Resal+('2024'!Salim-'2024'!Resal)*(1-EXP(('2024'!Tnet-t)/('2024'!Tau_j))),Resal+(Salim-Resal)*(1-EXP((Tnet-t)/(Tau_j))))*Salcycl</f>
        <v>3.7186388824970523E-2</v>
      </c>
      <c r="P87" s="165">
        <f>(INDEX(Models!$BJ87:$BT87,,T87)*(1-R87)+INDEX(Models!$BJ87:$BT87,,T87+1)*R87-ERP_i)*Q87*Ramure*Pc/MaxiM</f>
        <v>7.2623149937072522E-5</v>
      </c>
      <c r="Q87" s="301">
        <f t="shared" si="28"/>
        <v>0.5</v>
      </c>
      <c r="R87" s="173">
        <f t="shared" si="29"/>
        <v>0.50623030639711586</v>
      </c>
      <c r="S87" s="802">
        <f t="shared" si="30"/>
        <v>1</v>
      </c>
      <c r="T87" s="172">
        <f t="shared" si="31"/>
        <v>7</v>
      </c>
      <c r="U87" s="247">
        <f t="shared" si="32"/>
        <v>1.5062303063971159</v>
      </c>
      <c r="V87" s="378">
        <f t="shared" si="33"/>
        <v>41.490048636610801</v>
      </c>
      <c r="W87" s="397">
        <f t="shared" si="34"/>
        <v>12.779667554720012</v>
      </c>
      <c r="X87" s="153">
        <f t="shared" si="35"/>
        <v>45730</v>
      </c>
      <c r="Y87" s="380">
        <f t="shared" si="36"/>
        <v>12.563306816866422</v>
      </c>
      <c r="Z87" s="380">
        <f t="shared" si="37"/>
        <v>12.772788719451977</v>
      </c>
      <c r="AA87" s="381">
        <f t="shared" si="38"/>
        <v>13.494571460415779</v>
      </c>
      <c r="AB87" s="193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5.3486896051574362E-2</v>
      </c>
      <c r="AD87" s="227">
        <f>(INDEX(Models!$BJ87:$BT87,,AH87)*(1-AF87)+INDEX(Models!$BJ87:$BT87,,AH87+1)*AF87-ERP_i)*AE87*Ramure*Pc/MaxiM</f>
        <v>7.2623149937072522E-5</v>
      </c>
      <c r="AE87" s="301">
        <f t="shared" si="40"/>
        <v>0.5</v>
      </c>
      <c r="AF87" s="173">
        <f t="shared" si="41"/>
        <v>0.50623030639711586</v>
      </c>
      <c r="AG87" s="802">
        <f t="shared" si="49"/>
        <v>1</v>
      </c>
      <c r="AH87" s="172">
        <f t="shared" si="42"/>
        <v>7</v>
      </c>
      <c r="AI87" s="221">
        <f t="shared" si="43"/>
        <v>1.5062303063971159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45731</v>
      </c>
      <c r="B88" s="406">
        <f>'2024'!Wh/'2024'!Env_an*'2025'!Env_an</f>
        <v>15.14492023050316</v>
      </c>
      <c r="C88" s="385"/>
      <c r="D88" s="388">
        <f t="shared" si="25"/>
        <v>15.397659008383936</v>
      </c>
      <c r="E88" s="380">
        <f t="shared" si="47"/>
        <v>15.993025161373032</v>
      </c>
      <c r="F88" s="380">
        <f t="shared" si="26"/>
        <v>15.993116425230111</v>
      </c>
      <c r="G88" s="110">
        <f t="shared" si="48"/>
        <v>0.36114926166421973</v>
      </c>
      <c r="H88" s="409" t="b">
        <f>Wh_hp&gt;='2024'!Maxi_hp</f>
        <v>0</v>
      </c>
      <c r="I88" s="375">
        <f>IF(H88,Wh_hp,'2024'!Maxi_hp)</f>
        <v>15.994063855850605</v>
      </c>
      <c r="J88" s="85">
        <f>IF(H88,An,'2024'!An_max)</f>
        <v>2022</v>
      </c>
      <c r="K88" s="193">
        <f t="shared" si="27"/>
        <v>45731</v>
      </c>
      <c r="L88" s="143">
        <f>IF(t&lt;Tvie,1-EXP((T0-t)*PertePVj)+'2024'!Pspv,1-EXP((T0-t)*PertePVj)+Pspv)</f>
        <v>1.6414104101354687E-2</v>
      </c>
      <c r="M88" s="836"/>
      <c r="N88" s="836"/>
      <c r="O88" s="48">
        <f>IF(t&lt;Tnet,'2024'!Resal+('2024'!Salim-'2024'!Resal)*(1-EXP(('2024'!Tnet-t)/('2024'!Tau_j))),Resal+(Salim-Resal)*(1-EXP((Tnet-t)/(Tau_j))))*Salcycl</f>
        <v>3.7226612662815461E-2</v>
      </c>
      <c r="P88" s="165">
        <f>(INDEX(Models!$BJ88:$BT88,,T88)*(1-R88)+INDEX(Models!$BJ88:$BT88,,T88+1)*R88-ERP_i)*Q88*Ramure*Pc/MaxiM</f>
        <v>6.5300980547129388E-5</v>
      </c>
      <c r="Q88" s="301">
        <f t="shared" si="28"/>
        <v>0.5</v>
      </c>
      <c r="R88" s="173">
        <f t="shared" si="29"/>
        <v>0.5067653103287475</v>
      </c>
      <c r="S88" s="802">
        <f t="shared" si="30"/>
        <v>1</v>
      </c>
      <c r="T88" s="172">
        <f t="shared" si="31"/>
        <v>7</v>
      </c>
      <c r="U88" s="247">
        <f t="shared" si="32"/>
        <v>1.5067653103287475</v>
      </c>
      <c r="V88" s="378">
        <f t="shared" si="33"/>
        <v>41.932849595475055</v>
      </c>
      <c r="W88" s="397">
        <f t="shared" si="34"/>
        <v>15.14492023050316</v>
      </c>
      <c r="X88" s="153">
        <f t="shared" si="35"/>
        <v>45731</v>
      </c>
      <c r="Y88" s="380">
        <f t="shared" si="36"/>
        <v>14.88873137062018</v>
      </c>
      <c r="Z88" s="380">
        <f t="shared" si="37"/>
        <v>15.13719486290235</v>
      </c>
      <c r="AA88" s="381">
        <f t="shared" si="38"/>
        <v>15.993025161373032</v>
      </c>
      <c r="AB88" s="193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5.3512721316647235E-2</v>
      </c>
      <c r="AD88" s="227">
        <f>(INDEX(Models!$BJ88:$BT88,,AH88)*(1-AF88)+INDEX(Models!$BJ88:$BT88,,AH88+1)*AF88-ERP_i)*AE88*Ramure*Pc/MaxiM</f>
        <v>6.5300980547129388E-5</v>
      </c>
      <c r="AE88" s="301">
        <f t="shared" si="40"/>
        <v>0.5</v>
      </c>
      <c r="AF88" s="173">
        <f t="shared" si="41"/>
        <v>0.5067653103287475</v>
      </c>
      <c r="AG88" s="802">
        <f t="shared" si="49"/>
        <v>1</v>
      </c>
      <c r="AH88" s="172">
        <f t="shared" si="42"/>
        <v>7</v>
      </c>
      <c r="AI88" s="221">
        <f t="shared" si="43"/>
        <v>1.5067653103287475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45732</v>
      </c>
      <c r="B89" s="406">
        <f>'2024'!Wh/'2024'!Env_an*'2025'!Env_an</f>
        <v>12.717384621513297</v>
      </c>
      <c r="C89" s="385"/>
      <c r="D89" s="388">
        <f t="shared" si="25"/>
        <v>12.929789627161217</v>
      </c>
      <c r="E89" s="380">
        <f t="shared" si="47"/>
        <v>13.430295419427646</v>
      </c>
      <c r="F89" s="380">
        <f t="shared" si="26"/>
        <v>13.430295548765011</v>
      </c>
      <c r="G89" s="110">
        <f t="shared" si="48"/>
        <v>0.30009603827921882</v>
      </c>
      <c r="H89" s="409" t="b">
        <f>Wh_hp&gt;='2024'!Maxi_hp</f>
        <v>0</v>
      </c>
      <c r="I89" s="375">
        <f>IF(H89,Wh_hp,'2024'!Maxi_hp)</f>
        <v>13.431085760338645</v>
      </c>
      <c r="J89" s="85">
        <f>IF(H89,An,'2024'!An_max)</f>
        <v>2022</v>
      </c>
      <c r="K89" s="193">
        <f t="shared" si="27"/>
        <v>45732</v>
      </c>
      <c r="L89" s="143">
        <f>IF(t&lt;Tvie,1-EXP((T0-t)*PertePVj)+'2024'!Pspv,1-EXP((T0-t)*PertePVj)+Pspv)</f>
        <v>1.6427568566291795E-2</v>
      </c>
      <c r="M89" s="836"/>
      <c r="N89" s="836"/>
      <c r="O89" s="48">
        <f>IF(t&lt;Tnet,'2024'!Resal+('2024'!Salim-'2024'!Resal)*(1-EXP(('2024'!Tnet-t)/('2024'!Tau_j))),Resal+(Salim-Resal)*(1-EXP((Tnet-t)/(Tau_j))))*Salcycl</f>
        <v>3.7266923521460341E-2</v>
      </c>
      <c r="P89" s="165">
        <f>(INDEX(Models!$BJ89:$BT89,,T89)*(1-R89)+INDEX(Models!$BJ89:$BT89,,T89+1)*R89-ERP_i)*Q89*Ramure*Pc/MaxiM</f>
        <v>5.9231180675132742E-5</v>
      </c>
      <c r="Q89" s="301">
        <f t="shared" si="28"/>
        <v>0.5</v>
      </c>
      <c r="R89" s="173">
        <f t="shared" si="29"/>
        <v>0.50732151162151928</v>
      </c>
      <c r="S89" s="802">
        <f t="shared" si="30"/>
        <v>1</v>
      </c>
      <c r="T89" s="172">
        <f t="shared" si="31"/>
        <v>7</v>
      </c>
      <c r="U89" s="247">
        <f t="shared" si="32"/>
        <v>1.5073215116215193</v>
      </c>
      <c r="V89" s="378">
        <f t="shared" si="33"/>
        <v>42.375206121314072</v>
      </c>
      <c r="W89" s="397">
        <f t="shared" si="34"/>
        <v>12.717384621513297</v>
      </c>
      <c r="X89" s="153">
        <f t="shared" si="35"/>
        <v>45732</v>
      </c>
      <c r="Y89" s="380">
        <f t="shared" si="36"/>
        <v>12.502439865932068</v>
      </c>
      <c r="Z89" s="380">
        <f t="shared" si="37"/>
        <v>12.71125487698739</v>
      </c>
      <c r="AA89" s="381">
        <f t="shared" si="38"/>
        <v>13.430295419427646</v>
      </c>
      <c r="AB89" s="193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5.3538698888196103E-2</v>
      </c>
      <c r="AD89" s="227">
        <f>(INDEX(Models!$BJ89:$BT89,,AH89)*(1-AF89)+INDEX(Models!$BJ89:$BT89,,AH89+1)*AF89-ERP_i)*AE89*Ramure*Pc/MaxiM</f>
        <v>5.9231180675132742E-5</v>
      </c>
      <c r="AE89" s="301">
        <f t="shared" si="40"/>
        <v>0.5</v>
      </c>
      <c r="AF89" s="173">
        <f t="shared" si="41"/>
        <v>0.50732151162151928</v>
      </c>
      <c r="AG89" s="802">
        <f t="shared" si="49"/>
        <v>1</v>
      </c>
      <c r="AH89" s="172">
        <f t="shared" si="42"/>
        <v>7</v>
      </c>
      <c r="AI89" s="221">
        <f t="shared" si="43"/>
        <v>1.5073215116215193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45733</v>
      </c>
      <c r="B90" s="406">
        <f>'2024'!Wh/'2024'!Env_an*'2025'!Env_an</f>
        <v>12.213982575179076</v>
      </c>
      <c r="C90" s="385"/>
      <c r="D90" s="388">
        <f t="shared" si="25"/>
        <v>12.418149783670266</v>
      </c>
      <c r="E90" s="380">
        <f t="shared" si="47"/>
        <v>12.899391707246263</v>
      </c>
      <c r="F90" s="380">
        <f t="shared" si="26"/>
        <v>12.899391707246263</v>
      </c>
      <c r="G90" s="110">
        <f t="shared" si="48"/>
        <v>0.28524727086802776</v>
      </c>
      <c r="H90" s="409" t="b">
        <f>Wh_hp&gt;='2024'!Maxi_hp</f>
        <v>0</v>
      </c>
      <c r="I90" s="375">
        <f>IF(H90,Wh_hp,'2024'!Maxi_hp)</f>
        <v>12.900088201183433</v>
      </c>
      <c r="J90" s="85">
        <f>IF(H90,An,'2024'!An_max)</f>
        <v>2022</v>
      </c>
      <c r="K90" s="193">
        <f t="shared" si="27"/>
        <v>45733</v>
      </c>
      <c r="L90" s="143">
        <f>IF(t&lt;Tvie,1-EXP((T0-t)*PertePVj)+'2024'!Pspv,1-EXP((T0-t)*PertePVj)+Pspv)</f>
        <v>1.6441032846911563E-2</v>
      </c>
      <c r="M90" s="836"/>
      <c r="N90" s="836"/>
      <c r="O90" s="48">
        <f>IF(t&lt;Tnet,'2024'!Resal+('2024'!Salim-'2024'!Resal)*(1-EXP(('2024'!Tnet-t)/('2024'!Tau_j))),Resal+(Salim-Resal)*(1-EXP((Tnet-t)/(Tau_j))))*Salcycl</f>
        <v>3.7307334678863859E-2</v>
      </c>
      <c r="P90" s="165">
        <f>(INDEX(Models!$BJ90:$BT90,,T90)*(1-R90)+INDEX(Models!$BJ90:$BT90,,T90+1)*R90-ERP_i)*Q90*Ramure*Pc/MaxiM</f>
        <v>5.4377389648355293E-5</v>
      </c>
      <c r="Q90" s="301">
        <f t="shared" si="28"/>
        <v>0.5</v>
      </c>
      <c r="R90" s="173">
        <f t="shared" si="29"/>
        <v>0.50789969734728357</v>
      </c>
      <c r="S90" s="802">
        <f t="shared" si="30"/>
        <v>1</v>
      </c>
      <c r="T90" s="172">
        <f t="shared" si="31"/>
        <v>7</v>
      </c>
      <c r="U90" s="247">
        <f t="shared" si="32"/>
        <v>1.5078996973472836</v>
      </c>
      <c r="V90" s="378">
        <f t="shared" si="33"/>
        <v>42.816600395591628</v>
      </c>
      <c r="W90" s="397">
        <f t="shared" si="34"/>
        <v>12.213982575179076</v>
      </c>
      <c r="X90" s="153">
        <f t="shared" si="35"/>
        <v>45733</v>
      </c>
      <c r="Y90" s="380">
        <f t="shared" si="36"/>
        <v>12.007718431456329</v>
      </c>
      <c r="Z90" s="380">
        <f t="shared" si="37"/>
        <v>12.20843775763915</v>
      </c>
      <c r="AA90" s="381">
        <f t="shared" si="38"/>
        <v>12.899391707246263</v>
      </c>
      <c r="AB90" s="193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5.3564847497341098E-2</v>
      </c>
      <c r="AD90" s="227">
        <f>(INDEX(Models!$BJ90:$BT90,,AH90)*(1-AF90)+INDEX(Models!$BJ90:$BT90,,AH90+1)*AF90-ERP_i)*AE90*Ramure*Pc/MaxiM</f>
        <v>5.4377389648355293E-5</v>
      </c>
      <c r="AE90" s="301">
        <f t="shared" si="40"/>
        <v>0.5</v>
      </c>
      <c r="AF90" s="173">
        <f t="shared" si="41"/>
        <v>0.50789969734728357</v>
      </c>
      <c r="AG90" s="802">
        <f t="shared" si="49"/>
        <v>1</v>
      </c>
      <c r="AH90" s="172">
        <f t="shared" si="42"/>
        <v>7</v>
      </c>
      <c r="AI90" s="221">
        <f t="shared" si="43"/>
        <v>1.5078996973472836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45734</v>
      </c>
      <c r="B91" s="406">
        <f>'2024'!Wh/'2024'!Env_an*'2025'!Env_an</f>
        <v>14.41686398751752</v>
      </c>
      <c r="C91" s="385"/>
      <c r="D91" s="388">
        <f t="shared" si="25"/>
        <v>14.658054907181237</v>
      </c>
      <c r="E91" s="380">
        <f t="shared" si="47"/>
        <v>15.226741099124855</v>
      </c>
      <c r="F91" s="380">
        <f t="shared" si="26"/>
        <v>15.226777814151724</v>
      </c>
      <c r="G91" s="110">
        <f t="shared" si="48"/>
        <v>0.3332715974744872</v>
      </c>
      <c r="H91" s="409" t="b">
        <f>Wh_hp&gt;='2024'!Maxi_hp</f>
        <v>0</v>
      </c>
      <c r="I91" s="375">
        <f>IF(H91,Wh_hp,'2024'!Maxi_hp)</f>
        <v>15.227507547270084</v>
      </c>
      <c r="J91" s="85">
        <f>IF(H91,An,'2024'!An_max)</f>
        <v>2022</v>
      </c>
      <c r="K91" s="193">
        <f t="shared" si="27"/>
        <v>45734</v>
      </c>
      <c r="L91" s="143">
        <f>IF(t&lt;Tvie,1-EXP((T0-t)*PertePVj)+'2024'!Pspv,1-EXP((T0-t)*PertePVj)+Pspv)</f>
        <v>1.6454496943216768E-2</v>
      </c>
      <c r="M91" s="836"/>
      <c r="N91" s="836"/>
      <c r="O91" s="48">
        <f>IF(t&lt;Tnet,'2024'!Resal+('2024'!Salim-'2024'!Resal)*(1-EXP(('2024'!Tnet-t)/('2024'!Tau_j))),Resal+(Salim-Resal)*(1-EXP((Tnet-t)/(Tau_j))))*Salcycl</f>
        <v>3.7347859810678848E-2</v>
      </c>
      <c r="P91" s="165">
        <f>(INDEX(Models!$BJ91:$BT91,,T91)*(1-R91)+INDEX(Models!$BJ91:$BT91,,T91+1)*R91-ERP_i)*Q91*Ramure*Pc/MaxiM</f>
        <v>5.0704929064737497E-5</v>
      </c>
      <c r="Q91" s="301">
        <f t="shared" si="28"/>
        <v>0.5</v>
      </c>
      <c r="R91" s="173">
        <f t="shared" si="29"/>
        <v>0.50850067942590904</v>
      </c>
      <c r="S91" s="802">
        <f t="shared" si="30"/>
        <v>1</v>
      </c>
      <c r="T91" s="172">
        <f t="shared" si="31"/>
        <v>7</v>
      </c>
      <c r="U91" s="247">
        <f t="shared" si="32"/>
        <v>1.508500679425909</v>
      </c>
      <c r="V91" s="378">
        <f t="shared" si="33"/>
        <v>43.256514660021189</v>
      </c>
      <c r="W91" s="397">
        <f t="shared" si="34"/>
        <v>14.41686398751752</v>
      </c>
      <c r="X91" s="153">
        <f t="shared" si="35"/>
        <v>45734</v>
      </c>
      <c r="Y91" s="380">
        <f t="shared" si="36"/>
        <v>14.173600797832217</v>
      </c>
      <c r="Z91" s="380">
        <f t="shared" si="37"/>
        <v>14.41072197857828</v>
      </c>
      <c r="AA91" s="381">
        <f t="shared" si="38"/>
        <v>15.226741099124855</v>
      </c>
      <c r="AB91" s="193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5.3591186402550318E-2</v>
      </c>
      <c r="AD91" s="227">
        <f>(INDEX(Models!$BJ91:$BT91,,AH91)*(1-AF91)+INDEX(Models!$BJ91:$BT91,,AH91+1)*AF91-ERP_i)*AE91*Ramure*Pc/MaxiM</f>
        <v>5.0704929064737497E-5</v>
      </c>
      <c r="AE91" s="301">
        <f t="shared" si="40"/>
        <v>0.5</v>
      </c>
      <c r="AF91" s="173">
        <f t="shared" si="41"/>
        <v>0.50850067942590904</v>
      </c>
      <c r="AG91" s="802">
        <f t="shared" si="49"/>
        <v>1</v>
      </c>
      <c r="AH91" s="172">
        <f t="shared" si="42"/>
        <v>7</v>
      </c>
      <c r="AI91" s="221">
        <f t="shared" si="43"/>
        <v>1.508500679425909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45735</v>
      </c>
      <c r="B92" s="406">
        <f>'2024'!Wh/'2024'!Env_an*'2025'!Env_an</f>
        <v>26.490422545312068</v>
      </c>
      <c r="C92" s="385"/>
      <c r="D92" s="388">
        <f t="shared" si="25"/>
        <v>26.933970110771643</v>
      </c>
      <c r="E92" s="380">
        <f t="shared" si="47"/>
        <v>27.980104614389941</v>
      </c>
      <c r="F92" s="380">
        <f t="shared" si="26"/>
        <v>27.980694453173211</v>
      </c>
      <c r="G92" s="110">
        <f t="shared" si="48"/>
        <v>0.60624898606773836</v>
      </c>
      <c r="H92" s="409" t="b">
        <f>Wh_hp&gt;='2024'!Maxi_hp</f>
        <v>0</v>
      </c>
      <c r="I92" s="375">
        <f>IF(H92,Wh_hp,'2024'!Maxi_hp)</f>
        <v>27.981446472007683</v>
      </c>
      <c r="J92" s="85">
        <f>IF(H92,An,'2024'!An_max)</f>
        <v>2022</v>
      </c>
      <c r="K92" s="193">
        <f t="shared" si="27"/>
        <v>45735</v>
      </c>
      <c r="L92" s="143">
        <f>IF(t&lt;Tvie,1-EXP((T0-t)*PertePVj)+'2024'!Pspv,1-EXP((T0-t)*PertePVj)+Pspv)</f>
        <v>1.6467960855209629E-2</v>
      </c>
      <c r="M92" s="836"/>
      <c r="N92" s="836"/>
      <c r="O92" s="48">
        <f>IF(t&lt;Tnet,'2024'!Resal+('2024'!Salim-'2024'!Resal)*(1-EXP(('2024'!Tnet-t)/('2024'!Tau_j))),Resal+(Salim-Resal)*(1-EXP((Tnet-t)/(Tau_j))))*Salcycl</f>
        <v>3.7388512946455489E-2</v>
      </c>
      <c r="P92" s="165">
        <f>(INDEX(Models!$BJ92:$BT92,,T92)*(1-R92)+INDEX(Models!$BJ92:$BT92,,T92+1)*R92-ERP_i)*Q92*Ramure*Pc/MaxiM</f>
        <v>4.81809009534559E-5</v>
      </c>
      <c r="Q92" s="301">
        <f t="shared" si="28"/>
        <v>0.5</v>
      </c>
      <c r="R92" s="173">
        <f t="shared" si="29"/>
        <v>0.5091252950401155</v>
      </c>
      <c r="S92" s="802">
        <f t="shared" si="30"/>
        <v>1</v>
      </c>
      <c r="T92" s="172">
        <f t="shared" si="31"/>
        <v>7</v>
      </c>
      <c r="U92" s="247">
        <f t="shared" si="32"/>
        <v>1.5091252950401155</v>
      </c>
      <c r="V92" s="378">
        <f t="shared" si="33"/>
        <v>43.694431215657218</v>
      </c>
      <c r="W92" s="397">
        <f t="shared" si="34"/>
        <v>26.490422545312068</v>
      </c>
      <c r="X92" s="153">
        <f t="shared" si="35"/>
        <v>45735</v>
      </c>
      <c r="Y92" s="380">
        <f t="shared" si="36"/>
        <v>26.043805229620375</v>
      </c>
      <c r="Z92" s="380">
        <f t="shared" si="37"/>
        <v>26.479874770796709</v>
      </c>
      <c r="AA92" s="381">
        <f t="shared" si="38"/>
        <v>27.980104614389941</v>
      </c>
      <c r="AB92" s="193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5.3617735325466716E-2</v>
      </c>
      <c r="AD92" s="227">
        <f>(INDEX(Models!$BJ92:$BT92,,AH92)*(1-AF92)+INDEX(Models!$BJ92:$BT92,,AH92+1)*AF92-ERP_i)*AE92*Ramure*Pc/MaxiM</f>
        <v>4.81809009534559E-5</v>
      </c>
      <c r="AE92" s="301">
        <f t="shared" si="40"/>
        <v>0.5</v>
      </c>
      <c r="AF92" s="173">
        <f t="shared" si="41"/>
        <v>0.5091252950401155</v>
      </c>
      <c r="AG92" s="802">
        <f t="shared" si="49"/>
        <v>1</v>
      </c>
      <c r="AH92" s="172">
        <f t="shared" si="42"/>
        <v>7</v>
      </c>
      <c r="AI92" s="221">
        <f t="shared" si="43"/>
        <v>1.5091252950401155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45736</v>
      </c>
      <c r="B93" s="406">
        <f>'2024'!Wh/'2024'!Env_an*'2025'!Env_an</f>
        <v>31.753950622917245</v>
      </c>
      <c r="C93" s="385"/>
      <c r="D93" s="388">
        <f t="shared" si="25"/>
        <v>32.286071068307479</v>
      </c>
      <c r="E93" s="380">
        <f t="shared" si="47"/>
        <v>33.541506458591961</v>
      </c>
      <c r="F93" s="380">
        <f t="shared" si="26"/>
        <v>33.542446577719289</v>
      </c>
      <c r="G93" s="110">
        <f t="shared" si="48"/>
        <v>0.7194754296697059</v>
      </c>
      <c r="H93" s="409" t="b">
        <f>Wh_hp&gt;='2024'!Maxi_hp</f>
        <v>0</v>
      </c>
      <c r="I93" s="375">
        <f>IF(H93,Wh_hp,'2024'!Maxi_hp)</f>
        <v>33.543069625939346</v>
      </c>
      <c r="J93" s="85">
        <f>IF(H93,An,'2024'!An_max)</f>
        <v>2022</v>
      </c>
      <c r="K93" s="193">
        <f t="shared" si="27"/>
        <v>45736</v>
      </c>
      <c r="L93" s="143">
        <f>IF(t&lt;Tvie,1-EXP((T0-t)*PertePVj)+'2024'!Pspv,1-EXP((T0-t)*PertePVj)+Pspv)</f>
        <v>1.6481424582893034E-2</v>
      </c>
      <c r="M93" s="836"/>
      <c r="N93" s="836"/>
      <c r="O93" s="48">
        <f>IF(t&lt;Tnet,'2024'!Resal+('2024'!Salim-'2024'!Resal)*(1-EXP(('2024'!Tnet-t)/('2024'!Tau_j))),Resal+(Salim-Resal)*(1-EXP((Tnet-t)/(Tau_j))))*Salcycl</f>
        <v>3.7429308425200147E-2</v>
      </c>
      <c r="P93" s="165">
        <f>(INDEX(Models!$BJ93:$BT93,,T93)*(1-R93)+INDEX(Models!$BJ93:$BT93,,T93+1)*R93-ERP_i)*Q93*Ramure*Pc/MaxiM</f>
        <v>4.6769820508916458E-5</v>
      </c>
      <c r="Q93" s="301">
        <f t="shared" si="28"/>
        <v>0.5</v>
      </c>
      <c r="R93" s="173">
        <f t="shared" si="29"/>
        <v>0.50977440702273702</v>
      </c>
      <c r="S93" s="802">
        <f t="shared" si="30"/>
        <v>1</v>
      </c>
      <c r="T93" s="172">
        <f t="shared" si="31"/>
        <v>7</v>
      </c>
      <c r="U93" s="247">
        <f t="shared" si="32"/>
        <v>1.509774407022737</v>
      </c>
      <c r="V93" s="378">
        <f t="shared" si="33"/>
        <v>44.134037330311649</v>
      </c>
      <c r="W93" s="397">
        <f t="shared" si="34"/>
        <v>31.753950622917245</v>
      </c>
      <c r="X93" s="153">
        <f t="shared" si="35"/>
        <v>45736</v>
      </c>
      <c r="Y93" s="380">
        <f t="shared" si="36"/>
        <v>31.219032144796159</v>
      </c>
      <c r="Z93" s="380">
        <f t="shared" si="37"/>
        <v>31.742188632844346</v>
      </c>
      <c r="AA93" s="381">
        <f t="shared" si="38"/>
        <v>33.541506458591961</v>
      </c>
      <c r="AB93" s="193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5.3644514386046616E-2</v>
      </c>
      <c r="AD93" s="227">
        <f>(INDEX(Models!$BJ93:$BT93,,AH93)*(1-AF93)+INDEX(Models!$BJ93:$BT93,,AH93+1)*AF93-ERP_i)*AE93*Ramure*Pc/MaxiM</f>
        <v>4.6769820508916458E-5</v>
      </c>
      <c r="AE93" s="301">
        <f t="shared" si="40"/>
        <v>0.5</v>
      </c>
      <c r="AF93" s="173">
        <f t="shared" si="41"/>
        <v>0.50977440702273702</v>
      </c>
      <c r="AG93" s="802">
        <f t="shared" si="49"/>
        <v>1</v>
      </c>
      <c r="AH93" s="172">
        <f t="shared" si="42"/>
        <v>7</v>
      </c>
      <c r="AI93" s="221">
        <f t="shared" si="43"/>
        <v>1.509774407022737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45737</v>
      </c>
      <c r="B94" s="406">
        <f>'2024'!Wh/'2024'!Env_an*'2025'!Env_an</f>
        <v>42.709931515088719</v>
      </c>
      <c r="C94" s="385"/>
      <c r="D94" s="388">
        <f t="shared" si="25"/>
        <v>43.426242527321115</v>
      </c>
      <c r="E94" s="380">
        <f t="shared" si="47"/>
        <v>45.116780044321928</v>
      </c>
      <c r="F94" s="380">
        <f t="shared" si="26"/>
        <v>45.118757797657985</v>
      </c>
      <c r="G94" s="110">
        <f t="shared" si="48"/>
        <v>0.95808183250561463</v>
      </c>
      <c r="H94" s="409" t="b">
        <f>Wh_hp&gt;='2024'!Maxi_hp</f>
        <v>0</v>
      </c>
      <c r="I94" s="375">
        <f>IF(H94,Wh_hp,'2024'!Maxi_hp)</f>
        <v>45.118882566979195</v>
      </c>
      <c r="J94" s="85">
        <f>IF(H94,An,'2024'!An_max)</f>
        <v>2022</v>
      </c>
      <c r="K94" s="193">
        <f t="shared" si="27"/>
        <v>45737</v>
      </c>
      <c r="L94" s="143">
        <f>IF(t&lt;Tvie,1-EXP((T0-t)*PertePVj)+'2024'!Pspv,1-EXP((T0-t)*PertePVj)+Pspv)</f>
        <v>1.6494888126269203E-2</v>
      </c>
      <c r="M94" s="836"/>
      <c r="N94" s="836"/>
      <c r="O94" s="48">
        <f>IF(t&lt;Tnet,'2024'!Resal+('2024'!Salim-'2024'!Resal)*(1-EXP(('2024'!Tnet-t)/('2024'!Tau_j))),Resal+(Salim-Resal)*(1-EXP((Tnet-t)/(Tau_j))))*Salcycl</f>
        <v>3.7470260850620565E-2</v>
      </c>
      <c r="P94" s="165">
        <f>(INDEX(Models!$BJ94:$BT94,,T94)*(1-R94)+INDEX(Models!$BJ94:$BT94,,T94+1)*R94-ERP_i)*Q94*Ramure*Pc/MaxiM</f>
        <v>4.6626344126709208E-5</v>
      </c>
      <c r="Q94" s="301">
        <f t="shared" si="28"/>
        <v>0.5</v>
      </c>
      <c r="R94" s="173">
        <f t="shared" si="29"/>
        <v>0.51044890421243716</v>
      </c>
      <c r="S94" s="802">
        <f t="shared" si="30"/>
        <v>1</v>
      </c>
      <c r="T94" s="172">
        <f t="shared" si="31"/>
        <v>7</v>
      </c>
      <c r="U94" s="247">
        <f t="shared" si="32"/>
        <v>1.5104489042124372</v>
      </c>
      <c r="V94" s="378">
        <f t="shared" si="33"/>
        <v>44.578459602036347</v>
      </c>
      <c r="W94" s="397">
        <f t="shared" si="34"/>
        <v>42.709931515088719</v>
      </c>
      <c r="X94" s="153">
        <f t="shared" si="35"/>
        <v>45737</v>
      </c>
      <c r="Y94" s="380">
        <f t="shared" si="36"/>
        <v>41.991038719133101</v>
      </c>
      <c r="Z94" s="380">
        <f t="shared" si="37"/>
        <v>42.695292797343591</v>
      </c>
      <c r="AA94" s="381">
        <f t="shared" si="38"/>
        <v>45.116780044321928</v>
      </c>
      <c r="AB94" s="193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5.3671544037484704E-2</v>
      </c>
      <c r="AD94" s="227">
        <f>(INDEX(Models!$BJ94:$BT94,,AH94)*(1-AF94)+INDEX(Models!$BJ94:$BT94,,AH94+1)*AF94-ERP_i)*AE94*Ramure*Pc/MaxiM</f>
        <v>4.6626344126709208E-5</v>
      </c>
      <c r="AE94" s="301">
        <f t="shared" si="40"/>
        <v>0.5</v>
      </c>
      <c r="AF94" s="173">
        <f t="shared" si="41"/>
        <v>0.51044890421243716</v>
      </c>
      <c r="AG94" s="802">
        <f t="shared" si="49"/>
        <v>1</v>
      </c>
      <c r="AH94" s="172">
        <f t="shared" si="42"/>
        <v>7</v>
      </c>
      <c r="AI94" s="221">
        <f t="shared" si="43"/>
        <v>1.5104489042124372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45738</v>
      </c>
      <c r="B95" s="406">
        <f>'2024'!Wh/'2024'!Env_an*'2025'!Env_an</f>
        <v>41.686029860855697</v>
      </c>
      <c r="C95" s="385"/>
      <c r="D95" s="388">
        <f t="shared" si="25"/>
        <v>42.385748698337174</v>
      </c>
      <c r="E95" s="380">
        <f t="shared" si="47"/>
        <v>44.03766240952276</v>
      </c>
      <c r="F95" s="380">
        <f t="shared" si="26"/>
        <v>44.03952520817554</v>
      </c>
      <c r="G95" s="110">
        <f t="shared" si="48"/>
        <v>0.92580904279959497</v>
      </c>
      <c r="H95" s="409" t="b">
        <f>Wh_hp&gt;='2024'!Maxi_hp</f>
        <v>0</v>
      </c>
      <c r="I95" s="375">
        <f>IF(H95,Wh_hp,'2024'!Maxi_hp)</f>
        <v>44.0397438016956</v>
      </c>
      <c r="J95" s="85">
        <f>IF(H95,An,'2024'!An_max)</f>
        <v>2022</v>
      </c>
      <c r="K95" s="193">
        <f t="shared" si="27"/>
        <v>45738</v>
      </c>
      <c r="L95" s="143">
        <f>IF(t&lt;Tvie,1-EXP((T0-t)*PertePVj)+'2024'!Pspv,1-EXP((T0-t)*PertePVj)+Pspv)</f>
        <v>1.65083514853408E-2</v>
      </c>
      <c r="M95" s="836"/>
      <c r="N95" s="836"/>
      <c r="O95" s="48">
        <f>IF(t&lt;Tnet,'2024'!Resal+('2024'!Salim-'2024'!Resal)*(1-EXP(('2024'!Tnet-t)/('2024'!Tau_j))),Resal+(Salim-Resal)*(1-EXP((Tnet-t)/(Tau_j))))*Salcycl</f>
        <v>3.7511385046368154E-2</v>
      </c>
      <c r="P95" s="165">
        <f>(INDEX(Models!$BJ95:$BT95,,T95)*(1-R95)+INDEX(Models!$BJ95:$BT95,,T95+1)*R95-ERP_i)*Q95*Ramure*Pc/MaxiM</f>
        <v>4.7312540760101997E-5</v>
      </c>
      <c r="Q95" s="301">
        <f t="shared" si="28"/>
        <v>0.5</v>
      </c>
      <c r="R95" s="173">
        <f t="shared" si="29"/>
        <v>0.51114970177361196</v>
      </c>
      <c r="S95" s="802">
        <f t="shared" si="30"/>
        <v>1</v>
      </c>
      <c r="T95" s="172">
        <f t="shared" si="31"/>
        <v>7</v>
      </c>
      <c r="U95" s="247">
        <f t="shared" si="32"/>
        <v>1.511149701773612</v>
      </c>
      <c r="V95" s="378">
        <f t="shared" si="33"/>
        <v>45.026370344889202</v>
      </c>
      <c r="W95" s="397">
        <f t="shared" si="34"/>
        <v>41.686029860855697</v>
      </c>
      <c r="X95" s="153">
        <f t="shared" si="35"/>
        <v>45738</v>
      </c>
      <c r="Y95" s="380">
        <f t="shared" si="36"/>
        <v>40.984940072808577</v>
      </c>
      <c r="Z95" s="380">
        <f t="shared" si="37"/>
        <v>41.672890801571135</v>
      </c>
      <c r="AA95" s="381">
        <f t="shared" si="38"/>
        <v>44.03766240952276</v>
      </c>
      <c r="AB95" s="193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5.3698845001370107E-2</v>
      </c>
      <c r="AD95" s="227">
        <f>(INDEX(Models!$BJ95:$BT95,,AH95)*(1-AF95)+INDEX(Models!$BJ95:$BT95,,AH95+1)*AF95-ERP_i)*AE95*Ramure*Pc/MaxiM</f>
        <v>4.7312540760101997E-5</v>
      </c>
      <c r="AE95" s="301">
        <f t="shared" si="40"/>
        <v>0.5</v>
      </c>
      <c r="AF95" s="173">
        <f t="shared" si="41"/>
        <v>0.51114970177361196</v>
      </c>
      <c r="AG95" s="802">
        <f t="shared" si="49"/>
        <v>1</v>
      </c>
      <c r="AH95" s="172">
        <f t="shared" si="42"/>
        <v>7</v>
      </c>
      <c r="AI95" s="221">
        <f t="shared" si="43"/>
        <v>1.511149701773612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45739</v>
      </c>
      <c r="B96" s="406">
        <f>'2024'!Wh/'2024'!Env_an*'2025'!Env_an</f>
        <v>44.472014859884297</v>
      </c>
      <c r="C96" s="385"/>
      <c r="D96" s="388">
        <f t="shared" si="25"/>
        <v>45.219116725517182</v>
      </c>
      <c r="E96" s="380">
        <f t="shared" si="47"/>
        <v>46.983472797031745</v>
      </c>
      <c r="F96" s="380">
        <f t="shared" si="26"/>
        <v>46.985693764578109</v>
      </c>
      <c r="G96" s="110">
        <f t="shared" si="48"/>
        <v>0.97791212653507742</v>
      </c>
      <c r="H96" s="409" t="b">
        <f>Wh_hp&gt;='2024'!Maxi_hp</f>
        <v>0</v>
      </c>
      <c r="I96" s="375">
        <f>IF(H96,Wh_hp,'2024'!Maxi_hp)</f>
        <v>46.985765354828146</v>
      </c>
      <c r="J96" s="85">
        <f>IF(H96,An,'2024'!An_max)</f>
        <v>2022</v>
      </c>
      <c r="K96" s="193">
        <f t="shared" si="27"/>
        <v>45739</v>
      </c>
      <c r="L96" s="143">
        <f>IF(t&lt;Tvie,1-EXP((T0-t)*PertePVj)+'2024'!Pspv,1-EXP((T0-t)*PertePVj)+Pspv)</f>
        <v>1.6521814660110268E-2</v>
      </c>
      <c r="M96" s="836"/>
      <c r="N96" s="836"/>
      <c r="O96" s="48">
        <f>IF(t&lt;Tnet,'2024'!Resal+('2024'!Salim-'2024'!Resal)*(1-EXP(('2024'!Tnet-t)/('2024'!Tau_j))),Resal+(Salim-Resal)*(1-EXP((Tnet-t)/(Tau_j))))*Salcycl</f>
        <v>3.7552696011564961E-2</v>
      </c>
      <c r="P96" s="165">
        <f>(INDEX(Models!$BJ96:$BT96,,T96)*(1-R96)+INDEX(Models!$BJ96:$BT96,,T96+1)*R96-ERP_i)*Q96*Ramure*Pc/MaxiM</f>
        <v>4.880903723574388E-5</v>
      </c>
      <c r="Q96" s="301">
        <f t="shared" si="28"/>
        <v>0.5</v>
      </c>
      <c r="R96" s="173">
        <f t="shared" si="29"/>
        <v>0.51187774147590659</v>
      </c>
      <c r="S96" s="802">
        <f t="shared" si="30"/>
        <v>1</v>
      </c>
      <c r="T96" s="172">
        <f t="shared" si="31"/>
        <v>7</v>
      </c>
      <c r="U96" s="247">
        <f t="shared" si="32"/>
        <v>1.5118777414759066</v>
      </c>
      <c r="V96" s="378">
        <f t="shared" si="33"/>
        <v>45.476423864796423</v>
      </c>
      <c r="W96" s="397">
        <f t="shared" si="34"/>
        <v>44.472014859884297</v>
      </c>
      <c r="X96" s="153">
        <f t="shared" si="35"/>
        <v>45739</v>
      </c>
      <c r="Y96" s="380">
        <f t="shared" si="36"/>
        <v>43.72467118702226</v>
      </c>
      <c r="Z96" s="380">
        <f t="shared" si="37"/>
        <v>44.459218149217037</v>
      </c>
      <c r="AA96" s="381">
        <f t="shared" si="38"/>
        <v>46.983472797031745</v>
      </c>
      <c r="AB96" s="193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5.3726438203482128E-2</v>
      </c>
      <c r="AD96" s="227">
        <f>(INDEX(Models!$BJ96:$BT96,,AH96)*(1-AF96)+INDEX(Models!$BJ96:$BT96,,AH96+1)*AF96-ERP_i)*AE96*Ramure*Pc/MaxiM</f>
        <v>4.880903723574388E-5</v>
      </c>
      <c r="AE96" s="301">
        <f t="shared" si="40"/>
        <v>0.5</v>
      </c>
      <c r="AF96" s="173">
        <f t="shared" si="41"/>
        <v>0.51187774147590659</v>
      </c>
      <c r="AG96" s="802">
        <f t="shared" si="49"/>
        <v>1</v>
      </c>
      <c r="AH96" s="172">
        <f t="shared" si="42"/>
        <v>7</v>
      </c>
      <c r="AI96" s="221">
        <f t="shared" si="43"/>
        <v>1.5118777414759066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45740</v>
      </c>
      <c r="B97" s="406">
        <f>'2024'!Wh/'2024'!Env_an*'2025'!Env_an</f>
        <v>44.180393239140294</v>
      </c>
      <c r="C97" s="385"/>
      <c r="D97" s="388">
        <f t="shared" si="25"/>
        <v>44.923211006081452</v>
      </c>
      <c r="E97" s="380">
        <f t="shared" si="47"/>
        <v>46.678034796170785</v>
      </c>
      <c r="F97" s="380">
        <f t="shared" si="26"/>
        <v>46.680290441906955</v>
      </c>
      <c r="G97" s="110">
        <f t="shared" si="48"/>
        <v>0.96196151078469061</v>
      </c>
      <c r="H97" s="409" t="b">
        <f>Wh_hp&gt;='2024'!Maxi_hp</f>
        <v>0</v>
      </c>
      <c r="I97" s="375">
        <f>IF(H97,Wh_hp,'2024'!Maxi_hp)</f>
        <v>46.68041860984021</v>
      </c>
      <c r="J97" s="85">
        <f>IF(H97,An,'2024'!An_max)</f>
        <v>2022</v>
      </c>
      <c r="K97" s="193">
        <f t="shared" si="27"/>
        <v>45740</v>
      </c>
      <c r="L97" s="143">
        <f>IF(t&lt;Tvie,1-EXP((T0-t)*PertePVj)+'2024'!Pspv,1-EXP((T0-t)*PertePVj)+Pspv)</f>
        <v>1.653527765058016E-2</v>
      </c>
      <c r="M97" s="836"/>
      <c r="N97" s="836"/>
      <c r="O97" s="48">
        <f>IF(t&lt;Tnet,'2024'!Resal+('2024'!Salim-'2024'!Resal)*(1-EXP(('2024'!Tnet-t)/('2024'!Tau_j))),Resal+(Salim-Resal)*(1-EXP((Tnet-t)/(Tau_j))))*Salcycl</f>
        <v>3.7594208876876013E-2</v>
      </c>
      <c r="P97" s="165">
        <f>(INDEX(Models!$BJ97:$BT97,,T97)*(1-R97)+INDEX(Models!$BJ97:$BT97,,T97+1)*R97-ERP_i)*Q97*Ramure*Pc/MaxiM</f>
        <v>5.1097645799586912E-5</v>
      </c>
      <c r="Q97" s="301">
        <f t="shared" si="28"/>
        <v>0.5</v>
      </c>
      <c r="R97" s="173">
        <f t="shared" si="29"/>
        <v>0.51263399192846637</v>
      </c>
      <c r="S97" s="802">
        <f t="shared" si="30"/>
        <v>1</v>
      </c>
      <c r="T97" s="172">
        <f t="shared" si="31"/>
        <v>7</v>
      </c>
      <c r="U97" s="247">
        <f t="shared" si="32"/>
        <v>1.5126339919284664</v>
      </c>
      <c r="V97" s="378">
        <f t="shared" si="33"/>
        <v>45.927274710705298</v>
      </c>
      <c r="W97" s="397">
        <f t="shared" si="34"/>
        <v>44.180393239140294</v>
      </c>
      <c r="X97" s="153">
        <f t="shared" si="35"/>
        <v>45740</v>
      </c>
      <c r="Y97" s="380">
        <f t="shared" si="36"/>
        <v>43.438542802955347</v>
      </c>
      <c r="Z97" s="380">
        <f t="shared" si="37"/>
        <v>44.168887623324288</v>
      </c>
      <c r="AA97" s="381">
        <f t="shared" si="38"/>
        <v>46.678034796170785</v>
      </c>
      <c r="AB97" s="193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5.3754344710594676E-2</v>
      </c>
      <c r="AD97" s="227">
        <f>(INDEX(Models!$BJ97:$BT97,,AH97)*(1-AF97)+INDEX(Models!$BJ97:$BT97,,AH97+1)*AF97-ERP_i)*AE97*Ramure*Pc/MaxiM</f>
        <v>5.1097645799586912E-5</v>
      </c>
      <c r="AE97" s="301">
        <f t="shared" si="40"/>
        <v>0.5</v>
      </c>
      <c r="AF97" s="173">
        <f t="shared" si="41"/>
        <v>0.51263399192846637</v>
      </c>
      <c r="AG97" s="802">
        <f t="shared" si="49"/>
        <v>1</v>
      </c>
      <c r="AH97" s="172">
        <f t="shared" si="42"/>
        <v>7</v>
      </c>
      <c r="AI97" s="221">
        <f t="shared" si="43"/>
        <v>1.5126339919284664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45741</v>
      </c>
      <c r="B98" s="406">
        <f>'2024'!Wh/'2024'!Env_an*'2025'!Env_an</f>
        <v>36.802920452131417</v>
      </c>
      <c r="C98" s="385"/>
      <c r="D98" s="388">
        <f t="shared" si="25"/>
        <v>37.422210907761844</v>
      </c>
      <c r="E98" s="380">
        <f t="shared" si="47"/>
        <v>38.885711155386403</v>
      </c>
      <c r="F98" s="380">
        <f t="shared" si="26"/>
        <v>38.887196171098161</v>
      </c>
      <c r="G98" s="110">
        <f t="shared" si="48"/>
        <v>0.79353718740857992</v>
      </c>
      <c r="H98" s="409" t="b">
        <f>Wh_hp&gt;='2024'!Maxi_hp</f>
        <v>0</v>
      </c>
      <c r="I98" s="375">
        <f>IF(H98,Wh_hp,'2024'!Maxi_hp)</f>
        <v>38.887810174833888</v>
      </c>
      <c r="J98" s="85">
        <f>IF(H98,An,'2024'!An_max)</f>
        <v>2022</v>
      </c>
      <c r="K98" s="193">
        <f t="shared" si="27"/>
        <v>45741</v>
      </c>
      <c r="L98" s="143">
        <f>IF(t&lt;Tvie,1-EXP((T0-t)*PertePVj)+'2024'!Pspv,1-EXP((T0-t)*PertePVj)+Pspv)</f>
        <v>1.6548740456753142E-2</v>
      </c>
      <c r="M98" s="836"/>
      <c r="N98" s="836"/>
      <c r="O98" s="48">
        <f>IF(t&lt;Tnet,'2024'!Resal+('2024'!Salim-'2024'!Resal)*(1-EXP(('2024'!Tnet-t)/('2024'!Tau_j))),Resal+(Salim-Resal)*(1-EXP((Tnet-t)/(Tau_j))))*Salcycl</f>
        <v>3.7635938861358201E-2</v>
      </c>
      <c r="P98" s="165">
        <f>(INDEX(Models!$BJ98:$BT98,,T98)*(1-R98)+INDEX(Models!$BJ98:$BT98,,T98+1)*R98-ERP_i)*Q98*Ramure*Pc/MaxiM</f>
        <v>5.4161591982603175E-5</v>
      </c>
      <c r="Q98" s="301">
        <f t="shared" si="28"/>
        <v>0.5</v>
      </c>
      <c r="R98" s="173">
        <f t="shared" si="29"/>
        <v>0.51341944876371359</v>
      </c>
      <c r="S98" s="802">
        <f t="shared" si="30"/>
        <v>1</v>
      </c>
      <c r="T98" s="172">
        <f t="shared" si="31"/>
        <v>7</v>
      </c>
      <c r="U98" s="247">
        <f t="shared" si="32"/>
        <v>1.5134194487637136</v>
      </c>
      <c r="V98" s="378">
        <f t="shared" si="33"/>
        <v>46.377577674653409</v>
      </c>
      <c r="W98" s="397">
        <f t="shared" si="34"/>
        <v>36.802920452131417</v>
      </c>
      <c r="X98" s="153">
        <f t="shared" si="35"/>
        <v>45741</v>
      </c>
      <c r="Y98" s="380">
        <f t="shared" si="36"/>
        <v>36.1854371295383</v>
      </c>
      <c r="Z98" s="380">
        <f t="shared" si="37"/>
        <v>36.794337063886857</v>
      </c>
      <c r="AA98" s="381">
        <f t="shared" si="38"/>
        <v>38.885711155386403</v>
      </c>
      <c r="AB98" s="193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5.3782585668613915E-2</v>
      </c>
      <c r="AD98" s="227">
        <f>(INDEX(Models!$BJ98:$BT98,,AH98)*(1-AF98)+INDEX(Models!$BJ98:$BT98,,AH98+1)*AF98-ERP_i)*AE98*Ramure*Pc/MaxiM</f>
        <v>5.4161591982603175E-5</v>
      </c>
      <c r="AE98" s="301">
        <f t="shared" si="40"/>
        <v>0.5</v>
      </c>
      <c r="AF98" s="173">
        <f t="shared" si="41"/>
        <v>0.51341944876371359</v>
      </c>
      <c r="AG98" s="802">
        <f t="shared" si="49"/>
        <v>1</v>
      </c>
      <c r="AH98" s="172">
        <f t="shared" si="42"/>
        <v>7</v>
      </c>
      <c r="AI98" s="221">
        <f t="shared" si="43"/>
        <v>1.5134194487637136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45742</v>
      </c>
      <c r="B99" s="406">
        <f>'2024'!Wh/'2024'!Env_an*'2025'!Env_an</f>
        <v>40.422609071634177</v>
      </c>
      <c r="C99" s="385"/>
      <c r="D99" s="388">
        <f t="shared" si="25"/>
        <v>41.103371456920115</v>
      </c>
      <c r="E99" s="380">
        <f t="shared" si="47"/>
        <v>42.712696205843073</v>
      </c>
      <c r="F99" s="380">
        <f t="shared" si="26"/>
        <v>42.714689184728179</v>
      </c>
      <c r="G99" s="110">
        <f t="shared" si="48"/>
        <v>0.86324182473859656</v>
      </c>
      <c r="H99" s="409" t="b">
        <f>Wh_hp&gt;='2024'!Maxi_hp</f>
        <v>0</v>
      </c>
      <c r="I99" s="375">
        <f>IF(H99,Wh_hp,'2024'!Maxi_hp)</f>
        <v>42.715167261365842</v>
      </c>
      <c r="J99" s="85">
        <f>IF(H99,An,'2024'!An_max)</f>
        <v>2022</v>
      </c>
      <c r="K99" s="193">
        <f t="shared" si="27"/>
        <v>45742</v>
      </c>
      <c r="L99" s="143">
        <f>IF(t&lt;Tvie,1-EXP((T0-t)*PertePVj)+'2024'!Pspv,1-EXP((T0-t)*PertePVj)+Pspv)</f>
        <v>1.6562203078631543E-2</v>
      </c>
      <c r="M99" s="836"/>
      <c r="N99" s="836"/>
      <c r="O99" s="48">
        <f>IF(t&lt;Tnet,'2024'!Resal+('2024'!Salim-'2024'!Resal)*(1-EXP(('2024'!Tnet-t)/('2024'!Tau_j))),Resal+(Salim-Resal)*(1-EXP((Tnet-t)/(Tau_j))))*Salcycl</f>
        <v>3.767790123028579E-2</v>
      </c>
      <c r="P99" s="165">
        <f>(INDEX(Models!$BJ99:$BT99,,T99)*(1-R99)+INDEX(Models!$BJ99:$BT99,,T99+1)*R99-ERP_i)*Q99*Ramure*Pc/MaxiM</f>
        <v>5.7985719438007928E-5</v>
      </c>
      <c r="Q99" s="301">
        <f t="shared" si="28"/>
        <v>0.5</v>
      </c>
      <c r="R99" s="173">
        <f t="shared" si="29"/>
        <v>0.51423513476511729</v>
      </c>
      <c r="S99" s="802">
        <f t="shared" si="30"/>
        <v>1</v>
      </c>
      <c r="T99" s="172">
        <f t="shared" si="31"/>
        <v>7</v>
      </c>
      <c r="U99" s="247">
        <f t="shared" si="32"/>
        <v>1.5142351347651173</v>
      </c>
      <c r="V99" s="378">
        <f t="shared" si="33"/>
        <v>46.825987797355708</v>
      </c>
      <c r="W99" s="397">
        <f t="shared" si="34"/>
        <v>40.422609071634177</v>
      </c>
      <c r="X99" s="153">
        <f t="shared" si="35"/>
        <v>45742</v>
      </c>
      <c r="Y99" s="380">
        <f t="shared" si="36"/>
        <v>39.744926087707746</v>
      </c>
      <c r="Z99" s="380">
        <f t="shared" si="37"/>
        <v>40.414275526249256</v>
      </c>
      <c r="AA99" s="381">
        <f t="shared" si="38"/>
        <v>42.712696205843073</v>
      </c>
      <c r="AB99" s="193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5.3811182242328184E-2</v>
      </c>
      <c r="AD99" s="227">
        <f>(INDEX(Models!$BJ99:$BT99,,AH99)*(1-AF99)+INDEX(Models!$BJ99:$BT99,,AH99+1)*AF99-ERP_i)*AE99*Ramure*Pc/MaxiM</f>
        <v>5.7985719438007928E-5</v>
      </c>
      <c r="AE99" s="301">
        <f t="shared" si="40"/>
        <v>0.5</v>
      </c>
      <c r="AF99" s="173">
        <f t="shared" si="41"/>
        <v>0.51423513476511729</v>
      </c>
      <c r="AG99" s="802">
        <f t="shared" si="49"/>
        <v>1</v>
      </c>
      <c r="AH99" s="172">
        <f t="shared" si="42"/>
        <v>7</v>
      </c>
      <c r="AI99" s="221">
        <f t="shared" si="43"/>
        <v>1.5142351347651173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45743</v>
      </c>
      <c r="B100" s="406">
        <f>'2024'!Wh/'2024'!Env_an*'2025'!Env_an</f>
        <v>42.301254041027896</v>
      </c>
      <c r="C100" s="385"/>
      <c r="D100" s="388">
        <f t="shared" si="25"/>
        <v>43.014243757993462</v>
      </c>
      <c r="E100" s="380">
        <f t="shared" si="47"/>
        <v>44.700345773674023</v>
      </c>
      <c r="F100" s="380">
        <f t="shared" si="26"/>
        <v>44.702706435619632</v>
      </c>
      <c r="G100" s="110">
        <f t="shared" si="48"/>
        <v>0.89485515714050556</v>
      </c>
      <c r="H100" s="409" t="b">
        <f>Wh_hp&gt;='2024'!Maxi_hp</f>
        <v>0</v>
      </c>
      <c r="I100" s="375">
        <f>IF(H100,Wh_hp,'2024'!Maxi_hp)</f>
        <v>44.703118513444139</v>
      </c>
      <c r="J100" s="85">
        <f>IF(H100,An,'2024'!An_max)</f>
        <v>2022</v>
      </c>
      <c r="K100" s="193">
        <f t="shared" si="27"/>
        <v>45743</v>
      </c>
      <c r="L100" s="143">
        <f>IF(t&lt;Tvie,1-EXP((T0-t)*PertePVj)+'2024'!Pspv,1-EXP((T0-t)*PertePVj)+Pspv)</f>
        <v>1.6575665516217919E-2</v>
      </c>
      <c r="M100" s="836"/>
      <c r="N100" s="836"/>
      <c r="O100" s="48">
        <f>IF(t&lt;Tnet,'2024'!Resal+('2024'!Salim-'2024'!Resal)*(1-EXP(('2024'!Tnet-t)/('2024'!Tau_j))),Resal+(Salim-Resal)*(1-EXP((Tnet-t)/(Tau_j))))*Salcycl</f>
        <v>3.7720111254118796E-2</v>
      </c>
      <c r="P100" s="165">
        <f>(INDEX(Models!$BJ100:$BT100,,T100)*(1-R100)+INDEX(Models!$BJ100:$BT100,,T100+1)*R100-ERP_i)*Q100*Ramure*Pc/MaxiM</f>
        <v>6.2141351255392652E-5</v>
      </c>
      <c r="Q100" s="301">
        <f t="shared" si="28"/>
        <v>0.5</v>
      </c>
      <c r="R100" s="173">
        <f t="shared" si="29"/>
        <v>0.51508209993308185</v>
      </c>
      <c r="S100" s="802">
        <f t="shared" si="30"/>
        <v>1</v>
      </c>
      <c r="T100" s="172">
        <f t="shared" si="31"/>
        <v>7</v>
      </c>
      <c r="U100" s="247">
        <f t="shared" si="32"/>
        <v>1.5150820999330818</v>
      </c>
      <c r="V100" s="378">
        <f t="shared" si="33"/>
        <v>47.271180002174219</v>
      </c>
      <c r="W100" s="397">
        <f t="shared" si="34"/>
        <v>42.301254041027896</v>
      </c>
      <c r="X100" s="153">
        <f t="shared" si="35"/>
        <v>45743</v>
      </c>
      <c r="Y100" s="380">
        <f t="shared" si="36"/>
        <v>41.592626439865533</v>
      </c>
      <c r="Z100" s="380">
        <f t="shared" si="37"/>
        <v>42.293672203767748</v>
      </c>
      <c r="AA100" s="381">
        <f t="shared" si="38"/>
        <v>44.700345773674023</v>
      </c>
      <c r="AB100" s="193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5.3840155556999475E-2</v>
      </c>
      <c r="AD100" s="227">
        <f>(INDEX(Models!$BJ100:$BT100,,AH100)*(1-AF100)+INDEX(Models!$BJ100:$BT100,,AH100+1)*AF100-ERP_i)*AE100*Ramure*Pc/MaxiM</f>
        <v>6.2141351255392652E-5</v>
      </c>
      <c r="AE100" s="301">
        <f t="shared" si="40"/>
        <v>0.5</v>
      </c>
      <c r="AF100" s="173">
        <f t="shared" si="41"/>
        <v>0.51508209993308185</v>
      </c>
      <c r="AG100" s="802">
        <f t="shared" si="49"/>
        <v>1</v>
      </c>
      <c r="AH100" s="172">
        <f t="shared" si="42"/>
        <v>7</v>
      </c>
      <c r="AI100" s="221">
        <f t="shared" si="43"/>
        <v>1.5150820999330818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45744</v>
      </c>
      <c r="B101" s="406">
        <f>'2024'!Wh/'2024'!Env_an*'2025'!Env_an</f>
        <v>36.338396305869679</v>
      </c>
      <c r="C101" s="385"/>
      <c r="D101" s="388">
        <f t="shared" si="25"/>
        <v>36.951387595959922</v>
      </c>
      <c r="E101" s="380">
        <f t="shared" si="47"/>
        <v>38.401528550039295</v>
      </c>
      <c r="F101" s="380">
        <f t="shared" si="26"/>
        <v>38.40320044533243</v>
      </c>
      <c r="G101" s="110">
        <f t="shared" si="48"/>
        <v>0.76160508735642962</v>
      </c>
      <c r="H101" s="409" t="b">
        <f>Wh_hp&gt;='2024'!Maxi_hp</f>
        <v>0</v>
      </c>
      <c r="I101" s="375">
        <f>IF(H101,Wh_hp,'2024'!Maxi_hp)</f>
        <v>38.404052832194026</v>
      </c>
      <c r="J101" s="85">
        <f>IF(H101,An,'2024'!An_max)</f>
        <v>2022</v>
      </c>
      <c r="K101" s="193">
        <f t="shared" si="27"/>
        <v>45744</v>
      </c>
      <c r="L101" s="143">
        <f>IF(t&lt;Tvie,1-EXP((T0-t)*PertePVj)+'2024'!Pspv,1-EXP((T0-t)*PertePVj)+Pspv)</f>
        <v>1.6589127769514822E-2</v>
      </c>
      <c r="M101" s="836"/>
      <c r="N101" s="836"/>
      <c r="O101" s="48">
        <f>IF(t&lt;Tnet,'2024'!Resal+('2024'!Salim-'2024'!Resal)*(1-EXP(('2024'!Tnet-t)/('2024'!Tau_j))),Resal+(Salim-Resal)*(1-EXP((Tnet-t)/(Tau_j))))*Salcycl</f>
        <v>3.7762584168746269E-2</v>
      </c>
      <c r="P101" s="165">
        <f>(INDEX(Models!$BJ101:$BT101,,T101)*(1-R101)+INDEX(Models!$BJ101:$BT101,,T101+1)*R101-ERP_i)*Q101*Ramure*Pc/MaxiM</f>
        <v>6.6016576655820736E-5</v>
      </c>
      <c r="Q101" s="301">
        <f t="shared" si="28"/>
        <v>0.5</v>
      </c>
      <c r="R101" s="173">
        <f t="shared" si="29"/>
        <v>0.51596142148274615</v>
      </c>
      <c r="S101" s="802">
        <f t="shared" si="30"/>
        <v>1</v>
      </c>
      <c r="T101" s="172">
        <f t="shared" si="31"/>
        <v>7</v>
      </c>
      <c r="U101" s="247">
        <f t="shared" si="32"/>
        <v>1.5159614214827462</v>
      </c>
      <c r="V101" s="378">
        <f t="shared" si="33"/>
        <v>47.711839036302663</v>
      </c>
      <c r="W101" s="397">
        <f t="shared" si="34"/>
        <v>36.338396305869679</v>
      </c>
      <c r="X101" s="153">
        <f t="shared" si="35"/>
        <v>45744</v>
      </c>
      <c r="Y101" s="380">
        <f t="shared" si="36"/>
        <v>35.73012598792279</v>
      </c>
      <c r="Z101" s="380">
        <f t="shared" si="37"/>
        <v>36.332856384720351</v>
      </c>
      <c r="AA101" s="381">
        <f t="shared" si="38"/>
        <v>38.401528550039295</v>
      </c>
      <c r="AB101" s="193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5.3869526641976015E-2</v>
      </c>
      <c r="AD101" s="227">
        <f>(INDEX(Models!$BJ101:$BT101,,AH101)*(1-AF101)+INDEX(Models!$BJ101:$BT101,,AH101+1)*AF101-ERP_i)*AE101*Ramure*Pc/MaxiM</f>
        <v>6.6016576655820736E-5</v>
      </c>
      <c r="AE101" s="301">
        <f t="shared" si="40"/>
        <v>0.5</v>
      </c>
      <c r="AF101" s="173">
        <f t="shared" si="41"/>
        <v>0.51596142148274615</v>
      </c>
      <c r="AG101" s="802">
        <f t="shared" si="49"/>
        <v>1</v>
      </c>
      <c r="AH101" s="172">
        <f t="shared" si="42"/>
        <v>7</v>
      </c>
      <c r="AI101" s="221">
        <f t="shared" si="43"/>
        <v>1.5159614214827462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45745</v>
      </c>
      <c r="B102" s="406">
        <f>'2024'!Wh/'2024'!Env_an*'2025'!Env_an</f>
        <v>27.673119797127281</v>
      </c>
      <c r="C102" s="385"/>
      <c r="D102" s="388">
        <f t="shared" si="25"/>
        <v>28.140322021575507</v>
      </c>
      <c r="E102" s="380">
        <f t="shared" si="47"/>
        <v>29.245975943532343</v>
      </c>
      <c r="F102" s="380">
        <f t="shared" si="26"/>
        <v>29.246775227522772</v>
      </c>
      <c r="G102" s="110">
        <f t="shared" si="48"/>
        <v>0.57474333139534806</v>
      </c>
      <c r="H102" s="409" t="b">
        <f>Wh_hp&gt;='2024'!Maxi_hp</f>
        <v>0</v>
      </c>
      <c r="I102" s="375">
        <f>IF(H102,Wh_hp,'2024'!Maxi_hp)</f>
        <v>29.247996056103595</v>
      </c>
      <c r="J102" s="85">
        <f>IF(H102,An,'2024'!An_max)</f>
        <v>2022</v>
      </c>
      <c r="K102" s="193">
        <f t="shared" si="27"/>
        <v>45745</v>
      </c>
      <c r="L102" s="143">
        <f>IF(t&lt;Tvie,1-EXP((T0-t)*PertePVj)+'2024'!Pspv,1-EXP((T0-t)*PertePVj)+Pspv)</f>
        <v>1.6602589838524806E-2</v>
      </c>
      <c r="M102" s="836"/>
      <c r="N102" s="836"/>
      <c r="O102" s="48">
        <f>IF(t&lt;Tnet,'2024'!Resal+('2024'!Salim-'2024'!Resal)*(1-EXP(('2024'!Tnet-t)/('2024'!Tau_j))),Resal+(Salim-Resal)*(1-EXP((Tnet-t)/(Tau_j))))*Salcycl</f>
        <v>3.7805335137101034E-2</v>
      </c>
      <c r="P102" s="165">
        <f>(INDEX(Models!$BJ102:$BT102,,T102)*(1-R102)+INDEX(Models!$BJ102:$BT102,,T102+1)*R102-ERP_i)*Q102*Ramure*Pc/MaxiM</f>
        <v>6.9623456571437023E-5</v>
      </c>
      <c r="Q102" s="301">
        <f t="shared" si="28"/>
        <v>0.5</v>
      </c>
      <c r="R102" s="173">
        <f t="shared" si="29"/>
        <v>0.51687420376713256</v>
      </c>
      <c r="S102" s="802">
        <f t="shared" si="30"/>
        <v>1</v>
      </c>
      <c r="T102" s="172">
        <f t="shared" si="31"/>
        <v>7</v>
      </c>
      <c r="U102" s="247">
        <f t="shared" si="32"/>
        <v>1.5168742037671326</v>
      </c>
      <c r="V102" s="378">
        <f t="shared" si="33"/>
        <v>48.146620992237182</v>
      </c>
      <c r="W102" s="397">
        <f t="shared" si="34"/>
        <v>27.673119797127281</v>
      </c>
      <c r="X102" s="153">
        <f t="shared" si="35"/>
        <v>45745</v>
      </c>
      <c r="Y102" s="380">
        <f t="shared" si="36"/>
        <v>27.210250185485027</v>
      </c>
      <c r="Z102" s="380">
        <f t="shared" si="37"/>
        <v>27.669637833413724</v>
      </c>
      <c r="AA102" s="381">
        <f t="shared" si="38"/>
        <v>29.245975943532343</v>
      </c>
      <c r="AB102" s="193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5.3899316376454322E-2</v>
      </c>
      <c r="AD102" s="227">
        <f>(INDEX(Models!$BJ102:$BT102,,AH102)*(1-AF102)+INDEX(Models!$BJ102:$BT102,,AH102+1)*AF102-ERP_i)*AE102*Ramure*Pc/MaxiM</f>
        <v>6.9623456571437023E-5</v>
      </c>
      <c r="AE102" s="301">
        <f t="shared" si="40"/>
        <v>0.5</v>
      </c>
      <c r="AF102" s="173">
        <f t="shared" si="41"/>
        <v>0.51687420376713256</v>
      </c>
      <c r="AG102" s="802">
        <f t="shared" si="49"/>
        <v>1</v>
      </c>
      <c r="AH102" s="172">
        <f t="shared" si="42"/>
        <v>7</v>
      </c>
      <c r="AI102" s="221">
        <f t="shared" si="43"/>
        <v>1.5168742037671326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45746</v>
      </c>
      <c r="B103" s="406">
        <f>'2024'!Wh/'2024'!Env_an*'2025'!Env_an</f>
        <v>7.707042720436668</v>
      </c>
      <c r="C103" s="385"/>
      <c r="D103" s="388">
        <f t="shared" si="25"/>
        <v>7.8372671568843906</v>
      </c>
      <c r="E103" s="380">
        <f t="shared" si="47"/>
        <v>8.1455635344327284</v>
      </c>
      <c r="F103" s="380">
        <f t="shared" si="26"/>
        <v>8.1455635344327284</v>
      </c>
      <c r="G103" s="110">
        <f t="shared" si="48"/>
        <v>0.15865383520824941</v>
      </c>
      <c r="H103" s="409" t="b">
        <f>Wh_hp&gt;='2024'!Maxi_hp</f>
        <v>0</v>
      </c>
      <c r="I103" s="375">
        <f>IF(H103,Wh_hp,'2024'!Maxi_hp)</f>
        <v>8.146149983745957</v>
      </c>
      <c r="J103" s="85">
        <f>IF(H103,An,'2024'!An_max)</f>
        <v>2022</v>
      </c>
      <c r="K103" s="193">
        <f t="shared" si="27"/>
        <v>45746</v>
      </c>
      <c r="L103" s="143">
        <f>IF(t&lt;Tvie,1-EXP((T0-t)*PertePVj)+'2024'!Pspv,1-EXP((T0-t)*PertePVj)+Pspv)</f>
        <v>1.6616051723250425E-2</v>
      </c>
      <c r="M103" s="836"/>
      <c r="N103" s="836"/>
      <c r="O103" s="48">
        <f>IF(t&lt;Tnet,'2024'!Resal+('2024'!Salim-'2024'!Resal)*(1-EXP(('2024'!Tnet-t)/('2024'!Tau_j))),Resal+(Salim-Resal)*(1-EXP((Tnet-t)/(Tau_j))))*Salcycl</f>
        <v>3.7848379212207378E-2</v>
      </c>
      <c r="P103" s="165">
        <f>(INDEX(Models!$BJ103:$BT103,,T103)*(1-R103)+INDEX(Models!$BJ103:$BT103,,T103+1)*R103-ERP_i)*Q103*Ramure*Pc/MaxiM</f>
        <v>7.2973798372023203E-5</v>
      </c>
      <c r="Q103" s="301">
        <f t="shared" si="28"/>
        <v>0.5</v>
      </c>
      <c r="R103" s="173">
        <f t="shared" si="29"/>
        <v>0.51782157811875074</v>
      </c>
      <c r="S103" s="802">
        <f t="shared" si="30"/>
        <v>1</v>
      </c>
      <c r="T103" s="172">
        <f t="shared" si="31"/>
        <v>7</v>
      </c>
      <c r="U103" s="247">
        <f t="shared" si="32"/>
        <v>1.5178215781187507</v>
      </c>
      <c r="V103" s="378">
        <f t="shared" si="33"/>
        <v>48.574182263792089</v>
      </c>
      <c r="W103" s="397">
        <f t="shared" si="34"/>
        <v>7.707042720436668</v>
      </c>
      <c r="X103" s="153">
        <f t="shared" si="35"/>
        <v>45746</v>
      </c>
      <c r="Y103" s="380">
        <f t="shared" si="36"/>
        <v>7.5782290985346963</v>
      </c>
      <c r="Z103" s="380">
        <f t="shared" si="37"/>
        <v>7.7062769956887553</v>
      </c>
      <c r="AA103" s="381">
        <f t="shared" si="38"/>
        <v>8.1455635344327284</v>
      </c>
      <c r="AB103" s="193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5.392954543746805E-2</v>
      </c>
      <c r="AD103" s="227">
        <f>(INDEX(Models!$BJ103:$BT103,,AH103)*(1-AF103)+INDEX(Models!$BJ103:$BT103,,AH103+1)*AF103-ERP_i)*AE103*Ramure*Pc/MaxiM</f>
        <v>7.2973798372023203E-5</v>
      </c>
      <c r="AE103" s="301">
        <f t="shared" si="40"/>
        <v>0.5</v>
      </c>
      <c r="AF103" s="173">
        <f t="shared" si="41"/>
        <v>0.51782157811875074</v>
      </c>
      <c r="AG103" s="802">
        <f t="shared" si="49"/>
        <v>1</v>
      </c>
      <c r="AH103" s="172">
        <f t="shared" si="42"/>
        <v>7</v>
      </c>
      <c r="AI103" s="221">
        <f t="shared" si="43"/>
        <v>1.5178215781187507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45747</v>
      </c>
      <c r="B104" s="406">
        <f>'2024'!Wh/'2024'!Env_an*'2025'!Env_an</f>
        <v>26.916823868401174</v>
      </c>
      <c r="C104" s="385"/>
      <c r="D104" s="388">
        <f t="shared" si="25"/>
        <v>27.37200702668488</v>
      </c>
      <c r="E104" s="380">
        <f t="shared" si="47"/>
        <v>28.450027837010413</v>
      </c>
      <c r="F104" s="380">
        <f t="shared" si="26"/>
        <v>28.450799019596175</v>
      </c>
      <c r="G104" s="110">
        <f t="shared" si="48"/>
        <v>0.54937250190836473</v>
      </c>
      <c r="H104" s="409" t="b">
        <f>Wh_hp&gt;='2024'!Maxi_hp</f>
        <v>0</v>
      </c>
      <c r="I104" s="375">
        <f>IF(H104,Wh_hp,'2024'!Maxi_hp)</f>
        <v>28.452173225194628</v>
      </c>
      <c r="J104" s="85">
        <f>IF(H104,An,'2024'!An_max)</f>
        <v>2022</v>
      </c>
      <c r="K104" s="193">
        <f t="shared" si="27"/>
        <v>45747</v>
      </c>
      <c r="L104" s="143">
        <f>IF(t&lt;Tvie,1-EXP((T0-t)*PertePVj)+'2024'!Pspv,1-EXP((T0-t)*PertePVj)+Pspv)</f>
        <v>1.662951342369412E-2</v>
      </c>
      <c r="M104" s="836"/>
      <c r="N104" s="836"/>
      <c r="O104" s="48">
        <f>IF(t&lt;Tnet,'2024'!Resal+('2024'!Salim-'2024'!Resal)*(1-EXP(('2024'!Tnet-t)/('2024'!Tau_j))),Resal+(Salim-Resal)*(1-EXP((Tnet-t)/(Tau_j))))*Salcycl</f>
        <v>3.7891731301687617E-2</v>
      </c>
      <c r="P104" s="165">
        <f>(INDEX(Models!$BJ104:$BT104,,T104)*(1-R104)+INDEX(Models!$BJ104:$BT104,,T104+1)*R104-ERP_i)*Q104*Ramure*Pc/MaxiM</f>
        <v>7.6079100152108233E-5</v>
      </c>
      <c r="Q104" s="301">
        <f t="shared" si="28"/>
        <v>0.5</v>
      </c>
      <c r="R104" s="173">
        <f t="shared" si="29"/>
        <v>0.51880470260241518</v>
      </c>
      <c r="S104" s="802">
        <f t="shared" si="30"/>
        <v>1</v>
      </c>
      <c r="T104" s="172">
        <f t="shared" si="31"/>
        <v>7</v>
      </c>
      <c r="U104" s="247">
        <f t="shared" si="32"/>
        <v>1.5188047026024152</v>
      </c>
      <c r="V104" s="378">
        <f t="shared" si="33"/>
        <v>48.993179553665463</v>
      </c>
      <c r="W104" s="397">
        <f t="shared" si="34"/>
        <v>26.916823868401174</v>
      </c>
      <c r="X104" s="153">
        <f t="shared" si="35"/>
        <v>45747</v>
      </c>
      <c r="Y104" s="380">
        <f t="shared" si="36"/>
        <v>26.467276683574148</v>
      </c>
      <c r="Z104" s="380">
        <f t="shared" si="37"/>
        <v>26.914857670502588</v>
      </c>
      <c r="AA104" s="381">
        <f t="shared" si="38"/>
        <v>28.450027837010413</v>
      </c>
      <c r="AB104" s="193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5.3960234250130912E-2</v>
      </c>
      <c r="AD104" s="227">
        <f>(INDEX(Models!$BJ104:$BT104,,AH104)*(1-AF104)+INDEX(Models!$BJ104:$BT104,,AH104+1)*AF104-ERP_i)*AE104*Ramure*Pc/MaxiM</f>
        <v>7.6079100152108233E-5</v>
      </c>
      <c r="AE104" s="301">
        <f t="shared" si="40"/>
        <v>0.5</v>
      </c>
      <c r="AF104" s="173">
        <f t="shared" si="41"/>
        <v>0.51880470260241518</v>
      </c>
      <c r="AG104" s="802">
        <f t="shared" si="49"/>
        <v>1</v>
      </c>
      <c r="AH104" s="172">
        <f t="shared" si="42"/>
        <v>7</v>
      </c>
      <c r="AI104" s="221">
        <f t="shared" si="43"/>
        <v>1.5188047026024152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45748</v>
      </c>
      <c r="B105" s="406">
        <f>'2024'!Wh/'2024'!Env_an*'2025'!Env_an</f>
        <v>29.606284712321049</v>
      </c>
      <c r="C105" s="385"/>
      <c r="D105" s="388">
        <f t="shared" si="25"/>
        <v>30.107360763005019</v>
      </c>
      <c r="E105" s="380">
        <f t="shared" si="47"/>
        <v>31.294531526216534</v>
      </c>
      <c r="F105" s="380">
        <f t="shared" si="26"/>
        <v>31.295587935329785</v>
      </c>
      <c r="G105" s="110">
        <f t="shared" si="48"/>
        <v>0.59926288189529076</v>
      </c>
      <c r="H105" s="409" t="b">
        <f>Wh_hp&gt;='2024'!Maxi_hp</f>
        <v>0</v>
      </c>
      <c r="I105" s="375">
        <f>IF(H105,Wh_hp,'2024'!Maxi_hp)</f>
        <v>31.296982474541696</v>
      </c>
      <c r="J105" s="85">
        <f>IF(H105,An,'2024'!An_max)</f>
        <v>2022</v>
      </c>
      <c r="K105" s="193">
        <f t="shared" si="27"/>
        <v>45748</v>
      </c>
      <c r="L105" s="143">
        <f>IF(t&lt;Tvie,1-EXP((T0-t)*PertePVj)+'2024'!Pspv,1-EXP((T0-t)*PertePVj)+Pspv)</f>
        <v>1.6642974939858446E-2</v>
      </c>
      <c r="M105" s="836"/>
      <c r="N105" s="836"/>
      <c r="O105" s="48">
        <f>IF(t&lt;Tnet,'2024'!Resal+('2024'!Salim-'2024'!Resal)*(1-EXP(('2024'!Tnet-t)/('2024'!Tau_j))),Resal+(Salim-Resal)*(1-EXP((Tnet-t)/(Tau_j))))*Salcycl</f>
        <v>3.793540613371963E-2</v>
      </c>
      <c r="P105" s="165">
        <f>(INDEX(Models!$BJ105:$BT105,,T105)*(1-R105)+INDEX(Models!$BJ105:$BT105,,T105+1)*R105-ERP_i)*Q105*Ramure*Pc/MaxiM</f>
        <v>7.895050369394683E-5</v>
      </c>
      <c r="Q105" s="301">
        <f t="shared" si="28"/>
        <v>0.5</v>
      </c>
      <c r="R105" s="173">
        <f t="shared" si="29"/>
        <v>0.51982476167170022</v>
      </c>
      <c r="S105" s="802">
        <f t="shared" si="30"/>
        <v>1</v>
      </c>
      <c r="T105" s="172">
        <f t="shared" si="31"/>
        <v>7</v>
      </c>
      <c r="U105" s="247">
        <f t="shared" si="32"/>
        <v>1.5198247616717002</v>
      </c>
      <c r="V105" s="378">
        <f t="shared" si="33"/>
        <v>49.402269881426101</v>
      </c>
      <c r="W105" s="397">
        <f t="shared" si="34"/>
        <v>29.606284712321049</v>
      </c>
      <c r="X105" s="153">
        <f t="shared" si="35"/>
        <v>45748</v>
      </c>
      <c r="Y105" s="380">
        <f t="shared" si="36"/>
        <v>29.112182324788183</v>
      </c>
      <c r="Z105" s="380">
        <f t="shared" si="37"/>
        <v>29.604895864762543</v>
      </c>
      <c r="AA105" s="381">
        <f t="shared" si="38"/>
        <v>31.294531526216534</v>
      </c>
      <c r="AB105" s="193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5.3991402940111878E-2</v>
      </c>
      <c r="AD105" s="227">
        <f>(INDEX(Models!$BJ105:$BT105,,AH105)*(1-AF105)+INDEX(Models!$BJ105:$BT105,,AH105+1)*AF105-ERP_i)*AE105*Ramure*Pc/MaxiM</f>
        <v>7.895050369394683E-5</v>
      </c>
      <c r="AE105" s="301">
        <f t="shared" si="40"/>
        <v>0.5</v>
      </c>
      <c r="AF105" s="173">
        <f t="shared" si="41"/>
        <v>0.51982476167170022</v>
      </c>
      <c r="AG105" s="802">
        <f t="shared" si="49"/>
        <v>1</v>
      </c>
      <c r="AH105" s="172">
        <f t="shared" si="42"/>
        <v>7</v>
      </c>
      <c r="AI105" s="221">
        <f t="shared" si="43"/>
        <v>1.5198247616717002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45749</v>
      </c>
      <c r="B106" s="406">
        <f>'2024'!Wh/'2024'!Env_an*'2025'!Env_an</f>
        <v>20.176176021948571</v>
      </c>
      <c r="C106" s="385"/>
      <c r="D106" s="388">
        <f t="shared" si="25"/>
        <v>20.517931642784649</v>
      </c>
      <c r="E106" s="380">
        <f t="shared" si="47"/>
        <v>21.327954964242899</v>
      </c>
      <c r="F106" s="380">
        <f t="shared" si="26"/>
        <v>21.32821637364874</v>
      </c>
      <c r="G106" s="110">
        <f t="shared" si="48"/>
        <v>0.40511510321996702</v>
      </c>
      <c r="H106" s="409" t="b">
        <f>Wh_hp&gt;='2024'!Maxi_hp</f>
        <v>0</v>
      </c>
      <c r="I106" s="375">
        <f>IF(H106,Wh_hp,'2024'!Maxi_hp)</f>
        <v>21.329674123347726</v>
      </c>
      <c r="J106" s="85">
        <f>IF(H106,An,'2024'!An_max)</f>
        <v>2022</v>
      </c>
      <c r="K106" s="193">
        <f t="shared" si="27"/>
        <v>45749</v>
      </c>
      <c r="L106" s="143">
        <f>IF(t&lt;Tvie,1-EXP((T0-t)*PertePVj)+'2024'!Pspv,1-EXP((T0-t)*PertePVj)+Pspv)</f>
        <v>1.6656436271745845E-2</v>
      </c>
      <c r="M106" s="836"/>
      <c r="N106" s="836"/>
      <c r="O106" s="48">
        <f>IF(t&lt;Tnet,'2024'!Resal+('2024'!Salim-'2024'!Resal)*(1-EXP(('2024'!Tnet-t)/('2024'!Tau_j))),Resal+(Salim-Resal)*(1-EXP((Tnet-t)/(Tau_j))))*Salcycl</f>
        <v>3.797941822440469E-2</v>
      </c>
      <c r="P106" s="165">
        <f>(INDEX(Models!$BJ106:$BT106,,T106)*(1-R106)+INDEX(Models!$BJ106:$BT106,,T106+1)*R106-ERP_i)*Q106*Ramure*Pc/MaxiM</f>
        <v>8.1598755180150212E-5</v>
      </c>
      <c r="Q106" s="301">
        <f t="shared" si="28"/>
        <v>0.5</v>
      </c>
      <c r="R106" s="173">
        <f t="shared" si="29"/>
        <v>0.52088296572113979</v>
      </c>
      <c r="S106" s="802">
        <f t="shared" si="30"/>
        <v>1</v>
      </c>
      <c r="T106" s="172">
        <f t="shared" si="31"/>
        <v>7</v>
      </c>
      <c r="U106" s="247">
        <f t="shared" si="32"/>
        <v>1.5208829657211398</v>
      </c>
      <c r="V106" s="378">
        <f t="shared" si="33"/>
        <v>49.800110593298157</v>
      </c>
      <c r="W106" s="397">
        <f t="shared" si="34"/>
        <v>20.176176021948571</v>
      </c>
      <c r="X106" s="153">
        <f t="shared" si="35"/>
        <v>45749</v>
      </c>
      <c r="Y106" s="380">
        <f t="shared" si="36"/>
        <v>19.839697183154634</v>
      </c>
      <c r="Z106" s="380">
        <f t="shared" si="37"/>
        <v>20.175753332776488</v>
      </c>
      <c r="AA106" s="381">
        <f t="shared" si="38"/>
        <v>21.327954964242899</v>
      </c>
      <c r="AB106" s="193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5.4023071288274924E-2</v>
      </c>
      <c r="AD106" s="227">
        <f>(INDEX(Models!$BJ106:$BT106,,AH106)*(1-AF106)+INDEX(Models!$BJ106:$BT106,,AH106+1)*AF106-ERP_i)*AE106*Ramure*Pc/MaxiM</f>
        <v>8.1598755180150212E-5</v>
      </c>
      <c r="AE106" s="301">
        <f t="shared" si="40"/>
        <v>0.5</v>
      </c>
      <c r="AF106" s="173">
        <f t="shared" si="41"/>
        <v>0.52088296572113979</v>
      </c>
      <c r="AG106" s="802">
        <f t="shared" si="49"/>
        <v>1</v>
      </c>
      <c r="AH106" s="172">
        <f t="shared" si="42"/>
        <v>7</v>
      </c>
      <c r="AI106" s="221">
        <f t="shared" si="43"/>
        <v>1.5208829657211398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45750</v>
      </c>
      <c r="B107" s="406">
        <f>'2024'!Wh/'2024'!Env_an*'2025'!Env_an</f>
        <v>27.546596929553651</v>
      </c>
      <c r="C107" s="385"/>
      <c r="D107" s="388">
        <f t="shared" si="25"/>
        <v>28.013580441868562</v>
      </c>
      <c r="E107" s="380">
        <f t="shared" si="47"/>
        <v>29.12086589379463</v>
      </c>
      <c r="F107" s="380">
        <f t="shared" si="26"/>
        <v>29.121735821528418</v>
      </c>
      <c r="G107" s="110">
        <f t="shared" si="48"/>
        <v>0.54882328349439169</v>
      </c>
      <c r="H107" s="409" t="b">
        <f>Wh_hp&gt;='2024'!Maxi_hp</f>
        <v>0</v>
      </c>
      <c r="I107" s="375">
        <f>IF(H107,Wh_hp,'2024'!Maxi_hp)</f>
        <v>29.123289882556353</v>
      </c>
      <c r="J107" s="85">
        <f>IF(H107,An,'2024'!An_max)</f>
        <v>2022</v>
      </c>
      <c r="K107" s="193">
        <f t="shared" si="27"/>
        <v>45750</v>
      </c>
      <c r="L107" s="143">
        <f>IF(t&lt;Tvie,1-EXP((T0-t)*PertePVj)+'2024'!Pspv,1-EXP((T0-t)*PertePVj)+Pspv)</f>
        <v>1.6669897419358981E-2</v>
      </c>
      <c r="M107" s="836"/>
      <c r="N107" s="836"/>
      <c r="O107" s="48">
        <f>IF(t&lt;Tnet,'2024'!Resal+('2024'!Salim-'2024'!Resal)*(1-EXP(('2024'!Tnet-t)/('2024'!Tau_j))),Resal+(Salim-Resal)*(1-EXP((Tnet-t)/(Tau_j))))*Salcycl</f>
        <v>3.8023781846473828E-2</v>
      </c>
      <c r="P107" s="165">
        <f>(INDEX(Models!$BJ107:$BT107,,T107)*(1-R107)+INDEX(Models!$BJ107:$BT107,,T107+1)*R107-ERP_i)*Q107*Ramure*Pc/MaxiM</f>
        <v>8.4027426897355953E-5</v>
      </c>
      <c r="Q107" s="301">
        <f t="shared" si="28"/>
        <v>0.5</v>
      </c>
      <c r="R107" s="173">
        <f t="shared" si="29"/>
        <v>0.52198055052595316</v>
      </c>
      <c r="S107" s="802">
        <f t="shared" si="30"/>
        <v>1</v>
      </c>
      <c r="T107" s="172">
        <f t="shared" si="31"/>
        <v>7</v>
      </c>
      <c r="U107" s="247">
        <f t="shared" si="32"/>
        <v>1.5219805505259532</v>
      </c>
      <c r="V107" s="378">
        <f t="shared" si="33"/>
        <v>50.18938867709403</v>
      </c>
      <c r="W107" s="397">
        <f t="shared" si="34"/>
        <v>27.546596929553651</v>
      </c>
      <c r="X107" s="153">
        <f t="shared" si="35"/>
        <v>45750</v>
      </c>
      <c r="Y107" s="380">
        <f t="shared" si="36"/>
        <v>27.087528792121585</v>
      </c>
      <c r="Z107" s="380">
        <f t="shared" si="37"/>
        <v>27.546729954705306</v>
      </c>
      <c r="AA107" s="381">
        <f t="shared" si="38"/>
        <v>29.12086589379463</v>
      </c>
      <c r="AB107" s="193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5.4055258687371578E-2</v>
      </c>
      <c r="AD107" s="227">
        <f>(INDEX(Models!$BJ107:$BT107,,AH107)*(1-AF107)+INDEX(Models!$BJ107:$BT107,,AH107+1)*AF107-ERP_i)*AE107*Ramure*Pc/MaxiM</f>
        <v>8.4027426897355953E-5</v>
      </c>
      <c r="AE107" s="301">
        <f t="shared" si="40"/>
        <v>0.5</v>
      </c>
      <c r="AF107" s="173">
        <f t="shared" si="41"/>
        <v>0.52198055052595316</v>
      </c>
      <c r="AG107" s="802">
        <f t="shared" si="49"/>
        <v>1</v>
      </c>
      <c r="AH107" s="172">
        <f t="shared" si="42"/>
        <v>7</v>
      </c>
      <c r="AI107" s="221">
        <f t="shared" si="43"/>
        <v>1.5219805505259532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45751</v>
      </c>
      <c r="B108" s="406">
        <f>'2024'!Wh/'2024'!Env_an*'2025'!Env_an</f>
        <v>42.779980311267373</v>
      </c>
      <c r="C108" s="385"/>
      <c r="D108" s="388">
        <f t="shared" si="25"/>
        <v>43.505803218081866</v>
      </c>
      <c r="E108" s="380">
        <f t="shared" si="47"/>
        <v>45.22754865138544</v>
      </c>
      <c r="F108" s="380">
        <f t="shared" si="26"/>
        <v>45.230576165687737</v>
      </c>
      <c r="G108" s="110">
        <f t="shared" si="48"/>
        <v>0.84588118384312105</v>
      </c>
      <c r="H108" s="409" t="b">
        <f>Wh_hp&gt;='2024'!Maxi_hp</f>
        <v>0</v>
      </c>
      <c r="I108" s="375">
        <f>IF(H108,Wh_hp,'2024'!Maxi_hp)</f>
        <v>45.231418078824802</v>
      </c>
      <c r="J108" s="85">
        <f>IF(H108,An,'2024'!An_max)</f>
        <v>2022</v>
      </c>
      <c r="K108" s="193">
        <f t="shared" si="27"/>
        <v>45751</v>
      </c>
      <c r="L108" s="143">
        <f>IF(t&lt;Tvie,1-EXP((T0-t)*PertePVj)+'2024'!Pspv,1-EXP((T0-t)*PertePVj)+Pspv)</f>
        <v>1.6683358382700297E-2</v>
      </c>
      <c r="M108" s="836"/>
      <c r="N108" s="836"/>
      <c r="O108" s="48">
        <f>IF(t&lt;Tnet,'2024'!Resal+('2024'!Salim-'2024'!Resal)*(1-EXP(('2024'!Tnet-t)/('2024'!Tau_j))),Resal+(Salim-Resal)*(1-EXP((Tnet-t)/(Tau_j))))*Salcycl</f>
        <v>3.806851099923219E-2</v>
      </c>
      <c r="P108" s="165">
        <f>(INDEX(Models!$BJ108:$BT108,,T108)*(1-R108)+INDEX(Models!$BJ108:$BT108,,T108+1)*R108-ERP_i)*Q108*Ramure*Pc/MaxiM</f>
        <v>8.5830428733682301E-5</v>
      </c>
      <c r="Q108" s="301">
        <f t="shared" si="28"/>
        <v>0.5</v>
      </c>
      <c r="R108" s="173">
        <f t="shared" si="29"/>
        <v>0.52311877656080585</v>
      </c>
      <c r="S108" s="802">
        <f t="shared" si="30"/>
        <v>1</v>
      </c>
      <c r="T108" s="172">
        <f t="shared" si="31"/>
        <v>7</v>
      </c>
      <c r="U108" s="247">
        <f t="shared" si="32"/>
        <v>1.5231187765608059</v>
      </c>
      <c r="V108" s="378">
        <f t="shared" si="33"/>
        <v>50.573499840848363</v>
      </c>
      <c r="W108" s="397">
        <f t="shared" si="34"/>
        <v>42.779980311267373</v>
      </c>
      <c r="X108" s="153">
        <f t="shared" si="35"/>
        <v>45751</v>
      </c>
      <c r="Y108" s="380">
        <f t="shared" si="36"/>
        <v>42.067546264028977</v>
      </c>
      <c r="Z108" s="380">
        <f t="shared" si="37"/>
        <v>42.781281719018629</v>
      </c>
      <c r="AA108" s="381">
        <f t="shared" si="38"/>
        <v>45.22754865138544</v>
      </c>
      <c r="AB108" s="193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5.4087984100634479E-2</v>
      </c>
      <c r="AD108" s="227">
        <f>(INDEX(Models!$BJ108:$BT108,,AH108)*(1-AF108)+INDEX(Models!$BJ108:$BT108,,AH108+1)*AF108-ERP_i)*AE108*Ramure*Pc/MaxiM</f>
        <v>8.5830428733682301E-5</v>
      </c>
      <c r="AE108" s="301">
        <f t="shared" si="40"/>
        <v>0.5</v>
      </c>
      <c r="AF108" s="173">
        <f t="shared" si="41"/>
        <v>0.52311877656080585</v>
      </c>
      <c r="AG108" s="802">
        <f t="shared" si="49"/>
        <v>1</v>
      </c>
      <c r="AH108" s="172">
        <f t="shared" si="42"/>
        <v>7</v>
      </c>
      <c r="AI108" s="221">
        <f t="shared" si="43"/>
        <v>1.5231187765608059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45752</v>
      </c>
      <c r="B109" s="406">
        <f>'2024'!Wh/'2024'!Env_an*'2025'!Env_an</f>
        <v>51.19829565641782</v>
      </c>
      <c r="C109" s="385"/>
      <c r="D109" s="388">
        <f t="shared" si="25"/>
        <v>52.067659958928708</v>
      </c>
      <c r="E109" s="380">
        <f t="shared" si="47"/>
        <v>54.130779900789136</v>
      </c>
      <c r="F109" s="380">
        <f t="shared" si="26"/>
        <v>54.135481479246067</v>
      </c>
      <c r="G109" s="110">
        <f t="shared" si="48"/>
        <v>1.0048310592931586</v>
      </c>
      <c r="H109" s="409" t="b">
        <f>Wh_hp&gt;='2024'!Maxi_hp</f>
        <v>1</v>
      </c>
      <c r="I109" s="375">
        <f>IF(H109,Wh_hp,'2024'!Maxi_hp)</f>
        <v>54.135481479246067</v>
      </c>
      <c r="J109" s="85">
        <f>IF(H109,An,'2024'!An_max)</f>
        <v>2025</v>
      </c>
      <c r="K109" s="193">
        <f t="shared" si="27"/>
        <v>45752</v>
      </c>
      <c r="L109" s="143">
        <f>IF(t&lt;Tvie,1-EXP((T0-t)*PertePVj)+'2024'!Pspv,1-EXP((T0-t)*PertePVj)+Pspv)</f>
        <v>1.6696819161772347E-2</v>
      </c>
      <c r="M109" s="836"/>
      <c r="N109" s="836"/>
      <c r="O109" s="48">
        <f>IF(t&lt;Tnet,'2024'!Resal+('2024'!Salim-'2024'!Resal)*(1-EXP(('2024'!Tnet-t)/('2024'!Tau_j))),Resal+(Salim-Resal)*(1-EXP((Tnet-t)/(Tau_j))))*Salcycl</f>
        <v>3.8113619379615681E-2</v>
      </c>
      <c r="P109" s="165">
        <f>(INDEX(Models!$BJ109:$BT109,,T109)*(1-R109)+INDEX(Models!$BJ109:$BT109,,T109+1)*R109-ERP_i)*Q109*Ramure*Pc/MaxiM</f>
        <v>8.6848372425222774E-5</v>
      </c>
      <c r="Q109" s="301">
        <f t="shared" si="28"/>
        <v>0.5</v>
      </c>
      <c r="R109" s="173">
        <f t="shared" si="29"/>
        <v>0.52429892818882462</v>
      </c>
      <c r="S109" s="802">
        <f t="shared" si="30"/>
        <v>1</v>
      </c>
      <c r="T109" s="172">
        <f t="shared" si="31"/>
        <v>7</v>
      </c>
      <c r="U109" s="247">
        <f t="shared" si="32"/>
        <v>1.5242989281888246</v>
      </c>
      <c r="V109" s="378">
        <f t="shared" si="33"/>
        <v>50.952142833276774</v>
      </c>
      <c r="W109" s="397">
        <f t="shared" si="34"/>
        <v>51.19829565641782</v>
      </c>
      <c r="X109" s="153">
        <f t="shared" si="35"/>
        <v>45752</v>
      </c>
      <c r="Y109" s="380">
        <f t="shared" si="36"/>
        <v>50.346257159900169</v>
      </c>
      <c r="Z109" s="380">
        <f t="shared" si="37"/>
        <v>51.201153561795607</v>
      </c>
      <c r="AA109" s="381">
        <f t="shared" si="38"/>
        <v>54.130779900789136</v>
      </c>
      <c r="AB109" s="193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5.412126602208478E-2</v>
      </c>
      <c r="AD109" s="227">
        <f>(INDEX(Models!$BJ109:$BT109,,AH109)*(1-AF109)+INDEX(Models!$BJ109:$BT109,,AH109+1)*AF109-ERP_i)*AE109*Ramure*Pc/MaxiM</f>
        <v>8.6848372425222774E-5</v>
      </c>
      <c r="AE109" s="301">
        <f t="shared" si="40"/>
        <v>0.5</v>
      </c>
      <c r="AF109" s="173">
        <f t="shared" si="41"/>
        <v>0.52429892818882462</v>
      </c>
      <c r="AG109" s="802">
        <f t="shared" si="49"/>
        <v>1</v>
      </c>
      <c r="AH109" s="172">
        <f t="shared" si="42"/>
        <v>7</v>
      </c>
      <c r="AI109" s="221">
        <f t="shared" si="43"/>
        <v>1.5242989281888246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45753</v>
      </c>
      <c r="B110" s="406">
        <f>'2024'!Wh/'2024'!Env_an*'2025'!Env_an</f>
        <v>12.488777035108578</v>
      </c>
      <c r="C110" s="385"/>
      <c r="D110" s="388">
        <f t="shared" si="25"/>
        <v>12.701014541285826</v>
      </c>
      <c r="E110" s="380">
        <f t="shared" si="47"/>
        <v>13.204901985412748</v>
      </c>
      <c r="F110" s="380">
        <f t="shared" si="26"/>
        <v>13.204901985412748</v>
      </c>
      <c r="G110" s="110">
        <f t="shared" si="48"/>
        <v>0.24330613582588695</v>
      </c>
      <c r="H110" s="409" t="b">
        <f>Wh_hp&gt;='2024'!Maxi_hp</f>
        <v>0</v>
      </c>
      <c r="I110" s="375">
        <f>IF(H110,Wh_hp,'2024'!Maxi_hp)</f>
        <v>13.206034136650299</v>
      </c>
      <c r="J110" s="85">
        <f>IF(H110,An,'2024'!An_max)</f>
        <v>2022</v>
      </c>
      <c r="K110" s="193">
        <f t="shared" si="27"/>
        <v>45753</v>
      </c>
      <c r="L110" s="143">
        <f>IF(t&lt;Tvie,1-EXP((T0-t)*PertePVj)+'2024'!Pspv,1-EXP((T0-t)*PertePVj)+Pspv)</f>
        <v>1.6710279756577684E-2</v>
      </c>
      <c r="M110" s="836"/>
      <c r="N110" s="836"/>
      <c r="O110" s="48">
        <f>IF(t&lt;Tnet,'2024'!Resal+('2024'!Salim-'2024'!Resal)*(1-EXP(('2024'!Tnet-t)/('2024'!Tau_j))),Resal+(Salim-Resal)*(1-EXP((Tnet-t)/(Tau_j))))*Salcycl</f>
        <v>3.815912035421077E-2</v>
      </c>
      <c r="P110" s="165">
        <f>(INDEX(Models!$BJ110:$BT110,,T110)*(1-R110)+INDEX(Models!$BJ110:$BT110,,T110+1)*R110-ERP_i)*Q110*Ramure*Pc/MaxiM</f>
        <v>8.7092916506823409E-5</v>
      </c>
      <c r="Q110" s="301">
        <f t="shared" si="28"/>
        <v>0.5</v>
      </c>
      <c r="R110" s="173">
        <f t="shared" si="29"/>
        <v>0.52552231271186489</v>
      </c>
      <c r="S110" s="802">
        <f t="shared" si="30"/>
        <v>1</v>
      </c>
      <c r="T110" s="172">
        <f t="shared" si="31"/>
        <v>7</v>
      </c>
      <c r="U110" s="247">
        <f t="shared" si="32"/>
        <v>1.5255223127118649</v>
      </c>
      <c r="V110" s="378">
        <f t="shared" si="33"/>
        <v>51.325007931692035</v>
      </c>
      <c r="W110" s="397">
        <f t="shared" si="34"/>
        <v>12.488777035108578</v>
      </c>
      <c r="X110" s="153">
        <f t="shared" si="35"/>
        <v>45753</v>
      </c>
      <c r="Y110" s="380">
        <f t="shared" si="36"/>
        <v>12.281081034960076</v>
      </c>
      <c r="Z110" s="380">
        <f t="shared" si="37"/>
        <v>12.48978890160652</v>
      </c>
      <c r="AA110" s="381">
        <f t="shared" si="38"/>
        <v>13.204901985412748</v>
      </c>
      <c r="AB110" s="193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5.4155122438334057E-2</v>
      </c>
      <c r="AD110" s="227">
        <f>(INDEX(Models!$BJ110:$BT110,,AH110)*(1-AF110)+INDEX(Models!$BJ110:$BT110,,AH110+1)*AF110-ERP_i)*AE110*Ramure*Pc/MaxiM</f>
        <v>8.7092916506823409E-5</v>
      </c>
      <c r="AE110" s="301">
        <f t="shared" si="40"/>
        <v>0.5</v>
      </c>
      <c r="AF110" s="173">
        <f t="shared" si="41"/>
        <v>0.52552231271186489</v>
      </c>
      <c r="AG110" s="802">
        <f t="shared" si="49"/>
        <v>1</v>
      </c>
      <c r="AH110" s="172">
        <f t="shared" si="42"/>
        <v>7</v>
      </c>
      <c r="AI110" s="221">
        <f t="shared" si="43"/>
        <v>1.5255223127118649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45754</v>
      </c>
      <c r="B111" s="406">
        <f>'2024'!Wh/'2024'!Env_an*'2025'!Env_an</f>
        <v>42.332053900792573</v>
      </c>
      <c r="C111" s="385"/>
      <c r="D111" s="388">
        <f t="shared" si="25"/>
        <v>43.052045116992225</v>
      </c>
      <c r="E111" s="380">
        <f t="shared" si="47"/>
        <v>44.762185624307186</v>
      </c>
      <c r="F111" s="380">
        <f t="shared" si="26"/>
        <v>44.765058647396586</v>
      </c>
      <c r="G111" s="110">
        <f t="shared" si="48"/>
        <v>0.81891359366775962</v>
      </c>
      <c r="H111" s="409" t="b">
        <f>Wh_hp&gt;='2024'!Maxi_hp</f>
        <v>0</v>
      </c>
      <c r="I111" s="375">
        <f>IF(H111,Wh_hp,'2024'!Maxi_hp)</f>
        <v>44.766045147251283</v>
      </c>
      <c r="J111" s="85">
        <f>IF(H111,An,'2024'!An_max)</f>
        <v>2022</v>
      </c>
      <c r="K111" s="193">
        <f t="shared" si="27"/>
        <v>45754</v>
      </c>
      <c r="L111" s="143">
        <f>IF(t&lt;Tvie,1-EXP((T0-t)*PertePVj)+'2024'!Pspv,1-EXP((T0-t)*PertePVj)+Pspv)</f>
        <v>1.672374016711875E-2</v>
      </c>
      <c r="M111" s="836"/>
      <c r="N111" s="836"/>
      <c r="O111" s="48">
        <f>IF(t&lt;Tnet,'2024'!Resal+('2024'!Salim-'2024'!Resal)*(1-EXP(('2024'!Tnet-t)/('2024'!Tau_j))),Resal+(Salim-Resal)*(1-EXP((Tnet-t)/(Tau_j))))*Salcycl</f>
        <v>3.8205026932069688E-2</v>
      </c>
      <c r="P111" s="165">
        <f>(INDEX(Models!$BJ111:$BT111,,T111)*(1-R111)+INDEX(Models!$BJ111:$BT111,,T111+1)*R111-ERP_i)*Q111*Ramure*Pc/MaxiM</f>
        <v>8.6574023438773114E-5</v>
      </c>
      <c r="Q111" s="301">
        <f t="shared" si="28"/>
        <v>0.5</v>
      </c>
      <c r="R111" s="173">
        <f t="shared" si="29"/>
        <v>0.52679025927281398</v>
      </c>
      <c r="S111" s="802">
        <f t="shared" si="30"/>
        <v>1</v>
      </c>
      <c r="T111" s="172">
        <f t="shared" si="31"/>
        <v>7</v>
      </c>
      <c r="U111" s="247">
        <f t="shared" si="32"/>
        <v>1.526790259272814</v>
      </c>
      <c r="V111" s="378">
        <f t="shared" si="33"/>
        <v>51.691785536107432</v>
      </c>
      <c r="W111" s="397">
        <f t="shared" si="34"/>
        <v>42.332053900792573</v>
      </c>
      <c r="X111" s="153">
        <f t="shared" si="35"/>
        <v>45754</v>
      </c>
      <c r="Y111" s="380">
        <f t="shared" si="36"/>
        <v>41.628516669687755</v>
      </c>
      <c r="Z111" s="380">
        <f t="shared" si="37"/>
        <v>42.336541997630434</v>
      </c>
      <c r="AA111" s="381">
        <f t="shared" si="38"/>
        <v>44.762185624307186</v>
      </c>
      <c r="AB111" s="193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5.4189570791636221E-2</v>
      </c>
      <c r="AD111" s="227">
        <f>(INDEX(Models!$BJ111:$BT111,,AH111)*(1-AF111)+INDEX(Models!$BJ111:$BT111,,AH111+1)*AF111-ERP_i)*AE111*Ramure*Pc/MaxiM</f>
        <v>8.6574023438773114E-5</v>
      </c>
      <c r="AE111" s="301">
        <f t="shared" si="40"/>
        <v>0.5</v>
      </c>
      <c r="AF111" s="173">
        <f t="shared" si="41"/>
        <v>0.52679025927281398</v>
      </c>
      <c r="AG111" s="802">
        <f t="shared" si="49"/>
        <v>1</v>
      </c>
      <c r="AH111" s="172">
        <f t="shared" si="42"/>
        <v>7</v>
      </c>
      <c r="AI111" s="221">
        <f t="shared" si="43"/>
        <v>1.526790259272814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45755</v>
      </c>
      <c r="B112" s="406">
        <f>'2024'!Wh/'2024'!Env_an*'2025'!Env_an</f>
        <v>36.060063652056392</v>
      </c>
      <c r="C112" s="385"/>
      <c r="D112" s="388">
        <f t="shared" si="25"/>
        <v>36.673881760282015</v>
      </c>
      <c r="E112" s="380">
        <f t="shared" si="47"/>
        <v>38.132501487328874</v>
      </c>
      <c r="F112" s="380">
        <f t="shared" si="26"/>
        <v>38.134326654395274</v>
      </c>
      <c r="G112" s="110">
        <f t="shared" si="48"/>
        <v>0.69274184332138555</v>
      </c>
      <c r="H112" s="409" t="b">
        <f>Wh_hp&gt;='2024'!Maxi_hp</f>
        <v>0</v>
      </c>
      <c r="I112" s="375">
        <f>IF(H112,Wh_hp,'2024'!Maxi_hp)</f>
        <v>38.135731064829805</v>
      </c>
      <c r="J112" s="85">
        <f>IF(H112,An,'2024'!An_max)</f>
        <v>2022</v>
      </c>
      <c r="K112" s="193">
        <f t="shared" si="27"/>
        <v>45755</v>
      </c>
      <c r="L112" s="143">
        <f>IF(t&lt;Tvie,1-EXP((T0-t)*PertePVj)+'2024'!Pspv,1-EXP((T0-t)*PertePVj)+Pspv)</f>
        <v>1.6737200393397988E-2</v>
      </c>
      <c r="M112" s="836"/>
      <c r="N112" s="836"/>
      <c r="O112" s="48">
        <f>IF(t&lt;Tnet,'2024'!Resal+('2024'!Salim-'2024'!Resal)*(1-EXP(('2024'!Tnet-t)/('2024'!Tau_j))),Resal+(Salim-Resal)*(1-EXP((Tnet-t)/(Tau_j))))*Salcycl</f>
        <v>3.8251351738137367E-2</v>
      </c>
      <c r="P112" s="165">
        <f>(INDEX(Models!$BJ112:$BT112,,T112)*(1-R112)+INDEX(Models!$BJ112:$BT112,,T112+1)*R112-ERP_i)*Q112*Ramure*Pc/MaxiM</f>
        <v>8.5299940174227544E-5</v>
      </c>
      <c r="Q112" s="301">
        <f t="shared" si="28"/>
        <v>0.5</v>
      </c>
      <c r="R112" s="173">
        <f t="shared" si="29"/>
        <v>0.52810411760055742</v>
      </c>
      <c r="S112" s="802">
        <f t="shared" si="30"/>
        <v>1</v>
      </c>
      <c r="T112" s="172">
        <f t="shared" si="31"/>
        <v>7</v>
      </c>
      <c r="U112" s="247">
        <f t="shared" si="32"/>
        <v>1.5281041176005574</v>
      </c>
      <c r="V112" s="378">
        <f t="shared" si="33"/>
        <v>52.052166190734212</v>
      </c>
      <c r="W112" s="397">
        <f t="shared" si="34"/>
        <v>36.060063652056392</v>
      </c>
      <c r="X112" s="153">
        <f t="shared" si="35"/>
        <v>45755</v>
      </c>
      <c r="Y112" s="380">
        <f t="shared" si="36"/>
        <v>35.461157318521629</v>
      </c>
      <c r="Z112" s="380">
        <f t="shared" si="37"/>
        <v>36.064780781607361</v>
      </c>
      <c r="AA112" s="381">
        <f t="shared" si="38"/>
        <v>38.132501487328874</v>
      </c>
      <c r="AB112" s="193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5.4224627943923402E-2</v>
      </c>
      <c r="AD112" s="227">
        <f>(INDEX(Models!$BJ112:$BT112,,AH112)*(1-AF112)+INDEX(Models!$BJ112:$BT112,,AH112+1)*AF112-ERP_i)*AE112*Ramure*Pc/MaxiM</f>
        <v>8.5299940174227544E-5</v>
      </c>
      <c r="AE112" s="301">
        <f t="shared" si="40"/>
        <v>0.5</v>
      </c>
      <c r="AF112" s="173">
        <f t="shared" si="41"/>
        <v>0.52810411760055742</v>
      </c>
      <c r="AG112" s="802">
        <f t="shared" si="49"/>
        <v>1</v>
      </c>
      <c r="AH112" s="172">
        <f t="shared" si="42"/>
        <v>7</v>
      </c>
      <c r="AI112" s="221">
        <f t="shared" si="43"/>
        <v>1.5281041176005574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45756</v>
      </c>
      <c r="B113" s="406">
        <f>'2024'!Wh/'2024'!Env_an*'2025'!Env_an</f>
        <v>33.547410902298893</v>
      </c>
      <c r="C113" s="385"/>
      <c r="D113" s="388">
        <f t="shared" si="25"/>
        <v>34.118925436710583</v>
      </c>
      <c r="E113" s="380">
        <f t="shared" si="47"/>
        <v>35.477652362542216</v>
      </c>
      <c r="F113" s="380">
        <f t="shared" si="26"/>
        <v>35.479088071158451</v>
      </c>
      <c r="G113" s="110">
        <f t="shared" si="48"/>
        <v>0.64011900729938787</v>
      </c>
      <c r="H113" s="409" t="b">
        <f>Wh_hp&gt;='2024'!Maxi_hp</f>
        <v>0</v>
      </c>
      <c r="I113" s="375">
        <f>IF(H113,Wh_hp,'2024'!Maxi_hp)</f>
        <v>35.480581616370678</v>
      </c>
      <c r="J113" s="85">
        <f>IF(H113,An,'2024'!An_max)</f>
        <v>2022</v>
      </c>
      <c r="K113" s="193">
        <f t="shared" si="27"/>
        <v>45756</v>
      </c>
      <c r="L113" s="143">
        <f>IF(t&lt;Tvie,1-EXP((T0-t)*PertePVj)+'2024'!Pspv,1-EXP((T0-t)*PertePVj)+Pspv)</f>
        <v>1.6750660435418174E-2</v>
      </c>
      <c r="M113" s="836"/>
      <c r="N113" s="836"/>
      <c r="O113" s="48">
        <f>IF(t&lt;Tnet,'2024'!Resal+('2024'!Salim-'2024'!Resal)*(1-EXP(('2024'!Tnet-t)/('2024'!Tau_j))),Resal+(Salim-Resal)*(1-EXP((Tnet-t)/(Tau_j))))*Salcycl</f>
        <v>3.8298106987095813E-2</v>
      </c>
      <c r="P113" s="165">
        <f>(INDEX(Models!$BJ113:$BT113,,T113)*(1-R113)+INDEX(Models!$BJ113:$BT113,,T113+1)*R113-ERP_i)*Q113*Ramure*Pc/MaxiM</f>
        <v>8.3277178402700838E-5</v>
      </c>
      <c r="Q113" s="301">
        <f t="shared" si="28"/>
        <v>0.5</v>
      </c>
      <c r="R113" s="173">
        <f t="shared" si="29"/>
        <v>0.52946525658812349</v>
      </c>
      <c r="S113" s="802">
        <f t="shared" si="30"/>
        <v>1</v>
      </c>
      <c r="T113" s="172">
        <f t="shared" si="31"/>
        <v>7</v>
      </c>
      <c r="U113" s="247">
        <f t="shared" si="32"/>
        <v>1.5294652565881235</v>
      </c>
      <c r="V113" s="378">
        <f t="shared" si="33"/>
        <v>52.405840583780879</v>
      </c>
      <c r="W113" s="397">
        <f t="shared" si="34"/>
        <v>33.547410902298893</v>
      </c>
      <c r="X113" s="153">
        <f t="shared" si="35"/>
        <v>45756</v>
      </c>
      <c r="Y113" s="380">
        <f t="shared" si="36"/>
        <v>32.990595331882716</v>
      </c>
      <c r="Z113" s="380">
        <f t="shared" si="37"/>
        <v>33.552623942256737</v>
      </c>
      <c r="AA113" s="381">
        <f t="shared" si="38"/>
        <v>35.477652362542216</v>
      </c>
      <c r="AB113" s="193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5.4260310141545628E-2</v>
      </c>
      <c r="AD113" s="227">
        <f>(INDEX(Models!$BJ113:$BT113,,AH113)*(1-AF113)+INDEX(Models!$BJ113:$BT113,,AH113+1)*AF113-ERP_i)*AE113*Ramure*Pc/MaxiM</f>
        <v>8.3277178402700838E-5</v>
      </c>
      <c r="AE113" s="301">
        <f t="shared" si="40"/>
        <v>0.5</v>
      </c>
      <c r="AF113" s="173">
        <f t="shared" si="41"/>
        <v>0.52946525658812349</v>
      </c>
      <c r="AG113" s="802">
        <f t="shared" si="49"/>
        <v>1</v>
      </c>
      <c r="AH113" s="172">
        <f t="shared" si="42"/>
        <v>7</v>
      </c>
      <c r="AI113" s="221">
        <f t="shared" si="43"/>
        <v>1.5294652565881235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45757</v>
      </c>
      <c r="B114" s="406">
        <f>'2024'!Wh/'2024'!Env_an*'2025'!Env_an</f>
        <v>54.964124532122845</v>
      </c>
      <c r="C114" s="385"/>
      <c r="D114" s="388">
        <f t="shared" si="25"/>
        <v>55.901259978950392</v>
      </c>
      <c r="E114" s="380">
        <f t="shared" si="47"/>
        <v>58.130283393885257</v>
      </c>
      <c r="F114" s="380">
        <f t="shared" si="26"/>
        <v>58.134973098692683</v>
      </c>
      <c r="G114" s="110">
        <f t="shared" si="48"/>
        <v>1.0419247187108809</v>
      </c>
      <c r="H114" s="409" t="b">
        <f>Wh_hp&gt;='2024'!Maxi_hp</f>
        <v>1</v>
      </c>
      <c r="I114" s="375">
        <f>IF(H114,Wh_hp,'2024'!Maxi_hp)</f>
        <v>58.134973098692683</v>
      </c>
      <c r="J114" s="85">
        <f>IF(H114,An,'2024'!An_max)</f>
        <v>2025</v>
      </c>
      <c r="K114" s="193">
        <f t="shared" si="27"/>
        <v>45757</v>
      </c>
      <c r="L114" s="143">
        <f>IF(t&lt;Tvie,1-EXP((T0-t)*PertePVj)+'2024'!Pspv,1-EXP((T0-t)*PertePVj)+Pspv)</f>
        <v>1.6764120293181639E-2</v>
      </c>
      <c r="M114" s="836"/>
      <c r="N114" s="836"/>
      <c r="O114" s="48">
        <f>IF(t&lt;Tnet,'2024'!Resal+('2024'!Salim-'2024'!Resal)*(1-EXP(('2024'!Tnet-t)/('2024'!Tau_j))),Resal+(Salim-Resal)*(1-EXP((Tnet-t)/(Tau_j))))*Salcycl</f>
        <v>3.8345304457423929E-2</v>
      </c>
      <c r="P114" s="165">
        <f>(INDEX(Models!$BJ114:$BT114,,T114)*(1-R114)+INDEX(Models!$BJ114:$BT114,,T114+1)*R114-ERP_i)*Q114*Ramure*Pc/MaxiM</f>
        <v>8.0669252215308693E-5</v>
      </c>
      <c r="Q114" s="301">
        <f t="shared" si="28"/>
        <v>0.5</v>
      </c>
      <c r="R114" s="173">
        <f t="shared" si="29"/>
        <v>0.53087506269446605</v>
      </c>
      <c r="S114" s="802">
        <f t="shared" si="30"/>
        <v>1</v>
      </c>
      <c r="T114" s="172">
        <f t="shared" si="31"/>
        <v>7</v>
      </c>
      <c r="U114" s="247">
        <f t="shared" si="32"/>
        <v>1.530875062694466</v>
      </c>
      <c r="V114" s="378">
        <f t="shared" si="33"/>
        <v>52.752491178179447</v>
      </c>
      <c r="W114" s="397">
        <f t="shared" si="34"/>
        <v>54.964124532122845</v>
      </c>
      <c r="X114" s="153">
        <f t="shared" si="35"/>
        <v>45757</v>
      </c>
      <c r="Y114" s="380">
        <f t="shared" si="36"/>
        <v>54.052413903084251</v>
      </c>
      <c r="Z114" s="380">
        <f t="shared" si="37"/>
        <v>54.974004731399368</v>
      </c>
      <c r="AA114" s="381">
        <f t="shared" si="38"/>
        <v>58.130283393885257</v>
      </c>
      <c r="AB114" s="193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5.429663298042503E-2</v>
      </c>
      <c r="AD114" s="227">
        <f>(INDEX(Models!$BJ114:$BT114,,AH114)*(1-AF114)+INDEX(Models!$BJ114:$BT114,,AH114+1)*AF114-ERP_i)*AE114*Ramure*Pc/MaxiM</f>
        <v>8.0669252215308693E-5</v>
      </c>
      <c r="AE114" s="301">
        <f t="shared" si="40"/>
        <v>0.5</v>
      </c>
      <c r="AF114" s="173">
        <f t="shared" si="41"/>
        <v>0.53087506269446605</v>
      </c>
      <c r="AG114" s="802">
        <f t="shared" si="49"/>
        <v>1</v>
      </c>
      <c r="AH114" s="172">
        <f t="shared" si="42"/>
        <v>7</v>
      </c>
      <c r="AI114" s="221">
        <f t="shared" si="43"/>
        <v>1.530875062694466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45758</v>
      </c>
      <c r="B115" s="406">
        <f>'2024'!Wh/'2024'!Env_an*'2025'!Env_an</f>
        <v>44.34311874665898</v>
      </c>
      <c r="C115" s="385"/>
      <c r="D115" s="388">
        <f t="shared" si="25"/>
        <v>45.099783978844535</v>
      </c>
      <c r="E115" s="380">
        <f t="shared" si="47"/>
        <v>46.90043010310432</v>
      </c>
      <c r="F115" s="380">
        <f t="shared" si="26"/>
        <v>46.903222428135095</v>
      </c>
      <c r="G115" s="110">
        <f t="shared" si="48"/>
        <v>0.83520083301284931</v>
      </c>
      <c r="H115" s="409" t="b">
        <f>Wh_hp&gt;='2024'!Maxi_hp</f>
        <v>0</v>
      </c>
      <c r="I115" s="375">
        <f>IF(H115,Wh_hp,'2024'!Maxi_hp)</f>
        <v>46.904067064445634</v>
      </c>
      <c r="J115" s="85">
        <f>IF(H115,An,'2024'!An_max)</f>
        <v>2022</v>
      </c>
      <c r="K115" s="193">
        <f t="shared" si="27"/>
        <v>45758</v>
      </c>
      <c r="L115" s="143">
        <f>IF(t&lt;Tvie,1-EXP((T0-t)*PertePVj)+'2024'!Pspv,1-EXP((T0-t)*PertePVj)+Pspv)</f>
        <v>1.6777579966690936E-2</v>
      </c>
      <c r="M115" s="836"/>
      <c r="N115" s="836"/>
      <c r="O115" s="48">
        <f>IF(t&lt;Tnet,'2024'!Resal+('2024'!Salim-'2024'!Resal)*(1-EXP(('2024'!Tnet-t)/('2024'!Tau_j))),Resal+(Salim-Resal)*(1-EXP((Tnet-t)/(Tau_j))))*Salcycl</f>
        <v>3.8392955465468163E-2</v>
      </c>
      <c r="P115" s="165">
        <f>(INDEX(Models!$BJ115:$BT115,,T115)*(1-R115)+INDEX(Models!$BJ115:$BT115,,T115+1)*R115-ERP_i)*Q115*Ramure*Pc/MaxiM</f>
        <v>7.7863177733441025E-5</v>
      </c>
      <c r="Q115" s="301">
        <f t="shared" si="28"/>
        <v>0.5</v>
      </c>
      <c r="R115" s="173">
        <f t="shared" si="29"/>
        <v>0.53233493816036304</v>
      </c>
      <c r="S115" s="802">
        <f t="shared" si="30"/>
        <v>1</v>
      </c>
      <c r="T115" s="172">
        <f t="shared" si="31"/>
        <v>7</v>
      </c>
      <c r="U115" s="247">
        <f t="shared" si="32"/>
        <v>1.532334938160363</v>
      </c>
      <c r="V115" s="378">
        <f t="shared" si="33"/>
        <v>53.091788420056311</v>
      </c>
      <c r="W115" s="397">
        <f t="shared" si="34"/>
        <v>44.34311874665898</v>
      </c>
      <c r="X115" s="153">
        <f t="shared" si="35"/>
        <v>45758</v>
      </c>
      <c r="Y115" s="380">
        <f t="shared" si="36"/>
        <v>43.608038443586182</v>
      </c>
      <c r="Z115" s="380">
        <f t="shared" si="37"/>
        <v>44.352160360733897</v>
      </c>
      <c r="AA115" s="381">
        <f t="shared" si="38"/>
        <v>46.90043010310432</v>
      </c>
      <c r="AB115" s="193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5.4333611371332677E-2</v>
      </c>
      <c r="AD115" s="227">
        <f>(INDEX(Models!$BJ115:$BT115,,AH115)*(1-AF115)+INDEX(Models!$BJ115:$BT115,,AH115+1)*AF115-ERP_i)*AE115*Ramure*Pc/MaxiM</f>
        <v>7.7863177733441025E-5</v>
      </c>
      <c r="AE115" s="301">
        <f t="shared" si="40"/>
        <v>0.5</v>
      </c>
      <c r="AF115" s="173">
        <f t="shared" si="41"/>
        <v>0.53233493816036304</v>
      </c>
      <c r="AG115" s="802">
        <f t="shared" si="49"/>
        <v>1</v>
      </c>
      <c r="AH115" s="172">
        <f t="shared" si="42"/>
        <v>7</v>
      </c>
      <c r="AI115" s="221">
        <f t="shared" si="43"/>
        <v>1.532334938160363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45759</v>
      </c>
      <c r="B116" s="406">
        <f>'2024'!Wh/'2024'!Env_an*'2025'!Env_an</f>
        <v>36.999429531739885</v>
      </c>
      <c r="C116" s="385"/>
      <c r="D116" s="388">
        <f t="shared" si="25"/>
        <v>37.631298143648451</v>
      </c>
      <c r="E116" s="380">
        <f t="shared" si="47"/>
        <v>39.135717013720523</v>
      </c>
      <c r="F116" s="380">
        <f t="shared" si="26"/>
        <v>39.137360024686757</v>
      </c>
      <c r="G116" s="110">
        <f t="shared" si="48"/>
        <v>0.69254665699533102</v>
      </c>
      <c r="H116" s="409" t="b">
        <f>Wh_hp&gt;='2024'!Maxi_hp</f>
        <v>0</v>
      </c>
      <c r="I116" s="375">
        <f>IF(H116,Wh_hp,'2024'!Maxi_hp)</f>
        <v>39.138623490789477</v>
      </c>
      <c r="J116" s="85">
        <f>IF(H116,An,'2024'!An_max)</f>
        <v>2022</v>
      </c>
      <c r="K116" s="193">
        <f t="shared" si="27"/>
        <v>45759</v>
      </c>
      <c r="L116" s="143">
        <f>IF(t&lt;Tvie,1-EXP((T0-t)*PertePVj)+'2024'!Pspv,1-EXP((T0-t)*PertePVj)+Pspv)</f>
        <v>1.679103945594862E-2</v>
      </c>
      <c r="M116" s="836"/>
      <c r="N116" s="836"/>
      <c r="O116" s="48">
        <f>IF(t&lt;Tnet,'2024'!Resal+('2024'!Salim-'2024'!Resal)*(1-EXP(('2024'!Tnet-t)/('2024'!Tau_j))),Resal+(Salim-Resal)*(1-EXP((Tnet-t)/(Tau_j))))*Salcycl</f>
        <v>3.8441070839321557E-2</v>
      </c>
      <c r="P116" s="165">
        <f>(INDEX(Models!$BJ116:$BT116,,T116)*(1-R116)+INDEX(Models!$BJ116:$BT116,,T116+1)*R116-ERP_i)*Q116*Ramure*Pc/MaxiM</f>
        <v>7.4856669520747019E-5</v>
      </c>
      <c r="Q116" s="301">
        <f t="shared" si="28"/>
        <v>0.5</v>
      </c>
      <c r="R116" s="173">
        <f t="shared" si="29"/>
        <v>0.53384629902899139</v>
      </c>
      <c r="S116" s="802">
        <f t="shared" si="30"/>
        <v>1</v>
      </c>
      <c r="T116" s="172">
        <f t="shared" si="31"/>
        <v>7</v>
      </c>
      <c r="U116" s="247">
        <f t="shared" si="32"/>
        <v>1.5338462990289914</v>
      </c>
      <c r="V116" s="378">
        <f t="shared" si="33"/>
        <v>53.423423118413794</v>
      </c>
      <c r="W116" s="397">
        <f t="shared" si="34"/>
        <v>36.999429531739885</v>
      </c>
      <c r="X116" s="153">
        <f t="shared" si="35"/>
        <v>45759</v>
      </c>
      <c r="Y116" s="380">
        <f t="shared" si="36"/>
        <v>36.386458370962885</v>
      </c>
      <c r="Z116" s="380">
        <f t="shared" si="37"/>
        <v>37.007858788053262</v>
      </c>
      <c r="AA116" s="381">
        <f t="shared" si="38"/>
        <v>39.135717013720523</v>
      </c>
      <c r="AB116" s="193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5.4371259505000449E-2</v>
      </c>
      <c r="AD116" s="227">
        <f>(INDEX(Models!$BJ116:$BT116,,AH116)*(1-AF116)+INDEX(Models!$BJ116:$BT116,,AH116+1)*AF116-ERP_i)*AE116*Ramure*Pc/MaxiM</f>
        <v>7.4856669520747019E-5</v>
      </c>
      <c r="AE116" s="301">
        <f t="shared" si="40"/>
        <v>0.5</v>
      </c>
      <c r="AF116" s="173">
        <f t="shared" si="41"/>
        <v>0.53384629902899139</v>
      </c>
      <c r="AG116" s="802">
        <f t="shared" si="49"/>
        <v>1</v>
      </c>
      <c r="AH116" s="172">
        <f t="shared" si="42"/>
        <v>7</v>
      </c>
      <c r="AI116" s="221">
        <f t="shared" si="43"/>
        <v>1.5338462990289914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45760</v>
      </c>
      <c r="B117" s="406">
        <f>'2024'!Wh/'2024'!Env_an*'2025'!Env_an</f>
        <v>8.5556471328498436</v>
      </c>
      <c r="C117" s="385"/>
      <c r="D117" s="388">
        <f t="shared" si="25"/>
        <v>8.701877828028957</v>
      </c>
      <c r="E117" s="380">
        <f t="shared" si="47"/>
        <v>9.050217635833846</v>
      </c>
      <c r="F117" s="380">
        <f t="shared" si="26"/>
        <v>9.050217635833846</v>
      </c>
      <c r="G117" s="110">
        <f t="shared" si="48"/>
        <v>0.15917205469457119</v>
      </c>
      <c r="H117" s="409" t="b">
        <f>Wh_hp&gt;='2024'!Maxi_hp</f>
        <v>0</v>
      </c>
      <c r="I117" s="375">
        <f>IF(H117,Wh_hp,'2024'!Maxi_hp)</f>
        <v>9.0508539778178534</v>
      </c>
      <c r="J117" s="85">
        <f>IF(H117,An,'2024'!An_max)</f>
        <v>2022</v>
      </c>
      <c r="K117" s="193">
        <f t="shared" si="27"/>
        <v>45760</v>
      </c>
      <c r="L117" s="143">
        <f>IF(t&lt;Tvie,1-EXP((T0-t)*PertePVj)+'2024'!Pspv,1-EXP((T0-t)*PertePVj)+Pspv)</f>
        <v>1.6804498760957132E-2</v>
      </c>
      <c r="M117" s="836"/>
      <c r="N117" s="836"/>
      <c r="O117" s="48">
        <f>IF(t&lt;Tnet,'2024'!Resal+('2024'!Salim-'2024'!Resal)*(1-EXP(('2024'!Tnet-t)/('2024'!Tau_j))),Resal+(Salim-Resal)*(1-EXP((Tnet-t)/(Tau_j))))*Salcycl</f>
        <v>3.8489660892314412E-2</v>
      </c>
      <c r="P117" s="165">
        <f>(INDEX(Models!$BJ117:$BT117,,T117)*(1-R117)+INDEX(Models!$BJ117:$BT117,,T117+1)*R117-ERP_i)*Q117*Ramure*Pc/MaxiM</f>
        <v>7.1646810987572776E-5</v>
      </c>
      <c r="Q117" s="301">
        <f t="shared" si="28"/>
        <v>0.5</v>
      </c>
      <c r="R117" s="173">
        <f t="shared" si="29"/>
        <v>0.53541057296191297</v>
      </c>
      <c r="S117" s="802">
        <f t="shared" si="30"/>
        <v>1</v>
      </c>
      <c r="T117" s="172">
        <f t="shared" si="31"/>
        <v>7</v>
      </c>
      <c r="U117" s="247">
        <f t="shared" si="32"/>
        <v>1.535410572961913</v>
      </c>
      <c r="V117" s="378">
        <f t="shared" si="33"/>
        <v>53.747086223349633</v>
      </c>
      <c r="W117" s="397">
        <f t="shared" si="34"/>
        <v>8.5556471328498436</v>
      </c>
      <c r="X117" s="153">
        <f t="shared" si="35"/>
        <v>45760</v>
      </c>
      <c r="Y117" s="380">
        <f t="shared" si="36"/>
        <v>8.4139894748158053</v>
      </c>
      <c r="Z117" s="380">
        <f t="shared" si="37"/>
        <v>8.5577989974652304</v>
      </c>
      <c r="AA117" s="381">
        <f t="shared" si="38"/>
        <v>9.050217635833846</v>
      </c>
      <c r="AB117" s="193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5.4409590816789893E-2</v>
      </c>
      <c r="AD117" s="227">
        <f>(INDEX(Models!$BJ117:$BT117,,AH117)*(1-AF117)+INDEX(Models!$BJ117:$BT117,,AH117+1)*AF117-ERP_i)*AE117*Ramure*Pc/MaxiM</f>
        <v>7.1646810987572776E-5</v>
      </c>
      <c r="AE117" s="301">
        <f t="shared" si="40"/>
        <v>0.5</v>
      </c>
      <c r="AF117" s="173">
        <f t="shared" si="41"/>
        <v>0.53541057296191297</v>
      </c>
      <c r="AG117" s="802">
        <f t="shared" si="49"/>
        <v>1</v>
      </c>
      <c r="AH117" s="172">
        <f t="shared" si="42"/>
        <v>7</v>
      </c>
      <c r="AI117" s="221">
        <f t="shared" si="43"/>
        <v>1.535410572961913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45761</v>
      </c>
      <c r="B118" s="406">
        <f>'2024'!Wh/'2024'!Env_an*'2025'!Env_an</f>
        <v>39.496420501339628</v>
      </c>
      <c r="C118" s="385"/>
      <c r="D118" s="388">
        <f t="shared" si="25"/>
        <v>40.172032044283462</v>
      </c>
      <c r="E118" s="380">
        <f t="shared" si="47"/>
        <v>41.78226780756097</v>
      </c>
      <c r="F118" s="380">
        <f t="shared" si="26"/>
        <v>41.784021412022668</v>
      </c>
      <c r="G118" s="110">
        <f t="shared" si="48"/>
        <v>0.73055086210395948</v>
      </c>
      <c r="H118" s="409" t="b">
        <f>Wh_hp&gt;='2024'!Maxi_hp</f>
        <v>0</v>
      </c>
      <c r="I118" s="375">
        <f>IF(H118,Wh_hp,'2024'!Maxi_hp)</f>
        <v>41.785097562255523</v>
      </c>
      <c r="J118" s="85">
        <f>IF(H118,An,'2024'!An_max)</f>
        <v>2022</v>
      </c>
      <c r="K118" s="193">
        <f t="shared" si="27"/>
        <v>45761</v>
      </c>
      <c r="L118" s="143">
        <f>IF(t&lt;Tvie,1-EXP((T0-t)*PertePVj)+'2024'!Pspv,1-EXP((T0-t)*PertePVj)+Pspv)</f>
        <v>1.6817957881719137E-2</v>
      </c>
      <c r="M118" s="836"/>
      <c r="N118" s="836"/>
      <c r="O118" s="48">
        <f>IF(t&lt;Tnet,'2024'!Resal+('2024'!Salim-'2024'!Resal)*(1-EXP(('2024'!Tnet-t)/('2024'!Tau_j))),Resal+(Salim-Resal)*(1-EXP((Tnet-t)/(Tau_j))))*Salcycl</f>
        <v>3.8538735395930751E-2</v>
      </c>
      <c r="P118" s="165">
        <f>(INDEX(Models!$BJ118:$BT118,,T118)*(1-R118)+INDEX(Models!$BJ118:$BT118,,T118+1)*R118-ERP_i)*Q118*Ramure*Pc/MaxiM</f>
        <v>6.8230040647104296E-5</v>
      </c>
      <c r="Q118" s="301">
        <f t="shared" si="28"/>
        <v>0.5</v>
      </c>
      <c r="R118" s="173">
        <f t="shared" si="29"/>
        <v>0.53702919684147665</v>
      </c>
      <c r="S118" s="802">
        <f t="shared" si="30"/>
        <v>1</v>
      </c>
      <c r="T118" s="172">
        <f t="shared" si="31"/>
        <v>7</v>
      </c>
      <c r="U118" s="247">
        <f t="shared" si="32"/>
        <v>1.5370291968414767</v>
      </c>
      <c r="V118" s="378">
        <f t="shared" si="33"/>
        <v>54.062468832654574</v>
      </c>
      <c r="W118" s="397">
        <f t="shared" si="34"/>
        <v>39.496420501339628</v>
      </c>
      <c r="X118" s="153">
        <f t="shared" si="35"/>
        <v>45761</v>
      </c>
      <c r="Y118" s="380">
        <f t="shared" si="36"/>
        <v>38.842849281528572</v>
      </c>
      <c r="Z118" s="380">
        <f t="shared" si="37"/>
        <v>39.507281070595077</v>
      </c>
      <c r="AA118" s="381">
        <f t="shared" si="38"/>
        <v>41.78226780756097</v>
      </c>
      <c r="AB118" s="193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5.4448617950656385E-2</v>
      </c>
      <c r="AD118" s="227">
        <f>(INDEX(Models!$BJ118:$BT118,,AH118)*(1-AF118)+INDEX(Models!$BJ118:$BT118,,AH118+1)*AF118-ERP_i)*AE118*Ramure*Pc/MaxiM</f>
        <v>6.8230040647104296E-5</v>
      </c>
      <c r="AE118" s="301">
        <f t="shared" si="40"/>
        <v>0.5</v>
      </c>
      <c r="AF118" s="173">
        <f t="shared" si="41"/>
        <v>0.53702919684147665</v>
      </c>
      <c r="AG118" s="802">
        <f t="shared" si="49"/>
        <v>1</v>
      </c>
      <c r="AH118" s="172">
        <f t="shared" si="42"/>
        <v>7</v>
      </c>
      <c r="AI118" s="221">
        <f t="shared" si="43"/>
        <v>1.5370291968414767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45762</v>
      </c>
      <c r="B119" s="406">
        <f>'2024'!Wh/'2024'!Env_an*'2025'!Env_an</f>
        <v>43.280212844167913</v>
      </c>
      <c r="C119" s="385"/>
      <c r="D119" s="388">
        <f t="shared" si="25"/>
        <v>44.021151188642591</v>
      </c>
      <c r="E119" s="380">
        <f t="shared" si="47"/>
        <v>45.788033733395132</v>
      </c>
      <c r="F119" s="380">
        <f t="shared" si="26"/>
        <v>45.790129964293634</v>
      </c>
      <c r="G119" s="110">
        <f t="shared" si="48"/>
        <v>0.79602695351976838</v>
      </c>
      <c r="H119" s="409" t="b">
        <f>Wh_hp&gt;='2024'!Maxi_hp</f>
        <v>0</v>
      </c>
      <c r="I119" s="375">
        <f>IF(H119,Wh_hp,'2024'!Maxi_hp)</f>
        <v>45.790974578011351</v>
      </c>
      <c r="J119" s="85">
        <f>IF(H119,An,'2024'!An_max)</f>
        <v>2022</v>
      </c>
      <c r="K119" s="193">
        <f t="shared" si="27"/>
        <v>45762</v>
      </c>
      <c r="L119" s="143">
        <f>IF(t&lt;Tvie,1-EXP((T0-t)*PertePVj)+'2024'!Pspv,1-EXP((T0-t)*PertePVj)+Pspv)</f>
        <v>1.6831416818237077E-2</v>
      </c>
      <c r="M119" s="836"/>
      <c r="N119" s="836"/>
      <c r="O119" s="48">
        <f>IF(t&lt;Tnet,'2024'!Resal+('2024'!Salim-'2024'!Resal)*(1-EXP(('2024'!Tnet-t)/('2024'!Tau_j))),Resal+(Salim-Resal)*(1-EXP((Tnet-t)/(Tau_j))))*Salcycl</f>
        <v>3.8588303551979716E-2</v>
      </c>
      <c r="P119" s="165">
        <f>(INDEX(Models!$BJ119:$BT119,,T119)*(1-R119)+INDEX(Models!$BJ119:$BT119,,T119+1)*R119-ERP_i)*Q119*Ramure*Pc/MaxiM</f>
        <v>6.4602137284703858E-5</v>
      </c>
      <c r="Q119" s="301">
        <f t="shared" si="28"/>
        <v>0.5</v>
      </c>
      <c r="R119" s="173">
        <f t="shared" si="29"/>
        <v>0.53870361415100798</v>
      </c>
      <c r="S119" s="802">
        <f t="shared" si="30"/>
        <v>1</v>
      </c>
      <c r="T119" s="172">
        <f t="shared" si="31"/>
        <v>7</v>
      </c>
      <c r="U119" s="247">
        <f t="shared" si="32"/>
        <v>1.538703614151008</v>
      </c>
      <c r="V119" s="378">
        <f t="shared" si="33"/>
        <v>54.369262184410175</v>
      </c>
      <c r="W119" s="397">
        <f t="shared" si="34"/>
        <v>43.280212844167913</v>
      </c>
      <c r="X119" s="153">
        <f t="shared" si="35"/>
        <v>45762</v>
      </c>
      <c r="Y119" s="380">
        <f t="shared" si="36"/>
        <v>42.564434666243734</v>
      </c>
      <c r="Z119" s="380">
        <f t="shared" si="37"/>
        <v>43.293119200875289</v>
      </c>
      <c r="AA119" s="381">
        <f t="shared" si="38"/>
        <v>45.788033733395132</v>
      </c>
      <c r="AB119" s="193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5.4488352722169731E-2</v>
      </c>
      <c r="AD119" s="227">
        <f>(INDEX(Models!$BJ119:$BT119,,AH119)*(1-AF119)+INDEX(Models!$BJ119:$BT119,,AH119+1)*AF119-ERP_i)*AE119*Ramure*Pc/MaxiM</f>
        <v>6.4602137284703858E-5</v>
      </c>
      <c r="AE119" s="301">
        <f t="shared" si="40"/>
        <v>0.5</v>
      </c>
      <c r="AF119" s="173">
        <f t="shared" si="41"/>
        <v>0.53870361415100798</v>
      </c>
      <c r="AG119" s="802">
        <f t="shared" si="49"/>
        <v>1</v>
      </c>
      <c r="AH119" s="172">
        <f t="shared" si="42"/>
        <v>7</v>
      </c>
      <c r="AI119" s="221">
        <f t="shared" si="43"/>
        <v>1.538703614151008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45763</v>
      </c>
      <c r="B120" s="406">
        <f>'2024'!Wh/'2024'!Env_an*'2025'!Env_an</f>
        <v>39.381298343299463</v>
      </c>
      <c r="C120" s="385"/>
      <c r="D120" s="388">
        <f t="shared" si="25"/>
        <v>40.056037307593726</v>
      </c>
      <c r="E120" s="380">
        <f t="shared" si="47"/>
        <v>41.6659415383076</v>
      </c>
      <c r="F120" s="380">
        <f t="shared" si="26"/>
        <v>41.66746190804686</v>
      </c>
      <c r="G120" s="110">
        <f t="shared" si="48"/>
        <v>0.72036564901168243</v>
      </c>
      <c r="H120" s="409" t="b">
        <f>Wh_hp&gt;='2024'!Maxi_hp</f>
        <v>0</v>
      </c>
      <c r="I120" s="375">
        <f>IF(H120,Wh_hp,'2024'!Maxi_hp)</f>
        <v>41.668451970182822</v>
      </c>
      <c r="J120" s="85">
        <f>IF(H120,An,'2024'!An_max)</f>
        <v>2022</v>
      </c>
      <c r="K120" s="193">
        <f t="shared" si="27"/>
        <v>45763</v>
      </c>
      <c r="L120" s="143">
        <f>IF(t&lt;Tvie,1-EXP((T0-t)*PertePVj)+'2024'!Pspv,1-EXP((T0-t)*PertePVj)+Pspv)</f>
        <v>1.6844875570513507E-2</v>
      </c>
      <c r="M120" s="836"/>
      <c r="N120" s="836"/>
      <c r="O120" s="48">
        <f>IF(t&lt;Tnet,'2024'!Resal+('2024'!Salim-'2024'!Resal)*(1-EXP(('2024'!Tnet-t)/('2024'!Tau_j))),Resal+(Salim-Resal)*(1-EXP((Tnet-t)/(Tau_j))))*Salcycl</f>
        <v>3.8638373963869974E-2</v>
      </c>
      <c r="P120" s="165">
        <f>(INDEX(Models!$BJ120:$BT120,,T120)*(1-R120)+INDEX(Models!$BJ120:$BT120,,T120+1)*R120-ERP_i)*Q120*Ramure*Pc/MaxiM</f>
        <v>6.0758203905139826E-5</v>
      </c>
      <c r="Q120" s="301">
        <f t="shared" si="28"/>
        <v>0.5</v>
      </c>
      <c r="R120" s="173">
        <f t="shared" si="29"/>
        <v>0.54043527212465037</v>
      </c>
      <c r="S120" s="802">
        <f t="shared" si="30"/>
        <v>1</v>
      </c>
      <c r="T120" s="172">
        <f t="shared" si="31"/>
        <v>7</v>
      </c>
      <c r="U120" s="247">
        <f t="shared" si="32"/>
        <v>1.5404352721246504</v>
      </c>
      <c r="V120" s="378">
        <f t="shared" si="33"/>
        <v>54.667157682067078</v>
      </c>
      <c r="W120" s="397">
        <f t="shared" si="34"/>
        <v>39.381298343299463</v>
      </c>
      <c r="X120" s="153">
        <f t="shared" si="35"/>
        <v>45763</v>
      </c>
      <c r="Y120" s="380">
        <f t="shared" si="36"/>
        <v>38.73036134827457</v>
      </c>
      <c r="Z120" s="380">
        <f t="shared" si="37"/>
        <v>39.393947492008799</v>
      </c>
      <c r="AA120" s="381">
        <f t="shared" si="38"/>
        <v>41.6659415383076</v>
      </c>
      <c r="AB120" s="193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5.452880608037939E-2</v>
      </c>
      <c r="AD120" s="227">
        <f>(INDEX(Models!$BJ120:$BT120,,AH120)*(1-AF120)+INDEX(Models!$BJ120:$BT120,,AH120+1)*AF120-ERP_i)*AE120*Ramure*Pc/MaxiM</f>
        <v>6.0758203905139826E-5</v>
      </c>
      <c r="AE120" s="301">
        <f t="shared" si="40"/>
        <v>0.5</v>
      </c>
      <c r="AF120" s="173">
        <f t="shared" si="41"/>
        <v>0.54043527212465037</v>
      </c>
      <c r="AG120" s="802">
        <f t="shared" si="49"/>
        <v>1</v>
      </c>
      <c r="AH120" s="172">
        <f t="shared" si="42"/>
        <v>7</v>
      </c>
      <c r="AI120" s="221">
        <f t="shared" si="43"/>
        <v>1.5404352721246504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45764</v>
      </c>
      <c r="B121" s="406">
        <f>'2024'!Wh/'2024'!Env_an*'2025'!Env_an</f>
        <v>54.542414363172576</v>
      </c>
      <c r="C121" s="385"/>
      <c r="D121" s="388">
        <f t="shared" si="25"/>
        <v>55.477675554907321</v>
      </c>
      <c r="E121" s="380">
        <f t="shared" si="47"/>
        <v>57.710431832413789</v>
      </c>
      <c r="F121" s="380">
        <f t="shared" si="26"/>
        <v>57.713668562420814</v>
      </c>
      <c r="G121" s="110">
        <f t="shared" si="48"/>
        <v>0.99247049732378634</v>
      </c>
      <c r="H121" s="409" t="b">
        <f>Wh_hp&gt;='2024'!Maxi_hp</f>
        <v>0</v>
      </c>
      <c r="I121" s="375">
        <f>IF(H121,Wh_hp,'2024'!Maxi_hp)</f>
        <v>57.713702978018006</v>
      </c>
      <c r="J121" s="85">
        <f>IF(H121,An,'2024'!An_max)</f>
        <v>2022</v>
      </c>
      <c r="K121" s="193">
        <f t="shared" si="27"/>
        <v>45764</v>
      </c>
      <c r="L121" s="143">
        <f>IF(t&lt;Tvie,1-EXP((T0-t)*PertePVj)+'2024'!Pspv,1-EXP((T0-t)*PertePVj)+Pspv)</f>
        <v>1.6858334138550868E-2</v>
      </c>
      <c r="M121" s="836"/>
      <c r="N121" s="836"/>
      <c r="O121" s="48">
        <f>IF(t&lt;Tnet,'2024'!Resal+('2024'!Salim-'2024'!Resal)*(1-EXP(('2024'!Tnet-t)/('2024'!Tau_j))),Resal+(Salim-Resal)*(1-EXP((Tnet-t)/(Tau_j))))*Salcycl</f>
        <v>3.8688954606858603E-2</v>
      </c>
      <c r="P121" s="165">
        <f>(INDEX(Models!$BJ121:$BT121,,T121)*(1-R121)+INDEX(Models!$BJ121:$BT121,,T121+1)*R121-ERP_i)*Q121*Ramure*Pc/MaxiM</f>
        <v>5.6692313291199615E-5</v>
      </c>
      <c r="Q121" s="301">
        <f t="shared" si="28"/>
        <v>0.5</v>
      </c>
      <c r="R121" s="173">
        <f t="shared" si="29"/>
        <v>0.54222561865932728</v>
      </c>
      <c r="S121" s="802">
        <f t="shared" si="30"/>
        <v>1</v>
      </c>
      <c r="T121" s="172">
        <f t="shared" si="31"/>
        <v>7</v>
      </c>
      <c r="U121" s="247">
        <f t="shared" si="32"/>
        <v>1.5422256186593273</v>
      </c>
      <c r="V121" s="378">
        <f t="shared" si="33"/>
        <v>54.956173761040908</v>
      </c>
      <c r="W121" s="397">
        <f t="shared" si="34"/>
        <v>54.542414363172576</v>
      </c>
      <c r="X121" s="153">
        <f t="shared" si="35"/>
        <v>45764</v>
      </c>
      <c r="Y121" s="380">
        <f t="shared" si="36"/>
        <v>53.641363749302151</v>
      </c>
      <c r="Z121" s="380">
        <f t="shared" si="37"/>
        <v>54.561174255899807</v>
      </c>
      <c r="AA121" s="381">
        <f t="shared" si="38"/>
        <v>57.710431832413789</v>
      </c>
      <c r="AB121" s="193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5.456998806834714E-2</v>
      </c>
      <c r="AD121" s="227">
        <f>(INDEX(Models!$BJ121:$BT121,,AH121)*(1-AF121)+INDEX(Models!$BJ121:$BT121,,AH121+1)*AF121-ERP_i)*AE121*Ramure*Pc/MaxiM</f>
        <v>5.6692313291199615E-5</v>
      </c>
      <c r="AE121" s="301">
        <f t="shared" si="40"/>
        <v>0.5</v>
      </c>
      <c r="AF121" s="173">
        <f t="shared" si="41"/>
        <v>0.54222561865932728</v>
      </c>
      <c r="AG121" s="802">
        <f t="shared" si="49"/>
        <v>1</v>
      </c>
      <c r="AH121" s="172">
        <f t="shared" si="42"/>
        <v>7</v>
      </c>
      <c r="AI121" s="221">
        <f t="shared" si="43"/>
        <v>1.5422256186593273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45765</v>
      </c>
      <c r="B122" s="406">
        <f>'2024'!Wh/'2024'!Env_an*'2025'!Env_an</f>
        <v>34.796092028491508</v>
      </c>
      <c r="C122" s="385"/>
      <c r="D122" s="388">
        <f t="shared" si="25"/>
        <v>35.39323942069133</v>
      </c>
      <c r="E122" s="380">
        <f t="shared" si="47"/>
        <v>36.819633985252572</v>
      </c>
      <c r="F122" s="380">
        <f t="shared" si="26"/>
        <v>36.820545970687292</v>
      </c>
      <c r="G122" s="110">
        <f t="shared" si="48"/>
        <v>0.62992806639795418</v>
      </c>
      <c r="H122" s="409" t="b">
        <f>Wh_hp&gt;='2024'!Maxi_hp</f>
        <v>0</v>
      </c>
      <c r="I122" s="375">
        <f>IF(H122,Wh_hp,'2024'!Maxi_hp)</f>
        <v>36.821545007941346</v>
      </c>
      <c r="J122" s="85">
        <f>IF(H122,An,'2024'!An_max)</f>
        <v>2022</v>
      </c>
      <c r="K122" s="193">
        <f t="shared" si="27"/>
        <v>45765</v>
      </c>
      <c r="L122" s="143">
        <f>IF(t&lt;Tvie,1-EXP((T0-t)*PertePVj)+'2024'!Pspv,1-EXP((T0-t)*PertePVj)+Pspv)</f>
        <v>1.6871792522351714E-2</v>
      </c>
      <c r="M122" s="836"/>
      <c r="N122" s="836"/>
      <c r="O122" s="48">
        <f>IF(t&lt;Tnet,'2024'!Resal+('2024'!Salim-'2024'!Resal)*(1-EXP(('2024'!Tnet-t)/('2024'!Tau_j))),Resal+(Salim-Resal)*(1-EXP((Tnet-t)/(Tau_j))))*Salcycl</f>
        <v>3.8740052797172304E-2</v>
      </c>
      <c r="P122" s="165">
        <f>(INDEX(Models!$BJ122:$BT122,,T122)*(1-R122)+INDEX(Models!$BJ122:$BT122,,T122+1)*R122-ERP_i)*Q122*Ramure*Pc/MaxiM</f>
        <v>5.2547664888522064E-5</v>
      </c>
      <c r="Q122" s="301">
        <f t="shared" si="28"/>
        <v>0.5</v>
      </c>
      <c r="R122" s="173">
        <f t="shared" si="29"/>
        <v>0.54407609898205012</v>
      </c>
      <c r="S122" s="802">
        <f t="shared" si="30"/>
        <v>1</v>
      </c>
      <c r="T122" s="172">
        <f t="shared" si="31"/>
        <v>7</v>
      </c>
      <c r="U122" s="247">
        <f t="shared" si="32"/>
        <v>1.5440760989820501</v>
      </c>
      <c r="V122" s="378">
        <f t="shared" si="33"/>
        <v>55.236664708579447</v>
      </c>
      <c r="W122" s="397">
        <f t="shared" si="34"/>
        <v>34.796092028491508</v>
      </c>
      <c r="X122" s="153">
        <f t="shared" si="35"/>
        <v>45765</v>
      </c>
      <c r="Y122" s="380">
        <f t="shared" si="36"/>
        <v>34.22155594350302</v>
      </c>
      <c r="Z122" s="380">
        <f t="shared" si="37"/>
        <v>34.808843529475332</v>
      </c>
      <c r="AA122" s="381">
        <f t="shared" si="38"/>
        <v>36.819633985252572</v>
      </c>
      <c r="AB122" s="193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5.4611907782207383E-2</v>
      </c>
      <c r="AD122" s="227">
        <f>(INDEX(Models!$BJ122:$BT122,,AH122)*(1-AF122)+INDEX(Models!$BJ122:$BT122,,AH122+1)*AF122-ERP_i)*AE122*Ramure*Pc/MaxiM</f>
        <v>5.2547664888522064E-5</v>
      </c>
      <c r="AE122" s="301">
        <f t="shared" si="40"/>
        <v>0.5</v>
      </c>
      <c r="AF122" s="173">
        <f t="shared" si="41"/>
        <v>0.54407609898205012</v>
      </c>
      <c r="AG122" s="802">
        <f t="shared" si="49"/>
        <v>1</v>
      </c>
      <c r="AH122" s="172">
        <f t="shared" si="42"/>
        <v>7</v>
      </c>
      <c r="AI122" s="221">
        <f t="shared" si="43"/>
        <v>1.5440760989820501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45766</v>
      </c>
      <c r="B123" s="406">
        <f>'2024'!Wh/'2024'!Env_an*'2025'!Env_an</f>
        <v>11.44841004669245</v>
      </c>
      <c r="C123" s="385"/>
      <c r="D123" s="388">
        <f t="shared" si="25"/>
        <v>11.645039457600673</v>
      </c>
      <c r="E123" s="380">
        <f t="shared" si="47"/>
        <v>12.115000626464834</v>
      </c>
      <c r="F123" s="380">
        <f t="shared" si="26"/>
        <v>12.115000626464834</v>
      </c>
      <c r="G123" s="110">
        <f t="shared" si="48"/>
        <v>0.20623484966926686</v>
      </c>
      <c r="H123" s="409" t="b">
        <f>Wh_hp&gt;='2024'!Maxi_hp</f>
        <v>0</v>
      </c>
      <c r="I123" s="375">
        <f>IF(H123,Wh_hp,'2024'!Maxi_hp)</f>
        <v>12.115576343034617</v>
      </c>
      <c r="J123" s="85">
        <f>IF(H123,An,'2024'!An_max)</f>
        <v>2022</v>
      </c>
      <c r="K123" s="193">
        <f t="shared" si="27"/>
        <v>45766</v>
      </c>
      <c r="L123" s="143">
        <f>IF(t&lt;Tvie,1-EXP((T0-t)*PertePVj)+'2024'!Pspv,1-EXP((T0-t)*PertePVj)+Pspv)</f>
        <v>1.6885250721918599E-2</v>
      </c>
      <c r="M123" s="836"/>
      <c r="N123" s="836"/>
      <c r="O123" s="48">
        <f>IF(t&lt;Tnet,'2024'!Resal+('2024'!Salim-'2024'!Resal)*(1-EXP(('2024'!Tnet-t)/('2024'!Tau_j))),Resal+(Salim-Resal)*(1-EXP((Tnet-t)/(Tau_j))))*Salcycl</f>
        <v>3.8791675159929095E-2</v>
      </c>
      <c r="P123" s="165">
        <f>(INDEX(Models!$BJ123:$BT123,,T123)*(1-R123)+INDEX(Models!$BJ123:$BT123,,T123+1)*R123-ERP_i)*Q123*Ramure*Pc/MaxiM</f>
        <v>4.8720071271259932E-5</v>
      </c>
      <c r="Q123" s="301">
        <f t="shared" si="28"/>
        <v>0.5</v>
      </c>
      <c r="R123" s="173">
        <f t="shared" si="29"/>
        <v>0.54598815206668694</v>
      </c>
      <c r="S123" s="802">
        <f t="shared" si="30"/>
        <v>1</v>
      </c>
      <c r="T123" s="172">
        <f t="shared" si="31"/>
        <v>7</v>
      </c>
      <c r="U123" s="247">
        <f t="shared" si="32"/>
        <v>1.5459881520666869</v>
      </c>
      <c r="V123" s="378">
        <f t="shared" si="33"/>
        <v>55.508815787911878</v>
      </c>
      <c r="W123" s="397">
        <f t="shared" si="34"/>
        <v>11.44841004669245</v>
      </c>
      <c r="X123" s="153">
        <f t="shared" si="35"/>
        <v>45766</v>
      </c>
      <c r="Y123" s="380">
        <f t="shared" si="36"/>
        <v>11.259476016398068</v>
      </c>
      <c r="Z123" s="380">
        <f t="shared" si="37"/>
        <v>11.452860436348962</v>
      </c>
      <c r="AA123" s="381">
        <f t="shared" si="38"/>
        <v>12.115000626464834</v>
      </c>
      <c r="AB123" s="193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5.4654573328659001E-2</v>
      </c>
      <c r="AD123" s="227">
        <f>(INDEX(Models!$BJ123:$BT123,,AH123)*(1-AF123)+INDEX(Models!$BJ123:$BT123,,AH123+1)*AF123-ERP_i)*AE123*Ramure*Pc/MaxiM</f>
        <v>4.8720071271259932E-5</v>
      </c>
      <c r="AE123" s="301">
        <f t="shared" si="40"/>
        <v>0.5</v>
      </c>
      <c r="AF123" s="173">
        <f t="shared" si="41"/>
        <v>0.54598815206668694</v>
      </c>
      <c r="AG123" s="802">
        <f t="shared" si="49"/>
        <v>1</v>
      </c>
      <c r="AH123" s="172">
        <f t="shared" si="42"/>
        <v>7</v>
      </c>
      <c r="AI123" s="221">
        <f t="shared" si="43"/>
        <v>1.5459881520666869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45767</v>
      </c>
      <c r="B124" s="406">
        <f>'2024'!Wh/'2024'!Env_an*'2025'!Env_an</f>
        <v>11.472529360663653</v>
      </c>
      <c r="C124" s="385"/>
      <c r="D124" s="388">
        <f t="shared" si="25"/>
        <v>11.669732775884921</v>
      </c>
      <c r="E124" s="380">
        <f t="shared" si="47"/>
        <v>12.141349253051095</v>
      </c>
      <c r="F124" s="380">
        <f t="shared" si="26"/>
        <v>12.141349253051095</v>
      </c>
      <c r="G124" s="110">
        <f t="shared" si="48"/>
        <v>0.20569172995782983</v>
      </c>
      <c r="H124" s="409" t="b">
        <f>Wh_hp&gt;='2024'!Maxi_hp</f>
        <v>0</v>
      </c>
      <c r="I124" s="375">
        <f>IF(H124,Wh_hp,'2024'!Maxi_hp)</f>
        <v>12.141883816288592</v>
      </c>
      <c r="J124" s="85">
        <f>IF(H124,An,'2024'!An_max)</f>
        <v>2022</v>
      </c>
      <c r="K124" s="193">
        <f t="shared" si="27"/>
        <v>45767</v>
      </c>
      <c r="L124" s="143">
        <f>IF(t&lt;Tvie,1-EXP((T0-t)*PertePVj)+'2024'!Pspv,1-EXP((T0-t)*PertePVj)+Pspv)</f>
        <v>1.6898708737254076E-2</v>
      </c>
      <c r="M124" s="836"/>
      <c r="N124" s="836"/>
      <c r="O124" s="48">
        <f>IF(t&lt;Tnet,'2024'!Resal+('2024'!Salim-'2024'!Resal)*(1-EXP(('2024'!Tnet-t)/('2024'!Tau_j))),Resal+(Salim-Resal)*(1-EXP((Tnet-t)/(Tau_j))))*Salcycl</f>
        <v>3.8843827595821633E-2</v>
      </c>
      <c r="P124" s="165">
        <f>(INDEX(Models!$BJ124:$BT124,,T124)*(1-R124)+INDEX(Models!$BJ124:$BT124,,T124+1)*R124-ERP_i)*Q124*Ramure*Pc/MaxiM</f>
        <v>4.520600137782302E-5</v>
      </c>
      <c r="Q124" s="301">
        <f t="shared" si="28"/>
        <v>0.5</v>
      </c>
      <c r="R124" s="173">
        <f t="shared" si="29"/>
        <v>0.54796320679535615</v>
      </c>
      <c r="S124" s="802">
        <f t="shared" si="30"/>
        <v>1</v>
      </c>
      <c r="T124" s="172">
        <f t="shared" si="31"/>
        <v>7</v>
      </c>
      <c r="U124" s="247">
        <f t="shared" si="32"/>
        <v>1.5479632067953562</v>
      </c>
      <c r="V124" s="378">
        <f t="shared" si="33"/>
        <v>55.772834113639469</v>
      </c>
      <c r="W124" s="397">
        <f t="shared" si="34"/>
        <v>11.472529360663653</v>
      </c>
      <c r="X124" s="153">
        <f t="shared" si="35"/>
        <v>45767</v>
      </c>
      <c r="Y124" s="380">
        <f t="shared" si="36"/>
        <v>11.283291264583562</v>
      </c>
      <c r="Z124" s="380">
        <f t="shared" si="37"/>
        <v>11.477241831399409</v>
      </c>
      <c r="AA124" s="381">
        <f t="shared" si="38"/>
        <v>12.141349253051095</v>
      </c>
      <c r="AB124" s="193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5.4697991780839131E-2</v>
      </c>
      <c r="AD124" s="227">
        <f>(INDEX(Models!$BJ124:$BT124,,AH124)*(1-AF124)+INDEX(Models!$BJ124:$BT124,,AH124+1)*AF124-ERP_i)*AE124*Ramure*Pc/MaxiM</f>
        <v>4.520600137782302E-5</v>
      </c>
      <c r="AE124" s="301">
        <f t="shared" si="40"/>
        <v>0.5</v>
      </c>
      <c r="AF124" s="173">
        <f t="shared" si="41"/>
        <v>0.54796320679535615</v>
      </c>
      <c r="AG124" s="802">
        <f t="shared" si="49"/>
        <v>1</v>
      </c>
      <c r="AH124" s="172">
        <f t="shared" si="42"/>
        <v>7</v>
      </c>
      <c r="AI124" s="221">
        <f t="shared" si="43"/>
        <v>1.5479632067953562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45768</v>
      </c>
      <c r="B125" s="406">
        <f>'2024'!Wh/'2024'!Env_an*'2025'!Env_an</f>
        <v>11.011635563564658</v>
      </c>
      <c r="C125" s="385"/>
      <c r="D125" s="388">
        <f t="shared" si="25"/>
        <v>11.201069923860846</v>
      </c>
      <c r="E125" s="380">
        <f t="shared" si="47"/>
        <v>11.654384883157858</v>
      </c>
      <c r="F125" s="380">
        <f t="shared" si="26"/>
        <v>11.654384883157858</v>
      </c>
      <c r="G125" s="110">
        <f t="shared" si="48"/>
        <v>0.19652657431747234</v>
      </c>
      <c r="H125" s="409" t="b">
        <f>Wh_hp&gt;='2024'!Maxi_hp</f>
        <v>0</v>
      </c>
      <c r="I125" s="375">
        <f>IF(H125,Wh_hp,'2024'!Maxi_hp)</f>
        <v>11.654860886678643</v>
      </c>
      <c r="J125" s="85">
        <f>IF(H125,An,'2024'!An_max)</f>
        <v>2022</v>
      </c>
      <c r="K125" s="193">
        <f t="shared" si="27"/>
        <v>45768</v>
      </c>
      <c r="L125" s="143">
        <f>IF(t&lt;Tvie,1-EXP((T0-t)*PertePVj)+'2024'!Pspv,1-EXP((T0-t)*PertePVj)+Pspv)</f>
        <v>1.6912166568360587E-2</v>
      </c>
      <c r="M125" s="836"/>
      <c r="N125" s="836"/>
      <c r="O125" s="48">
        <f>IF(t&lt;Tnet,'2024'!Resal+('2024'!Salim-'2024'!Resal)*(1-EXP(('2024'!Tnet-t)/('2024'!Tau_j))),Resal+(Salim-Resal)*(1-EXP((Tnet-t)/(Tau_j))))*Salcycl</f>
        <v>3.8896515246558662E-2</v>
      </c>
      <c r="P125" s="165">
        <f>(INDEX(Models!$BJ125:$BT125,,T125)*(1-R125)+INDEX(Models!$BJ125:$BT125,,T125+1)*R125-ERP_i)*Q125*Ramure*Pc/MaxiM</f>
        <v>4.2002799951625417E-5</v>
      </c>
      <c r="Q125" s="301">
        <f t="shared" si="28"/>
        <v>0.5</v>
      </c>
      <c r="R125" s="173">
        <f t="shared" si="29"/>
        <v>0.55000267786082935</v>
      </c>
      <c r="S125" s="802">
        <f t="shared" si="30"/>
        <v>1</v>
      </c>
      <c r="T125" s="172">
        <f t="shared" si="31"/>
        <v>7</v>
      </c>
      <c r="U125" s="247">
        <f t="shared" si="32"/>
        <v>1.5500026778608293</v>
      </c>
      <c r="V125" s="378">
        <f t="shared" si="33"/>
        <v>56.028926786518483</v>
      </c>
      <c r="W125" s="397">
        <f t="shared" si="34"/>
        <v>11.011635563564658</v>
      </c>
      <c r="X125" s="153">
        <f t="shared" si="35"/>
        <v>45768</v>
      </c>
      <c r="Y125" s="380">
        <f t="shared" si="36"/>
        <v>10.830087407068268</v>
      </c>
      <c r="Z125" s="380">
        <f t="shared" si="37"/>
        <v>11.016398574747853</v>
      </c>
      <c r="AA125" s="381">
        <f t="shared" si="38"/>
        <v>11.654384883157858</v>
      </c>
      <c r="AB125" s="193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5.4742169132579441E-2</v>
      </c>
      <c r="AD125" s="227">
        <f>(INDEX(Models!$BJ125:$BT125,,AH125)*(1-AF125)+INDEX(Models!$BJ125:$BT125,,AH125+1)*AF125-ERP_i)*AE125*Ramure*Pc/MaxiM</f>
        <v>4.2002799951625417E-5</v>
      </c>
      <c r="AE125" s="301">
        <f t="shared" si="40"/>
        <v>0.5</v>
      </c>
      <c r="AF125" s="173">
        <f t="shared" si="41"/>
        <v>0.55000267786082935</v>
      </c>
      <c r="AG125" s="802">
        <f t="shared" si="49"/>
        <v>1</v>
      </c>
      <c r="AH125" s="172">
        <f t="shared" si="42"/>
        <v>7</v>
      </c>
      <c r="AI125" s="221">
        <f t="shared" si="43"/>
        <v>1.5500026778608293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45769</v>
      </c>
      <c r="B126" s="406">
        <f>'2024'!Wh/'2024'!Env_an*'2025'!Env_an</f>
        <v>29.29022513941019</v>
      </c>
      <c r="C126" s="385"/>
      <c r="D126" s="388">
        <f t="shared" si="25"/>
        <v>29.794515919539318</v>
      </c>
      <c r="E126" s="380">
        <f t="shared" si="47"/>
        <v>31.002037287598675</v>
      </c>
      <c r="F126" s="380">
        <f t="shared" si="26"/>
        <v>31.002419147384355</v>
      </c>
      <c r="G126" s="110">
        <f t="shared" si="48"/>
        <v>0.52044856333771039</v>
      </c>
      <c r="H126" s="409" t="b">
        <f>Wh_hp&gt;='2024'!Maxi_hp</f>
        <v>0</v>
      </c>
      <c r="I126" s="375">
        <f>IF(H126,Wh_hp,'2024'!Maxi_hp)</f>
        <v>31.003225427552021</v>
      </c>
      <c r="J126" s="85">
        <f>IF(H126,An,'2024'!An_max)</f>
        <v>2022</v>
      </c>
      <c r="K126" s="193">
        <f t="shared" si="27"/>
        <v>45769</v>
      </c>
      <c r="L126" s="143">
        <f>IF(t&lt;Tvie,1-EXP((T0-t)*PertePVj)+'2024'!Pspv,1-EXP((T0-t)*PertePVj)+Pspv)</f>
        <v>1.6925624215240687E-2</v>
      </c>
      <c r="M126" s="836"/>
      <c r="N126" s="836"/>
      <c r="O126" s="48">
        <f>IF(t&lt;Tnet,'2024'!Resal+('2024'!Salim-'2024'!Resal)*(1-EXP(('2024'!Tnet-t)/('2024'!Tau_j))),Resal+(Salim-Resal)*(1-EXP((Tnet-t)/(Tau_j))))*Salcycl</f>
        <v>3.8949742459099101E-2</v>
      </c>
      <c r="P126" s="165">
        <f>(INDEX(Models!$BJ126:$BT126,,T126)*(1-R126)+INDEX(Models!$BJ126:$BT126,,T126+1)*R126-ERP_i)*Q126*Ramure*Pc/MaxiM</f>
        <v>3.9108543165793483E-5</v>
      </c>
      <c r="Q126" s="301">
        <f t="shared" si="28"/>
        <v>0.5</v>
      </c>
      <c r="R126" s="173">
        <f t="shared" si="29"/>
        <v>0.55210796140771179</v>
      </c>
      <c r="S126" s="802">
        <f t="shared" si="30"/>
        <v>1</v>
      </c>
      <c r="T126" s="172">
        <f t="shared" si="31"/>
        <v>7</v>
      </c>
      <c r="U126" s="247">
        <f t="shared" si="32"/>
        <v>1.5521079614077118</v>
      </c>
      <c r="V126" s="378">
        <f t="shared" si="33"/>
        <v>56.277300900592323</v>
      </c>
      <c r="W126" s="397">
        <f t="shared" si="34"/>
        <v>29.29022513941019</v>
      </c>
      <c r="X126" s="153">
        <f t="shared" si="35"/>
        <v>45769</v>
      </c>
      <c r="Y126" s="380">
        <f t="shared" si="36"/>
        <v>28.80754479610507</v>
      </c>
      <c r="Z126" s="380">
        <f t="shared" si="37"/>
        <v>29.30352525271433</v>
      </c>
      <c r="AA126" s="381">
        <f t="shared" si="38"/>
        <v>31.002037287598675</v>
      </c>
      <c r="AB126" s="193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5.4787110251098878E-2</v>
      </c>
      <c r="AD126" s="227">
        <f>(INDEX(Models!$BJ126:$BT126,,AH126)*(1-AF126)+INDEX(Models!$BJ126:$BT126,,AH126+1)*AF126-ERP_i)*AE126*Ramure*Pc/MaxiM</f>
        <v>3.9108543165793483E-5</v>
      </c>
      <c r="AE126" s="301">
        <f t="shared" si="40"/>
        <v>0.5</v>
      </c>
      <c r="AF126" s="173">
        <f t="shared" si="41"/>
        <v>0.55210796140771179</v>
      </c>
      <c r="AG126" s="802">
        <f t="shared" si="49"/>
        <v>1</v>
      </c>
      <c r="AH126" s="172">
        <f t="shared" si="42"/>
        <v>7</v>
      </c>
      <c r="AI126" s="221">
        <f t="shared" si="43"/>
        <v>1.5521079614077118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45770</v>
      </c>
      <c r="B127" s="406">
        <f>'2024'!Wh/'2024'!Env_an*'2025'!Env_an</f>
        <v>9.6162372752174541</v>
      </c>
      <c r="C127" s="385"/>
      <c r="D127" s="388">
        <f t="shared" si="25"/>
        <v>9.781934258591555</v>
      </c>
      <c r="E127" s="380">
        <f t="shared" si="47"/>
        <v>10.178949026724291</v>
      </c>
      <c r="F127" s="380">
        <f t="shared" si="26"/>
        <v>10.178949026724291</v>
      </c>
      <c r="G127" s="110">
        <f t="shared" si="48"/>
        <v>0.17013797812304751</v>
      </c>
      <c r="H127" s="409" t="b">
        <f>Wh_hp&gt;='2024'!Maxi_hp</f>
        <v>0</v>
      </c>
      <c r="I127" s="375">
        <f>IF(H127,Wh_hp,'2024'!Maxi_hp)</f>
        <v>10.179309228480937</v>
      </c>
      <c r="J127" s="85">
        <f>IF(H127,An,'2024'!An_max)</f>
        <v>2022</v>
      </c>
      <c r="K127" s="193">
        <f t="shared" si="27"/>
        <v>45770</v>
      </c>
      <c r="L127" s="143">
        <f>IF(t&lt;Tvie,1-EXP((T0-t)*PertePVj)+'2024'!Pspv,1-EXP((T0-t)*PertePVj)+Pspv)</f>
        <v>1.6939081677896928E-2</v>
      </c>
      <c r="M127" s="836"/>
      <c r="N127" s="836"/>
      <c r="O127" s="48">
        <f>IF(t&lt;Tnet,'2024'!Resal+('2024'!Salim-'2024'!Resal)*(1-EXP(('2024'!Tnet-t)/('2024'!Tau_j))),Resal+(Salim-Resal)*(1-EXP((Tnet-t)/(Tau_j))))*Salcycl</f>
        <v>3.900351274875196E-2</v>
      </c>
      <c r="P127" s="165">
        <f>(INDEX(Models!$BJ127:$BT127,,T127)*(1-R127)+INDEX(Models!$BJ127:$BT127,,T127+1)*R127-ERP_i)*Q127*Ramure*Pc/MaxiM</f>
        <v>3.6521939963451324E-5</v>
      </c>
      <c r="Q127" s="301">
        <f t="shared" si="28"/>
        <v>0.5</v>
      </c>
      <c r="R127" s="173">
        <f t="shared" si="29"/>
        <v>0.55428043041174502</v>
      </c>
      <c r="S127" s="802">
        <f t="shared" si="30"/>
        <v>1</v>
      </c>
      <c r="T127" s="172">
        <f t="shared" si="31"/>
        <v>7</v>
      </c>
      <c r="U127" s="247">
        <f t="shared" si="32"/>
        <v>1.554280430411745</v>
      </c>
      <c r="V127" s="378">
        <f t="shared" si="33"/>
        <v>56.518163537964433</v>
      </c>
      <c r="W127" s="397">
        <f t="shared" si="34"/>
        <v>9.6162372752174541</v>
      </c>
      <c r="X127" s="153">
        <f t="shared" si="35"/>
        <v>45770</v>
      </c>
      <c r="Y127" s="380">
        <f t="shared" si="36"/>
        <v>9.4578408968937424</v>
      </c>
      <c r="Z127" s="380">
        <f t="shared" si="37"/>
        <v>9.6208085588800216</v>
      </c>
      <c r="AA127" s="381">
        <f t="shared" si="38"/>
        <v>10.178949026724291</v>
      </c>
      <c r="AB127" s="193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5.4832818828240801E-2</v>
      </c>
      <c r="AD127" s="227">
        <f>(INDEX(Models!$BJ127:$BT127,,AH127)*(1-AF127)+INDEX(Models!$BJ127:$BT127,,AH127+1)*AF127-ERP_i)*AE127*Ramure*Pc/MaxiM</f>
        <v>3.6521939963451324E-5</v>
      </c>
      <c r="AE127" s="301">
        <f t="shared" si="40"/>
        <v>0.5</v>
      </c>
      <c r="AF127" s="173">
        <f t="shared" si="41"/>
        <v>0.55428043041174502</v>
      </c>
      <c r="AG127" s="802">
        <f t="shared" si="49"/>
        <v>1</v>
      </c>
      <c r="AH127" s="172">
        <f t="shared" si="42"/>
        <v>7</v>
      </c>
      <c r="AI127" s="221">
        <f t="shared" si="43"/>
        <v>1.554280430411745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45771</v>
      </c>
      <c r="B128" s="406">
        <f>'2024'!Wh/'2024'!Env_an*'2025'!Env_an</f>
        <v>34.480064177522223</v>
      </c>
      <c r="C128" s="385"/>
      <c r="D128" s="388">
        <f t="shared" si="25"/>
        <v>35.074668867885492</v>
      </c>
      <c r="E128" s="380">
        <f t="shared" si="47"/>
        <v>36.500290982828844</v>
      </c>
      <c r="F128" s="380">
        <f t="shared" si="26"/>
        <v>36.500839844063847</v>
      </c>
      <c r="G128" s="110">
        <f t="shared" si="48"/>
        <v>0.60754812154042004</v>
      </c>
      <c r="H128" s="409" t="b">
        <f>Wh_hp&gt;='2024'!Maxi_hp</f>
        <v>0</v>
      </c>
      <c r="I128" s="375">
        <f>IF(H128,Wh_hp,'2024'!Maxi_hp)</f>
        <v>36.501517073169801</v>
      </c>
      <c r="J128" s="85">
        <f>IF(H128,An,'2024'!An_max)</f>
        <v>2022</v>
      </c>
      <c r="K128" s="193">
        <f t="shared" si="27"/>
        <v>45771</v>
      </c>
      <c r="L128" s="143">
        <f>IF(t&lt;Tvie,1-EXP((T0-t)*PertePVj)+'2024'!Pspv,1-EXP((T0-t)*PertePVj)+Pspv)</f>
        <v>1.6952538956331864E-2</v>
      </c>
      <c r="M128" s="836"/>
      <c r="N128" s="836"/>
      <c r="O128" s="48">
        <f>IF(t&lt;Tnet,'2024'!Resal+('2024'!Salim-'2024'!Resal)*(1-EXP(('2024'!Tnet-t)/('2024'!Tau_j))),Resal+(Salim-Resal)*(1-EXP((Tnet-t)/(Tau_j))))*Salcycl</f>
        <v>3.9057828761256026E-2</v>
      </c>
      <c r="P128" s="165">
        <f>(INDEX(Models!$BJ128:$BT128,,T128)*(1-R128)+INDEX(Models!$BJ128:$BT128,,T128+1)*R128-ERP_i)*Q128*Ramure*Pc/MaxiM</f>
        <v>3.4223797797192229E-5</v>
      </c>
      <c r="Q128" s="301">
        <f t="shared" si="28"/>
        <v>0.5</v>
      </c>
      <c r="R128" s="173">
        <f t="shared" si="29"/>
        <v>0.55652142979832653</v>
      </c>
      <c r="S128" s="802">
        <f t="shared" si="30"/>
        <v>1</v>
      </c>
      <c r="T128" s="172">
        <f t="shared" si="31"/>
        <v>7</v>
      </c>
      <c r="U128" s="247">
        <f t="shared" si="32"/>
        <v>1.5565214297983265</v>
      </c>
      <c r="V128" s="378">
        <f t="shared" si="33"/>
        <v>56.751722836940694</v>
      </c>
      <c r="W128" s="397">
        <f t="shared" si="34"/>
        <v>34.480064177522223</v>
      </c>
      <c r="X128" s="153">
        <f t="shared" si="35"/>
        <v>45771</v>
      </c>
      <c r="Y128" s="380">
        <f t="shared" si="36"/>
        <v>33.91236586229045</v>
      </c>
      <c r="Z128" s="380">
        <f t="shared" si="37"/>
        <v>34.497180661335356</v>
      </c>
      <c r="AA128" s="381">
        <f t="shared" si="38"/>
        <v>36.500290982828844</v>
      </c>
      <c r="AB128" s="193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5.487929733041931E-2</v>
      </c>
      <c r="AD128" s="227">
        <f>(INDEX(Models!$BJ128:$BT128,,AH128)*(1-AF128)+INDEX(Models!$BJ128:$BT128,,AH128+1)*AF128-ERP_i)*AE128*Ramure*Pc/MaxiM</f>
        <v>3.4223797797192229E-5</v>
      </c>
      <c r="AE128" s="301">
        <f t="shared" si="40"/>
        <v>0.5</v>
      </c>
      <c r="AF128" s="173">
        <f t="shared" si="41"/>
        <v>0.55652142979832653</v>
      </c>
      <c r="AG128" s="802">
        <f t="shared" si="49"/>
        <v>1</v>
      </c>
      <c r="AH128" s="172">
        <f t="shared" si="42"/>
        <v>7</v>
      </c>
      <c r="AI128" s="221">
        <f t="shared" si="43"/>
        <v>1.5565214297983265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45772</v>
      </c>
      <c r="B129" s="406">
        <f>'2024'!Wh/'2024'!Env_an*'2025'!Env_an</f>
        <v>45.504352142857812</v>
      </c>
      <c r="C129" s="385"/>
      <c r="D129" s="388">
        <f t="shared" si="25"/>
        <v>46.28970306219199</v>
      </c>
      <c r="E129" s="380">
        <f t="shared" si="47"/>
        <v>48.173914555924569</v>
      </c>
      <c r="F129" s="380">
        <f t="shared" si="26"/>
        <v>48.175014588133259</v>
      </c>
      <c r="G129" s="110">
        <f t="shared" si="48"/>
        <v>0.79862011384434373</v>
      </c>
      <c r="H129" s="409" t="b">
        <f>Wh_hp&gt;='2024'!Maxi_hp</f>
        <v>0</v>
      </c>
      <c r="I129" s="375">
        <f>IF(H129,Wh_hp,'2024'!Maxi_hp)</f>
        <v>48.17544330333763</v>
      </c>
      <c r="J129" s="85">
        <f>IF(H129,An,'2024'!An_max)</f>
        <v>2022</v>
      </c>
      <c r="K129" s="193">
        <f t="shared" si="27"/>
        <v>45772</v>
      </c>
      <c r="L129" s="143">
        <f>IF(t&lt;Tvie,1-EXP((T0-t)*PertePVj)+'2024'!Pspv,1-EXP((T0-t)*PertePVj)+Pspv)</f>
        <v>1.6965996050547827E-2</v>
      </c>
      <c r="M129" s="836"/>
      <c r="N129" s="836"/>
      <c r="O129" s="48">
        <f>IF(t&lt;Tnet,'2024'!Resal+('2024'!Salim-'2024'!Resal)*(1-EXP(('2024'!Tnet-t)/('2024'!Tau_j))),Resal+(Salim-Resal)*(1-EXP((Tnet-t)/(Tau_j))))*Salcycl</f>
        <v>3.9112692233993544E-2</v>
      </c>
      <c r="P129" s="165">
        <f>(INDEX(Models!$BJ129:$BT129,,T129)*(1-R129)+INDEX(Models!$BJ129:$BT129,,T129+1)*R129-ERP_i)*Q129*Ramure*Pc/MaxiM</f>
        <v>3.2055708368043833E-5</v>
      </c>
      <c r="Q129" s="301">
        <f t="shared" si="28"/>
        <v>0.5</v>
      </c>
      <c r="R129" s="173">
        <f t="shared" si="29"/>
        <v>0.55883227130329249</v>
      </c>
      <c r="S129" s="802">
        <f t="shared" si="30"/>
        <v>1</v>
      </c>
      <c r="T129" s="172">
        <f t="shared" si="31"/>
        <v>7</v>
      </c>
      <c r="U129" s="247">
        <f t="shared" si="32"/>
        <v>1.5588322713032925</v>
      </c>
      <c r="V129" s="378">
        <f t="shared" si="33"/>
        <v>56.978194914319296</v>
      </c>
      <c r="W129" s="397">
        <f t="shared" si="34"/>
        <v>45.504352142857812</v>
      </c>
      <c r="X129" s="153">
        <f t="shared" si="35"/>
        <v>45772</v>
      </c>
      <c r="Y129" s="380">
        <f t="shared" si="36"/>
        <v>44.755461812219352</v>
      </c>
      <c r="Z129" s="380">
        <f t="shared" si="37"/>
        <v>45.527887776423945</v>
      </c>
      <c r="AA129" s="381">
        <f t="shared" si="38"/>
        <v>48.173914555924569</v>
      </c>
      <c r="AB129" s="193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5.4926546947495443E-2</v>
      </c>
      <c r="AD129" s="227">
        <f>(INDEX(Models!$BJ129:$BT129,,AH129)*(1-AF129)+INDEX(Models!$BJ129:$BT129,,AH129+1)*AF129-ERP_i)*AE129*Ramure*Pc/MaxiM</f>
        <v>3.2055708368043833E-5</v>
      </c>
      <c r="AE129" s="301">
        <f t="shared" si="40"/>
        <v>0.5</v>
      </c>
      <c r="AF129" s="173">
        <f t="shared" si="41"/>
        <v>0.55883227130329249</v>
      </c>
      <c r="AG129" s="802">
        <f t="shared" si="49"/>
        <v>1</v>
      </c>
      <c r="AH129" s="172">
        <f t="shared" si="42"/>
        <v>7</v>
      </c>
      <c r="AI129" s="221">
        <f t="shared" si="43"/>
        <v>1.5588322713032925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45773</v>
      </c>
      <c r="B130" s="406">
        <f>'2024'!Wh/'2024'!Env_an*'2025'!Env_an</f>
        <v>56.815933357114744</v>
      </c>
      <c r="C130" s="385"/>
      <c r="D130" s="388">
        <f t="shared" si="25"/>
        <v>57.797299891875504</v>
      </c>
      <c r="E130" s="380">
        <f t="shared" si="47"/>
        <v>60.153394292877245</v>
      </c>
      <c r="F130" s="380">
        <f t="shared" si="26"/>
        <v>60.155182757845211</v>
      </c>
      <c r="G130" s="110">
        <f t="shared" si="48"/>
        <v>0.99332369378927532</v>
      </c>
      <c r="H130" s="409" t="b">
        <f>Wh_hp&gt;='2024'!Maxi_hp</f>
        <v>0</v>
      </c>
      <c r="I130" s="375">
        <f>IF(H130,Wh_hp,'2024'!Maxi_hp)</f>
        <v>60.155199341869753</v>
      </c>
      <c r="J130" s="85">
        <f>IF(H130,An,'2024'!An_max)</f>
        <v>2022</v>
      </c>
      <c r="K130" s="193">
        <f t="shared" si="27"/>
        <v>45773</v>
      </c>
      <c r="L130" s="143">
        <f>IF(t&lt;Tvie,1-EXP((T0-t)*PertePVj)+'2024'!Pspv,1-EXP((T0-t)*PertePVj)+Pspv)</f>
        <v>1.6979452960547592E-2</v>
      </c>
      <c r="M130" s="836"/>
      <c r="N130" s="836"/>
      <c r="O130" s="48">
        <f>IF(t&lt;Tnet,'2024'!Resal+('2024'!Salim-'2024'!Resal)*(1-EXP(('2024'!Tnet-t)/('2024'!Tau_j))),Resal+(Salim-Resal)*(1-EXP((Tnet-t)/(Tau_j))))*Salcycl</f>
        <v>3.9168103956533119E-2</v>
      </c>
      <c r="P130" s="165">
        <f>(INDEX(Models!$BJ130:$BT130,,T130)*(1-R130)+INDEX(Models!$BJ130:$BT130,,T130+1)*R130-ERP_i)*Q130*Ramure*Pc/MaxiM</f>
        <v>3.0017132820478995E-5</v>
      </c>
      <c r="Q130" s="301">
        <f t="shared" si="28"/>
        <v>0.5</v>
      </c>
      <c r="R130" s="173">
        <f t="shared" si="29"/>
        <v>0.5612142280811514</v>
      </c>
      <c r="S130" s="802">
        <f t="shared" si="30"/>
        <v>1</v>
      </c>
      <c r="T130" s="172">
        <f t="shared" si="31"/>
        <v>7</v>
      </c>
      <c r="U130" s="247">
        <f t="shared" si="32"/>
        <v>1.5612142280811514</v>
      </c>
      <c r="V130" s="378">
        <f t="shared" si="33"/>
        <v>57.197787032247234</v>
      </c>
      <c r="W130" s="397">
        <f t="shared" si="34"/>
        <v>56.815933357114744</v>
      </c>
      <c r="X130" s="153">
        <f t="shared" si="35"/>
        <v>45773</v>
      </c>
      <c r="Y130" s="380">
        <f t="shared" si="36"/>
        <v>55.881265195788252</v>
      </c>
      <c r="Z130" s="380">
        <f t="shared" si="37"/>
        <v>56.846487455511465</v>
      </c>
      <c r="AA130" s="381">
        <f t="shared" si="38"/>
        <v>60.153394292877245</v>
      </c>
      <c r="AB130" s="193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5.4974567540860247E-2</v>
      </c>
      <c r="AD130" s="227">
        <f>(INDEX(Models!$BJ130:$BT130,,AH130)*(1-AF130)+INDEX(Models!$BJ130:$BT130,,AH130+1)*AF130-ERP_i)*AE130*Ramure*Pc/MaxiM</f>
        <v>3.0017132820478995E-5</v>
      </c>
      <c r="AE130" s="301">
        <f t="shared" si="40"/>
        <v>0.5</v>
      </c>
      <c r="AF130" s="173">
        <f t="shared" si="41"/>
        <v>0.5612142280811514</v>
      </c>
      <c r="AG130" s="802">
        <f t="shared" si="49"/>
        <v>1</v>
      </c>
      <c r="AH130" s="172">
        <f t="shared" si="42"/>
        <v>7</v>
      </c>
      <c r="AI130" s="221">
        <f t="shared" si="43"/>
        <v>1.5612142280811514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45774</v>
      </c>
      <c r="B131" s="406">
        <f>'2024'!Wh/'2024'!Env_an*'2025'!Env_an</f>
        <v>45.161173635214588</v>
      </c>
      <c r="C131" s="385"/>
      <c r="D131" s="388">
        <f t="shared" si="25"/>
        <v>45.941859504598455</v>
      </c>
      <c r="E131" s="380">
        <f t="shared" si="47"/>
        <v>47.817454382749006</v>
      </c>
      <c r="F131" s="380">
        <f t="shared" si="26"/>
        <v>47.818388770307884</v>
      </c>
      <c r="G131" s="110">
        <f t="shared" si="48"/>
        <v>0.78662656298484002</v>
      </c>
      <c r="H131" s="409" t="b">
        <f>Wh_hp&gt;='2024'!Maxi_hp</f>
        <v>0</v>
      </c>
      <c r="I131" s="375">
        <f>IF(H131,Wh_hp,'2024'!Maxi_hp)</f>
        <v>47.818782462690812</v>
      </c>
      <c r="J131" s="85">
        <f>IF(H131,An,'2024'!An_max)</f>
        <v>2022</v>
      </c>
      <c r="K131" s="193">
        <f t="shared" si="27"/>
        <v>45774</v>
      </c>
      <c r="L131" s="143">
        <f>IF(t&lt;Tvie,1-EXP((T0-t)*PertePVj)+'2024'!Pspv,1-EXP((T0-t)*PertePVj)+Pspv)</f>
        <v>1.6992909686333491E-2</v>
      </c>
      <c r="M131" s="836"/>
      <c r="N131" s="836"/>
      <c r="O131" s="48">
        <f>IF(t&lt;Tnet,'2024'!Resal+('2024'!Salim-'2024'!Resal)*(1-EXP(('2024'!Tnet-t)/('2024'!Tau_j))),Resal+(Salim-Resal)*(1-EXP((Tnet-t)/(Tau_j))))*Salcycl</f>
        <v>3.9224063730736926E-2</v>
      </c>
      <c r="P131" s="165">
        <f>(INDEX(Models!$BJ131:$BT131,,T131)*(1-R131)+INDEX(Models!$BJ131:$BT131,,T131+1)*R131-ERP_i)*Q131*Ramure*Pc/MaxiM</f>
        <v>2.8107894984509589E-5</v>
      </c>
      <c r="Q131" s="301">
        <f t="shared" si="28"/>
        <v>0.5</v>
      </c>
      <c r="R131" s="173">
        <f t="shared" si="29"/>
        <v>0.56366852906828635</v>
      </c>
      <c r="S131" s="802">
        <f t="shared" si="30"/>
        <v>1</v>
      </c>
      <c r="T131" s="172">
        <f t="shared" si="31"/>
        <v>7</v>
      </c>
      <c r="U131" s="247">
        <f t="shared" si="32"/>
        <v>1.5636685290682864</v>
      </c>
      <c r="V131" s="378">
        <f t="shared" si="33"/>
        <v>57.410706467168815</v>
      </c>
      <c r="W131" s="397">
        <f t="shared" si="34"/>
        <v>45.161173635214588</v>
      </c>
      <c r="X131" s="153">
        <f t="shared" si="35"/>
        <v>45774</v>
      </c>
      <c r="Y131" s="380">
        <f t="shared" si="36"/>
        <v>44.418529459393234</v>
      </c>
      <c r="Z131" s="380">
        <f t="shared" si="37"/>
        <v>45.186377491152967</v>
      </c>
      <c r="AA131" s="381">
        <f t="shared" si="38"/>
        <v>47.817454382749006</v>
      </c>
      <c r="AB131" s="193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5.5023357591056719E-2</v>
      </c>
      <c r="AD131" s="227">
        <f>(INDEX(Models!$BJ131:$BT131,,AH131)*(1-AF131)+INDEX(Models!$BJ131:$BT131,,AH131+1)*AF131-ERP_i)*AE131*Ramure*Pc/MaxiM</f>
        <v>2.8107894984509589E-5</v>
      </c>
      <c r="AE131" s="301">
        <f t="shared" si="40"/>
        <v>0.5</v>
      </c>
      <c r="AF131" s="173">
        <f t="shared" si="41"/>
        <v>0.56366852906828635</v>
      </c>
      <c r="AG131" s="802">
        <f t="shared" si="49"/>
        <v>1</v>
      </c>
      <c r="AH131" s="172">
        <f t="shared" si="42"/>
        <v>7</v>
      </c>
      <c r="AI131" s="221">
        <f t="shared" si="43"/>
        <v>1.5636685290682864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45775</v>
      </c>
      <c r="B132" s="406">
        <f>'2024'!Wh/'2024'!Env_an*'2025'!Env_an</f>
        <v>24.076699042643686</v>
      </c>
      <c r="C132" s="385"/>
      <c r="D132" s="388">
        <f t="shared" si="25"/>
        <v>24.493240053094684</v>
      </c>
      <c r="E132" s="380">
        <f t="shared" si="47"/>
        <v>25.494685853835531</v>
      </c>
      <c r="F132" s="380">
        <f t="shared" si="26"/>
        <v>25.494798883250613</v>
      </c>
      <c r="G132" s="110">
        <f t="shared" si="48"/>
        <v>0.41786460283229748</v>
      </c>
      <c r="H132" s="409" t="b">
        <f>Wh_hp&gt;='2024'!Maxi_hp</f>
        <v>0</v>
      </c>
      <c r="I132" s="375">
        <f>IF(H132,Wh_hp,'2024'!Maxi_hp)</f>
        <v>25.495334159248106</v>
      </c>
      <c r="J132" s="85">
        <f>IF(H132,An,'2024'!An_max)</f>
        <v>2022</v>
      </c>
      <c r="K132" s="193">
        <f t="shared" si="27"/>
        <v>45775</v>
      </c>
      <c r="L132" s="143">
        <f>IF(t&lt;Tvie,1-EXP((T0-t)*PertePVj)+'2024'!Pspv,1-EXP((T0-t)*PertePVj)+Pspv)</f>
        <v>1.7006366227908187E-2</v>
      </c>
      <c r="M132" s="836"/>
      <c r="N132" s="836"/>
      <c r="O132" s="48">
        <f>IF(t&lt;Tnet,'2024'!Resal+('2024'!Salim-'2024'!Resal)*(1-EXP(('2024'!Tnet-t)/('2024'!Tau_j))),Resal+(Salim-Resal)*(1-EXP((Tnet-t)/(Tau_j))))*Salcycl</f>
        <v>3.9280570330706151E-2</v>
      </c>
      <c r="P132" s="165">
        <f>(INDEX(Models!$BJ132:$BT132,,T132)*(1-R132)+INDEX(Models!$BJ132:$BT132,,T132+1)*R132-ERP_i)*Q132*Ramure*Pc/MaxiM</f>
        <v>2.6328178987356352E-5</v>
      </c>
      <c r="Q132" s="301">
        <f t="shared" si="28"/>
        <v>0.5</v>
      </c>
      <c r="R132" s="173">
        <f t="shared" si="29"/>
        <v>0.56619635311116379</v>
      </c>
      <c r="S132" s="802">
        <f t="shared" si="30"/>
        <v>1</v>
      </c>
      <c r="T132" s="172">
        <f t="shared" si="31"/>
        <v>7</v>
      </c>
      <c r="U132" s="247">
        <f t="shared" si="32"/>
        <v>1.5661963531111638</v>
      </c>
      <c r="V132" s="378">
        <f t="shared" si="33"/>
        <v>57.61716049611293</v>
      </c>
      <c r="W132" s="397">
        <f t="shared" si="34"/>
        <v>24.076699042643686</v>
      </c>
      <c r="X132" s="153">
        <f t="shared" si="35"/>
        <v>45775</v>
      </c>
      <c r="Y132" s="380">
        <f t="shared" si="36"/>
        <v>23.680925315725908</v>
      </c>
      <c r="Z132" s="380">
        <f t="shared" si="37"/>
        <v>24.090619208645208</v>
      </c>
      <c r="AA132" s="381">
        <f t="shared" si="38"/>
        <v>25.494685853835531</v>
      </c>
      <c r="AB132" s="193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5.5072914145325336E-2</v>
      </c>
      <c r="AD132" s="227">
        <f>(INDEX(Models!$BJ132:$BT132,,AH132)*(1-AF132)+INDEX(Models!$BJ132:$BT132,,AH132+1)*AF132-ERP_i)*AE132*Ramure*Pc/MaxiM</f>
        <v>2.6328178987356352E-5</v>
      </c>
      <c r="AE132" s="301">
        <f t="shared" si="40"/>
        <v>0.5</v>
      </c>
      <c r="AF132" s="173">
        <f t="shared" si="41"/>
        <v>0.56619635311116379</v>
      </c>
      <c r="AG132" s="802">
        <f t="shared" si="49"/>
        <v>1</v>
      </c>
      <c r="AH132" s="172">
        <f t="shared" si="42"/>
        <v>7</v>
      </c>
      <c r="AI132" s="221">
        <f t="shared" si="43"/>
        <v>1.5661963531111638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45776</v>
      </c>
      <c r="B133" s="406">
        <f>'2024'!Wh/'2024'!Env_an*'2025'!Env_an</f>
        <v>43.637277103964003</v>
      </c>
      <c r="C133" s="385"/>
      <c r="D133" s="388">
        <f t="shared" si="25"/>
        <v>44.392835284564583</v>
      </c>
      <c r="E133" s="380">
        <f t="shared" si="47"/>
        <v>46.210652437711801</v>
      </c>
      <c r="F133" s="380">
        <f t="shared" si="26"/>
        <v>46.211393298848421</v>
      </c>
      <c r="G133" s="110">
        <f t="shared" si="48"/>
        <v>0.75473702860953629</v>
      </c>
      <c r="H133" s="409" t="b">
        <f>Wh_hp&gt;='2024'!Maxi_hp</f>
        <v>0</v>
      </c>
      <c r="I133" s="375">
        <f>IF(H133,Wh_hp,'2024'!Maxi_hp)</f>
        <v>46.211775667555173</v>
      </c>
      <c r="J133" s="85">
        <f>IF(H133,An,'2024'!An_max)</f>
        <v>2022</v>
      </c>
      <c r="K133" s="193">
        <f t="shared" si="27"/>
        <v>45776</v>
      </c>
      <c r="L133" s="143">
        <f>IF(t&lt;Tvie,1-EXP((T0-t)*PertePVj)+'2024'!Pspv,1-EXP((T0-t)*PertePVj)+Pspv)</f>
        <v>1.7019822585274014E-2</v>
      </c>
      <c r="M133" s="836"/>
      <c r="N133" s="836"/>
      <c r="O133" s="48">
        <f>IF(t&lt;Tnet,'2024'!Resal+('2024'!Salim-'2024'!Resal)*(1-EXP(('2024'!Tnet-t)/('2024'!Tau_j))),Resal+(Salim-Resal)*(1-EXP((Tnet-t)/(Tau_j))))*Salcycl</f>
        <v>3.9337621462875547E-2</v>
      </c>
      <c r="P133" s="165">
        <f>(INDEX(Models!$BJ133:$BT133,,T133)*(1-R133)+INDEX(Models!$BJ133:$BT133,,T133+1)*R133-ERP_i)*Q133*Ramure*Pc/MaxiM</f>
        <v>2.4678527241189242E-5</v>
      </c>
      <c r="Q133" s="301">
        <f t="shared" si="28"/>
        <v>0.5</v>
      </c>
      <c r="R133" s="173">
        <f t="shared" si="29"/>
        <v>0.56879882287229577</v>
      </c>
      <c r="S133" s="802">
        <f t="shared" si="30"/>
        <v>1</v>
      </c>
      <c r="T133" s="172">
        <f t="shared" si="31"/>
        <v>7</v>
      </c>
      <c r="U133" s="247">
        <f t="shared" si="32"/>
        <v>1.5687988228722958</v>
      </c>
      <c r="V133" s="378">
        <f t="shared" si="33"/>
        <v>57.817356420788613</v>
      </c>
      <c r="W133" s="397">
        <f t="shared" si="34"/>
        <v>43.637277103964003</v>
      </c>
      <c r="X133" s="153">
        <f t="shared" si="35"/>
        <v>45776</v>
      </c>
      <c r="Y133" s="380">
        <f t="shared" si="36"/>
        <v>42.92022904414781</v>
      </c>
      <c r="Z133" s="380">
        <f t="shared" si="37"/>
        <v>43.663371887141807</v>
      </c>
      <c r="AA133" s="381">
        <f t="shared" si="38"/>
        <v>46.210652437711801</v>
      </c>
      <c r="AB133" s="193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5.512323276550838E-2</v>
      </c>
      <c r="AD133" s="227">
        <f>(INDEX(Models!$BJ133:$BT133,,AH133)*(1-AF133)+INDEX(Models!$BJ133:$BT133,,AH133+1)*AF133-ERP_i)*AE133*Ramure*Pc/MaxiM</f>
        <v>2.4678527241189242E-5</v>
      </c>
      <c r="AE133" s="301">
        <f t="shared" si="40"/>
        <v>0.5</v>
      </c>
      <c r="AF133" s="173">
        <f t="shared" si="41"/>
        <v>0.56879882287229577</v>
      </c>
      <c r="AG133" s="802">
        <f t="shared" si="49"/>
        <v>1</v>
      </c>
      <c r="AH133" s="172">
        <f t="shared" si="42"/>
        <v>7</v>
      </c>
      <c r="AI133" s="221">
        <f t="shared" si="43"/>
        <v>1.5687988228722958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45777</v>
      </c>
      <c r="B134" s="406">
        <f>'2024'!Wh/'2024'!Env_an*'2025'!Env_an</f>
        <v>44.804923971418354</v>
      </c>
      <c r="C134" s="385"/>
      <c r="D134" s="388">
        <f t="shared" si="25"/>
        <v>45.581323358359597</v>
      </c>
      <c r="E134" s="380">
        <f t="shared" si="47"/>
        <v>45.581323358359597</v>
      </c>
      <c r="F134" s="380">
        <f t="shared" si="26"/>
        <v>45.581989817090239</v>
      </c>
      <c r="G134" s="110">
        <f t="shared" si="48"/>
        <v>0.74191247862167498</v>
      </c>
      <c r="H134" s="409" t="b">
        <f>Wh_hp&gt;='2024'!Maxi_hp</f>
        <v>0</v>
      </c>
      <c r="I134" s="375">
        <f>IF(H134,Wh_hp,'2024'!Maxi_hp)</f>
        <v>45.582361552210081</v>
      </c>
      <c r="J134" s="85">
        <f>IF(H134,An,'2024'!An_max)</f>
        <v>2022</v>
      </c>
      <c r="K134" s="193">
        <f t="shared" si="27"/>
        <v>45777</v>
      </c>
      <c r="L134" s="143">
        <f>IF(t&lt;Tvie,1-EXP((T0-t)*PertePVj)+'2024'!Pspv,1-EXP((T0-t)*PertePVj)+Pspv)</f>
        <v>1.7033278758433634E-2</v>
      </c>
      <c r="M134" s="836"/>
      <c r="N134" s="836"/>
      <c r="O134" s="48">
        <f>IF(t&lt;Tnet,'2024'!Resal+('2024'!Salim-'2024'!Resal)*(1-EXP(('2024'!Tnet-t)/('2024'!Tau_j))),Resal+(Salim-Resal)*(1-EXP((Tnet-t)/(Tau_j))))*Salcycl</f>
        <v>0</v>
      </c>
      <c r="P134" s="165">
        <f>(INDEX(Models!$BJ134:$BT134,,T134)*(1-R134)+INDEX(Models!$BJ134:$BT134,,T134+1)*R134-ERP_i)*Q134*Ramure*Pc/MaxiM</f>
        <v>2.3159838719553119E-5</v>
      </c>
      <c r="Q134" s="301">
        <f t="shared" si="28"/>
        <v>0.5</v>
      </c>
      <c r="R134" s="173">
        <f t="shared" si="29"/>
        <v>0.5714769985295749</v>
      </c>
      <c r="S134" s="802">
        <f t="shared" si="30"/>
        <v>1</v>
      </c>
      <c r="T134" s="172">
        <f t="shared" si="31"/>
        <v>7</v>
      </c>
      <c r="U134" s="247">
        <f t="shared" si="32"/>
        <v>1.5714769985295749</v>
      </c>
      <c r="V134" s="378">
        <f t="shared" si="33"/>
        <v>60.390602233061706</v>
      </c>
      <c r="W134" s="397">
        <f t="shared" si="34"/>
        <v>44.804923971418354</v>
      </c>
      <c r="X134" s="153">
        <f t="shared" si="35"/>
        <v>45777</v>
      </c>
      <c r="Y134" s="380">
        <f t="shared" si="36"/>
        <v>43.039824415560133</v>
      </c>
      <c r="Z134" s="380">
        <f t="shared" si="37"/>
        <v>43.78563738271562</v>
      </c>
      <c r="AA134" s="381">
        <f t="shared" si="38"/>
        <v>45.581323358359597</v>
      </c>
      <c r="AB134" s="193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3.9395213726602998E-2</v>
      </c>
      <c r="AD134" s="227">
        <f>(INDEX(Models!$BJ134:$BT134,,AH134)*(1-AF134)+INDEX(Models!$BJ134:$BT134,,AH134+1)*AF134-ERP_i)*AE134*Ramure*Pc/MaxiM</f>
        <v>2.3159838719553119E-5</v>
      </c>
      <c r="AE134" s="301">
        <f t="shared" si="40"/>
        <v>0.5</v>
      </c>
      <c r="AF134" s="173">
        <f t="shared" si="41"/>
        <v>0.5714769985295749</v>
      </c>
      <c r="AG134" s="802">
        <f t="shared" si="49"/>
        <v>1</v>
      </c>
      <c r="AH134" s="172">
        <f t="shared" si="42"/>
        <v>7</v>
      </c>
      <c r="AI134" s="221">
        <f t="shared" si="43"/>
        <v>1.5714769985295749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45778</v>
      </c>
      <c r="B135" s="406">
        <f>'2024'!Wh/'2024'!Env_an*'2025'!Env_an</f>
        <v>50.829461870886739</v>
      </c>
      <c r="C135" s="385"/>
      <c r="D135" s="388">
        <f t="shared" si="25"/>
        <v>51.710964974335795</v>
      </c>
      <c r="E135" s="380">
        <f t="shared" si="47"/>
        <v>51.714785242787883</v>
      </c>
      <c r="F135" s="380">
        <f t="shared" si="26"/>
        <v>51.7156522807404</v>
      </c>
      <c r="G135" s="110">
        <f t="shared" si="48"/>
        <v>0.83898246821879885</v>
      </c>
      <c r="H135" s="409" t="b">
        <f>Wh_hp&gt;='2024'!Maxi_hp</f>
        <v>0</v>
      </c>
      <c r="I135" s="375">
        <f>IF(H135,Wh_hp,'2024'!Maxi_hp)</f>
        <v>51.715899228512008</v>
      </c>
      <c r="J135" s="85">
        <f>IF(H135,An,'2024'!An_max)</f>
        <v>2022</v>
      </c>
      <c r="K135" s="193">
        <f t="shared" si="27"/>
        <v>45778</v>
      </c>
      <c r="L135" s="143">
        <f>IF(t&lt;Tvie,1-EXP((T0-t)*PertePVj)+'2024'!Pspv,1-EXP((T0-t)*PertePVj)+Pspv)</f>
        <v>1.7046734747389602E-2</v>
      </c>
      <c r="M135" s="836"/>
      <c r="N135" s="836"/>
      <c r="O135" s="48">
        <f>IF(t&lt;Tnet,'2024'!Resal+('2024'!Salim-'2024'!Resal)*(1-EXP(('2024'!Tnet-t)/('2024'!Tau_j))),Resal+(Salim-Resal)*(1-EXP((Tnet-t)/(Tau_j))))*Salcycl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2.1773894615386111E-5</v>
      </c>
      <c r="Q135" s="301">
        <f t="shared" si="28"/>
        <v>0.5</v>
      </c>
      <c r="R135" s="173">
        <f t="shared" si="29"/>
        <v>0.57423187128763487</v>
      </c>
      <c r="S135" s="802">
        <f t="shared" si="30"/>
        <v>1</v>
      </c>
      <c r="T135" s="172">
        <f t="shared" si="31"/>
        <v>7</v>
      </c>
      <c r="U135" s="247">
        <f t="shared" si="32"/>
        <v>1.5742318712876349</v>
      </c>
      <c r="V135" s="378">
        <f t="shared" si="33"/>
        <v>60.584349753727928</v>
      </c>
      <c r="W135" s="397">
        <f t="shared" si="34"/>
        <v>50.829461870886739</v>
      </c>
      <c r="X135" s="153">
        <f t="shared" si="35"/>
        <v>45778</v>
      </c>
      <c r="Y135" s="380">
        <f t="shared" si="36"/>
        <v>48.827676691072895</v>
      </c>
      <c r="Z135" s="380">
        <f t="shared" si="37"/>
        <v>49.67446410437897</v>
      </c>
      <c r="AA135" s="381">
        <f t="shared" si="38"/>
        <v>51.714785242787883</v>
      </c>
      <c r="AB135" s="193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3.9453342575631281E-2</v>
      </c>
      <c r="AD135" s="227">
        <f>(INDEX(Models!$BJ135:$BT135,,AH135)*(1-AF135)+INDEX(Models!$BJ135:$BT135,,AH135+1)*AF135-ERP_i)*AE135*Ramure*Pc/MaxiM</f>
        <v>2.1773894615386111E-5</v>
      </c>
      <c r="AE135" s="301">
        <f t="shared" si="40"/>
        <v>0.5</v>
      </c>
      <c r="AF135" s="173">
        <f t="shared" si="41"/>
        <v>0.57423187128763487</v>
      </c>
      <c r="AG135" s="802">
        <f t="shared" si="49"/>
        <v>1</v>
      </c>
      <c r="AH135" s="172">
        <f t="shared" si="42"/>
        <v>7</v>
      </c>
      <c r="AI135" s="221">
        <f t="shared" si="43"/>
        <v>1.5742318712876349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45779</v>
      </c>
      <c r="B136" s="406">
        <f>'2024'!Wh/'2024'!Env_an*'2025'!Env_an</f>
        <v>32.670814822557041</v>
      </c>
      <c r="C136" s="385"/>
      <c r="D136" s="388">
        <f t="shared" si="25"/>
        <v>33.237859031174182</v>
      </c>
      <c r="E136" s="380">
        <f t="shared" si="47"/>
        <v>33.242770787432754</v>
      </c>
      <c r="F136" s="380">
        <f t="shared" si="26"/>
        <v>33.243002945361113</v>
      </c>
      <c r="G136" s="110">
        <f t="shared" si="48"/>
        <v>0.53761163297828451</v>
      </c>
      <c r="H136" s="409" t="b">
        <f>Wh_hp&gt;='2024'!Maxi_hp</f>
        <v>0</v>
      </c>
      <c r="I136" s="375">
        <f>IF(H136,Wh_hp,'2024'!Maxi_hp)</f>
        <v>33.243433014495245</v>
      </c>
      <c r="J136" s="85">
        <f>IF(H136,An,'2024'!An_max)</f>
        <v>2022</v>
      </c>
      <c r="K136" s="193">
        <f t="shared" si="27"/>
        <v>45779</v>
      </c>
      <c r="L136" s="143">
        <f>IF(t&lt;Tvie,1-EXP((T0-t)*PertePVj)+'2024'!Pspv,1-EXP((T0-t)*PertePVj)+Pspv)</f>
        <v>1.7060190552144361E-2</v>
      </c>
      <c r="M136" s="836"/>
      <c r="N136" s="836"/>
      <c r="O136" s="48">
        <f>IF(t&lt;Tnet,'2024'!Resal+('2024'!Salim-'2024'!Resal)*(1-EXP(('2024'!Tnet-t)/('2024'!Tau_j))),Resal+(Salim-Resal)*(1-EXP((Tnet-t)/(Tau_j))))*Salcycl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2.0573124740162387E-5</v>
      </c>
      <c r="Q136" s="301">
        <f t="shared" si="28"/>
        <v>0.5</v>
      </c>
      <c r="R136" s="173">
        <f t="shared" si="29"/>
        <v>0.57706435672306999</v>
      </c>
      <c r="S136" s="802">
        <f t="shared" si="30"/>
        <v>1</v>
      </c>
      <c r="T136" s="172">
        <f t="shared" si="31"/>
        <v>7</v>
      </c>
      <c r="U136" s="247">
        <f t="shared" si="32"/>
        <v>1.57706435672307</v>
      </c>
      <c r="V136" s="378">
        <f t="shared" si="33"/>
        <v>60.769464119811396</v>
      </c>
      <c r="W136" s="397">
        <f t="shared" si="34"/>
        <v>32.670814822557041</v>
      </c>
      <c r="X136" s="153">
        <f t="shared" si="35"/>
        <v>45779</v>
      </c>
      <c r="Y136" s="380">
        <f t="shared" si="36"/>
        <v>31.384562711135914</v>
      </c>
      <c r="Z136" s="380">
        <f t="shared" si="37"/>
        <v>31.929282352258667</v>
      </c>
      <c r="AA136" s="381">
        <f t="shared" si="38"/>
        <v>33.242770787432754</v>
      </c>
      <c r="AB136" s="193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3.951200228082808E-2</v>
      </c>
      <c r="AD136" s="227">
        <f>(INDEX(Models!$BJ136:$BT136,,AH136)*(1-AF136)+INDEX(Models!$BJ136:$BT136,,AH136+1)*AF136-ERP_i)*AE136*Ramure*Pc/MaxiM</f>
        <v>2.0573124740162387E-5</v>
      </c>
      <c r="AE136" s="301">
        <f t="shared" si="40"/>
        <v>0.5</v>
      </c>
      <c r="AF136" s="173">
        <f t="shared" si="41"/>
        <v>0.57706435672306999</v>
      </c>
      <c r="AG136" s="802">
        <f t="shared" si="49"/>
        <v>1</v>
      </c>
      <c r="AH136" s="172">
        <f t="shared" si="42"/>
        <v>7</v>
      </c>
      <c r="AI136" s="221">
        <f t="shared" si="43"/>
        <v>1.57706435672307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45780</v>
      </c>
      <c r="B137" s="406">
        <f>'2024'!Wh/'2024'!Env_an*'2025'!Env_an</f>
        <v>36.412596513731685</v>
      </c>
      <c r="C137" s="385"/>
      <c r="D137" s="388">
        <f t="shared" si="25"/>
        <v>37.045091294936825</v>
      </c>
      <c r="E137" s="380">
        <f t="shared" si="47"/>
        <v>37.053304143860814</v>
      </c>
      <c r="F137" s="380">
        <f t="shared" si="26"/>
        <v>37.053609569878994</v>
      </c>
      <c r="G137" s="110">
        <f t="shared" si="48"/>
        <v>0.59744625602257095</v>
      </c>
      <c r="H137" s="409" t="b">
        <f>Wh_hp&gt;='2024'!Maxi_hp</f>
        <v>0</v>
      </c>
      <c r="I137" s="375">
        <f>IF(H137,Wh_hp,'2024'!Maxi_hp)</f>
        <v>37.054002471299164</v>
      </c>
      <c r="J137" s="85">
        <f>IF(H137,An,'2024'!An_max)</f>
        <v>2022</v>
      </c>
      <c r="K137" s="193">
        <f t="shared" si="27"/>
        <v>45780</v>
      </c>
      <c r="L137" s="143">
        <f>IF(t&lt;Tvie,1-EXP((T0-t)*PertePVj)+'2024'!Pspv,1-EXP((T0-t)*PertePVj)+Pspv)</f>
        <v>1.7073646172700463E-2</v>
      </c>
      <c r="M137" s="836"/>
      <c r="N137" s="836"/>
      <c r="O137" s="48">
        <f>IF(t&lt;Tnet,'2024'!Resal+('2024'!Salim-'2024'!Resal)*(1-EXP(('2024'!Tnet-t)/('2024'!Tau_j))),Resal+(Salim-Resal)*(1-EXP((Tnet-t)/(Tau_j))))*Salcycl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1.9397926596248922E-5</v>
      </c>
      <c r="Q137" s="301">
        <f t="shared" si="28"/>
        <v>0.5</v>
      </c>
      <c r="R137" s="173">
        <f t="shared" si="29"/>
        <v>0.57997528798863374</v>
      </c>
      <c r="S137" s="802">
        <f t="shared" si="30"/>
        <v>1</v>
      </c>
      <c r="T137" s="172">
        <f t="shared" si="31"/>
        <v>7</v>
      </c>
      <c r="U137" s="247">
        <f t="shared" si="32"/>
        <v>1.5799752879886337</v>
      </c>
      <c r="V137" s="378">
        <f t="shared" si="33"/>
        <v>60.946386317969065</v>
      </c>
      <c r="W137" s="397">
        <f t="shared" si="34"/>
        <v>36.412596513731685</v>
      </c>
      <c r="X137" s="153">
        <f t="shared" si="35"/>
        <v>45780</v>
      </c>
      <c r="Y137" s="380">
        <f t="shared" si="36"/>
        <v>34.979460070457726</v>
      </c>
      <c r="Z137" s="380">
        <f t="shared" si="37"/>
        <v>35.587060957573662</v>
      </c>
      <c r="AA137" s="381">
        <f t="shared" si="38"/>
        <v>37.053304143860814</v>
      </c>
      <c r="AB137" s="193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3.9571185894634674E-2</v>
      </c>
      <c r="AD137" s="227">
        <f>(INDEX(Models!$BJ137:$BT137,,AH137)*(1-AF137)+INDEX(Models!$BJ137:$BT137,,AH137+1)*AF137-ERP_i)*AE137*Ramure*Pc/MaxiM</f>
        <v>1.9397926596248922E-5</v>
      </c>
      <c r="AE137" s="301">
        <f t="shared" si="40"/>
        <v>0.5</v>
      </c>
      <c r="AF137" s="173">
        <f t="shared" si="41"/>
        <v>0.57997528798863374</v>
      </c>
      <c r="AG137" s="802">
        <f t="shared" si="49"/>
        <v>1</v>
      </c>
      <c r="AH137" s="172">
        <f t="shared" si="42"/>
        <v>7</v>
      </c>
      <c r="AI137" s="221">
        <f t="shared" si="43"/>
        <v>1.5799752879886337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45781</v>
      </c>
      <c r="B138" s="406">
        <f>'2024'!Wh/'2024'!Env_an*'2025'!Env_an</f>
        <v>20.492999138393241</v>
      </c>
      <c r="C138" s="385"/>
      <c r="D138" s="388">
        <f t="shared" si="25"/>
        <v>20.849252433192145</v>
      </c>
      <c r="E138" s="380">
        <f t="shared" si="47"/>
        <v>20.855416481374522</v>
      </c>
      <c r="F138" s="380">
        <f t="shared" si="26"/>
        <v>20.855435680800912</v>
      </c>
      <c r="G138" s="110">
        <f t="shared" si="48"/>
        <v>0.33530983294400168</v>
      </c>
      <c r="H138" s="409" t="b">
        <f>Wh_hp&gt;='2024'!Maxi_hp</f>
        <v>0</v>
      </c>
      <c r="I138" s="375">
        <f>IF(H138,Wh_hp,'2024'!Maxi_hp)</f>
        <v>20.855778646437024</v>
      </c>
      <c r="J138" s="85">
        <f>IF(H138,An,'2024'!An_max)</f>
        <v>2022</v>
      </c>
      <c r="K138" s="193">
        <f t="shared" si="27"/>
        <v>45781</v>
      </c>
      <c r="L138" s="143">
        <f>IF(t&lt;Tvie,1-EXP((T0-t)*PertePVj)+'2024'!Pspv,1-EXP((T0-t)*PertePVj)+Pspv)</f>
        <v>1.7087101609060462E-2</v>
      </c>
      <c r="M138" s="836"/>
      <c r="N138" s="836"/>
      <c r="O138" s="48">
        <f>IF(t&lt;Tnet,'2024'!Resal+('2024'!Salim-'2024'!Resal)*(1-EXP(('2024'!Tnet-t)/('2024'!Tau_j))),Resal+(Salim-Resal)*(1-EXP((Tnet-t)/(Tau_j))))*Salcycl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1.8247354537999541E-5</v>
      </c>
      <c r="Q138" s="301">
        <f t="shared" si="28"/>
        <v>0.5</v>
      </c>
      <c r="R138" s="173">
        <f t="shared" si="29"/>
        <v>0.5829654089049241</v>
      </c>
      <c r="S138" s="802">
        <f t="shared" si="30"/>
        <v>1</v>
      </c>
      <c r="T138" s="172">
        <f t="shared" si="31"/>
        <v>7</v>
      </c>
      <c r="U138" s="247">
        <f t="shared" si="32"/>
        <v>1.5829654089049241</v>
      </c>
      <c r="V138" s="378">
        <f t="shared" si="33"/>
        <v>61.115547614247063</v>
      </c>
      <c r="W138" s="397">
        <f t="shared" si="34"/>
        <v>20.492999138393241</v>
      </c>
      <c r="X138" s="153">
        <f t="shared" si="35"/>
        <v>45781</v>
      </c>
      <c r="Y138" s="380">
        <f t="shared" si="36"/>
        <v>19.686662051703887</v>
      </c>
      <c r="Z138" s="380">
        <f t="shared" si="37"/>
        <v>20.028897864634388</v>
      </c>
      <c r="AA138" s="381">
        <f t="shared" si="38"/>
        <v>20.855416481374522</v>
      </c>
      <c r="AB138" s="193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3.9630885217673821E-2</v>
      </c>
      <c r="AD138" s="227">
        <f>(INDEX(Models!$BJ138:$BT138,,AH138)*(1-AF138)+INDEX(Models!$BJ138:$BT138,,AH138+1)*AF138-ERP_i)*AE138*Ramure*Pc/MaxiM</f>
        <v>1.8247354537999541E-5</v>
      </c>
      <c r="AE138" s="301">
        <f t="shared" si="40"/>
        <v>0.5</v>
      </c>
      <c r="AF138" s="173">
        <f t="shared" si="41"/>
        <v>0.5829654089049241</v>
      </c>
      <c r="AG138" s="802">
        <f t="shared" si="49"/>
        <v>1</v>
      </c>
      <c r="AH138" s="172">
        <f t="shared" si="42"/>
        <v>7</v>
      </c>
      <c r="AI138" s="221">
        <f t="shared" si="43"/>
        <v>1.5829654089049241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45782</v>
      </c>
      <c r="B139" s="406">
        <f>'2024'!Wh/'2024'!Env_an*'2025'!Env_an</f>
        <v>41.248853270610589</v>
      </c>
      <c r="C139" s="385"/>
      <c r="D139" s="388">
        <f t="shared" si="25"/>
        <v>41.966503856068172</v>
      </c>
      <c r="E139" s="380">
        <f t="shared" si="47"/>
        <v>41.982015839970636</v>
      </c>
      <c r="F139" s="380">
        <f t="shared" si="26"/>
        <v>41.982398991361897</v>
      </c>
      <c r="G139" s="110">
        <f t="shared" si="48"/>
        <v>0.6731443823396972</v>
      </c>
      <c r="H139" s="409" t="b">
        <f>Wh_hp&gt;='2024'!Maxi_hp</f>
        <v>0</v>
      </c>
      <c r="I139" s="375">
        <f>IF(H139,Wh_hp,'2024'!Maxi_hp)</f>
        <v>41.982717028924689</v>
      </c>
      <c r="J139" s="85">
        <f>IF(H139,An,'2024'!An_max)</f>
        <v>2022</v>
      </c>
      <c r="K139" s="193">
        <f t="shared" si="27"/>
        <v>45782</v>
      </c>
      <c r="L139" s="143">
        <f>IF(t&lt;Tvie,1-EXP((T0-t)*PertePVj)+'2024'!Pspv,1-EXP((T0-t)*PertePVj)+Pspv)</f>
        <v>1.710055686122669E-2</v>
      </c>
      <c r="M139" s="836"/>
      <c r="N139" s="836"/>
      <c r="O139" s="48">
        <f>IF(t&lt;Tnet,'2024'!Resal+('2024'!Salim-'2024'!Resal)*(1-EXP(('2024'!Tnet-t)/('2024'!Tau_j))),Resal+(Salim-Resal)*(1-EXP((Tnet-t)/(Tau_j))))*Salcycl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1.712056229797771E-5</v>
      </c>
      <c r="Q139" s="301">
        <f t="shared" si="28"/>
        <v>0.5</v>
      </c>
      <c r="R139" s="173">
        <f t="shared" si="29"/>
        <v>0.5860353669715006</v>
      </c>
      <c r="S139" s="802">
        <f t="shared" si="30"/>
        <v>1</v>
      </c>
      <c r="T139" s="172">
        <f t="shared" si="31"/>
        <v>7</v>
      </c>
      <c r="U139" s="247">
        <f t="shared" si="32"/>
        <v>1.5860353669715006</v>
      </c>
      <c r="V139" s="378">
        <f t="shared" si="33"/>
        <v>61.277379122398273</v>
      </c>
      <c r="W139" s="397">
        <f t="shared" si="34"/>
        <v>41.248853270610589</v>
      </c>
      <c r="X139" s="153">
        <f t="shared" si="35"/>
        <v>45782</v>
      </c>
      <c r="Y139" s="380">
        <f t="shared" si="36"/>
        <v>39.626282852750343</v>
      </c>
      <c r="Z139" s="380">
        <f t="shared" si="37"/>
        <v>40.315703838643444</v>
      </c>
      <c r="AA139" s="381">
        <f t="shared" si="38"/>
        <v>41.982015839970636</v>
      </c>
      <c r="AB139" s="193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3.9691090767983342E-2</v>
      </c>
      <c r="AD139" s="227">
        <f>(INDEX(Models!$BJ139:$BT139,,AH139)*(1-AF139)+INDEX(Models!$BJ139:$BT139,,AH139+1)*AF139-ERP_i)*AE139*Ramure*Pc/MaxiM</f>
        <v>1.712056229797771E-5</v>
      </c>
      <c r="AE139" s="301">
        <f t="shared" si="40"/>
        <v>0.5</v>
      </c>
      <c r="AF139" s="173">
        <f t="shared" si="41"/>
        <v>0.5860353669715006</v>
      </c>
      <c r="AG139" s="802">
        <f t="shared" si="49"/>
        <v>1</v>
      </c>
      <c r="AH139" s="172">
        <f t="shared" si="42"/>
        <v>7</v>
      </c>
      <c r="AI139" s="221">
        <f t="shared" si="43"/>
        <v>1.5860353669715006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45783</v>
      </c>
      <c r="B140" s="406">
        <f>'2024'!Wh/'2024'!Env_an*'2025'!Env_an</f>
        <v>43.240702404405219</v>
      </c>
      <c r="C140" s="385"/>
      <c r="D140" s="388">
        <f t="shared" si="25"/>
        <v>43.99360956327984</v>
      </c>
      <c r="E140" s="380">
        <f t="shared" si="47"/>
        <v>44.013126858406487</v>
      </c>
      <c r="F140" s="380">
        <f t="shared" si="26"/>
        <v>44.01353359339209</v>
      </c>
      <c r="G140" s="110">
        <f t="shared" si="48"/>
        <v>0.70387078302743211</v>
      </c>
      <c r="H140" s="409" t="b">
        <f>Wh_hp&gt;='2024'!Maxi_hp</f>
        <v>0</v>
      </c>
      <c r="I140" s="375">
        <f>IF(H140,Wh_hp,'2024'!Maxi_hp)</f>
        <v>44.0138157587295</v>
      </c>
      <c r="J140" s="85">
        <f>IF(H140,An,'2024'!An_max)</f>
        <v>2022</v>
      </c>
      <c r="K140" s="193">
        <f t="shared" si="27"/>
        <v>45783</v>
      </c>
      <c r="L140" s="143">
        <f>IF(t&lt;Tvie,1-EXP((T0-t)*PertePVj)+'2024'!Pspv,1-EXP((T0-t)*PertePVj)+Pspv)</f>
        <v>1.7114011929201922E-2</v>
      </c>
      <c r="M140" s="836"/>
      <c r="N140" s="836"/>
      <c r="O140" s="48">
        <f>IF(t&lt;Tnet,'2024'!Resal+('2024'!Salim-'2024'!Resal)*(1-EXP(('2024'!Tnet-t)/('2024'!Tau_j))),Resal+(Salim-Resal)*(1-EXP((Tnet-t)/(Tau_j))))*Salcycl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1.6016800577769724E-5</v>
      </c>
      <c r="Q140" s="301">
        <f t="shared" si="28"/>
        <v>0.5</v>
      </c>
      <c r="R140" s="173">
        <f t="shared" si="29"/>
        <v>0.58918570633284184</v>
      </c>
      <c r="S140" s="802">
        <f t="shared" si="30"/>
        <v>1</v>
      </c>
      <c r="T140" s="172">
        <f t="shared" si="31"/>
        <v>7</v>
      </c>
      <c r="U140" s="247">
        <f t="shared" si="32"/>
        <v>1.5891857063328418</v>
      </c>
      <c r="V140" s="378">
        <f t="shared" si="33"/>
        <v>61.43231181035371</v>
      </c>
      <c r="W140" s="397">
        <f t="shared" si="34"/>
        <v>43.240702404405219</v>
      </c>
      <c r="X140" s="153">
        <f t="shared" si="35"/>
        <v>45783</v>
      </c>
      <c r="Y140" s="380">
        <f t="shared" si="36"/>
        <v>41.540227713472753</v>
      </c>
      <c r="Z140" s="380">
        <f t="shared" si="37"/>
        <v>42.263526205117266</v>
      </c>
      <c r="AA140" s="381">
        <f t="shared" si="38"/>
        <v>44.013126858406487</v>
      </c>
      <c r="AB140" s="193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3.9751791753351536E-2</v>
      </c>
      <c r="AD140" s="227">
        <f>(INDEX(Models!$BJ140:$BT140,,AH140)*(1-AF140)+INDEX(Models!$BJ140:$BT140,,AH140+1)*AF140-ERP_i)*AE140*Ramure*Pc/MaxiM</f>
        <v>1.6016800577769724E-5</v>
      </c>
      <c r="AE140" s="301">
        <f t="shared" si="40"/>
        <v>0.5</v>
      </c>
      <c r="AF140" s="173">
        <f t="shared" si="41"/>
        <v>0.58918570633284184</v>
      </c>
      <c r="AG140" s="802">
        <f t="shared" si="49"/>
        <v>1</v>
      </c>
      <c r="AH140" s="172">
        <f t="shared" si="42"/>
        <v>7</v>
      </c>
      <c r="AI140" s="221">
        <f t="shared" si="43"/>
        <v>1.5891857063328418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45784</v>
      </c>
      <c r="B141" s="406">
        <f>'2024'!Wh/'2024'!Env_an*'2025'!Env_an</f>
        <v>49.734291108709044</v>
      </c>
      <c r="C141" s="385"/>
      <c r="D141" s="388">
        <f t="shared" si="25"/>
        <v>50.600957326015831</v>
      </c>
      <c r="E141" s="380">
        <f t="shared" si="47"/>
        <v>50.627152715534649</v>
      </c>
      <c r="F141" s="380">
        <f t="shared" si="26"/>
        <v>50.627701058251823</v>
      </c>
      <c r="G141" s="110">
        <f t="shared" si="48"/>
        <v>0.80762357669797502</v>
      </c>
      <c r="H141" s="409" t="b">
        <f>Wh_hp&gt;='2024'!Maxi_hp</f>
        <v>0</v>
      </c>
      <c r="I141" s="375">
        <f>IF(H141,Wh_hp,'2024'!Maxi_hp)</f>
        <v>50.627897365958461</v>
      </c>
      <c r="J141" s="85">
        <f>IF(H141,An,'2024'!An_max)</f>
        <v>2022</v>
      </c>
      <c r="K141" s="193">
        <f t="shared" si="27"/>
        <v>45784</v>
      </c>
      <c r="L141" s="143">
        <f>IF(t&lt;Tvie,1-EXP((T0-t)*PertePVj)+'2024'!Pspv,1-EXP((T0-t)*PertePVj)+Pspv)</f>
        <v>1.7127466812988601E-2</v>
      </c>
      <c r="M141" s="836"/>
      <c r="N141" s="836"/>
      <c r="O141" s="48">
        <f>IF(t&lt;Tnet,'2024'!Resal+('2024'!Salim-'2024'!Resal)*(1-EXP(('2024'!Tnet-t)/('2024'!Tau_j))),Resal+(Salim-Resal)*(1-EXP((Tnet-t)/(Tau_j))))*Salcycl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1.49354149060653E-5</v>
      </c>
      <c r="Q141" s="301">
        <f t="shared" si="28"/>
        <v>0.5</v>
      </c>
      <c r="R141" s="173">
        <f t="shared" si="29"/>
        <v>0.59241686073799427</v>
      </c>
      <c r="S141" s="802">
        <f t="shared" si="30"/>
        <v>1</v>
      </c>
      <c r="T141" s="172">
        <f t="shared" si="31"/>
        <v>7</v>
      </c>
      <c r="U141" s="247">
        <f t="shared" si="32"/>
        <v>1.5924168607379943</v>
      </c>
      <c r="V141" s="378">
        <f t="shared" si="33"/>
        <v>61.58077649722027</v>
      </c>
      <c r="W141" s="397">
        <f t="shared" si="34"/>
        <v>49.734291108709044</v>
      </c>
      <c r="X141" s="153">
        <f t="shared" si="35"/>
        <v>45784</v>
      </c>
      <c r="Y141" s="380">
        <f t="shared" si="36"/>
        <v>47.778942643026724</v>
      </c>
      <c r="Z141" s="380">
        <f t="shared" si="37"/>
        <v>48.611535097131274</v>
      </c>
      <c r="AA141" s="381">
        <f t="shared" si="38"/>
        <v>50.627152715534649</v>
      </c>
      <c r="AB141" s="193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3.9812976047236631E-2</v>
      </c>
      <c r="AD141" s="227">
        <f>(INDEX(Models!$BJ141:$BT141,,AH141)*(1-AF141)+INDEX(Models!$BJ141:$BT141,,AH141+1)*AF141-ERP_i)*AE141*Ramure*Pc/MaxiM</f>
        <v>1.49354149060653E-5</v>
      </c>
      <c r="AE141" s="301">
        <f t="shared" si="40"/>
        <v>0.5</v>
      </c>
      <c r="AF141" s="173">
        <f t="shared" si="41"/>
        <v>0.59241686073799427</v>
      </c>
      <c r="AG141" s="802">
        <f t="shared" si="49"/>
        <v>1</v>
      </c>
      <c r="AH141" s="172">
        <f t="shared" si="42"/>
        <v>7</v>
      </c>
      <c r="AI141" s="221">
        <f t="shared" si="43"/>
        <v>1.5924168607379943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45785</v>
      </c>
      <c r="B142" s="406">
        <f>'2024'!Wh/'2024'!Env_an*'2025'!Env_an</f>
        <v>56.41012126869115</v>
      </c>
      <c r="C142" s="385"/>
      <c r="D142" s="388">
        <f t="shared" si="25"/>
        <v>57.393905701623623</v>
      </c>
      <c r="E142" s="380">
        <f t="shared" si="47"/>
        <v>57.427869641386664</v>
      </c>
      <c r="F142" s="380">
        <f t="shared" si="26"/>
        <v>57.428570650416681</v>
      </c>
      <c r="G142" s="110">
        <f t="shared" si="48"/>
        <v>0.91391929744324762</v>
      </c>
      <c r="H142" s="409" t="b">
        <f>Wh_hp&gt;='2024'!Maxi_hp</f>
        <v>0</v>
      </c>
      <c r="I142" s="375">
        <f>IF(H142,Wh_hp,'2024'!Maxi_hp)</f>
        <v>57.428663358551631</v>
      </c>
      <c r="J142" s="85">
        <f>IF(H142,An,'2024'!An_max)</f>
        <v>2022</v>
      </c>
      <c r="K142" s="193">
        <f t="shared" si="27"/>
        <v>45785</v>
      </c>
      <c r="L142" s="143">
        <f>IF(t&lt;Tvie,1-EXP((T0-t)*PertePVj)+'2024'!Pspv,1-EXP((T0-t)*PertePVj)+Pspv)</f>
        <v>1.7140921512589169E-2</v>
      </c>
      <c r="M142" s="836"/>
      <c r="N142" s="836"/>
      <c r="O142" s="48">
        <f>IF(t&lt;Tnet,'2024'!Resal+('2024'!Salim-'2024'!Resal)*(1-EXP(('2024'!Tnet-t)/('2024'!Tau_j))),Resal+(Salim-Resal)*(1-EXP((Tnet-t)/(Tau_j))))*Salcycl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1.3918141702091272E-5</v>
      </c>
      <c r="Q142" s="301">
        <f t="shared" si="28"/>
        <v>0.5</v>
      </c>
      <c r="R142" s="173">
        <f t="shared" si="29"/>
        <v>0.59572914653612719</v>
      </c>
      <c r="S142" s="802">
        <f t="shared" si="30"/>
        <v>1</v>
      </c>
      <c r="T142" s="172">
        <f t="shared" si="31"/>
        <v>7</v>
      </c>
      <c r="U142" s="247">
        <f t="shared" si="32"/>
        <v>1.5957291465361272</v>
      </c>
      <c r="V142" s="378">
        <f t="shared" si="33"/>
        <v>61.723201248143667</v>
      </c>
      <c r="W142" s="397">
        <f t="shared" si="34"/>
        <v>56.41012126869115</v>
      </c>
      <c r="X142" s="153">
        <f t="shared" si="35"/>
        <v>45785</v>
      </c>
      <c r="Y142" s="380">
        <f t="shared" si="36"/>
        <v>54.192839226269939</v>
      </c>
      <c r="Z142" s="380">
        <f t="shared" si="37"/>
        <v>55.137954578057119</v>
      </c>
      <c r="AA142" s="381">
        <f t="shared" si="38"/>
        <v>57.427869641386664</v>
      </c>
      <c r="AB142" s="193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3.9874630168751111E-2</v>
      </c>
      <c r="AD142" s="227">
        <f>(INDEX(Models!$BJ142:$BT142,,AH142)*(1-AF142)+INDEX(Models!$BJ142:$BT142,,AH142+1)*AF142-ERP_i)*AE142*Ramure*Pc/MaxiM</f>
        <v>1.3918141702091272E-5</v>
      </c>
      <c r="AE142" s="301">
        <f t="shared" si="40"/>
        <v>0.5</v>
      </c>
      <c r="AF142" s="173">
        <f t="shared" si="41"/>
        <v>0.59572914653612719</v>
      </c>
      <c r="AG142" s="802">
        <f t="shared" si="49"/>
        <v>1</v>
      </c>
      <c r="AH142" s="172">
        <f t="shared" si="42"/>
        <v>7</v>
      </c>
      <c r="AI142" s="221">
        <f t="shared" si="43"/>
        <v>1.5957291465361272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45786</v>
      </c>
      <c r="B143" s="406">
        <f>'2024'!Wh/'2024'!Env_an*'2025'!Env_an</f>
        <v>59.686728999479833</v>
      </c>
      <c r="C143" s="385"/>
      <c r="D143" s="388">
        <f t="shared" ref="D143:D206" si="50">Wh/(1-Ppv)</f>
        <v>60.728488323798658</v>
      </c>
      <c r="E143" s="380">
        <f t="shared" si="47"/>
        <v>60.768926932304772</v>
      </c>
      <c r="F143" s="380">
        <f t="shared" ref="F143:F206" si="51">Wh_sa/(1-Pvg*MEDIAN((-Sdif+Wh/Env_an)/Csdif,0,1))</f>
        <v>60.769676444429066</v>
      </c>
      <c r="G143" s="110">
        <f t="shared" si="48"/>
        <v>0.96486704422090763</v>
      </c>
      <c r="H143" s="409" t="b">
        <f>Wh_hp&gt;='2024'!Maxi_hp</f>
        <v>0</v>
      </c>
      <c r="I143" s="375">
        <f>IF(H143,Wh_hp,'2024'!Maxi_hp)</f>
        <v>60.769713742557045</v>
      </c>
      <c r="J143" s="85">
        <f>IF(H143,An,'2024'!An_max)</f>
        <v>2022</v>
      </c>
      <c r="K143" s="193">
        <f t="shared" ref="K143:K206" si="52">t</f>
        <v>45786</v>
      </c>
      <c r="L143" s="143">
        <f>IF(t&lt;Tvie,1-EXP((T0-t)*PertePVj)+'2024'!Pspv,1-EXP((T0-t)*PertePVj)+Pspv)</f>
        <v>1.715437602800618E-2</v>
      </c>
      <c r="M143" s="836"/>
      <c r="N143" s="836"/>
      <c r="O143" s="48">
        <f>IF(t&lt;Tnet,'2024'!Resal+('2024'!Salim-'2024'!Resal)*(1-EXP(('2024'!Tnet-t)/('2024'!Tau_j))),Resal+(Salim-Resal)*(1-EXP((Tnet-t)/(Tau_j))))*Salcycl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1.2985376947173272E-5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0.59912275575347262</v>
      </c>
      <c r="S143" s="802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1.5991227557534726</v>
      </c>
      <c r="V143" s="378">
        <f t="shared" ref="V143:V206" si="58">MaxiM*(1-Ppv)*(1-Pvg)*(1-Psa)</f>
        <v>61.86001528111661</v>
      </c>
      <c r="W143" s="397">
        <f t="shared" ref="W143:W206" si="59">Wh*(A143&gt;Tmaj)</f>
        <v>59.686728999479833</v>
      </c>
      <c r="X143" s="153">
        <f t="shared" ref="X143:X206" si="60">t</f>
        <v>45786</v>
      </c>
      <c r="Y143" s="380">
        <f t="shared" ref="Y143:Y206" si="61">Wh_pvt_s*(1-Ppv)</f>
        <v>57.341193293041876</v>
      </c>
      <c r="Z143" s="380">
        <f t="shared" ref="Z143:Z206" si="62">Wh_sa_s*(1-Psa_s)</f>
        <v>58.342014141862641</v>
      </c>
      <c r="AA143" s="381">
        <f t="shared" ref="AA143:AA206" si="63">Wh_hp*(1-Pvg_s*MEDIAN((-Sdif+Wh/Env_an)/Csdif,0,1))</f>
        <v>60.768926932304772</v>
      </c>
      <c r="AB143" s="193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3.9936739267186022E-2</v>
      </c>
      <c r="AD143" s="227">
        <f>(INDEX(Models!$BJ143:$BT143,,AH143)*(1-AF143)+INDEX(Models!$BJ143:$BT143,,AH143+1)*AF143-ERP_i)*AE143*Ramure*Pc/MaxiM</f>
        <v>1.2985376947173272E-5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0.59912275575347262</v>
      </c>
      <c r="AG143" s="802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1.5991227557534726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45787</v>
      </c>
      <c r="B144" s="406">
        <f>'2024'!Wh/'2024'!Env_an*'2025'!Env_an</f>
        <v>58.464595787466315</v>
      </c>
      <c r="C144" s="385"/>
      <c r="D144" s="388">
        <f t="shared" si="50"/>
        <v>59.485838572862484</v>
      </c>
      <c r="E144" s="380">
        <f t="shared" ref="E144:E169" si="72">Wh_pvt/(1-Psa)</f>
        <v>59.529861433695217</v>
      </c>
      <c r="F144" s="380">
        <f t="shared" si="51"/>
        <v>59.530525288606853</v>
      </c>
      <c r="G144" s="110">
        <f t="shared" ref="G144:G169" si="73">+Wh_hp/MaxiM</f>
        <v>0.94310345292248821</v>
      </c>
      <c r="H144" s="409" t="b">
        <f>Wh_hp&gt;='2024'!Maxi_hp</f>
        <v>0</v>
      </c>
      <c r="I144" s="375">
        <f>IF(H144,Wh_hp,'2024'!Maxi_hp)</f>
        <v>59.530580514371692</v>
      </c>
      <c r="J144" s="85">
        <f>IF(H144,An,'2024'!An_max)</f>
        <v>2022</v>
      </c>
      <c r="K144" s="193">
        <f t="shared" si="52"/>
        <v>45787</v>
      </c>
      <c r="L144" s="143">
        <f>IF(t&lt;Tvie,1-EXP((T0-t)*PertePVj)+'2024'!Pspv,1-EXP((T0-t)*PertePVj)+Pspv)</f>
        <v>1.7167830359242187E-2</v>
      </c>
      <c r="M144" s="836"/>
      <c r="N144" s="836"/>
      <c r="O144" s="48">
        <f>IF(t&lt;Tnet,'2024'!Resal+('2024'!Salim-'2024'!Resal)*(1-EXP(('2024'!Tnet-t)/('2024'!Tau_j))),Resal+(Salim-Resal)*(1-EXP((Tnet-t)/(Tau_j))))*Salcycl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1.2138080917864997E-5</v>
      </c>
      <c r="Q144" s="301">
        <f t="shared" si="53"/>
        <v>0.5</v>
      </c>
      <c r="R144" s="173">
        <f t="shared" si="54"/>
        <v>0.60259774930019083</v>
      </c>
      <c r="S144" s="802">
        <f t="shared" si="55"/>
        <v>1</v>
      </c>
      <c r="T144" s="172">
        <f t="shared" si="56"/>
        <v>7</v>
      </c>
      <c r="U144" s="247">
        <f t="shared" si="57"/>
        <v>1.6025977493001908</v>
      </c>
      <c r="V144" s="378">
        <f t="shared" si="58"/>
        <v>61.991648875691105</v>
      </c>
      <c r="W144" s="397">
        <f t="shared" si="59"/>
        <v>58.464595787466315</v>
      </c>
      <c r="X144" s="153">
        <f t="shared" si="60"/>
        <v>45787</v>
      </c>
      <c r="Y144" s="380">
        <f t="shared" si="61"/>
        <v>56.167590066021027</v>
      </c>
      <c r="Z144" s="380">
        <f t="shared" si="62"/>
        <v>57.148709414498768</v>
      </c>
      <c r="AA144" s="381">
        <f t="shared" si="63"/>
        <v>59.529861433695217</v>
      </c>
      <c r="AB144" s="193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3.9999287111537947E-2</v>
      </c>
      <c r="AD144" s="227">
        <f>(INDEX(Models!$BJ144:$BT144,,AH144)*(1-AF144)+INDEX(Models!$BJ144:$BT144,,AH144+1)*AF144-ERP_i)*AE144*Ramure*Pc/MaxiM</f>
        <v>1.2138080917864997E-5</v>
      </c>
      <c r="AE144" s="301">
        <f t="shared" si="65"/>
        <v>0.5</v>
      </c>
      <c r="AF144" s="173">
        <f t="shared" si="66"/>
        <v>0.60259774930019083</v>
      </c>
      <c r="AG144" s="802">
        <f t="shared" ref="AG144:AG207" si="74">INDEX(Echel_vg,AH144)</f>
        <v>1</v>
      </c>
      <c r="AH144" s="172">
        <f t="shared" si="67"/>
        <v>7</v>
      </c>
      <c r="AI144" s="221">
        <f t="shared" si="68"/>
        <v>1.6025977493001908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45788</v>
      </c>
      <c r="B145" s="406">
        <f>'2024'!Wh/'2024'!Env_an*'2025'!Env_an</f>
        <v>62.366652312168789</v>
      </c>
      <c r="C145" s="385"/>
      <c r="D145" s="388">
        <f t="shared" si="50"/>
        <v>63.456923773414395</v>
      </c>
      <c r="E145" s="380">
        <f t="shared" si="72"/>
        <v>63.508594448482775</v>
      </c>
      <c r="F145" s="380">
        <f t="shared" si="51"/>
        <v>63.509317018832235</v>
      </c>
      <c r="G145" s="110">
        <f t="shared" si="73"/>
        <v>1.0039943016367112</v>
      </c>
      <c r="H145" s="409" t="b">
        <f>Wh_hp&gt;='2024'!Maxi_hp</f>
        <v>1</v>
      </c>
      <c r="I145" s="375">
        <f>IF(H145,Wh_hp,'2024'!Maxi_hp)</f>
        <v>63.509317018832235</v>
      </c>
      <c r="J145" s="85">
        <f>IF(H145,An,'2024'!An_max)</f>
        <v>2025</v>
      </c>
      <c r="K145" s="193">
        <f t="shared" si="52"/>
        <v>45788</v>
      </c>
      <c r="L145" s="143">
        <f>IF(t&lt;Tvie,1-EXP((T0-t)*PertePVj)+'2024'!Pspv,1-EXP((T0-t)*PertePVj)+Pspv)</f>
        <v>1.7181284506299743E-2</v>
      </c>
      <c r="M145" s="836"/>
      <c r="N145" s="836"/>
      <c r="O145" s="48">
        <f>IF(t&lt;Tnet,'2024'!Resal+('2024'!Salim-'2024'!Resal)*(1-EXP(('2024'!Tnet-t)/('2024'!Tau_j))),Resal+(Salim-Resal)*(1-EXP((Tnet-t)/(Tau_j))))*Salcycl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1.1377391277039772E-5</v>
      </c>
      <c r="Q145" s="301">
        <f t="shared" si="53"/>
        <v>0.5</v>
      </c>
      <c r="R145" s="173">
        <f t="shared" si="54"/>
        <v>0.60615405035855496</v>
      </c>
      <c r="S145" s="802">
        <f t="shared" si="55"/>
        <v>1</v>
      </c>
      <c r="T145" s="172">
        <f t="shared" si="56"/>
        <v>7</v>
      </c>
      <c r="U145" s="247">
        <f t="shared" si="57"/>
        <v>1.606154050358555</v>
      </c>
      <c r="V145" s="378">
        <f t="shared" si="58"/>
        <v>62.118532157501981</v>
      </c>
      <c r="W145" s="397">
        <f t="shared" si="59"/>
        <v>62.366652312168789</v>
      </c>
      <c r="X145" s="153">
        <f t="shared" si="60"/>
        <v>45788</v>
      </c>
      <c r="Y145" s="380">
        <f t="shared" si="61"/>
        <v>59.916851944738838</v>
      </c>
      <c r="Z145" s="380">
        <f t="shared" si="62"/>
        <v>60.964296874058554</v>
      </c>
      <c r="AA145" s="381">
        <f t="shared" si="63"/>
        <v>63.508594448482775</v>
      </c>
      <c r="AB145" s="193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4.0062256085483271E-2</v>
      </c>
      <c r="AD145" s="227">
        <f>(INDEX(Models!$BJ145:$BT145,,AH145)*(1-AF145)+INDEX(Models!$BJ145:$BT145,,AH145+1)*AF145-ERP_i)*AE145*Ramure*Pc/MaxiM</f>
        <v>1.1377391277039772E-5</v>
      </c>
      <c r="AE145" s="301">
        <f t="shared" si="65"/>
        <v>0.5</v>
      </c>
      <c r="AF145" s="173">
        <f t="shared" si="66"/>
        <v>0.60615405035855496</v>
      </c>
      <c r="AG145" s="802">
        <f t="shared" si="74"/>
        <v>1</v>
      </c>
      <c r="AH145" s="172">
        <f t="shared" si="67"/>
        <v>7</v>
      </c>
      <c r="AI145" s="221">
        <f t="shared" si="68"/>
        <v>1.606154050358555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45789</v>
      </c>
      <c r="B146" s="406">
        <f>'2024'!Wh/'2024'!Env_an*'2025'!Env_an</f>
        <v>47.489014512855327</v>
      </c>
      <c r="C146" s="385"/>
      <c r="D146" s="388">
        <f t="shared" si="50"/>
        <v>48.319861901111906</v>
      </c>
      <c r="E146" s="380">
        <f t="shared" si="72"/>
        <v>48.362794898915261</v>
      </c>
      <c r="F146" s="380">
        <f t="shared" si="51"/>
        <v>48.363137315086476</v>
      </c>
      <c r="G146" s="110">
        <f t="shared" si="73"/>
        <v>0.7629821150120929</v>
      </c>
      <c r="H146" s="409" t="b">
        <f>Wh_hp&gt;='2024'!Maxi_hp</f>
        <v>0</v>
      </c>
      <c r="I146" s="375">
        <f>IF(H146,Wh_hp,'2024'!Maxi_hp)</f>
        <v>48.363301649060638</v>
      </c>
      <c r="J146" s="85">
        <f>IF(H146,An,'2024'!An_max)</f>
        <v>2022</v>
      </c>
      <c r="K146" s="193">
        <f t="shared" si="52"/>
        <v>45789</v>
      </c>
      <c r="L146" s="143">
        <f>IF(t&lt;Tvie,1-EXP((T0-t)*PertePVj)+'2024'!Pspv,1-EXP((T0-t)*PertePVj)+Pspv)</f>
        <v>1.7194738469181292E-2</v>
      </c>
      <c r="M146" s="836"/>
      <c r="N146" s="836"/>
      <c r="O146" s="48">
        <f>IF(t&lt;Tnet,'2024'!Resal+('2024'!Salim-'2024'!Resal)*(1-EXP(('2024'!Tnet-t)/('2024'!Tau_j))),Resal+(Salim-Resal)*(1-EXP((Tnet-t)/(Tau_j))))*Salcycl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1.0704614512984783E-5</v>
      </c>
      <c r="Q146" s="301">
        <f t="shared" si="53"/>
        <v>0.5</v>
      </c>
      <c r="R146" s="173">
        <f t="shared" si="54"/>
        <v>0.6097914380063838</v>
      </c>
      <c r="S146" s="802">
        <f t="shared" si="55"/>
        <v>1</v>
      </c>
      <c r="T146" s="172">
        <f t="shared" si="56"/>
        <v>7</v>
      </c>
      <c r="U146" s="247">
        <f t="shared" si="57"/>
        <v>1.6097914380063838</v>
      </c>
      <c r="V146" s="378">
        <f t="shared" si="58"/>
        <v>62.241095109521083</v>
      </c>
      <c r="W146" s="397">
        <f t="shared" si="59"/>
        <v>47.489014512855327</v>
      </c>
      <c r="X146" s="153">
        <f t="shared" si="60"/>
        <v>45789</v>
      </c>
      <c r="Y146" s="380">
        <f t="shared" si="61"/>
        <v>45.62398970525448</v>
      </c>
      <c r="Z146" s="380">
        <f t="shared" si="62"/>
        <v>46.422207421021021</v>
      </c>
      <c r="AA146" s="381">
        <f t="shared" si="63"/>
        <v>48.362794898915261</v>
      </c>
      <c r="AB146" s="193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4.0125627188220492E-2</v>
      </c>
      <c r="AD146" s="227">
        <f>(INDEX(Models!$BJ146:$BT146,,AH146)*(1-AF146)+INDEX(Models!$BJ146:$BT146,,AH146+1)*AF146-ERP_i)*AE146*Ramure*Pc/MaxiM</f>
        <v>1.0704614512984783E-5</v>
      </c>
      <c r="AE146" s="301">
        <f t="shared" si="65"/>
        <v>0.5</v>
      </c>
      <c r="AF146" s="173">
        <f t="shared" si="66"/>
        <v>0.6097914380063838</v>
      </c>
      <c r="AG146" s="802">
        <f t="shared" si="74"/>
        <v>1</v>
      </c>
      <c r="AH146" s="172">
        <f t="shared" si="67"/>
        <v>7</v>
      </c>
      <c r="AI146" s="221">
        <f t="shared" si="68"/>
        <v>1.6097914380063838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45790</v>
      </c>
      <c r="B147" s="406">
        <f>'2024'!Wh/'2024'!Env_an*'2025'!Env_an</f>
        <v>50.322422103912771</v>
      </c>
      <c r="C147" s="385"/>
      <c r="D147" s="388">
        <f t="shared" si="50"/>
        <v>51.203542507148761</v>
      </c>
      <c r="E147" s="380">
        <f t="shared" si="72"/>
        <v>51.252842100859759</v>
      </c>
      <c r="F147" s="380">
        <f t="shared" si="51"/>
        <v>51.253217797703108</v>
      </c>
      <c r="G147" s="110">
        <f t="shared" si="73"/>
        <v>0.80696711387179965</v>
      </c>
      <c r="H147" s="409" t="b">
        <f>Wh_hp&gt;='2024'!Maxi_hp</f>
        <v>0</v>
      </c>
      <c r="I147" s="375">
        <f>IF(H147,Wh_hp,'2024'!Maxi_hp)</f>
        <v>51.253351704584936</v>
      </c>
      <c r="J147" s="85">
        <f>IF(H147,An,'2024'!An_max)</f>
        <v>2022</v>
      </c>
      <c r="K147" s="193">
        <f t="shared" si="52"/>
        <v>45790</v>
      </c>
      <c r="L147" s="143">
        <f>IF(t&lt;Tvie,1-EXP((T0-t)*PertePVj)+'2024'!Pspv,1-EXP((T0-t)*PertePVj)+Pspv)</f>
        <v>1.7208192247889387E-2</v>
      </c>
      <c r="M147" s="836"/>
      <c r="N147" s="836"/>
      <c r="O147" s="48">
        <f>IF(t&lt;Tnet,'2024'!Resal+('2024'!Salim-'2024'!Resal)*(1-EXP(('2024'!Tnet-t)/('2024'!Tau_j))),Resal+(Salim-Resal)*(1-EXP((Tnet-t)/(Tau_j))))*Salcycl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1.0121216895605197E-5</v>
      </c>
      <c r="Q147" s="301">
        <f t="shared" si="53"/>
        <v>0.5</v>
      </c>
      <c r="R147" s="173">
        <f t="shared" si="54"/>
        <v>0.61350954113183587</v>
      </c>
      <c r="S147" s="802">
        <f t="shared" si="55"/>
        <v>1</v>
      </c>
      <c r="T147" s="172">
        <f t="shared" si="56"/>
        <v>7</v>
      </c>
      <c r="U147" s="247">
        <f t="shared" si="57"/>
        <v>1.6135095411318359</v>
      </c>
      <c r="V147" s="378">
        <f t="shared" si="58"/>
        <v>62.35976756376779</v>
      </c>
      <c r="W147" s="397">
        <f t="shared" si="59"/>
        <v>50.322422103912771</v>
      </c>
      <c r="X147" s="153">
        <f t="shared" si="60"/>
        <v>45790</v>
      </c>
      <c r="Y147" s="380">
        <f t="shared" si="61"/>
        <v>48.346499169020689</v>
      </c>
      <c r="Z147" s="380">
        <f t="shared" si="62"/>
        <v>49.193022151457654</v>
      </c>
      <c r="AA147" s="381">
        <f t="shared" si="63"/>
        <v>51.252842100859759</v>
      </c>
      <c r="AB147" s="193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4.018938004157134E-2</v>
      </c>
      <c r="AD147" s="227">
        <f>(INDEX(Models!$BJ147:$BT147,,AH147)*(1-AF147)+INDEX(Models!$BJ147:$BT147,,AH147+1)*AF147-ERP_i)*AE147*Ramure*Pc/MaxiM</f>
        <v>1.0121216895605197E-5</v>
      </c>
      <c r="AE147" s="301">
        <f t="shared" si="65"/>
        <v>0.5</v>
      </c>
      <c r="AF147" s="173">
        <f t="shared" si="66"/>
        <v>0.61350954113183587</v>
      </c>
      <c r="AG147" s="802">
        <f t="shared" si="74"/>
        <v>1</v>
      </c>
      <c r="AH147" s="172">
        <f t="shared" si="67"/>
        <v>7</v>
      </c>
      <c r="AI147" s="221">
        <f t="shared" si="68"/>
        <v>1.6135095411318359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45791</v>
      </c>
      <c r="B148" s="406">
        <f>'2024'!Wh/'2024'!Env_an*'2025'!Env_an</f>
        <v>56.336884127907069</v>
      </c>
      <c r="C148" s="385"/>
      <c r="D148" s="388">
        <f t="shared" si="50"/>
        <v>57.32409946716664</v>
      </c>
      <c r="E148" s="380">
        <f t="shared" si="72"/>
        <v>57.383553941875988</v>
      </c>
      <c r="F148" s="380">
        <f t="shared" si="51"/>
        <v>57.3840289300094</v>
      </c>
      <c r="G148" s="110">
        <f t="shared" si="73"/>
        <v>0.90174992779571983</v>
      </c>
      <c r="H148" s="409" t="b">
        <f>Wh_hp&gt;='2024'!Maxi_hp</f>
        <v>0</v>
      </c>
      <c r="I148" s="375">
        <f>IF(H148,Wh_hp,'2024'!Maxi_hp)</f>
        <v>57.384101419419501</v>
      </c>
      <c r="J148" s="85">
        <f>IF(H148,An,'2024'!An_max)</f>
        <v>2022</v>
      </c>
      <c r="K148" s="193">
        <f t="shared" si="52"/>
        <v>45791</v>
      </c>
      <c r="L148" s="143">
        <f>IF(t&lt;Tvie,1-EXP((T0-t)*PertePVj)+'2024'!Pspv,1-EXP((T0-t)*PertePVj)+Pspv)</f>
        <v>1.722164584242647E-2</v>
      </c>
      <c r="M148" s="836"/>
      <c r="N148" s="836"/>
      <c r="O148" s="48">
        <f>IF(t&lt;Tnet,'2024'!Resal+('2024'!Salim-'2024'!Resal)*(1-EXP(('2024'!Tnet-t)/('2024'!Tau_j))),Resal+(Salim-Resal)*(1-EXP((Tnet-t)/(Tau_j))))*Salcycl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9.6288148682183136E-6</v>
      </c>
      <c r="Q148" s="301">
        <f t="shared" si="53"/>
        <v>0.5</v>
      </c>
      <c r="R148" s="173">
        <f t="shared" si="54"/>
        <v>0.61730783269743839</v>
      </c>
      <c r="S148" s="802">
        <f t="shared" si="55"/>
        <v>1</v>
      </c>
      <c r="T148" s="172">
        <f t="shared" si="56"/>
        <v>7</v>
      </c>
      <c r="U148" s="247">
        <f t="shared" si="57"/>
        <v>1.6173078326974384</v>
      </c>
      <c r="V148" s="378">
        <f t="shared" si="58"/>
        <v>62.474979208596125</v>
      </c>
      <c r="W148" s="397">
        <f t="shared" si="59"/>
        <v>56.336884127907069</v>
      </c>
      <c r="X148" s="153">
        <f t="shared" si="60"/>
        <v>45791</v>
      </c>
      <c r="Y148" s="380">
        <f t="shared" si="61"/>
        <v>54.125206298683018</v>
      </c>
      <c r="Z148" s="380">
        <f t="shared" si="62"/>
        <v>55.073665460487817</v>
      </c>
      <c r="AA148" s="381">
        <f t="shared" si="63"/>
        <v>57.383553941875988</v>
      </c>
      <c r="AB148" s="193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4.0253492903696168E-2</v>
      </c>
      <c r="AD148" s="227">
        <f>(INDEX(Models!$BJ148:$BT148,,AH148)*(1-AF148)+INDEX(Models!$BJ148:$BT148,,AH148+1)*AF148-ERP_i)*AE148*Ramure*Pc/MaxiM</f>
        <v>9.6288148682183136E-6</v>
      </c>
      <c r="AE148" s="301">
        <f t="shared" si="65"/>
        <v>0.5</v>
      </c>
      <c r="AF148" s="173">
        <f t="shared" si="66"/>
        <v>0.61730783269743839</v>
      </c>
      <c r="AG148" s="802">
        <f t="shared" si="74"/>
        <v>1</v>
      </c>
      <c r="AH148" s="172">
        <f t="shared" si="67"/>
        <v>7</v>
      </c>
      <c r="AI148" s="221">
        <f t="shared" si="68"/>
        <v>1.6173078326974384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45792</v>
      </c>
      <c r="B149" s="406">
        <f>'2024'!Wh/'2024'!Env_an*'2025'!Env_an</f>
        <v>58.155398255398744</v>
      </c>
      <c r="C149" s="385"/>
      <c r="D149" s="388">
        <f t="shared" si="50"/>
        <v>59.175290256278679</v>
      </c>
      <c r="E149" s="380">
        <f t="shared" si="72"/>
        <v>59.241067178117589</v>
      </c>
      <c r="F149" s="380">
        <f t="shared" si="51"/>
        <v>59.241558650878481</v>
      </c>
      <c r="G149" s="110">
        <f t="shared" si="73"/>
        <v>0.9292125153404639</v>
      </c>
      <c r="H149" s="409" t="b">
        <f>Wh_hp&gt;='2024'!Maxi_hp</f>
        <v>0</v>
      </c>
      <c r="I149" s="375">
        <f>IF(H149,Wh_hp,'2024'!Maxi_hp)</f>
        <v>59.241610255931469</v>
      </c>
      <c r="J149" s="85">
        <f>IF(H149,An,'2024'!An_max)</f>
        <v>2022</v>
      </c>
      <c r="K149" s="193">
        <f t="shared" si="52"/>
        <v>45792</v>
      </c>
      <c r="L149" s="143">
        <f>IF(t&lt;Tvie,1-EXP((T0-t)*PertePVj)+'2024'!Pspv,1-EXP((T0-t)*PertePVj)+Pspv)</f>
        <v>1.7235099252795316E-2</v>
      </c>
      <c r="M149" s="836"/>
      <c r="N149" s="836"/>
      <c r="O149" s="48">
        <f>IF(t&lt;Tnet,'2024'!Resal+('2024'!Salim-'2024'!Resal)*(1-EXP(('2024'!Tnet-t)/('2024'!Tau_j))),Resal+(Salim-Resal)*(1-EXP((Tnet-t)/(Tau_j))))*Salcycl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9.2293914326286919E-6</v>
      </c>
      <c r="Q149" s="301">
        <f t="shared" si="53"/>
        <v>0.5</v>
      </c>
      <c r="R149" s="173">
        <f t="shared" si="54"/>
        <v>0.62118562441247782</v>
      </c>
      <c r="S149" s="802">
        <f t="shared" si="55"/>
        <v>1</v>
      </c>
      <c r="T149" s="172">
        <f t="shared" si="56"/>
        <v>7</v>
      </c>
      <c r="U149" s="247">
        <f t="shared" si="57"/>
        <v>1.6211856244124778</v>
      </c>
      <c r="V149" s="378">
        <f t="shared" si="58"/>
        <v>62.585622791135464</v>
      </c>
      <c r="W149" s="397">
        <f t="shared" si="59"/>
        <v>58.155398255398744</v>
      </c>
      <c r="X149" s="153">
        <f t="shared" si="60"/>
        <v>45792</v>
      </c>
      <c r="Y149" s="380">
        <f t="shared" si="61"/>
        <v>55.872729208649851</v>
      </c>
      <c r="Z149" s="380">
        <f t="shared" si="62"/>
        <v>56.852589226751313</v>
      </c>
      <c r="AA149" s="381">
        <f t="shared" si="63"/>
        <v>59.241067178117589</v>
      </c>
      <c r="AB149" s="193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4.0317942689738241E-2</v>
      </c>
      <c r="AD149" s="227">
        <f>(INDEX(Models!$BJ149:$BT149,,AH149)*(1-AF149)+INDEX(Models!$BJ149:$BT149,,AH149+1)*AF149-ERP_i)*AE149*Ramure*Pc/MaxiM</f>
        <v>9.2293914326286919E-6</v>
      </c>
      <c r="AE149" s="301">
        <f t="shared" si="65"/>
        <v>0.5</v>
      </c>
      <c r="AF149" s="173">
        <f t="shared" si="66"/>
        <v>0.62118562441247782</v>
      </c>
      <c r="AG149" s="802">
        <f t="shared" si="74"/>
        <v>1</v>
      </c>
      <c r="AH149" s="172">
        <f t="shared" si="67"/>
        <v>7</v>
      </c>
      <c r="AI149" s="221">
        <f t="shared" si="68"/>
        <v>1.6211856244124778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45793</v>
      </c>
      <c r="B150" s="406">
        <f>'2024'!Wh/'2024'!Env_an*'2025'!Env_an</f>
        <v>56.838666993053188</v>
      </c>
      <c r="C150" s="385"/>
      <c r="D150" s="388">
        <f t="shared" si="50"/>
        <v>57.836258737068427</v>
      </c>
      <c r="E150" s="380">
        <f t="shared" si="72"/>
        <v>57.904852990970078</v>
      </c>
      <c r="F150" s="380">
        <f t="shared" si="51"/>
        <v>57.905300388326879</v>
      </c>
      <c r="G150" s="110">
        <f t="shared" si="73"/>
        <v>0.90665484475840152</v>
      </c>
      <c r="H150" s="409" t="b">
        <f>Wh_hp&gt;='2024'!Maxi_hp</f>
        <v>0</v>
      </c>
      <c r="I150" s="375">
        <f>IF(H150,Wh_hp,'2024'!Maxi_hp)</f>
        <v>57.905364539166378</v>
      </c>
      <c r="J150" s="85">
        <f>IF(H150,An,'2024'!An_max)</f>
        <v>2022</v>
      </c>
      <c r="K150" s="193">
        <f t="shared" si="52"/>
        <v>45793</v>
      </c>
      <c r="L150" s="143">
        <f>IF(t&lt;Tvie,1-EXP((T0-t)*PertePVj)+'2024'!Pspv,1-EXP((T0-t)*PertePVj)+Pspv)</f>
        <v>1.7248552478998147E-2</v>
      </c>
      <c r="M150" s="836"/>
      <c r="N150" s="836"/>
      <c r="O150" s="48">
        <f>IF(t&lt;Tnet,'2024'!Resal+('2024'!Salim-'2024'!Resal)*(1-EXP(('2024'!Tnet-t)/('2024'!Tau_j))),Resal+(Salim-Resal)*(1-EXP((Tnet-t)/(Tau_j))))*Salcycl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8.9151918468957865E-6</v>
      </c>
      <c r="Q150" s="301">
        <f t="shared" si="53"/>
        <v>0.5</v>
      </c>
      <c r="R150" s="173">
        <f t="shared" si="54"/>
        <v>0.6251420618736041</v>
      </c>
      <c r="S150" s="802">
        <f t="shared" si="55"/>
        <v>1</v>
      </c>
      <c r="T150" s="172">
        <f t="shared" si="56"/>
        <v>7</v>
      </c>
      <c r="U150" s="247">
        <f t="shared" si="57"/>
        <v>1.6251420618736041</v>
      </c>
      <c r="V150" s="378">
        <f t="shared" si="58"/>
        <v>62.690449126995738</v>
      </c>
      <c r="W150" s="397">
        <f t="shared" si="59"/>
        <v>56.838666993053188</v>
      </c>
      <c r="X150" s="153">
        <f t="shared" si="60"/>
        <v>45793</v>
      </c>
      <c r="Y150" s="380">
        <f t="shared" si="61"/>
        <v>54.608056730953543</v>
      </c>
      <c r="Z150" s="380">
        <f t="shared" si="62"/>
        <v>55.566498394586738</v>
      </c>
      <c r="AA150" s="381">
        <f t="shared" si="63"/>
        <v>57.904852990970078</v>
      </c>
      <c r="AB150" s="193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4.0382704999665425E-2</v>
      </c>
      <c r="AD150" s="227">
        <f>(INDEX(Models!$BJ150:$BT150,,AH150)*(1-AF150)+INDEX(Models!$BJ150:$BT150,,AH150+1)*AF150-ERP_i)*AE150*Ramure*Pc/MaxiM</f>
        <v>8.9151918468957865E-6</v>
      </c>
      <c r="AE150" s="301">
        <f t="shared" si="65"/>
        <v>0.5</v>
      </c>
      <c r="AF150" s="173">
        <f t="shared" si="66"/>
        <v>0.6251420618736041</v>
      </c>
      <c r="AG150" s="802">
        <f t="shared" si="74"/>
        <v>1</v>
      </c>
      <c r="AH150" s="172">
        <f t="shared" si="67"/>
        <v>7</v>
      </c>
      <c r="AI150" s="221">
        <f t="shared" si="68"/>
        <v>1.6251420618736041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45794</v>
      </c>
      <c r="B151" s="406">
        <f>'2024'!Wh/'2024'!Env_an*'2025'!Env_an</f>
        <v>60.700856022965937</v>
      </c>
      <c r="C151" s="385"/>
      <c r="D151" s="388">
        <f t="shared" si="50"/>
        <v>61.7670796936562</v>
      </c>
      <c r="E151" s="380">
        <f t="shared" si="72"/>
        <v>61.844937468185655</v>
      </c>
      <c r="F151" s="380">
        <f t="shared" si="51"/>
        <v>61.84544596383882</v>
      </c>
      <c r="G151" s="110">
        <f t="shared" si="73"/>
        <v>0.96673264777536994</v>
      </c>
      <c r="H151" s="409" t="b">
        <f>Wh_hp&gt;='2024'!Maxi_hp</f>
        <v>0</v>
      </c>
      <c r="I151" s="375">
        <f>IF(H151,Wh_hp,'2024'!Maxi_hp)</f>
        <v>61.845469570151174</v>
      </c>
      <c r="J151" s="85">
        <f>IF(H151,An,'2024'!An_max)</f>
        <v>2022</v>
      </c>
      <c r="K151" s="193">
        <f t="shared" si="52"/>
        <v>45794</v>
      </c>
      <c r="L151" s="143">
        <f>IF(t&lt;Tvie,1-EXP((T0-t)*PertePVj)+'2024'!Pspv,1-EXP((T0-t)*PertePVj)+Pspv)</f>
        <v>1.7262005521037627E-2</v>
      </c>
      <c r="M151" s="836"/>
      <c r="N151" s="836"/>
      <c r="O151" s="48">
        <f>IF(t&lt;Tnet,'2024'!Resal+('2024'!Salim-'2024'!Resal)*(1-EXP(('2024'!Tnet-t)/('2024'!Tau_j))),Resal+(Salim-Resal)*(1-EXP((Tnet-t)/(Tau_j))))*Salcycl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8.6322811999135094E-6</v>
      </c>
      <c r="Q151" s="301">
        <f t="shared" si="53"/>
        <v>0.5</v>
      </c>
      <c r="R151" s="173">
        <f t="shared" si="54"/>
        <v>0.62917612023357794</v>
      </c>
      <c r="S151" s="802">
        <f t="shared" si="55"/>
        <v>1</v>
      </c>
      <c r="T151" s="172">
        <f t="shared" si="56"/>
        <v>7</v>
      </c>
      <c r="U151" s="247">
        <f t="shared" si="57"/>
        <v>1.6291761202335779</v>
      </c>
      <c r="V151" s="378">
        <f t="shared" si="58"/>
        <v>62.789677436028505</v>
      </c>
      <c r="W151" s="397">
        <f t="shared" si="59"/>
        <v>60.700856022965937</v>
      </c>
      <c r="X151" s="153">
        <f t="shared" si="60"/>
        <v>45794</v>
      </c>
      <c r="Y151" s="380">
        <f t="shared" si="61"/>
        <v>58.319061703739493</v>
      </c>
      <c r="Z151" s="380">
        <f t="shared" si="62"/>
        <v>59.343448641832211</v>
      </c>
      <c r="AA151" s="381">
        <f t="shared" si="63"/>
        <v>61.844937468185655</v>
      </c>
      <c r="AB151" s="193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4.0447754153527311E-2</v>
      </c>
      <c r="AD151" s="227">
        <f>(INDEX(Models!$BJ151:$BT151,,AH151)*(1-AF151)+INDEX(Models!$BJ151:$BT151,,AH151+1)*AF151-ERP_i)*AE151*Ramure*Pc/MaxiM</f>
        <v>8.6322811999135094E-6</v>
      </c>
      <c r="AE151" s="301">
        <f t="shared" si="65"/>
        <v>0.5</v>
      </c>
      <c r="AF151" s="173">
        <f t="shared" si="66"/>
        <v>0.62917612023357794</v>
      </c>
      <c r="AG151" s="802">
        <f t="shared" si="74"/>
        <v>1</v>
      </c>
      <c r="AH151" s="172">
        <f t="shared" si="67"/>
        <v>7</v>
      </c>
      <c r="AI151" s="221">
        <f t="shared" si="68"/>
        <v>1.6291761202335779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45795</v>
      </c>
      <c r="B152" s="406">
        <f>'2024'!Wh/'2024'!Env_an*'2025'!Env_an</f>
        <v>57.956942004039988</v>
      </c>
      <c r="C152" s="385"/>
      <c r="D152" s="388">
        <f t="shared" si="50"/>
        <v>58.975775560092671</v>
      </c>
      <c r="E152" s="380">
        <f t="shared" si="72"/>
        <v>59.054511507073819</v>
      </c>
      <c r="F152" s="380">
        <f t="shared" si="51"/>
        <v>59.054951060813828</v>
      </c>
      <c r="G152" s="110">
        <f t="shared" si="73"/>
        <v>0.92165458340203121</v>
      </c>
      <c r="H152" s="409" t="b">
        <f>Wh_hp&gt;='2024'!Maxi_hp</f>
        <v>0</v>
      </c>
      <c r="I152" s="375">
        <f>IF(H152,Wh_hp,'2024'!Maxi_hp)</f>
        <v>59.055002518702814</v>
      </c>
      <c r="J152" s="85">
        <f>IF(H152,An,'2024'!An_max)</f>
        <v>2022</v>
      </c>
      <c r="K152" s="193">
        <f t="shared" si="52"/>
        <v>45795</v>
      </c>
      <c r="L152" s="143">
        <f>IF(t&lt;Tvie,1-EXP((T0-t)*PertePVj)+'2024'!Pspv,1-EXP((T0-t)*PertePVj)+Pspv)</f>
        <v>1.7275458378916198E-2</v>
      </c>
      <c r="M152" s="836"/>
      <c r="N152" s="836"/>
      <c r="O152" s="48">
        <f>IF(t&lt;Tnet,'2024'!Resal+('2024'!Salim-'2024'!Resal)*(1-EXP(('2024'!Tnet-t)/('2024'!Tau_j))),Resal+(Salim-Resal)*(1-EXP((Tnet-t)/(Tau_j))))*Salcycl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8.3811567220709947E-6</v>
      </c>
      <c r="Q152" s="301">
        <f t="shared" si="53"/>
        <v>0.5</v>
      </c>
      <c r="R152" s="173">
        <f t="shared" si="54"/>
        <v>0.63328660045753482</v>
      </c>
      <c r="S152" s="802">
        <f t="shared" si="55"/>
        <v>1</v>
      </c>
      <c r="T152" s="172">
        <f t="shared" si="56"/>
        <v>7</v>
      </c>
      <c r="U152" s="247">
        <f t="shared" si="57"/>
        <v>1.6332866004575348</v>
      </c>
      <c r="V152" s="378">
        <f t="shared" si="58"/>
        <v>62.883523482956335</v>
      </c>
      <c r="W152" s="397">
        <f t="shared" si="59"/>
        <v>57.956942004039988</v>
      </c>
      <c r="X152" s="153">
        <f t="shared" si="60"/>
        <v>45795</v>
      </c>
      <c r="Y152" s="380">
        <f t="shared" si="61"/>
        <v>55.683169766622889</v>
      </c>
      <c r="Z152" s="380">
        <f t="shared" si="62"/>
        <v>56.662032348117599</v>
      </c>
      <c r="AA152" s="381">
        <f t="shared" si="63"/>
        <v>59.054511507073819</v>
      </c>
      <c r="AB152" s="193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4.0513063234290554E-2</v>
      </c>
      <c r="AD152" s="227">
        <f>(INDEX(Models!$BJ152:$BT152,,AH152)*(1-AF152)+INDEX(Models!$BJ152:$BT152,,AH152+1)*AF152-ERP_i)*AE152*Ramure*Pc/MaxiM</f>
        <v>8.3811567220709947E-6</v>
      </c>
      <c r="AE152" s="301">
        <f t="shared" si="65"/>
        <v>0.5</v>
      </c>
      <c r="AF152" s="173">
        <f t="shared" si="66"/>
        <v>0.63328660045753482</v>
      </c>
      <c r="AG152" s="802">
        <f t="shared" si="74"/>
        <v>1</v>
      </c>
      <c r="AH152" s="172">
        <f t="shared" si="67"/>
        <v>7</v>
      </c>
      <c r="AI152" s="221">
        <f t="shared" si="68"/>
        <v>1.6332866004575348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45796</v>
      </c>
      <c r="B153" s="406">
        <f>'2024'!Wh/'2024'!Env_an*'2025'!Env_an</f>
        <v>56.718901816278482</v>
      </c>
      <c r="C153" s="385"/>
      <c r="D153" s="388">
        <f t="shared" si="50"/>
        <v>57.716761776885264</v>
      </c>
      <c r="E153" s="380">
        <f t="shared" si="72"/>
        <v>57.79812262895441</v>
      </c>
      <c r="F153" s="380">
        <f t="shared" si="51"/>
        <v>57.798527475538805</v>
      </c>
      <c r="G153" s="110">
        <f t="shared" si="73"/>
        <v>0.90069639398661994</v>
      </c>
      <c r="H153" s="409" t="b">
        <f>Wh_hp&gt;='2024'!Maxi_hp</f>
        <v>0</v>
      </c>
      <c r="I153" s="375">
        <f>IF(H153,Wh_hp,'2024'!Maxi_hp)</f>
        <v>57.798589542149266</v>
      </c>
      <c r="J153" s="85">
        <f>IF(H153,An,'2024'!An_max)</f>
        <v>2022</v>
      </c>
      <c r="K153" s="193">
        <f t="shared" si="52"/>
        <v>45796</v>
      </c>
      <c r="L153" s="143">
        <f>IF(t&lt;Tvie,1-EXP((T0-t)*PertePVj)+'2024'!Pspv,1-EXP((T0-t)*PertePVj)+Pspv)</f>
        <v>1.7288911052636524E-2</v>
      </c>
      <c r="M153" s="836"/>
      <c r="N153" s="836"/>
      <c r="O153" s="48">
        <f>IF(t&lt;Tnet,'2024'!Resal+('2024'!Salim-'2024'!Resal)*(1-EXP(('2024'!Tnet-t)/('2024'!Tau_j))),Resal+(Salim-Resal)*(1-EXP((Tnet-t)/(Tau_j))))*Salcycl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8.1623641577415497E-6</v>
      </c>
      <c r="Q153" s="301">
        <f t="shared" si="53"/>
        <v>0.5</v>
      </c>
      <c r="R153" s="173">
        <f t="shared" si="54"/>
        <v>0.63747212622483129</v>
      </c>
      <c r="S153" s="802">
        <f t="shared" si="55"/>
        <v>1</v>
      </c>
      <c r="T153" s="172">
        <f t="shared" si="56"/>
        <v>7</v>
      </c>
      <c r="U153" s="247">
        <f t="shared" si="57"/>
        <v>1.6374721262248313</v>
      </c>
      <c r="V153" s="378">
        <f t="shared" si="58"/>
        <v>62.972202973798112</v>
      </c>
      <c r="W153" s="397">
        <f t="shared" si="59"/>
        <v>56.718901816278482</v>
      </c>
      <c r="X153" s="153">
        <f t="shared" si="60"/>
        <v>45796</v>
      </c>
      <c r="Y153" s="380">
        <f t="shared" si="61"/>
        <v>54.494037733548915</v>
      </c>
      <c r="Z153" s="380">
        <f t="shared" si="62"/>
        <v>55.452755490853889</v>
      </c>
      <c r="AA153" s="381">
        <f t="shared" si="63"/>
        <v>57.79812262895441</v>
      </c>
      <c r="AB153" s="193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4.0578604138356497E-2</v>
      </c>
      <c r="AD153" s="227">
        <f>(INDEX(Models!$BJ153:$BT153,,AH153)*(1-AF153)+INDEX(Models!$BJ153:$BT153,,AH153+1)*AF153-ERP_i)*AE153*Ramure*Pc/MaxiM</f>
        <v>8.1623641577415497E-6</v>
      </c>
      <c r="AE153" s="301">
        <f t="shared" si="65"/>
        <v>0.5</v>
      </c>
      <c r="AF153" s="173">
        <f t="shared" si="66"/>
        <v>0.63747212622483129</v>
      </c>
      <c r="AG153" s="802">
        <f t="shared" si="74"/>
        <v>1</v>
      </c>
      <c r="AH153" s="172">
        <f t="shared" si="67"/>
        <v>7</v>
      </c>
      <c r="AI153" s="221">
        <f t="shared" si="68"/>
        <v>1.6374721262248313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45797</v>
      </c>
      <c r="B154" s="406">
        <f>'2024'!Wh/'2024'!Env_an*'2025'!Env_an</f>
        <v>53.905287939352746</v>
      </c>
      <c r="C154" s="385"/>
      <c r="D154" s="388">
        <f t="shared" si="50"/>
        <v>54.854398687329763</v>
      </c>
      <c r="E154" s="380">
        <f t="shared" si="72"/>
        <v>54.935819653282216</v>
      </c>
      <c r="F154" s="380">
        <f t="shared" si="51"/>
        <v>54.936167006950434</v>
      </c>
      <c r="G154" s="110">
        <f t="shared" si="73"/>
        <v>0.85487911250925597</v>
      </c>
      <c r="H154" s="409" t="b">
        <f>Wh_hp&gt;='2024'!Maxi_hp</f>
        <v>0</v>
      </c>
      <c r="I154" s="375">
        <f>IF(H154,Wh_hp,'2024'!Maxi_hp)</f>
        <v>54.936251111183481</v>
      </c>
      <c r="J154" s="85">
        <f>IF(H154,An,'2024'!An_max)</f>
        <v>2022</v>
      </c>
      <c r="K154" s="193">
        <f t="shared" si="52"/>
        <v>45797</v>
      </c>
      <c r="L154" s="143">
        <f>IF(t&lt;Tvie,1-EXP((T0-t)*PertePVj)+'2024'!Pspv,1-EXP((T0-t)*PertePVj)+Pspv)</f>
        <v>1.7302363542201049E-2</v>
      </c>
      <c r="M154" s="836"/>
      <c r="N154" s="836"/>
      <c r="O154" s="48">
        <f>IF(t&lt;Tnet,'2024'!Resal+('2024'!Salim-'2024'!Resal)*(1-EXP(('2024'!Tnet-t)/('2024'!Tau_j))),Resal+(Salim-Resal)*(1-EXP((Tnet-t)/(Tau_j))))*Salcycl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7.9764948966145418E-6</v>
      </c>
      <c r="Q154" s="301">
        <f t="shared" si="53"/>
        <v>0.5</v>
      </c>
      <c r="R154" s="173">
        <f t="shared" si="54"/>
        <v>0.641731141532492</v>
      </c>
      <c r="S154" s="802">
        <f t="shared" si="55"/>
        <v>1</v>
      </c>
      <c r="T154" s="172">
        <f t="shared" si="56"/>
        <v>7</v>
      </c>
      <c r="U154" s="247">
        <f t="shared" si="57"/>
        <v>1.641731141532492</v>
      </c>
      <c r="V154" s="378">
        <f t="shared" si="58"/>
        <v>63.05593154671444</v>
      </c>
      <c r="W154" s="397">
        <f t="shared" si="59"/>
        <v>53.905287939352746</v>
      </c>
      <c r="X154" s="153">
        <f t="shared" si="60"/>
        <v>45797</v>
      </c>
      <c r="Y154" s="380">
        <f t="shared" si="61"/>
        <v>51.791102824547245</v>
      </c>
      <c r="Z154" s="380">
        <f t="shared" si="62"/>
        <v>52.702989101746319</v>
      </c>
      <c r="AA154" s="381">
        <f t="shared" si="63"/>
        <v>54.935819653282216</v>
      </c>
      <c r="AB154" s="193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4.0644347633802806E-2</v>
      </c>
      <c r="AD154" s="227">
        <f>(INDEX(Models!$BJ154:$BT154,,AH154)*(1-AF154)+INDEX(Models!$BJ154:$BT154,,AH154+1)*AF154-ERP_i)*AE154*Ramure*Pc/MaxiM</f>
        <v>7.9764948966145418E-6</v>
      </c>
      <c r="AE154" s="301">
        <f t="shared" si="65"/>
        <v>0.5</v>
      </c>
      <c r="AF154" s="173">
        <f t="shared" si="66"/>
        <v>0.641731141532492</v>
      </c>
      <c r="AG154" s="802">
        <f t="shared" si="74"/>
        <v>1</v>
      </c>
      <c r="AH154" s="172">
        <f t="shared" si="67"/>
        <v>7</v>
      </c>
      <c r="AI154" s="221">
        <f t="shared" si="68"/>
        <v>1.641731141532492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45798</v>
      </c>
      <c r="B155" s="406">
        <f>'2024'!Wh/'2024'!Env_an*'2025'!Env_an</f>
        <v>56.450831460111935</v>
      </c>
      <c r="C155" s="385"/>
      <c r="D155" s="388">
        <f t="shared" si="50"/>
        <v>57.445547990378508</v>
      </c>
      <c r="E155" s="380">
        <f t="shared" si="72"/>
        <v>57.535106493367472</v>
      </c>
      <c r="F155" s="380">
        <f t="shared" si="51"/>
        <v>57.535488576843441</v>
      </c>
      <c r="G155" s="110">
        <f t="shared" si="73"/>
        <v>0.89412896034884437</v>
      </c>
      <c r="H155" s="409" t="b">
        <f>Wh_hp&gt;='2024'!Maxi_hp</f>
        <v>0</v>
      </c>
      <c r="I155" s="375">
        <f>IF(H155,Wh_hp,'2024'!Maxi_hp)</f>
        <v>57.535551497709676</v>
      </c>
      <c r="J155" s="85">
        <f>IF(H155,An,'2024'!An_max)</f>
        <v>2022</v>
      </c>
      <c r="K155" s="193">
        <f t="shared" si="52"/>
        <v>45798</v>
      </c>
      <c r="L155" s="143">
        <f>IF(t&lt;Tvie,1-EXP((T0-t)*PertePVj)+'2024'!Pspv,1-EXP((T0-t)*PertePVj)+Pspv)</f>
        <v>1.7315815847612326E-2</v>
      </c>
      <c r="M155" s="836"/>
      <c r="N155" s="836"/>
      <c r="O155" s="48">
        <f>IF(t&lt;Tnet,'2024'!Resal+('2024'!Salim-'2024'!Resal)*(1-EXP(('2024'!Tnet-t)/('2024'!Tau_j))),Resal+(Salim-Resal)*(1-EXP((Tnet-t)/(Tau_j))))*Salcycl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7.8241829180291748E-6</v>
      </c>
      <c r="Q155" s="301">
        <f t="shared" si="53"/>
        <v>0.5</v>
      </c>
      <c r="R155" s="173">
        <f t="shared" si="54"/>
        <v>0.64606190905343497</v>
      </c>
      <c r="S155" s="802">
        <f t="shared" si="55"/>
        <v>1</v>
      </c>
      <c r="T155" s="172">
        <f t="shared" si="56"/>
        <v>7</v>
      </c>
      <c r="U155" s="247">
        <f t="shared" si="57"/>
        <v>1.646061909053435</v>
      </c>
      <c r="V155" s="378">
        <f t="shared" si="58"/>
        <v>63.134924783628335</v>
      </c>
      <c r="W155" s="397">
        <f t="shared" si="59"/>
        <v>56.450831460111935</v>
      </c>
      <c r="X155" s="153">
        <f t="shared" si="60"/>
        <v>45798</v>
      </c>
      <c r="Y155" s="380">
        <f t="shared" si="61"/>
        <v>54.23712814753361</v>
      </c>
      <c r="Z155" s="380">
        <f t="shared" si="62"/>
        <v>55.192837151760756</v>
      </c>
      <c r="AA155" s="381">
        <f t="shared" si="63"/>
        <v>57.535106493367472</v>
      </c>
      <c r="AB155" s="193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4.0710263426326103E-2</v>
      </c>
      <c r="AD155" s="227">
        <f>(INDEX(Models!$BJ155:$BT155,,AH155)*(1-AF155)+INDEX(Models!$BJ155:$BT155,,AH155+1)*AF155-ERP_i)*AE155*Ramure*Pc/MaxiM</f>
        <v>7.8241829180291748E-6</v>
      </c>
      <c r="AE155" s="301">
        <f t="shared" si="65"/>
        <v>0.5</v>
      </c>
      <c r="AF155" s="173">
        <f t="shared" si="66"/>
        <v>0.64606190905343497</v>
      </c>
      <c r="AG155" s="802">
        <f t="shared" si="74"/>
        <v>1</v>
      </c>
      <c r="AH155" s="172">
        <f t="shared" si="67"/>
        <v>7</v>
      </c>
      <c r="AI155" s="221">
        <f t="shared" si="68"/>
        <v>1.646061909053435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45799</v>
      </c>
      <c r="B156" s="406">
        <f>'2024'!Wh/'2024'!Env_an*'2025'!Env_an</f>
        <v>43.649962251479749</v>
      </c>
      <c r="C156" s="385"/>
      <c r="D156" s="388">
        <f t="shared" si="50"/>
        <v>44.419723543874802</v>
      </c>
      <c r="E156" s="380">
        <f t="shared" si="72"/>
        <v>44.492295227082671</v>
      </c>
      <c r="F156" s="380">
        <f t="shared" si="51"/>
        <v>44.492486338884547</v>
      </c>
      <c r="G156" s="110">
        <f t="shared" si="73"/>
        <v>0.6905589138662277</v>
      </c>
      <c r="H156" s="409" t="b">
        <f>Wh_hp&gt;='2024'!Maxi_hp</f>
        <v>0</v>
      </c>
      <c r="I156" s="375">
        <f>IF(H156,Wh_hp,'2024'!Maxi_hp)</f>
        <v>44.49262600996402</v>
      </c>
      <c r="J156" s="85">
        <f>IF(H156,An,'2024'!An_max)</f>
        <v>2022</v>
      </c>
      <c r="K156" s="193">
        <f t="shared" si="52"/>
        <v>45799</v>
      </c>
      <c r="L156" s="143">
        <f>IF(t&lt;Tvie,1-EXP((T0-t)*PertePVj)+'2024'!Pspv,1-EXP((T0-t)*PertePVj)+Pspv)</f>
        <v>1.7329267968872797E-2</v>
      </c>
      <c r="M156" s="836"/>
      <c r="N156" s="836"/>
      <c r="O156" s="48">
        <f>IF(t&lt;Tnet,'2024'!Resal+('2024'!Salim-'2024'!Resal)*(1-EXP(('2024'!Tnet-t)/('2024'!Tau_j))),Resal+(Salim-Resal)*(1-EXP((Tnet-t)/(Tau_j))))*Salcycl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7.6985636335755572E-6</v>
      </c>
      <c r="Q156" s="301">
        <f t="shared" si="53"/>
        <v>0.5</v>
      </c>
      <c r="R156" s="173">
        <f t="shared" si="54"/>
        <v>0.65046250929899041</v>
      </c>
      <c r="S156" s="802">
        <f t="shared" si="55"/>
        <v>1</v>
      </c>
      <c r="T156" s="172">
        <f t="shared" si="56"/>
        <v>7</v>
      </c>
      <c r="U156" s="247">
        <f t="shared" si="57"/>
        <v>1.6504625092989904</v>
      </c>
      <c r="V156" s="378">
        <f t="shared" si="58"/>
        <v>63.209398684458122</v>
      </c>
      <c r="W156" s="397">
        <f t="shared" si="59"/>
        <v>43.649962251479749</v>
      </c>
      <c r="X156" s="153">
        <f t="shared" si="60"/>
        <v>45799</v>
      </c>
      <c r="Y156" s="380">
        <f t="shared" si="61"/>
        <v>41.938483556309379</v>
      </c>
      <c r="Z156" s="380">
        <f t="shared" si="62"/>
        <v>42.678063149011066</v>
      </c>
      <c r="AA156" s="381">
        <f t="shared" si="63"/>
        <v>44.492295227082671</v>
      </c>
      <c r="AB156" s="193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4.077632023279551E-2</v>
      </c>
      <c r="AD156" s="227">
        <f>(INDEX(Models!$BJ156:$BT156,,AH156)*(1-AF156)+INDEX(Models!$BJ156:$BT156,,AH156+1)*AF156-ERP_i)*AE156*Ramure*Pc/MaxiM</f>
        <v>7.6985636335755572E-6</v>
      </c>
      <c r="AE156" s="301">
        <f t="shared" si="65"/>
        <v>0.5</v>
      </c>
      <c r="AF156" s="173">
        <f t="shared" si="66"/>
        <v>0.65046250929899041</v>
      </c>
      <c r="AG156" s="802">
        <f t="shared" si="74"/>
        <v>1</v>
      </c>
      <c r="AH156" s="172">
        <f t="shared" si="67"/>
        <v>7</v>
      </c>
      <c r="AI156" s="221">
        <f t="shared" si="68"/>
        <v>1.6504625092989904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45800</v>
      </c>
      <c r="B157" s="406">
        <f>'2024'!Wh/'2024'!Env_an*'2025'!Env_an</f>
        <v>20.769258213086118</v>
      </c>
      <c r="C157" s="385"/>
      <c r="D157" s="388">
        <f t="shared" si="50"/>
        <v>21.135810657301633</v>
      </c>
      <c r="E157" s="380">
        <f t="shared" si="72"/>
        <v>21.171922838680235</v>
      </c>
      <c r="F157" s="380">
        <f t="shared" si="51"/>
        <v>21.171929283637812</v>
      </c>
      <c r="G157" s="110">
        <f t="shared" si="73"/>
        <v>0.32821188742139201</v>
      </c>
      <c r="H157" s="409" t="b">
        <f>Wh_hp&gt;='2024'!Maxi_hp</f>
        <v>0</v>
      </c>
      <c r="I157" s="375">
        <f>IF(H157,Wh_hp,'2024'!Maxi_hp)</f>
        <v>21.172070560817748</v>
      </c>
      <c r="J157" s="85">
        <f>IF(H157,An,'2024'!An_max)</f>
        <v>2022</v>
      </c>
      <c r="K157" s="193">
        <f t="shared" si="52"/>
        <v>45800</v>
      </c>
      <c r="L157" s="143">
        <f>IF(t&lt;Tvie,1-EXP((T0-t)*PertePVj)+'2024'!Pspv,1-EXP((T0-t)*PertePVj)+Pspv)</f>
        <v>1.7342719905985016E-2</v>
      </c>
      <c r="M157" s="836"/>
      <c r="N157" s="836"/>
      <c r="O157" s="48">
        <f>IF(t&lt;Tnet,'2024'!Resal+('2024'!Salim-'2024'!Resal)*(1-EXP(('2024'!Tnet-t)/('2024'!Tau_j))),Resal+(Salim-Resal)*(1-EXP((Tnet-t)/(Tau_j))))*Salcycl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7.552468222811202E-6</v>
      </c>
      <c r="Q157" s="301">
        <f t="shared" si="53"/>
        <v>0.5</v>
      </c>
      <c r="R157" s="173">
        <f t="shared" si="54"/>
        <v>0.65493084063076279</v>
      </c>
      <c r="S157" s="802">
        <f t="shared" si="55"/>
        <v>1</v>
      </c>
      <c r="T157" s="172">
        <f t="shared" si="56"/>
        <v>7</v>
      </c>
      <c r="U157" s="247">
        <f t="shared" si="57"/>
        <v>1.6549308406307628</v>
      </c>
      <c r="V157" s="378">
        <f t="shared" si="58"/>
        <v>63.279571740777314</v>
      </c>
      <c r="W157" s="397">
        <f t="shared" si="59"/>
        <v>20.769258213086118</v>
      </c>
      <c r="X157" s="153">
        <f t="shared" si="60"/>
        <v>45800</v>
      </c>
      <c r="Y157" s="380">
        <f t="shared" si="61"/>
        <v>19.955026643795726</v>
      </c>
      <c r="Z157" s="380">
        <f t="shared" si="62"/>
        <v>20.307208879464614</v>
      </c>
      <c r="AA157" s="381">
        <f t="shared" si="63"/>
        <v>21.171922838680235</v>
      </c>
      <c r="AB157" s="193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4.0842485862258283E-2</v>
      </c>
      <c r="AD157" s="227">
        <f>(INDEX(Models!$BJ157:$BT157,,AH157)*(1-AF157)+INDEX(Models!$BJ157:$BT157,,AH157+1)*AF157-ERP_i)*AE157*Ramure*Pc/MaxiM</f>
        <v>7.552468222811202E-6</v>
      </c>
      <c r="AE157" s="301">
        <f t="shared" si="65"/>
        <v>0.5</v>
      </c>
      <c r="AF157" s="173">
        <f t="shared" si="66"/>
        <v>0.65493084063076279</v>
      </c>
      <c r="AG157" s="802">
        <f t="shared" si="74"/>
        <v>1</v>
      </c>
      <c r="AH157" s="172">
        <f t="shared" si="67"/>
        <v>7</v>
      </c>
      <c r="AI157" s="221">
        <f t="shared" si="68"/>
        <v>1.6549308406307628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45801</v>
      </c>
      <c r="B158" s="406">
        <f>'2024'!Wh/'2024'!Env_an*'2025'!Env_an</f>
        <v>17.840184957968184</v>
      </c>
      <c r="C158" s="385"/>
      <c r="D158" s="388">
        <f t="shared" si="50"/>
        <v>18.155291310470986</v>
      </c>
      <c r="E158" s="380">
        <f t="shared" si="72"/>
        <v>18.187670069729979</v>
      </c>
      <c r="F158" s="380">
        <f t="shared" si="51"/>
        <v>18.187670069729979</v>
      </c>
      <c r="G158" s="110">
        <f t="shared" si="73"/>
        <v>0.28163023886628358</v>
      </c>
      <c r="H158" s="409" t="b">
        <f>Wh_hp&gt;='2024'!Maxi_hp</f>
        <v>0</v>
      </c>
      <c r="I158" s="375">
        <f>IF(H158,Wh_hp,'2024'!Maxi_hp)</f>
        <v>18.1877934787436</v>
      </c>
      <c r="J158" s="85">
        <f>IF(H158,An,'2024'!An_max)</f>
        <v>2022</v>
      </c>
      <c r="K158" s="193">
        <f t="shared" si="52"/>
        <v>45801</v>
      </c>
      <c r="L158" s="143">
        <f>IF(t&lt;Tvie,1-EXP((T0-t)*PertePVj)+'2024'!Pspv,1-EXP((T0-t)*PertePVj)+Pspv)</f>
        <v>1.7356171658951425E-2</v>
      </c>
      <c r="M158" s="836"/>
      <c r="N158" s="836"/>
      <c r="O158" s="48">
        <f>IF(t&lt;Tnet,'2024'!Resal+('2024'!Salim-'2024'!Resal)*(1-EXP(('2024'!Tnet-t)/('2024'!Tau_j))),Resal+(Salim-Resal)*(1-EXP((Tnet-t)/(Tau_j))))*Salcycl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7.3851388953951205E-6</v>
      </c>
      <c r="Q158" s="301">
        <f t="shared" si="53"/>
        <v>0.5</v>
      </c>
      <c r="R158" s="173">
        <f t="shared" si="54"/>
        <v>0.65946462016159235</v>
      </c>
      <c r="S158" s="802">
        <f t="shared" si="55"/>
        <v>1</v>
      </c>
      <c r="T158" s="172">
        <f t="shared" si="56"/>
        <v>7</v>
      </c>
      <c r="U158" s="247">
        <f t="shared" si="57"/>
        <v>1.6594646201615924</v>
      </c>
      <c r="V158" s="378">
        <f t="shared" si="58"/>
        <v>63.345659463061793</v>
      </c>
      <c r="W158" s="397">
        <f t="shared" si="59"/>
        <v>17.840184957968184</v>
      </c>
      <c r="X158" s="153">
        <f t="shared" si="60"/>
        <v>45801</v>
      </c>
      <c r="Y158" s="380">
        <f t="shared" si="61"/>
        <v>17.140880900119743</v>
      </c>
      <c r="Z158" s="380">
        <f t="shared" si="62"/>
        <v>17.443635634549182</v>
      </c>
      <c r="AA158" s="381">
        <f t="shared" si="63"/>
        <v>18.187670069729979</v>
      </c>
      <c r="AB158" s="193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4.0908727304169966E-2</v>
      </c>
      <c r="AD158" s="227">
        <f>(INDEX(Models!$BJ158:$BT158,,AH158)*(1-AF158)+INDEX(Models!$BJ158:$BT158,,AH158+1)*AF158-ERP_i)*AE158*Ramure*Pc/MaxiM</f>
        <v>7.3851388953951205E-6</v>
      </c>
      <c r="AE158" s="301">
        <f t="shared" si="65"/>
        <v>0.5</v>
      </c>
      <c r="AF158" s="173">
        <f t="shared" si="66"/>
        <v>0.65946462016159235</v>
      </c>
      <c r="AG158" s="802">
        <f t="shared" si="74"/>
        <v>1</v>
      </c>
      <c r="AH158" s="172">
        <f t="shared" si="67"/>
        <v>7</v>
      </c>
      <c r="AI158" s="221">
        <f t="shared" si="68"/>
        <v>1.6594646201615924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45802</v>
      </c>
      <c r="B159" s="406">
        <f>'2024'!Wh/'2024'!Env_an*'2025'!Env_an</f>
        <v>43.479479369100012</v>
      </c>
      <c r="C159" s="385"/>
      <c r="D159" s="388">
        <f t="shared" si="50"/>
        <v>44.248051349605902</v>
      </c>
      <c r="E159" s="380">
        <f t="shared" si="72"/>
        <v>44.330279164130879</v>
      </c>
      <c r="F159" s="380">
        <f t="shared" si="51"/>
        <v>44.33045493546296</v>
      </c>
      <c r="G159" s="110">
        <f t="shared" si="73"/>
        <v>0.68570879115445638</v>
      </c>
      <c r="H159" s="409" t="b">
        <f>Wh_hp&gt;='2024'!Maxi_hp</f>
        <v>0</v>
      </c>
      <c r="I159" s="375">
        <f>IF(H159,Wh_hp,'2024'!Maxi_hp)</f>
        <v>44.330586248471548</v>
      </c>
      <c r="J159" s="85">
        <f>IF(H159,An,'2024'!An_max)</f>
        <v>2022</v>
      </c>
      <c r="K159" s="193">
        <f t="shared" si="52"/>
        <v>45802</v>
      </c>
      <c r="L159" s="143">
        <f>IF(t&lt;Tvie,1-EXP((T0-t)*PertePVj)+'2024'!Pspv,1-EXP((T0-t)*PertePVj)+Pspv)</f>
        <v>1.73696232277748E-2</v>
      </c>
      <c r="M159" s="836"/>
      <c r="N159" s="836"/>
      <c r="O159" s="48">
        <f>IF(t&lt;Tnet,'2024'!Resal+('2024'!Salim-'2024'!Resal)*(1-EXP(('2024'!Tnet-t)/('2024'!Tau_j))),Resal+(Salim-Resal)*(1-EXP((Tnet-t)/(Tau_j))))*Salcycl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7.1958460580827405E-6</v>
      </c>
      <c r="Q159" s="301">
        <f t="shared" si="53"/>
        <v>0.5</v>
      </c>
      <c r="R159" s="173">
        <f t="shared" si="54"/>
        <v>0.66406138557930938</v>
      </c>
      <c r="S159" s="802">
        <f t="shared" si="55"/>
        <v>1</v>
      </c>
      <c r="T159" s="172">
        <f t="shared" si="56"/>
        <v>7</v>
      </c>
      <c r="U159" s="247">
        <f t="shared" si="57"/>
        <v>1.6640613855793094</v>
      </c>
      <c r="V159" s="378">
        <f t="shared" si="58"/>
        <v>63.407877301521005</v>
      </c>
      <c r="W159" s="397">
        <f t="shared" si="59"/>
        <v>43.479479369100012</v>
      </c>
      <c r="X159" s="153">
        <f t="shared" si="60"/>
        <v>45802</v>
      </c>
      <c r="Y159" s="380">
        <f t="shared" si="61"/>
        <v>41.775396017347674</v>
      </c>
      <c r="Z159" s="380">
        <f t="shared" si="62"/>
        <v>42.513845495569548</v>
      </c>
      <c r="AA159" s="381">
        <f t="shared" si="63"/>
        <v>44.330279164130879</v>
      </c>
      <c r="AB159" s="193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4.0975010823551705E-2</v>
      </c>
      <c r="AD159" s="227">
        <f>(INDEX(Models!$BJ159:$BT159,,AH159)*(1-AF159)+INDEX(Models!$BJ159:$BT159,,AH159+1)*AF159-ERP_i)*AE159*Ramure*Pc/MaxiM</f>
        <v>7.1958460580827405E-6</v>
      </c>
      <c r="AE159" s="301">
        <f t="shared" si="65"/>
        <v>0.5</v>
      </c>
      <c r="AF159" s="173">
        <f t="shared" si="66"/>
        <v>0.66406138557930938</v>
      </c>
      <c r="AG159" s="802">
        <f t="shared" si="74"/>
        <v>1</v>
      </c>
      <c r="AH159" s="172">
        <f t="shared" si="67"/>
        <v>7</v>
      </c>
      <c r="AI159" s="221">
        <f t="shared" si="68"/>
        <v>1.6640613855793094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45803</v>
      </c>
      <c r="B160" s="406">
        <f>'2024'!Wh/'2024'!Env_an*'2025'!Env_an</f>
        <v>29.010515581420023</v>
      </c>
      <c r="C160" s="385"/>
      <c r="D160" s="388">
        <f t="shared" si="50"/>
        <v>29.52372876131593</v>
      </c>
      <c r="E160" s="380">
        <f t="shared" si="72"/>
        <v>29.58080662605148</v>
      </c>
      <c r="F160" s="380">
        <f t="shared" si="51"/>
        <v>29.580852990390095</v>
      </c>
      <c r="G160" s="110">
        <f t="shared" si="73"/>
        <v>0.45709761174212094</v>
      </c>
      <c r="H160" s="409" t="b">
        <f>Wh_hp&gt;='2024'!Maxi_hp</f>
        <v>0</v>
      </c>
      <c r="I160" s="375">
        <f>IF(H160,Wh_hp,'2024'!Maxi_hp)</f>
        <v>29.580999563850057</v>
      </c>
      <c r="J160" s="85">
        <f>IF(H160,An,'2024'!An_max)</f>
        <v>2022</v>
      </c>
      <c r="K160" s="193">
        <f t="shared" si="52"/>
        <v>45803</v>
      </c>
      <c r="L160" s="143">
        <f>IF(t&lt;Tvie,1-EXP((T0-t)*PertePVj)+'2024'!Pspv,1-EXP((T0-t)*PertePVj)+Pspv)</f>
        <v>1.7383074612457361E-2</v>
      </c>
      <c r="M160" s="836"/>
      <c r="N160" s="836"/>
      <c r="O160" s="48">
        <f>IF(t&lt;Tnet,'2024'!Resal+('2024'!Salim-'2024'!Resal)*(1-EXP(('2024'!Tnet-t)/('2024'!Tau_j))),Resal+(Salim-Resal)*(1-EXP((Tnet-t)/(Tau_j))))*Salcycl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6.9838513775765959E-6</v>
      </c>
      <c r="Q160" s="301">
        <f t="shared" si="53"/>
        <v>0.5</v>
      </c>
      <c r="R160" s="173">
        <f t="shared" si="54"/>
        <v>0.66871849792014171</v>
      </c>
      <c r="S160" s="802">
        <f t="shared" si="55"/>
        <v>1</v>
      </c>
      <c r="T160" s="172">
        <f t="shared" si="56"/>
        <v>7</v>
      </c>
      <c r="U160" s="247">
        <f t="shared" si="57"/>
        <v>1.6687184979201417</v>
      </c>
      <c r="V160" s="378">
        <f t="shared" si="58"/>
        <v>63.466440649040763</v>
      </c>
      <c r="W160" s="397">
        <f t="shared" si="59"/>
        <v>29.010515581420023</v>
      </c>
      <c r="X160" s="153">
        <f t="shared" si="60"/>
        <v>45803</v>
      </c>
      <c r="Y160" s="380">
        <f t="shared" si="61"/>
        <v>27.873670095233944</v>
      </c>
      <c r="Z160" s="380">
        <f t="shared" si="62"/>
        <v>28.366771806053116</v>
      </c>
      <c r="AA160" s="381">
        <f t="shared" si="63"/>
        <v>29.58080662605148</v>
      </c>
      <c r="AB160" s="193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4.1041302062709027E-2</v>
      </c>
      <c r="AD160" s="227">
        <f>(INDEX(Models!$BJ160:$BT160,,AH160)*(1-AF160)+INDEX(Models!$BJ160:$BT160,,AH160+1)*AF160-ERP_i)*AE160*Ramure*Pc/MaxiM</f>
        <v>6.9838513775765959E-6</v>
      </c>
      <c r="AE160" s="301">
        <f t="shared" si="65"/>
        <v>0.5</v>
      </c>
      <c r="AF160" s="173">
        <f t="shared" si="66"/>
        <v>0.66871849792014171</v>
      </c>
      <c r="AG160" s="802">
        <f t="shared" si="74"/>
        <v>1</v>
      </c>
      <c r="AH160" s="172">
        <f t="shared" si="67"/>
        <v>7</v>
      </c>
      <c r="AI160" s="221">
        <f t="shared" si="68"/>
        <v>1.6687184979201417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45804</v>
      </c>
      <c r="B161" s="406">
        <f>'2024'!Wh/'2024'!Env_an*'2025'!Env_an</f>
        <v>45.425413890243277</v>
      </c>
      <c r="C161" s="385"/>
      <c r="D161" s="388">
        <f t="shared" si="50"/>
        <v>46.229649175450007</v>
      </c>
      <c r="E161" s="380">
        <f t="shared" si="72"/>
        <v>46.322491382159093</v>
      </c>
      <c r="F161" s="380">
        <f t="shared" si="51"/>
        <v>46.322676764626003</v>
      </c>
      <c r="G161" s="110">
        <f t="shared" si="73"/>
        <v>0.71511602789255024</v>
      </c>
      <c r="H161" s="409" t="b">
        <f>Wh_hp&gt;='2024'!Maxi_hp</f>
        <v>0</v>
      </c>
      <c r="I161" s="375">
        <f>IF(H161,Wh_hp,'2024'!Maxi_hp)</f>
        <v>46.32279287527755</v>
      </c>
      <c r="J161" s="85">
        <f>IF(H161,An,'2024'!An_max)</f>
        <v>2022</v>
      </c>
      <c r="K161" s="193">
        <f t="shared" si="52"/>
        <v>45804</v>
      </c>
      <c r="L161" s="143">
        <f>IF(t&lt;Tvie,1-EXP((T0-t)*PertePVj)+'2024'!Pspv,1-EXP((T0-t)*PertePVj)+Pspv)</f>
        <v>1.7396525813001773E-2</v>
      </c>
      <c r="M161" s="836"/>
      <c r="N161" s="836"/>
      <c r="O161" s="48">
        <f>IF(t&lt;Tnet,'2024'!Resal+('2024'!Salim-'2024'!Resal)*(1-EXP(('2024'!Tnet-t)/('2024'!Tau_j))),Resal+(Salim-Resal)*(1-EXP((Tnet-t)/(Tau_j))))*Salcycl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6.748410508255483E-6</v>
      </c>
      <c r="Q161" s="301">
        <f t="shared" si="53"/>
        <v>0.5</v>
      </c>
      <c r="R161" s="173">
        <f t="shared" si="54"/>
        <v>0.67343314531111753</v>
      </c>
      <c r="S161" s="802">
        <f t="shared" si="55"/>
        <v>1</v>
      </c>
      <c r="T161" s="172">
        <f t="shared" si="56"/>
        <v>7</v>
      </c>
      <c r="U161" s="247">
        <f t="shared" si="57"/>
        <v>1.6734331453111175</v>
      </c>
      <c r="V161" s="378">
        <f t="shared" si="58"/>
        <v>63.521564837401414</v>
      </c>
      <c r="W161" s="397">
        <f t="shared" si="59"/>
        <v>45.425413890243277</v>
      </c>
      <c r="X161" s="153">
        <f t="shared" si="60"/>
        <v>45804</v>
      </c>
      <c r="Y161" s="380">
        <f t="shared" si="61"/>
        <v>43.645562635749805</v>
      </c>
      <c r="Z161" s="380">
        <f t="shared" si="62"/>
        <v>44.41828650347685</v>
      </c>
      <c r="AA161" s="381">
        <f t="shared" si="63"/>
        <v>46.322491382159093</v>
      </c>
      <c r="AB161" s="193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4.11075661490789E-2</v>
      </c>
      <c r="AD161" s="227">
        <f>(INDEX(Models!$BJ161:$BT161,,AH161)*(1-AF161)+INDEX(Models!$BJ161:$BT161,,AH161+1)*AF161-ERP_i)*AE161*Ramure*Pc/MaxiM</f>
        <v>6.748410508255483E-6</v>
      </c>
      <c r="AE161" s="301">
        <f t="shared" si="65"/>
        <v>0.5</v>
      </c>
      <c r="AF161" s="173">
        <f t="shared" si="66"/>
        <v>0.67343314531111753</v>
      </c>
      <c r="AG161" s="802">
        <f t="shared" si="74"/>
        <v>1</v>
      </c>
      <c r="AH161" s="172">
        <f t="shared" si="67"/>
        <v>7</v>
      </c>
      <c r="AI161" s="221">
        <f t="shared" si="68"/>
        <v>1.6734331453111175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45805</v>
      </c>
      <c r="B162" s="406">
        <f>'2024'!Wh/'2024'!Env_an*'2025'!Env_an</f>
        <v>59.636276003058143</v>
      </c>
      <c r="C162" s="385"/>
      <c r="D162" s="388">
        <f t="shared" si="50"/>
        <v>60.692938658816985</v>
      </c>
      <c r="E162" s="380">
        <f t="shared" si="72"/>
        <v>60.819381487995372</v>
      </c>
      <c r="F162" s="380">
        <f t="shared" si="51"/>
        <v>60.819741218054268</v>
      </c>
      <c r="G162" s="110">
        <f t="shared" si="73"/>
        <v>0.93806813314272997</v>
      </c>
      <c r="H162" s="409" t="b">
        <f>Wh_hp&gt;='2024'!Maxi_hp</f>
        <v>0</v>
      </c>
      <c r="I162" s="375">
        <f>IF(H162,Wh_hp,'2024'!Maxi_hp)</f>
        <v>60.819773004939982</v>
      </c>
      <c r="J162" s="85">
        <f>IF(H162,An,'2024'!An_max)</f>
        <v>2022</v>
      </c>
      <c r="K162" s="193">
        <f t="shared" si="52"/>
        <v>45805</v>
      </c>
      <c r="L162" s="143">
        <f>IF(t&lt;Tvie,1-EXP((T0-t)*PertePVj)+'2024'!Pspv,1-EXP((T0-t)*PertePVj)+Pspv)</f>
        <v>1.7409976829410589E-2</v>
      </c>
      <c r="M162" s="836"/>
      <c r="N162" s="836"/>
      <c r="O162" s="48">
        <f>IF(t&lt;Tnet,'2024'!Resal+('2024'!Salim-'2024'!Resal)*(1-EXP(('2024'!Tnet-t)/('2024'!Tau_j))),Resal+(Salim-Resal)*(1-EXP((Tnet-t)/(Tau_j))))*Salcycl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6.4887759544293435E-6</v>
      </c>
      <c r="Q162" s="301">
        <f t="shared" si="53"/>
        <v>0.5</v>
      </c>
      <c r="R162" s="173">
        <f t="shared" si="54"/>
        <v>0.67820234769265997</v>
      </c>
      <c r="S162" s="802">
        <f t="shared" si="55"/>
        <v>1</v>
      </c>
      <c r="T162" s="172">
        <f t="shared" si="56"/>
        <v>7</v>
      </c>
      <c r="U162" s="247">
        <f t="shared" si="57"/>
        <v>1.67820234769266</v>
      </c>
      <c r="V162" s="378">
        <f t="shared" si="58"/>
        <v>63.573465145707367</v>
      </c>
      <c r="W162" s="397">
        <f t="shared" si="59"/>
        <v>59.636276003058143</v>
      </c>
      <c r="X162" s="153">
        <f t="shared" si="60"/>
        <v>45805</v>
      </c>
      <c r="Y162" s="380">
        <f t="shared" si="61"/>
        <v>57.299951795257194</v>
      </c>
      <c r="Z162" s="380">
        <f t="shared" si="62"/>
        <v>58.315218396339482</v>
      </c>
      <c r="AA162" s="381">
        <f t="shared" si="63"/>
        <v>60.819381487995372</v>
      </c>
      <c r="AB162" s="193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4.1173767808707011E-2</v>
      </c>
      <c r="AD162" s="227">
        <f>(INDEX(Models!$BJ162:$BT162,,AH162)*(1-AF162)+INDEX(Models!$BJ162:$BT162,,AH162+1)*AF162-ERP_i)*AE162*Ramure*Pc/MaxiM</f>
        <v>6.4887759544293435E-6</v>
      </c>
      <c r="AE162" s="301">
        <f t="shared" si="65"/>
        <v>0.5</v>
      </c>
      <c r="AF162" s="173">
        <f t="shared" si="66"/>
        <v>0.67820234769265997</v>
      </c>
      <c r="AG162" s="802">
        <f t="shared" si="74"/>
        <v>1</v>
      </c>
      <c r="AH162" s="172">
        <f t="shared" si="67"/>
        <v>7</v>
      </c>
      <c r="AI162" s="221">
        <f t="shared" si="68"/>
        <v>1.67820234769266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45806</v>
      </c>
      <c r="B163" s="406">
        <f>'2024'!Wh/'2024'!Env_an*'2025'!Env_an</f>
        <v>64.853865520956433</v>
      </c>
      <c r="C163" s="385"/>
      <c r="D163" s="388">
        <f t="shared" si="50"/>
        <v>66.003879337992615</v>
      </c>
      <c r="E163" s="380">
        <f t="shared" si="72"/>
        <v>66.146341980920539</v>
      </c>
      <c r="F163" s="380">
        <f t="shared" si="51"/>
        <v>66.146752375052444</v>
      </c>
      <c r="G163" s="110">
        <f t="shared" si="73"/>
        <v>1.0193725542453584</v>
      </c>
      <c r="H163" s="409" t="b">
        <f>Wh_hp&gt;='2024'!Maxi_hp</f>
        <v>0</v>
      </c>
      <c r="I163" s="375">
        <f>IF(H163,Wh_hp,'2024'!Maxi_hp)</f>
        <v>66.146752375052458</v>
      </c>
      <c r="J163" s="85">
        <f>IF(H163,An,'2024'!An_max)</f>
        <v>2024</v>
      </c>
      <c r="K163" s="193">
        <f t="shared" si="52"/>
        <v>45806</v>
      </c>
      <c r="L163" s="143">
        <f>IF(t&lt;Tvie,1-EXP((T0-t)*PertePVj)+'2024'!Pspv,1-EXP((T0-t)*PertePVj)+Pspv)</f>
        <v>1.7423427661686253E-2</v>
      </c>
      <c r="M163" s="836"/>
      <c r="N163" s="836"/>
      <c r="O163" s="48">
        <f>IF(t&lt;Tnet,'2024'!Resal+('2024'!Salim-'2024'!Resal)*(1-EXP(('2024'!Tnet-t)/('2024'!Tau_j))),Resal+(Salim-Resal)*(1-EXP((Tnet-t)/(Tau_j))))*Salcycl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6.2042975228124682E-6</v>
      </c>
      <c r="Q163" s="301">
        <f t="shared" si="53"/>
        <v>0.5</v>
      </c>
      <c r="R163" s="173">
        <f t="shared" si="54"/>
        <v>0.68302296252388195</v>
      </c>
      <c r="S163" s="802">
        <f t="shared" si="55"/>
        <v>1</v>
      </c>
      <c r="T163" s="172">
        <f t="shared" si="56"/>
        <v>7</v>
      </c>
      <c r="U163" s="247">
        <f t="shared" si="57"/>
        <v>1.6830229625238819</v>
      </c>
      <c r="V163" s="378">
        <f t="shared" si="58"/>
        <v>63.621357325014259</v>
      </c>
      <c r="W163" s="397">
        <f t="shared" si="59"/>
        <v>64.853865520956433</v>
      </c>
      <c r="X163" s="153">
        <f t="shared" si="60"/>
        <v>45806</v>
      </c>
      <c r="Y163" s="380">
        <f t="shared" si="61"/>
        <v>62.313508120964407</v>
      </c>
      <c r="Z163" s="380">
        <f t="shared" si="62"/>
        <v>63.418475338438114</v>
      </c>
      <c r="AA163" s="381">
        <f t="shared" si="63"/>
        <v>66.146341980920539</v>
      </c>
      <c r="AB163" s="193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4.1239871484794438E-2</v>
      </c>
      <c r="AD163" s="227">
        <f>(INDEX(Models!$BJ163:$BT163,,AH163)*(1-AF163)+INDEX(Models!$BJ163:$BT163,,AH163+1)*AF163-ERP_i)*AE163*Ramure*Pc/MaxiM</f>
        <v>6.2042975228124682E-6</v>
      </c>
      <c r="AE163" s="301">
        <f t="shared" si="65"/>
        <v>0.5</v>
      </c>
      <c r="AF163" s="173">
        <f t="shared" si="66"/>
        <v>0.68302296252388195</v>
      </c>
      <c r="AG163" s="802">
        <f t="shared" si="74"/>
        <v>1</v>
      </c>
      <c r="AH163" s="172">
        <f t="shared" si="67"/>
        <v>7</v>
      </c>
      <c r="AI163" s="221">
        <f t="shared" si="68"/>
        <v>1.6830229625238819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45807</v>
      </c>
      <c r="B164" s="406">
        <f>'2024'!Wh/'2024'!Env_an*'2025'!Env_an</f>
        <v>52.157697875924484</v>
      </c>
      <c r="C164" s="385"/>
      <c r="D164" s="388">
        <f t="shared" si="50"/>
        <v>53.083305005590631</v>
      </c>
      <c r="E164" s="380">
        <f t="shared" si="72"/>
        <v>53.201867279892383</v>
      </c>
      <c r="F164" s="380">
        <f t="shared" si="51"/>
        <v>53.202100520997384</v>
      </c>
      <c r="G164" s="110">
        <f t="shared" si="73"/>
        <v>0.81925804793786838</v>
      </c>
      <c r="H164" s="409" t="b">
        <f>Wh_hp&gt;='2024'!Maxi_hp</f>
        <v>0</v>
      </c>
      <c r="I164" s="375">
        <f>IF(H164,Wh_hp,'2024'!Maxi_hp)</f>
        <v>53.20217402589779</v>
      </c>
      <c r="J164" s="85">
        <f>IF(H164,An,'2024'!An_max)</f>
        <v>2022</v>
      </c>
      <c r="K164" s="193">
        <f t="shared" si="52"/>
        <v>45807</v>
      </c>
      <c r="L164" s="143">
        <f>IF(t&lt;Tvie,1-EXP((T0-t)*PertePVj)+'2024'!Pspv,1-EXP((T0-t)*PertePVj)+Pspv)</f>
        <v>1.7436878309831427E-2</v>
      </c>
      <c r="M164" s="836"/>
      <c r="N164" s="836"/>
      <c r="O164" s="48">
        <f>IF(t&lt;Tnet,'2024'!Resal+('2024'!Salim-'2024'!Resal)*(1-EXP(('2024'!Tnet-t)/('2024'!Tau_j))),Resal+(Salim-Resal)*(1-EXP((Tnet-t)/(Tau_j))))*Salcycl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5.9100352185496691E-6</v>
      </c>
      <c r="Q164" s="301">
        <f t="shared" si="53"/>
        <v>0.5</v>
      </c>
      <c r="R164" s="173">
        <f t="shared" si="54"/>
        <v>0.68789169146396945</v>
      </c>
      <c r="S164" s="802">
        <f t="shared" si="55"/>
        <v>1</v>
      </c>
      <c r="T164" s="172">
        <f t="shared" si="56"/>
        <v>7</v>
      </c>
      <c r="U164" s="247">
        <f t="shared" si="57"/>
        <v>1.6878916914639694</v>
      </c>
      <c r="V164" s="378">
        <f t="shared" si="58"/>
        <v>63.664456413228649</v>
      </c>
      <c r="W164" s="397">
        <f t="shared" si="59"/>
        <v>52.157697875924484</v>
      </c>
      <c r="X164" s="153">
        <f t="shared" si="60"/>
        <v>45807</v>
      </c>
      <c r="Y164" s="380">
        <f t="shared" si="61"/>
        <v>50.114963274230909</v>
      </c>
      <c r="Z164" s="380">
        <f t="shared" si="62"/>
        <v>51.004319384616238</v>
      </c>
      <c r="AA164" s="381">
        <f t="shared" si="63"/>
        <v>53.201867279892383</v>
      </c>
      <c r="AB164" s="193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4.1305841460694472E-2</v>
      </c>
      <c r="AD164" s="227">
        <f>(INDEX(Models!$BJ164:$BT164,,AH164)*(1-AF164)+INDEX(Models!$BJ164:$BT164,,AH164+1)*AF164-ERP_i)*AE164*Ramure*Pc/MaxiM</f>
        <v>5.9100352185496691E-6</v>
      </c>
      <c r="AE164" s="301">
        <f t="shared" si="65"/>
        <v>0.5</v>
      </c>
      <c r="AF164" s="173">
        <f t="shared" si="66"/>
        <v>0.68789169146396945</v>
      </c>
      <c r="AG164" s="802">
        <f t="shared" si="74"/>
        <v>1</v>
      </c>
      <c r="AH164" s="172">
        <f t="shared" si="67"/>
        <v>7</v>
      </c>
      <c r="AI164" s="221">
        <f t="shared" si="68"/>
        <v>1.6878916914639694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45808</v>
      </c>
      <c r="B165" s="406">
        <f>'2024'!Wh/'2024'!Env_an*'2025'!Env_an</f>
        <v>61.653774564936548</v>
      </c>
      <c r="C165" s="385"/>
      <c r="D165" s="388">
        <f t="shared" si="50"/>
        <v>62.748761075862006</v>
      </c>
      <c r="E165" s="380">
        <f t="shared" si="72"/>
        <v>62.893626857179441</v>
      </c>
      <c r="F165" s="380">
        <f t="shared" si="51"/>
        <v>62.893963917817892</v>
      </c>
      <c r="G165" s="110">
        <f t="shared" si="73"/>
        <v>0.96783166642939666</v>
      </c>
      <c r="H165" s="409" t="b">
        <f>Wh_hp&gt;='2024'!Maxi_hp</f>
        <v>0</v>
      </c>
      <c r="I165" s="375">
        <f>IF(H165,Wh_hp,'2024'!Maxi_hp)</f>
        <v>62.893978575156851</v>
      </c>
      <c r="J165" s="85">
        <f>IF(H165,An,'2024'!An_max)</f>
        <v>2022</v>
      </c>
      <c r="K165" s="193">
        <f t="shared" si="52"/>
        <v>45808</v>
      </c>
      <c r="L165" s="143">
        <f>IF(t&lt;Tvie,1-EXP((T0-t)*PertePVj)+'2024'!Pspv,1-EXP((T0-t)*PertePVj)+Pspv)</f>
        <v>1.7450328773848445E-2</v>
      </c>
      <c r="M165" s="836"/>
      <c r="N165" s="836"/>
      <c r="O165" s="48">
        <f>IF(t&lt;Tnet,'2024'!Resal+('2024'!Salim-'2024'!Resal)*(1-EXP(('2024'!Tnet-t)/('2024'!Tau_j))),Resal+(Salim-Resal)*(1-EXP((Tnet-t)/(Tau_j))))*Salcycl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5.6173300434790228E-6</v>
      </c>
      <c r="Q165" s="301">
        <f t="shared" si="53"/>
        <v>0.5</v>
      </c>
      <c r="R165" s="173">
        <f t="shared" si="54"/>
        <v>0.6928050880135963</v>
      </c>
      <c r="S165" s="802">
        <f t="shared" si="55"/>
        <v>1</v>
      </c>
      <c r="T165" s="172">
        <f t="shared" si="56"/>
        <v>7</v>
      </c>
      <c r="U165" s="247">
        <f t="shared" si="57"/>
        <v>1.6928050880135963</v>
      </c>
      <c r="V165" s="378">
        <f t="shared" si="58"/>
        <v>63.702977271800272</v>
      </c>
      <c r="W165" s="397">
        <f t="shared" si="59"/>
        <v>61.653774564936548</v>
      </c>
      <c r="X165" s="153">
        <f t="shared" si="60"/>
        <v>45808</v>
      </c>
      <c r="Y165" s="380">
        <f t="shared" si="61"/>
        <v>59.239505752743163</v>
      </c>
      <c r="Z165" s="380">
        <f t="shared" si="62"/>
        <v>60.29161424360003</v>
      </c>
      <c r="AA165" s="381">
        <f t="shared" si="63"/>
        <v>62.893626857179441</v>
      </c>
      <c r="AB165" s="193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4.137164198668538E-2</v>
      </c>
      <c r="AD165" s="227">
        <f>(INDEX(Models!$BJ165:$BT165,,AH165)*(1-AF165)+INDEX(Models!$BJ165:$BT165,,AH165+1)*AF165-ERP_i)*AE165*Ramure*Pc/MaxiM</f>
        <v>5.6173300434790228E-6</v>
      </c>
      <c r="AE165" s="301">
        <f t="shared" si="65"/>
        <v>0.5</v>
      </c>
      <c r="AF165" s="173">
        <f t="shared" si="66"/>
        <v>0.6928050880135963</v>
      </c>
      <c r="AG165" s="802">
        <f t="shared" si="74"/>
        <v>1</v>
      </c>
      <c r="AH165" s="172">
        <f t="shared" si="67"/>
        <v>7</v>
      </c>
      <c r="AI165" s="221">
        <f t="shared" si="68"/>
        <v>1.6928050880135963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45809</v>
      </c>
      <c r="B166" s="406">
        <f>'2024'!Wh/'2024'!Env_an*'2025'!Env_an</f>
        <v>64.280930308778906</v>
      </c>
      <c r="C166" s="385"/>
      <c r="D166" s="388">
        <f t="shared" si="50"/>
        <v>65.423471357494876</v>
      </c>
      <c r="E166" s="380">
        <f t="shared" si="72"/>
        <v>65.579430805498347</v>
      </c>
      <c r="F166" s="380">
        <f t="shared" si="51"/>
        <v>65.579780102115706</v>
      </c>
      <c r="G166" s="110">
        <f t="shared" si="73"/>
        <v>1.008531837726554</v>
      </c>
      <c r="H166" s="409" t="b">
        <f>Wh_hp&gt;='2024'!Maxi_hp</f>
        <v>1</v>
      </c>
      <c r="I166" s="375">
        <f>IF(H166,Wh_hp,'2024'!Maxi_hp)</f>
        <v>65.579780102115706</v>
      </c>
      <c r="J166" s="85">
        <f>IF(H166,An,'2024'!An_max)</f>
        <v>2025</v>
      </c>
      <c r="K166" s="193">
        <f t="shared" si="52"/>
        <v>45809</v>
      </c>
      <c r="L166" s="143">
        <f>IF(t&lt;Tvie,1-EXP((T0-t)*PertePVj)+'2024'!Pspv,1-EXP((T0-t)*PertePVj)+Pspv)</f>
        <v>1.7463779053739859E-2</v>
      </c>
      <c r="M166" s="836"/>
      <c r="N166" s="836"/>
      <c r="O166" s="48">
        <f>IF(t&lt;Tnet,'2024'!Resal+('2024'!Salim-'2024'!Resal)*(1-EXP(('2024'!Tnet-t)/('2024'!Tau_j))),Resal+(Salim-Resal)*(1-EXP((Tnet-t)/(Tau_j))))*Salcycl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5.326285278915648E-6</v>
      </c>
      <c r="Q166" s="301">
        <f t="shared" si="53"/>
        <v>0.5</v>
      </c>
      <c r="R166" s="173">
        <f t="shared" si="54"/>
        <v>0.69775956609067857</v>
      </c>
      <c r="S166" s="802">
        <f t="shared" si="55"/>
        <v>1</v>
      </c>
      <c r="T166" s="172">
        <f t="shared" si="56"/>
        <v>7</v>
      </c>
      <c r="U166" s="247">
        <f t="shared" si="57"/>
        <v>1.6977595660906786</v>
      </c>
      <c r="V166" s="378">
        <f t="shared" si="58"/>
        <v>63.737135412285902</v>
      </c>
      <c r="W166" s="397">
        <f t="shared" si="59"/>
        <v>64.280930308778906</v>
      </c>
      <c r="X166" s="153">
        <f t="shared" si="60"/>
        <v>45809</v>
      </c>
      <c r="Y166" s="380">
        <f t="shared" si="61"/>
        <v>61.764192276813382</v>
      </c>
      <c r="Z166" s="380">
        <f t="shared" si="62"/>
        <v>62.862000362011671</v>
      </c>
      <c r="AA166" s="381">
        <f t="shared" si="63"/>
        <v>65.579430805498347</v>
      </c>
      <c r="AB166" s="193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4.143723740979529E-2</v>
      </c>
      <c r="AD166" s="227">
        <f>(INDEX(Models!$BJ166:$BT166,,AH166)*(1-AF166)+INDEX(Models!$BJ166:$BT166,,AH166+1)*AF166-ERP_i)*AE166*Ramure*Pc/MaxiM</f>
        <v>5.326285278915648E-6</v>
      </c>
      <c r="AE166" s="301">
        <f t="shared" si="65"/>
        <v>0.5</v>
      </c>
      <c r="AF166" s="173">
        <f t="shared" si="66"/>
        <v>0.69775956609067857</v>
      </c>
      <c r="AG166" s="802">
        <f t="shared" si="74"/>
        <v>1</v>
      </c>
      <c r="AH166" s="172">
        <f t="shared" si="67"/>
        <v>7</v>
      </c>
      <c r="AI166" s="221">
        <f t="shared" si="68"/>
        <v>1.6977595660906786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45810</v>
      </c>
      <c r="B167" s="406">
        <f>'2024'!Wh/'2024'!Env_an*'2025'!Env_an</f>
        <v>46.301438307144295</v>
      </c>
      <c r="C167" s="385"/>
      <c r="D167" s="388">
        <f t="shared" si="50"/>
        <v>47.125053668796731</v>
      </c>
      <c r="E167" s="380">
        <f t="shared" si="72"/>
        <v>47.240936804780929</v>
      </c>
      <c r="F167" s="380">
        <f t="shared" si="51"/>
        <v>47.241081651657183</v>
      </c>
      <c r="G167" s="110">
        <f t="shared" si="73"/>
        <v>0.7261003471027131</v>
      </c>
      <c r="H167" s="409" t="b">
        <f>Wh_hp&gt;='2024'!Maxi_hp</f>
        <v>0</v>
      </c>
      <c r="I167" s="375">
        <f>IF(H167,Wh_hp,'2024'!Maxi_hp)</f>
        <v>47.241165214979837</v>
      </c>
      <c r="J167" s="85">
        <f>IF(H167,An,'2024'!An_max)</f>
        <v>2022</v>
      </c>
      <c r="K167" s="193">
        <f t="shared" si="52"/>
        <v>45810</v>
      </c>
      <c r="L167" s="143">
        <f>IF(t&lt;Tvie,1-EXP((T0-t)*PertePVj)+'2024'!Pspv,1-EXP((T0-t)*PertePVj)+Pspv)</f>
        <v>1.7477229149508333E-2</v>
      </c>
      <c r="M167" s="836"/>
      <c r="N167" s="836"/>
      <c r="O167" s="48">
        <f>IF(t&lt;Tnet,'2024'!Resal+('2024'!Salim-'2024'!Resal)*(1-EXP(('2024'!Tnet-t)/('2024'!Tau_j))),Resal+(Salim-Resal)*(1-EXP((Tnet-t)/(Tau_j))))*Salcycl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5.0370237001041311E-6</v>
      </c>
      <c r="Q167" s="301">
        <f t="shared" si="53"/>
        <v>0.5</v>
      </c>
      <c r="R167" s="173">
        <f t="shared" si="54"/>
        <v>0.70275140950509107</v>
      </c>
      <c r="S167" s="802">
        <f t="shared" si="55"/>
        <v>1</v>
      </c>
      <c r="T167" s="172">
        <f t="shared" si="56"/>
        <v>7</v>
      </c>
      <c r="U167" s="247">
        <f t="shared" si="57"/>
        <v>1.7027514095050911</v>
      </c>
      <c r="V167" s="378">
        <f t="shared" si="58"/>
        <v>63.767146284931684</v>
      </c>
      <c r="W167" s="397">
        <f t="shared" si="59"/>
        <v>46.301438307144295</v>
      </c>
      <c r="X167" s="153">
        <f t="shared" si="60"/>
        <v>45810</v>
      </c>
      <c r="Y167" s="380">
        <f t="shared" si="61"/>
        <v>44.488941015089068</v>
      </c>
      <c r="Z167" s="380">
        <f t="shared" si="62"/>
        <v>45.280315464422813</v>
      </c>
      <c r="AA167" s="381">
        <f t="shared" si="63"/>
        <v>47.240936804780929</v>
      </c>
      <c r="AB167" s="193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4.1502592305910753E-2</v>
      </c>
      <c r="AD167" s="227">
        <f>(INDEX(Models!$BJ167:$BT167,,AH167)*(1-AF167)+INDEX(Models!$BJ167:$BT167,,AH167+1)*AF167-ERP_i)*AE167*Ramure*Pc/MaxiM</f>
        <v>5.0370237001041311E-6</v>
      </c>
      <c r="AE167" s="301">
        <f t="shared" si="65"/>
        <v>0.5</v>
      </c>
      <c r="AF167" s="173">
        <f t="shared" si="66"/>
        <v>0.70275140950509107</v>
      </c>
      <c r="AG167" s="802">
        <f t="shared" si="74"/>
        <v>1</v>
      </c>
      <c r="AH167" s="172">
        <f t="shared" si="67"/>
        <v>7</v>
      </c>
      <c r="AI167" s="221">
        <f t="shared" si="68"/>
        <v>1.7027514095050911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45811</v>
      </c>
      <c r="B168" s="406">
        <f>'2024'!Wh/'2024'!Env_an*'2025'!Env_an</f>
        <v>61.30491097052186</v>
      </c>
      <c r="C168" s="385"/>
      <c r="D168" s="388">
        <f t="shared" si="50"/>
        <v>62.396263998738981</v>
      </c>
      <c r="E168" s="380">
        <f t="shared" si="72"/>
        <v>62.554394284992341</v>
      </c>
      <c r="F168" s="380">
        <f t="shared" si="51"/>
        <v>62.554674844049174</v>
      </c>
      <c r="G168" s="110">
        <f t="shared" si="73"/>
        <v>0.96099381206752088</v>
      </c>
      <c r="H168" s="409" t="b">
        <f>Wh_hp&gt;='2024'!Maxi_hp</f>
        <v>0</v>
      </c>
      <c r="I168" s="375">
        <f>IF(H168,Wh_hp,'2024'!Maxi_hp)</f>
        <v>62.554689658440559</v>
      </c>
      <c r="J168" s="85">
        <f>IF(H168,An,'2024'!An_max)</f>
        <v>2022</v>
      </c>
      <c r="K168" s="193">
        <f t="shared" si="52"/>
        <v>45811</v>
      </c>
      <c r="L168" s="143">
        <f>IF(t&lt;Tvie,1-EXP((T0-t)*PertePVj)+'2024'!Pspv,1-EXP((T0-t)*PertePVj)+Pspv)</f>
        <v>1.74906790611562E-2</v>
      </c>
      <c r="M168" s="836"/>
      <c r="N168" s="836"/>
      <c r="O168" s="48">
        <f>IF(t&lt;Tnet,'2024'!Resal+('2024'!Salim-'2024'!Resal)*(1-EXP(('2024'!Tnet-t)/('2024'!Tau_j))),Resal+(Salim-Resal)*(1-EXP((Tnet-t)/(Tau_j))))*Salcycl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4.7496871094299549E-6</v>
      </c>
      <c r="Q168" s="301">
        <f t="shared" si="53"/>
        <v>0.5</v>
      </c>
      <c r="R168" s="173">
        <f t="shared" si="54"/>
        <v>0.70777678228736307</v>
      </c>
      <c r="S168" s="802">
        <f t="shared" si="55"/>
        <v>1</v>
      </c>
      <c r="T168" s="172">
        <f t="shared" si="56"/>
        <v>7</v>
      </c>
      <c r="U168" s="247">
        <f t="shared" si="57"/>
        <v>1.7077767822873631</v>
      </c>
      <c r="V168" s="378">
        <f t="shared" si="58"/>
        <v>63.793225279202346</v>
      </c>
      <c r="W168" s="397">
        <f t="shared" si="59"/>
        <v>61.30491097052186</v>
      </c>
      <c r="X168" s="153">
        <f t="shared" si="60"/>
        <v>45811</v>
      </c>
      <c r="Y168" s="380">
        <f t="shared" si="61"/>
        <v>58.905514903487514</v>
      </c>
      <c r="Z168" s="380">
        <f t="shared" si="62"/>
        <v>59.954153765381001</v>
      </c>
      <c r="AA168" s="381">
        <f t="shared" si="63"/>
        <v>62.554394284992341</v>
      </c>
      <c r="AB168" s="193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4.1567671613362174E-2</v>
      </c>
      <c r="AD168" s="227">
        <f>(INDEX(Models!$BJ168:$BT168,,AH168)*(1-AF168)+INDEX(Models!$BJ168:$BT168,,AH168+1)*AF168-ERP_i)*AE168*Ramure*Pc/MaxiM</f>
        <v>4.7496871094299549E-6</v>
      </c>
      <c r="AE168" s="301">
        <f t="shared" si="65"/>
        <v>0.5</v>
      </c>
      <c r="AF168" s="173">
        <f t="shared" si="66"/>
        <v>0.70777678228736307</v>
      </c>
      <c r="AG168" s="802">
        <f t="shared" si="74"/>
        <v>1</v>
      </c>
      <c r="AH168" s="172">
        <f t="shared" si="67"/>
        <v>7</v>
      </c>
      <c r="AI168" s="221">
        <f t="shared" si="68"/>
        <v>1.7077767822873631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45812</v>
      </c>
      <c r="B169" s="406">
        <f>'2024'!Wh/'2024'!Env_an*'2025'!Env_an</f>
        <v>31.158328817206474</v>
      </c>
      <c r="C169" s="385"/>
      <c r="D169" s="388">
        <f t="shared" si="50"/>
        <v>31.713445043582258</v>
      </c>
      <c r="E169" s="380">
        <f t="shared" si="72"/>
        <v>31.796202775685725</v>
      </c>
      <c r="F169" s="380">
        <f t="shared" si="51"/>
        <v>31.796240951878261</v>
      </c>
      <c r="G169" s="110">
        <f t="shared" si="73"/>
        <v>0.48825417481339067</v>
      </c>
      <c r="H169" s="409" t="b">
        <f>Wh_hp&gt;='2024'!Maxi_hp</f>
        <v>0</v>
      </c>
      <c r="I169" s="375">
        <f>IF(H169,Wh_hp,'2024'!Maxi_hp)</f>
        <v>31.79633352939906</v>
      </c>
      <c r="J169" s="85">
        <f>IF(H169,An,'2024'!An_max)</f>
        <v>2022</v>
      </c>
      <c r="K169" s="193">
        <f t="shared" si="52"/>
        <v>45812</v>
      </c>
      <c r="L169" s="143">
        <f>IF(t&lt;Tvie,1-EXP((T0-t)*PertePVj)+'2024'!Pspv,1-EXP((T0-t)*PertePVj)+Pspv)</f>
        <v>1.7504128788686124E-2</v>
      </c>
      <c r="M169" s="836"/>
      <c r="N169" s="836"/>
      <c r="O169" s="48">
        <f>IF(t&lt;Tnet,'2024'!Resal+('2024'!Salim-'2024'!Resal)*(1-EXP(('2024'!Tnet-t)/('2024'!Tau_j))),Resal+(Salim-Resal)*(1-EXP((Tnet-t)/(Tau_j))))*Salcycl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4.4644357842279308E-6</v>
      </c>
      <c r="Q169" s="301">
        <f t="shared" si="53"/>
        <v>0.5</v>
      </c>
      <c r="R169" s="173">
        <f t="shared" si="54"/>
        <v>0.71283173981702275</v>
      </c>
      <c r="S169" s="802">
        <f t="shared" si="55"/>
        <v>1</v>
      </c>
      <c r="T169" s="172">
        <f t="shared" si="56"/>
        <v>7</v>
      </c>
      <c r="U169" s="247">
        <f t="shared" si="57"/>
        <v>1.7128317398170227</v>
      </c>
      <c r="V169" s="378">
        <f t="shared" si="58"/>
        <v>63.815587721123791</v>
      </c>
      <c r="W169" s="397">
        <f t="shared" si="59"/>
        <v>31.158328817206474</v>
      </c>
      <c r="X169" s="153">
        <f t="shared" si="60"/>
        <v>45812</v>
      </c>
      <c r="Y169" s="380">
        <f t="shared" si="61"/>
        <v>29.93905557088047</v>
      </c>
      <c r="Z169" s="380">
        <f t="shared" si="62"/>
        <v>30.472449247006779</v>
      </c>
      <c r="AA169" s="381">
        <f t="shared" si="63"/>
        <v>31.796202775685725</v>
      </c>
      <c r="AB169" s="193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4.1632440767147422E-2</v>
      </c>
      <c r="AD169" s="227">
        <f>(INDEX(Models!$BJ169:$BT169,,AH169)*(1-AF169)+INDEX(Models!$BJ169:$BT169,,AH169+1)*AF169-ERP_i)*AE169*Ramure*Pc/MaxiM</f>
        <v>4.4644357842279308E-6</v>
      </c>
      <c r="AE169" s="301">
        <f t="shared" si="65"/>
        <v>0.5</v>
      </c>
      <c r="AF169" s="173">
        <f t="shared" si="66"/>
        <v>0.71283173981702275</v>
      </c>
      <c r="AG169" s="802">
        <f t="shared" si="74"/>
        <v>1</v>
      </c>
      <c r="AH169" s="172">
        <f t="shared" si="67"/>
        <v>7</v>
      </c>
      <c r="AI169" s="221">
        <f t="shared" si="68"/>
        <v>1.7128317398170227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45813</v>
      </c>
      <c r="B170" s="406">
        <f>'2024'!Wh/'2024'!Env_an*'2025'!Env_an</f>
        <v>34.432847199845376</v>
      </c>
      <c r="C170" s="385"/>
      <c r="D170" s="388">
        <f t="shared" si="50"/>
        <v>35.046781947905863</v>
      </c>
      <c r="E170" s="380">
        <f t="shared" ref="E170:E232" si="75">Wh_pvt/(1-Psa)</f>
        <v>35.140876273413419</v>
      </c>
      <c r="F170" s="380">
        <f t="shared" si="51"/>
        <v>35.14092663003845</v>
      </c>
      <c r="G170" s="110">
        <f t="shared" ref="G170:G232" si="76">+Wh_hp/MaxiM</f>
        <v>0.53940706267974448</v>
      </c>
      <c r="H170" s="409" t="b">
        <f>Wh_hp&gt;='2024'!Maxi_hp</f>
        <v>0</v>
      </c>
      <c r="I170" s="375">
        <f>IF(H170,Wh_hp,'2024'!Maxi_hp)</f>
        <v>35.141012790309702</v>
      </c>
      <c r="J170" s="85">
        <f>IF(H170,An,'2024'!An_max)</f>
        <v>2022</v>
      </c>
      <c r="K170" s="193">
        <f t="shared" si="52"/>
        <v>45813</v>
      </c>
      <c r="L170" s="143">
        <f>IF(t&lt;Tvie,1-EXP((T0-t)*PertePVj)+'2024'!Pspv,1-EXP((T0-t)*PertePVj)+Pspv)</f>
        <v>1.7517578332100547E-2</v>
      </c>
      <c r="M170" s="836"/>
      <c r="N170" s="836"/>
      <c r="O170" s="48">
        <f>IF(t&lt;Tnet,'2024'!Resal+('2024'!Salim-'2024'!Resal)*(1-EXP(('2024'!Tnet-t)/('2024'!Tau_j))),Resal+(Salim-Resal)*(1-EXP((Tnet-t)/(Tau_j))))*Salcycl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4.1898819833657834E-6</v>
      </c>
      <c r="Q170" s="301">
        <f t="shared" si="53"/>
        <v>0.5</v>
      </c>
      <c r="R170" s="173">
        <f t="shared" si="54"/>
        <v>0.71791224068729464</v>
      </c>
      <c r="S170" s="802">
        <f t="shared" si="55"/>
        <v>1</v>
      </c>
      <c r="T170" s="172">
        <f t="shared" si="56"/>
        <v>7</v>
      </c>
      <c r="U170" s="247">
        <f t="shared" si="57"/>
        <v>1.7179122406872946</v>
      </c>
      <c r="V170" s="378">
        <f t="shared" si="58"/>
        <v>63.83444833116743</v>
      </c>
      <c r="W170" s="397">
        <f t="shared" si="59"/>
        <v>34.432847199845376</v>
      </c>
      <c r="X170" s="153">
        <f t="shared" si="60"/>
        <v>45813</v>
      </c>
      <c r="Y170" s="380">
        <f t="shared" si="61"/>
        <v>33.085696701371873</v>
      </c>
      <c r="Z170" s="380">
        <f t="shared" si="62"/>
        <v>33.675611870189329</v>
      </c>
      <c r="AA170" s="381">
        <f t="shared" si="63"/>
        <v>35.140876273413419</v>
      </c>
      <c r="AB170" s="193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4.1696865832929385E-2</v>
      </c>
      <c r="AD170" s="227">
        <f>(INDEX(Models!$BJ170:$BT170,,AH170)*(1-AF170)+INDEX(Models!$BJ170:$BT170,,AH170+1)*AF170-ERP_i)*AE170*Ramure*Pc/MaxiM</f>
        <v>4.1898819833657834E-6</v>
      </c>
      <c r="AE170" s="301">
        <f t="shared" si="65"/>
        <v>0.5</v>
      </c>
      <c r="AF170" s="173">
        <f t="shared" si="66"/>
        <v>0.71791224068729464</v>
      </c>
      <c r="AG170" s="802">
        <f t="shared" si="74"/>
        <v>1</v>
      </c>
      <c r="AH170" s="172">
        <f t="shared" si="67"/>
        <v>7</v>
      </c>
      <c r="AI170" s="221">
        <f t="shared" si="68"/>
        <v>1.7179122406872946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45814</v>
      </c>
      <c r="B171" s="406">
        <f>'2024'!Wh/'2024'!Env_an*'2025'!Env_an</f>
        <v>55.063166237609181</v>
      </c>
      <c r="C171" s="385"/>
      <c r="D171" s="388">
        <f t="shared" si="50"/>
        <v>56.045705044732536</v>
      </c>
      <c r="E171" s="380">
        <f t="shared" si="75"/>
        <v>56.200397203865229</v>
      </c>
      <c r="F171" s="380">
        <f t="shared" si="51"/>
        <v>56.200574877641088</v>
      </c>
      <c r="G171" s="110">
        <f t="shared" si="76"/>
        <v>0.86238222222422123</v>
      </c>
      <c r="H171" s="409" t="b">
        <f>Wh_hp&gt;='2024'!Maxi_hp</f>
        <v>0</v>
      </c>
      <c r="I171" s="375">
        <f>IF(H171,Wh_hp,'2024'!Maxi_hp)</f>
        <v>56.200613424709161</v>
      </c>
      <c r="J171" s="85">
        <f>IF(H171,An,'2024'!An_max)</f>
        <v>2022</v>
      </c>
      <c r="K171" s="193">
        <f t="shared" si="52"/>
        <v>45814</v>
      </c>
      <c r="L171" s="143">
        <f>IF(t&lt;Tvie,1-EXP((T0-t)*PertePVj)+'2024'!Pspv,1-EXP((T0-t)*PertePVj)+Pspv)</f>
        <v>1.7531027691402024E-2</v>
      </c>
      <c r="M171" s="836"/>
      <c r="N171" s="836"/>
      <c r="O171" s="48">
        <f>IF(t&lt;Tnet,'2024'!Resal+('2024'!Salim-'2024'!Resal)*(1-EXP(('2024'!Tnet-t)/('2024'!Tau_j))),Resal+(Salim-Resal)*(1-EXP((Tnet-t)/(Tau_j))))*Salcycl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3.9350342359985589E-6</v>
      </c>
      <c r="Q171" s="301">
        <f t="shared" si="53"/>
        <v>0.5</v>
      </c>
      <c r="R171" s="173">
        <f t="shared" si="54"/>
        <v>0.72301415923443457</v>
      </c>
      <c r="S171" s="802">
        <f t="shared" si="55"/>
        <v>1</v>
      </c>
      <c r="T171" s="172">
        <f t="shared" si="56"/>
        <v>7</v>
      </c>
      <c r="U171" s="247">
        <f t="shared" si="57"/>
        <v>1.7230141592344346</v>
      </c>
      <c r="V171" s="378">
        <f t="shared" si="58"/>
        <v>63.850021743212615</v>
      </c>
      <c r="W171" s="397">
        <f t="shared" si="59"/>
        <v>55.063166237609181</v>
      </c>
      <c r="X171" s="153">
        <f t="shared" si="60"/>
        <v>45814</v>
      </c>
      <c r="Y171" s="380">
        <f t="shared" si="61"/>
        <v>52.909311520273249</v>
      </c>
      <c r="Z171" s="380">
        <f t="shared" si="62"/>
        <v>53.853417269705076</v>
      </c>
      <c r="AA171" s="381">
        <f t="shared" si="63"/>
        <v>56.200397203865229</v>
      </c>
      <c r="AB171" s="193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4.1760913639926005E-2</v>
      </c>
      <c r="AD171" s="227">
        <f>(INDEX(Models!$BJ171:$BT171,,AH171)*(1-AF171)+INDEX(Models!$BJ171:$BT171,,AH171+1)*AF171-ERP_i)*AE171*Ramure*Pc/MaxiM</f>
        <v>3.9350342359985589E-6</v>
      </c>
      <c r="AE171" s="301">
        <f t="shared" si="65"/>
        <v>0.5</v>
      </c>
      <c r="AF171" s="173">
        <f t="shared" si="66"/>
        <v>0.72301415923443457</v>
      </c>
      <c r="AG171" s="802">
        <f t="shared" si="74"/>
        <v>1</v>
      </c>
      <c r="AH171" s="172">
        <f t="shared" si="67"/>
        <v>7</v>
      </c>
      <c r="AI171" s="221">
        <f t="shared" si="68"/>
        <v>1.7230141592344346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45815</v>
      </c>
      <c r="B172" s="406">
        <f>'2024'!Wh/'2024'!Env_an*'2025'!Env_an</f>
        <v>28.753012408647145</v>
      </c>
      <c r="C172" s="385"/>
      <c r="D172" s="388">
        <f t="shared" si="50"/>
        <v>29.266477445150247</v>
      </c>
      <c r="E172" s="380">
        <f t="shared" si="75"/>
        <v>29.349459695615813</v>
      </c>
      <c r="F172" s="380">
        <f t="shared" si="51"/>
        <v>29.349483005092935</v>
      </c>
      <c r="G172" s="110">
        <f t="shared" si="76"/>
        <v>0.45023164551468431</v>
      </c>
      <c r="H172" s="409" t="b">
        <f>Wh_hp&gt;='2024'!Maxi_hp</f>
        <v>0</v>
      </c>
      <c r="I172" s="375">
        <f>IF(H172,Wh_hp,'2024'!Maxi_hp)</f>
        <v>29.349558396562763</v>
      </c>
      <c r="J172" s="85">
        <f>IF(H172,An,'2024'!An_max)</f>
        <v>2022</v>
      </c>
      <c r="K172" s="193">
        <f t="shared" si="52"/>
        <v>45815</v>
      </c>
      <c r="L172" s="143">
        <f>IF(t&lt;Tvie,1-EXP((T0-t)*PertePVj)+'2024'!Pspv,1-EXP((T0-t)*PertePVj)+Pspv)</f>
        <v>1.7544476866592995E-2</v>
      </c>
      <c r="M172" s="836"/>
      <c r="N172" s="836"/>
      <c r="O172" s="48">
        <f>IF(t&lt;Tnet,'2024'!Resal+('2024'!Salim-'2024'!Resal)*(1-EXP(('2024'!Tnet-t)/('2024'!Tau_j))),Resal+(Salim-Resal)*(1-EXP((Tnet-t)/(Tau_j))))*Salcycl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3.7005383483846543E-6</v>
      </c>
      <c r="Q172" s="301">
        <f t="shared" si="53"/>
        <v>0.5</v>
      </c>
      <c r="R172" s="173">
        <f t="shared" si="54"/>
        <v>0.72813329865226062</v>
      </c>
      <c r="S172" s="802">
        <f t="shared" si="55"/>
        <v>1</v>
      </c>
      <c r="T172" s="172">
        <f t="shared" si="56"/>
        <v>7</v>
      </c>
      <c r="U172" s="247">
        <f t="shared" si="57"/>
        <v>1.7281332986522606</v>
      </c>
      <c r="V172" s="378">
        <f t="shared" si="58"/>
        <v>63.862523057090918</v>
      </c>
      <c r="W172" s="397">
        <f t="shared" si="59"/>
        <v>28.753012408647145</v>
      </c>
      <c r="X172" s="153">
        <f t="shared" si="60"/>
        <v>45815</v>
      </c>
      <c r="Y172" s="380">
        <f t="shared" si="61"/>
        <v>27.628547114926519</v>
      </c>
      <c r="Z172" s="380">
        <f t="shared" si="62"/>
        <v>28.121931694993236</v>
      </c>
      <c r="AA172" s="381">
        <f t="shared" si="63"/>
        <v>29.349459695615813</v>
      </c>
      <c r="AB172" s="193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4.1824551911800317E-2</v>
      </c>
      <c r="AD172" s="227">
        <f>(INDEX(Models!$BJ172:$BT172,,AH172)*(1-AF172)+INDEX(Models!$BJ172:$BT172,,AH172+1)*AF172-ERP_i)*AE172*Ramure*Pc/MaxiM</f>
        <v>3.7005383483846543E-6</v>
      </c>
      <c r="AE172" s="301">
        <f t="shared" si="65"/>
        <v>0.5</v>
      </c>
      <c r="AF172" s="173">
        <f t="shared" si="66"/>
        <v>0.72813329865226062</v>
      </c>
      <c r="AG172" s="802">
        <f t="shared" si="74"/>
        <v>1</v>
      </c>
      <c r="AH172" s="172">
        <f t="shared" si="67"/>
        <v>7</v>
      </c>
      <c r="AI172" s="221">
        <f t="shared" si="68"/>
        <v>1.7281332986522606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45816</v>
      </c>
      <c r="B173" s="406">
        <f>'2024'!Wh/'2024'!Env_an*'2025'!Env_an</f>
        <v>25.909621379836942</v>
      </c>
      <c r="C173" s="385"/>
      <c r="D173" s="388">
        <f t="shared" si="50"/>
        <v>26.372670778026432</v>
      </c>
      <c r="E173" s="380">
        <f t="shared" si="75"/>
        <v>26.449433781111146</v>
      </c>
      <c r="F173" s="380">
        <f t="shared" si="51"/>
        <v>26.449447701092332</v>
      </c>
      <c r="G173" s="110">
        <f t="shared" si="76"/>
        <v>0.4056468687338719</v>
      </c>
      <c r="H173" s="409" t="b">
        <f>Wh_hp&gt;='2024'!Maxi_hp</f>
        <v>0</v>
      </c>
      <c r="I173" s="375">
        <f>IF(H173,Wh_hp,'2024'!Maxi_hp)</f>
        <v>26.449516701435005</v>
      </c>
      <c r="J173" s="85">
        <f>IF(H173,An,'2024'!An_max)</f>
        <v>2022</v>
      </c>
      <c r="K173" s="193">
        <f t="shared" si="52"/>
        <v>45816</v>
      </c>
      <c r="L173" s="143">
        <f>IF(t&lt;Tvie,1-EXP((T0-t)*PertePVj)+'2024'!Pspv,1-EXP((T0-t)*PertePVj)+Pspv)</f>
        <v>1.7557925857676127E-2</v>
      </c>
      <c r="M173" s="836"/>
      <c r="N173" s="836"/>
      <c r="O173" s="48">
        <f>IF(t&lt;Tnet,'2024'!Resal+('2024'!Salim-'2024'!Resal)*(1-EXP(('2024'!Tnet-t)/('2024'!Tau_j))),Resal+(Salim-Resal)*(1-EXP((Tnet-t)/(Tau_j))))*Salcycl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3.4870527225817361E-6</v>
      </c>
      <c r="Q173" s="301">
        <f t="shared" si="53"/>
        <v>0.5</v>
      </c>
      <c r="R173" s="173">
        <f t="shared" si="54"/>
        <v>0.73326540460552714</v>
      </c>
      <c r="S173" s="802">
        <f t="shared" si="55"/>
        <v>1</v>
      </c>
      <c r="T173" s="172">
        <f t="shared" si="56"/>
        <v>7</v>
      </c>
      <c r="U173" s="247">
        <f t="shared" si="57"/>
        <v>1.7332654046055271</v>
      </c>
      <c r="V173" s="378">
        <f t="shared" si="58"/>
        <v>63.872167307316211</v>
      </c>
      <c r="W173" s="397">
        <f t="shared" si="59"/>
        <v>25.909621379836942</v>
      </c>
      <c r="X173" s="153">
        <f t="shared" si="60"/>
        <v>45816</v>
      </c>
      <c r="Y173" s="380">
        <f t="shared" si="61"/>
        <v>24.896581883371489</v>
      </c>
      <c r="Z173" s="380">
        <f t="shared" si="62"/>
        <v>25.341526527257408</v>
      </c>
      <c r="AA173" s="381">
        <f t="shared" si="63"/>
        <v>26.449433781111146</v>
      </c>
      <c r="AB173" s="193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4.1887749394656254E-2</v>
      </c>
      <c r="AD173" s="227">
        <f>(INDEX(Models!$BJ173:$BT173,,AH173)*(1-AF173)+INDEX(Models!$BJ173:$BT173,,AH173+1)*AF173-ERP_i)*AE173*Ramure*Pc/MaxiM</f>
        <v>3.4870527225817361E-6</v>
      </c>
      <c r="AE173" s="301">
        <f t="shared" si="65"/>
        <v>0.5</v>
      </c>
      <c r="AF173" s="173">
        <f t="shared" si="66"/>
        <v>0.73326540460552714</v>
      </c>
      <c r="AG173" s="802">
        <f t="shared" si="74"/>
        <v>1</v>
      </c>
      <c r="AH173" s="172">
        <f t="shared" si="67"/>
        <v>7</v>
      </c>
      <c r="AI173" s="221">
        <f t="shared" si="68"/>
        <v>1.7332654046055271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45817</v>
      </c>
      <c r="B174" s="406">
        <f>'2024'!Wh/'2024'!Env_an*'2025'!Env_an</f>
        <v>53.242271199692787</v>
      </c>
      <c r="C174" s="385"/>
      <c r="D174" s="388">
        <f t="shared" si="50"/>
        <v>54.194543834183229</v>
      </c>
      <c r="E174" s="380">
        <f t="shared" si="75"/>
        <v>54.356368879580309</v>
      </c>
      <c r="F174" s="380">
        <f t="shared" si="51"/>
        <v>54.35650538903289</v>
      </c>
      <c r="G174" s="110">
        <f t="shared" si="76"/>
        <v>0.83348343312042594</v>
      </c>
      <c r="H174" s="409" t="b">
        <f>Wh_hp&gt;='2024'!Maxi_hp</f>
        <v>0</v>
      </c>
      <c r="I174" s="375">
        <f>IF(H174,Wh_hp,'2024'!Maxi_hp)</f>
        <v>54.356542817414159</v>
      </c>
      <c r="J174" s="85">
        <f>IF(H174,An,'2024'!An_max)</f>
        <v>2022</v>
      </c>
      <c r="K174" s="193">
        <f t="shared" si="52"/>
        <v>45817</v>
      </c>
      <c r="L174" s="143">
        <f>IF(t&lt;Tvie,1-EXP((T0-t)*PertePVj)+'2024'!Pspv,1-EXP((T0-t)*PertePVj)+Pspv)</f>
        <v>1.757137466465386E-2</v>
      </c>
      <c r="M174" s="836"/>
      <c r="N174" s="836"/>
      <c r="O174" s="48">
        <f>IF(t&lt;Tnet,'2024'!Resal+('2024'!Salim-'2024'!Resal)*(1-EXP(('2024'!Tnet-t)/('2024'!Tau_j))),Resal+(Salim-Resal)*(1-EXP((Tnet-t)/(Tau_j))))*Salcycl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3.2952454420082803E-6</v>
      </c>
      <c r="Q174" s="301">
        <f t="shared" si="53"/>
        <v>0.5</v>
      </c>
      <c r="R174" s="173">
        <f t="shared" si="54"/>
        <v>0.73840617924983309</v>
      </c>
      <c r="S174" s="802">
        <f t="shared" si="55"/>
        <v>1</v>
      </c>
      <c r="T174" s="172">
        <f t="shared" si="56"/>
        <v>7</v>
      </c>
      <c r="U174" s="247">
        <f t="shared" si="57"/>
        <v>1.7384061792498331</v>
      </c>
      <c r="V174" s="378">
        <f t="shared" si="58"/>
        <v>63.879169457635577</v>
      </c>
      <c r="W174" s="397">
        <f t="shared" si="59"/>
        <v>53.242271199692787</v>
      </c>
      <c r="X174" s="153">
        <f t="shared" si="60"/>
        <v>45817</v>
      </c>
      <c r="Y174" s="380">
        <f t="shared" si="61"/>
        <v>51.161044785453171</v>
      </c>
      <c r="Z174" s="380">
        <f t="shared" si="62"/>
        <v>52.076093332469476</v>
      </c>
      <c r="AA174" s="381">
        <f t="shared" si="63"/>
        <v>54.356368879580309</v>
      </c>
      <c r="AB174" s="193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4.1950475981250603E-2</v>
      </c>
      <c r="AD174" s="227">
        <f>(INDEX(Models!$BJ174:$BT174,,AH174)*(1-AF174)+INDEX(Models!$BJ174:$BT174,,AH174+1)*AF174-ERP_i)*AE174*Ramure*Pc/MaxiM</f>
        <v>3.2952454420082803E-6</v>
      </c>
      <c r="AE174" s="301">
        <f t="shared" si="65"/>
        <v>0.5</v>
      </c>
      <c r="AF174" s="173">
        <f t="shared" si="66"/>
        <v>0.73840617924983309</v>
      </c>
      <c r="AG174" s="802">
        <f t="shared" si="74"/>
        <v>1</v>
      </c>
      <c r="AH174" s="172">
        <f t="shared" si="67"/>
        <v>7</v>
      </c>
      <c r="AI174" s="221">
        <f t="shared" si="68"/>
        <v>1.7384061792498331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45818</v>
      </c>
      <c r="B175" s="406">
        <f>'2024'!Wh/'2024'!Env_an*'2025'!Env_an</f>
        <v>65.505721728512654</v>
      </c>
      <c r="C175" s="385"/>
      <c r="D175" s="388">
        <f t="shared" si="50"/>
        <v>66.678246917682301</v>
      </c>
      <c r="E175" s="380">
        <f t="shared" si="75"/>
        <v>66.882368885093058</v>
      </c>
      <c r="F175" s="380">
        <f t="shared" si="51"/>
        <v>66.882577946073667</v>
      </c>
      <c r="G175" s="110">
        <f t="shared" si="76"/>
        <v>1.0253895155984702</v>
      </c>
      <c r="H175" s="409" t="b">
        <f>Wh_hp&gt;='2024'!Maxi_hp</f>
        <v>1</v>
      </c>
      <c r="I175" s="375">
        <f>IF(H175,Wh_hp,'2024'!Maxi_hp)</f>
        <v>66.882577946073667</v>
      </c>
      <c r="J175" s="85">
        <f>IF(H175,An,'2024'!An_max)</f>
        <v>2025</v>
      </c>
      <c r="K175" s="193">
        <f t="shared" si="52"/>
        <v>45818</v>
      </c>
      <c r="L175" s="143">
        <f>IF(t&lt;Tvie,1-EXP((T0-t)*PertePVj)+'2024'!Pspv,1-EXP((T0-t)*PertePVj)+Pspv)</f>
        <v>1.758482328752875E-2</v>
      </c>
      <c r="M175" s="836"/>
      <c r="N175" s="836"/>
      <c r="O175" s="48">
        <f>IF(t&lt;Tnet,'2024'!Resal+('2024'!Salim-'2024'!Resal)*(1-EXP(('2024'!Tnet-t)/('2024'!Tau_j))),Resal+(Salim-Resal)*(1-EXP((Tnet-t)/(Tau_j))))*Salcycl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3.1257913051620013E-6</v>
      </c>
      <c r="Q175" s="301">
        <f t="shared" si="53"/>
        <v>0.5</v>
      </c>
      <c r="R175" s="173">
        <f t="shared" si="54"/>
        <v>0.74355129556084454</v>
      </c>
      <c r="S175" s="802">
        <f t="shared" si="55"/>
        <v>1</v>
      </c>
      <c r="T175" s="172">
        <f t="shared" si="56"/>
        <v>7</v>
      </c>
      <c r="U175" s="247">
        <f t="shared" si="57"/>
        <v>1.7435512955608445</v>
      </c>
      <c r="V175" s="378">
        <f t="shared" si="58"/>
        <v>63.883744403491505</v>
      </c>
      <c r="W175" s="397">
        <f t="shared" si="59"/>
        <v>65.505721728512654</v>
      </c>
      <c r="X175" s="153">
        <f t="shared" si="60"/>
        <v>45818</v>
      </c>
      <c r="Y175" s="380">
        <f t="shared" si="61"/>
        <v>62.94575691340161</v>
      </c>
      <c r="Z175" s="380">
        <f t="shared" si="62"/>
        <v>64.072459796520718</v>
      </c>
      <c r="AA175" s="381">
        <f t="shared" si="63"/>
        <v>66.882368885093058</v>
      </c>
      <c r="AB175" s="193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4.2012702830545604E-2</v>
      </c>
      <c r="AD175" s="227">
        <f>(INDEX(Models!$BJ175:$BT175,,AH175)*(1-AF175)+INDEX(Models!$BJ175:$BT175,,AH175+1)*AF175-ERP_i)*AE175*Ramure*Pc/MaxiM</f>
        <v>3.1257913051620013E-6</v>
      </c>
      <c r="AE175" s="301">
        <f t="shared" si="65"/>
        <v>0.5</v>
      </c>
      <c r="AF175" s="173">
        <f t="shared" si="66"/>
        <v>0.74355129556084454</v>
      </c>
      <c r="AG175" s="802">
        <f t="shared" si="74"/>
        <v>1</v>
      </c>
      <c r="AH175" s="172">
        <f t="shared" si="67"/>
        <v>7</v>
      </c>
      <c r="AI175" s="221">
        <f t="shared" si="68"/>
        <v>1.7435512955608445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45819</v>
      </c>
      <c r="B176" s="406">
        <f>'2024'!Wh/'2024'!Env_an*'2025'!Env_an</f>
        <v>62.719005060241052</v>
      </c>
      <c r="C176" s="385"/>
      <c r="D176" s="388">
        <f t="shared" si="50"/>
        <v>63.842523129975156</v>
      </c>
      <c r="E176" s="380">
        <f t="shared" si="75"/>
        <v>64.042770542005556</v>
      </c>
      <c r="F176" s="380">
        <f t="shared" si="51"/>
        <v>64.042956369930323</v>
      </c>
      <c r="G176" s="110">
        <f t="shared" si="76"/>
        <v>0.98173144614775831</v>
      </c>
      <c r="H176" s="409" t="b">
        <f>Wh_hp&gt;='2024'!Maxi_hp</f>
        <v>0</v>
      </c>
      <c r="I176" s="375">
        <f>IF(H176,Wh_hp,'2024'!Maxi_hp)</f>
        <v>64.04296071880799</v>
      </c>
      <c r="J176" s="85">
        <f>IF(H176,An,'2024'!An_max)</f>
        <v>2022</v>
      </c>
      <c r="K176" s="193">
        <f t="shared" si="52"/>
        <v>45819</v>
      </c>
      <c r="L176" s="143">
        <f>IF(t&lt;Tvie,1-EXP((T0-t)*PertePVj)+'2024'!Pspv,1-EXP((T0-t)*PertePVj)+Pspv)</f>
        <v>1.7598271726303238E-2</v>
      </c>
      <c r="M176" s="836"/>
      <c r="N176" s="836"/>
      <c r="O176" s="48">
        <f>IF(t&lt;Tnet,'2024'!Resal+('2024'!Salim-'2024'!Resal)*(1-EXP(('2024'!Tnet-t)/('2024'!Tau_j))),Resal+(Salim-Resal)*(1-EXP((Tnet-t)/(Tau_j))))*Salcycl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2.9793688271387375E-6</v>
      </c>
      <c r="Q176" s="301">
        <f t="shared" si="53"/>
        <v>0.5</v>
      </c>
      <c r="R176" s="173">
        <f t="shared" si="54"/>
        <v>0.74869641187185598</v>
      </c>
      <c r="S176" s="802">
        <f t="shared" si="55"/>
        <v>1</v>
      </c>
      <c r="T176" s="172">
        <f t="shared" si="56"/>
        <v>7</v>
      </c>
      <c r="U176" s="247">
        <f t="shared" si="57"/>
        <v>1.748696411871856</v>
      </c>
      <c r="V176" s="378">
        <f t="shared" si="58"/>
        <v>63.886106969082519</v>
      </c>
      <c r="W176" s="397">
        <f t="shared" si="59"/>
        <v>62.719005060241052</v>
      </c>
      <c r="X176" s="153">
        <f t="shared" si="60"/>
        <v>45819</v>
      </c>
      <c r="Y176" s="380">
        <f t="shared" si="61"/>
        <v>60.268586782079488</v>
      </c>
      <c r="Z176" s="380">
        <f t="shared" si="62"/>
        <v>61.348209238174995</v>
      </c>
      <c r="AA176" s="381">
        <f t="shared" si="63"/>
        <v>64.042770542005556</v>
      </c>
      <c r="AB176" s="193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4.2074402481747722E-2</v>
      </c>
      <c r="AD176" s="227">
        <f>(INDEX(Models!$BJ176:$BT176,,AH176)*(1-AF176)+INDEX(Models!$BJ176:$BT176,,AH176+1)*AF176-ERP_i)*AE176*Ramure*Pc/MaxiM</f>
        <v>2.9793688271387375E-6</v>
      </c>
      <c r="AE176" s="301">
        <f t="shared" si="65"/>
        <v>0.5</v>
      </c>
      <c r="AF176" s="173">
        <f t="shared" si="66"/>
        <v>0.74869641187185598</v>
      </c>
      <c r="AG176" s="802">
        <f t="shared" si="74"/>
        <v>1</v>
      </c>
      <c r="AH176" s="172">
        <f t="shared" si="67"/>
        <v>7</v>
      </c>
      <c r="AI176" s="221">
        <f t="shared" si="68"/>
        <v>1.748696411871856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45820</v>
      </c>
      <c r="B177" s="406">
        <f>'2024'!Wh/'2024'!Env_an*'2025'!Env_an</f>
        <v>50.574812717640476</v>
      </c>
      <c r="C177" s="385"/>
      <c r="D177" s="388">
        <f t="shared" si="50"/>
        <v>51.481490309169097</v>
      </c>
      <c r="E177" s="380">
        <f t="shared" si="75"/>
        <v>51.646841410557968</v>
      </c>
      <c r="F177" s="380">
        <f t="shared" si="51"/>
        <v>51.646945029005799</v>
      </c>
      <c r="G177" s="110">
        <f t="shared" si="76"/>
        <v>0.79162730874371678</v>
      </c>
      <c r="H177" s="409" t="b">
        <f>Wh_hp&gt;='2024'!Maxi_hp</f>
        <v>0</v>
      </c>
      <c r="I177" s="375">
        <f>IF(H177,Wh_hp,'2024'!Maxi_hp)</f>
        <v>51.646983281304863</v>
      </c>
      <c r="J177" s="85">
        <f>IF(H177,An,'2024'!An_max)</f>
        <v>2022</v>
      </c>
      <c r="K177" s="193">
        <f t="shared" si="52"/>
        <v>45820</v>
      </c>
      <c r="L177" s="143">
        <f>IF(t&lt;Tvie,1-EXP((T0-t)*PertePVj)+'2024'!Pspv,1-EXP((T0-t)*PertePVj)+Pspv)</f>
        <v>1.761171998097999E-2</v>
      </c>
      <c r="M177" s="836"/>
      <c r="N177" s="836"/>
      <c r="O177" s="48">
        <f>IF(t&lt;Tnet,'2024'!Resal+('2024'!Salim-'2024'!Resal)*(1-EXP(('2024'!Tnet-t)/('2024'!Tau_j))),Resal+(Salim-Resal)*(1-EXP((Tnet-t)/(Tau_j))))*Salcycl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2.8566293317074636E-6</v>
      </c>
      <c r="Q177" s="301">
        <f t="shared" si="53"/>
        <v>0.5</v>
      </c>
      <c r="R177" s="173">
        <f t="shared" si="54"/>
        <v>0.75383718651616194</v>
      </c>
      <c r="S177" s="802">
        <f t="shared" si="55"/>
        <v>1</v>
      </c>
      <c r="T177" s="172">
        <f t="shared" si="56"/>
        <v>7</v>
      </c>
      <c r="U177" s="247">
        <f t="shared" si="57"/>
        <v>1.7538371865161619</v>
      </c>
      <c r="V177" s="378">
        <f t="shared" si="58"/>
        <v>63.887095799874281</v>
      </c>
      <c r="W177" s="397">
        <f t="shared" si="59"/>
        <v>50.574812717640476</v>
      </c>
      <c r="X177" s="153">
        <f t="shared" si="60"/>
        <v>45820</v>
      </c>
      <c r="Y177" s="380">
        <f t="shared" si="61"/>
        <v>48.599409748457063</v>
      </c>
      <c r="Z177" s="380">
        <f t="shared" si="62"/>
        <v>49.470673395570365</v>
      </c>
      <c r="AA177" s="381">
        <f t="shared" si="63"/>
        <v>51.646841410557968</v>
      </c>
      <c r="AB177" s="193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4.2135548962007517E-2</v>
      </c>
      <c r="AD177" s="227">
        <f>(INDEX(Models!$BJ177:$BT177,,AH177)*(1-AF177)+INDEX(Models!$BJ177:$BT177,,AH177+1)*AF177-ERP_i)*AE177*Ramure*Pc/MaxiM</f>
        <v>2.8566293317074636E-6</v>
      </c>
      <c r="AE177" s="301">
        <f t="shared" si="65"/>
        <v>0.5</v>
      </c>
      <c r="AF177" s="173">
        <f t="shared" si="66"/>
        <v>0.75383718651616194</v>
      </c>
      <c r="AG177" s="802">
        <f t="shared" si="74"/>
        <v>1</v>
      </c>
      <c r="AH177" s="172">
        <f t="shared" si="67"/>
        <v>7</v>
      </c>
      <c r="AI177" s="221">
        <f t="shared" si="68"/>
        <v>1.7538371865161619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45821</v>
      </c>
      <c r="B178" s="406">
        <f>'2024'!Wh/'2024'!Env_an*'2025'!Env_an</f>
        <v>56.541077828525168</v>
      </c>
      <c r="C178" s="385"/>
      <c r="D178" s="388">
        <f t="shared" si="50"/>
        <v>57.555503245519638</v>
      </c>
      <c r="E178" s="380">
        <f t="shared" si="75"/>
        <v>57.744694414611082</v>
      </c>
      <c r="F178" s="380">
        <f t="shared" si="51"/>
        <v>57.74482774067944</v>
      </c>
      <c r="G178" s="110">
        <f t="shared" si="76"/>
        <v>0.88501585635735713</v>
      </c>
      <c r="H178" s="409" t="b">
        <f>Wh_hp&gt;='2024'!Maxi_hp</f>
        <v>0</v>
      </c>
      <c r="I178" s="375">
        <f>IF(H178,Wh_hp,'2024'!Maxi_hp)</f>
        <v>57.744850509610608</v>
      </c>
      <c r="J178" s="85">
        <f>IF(H178,An,'2024'!An_max)</f>
        <v>2022</v>
      </c>
      <c r="K178" s="193">
        <f t="shared" si="52"/>
        <v>45821</v>
      </c>
      <c r="L178" s="143">
        <f>IF(t&lt;Tvie,1-EXP((T0-t)*PertePVj)+'2024'!Pspv,1-EXP((T0-t)*PertePVj)+Pspv)</f>
        <v>1.7625168051561335E-2</v>
      </c>
      <c r="M178" s="836"/>
      <c r="N178" s="836"/>
      <c r="O178" s="48">
        <f>IF(t&lt;Tnet,'2024'!Resal+('2024'!Salim-'2024'!Resal)*(1-EXP(('2024'!Tnet-t)/('2024'!Tau_j))),Resal+(Salim-Resal)*(1-EXP((Tnet-t)/(Tau_j))))*Salcycl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2.7626895611381205E-6</v>
      </c>
      <c r="Q178" s="301">
        <f t="shared" si="53"/>
        <v>0.5</v>
      </c>
      <c r="R178" s="173">
        <f t="shared" si="54"/>
        <v>0.75896929246942846</v>
      </c>
      <c r="S178" s="802">
        <f t="shared" si="55"/>
        <v>1</v>
      </c>
      <c r="T178" s="172">
        <f t="shared" si="56"/>
        <v>7</v>
      </c>
      <c r="U178" s="247">
        <f t="shared" si="57"/>
        <v>1.7589692924694285</v>
      </c>
      <c r="V178" s="378">
        <f t="shared" si="58"/>
        <v>63.88704989138661</v>
      </c>
      <c r="W178" s="397">
        <f t="shared" si="59"/>
        <v>56.541077828525168</v>
      </c>
      <c r="X178" s="153">
        <f t="shared" si="60"/>
        <v>45821</v>
      </c>
      <c r="Y178" s="380">
        <f t="shared" si="61"/>
        <v>54.333278057141762</v>
      </c>
      <c r="Z178" s="380">
        <f t="shared" si="62"/>
        <v>55.308092481743792</v>
      </c>
      <c r="AA178" s="381">
        <f t="shared" si="63"/>
        <v>57.744694414611082</v>
      </c>
      <c r="AB178" s="193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4.2196117886992568E-2</v>
      </c>
      <c r="AD178" s="227">
        <f>(INDEX(Models!$BJ178:$BT178,,AH178)*(1-AF178)+INDEX(Models!$BJ178:$BT178,,AH178+1)*AF178-ERP_i)*AE178*Ramure*Pc/MaxiM</f>
        <v>2.7626895611381205E-6</v>
      </c>
      <c r="AE178" s="301">
        <f t="shared" si="65"/>
        <v>0.5</v>
      </c>
      <c r="AF178" s="173">
        <f t="shared" si="66"/>
        <v>0.75896929246942846</v>
      </c>
      <c r="AG178" s="802">
        <f t="shared" si="74"/>
        <v>1</v>
      </c>
      <c r="AH178" s="172">
        <f t="shared" si="67"/>
        <v>7</v>
      </c>
      <c r="AI178" s="221">
        <f t="shared" si="68"/>
        <v>1.7589692924694285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45822</v>
      </c>
      <c r="B179" s="406">
        <f>'2024'!Wh/'2024'!Env_an*'2025'!Env_an</f>
        <v>57.478030069192926</v>
      </c>
      <c r="C179" s="385"/>
      <c r="D179" s="388">
        <f t="shared" si="50"/>
        <v>58.510066663581533</v>
      </c>
      <c r="E179" s="380">
        <f t="shared" si="75"/>
        <v>58.706797249541751</v>
      </c>
      <c r="F179" s="380">
        <f t="shared" si="51"/>
        <v>58.706932055218836</v>
      </c>
      <c r="G179" s="110">
        <f t="shared" si="76"/>
        <v>0.89970439838979177</v>
      </c>
      <c r="H179" s="409" t="b">
        <f>Wh_hp&gt;='2024'!Maxi_hp</f>
        <v>0</v>
      </c>
      <c r="I179" s="375">
        <f>IF(H179,Wh_hp,'2024'!Maxi_hp)</f>
        <v>58.706951596633296</v>
      </c>
      <c r="J179" s="85">
        <f>IF(H179,An,'2024'!An_max)</f>
        <v>2022</v>
      </c>
      <c r="K179" s="193">
        <f t="shared" si="52"/>
        <v>45822</v>
      </c>
      <c r="L179" s="143">
        <f>IF(t&lt;Tvie,1-EXP((T0-t)*PertePVj)+'2024'!Pspv,1-EXP((T0-t)*PertePVj)+Pspv)</f>
        <v>1.7638615938049829E-2</v>
      </c>
      <c r="M179" s="836"/>
      <c r="N179" s="836"/>
      <c r="O179" s="48">
        <f>IF(t&lt;Tnet,'2024'!Resal+('2024'!Salim-'2024'!Resal)*(1-EXP(('2024'!Tnet-t)/('2024'!Tau_j))),Resal+(Salim-Resal)*(1-EXP((Tnet-t)/(Tau_j))))*Salcycl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2.6802749810164699E-6</v>
      </c>
      <c r="Q179" s="301">
        <f t="shared" si="53"/>
        <v>0.5</v>
      </c>
      <c r="R179" s="173">
        <f t="shared" si="54"/>
        <v>0.7640884318872545</v>
      </c>
      <c r="S179" s="802">
        <f t="shared" si="55"/>
        <v>1</v>
      </c>
      <c r="T179" s="172">
        <f t="shared" si="56"/>
        <v>7</v>
      </c>
      <c r="U179" s="247">
        <f t="shared" si="57"/>
        <v>1.7640884318872545</v>
      </c>
      <c r="V179" s="378">
        <f t="shared" si="58"/>
        <v>63.885436259840972</v>
      </c>
      <c r="W179" s="397">
        <f t="shared" si="59"/>
        <v>57.478030069192926</v>
      </c>
      <c r="X179" s="153">
        <f t="shared" si="60"/>
        <v>45822</v>
      </c>
      <c r="Y179" s="380">
        <f t="shared" si="61"/>
        <v>55.234327552657334</v>
      </c>
      <c r="Z179" s="380">
        <f t="shared" si="62"/>
        <v>56.226077743681053</v>
      </c>
      <c r="AA179" s="381">
        <f t="shared" si="63"/>
        <v>58.706797249541751</v>
      </c>
      <c r="AB179" s="193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4.2256086553590019E-2</v>
      </c>
      <c r="AD179" s="227">
        <f>(INDEX(Models!$BJ179:$BT179,,AH179)*(1-AF179)+INDEX(Models!$BJ179:$BT179,,AH179+1)*AF179-ERP_i)*AE179*Ramure*Pc/MaxiM</f>
        <v>2.6802749810164699E-6</v>
      </c>
      <c r="AE179" s="301">
        <f t="shared" si="65"/>
        <v>0.5</v>
      </c>
      <c r="AF179" s="173">
        <f t="shared" si="66"/>
        <v>0.7640884318872545</v>
      </c>
      <c r="AG179" s="802">
        <f t="shared" si="74"/>
        <v>1</v>
      </c>
      <c r="AH179" s="172">
        <f t="shared" si="67"/>
        <v>7</v>
      </c>
      <c r="AI179" s="221">
        <f t="shared" si="68"/>
        <v>1.7640884318872545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45823</v>
      </c>
      <c r="B180" s="406">
        <f>'2024'!Wh/'2024'!Env_an*'2025'!Env_an</f>
        <v>60.971417439179135</v>
      </c>
      <c r="C180" s="385"/>
      <c r="D180" s="388">
        <f t="shared" si="50"/>
        <v>62.067028577604525</v>
      </c>
      <c r="E180" s="380">
        <f t="shared" si="75"/>
        <v>62.280386351672007</v>
      </c>
      <c r="F180" s="380">
        <f t="shared" si="51"/>
        <v>62.280538308525792</v>
      </c>
      <c r="G180" s="110">
        <f t="shared" si="76"/>
        <v>0.95444214941923777</v>
      </c>
      <c r="H180" s="409" t="b">
        <f>Wh_hp&gt;='2024'!Maxi_hp</f>
        <v>0</v>
      </c>
      <c r="I180" s="375">
        <f>IF(H180,Wh_hp,'2024'!Maxi_hp)</f>
        <v>62.280547455261207</v>
      </c>
      <c r="J180" s="85">
        <f>IF(H180,An,'2024'!An_max)</f>
        <v>2022</v>
      </c>
      <c r="K180" s="193">
        <f t="shared" si="52"/>
        <v>45823</v>
      </c>
      <c r="L180" s="143">
        <f>IF(t&lt;Tvie,1-EXP((T0-t)*PertePVj)+'2024'!Pspv,1-EXP((T0-t)*PertePVj)+Pspv)</f>
        <v>1.7652063640448135E-2</v>
      </c>
      <c r="M180" s="836"/>
      <c r="N180" s="836"/>
      <c r="O180" s="48">
        <f>IF(t&lt;Tnet,'2024'!Resal+('2024'!Salim-'2024'!Resal)*(1-EXP(('2024'!Tnet-t)/('2024'!Tau_j))),Resal+(Salim-Resal)*(1-EXP((Tnet-t)/(Tau_j))))*Salcycl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2.6097241560554317E-6</v>
      </c>
      <c r="Q180" s="301">
        <f t="shared" si="53"/>
        <v>0.5</v>
      </c>
      <c r="R180" s="173">
        <f t="shared" si="54"/>
        <v>0.76919035043439443</v>
      </c>
      <c r="S180" s="802">
        <f t="shared" si="55"/>
        <v>1</v>
      </c>
      <c r="T180" s="172">
        <f t="shared" si="56"/>
        <v>7</v>
      </c>
      <c r="U180" s="247">
        <f t="shared" si="57"/>
        <v>1.7691903504343944</v>
      </c>
      <c r="V180" s="378">
        <f t="shared" si="58"/>
        <v>63.88172098270482</v>
      </c>
      <c r="W180" s="397">
        <f t="shared" si="59"/>
        <v>60.971417439179135</v>
      </c>
      <c r="X180" s="153">
        <f t="shared" si="60"/>
        <v>45823</v>
      </c>
      <c r="Y180" s="380">
        <f t="shared" si="61"/>
        <v>58.592108058027776</v>
      </c>
      <c r="Z180" s="380">
        <f t="shared" si="62"/>
        <v>59.644964772015683</v>
      </c>
      <c r="AA180" s="381">
        <f t="shared" si="63"/>
        <v>62.280386351672007</v>
      </c>
      <c r="AB180" s="193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4.2315434024046798E-2</v>
      </c>
      <c r="AD180" s="227">
        <f>(INDEX(Models!$BJ180:$BT180,,AH180)*(1-AF180)+INDEX(Models!$BJ180:$BT180,,AH180+1)*AF180-ERP_i)*AE180*Ramure*Pc/MaxiM</f>
        <v>2.6097241560554317E-6</v>
      </c>
      <c r="AE180" s="301">
        <f t="shared" si="65"/>
        <v>0.5</v>
      </c>
      <c r="AF180" s="173">
        <f t="shared" si="66"/>
        <v>0.76919035043439443</v>
      </c>
      <c r="AG180" s="802">
        <f t="shared" si="74"/>
        <v>1</v>
      </c>
      <c r="AH180" s="172">
        <f t="shared" si="67"/>
        <v>7</v>
      </c>
      <c r="AI180" s="221">
        <f t="shared" si="68"/>
        <v>1.7691903504343944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45824</v>
      </c>
      <c r="B181" s="406">
        <f>'2024'!Wh/'2024'!Env_an*'2025'!Env_an</f>
        <v>57.776391341342666</v>
      </c>
      <c r="C181" s="385"/>
      <c r="D181" s="388">
        <f t="shared" si="50"/>
        <v>58.815395364460343</v>
      </c>
      <c r="E181" s="380">
        <f t="shared" si="75"/>
        <v>59.021996525656178</v>
      </c>
      <c r="F181" s="380">
        <f t="shared" si="51"/>
        <v>59.022126572286041</v>
      </c>
      <c r="G181" s="110">
        <f t="shared" si="76"/>
        <v>0.90451720181984818</v>
      </c>
      <c r="H181" s="409" t="b">
        <f>Wh_hp&gt;='2024'!Maxi_hp</f>
        <v>0</v>
      </c>
      <c r="I181" s="375">
        <f>IF(H181,Wh_hp,'2024'!Maxi_hp)</f>
        <v>59.022144290710564</v>
      </c>
      <c r="J181" s="85">
        <f>IF(H181,An,'2024'!An_max)</f>
        <v>2022</v>
      </c>
      <c r="K181" s="193">
        <f t="shared" si="52"/>
        <v>45824</v>
      </c>
      <c r="L181" s="143">
        <f>IF(t&lt;Tvie,1-EXP((T0-t)*PertePVj)+'2024'!Pspv,1-EXP((T0-t)*PertePVj)+Pspv)</f>
        <v>1.7665511158758695E-2</v>
      </c>
      <c r="M181" s="836"/>
      <c r="N181" s="836"/>
      <c r="O181" s="48">
        <f>IF(t&lt;Tnet,'2024'!Resal+('2024'!Salim-'2024'!Resal)*(1-EXP(('2024'!Tnet-t)/('2024'!Tau_j))),Resal+(Salim-Resal)*(1-EXP((Tnet-t)/(Tau_j))))*Salcycl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2.5513697340810555E-6</v>
      </c>
      <c r="Q181" s="301">
        <f t="shared" si="53"/>
        <v>0.5</v>
      </c>
      <c r="R181" s="173">
        <f t="shared" si="54"/>
        <v>0.77427085130466633</v>
      </c>
      <c r="S181" s="802">
        <f t="shared" si="55"/>
        <v>1</v>
      </c>
      <c r="T181" s="172">
        <f t="shared" si="56"/>
        <v>7</v>
      </c>
      <c r="U181" s="247">
        <f t="shared" si="57"/>
        <v>1.7742708513046663</v>
      </c>
      <c r="V181" s="378">
        <f t="shared" si="58"/>
        <v>63.875370327897613</v>
      </c>
      <c r="W181" s="397">
        <f t="shared" si="59"/>
        <v>57.776391341342666</v>
      </c>
      <c r="X181" s="153">
        <f t="shared" si="60"/>
        <v>45824</v>
      </c>
      <c r="Y181" s="380">
        <f t="shared" si="61"/>
        <v>55.522517929409645</v>
      </c>
      <c r="Z181" s="380">
        <f t="shared" si="62"/>
        <v>56.520990110918163</v>
      </c>
      <c r="AA181" s="381">
        <f t="shared" si="63"/>
        <v>59.021996525656178</v>
      </c>
      <c r="AB181" s="193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4.2374141200914102E-2</v>
      </c>
      <c r="AD181" s="227">
        <f>(INDEX(Models!$BJ181:$BT181,,AH181)*(1-AF181)+INDEX(Models!$BJ181:$BT181,,AH181+1)*AF181-ERP_i)*AE181*Ramure*Pc/MaxiM</f>
        <v>2.5513697340810555E-6</v>
      </c>
      <c r="AE181" s="301">
        <f t="shared" si="65"/>
        <v>0.5</v>
      </c>
      <c r="AF181" s="173">
        <f t="shared" si="66"/>
        <v>0.77427085130466633</v>
      </c>
      <c r="AG181" s="802">
        <f t="shared" si="74"/>
        <v>1</v>
      </c>
      <c r="AH181" s="172">
        <f t="shared" si="67"/>
        <v>7</v>
      </c>
      <c r="AI181" s="221">
        <f t="shared" si="68"/>
        <v>1.7742708513046663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45825</v>
      </c>
      <c r="B182" s="406">
        <f>'2024'!Wh/'2024'!Env_an*'2025'!Env_an</f>
        <v>57.945472236035997</v>
      </c>
      <c r="C182" s="385"/>
      <c r="D182" s="388">
        <f t="shared" si="50"/>
        <v>58.988324374218486</v>
      </c>
      <c r="E182" s="380">
        <f t="shared" si="75"/>
        <v>59.199964741554709</v>
      </c>
      <c r="F182" s="380">
        <f t="shared" si="51"/>
        <v>59.200093426745859</v>
      </c>
      <c r="G182" s="110">
        <f t="shared" si="76"/>
        <v>0.90729947745095219</v>
      </c>
      <c r="H182" s="409" t="b">
        <f>Wh_hp&gt;='2024'!Maxi_hp</f>
        <v>0</v>
      </c>
      <c r="I182" s="375">
        <f>IF(H182,Wh_hp,'2024'!Maxi_hp)</f>
        <v>59.20011033031976</v>
      </c>
      <c r="J182" s="85">
        <f>IF(H182,An,'2024'!An_max)</f>
        <v>2022</v>
      </c>
      <c r="K182" s="193">
        <f t="shared" si="52"/>
        <v>45825</v>
      </c>
      <c r="L182" s="143">
        <f>IF(t&lt;Tvie,1-EXP((T0-t)*PertePVj)+'2024'!Pspv,1-EXP((T0-t)*PertePVj)+Pspv)</f>
        <v>1.7678958492984065E-2</v>
      </c>
      <c r="M182" s="836"/>
      <c r="N182" s="836"/>
      <c r="O182" s="48">
        <f>IF(t&lt;Tnet,'2024'!Resal+('2024'!Salim-'2024'!Resal)*(1-EXP(('2024'!Tnet-t)/('2024'!Tau_j))),Resal+(Salim-Resal)*(1-EXP((Tnet-t)/(Tau_j))))*Salcycl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2.5055385962170562E-6</v>
      </c>
      <c r="Q182" s="301">
        <f t="shared" si="53"/>
        <v>0.5</v>
      </c>
      <c r="R182" s="173">
        <f t="shared" si="54"/>
        <v>0.77932580883432623</v>
      </c>
      <c r="S182" s="802">
        <f t="shared" si="55"/>
        <v>1</v>
      </c>
      <c r="T182" s="172">
        <f t="shared" si="56"/>
        <v>7</v>
      </c>
      <c r="U182" s="247">
        <f t="shared" si="57"/>
        <v>1.7793258088343262</v>
      </c>
      <c r="V182" s="378">
        <f t="shared" si="58"/>
        <v>63.865850746606768</v>
      </c>
      <c r="W182" s="397">
        <f t="shared" si="59"/>
        <v>57.945472236035997</v>
      </c>
      <c r="X182" s="153">
        <f t="shared" si="60"/>
        <v>45825</v>
      </c>
      <c r="Y182" s="380">
        <f t="shared" si="61"/>
        <v>55.685796081866272</v>
      </c>
      <c r="Z182" s="380">
        <f t="shared" si="62"/>
        <v>56.687980536827943</v>
      </c>
      <c r="AA182" s="381">
        <f t="shared" si="63"/>
        <v>59.199964741554709</v>
      </c>
      <c r="AB182" s="193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4.243219089222721E-2</v>
      </c>
      <c r="AD182" s="227">
        <f>(INDEX(Models!$BJ182:$BT182,,AH182)*(1-AF182)+INDEX(Models!$BJ182:$BT182,,AH182+1)*AF182-ERP_i)*AE182*Ramure*Pc/MaxiM</f>
        <v>2.5055385962170562E-6</v>
      </c>
      <c r="AE182" s="301">
        <f t="shared" si="65"/>
        <v>0.5</v>
      </c>
      <c r="AF182" s="173">
        <f t="shared" si="66"/>
        <v>0.77932580883432623</v>
      </c>
      <c r="AG182" s="802">
        <f t="shared" si="74"/>
        <v>1</v>
      </c>
      <c r="AH182" s="172">
        <f t="shared" si="67"/>
        <v>7</v>
      </c>
      <c r="AI182" s="221">
        <f t="shared" si="68"/>
        <v>1.7793258088343262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45826</v>
      </c>
      <c r="B183" s="406">
        <f>'2024'!Wh/'2024'!Env_an*'2025'!Env_an</f>
        <v>61.699706747707921</v>
      </c>
      <c r="C183" s="385"/>
      <c r="D183" s="388">
        <f t="shared" si="50"/>
        <v>62.810984158280213</v>
      </c>
      <c r="E183" s="380">
        <f t="shared" si="75"/>
        <v>63.041055870537349</v>
      </c>
      <c r="F183" s="380">
        <f t="shared" si="51"/>
        <v>63.04120423524936</v>
      </c>
      <c r="G183" s="110">
        <f t="shared" si="76"/>
        <v>0.966282837319548</v>
      </c>
      <c r="H183" s="409" t="b">
        <f>Wh_hp&gt;='2024'!Maxi_hp</f>
        <v>0</v>
      </c>
      <c r="I183" s="375">
        <f>IF(H183,Wh_hp,'2024'!Maxi_hp)</f>
        <v>63.041210680811361</v>
      </c>
      <c r="J183" s="85">
        <f>IF(H183,An,'2024'!An_max)</f>
        <v>2022</v>
      </c>
      <c r="K183" s="193">
        <f t="shared" si="52"/>
        <v>45826</v>
      </c>
      <c r="L183" s="143">
        <f>IF(t&lt;Tvie,1-EXP((T0-t)*PertePVj)+'2024'!Pspv,1-EXP((T0-t)*PertePVj)+Pspv)</f>
        <v>1.7692405643126574E-2</v>
      </c>
      <c r="M183" s="836"/>
      <c r="N183" s="836"/>
      <c r="O183" s="48">
        <f>IF(t&lt;Tnet,'2024'!Resal+('2024'!Salim-'2024'!Resal)*(1-EXP(('2024'!Tnet-t)/('2024'!Tau_j))),Resal+(Salim-Resal)*(1-EXP((Tnet-t)/(Tau_j))))*Salcycl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2.4725521244156435E-6</v>
      </c>
      <c r="Q183" s="301">
        <f t="shared" si="53"/>
        <v>0.5</v>
      </c>
      <c r="R183" s="173">
        <f t="shared" si="54"/>
        <v>0.78435118161659823</v>
      </c>
      <c r="S183" s="802">
        <f t="shared" si="55"/>
        <v>1</v>
      </c>
      <c r="T183" s="172">
        <f t="shared" si="56"/>
        <v>7</v>
      </c>
      <c r="U183" s="247">
        <f t="shared" si="57"/>
        <v>1.7843511816165982</v>
      </c>
      <c r="V183" s="378">
        <f t="shared" si="58"/>
        <v>63.852628874854076</v>
      </c>
      <c r="W183" s="397">
        <f t="shared" si="59"/>
        <v>61.699706747707921</v>
      </c>
      <c r="X183" s="153">
        <f t="shared" si="60"/>
        <v>45826</v>
      </c>
      <c r="Y183" s="380">
        <f t="shared" si="61"/>
        <v>59.294511367800958</v>
      </c>
      <c r="Z183" s="380">
        <f t="shared" si="62"/>
        <v>60.362468648755247</v>
      </c>
      <c r="AA183" s="381">
        <f t="shared" si="63"/>
        <v>63.041055870537349</v>
      </c>
      <c r="AB183" s="193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4.2489567866422107E-2</v>
      </c>
      <c r="AD183" s="227">
        <f>(INDEX(Models!$BJ183:$BT183,,AH183)*(1-AF183)+INDEX(Models!$BJ183:$BT183,,AH183+1)*AF183-ERP_i)*AE183*Ramure*Pc/MaxiM</f>
        <v>2.4725521244156435E-6</v>
      </c>
      <c r="AE183" s="301">
        <f t="shared" si="65"/>
        <v>0.5</v>
      </c>
      <c r="AF183" s="173">
        <f t="shared" si="66"/>
        <v>0.78435118161659823</v>
      </c>
      <c r="AG183" s="802">
        <f t="shared" si="74"/>
        <v>1</v>
      </c>
      <c r="AH183" s="172">
        <f t="shared" si="67"/>
        <v>7</v>
      </c>
      <c r="AI183" s="221">
        <f t="shared" si="68"/>
        <v>1.7843511816165982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45827</v>
      </c>
      <c r="B184" s="406">
        <f>'2024'!Wh/'2024'!Env_an*'2025'!Env_an</f>
        <v>62.193403232949947</v>
      </c>
      <c r="C184" s="385"/>
      <c r="D184" s="388">
        <f t="shared" si="50"/>
        <v>63.314439364368894</v>
      </c>
      <c r="E184" s="380">
        <f t="shared" si="75"/>
        <v>63.551106280195846</v>
      </c>
      <c r="F184" s="380">
        <f t="shared" si="51"/>
        <v>63.55125671124128</v>
      </c>
      <c r="G184" s="110">
        <f t="shared" si="76"/>
        <v>0.97428104934046778</v>
      </c>
      <c r="H184" s="409" t="b">
        <f>Wh_hp&gt;='2024'!Maxi_hp</f>
        <v>0</v>
      </c>
      <c r="I184" s="375">
        <f>IF(H184,Wh_hp,'2024'!Maxi_hp)</f>
        <v>63.551261625570454</v>
      </c>
      <c r="J184" s="85">
        <f>IF(H184,An,'2024'!An_max)</f>
        <v>2022</v>
      </c>
      <c r="K184" s="193">
        <f t="shared" si="52"/>
        <v>45827</v>
      </c>
      <c r="L184" s="143">
        <f>IF(t&lt;Tvie,1-EXP((T0-t)*PertePVj)+'2024'!Pspv,1-EXP((T0-t)*PertePVj)+Pspv)</f>
        <v>1.7705852609188999E-2</v>
      </c>
      <c r="M184" s="836"/>
      <c r="N184" s="836"/>
      <c r="O184" s="48">
        <f>IF(t&lt;Tnet,'2024'!Resal+('2024'!Salim-'2024'!Resal)*(1-EXP(('2024'!Tnet-t)/('2024'!Tau_j))),Resal+(Salim-Resal)*(1-EXP((Tnet-t)/(Tau_j))))*Salcycl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2.4573689133535373E-6</v>
      </c>
      <c r="Q184" s="301">
        <f t="shared" si="53"/>
        <v>0.5</v>
      </c>
      <c r="R184" s="173">
        <f t="shared" si="54"/>
        <v>0.78934302503101073</v>
      </c>
      <c r="S184" s="802">
        <f t="shared" si="55"/>
        <v>1</v>
      </c>
      <c r="T184" s="172">
        <f t="shared" si="56"/>
        <v>7</v>
      </c>
      <c r="U184" s="247">
        <f t="shared" si="57"/>
        <v>1.7893430250310107</v>
      </c>
      <c r="V184" s="378">
        <f t="shared" si="58"/>
        <v>63.835171237085007</v>
      </c>
      <c r="W184" s="397">
        <f t="shared" si="59"/>
        <v>62.193403232949947</v>
      </c>
      <c r="X184" s="153">
        <f t="shared" si="60"/>
        <v>45827</v>
      </c>
      <c r="Y184" s="380">
        <f t="shared" si="61"/>
        <v>59.769892117164943</v>
      </c>
      <c r="Z184" s="380">
        <f t="shared" si="62"/>
        <v>60.847244459235455</v>
      </c>
      <c r="AA184" s="381">
        <f t="shared" si="63"/>
        <v>63.551106280195846</v>
      </c>
      <c r="AB184" s="193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4.2546258896565915E-2</v>
      </c>
      <c r="AD184" s="227">
        <f>(INDEX(Models!$BJ184:$BT184,,AH184)*(1-AF184)+INDEX(Models!$BJ184:$BT184,,AH184+1)*AF184-ERP_i)*AE184*Ramure*Pc/MaxiM</f>
        <v>2.4573689133535373E-6</v>
      </c>
      <c r="AE184" s="301">
        <f t="shared" si="65"/>
        <v>0.5</v>
      </c>
      <c r="AF184" s="173">
        <f t="shared" si="66"/>
        <v>0.78934302503101073</v>
      </c>
      <c r="AG184" s="802">
        <f t="shared" si="74"/>
        <v>1</v>
      </c>
      <c r="AH184" s="172">
        <f t="shared" si="67"/>
        <v>7</v>
      </c>
      <c r="AI184" s="221">
        <f t="shared" si="68"/>
        <v>1.7893430250310107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45828</v>
      </c>
      <c r="B185" s="406">
        <f>'2024'!Wh/'2024'!Env_an*'2025'!Env_an</f>
        <v>33.629563503585302</v>
      </c>
      <c r="C185" s="385"/>
      <c r="D185" s="388">
        <f t="shared" si="50"/>
        <v>34.236205071260592</v>
      </c>
      <c r="E185" s="380">
        <f t="shared" si="75"/>
        <v>34.366745976971551</v>
      </c>
      <c r="F185" s="380">
        <f t="shared" si="51"/>
        <v>34.366773292060223</v>
      </c>
      <c r="G185" s="110">
        <f t="shared" si="76"/>
        <v>0.52700134091910433</v>
      </c>
      <c r="H185" s="409" t="b">
        <f>Wh_hp&gt;='2024'!Maxi_hp</f>
        <v>0</v>
      </c>
      <c r="I185" s="375">
        <f>IF(H185,Wh_hp,'2024'!Maxi_hp)</f>
        <v>34.366821926226663</v>
      </c>
      <c r="J185" s="85">
        <f>IF(H185,An,'2024'!An_max)</f>
        <v>2022</v>
      </c>
      <c r="K185" s="193">
        <f t="shared" si="52"/>
        <v>45828</v>
      </c>
      <c r="L185" s="143">
        <f>IF(t&lt;Tvie,1-EXP((T0-t)*PertePVj)+'2024'!Pspv,1-EXP((T0-t)*PertePVj)+Pspv)</f>
        <v>1.7719299391173782E-2</v>
      </c>
      <c r="M185" s="836"/>
      <c r="N185" s="836"/>
      <c r="O185" s="48">
        <f>IF(t&lt;Tnet,'2024'!Resal+('2024'!Salim-'2024'!Resal)*(1-EXP(('2024'!Tnet-t)/('2024'!Tau_j))),Resal+(Salim-Resal)*(1-EXP((Tnet-t)/(Tau_j))))*Salcycl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2.4509350596486175E-6</v>
      </c>
      <c r="Q185" s="301">
        <f t="shared" si="53"/>
        <v>0.5</v>
      </c>
      <c r="R185" s="173">
        <f t="shared" si="54"/>
        <v>0.79429750310809299</v>
      </c>
      <c r="S185" s="802">
        <f t="shared" si="55"/>
        <v>1</v>
      </c>
      <c r="T185" s="172">
        <f t="shared" si="56"/>
        <v>7</v>
      </c>
      <c r="U185" s="247">
        <f t="shared" si="57"/>
        <v>1.794297503108093</v>
      </c>
      <c r="V185" s="378">
        <f t="shared" si="58"/>
        <v>63.812945428488455</v>
      </c>
      <c r="W185" s="397">
        <f t="shared" si="59"/>
        <v>33.629563503585302</v>
      </c>
      <c r="X185" s="153">
        <f t="shared" si="60"/>
        <v>45828</v>
      </c>
      <c r="Y185" s="380">
        <f t="shared" si="61"/>
        <v>32.319633356512817</v>
      </c>
      <c r="Z185" s="380">
        <f t="shared" si="62"/>
        <v>32.90264517716863</v>
      </c>
      <c r="AA185" s="381">
        <f t="shared" si="63"/>
        <v>34.366745976971551</v>
      </c>
      <c r="AB185" s="193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4.2602252793557539E-2</v>
      </c>
      <c r="AD185" s="227">
        <f>(INDEX(Models!$BJ185:$BT185,,AH185)*(1-AF185)+INDEX(Models!$BJ185:$BT185,,AH185+1)*AF185-ERP_i)*AE185*Ramure*Pc/MaxiM</f>
        <v>2.4509350596486175E-6</v>
      </c>
      <c r="AE185" s="301">
        <f t="shared" si="65"/>
        <v>0.5</v>
      </c>
      <c r="AF185" s="173">
        <f t="shared" si="66"/>
        <v>0.79429750310809299</v>
      </c>
      <c r="AG185" s="802">
        <f t="shared" si="74"/>
        <v>1</v>
      </c>
      <c r="AH185" s="172">
        <f t="shared" si="67"/>
        <v>7</v>
      </c>
      <c r="AI185" s="221">
        <f t="shared" si="68"/>
        <v>1.794297503108093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45829</v>
      </c>
      <c r="B186" s="406">
        <f>'2024'!Wh/'2024'!Env_an*'2025'!Env_an</f>
        <v>22.630066693116074</v>
      </c>
      <c r="C186" s="385"/>
      <c r="D186" s="388">
        <f t="shared" si="50"/>
        <v>23.03860441311685</v>
      </c>
      <c r="E186" s="380">
        <f t="shared" si="75"/>
        <v>23.128175764498163</v>
      </c>
      <c r="F186" s="380">
        <f t="shared" si="51"/>
        <v>23.128180205482064</v>
      </c>
      <c r="G186" s="110">
        <f t="shared" si="76"/>
        <v>0.35478352264624097</v>
      </c>
      <c r="H186" s="409" t="b">
        <f>Wh_hp&gt;='2024'!Maxi_hp</f>
        <v>0</v>
      </c>
      <c r="I186" s="375">
        <f>IF(H186,Wh_hp,'2024'!Maxi_hp)</f>
        <v>23.128224796765007</v>
      </c>
      <c r="J186" s="85">
        <f>IF(H186,An,'2024'!An_max)</f>
        <v>2022</v>
      </c>
      <c r="K186" s="193">
        <f t="shared" si="52"/>
        <v>45829</v>
      </c>
      <c r="L186" s="143">
        <f>IF(t&lt;Tvie,1-EXP((T0-t)*PertePVj)+'2024'!Pspv,1-EXP((T0-t)*PertePVj)+Pspv)</f>
        <v>1.7732745989083365E-2</v>
      </c>
      <c r="M186" s="836"/>
      <c r="N186" s="836"/>
      <c r="O186" s="48">
        <f>IF(t&lt;Tnet,'2024'!Resal+('2024'!Salim-'2024'!Resal)*(1-EXP(('2024'!Tnet-t)/('2024'!Tau_j))),Resal+(Salim-Resal)*(1-EXP((Tnet-t)/(Tau_j))))*Salcycl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2.4534627098510212E-6</v>
      </c>
      <c r="Q186" s="301">
        <f t="shared" si="53"/>
        <v>0.5</v>
      </c>
      <c r="R186" s="173">
        <f t="shared" si="54"/>
        <v>0.79921089965771963</v>
      </c>
      <c r="S186" s="802">
        <f t="shared" si="55"/>
        <v>1</v>
      </c>
      <c r="T186" s="172">
        <f t="shared" si="56"/>
        <v>7</v>
      </c>
      <c r="U186" s="247">
        <f t="shared" si="57"/>
        <v>1.7992108996577196</v>
      </c>
      <c r="V186" s="378">
        <f t="shared" si="58"/>
        <v>63.7854186339545</v>
      </c>
      <c r="W186" s="397">
        <f t="shared" si="59"/>
        <v>22.630066693116074</v>
      </c>
      <c r="X186" s="153">
        <f t="shared" si="60"/>
        <v>45829</v>
      </c>
      <c r="Y186" s="380">
        <f t="shared" si="61"/>
        <v>21.748953575016525</v>
      </c>
      <c r="Z186" s="380">
        <f t="shared" si="62"/>
        <v>22.14158467179729</v>
      </c>
      <c r="AA186" s="381">
        <f t="shared" si="63"/>
        <v>23.128175764498163</v>
      </c>
      <c r="AB186" s="193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4.2657540428039015E-2</v>
      </c>
      <c r="AD186" s="227">
        <f>(INDEX(Models!$BJ186:$BT186,,AH186)*(1-AF186)+INDEX(Models!$BJ186:$BT186,,AH186+1)*AF186-ERP_i)*AE186*Ramure*Pc/MaxiM</f>
        <v>2.4534627098510212E-6</v>
      </c>
      <c r="AE186" s="301">
        <f t="shared" si="65"/>
        <v>0.5</v>
      </c>
      <c r="AF186" s="173">
        <f t="shared" si="66"/>
        <v>0.79921089965771963</v>
      </c>
      <c r="AG186" s="802">
        <f t="shared" si="74"/>
        <v>1</v>
      </c>
      <c r="AH186" s="172">
        <f t="shared" si="67"/>
        <v>7</v>
      </c>
      <c r="AI186" s="221">
        <f t="shared" si="68"/>
        <v>1.7992108996577196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45830</v>
      </c>
      <c r="B187" s="406">
        <f>'2024'!Wh/'2024'!Env_an*'2025'!Env_an</f>
        <v>46.945912449769203</v>
      </c>
      <c r="C187" s="385"/>
      <c r="D187" s="388">
        <f t="shared" si="50"/>
        <v>47.794075305866777</v>
      </c>
      <c r="E187" s="380">
        <f t="shared" si="75"/>
        <v>47.983471407381053</v>
      </c>
      <c r="F187" s="380">
        <f t="shared" si="51"/>
        <v>47.983545148094848</v>
      </c>
      <c r="G187" s="110">
        <f t="shared" si="76"/>
        <v>0.7363820114961801</v>
      </c>
      <c r="H187" s="409" t="b">
        <f>Wh_hp&gt;='2024'!Maxi_hp</f>
        <v>0</v>
      </c>
      <c r="I187" s="375">
        <f>IF(H187,Wh_hp,'2024'!Maxi_hp)</f>
        <v>47.983583041866694</v>
      </c>
      <c r="J187" s="85">
        <f>IF(H187,An,'2024'!An_max)</f>
        <v>2022</v>
      </c>
      <c r="K187" s="193">
        <f t="shared" si="52"/>
        <v>45830</v>
      </c>
      <c r="L187" s="143">
        <f>IF(t&lt;Tvie,1-EXP((T0-t)*PertePVj)+'2024'!Pspv,1-EXP((T0-t)*PertePVj)+Pspv)</f>
        <v>1.7746192402920302E-2</v>
      </c>
      <c r="M187" s="836"/>
      <c r="N187" s="836"/>
      <c r="O187" s="48">
        <f>IF(t&lt;Tnet,'2024'!Resal+('2024'!Salim-'2024'!Resal)*(1-EXP(('2024'!Tnet-t)/('2024'!Tau_j))),Resal+(Salim-Resal)*(1-EXP((Tnet-t)/(Tau_j))))*Salcycl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2.4651623451608395E-6</v>
      </c>
      <c r="Q187" s="301">
        <f t="shared" si="53"/>
        <v>0.5</v>
      </c>
      <c r="R187" s="173">
        <f t="shared" si="54"/>
        <v>0.80407962859780735</v>
      </c>
      <c r="S187" s="802">
        <f t="shared" si="55"/>
        <v>1</v>
      </c>
      <c r="T187" s="172">
        <f t="shared" si="56"/>
        <v>7</v>
      </c>
      <c r="U187" s="247">
        <f t="shared" si="57"/>
        <v>1.8040796285978073</v>
      </c>
      <c r="V187" s="378">
        <f t="shared" si="58"/>
        <v>63.752058216509816</v>
      </c>
      <c r="W187" s="397">
        <f t="shared" si="59"/>
        <v>46.945912449769203</v>
      </c>
      <c r="X187" s="153">
        <f t="shared" si="60"/>
        <v>45830</v>
      </c>
      <c r="Y187" s="380">
        <f t="shared" si="61"/>
        <v>45.118842342403894</v>
      </c>
      <c r="Z187" s="380">
        <f t="shared" si="62"/>
        <v>45.933995870964985</v>
      </c>
      <c r="AA187" s="381">
        <f t="shared" si="63"/>
        <v>47.983471407381053</v>
      </c>
      <c r="AB187" s="193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4.2712114740844041E-2</v>
      </c>
      <c r="AD187" s="227">
        <f>(INDEX(Models!$BJ187:$BT187,,AH187)*(1-AF187)+INDEX(Models!$BJ187:$BT187,,AH187+1)*AF187-ERP_i)*AE187*Ramure*Pc/MaxiM</f>
        <v>2.4651623451608395E-6</v>
      </c>
      <c r="AE187" s="301">
        <f t="shared" si="65"/>
        <v>0.5</v>
      </c>
      <c r="AF187" s="173">
        <f t="shared" si="66"/>
        <v>0.80407962859780735</v>
      </c>
      <c r="AG187" s="802">
        <f t="shared" si="74"/>
        <v>1</v>
      </c>
      <c r="AH187" s="172">
        <f t="shared" si="67"/>
        <v>7</v>
      </c>
      <c r="AI187" s="221">
        <f t="shared" si="68"/>
        <v>1.8040796285978073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45831</v>
      </c>
      <c r="B188" s="406">
        <f>'2024'!Wh/'2024'!Env_an*'2025'!Env_an</f>
        <v>46.418872649467296</v>
      </c>
      <c r="C188" s="385"/>
      <c r="D188" s="388">
        <f t="shared" si="50"/>
        <v>47.258160502436091</v>
      </c>
      <c r="E188" s="380">
        <f t="shared" si="75"/>
        <v>47.448968175665563</v>
      </c>
      <c r="F188" s="380">
        <f t="shared" si="51"/>
        <v>47.449040401198715</v>
      </c>
      <c r="G188" s="110">
        <f t="shared" si="76"/>
        <v>0.7285689701101048</v>
      </c>
      <c r="H188" s="409" t="b">
        <f>Wh_hp&gt;='2024'!Maxi_hp</f>
        <v>0</v>
      </c>
      <c r="I188" s="375">
        <f>IF(H188,Wh_hp,'2024'!Maxi_hp)</f>
        <v>47.44907922821023</v>
      </c>
      <c r="J188" s="85">
        <f>IF(H188,An,'2024'!An_max)</f>
        <v>2022</v>
      </c>
      <c r="K188" s="193">
        <f t="shared" si="52"/>
        <v>45831</v>
      </c>
      <c r="L188" s="143">
        <f>IF(t&lt;Tvie,1-EXP((T0-t)*PertePVj)+'2024'!Pspv,1-EXP((T0-t)*PertePVj)+Pspv)</f>
        <v>1.7759638632687147E-2</v>
      </c>
      <c r="M188" s="836"/>
      <c r="N188" s="836"/>
      <c r="O188" s="48">
        <f>IF(t&lt;Tnet,'2024'!Resal+('2024'!Salim-'2024'!Resal)*(1-EXP(('2024'!Tnet-t)/('2024'!Tau_j))),Resal+(Salim-Resal)*(1-EXP((Tnet-t)/(Tau_j))))*Salcycl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2.4862221277954134E-6</v>
      </c>
      <c r="Q188" s="301">
        <f t="shared" si="53"/>
        <v>0.5</v>
      </c>
      <c r="R188" s="173">
        <f t="shared" si="54"/>
        <v>0.80890024342902911</v>
      </c>
      <c r="S188" s="802">
        <f t="shared" si="55"/>
        <v>1</v>
      </c>
      <c r="T188" s="172">
        <f t="shared" si="56"/>
        <v>7</v>
      </c>
      <c r="U188" s="247">
        <f t="shared" si="57"/>
        <v>1.8089002434290291</v>
      </c>
      <c r="V188" s="378">
        <f t="shared" si="58"/>
        <v>63.712331712669467</v>
      </c>
      <c r="W188" s="397">
        <f t="shared" si="59"/>
        <v>46.418872649467296</v>
      </c>
      <c r="X188" s="153">
        <f t="shared" si="60"/>
        <v>45831</v>
      </c>
      <c r="Y188" s="380">
        <f t="shared" si="61"/>
        <v>44.613128342391946</v>
      </c>
      <c r="Z188" s="380">
        <f t="shared" si="62"/>
        <v>45.419766990931748</v>
      </c>
      <c r="AA188" s="381">
        <f t="shared" si="63"/>
        <v>47.448968175665563</v>
      </c>
      <c r="AB188" s="193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4.2765970741899015E-2</v>
      </c>
      <c r="AD188" s="227">
        <f>(INDEX(Models!$BJ188:$BT188,,AH188)*(1-AF188)+INDEX(Models!$BJ188:$BT188,,AH188+1)*AF188-ERP_i)*AE188*Ramure*Pc/MaxiM</f>
        <v>2.4862221277954134E-6</v>
      </c>
      <c r="AE188" s="301">
        <f t="shared" si="65"/>
        <v>0.5</v>
      </c>
      <c r="AF188" s="173">
        <f t="shared" si="66"/>
        <v>0.80890024342902911</v>
      </c>
      <c r="AG188" s="802">
        <f t="shared" si="74"/>
        <v>1</v>
      </c>
      <c r="AH188" s="172">
        <f t="shared" si="67"/>
        <v>7</v>
      </c>
      <c r="AI188" s="221">
        <f t="shared" si="68"/>
        <v>1.8089002434290291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45832</v>
      </c>
      <c r="B189" s="406">
        <f>'2024'!Wh/'2024'!Env_an*'2025'!Env_an</f>
        <v>49.931999237038056</v>
      </c>
      <c r="C189" s="385"/>
      <c r="D189" s="388">
        <f t="shared" si="50"/>
        <v>50.835502935376866</v>
      </c>
      <c r="E189" s="380">
        <f t="shared" si="75"/>
        <v>51.044553770747925</v>
      </c>
      <c r="F189" s="380">
        <f t="shared" si="51"/>
        <v>51.044642651104567</v>
      </c>
      <c r="G189" s="110">
        <f t="shared" si="76"/>
        <v>0.78428345480490491</v>
      </c>
      <c r="H189" s="409" t="b">
        <f>Wh_hp&gt;='2024'!Maxi_hp</f>
        <v>0</v>
      </c>
      <c r="I189" s="375">
        <f>IF(H189,Wh_hp,'2024'!Maxi_hp)</f>
        <v>51.044676183708283</v>
      </c>
      <c r="J189" s="85">
        <f>IF(H189,An,'2024'!An_max)</f>
        <v>2022</v>
      </c>
      <c r="K189" s="193">
        <f t="shared" si="52"/>
        <v>45832</v>
      </c>
      <c r="L189" s="143">
        <f>IF(t&lt;Tvie,1-EXP((T0-t)*PertePVj)+'2024'!Pspv,1-EXP((T0-t)*PertePVj)+Pspv)</f>
        <v>1.7773084678386342E-2</v>
      </c>
      <c r="M189" s="836"/>
      <c r="N189" s="836"/>
      <c r="O189" s="48">
        <f>IF(t&lt;Tnet,'2024'!Resal+('2024'!Salim-'2024'!Resal)*(1-EXP(('2024'!Tnet-t)/('2024'!Tau_j))),Resal+(Salim-Resal)*(1-EXP((Tnet-t)/(Tau_j))))*Salcycl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2.5168276899651531E-6</v>
      </c>
      <c r="Q189" s="301">
        <f t="shared" si="53"/>
        <v>0.5</v>
      </c>
      <c r="R189" s="173">
        <f t="shared" si="54"/>
        <v>0.81366944581057155</v>
      </c>
      <c r="S189" s="802">
        <f t="shared" si="55"/>
        <v>1</v>
      </c>
      <c r="T189" s="172">
        <f t="shared" si="56"/>
        <v>7</v>
      </c>
      <c r="U189" s="247">
        <f t="shared" si="57"/>
        <v>1.8136694458105715</v>
      </c>
      <c r="V189" s="378">
        <f t="shared" si="58"/>
        <v>63.665706835730795</v>
      </c>
      <c r="W189" s="397">
        <f t="shared" si="59"/>
        <v>49.931999237038056</v>
      </c>
      <c r="X189" s="153">
        <f t="shared" si="60"/>
        <v>45832</v>
      </c>
      <c r="Y189" s="380">
        <f t="shared" si="61"/>
        <v>47.990498774852952</v>
      </c>
      <c r="Z189" s="380">
        <f t="shared" si="62"/>
        <v>48.85887163776129</v>
      </c>
      <c r="AA189" s="381">
        <f t="shared" si="63"/>
        <v>51.044553770747925</v>
      </c>
      <c r="AB189" s="193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4.2819105497581673E-2</v>
      </c>
      <c r="AD189" s="227">
        <f>(INDEX(Models!$BJ189:$BT189,,AH189)*(1-AF189)+INDEX(Models!$BJ189:$BT189,,AH189+1)*AF189-ERP_i)*AE189*Ramure*Pc/MaxiM</f>
        <v>2.5168276899651531E-6</v>
      </c>
      <c r="AE189" s="301">
        <f t="shared" si="65"/>
        <v>0.5</v>
      </c>
      <c r="AF189" s="173">
        <f t="shared" si="66"/>
        <v>0.81366944581057155</v>
      </c>
      <c r="AG189" s="802">
        <f t="shared" si="74"/>
        <v>1</v>
      </c>
      <c r="AH189" s="172">
        <f t="shared" si="67"/>
        <v>7</v>
      </c>
      <c r="AI189" s="221">
        <f t="shared" si="68"/>
        <v>1.8136694458105715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45833</v>
      </c>
      <c r="B190" s="406">
        <f>'2024'!Wh/'2024'!Env_an*'2025'!Env_an</f>
        <v>41.594508590182947</v>
      </c>
      <c r="C190" s="385"/>
      <c r="D190" s="388">
        <f t="shared" si="50"/>
        <v>42.347727742984006</v>
      </c>
      <c r="E190" s="380">
        <f t="shared" si="75"/>
        <v>42.525036321973218</v>
      </c>
      <c r="F190" s="380">
        <f t="shared" si="51"/>
        <v>42.525091297277648</v>
      </c>
      <c r="G190" s="110">
        <f t="shared" si="76"/>
        <v>0.65388108995804894</v>
      </c>
      <c r="H190" s="409" t="b">
        <f>Wh_hp&gt;='2024'!Maxi_hp</f>
        <v>0</v>
      </c>
      <c r="I190" s="375">
        <f>IF(H190,Wh_hp,'2024'!Maxi_hp)</f>
        <v>42.525136744519635</v>
      </c>
      <c r="J190" s="85">
        <f>IF(H190,An,'2024'!An_max)</f>
        <v>2022</v>
      </c>
      <c r="K190" s="193">
        <f t="shared" si="52"/>
        <v>45833</v>
      </c>
      <c r="L190" s="143">
        <f>IF(t&lt;Tvie,1-EXP((T0-t)*PertePVj)+'2024'!Pspv,1-EXP((T0-t)*PertePVj)+Pspv)</f>
        <v>1.778653054002044E-2</v>
      </c>
      <c r="M190" s="836"/>
      <c r="N190" s="836"/>
      <c r="O190" s="48">
        <f>IF(t&lt;Tnet,'2024'!Resal+('2024'!Salim-'2024'!Resal)*(1-EXP(('2024'!Tnet-t)/('2024'!Tau_j))),Resal+(Salim-Resal)*(1-EXP((Tnet-t)/(Tau_j))))*Salcycl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2.55718446517587E-6</v>
      </c>
      <c r="Q190" s="301">
        <f t="shared" si="53"/>
        <v>0.5</v>
      </c>
      <c r="R190" s="173">
        <f t="shared" si="54"/>
        <v>0.81838409320154737</v>
      </c>
      <c r="S190" s="802">
        <f t="shared" si="55"/>
        <v>1</v>
      </c>
      <c r="T190" s="172">
        <f t="shared" si="56"/>
        <v>7</v>
      </c>
      <c r="U190" s="247">
        <f t="shared" si="57"/>
        <v>1.8183840932015474</v>
      </c>
      <c r="V190" s="378">
        <f t="shared" si="58"/>
        <v>63.611651470490209</v>
      </c>
      <c r="W190" s="397">
        <f t="shared" si="59"/>
        <v>41.594508590182947</v>
      </c>
      <c r="X190" s="153">
        <f t="shared" si="60"/>
        <v>45833</v>
      </c>
      <c r="Y190" s="380">
        <f t="shared" si="61"/>
        <v>39.977977452699498</v>
      </c>
      <c r="Z190" s="380">
        <f t="shared" si="62"/>
        <v>40.701923457310528</v>
      </c>
      <c r="AA190" s="381">
        <f t="shared" si="63"/>
        <v>42.525036321973218</v>
      </c>
      <c r="AB190" s="193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4.2871518106632721E-2</v>
      </c>
      <c r="AD190" s="227">
        <f>(INDEX(Models!$BJ190:$BT190,,AH190)*(1-AF190)+INDEX(Models!$BJ190:$BT190,,AH190+1)*AF190-ERP_i)*AE190*Ramure*Pc/MaxiM</f>
        <v>2.55718446517587E-6</v>
      </c>
      <c r="AE190" s="301">
        <f t="shared" si="65"/>
        <v>0.5</v>
      </c>
      <c r="AF190" s="173">
        <f t="shared" si="66"/>
        <v>0.81838409320154737</v>
      </c>
      <c r="AG190" s="802">
        <f t="shared" si="74"/>
        <v>1</v>
      </c>
      <c r="AH190" s="172">
        <f t="shared" si="67"/>
        <v>7</v>
      </c>
      <c r="AI190" s="221">
        <f t="shared" si="68"/>
        <v>1.8183840932015474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45834</v>
      </c>
      <c r="B191" s="406">
        <f>'2024'!Wh/'2024'!Env_an*'2025'!Env_an</f>
        <v>13.008668727299538</v>
      </c>
      <c r="C191" s="385"/>
      <c r="D191" s="388">
        <f t="shared" si="50"/>
        <v>13.244419071793281</v>
      </c>
      <c r="E191" s="380">
        <f t="shared" si="75"/>
        <v>13.300860970983873</v>
      </c>
      <c r="F191" s="380">
        <f t="shared" si="51"/>
        <v>13.300860970983873</v>
      </c>
      <c r="G191" s="110">
        <f t="shared" si="76"/>
        <v>0.20469832570852364</v>
      </c>
      <c r="H191" s="409" t="b">
        <f>Wh_hp&gt;='2024'!Maxi_hp</f>
        <v>0</v>
      </c>
      <c r="I191" s="375">
        <f>IF(H191,Wh_hp,'2024'!Maxi_hp)</f>
        <v>13.300890225268683</v>
      </c>
      <c r="J191" s="85">
        <f>IF(H191,An,'2024'!An_max)</f>
        <v>2022</v>
      </c>
      <c r="K191" s="193">
        <f t="shared" si="52"/>
        <v>45834</v>
      </c>
      <c r="L191" s="143">
        <f>IF(t&lt;Tvie,1-EXP((T0-t)*PertePVj)+'2024'!Pspv,1-EXP((T0-t)*PertePVj)+Pspv)</f>
        <v>1.7799976217592106E-2</v>
      </c>
      <c r="M191" s="836"/>
      <c r="N191" s="836"/>
      <c r="O191" s="48">
        <f>IF(t&lt;Tnet,'2024'!Resal+('2024'!Salim-'2024'!Resal)*(1-EXP(('2024'!Tnet-t)/('2024'!Tau_j))),Resal+(Salim-Resal)*(1-EXP((Tnet-t)/(Tau_j))))*Salcycl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2.6074717807445743E-6</v>
      </c>
      <c r="Q191" s="301">
        <f t="shared" si="53"/>
        <v>0.5</v>
      </c>
      <c r="R191" s="173">
        <f t="shared" si="54"/>
        <v>0.82304120554237969</v>
      </c>
      <c r="S191" s="802">
        <f t="shared" si="55"/>
        <v>1</v>
      </c>
      <c r="T191" s="172">
        <f t="shared" si="56"/>
        <v>7</v>
      </c>
      <c r="U191" s="247">
        <f t="shared" si="57"/>
        <v>1.8230412055423797</v>
      </c>
      <c r="V191" s="378">
        <f t="shared" si="58"/>
        <v>63.550274593287725</v>
      </c>
      <c r="W191" s="397">
        <f t="shared" si="59"/>
        <v>13.008668727299538</v>
      </c>
      <c r="X191" s="153">
        <f t="shared" si="60"/>
        <v>45834</v>
      </c>
      <c r="Y191" s="380">
        <f t="shared" si="61"/>
        <v>12.503352602735538</v>
      </c>
      <c r="Z191" s="380">
        <f t="shared" si="62"/>
        <v>12.729945326803895</v>
      </c>
      <c r="AA191" s="381">
        <f t="shared" si="63"/>
        <v>13.300860970983873</v>
      </c>
      <c r="AB191" s="193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4.2923209664806131E-2</v>
      </c>
      <c r="AD191" s="227">
        <f>(INDEX(Models!$BJ191:$BT191,,AH191)*(1-AF191)+INDEX(Models!$BJ191:$BT191,,AH191+1)*AF191-ERP_i)*AE191*Ramure*Pc/MaxiM</f>
        <v>2.6074717807445743E-6</v>
      </c>
      <c r="AE191" s="301">
        <f t="shared" si="65"/>
        <v>0.5</v>
      </c>
      <c r="AF191" s="173">
        <f t="shared" si="66"/>
        <v>0.82304120554237969</v>
      </c>
      <c r="AG191" s="802">
        <f t="shared" si="74"/>
        <v>1</v>
      </c>
      <c r="AH191" s="172">
        <f t="shared" si="67"/>
        <v>7</v>
      </c>
      <c r="AI191" s="221">
        <f t="shared" si="68"/>
        <v>1.8230412055423797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45835</v>
      </c>
      <c r="B192" s="406">
        <f>'2024'!Wh/'2024'!Env_an*'2025'!Env_an</f>
        <v>19.137959945676087</v>
      </c>
      <c r="C192" s="385"/>
      <c r="D192" s="388">
        <f t="shared" si="50"/>
        <v>19.485055455570404</v>
      </c>
      <c r="E192" s="380">
        <f t="shared" si="75"/>
        <v>19.569544131871979</v>
      </c>
      <c r="F192" s="380">
        <f t="shared" si="51"/>
        <v>19.569544241875054</v>
      </c>
      <c r="G192" s="110">
        <f t="shared" si="76"/>
        <v>0.30146863969246823</v>
      </c>
      <c r="H192" s="409" t="b">
        <f>Wh_hp&gt;='2024'!Maxi_hp</f>
        <v>0</v>
      </c>
      <c r="I192" s="375">
        <f>IF(H192,Wh_hp,'2024'!Maxi_hp)</f>
        <v>19.569588262631058</v>
      </c>
      <c r="J192" s="85">
        <f>IF(H192,An,'2024'!An_max)</f>
        <v>2022</v>
      </c>
      <c r="K192" s="193">
        <f t="shared" si="52"/>
        <v>45835</v>
      </c>
      <c r="L192" s="143">
        <f>IF(t&lt;Tvie,1-EXP((T0-t)*PertePVj)+'2024'!Pspv,1-EXP((T0-t)*PertePVj)+Pspv)</f>
        <v>1.7813421711103672E-2</v>
      </c>
      <c r="M192" s="836"/>
      <c r="N192" s="836"/>
      <c r="O192" s="48">
        <f>IF(t&lt;Tnet,'2024'!Resal+('2024'!Salim-'2024'!Resal)*(1-EXP(('2024'!Tnet-t)/('2024'!Tau_j))),Resal+(Salim-Resal)*(1-EXP((Tnet-t)/(Tau_j))))*Salcycl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2.6777420486591147E-6</v>
      </c>
      <c r="Q192" s="301">
        <f t="shared" si="53"/>
        <v>0.5</v>
      </c>
      <c r="R192" s="173">
        <f t="shared" si="54"/>
        <v>0.82763797096009672</v>
      </c>
      <c r="S192" s="802">
        <f t="shared" si="55"/>
        <v>1</v>
      </c>
      <c r="T192" s="172">
        <f t="shared" si="56"/>
        <v>7</v>
      </c>
      <c r="U192" s="247">
        <f t="shared" si="57"/>
        <v>1.8276379709600967</v>
      </c>
      <c r="V192" s="378">
        <f t="shared" si="58"/>
        <v>63.482254161678703</v>
      </c>
      <c r="W192" s="397">
        <f t="shared" si="59"/>
        <v>19.137959945676087</v>
      </c>
      <c r="X192" s="153">
        <f t="shared" si="60"/>
        <v>45835</v>
      </c>
      <c r="Y192" s="380">
        <f t="shared" si="61"/>
        <v>18.394939238106204</v>
      </c>
      <c r="Z192" s="380">
        <f t="shared" si="62"/>
        <v>18.728558956845767</v>
      </c>
      <c r="AA192" s="381">
        <f t="shared" si="63"/>
        <v>19.569544131871979</v>
      </c>
      <c r="AB192" s="193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4.2974183218531997E-2</v>
      </c>
      <c r="AD192" s="227">
        <f>(INDEX(Models!$BJ192:$BT192,,AH192)*(1-AF192)+INDEX(Models!$BJ192:$BT192,,AH192+1)*AF192-ERP_i)*AE192*Ramure*Pc/MaxiM</f>
        <v>2.6777420486591147E-6</v>
      </c>
      <c r="AE192" s="301">
        <f t="shared" si="65"/>
        <v>0.5</v>
      </c>
      <c r="AF192" s="173">
        <f t="shared" si="66"/>
        <v>0.82763797096009672</v>
      </c>
      <c r="AG192" s="802">
        <f t="shared" si="74"/>
        <v>1</v>
      </c>
      <c r="AH192" s="172">
        <f t="shared" si="67"/>
        <v>7</v>
      </c>
      <c r="AI192" s="221">
        <f t="shared" si="68"/>
        <v>1.8276379709600967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45836</v>
      </c>
      <c r="B193" s="406">
        <f>'2024'!Wh/'2024'!Env_an*'2025'!Env_an</f>
        <v>66.227626745689264</v>
      </c>
      <c r="C193" s="385"/>
      <c r="D193" s="388">
        <f t="shared" si="50"/>
        <v>67.429686805610743</v>
      </c>
      <c r="E193" s="380">
        <f t="shared" si="75"/>
        <v>67.727086069879462</v>
      </c>
      <c r="F193" s="380">
        <f t="shared" si="51"/>
        <v>67.727273228607245</v>
      </c>
      <c r="G193" s="110">
        <f t="shared" si="76"/>
        <v>1.0444694332725444</v>
      </c>
      <c r="H193" s="409" t="b">
        <f>Wh_hp&gt;='2024'!Maxi_hp</f>
        <v>1</v>
      </c>
      <c r="I193" s="375">
        <f>IF(H193,Wh_hp,'2024'!Maxi_hp)</f>
        <v>67.727273228607245</v>
      </c>
      <c r="J193" s="85">
        <f>IF(H193,An,'2024'!An_max)</f>
        <v>2025</v>
      </c>
      <c r="K193" s="193">
        <f t="shared" si="52"/>
        <v>45836</v>
      </c>
      <c r="L193" s="143">
        <f>IF(t&lt;Tvie,1-EXP((T0-t)*PertePVj)+'2024'!Pspv,1-EXP((T0-t)*PertePVj)+Pspv)</f>
        <v>1.7826867020557691E-2</v>
      </c>
      <c r="M193" s="836"/>
      <c r="N193" s="836"/>
      <c r="O193" s="48">
        <f>IF(t&lt;Tnet,'2024'!Resal+('2024'!Salim-'2024'!Resal)*(1-EXP(('2024'!Tnet-t)/('2024'!Tau_j))),Resal+(Salim-Resal)*(1-EXP((Tnet-t)/(Tau_j))))*Salcycl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2.7634174366883187E-6</v>
      </c>
      <c r="Q193" s="301">
        <f t="shared" si="53"/>
        <v>0.5</v>
      </c>
      <c r="R193" s="173">
        <f t="shared" si="54"/>
        <v>0.83217175049092629</v>
      </c>
      <c r="S193" s="802">
        <f t="shared" si="55"/>
        <v>1</v>
      </c>
      <c r="T193" s="172">
        <f t="shared" si="56"/>
        <v>7</v>
      </c>
      <c r="U193" s="247">
        <f t="shared" si="57"/>
        <v>1.8321717504909263</v>
      </c>
      <c r="V193" s="378">
        <f t="shared" si="58"/>
        <v>63.407912798543151</v>
      </c>
      <c r="W193" s="397">
        <f t="shared" si="59"/>
        <v>66.227626745689264</v>
      </c>
      <c r="X193" s="153">
        <f t="shared" si="60"/>
        <v>45836</v>
      </c>
      <c r="Y193" s="380">
        <f t="shared" si="61"/>
        <v>63.657750178656322</v>
      </c>
      <c r="Z193" s="380">
        <f t="shared" si="62"/>
        <v>64.813165867762265</v>
      </c>
      <c r="AA193" s="381">
        <f t="shared" si="63"/>
        <v>67.727086069879462</v>
      </c>
      <c r="AB193" s="193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4.302444370795272E-2</v>
      </c>
      <c r="AD193" s="227">
        <f>(INDEX(Models!$BJ193:$BT193,,AH193)*(1-AF193)+INDEX(Models!$BJ193:$BT193,,AH193+1)*AF193-ERP_i)*AE193*Ramure*Pc/MaxiM</f>
        <v>2.7634174366883187E-6</v>
      </c>
      <c r="AE193" s="301">
        <f t="shared" si="65"/>
        <v>0.5</v>
      </c>
      <c r="AF193" s="173">
        <f t="shared" si="66"/>
        <v>0.83217175049092629</v>
      </c>
      <c r="AG193" s="802">
        <f t="shared" si="74"/>
        <v>1</v>
      </c>
      <c r="AH193" s="172">
        <f t="shared" si="67"/>
        <v>7</v>
      </c>
      <c r="AI193" s="221">
        <f t="shared" si="68"/>
        <v>1.8321717504909263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45837</v>
      </c>
      <c r="B194" s="406">
        <f>'2024'!Wh/'2024'!Env_an*'2025'!Env_an</f>
        <v>64.263460904356222</v>
      </c>
      <c r="C194" s="385"/>
      <c r="D194" s="388">
        <f t="shared" si="50"/>
        <v>65.430766197264546</v>
      </c>
      <c r="E194" s="380">
        <f t="shared" si="75"/>
        <v>65.724213961826806</v>
      </c>
      <c r="F194" s="380">
        <f t="shared" si="51"/>
        <v>65.724402245637052</v>
      </c>
      <c r="G194" s="110">
        <f t="shared" si="76"/>
        <v>1.0147785265653373</v>
      </c>
      <c r="H194" s="409" t="b">
        <f>Wh_hp&gt;='2024'!Maxi_hp</f>
        <v>1</v>
      </c>
      <c r="I194" s="375">
        <f>IF(H194,Wh_hp,'2024'!Maxi_hp)</f>
        <v>65.724402245637052</v>
      </c>
      <c r="J194" s="85">
        <f>IF(H194,An,'2024'!An_max)</f>
        <v>2025</v>
      </c>
      <c r="K194" s="193">
        <f t="shared" si="52"/>
        <v>45837</v>
      </c>
      <c r="L194" s="143">
        <f>IF(t&lt;Tvie,1-EXP((T0-t)*PertePVj)+'2024'!Pspv,1-EXP((T0-t)*PertePVj)+Pspv)</f>
        <v>1.7840312145956827E-2</v>
      </c>
      <c r="M194" s="836"/>
      <c r="N194" s="836"/>
      <c r="O194" s="48">
        <f>IF(t&lt;Tnet,'2024'!Resal+('2024'!Salim-'2024'!Resal)*(1-EXP(('2024'!Tnet-t)/('2024'!Tau_j))),Resal+(Salim-Resal)*(1-EXP((Tnet-t)/(Tau_j))))*Salcycl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2.8647473970073219E-6</v>
      </c>
      <c r="Q194" s="301">
        <f t="shared" si="53"/>
        <v>0.5</v>
      </c>
      <c r="R194" s="173">
        <f t="shared" si="54"/>
        <v>0.83664008182269867</v>
      </c>
      <c r="S194" s="802">
        <f t="shared" si="55"/>
        <v>1</v>
      </c>
      <c r="T194" s="172">
        <f t="shared" si="56"/>
        <v>7</v>
      </c>
      <c r="U194" s="247">
        <f t="shared" si="57"/>
        <v>1.8366400818226987</v>
      </c>
      <c r="V194" s="378">
        <f t="shared" si="58"/>
        <v>63.32757268905273</v>
      </c>
      <c r="W194" s="397">
        <f t="shared" si="59"/>
        <v>64.263460904356222</v>
      </c>
      <c r="X194" s="153">
        <f t="shared" si="60"/>
        <v>45837</v>
      </c>
      <c r="Y194" s="380">
        <f t="shared" si="61"/>
        <v>61.771174821760731</v>
      </c>
      <c r="Z194" s="380">
        <f t="shared" si="62"/>
        <v>62.893209307670574</v>
      </c>
      <c r="AA194" s="381">
        <f t="shared" si="63"/>
        <v>65.724213961826806</v>
      </c>
      <c r="AB194" s="193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4.3073997899777137E-2</v>
      </c>
      <c r="AD194" s="227">
        <f>(INDEX(Models!$BJ194:$BT194,,AH194)*(1-AF194)+INDEX(Models!$BJ194:$BT194,,AH194+1)*AF194-ERP_i)*AE194*Ramure*Pc/MaxiM</f>
        <v>2.8647473970073219E-6</v>
      </c>
      <c r="AE194" s="301">
        <f t="shared" si="65"/>
        <v>0.5</v>
      </c>
      <c r="AF194" s="173">
        <f t="shared" si="66"/>
        <v>0.83664008182269867</v>
      </c>
      <c r="AG194" s="802">
        <f t="shared" si="74"/>
        <v>1</v>
      </c>
      <c r="AH194" s="172">
        <f t="shared" si="67"/>
        <v>7</v>
      </c>
      <c r="AI194" s="221">
        <f t="shared" si="68"/>
        <v>1.8366400818226987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45838</v>
      </c>
      <c r="B195" s="406">
        <f>'2024'!Wh/'2024'!Env_an*'2025'!Env_an</f>
        <v>15.785691110875064</v>
      </c>
      <c r="C195" s="385"/>
      <c r="D195" s="388">
        <f t="shared" si="50"/>
        <v>16.072648268816174</v>
      </c>
      <c r="E195" s="380">
        <f t="shared" si="75"/>
        <v>16.145925439342854</v>
      </c>
      <c r="F195" s="380">
        <f t="shared" si="51"/>
        <v>16.145925439342854</v>
      </c>
      <c r="G195" s="110">
        <f t="shared" si="76"/>
        <v>0.24960872351120514</v>
      </c>
      <c r="H195" s="409" t="b">
        <f>Wh_hp&gt;='2024'!Maxi_hp</f>
        <v>0</v>
      </c>
      <c r="I195" s="375">
        <f>IF(H195,Wh_hp,'2024'!Maxi_hp)</f>
        <v>16.145965733793666</v>
      </c>
      <c r="J195" s="85">
        <f>IF(H195,An,'2024'!An_max)</f>
        <v>2022</v>
      </c>
      <c r="K195" s="193">
        <f t="shared" si="52"/>
        <v>45838</v>
      </c>
      <c r="L195" s="143">
        <f>IF(t&lt;Tvie,1-EXP((T0-t)*PertePVj)+'2024'!Pspv,1-EXP((T0-t)*PertePVj)+Pspv)</f>
        <v>1.7853757087303412E-2</v>
      </c>
      <c r="M195" s="836"/>
      <c r="N195" s="836"/>
      <c r="O195" s="48">
        <f>IF(t&lt;Tnet,'2024'!Resal+('2024'!Salim-'2024'!Resal)*(1-EXP(('2024'!Tnet-t)/('2024'!Tau_j))),Resal+(Salim-Resal)*(1-EXP((Tnet-t)/(Tau_j))))*Salcycl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2.9819758331927062E-6</v>
      </c>
      <c r="Q195" s="301">
        <f t="shared" si="53"/>
        <v>0.5</v>
      </c>
      <c r="R195" s="173">
        <f t="shared" si="54"/>
        <v>0.84104068206825433</v>
      </c>
      <c r="S195" s="802">
        <f t="shared" si="55"/>
        <v>1</v>
      </c>
      <c r="T195" s="172">
        <f t="shared" si="56"/>
        <v>7</v>
      </c>
      <c r="U195" s="247">
        <f t="shared" si="57"/>
        <v>1.8410406820682543</v>
      </c>
      <c r="V195" s="378">
        <f t="shared" si="58"/>
        <v>63.24155588903939</v>
      </c>
      <c r="W195" s="397">
        <f t="shared" si="59"/>
        <v>15.785691110875064</v>
      </c>
      <c r="X195" s="153">
        <f t="shared" si="60"/>
        <v>45838</v>
      </c>
      <c r="Y195" s="380">
        <f t="shared" si="61"/>
        <v>15.173832446343225</v>
      </c>
      <c r="Z195" s="380">
        <f t="shared" si="62"/>
        <v>15.449667048914256</v>
      </c>
      <c r="AA195" s="381">
        <f t="shared" si="63"/>
        <v>16.145925439342854</v>
      </c>
      <c r="AB195" s="193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4.3122854310476466E-2</v>
      </c>
      <c r="AD195" s="227">
        <f>(INDEX(Models!$BJ195:$BT195,,AH195)*(1-AF195)+INDEX(Models!$BJ195:$BT195,,AH195+1)*AF195-ERP_i)*AE195*Ramure*Pc/MaxiM</f>
        <v>2.9819758331927062E-6</v>
      </c>
      <c r="AE195" s="301">
        <f t="shared" si="65"/>
        <v>0.5</v>
      </c>
      <c r="AF195" s="173">
        <f t="shared" si="66"/>
        <v>0.84104068206825433</v>
      </c>
      <c r="AG195" s="802">
        <f t="shared" si="74"/>
        <v>1</v>
      </c>
      <c r="AH195" s="172">
        <f t="shared" si="67"/>
        <v>7</v>
      </c>
      <c r="AI195" s="221">
        <f t="shared" si="68"/>
        <v>1.8410406820682543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45839</v>
      </c>
      <c r="B196" s="406">
        <f>'2024'!Wh/'2024'!Env_an*'2025'!Env_an</f>
        <v>53.552701739596301</v>
      </c>
      <c r="C196" s="385"/>
      <c r="D196" s="388">
        <f t="shared" si="50"/>
        <v>54.526945684103723</v>
      </c>
      <c r="E196" s="380">
        <f t="shared" si="75"/>
        <v>54.779585223555792</v>
      </c>
      <c r="F196" s="380">
        <f t="shared" si="51"/>
        <v>54.779718829181327</v>
      </c>
      <c r="G196" s="110">
        <f t="shared" si="76"/>
        <v>0.84802073179405313</v>
      </c>
      <c r="H196" s="409" t="b">
        <f>Wh_hp&gt;='2024'!Maxi_hp</f>
        <v>0</v>
      </c>
      <c r="I196" s="375">
        <f>IF(H196,Wh_hp,'2024'!Maxi_hp)</f>
        <v>54.779749779399616</v>
      </c>
      <c r="J196" s="85">
        <f>IF(H196,An,'2024'!An_max)</f>
        <v>2022</v>
      </c>
      <c r="K196" s="193">
        <f t="shared" si="52"/>
        <v>45839</v>
      </c>
      <c r="L196" s="143">
        <f>IF(t&lt;Tvie,1-EXP((T0-t)*PertePVj)+'2024'!Pspv,1-EXP((T0-t)*PertePVj)+Pspv)</f>
        <v>1.78672018446E-2</v>
      </c>
      <c r="M196" s="836"/>
      <c r="N196" s="836"/>
      <c r="O196" s="48">
        <f>IF(t&lt;Tnet,'2024'!Resal+('2024'!Salim-'2024'!Resal)*(1-EXP(('2024'!Tnet-t)/('2024'!Tau_j))),Resal+(Salim-Resal)*(1-EXP((Tnet-t)/(Tau_j))))*Salcycl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3.1153406581477005E-6</v>
      </c>
      <c r="Q196" s="301">
        <f t="shared" si="53"/>
        <v>0.5</v>
      </c>
      <c r="R196" s="173">
        <f t="shared" si="54"/>
        <v>0.84537144958919708</v>
      </c>
      <c r="S196" s="802">
        <f t="shared" si="55"/>
        <v>1</v>
      </c>
      <c r="T196" s="172">
        <f t="shared" si="56"/>
        <v>7</v>
      </c>
      <c r="U196" s="247">
        <f t="shared" si="57"/>
        <v>1.8453714495891971</v>
      </c>
      <c r="V196" s="378">
        <f t="shared" si="58"/>
        <v>63.150184317171323</v>
      </c>
      <c r="W196" s="397">
        <f t="shared" si="59"/>
        <v>53.552701739596301</v>
      </c>
      <c r="X196" s="153">
        <f t="shared" si="60"/>
        <v>45839</v>
      </c>
      <c r="Y196" s="380">
        <f t="shared" si="61"/>
        <v>51.478190557385609</v>
      </c>
      <c r="Z196" s="380">
        <f t="shared" si="62"/>
        <v>52.414694483342529</v>
      </c>
      <c r="AA196" s="381">
        <f t="shared" si="63"/>
        <v>54.779585223555792</v>
      </c>
      <c r="AB196" s="193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4.317102312042214E-2</v>
      </c>
      <c r="AD196" s="227">
        <f>(INDEX(Models!$BJ196:$BT196,,AH196)*(1-AF196)+INDEX(Models!$BJ196:$BT196,,AH196+1)*AF196-ERP_i)*AE196*Ramure*Pc/MaxiM</f>
        <v>3.1153406581477005E-6</v>
      </c>
      <c r="AE196" s="301">
        <f t="shared" si="65"/>
        <v>0.5</v>
      </c>
      <c r="AF196" s="173">
        <f t="shared" si="66"/>
        <v>0.84537144958919708</v>
      </c>
      <c r="AG196" s="802">
        <f t="shared" si="74"/>
        <v>1</v>
      </c>
      <c r="AH196" s="172">
        <f t="shared" si="67"/>
        <v>7</v>
      </c>
      <c r="AI196" s="221">
        <f t="shared" si="68"/>
        <v>1.8453714495891971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45840</v>
      </c>
      <c r="B197" s="406">
        <f>'2024'!Wh/'2024'!Env_an*'2025'!Env_an</f>
        <v>59.458460759043078</v>
      </c>
      <c r="C197" s="385"/>
      <c r="D197" s="388">
        <f t="shared" si="50"/>
        <v>60.540972481782568</v>
      </c>
      <c r="E197" s="380">
        <f t="shared" si="75"/>
        <v>60.825961919475176</v>
      </c>
      <c r="F197" s="380">
        <f t="shared" si="51"/>
        <v>60.826144343798148</v>
      </c>
      <c r="G197" s="110">
        <f t="shared" si="76"/>
        <v>0.94297986836280001</v>
      </c>
      <c r="H197" s="409" t="b">
        <f>Wh_hp&gt;='2024'!Maxi_hp</f>
        <v>0</v>
      </c>
      <c r="I197" s="375">
        <f>IF(H197,Wh_hp,'2024'!Maxi_hp)</f>
        <v>60.826157831959122</v>
      </c>
      <c r="J197" s="85">
        <f>IF(H197,An,'2024'!An_max)</f>
        <v>2022</v>
      </c>
      <c r="K197" s="193">
        <f t="shared" si="52"/>
        <v>45840</v>
      </c>
      <c r="L197" s="143">
        <f>IF(t&lt;Tvie,1-EXP((T0-t)*PertePVj)+'2024'!Pspv,1-EXP((T0-t)*PertePVj)+Pspv)</f>
        <v>1.7880646417849144E-2</v>
      </c>
      <c r="M197" s="836"/>
      <c r="N197" s="836"/>
      <c r="O197" s="48">
        <f>IF(t&lt;Tnet,'2024'!Resal+('2024'!Salim-'2024'!Resal)*(1-EXP(('2024'!Tnet-t)/('2024'!Tau_j))),Resal+(Salim-Resal)*(1-EXP((Tnet-t)/(Tau_j))))*Salcycl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3.2650734098390381E-6</v>
      </c>
      <c r="Q197" s="301">
        <f t="shared" si="53"/>
        <v>0.5</v>
      </c>
      <c r="R197" s="173">
        <f t="shared" si="54"/>
        <v>0.84963046489685778</v>
      </c>
      <c r="S197" s="802">
        <f t="shared" si="55"/>
        <v>1</v>
      </c>
      <c r="T197" s="172">
        <f t="shared" si="56"/>
        <v>7</v>
      </c>
      <c r="U197" s="247">
        <f t="shared" si="57"/>
        <v>1.8496304648968578</v>
      </c>
      <c r="V197" s="378">
        <f t="shared" si="58"/>
        <v>63.053779767830001</v>
      </c>
      <c r="W197" s="397">
        <f t="shared" si="59"/>
        <v>59.458460759043078</v>
      </c>
      <c r="X197" s="153">
        <f t="shared" si="60"/>
        <v>45840</v>
      </c>
      <c r="Y197" s="380">
        <f t="shared" si="61"/>
        <v>57.156551371101052</v>
      </c>
      <c r="Z197" s="380">
        <f t="shared" si="62"/>
        <v>58.197154106199079</v>
      </c>
      <c r="AA197" s="381">
        <f t="shared" si="63"/>
        <v>60.825961919475176</v>
      </c>
      <c r="AB197" s="193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4.3218516079634936E-2</v>
      </c>
      <c r="AD197" s="227">
        <f>(INDEX(Models!$BJ197:$BT197,,AH197)*(1-AF197)+INDEX(Models!$BJ197:$BT197,,AH197+1)*AF197-ERP_i)*AE197*Ramure*Pc/MaxiM</f>
        <v>3.2650734098390381E-6</v>
      </c>
      <c r="AE197" s="301">
        <f t="shared" si="65"/>
        <v>0.5</v>
      </c>
      <c r="AF197" s="173">
        <f t="shared" si="66"/>
        <v>0.84963046489685778</v>
      </c>
      <c r="AG197" s="802">
        <f t="shared" si="74"/>
        <v>1</v>
      </c>
      <c r="AH197" s="172">
        <f t="shared" si="67"/>
        <v>7</v>
      </c>
      <c r="AI197" s="221">
        <f t="shared" si="68"/>
        <v>1.8496304648968578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45841</v>
      </c>
      <c r="B198" s="406">
        <f>'2024'!Wh/'2024'!Env_an*'2025'!Env_an</f>
        <v>55.29562344547373</v>
      </c>
      <c r="C198" s="385"/>
      <c r="D198" s="388">
        <f t="shared" si="50"/>
        <v>56.303116525297519</v>
      </c>
      <c r="E198" s="380">
        <f t="shared" si="75"/>
        <v>56.57232272956923</v>
      </c>
      <c r="F198" s="380">
        <f t="shared" si="51"/>
        <v>56.572484092174307</v>
      </c>
      <c r="G198" s="110">
        <f t="shared" si="76"/>
        <v>0.87836777667995103</v>
      </c>
      <c r="H198" s="409" t="b">
        <f>Wh_hp&gt;='2024'!Maxi_hp</f>
        <v>0</v>
      </c>
      <c r="I198" s="375">
        <f>IF(H198,Wh_hp,'2024'!Maxi_hp)</f>
        <v>56.572512342917904</v>
      </c>
      <c r="J198" s="85">
        <f>IF(H198,An,'2024'!An_max)</f>
        <v>2022</v>
      </c>
      <c r="K198" s="193">
        <f t="shared" si="52"/>
        <v>45841</v>
      </c>
      <c r="L198" s="143">
        <f>IF(t&lt;Tvie,1-EXP((T0-t)*PertePVj)+'2024'!Pspv,1-EXP((T0-t)*PertePVj)+Pspv)</f>
        <v>1.7894090807053509E-2</v>
      </c>
      <c r="M198" s="836"/>
      <c r="N198" s="836"/>
      <c r="O198" s="48">
        <f>IF(t&lt;Tnet,'2024'!Resal+('2024'!Salim-'2024'!Resal)*(1-EXP(('2024'!Tnet-t)/('2024'!Tau_j))),Resal+(Salim-Resal)*(1-EXP((Tnet-t)/(Tau_j))))*Salcycl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3.4521622839913574E-6</v>
      </c>
      <c r="Q198" s="301">
        <f t="shared" si="53"/>
        <v>0.5</v>
      </c>
      <c r="R198" s="173">
        <f t="shared" si="54"/>
        <v>0.85381599066415426</v>
      </c>
      <c r="S198" s="802">
        <f t="shared" si="55"/>
        <v>1</v>
      </c>
      <c r="T198" s="172">
        <f t="shared" si="56"/>
        <v>7</v>
      </c>
      <c r="U198" s="247">
        <f t="shared" si="57"/>
        <v>1.8538159906641543</v>
      </c>
      <c r="V198" s="378">
        <f t="shared" si="58"/>
        <v>62.952662591419575</v>
      </c>
      <c r="W198" s="397">
        <f t="shared" si="59"/>
        <v>55.29562344547373</v>
      </c>
      <c r="X198" s="153">
        <f t="shared" si="60"/>
        <v>45841</v>
      </c>
      <c r="Y198" s="380">
        <f t="shared" si="61"/>
        <v>53.156189264538639</v>
      </c>
      <c r="Z198" s="380">
        <f t="shared" si="62"/>
        <v>54.124701589689209</v>
      </c>
      <c r="AA198" s="381">
        <f t="shared" si="63"/>
        <v>56.57232272956923</v>
      </c>
      <c r="AB198" s="193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4.3265346405879451E-2</v>
      </c>
      <c r="AD198" s="227">
        <f>(INDEX(Models!$BJ198:$BT198,,AH198)*(1-AF198)+INDEX(Models!$BJ198:$BT198,,AH198+1)*AF198-ERP_i)*AE198*Ramure*Pc/MaxiM</f>
        <v>3.4521622839913574E-6</v>
      </c>
      <c r="AE198" s="301">
        <f t="shared" si="65"/>
        <v>0.5</v>
      </c>
      <c r="AF198" s="173">
        <f t="shared" si="66"/>
        <v>0.85381599066415426</v>
      </c>
      <c r="AG198" s="802">
        <f t="shared" si="74"/>
        <v>1</v>
      </c>
      <c r="AH198" s="172">
        <f t="shared" si="67"/>
        <v>7</v>
      </c>
      <c r="AI198" s="221">
        <f t="shared" si="68"/>
        <v>1.8538159906641543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45842</v>
      </c>
      <c r="B199" s="406">
        <f>'2024'!Wh/'2024'!Env_an*'2025'!Env_an</f>
        <v>51.473393725586213</v>
      </c>
      <c r="C199" s="385"/>
      <c r="D199" s="388">
        <f t="shared" si="50"/>
        <v>52.411962784203261</v>
      </c>
      <c r="E199" s="380">
        <f t="shared" si="75"/>
        <v>52.666437072343648</v>
      </c>
      <c r="F199" s="380">
        <f t="shared" si="51"/>
        <v>52.666580469676802</v>
      </c>
      <c r="G199" s="110">
        <f t="shared" si="76"/>
        <v>0.81902426876443979</v>
      </c>
      <c r="H199" s="409" t="b">
        <f>Wh_hp&gt;='2024'!Maxi_hp</f>
        <v>0</v>
      </c>
      <c r="I199" s="375">
        <f>IF(H199,Wh_hp,'2024'!Maxi_hp)</f>
        <v>52.666622044945932</v>
      </c>
      <c r="J199" s="85">
        <f>IF(H199,An,'2024'!An_max)</f>
        <v>2022</v>
      </c>
      <c r="K199" s="193">
        <f t="shared" si="52"/>
        <v>45842</v>
      </c>
      <c r="L199" s="143">
        <f>IF(t&lt;Tvie,1-EXP((T0-t)*PertePVj)+'2024'!Pspv,1-EXP((T0-t)*PertePVj)+Pspv)</f>
        <v>1.7907535012215314E-2</v>
      </c>
      <c r="M199" s="836"/>
      <c r="N199" s="836"/>
      <c r="O199" s="48">
        <f>IF(t&lt;Tnet,'2024'!Resal+('2024'!Salim-'2024'!Resal)*(1-EXP(('2024'!Tnet-t)/('2024'!Tau_j))),Resal+(Salim-Resal)*(1-EXP((Tnet-t)/(Tau_j))))*Salcycl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3.6721099579318357E-6</v>
      </c>
      <c r="Q199" s="301">
        <f t="shared" si="53"/>
        <v>0.5</v>
      </c>
      <c r="R199" s="173">
        <f t="shared" si="54"/>
        <v>0.85792647088811136</v>
      </c>
      <c r="S199" s="802">
        <f t="shared" si="55"/>
        <v>1</v>
      </c>
      <c r="T199" s="172">
        <f t="shared" si="56"/>
        <v>7</v>
      </c>
      <c r="U199" s="247">
        <f t="shared" si="57"/>
        <v>1.8579264708881114</v>
      </c>
      <c r="V199" s="378">
        <f t="shared" si="58"/>
        <v>62.847154621853207</v>
      </c>
      <c r="W199" s="397">
        <f t="shared" si="59"/>
        <v>51.473393725586213</v>
      </c>
      <c r="X199" s="153">
        <f t="shared" si="60"/>
        <v>45842</v>
      </c>
      <c r="Y199" s="380">
        <f t="shared" si="61"/>
        <v>49.483095338631657</v>
      </c>
      <c r="Z199" s="380">
        <f t="shared" si="62"/>
        <v>50.385373172827599</v>
      </c>
      <c r="AA199" s="381">
        <f t="shared" si="63"/>
        <v>52.666437072343648</v>
      </c>
      <c r="AB199" s="193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4.3311528675895397E-2</v>
      </c>
      <c r="AD199" s="227">
        <f>(INDEX(Models!$BJ199:$BT199,,AH199)*(1-AF199)+INDEX(Models!$BJ199:$BT199,,AH199+1)*AF199-ERP_i)*AE199*Ramure*Pc/MaxiM</f>
        <v>3.6721099579318357E-6</v>
      </c>
      <c r="AE199" s="301">
        <f t="shared" si="65"/>
        <v>0.5</v>
      </c>
      <c r="AF199" s="173">
        <f t="shared" si="66"/>
        <v>0.85792647088811136</v>
      </c>
      <c r="AG199" s="802">
        <f t="shared" si="74"/>
        <v>1</v>
      </c>
      <c r="AH199" s="172">
        <f t="shared" si="67"/>
        <v>7</v>
      </c>
      <c r="AI199" s="221">
        <f t="shared" si="68"/>
        <v>1.8579264708881114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45843</v>
      </c>
      <c r="B200" s="406">
        <f>'2024'!Wh/'2024'!Env_an*'2025'!Env_an</f>
        <v>61.720628441300519</v>
      </c>
      <c r="C200" s="385"/>
      <c r="D200" s="388">
        <f t="shared" si="50"/>
        <v>62.84690653563576</v>
      </c>
      <c r="E200" s="380">
        <f t="shared" si="75"/>
        <v>63.156683597693316</v>
      </c>
      <c r="F200" s="380">
        <f t="shared" si="51"/>
        <v>63.156925774092478</v>
      </c>
      <c r="G200" s="110">
        <f t="shared" si="76"/>
        <v>0.98379034610212146</v>
      </c>
      <c r="H200" s="409" t="b">
        <f>Wh_hp&gt;='2024'!Maxi_hp</f>
        <v>0</v>
      </c>
      <c r="I200" s="375">
        <f>IF(H200,Wh_hp,'2024'!Maxi_hp)</f>
        <v>63.156930543219005</v>
      </c>
      <c r="J200" s="85">
        <f>IF(H200,An,'2024'!An_max)</f>
        <v>2022</v>
      </c>
      <c r="K200" s="193">
        <f t="shared" si="52"/>
        <v>45843</v>
      </c>
      <c r="L200" s="143">
        <f>IF(t&lt;Tvie,1-EXP((T0-t)*PertePVj)+'2024'!Pspv,1-EXP((T0-t)*PertePVj)+Pspv)</f>
        <v>1.7920979033337336E-2</v>
      </c>
      <c r="M200" s="836"/>
      <c r="N200" s="836"/>
      <c r="O200" s="48">
        <f>IF(t&lt;Tnet,'2024'!Resal+('2024'!Salim-'2024'!Resal)*(1-EXP(('2024'!Tnet-t)/('2024'!Tau_j))),Resal+(Salim-Resal)*(1-EXP((Tnet-t)/(Tau_j))))*Salcycl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3.9254174935456743E-6</v>
      </c>
      <c r="Q200" s="301">
        <f t="shared" si="53"/>
        <v>0.5</v>
      </c>
      <c r="R200" s="173">
        <f t="shared" si="54"/>
        <v>0.86196052924808519</v>
      </c>
      <c r="S200" s="802">
        <f t="shared" si="55"/>
        <v>1</v>
      </c>
      <c r="T200" s="172">
        <f t="shared" si="56"/>
        <v>7</v>
      </c>
      <c r="U200" s="247">
        <f t="shared" si="57"/>
        <v>1.8619605292480852</v>
      </c>
      <c r="V200" s="378">
        <f t="shared" si="58"/>
        <v>62.737577244459011</v>
      </c>
      <c r="W200" s="397">
        <f t="shared" si="59"/>
        <v>61.720628441300519</v>
      </c>
      <c r="X200" s="153">
        <f t="shared" si="60"/>
        <v>45843</v>
      </c>
      <c r="Y200" s="380">
        <f t="shared" si="61"/>
        <v>59.33563751844342</v>
      </c>
      <c r="Z200" s="380">
        <f t="shared" si="62"/>
        <v>60.418394295847207</v>
      </c>
      <c r="AA200" s="381">
        <f t="shared" si="63"/>
        <v>63.156683597693316</v>
      </c>
      <c r="AB200" s="193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4.3357078710607289E-2</v>
      </c>
      <c r="AD200" s="227">
        <f>(INDEX(Models!$BJ200:$BT200,,AH200)*(1-AF200)+INDEX(Models!$BJ200:$BT200,,AH200+1)*AF200-ERP_i)*AE200*Ramure*Pc/MaxiM</f>
        <v>3.9254174935456743E-6</v>
      </c>
      <c r="AE200" s="301">
        <f t="shared" si="65"/>
        <v>0.5</v>
      </c>
      <c r="AF200" s="173">
        <f t="shared" si="66"/>
        <v>0.86196052924808519</v>
      </c>
      <c r="AG200" s="802">
        <f t="shared" si="74"/>
        <v>1</v>
      </c>
      <c r="AH200" s="172">
        <f t="shared" si="67"/>
        <v>7</v>
      </c>
      <c r="AI200" s="221">
        <f t="shared" si="68"/>
        <v>1.8619605292480852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45844</v>
      </c>
      <c r="B201" s="406">
        <f>'2024'!Wh/'2024'!Env_an*'2025'!Env_an</f>
        <v>45.438245033236562</v>
      </c>
      <c r="C201" s="385"/>
      <c r="D201" s="388">
        <f t="shared" si="50"/>
        <v>46.268035548140638</v>
      </c>
      <c r="E201" s="380">
        <f t="shared" si="75"/>
        <v>46.499504407319705</v>
      </c>
      <c r="F201" s="380">
        <f t="shared" si="51"/>
        <v>46.499623495592687</v>
      </c>
      <c r="G201" s="110">
        <f t="shared" si="76"/>
        <v>0.72556827018952008</v>
      </c>
      <c r="H201" s="409" t="b">
        <f>Wh_hp&gt;='2024'!Maxi_hp</f>
        <v>0</v>
      </c>
      <c r="I201" s="375">
        <f>IF(H201,Wh_hp,'2024'!Maxi_hp)</f>
        <v>46.499687245486641</v>
      </c>
      <c r="J201" s="85">
        <f>IF(H201,An,'2024'!An_max)</f>
        <v>2022</v>
      </c>
      <c r="K201" s="193">
        <f t="shared" si="52"/>
        <v>45844</v>
      </c>
      <c r="L201" s="143">
        <f>IF(t&lt;Tvie,1-EXP((T0-t)*PertePVj)+'2024'!Pspv,1-EXP((T0-t)*PertePVj)+Pspv)</f>
        <v>1.7934422870422018E-2</v>
      </c>
      <c r="M201" s="836"/>
      <c r="N201" s="836"/>
      <c r="O201" s="48">
        <f>IF(t&lt;Tnet,'2024'!Resal+('2024'!Salim-'2024'!Resal)*(1-EXP(('2024'!Tnet-t)/('2024'!Tau_j))),Resal+(Salim-Resal)*(1-EXP((Tnet-t)/(Tau_j))))*Salcycl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4.2125700699645595E-6</v>
      </c>
      <c r="Q201" s="301">
        <f t="shared" si="53"/>
        <v>0.5</v>
      </c>
      <c r="R201" s="173">
        <f t="shared" si="54"/>
        <v>0.86591696670921126</v>
      </c>
      <c r="S201" s="802">
        <f t="shared" si="55"/>
        <v>1</v>
      </c>
      <c r="T201" s="172">
        <f t="shared" si="56"/>
        <v>7</v>
      </c>
      <c r="U201" s="247">
        <f t="shared" si="57"/>
        <v>1.8659169667092113</v>
      </c>
      <c r="V201" s="378">
        <f t="shared" si="58"/>
        <v>62.62425171845652</v>
      </c>
      <c r="W201" s="397">
        <f t="shared" si="59"/>
        <v>45.438245033236562</v>
      </c>
      <c r="X201" s="153">
        <f t="shared" si="60"/>
        <v>45844</v>
      </c>
      <c r="Y201" s="380">
        <f t="shared" si="61"/>
        <v>43.683585268219964</v>
      </c>
      <c r="Z201" s="380">
        <f t="shared" si="62"/>
        <v>44.481332291373207</v>
      </c>
      <c r="AA201" s="381">
        <f t="shared" si="63"/>
        <v>46.499504407319705</v>
      </c>
      <c r="AB201" s="193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4.3402013455197397E-2</v>
      </c>
      <c r="AD201" s="227">
        <f>(INDEX(Models!$BJ201:$BT201,,AH201)*(1-AF201)+INDEX(Models!$BJ201:$BT201,,AH201+1)*AF201-ERP_i)*AE201*Ramure*Pc/MaxiM</f>
        <v>4.2125700699645595E-6</v>
      </c>
      <c r="AE201" s="301">
        <f t="shared" si="65"/>
        <v>0.5</v>
      </c>
      <c r="AF201" s="173">
        <f t="shared" si="66"/>
        <v>0.86591696670921126</v>
      </c>
      <c r="AG201" s="802">
        <f t="shared" si="74"/>
        <v>1</v>
      </c>
      <c r="AH201" s="172">
        <f t="shared" si="67"/>
        <v>7</v>
      </c>
      <c r="AI201" s="221">
        <f t="shared" si="68"/>
        <v>1.8659169667092113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45845</v>
      </c>
      <c r="B202" s="406">
        <f>'2024'!Wh/'2024'!Env_an*'2025'!Env_an</f>
        <v>61.250704161909297</v>
      </c>
      <c r="C202" s="385"/>
      <c r="D202" s="388">
        <f t="shared" si="50"/>
        <v>62.370114654787045</v>
      </c>
      <c r="E202" s="380">
        <f t="shared" si="75"/>
        <v>62.686729779687852</v>
      </c>
      <c r="F202" s="380">
        <f t="shared" si="51"/>
        <v>62.68700584097531</v>
      </c>
      <c r="G202" s="110">
        <f t="shared" si="76"/>
        <v>0.9798935646981014</v>
      </c>
      <c r="H202" s="409" t="b">
        <f>Wh_hp&gt;='2024'!Maxi_hp</f>
        <v>0</v>
      </c>
      <c r="I202" s="375">
        <f>IF(H202,Wh_hp,'2024'!Maxi_hp)</f>
        <v>62.68701261444199</v>
      </c>
      <c r="J202" s="85">
        <f>IF(H202,An,'2024'!An_max)</f>
        <v>2022</v>
      </c>
      <c r="K202" s="193">
        <f t="shared" si="52"/>
        <v>45845</v>
      </c>
      <c r="L202" s="143">
        <f>IF(t&lt;Tvie,1-EXP((T0-t)*PertePVj)+'2024'!Pspv,1-EXP((T0-t)*PertePVj)+Pspv)</f>
        <v>1.79478665234718E-2</v>
      </c>
      <c r="M202" s="836"/>
      <c r="N202" s="836"/>
      <c r="O202" s="48">
        <f>IF(t&lt;Tnet,'2024'!Resal+('2024'!Salim-'2024'!Resal)*(1-EXP(('2024'!Tnet-t)/('2024'!Tau_j))),Resal+(Salim-Resal)*(1-EXP((Tnet-t)/(Tau_j))))*Salcycl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4.5340364813630898E-6</v>
      </c>
      <c r="Q202" s="301">
        <f t="shared" si="53"/>
        <v>0.5</v>
      </c>
      <c r="R202" s="173">
        <f t="shared" si="54"/>
        <v>0.86979475842425091</v>
      </c>
      <c r="S202" s="802">
        <f t="shared" si="55"/>
        <v>1</v>
      </c>
      <c r="T202" s="172">
        <f t="shared" si="56"/>
        <v>7</v>
      </c>
      <c r="U202" s="247">
        <f t="shared" si="57"/>
        <v>1.8697947584242509</v>
      </c>
      <c r="V202" s="378">
        <f t="shared" si="58"/>
        <v>62.507499173049766</v>
      </c>
      <c r="W202" s="397">
        <f t="shared" si="59"/>
        <v>61.250704161909297</v>
      </c>
      <c r="X202" s="153">
        <f t="shared" si="60"/>
        <v>45845</v>
      </c>
      <c r="Y202" s="380">
        <f t="shared" si="61"/>
        <v>58.887008252631155</v>
      </c>
      <c r="Z202" s="380">
        <f t="shared" si="62"/>
        <v>59.963220123729407</v>
      </c>
      <c r="AA202" s="381">
        <f t="shared" si="63"/>
        <v>62.686729779687852</v>
      </c>
      <c r="AB202" s="193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4.3446350854960986E-2</v>
      </c>
      <c r="AD202" s="227">
        <f>(INDEX(Models!$BJ202:$BT202,,AH202)*(1-AF202)+INDEX(Models!$BJ202:$BT202,,AH202+1)*AF202-ERP_i)*AE202*Ramure*Pc/MaxiM</f>
        <v>4.5340364813630898E-6</v>
      </c>
      <c r="AE202" s="301">
        <f t="shared" si="65"/>
        <v>0.5</v>
      </c>
      <c r="AF202" s="173">
        <f t="shared" si="66"/>
        <v>0.86979475842425091</v>
      </c>
      <c r="AG202" s="802">
        <f t="shared" si="74"/>
        <v>1</v>
      </c>
      <c r="AH202" s="172">
        <f t="shared" si="67"/>
        <v>7</v>
      </c>
      <c r="AI202" s="221">
        <f t="shared" si="68"/>
        <v>1.8697947584242509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45846</v>
      </c>
      <c r="B203" s="406">
        <f>'2024'!Wh/'2024'!Env_an*'2025'!Env_an</f>
        <v>64.226562304041224</v>
      </c>
      <c r="C203" s="385"/>
      <c r="D203" s="388">
        <f t="shared" si="50"/>
        <v>65.401254510196551</v>
      </c>
      <c r="E203" s="380">
        <f t="shared" si="75"/>
        <v>65.738064740161136</v>
      </c>
      <c r="F203" s="380">
        <f t="shared" si="51"/>
        <v>65.738386218533648</v>
      </c>
      <c r="G203" s="110">
        <f t="shared" si="76"/>
        <v>1.0294757370422234</v>
      </c>
      <c r="H203" s="409" t="b">
        <f>Wh_hp&gt;='2024'!Maxi_hp</f>
        <v>1</v>
      </c>
      <c r="I203" s="375">
        <f>IF(H203,Wh_hp,'2024'!Maxi_hp)</f>
        <v>65.738386218533648</v>
      </c>
      <c r="J203" s="85">
        <f>IF(H203,An,'2024'!An_max)</f>
        <v>2025</v>
      </c>
      <c r="K203" s="193">
        <f t="shared" si="52"/>
        <v>45846</v>
      </c>
      <c r="L203" s="143">
        <f>IF(t&lt;Tvie,1-EXP((T0-t)*PertePVj)+'2024'!Pspv,1-EXP((T0-t)*PertePVj)+Pspv)</f>
        <v>1.7961309992489238E-2</v>
      </c>
      <c r="M203" s="836"/>
      <c r="N203" s="836"/>
      <c r="O203" s="48">
        <f>IF(t&lt;Tnet,'2024'!Resal+('2024'!Salim-'2024'!Resal)*(1-EXP(('2024'!Tnet-t)/('2024'!Tau_j))),Resal+(Salim-Resal)*(1-EXP((Tnet-t)/(Tau_j))))*Salcycl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4.8902687000899811E-6</v>
      </c>
      <c r="Q203" s="301">
        <f t="shared" si="53"/>
        <v>0.5</v>
      </c>
      <c r="R203" s="173">
        <f t="shared" si="54"/>
        <v>0.87359304998985321</v>
      </c>
      <c r="S203" s="802">
        <f t="shared" si="55"/>
        <v>1</v>
      </c>
      <c r="T203" s="172">
        <f t="shared" si="56"/>
        <v>7</v>
      </c>
      <c r="U203" s="247">
        <f t="shared" si="57"/>
        <v>1.8735930499898532</v>
      </c>
      <c r="V203" s="378">
        <f t="shared" si="58"/>
        <v>62.387640614600521</v>
      </c>
      <c r="W203" s="397">
        <f t="shared" si="59"/>
        <v>64.226562304041224</v>
      </c>
      <c r="X203" s="153">
        <f t="shared" si="60"/>
        <v>45846</v>
      </c>
      <c r="Y203" s="380">
        <f t="shared" si="61"/>
        <v>61.749717920871824</v>
      </c>
      <c r="Z203" s="380">
        <f t="shared" si="62"/>
        <v>62.879109091312436</v>
      </c>
      <c r="AA203" s="381">
        <f t="shared" si="63"/>
        <v>65.738064740161136</v>
      </c>
      <c r="AB203" s="193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4.3490109727889366E-2</v>
      </c>
      <c r="AD203" s="227">
        <f>(INDEX(Models!$BJ203:$BT203,,AH203)*(1-AF203)+INDEX(Models!$BJ203:$BT203,,AH203+1)*AF203-ERP_i)*AE203*Ramure*Pc/MaxiM</f>
        <v>4.8902687000899811E-6</v>
      </c>
      <c r="AE203" s="301">
        <f t="shared" si="65"/>
        <v>0.5</v>
      </c>
      <c r="AF203" s="173">
        <f t="shared" si="66"/>
        <v>0.87359304998985321</v>
      </c>
      <c r="AG203" s="802">
        <f t="shared" si="74"/>
        <v>1</v>
      </c>
      <c r="AH203" s="172">
        <f t="shared" si="67"/>
        <v>7</v>
      </c>
      <c r="AI203" s="221">
        <f t="shared" si="68"/>
        <v>1.8735930499898532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45847</v>
      </c>
      <c r="B204" s="406">
        <f>'2024'!Wh/'2024'!Env_an*'2025'!Env_an</f>
        <v>63.234288940699557</v>
      </c>
      <c r="C204" s="385"/>
      <c r="D204" s="388">
        <f t="shared" si="50"/>
        <v>64.391714115031064</v>
      </c>
      <c r="E204" s="380">
        <f t="shared" si="75"/>
        <v>64.72805266786915</v>
      </c>
      <c r="F204" s="380">
        <f t="shared" si="51"/>
        <v>64.728394543927067</v>
      </c>
      <c r="G204" s="110">
        <f t="shared" si="76"/>
        <v>1.0155672058317351</v>
      </c>
      <c r="H204" s="409" t="b">
        <f>Wh_hp&gt;='2024'!Maxi_hp</f>
        <v>1</v>
      </c>
      <c r="I204" s="375">
        <f>IF(H204,Wh_hp,'2024'!Maxi_hp)</f>
        <v>64.728394543927067</v>
      </c>
      <c r="J204" s="85">
        <f>IF(H204,An,'2024'!An_max)</f>
        <v>2025</v>
      </c>
      <c r="K204" s="193">
        <f t="shared" si="52"/>
        <v>45847</v>
      </c>
      <c r="L204" s="143">
        <f>IF(t&lt;Tvie,1-EXP((T0-t)*PertePVj)+'2024'!Pspv,1-EXP((T0-t)*PertePVj)+Pspv)</f>
        <v>1.7974753277476885E-2</v>
      </c>
      <c r="M204" s="836"/>
      <c r="N204" s="836"/>
      <c r="O204" s="48">
        <f>IF(t&lt;Tnet,'2024'!Resal+('2024'!Salim-'2024'!Resal)*(1-EXP(('2024'!Tnet-t)/('2024'!Tau_j))),Resal+(Salim-Resal)*(1-EXP((Tnet-t)/(Tau_j))))*Salcycl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5.281701490026767E-6</v>
      </c>
      <c r="Q204" s="301">
        <f t="shared" si="53"/>
        <v>0.5</v>
      </c>
      <c r="R204" s="173">
        <f t="shared" si="54"/>
        <v>0.87731115311530528</v>
      </c>
      <c r="S204" s="802">
        <f t="shared" si="55"/>
        <v>1</v>
      </c>
      <c r="T204" s="172">
        <f t="shared" si="56"/>
        <v>7</v>
      </c>
      <c r="U204" s="247">
        <f t="shared" si="57"/>
        <v>1.8773111531153053</v>
      </c>
      <c r="V204" s="378">
        <f t="shared" si="58"/>
        <v>62.264996917571374</v>
      </c>
      <c r="W204" s="397">
        <f t="shared" si="59"/>
        <v>63.234288940699557</v>
      </c>
      <c r="X204" s="153">
        <f t="shared" si="60"/>
        <v>45847</v>
      </c>
      <c r="Y204" s="380">
        <f t="shared" si="61"/>
        <v>60.797405265754598</v>
      </c>
      <c r="Z204" s="380">
        <f t="shared" si="62"/>
        <v>61.910226309011847</v>
      </c>
      <c r="AA204" s="381">
        <f t="shared" si="63"/>
        <v>64.72805266786915</v>
      </c>
      <c r="AB204" s="193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4.3533309634943812E-2</v>
      </c>
      <c r="AD204" s="227">
        <f>(INDEX(Models!$BJ204:$BT204,,AH204)*(1-AF204)+INDEX(Models!$BJ204:$BT204,,AH204+1)*AF204-ERP_i)*AE204*Ramure*Pc/MaxiM</f>
        <v>5.281701490026767E-6</v>
      </c>
      <c r="AE204" s="301">
        <f t="shared" si="65"/>
        <v>0.5</v>
      </c>
      <c r="AF204" s="173">
        <f t="shared" si="66"/>
        <v>0.87731115311530528</v>
      </c>
      <c r="AG204" s="802">
        <f t="shared" si="74"/>
        <v>1</v>
      </c>
      <c r="AH204" s="172">
        <f t="shared" si="67"/>
        <v>7</v>
      </c>
      <c r="AI204" s="221">
        <f t="shared" si="68"/>
        <v>1.8773111531153053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45848</v>
      </c>
      <c r="B205" s="406">
        <f>'2024'!Wh/'2024'!Env_an*'2025'!Env_an</f>
        <v>62.568625895084402</v>
      </c>
      <c r="C205" s="385"/>
      <c r="D205" s="388">
        <f t="shared" si="50"/>
        <v>63.714739134842858</v>
      </c>
      <c r="E205" s="380">
        <f t="shared" si="75"/>
        <v>64.052213073015878</v>
      </c>
      <c r="F205" s="380">
        <f t="shared" si="51"/>
        <v>64.052578735294134</v>
      </c>
      <c r="G205" s="110">
        <f t="shared" si="76"/>
        <v>1.0069050210726644</v>
      </c>
      <c r="H205" s="409" t="b">
        <f>Wh_hp&gt;='2024'!Maxi_hp</f>
        <v>1</v>
      </c>
      <c r="I205" s="375">
        <f>IF(H205,Wh_hp,'2024'!Maxi_hp)</f>
        <v>64.052578735294134</v>
      </c>
      <c r="J205" s="85">
        <f>IF(H205,An,'2024'!An_max)</f>
        <v>2025</v>
      </c>
      <c r="K205" s="193">
        <f t="shared" si="52"/>
        <v>45848</v>
      </c>
      <c r="L205" s="143">
        <f>IF(t&lt;Tvie,1-EXP((T0-t)*PertePVj)+'2024'!Pspv,1-EXP((T0-t)*PertePVj)+Pspv)</f>
        <v>1.7988196378437293E-2</v>
      </c>
      <c r="M205" s="836"/>
      <c r="N205" s="836"/>
      <c r="O205" s="48">
        <f>IF(t&lt;Tnet,'2024'!Resal+('2024'!Salim-'2024'!Resal)*(1-EXP(('2024'!Tnet-t)/('2024'!Tau_j))),Resal+(Salim-Resal)*(1-EXP((Tnet-t)/(Tau_j))))*Salcycl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5.7087830883129354E-6</v>
      </c>
      <c r="Q205" s="301">
        <f t="shared" si="53"/>
        <v>0.5</v>
      </c>
      <c r="R205" s="173">
        <f t="shared" si="54"/>
        <v>0.88094854076313411</v>
      </c>
      <c r="S205" s="802">
        <f t="shared" si="55"/>
        <v>1</v>
      </c>
      <c r="T205" s="172">
        <f t="shared" si="56"/>
        <v>7</v>
      </c>
      <c r="U205" s="247">
        <f t="shared" si="57"/>
        <v>1.8809485407631341</v>
      </c>
      <c r="V205" s="378">
        <f t="shared" si="58"/>
        <v>62.139550986079627</v>
      </c>
      <c r="W205" s="397">
        <f t="shared" si="59"/>
        <v>62.568625895084402</v>
      </c>
      <c r="X205" s="153">
        <f t="shared" si="60"/>
        <v>45848</v>
      </c>
      <c r="Y205" s="380">
        <f t="shared" si="61"/>
        <v>60.159099449516859</v>
      </c>
      <c r="Z205" s="380">
        <f t="shared" si="62"/>
        <v>61.261075709737938</v>
      </c>
      <c r="AA205" s="381">
        <f t="shared" si="63"/>
        <v>64.052213073015878</v>
      </c>
      <c r="AB205" s="193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4.3575970748992034E-2</v>
      </c>
      <c r="AD205" s="227">
        <f>(INDEX(Models!$BJ205:$BT205,,AH205)*(1-AF205)+INDEX(Models!$BJ205:$BT205,,AH205+1)*AF205-ERP_i)*AE205*Ramure*Pc/MaxiM</f>
        <v>5.7087830883129354E-6</v>
      </c>
      <c r="AE205" s="301">
        <f t="shared" si="65"/>
        <v>0.5</v>
      </c>
      <c r="AF205" s="173">
        <f t="shared" si="66"/>
        <v>0.88094854076313411</v>
      </c>
      <c r="AG205" s="802">
        <f t="shared" si="74"/>
        <v>1</v>
      </c>
      <c r="AH205" s="172">
        <f t="shared" si="67"/>
        <v>7</v>
      </c>
      <c r="AI205" s="221">
        <f t="shared" si="68"/>
        <v>1.8809485407631341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45849</v>
      </c>
      <c r="B206" s="406">
        <f>'2024'!Wh/'2024'!Env_an*'2025'!Env_an</f>
        <v>61.491725570046469</v>
      </c>
      <c r="C206" s="385"/>
      <c r="D206" s="388">
        <f t="shared" si="50"/>
        <v>62.618969675187081</v>
      </c>
      <c r="E206" s="380">
        <f t="shared" si="75"/>
        <v>62.955224719692239</v>
      </c>
      <c r="F206" s="380">
        <f t="shared" si="51"/>
        <v>62.955607960450379</v>
      </c>
      <c r="G206" s="110">
        <f t="shared" si="76"/>
        <v>0.99162712552482346</v>
      </c>
      <c r="H206" s="409" t="b">
        <f>Wh_hp&gt;='2024'!Maxi_hp</f>
        <v>0</v>
      </c>
      <c r="I206" s="375">
        <f>IF(H206,Wh_hp,'2024'!Maxi_hp)</f>
        <v>62.955611805473744</v>
      </c>
      <c r="J206" s="85">
        <f>IF(H206,An,'2024'!An_max)</f>
        <v>2022</v>
      </c>
      <c r="K206" s="193">
        <f t="shared" si="52"/>
        <v>45849</v>
      </c>
      <c r="L206" s="143">
        <f>IF(t&lt;Tvie,1-EXP((T0-t)*PertePVj)+'2024'!Pspv,1-EXP((T0-t)*PertePVj)+Pspv)</f>
        <v>1.8001639295372907E-2</v>
      </c>
      <c r="M206" s="836"/>
      <c r="N206" s="836"/>
      <c r="O206" s="48">
        <f>IF(t&lt;Tnet,'2024'!Resal+('2024'!Salim-'2024'!Resal)*(1-EXP(('2024'!Tnet-t)/('2024'!Tau_j))),Resal+(Salim-Resal)*(1-EXP((Tnet-t)/(Tau_j))))*Salcycl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6.1611707449624363E-6</v>
      </c>
      <c r="Q206" s="301">
        <f t="shared" si="53"/>
        <v>0.5</v>
      </c>
      <c r="R206" s="173">
        <f t="shared" si="54"/>
        <v>0.88450484182149847</v>
      </c>
      <c r="S206" s="802">
        <f t="shared" si="55"/>
        <v>1</v>
      </c>
      <c r="T206" s="172">
        <f t="shared" si="56"/>
        <v>7</v>
      </c>
      <c r="U206" s="247">
        <f t="shared" si="57"/>
        <v>1.8845048418214985</v>
      </c>
      <c r="V206" s="378">
        <f t="shared" si="58"/>
        <v>62.010930777899553</v>
      </c>
      <c r="W206" s="397">
        <f t="shared" si="59"/>
        <v>61.491725570046469</v>
      </c>
      <c r="X206" s="153">
        <f t="shared" si="60"/>
        <v>45849</v>
      </c>
      <c r="Y206" s="380">
        <f t="shared" si="61"/>
        <v>59.125371609433934</v>
      </c>
      <c r="Z206" s="380">
        <f t="shared" si="62"/>
        <v>60.20923656838783</v>
      </c>
      <c r="AA206" s="381">
        <f t="shared" si="63"/>
        <v>62.955224719692239</v>
      </c>
      <c r="AB206" s="193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4.3618113723378843E-2</v>
      </c>
      <c r="AD206" s="227">
        <f>(INDEX(Models!$BJ206:$BT206,,AH206)*(1-AF206)+INDEX(Models!$BJ206:$BT206,,AH206+1)*AF206-ERP_i)*AE206*Ramure*Pc/MaxiM</f>
        <v>6.1611707449624363E-6</v>
      </c>
      <c r="AE206" s="301">
        <f t="shared" si="65"/>
        <v>0.5</v>
      </c>
      <c r="AF206" s="173">
        <f t="shared" si="66"/>
        <v>0.88450484182149847</v>
      </c>
      <c r="AG206" s="802">
        <f t="shared" si="74"/>
        <v>1</v>
      </c>
      <c r="AH206" s="172">
        <f t="shared" si="67"/>
        <v>7</v>
      </c>
      <c r="AI206" s="221">
        <f t="shared" si="68"/>
        <v>1.8845048418214985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45850</v>
      </c>
      <c r="B207" s="406">
        <f>'2024'!Wh/'2024'!Env_an*'2025'!Env_an</f>
        <v>60.527352535420185</v>
      </c>
      <c r="C207" s="385"/>
      <c r="D207" s="388">
        <f t="shared" ref="D207:D270" si="77">Wh/(1-Ppv)</f>
        <v>61.637761871576615</v>
      </c>
      <c r="E207" s="380">
        <f t="shared" si="75"/>
        <v>61.973255137706587</v>
      </c>
      <c r="F207" s="380">
        <f t="shared" ref="F207:F270" si="78">Wh_sa/(1-Pvg*MEDIAN((-Sdif+Wh/Env_an)/Csdif,0,1))</f>
        <v>61.973653108658262</v>
      </c>
      <c r="G207" s="110">
        <f t="shared" si="76"/>
        <v>0.97815759763570853</v>
      </c>
      <c r="H207" s="409" t="b">
        <f>Wh_hp&gt;='2024'!Maxi_hp</f>
        <v>0</v>
      </c>
      <c r="I207" s="375">
        <f>IF(H207,Wh_hp,'2024'!Maxi_hp)</f>
        <v>61.973663730586807</v>
      </c>
      <c r="J207" s="85">
        <f>IF(H207,An,'2024'!An_max)</f>
        <v>2022</v>
      </c>
      <c r="K207" s="193">
        <f t="shared" ref="K207:K270" si="79">t</f>
        <v>45850</v>
      </c>
      <c r="L207" s="143">
        <f>IF(t&lt;Tvie,1-EXP((T0-t)*PertePVj)+'2024'!Pspv,1-EXP((T0-t)*PertePVj)+Pspv)</f>
        <v>1.8015082028286278E-2</v>
      </c>
      <c r="M207" s="836"/>
      <c r="N207" s="836"/>
      <c r="O207" s="48">
        <f>IF(t&lt;Tnet,'2024'!Resal+('2024'!Salim-'2024'!Resal)*(1-EXP(('2024'!Tnet-t)/('2024'!Tau_j))),Resal+(Salim-Resal)*(1-EXP((Tnet-t)/(Tau_j))))*Salcycl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6.6284434502435429E-6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0.88797983536821645</v>
      </c>
      <c r="S207" s="802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1.8879798353682165</v>
      </c>
      <c r="V207" s="378">
        <f t="shared" ref="V207:V270" si="85">MaxiM*(1-Ppv)*(1-Pvg)*(1-Psa)</f>
        <v>61.878924380766549</v>
      </c>
      <c r="W207" s="397">
        <f t="shared" ref="W207:W270" si="86">Wh*(A207&gt;Tmaj)</f>
        <v>60.527352535420185</v>
      </c>
      <c r="X207" s="153">
        <f t="shared" ref="X207:X270" si="87">t</f>
        <v>45850</v>
      </c>
      <c r="Y207" s="380">
        <f t="shared" ref="Y207:Y270" si="88">Wh_pvt_s*(1-Ppv)</f>
        <v>58.19980852585217</v>
      </c>
      <c r="Z207" s="380">
        <f t="shared" ref="Z207:Z270" si="89">Wh_sa_s*(1-Psa_s)</f>
        <v>59.267517719176034</v>
      </c>
      <c r="AA207" s="381">
        <f t="shared" ref="AA207:AA270" si="90">Wh_hp*(1-Pvg_s*MEDIAN((-Sdif+Wh/Env_an)/Csdif,0,1))</f>
        <v>61.973255137706587</v>
      </c>
      <c r="AB207" s="193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4.3659759561093275E-2</v>
      </c>
      <c r="AD207" s="227">
        <f>(INDEX(Models!$BJ207:$BT207,,AH207)*(1-AF207)+INDEX(Models!$BJ207:$BT207,,AH207+1)*AF207-ERP_i)*AE207*Ramure*Pc/MaxiM</f>
        <v>6.6284434502435429E-6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0.88797983536821645</v>
      </c>
      <c r="AG207" s="802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1.8879798353682165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45851</v>
      </c>
      <c r="B208" s="406">
        <f>'2024'!Wh/'2024'!Env_an*'2025'!Env_an</f>
        <v>59.327002623058668</v>
      </c>
      <c r="C208" s="385"/>
      <c r="D208" s="388">
        <f t="shared" si="77"/>
        <v>60.416217892188243</v>
      </c>
      <c r="E208" s="380">
        <f t="shared" si="75"/>
        <v>60.749474322064124</v>
      </c>
      <c r="F208" s="380">
        <f t="shared" si="78"/>
        <v>60.74988214986346</v>
      </c>
      <c r="G208" s="110">
        <f t="shared" si="76"/>
        <v>0.9608647499086721</v>
      </c>
      <c r="H208" s="409" t="b">
        <f>Wh_hp&gt;='2024'!Maxi_hp</f>
        <v>0</v>
      </c>
      <c r="I208" s="375">
        <f>IF(H208,Wh_hp,'2024'!Maxi_hp)</f>
        <v>60.749902162317959</v>
      </c>
      <c r="J208" s="85">
        <f>IF(H208,An,'2024'!An_max)</f>
        <v>2022</v>
      </c>
      <c r="K208" s="193">
        <f t="shared" si="79"/>
        <v>45851</v>
      </c>
      <c r="L208" s="143">
        <f>IF(t&lt;Tvie,1-EXP((T0-t)*PertePVj)+'2024'!Pspv,1-EXP((T0-t)*PertePVj)+Pspv)</f>
        <v>1.8028524577179961E-2</v>
      </c>
      <c r="M208" s="836"/>
      <c r="N208" s="836"/>
      <c r="O208" s="48">
        <f>IF(t&lt;Tnet,'2024'!Resal+('2024'!Salim-'2024'!Resal)*(1-EXP(('2024'!Tnet-t)/('2024'!Tau_j))),Resal+(Salim-Resal)*(1-EXP((Tnet-t)/(Tau_j))))*Salcycl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7.110769281149323E-6</v>
      </c>
      <c r="Q208" s="301">
        <f t="shared" si="80"/>
        <v>0.5</v>
      </c>
      <c r="R208" s="173">
        <f t="shared" si="81"/>
        <v>0.89137344458556189</v>
      </c>
      <c r="S208" s="802">
        <f t="shared" si="82"/>
        <v>1</v>
      </c>
      <c r="T208" s="172">
        <f t="shared" si="83"/>
        <v>7</v>
      </c>
      <c r="U208" s="247">
        <f t="shared" si="84"/>
        <v>1.8913734445855619</v>
      </c>
      <c r="V208" s="378">
        <f t="shared" si="85"/>
        <v>61.743319279426501</v>
      </c>
      <c r="W208" s="397">
        <f t="shared" si="86"/>
        <v>59.327002623058668</v>
      </c>
      <c r="X208" s="153">
        <f t="shared" si="87"/>
        <v>45851</v>
      </c>
      <c r="Y208" s="380">
        <f t="shared" si="88"/>
        <v>57.047304717744808</v>
      </c>
      <c r="Z208" s="380">
        <f t="shared" si="89"/>
        <v>58.094665828435822</v>
      </c>
      <c r="AA208" s="381">
        <f t="shared" si="90"/>
        <v>60.749474322064124</v>
      </c>
      <c r="AB208" s="193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4.3700929485476707E-2</v>
      </c>
      <c r="AD208" s="227">
        <f>(INDEX(Models!$BJ208:$BT208,,AH208)*(1-AF208)+INDEX(Models!$BJ208:$BT208,,AH208+1)*AF208-ERP_i)*AE208*Ramure*Pc/MaxiM</f>
        <v>7.110769281149323E-6</v>
      </c>
      <c r="AE208" s="301">
        <f t="shared" si="92"/>
        <v>0.5</v>
      </c>
      <c r="AF208" s="173">
        <f t="shared" si="93"/>
        <v>0.89137344458556189</v>
      </c>
      <c r="AG208" s="802">
        <f t="shared" ref="AG208:AG271" si="99">INDEX(Echel_vg,AH208)</f>
        <v>1</v>
      </c>
      <c r="AH208" s="172">
        <f t="shared" si="94"/>
        <v>7</v>
      </c>
      <c r="AI208" s="221">
        <f t="shared" si="95"/>
        <v>1.8913734445855619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45852</v>
      </c>
      <c r="B209" s="406">
        <f>'2024'!Wh/'2024'!Env_an*'2025'!Env_an</f>
        <v>59.167185012991574</v>
      </c>
      <c r="C209" s="385"/>
      <c r="D209" s="388">
        <f t="shared" si="77"/>
        <v>60.254290938215917</v>
      </c>
      <c r="E209" s="380">
        <f t="shared" si="75"/>
        <v>60.591048573539027</v>
      </c>
      <c r="F209" s="380">
        <f t="shared" si="78"/>
        <v>60.591483523919898</v>
      </c>
      <c r="G209" s="110">
        <f t="shared" si="76"/>
        <v>0.96044498270145795</v>
      </c>
      <c r="H209" s="409" t="b">
        <f>Wh_hp&gt;='2024'!Maxi_hp</f>
        <v>0</v>
      </c>
      <c r="I209" s="375">
        <f>IF(H209,Wh_hp,'2024'!Maxi_hp)</f>
        <v>60.591505110474671</v>
      </c>
      <c r="J209" s="85">
        <f>IF(H209,An,'2024'!An_max)</f>
        <v>2022</v>
      </c>
      <c r="K209" s="193">
        <f t="shared" si="79"/>
        <v>45852</v>
      </c>
      <c r="L209" s="143">
        <f>IF(t&lt;Tvie,1-EXP((T0-t)*PertePVj)+'2024'!Pspv,1-EXP((T0-t)*PertePVj)+Pspv)</f>
        <v>1.8041966942056398E-2</v>
      </c>
      <c r="M209" s="836"/>
      <c r="N209" s="836"/>
      <c r="O209" s="48">
        <f>IF(t&lt;Tnet,'2024'!Resal+('2024'!Salim-'2024'!Resal)*(1-EXP(('2024'!Tnet-t)/('2024'!Tau_j))),Resal+(Salim-Resal)*(1-EXP((Tnet-t)/(Tau_j))))*Salcycl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7.6083284510523386E-6</v>
      </c>
      <c r="Q209" s="301">
        <f t="shared" si="80"/>
        <v>0.5</v>
      </c>
      <c r="R209" s="173">
        <f t="shared" si="81"/>
        <v>0.89468573038369481</v>
      </c>
      <c r="S209" s="802">
        <f t="shared" si="82"/>
        <v>1</v>
      </c>
      <c r="T209" s="172">
        <f t="shared" si="83"/>
        <v>7</v>
      </c>
      <c r="U209" s="247">
        <f t="shared" si="84"/>
        <v>1.8946857303836948</v>
      </c>
      <c r="V209" s="378">
        <f t="shared" si="85"/>
        <v>61.603903025446371</v>
      </c>
      <c r="W209" s="397">
        <f t="shared" si="86"/>
        <v>59.167185012991574</v>
      </c>
      <c r="X209" s="153">
        <f t="shared" si="87"/>
        <v>45852</v>
      </c>
      <c r="Y209" s="380">
        <f t="shared" si="88"/>
        <v>56.895332318050542</v>
      </c>
      <c r="Z209" s="380">
        <f t="shared" si="89"/>
        <v>57.940696447964442</v>
      </c>
      <c r="AA209" s="381">
        <f t="shared" si="90"/>
        <v>60.591048573539027</v>
      </c>
      <c r="AB209" s="193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4.3741644813389755E-2</v>
      </c>
      <c r="AD209" s="227">
        <f>(INDEX(Models!$BJ209:$BT209,,AH209)*(1-AF209)+INDEX(Models!$BJ209:$BT209,,AH209+1)*AF209-ERP_i)*AE209*Ramure*Pc/MaxiM</f>
        <v>7.6083284510523386E-6</v>
      </c>
      <c r="AE209" s="301">
        <f t="shared" si="92"/>
        <v>0.5</v>
      </c>
      <c r="AF209" s="173">
        <f t="shared" si="93"/>
        <v>0.89468573038369481</v>
      </c>
      <c r="AG209" s="802">
        <f t="shared" si="99"/>
        <v>1</v>
      </c>
      <c r="AH209" s="172">
        <f t="shared" si="94"/>
        <v>7</v>
      </c>
      <c r="AI209" s="221">
        <f t="shared" si="95"/>
        <v>1.8946857303836948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45853</v>
      </c>
      <c r="B210" s="406">
        <f>'2024'!Wh/'2024'!Env_an*'2025'!Env_an</f>
        <v>56.55594242683442</v>
      </c>
      <c r="C210" s="385"/>
      <c r="D210" s="388">
        <f t="shared" si="77"/>
        <v>57.59585922900002</v>
      </c>
      <c r="E210" s="380">
        <f t="shared" si="75"/>
        <v>57.921954077198599</v>
      </c>
      <c r="F210" s="380">
        <f t="shared" si="78"/>
        <v>57.922370857000871</v>
      </c>
      <c r="G210" s="110">
        <f t="shared" si="76"/>
        <v>0.92019954119702874</v>
      </c>
      <c r="H210" s="409" t="b">
        <f>Wh_hp&gt;='2024'!Maxi_hp</f>
        <v>0</v>
      </c>
      <c r="I210" s="375">
        <f>IF(H210,Wh_hp,'2024'!Maxi_hp)</f>
        <v>57.922415298819374</v>
      </c>
      <c r="J210" s="85">
        <f>IF(H210,An,'2024'!An_max)</f>
        <v>2022</v>
      </c>
      <c r="K210" s="193">
        <f t="shared" si="79"/>
        <v>45853</v>
      </c>
      <c r="L210" s="143">
        <f>IF(t&lt;Tvie,1-EXP((T0-t)*PertePVj)+'2024'!Pspv,1-EXP((T0-t)*PertePVj)+Pspv)</f>
        <v>1.8055409122918253E-2</v>
      </c>
      <c r="M210" s="836"/>
      <c r="N210" s="836"/>
      <c r="O210" s="48">
        <f>IF(t&lt;Tnet,'2024'!Resal+('2024'!Salim-'2024'!Resal)*(1-EXP(('2024'!Tnet-t)/('2024'!Tau_j))),Resal+(Salim-Resal)*(1-EXP((Tnet-t)/(Tau_j))))*Salcycl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8.1213146530418207E-6</v>
      </c>
      <c r="Q210" s="301">
        <f t="shared" si="80"/>
        <v>0.5</v>
      </c>
      <c r="R210" s="173">
        <f t="shared" si="81"/>
        <v>0.89791688478884724</v>
      </c>
      <c r="S210" s="802">
        <f t="shared" si="82"/>
        <v>1</v>
      </c>
      <c r="T210" s="172">
        <f t="shared" si="83"/>
        <v>7</v>
      </c>
      <c r="U210" s="247">
        <f t="shared" si="84"/>
        <v>1.8979168847888472</v>
      </c>
      <c r="V210" s="378">
        <f t="shared" si="85"/>
        <v>61.460463229491317</v>
      </c>
      <c r="W210" s="397">
        <f t="shared" si="86"/>
        <v>56.55594242683442</v>
      </c>
      <c r="X210" s="153">
        <f t="shared" si="87"/>
        <v>45853</v>
      </c>
      <c r="Y210" s="380">
        <f t="shared" si="88"/>
        <v>54.38600208329472</v>
      </c>
      <c r="Z210" s="380">
        <f t="shared" si="89"/>
        <v>55.386019321840401</v>
      </c>
      <c r="AA210" s="381">
        <f t="shared" si="90"/>
        <v>57.921954077198599</v>
      </c>
      <c r="AB210" s="193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4.3781926831720754E-2</v>
      </c>
      <c r="AD210" s="227">
        <f>(INDEX(Models!$BJ210:$BT210,,AH210)*(1-AF210)+INDEX(Models!$BJ210:$BT210,,AH210+1)*AF210-ERP_i)*AE210*Ramure*Pc/MaxiM</f>
        <v>8.1213146530418207E-6</v>
      </c>
      <c r="AE210" s="301">
        <f t="shared" si="92"/>
        <v>0.5</v>
      </c>
      <c r="AF210" s="173">
        <f t="shared" si="93"/>
        <v>0.89791688478884724</v>
      </c>
      <c r="AG210" s="802">
        <f t="shared" si="99"/>
        <v>1</v>
      </c>
      <c r="AH210" s="172">
        <f t="shared" si="94"/>
        <v>7</v>
      </c>
      <c r="AI210" s="221">
        <f t="shared" si="95"/>
        <v>1.8979168847888472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45854</v>
      </c>
      <c r="B211" s="406">
        <f>'2024'!Wh/'2024'!Env_an*'2025'!Env_an</f>
        <v>57.718421544460114</v>
      </c>
      <c r="C211" s="385"/>
      <c r="D211" s="388">
        <f t="shared" si="77"/>
        <v>58.7805179724471</v>
      </c>
      <c r="E211" s="380">
        <f t="shared" si="75"/>
        <v>59.117595861880645</v>
      </c>
      <c r="F211" s="380">
        <f t="shared" si="78"/>
        <v>59.118064403495104</v>
      </c>
      <c r="G211" s="110">
        <f t="shared" si="76"/>
        <v>0.94137588616826906</v>
      </c>
      <c r="H211" s="409" t="b">
        <f>Wh_hp&gt;='2024'!Maxi_hp</f>
        <v>0</v>
      </c>
      <c r="I211" s="375">
        <f>IF(H211,Wh_hp,'2024'!Maxi_hp)</f>
        <v>59.11809989916042</v>
      </c>
      <c r="J211" s="85">
        <f>IF(H211,An,'2024'!An_max)</f>
        <v>2022</v>
      </c>
      <c r="K211" s="193">
        <f t="shared" si="79"/>
        <v>45854</v>
      </c>
      <c r="L211" s="143">
        <f>IF(t&lt;Tvie,1-EXP((T0-t)*PertePVj)+'2024'!Pspv,1-EXP((T0-t)*PertePVj)+Pspv)</f>
        <v>1.8068851119767859E-2</v>
      </c>
      <c r="M211" s="836"/>
      <c r="N211" s="836"/>
      <c r="O211" s="48">
        <f>IF(t&lt;Tnet,'2024'!Resal+('2024'!Salim-'2024'!Resal)*(1-EXP(('2024'!Tnet-t)/('2024'!Tau_j))),Resal+(Salim-Resal)*(1-EXP((Tnet-t)/(Tau_j))))*Salcycl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8.6499363929588098E-6</v>
      </c>
      <c r="Q211" s="301">
        <f t="shared" si="80"/>
        <v>0.5</v>
      </c>
      <c r="R211" s="173">
        <f t="shared" si="81"/>
        <v>0.90106722415018869</v>
      </c>
      <c r="S211" s="802">
        <f t="shared" si="82"/>
        <v>1</v>
      </c>
      <c r="T211" s="172">
        <f t="shared" si="83"/>
        <v>7</v>
      </c>
      <c r="U211" s="247">
        <f t="shared" si="84"/>
        <v>1.9010672241501887</v>
      </c>
      <c r="V211" s="378">
        <f t="shared" si="85"/>
        <v>61.31278757001067</v>
      </c>
      <c r="W211" s="397">
        <f t="shared" si="86"/>
        <v>57.718421544460114</v>
      </c>
      <c r="X211" s="153">
        <f t="shared" si="87"/>
        <v>45854</v>
      </c>
      <c r="Y211" s="380">
        <f t="shared" si="88"/>
        <v>55.505579432939307</v>
      </c>
      <c r="Z211" s="380">
        <f t="shared" si="89"/>
        <v>56.526956595924652</v>
      </c>
      <c r="AA211" s="381">
        <f t="shared" si="90"/>
        <v>59.117595861880645</v>
      </c>
      <c r="AB211" s="193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4.3821796678075862E-2</v>
      </c>
      <c r="AD211" s="227">
        <f>(INDEX(Models!$BJ211:$BT211,,AH211)*(1-AF211)+INDEX(Models!$BJ211:$BT211,,AH211+1)*AF211-ERP_i)*AE211*Ramure*Pc/MaxiM</f>
        <v>8.6499363929588098E-6</v>
      </c>
      <c r="AE211" s="301">
        <f t="shared" si="92"/>
        <v>0.5</v>
      </c>
      <c r="AF211" s="173">
        <f t="shared" si="93"/>
        <v>0.90106722415018869</v>
      </c>
      <c r="AG211" s="802">
        <f t="shared" si="99"/>
        <v>1</v>
      </c>
      <c r="AH211" s="172">
        <f t="shared" si="94"/>
        <v>7</v>
      </c>
      <c r="AI211" s="221">
        <f t="shared" si="95"/>
        <v>1.9010672241501887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45855</v>
      </c>
      <c r="B212" s="406">
        <f>'2024'!Wh/'2024'!Env_an*'2025'!Env_an</f>
        <v>58.13411132012282</v>
      </c>
      <c r="C212" s="385"/>
      <c r="D212" s="388">
        <f t="shared" si="77"/>
        <v>59.204667460114237</v>
      </c>
      <c r="E212" s="380">
        <f t="shared" si="75"/>
        <v>59.54847873806095</v>
      </c>
      <c r="F212" s="380">
        <f t="shared" si="78"/>
        <v>59.548986587990292</v>
      </c>
      <c r="G212" s="110">
        <f t="shared" si="76"/>
        <v>0.95051408856029374</v>
      </c>
      <c r="H212" s="409" t="b">
        <f>Wh_hp&gt;='2024'!Maxi_hp</f>
        <v>0</v>
      </c>
      <c r="I212" s="375">
        <f>IF(H212,Wh_hp,'2024'!Maxi_hp)</f>
        <v>59.549018604675425</v>
      </c>
      <c r="J212" s="85">
        <f>IF(H212,An,'2024'!An_max)</f>
        <v>2022</v>
      </c>
      <c r="K212" s="193">
        <f t="shared" si="79"/>
        <v>45855</v>
      </c>
      <c r="L212" s="143">
        <f>IF(t&lt;Tvie,1-EXP((T0-t)*PertePVj)+'2024'!Pspv,1-EXP((T0-t)*PertePVj)+Pspv)</f>
        <v>1.8082292932607769E-2</v>
      </c>
      <c r="M212" s="836"/>
      <c r="N212" s="836"/>
      <c r="O212" s="48">
        <f>IF(t&lt;Tnet,'2024'!Resal+('2024'!Salim-'2024'!Resal)*(1-EXP(('2024'!Tnet-t)/('2024'!Tau_j))),Resal+(Salim-Resal)*(1-EXP((Tnet-t)/(Tau_j))))*Salcycl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9.1770255939622866E-6</v>
      </c>
      <c r="Q212" s="301">
        <f t="shared" si="80"/>
        <v>0.5</v>
      </c>
      <c r="R212" s="173">
        <f t="shared" si="81"/>
        <v>0.90413718221676498</v>
      </c>
      <c r="S212" s="802">
        <f t="shared" si="82"/>
        <v>1</v>
      </c>
      <c r="T212" s="172">
        <f t="shared" si="83"/>
        <v>7</v>
      </c>
      <c r="U212" s="247">
        <f t="shared" si="84"/>
        <v>1.904137182216765</v>
      </c>
      <c r="V212" s="378">
        <f t="shared" si="85"/>
        <v>61.160664849393157</v>
      </c>
      <c r="W212" s="397">
        <f t="shared" si="86"/>
        <v>58.13411132012282</v>
      </c>
      <c r="X212" s="153">
        <f t="shared" si="87"/>
        <v>45855</v>
      </c>
      <c r="Y212" s="380">
        <f t="shared" si="88"/>
        <v>55.907062125080877</v>
      </c>
      <c r="Z212" s="380">
        <f t="shared" si="89"/>
        <v>56.936606522815048</v>
      </c>
      <c r="AA212" s="381">
        <f t="shared" si="90"/>
        <v>59.54847873806095</v>
      </c>
      <c r="AB212" s="193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4.3861275226440059E-2</v>
      </c>
      <c r="AD212" s="227">
        <f>(INDEX(Models!$BJ212:$BT212,,AH212)*(1-AF212)+INDEX(Models!$BJ212:$BT212,,AH212+1)*AF212-ERP_i)*AE212*Ramure*Pc/MaxiM</f>
        <v>9.1770255939622866E-6</v>
      </c>
      <c r="AE212" s="301">
        <f t="shared" si="92"/>
        <v>0.5</v>
      </c>
      <c r="AF212" s="173">
        <f t="shared" si="93"/>
        <v>0.90413718221676498</v>
      </c>
      <c r="AG212" s="802">
        <f t="shared" si="99"/>
        <v>1</v>
      </c>
      <c r="AH212" s="172">
        <f t="shared" si="94"/>
        <v>7</v>
      </c>
      <c r="AI212" s="221">
        <f t="shared" si="95"/>
        <v>1.904137182216765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45856</v>
      </c>
      <c r="B213" s="406">
        <f>'2024'!Wh/'2024'!Env_an*'2025'!Env_an</f>
        <v>59.907893958109192</v>
      </c>
      <c r="C213" s="385"/>
      <c r="D213" s="388">
        <f t="shared" si="77"/>
        <v>61.011950010576463</v>
      </c>
      <c r="E213" s="380">
        <f t="shared" si="75"/>
        <v>61.370683239740679</v>
      </c>
      <c r="F213" s="380">
        <f t="shared" si="78"/>
        <v>61.371262067088189</v>
      </c>
      <c r="G213" s="110">
        <f t="shared" si="76"/>
        <v>0.98203384588735942</v>
      </c>
      <c r="H213" s="409" t="b">
        <f>Wh_hp&gt;='2024'!Maxi_hp</f>
        <v>0</v>
      </c>
      <c r="I213" s="375">
        <f>IF(H213,Wh_hp,'2024'!Maxi_hp)</f>
        <v>61.371274698126008</v>
      </c>
      <c r="J213" s="85">
        <f>IF(H213,An,'2024'!An_max)</f>
        <v>2022</v>
      </c>
      <c r="K213" s="193">
        <f t="shared" si="79"/>
        <v>45856</v>
      </c>
      <c r="L213" s="143">
        <f>IF(t&lt;Tvie,1-EXP((T0-t)*PertePVj)+'2024'!Pspv,1-EXP((T0-t)*PertePVj)+Pspv)</f>
        <v>1.8095734561440535E-2</v>
      </c>
      <c r="M213" s="836"/>
      <c r="N213" s="836"/>
      <c r="O213" s="48">
        <f>IF(t&lt;Tnet,'2024'!Resal+('2024'!Salim-'2024'!Resal)*(1-EXP(('2024'!Tnet-t)/('2024'!Tau_j))),Resal+(Salim-Resal)*(1-EXP((Tnet-t)/(Tau_j))))*Salcycl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9.68001309909291E-6</v>
      </c>
      <c r="Q213" s="301">
        <f t="shared" si="80"/>
        <v>0.5</v>
      </c>
      <c r="R213" s="173">
        <f t="shared" si="81"/>
        <v>0.90712730313305556</v>
      </c>
      <c r="S213" s="802">
        <f t="shared" si="82"/>
        <v>1</v>
      </c>
      <c r="T213" s="172">
        <f t="shared" si="83"/>
        <v>7</v>
      </c>
      <c r="U213" s="247">
        <f t="shared" si="84"/>
        <v>1.9071273031330556</v>
      </c>
      <c r="V213" s="378">
        <f t="shared" si="85"/>
        <v>61.003884260350617</v>
      </c>
      <c r="W213" s="397">
        <f t="shared" si="86"/>
        <v>59.907893958109192</v>
      </c>
      <c r="X213" s="153">
        <f t="shared" si="87"/>
        <v>45856</v>
      </c>
      <c r="Y213" s="380">
        <f t="shared" si="88"/>
        <v>57.614692612782733</v>
      </c>
      <c r="Z213" s="380">
        <f t="shared" si="89"/>
        <v>58.676486741861339</v>
      </c>
      <c r="AA213" s="381">
        <f t="shared" si="90"/>
        <v>61.370683239740679</v>
      </c>
      <c r="AB213" s="193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4.3900382978540944E-2</v>
      </c>
      <c r="AD213" s="227">
        <f>(INDEX(Models!$BJ213:$BT213,,AH213)*(1-AF213)+INDEX(Models!$BJ213:$BT213,,AH213+1)*AF213-ERP_i)*AE213*Ramure*Pc/MaxiM</f>
        <v>9.68001309909291E-6</v>
      </c>
      <c r="AE213" s="301">
        <f t="shared" si="92"/>
        <v>0.5</v>
      </c>
      <c r="AF213" s="173">
        <f t="shared" si="93"/>
        <v>0.90712730313305556</v>
      </c>
      <c r="AG213" s="802">
        <f t="shared" si="99"/>
        <v>1</v>
      </c>
      <c r="AH213" s="172">
        <f t="shared" si="94"/>
        <v>7</v>
      </c>
      <c r="AI213" s="221">
        <f t="shared" si="95"/>
        <v>1.9071273031330556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45857</v>
      </c>
      <c r="B214" s="406">
        <f>'2024'!Wh/'2024'!Env_an*'2025'!Env_an</f>
        <v>44.003554067755928</v>
      </c>
      <c r="C214" s="385"/>
      <c r="D214" s="388">
        <f t="shared" si="77"/>
        <v>44.81511894446308</v>
      </c>
      <c r="E214" s="380">
        <f t="shared" si="75"/>
        <v>45.081866838754969</v>
      </c>
      <c r="F214" s="380">
        <f t="shared" si="78"/>
        <v>45.082143739988496</v>
      </c>
      <c r="G214" s="110">
        <f t="shared" si="76"/>
        <v>0.72323737408485356</v>
      </c>
      <c r="H214" s="409" t="b">
        <f>Wh_hp&gt;='2024'!Maxi_hp</f>
        <v>0</v>
      </c>
      <c r="I214" s="375">
        <f>IF(H214,Wh_hp,'2024'!Maxi_hp)</f>
        <v>45.082293640742087</v>
      </c>
      <c r="J214" s="85">
        <f>IF(H214,An,'2024'!An_max)</f>
        <v>2022</v>
      </c>
      <c r="K214" s="193">
        <f t="shared" si="79"/>
        <v>45857</v>
      </c>
      <c r="L214" s="143">
        <f>IF(t&lt;Tvie,1-EXP((T0-t)*PertePVj)+'2024'!Pspv,1-EXP((T0-t)*PertePVj)+Pspv)</f>
        <v>1.8109176006268823E-2</v>
      </c>
      <c r="M214" s="836"/>
      <c r="N214" s="836"/>
      <c r="O214" s="48">
        <f>IF(t&lt;Tnet,'2024'!Resal+('2024'!Salim-'2024'!Resal)*(1-EXP(('2024'!Tnet-t)/('2024'!Tau_j))),Resal+(Salim-Resal)*(1-EXP((Tnet-t)/(Tau_j))))*Salcycl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1.0158541968073555E-5</v>
      </c>
      <c r="Q214" s="301">
        <f t="shared" si="80"/>
        <v>0.5</v>
      </c>
      <c r="R214" s="173">
        <f t="shared" si="81"/>
        <v>0.91003823439861931</v>
      </c>
      <c r="S214" s="802">
        <f t="shared" si="82"/>
        <v>1</v>
      </c>
      <c r="T214" s="172">
        <f t="shared" si="83"/>
        <v>7</v>
      </c>
      <c r="U214" s="247">
        <f t="shared" si="84"/>
        <v>1.9100382343986193</v>
      </c>
      <c r="V214" s="378">
        <f t="shared" si="85"/>
        <v>60.842233695091458</v>
      </c>
      <c r="W214" s="397">
        <f t="shared" si="86"/>
        <v>44.003554067755928</v>
      </c>
      <c r="X214" s="153">
        <f t="shared" si="87"/>
        <v>45857</v>
      </c>
      <c r="Y214" s="380">
        <f t="shared" si="88"/>
        <v>42.320484635160192</v>
      </c>
      <c r="Z214" s="380">
        <f t="shared" si="89"/>
        <v>43.101008381997453</v>
      </c>
      <c r="AA214" s="381">
        <f t="shared" si="90"/>
        <v>45.081866838754969</v>
      </c>
      <c r="AB214" s="193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4.3939139961583253E-2</v>
      </c>
      <c r="AD214" s="227">
        <f>(INDEX(Models!$BJ214:$BT214,,AH214)*(1-AF214)+INDEX(Models!$BJ214:$BT214,,AH214+1)*AF214-ERP_i)*AE214*Ramure*Pc/MaxiM</f>
        <v>1.0158541968073555E-5</v>
      </c>
      <c r="AE214" s="301">
        <f t="shared" si="92"/>
        <v>0.5</v>
      </c>
      <c r="AF214" s="173">
        <f t="shared" si="93"/>
        <v>0.91003823439861931</v>
      </c>
      <c r="AG214" s="802">
        <f t="shared" si="99"/>
        <v>1</v>
      </c>
      <c r="AH214" s="172">
        <f t="shared" si="94"/>
        <v>7</v>
      </c>
      <c r="AI214" s="221">
        <f t="shared" si="95"/>
        <v>1.9100382343986193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45858</v>
      </c>
      <c r="B215" s="406">
        <f>'2024'!Wh/'2024'!Env_an*'2025'!Env_an</f>
        <v>41.320854943253821</v>
      </c>
      <c r="C215" s="385"/>
      <c r="D215" s="388">
        <f t="shared" si="77"/>
        <v>42.083518441216725</v>
      </c>
      <c r="E215" s="380">
        <f t="shared" si="75"/>
        <v>42.337053125500503</v>
      </c>
      <c r="F215" s="380">
        <f t="shared" si="78"/>
        <v>42.337297679235036</v>
      </c>
      <c r="G215" s="110">
        <f t="shared" si="76"/>
        <v>0.68101052914835702</v>
      </c>
      <c r="H215" s="409" t="b">
        <f>Wh_hp&gt;='2024'!Maxi_hp</f>
        <v>0</v>
      </c>
      <c r="I215" s="375">
        <f>IF(H215,Wh_hp,'2024'!Maxi_hp)</f>
        <v>42.337467031367346</v>
      </c>
      <c r="J215" s="85">
        <f>IF(H215,An,'2024'!An_max)</f>
        <v>2022</v>
      </c>
      <c r="K215" s="193">
        <f t="shared" si="79"/>
        <v>45858</v>
      </c>
      <c r="L215" s="143">
        <f>IF(t&lt;Tvie,1-EXP((T0-t)*PertePVj)+'2024'!Pspv,1-EXP((T0-t)*PertePVj)+Pspv)</f>
        <v>1.8122617267094965E-2</v>
      </c>
      <c r="M215" s="836"/>
      <c r="N215" s="836"/>
      <c r="O215" s="48">
        <f>IF(t&lt;Tnet,'2024'!Resal+('2024'!Salim-'2024'!Resal)*(1-EXP(('2024'!Tnet-t)/('2024'!Tau_j))),Resal+(Salim-Resal)*(1-EXP((Tnet-t)/(Tau_j))))*Salcycl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1.0612274464431039E-5</v>
      </c>
      <c r="Q215" s="301">
        <f t="shared" si="80"/>
        <v>0.5</v>
      </c>
      <c r="R215" s="173">
        <f t="shared" si="81"/>
        <v>0.91287071983405443</v>
      </c>
      <c r="S215" s="802">
        <f t="shared" si="82"/>
        <v>1</v>
      </c>
      <c r="T215" s="172">
        <f t="shared" si="83"/>
        <v>7</v>
      </c>
      <c r="U215" s="247">
        <f t="shared" si="84"/>
        <v>1.9128707198340544</v>
      </c>
      <c r="V215" s="378">
        <f t="shared" si="85"/>
        <v>60.675501108561072</v>
      </c>
      <c r="W215" s="397">
        <f t="shared" si="86"/>
        <v>41.320854943253821</v>
      </c>
      <c r="X215" s="153">
        <f t="shared" si="87"/>
        <v>45858</v>
      </c>
      <c r="Y215" s="380">
        <f t="shared" si="88"/>
        <v>39.741656531246051</v>
      </c>
      <c r="Z215" s="380">
        <f t="shared" si="89"/>
        <v>40.475172592968022</v>
      </c>
      <c r="AA215" s="381">
        <f t="shared" si="90"/>
        <v>42.337053125500503</v>
      </c>
      <c r="AB215" s="193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4.3977565632952222E-2</v>
      </c>
      <c r="AD215" s="227">
        <f>(INDEX(Models!$BJ215:$BT215,,AH215)*(1-AF215)+INDEX(Models!$BJ215:$BT215,,AH215+1)*AF215-ERP_i)*AE215*Ramure*Pc/MaxiM</f>
        <v>1.0612274464431039E-5</v>
      </c>
      <c r="AE215" s="301">
        <f t="shared" si="92"/>
        <v>0.5</v>
      </c>
      <c r="AF215" s="173">
        <f t="shared" si="93"/>
        <v>0.91287071983405443</v>
      </c>
      <c r="AG215" s="802">
        <f t="shared" si="99"/>
        <v>1</v>
      </c>
      <c r="AH215" s="172">
        <f t="shared" si="94"/>
        <v>7</v>
      </c>
      <c r="AI215" s="221">
        <f t="shared" si="95"/>
        <v>1.9128707198340544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45859</v>
      </c>
      <c r="B216" s="406">
        <f>'2024'!Wh/'2024'!Env_an*'2025'!Env_an</f>
        <v>57.016911585934935</v>
      </c>
      <c r="C216" s="385"/>
      <c r="D216" s="388">
        <f t="shared" si="77"/>
        <v>58.070073833006163</v>
      </c>
      <c r="E216" s="380">
        <f t="shared" si="75"/>
        <v>58.424118138616841</v>
      </c>
      <c r="F216" s="380">
        <f t="shared" si="78"/>
        <v>58.424710096296522</v>
      </c>
      <c r="G216" s="110">
        <f t="shared" si="76"/>
        <v>0.94237331339685371</v>
      </c>
      <c r="H216" s="409" t="b">
        <f>Wh_hp&gt;='2024'!Maxi_hp</f>
        <v>0</v>
      </c>
      <c r="I216" s="375">
        <f>IF(H216,Wh_hp,'2024'!Maxi_hp)</f>
        <v>58.424753973984458</v>
      </c>
      <c r="J216" s="85">
        <f>IF(H216,An,'2024'!An_max)</f>
        <v>2022</v>
      </c>
      <c r="K216" s="193">
        <f t="shared" si="79"/>
        <v>45859</v>
      </c>
      <c r="L216" s="143">
        <f>IF(t&lt;Tvie,1-EXP((T0-t)*PertePVj)+'2024'!Pspv,1-EXP((T0-t)*PertePVj)+Pspv)</f>
        <v>1.8136058343921513E-2</v>
      </c>
      <c r="M216" s="836"/>
      <c r="N216" s="836"/>
      <c r="O216" s="48">
        <f>IF(t&lt;Tnet,'2024'!Resal+('2024'!Salim-'2024'!Resal)*(1-EXP(('2024'!Tnet-t)/('2024'!Tau_j))),Resal+(Salim-Resal)*(1-EXP((Tnet-t)/(Tau_j))))*Salcycl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1.1040889505705169E-5</v>
      </c>
      <c r="Q216" s="301">
        <f t="shared" si="80"/>
        <v>0.5</v>
      </c>
      <c r="R216" s="173">
        <f t="shared" si="81"/>
        <v>0.9156255925921144</v>
      </c>
      <c r="S216" s="802">
        <f t="shared" si="82"/>
        <v>1</v>
      </c>
      <c r="T216" s="172">
        <f t="shared" si="83"/>
        <v>7</v>
      </c>
      <c r="U216" s="247">
        <f t="shared" si="84"/>
        <v>1.9156255925921144</v>
      </c>
      <c r="V216" s="378">
        <f t="shared" si="85"/>
        <v>60.503474526850226</v>
      </c>
      <c r="W216" s="397">
        <f t="shared" si="86"/>
        <v>57.016911585934935</v>
      </c>
      <c r="X216" s="153">
        <f t="shared" si="87"/>
        <v>45859</v>
      </c>
      <c r="Y216" s="380">
        <f t="shared" si="88"/>
        <v>54.83959598010005</v>
      </c>
      <c r="Z216" s="380">
        <f t="shared" si="89"/>
        <v>55.852540920897717</v>
      </c>
      <c r="AA216" s="381">
        <f t="shared" si="90"/>
        <v>58.424118138616841</v>
      </c>
      <c r="AB216" s="193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4.4015678792409155E-2</v>
      </c>
      <c r="AD216" s="227">
        <f>(INDEX(Models!$BJ216:$BT216,,AH216)*(1-AF216)+INDEX(Models!$BJ216:$BT216,,AH216+1)*AF216-ERP_i)*AE216*Ramure*Pc/MaxiM</f>
        <v>1.1040889505705169E-5</v>
      </c>
      <c r="AE216" s="301">
        <f t="shared" si="92"/>
        <v>0.5</v>
      </c>
      <c r="AF216" s="173">
        <f t="shared" si="93"/>
        <v>0.9156255925921144</v>
      </c>
      <c r="AG216" s="802">
        <f t="shared" si="99"/>
        <v>1</v>
      </c>
      <c r="AH216" s="172">
        <f t="shared" si="94"/>
        <v>7</v>
      </c>
      <c r="AI216" s="221">
        <f t="shared" si="95"/>
        <v>1.9156255925921144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45860</v>
      </c>
      <c r="B217" s="406">
        <f>'2024'!Wh/'2024'!Env_an*'2025'!Env_an</f>
        <v>48.969624567430017</v>
      </c>
      <c r="C217" s="385"/>
      <c r="D217" s="388">
        <f t="shared" si="77"/>
        <v>49.874827714976057</v>
      </c>
      <c r="E217" s="380">
        <f t="shared" si="75"/>
        <v>50.182507764819967</v>
      </c>
      <c r="F217" s="380">
        <f t="shared" si="78"/>
        <v>50.182927617829051</v>
      </c>
      <c r="G217" s="110">
        <f t="shared" si="76"/>
        <v>0.81174818320741604</v>
      </c>
      <c r="H217" s="409" t="b">
        <f>Wh_hp&gt;='2024'!Maxi_hp</f>
        <v>0</v>
      </c>
      <c r="I217" s="375">
        <f>IF(H217,Wh_hp,'2024'!Maxi_hp)</f>
        <v>50.183055073170451</v>
      </c>
      <c r="J217" s="85">
        <f>IF(H217,An,'2024'!An_max)</f>
        <v>2022</v>
      </c>
      <c r="K217" s="193">
        <f t="shared" si="79"/>
        <v>45860</v>
      </c>
      <c r="L217" s="143">
        <f>IF(t&lt;Tvie,1-EXP((T0-t)*PertePVj)+'2024'!Pspv,1-EXP((T0-t)*PertePVj)+Pspv)</f>
        <v>1.814949923675091E-2</v>
      </c>
      <c r="M217" s="836"/>
      <c r="N217" s="836"/>
      <c r="O217" s="48">
        <f>IF(t&lt;Tnet,'2024'!Resal+('2024'!Salim-'2024'!Resal)*(1-EXP(('2024'!Tnet-t)/('2024'!Tau_j))),Resal+(Salim-Resal)*(1-EXP((Tnet-t)/(Tau_j))))*Salcycl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1.1444080036218532E-5</v>
      </c>
      <c r="Q217" s="301">
        <f t="shared" si="80"/>
        <v>0.5</v>
      </c>
      <c r="R217" s="173">
        <f t="shared" si="81"/>
        <v>0.9183037682493933</v>
      </c>
      <c r="S217" s="802">
        <f t="shared" si="82"/>
        <v>1</v>
      </c>
      <c r="T217" s="172">
        <f t="shared" si="83"/>
        <v>7</v>
      </c>
      <c r="U217" s="247">
        <f t="shared" si="84"/>
        <v>1.9183037682493933</v>
      </c>
      <c r="V217" s="378">
        <f t="shared" si="85"/>
        <v>60.325942045652972</v>
      </c>
      <c r="W217" s="397">
        <f t="shared" si="86"/>
        <v>48.969624567430017</v>
      </c>
      <c r="X217" s="153">
        <f t="shared" si="87"/>
        <v>45860</v>
      </c>
      <c r="Y217" s="380">
        <f t="shared" si="88"/>
        <v>47.101128767822068</v>
      </c>
      <c r="Z217" s="380">
        <f t="shared" si="89"/>
        <v>47.971792784347151</v>
      </c>
      <c r="AA217" s="381">
        <f t="shared" si="90"/>
        <v>50.182507764819967</v>
      </c>
      <c r="AB217" s="193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4.4053497502223628E-2</v>
      </c>
      <c r="AD217" s="227">
        <f>(INDEX(Models!$BJ217:$BT217,,AH217)*(1-AF217)+INDEX(Models!$BJ217:$BT217,,AH217+1)*AF217-ERP_i)*AE217*Ramure*Pc/MaxiM</f>
        <v>1.1444080036218532E-5</v>
      </c>
      <c r="AE217" s="301">
        <f t="shared" si="92"/>
        <v>0.5</v>
      </c>
      <c r="AF217" s="173">
        <f t="shared" si="93"/>
        <v>0.9183037682493933</v>
      </c>
      <c r="AG217" s="802">
        <f t="shared" si="99"/>
        <v>1</v>
      </c>
      <c r="AH217" s="172">
        <f t="shared" si="94"/>
        <v>7</v>
      </c>
      <c r="AI217" s="221">
        <f t="shared" si="95"/>
        <v>1.9183037682493933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45861</v>
      </c>
      <c r="B218" s="406">
        <f>'2024'!Wh/'2024'!Env_an*'2025'!Env_an</f>
        <v>46.335734430448134</v>
      </c>
      <c r="C218" s="385"/>
      <c r="D218" s="388">
        <f t="shared" si="77"/>
        <v>47.192896169431798</v>
      </c>
      <c r="E218" s="380">
        <f t="shared" si="75"/>
        <v>47.487434467136275</v>
      </c>
      <c r="F218" s="380">
        <f t="shared" si="78"/>
        <v>47.4878117382626</v>
      </c>
      <c r="G218" s="110">
        <f t="shared" si="76"/>
        <v>0.77042701919120982</v>
      </c>
      <c r="H218" s="409" t="b">
        <f>Wh_hp&gt;='2024'!Maxi_hp</f>
        <v>0</v>
      </c>
      <c r="I218" s="375">
        <f>IF(H218,Wh_hp,'2024'!Maxi_hp)</f>
        <v>47.487963460820495</v>
      </c>
      <c r="J218" s="85">
        <f>IF(H218,An,'2024'!An_max)</f>
        <v>2022</v>
      </c>
      <c r="K218" s="193">
        <f t="shared" si="79"/>
        <v>45861</v>
      </c>
      <c r="L218" s="143">
        <f>IF(t&lt;Tvie,1-EXP((T0-t)*PertePVj)+'2024'!Pspv,1-EXP((T0-t)*PertePVj)+Pspv)</f>
        <v>1.8162939945585932E-2</v>
      </c>
      <c r="M218" s="836"/>
      <c r="N218" s="836"/>
      <c r="O218" s="48">
        <f>IF(t&lt;Tnet,'2024'!Resal+('2024'!Salim-'2024'!Resal)*(1-EXP(('2024'!Tnet-t)/('2024'!Tau_j))),Resal+(Salim-Resal)*(1-EXP((Tnet-t)/(Tau_j))))*Salcycl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1.1821550339079073E-5</v>
      </c>
      <c r="Q218" s="301">
        <f t="shared" si="80"/>
        <v>0.5</v>
      </c>
      <c r="R218" s="173">
        <f t="shared" si="81"/>
        <v>0.92090623801052551</v>
      </c>
      <c r="S218" s="802">
        <f t="shared" si="82"/>
        <v>1</v>
      </c>
      <c r="T218" s="172">
        <f t="shared" si="83"/>
        <v>7</v>
      </c>
      <c r="U218" s="247">
        <f t="shared" si="84"/>
        <v>1.9209062380105255</v>
      </c>
      <c r="V218" s="378">
        <f t="shared" si="85"/>
        <v>60.142691822767091</v>
      </c>
      <c r="W218" s="397">
        <f t="shared" si="86"/>
        <v>46.335734430448134</v>
      </c>
      <c r="X218" s="153">
        <f t="shared" si="87"/>
        <v>45861</v>
      </c>
      <c r="Y218" s="380">
        <f t="shared" si="88"/>
        <v>44.569181745586398</v>
      </c>
      <c r="Z218" s="380">
        <f t="shared" si="89"/>
        <v>45.393664141294835</v>
      </c>
      <c r="AA218" s="381">
        <f t="shared" si="90"/>
        <v>47.487434467136275</v>
      </c>
      <c r="AB218" s="193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4.4091039015604017E-2</v>
      </c>
      <c r="AD218" s="227">
        <f>(INDEX(Models!$BJ218:$BT218,,AH218)*(1-AF218)+INDEX(Models!$BJ218:$BT218,,AH218+1)*AF218-ERP_i)*AE218*Ramure*Pc/MaxiM</f>
        <v>1.1821550339079073E-5</v>
      </c>
      <c r="AE218" s="301">
        <f t="shared" si="92"/>
        <v>0.5</v>
      </c>
      <c r="AF218" s="173">
        <f t="shared" si="93"/>
        <v>0.92090623801052551</v>
      </c>
      <c r="AG218" s="802">
        <f t="shared" si="99"/>
        <v>1</v>
      </c>
      <c r="AH218" s="172">
        <f t="shared" si="94"/>
        <v>7</v>
      </c>
      <c r="AI218" s="221">
        <f t="shared" si="95"/>
        <v>1.9209062380105255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45862</v>
      </c>
      <c r="B219" s="406">
        <f>'2024'!Wh/'2024'!Env_an*'2025'!Env_an</f>
        <v>56.413013929335243</v>
      </c>
      <c r="C219" s="385"/>
      <c r="D219" s="388">
        <f t="shared" si="77"/>
        <v>57.457381149951196</v>
      </c>
      <c r="E219" s="380">
        <f t="shared" si="75"/>
        <v>57.820120243252461</v>
      </c>
      <c r="F219" s="380">
        <f t="shared" si="78"/>
        <v>57.82076473271092</v>
      </c>
      <c r="G219" s="110">
        <f t="shared" si="76"/>
        <v>0.94095473217193926</v>
      </c>
      <c r="H219" s="409" t="b">
        <f>Wh_hp&gt;='2024'!Maxi_hp</f>
        <v>0</v>
      </c>
      <c r="I219" s="375">
        <f>IF(H219,Wh_hp,'2024'!Maxi_hp)</f>
        <v>57.820813582801875</v>
      </c>
      <c r="J219" s="85">
        <f>IF(H219,An,'2024'!An_max)</f>
        <v>2022</v>
      </c>
      <c r="K219" s="193">
        <f t="shared" si="79"/>
        <v>45862</v>
      </c>
      <c r="L219" s="143">
        <f>IF(t&lt;Tvie,1-EXP((T0-t)*PertePVj)+'2024'!Pspv,1-EXP((T0-t)*PertePVj)+Pspv)</f>
        <v>1.8176380470428799E-2</v>
      </c>
      <c r="M219" s="836"/>
      <c r="N219" s="836"/>
      <c r="O219" s="48">
        <f>IF(t&lt;Tnet,'2024'!Resal+('2024'!Salim-'2024'!Resal)*(1-EXP(('2024'!Tnet-t)/('2024'!Tau_j))),Resal+(Salim-Resal)*(1-EXP((Tnet-t)/(Tau_j))))*Salcycl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1.2173123105276421E-5</v>
      </c>
      <c r="Q219" s="301">
        <f t="shared" si="80"/>
        <v>0.5</v>
      </c>
      <c r="R219" s="173">
        <f t="shared" si="81"/>
        <v>0.92343406205340273</v>
      </c>
      <c r="S219" s="802">
        <f t="shared" si="82"/>
        <v>1</v>
      </c>
      <c r="T219" s="172">
        <f t="shared" si="83"/>
        <v>7</v>
      </c>
      <c r="U219" s="247">
        <f t="shared" si="84"/>
        <v>1.9234340620534027</v>
      </c>
      <c r="V219" s="378">
        <f t="shared" si="85"/>
        <v>59.952890479770943</v>
      </c>
      <c r="W219" s="397">
        <f t="shared" si="86"/>
        <v>56.413013929335243</v>
      </c>
      <c r="X219" s="153">
        <f t="shared" si="87"/>
        <v>45862</v>
      </c>
      <c r="Y219" s="380">
        <f t="shared" si="88"/>
        <v>54.264032108030229</v>
      </c>
      <c r="Z219" s="380">
        <f t="shared" si="89"/>
        <v>55.268615491273451</v>
      </c>
      <c r="AA219" s="381">
        <f t="shared" si="90"/>
        <v>57.820120243252461</v>
      </c>
      <c r="AB219" s="193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4.4128319713703269E-2</v>
      </c>
      <c r="AD219" s="227">
        <f>(INDEX(Models!$BJ219:$BT219,,AH219)*(1-AF219)+INDEX(Models!$BJ219:$BT219,,AH219+1)*AF219-ERP_i)*AE219*Ramure*Pc/MaxiM</f>
        <v>1.2173123105276421E-5</v>
      </c>
      <c r="AE219" s="301">
        <f t="shared" si="92"/>
        <v>0.5</v>
      </c>
      <c r="AF219" s="173">
        <f t="shared" si="93"/>
        <v>0.92343406205340273</v>
      </c>
      <c r="AG219" s="802">
        <f t="shared" si="99"/>
        <v>1</v>
      </c>
      <c r="AH219" s="172">
        <f t="shared" si="94"/>
        <v>7</v>
      </c>
      <c r="AI219" s="221">
        <f t="shared" si="95"/>
        <v>1.9234340620534027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45863</v>
      </c>
      <c r="B220" s="406">
        <f>'2024'!Wh/'2024'!Env_an*'2025'!Env_an</f>
        <v>29.759905094855956</v>
      </c>
      <c r="C220" s="385"/>
      <c r="D220" s="388">
        <f t="shared" si="77"/>
        <v>30.311261510292088</v>
      </c>
      <c r="E220" s="380">
        <f t="shared" si="75"/>
        <v>30.504802839150639</v>
      </c>
      <c r="F220" s="380">
        <f t="shared" si="78"/>
        <v>30.50491132030162</v>
      </c>
      <c r="G220" s="110">
        <f t="shared" si="76"/>
        <v>0.49801757625367232</v>
      </c>
      <c r="H220" s="409" t="b">
        <f>Wh_hp&gt;='2024'!Maxi_hp</f>
        <v>0</v>
      </c>
      <c r="I220" s="375">
        <f>IF(H220,Wh_hp,'2024'!Maxi_hp)</f>
        <v>30.505137185195856</v>
      </c>
      <c r="J220" s="85">
        <f>IF(H220,An,'2024'!An_max)</f>
        <v>2022</v>
      </c>
      <c r="K220" s="193">
        <f t="shared" si="79"/>
        <v>45863</v>
      </c>
      <c r="L220" s="143">
        <f>IF(t&lt;Tvie,1-EXP((T0-t)*PertePVj)+'2024'!Pspv,1-EXP((T0-t)*PertePVj)+Pspv)</f>
        <v>1.8189820811282287E-2</v>
      </c>
      <c r="M220" s="836"/>
      <c r="N220" s="836"/>
      <c r="O220" s="48">
        <f>IF(t&lt;Tnet,'2024'!Resal+('2024'!Salim-'2024'!Resal)*(1-EXP(('2024'!Tnet-t)/('2024'!Tau_j))),Resal+(Salim-Resal)*(1-EXP((Tnet-t)/(Tau_j))))*Salcycl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1.2570975231302494E-5</v>
      </c>
      <c r="Q220" s="301">
        <f t="shared" si="80"/>
        <v>0.5</v>
      </c>
      <c r="R220" s="173">
        <f t="shared" si="81"/>
        <v>0.92588836304053768</v>
      </c>
      <c r="S220" s="802">
        <f t="shared" si="82"/>
        <v>1</v>
      </c>
      <c r="T220" s="172">
        <f t="shared" si="83"/>
        <v>7</v>
      </c>
      <c r="U220" s="247">
        <f t="shared" si="84"/>
        <v>1.9258883630405377</v>
      </c>
      <c r="V220" s="378">
        <f t="shared" si="85"/>
        <v>59.756197840462455</v>
      </c>
      <c r="W220" s="397">
        <f t="shared" si="86"/>
        <v>29.759905094855956</v>
      </c>
      <c r="X220" s="153">
        <f t="shared" si="87"/>
        <v>45863</v>
      </c>
      <c r="Y220" s="380">
        <f t="shared" si="88"/>
        <v>28.627176828648388</v>
      </c>
      <c r="Z220" s="380">
        <f t="shared" si="89"/>
        <v>29.15754739098691</v>
      </c>
      <c r="AA220" s="381">
        <f t="shared" si="90"/>
        <v>30.504802839150639</v>
      </c>
      <c r="AB220" s="193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4.4165355051389792E-2</v>
      </c>
      <c r="AD220" s="227">
        <f>(INDEX(Models!$BJ220:$BT220,,AH220)*(1-AF220)+INDEX(Models!$BJ220:$BT220,,AH220+1)*AF220-ERP_i)*AE220*Ramure*Pc/MaxiM</f>
        <v>1.2570975231302494E-5</v>
      </c>
      <c r="AE220" s="301">
        <f t="shared" si="92"/>
        <v>0.5</v>
      </c>
      <c r="AF220" s="173">
        <f t="shared" si="93"/>
        <v>0.92588836304053768</v>
      </c>
      <c r="AG220" s="802">
        <f t="shared" si="99"/>
        <v>1</v>
      </c>
      <c r="AH220" s="172">
        <f t="shared" si="94"/>
        <v>7</v>
      </c>
      <c r="AI220" s="221">
        <f t="shared" si="95"/>
        <v>1.9258883630405377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45864</v>
      </c>
      <c r="B221" s="406">
        <f>'2024'!Wh/'2024'!Env_an*'2025'!Env_an</f>
        <v>52.741181744603416</v>
      </c>
      <c r="C221" s="385"/>
      <c r="D221" s="388">
        <f t="shared" si="77"/>
        <v>53.719043512623031</v>
      </c>
      <c r="E221" s="380">
        <f t="shared" si="75"/>
        <v>54.065906903688663</v>
      </c>
      <c r="F221" s="380">
        <f t="shared" si="78"/>
        <v>54.066496148614128</v>
      </c>
      <c r="G221" s="110">
        <f t="shared" si="76"/>
        <v>0.88561346666731744</v>
      </c>
      <c r="H221" s="409" t="b">
        <f>Wh_hp&gt;='2024'!Maxi_hp</f>
        <v>0</v>
      </c>
      <c r="I221" s="375">
        <f>IF(H221,Wh_hp,'2024'!Maxi_hp)</f>
        <v>54.066590490635548</v>
      </c>
      <c r="J221" s="85">
        <f>IF(H221,An,'2024'!An_max)</f>
        <v>2022</v>
      </c>
      <c r="K221" s="193">
        <f t="shared" si="79"/>
        <v>45864</v>
      </c>
      <c r="L221" s="143">
        <f>IF(t&lt;Tvie,1-EXP((T0-t)*PertePVj)+'2024'!Pspv,1-EXP((T0-t)*PertePVj)+Pspv)</f>
        <v>1.8203260968148727E-2</v>
      </c>
      <c r="M221" s="836"/>
      <c r="N221" s="836"/>
      <c r="O221" s="48">
        <f>IF(t&lt;Tnet,'2024'!Resal+('2024'!Salim-'2024'!Resal)*(1-EXP(('2024'!Tnet-t)/('2024'!Tau_j))),Resal+(Salim-Resal)*(1-EXP((Tnet-t)/(Tau_j))))*Salcycl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1.3027263943419933E-5</v>
      </c>
      <c r="Q221" s="301">
        <f t="shared" si="80"/>
        <v>0.5</v>
      </c>
      <c r="R221" s="173">
        <f t="shared" si="81"/>
        <v>0.92827031981839658</v>
      </c>
      <c r="S221" s="802">
        <f t="shared" si="82"/>
        <v>1</v>
      </c>
      <c r="T221" s="172">
        <f t="shared" si="83"/>
        <v>7</v>
      </c>
      <c r="U221" s="247">
        <f t="shared" si="84"/>
        <v>1.9282703198183966</v>
      </c>
      <c r="V221" s="378">
        <f t="shared" si="85"/>
        <v>59.553147570703565</v>
      </c>
      <c r="W221" s="397">
        <f t="shared" si="86"/>
        <v>52.741181744603416</v>
      </c>
      <c r="X221" s="153">
        <f t="shared" si="87"/>
        <v>45864</v>
      </c>
      <c r="Y221" s="380">
        <f t="shared" si="88"/>
        <v>50.735403945996786</v>
      </c>
      <c r="Z221" s="380">
        <f t="shared" si="89"/>
        <v>51.676077062577043</v>
      </c>
      <c r="AA221" s="381">
        <f t="shared" si="90"/>
        <v>54.065906903688663</v>
      </c>
      <c r="AB221" s="193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4.4202159511885851E-2</v>
      </c>
      <c r="AD221" s="227">
        <f>(INDEX(Models!$BJ221:$BT221,,AH221)*(1-AF221)+INDEX(Models!$BJ221:$BT221,,AH221+1)*AF221-ERP_i)*AE221*Ramure*Pc/MaxiM</f>
        <v>1.3027263943419933E-5</v>
      </c>
      <c r="AE221" s="301">
        <f t="shared" si="92"/>
        <v>0.5</v>
      </c>
      <c r="AF221" s="173">
        <f t="shared" si="93"/>
        <v>0.92827031981839658</v>
      </c>
      <c r="AG221" s="802">
        <f t="shared" si="99"/>
        <v>1</v>
      </c>
      <c r="AH221" s="172">
        <f t="shared" si="94"/>
        <v>7</v>
      </c>
      <c r="AI221" s="221">
        <f t="shared" si="95"/>
        <v>1.9282703198183966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45865</v>
      </c>
      <c r="B222" s="406">
        <f>'2024'!Wh/'2024'!Env_an*'2025'!Env_an</f>
        <v>59.692935947921761</v>
      </c>
      <c r="C222" s="385"/>
      <c r="D222" s="388">
        <f t="shared" si="77"/>
        <v>60.800520853366443</v>
      </c>
      <c r="E222" s="380">
        <f t="shared" si="75"/>
        <v>61.197473568250778</v>
      </c>
      <c r="F222" s="380">
        <f t="shared" si="78"/>
        <v>61.198302360762852</v>
      </c>
      <c r="G222" s="110">
        <f t="shared" si="76"/>
        <v>1.0058752442346579</v>
      </c>
      <c r="H222" s="409" t="b">
        <f>Wh_hp&gt;='2024'!Maxi_hp</f>
        <v>1</v>
      </c>
      <c r="I222" s="375">
        <f>IF(H222,Wh_hp,'2024'!Maxi_hp)</f>
        <v>61.198302360762852</v>
      </c>
      <c r="J222" s="85">
        <f>IF(H222,An,'2024'!An_max)</f>
        <v>2025</v>
      </c>
      <c r="K222" s="193">
        <f t="shared" si="79"/>
        <v>45865</v>
      </c>
      <c r="L222" s="143">
        <f>IF(t&lt;Tvie,1-EXP((T0-t)*PertePVj)+'2024'!Pspv,1-EXP((T0-t)*PertePVj)+Pspv)</f>
        <v>1.8216700941030783E-2</v>
      </c>
      <c r="M222" s="836"/>
      <c r="N222" s="836"/>
      <c r="O222" s="48">
        <f>IF(t&lt;Tnet,'2024'!Resal+('2024'!Salim-'2024'!Resal)*(1-EXP(('2024'!Tnet-t)/('2024'!Tau_j))),Resal+(Salim-Resal)*(1-EXP((Tnet-t)/(Tau_j))))*Salcycl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1.3542736973140439E-5</v>
      </c>
      <c r="Q222" s="301">
        <f t="shared" si="80"/>
        <v>0.5</v>
      </c>
      <c r="R222" s="173">
        <f t="shared" si="81"/>
        <v>0.93058116132336255</v>
      </c>
      <c r="S222" s="802">
        <f t="shared" si="82"/>
        <v>1</v>
      </c>
      <c r="T222" s="172">
        <f t="shared" si="83"/>
        <v>7</v>
      </c>
      <c r="U222" s="247">
        <f t="shared" si="84"/>
        <v>1.9305811613233625</v>
      </c>
      <c r="V222" s="378">
        <f t="shared" si="85"/>
        <v>59.344273845153054</v>
      </c>
      <c r="W222" s="397">
        <f t="shared" si="86"/>
        <v>59.692935947921761</v>
      </c>
      <c r="X222" s="153">
        <f t="shared" si="87"/>
        <v>45865</v>
      </c>
      <c r="Y222" s="380">
        <f t="shared" si="88"/>
        <v>57.424676035768734</v>
      </c>
      <c r="Z222" s="380">
        <f t="shared" si="89"/>
        <v>58.490174044323005</v>
      </c>
      <c r="AA222" s="381">
        <f t="shared" si="90"/>
        <v>61.197473568250778</v>
      </c>
      <c r="AB222" s="193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4.4238746570288423E-2</v>
      </c>
      <c r="AD222" s="227">
        <f>(INDEX(Models!$BJ222:$BT222,,AH222)*(1-AF222)+INDEX(Models!$BJ222:$BT222,,AH222+1)*AF222-ERP_i)*AE222*Ramure*Pc/MaxiM</f>
        <v>1.3542736973140439E-5</v>
      </c>
      <c r="AE222" s="301">
        <f t="shared" si="92"/>
        <v>0.5</v>
      </c>
      <c r="AF222" s="173">
        <f t="shared" si="93"/>
        <v>0.93058116132336255</v>
      </c>
      <c r="AG222" s="802">
        <f t="shared" si="99"/>
        <v>1</v>
      </c>
      <c r="AH222" s="172">
        <f t="shared" si="94"/>
        <v>7</v>
      </c>
      <c r="AI222" s="221">
        <f t="shared" si="95"/>
        <v>1.9305811613233625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45866</v>
      </c>
      <c r="B223" s="406">
        <f>'2024'!Wh/'2024'!Env_an*'2025'!Env_an</f>
        <v>46.900085347613938</v>
      </c>
      <c r="C223" s="385"/>
      <c r="D223" s="388">
        <f t="shared" si="77"/>
        <v>47.770956609406845</v>
      </c>
      <c r="E223" s="380">
        <f t="shared" si="75"/>
        <v>48.086267460181645</v>
      </c>
      <c r="F223" s="380">
        <f t="shared" si="78"/>
        <v>48.086745759476862</v>
      </c>
      <c r="G223" s="110">
        <f t="shared" si="76"/>
        <v>0.79316424701836963</v>
      </c>
      <c r="H223" s="409" t="b">
        <f>Wh_hp&gt;='2024'!Maxi_hp</f>
        <v>0</v>
      </c>
      <c r="I223" s="375">
        <f>IF(H223,Wh_hp,'2024'!Maxi_hp)</f>
        <v>48.086909443668787</v>
      </c>
      <c r="J223" s="85">
        <f>IF(H223,An,'2024'!An_max)</f>
        <v>2022</v>
      </c>
      <c r="K223" s="193">
        <f t="shared" si="79"/>
        <v>45866</v>
      </c>
      <c r="L223" s="143">
        <f>IF(t&lt;Tvie,1-EXP((T0-t)*PertePVj)+'2024'!Pspv,1-EXP((T0-t)*PertePVj)+Pspv)</f>
        <v>1.8230140729930788E-2</v>
      </c>
      <c r="M223" s="836"/>
      <c r="N223" s="836"/>
      <c r="O223" s="48">
        <f>IF(t&lt;Tnet,'2024'!Resal+('2024'!Salim-'2024'!Resal)*(1-EXP(('2024'!Tnet-t)/('2024'!Tau_j))),Resal+(Salim-Resal)*(1-EXP((Tnet-t)/(Tau_j))))*Salcycl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1.4118153378354228E-5</v>
      </c>
      <c r="Q223" s="301">
        <f t="shared" si="80"/>
        <v>0.5</v>
      </c>
      <c r="R223" s="173">
        <f t="shared" si="81"/>
        <v>0.93282216070994406</v>
      </c>
      <c r="S223" s="802">
        <f t="shared" si="82"/>
        <v>1</v>
      </c>
      <c r="T223" s="172">
        <f t="shared" si="83"/>
        <v>7</v>
      </c>
      <c r="U223" s="247">
        <f t="shared" si="84"/>
        <v>1.9328221607099441</v>
      </c>
      <c r="V223" s="378">
        <f t="shared" si="85"/>
        <v>59.130110661745725</v>
      </c>
      <c r="W223" s="397">
        <f t="shared" si="86"/>
        <v>46.900085347613938</v>
      </c>
      <c r="X223" s="153">
        <f t="shared" si="87"/>
        <v>45866</v>
      </c>
      <c r="Y223" s="380">
        <f t="shared" si="88"/>
        <v>45.119434796086274</v>
      </c>
      <c r="Z223" s="380">
        <f t="shared" si="89"/>
        <v>45.957241781319176</v>
      </c>
      <c r="AA223" s="381">
        <f t="shared" si="90"/>
        <v>48.086267460181645</v>
      </c>
      <c r="AB223" s="193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4.4275128665900998E-2</v>
      </c>
      <c r="AD223" s="227">
        <f>(INDEX(Models!$BJ223:$BT223,,AH223)*(1-AF223)+INDEX(Models!$BJ223:$BT223,,AH223+1)*AF223-ERP_i)*AE223*Ramure*Pc/MaxiM</f>
        <v>1.4118153378354228E-5</v>
      </c>
      <c r="AE223" s="301">
        <f t="shared" si="92"/>
        <v>0.5</v>
      </c>
      <c r="AF223" s="173">
        <f t="shared" si="93"/>
        <v>0.93282216070994406</v>
      </c>
      <c r="AG223" s="802">
        <f t="shared" si="99"/>
        <v>1</v>
      </c>
      <c r="AH223" s="172">
        <f t="shared" si="94"/>
        <v>7</v>
      </c>
      <c r="AI223" s="221">
        <f t="shared" si="95"/>
        <v>1.9328221607099441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45867</v>
      </c>
      <c r="B224" s="406">
        <f>'2024'!Wh/'2024'!Env_an*'2025'!Env_an</f>
        <v>29.134565279526704</v>
      </c>
      <c r="C224" s="385"/>
      <c r="D224" s="388">
        <f t="shared" si="77"/>
        <v>29.675961059122731</v>
      </c>
      <c r="E224" s="380">
        <f t="shared" si="75"/>
        <v>29.873961820520787</v>
      </c>
      <c r="F224" s="380">
        <f t="shared" si="78"/>
        <v>29.874084323643963</v>
      </c>
      <c r="G224" s="110">
        <f t="shared" si="76"/>
        <v>0.4945453313789448</v>
      </c>
      <c r="H224" s="409" t="b">
        <f>Wh_hp&gt;='2024'!Maxi_hp</f>
        <v>0</v>
      </c>
      <c r="I224" s="375">
        <f>IF(H224,Wh_hp,'2024'!Maxi_hp)</f>
        <v>29.87434338366489</v>
      </c>
      <c r="J224" s="85">
        <f>IF(H224,An,'2024'!An_max)</f>
        <v>2022</v>
      </c>
      <c r="K224" s="193">
        <f t="shared" si="79"/>
        <v>45867</v>
      </c>
      <c r="L224" s="143">
        <f>IF(t&lt;Tvie,1-EXP((T0-t)*PertePVj)+'2024'!Pspv,1-EXP((T0-t)*PertePVj)+Pspv)</f>
        <v>1.8243580334851406E-2</v>
      </c>
      <c r="M224" s="836"/>
      <c r="N224" s="836"/>
      <c r="O224" s="48">
        <f>IF(t&lt;Tnet,'2024'!Resal+('2024'!Salim-'2024'!Resal)*(1-EXP(('2024'!Tnet-t)/('2024'!Tau_j))),Resal+(Salim-Resal)*(1-EXP((Tnet-t)/(Tau_j))))*Salcycl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1.4754280088873466E-5</v>
      </c>
      <c r="Q224" s="301">
        <f t="shared" si="80"/>
        <v>0.5</v>
      </c>
      <c r="R224" s="173">
        <f t="shared" si="81"/>
        <v>0.93499462971397751</v>
      </c>
      <c r="S224" s="802">
        <f t="shared" si="82"/>
        <v>1</v>
      </c>
      <c r="T224" s="172">
        <f t="shared" si="83"/>
        <v>7</v>
      </c>
      <c r="U224" s="247">
        <f t="shared" si="84"/>
        <v>1.9349946297139775</v>
      </c>
      <c r="V224" s="378">
        <f t="shared" si="85"/>
        <v>58.911191837758601</v>
      </c>
      <c r="W224" s="397">
        <f t="shared" si="86"/>
        <v>29.134565279526704</v>
      </c>
      <c r="X224" s="153">
        <f t="shared" si="87"/>
        <v>45867</v>
      </c>
      <c r="Y224" s="380">
        <f t="shared" si="88"/>
        <v>28.029349223726985</v>
      </c>
      <c r="Z224" s="380">
        <f t="shared" si="89"/>
        <v>28.550207222772286</v>
      </c>
      <c r="AA224" s="381">
        <f t="shared" si="90"/>
        <v>29.873961820520787</v>
      </c>
      <c r="AB224" s="193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4.4311317183219991E-2</v>
      </c>
      <c r="AD224" s="227">
        <f>(INDEX(Models!$BJ224:$BT224,,AH224)*(1-AF224)+INDEX(Models!$BJ224:$BT224,,AH224+1)*AF224-ERP_i)*AE224*Ramure*Pc/MaxiM</f>
        <v>1.4754280088873466E-5</v>
      </c>
      <c r="AE224" s="301">
        <f t="shared" si="92"/>
        <v>0.5</v>
      </c>
      <c r="AF224" s="173">
        <f t="shared" si="93"/>
        <v>0.93499462971397751</v>
      </c>
      <c r="AG224" s="802">
        <f t="shared" si="99"/>
        <v>1</v>
      </c>
      <c r="AH224" s="172">
        <f t="shared" si="94"/>
        <v>7</v>
      </c>
      <c r="AI224" s="221">
        <f t="shared" si="95"/>
        <v>1.9349946297139775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45868</v>
      </c>
      <c r="B225" s="406">
        <f>'2024'!Wh/'2024'!Env_an*'2025'!Env_an</f>
        <v>47.917659143518222</v>
      </c>
      <c r="C225" s="385"/>
      <c r="D225" s="388">
        <f t="shared" si="77"/>
        <v>48.80876166957556</v>
      </c>
      <c r="E225" s="380">
        <f t="shared" si="75"/>
        <v>49.137910147743511</v>
      </c>
      <c r="F225" s="380">
        <f t="shared" si="78"/>
        <v>49.138470368529944</v>
      </c>
      <c r="G225" s="110">
        <f t="shared" si="76"/>
        <v>0.81647736116528979</v>
      </c>
      <c r="H225" s="409" t="b">
        <f>Wh_hp&gt;='2024'!Maxi_hp</f>
        <v>0</v>
      </c>
      <c r="I225" s="375">
        <f>IF(H225,Wh_hp,'2024'!Maxi_hp)</f>
        <v>49.138631982876142</v>
      </c>
      <c r="J225" s="85">
        <f>IF(H225,An,'2024'!An_max)</f>
        <v>2022</v>
      </c>
      <c r="K225" s="193">
        <f t="shared" si="79"/>
        <v>45868</v>
      </c>
      <c r="L225" s="143">
        <f>IF(t&lt;Tvie,1-EXP((T0-t)*PertePVj)+'2024'!Pspv,1-EXP((T0-t)*PertePVj)+Pspv)</f>
        <v>1.825701975579519E-2</v>
      </c>
      <c r="M225" s="836"/>
      <c r="N225" s="836"/>
      <c r="O225" s="48">
        <f>IF(t&lt;Tnet,'2024'!Resal+('2024'!Salim-'2024'!Resal)*(1-EXP(('2024'!Tnet-t)/('2024'!Tau_j))),Resal+(Salim-Resal)*(1-EXP((Tnet-t)/(Tau_j))))*Salcycl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1.5451888106945422E-5</v>
      </c>
      <c r="Q225" s="301">
        <f t="shared" si="80"/>
        <v>0.5</v>
      </c>
      <c r="R225" s="173">
        <f t="shared" si="81"/>
        <v>0.93709991326085973</v>
      </c>
      <c r="S225" s="802">
        <f t="shared" si="82"/>
        <v>1</v>
      </c>
      <c r="T225" s="172">
        <f t="shared" si="83"/>
        <v>7</v>
      </c>
      <c r="U225" s="247">
        <f t="shared" si="84"/>
        <v>1.9370999132608597</v>
      </c>
      <c r="V225" s="378">
        <f t="shared" si="85"/>
        <v>58.68805101601167</v>
      </c>
      <c r="W225" s="397">
        <f t="shared" si="86"/>
        <v>47.917659143518222</v>
      </c>
      <c r="X225" s="153">
        <f t="shared" si="87"/>
        <v>45868</v>
      </c>
      <c r="Y225" s="380">
        <f t="shared" si="88"/>
        <v>46.101448112099767</v>
      </c>
      <c r="Z225" s="380">
        <f t="shared" si="89"/>
        <v>46.958775402328023</v>
      </c>
      <c r="AA225" s="381">
        <f t="shared" si="90"/>
        <v>49.137910147743511</v>
      </c>
      <c r="AB225" s="193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4.4347322441338349E-2</v>
      </c>
      <c r="AD225" s="227">
        <f>(INDEX(Models!$BJ225:$BT225,,AH225)*(1-AF225)+INDEX(Models!$BJ225:$BT225,,AH225+1)*AF225-ERP_i)*AE225*Ramure*Pc/MaxiM</f>
        <v>1.5451888106945422E-5</v>
      </c>
      <c r="AE225" s="301">
        <f t="shared" si="92"/>
        <v>0.5</v>
      </c>
      <c r="AF225" s="173">
        <f t="shared" si="93"/>
        <v>0.93709991326085973</v>
      </c>
      <c r="AG225" s="802">
        <f t="shared" si="99"/>
        <v>1</v>
      </c>
      <c r="AH225" s="172">
        <f t="shared" si="94"/>
        <v>7</v>
      </c>
      <c r="AI225" s="221">
        <f t="shared" si="95"/>
        <v>1.9370999132608597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45869</v>
      </c>
      <c r="B226" s="406">
        <f>'2024'!Wh/'2024'!Env_an*'2025'!Env_an</f>
        <v>58.679175335479073</v>
      </c>
      <c r="C226" s="385"/>
      <c r="D226" s="388">
        <f t="shared" si="77"/>
        <v>59.771223014513112</v>
      </c>
      <c r="E226" s="380">
        <f t="shared" si="75"/>
        <v>60.17856987167788</v>
      </c>
      <c r="F226" s="380">
        <f t="shared" si="78"/>
        <v>60.179550846641447</v>
      </c>
      <c r="G226" s="110">
        <f t="shared" si="76"/>
        <v>1.003728264484145</v>
      </c>
      <c r="H226" s="409" t="b">
        <f>Wh_hp&gt;='2024'!Maxi_hp</f>
        <v>0</v>
      </c>
      <c r="I226" s="375">
        <f>IF(H226,Wh_hp,'2024'!Maxi_hp)</f>
        <v>60.179550846641462</v>
      </c>
      <c r="J226" s="85">
        <f>IF(H226,An,'2024'!An_max)</f>
        <v>2024</v>
      </c>
      <c r="K226" s="193">
        <f t="shared" si="79"/>
        <v>45869</v>
      </c>
      <c r="L226" s="143">
        <f>IF(t&lt;Tvie,1-EXP((T0-t)*PertePVj)+'2024'!Pspv,1-EXP((T0-t)*PertePVj)+Pspv)</f>
        <v>1.8270458992764471E-2</v>
      </c>
      <c r="M226" s="836"/>
      <c r="N226" s="836"/>
      <c r="O226" s="48">
        <f>IF(t&lt;Tnet,'2024'!Resal+('2024'!Salim-'2024'!Resal)*(1-EXP(('2024'!Tnet-t)/('2024'!Tau_j))),Resal+(Salim-Resal)*(1-EXP((Tnet-t)/(Tau_j))))*Salcycl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1.6300802345066746E-5</v>
      </c>
      <c r="Q226" s="301">
        <f t="shared" si="80"/>
        <v>0.5</v>
      </c>
      <c r="R226" s="173">
        <f t="shared" si="81"/>
        <v>0.93913938432633293</v>
      </c>
      <c r="S226" s="802">
        <f t="shared" si="82"/>
        <v>1</v>
      </c>
      <c r="T226" s="172">
        <f t="shared" si="83"/>
        <v>7</v>
      </c>
      <c r="U226" s="247">
        <f t="shared" si="84"/>
        <v>1.9391393843263329</v>
      </c>
      <c r="V226" s="378">
        <f t="shared" si="85"/>
        <v>58.461216458457095</v>
      </c>
      <c r="W226" s="397">
        <f t="shared" si="86"/>
        <v>58.679175335479073</v>
      </c>
      <c r="X226" s="153">
        <f t="shared" si="87"/>
        <v>45869</v>
      </c>
      <c r="Y226" s="380">
        <f t="shared" si="88"/>
        <v>56.456963900831397</v>
      </c>
      <c r="Z226" s="380">
        <f t="shared" si="89"/>
        <v>57.507655156131541</v>
      </c>
      <c r="AA226" s="381">
        <f t="shared" si="90"/>
        <v>60.17856987167788</v>
      </c>
      <c r="AB226" s="193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4.4383153691449961E-2</v>
      </c>
      <c r="AD226" s="227">
        <f>(INDEX(Models!$BJ226:$BT226,,AH226)*(1-AF226)+INDEX(Models!$BJ226:$BT226,,AH226+1)*AF226-ERP_i)*AE226*Ramure*Pc/MaxiM</f>
        <v>1.6300802345066746E-5</v>
      </c>
      <c r="AE226" s="301">
        <f t="shared" si="92"/>
        <v>0.5</v>
      </c>
      <c r="AF226" s="173">
        <f t="shared" si="93"/>
        <v>0.93913938432633293</v>
      </c>
      <c r="AG226" s="802">
        <f t="shared" si="99"/>
        <v>1</v>
      </c>
      <c r="AH226" s="172">
        <f t="shared" si="94"/>
        <v>7</v>
      </c>
      <c r="AI226" s="221">
        <f t="shared" si="95"/>
        <v>1.9391393843263329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45870</v>
      </c>
      <c r="B227" s="406">
        <f>'2024'!Wh/'2024'!Env_an*'2025'!Env_an</f>
        <v>58.163899209545242</v>
      </c>
      <c r="C227" s="385"/>
      <c r="D227" s="388">
        <f t="shared" si="77"/>
        <v>59.247168395997761</v>
      </c>
      <c r="E227" s="380">
        <f t="shared" si="75"/>
        <v>59.65517329754897</v>
      </c>
      <c r="F227" s="380">
        <f t="shared" si="78"/>
        <v>59.656204950898207</v>
      </c>
      <c r="G227" s="110">
        <f t="shared" si="76"/>
        <v>0.9988438710440054</v>
      </c>
      <c r="H227" s="409" t="b">
        <f>Wh_hp&gt;='2024'!Maxi_hp</f>
        <v>0</v>
      </c>
      <c r="I227" s="375">
        <f>IF(H227,Wh_hp,'2024'!Maxi_hp)</f>
        <v>59.656206328517612</v>
      </c>
      <c r="J227" s="85">
        <f>IF(H227,An,'2024'!An_max)</f>
        <v>2022</v>
      </c>
      <c r="K227" s="193">
        <f t="shared" si="79"/>
        <v>45870</v>
      </c>
      <c r="L227" s="143">
        <f>IF(t&lt;Tvie,1-EXP((T0-t)*PertePVj)+'2024'!Pspv,1-EXP((T0-t)*PertePVj)+Pspv)</f>
        <v>1.8283898045762026E-2</v>
      </c>
      <c r="M227" s="836"/>
      <c r="N227" s="836"/>
      <c r="O227" s="48">
        <f>IF(t&lt;Tnet,'2024'!Resal+('2024'!Salim-'2024'!Resal)*(1-EXP(('2024'!Tnet-t)/('2024'!Tau_j))),Resal+(Salim-Resal)*(1-EXP((Tnet-t)/(Tau_j))))*Salcycl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1.7321920134414377E-5</v>
      </c>
      <c r="Q227" s="301">
        <f t="shared" si="80"/>
        <v>0.5</v>
      </c>
      <c r="R227" s="173">
        <f t="shared" si="81"/>
        <v>0.94111443905500214</v>
      </c>
      <c r="S227" s="802">
        <f t="shared" si="82"/>
        <v>1</v>
      </c>
      <c r="T227" s="172">
        <f t="shared" si="83"/>
        <v>7</v>
      </c>
      <c r="U227" s="247">
        <f t="shared" si="84"/>
        <v>1.9411144390550021</v>
      </c>
      <c r="V227" s="378">
        <f t="shared" si="85"/>
        <v>58.231220345524854</v>
      </c>
      <c r="W227" s="397">
        <f t="shared" si="86"/>
        <v>58.163899209545242</v>
      </c>
      <c r="X227" s="153">
        <f t="shared" si="87"/>
        <v>45870</v>
      </c>
      <c r="Y227" s="380">
        <f t="shared" si="88"/>
        <v>55.963080737566671</v>
      </c>
      <c r="Z227" s="380">
        <f t="shared" si="89"/>
        <v>57.005360945149654</v>
      </c>
      <c r="AA227" s="381">
        <f t="shared" si="90"/>
        <v>59.65517329754897</v>
      </c>
      <c r="AB227" s="193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4.4418819122065772E-2</v>
      </c>
      <c r="AD227" s="227">
        <f>(INDEX(Models!$BJ227:$BT227,,AH227)*(1-AF227)+INDEX(Models!$BJ227:$BT227,,AH227+1)*AF227-ERP_i)*AE227*Ramure*Pc/MaxiM</f>
        <v>1.7321920134414377E-5</v>
      </c>
      <c r="AE227" s="301">
        <f t="shared" si="92"/>
        <v>0.5</v>
      </c>
      <c r="AF227" s="173">
        <f t="shared" si="93"/>
        <v>0.94111443905500214</v>
      </c>
      <c r="AG227" s="802">
        <f t="shared" si="99"/>
        <v>1</v>
      </c>
      <c r="AH227" s="172">
        <f t="shared" si="94"/>
        <v>7</v>
      </c>
      <c r="AI227" s="221">
        <f t="shared" si="95"/>
        <v>1.9411144390550021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45871</v>
      </c>
      <c r="B228" s="406">
        <f>'2024'!Wh/'2024'!Env_an*'2025'!Env_an</f>
        <v>58.174268166085191</v>
      </c>
      <c r="C228" s="385"/>
      <c r="D228" s="388">
        <f t="shared" si="77"/>
        <v>59.2585416680649</v>
      </c>
      <c r="E228" s="380">
        <f t="shared" si="75"/>
        <v>59.67085070520595</v>
      </c>
      <c r="F228" s="380">
        <f t="shared" si="78"/>
        <v>59.671955685390998</v>
      </c>
      <c r="G228" s="110">
        <f t="shared" si="76"/>
        <v>1.0030289075718304</v>
      </c>
      <c r="H228" s="409" t="b">
        <f>Wh_hp&gt;='2024'!Maxi_hp</f>
        <v>1</v>
      </c>
      <c r="I228" s="375">
        <f>IF(H228,Wh_hp,'2024'!Maxi_hp)</f>
        <v>59.671955685390998</v>
      </c>
      <c r="J228" s="85">
        <f>IF(H228,An,'2024'!An_max)</f>
        <v>2025</v>
      </c>
      <c r="K228" s="193">
        <f t="shared" si="79"/>
        <v>45871</v>
      </c>
      <c r="L228" s="143">
        <f>IF(t&lt;Tvie,1-EXP((T0-t)*PertePVj)+'2024'!Pspv,1-EXP((T0-t)*PertePVj)+Pspv)</f>
        <v>1.8297336914790074E-2</v>
      </c>
      <c r="M228" s="836"/>
      <c r="N228" s="836"/>
      <c r="O228" s="48">
        <f>IF(t&lt;Tnet,'2024'!Resal+('2024'!Salim-'2024'!Resal)*(1-EXP(('2024'!Tnet-t)/('2024'!Tau_j))),Resal+(Salim-Resal)*(1-EXP((Tnet-t)/(Tau_j))))*Salcycl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1.8517579528875029E-5</v>
      </c>
      <c r="Q228" s="301">
        <f t="shared" si="80"/>
        <v>0.5</v>
      </c>
      <c r="R228" s="173">
        <f t="shared" si="81"/>
        <v>0.94302649213963896</v>
      </c>
      <c r="S228" s="802">
        <f t="shared" si="82"/>
        <v>1</v>
      </c>
      <c r="T228" s="172">
        <f t="shared" si="83"/>
        <v>7</v>
      </c>
      <c r="U228" s="247">
        <f t="shared" si="84"/>
        <v>1.943026492139639</v>
      </c>
      <c r="V228" s="378">
        <f t="shared" si="85"/>
        <v>57.998595780171101</v>
      </c>
      <c r="W228" s="397">
        <f t="shared" si="86"/>
        <v>58.174268166085191</v>
      </c>
      <c r="X228" s="153">
        <f t="shared" si="87"/>
        <v>45871</v>
      </c>
      <c r="Y228" s="380">
        <f t="shared" si="88"/>
        <v>55.974941621603584</v>
      </c>
      <c r="Z228" s="380">
        <f t="shared" si="89"/>
        <v>57.018223262928103</v>
      </c>
      <c r="AA228" s="381">
        <f t="shared" si="90"/>
        <v>59.67085070520595</v>
      </c>
      <c r="AB228" s="193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4.4454325871483222E-2</v>
      </c>
      <c r="AD228" s="227">
        <f>(INDEX(Models!$BJ228:$BT228,,AH228)*(1-AF228)+INDEX(Models!$BJ228:$BT228,,AH228+1)*AF228-ERP_i)*AE228*Ramure*Pc/MaxiM</f>
        <v>1.8517579528875029E-5</v>
      </c>
      <c r="AE228" s="301">
        <f t="shared" si="92"/>
        <v>0.5</v>
      </c>
      <c r="AF228" s="173">
        <f t="shared" si="93"/>
        <v>0.94302649213963896</v>
      </c>
      <c r="AG228" s="802">
        <f t="shared" si="99"/>
        <v>1</v>
      </c>
      <c r="AH228" s="172">
        <f t="shared" si="94"/>
        <v>7</v>
      </c>
      <c r="AI228" s="221">
        <f t="shared" si="95"/>
        <v>1.943026492139639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45872</v>
      </c>
      <c r="B229" s="406">
        <f>'2024'!Wh/'2024'!Env_an*'2025'!Env_an</f>
        <v>57.760532742113426</v>
      </c>
      <c r="C229" s="385"/>
      <c r="D229" s="388">
        <f t="shared" si="77"/>
        <v>58.837900331856474</v>
      </c>
      <c r="E229" s="380">
        <f t="shared" si="75"/>
        <v>59.251473979041656</v>
      </c>
      <c r="F229" s="380">
        <f t="shared" si="78"/>
        <v>59.252652423839912</v>
      </c>
      <c r="G229" s="110">
        <f t="shared" si="76"/>
        <v>0.99994212561548113</v>
      </c>
      <c r="H229" s="409" t="b">
        <f>Wh_hp&gt;='2024'!Maxi_hp</f>
        <v>0</v>
      </c>
      <c r="I229" s="375">
        <f>IF(H229,Wh_hp,'2024'!Maxi_hp)</f>
        <v>59.252652502044675</v>
      </c>
      <c r="J229" s="85">
        <f>IF(H229,An,'2024'!An_max)</f>
        <v>2022</v>
      </c>
      <c r="K229" s="193">
        <f t="shared" si="79"/>
        <v>45872</v>
      </c>
      <c r="L229" s="143">
        <f>IF(t&lt;Tvie,1-EXP((T0-t)*PertePVj)+'2024'!Pspv,1-EXP((T0-t)*PertePVj)+Pspv)</f>
        <v>1.8310775599851392E-2</v>
      </c>
      <c r="M229" s="836"/>
      <c r="N229" s="836"/>
      <c r="O229" s="48">
        <f>IF(t&lt;Tnet,'2024'!Resal+('2024'!Salim-'2024'!Resal)*(1-EXP(('2024'!Tnet-t)/('2024'!Tau_j))),Resal+(Salim-Resal)*(1-EXP((Tnet-t)/(Tau_j))))*Salcycl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1.9890117765771711E-5</v>
      </c>
      <c r="Q229" s="301">
        <f t="shared" si="80"/>
        <v>0.5</v>
      </c>
      <c r="R229" s="173">
        <f t="shared" si="81"/>
        <v>0.94487697246236202</v>
      </c>
      <c r="S229" s="802">
        <f t="shared" si="82"/>
        <v>1</v>
      </c>
      <c r="T229" s="172">
        <f t="shared" si="83"/>
        <v>7</v>
      </c>
      <c r="U229" s="247">
        <f t="shared" si="84"/>
        <v>1.944876972462362</v>
      </c>
      <c r="V229" s="378">
        <f t="shared" si="85"/>
        <v>57.763875695882142</v>
      </c>
      <c r="W229" s="397">
        <f t="shared" si="86"/>
        <v>57.760532742113426</v>
      </c>
      <c r="X229" s="153">
        <f t="shared" si="87"/>
        <v>45872</v>
      </c>
      <c r="Y229" s="380">
        <f t="shared" si="88"/>
        <v>55.578723068634119</v>
      </c>
      <c r="Z229" s="380">
        <f t="shared" si="89"/>
        <v>56.615394859401604</v>
      </c>
      <c r="AA229" s="381">
        <f t="shared" si="90"/>
        <v>59.251473979041656</v>
      </c>
      <c r="AB229" s="193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4.4489680046988903E-2</v>
      </c>
      <c r="AD229" s="227">
        <f>(INDEX(Models!$BJ229:$BT229,,AH229)*(1-AF229)+INDEX(Models!$BJ229:$BT229,,AH229+1)*AF229-ERP_i)*AE229*Ramure*Pc/MaxiM</f>
        <v>1.9890117765771711E-5</v>
      </c>
      <c r="AE229" s="301">
        <f t="shared" si="92"/>
        <v>0.5</v>
      </c>
      <c r="AF229" s="173">
        <f t="shared" si="93"/>
        <v>0.94487697246236202</v>
      </c>
      <c r="AG229" s="802">
        <f t="shared" si="99"/>
        <v>1</v>
      </c>
      <c r="AH229" s="172">
        <f t="shared" si="94"/>
        <v>7</v>
      </c>
      <c r="AI229" s="221">
        <f t="shared" si="95"/>
        <v>1.944876972462362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45873</v>
      </c>
      <c r="B230" s="406">
        <f>'2024'!Wh/'2024'!Env_an*'2025'!Env_an</f>
        <v>55.102899715795076</v>
      </c>
      <c r="C230" s="385"/>
      <c r="D230" s="388">
        <f t="shared" si="77"/>
        <v>56.131464692622515</v>
      </c>
      <c r="E230" s="380">
        <f t="shared" si="75"/>
        <v>56.53000901760479</v>
      </c>
      <c r="F230" s="380">
        <f t="shared" si="78"/>
        <v>56.531148165589933</v>
      </c>
      <c r="G230" s="110">
        <f t="shared" si="76"/>
        <v>0.95785041301399765</v>
      </c>
      <c r="H230" s="409" t="b">
        <f>Wh_hp&gt;='2024'!Maxi_hp</f>
        <v>0</v>
      </c>
      <c r="I230" s="375">
        <f>IF(H230,Wh_hp,'2024'!Maxi_hp)</f>
        <v>56.531206587752195</v>
      </c>
      <c r="J230" s="85">
        <f>IF(H230,An,'2024'!An_max)</f>
        <v>2022</v>
      </c>
      <c r="K230" s="193">
        <f t="shared" si="79"/>
        <v>45873</v>
      </c>
      <c r="L230" s="143">
        <f>IF(t&lt;Tvie,1-EXP((T0-t)*PertePVj)+'2024'!Pspv,1-EXP((T0-t)*PertePVj)+Pspv)</f>
        <v>1.8324214100948422E-2</v>
      </c>
      <c r="M230" s="836"/>
      <c r="N230" s="836"/>
      <c r="O230" s="48">
        <f>IF(t&lt;Tnet,'2024'!Resal+('2024'!Salim-'2024'!Resal)*(1-EXP(('2024'!Tnet-t)/('2024'!Tau_j))),Resal+(Salim-Resal)*(1-EXP((Tnet-t)/(Tau_j))))*Salcycl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2.1441857827367117E-5</v>
      </c>
      <c r="Q230" s="301">
        <f t="shared" si="80"/>
        <v>0.5</v>
      </c>
      <c r="R230" s="173">
        <f t="shared" si="81"/>
        <v>0.94666731899703871</v>
      </c>
      <c r="S230" s="802">
        <f t="shared" si="82"/>
        <v>1</v>
      </c>
      <c r="T230" s="172">
        <f t="shared" si="83"/>
        <v>7</v>
      </c>
      <c r="U230" s="247">
        <f t="shared" si="84"/>
        <v>1.9466673189970387</v>
      </c>
      <c r="V230" s="378">
        <f t="shared" si="85"/>
        <v>57.527592852484155</v>
      </c>
      <c r="W230" s="397">
        <f t="shared" si="86"/>
        <v>55.102899715795076</v>
      </c>
      <c r="X230" s="153">
        <f t="shared" si="87"/>
        <v>45873</v>
      </c>
      <c r="Y230" s="380">
        <f t="shared" si="88"/>
        <v>53.023270684610225</v>
      </c>
      <c r="Z230" s="380">
        <f t="shared" si="89"/>
        <v>54.013016768107136</v>
      </c>
      <c r="AA230" s="381">
        <f t="shared" si="90"/>
        <v>56.53000901760479</v>
      </c>
      <c r="AB230" s="193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4.4524886750217985E-2</v>
      </c>
      <c r="AD230" s="227">
        <f>(INDEX(Models!$BJ230:$BT230,,AH230)*(1-AF230)+INDEX(Models!$BJ230:$BT230,,AH230+1)*AF230-ERP_i)*AE230*Ramure*Pc/MaxiM</f>
        <v>2.1441857827367117E-5</v>
      </c>
      <c r="AE230" s="301">
        <f t="shared" si="92"/>
        <v>0.5</v>
      </c>
      <c r="AF230" s="173">
        <f t="shared" si="93"/>
        <v>0.94666731899703871</v>
      </c>
      <c r="AG230" s="802">
        <f t="shared" si="99"/>
        <v>1</v>
      </c>
      <c r="AH230" s="172">
        <f t="shared" si="94"/>
        <v>7</v>
      </c>
      <c r="AI230" s="221">
        <f t="shared" si="95"/>
        <v>1.9466673189970387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45874</v>
      </c>
      <c r="B231" s="406">
        <f>'2024'!Wh/'2024'!Env_an*'2025'!Env_an</f>
        <v>43.984497026284366</v>
      </c>
      <c r="C231" s="385"/>
      <c r="D231" s="388">
        <f t="shared" si="77"/>
        <v>44.806136381444546</v>
      </c>
      <c r="E231" s="380">
        <f t="shared" si="75"/>
        <v>45.127453689654928</v>
      </c>
      <c r="F231" s="380">
        <f t="shared" si="78"/>
        <v>45.128152538002972</v>
      </c>
      <c r="G231" s="110">
        <f t="shared" si="76"/>
        <v>0.76774208359575646</v>
      </c>
      <c r="H231" s="409" t="b">
        <f>Wh_hp&gt;='2024'!Maxi_hp</f>
        <v>0</v>
      </c>
      <c r="I231" s="375">
        <f>IF(H231,Wh_hp,'2024'!Maxi_hp)</f>
        <v>45.128429594310724</v>
      </c>
      <c r="J231" s="85">
        <f>IF(H231,An,'2024'!An_max)</f>
        <v>2022</v>
      </c>
      <c r="K231" s="193">
        <f t="shared" si="79"/>
        <v>45874</v>
      </c>
      <c r="L231" s="143">
        <f>IF(t&lt;Tvie,1-EXP((T0-t)*PertePVj)+'2024'!Pspv,1-EXP((T0-t)*PertePVj)+Pspv)</f>
        <v>1.8337652418083605E-2</v>
      </c>
      <c r="M231" s="836"/>
      <c r="N231" s="836"/>
      <c r="O231" s="48">
        <f>IF(t&lt;Tnet,'2024'!Resal+('2024'!Salim-'2024'!Resal)*(1-EXP(('2024'!Tnet-t)/('2024'!Tau_j))),Resal+(Salim-Resal)*(1-EXP((Tnet-t)/(Tau_j))))*Salcycl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2.3175093822139366E-5</v>
      </c>
      <c r="Q231" s="301">
        <f t="shared" si="80"/>
        <v>0.5</v>
      </c>
      <c r="R231" s="173">
        <f t="shared" si="81"/>
        <v>0.9483989769706811</v>
      </c>
      <c r="S231" s="802">
        <f t="shared" si="82"/>
        <v>1</v>
      </c>
      <c r="T231" s="172">
        <f t="shared" si="83"/>
        <v>7</v>
      </c>
      <c r="U231" s="247">
        <f t="shared" si="84"/>
        <v>1.9483989769706811</v>
      </c>
      <c r="V231" s="378">
        <f t="shared" si="85"/>
        <v>57.290279839885976</v>
      </c>
      <c r="W231" s="397">
        <f t="shared" si="86"/>
        <v>43.984497026284366</v>
      </c>
      <c r="X231" s="153">
        <f t="shared" si="87"/>
        <v>45874</v>
      </c>
      <c r="Y231" s="380">
        <f t="shared" si="88"/>
        <v>42.325919809505365</v>
      </c>
      <c r="Z231" s="380">
        <f t="shared" si="89"/>
        <v>43.116576604740779</v>
      </c>
      <c r="AA231" s="381">
        <f t="shared" si="90"/>
        <v>45.127453689654928</v>
      </c>
      <c r="AB231" s="193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4.4559950108045282E-2</v>
      </c>
      <c r="AD231" s="227">
        <f>(INDEX(Models!$BJ231:$BT231,,AH231)*(1-AF231)+INDEX(Models!$BJ231:$BT231,,AH231+1)*AF231-ERP_i)*AE231*Ramure*Pc/MaxiM</f>
        <v>2.3175093822139366E-5</v>
      </c>
      <c r="AE231" s="301">
        <f t="shared" si="92"/>
        <v>0.5</v>
      </c>
      <c r="AF231" s="173">
        <f t="shared" si="93"/>
        <v>0.9483989769706811</v>
      </c>
      <c r="AG231" s="802">
        <f t="shared" si="99"/>
        <v>1</v>
      </c>
      <c r="AH231" s="172">
        <f t="shared" si="94"/>
        <v>7</v>
      </c>
      <c r="AI231" s="221">
        <f t="shared" si="95"/>
        <v>1.9483989769706811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45875</v>
      </c>
      <c r="B232" s="406">
        <f>'2024'!Wh/'2024'!Env_an*'2025'!Env_an</f>
        <v>52.481588339299719</v>
      </c>
      <c r="C232" s="385"/>
      <c r="D232" s="388">
        <f t="shared" si="77"/>
        <v>53.462686948607249</v>
      </c>
      <c r="E232" s="380">
        <f t="shared" si="75"/>
        <v>53.849879131372234</v>
      </c>
      <c r="F232" s="380">
        <f t="shared" si="78"/>
        <v>53.851075713605098</v>
      </c>
      <c r="G232" s="110">
        <f t="shared" si="76"/>
        <v>0.91988021663085895</v>
      </c>
      <c r="H232" s="409" t="b">
        <f>Wh_hp&gt;='2024'!Maxi_hp</f>
        <v>0</v>
      </c>
      <c r="I232" s="375">
        <f>IF(H232,Wh_hp,'2024'!Maxi_hp)</f>
        <v>53.85119889796897</v>
      </c>
      <c r="J232" s="85">
        <f>IF(H232,An,'2024'!An_max)</f>
        <v>2022</v>
      </c>
      <c r="K232" s="193">
        <f t="shared" si="79"/>
        <v>45875</v>
      </c>
      <c r="L232" s="143">
        <f>IF(t&lt;Tvie,1-EXP((T0-t)*PertePVj)+'2024'!Pspv,1-EXP((T0-t)*PertePVj)+Pspv)</f>
        <v>1.8351090551259497E-2</v>
      </c>
      <c r="M232" s="836"/>
      <c r="N232" s="836"/>
      <c r="O232" s="48">
        <f>IF(t&lt;Tnet,'2024'!Resal+('2024'!Salim-'2024'!Resal)*(1-EXP(('2024'!Tnet-t)/('2024'!Tau_j))),Resal+(Salim-Resal)*(1-EXP((Tnet-t)/(Tau_j))))*Salcycl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2.509207517301284E-5</v>
      </c>
      <c r="Q232" s="301">
        <f t="shared" si="80"/>
        <v>0.5</v>
      </c>
      <c r="R232" s="173">
        <f t="shared" si="81"/>
        <v>0.95007339428021265</v>
      </c>
      <c r="S232" s="802">
        <f t="shared" si="82"/>
        <v>1</v>
      </c>
      <c r="T232" s="172">
        <f t="shared" si="83"/>
        <v>7</v>
      </c>
      <c r="U232" s="247">
        <f t="shared" si="84"/>
        <v>1.9500733942802126</v>
      </c>
      <c r="V232" s="378">
        <f t="shared" si="85"/>
        <v>57.052469079228473</v>
      </c>
      <c r="W232" s="397">
        <f t="shared" si="86"/>
        <v>52.481588339299719</v>
      </c>
      <c r="X232" s="153">
        <f t="shared" si="87"/>
        <v>45875</v>
      </c>
      <c r="Y232" s="380">
        <f t="shared" si="88"/>
        <v>50.504315418269613</v>
      </c>
      <c r="Z232" s="380">
        <f t="shared" si="89"/>
        <v>51.448450593839155</v>
      </c>
      <c r="AA232" s="381">
        <f t="shared" si="90"/>
        <v>53.849879131372234</v>
      </c>
      <c r="AB232" s="193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4.459487330834206E-2</v>
      </c>
      <c r="AD232" s="227">
        <f>(INDEX(Models!$BJ232:$BT232,,AH232)*(1-AF232)+INDEX(Models!$BJ232:$BT232,,AH232+1)*AF232-ERP_i)*AE232*Ramure*Pc/MaxiM</f>
        <v>2.509207517301284E-5</v>
      </c>
      <c r="AE232" s="301">
        <f t="shared" si="92"/>
        <v>0.5</v>
      </c>
      <c r="AF232" s="173">
        <f t="shared" si="93"/>
        <v>0.95007339428021265</v>
      </c>
      <c r="AG232" s="802">
        <f t="shared" si="99"/>
        <v>1</v>
      </c>
      <c r="AH232" s="172">
        <f t="shared" si="94"/>
        <v>7</v>
      </c>
      <c r="AI232" s="221">
        <f t="shared" si="95"/>
        <v>1.9500733942802126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45876</v>
      </c>
      <c r="B233" s="406">
        <f>'2024'!Wh/'2024'!Env_an*'2025'!Env_an</f>
        <v>55.334083827307502</v>
      </c>
      <c r="C233" s="385"/>
      <c r="D233" s="388">
        <f t="shared" si="77"/>
        <v>56.369279059140524</v>
      </c>
      <c r="E233" s="380">
        <f t="shared" ref="E233:E296" si="100">Wh_pvt/(1-Psa)</f>
        <v>56.781520095840818</v>
      </c>
      <c r="F233" s="380">
        <f t="shared" si="78"/>
        <v>56.783006948967873</v>
      </c>
      <c r="G233" s="110">
        <f t="shared" ref="G233:G296" si="101">+Wh_hp/MaxiM</f>
        <v>0.97397336461763928</v>
      </c>
      <c r="H233" s="409" t="b">
        <f>Wh_hp&gt;='2024'!Maxi_hp</f>
        <v>0</v>
      </c>
      <c r="I233" s="375">
        <f>IF(H233,Wh_hp,'2024'!Maxi_hp)</f>
        <v>56.783052579043542</v>
      </c>
      <c r="J233" s="85">
        <f>IF(H233,An,'2024'!An_max)</f>
        <v>2022</v>
      </c>
      <c r="K233" s="193">
        <f t="shared" si="79"/>
        <v>45876</v>
      </c>
      <c r="L233" s="143">
        <f>IF(t&lt;Tvie,1-EXP((T0-t)*PertePVj)+'2024'!Pspv,1-EXP((T0-t)*PertePVj)+Pspv)</f>
        <v>1.836452850047865E-2</v>
      </c>
      <c r="M233" s="836"/>
      <c r="N233" s="836"/>
      <c r="O233" s="48">
        <f>IF(t&lt;Tnet,'2024'!Resal+('2024'!Salim-'2024'!Resal)*(1-EXP(('2024'!Tnet-t)/('2024'!Tau_j))),Resal+(Salim-Resal)*(1-EXP((Tnet-t)/(Tau_j))))*Salcycl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2.7195957604391988E-5</v>
      </c>
      <c r="Q233" s="301">
        <f t="shared" si="80"/>
        <v>0.5</v>
      </c>
      <c r="R233" s="173">
        <f t="shared" si="81"/>
        <v>0.95169201815977611</v>
      </c>
      <c r="S233" s="802">
        <f t="shared" si="82"/>
        <v>1</v>
      </c>
      <c r="T233" s="172">
        <f t="shared" si="83"/>
        <v>7</v>
      </c>
      <c r="U233" s="247">
        <f t="shared" si="84"/>
        <v>1.9516920181597761</v>
      </c>
      <c r="V233" s="378">
        <f t="shared" si="85"/>
        <v>56.81267053693557</v>
      </c>
      <c r="W233" s="397">
        <f t="shared" si="86"/>
        <v>55.334083827307502</v>
      </c>
      <c r="X233" s="153">
        <f t="shared" si="87"/>
        <v>45876</v>
      </c>
      <c r="Y233" s="380">
        <f t="shared" si="88"/>
        <v>53.251152676471861</v>
      </c>
      <c r="Z233" s="380">
        <f t="shared" si="89"/>
        <v>54.247380236908874</v>
      </c>
      <c r="AA233" s="381">
        <f t="shared" si="90"/>
        <v>56.781520095840818</v>
      </c>
      <c r="AB233" s="193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4.4629658639899081E-2</v>
      </c>
      <c r="AD233" s="227">
        <f>(INDEX(Models!$BJ233:$BT233,,AH233)*(1-AF233)+INDEX(Models!$BJ233:$BT233,,AH233+1)*AF233-ERP_i)*AE233*Ramure*Pc/MaxiM</f>
        <v>2.7195957604391988E-5</v>
      </c>
      <c r="AE233" s="301">
        <f t="shared" si="92"/>
        <v>0.5</v>
      </c>
      <c r="AF233" s="173">
        <f t="shared" si="93"/>
        <v>0.95169201815977611</v>
      </c>
      <c r="AG233" s="802">
        <f t="shared" si="99"/>
        <v>1</v>
      </c>
      <c r="AH233" s="172">
        <f t="shared" si="94"/>
        <v>7</v>
      </c>
      <c r="AI233" s="221">
        <f t="shared" si="95"/>
        <v>1.9516920181597761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45877</v>
      </c>
      <c r="B234" s="406">
        <f>'2024'!Wh/'2024'!Env_an*'2025'!Env_an</f>
        <v>56.767957863308972</v>
      </c>
      <c r="C234" s="385"/>
      <c r="D234" s="388">
        <f t="shared" si="77"/>
        <v>57.83076979981189</v>
      </c>
      <c r="E234" s="380">
        <f t="shared" si="100"/>
        <v>58.257796813865134</v>
      </c>
      <c r="F234" s="380">
        <f t="shared" si="78"/>
        <v>58.259512816427666</v>
      </c>
      <c r="G234" s="110">
        <f t="shared" si="101"/>
        <v>1.0035125626922681</v>
      </c>
      <c r="H234" s="409" t="b">
        <f>Wh_hp&gt;='2024'!Maxi_hp</f>
        <v>1</v>
      </c>
      <c r="I234" s="375">
        <f>IF(H234,Wh_hp,'2024'!Maxi_hp)</f>
        <v>58.259512816427666</v>
      </c>
      <c r="J234" s="85">
        <f>IF(H234,An,'2024'!An_max)</f>
        <v>2025</v>
      </c>
      <c r="K234" s="193">
        <f t="shared" si="79"/>
        <v>45877</v>
      </c>
      <c r="L234" s="143">
        <f>IF(t&lt;Tvie,1-EXP((T0-t)*PertePVj)+'2024'!Pspv,1-EXP((T0-t)*PertePVj)+Pspv)</f>
        <v>1.8377966265743506E-2</v>
      </c>
      <c r="M234" s="836"/>
      <c r="N234" s="836"/>
      <c r="O234" s="48">
        <f>IF(t&lt;Tnet,'2024'!Resal+('2024'!Salim-'2024'!Resal)*(1-EXP(('2024'!Tnet-t)/('2024'!Tau_j))),Resal+(Salim-Resal)*(1-EXP((Tnet-t)/(Tau_j))))*Salcycl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2.9454461247099169E-5</v>
      </c>
      <c r="Q234" s="301">
        <f t="shared" si="80"/>
        <v>0.5</v>
      </c>
      <c r="R234" s="173">
        <f t="shared" si="81"/>
        <v>0.95325629209269769</v>
      </c>
      <c r="S234" s="802">
        <f t="shared" si="82"/>
        <v>1</v>
      </c>
      <c r="T234" s="172">
        <f t="shared" si="83"/>
        <v>7</v>
      </c>
      <c r="U234" s="247">
        <f t="shared" si="84"/>
        <v>1.9532562920926977</v>
      </c>
      <c r="V234" s="378">
        <f t="shared" si="85"/>
        <v>56.5692548093363</v>
      </c>
      <c r="W234" s="397">
        <f t="shared" si="86"/>
        <v>56.767957863308972</v>
      </c>
      <c r="X234" s="153">
        <f t="shared" si="87"/>
        <v>45877</v>
      </c>
      <c r="Y234" s="380">
        <f t="shared" si="88"/>
        <v>54.632913115721642</v>
      </c>
      <c r="Z234" s="380">
        <f t="shared" si="89"/>
        <v>55.655752660612954</v>
      </c>
      <c r="AA234" s="381">
        <f t="shared" si="90"/>
        <v>58.257796813865134</v>
      </c>
      <c r="AB234" s="193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4.4664307535792459E-2</v>
      </c>
      <c r="AD234" s="227">
        <f>(INDEX(Models!$BJ234:$BT234,,AH234)*(1-AF234)+INDEX(Models!$BJ234:$BT234,,AH234+1)*AF234-ERP_i)*AE234*Ramure*Pc/MaxiM</f>
        <v>2.9454461247099169E-5</v>
      </c>
      <c r="AE234" s="301">
        <f t="shared" si="92"/>
        <v>0.5</v>
      </c>
      <c r="AF234" s="173">
        <f t="shared" si="93"/>
        <v>0.95325629209269769</v>
      </c>
      <c r="AG234" s="802">
        <f t="shared" si="99"/>
        <v>1</v>
      </c>
      <c r="AH234" s="172">
        <f t="shared" si="94"/>
        <v>7</v>
      </c>
      <c r="AI234" s="221">
        <f t="shared" si="95"/>
        <v>1.9532562920926977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45878</v>
      </c>
      <c r="B235" s="406">
        <f>'2024'!Wh/'2024'!Env_an*'2025'!Env_an</f>
        <v>54.122384509334047</v>
      </c>
      <c r="C235" s="385"/>
      <c r="D235" s="388">
        <f t="shared" si="77"/>
        <v>55.136420688904913</v>
      </c>
      <c r="E235" s="380">
        <f t="shared" si="100"/>
        <v>55.547455082440585</v>
      </c>
      <c r="F235" s="380">
        <f t="shared" si="78"/>
        <v>55.549122544923961</v>
      </c>
      <c r="G235" s="110">
        <f t="shared" si="101"/>
        <v>0.96093468656143965</v>
      </c>
      <c r="H235" s="409" t="b">
        <f>Wh_hp&gt;='2024'!Maxi_hp</f>
        <v>0</v>
      </c>
      <c r="I235" s="375">
        <f>IF(H235,Wh_hp,'2024'!Maxi_hp)</f>
        <v>55.54920055473837</v>
      </c>
      <c r="J235" s="85">
        <f>IF(H235,An,'2024'!An_max)</f>
        <v>2022</v>
      </c>
      <c r="K235" s="193">
        <f t="shared" si="79"/>
        <v>45878</v>
      </c>
      <c r="L235" s="143">
        <f>IF(t&lt;Tvie,1-EXP((T0-t)*PertePVj)+'2024'!Pspv,1-EXP((T0-t)*PertePVj)+Pspv)</f>
        <v>1.8391403847056731E-2</v>
      </c>
      <c r="M235" s="836"/>
      <c r="N235" s="836"/>
      <c r="O235" s="48">
        <f>IF(t&lt;Tnet,'2024'!Resal+('2024'!Salim-'2024'!Resal)*(1-EXP(('2024'!Tnet-t)/('2024'!Tau_j))),Resal+(Salim-Resal)*(1-EXP((Tnet-t)/(Tau_j))))*Salcycl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3.1791955599297637E-5</v>
      </c>
      <c r="Q235" s="301">
        <f t="shared" si="80"/>
        <v>0.5</v>
      </c>
      <c r="R235" s="173">
        <f t="shared" si="81"/>
        <v>0.95476765296132604</v>
      </c>
      <c r="S235" s="802">
        <f t="shared" si="82"/>
        <v>1</v>
      </c>
      <c r="T235" s="172">
        <f t="shared" si="83"/>
        <v>7</v>
      </c>
      <c r="U235" s="247">
        <f t="shared" si="84"/>
        <v>1.954767652961326</v>
      </c>
      <c r="V235" s="378">
        <f t="shared" si="85"/>
        <v>56.322546414283742</v>
      </c>
      <c r="W235" s="397">
        <f t="shared" si="86"/>
        <v>54.122384509334047</v>
      </c>
      <c r="X235" s="153">
        <f t="shared" si="87"/>
        <v>45878</v>
      </c>
      <c r="Y235" s="380">
        <f t="shared" si="88"/>
        <v>52.088617794751663</v>
      </c>
      <c r="Z235" s="380">
        <f t="shared" si="89"/>
        <v>53.064549351843489</v>
      </c>
      <c r="AA235" s="381">
        <f t="shared" si="90"/>
        <v>55.547455082440585</v>
      </c>
      <c r="AB235" s="193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4.4698820619452254E-2</v>
      </c>
      <c r="AD235" s="227">
        <f>(INDEX(Models!$BJ235:$BT235,,AH235)*(1-AF235)+INDEX(Models!$BJ235:$BT235,,AH235+1)*AF235-ERP_i)*AE235*Ramure*Pc/MaxiM</f>
        <v>3.1791955599297637E-5</v>
      </c>
      <c r="AE235" s="301">
        <f t="shared" si="92"/>
        <v>0.5</v>
      </c>
      <c r="AF235" s="173">
        <f t="shared" si="93"/>
        <v>0.95476765296132604</v>
      </c>
      <c r="AG235" s="802">
        <f t="shared" si="99"/>
        <v>1</v>
      </c>
      <c r="AH235" s="172">
        <f t="shared" si="94"/>
        <v>7</v>
      </c>
      <c r="AI235" s="221">
        <f t="shared" si="95"/>
        <v>1.954767652961326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45879</v>
      </c>
      <c r="B236" s="406">
        <f>'2024'!Wh/'2024'!Env_an*'2025'!Env_an</f>
        <v>52.560913862361474</v>
      </c>
      <c r="C236" s="385"/>
      <c r="D236" s="388">
        <f t="shared" si="77"/>
        <v>53.546427357074329</v>
      </c>
      <c r="E236" s="380">
        <f t="shared" si="100"/>
        <v>53.949394605286017</v>
      </c>
      <c r="F236" s="380">
        <f t="shared" si="78"/>
        <v>53.951075108324929</v>
      </c>
      <c r="G236" s="110">
        <f t="shared" si="101"/>
        <v>0.93736520531085643</v>
      </c>
      <c r="H236" s="409" t="b">
        <f>Wh_hp&gt;='2024'!Maxi_hp</f>
        <v>0</v>
      </c>
      <c r="I236" s="375">
        <f>IF(H236,Wh_hp,'2024'!Maxi_hp)</f>
        <v>53.951205583725304</v>
      </c>
      <c r="J236" s="85">
        <f>IF(H236,An,'2024'!An_max)</f>
        <v>2022</v>
      </c>
      <c r="K236" s="193">
        <f t="shared" si="79"/>
        <v>45879</v>
      </c>
      <c r="L236" s="143">
        <f>IF(t&lt;Tvie,1-EXP((T0-t)*PertePVj)+'2024'!Pspv,1-EXP((T0-t)*PertePVj)+Pspv)</f>
        <v>1.8404841244420655E-2</v>
      </c>
      <c r="M236" s="836"/>
      <c r="N236" s="836"/>
      <c r="O236" s="48">
        <f>IF(t&lt;Tnet,'2024'!Resal+('2024'!Salim-'2024'!Resal)*(1-EXP(('2024'!Tnet-t)/('2024'!Tau_j))),Resal+(Salim-Resal)*(1-EXP((Tnet-t)/(Tau_j))))*Salcycl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3.420951622047435E-5</v>
      </c>
      <c r="Q236" s="301">
        <f t="shared" si="80"/>
        <v>0.5</v>
      </c>
      <c r="R236" s="173">
        <f t="shared" si="81"/>
        <v>0.95622752842722303</v>
      </c>
      <c r="S236" s="802">
        <f t="shared" si="82"/>
        <v>1</v>
      </c>
      <c r="T236" s="172">
        <f t="shared" si="83"/>
        <v>7</v>
      </c>
      <c r="U236" s="247">
        <f t="shared" si="84"/>
        <v>1.956227528427223</v>
      </c>
      <c r="V236" s="378">
        <f t="shared" si="85"/>
        <v>56.072865386421014</v>
      </c>
      <c r="W236" s="397">
        <f t="shared" si="86"/>
        <v>52.560913862361474</v>
      </c>
      <c r="X236" s="153">
        <f t="shared" si="87"/>
        <v>45879</v>
      </c>
      <c r="Y236" s="380">
        <f t="shared" si="88"/>
        <v>50.587552560792659</v>
      </c>
      <c r="Z236" s="380">
        <f t="shared" si="89"/>
        <v>51.536065667770004</v>
      </c>
      <c r="AA236" s="381">
        <f t="shared" si="90"/>
        <v>53.949394605286017</v>
      </c>
      <c r="AB236" s="193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4.4733197752687116E-2</v>
      </c>
      <c r="AD236" s="227">
        <f>(INDEX(Models!$BJ236:$BT236,,AH236)*(1-AF236)+INDEX(Models!$BJ236:$BT236,,AH236+1)*AF236-ERP_i)*AE236*Ramure*Pc/MaxiM</f>
        <v>3.420951622047435E-5</v>
      </c>
      <c r="AE236" s="301">
        <f t="shared" si="92"/>
        <v>0.5</v>
      </c>
      <c r="AF236" s="173">
        <f t="shared" si="93"/>
        <v>0.95622752842722303</v>
      </c>
      <c r="AG236" s="802">
        <f t="shared" si="99"/>
        <v>1</v>
      </c>
      <c r="AH236" s="172">
        <f t="shared" si="94"/>
        <v>7</v>
      </c>
      <c r="AI236" s="221">
        <f t="shared" si="95"/>
        <v>1.956227528427223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45880</v>
      </c>
      <c r="B237" s="406">
        <f>'2024'!Wh/'2024'!Env_an*'2025'!Env_an</f>
        <v>49.60386442758324</v>
      </c>
      <c r="C237" s="385"/>
      <c r="D237" s="388">
        <f t="shared" si="77"/>
        <v>50.534625226772413</v>
      </c>
      <c r="E237" s="380">
        <f t="shared" si="100"/>
        <v>50.918496150585668</v>
      </c>
      <c r="F237" s="380">
        <f t="shared" si="78"/>
        <v>50.9200679503845</v>
      </c>
      <c r="G237" s="110">
        <f t="shared" si="101"/>
        <v>0.88862598125424086</v>
      </c>
      <c r="H237" s="409" t="b">
        <f>Wh_hp&gt;='2024'!Maxi_hp</f>
        <v>0</v>
      </c>
      <c r="I237" s="375">
        <f>IF(H237,Wh_hp,'2024'!Maxi_hp)</f>
        <v>50.920302507199573</v>
      </c>
      <c r="J237" s="85">
        <f>IF(H237,An,'2024'!An_max)</f>
        <v>2022</v>
      </c>
      <c r="K237" s="193">
        <f t="shared" si="79"/>
        <v>45880</v>
      </c>
      <c r="L237" s="143">
        <f>IF(t&lt;Tvie,1-EXP((T0-t)*PertePVj)+'2024'!Pspv,1-EXP((T0-t)*PertePVj)+Pspv)</f>
        <v>1.8418278457837944E-2</v>
      </c>
      <c r="M237" s="836"/>
      <c r="N237" s="836"/>
      <c r="O237" s="48">
        <f>IF(t&lt;Tnet,'2024'!Resal+('2024'!Salim-'2024'!Resal)*(1-EXP(('2024'!Tnet-t)/('2024'!Tau_j))),Resal+(Salim-Resal)*(1-EXP((Tnet-t)/(Tau_j))))*Salcycl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3.6708195645816383E-5</v>
      </c>
      <c r="Q237" s="301">
        <f t="shared" si="80"/>
        <v>0.5</v>
      </c>
      <c r="R237" s="173">
        <f t="shared" si="81"/>
        <v>0.95763733453356559</v>
      </c>
      <c r="S237" s="802">
        <f t="shared" si="82"/>
        <v>1</v>
      </c>
      <c r="T237" s="172">
        <f t="shared" si="83"/>
        <v>7</v>
      </c>
      <c r="U237" s="247">
        <f t="shared" si="84"/>
        <v>1.9576373345335656</v>
      </c>
      <c r="V237" s="378">
        <f t="shared" si="85"/>
        <v>55.820531661159286</v>
      </c>
      <c r="W237" s="397">
        <f t="shared" si="86"/>
        <v>49.60386442758324</v>
      </c>
      <c r="X237" s="153">
        <f t="shared" si="87"/>
        <v>45880</v>
      </c>
      <c r="Y237" s="380">
        <f t="shared" si="88"/>
        <v>47.743158779082442</v>
      </c>
      <c r="Z237" s="380">
        <f t="shared" si="89"/>
        <v>48.639005526787123</v>
      </c>
      <c r="AA237" s="381">
        <f t="shared" si="90"/>
        <v>50.918496150585668</v>
      </c>
      <c r="AB237" s="193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4.4767438084919384E-2</v>
      </c>
      <c r="AD237" s="227">
        <f>(INDEX(Models!$BJ237:$BT237,,AH237)*(1-AF237)+INDEX(Models!$BJ237:$BT237,,AH237+1)*AF237-ERP_i)*AE237*Ramure*Pc/MaxiM</f>
        <v>3.6708195645816383E-5</v>
      </c>
      <c r="AE237" s="301">
        <f t="shared" si="92"/>
        <v>0.5</v>
      </c>
      <c r="AF237" s="173">
        <f t="shared" si="93"/>
        <v>0.95763733453356559</v>
      </c>
      <c r="AG237" s="802">
        <f t="shared" si="99"/>
        <v>1</v>
      </c>
      <c r="AH237" s="172">
        <f t="shared" si="94"/>
        <v>7</v>
      </c>
      <c r="AI237" s="221">
        <f t="shared" si="95"/>
        <v>1.9576373345335656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45881</v>
      </c>
      <c r="B238" s="406">
        <f>'2024'!Wh/'2024'!Env_an*'2025'!Env_an</f>
        <v>0</v>
      </c>
      <c r="C238" s="385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Wh_hp&gt;='2024'!Maxi_hp</f>
        <v>1</v>
      </c>
      <c r="I238" s="375">
        <f>IF(H238,Wh_hp,'2024'!Maxi_hp)</f>
        <v>0</v>
      </c>
      <c r="J238" s="85">
        <f>IF(H238,An,'2024'!An_max)</f>
        <v>2025</v>
      </c>
      <c r="K238" s="193">
        <f t="shared" si="79"/>
        <v>45881</v>
      </c>
      <c r="L238" s="143">
        <f>IF(t&lt;Tvie,1-EXP((T0-t)*PertePVj)+'2024'!Pspv,1-EXP((T0-t)*PertePVj)+Pspv)</f>
        <v>1.8431715487311151E-2</v>
      </c>
      <c r="M238" s="836"/>
      <c r="N238" s="836"/>
      <c r="O238" s="48">
        <f>IF(t&lt;Tnet,'2024'!Resal+('2024'!Salim-'2024'!Resal)*(1-EXP(('2024'!Tnet-t)/('2024'!Tau_j))),Resal+(Salim-Resal)*(1-EXP((Tnet-t)/(Tau_j))))*Salcycl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3.9289017689531083E-5</v>
      </c>
      <c r="Q238" s="301">
        <f t="shared" si="80"/>
        <v>0.5</v>
      </c>
      <c r="R238" s="173">
        <f t="shared" si="81"/>
        <v>0.95899847352113166</v>
      </c>
      <c r="S238" s="802">
        <f t="shared" si="82"/>
        <v>1</v>
      </c>
      <c r="T238" s="172">
        <f t="shared" si="83"/>
        <v>7</v>
      </c>
      <c r="U238" s="247">
        <f t="shared" si="84"/>
        <v>1.9589984735211317</v>
      </c>
      <c r="V238" s="378">
        <f t="shared" si="85"/>
        <v>55.565865071312125</v>
      </c>
      <c r="W238" s="397">
        <f t="shared" si="86"/>
        <v>0</v>
      </c>
      <c r="X238" s="153">
        <f t="shared" si="87"/>
        <v>45881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4.480154010289579E-2</v>
      </c>
      <c r="AD238" s="227">
        <f>(INDEX(Models!$BJ238:$BT238,,AH238)*(1-AF238)+INDEX(Models!$BJ238:$BT238,,AH238+1)*AF238-ERP_i)*AE238*Ramure*Pc/MaxiM</f>
        <v>3.9289017689531083E-5</v>
      </c>
      <c r="AE238" s="301">
        <f t="shared" si="92"/>
        <v>0.5</v>
      </c>
      <c r="AF238" s="173">
        <f t="shared" si="93"/>
        <v>0.95899847352113166</v>
      </c>
      <c r="AG238" s="802">
        <f t="shared" si="99"/>
        <v>1</v>
      </c>
      <c r="AH238" s="172">
        <f t="shared" si="94"/>
        <v>7</v>
      </c>
      <c r="AI238" s="221">
        <f t="shared" si="95"/>
        <v>1.9589984735211317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45882</v>
      </c>
      <c r="B239" s="406">
        <f>'2024'!Wh/'2024'!Env_an*'2025'!Env_an</f>
        <v>36.865357984147934</v>
      </c>
      <c r="C239" s="385"/>
      <c r="D239" s="388">
        <f t="shared" si="77"/>
        <v>37.558123289559546</v>
      </c>
      <c r="E239" s="380">
        <f t="shared" si="100"/>
        <v>37.848718748457841</v>
      </c>
      <c r="F239" s="380">
        <f t="shared" si="78"/>
        <v>37.84955020135309</v>
      </c>
      <c r="G239" s="110">
        <f t="shared" si="101"/>
        <v>0.66651896891125673</v>
      </c>
      <c r="H239" s="409" t="b">
        <f>Wh_hp&gt;='2024'!Maxi_hp</f>
        <v>0</v>
      </c>
      <c r="I239" s="375">
        <f>IF(H239,Wh_hp,'2024'!Maxi_hp)</f>
        <v>37.850144925351806</v>
      </c>
      <c r="J239" s="85">
        <f>IF(H239,An,'2024'!An_max)</f>
        <v>2022</v>
      </c>
      <c r="K239" s="193">
        <f t="shared" si="79"/>
        <v>45882</v>
      </c>
      <c r="L239" s="143">
        <f>IF(t&lt;Tvie,1-EXP((T0-t)*PertePVj)+'2024'!Pspv,1-EXP((T0-t)*PertePVj)+Pspv)</f>
        <v>1.8445152332842607E-2</v>
      </c>
      <c r="M239" s="836"/>
      <c r="N239" s="836"/>
      <c r="O239" s="48">
        <f>IF(t&lt;Tnet,'2024'!Resal+('2024'!Salim-'2024'!Resal)*(1-EXP(('2024'!Tnet-t)/('2024'!Tau_j))),Resal+(Salim-Resal)*(1-EXP((Tnet-t)/(Tau_j))))*Salcycl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4.195297145745191E-5</v>
      </c>
      <c r="Q239" s="301">
        <f t="shared" si="80"/>
        <v>0.5</v>
      </c>
      <c r="R239" s="173">
        <f t="shared" si="81"/>
        <v>0.96031233184887532</v>
      </c>
      <c r="S239" s="802">
        <f t="shared" si="82"/>
        <v>1</v>
      </c>
      <c r="T239" s="172">
        <f t="shared" si="83"/>
        <v>7</v>
      </c>
      <c r="U239" s="247">
        <f t="shared" si="84"/>
        <v>1.9603123318488753</v>
      </c>
      <c r="V239" s="378">
        <f t="shared" si="85"/>
        <v>55.309185348027029</v>
      </c>
      <c r="W239" s="397">
        <f t="shared" si="86"/>
        <v>36.865357984147934</v>
      </c>
      <c r="X239" s="153">
        <f t="shared" si="87"/>
        <v>45882</v>
      </c>
      <c r="Y239" s="380">
        <f t="shared" si="88"/>
        <v>35.484927874280103</v>
      </c>
      <c r="Z239" s="380">
        <f t="shared" si="89"/>
        <v>36.151752455419533</v>
      </c>
      <c r="AA239" s="381">
        <f t="shared" si="90"/>
        <v>37.848718748457841</v>
      </c>
      <c r="AB239" s="193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4.4835501680157944E-2</v>
      </c>
      <c r="AD239" s="227">
        <f>(INDEX(Models!$BJ239:$BT239,,AH239)*(1-AF239)+INDEX(Models!$BJ239:$BT239,,AH239+1)*AF239-ERP_i)*AE239*Ramure*Pc/MaxiM</f>
        <v>4.195297145745191E-5</v>
      </c>
      <c r="AE239" s="301">
        <f t="shared" si="92"/>
        <v>0.5</v>
      </c>
      <c r="AF239" s="173">
        <f t="shared" si="93"/>
        <v>0.96031233184887532</v>
      </c>
      <c r="AG239" s="802">
        <f t="shared" si="99"/>
        <v>1</v>
      </c>
      <c r="AH239" s="172">
        <f t="shared" si="94"/>
        <v>7</v>
      </c>
      <c r="AI239" s="221">
        <f t="shared" si="95"/>
        <v>1.9603123318488753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45883</v>
      </c>
      <c r="B240" s="406">
        <f>'2024'!Wh/'2024'!Env_an*'2025'!Env_an</f>
        <v>36.932611045305926</v>
      </c>
      <c r="C240" s="385"/>
      <c r="D240" s="388">
        <f t="shared" si="77"/>
        <v>37.627155238890403</v>
      </c>
      <c r="E240" s="380">
        <f t="shared" si="100"/>
        <v>37.920933515870104</v>
      </c>
      <c r="F240" s="380">
        <f t="shared" si="78"/>
        <v>37.921839564245445</v>
      </c>
      <c r="G240" s="110">
        <f t="shared" si="101"/>
        <v>0.67086825957024421</v>
      </c>
      <c r="H240" s="409" t="b">
        <f>Wh_hp&gt;='2024'!Maxi_hp</f>
        <v>0</v>
      </c>
      <c r="I240" s="375">
        <f>IF(H240,Wh_hp,'2024'!Maxi_hp)</f>
        <v>37.922472113762595</v>
      </c>
      <c r="J240" s="85">
        <f>IF(H240,An,'2024'!An_max)</f>
        <v>2022</v>
      </c>
      <c r="K240" s="193">
        <f t="shared" si="79"/>
        <v>45883</v>
      </c>
      <c r="L240" s="143">
        <f>IF(t&lt;Tvie,1-EXP((T0-t)*PertePVj)+'2024'!Pspv,1-EXP((T0-t)*PertePVj)+Pspv)</f>
        <v>1.8458588994434977E-2</v>
      </c>
      <c r="M240" s="836"/>
      <c r="N240" s="836"/>
      <c r="O240" s="48">
        <f>IF(t&lt;Tnet,'2024'!Resal+('2024'!Salim-'2024'!Resal)*(1-EXP(('2024'!Tnet-t)/('2024'!Tau_j))),Resal+(Salim-Resal)*(1-EXP((Tnet-t)/(Tau_j))))*Salcycl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4.5094513560261319E-5</v>
      </c>
      <c r="Q240" s="301">
        <f t="shared" si="80"/>
        <v>0.5</v>
      </c>
      <c r="R240" s="173">
        <f t="shared" si="81"/>
        <v>0.96158027840982419</v>
      </c>
      <c r="S240" s="802">
        <f t="shared" si="82"/>
        <v>1</v>
      </c>
      <c r="T240" s="172">
        <f t="shared" si="83"/>
        <v>7</v>
      </c>
      <c r="U240" s="247">
        <f t="shared" si="84"/>
        <v>1.9615802784098242</v>
      </c>
      <c r="V240" s="378">
        <f t="shared" si="85"/>
        <v>55.050790456738596</v>
      </c>
      <c r="W240" s="397">
        <f t="shared" si="86"/>
        <v>36.932611045305926</v>
      </c>
      <c r="X240" s="153">
        <f t="shared" si="87"/>
        <v>45883</v>
      </c>
      <c r="Y240" s="380">
        <f t="shared" si="88"/>
        <v>35.550887124513267</v>
      </c>
      <c r="Z240" s="380">
        <f t="shared" si="89"/>
        <v>36.219447010485538</v>
      </c>
      <c r="AA240" s="381">
        <f t="shared" si="90"/>
        <v>37.920933515870104</v>
      </c>
      <c r="AB240" s="193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4.4869320125584006E-2</v>
      </c>
      <c r="AD240" s="227">
        <f>(INDEX(Models!$BJ240:$BT240,,AH240)*(1-AF240)+INDEX(Models!$BJ240:$BT240,,AH240+1)*AF240-ERP_i)*AE240*Ramure*Pc/MaxiM</f>
        <v>4.5094513560261319E-5</v>
      </c>
      <c r="AE240" s="301">
        <f t="shared" si="92"/>
        <v>0.5</v>
      </c>
      <c r="AF240" s="173">
        <f t="shared" si="93"/>
        <v>0.96158027840982419</v>
      </c>
      <c r="AG240" s="802">
        <f t="shared" si="99"/>
        <v>1</v>
      </c>
      <c r="AH240" s="172">
        <f t="shared" si="94"/>
        <v>7</v>
      </c>
      <c r="AI240" s="221">
        <f t="shared" si="95"/>
        <v>1.9615802784098242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45884</v>
      </c>
      <c r="B241" s="406">
        <f>'2024'!Wh/'2024'!Env_an*'2025'!Env_an</f>
        <v>37.352217741965404</v>
      </c>
      <c r="C241" s="385"/>
      <c r="D241" s="388">
        <f t="shared" si="77"/>
        <v>38.055173883282237</v>
      </c>
      <c r="E241" s="380">
        <f t="shared" si="100"/>
        <v>38.354969740420991</v>
      </c>
      <c r="F241" s="380">
        <f t="shared" si="78"/>
        <v>38.355986796793417</v>
      </c>
      <c r="G241" s="110">
        <f t="shared" si="101"/>
        <v>0.68170663805935305</v>
      </c>
      <c r="H241" s="409" t="b">
        <f>Wh_hp&gt;='2024'!Maxi_hp</f>
        <v>0</v>
      </c>
      <c r="I241" s="375">
        <f>IF(H241,Wh_hp,'2024'!Maxi_hp)</f>
        <v>38.356655660783957</v>
      </c>
      <c r="J241" s="85">
        <f>IF(H241,An,'2024'!An_max)</f>
        <v>2022</v>
      </c>
      <c r="K241" s="193">
        <f t="shared" si="79"/>
        <v>45884</v>
      </c>
      <c r="L241" s="143">
        <f>IF(t&lt;Tvie,1-EXP((T0-t)*PertePVj)+'2024'!Pspv,1-EXP((T0-t)*PertePVj)+Pspv)</f>
        <v>1.8472025472090703E-2</v>
      </c>
      <c r="M241" s="836"/>
      <c r="N241" s="836"/>
      <c r="O241" s="48">
        <f>IF(t&lt;Tnet,'2024'!Resal+('2024'!Salim-'2024'!Resal)*(1-EXP(('2024'!Tnet-t)/('2024'!Tau_j))),Resal+(Salim-Resal)*(1-EXP((Tnet-t)/(Tau_j))))*Salcycl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4.8625383918025235E-5</v>
      </c>
      <c r="Q241" s="301">
        <f t="shared" si="80"/>
        <v>0.5</v>
      </c>
      <c r="R241" s="173">
        <f t="shared" si="81"/>
        <v>0.96280366293286446</v>
      </c>
      <c r="S241" s="802">
        <f t="shared" si="82"/>
        <v>1</v>
      </c>
      <c r="T241" s="172">
        <f t="shared" si="83"/>
        <v>7</v>
      </c>
      <c r="U241" s="247">
        <f t="shared" si="84"/>
        <v>1.9628036629328645</v>
      </c>
      <c r="V241" s="378">
        <f t="shared" si="85"/>
        <v>54.791005117193947</v>
      </c>
      <c r="W241" s="397">
        <f t="shared" si="86"/>
        <v>37.352217741965404</v>
      </c>
      <c r="X241" s="153">
        <f t="shared" si="87"/>
        <v>45884</v>
      </c>
      <c r="Y241" s="380">
        <f t="shared" si="88"/>
        <v>35.956036353735847</v>
      </c>
      <c r="Z241" s="380">
        <f t="shared" si="89"/>
        <v>36.63271683217161</v>
      </c>
      <c r="AA241" s="381">
        <f t="shared" si="90"/>
        <v>38.354969740420991</v>
      </c>
      <c r="AB241" s="193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4.4902992230348548E-2</v>
      </c>
      <c r="AD241" s="227">
        <f>(INDEX(Models!$BJ241:$BT241,,AH241)*(1-AF241)+INDEX(Models!$BJ241:$BT241,,AH241+1)*AF241-ERP_i)*AE241*Ramure*Pc/MaxiM</f>
        <v>4.8625383918025235E-5</v>
      </c>
      <c r="AE241" s="301">
        <f t="shared" si="92"/>
        <v>0.5</v>
      </c>
      <c r="AF241" s="173">
        <f t="shared" si="93"/>
        <v>0.96280366293286446</v>
      </c>
      <c r="AG241" s="802">
        <f t="shared" si="99"/>
        <v>1</v>
      </c>
      <c r="AH241" s="172">
        <f t="shared" si="94"/>
        <v>7</v>
      </c>
      <c r="AI241" s="221">
        <f t="shared" si="95"/>
        <v>1.9628036629328645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45885</v>
      </c>
      <c r="B242" s="406">
        <f>'2024'!Wh/'2024'!Env_an*'2025'!Env_an</f>
        <v>38.687551205586153</v>
      </c>
      <c r="C242" s="385"/>
      <c r="D242" s="388">
        <f t="shared" si="77"/>
        <v>39.416177446732199</v>
      </c>
      <c r="E242" s="380">
        <f t="shared" si="100"/>
        <v>39.729463452962001</v>
      </c>
      <c r="F242" s="380">
        <f t="shared" si="78"/>
        <v>39.730684792432093</v>
      </c>
      <c r="G242" s="110">
        <f t="shared" si="101"/>
        <v>0.70945537971284889</v>
      </c>
      <c r="H242" s="409" t="b">
        <f>Wh_hp&gt;='2024'!Maxi_hp</f>
        <v>0</v>
      </c>
      <c r="I242" s="375">
        <f>IF(H242,Wh_hp,'2024'!Maxi_hp)</f>
        <v>39.731371026563743</v>
      </c>
      <c r="J242" s="85">
        <f>IF(H242,An,'2024'!An_max)</f>
        <v>2022</v>
      </c>
      <c r="K242" s="193">
        <f t="shared" si="79"/>
        <v>45885</v>
      </c>
      <c r="L242" s="143">
        <f>IF(t&lt;Tvie,1-EXP((T0-t)*PertePVj)+'2024'!Pspv,1-EXP((T0-t)*PertePVj)+Pspv)</f>
        <v>1.8485461765812339E-2</v>
      </c>
      <c r="M242" s="836"/>
      <c r="N242" s="836"/>
      <c r="O242" s="48">
        <f>IF(t&lt;Tnet,'2024'!Resal+('2024'!Salim-'2024'!Resal)*(1-EXP(('2024'!Tnet-t)/('2024'!Tau_j))),Resal+(Salim-Resal)*(1-EXP((Tnet-t)/(Tau_j))))*Salcycl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5.2551532708204282E-5</v>
      </c>
      <c r="Q242" s="301">
        <f t="shared" si="80"/>
        <v>0.5</v>
      </c>
      <c r="R242" s="173">
        <f t="shared" si="81"/>
        <v>0.96398381456088322</v>
      </c>
      <c r="S242" s="802">
        <f t="shared" si="82"/>
        <v>1</v>
      </c>
      <c r="T242" s="172">
        <f t="shared" si="83"/>
        <v>7</v>
      </c>
      <c r="U242" s="247">
        <f t="shared" si="84"/>
        <v>1.9639838145608832</v>
      </c>
      <c r="V242" s="378">
        <f t="shared" si="85"/>
        <v>54.530148715282301</v>
      </c>
      <c r="W242" s="397">
        <f t="shared" si="86"/>
        <v>38.687551205586153</v>
      </c>
      <c r="X242" s="153">
        <f t="shared" si="87"/>
        <v>45885</v>
      </c>
      <c r="Y242" s="380">
        <f t="shared" si="88"/>
        <v>37.242744533731752</v>
      </c>
      <c r="Z242" s="380">
        <f t="shared" si="89"/>
        <v>37.944159849872442</v>
      </c>
      <c r="AA242" s="381">
        <f t="shared" si="90"/>
        <v>39.729463452962001</v>
      </c>
      <c r="AB242" s="193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4.4936514312691016E-2</v>
      </c>
      <c r="AD242" s="227">
        <f>(INDEX(Models!$BJ242:$BT242,,AH242)*(1-AF242)+INDEX(Models!$BJ242:$BT242,,AH242+1)*AF242-ERP_i)*AE242*Ramure*Pc/MaxiM</f>
        <v>5.2551532708204282E-5</v>
      </c>
      <c r="AE242" s="301">
        <f t="shared" si="92"/>
        <v>0.5</v>
      </c>
      <c r="AF242" s="173">
        <f t="shared" si="93"/>
        <v>0.96398381456088322</v>
      </c>
      <c r="AG242" s="802">
        <f t="shared" si="99"/>
        <v>1</v>
      </c>
      <c r="AH242" s="172">
        <f t="shared" si="94"/>
        <v>7</v>
      </c>
      <c r="AI242" s="221">
        <f t="shared" si="95"/>
        <v>1.9639838145608832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45886</v>
      </c>
      <c r="B243" s="406">
        <f>'2024'!Wh/'2024'!Env_an*'2025'!Env_an</f>
        <v>26.90982938975483</v>
      </c>
      <c r="C243" s="385"/>
      <c r="D243" s="388">
        <f t="shared" si="77"/>
        <v>27.417013930509292</v>
      </c>
      <c r="E243" s="380">
        <f t="shared" si="100"/>
        <v>27.636851966156076</v>
      </c>
      <c r="F243" s="380">
        <f t="shared" si="78"/>
        <v>27.637291814933732</v>
      </c>
      <c r="G243" s="110">
        <f t="shared" si="101"/>
        <v>0.49584394151677469</v>
      </c>
      <c r="H243" s="409" t="b">
        <f>Wh_hp&gt;='2024'!Maxi_hp</f>
        <v>0</v>
      </c>
      <c r="I243" s="375">
        <f>IF(H243,Wh_hp,'2024'!Maxi_hp)</f>
        <v>27.638192909314213</v>
      </c>
      <c r="J243" s="85">
        <f>IF(H243,An,'2024'!An_max)</f>
        <v>2022</v>
      </c>
      <c r="K243" s="193">
        <f t="shared" si="79"/>
        <v>45886</v>
      </c>
      <c r="L243" s="143">
        <f>IF(t&lt;Tvie,1-EXP((T0-t)*PertePVj)+'2024'!Pspv,1-EXP((T0-t)*PertePVj)+Pspv)</f>
        <v>1.8498897875602438E-2</v>
      </c>
      <c r="M243" s="836"/>
      <c r="N243" s="836"/>
      <c r="O243" s="48">
        <f>IF(t&lt;Tnet,'2024'!Resal+('2024'!Salim-'2024'!Resal)*(1-EXP(('2024'!Tnet-t)/('2024'!Tau_j))),Resal+(Salim-Resal)*(1-EXP((Tnet-t)/(Tau_j))))*Salcycl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5.6878844067163853E-5</v>
      </c>
      <c r="Q243" s="301">
        <f t="shared" si="80"/>
        <v>0.5</v>
      </c>
      <c r="R243" s="173">
        <f t="shared" si="81"/>
        <v>0.96512204059573592</v>
      </c>
      <c r="S243" s="802">
        <f t="shared" si="82"/>
        <v>1</v>
      </c>
      <c r="T243" s="172">
        <f t="shared" si="83"/>
        <v>7</v>
      </c>
      <c r="U243" s="247">
        <f t="shared" si="84"/>
        <v>1.9651220405957359</v>
      </c>
      <c r="V243" s="378">
        <f t="shared" si="85"/>
        <v>54.268540543396703</v>
      </c>
      <c r="W243" s="397">
        <f t="shared" si="86"/>
        <v>26.90982938975483</v>
      </c>
      <c r="X243" s="153">
        <f t="shared" si="87"/>
        <v>45886</v>
      </c>
      <c r="Y243" s="380">
        <f t="shared" si="88"/>
        <v>25.905765595939577</v>
      </c>
      <c r="Z243" s="380">
        <f t="shared" si="89"/>
        <v>26.394025987202841</v>
      </c>
      <c r="AA243" s="381">
        <f t="shared" si="90"/>
        <v>27.636851966156076</v>
      </c>
      <c r="AB243" s="193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4.4969882259932981E-2</v>
      </c>
      <c r="AD243" s="227">
        <f>(INDEX(Models!$BJ243:$BT243,,AH243)*(1-AF243)+INDEX(Models!$BJ243:$BT243,,AH243+1)*AF243-ERP_i)*AE243*Ramure*Pc/MaxiM</f>
        <v>5.6878844067163853E-5</v>
      </c>
      <c r="AE243" s="301">
        <f t="shared" si="92"/>
        <v>0.5</v>
      </c>
      <c r="AF243" s="173">
        <f t="shared" si="93"/>
        <v>0.96512204059573592</v>
      </c>
      <c r="AG243" s="802">
        <f t="shared" si="99"/>
        <v>1</v>
      </c>
      <c r="AH243" s="172">
        <f t="shared" si="94"/>
        <v>7</v>
      </c>
      <c r="AI243" s="221">
        <f t="shared" si="95"/>
        <v>1.9651220405957359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45887</v>
      </c>
      <c r="B244" s="406">
        <f>'2024'!Wh/'2024'!Env_an*'2025'!Env_an</f>
        <v>41.059458595173183</v>
      </c>
      <c r="C244" s="385"/>
      <c r="D244" s="388">
        <f t="shared" si="77"/>
        <v>41.833901748560152</v>
      </c>
      <c r="E244" s="380">
        <f t="shared" si="100"/>
        <v>42.172269914271446</v>
      </c>
      <c r="F244" s="380">
        <f t="shared" si="78"/>
        <v>42.173978478246106</v>
      </c>
      <c r="G244" s="110">
        <f t="shared" si="101"/>
        <v>0.76025279042344562</v>
      </c>
      <c r="H244" s="409" t="b">
        <f>Wh_hp&gt;='2024'!Maxi_hp</f>
        <v>0</v>
      </c>
      <c r="I244" s="375">
        <f>IF(H244,Wh_hp,'2024'!Maxi_hp)</f>
        <v>42.174690936516853</v>
      </c>
      <c r="J244" s="85">
        <f>IF(H244,An,'2024'!An_max)</f>
        <v>2022</v>
      </c>
      <c r="K244" s="193">
        <f t="shared" si="79"/>
        <v>45887</v>
      </c>
      <c r="L244" s="143">
        <f>IF(t&lt;Tvie,1-EXP((T0-t)*PertePVj)+'2024'!Pspv,1-EXP((T0-t)*PertePVj)+Pspv)</f>
        <v>1.8512333801463332E-2</v>
      </c>
      <c r="M244" s="836"/>
      <c r="N244" s="836"/>
      <c r="O244" s="48">
        <f>IF(t&lt;Tnet,'2024'!Resal+('2024'!Salim-'2024'!Resal)*(1-EXP(('2024'!Tnet-t)/('2024'!Tau_j))),Resal+(Salim-Resal)*(1-EXP((Tnet-t)/(Tau_j))))*Salcycl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6.1613111970206593E-5</v>
      </c>
      <c r="Q244" s="301">
        <f t="shared" si="80"/>
        <v>0.5</v>
      </c>
      <c r="R244" s="173">
        <f t="shared" si="81"/>
        <v>0.96621962540054951</v>
      </c>
      <c r="S244" s="802">
        <f t="shared" si="82"/>
        <v>1</v>
      </c>
      <c r="T244" s="172">
        <f t="shared" si="83"/>
        <v>7</v>
      </c>
      <c r="U244" s="247">
        <f t="shared" si="84"/>
        <v>1.9662196254005495</v>
      </c>
      <c r="V244" s="378">
        <f t="shared" si="85"/>
        <v>54.006499796492854</v>
      </c>
      <c r="W244" s="397">
        <f t="shared" si="86"/>
        <v>41.059458595173183</v>
      </c>
      <c r="X244" s="153">
        <f t="shared" si="87"/>
        <v>45887</v>
      </c>
      <c r="Y244" s="380">
        <f t="shared" si="88"/>
        <v>39.528814486713088</v>
      </c>
      <c r="Z244" s="380">
        <f t="shared" si="89"/>
        <v>40.274387389721049</v>
      </c>
      <c r="AA244" s="381">
        <f t="shared" si="90"/>
        <v>42.172269914271446</v>
      </c>
      <c r="AB244" s="193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4.5003091567241818E-2</v>
      </c>
      <c r="AD244" s="227">
        <f>(INDEX(Models!$BJ244:$BT244,,AH244)*(1-AF244)+INDEX(Models!$BJ244:$BT244,,AH244+1)*AF244-ERP_i)*AE244*Ramure*Pc/MaxiM</f>
        <v>6.1613111970206593E-5</v>
      </c>
      <c r="AE244" s="301">
        <f t="shared" si="92"/>
        <v>0.5</v>
      </c>
      <c r="AF244" s="173">
        <f t="shared" si="93"/>
        <v>0.96621962540054951</v>
      </c>
      <c r="AG244" s="802">
        <f t="shared" si="99"/>
        <v>1</v>
      </c>
      <c r="AH244" s="172">
        <f t="shared" si="94"/>
        <v>7</v>
      </c>
      <c r="AI244" s="221">
        <f t="shared" si="95"/>
        <v>1.9662196254005495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45888</v>
      </c>
      <c r="B245" s="406">
        <f>'2024'!Wh/'2024'!Env_an*'2025'!Env_an</f>
        <v>40.646817635388665</v>
      </c>
      <c r="C245" s="385"/>
      <c r="D245" s="388">
        <f t="shared" si="77"/>
        <v>41.414044683046768</v>
      </c>
      <c r="E245" s="380">
        <f t="shared" si="100"/>
        <v>41.751915035570939</v>
      </c>
      <c r="F245" s="380">
        <f t="shared" si="78"/>
        <v>41.753732071865045</v>
      </c>
      <c r="G245" s="110">
        <f t="shared" si="101"/>
        <v>0.75628184590259828</v>
      </c>
      <c r="H245" s="409" t="b">
        <f>Wh_hp&gt;='2024'!Maxi_hp</f>
        <v>0</v>
      </c>
      <c r="I245" s="375">
        <f>IF(H245,Wh_hp,'2024'!Maxi_hp)</f>
        <v>41.754513954757151</v>
      </c>
      <c r="J245" s="85">
        <f>IF(H245,An,'2024'!An_max)</f>
        <v>2022</v>
      </c>
      <c r="K245" s="193">
        <f t="shared" si="79"/>
        <v>45888</v>
      </c>
      <c r="L245" s="143">
        <f>IF(t&lt;Tvie,1-EXP((T0-t)*PertePVj)+'2024'!Pspv,1-EXP((T0-t)*PertePVj)+Pspv)</f>
        <v>1.8525769543397796E-2</v>
      </c>
      <c r="M245" s="836"/>
      <c r="N245" s="836"/>
      <c r="O245" s="48">
        <f>IF(t&lt;Tnet,'2024'!Resal+('2024'!Salim-'2024'!Resal)*(1-EXP(('2024'!Tnet-t)/('2024'!Tau_j))),Resal+(Salim-Resal)*(1-EXP((Tnet-t)/(Tau_j))))*Salcycl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6.6760014282771097E-5</v>
      </c>
      <c r="Q245" s="301">
        <f t="shared" si="80"/>
        <v>0.5</v>
      </c>
      <c r="R245" s="173">
        <f t="shared" si="81"/>
        <v>0.96727782944998886</v>
      </c>
      <c r="S245" s="802">
        <f t="shared" si="82"/>
        <v>1</v>
      </c>
      <c r="T245" s="172">
        <f t="shared" si="83"/>
        <v>7</v>
      </c>
      <c r="U245" s="247">
        <f t="shared" si="84"/>
        <v>1.9672778294499889</v>
      </c>
      <c r="V245" s="378">
        <f t="shared" si="85"/>
        <v>53.744345574367699</v>
      </c>
      <c r="W245" s="397">
        <f t="shared" si="86"/>
        <v>40.646817635388665</v>
      </c>
      <c r="X245" s="153">
        <f t="shared" si="87"/>
        <v>45888</v>
      </c>
      <c r="Y245" s="380">
        <f t="shared" si="88"/>
        <v>39.132918536293353</v>
      </c>
      <c r="Z245" s="380">
        <f t="shared" si="89"/>
        <v>39.871570054455638</v>
      </c>
      <c r="AA245" s="381">
        <f t="shared" si="90"/>
        <v>41.751915035570939</v>
      </c>
      <c r="AB245" s="193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4.5036137372700673E-2</v>
      </c>
      <c r="AD245" s="227">
        <f>(INDEX(Models!$BJ245:$BT245,,AH245)*(1-AF245)+INDEX(Models!$BJ245:$BT245,,AH245+1)*AF245-ERP_i)*AE245*Ramure*Pc/MaxiM</f>
        <v>6.6760014282771097E-5</v>
      </c>
      <c r="AE245" s="301">
        <f t="shared" si="92"/>
        <v>0.5</v>
      </c>
      <c r="AF245" s="173">
        <f t="shared" si="93"/>
        <v>0.96727782944998886</v>
      </c>
      <c r="AG245" s="802">
        <f t="shared" si="99"/>
        <v>1</v>
      </c>
      <c r="AH245" s="172">
        <f t="shared" si="94"/>
        <v>7</v>
      </c>
      <c r="AI245" s="221">
        <f t="shared" si="95"/>
        <v>1.9672778294499889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45889</v>
      </c>
      <c r="B246" s="406">
        <f>'2024'!Wh/'2024'!Env_an*'2025'!Env_an</f>
        <v>53.046041228536076</v>
      </c>
      <c r="C246" s="385"/>
      <c r="D246" s="388">
        <f t="shared" si="77"/>
        <v>54.048049096058897</v>
      </c>
      <c r="E246" s="380">
        <f t="shared" si="100"/>
        <v>54.492769685509082</v>
      </c>
      <c r="F246" s="380">
        <f t="shared" si="78"/>
        <v>54.496665221494446</v>
      </c>
      <c r="G246" s="110">
        <f t="shared" si="101"/>
        <v>0.99184029886948033</v>
      </c>
      <c r="H246" s="409" t="b">
        <f>Wh_hp&gt;='2024'!Maxi_hp</f>
        <v>0</v>
      </c>
      <c r="I246" s="375">
        <f>IF(H246,Wh_hp,'2024'!Maxi_hp)</f>
        <v>54.496702481805315</v>
      </c>
      <c r="J246" s="85">
        <f>IF(H246,An,'2024'!An_max)</f>
        <v>2022</v>
      </c>
      <c r="K246" s="193">
        <f t="shared" si="79"/>
        <v>45889</v>
      </c>
      <c r="L246" s="143">
        <f>IF(t&lt;Tvie,1-EXP((T0-t)*PertePVj)+'2024'!Pspv,1-EXP((T0-t)*PertePVj)+Pspv)</f>
        <v>1.8539205101408274E-2</v>
      </c>
      <c r="M246" s="836"/>
      <c r="N246" s="836"/>
      <c r="O246" s="48">
        <f>IF(t&lt;Tnet,'2024'!Resal+('2024'!Salim-'2024'!Resal)*(1-EXP(('2024'!Tnet-t)/('2024'!Tau_j))),Resal+(Salim-Resal)*(1-EXP((Tnet-t)/(Tau_j))))*Salcycl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7.2325084965021614E-5</v>
      </c>
      <c r="Q246" s="301">
        <f t="shared" si="80"/>
        <v>0.5</v>
      </c>
      <c r="R246" s="173">
        <f t="shared" si="81"/>
        <v>0.96829788851927412</v>
      </c>
      <c r="S246" s="802">
        <f t="shared" si="82"/>
        <v>1</v>
      </c>
      <c r="T246" s="172">
        <f t="shared" si="83"/>
        <v>7</v>
      </c>
      <c r="U246" s="247">
        <f t="shared" si="84"/>
        <v>1.9682978885192741</v>
      </c>
      <c r="V246" s="378">
        <f t="shared" si="85"/>
        <v>53.482396882544236</v>
      </c>
      <c r="W246" s="397">
        <f t="shared" si="86"/>
        <v>53.046041228536076</v>
      </c>
      <c r="X246" s="153">
        <f t="shared" si="87"/>
        <v>45889</v>
      </c>
      <c r="Y246" s="380">
        <f t="shared" si="88"/>
        <v>51.072112715888167</v>
      </c>
      <c r="Z246" s="380">
        <f t="shared" si="89"/>
        <v>52.036834259044582</v>
      </c>
      <c r="AA246" s="381">
        <f t="shared" si="90"/>
        <v>54.492769685509082</v>
      </c>
      <c r="AB246" s="193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4.5069014488312832E-2</v>
      </c>
      <c r="AD246" s="227">
        <f>(INDEX(Models!$BJ246:$BT246,,AH246)*(1-AF246)+INDEX(Models!$BJ246:$BT246,,AH246+1)*AF246-ERP_i)*AE246*Ramure*Pc/MaxiM</f>
        <v>7.2325084965021614E-5</v>
      </c>
      <c r="AE246" s="301">
        <f t="shared" si="92"/>
        <v>0.5</v>
      </c>
      <c r="AF246" s="173">
        <f t="shared" si="93"/>
        <v>0.96829788851927412</v>
      </c>
      <c r="AG246" s="802">
        <f t="shared" si="99"/>
        <v>1</v>
      </c>
      <c r="AH246" s="172">
        <f t="shared" si="94"/>
        <v>7</v>
      </c>
      <c r="AI246" s="221">
        <f t="shared" si="95"/>
        <v>1.9682978885192741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45890</v>
      </c>
      <c r="B247" s="406">
        <f>'2024'!Wh/'2024'!Env_an*'2025'!Env_an</f>
        <v>38.278781211999664</v>
      </c>
      <c r="C247" s="385"/>
      <c r="D247" s="388">
        <f t="shared" si="77"/>
        <v>39.002378314559003</v>
      </c>
      <c r="E247" s="380">
        <f t="shared" si="100"/>
        <v>39.326021988359081</v>
      </c>
      <c r="F247" s="380">
        <f t="shared" si="78"/>
        <v>39.327866567835734</v>
      </c>
      <c r="G247" s="110">
        <f t="shared" si="101"/>
        <v>0.7192150394302862</v>
      </c>
      <c r="H247" s="409" t="b">
        <f>Wh_hp&gt;='2024'!Maxi_hp</f>
        <v>0</v>
      </c>
      <c r="I247" s="375">
        <f>IF(H247,Wh_hp,'2024'!Maxi_hp)</f>
        <v>39.328875280006322</v>
      </c>
      <c r="J247" s="85">
        <f>IF(H247,An,'2024'!An_max)</f>
        <v>2022</v>
      </c>
      <c r="K247" s="193">
        <f t="shared" si="79"/>
        <v>45890</v>
      </c>
      <c r="L247" s="143">
        <f>IF(t&lt;Tvie,1-EXP((T0-t)*PertePVj)+'2024'!Pspv,1-EXP((T0-t)*PertePVj)+Pspv)</f>
        <v>1.8552640475497206E-2</v>
      </c>
      <c r="M247" s="836"/>
      <c r="N247" s="836"/>
      <c r="O247" s="48">
        <f>IF(t&lt;Tnet,'2024'!Resal+('2024'!Salim-'2024'!Resal)*(1-EXP(('2024'!Tnet-t)/('2024'!Tau_j))),Resal+(Salim-Resal)*(1-EXP((Tnet-t)/(Tau_j))))*Salcycl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7.8313163001340189E-5</v>
      </c>
      <c r="Q247" s="301">
        <f t="shared" si="80"/>
        <v>0.5</v>
      </c>
      <c r="R247" s="173">
        <f t="shared" si="81"/>
        <v>0.96928101300293834</v>
      </c>
      <c r="S247" s="802">
        <f t="shared" si="82"/>
        <v>1</v>
      </c>
      <c r="T247" s="172">
        <f t="shared" si="83"/>
        <v>7</v>
      </c>
      <c r="U247" s="247">
        <f t="shared" si="84"/>
        <v>1.9692810130029383</v>
      </c>
      <c r="V247" s="378">
        <f t="shared" si="85"/>
        <v>53.221327001351348</v>
      </c>
      <c r="W247" s="397">
        <f t="shared" si="86"/>
        <v>38.278781211999664</v>
      </c>
      <c r="X247" s="153">
        <f t="shared" si="87"/>
        <v>45890</v>
      </c>
      <c r="Y247" s="380">
        <f t="shared" si="88"/>
        <v>36.855655592664249</v>
      </c>
      <c r="Z247" s="380">
        <f t="shared" si="89"/>
        <v>37.552350857126243</v>
      </c>
      <c r="AA247" s="381">
        <f t="shared" si="90"/>
        <v>39.326021988359081</v>
      </c>
      <c r="AB247" s="193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4.5101717426640861E-2</v>
      </c>
      <c r="AD247" s="227">
        <f>(INDEX(Models!$BJ247:$BT247,,AH247)*(1-AF247)+INDEX(Models!$BJ247:$BT247,,AH247+1)*AF247-ERP_i)*AE247*Ramure*Pc/MaxiM</f>
        <v>7.8313163001340189E-5</v>
      </c>
      <c r="AE247" s="301">
        <f t="shared" si="92"/>
        <v>0.5</v>
      </c>
      <c r="AF247" s="173">
        <f t="shared" si="93"/>
        <v>0.96928101300293834</v>
      </c>
      <c r="AG247" s="802">
        <f t="shared" si="99"/>
        <v>1</v>
      </c>
      <c r="AH247" s="172">
        <f t="shared" si="94"/>
        <v>7</v>
      </c>
      <c r="AI247" s="221">
        <f t="shared" si="95"/>
        <v>1.9692810130029383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45891</v>
      </c>
      <c r="B248" s="406">
        <f>'2024'!Wh/'2024'!Env_an*'2025'!Env_an</f>
        <v>27.999742180463546</v>
      </c>
      <c r="C248" s="385"/>
      <c r="D248" s="388">
        <f t="shared" si="77"/>
        <v>28.529421580219619</v>
      </c>
      <c r="E248" s="380">
        <f t="shared" si="100"/>
        <v>28.768149059838446</v>
      </c>
      <c r="F248" s="380">
        <f t="shared" si="78"/>
        <v>28.768948292900795</v>
      </c>
      <c r="G248" s="110">
        <f t="shared" si="101"/>
        <v>0.52865353053745556</v>
      </c>
      <c r="H248" s="409" t="b">
        <f>Wh_hp&gt;='2024'!Maxi_hp</f>
        <v>0</v>
      </c>
      <c r="I248" s="375">
        <f>IF(H248,Wh_hp,'2024'!Maxi_hp)</f>
        <v>28.770301944261828</v>
      </c>
      <c r="J248" s="85">
        <f>IF(H248,An,'2024'!An_max)</f>
        <v>2022</v>
      </c>
      <c r="K248" s="193">
        <f t="shared" si="79"/>
        <v>45891</v>
      </c>
      <c r="L248" s="143">
        <f>IF(t&lt;Tvie,1-EXP((T0-t)*PertePVj)+'2024'!Pspv,1-EXP((T0-t)*PertePVj)+Pspv)</f>
        <v>1.8566075665667148E-2</v>
      </c>
      <c r="M248" s="836"/>
      <c r="N248" s="836"/>
      <c r="O248" s="48">
        <f>IF(t&lt;Tnet,'2024'!Resal+('2024'!Salim-'2024'!Resal)*(1-EXP(('2024'!Tnet-t)/('2024'!Tau_j))),Resal+(Salim-Resal)*(1-EXP((Tnet-t)/(Tau_j))))*Salcycl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8.5037814767793333E-5</v>
      </c>
      <c r="Q248" s="301">
        <f t="shared" si="80"/>
        <v>0.5</v>
      </c>
      <c r="R248" s="173">
        <f t="shared" si="81"/>
        <v>0.97022838735455674</v>
      </c>
      <c r="S248" s="802">
        <f t="shared" si="82"/>
        <v>1</v>
      </c>
      <c r="T248" s="172">
        <f t="shared" si="83"/>
        <v>7</v>
      </c>
      <c r="U248" s="247">
        <f t="shared" si="84"/>
        <v>1.9702283873545567</v>
      </c>
      <c r="V248" s="378">
        <f t="shared" si="85"/>
        <v>52.961225728012323</v>
      </c>
      <c r="W248" s="397">
        <f t="shared" si="86"/>
        <v>27.999742180463546</v>
      </c>
      <c r="X248" s="153">
        <f t="shared" si="87"/>
        <v>45891</v>
      </c>
      <c r="Y248" s="380">
        <f t="shared" si="88"/>
        <v>26.959715594265607</v>
      </c>
      <c r="Z248" s="380">
        <f t="shared" si="89"/>
        <v>27.469720503651121</v>
      </c>
      <c r="AA248" s="381">
        <f t="shared" si="90"/>
        <v>28.768149059838446</v>
      </c>
      <c r="AB248" s="193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4.5134240422856658E-2</v>
      </c>
      <c r="AD248" s="227">
        <f>(INDEX(Models!$BJ248:$BT248,,AH248)*(1-AF248)+INDEX(Models!$BJ248:$BT248,,AH248+1)*AF248-ERP_i)*AE248*Ramure*Pc/MaxiM</f>
        <v>8.5037814767793333E-5</v>
      </c>
      <c r="AE248" s="301">
        <f t="shared" si="92"/>
        <v>0.5</v>
      </c>
      <c r="AF248" s="173">
        <f t="shared" si="93"/>
        <v>0.97022838735455674</v>
      </c>
      <c r="AG248" s="802">
        <f t="shared" si="99"/>
        <v>1</v>
      </c>
      <c r="AH248" s="172">
        <f t="shared" si="94"/>
        <v>7</v>
      </c>
      <c r="AI248" s="221">
        <f t="shared" si="95"/>
        <v>1.9702283873545567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45892</v>
      </c>
      <c r="B249" s="406">
        <f>'2024'!Wh/'2024'!Env_an*'2025'!Env_an</f>
        <v>47.365500278587312</v>
      </c>
      <c r="C249" s="385"/>
      <c r="D249" s="388">
        <f t="shared" si="77"/>
        <v>48.262188117771693</v>
      </c>
      <c r="E249" s="380">
        <f t="shared" si="100"/>
        <v>48.669394901169234</v>
      </c>
      <c r="F249" s="380">
        <f t="shared" si="78"/>
        <v>48.673247958721525</v>
      </c>
      <c r="G249" s="110">
        <f t="shared" si="101"/>
        <v>0.89873747061595466</v>
      </c>
      <c r="H249" s="409" t="b">
        <f>Wh_hp&gt;='2024'!Maxi_hp</f>
        <v>0</v>
      </c>
      <c r="I249" s="375">
        <f>IF(H249,Wh_hp,'2024'!Maxi_hp)</f>
        <v>48.673786569897885</v>
      </c>
      <c r="J249" s="85">
        <f>IF(H249,An,'2024'!An_max)</f>
        <v>2022</v>
      </c>
      <c r="K249" s="193">
        <f t="shared" si="79"/>
        <v>45892</v>
      </c>
      <c r="L249" s="143">
        <f>IF(t&lt;Tvie,1-EXP((T0-t)*PertePVj)+'2024'!Pspv,1-EXP((T0-t)*PertePVj)+Pspv)</f>
        <v>1.8579510671920652E-2</v>
      </c>
      <c r="M249" s="836"/>
      <c r="N249" s="836"/>
      <c r="O249" s="48">
        <f>IF(t&lt;Tnet,'2024'!Resal+('2024'!Salim-'2024'!Resal)*(1-EXP(('2024'!Tnet-t)/('2024'!Tau_j))),Resal+(Salim-Resal)*(1-EXP((Tnet-t)/(Tau_j))))*Salcycl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9.2548214125146564E-5</v>
      </c>
      <c r="Q249" s="301">
        <f t="shared" si="80"/>
        <v>0.5</v>
      </c>
      <c r="R249" s="173">
        <f t="shared" si="81"/>
        <v>0.97114116963894292</v>
      </c>
      <c r="S249" s="802">
        <f t="shared" si="82"/>
        <v>1</v>
      </c>
      <c r="T249" s="172">
        <f t="shared" si="83"/>
        <v>7</v>
      </c>
      <c r="U249" s="247">
        <f t="shared" si="84"/>
        <v>1.9711411696389429</v>
      </c>
      <c r="V249" s="378">
        <f t="shared" si="85"/>
        <v>52.701559374703521</v>
      </c>
      <c r="W249" s="397">
        <f t="shared" si="86"/>
        <v>47.365500278587312</v>
      </c>
      <c r="X249" s="153">
        <f t="shared" si="87"/>
        <v>45892</v>
      </c>
      <c r="Y249" s="380">
        <f t="shared" si="88"/>
        <v>45.607753402497963</v>
      </c>
      <c r="Z249" s="380">
        <f t="shared" si="89"/>
        <v>46.471164906820825</v>
      </c>
      <c r="AA249" s="381">
        <f t="shared" si="90"/>
        <v>48.669394901169234</v>
      </c>
      <c r="AB249" s="193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4.5166577452057016E-2</v>
      </c>
      <c r="AD249" s="227">
        <f>(INDEX(Models!$BJ249:$BT249,,AH249)*(1-AF249)+INDEX(Models!$BJ249:$BT249,,AH249+1)*AF249-ERP_i)*AE249*Ramure*Pc/MaxiM</f>
        <v>9.2548214125146564E-5</v>
      </c>
      <c r="AE249" s="301">
        <f t="shared" si="92"/>
        <v>0.5</v>
      </c>
      <c r="AF249" s="173">
        <f t="shared" si="93"/>
        <v>0.97114116963894292</v>
      </c>
      <c r="AG249" s="802">
        <f t="shared" si="99"/>
        <v>1</v>
      </c>
      <c r="AH249" s="172">
        <f t="shared" si="94"/>
        <v>7</v>
      </c>
      <c r="AI249" s="221">
        <f t="shared" si="95"/>
        <v>1.9711411696389429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45893</v>
      </c>
      <c r="B250" s="406">
        <f>'2024'!Wh/'2024'!Env_an*'2025'!Env_an</f>
        <v>51.444297369886435</v>
      </c>
      <c r="C250" s="385"/>
      <c r="D250" s="388">
        <f t="shared" si="77"/>
        <v>52.418919482696218</v>
      </c>
      <c r="E250" s="380">
        <f t="shared" si="100"/>
        <v>52.864842885505475</v>
      </c>
      <c r="F250" s="380">
        <f t="shared" si="78"/>
        <v>52.87003024651122</v>
      </c>
      <c r="G250" s="110">
        <f t="shared" si="101"/>
        <v>0.98097624090971924</v>
      </c>
      <c r="H250" s="409" t="b">
        <f>Wh_hp&gt;='2024'!Maxi_hp</f>
        <v>0</v>
      </c>
      <c r="I250" s="375">
        <f>IF(H250,Wh_hp,'2024'!Maxi_hp)</f>
        <v>52.870150667804495</v>
      </c>
      <c r="J250" s="85">
        <f>IF(H250,An,'2024'!An_max)</f>
        <v>2022</v>
      </c>
      <c r="K250" s="193">
        <f t="shared" si="79"/>
        <v>45893</v>
      </c>
      <c r="L250" s="143">
        <f>IF(t&lt;Tvie,1-EXP((T0-t)*PertePVj)+'2024'!Pspv,1-EXP((T0-t)*PertePVj)+Pspv)</f>
        <v>1.859294549426016E-2</v>
      </c>
      <c r="M250" s="836"/>
      <c r="N250" s="836"/>
      <c r="O250" s="48">
        <f>IF(t&lt;Tnet,'2024'!Resal+('2024'!Salim-'2024'!Resal)*(1-EXP(('2024'!Tnet-t)/('2024'!Tau_j))),Resal+(Salim-Resal)*(1-EXP((Tnet-t)/(Tau_j))))*Salcycl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1.0085589315276738E-4</v>
      </c>
      <c r="Q250" s="301">
        <f t="shared" si="80"/>
        <v>0.5</v>
      </c>
      <c r="R250" s="173">
        <f t="shared" si="81"/>
        <v>0.97202049118860723</v>
      </c>
      <c r="S250" s="802">
        <f t="shared" si="82"/>
        <v>1</v>
      </c>
      <c r="T250" s="172">
        <f t="shared" si="83"/>
        <v>7</v>
      </c>
      <c r="U250" s="247">
        <f t="shared" si="84"/>
        <v>1.9720204911886072</v>
      </c>
      <c r="V250" s="378">
        <f t="shared" si="85"/>
        <v>52.441796472588891</v>
      </c>
      <c r="W250" s="397">
        <f t="shared" si="86"/>
        <v>51.444297369886435</v>
      </c>
      <c r="X250" s="153">
        <f t="shared" si="87"/>
        <v>45893</v>
      </c>
      <c r="Y250" s="380">
        <f t="shared" si="88"/>
        <v>49.536932811343455</v>
      </c>
      <c r="Z250" s="380">
        <f t="shared" si="89"/>
        <v>50.475419535568186</v>
      </c>
      <c r="AA250" s="381">
        <f t="shared" si="90"/>
        <v>52.864842885505475</v>
      </c>
      <c r="AB250" s="193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4.5198722241779801E-2</v>
      </c>
      <c r="AD250" s="227">
        <f>(INDEX(Models!$BJ250:$BT250,,AH250)*(1-AF250)+INDEX(Models!$BJ250:$BT250,,AH250+1)*AF250-ERP_i)*AE250*Ramure*Pc/MaxiM</f>
        <v>1.0085589315276738E-4</v>
      </c>
      <c r="AE250" s="301">
        <f t="shared" si="92"/>
        <v>0.5</v>
      </c>
      <c r="AF250" s="173">
        <f t="shared" si="93"/>
        <v>0.97202049118860723</v>
      </c>
      <c r="AG250" s="802">
        <f t="shared" si="99"/>
        <v>1</v>
      </c>
      <c r="AH250" s="172">
        <f t="shared" si="94"/>
        <v>7</v>
      </c>
      <c r="AI250" s="221">
        <f t="shared" si="95"/>
        <v>1.9720204911886072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45894</v>
      </c>
      <c r="B251" s="406">
        <f>'2024'!Wh/'2024'!Env_an*'2025'!Env_an</f>
        <v>32.995469310548351</v>
      </c>
      <c r="C251" s="385"/>
      <c r="D251" s="388">
        <f t="shared" si="77"/>
        <v>33.621035069506021</v>
      </c>
      <c r="E251" s="380">
        <f t="shared" si="100"/>
        <v>33.909380879056187</v>
      </c>
      <c r="F251" s="380">
        <f t="shared" si="78"/>
        <v>33.911151351348437</v>
      </c>
      <c r="G251" s="110">
        <f t="shared" si="101"/>
        <v>0.63228582684311208</v>
      </c>
      <c r="H251" s="409" t="b">
        <f>Wh_hp&gt;='2024'!Maxi_hp</f>
        <v>0</v>
      </c>
      <c r="I251" s="375">
        <f>IF(H251,Wh_hp,'2024'!Maxi_hp)</f>
        <v>33.91278728080961</v>
      </c>
      <c r="J251" s="85">
        <f>IF(H251,An,'2024'!An_max)</f>
        <v>2022</v>
      </c>
      <c r="K251" s="193">
        <f t="shared" si="79"/>
        <v>45894</v>
      </c>
      <c r="L251" s="143">
        <f>IF(t&lt;Tvie,1-EXP((T0-t)*PertePVj)+'2024'!Pspv,1-EXP((T0-t)*PertePVj)+Pspv)</f>
        <v>1.8606380132688227E-2</v>
      </c>
      <c r="M251" s="836"/>
      <c r="N251" s="836"/>
      <c r="O251" s="48">
        <f>IF(t&lt;Tnet,'2024'!Resal+('2024'!Salim-'2024'!Resal)*(1-EXP(('2024'!Tnet-t)/('2024'!Tau_j))),Resal+(Salim-Resal)*(1-EXP((Tnet-t)/(Tau_j))))*Salcycl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1.0997274963897448E-4</v>
      </c>
      <c r="Q251" s="301">
        <f t="shared" si="80"/>
        <v>0.5</v>
      </c>
      <c r="R251" s="173">
        <f t="shared" si="81"/>
        <v>0.97286745635657179</v>
      </c>
      <c r="S251" s="802">
        <f t="shared" si="82"/>
        <v>1</v>
      </c>
      <c r="T251" s="172">
        <f t="shared" si="83"/>
        <v>7</v>
      </c>
      <c r="U251" s="247">
        <f t="shared" si="84"/>
        <v>1.9728674563565718</v>
      </c>
      <c r="V251" s="378">
        <f t="shared" si="85"/>
        <v>52.181405739544637</v>
      </c>
      <c r="W251" s="397">
        <f t="shared" si="86"/>
        <v>32.995469310548351</v>
      </c>
      <c r="X251" s="153">
        <f t="shared" si="87"/>
        <v>45894</v>
      </c>
      <c r="Y251" s="380">
        <f t="shared" si="88"/>
        <v>31.773243513355357</v>
      </c>
      <c r="Z251" s="380">
        <f t="shared" si="89"/>
        <v>32.375636920944345</v>
      </c>
      <c r="AA251" s="381">
        <f t="shared" si="90"/>
        <v>33.909380879056187</v>
      </c>
      <c r="AB251" s="193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4.5230668279736763E-2</v>
      </c>
      <c r="AD251" s="227">
        <f>(INDEX(Models!$BJ251:$BT251,,AH251)*(1-AF251)+INDEX(Models!$BJ251:$BT251,,AH251+1)*AF251-ERP_i)*AE251*Ramure*Pc/MaxiM</f>
        <v>1.0997274963897448E-4</v>
      </c>
      <c r="AE251" s="301">
        <f t="shared" si="92"/>
        <v>0.5</v>
      </c>
      <c r="AF251" s="173">
        <f t="shared" si="93"/>
        <v>0.97286745635657179</v>
      </c>
      <c r="AG251" s="802">
        <f t="shared" si="99"/>
        <v>1</v>
      </c>
      <c r="AH251" s="172">
        <f t="shared" si="94"/>
        <v>7</v>
      </c>
      <c r="AI251" s="221">
        <f t="shared" si="95"/>
        <v>1.9728674563565718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45895</v>
      </c>
      <c r="B252" s="406">
        <f>'2024'!Wh/'2024'!Env_an*'2025'!Env_an</f>
        <v>38.027743506000441</v>
      </c>
      <c r="C252" s="385"/>
      <c r="D252" s="388">
        <f t="shared" si="77"/>
        <v>38.749247306236406</v>
      </c>
      <c r="E252" s="380">
        <f t="shared" si="100"/>
        <v>39.084261220186541</v>
      </c>
      <c r="F252" s="380">
        <f t="shared" si="78"/>
        <v>39.087156647605788</v>
      </c>
      <c r="G252" s="110">
        <f t="shared" si="101"/>
        <v>0.73239803126002745</v>
      </c>
      <c r="H252" s="409" t="b">
        <f>Wh_hp&gt;='2024'!Maxi_hp</f>
        <v>0</v>
      </c>
      <c r="I252" s="375">
        <f>IF(H252,Wh_hp,'2024'!Maxi_hp)</f>
        <v>39.08865945369719</v>
      </c>
      <c r="J252" s="85">
        <f>IF(H252,An,'2024'!An_max)</f>
        <v>2022</v>
      </c>
      <c r="K252" s="193">
        <f t="shared" si="79"/>
        <v>45895</v>
      </c>
      <c r="L252" s="143">
        <f>IF(t&lt;Tvie,1-EXP((T0-t)*PertePVj)+'2024'!Pspv,1-EXP((T0-t)*PertePVj)+Pspv)</f>
        <v>1.8619814587207406E-2</v>
      </c>
      <c r="M252" s="836"/>
      <c r="N252" s="836"/>
      <c r="O252" s="48">
        <f>IF(t&lt;Tnet,'2024'!Resal+('2024'!Salim-'2024'!Resal)*(1-EXP(('2024'!Tnet-t)/('2024'!Tau_j))),Resal+(Salim-Resal)*(1-EXP((Tnet-t)/(Tau_j))))*Salcycl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1.1991105285960397E-4</v>
      </c>
      <c r="Q252" s="301">
        <f t="shared" si="80"/>
        <v>0.5</v>
      </c>
      <c r="R252" s="173">
        <f t="shared" si="81"/>
        <v>0.97368314235797548</v>
      </c>
      <c r="S252" s="802">
        <f t="shared" si="82"/>
        <v>1</v>
      </c>
      <c r="T252" s="172">
        <f t="shared" si="83"/>
        <v>7</v>
      </c>
      <c r="U252" s="247">
        <f t="shared" si="84"/>
        <v>1.9736831423579755</v>
      </c>
      <c r="V252" s="378">
        <f t="shared" si="85"/>
        <v>51.919856085399822</v>
      </c>
      <c r="W252" s="397">
        <f t="shared" si="86"/>
        <v>38.027743506000441</v>
      </c>
      <c r="X252" s="153">
        <f t="shared" si="87"/>
        <v>45895</v>
      </c>
      <c r="Y252" s="380">
        <f t="shared" si="88"/>
        <v>36.620411055547308</v>
      </c>
      <c r="Z252" s="380">
        <f t="shared" si="89"/>
        <v>37.315213410533516</v>
      </c>
      <c r="AA252" s="381">
        <f t="shared" si="90"/>
        <v>39.084261220186541</v>
      </c>
      <c r="AB252" s="193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4.5262408816859882E-2</v>
      </c>
      <c r="AD252" s="227">
        <f>(INDEX(Models!$BJ252:$BT252,,AH252)*(1-AF252)+INDEX(Models!$BJ252:$BT252,,AH252+1)*AF252-ERP_i)*AE252*Ramure*Pc/MaxiM</f>
        <v>1.1991105285960397E-4</v>
      </c>
      <c r="AE252" s="301">
        <f t="shared" si="92"/>
        <v>0.5</v>
      </c>
      <c r="AF252" s="173">
        <f t="shared" si="93"/>
        <v>0.97368314235797548</v>
      </c>
      <c r="AG252" s="802">
        <f t="shared" si="99"/>
        <v>1</v>
      </c>
      <c r="AH252" s="172">
        <f t="shared" si="94"/>
        <v>7</v>
      </c>
      <c r="AI252" s="221">
        <f t="shared" si="95"/>
        <v>1.9736831423579755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45896</v>
      </c>
      <c r="B253" s="406">
        <f>'2024'!Wh/'2024'!Env_an*'2025'!Env_an</f>
        <v>47.939320799873087</v>
      </c>
      <c r="C253" s="385"/>
      <c r="D253" s="388">
        <f t="shared" si="77"/>
        <v>48.849546557470099</v>
      </c>
      <c r="E253" s="380">
        <f t="shared" si="100"/>
        <v>49.275266736330316</v>
      </c>
      <c r="F253" s="380">
        <f t="shared" si="78"/>
        <v>49.281044889518164</v>
      </c>
      <c r="G253" s="110">
        <f t="shared" si="101"/>
        <v>0.92802587212093202</v>
      </c>
      <c r="H253" s="409" t="b">
        <f>Wh_hp&gt;='2024'!Maxi_hp</f>
        <v>0</v>
      </c>
      <c r="I253" s="375">
        <f>IF(H253,Wh_hp,'2024'!Maxi_hp)</f>
        <v>49.281602441092893</v>
      </c>
      <c r="J253" s="85">
        <f>IF(H253,An,'2024'!An_max)</f>
        <v>2022</v>
      </c>
      <c r="K253" s="193">
        <f t="shared" si="79"/>
        <v>45896</v>
      </c>
      <c r="L253" s="143">
        <f>IF(t&lt;Tvie,1-EXP((T0-t)*PertePVj)+'2024'!Pspv,1-EXP((T0-t)*PertePVj)+Pspv)</f>
        <v>1.8633248857820139E-2</v>
      </c>
      <c r="M253" s="836"/>
      <c r="N253" s="836"/>
      <c r="O253" s="48">
        <f>IF(t&lt;Tnet,'2024'!Resal+('2024'!Salim-'2024'!Resal)*(1-EXP(('2024'!Tnet-t)/('2024'!Tau_j))),Resal+(Salim-Resal)*(1-EXP((Tnet-t)/(Tau_j))))*Salcycl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1.3068358085848025E-4</v>
      </c>
      <c r="Q253" s="301">
        <f t="shared" si="80"/>
        <v>0.5</v>
      </c>
      <c r="R253" s="173">
        <f t="shared" si="81"/>
        <v>0.97446859919322271</v>
      </c>
      <c r="S253" s="802">
        <f t="shared" si="82"/>
        <v>1</v>
      </c>
      <c r="T253" s="172">
        <f t="shared" si="83"/>
        <v>7</v>
      </c>
      <c r="U253" s="247">
        <f t="shared" si="84"/>
        <v>1.9744685991932227</v>
      </c>
      <c r="V253" s="378">
        <f t="shared" si="85"/>
        <v>51.656616609260773</v>
      </c>
      <c r="W253" s="397">
        <f t="shared" si="86"/>
        <v>47.939320799873087</v>
      </c>
      <c r="X253" s="153">
        <f t="shared" si="87"/>
        <v>45896</v>
      </c>
      <c r="Y253" s="380">
        <f t="shared" si="88"/>
        <v>46.166824612512919</v>
      </c>
      <c r="Z253" s="380">
        <f t="shared" si="89"/>
        <v>47.043395915727629</v>
      </c>
      <c r="AA253" s="381">
        <f t="shared" si="90"/>
        <v>49.275266736330316</v>
      </c>
      <c r="AB253" s="193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4.5293936865838325E-2</v>
      </c>
      <c r="AD253" s="227">
        <f>(INDEX(Models!$BJ253:$BT253,,AH253)*(1-AF253)+INDEX(Models!$BJ253:$BT253,,AH253+1)*AF253-ERP_i)*AE253*Ramure*Pc/MaxiM</f>
        <v>1.3068358085848025E-4</v>
      </c>
      <c r="AE253" s="301">
        <f t="shared" si="92"/>
        <v>0.5</v>
      </c>
      <c r="AF253" s="173">
        <f t="shared" si="93"/>
        <v>0.97446859919322271</v>
      </c>
      <c r="AG253" s="802">
        <f t="shared" si="99"/>
        <v>1</v>
      </c>
      <c r="AH253" s="172">
        <f t="shared" si="94"/>
        <v>7</v>
      </c>
      <c r="AI253" s="221">
        <f t="shared" si="95"/>
        <v>1.9744685991932227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45897</v>
      </c>
      <c r="B254" s="406">
        <f>'2024'!Wh/'2024'!Env_an*'2025'!Env_an</f>
        <v>50.396540985122286</v>
      </c>
      <c r="C254" s="385"/>
      <c r="D254" s="388">
        <f t="shared" si="77"/>
        <v>51.354125073256995</v>
      </c>
      <c r="E254" s="380">
        <f t="shared" si="100"/>
        <v>51.805222895104308</v>
      </c>
      <c r="F254" s="380">
        <f t="shared" si="78"/>
        <v>51.812339136582395</v>
      </c>
      <c r="G254" s="110">
        <f t="shared" si="101"/>
        <v>0.98064130986013187</v>
      </c>
      <c r="H254" s="409" t="b">
        <f>Wh_hp&gt;='2024'!Maxi_hp</f>
        <v>0</v>
      </c>
      <c r="I254" s="375">
        <f>IF(H254,Wh_hp,'2024'!Maxi_hp)</f>
        <v>51.812510018223612</v>
      </c>
      <c r="J254" s="85">
        <f>IF(H254,An,'2024'!An_max)</f>
        <v>2022</v>
      </c>
      <c r="K254" s="193">
        <f t="shared" si="79"/>
        <v>45897</v>
      </c>
      <c r="L254" s="143">
        <f>IF(t&lt;Tvie,1-EXP((T0-t)*PertePVj)+'2024'!Pspv,1-EXP((T0-t)*PertePVj)+Pspv)</f>
        <v>1.8646682944528981E-2</v>
      </c>
      <c r="M254" s="836"/>
      <c r="N254" s="836"/>
      <c r="O254" s="48">
        <f>IF(t&lt;Tnet,'2024'!Resal+('2024'!Salim-'2024'!Resal)*(1-EXP(('2024'!Tnet-t)/('2024'!Tau_j))),Resal+(Salim-Resal)*(1-EXP((Tnet-t)/(Tau_j))))*Salcycl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1.4125205312878313E-4</v>
      </c>
      <c r="Q254" s="301">
        <f t="shared" si="80"/>
        <v>0.5</v>
      </c>
      <c r="R254" s="173">
        <f t="shared" si="81"/>
        <v>0.97522484964578249</v>
      </c>
      <c r="S254" s="802">
        <f t="shared" si="82"/>
        <v>1</v>
      </c>
      <c r="T254" s="172">
        <f t="shared" si="83"/>
        <v>7</v>
      </c>
      <c r="U254" s="247">
        <f t="shared" si="84"/>
        <v>1.9752248496457825</v>
      </c>
      <c r="V254" s="378">
        <f t="shared" si="85"/>
        <v>51.39121065275026</v>
      </c>
      <c r="W254" s="397">
        <f t="shared" si="86"/>
        <v>50.396540985122286</v>
      </c>
      <c r="X254" s="153">
        <f t="shared" si="87"/>
        <v>45897</v>
      </c>
      <c r="Y254" s="380">
        <f t="shared" si="88"/>
        <v>48.534926884681155</v>
      </c>
      <c r="Z254" s="380">
        <f t="shared" si="89"/>
        <v>49.457138464981334</v>
      </c>
      <c r="AA254" s="381">
        <f t="shared" si="90"/>
        <v>51.805222895104308</v>
      </c>
      <c r="AB254" s="193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4.5325245195400377E-2</v>
      </c>
      <c r="AD254" s="227">
        <f>(INDEX(Models!$BJ254:$BT254,,AH254)*(1-AF254)+INDEX(Models!$BJ254:$BT254,,AH254+1)*AF254-ERP_i)*AE254*Ramure*Pc/MaxiM</f>
        <v>1.4125205312878313E-4</v>
      </c>
      <c r="AE254" s="301">
        <f t="shared" si="92"/>
        <v>0.5</v>
      </c>
      <c r="AF254" s="173">
        <f t="shared" si="93"/>
        <v>0.97522484964578249</v>
      </c>
      <c r="AG254" s="802">
        <f t="shared" si="99"/>
        <v>1</v>
      </c>
      <c r="AH254" s="172">
        <f t="shared" si="94"/>
        <v>7</v>
      </c>
      <c r="AI254" s="221">
        <f t="shared" si="95"/>
        <v>1.9752248496457825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45898</v>
      </c>
      <c r="B255" s="406">
        <f>'2024'!Wh/'2024'!Env_an*'2025'!Env_an</f>
        <v>35.221205054840539</v>
      </c>
      <c r="C255" s="385"/>
      <c r="D255" s="388">
        <f t="shared" si="77"/>
        <v>35.890934078505502</v>
      </c>
      <c r="E255" s="380">
        <f t="shared" si="100"/>
        <v>36.20867991163901</v>
      </c>
      <c r="F255" s="380">
        <f t="shared" si="78"/>
        <v>36.211721933933397</v>
      </c>
      <c r="G255" s="110">
        <f t="shared" si="101"/>
        <v>0.68890224455686133</v>
      </c>
      <c r="H255" s="409" t="b">
        <f>Wh_hp&gt;='2024'!Maxi_hp</f>
        <v>0</v>
      </c>
      <c r="I255" s="375">
        <f>IF(H255,Wh_hp,'2024'!Maxi_hp)</f>
        <v>36.213779119220973</v>
      </c>
      <c r="J255" s="85">
        <f>IF(H255,An,'2024'!An_max)</f>
        <v>2022</v>
      </c>
      <c r="K255" s="193">
        <f t="shared" si="79"/>
        <v>45898</v>
      </c>
      <c r="L255" s="143">
        <f>IF(t&lt;Tvie,1-EXP((T0-t)*PertePVj)+'2024'!Pspv,1-EXP((T0-t)*PertePVj)+Pspv)</f>
        <v>1.8660116847336483E-2</v>
      </c>
      <c r="M255" s="836"/>
      <c r="N255" s="836"/>
      <c r="O255" s="48">
        <f>IF(t&lt;Tnet,'2024'!Resal+('2024'!Salim-'2024'!Resal)*(1-EXP(('2024'!Tnet-t)/('2024'!Tau_j))),Resal+(Salim-Resal)*(1-EXP((Tnet-t)/(Tau_j))))*Salcycl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1.5118862506960571E-4</v>
      </c>
      <c r="Q255" s="301">
        <f t="shared" si="80"/>
        <v>0.5</v>
      </c>
      <c r="R255" s="173">
        <f t="shared" si="81"/>
        <v>0.97595288934807711</v>
      </c>
      <c r="S255" s="802">
        <f t="shared" si="82"/>
        <v>1</v>
      </c>
      <c r="T255" s="172">
        <f t="shared" si="83"/>
        <v>7</v>
      </c>
      <c r="U255" s="247">
        <f t="shared" si="84"/>
        <v>1.9759528893480771</v>
      </c>
      <c r="V255" s="378">
        <f t="shared" si="85"/>
        <v>51.123129444163368</v>
      </c>
      <c r="W255" s="397">
        <f t="shared" si="86"/>
        <v>35.221205054840539</v>
      </c>
      <c r="X255" s="153">
        <f t="shared" si="87"/>
        <v>45898</v>
      </c>
      <c r="Y255" s="380">
        <f t="shared" si="88"/>
        <v>33.921374385598519</v>
      </c>
      <c r="Z255" s="380">
        <f t="shared" si="89"/>
        <v>34.566387209926013</v>
      </c>
      <c r="AA255" s="381">
        <f t="shared" si="90"/>
        <v>36.20867991163901</v>
      </c>
      <c r="AB255" s="193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4.5356326320670298E-2</v>
      </c>
      <c r="AD255" s="227">
        <f>(INDEX(Models!$BJ255:$BT255,,AH255)*(1-AF255)+INDEX(Models!$BJ255:$BT255,,AH255+1)*AF255-ERP_i)*AE255*Ramure*Pc/MaxiM</f>
        <v>1.5118862506960571E-4</v>
      </c>
      <c r="AE255" s="301">
        <f t="shared" si="92"/>
        <v>0.5</v>
      </c>
      <c r="AF255" s="173">
        <f t="shared" si="93"/>
        <v>0.97595288934807711</v>
      </c>
      <c r="AG255" s="802">
        <f t="shared" si="99"/>
        <v>1</v>
      </c>
      <c r="AH255" s="172">
        <f t="shared" si="94"/>
        <v>7</v>
      </c>
      <c r="AI255" s="221">
        <f t="shared" si="95"/>
        <v>1.9759528893480771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45899</v>
      </c>
      <c r="B256" s="406">
        <f>'2024'!Wh/'2024'!Env_an*'2025'!Env_an</f>
        <v>49.428436088470619</v>
      </c>
      <c r="C256" s="385"/>
      <c r="D256" s="388">
        <f t="shared" si="77"/>
        <v>50.3690042360438</v>
      </c>
      <c r="E256" s="380">
        <f t="shared" si="100"/>
        <v>50.81839755406974</v>
      </c>
      <c r="F256" s="380">
        <f t="shared" si="78"/>
        <v>50.826228233964372</v>
      </c>
      <c r="G256" s="110">
        <f t="shared" si="101"/>
        <v>0.97200251379675517</v>
      </c>
      <c r="H256" s="409" t="b">
        <f>Wh_hp&gt;='2024'!Maxi_hp</f>
        <v>0</v>
      </c>
      <c r="I256" s="375">
        <f>IF(H256,Wh_hp,'2024'!Maxi_hp)</f>
        <v>50.826504126845201</v>
      </c>
      <c r="J256" s="85">
        <f>IF(H256,An,'2024'!An_max)</f>
        <v>2022</v>
      </c>
      <c r="K256" s="193">
        <f t="shared" si="79"/>
        <v>45899</v>
      </c>
      <c r="L256" s="143">
        <f>IF(t&lt;Tvie,1-EXP((T0-t)*PertePVj)+'2024'!Pspv,1-EXP((T0-t)*PertePVj)+Pspv)</f>
        <v>1.8673550566245201E-2</v>
      </c>
      <c r="M256" s="836"/>
      <c r="N256" s="836"/>
      <c r="O256" s="48">
        <f>IF(t&lt;Tnet,'2024'!Resal+('2024'!Salim-'2024'!Resal)*(1-EXP(('2024'!Tnet-t)/('2024'!Tau_j))),Resal+(Salim-Resal)*(1-EXP((Tnet-t)/(Tau_j))))*Salcycl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1.6048509337300291E-4</v>
      </c>
      <c r="Q256" s="301">
        <f t="shared" si="80"/>
        <v>0.5</v>
      </c>
      <c r="R256" s="173">
        <f t="shared" si="81"/>
        <v>0.97665368690925192</v>
      </c>
      <c r="S256" s="802">
        <f t="shared" si="82"/>
        <v>1</v>
      </c>
      <c r="T256" s="172">
        <f t="shared" si="83"/>
        <v>7</v>
      </c>
      <c r="U256" s="247">
        <f t="shared" si="84"/>
        <v>1.9766536869092519</v>
      </c>
      <c r="V256" s="378">
        <f t="shared" si="85"/>
        <v>50.851842599273212</v>
      </c>
      <c r="W256" s="397">
        <f t="shared" si="86"/>
        <v>49.428436088470619</v>
      </c>
      <c r="X256" s="153">
        <f t="shared" si="87"/>
        <v>45899</v>
      </c>
      <c r="Y256" s="380">
        <f t="shared" si="88"/>
        <v>47.606004869609009</v>
      </c>
      <c r="Z256" s="380">
        <f t="shared" si="89"/>
        <v>48.511894178617766</v>
      </c>
      <c r="AA256" s="381">
        <f t="shared" si="90"/>
        <v>50.81839755406974</v>
      </c>
      <c r="AB256" s="193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4.5387172490000322E-2</v>
      </c>
      <c r="AD256" s="227">
        <f>(INDEX(Models!$BJ256:$BT256,,AH256)*(1-AF256)+INDEX(Models!$BJ256:$BT256,,AH256+1)*AF256-ERP_i)*AE256*Ramure*Pc/MaxiM</f>
        <v>1.6048509337300291E-4</v>
      </c>
      <c r="AE256" s="301">
        <f t="shared" si="92"/>
        <v>0.5</v>
      </c>
      <c r="AF256" s="173">
        <f t="shared" si="93"/>
        <v>0.97665368690925192</v>
      </c>
      <c r="AG256" s="802">
        <f t="shared" si="99"/>
        <v>1</v>
      </c>
      <c r="AH256" s="172">
        <f t="shared" si="94"/>
        <v>7</v>
      </c>
      <c r="AI256" s="221">
        <f t="shared" si="95"/>
        <v>1.9766536869092519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45900</v>
      </c>
      <c r="B257" s="406">
        <f>'2024'!Wh/'2024'!Env_an*'2025'!Env_an</f>
        <v>25.024779562405513</v>
      </c>
      <c r="C257" s="385"/>
      <c r="D257" s="388">
        <f t="shared" si="77"/>
        <v>25.501322368058464</v>
      </c>
      <c r="E257" s="380">
        <f t="shared" si="100"/>
        <v>25.730600658464468</v>
      </c>
      <c r="F257" s="380">
        <f t="shared" si="78"/>
        <v>25.731811711158343</v>
      </c>
      <c r="G257" s="110">
        <f t="shared" si="101"/>
        <v>0.49472712437739508</v>
      </c>
      <c r="H257" s="409" t="b">
        <f>Wh_hp&gt;='2024'!Maxi_hp</f>
        <v>0</v>
      </c>
      <c r="I257" s="375">
        <f>IF(H257,Wh_hp,'2024'!Maxi_hp)</f>
        <v>25.734466772860397</v>
      </c>
      <c r="J257" s="85">
        <f>IF(H257,An,'2024'!An_max)</f>
        <v>2022</v>
      </c>
      <c r="K257" s="193">
        <f t="shared" si="79"/>
        <v>45900</v>
      </c>
      <c r="L257" s="143">
        <f>IF(t&lt;Tvie,1-EXP((T0-t)*PertePVj)+'2024'!Pspv,1-EXP((T0-t)*PertePVj)+Pspv)</f>
        <v>1.8686984101257464E-2</v>
      </c>
      <c r="M257" s="836"/>
      <c r="N257" s="836"/>
      <c r="O257" s="48">
        <f>IF(t&lt;Tnet,'2024'!Resal+('2024'!Salim-'2024'!Resal)*(1-EXP(('2024'!Tnet-t)/('2024'!Tau_j))),Resal+(Salim-Resal)*(1-EXP((Tnet-t)/(Tau_j))))*Salcycl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1.6913347610038361E-4</v>
      </c>
      <c r="Q257" s="301">
        <f t="shared" si="80"/>
        <v>0.5</v>
      </c>
      <c r="R257" s="173">
        <f t="shared" si="81"/>
        <v>0.97732818409895206</v>
      </c>
      <c r="S257" s="802">
        <f t="shared" si="82"/>
        <v>1</v>
      </c>
      <c r="T257" s="172">
        <f t="shared" si="83"/>
        <v>7</v>
      </c>
      <c r="U257" s="247">
        <f t="shared" si="84"/>
        <v>1.9773281840989521</v>
      </c>
      <c r="V257" s="378">
        <f t="shared" si="85"/>
        <v>50.576819896019686</v>
      </c>
      <c r="W257" s="397">
        <f t="shared" si="86"/>
        <v>25.024779562405513</v>
      </c>
      <c r="X257" s="153">
        <f t="shared" si="87"/>
        <v>45900</v>
      </c>
      <c r="Y257" s="380">
        <f t="shared" si="88"/>
        <v>24.102984792117098</v>
      </c>
      <c r="Z257" s="380">
        <f t="shared" si="89"/>
        <v>24.561974009936275</v>
      </c>
      <c r="AA257" s="381">
        <f t="shared" si="90"/>
        <v>25.730600658464468</v>
      </c>
      <c r="AB257" s="193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4.5417775668744768E-2</v>
      </c>
      <c r="AD257" s="227">
        <f>(INDEX(Models!$BJ257:$BT257,,AH257)*(1-AF257)+INDEX(Models!$BJ257:$BT257,,AH257+1)*AF257-ERP_i)*AE257*Ramure*Pc/MaxiM</f>
        <v>1.6913347610038361E-4</v>
      </c>
      <c r="AE257" s="301">
        <f t="shared" si="92"/>
        <v>0.5</v>
      </c>
      <c r="AF257" s="173">
        <f t="shared" si="93"/>
        <v>0.97732818409895206</v>
      </c>
      <c r="AG257" s="802">
        <f t="shared" si="99"/>
        <v>1</v>
      </c>
      <c r="AH257" s="172">
        <f t="shared" si="94"/>
        <v>7</v>
      </c>
      <c r="AI257" s="221">
        <f t="shared" si="95"/>
        <v>1.9773281840989521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45901</v>
      </c>
      <c r="B258" s="406">
        <f>'2024'!Wh/'2024'!Env_an*'2025'!Env_an</f>
        <v>43.030135517819296</v>
      </c>
      <c r="C258" s="385"/>
      <c r="D258" s="388">
        <f t="shared" si="77"/>
        <v>43.850151659196264</v>
      </c>
      <c r="E258" s="380">
        <f t="shared" si="100"/>
        <v>44.247414150697281</v>
      </c>
      <c r="F258" s="380">
        <f t="shared" si="78"/>
        <v>44.253634667016065</v>
      </c>
      <c r="G258" s="110">
        <f t="shared" si="101"/>
        <v>0.85548059690974954</v>
      </c>
      <c r="H258" s="409" t="b">
        <f>Wh_hp&gt;='2024'!Maxi_hp</f>
        <v>0</v>
      </c>
      <c r="I258" s="375">
        <f>IF(H258,Wh_hp,'2024'!Maxi_hp)</f>
        <v>44.255000274929195</v>
      </c>
      <c r="J258" s="85">
        <f>IF(H258,An,'2024'!An_max)</f>
        <v>2022</v>
      </c>
      <c r="K258" s="193">
        <f t="shared" si="79"/>
        <v>45901</v>
      </c>
      <c r="L258" s="143">
        <f>IF(t&lt;Tvie,1-EXP((T0-t)*PertePVj)+'2024'!Pspv,1-EXP((T0-t)*PertePVj)+Pspv)</f>
        <v>1.870041745237605E-2</v>
      </c>
      <c r="M258" s="836"/>
      <c r="N258" s="836"/>
      <c r="O258" s="48">
        <f>IF(t&lt;Tnet,'2024'!Resal+('2024'!Salim-'2024'!Resal)*(1-EXP(('2024'!Tnet-t)/('2024'!Tau_j))),Resal+(Salim-Resal)*(1-EXP((Tnet-t)/(Tau_j))))*Salcycl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1.7712594357349485E-4</v>
      </c>
      <c r="Q258" s="301">
        <f t="shared" si="80"/>
        <v>0.5</v>
      </c>
      <c r="R258" s="173">
        <f t="shared" si="81"/>
        <v>0.97797729608157358</v>
      </c>
      <c r="S258" s="802">
        <f t="shared" si="82"/>
        <v>1</v>
      </c>
      <c r="T258" s="172">
        <f t="shared" si="83"/>
        <v>7</v>
      </c>
      <c r="U258" s="247">
        <f t="shared" si="84"/>
        <v>1.9779772960815736</v>
      </c>
      <c r="V258" s="378">
        <f t="shared" si="85"/>
        <v>50.297531275134375</v>
      </c>
      <c r="W258" s="397">
        <f t="shared" si="86"/>
        <v>43.030135517819296</v>
      </c>
      <c r="X258" s="153">
        <f t="shared" si="87"/>
        <v>45901</v>
      </c>
      <c r="Y258" s="380">
        <f t="shared" si="88"/>
        <v>41.446612745257013</v>
      </c>
      <c r="Z258" s="380">
        <f t="shared" si="89"/>
        <v>42.236452029923846</v>
      </c>
      <c r="AA258" s="381">
        <f t="shared" si="90"/>
        <v>44.247414150697281</v>
      </c>
      <c r="AB258" s="193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4.5448127520503909E-2</v>
      </c>
      <c r="AD258" s="227">
        <f>(INDEX(Models!$BJ258:$BT258,,AH258)*(1-AF258)+INDEX(Models!$BJ258:$BT258,,AH258+1)*AF258-ERP_i)*AE258*Ramure*Pc/MaxiM</f>
        <v>1.7712594357349485E-4</v>
      </c>
      <c r="AE258" s="301">
        <f t="shared" si="92"/>
        <v>0.5</v>
      </c>
      <c r="AF258" s="173">
        <f t="shared" si="93"/>
        <v>0.97797729608157358</v>
      </c>
      <c r="AG258" s="802">
        <f t="shared" si="99"/>
        <v>1</v>
      </c>
      <c r="AH258" s="172">
        <f t="shared" si="94"/>
        <v>7</v>
      </c>
      <c r="AI258" s="221">
        <f t="shared" si="95"/>
        <v>1.9779772960815736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45902</v>
      </c>
      <c r="B259" s="406">
        <f>'2024'!Wh/'2024'!Env_an*'2025'!Env_an</f>
        <v>40.674040353519082</v>
      </c>
      <c r="C259" s="385"/>
      <c r="D259" s="388">
        <f t="shared" si="77"/>
        <v>41.449724302336755</v>
      </c>
      <c r="E259" s="380">
        <f t="shared" si="100"/>
        <v>41.828083206665376</v>
      </c>
      <c r="F259" s="380">
        <f t="shared" si="78"/>
        <v>41.833741138206079</v>
      </c>
      <c r="G259" s="110">
        <f t="shared" si="101"/>
        <v>0.8132220676575892</v>
      </c>
      <c r="H259" s="409" t="b">
        <f>Wh_hp&gt;='2024'!Maxi_hp</f>
        <v>0</v>
      </c>
      <c r="I259" s="375">
        <f>IF(H259,Wh_hp,'2024'!Maxi_hp)</f>
        <v>41.8354747145045</v>
      </c>
      <c r="J259" s="85">
        <f>IF(H259,An,'2024'!An_max)</f>
        <v>2022</v>
      </c>
      <c r="K259" s="193">
        <f t="shared" si="79"/>
        <v>45902</v>
      </c>
      <c r="L259" s="143">
        <f>IF(t&lt;Tvie,1-EXP((T0-t)*PertePVj)+'2024'!Pspv,1-EXP((T0-t)*PertePVj)+Pspv)</f>
        <v>1.8713850619603289E-2</v>
      </c>
      <c r="M259" s="836"/>
      <c r="N259" s="836"/>
      <c r="O259" s="48">
        <f>IF(t&lt;Tnet,'2024'!Resal+('2024'!Salim-'2024'!Resal)*(1-EXP(('2024'!Tnet-t)/('2024'!Tau_j))),Resal+(Salim-Resal)*(1-EXP((Tnet-t)/(Tau_j))))*Salcycl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1.8445474626817022E-4</v>
      </c>
      <c r="Q259" s="301">
        <f t="shared" si="80"/>
        <v>0.5</v>
      </c>
      <c r="R259" s="173">
        <f t="shared" si="81"/>
        <v>0.97860191169578004</v>
      </c>
      <c r="S259" s="802">
        <f t="shared" si="82"/>
        <v>1</v>
      </c>
      <c r="T259" s="172">
        <f t="shared" si="83"/>
        <v>7</v>
      </c>
      <c r="U259" s="247">
        <f t="shared" si="84"/>
        <v>1.97860191169578</v>
      </c>
      <c r="V259" s="378">
        <f t="shared" si="85"/>
        <v>50.01344683676929</v>
      </c>
      <c r="W259" s="397">
        <f t="shared" si="86"/>
        <v>40.674040353519082</v>
      </c>
      <c r="X259" s="153">
        <f t="shared" si="87"/>
        <v>45902</v>
      </c>
      <c r="Y259" s="380">
        <f t="shared" si="88"/>
        <v>39.178650696942199</v>
      </c>
      <c r="Z259" s="380">
        <f t="shared" si="89"/>
        <v>39.925816462079247</v>
      </c>
      <c r="AA259" s="381">
        <f t="shared" si="90"/>
        <v>41.828083206665376</v>
      </c>
      <c r="AB259" s="193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4.5478219386419286E-2</v>
      </c>
      <c r="AD259" s="227">
        <f>(INDEX(Models!$BJ259:$BT259,,AH259)*(1-AF259)+INDEX(Models!$BJ259:$BT259,,AH259+1)*AF259-ERP_i)*AE259*Ramure*Pc/MaxiM</f>
        <v>1.8445474626817022E-4</v>
      </c>
      <c r="AE259" s="301">
        <f t="shared" si="92"/>
        <v>0.5</v>
      </c>
      <c r="AF259" s="173">
        <f t="shared" si="93"/>
        <v>0.97860191169578004</v>
      </c>
      <c r="AG259" s="802">
        <f t="shared" si="99"/>
        <v>1</v>
      </c>
      <c r="AH259" s="172">
        <f t="shared" si="94"/>
        <v>7</v>
      </c>
      <c r="AI259" s="221">
        <f t="shared" si="95"/>
        <v>1.97860191169578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45903</v>
      </c>
      <c r="B260" s="406">
        <f>'2024'!Wh/'2024'!Env_an*'2025'!Env_an</f>
        <v>37.418480329743851</v>
      </c>
      <c r="C260" s="385"/>
      <c r="D260" s="388">
        <f t="shared" si="77"/>
        <v>38.132600351035322</v>
      </c>
      <c r="E260" s="380">
        <f t="shared" si="100"/>
        <v>38.483291313556975</v>
      </c>
      <c r="F260" s="380">
        <f t="shared" si="78"/>
        <v>38.488046381635755</v>
      </c>
      <c r="G260" s="110">
        <f t="shared" si="101"/>
        <v>0.75247212802771679</v>
      </c>
      <c r="H260" s="409" t="b">
        <f>Wh_hp&gt;='2024'!Maxi_hp</f>
        <v>0</v>
      </c>
      <c r="I260" s="375">
        <f>IF(H260,Wh_hp,'2024'!Maxi_hp)</f>
        <v>38.490229957550994</v>
      </c>
      <c r="J260" s="85">
        <f>IF(H260,An,'2024'!An_max)</f>
        <v>2022</v>
      </c>
      <c r="K260" s="193">
        <f t="shared" si="79"/>
        <v>45903</v>
      </c>
      <c r="L260" s="143">
        <f>IF(t&lt;Tvie,1-EXP((T0-t)*PertePVj)+'2024'!Pspv,1-EXP((T0-t)*PertePVj)+Pspv)</f>
        <v>1.8727283602941736E-2</v>
      </c>
      <c r="M260" s="836"/>
      <c r="N260" s="836"/>
      <c r="O260" s="48">
        <f>IF(t&lt;Tnet,'2024'!Resal+('2024'!Salim-'2024'!Resal)*(1-EXP(('2024'!Tnet-t)/('2024'!Tau_j))),Resal+(Salim-Resal)*(1-EXP((Tnet-t)/(Tau_j))))*Salcycl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1.9111213953606194E-4</v>
      </c>
      <c r="Q260" s="301">
        <f t="shared" si="80"/>
        <v>0.5</v>
      </c>
      <c r="R260" s="173">
        <f t="shared" si="81"/>
        <v>0.9792028937744055</v>
      </c>
      <c r="S260" s="802">
        <f t="shared" si="82"/>
        <v>1</v>
      </c>
      <c r="T260" s="172">
        <f t="shared" si="83"/>
        <v>7</v>
      </c>
      <c r="U260" s="247">
        <f t="shared" si="84"/>
        <v>1.9792028937744055</v>
      </c>
      <c r="V260" s="378">
        <f t="shared" si="85"/>
        <v>49.72403684425872</v>
      </c>
      <c r="W260" s="397">
        <f t="shared" si="86"/>
        <v>37.418480329743851</v>
      </c>
      <c r="X260" s="153">
        <f t="shared" si="87"/>
        <v>45903</v>
      </c>
      <c r="Y260" s="380">
        <f t="shared" si="88"/>
        <v>36.04410163331287</v>
      </c>
      <c r="Z260" s="380">
        <f t="shared" si="89"/>
        <v>36.731992066034501</v>
      </c>
      <c r="AA260" s="381">
        <f t="shared" si="90"/>
        <v>38.483291313556975</v>
      </c>
      <c r="AB260" s="193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4.5508042263150174E-2</v>
      </c>
      <c r="AD260" s="227">
        <f>(INDEX(Models!$BJ260:$BT260,,AH260)*(1-AF260)+INDEX(Models!$BJ260:$BT260,,AH260+1)*AF260-ERP_i)*AE260*Ramure*Pc/MaxiM</f>
        <v>1.9111213953606194E-4</v>
      </c>
      <c r="AE260" s="301">
        <f t="shared" si="92"/>
        <v>0.5</v>
      </c>
      <c r="AF260" s="173">
        <f t="shared" si="93"/>
        <v>0.9792028937744055</v>
      </c>
      <c r="AG260" s="802">
        <f t="shared" si="99"/>
        <v>1</v>
      </c>
      <c r="AH260" s="172">
        <f t="shared" si="94"/>
        <v>7</v>
      </c>
      <c r="AI260" s="221">
        <f t="shared" si="95"/>
        <v>1.9792028937744055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45904</v>
      </c>
      <c r="B261" s="406">
        <f>'2024'!Wh/'2024'!Env_an*'2025'!Env_an</f>
        <v>49.063349216670957</v>
      </c>
      <c r="C261" s="385"/>
      <c r="D261" s="388">
        <f t="shared" si="77"/>
        <v>50.000392390469159</v>
      </c>
      <c r="E261" s="380">
        <f t="shared" si="100"/>
        <v>50.463644862569573</v>
      </c>
      <c r="F261" s="380">
        <f t="shared" si="78"/>
        <v>50.473486657959064</v>
      </c>
      <c r="G261" s="110">
        <f t="shared" si="101"/>
        <v>0.99256449655972612</v>
      </c>
      <c r="H261" s="409" t="b">
        <f>Wh_hp&gt;='2024'!Maxi_hp</f>
        <v>0</v>
      </c>
      <c r="I261" s="375">
        <f>IF(H261,Wh_hp,'2024'!Maxi_hp)</f>
        <v>50.473575037917115</v>
      </c>
      <c r="J261" s="85">
        <f>IF(H261,An,'2024'!An_max)</f>
        <v>2022</v>
      </c>
      <c r="K261" s="193">
        <f t="shared" si="79"/>
        <v>45904</v>
      </c>
      <c r="L261" s="143">
        <f>IF(t&lt;Tvie,1-EXP((T0-t)*PertePVj)+'2024'!Pspv,1-EXP((T0-t)*PertePVj)+Pspv)</f>
        <v>1.8740716402393942E-2</v>
      </c>
      <c r="M261" s="836"/>
      <c r="N261" s="836"/>
      <c r="O261" s="48">
        <f>IF(t&lt;Tnet,'2024'!Resal+('2024'!Salim-'2024'!Resal)*(1-EXP(('2024'!Tnet-t)/('2024'!Tau_j))),Resal+(Salim-Resal)*(1-EXP((Tnet-t)/(Tau_j))))*Salcycl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1.9708226204962268E-4</v>
      </c>
      <c r="Q261" s="301">
        <f t="shared" si="80"/>
        <v>0.5</v>
      </c>
      <c r="R261" s="173">
        <f t="shared" si="81"/>
        <v>0.97978107950016979</v>
      </c>
      <c r="S261" s="802">
        <f t="shared" si="82"/>
        <v>1</v>
      </c>
      <c r="T261" s="172">
        <f t="shared" si="83"/>
        <v>7</v>
      </c>
      <c r="U261" s="247">
        <f t="shared" si="84"/>
        <v>1.9797810795001698</v>
      </c>
      <c r="V261" s="378">
        <f t="shared" si="85"/>
        <v>49.430789318351437</v>
      </c>
      <c r="W261" s="397">
        <f t="shared" si="86"/>
        <v>49.063349216670957</v>
      </c>
      <c r="X261" s="153">
        <f t="shared" si="87"/>
        <v>45904</v>
      </c>
      <c r="Y261" s="380">
        <f t="shared" si="88"/>
        <v>47.262993426140426</v>
      </c>
      <c r="Z261" s="380">
        <f t="shared" si="89"/>
        <v>48.165652255395109</v>
      </c>
      <c r="AA261" s="381">
        <f t="shared" si="90"/>
        <v>50.463644862569573</v>
      </c>
      <c r="AB261" s="193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4.5537586780200166E-2</v>
      </c>
      <c r="AD261" s="227">
        <f>(INDEX(Models!$BJ261:$BT261,,AH261)*(1-AF261)+INDEX(Models!$BJ261:$BT261,,AH261+1)*AF261-ERP_i)*AE261*Ramure*Pc/MaxiM</f>
        <v>1.9708226204962268E-4</v>
      </c>
      <c r="AE261" s="301">
        <f t="shared" si="92"/>
        <v>0.5</v>
      </c>
      <c r="AF261" s="173">
        <f t="shared" si="93"/>
        <v>0.97978107950016979</v>
      </c>
      <c r="AG261" s="802">
        <f t="shared" si="99"/>
        <v>1</v>
      </c>
      <c r="AH261" s="172">
        <f t="shared" si="94"/>
        <v>7</v>
      </c>
      <c r="AI261" s="221">
        <f t="shared" si="95"/>
        <v>1.9797810795001698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45905</v>
      </c>
      <c r="B262" s="406">
        <f>'2024'!Wh/'2024'!Env_an*'2025'!Env_an</f>
        <v>41.055415332853549</v>
      </c>
      <c r="C262" s="385"/>
      <c r="D262" s="388">
        <f t="shared" si="77"/>
        <v>41.840090627404955</v>
      </c>
      <c r="E262" s="380">
        <f t="shared" si="100"/>
        <v>42.230593120285704</v>
      </c>
      <c r="F262" s="380">
        <f t="shared" si="78"/>
        <v>42.237105499137591</v>
      </c>
      <c r="G262" s="110">
        <f t="shared" si="101"/>
        <v>0.83551763960896275</v>
      </c>
      <c r="H262" s="409" t="b">
        <f>Wh_hp&gt;='2024'!Maxi_hp</f>
        <v>0</v>
      </c>
      <c r="I262" s="375">
        <f>IF(H262,Wh_hp,'2024'!Maxi_hp)</f>
        <v>42.238772053964766</v>
      </c>
      <c r="J262" s="85">
        <f>IF(H262,An,'2024'!An_max)</f>
        <v>2022</v>
      </c>
      <c r="K262" s="193">
        <f t="shared" si="79"/>
        <v>45905</v>
      </c>
      <c r="L262" s="143">
        <f>IF(t&lt;Tvie,1-EXP((T0-t)*PertePVj)+'2024'!Pspv,1-EXP((T0-t)*PertePVj)+Pspv)</f>
        <v>1.8754149017962352E-2</v>
      </c>
      <c r="M262" s="836"/>
      <c r="N262" s="836"/>
      <c r="O262" s="48">
        <f>IF(t&lt;Tnet,'2024'!Resal+('2024'!Salim-'2024'!Resal)*(1-EXP(('2024'!Tnet-t)/('2024'!Tau_j))),Resal+(Salim-Resal)*(1-EXP((Tnet-t)/(Tau_j))))*Salcycl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2.0152906215631546E-4</v>
      </c>
      <c r="Q262" s="301">
        <f t="shared" si="80"/>
        <v>0.5</v>
      </c>
      <c r="R262" s="173">
        <f t="shared" si="81"/>
        <v>0.9803372807929418</v>
      </c>
      <c r="S262" s="802">
        <f t="shared" si="82"/>
        <v>1</v>
      </c>
      <c r="T262" s="172">
        <f t="shared" si="83"/>
        <v>7</v>
      </c>
      <c r="U262" s="247">
        <f t="shared" si="84"/>
        <v>1.9803372807929418</v>
      </c>
      <c r="V262" s="378">
        <f t="shared" si="85"/>
        <v>49.135373576933546</v>
      </c>
      <c r="W262" s="397">
        <f t="shared" si="86"/>
        <v>41.055415332853549</v>
      </c>
      <c r="X262" s="153">
        <f t="shared" si="87"/>
        <v>45905</v>
      </c>
      <c r="Y262" s="380">
        <f t="shared" si="88"/>
        <v>39.550368356573884</v>
      </c>
      <c r="Z262" s="380">
        <f t="shared" si="89"/>
        <v>40.306278306289499</v>
      </c>
      <c r="AA262" s="381">
        <f t="shared" si="90"/>
        <v>42.230593120285704</v>
      </c>
      <c r="AB262" s="193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4.5566843177294765E-2</v>
      </c>
      <c r="AD262" s="227">
        <f>(INDEX(Models!$BJ262:$BT262,,AH262)*(1-AF262)+INDEX(Models!$BJ262:$BT262,,AH262+1)*AF262-ERP_i)*AE262*Ramure*Pc/MaxiM</f>
        <v>2.0152906215631546E-4</v>
      </c>
      <c r="AE262" s="301">
        <f t="shared" si="92"/>
        <v>0.5</v>
      </c>
      <c r="AF262" s="173">
        <f t="shared" si="93"/>
        <v>0.9803372807929418</v>
      </c>
      <c r="AG262" s="802">
        <f t="shared" si="99"/>
        <v>1</v>
      </c>
      <c r="AH262" s="172">
        <f t="shared" si="94"/>
        <v>7</v>
      </c>
      <c r="AI262" s="221">
        <f t="shared" si="95"/>
        <v>1.9803372807929418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45906</v>
      </c>
      <c r="B263" s="406">
        <f>'2024'!Wh/'2024'!Env_an*'2025'!Env_an</f>
        <v>44.749579942785935</v>
      </c>
      <c r="C263" s="385"/>
      <c r="D263" s="388">
        <f t="shared" si="77"/>
        <v>45.605484589367627</v>
      </c>
      <c r="E263" s="380">
        <f t="shared" si="100"/>
        <v>46.034236566124086</v>
      </c>
      <c r="F263" s="380">
        <f t="shared" si="78"/>
        <v>46.042510032688043</v>
      </c>
      <c r="G263" s="110">
        <f t="shared" si="101"/>
        <v>0.91627333089397212</v>
      </c>
      <c r="H263" s="409" t="b">
        <f>Wh_hp&gt;='2024'!Maxi_hp</f>
        <v>0</v>
      </c>
      <c r="I263" s="375">
        <f>IF(H263,Wh_hp,'2024'!Maxi_hp)</f>
        <v>46.043442826632116</v>
      </c>
      <c r="J263" s="85">
        <f>IF(H263,An,'2024'!An_max)</f>
        <v>2022</v>
      </c>
      <c r="K263" s="193">
        <f t="shared" si="79"/>
        <v>45906</v>
      </c>
      <c r="L263" s="143">
        <f>IF(t&lt;Tvie,1-EXP((T0-t)*PertePVj)+'2024'!Pspv,1-EXP((T0-t)*PertePVj)+Pspv)</f>
        <v>1.8767581449649517E-2</v>
      </c>
      <c r="M263" s="836"/>
      <c r="N263" s="836"/>
      <c r="O263" s="48">
        <f>IF(t&lt;Tnet,'2024'!Resal+('2024'!Salim-'2024'!Resal)*(1-EXP(('2024'!Tnet-t)/('2024'!Tau_j))),Resal+(Salim-Resal)*(1-EXP((Tnet-t)/(Tau_j))))*Salcycl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2.0409737959525349E-4</v>
      </c>
      <c r="Q263" s="301">
        <f t="shared" si="80"/>
        <v>0.5</v>
      </c>
      <c r="R263" s="173">
        <f t="shared" si="81"/>
        <v>0.98087228472457344</v>
      </c>
      <c r="S263" s="802">
        <f t="shared" si="82"/>
        <v>1</v>
      </c>
      <c r="T263" s="172">
        <f t="shared" si="83"/>
        <v>7</v>
      </c>
      <c r="U263" s="247">
        <f t="shared" si="84"/>
        <v>1.9808722847245734</v>
      </c>
      <c r="V263" s="378">
        <f t="shared" si="85"/>
        <v>48.837487792344675</v>
      </c>
      <c r="W263" s="397">
        <f t="shared" si="86"/>
        <v>44.749579942785935</v>
      </c>
      <c r="X263" s="153">
        <f t="shared" si="87"/>
        <v>45906</v>
      </c>
      <c r="Y263" s="380">
        <f t="shared" si="88"/>
        <v>43.110709930308182</v>
      </c>
      <c r="Z263" s="380">
        <f t="shared" si="89"/>
        <v>43.93526866346194</v>
      </c>
      <c r="AA263" s="381">
        <f t="shared" si="90"/>
        <v>46.034236566124086</v>
      </c>
      <c r="AB263" s="193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4.5595801282533856E-2</v>
      </c>
      <c r="AD263" s="227">
        <f>(INDEX(Models!$BJ263:$BT263,,AH263)*(1-AF263)+INDEX(Models!$BJ263:$BT263,,AH263+1)*AF263-ERP_i)*AE263*Ramure*Pc/MaxiM</f>
        <v>2.0409737959525349E-4</v>
      </c>
      <c r="AE263" s="301">
        <f t="shared" si="92"/>
        <v>0.5</v>
      </c>
      <c r="AF263" s="173">
        <f t="shared" si="93"/>
        <v>0.98087228472457344</v>
      </c>
      <c r="AG263" s="802">
        <f t="shared" si="99"/>
        <v>1</v>
      </c>
      <c r="AH263" s="172">
        <f t="shared" si="94"/>
        <v>7</v>
      </c>
      <c r="AI263" s="221">
        <f t="shared" si="95"/>
        <v>1.9808722847245734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45907</v>
      </c>
      <c r="B264" s="406">
        <f>'2024'!Wh/'2024'!Env_an*'2025'!Env_an</f>
        <v>36.693256941480861</v>
      </c>
      <c r="C264" s="385"/>
      <c r="D264" s="388">
        <f t="shared" si="77"/>
        <v>37.395583915216989</v>
      </c>
      <c r="E264" s="380">
        <f t="shared" si="100"/>
        <v>37.749694218073444</v>
      </c>
      <c r="F264" s="380">
        <f t="shared" si="78"/>
        <v>37.754730009874017</v>
      </c>
      <c r="G264" s="110">
        <f t="shared" si="101"/>
        <v>0.75593419847114529</v>
      </c>
      <c r="H264" s="409" t="b">
        <f>Wh_hp&gt;='2024'!Maxi_hp</f>
        <v>0</v>
      </c>
      <c r="I264" s="375">
        <f>IF(H264,Wh_hp,'2024'!Maxi_hp)</f>
        <v>37.756957549064502</v>
      </c>
      <c r="J264" s="85">
        <f>IF(H264,An,'2024'!An_max)</f>
        <v>2022</v>
      </c>
      <c r="K264" s="193">
        <f t="shared" si="79"/>
        <v>45907</v>
      </c>
      <c r="L264" s="143">
        <f>IF(t&lt;Tvie,1-EXP((T0-t)*PertePVj)+'2024'!Pspv,1-EXP((T0-t)*PertePVj)+Pspv)</f>
        <v>1.8781013697457993E-2</v>
      </c>
      <c r="M264" s="836"/>
      <c r="N264" s="836"/>
      <c r="O264" s="48">
        <f>IF(t&lt;Tnet,'2024'!Resal+('2024'!Salim-'2024'!Resal)*(1-EXP(('2024'!Tnet-t)/('2024'!Tau_j))),Resal+(Salim-Resal)*(1-EXP((Tnet-t)/(Tau_j))))*Salcycl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2.0475799409950138E-4</v>
      </c>
      <c r="Q264" s="301">
        <f t="shared" si="80"/>
        <v>0.5</v>
      </c>
      <c r="R264" s="173">
        <f t="shared" si="81"/>
        <v>0.98138685395761094</v>
      </c>
      <c r="S264" s="802">
        <f t="shared" si="82"/>
        <v>1</v>
      </c>
      <c r="T264" s="172">
        <f t="shared" si="83"/>
        <v>7</v>
      </c>
      <c r="U264" s="247">
        <f t="shared" si="84"/>
        <v>1.9813868539576109</v>
      </c>
      <c r="V264" s="378">
        <f t="shared" si="85"/>
        <v>48.53681397043669</v>
      </c>
      <c r="W264" s="397">
        <f t="shared" si="86"/>
        <v>36.693256941480861</v>
      </c>
      <c r="X264" s="153">
        <f t="shared" si="87"/>
        <v>45907</v>
      </c>
      <c r="Y264" s="380">
        <f t="shared" si="88"/>
        <v>35.350754348898313</v>
      </c>
      <c r="Z264" s="380">
        <f t="shared" si="89"/>
        <v>36.027385163130667</v>
      </c>
      <c r="AA264" s="381">
        <f t="shared" si="90"/>
        <v>37.749694218073444</v>
      </c>
      <c r="AB264" s="193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4.5624450492056753E-2</v>
      </c>
      <c r="AD264" s="227">
        <f>(INDEX(Models!$BJ264:$BT264,,AH264)*(1-AF264)+INDEX(Models!$BJ264:$BT264,,AH264+1)*AF264-ERP_i)*AE264*Ramure*Pc/MaxiM</f>
        <v>2.0475799409950138E-4</v>
      </c>
      <c r="AE264" s="301">
        <f t="shared" si="92"/>
        <v>0.5</v>
      </c>
      <c r="AF264" s="173">
        <f t="shared" si="93"/>
        <v>0.98138685395761094</v>
      </c>
      <c r="AG264" s="802">
        <f t="shared" si="99"/>
        <v>1</v>
      </c>
      <c r="AH264" s="172">
        <f t="shared" si="94"/>
        <v>7</v>
      </c>
      <c r="AI264" s="221">
        <f t="shared" si="95"/>
        <v>1.9813868539576109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45908</v>
      </c>
      <c r="B265" s="406">
        <f>'2024'!Wh/'2024'!Env_an*'2025'!Env_an</f>
        <v>40.810411446204029</v>
      </c>
      <c r="C265" s="385"/>
      <c r="D265" s="388">
        <f t="shared" si="77"/>
        <v>41.59211214195772</v>
      </c>
      <c r="E265" s="380">
        <f t="shared" si="100"/>
        <v>41.98878274548025</v>
      </c>
      <c r="F265" s="380">
        <f t="shared" si="78"/>
        <v>41.995449392193045</v>
      </c>
      <c r="G265" s="110">
        <f t="shared" si="101"/>
        <v>0.84607129167965078</v>
      </c>
      <c r="H265" s="409" t="b">
        <f>Wh_hp&gt;='2024'!Maxi_hp</f>
        <v>0</v>
      </c>
      <c r="I265" s="375">
        <f>IF(H265,Wh_hp,'2024'!Maxi_hp)</f>
        <v>41.996995184866542</v>
      </c>
      <c r="J265" s="85">
        <f>IF(H265,An,'2024'!An_max)</f>
        <v>2022</v>
      </c>
      <c r="K265" s="193">
        <f t="shared" si="79"/>
        <v>45908</v>
      </c>
      <c r="L265" s="143">
        <f>IF(t&lt;Tvie,1-EXP((T0-t)*PertePVj)+'2024'!Pspv,1-EXP((T0-t)*PertePVj)+Pspv)</f>
        <v>1.8794445761390333E-2</v>
      </c>
      <c r="M265" s="836"/>
      <c r="N265" s="836"/>
      <c r="O265" s="48">
        <f>IF(t&lt;Tnet,'2024'!Resal+('2024'!Salim-'2024'!Resal)*(1-EXP(('2024'!Tnet-t)/('2024'!Tau_j))),Resal+(Salim-Resal)*(1-EXP((Tnet-t)/(Tau_j))))*Salcycl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2.0348096886269227E-4</v>
      </c>
      <c r="Q265" s="301">
        <f t="shared" si="80"/>
        <v>0.5</v>
      </c>
      <c r="R265" s="173">
        <f t="shared" si="81"/>
        <v>0.98188172720445688</v>
      </c>
      <c r="S265" s="802">
        <f t="shared" si="82"/>
        <v>1</v>
      </c>
      <c r="T265" s="172">
        <f t="shared" si="83"/>
        <v>7</v>
      </c>
      <c r="U265" s="247">
        <f t="shared" si="84"/>
        <v>1.9818817272044569</v>
      </c>
      <c r="V265" s="378">
        <f t="shared" si="85"/>
        <v>48.23303419136667</v>
      </c>
      <c r="W265" s="397">
        <f t="shared" si="86"/>
        <v>40.810411446204029</v>
      </c>
      <c r="X265" s="153">
        <f t="shared" si="87"/>
        <v>45908</v>
      </c>
      <c r="Y265" s="380">
        <f t="shared" si="88"/>
        <v>39.318749355339044</v>
      </c>
      <c r="Z265" s="380">
        <f t="shared" si="89"/>
        <v>40.071878094747831</v>
      </c>
      <c r="AA265" s="381">
        <f t="shared" si="90"/>
        <v>41.98878274548025</v>
      </c>
      <c r="AB265" s="193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4.5652779751962691E-2</v>
      </c>
      <c r="AD265" s="227">
        <f>(INDEX(Models!$BJ265:$BT265,,AH265)*(1-AF265)+INDEX(Models!$BJ265:$BT265,,AH265+1)*AF265-ERP_i)*AE265*Ramure*Pc/MaxiM</f>
        <v>2.0348096886269227E-4</v>
      </c>
      <c r="AE265" s="301">
        <f t="shared" si="92"/>
        <v>0.5</v>
      </c>
      <c r="AF265" s="173">
        <f t="shared" si="93"/>
        <v>0.98188172720445688</v>
      </c>
      <c r="AG265" s="802">
        <f t="shared" si="99"/>
        <v>1</v>
      </c>
      <c r="AH265" s="172">
        <f t="shared" si="94"/>
        <v>7</v>
      </c>
      <c r="AI265" s="221">
        <f t="shared" si="95"/>
        <v>1.9818817272044569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45909</v>
      </c>
      <c r="B266" s="406">
        <f>'2024'!Wh/'2024'!Env_an*'2025'!Env_an</f>
        <v>19.44287580951779</v>
      </c>
      <c r="C266" s="385"/>
      <c r="D266" s="388">
        <f t="shared" si="77"/>
        <v>19.815564522452309</v>
      </c>
      <c r="E266" s="380">
        <f t="shared" si="100"/>
        <v>20.005890551918707</v>
      </c>
      <c r="F266" s="380">
        <f t="shared" si="78"/>
        <v>20.006495383876491</v>
      </c>
      <c r="G266" s="110">
        <f t="shared" si="101"/>
        <v>0.40561780783230844</v>
      </c>
      <c r="H266" s="409" t="b">
        <f>Wh_hp&gt;='2024'!Maxi_hp</f>
        <v>0</v>
      </c>
      <c r="I266" s="375">
        <f>IF(H266,Wh_hp,'2024'!Maxi_hp)</f>
        <v>20.009279692511022</v>
      </c>
      <c r="J266" s="85">
        <f>IF(H266,An,'2024'!An_max)</f>
        <v>2022</v>
      </c>
      <c r="K266" s="193">
        <f t="shared" si="79"/>
        <v>45909</v>
      </c>
      <c r="L266" s="143">
        <f>IF(t&lt;Tvie,1-EXP((T0-t)*PertePVj)+'2024'!Pspv,1-EXP((T0-t)*PertePVj)+Pspv)</f>
        <v>1.8807877641448978E-2</v>
      </c>
      <c r="M266" s="836"/>
      <c r="N266" s="836"/>
      <c r="O266" s="48">
        <f>IF(t&lt;Tnet,'2024'!Resal+('2024'!Salim-'2024'!Resal)*(1-EXP(('2024'!Tnet-t)/('2024'!Tau_j))),Resal+(Salim-Resal)*(1-EXP((Tnet-t)/(Tau_j))))*Salcycl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2.0023550760918274E-4</v>
      </c>
      <c r="Q266" s="301">
        <f t="shared" si="80"/>
        <v>0.5</v>
      </c>
      <c r="R266" s="173">
        <f t="shared" si="81"/>
        <v>0.98235761970381197</v>
      </c>
      <c r="S266" s="802">
        <f t="shared" si="82"/>
        <v>1</v>
      </c>
      <c r="T266" s="172">
        <f t="shared" si="83"/>
        <v>7</v>
      </c>
      <c r="U266" s="247">
        <f t="shared" si="84"/>
        <v>1.982357619703812</v>
      </c>
      <c r="V266" s="378">
        <f t="shared" si="85"/>
        <v>47.925830604194125</v>
      </c>
      <c r="W266" s="397">
        <f t="shared" si="86"/>
        <v>19.44287580951779</v>
      </c>
      <c r="X266" s="153">
        <f t="shared" si="87"/>
        <v>45909</v>
      </c>
      <c r="Y266" s="380">
        <f t="shared" si="88"/>
        <v>18.732925804863289</v>
      </c>
      <c r="Z266" s="380">
        <f t="shared" si="89"/>
        <v>19.092005916062412</v>
      </c>
      <c r="AA266" s="381">
        <f t="shared" si="90"/>
        <v>20.005890551918707</v>
      </c>
      <c r="AB266" s="193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4.5680777543224443E-2</v>
      </c>
      <c r="AD266" s="227">
        <f>(INDEX(Models!$BJ266:$BT266,,AH266)*(1-AF266)+INDEX(Models!$BJ266:$BT266,,AH266+1)*AF266-ERP_i)*AE266*Ramure*Pc/MaxiM</f>
        <v>2.0023550760918274E-4</v>
      </c>
      <c r="AE266" s="301">
        <f t="shared" si="92"/>
        <v>0.5</v>
      </c>
      <c r="AF266" s="173">
        <f t="shared" si="93"/>
        <v>0.98235761970381197</v>
      </c>
      <c r="AG266" s="802">
        <f t="shared" si="99"/>
        <v>1</v>
      </c>
      <c r="AH266" s="172">
        <f t="shared" si="94"/>
        <v>7</v>
      </c>
      <c r="AI266" s="221">
        <f t="shared" si="95"/>
        <v>1.982357619703812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45910</v>
      </c>
      <c r="B267" s="406">
        <f>'2024'!Wh/'2024'!Env_an*'2025'!Env_an</f>
        <v>45.325354101841768</v>
      </c>
      <c r="C267" s="385"/>
      <c r="D267" s="388">
        <f t="shared" si="77"/>
        <v>46.194800736289956</v>
      </c>
      <c r="E267" s="380">
        <f t="shared" si="100"/>
        <v>46.641617751189209</v>
      </c>
      <c r="F267" s="380">
        <f t="shared" si="78"/>
        <v>46.650089200997591</v>
      </c>
      <c r="G267" s="110">
        <f t="shared" si="101"/>
        <v>0.95190288672749657</v>
      </c>
      <c r="H267" s="409" t="b">
        <f>Wh_hp&gt;='2024'!Maxi_hp</f>
        <v>0</v>
      </c>
      <c r="I267" s="375">
        <f>IF(H267,Wh_hp,'2024'!Maxi_hp)</f>
        <v>46.650597773955901</v>
      </c>
      <c r="J267" s="85">
        <f>IF(H267,An,'2024'!An_max)</f>
        <v>2022</v>
      </c>
      <c r="K267" s="193">
        <f t="shared" si="79"/>
        <v>45910</v>
      </c>
      <c r="L267" s="143">
        <f>IF(t&lt;Tvie,1-EXP((T0-t)*PertePVj)+'2024'!Pspv,1-EXP((T0-t)*PertePVj)+Pspv)</f>
        <v>1.8821309337636483E-2</v>
      </c>
      <c r="M267" s="836"/>
      <c r="N267" s="836"/>
      <c r="O267" s="48">
        <f>IF(t&lt;Tnet,'2024'!Resal+('2024'!Salim-'2024'!Resal)*(1-EXP(('2024'!Tnet-t)/('2024'!Tau_j))),Resal+(Salim-Resal)*(1-EXP((Tnet-t)/(Tau_j))))*Salcycl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1.9498980450038437E-4</v>
      </c>
      <c r="Q267" s="301">
        <f t="shared" si="80"/>
        <v>0.5</v>
      </c>
      <c r="R267" s="173">
        <f t="shared" si="81"/>
        <v>0.98281522371147689</v>
      </c>
      <c r="S267" s="802">
        <f t="shared" si="82"/>
        <v>1</v>
      </c>
      <c r="T267" s="172">
        <f t="shared" si="83"/>
        <v>7</v>
      </c>
      <c r="U267" s="247">
        <f t="shared" si="84"/>
        <v>1.9828152237114769</v>
      </c>
      <c r="V267" s="378">
        <f t="shared" si="85"/>
        <v>47.614885431470171</v>
      </c>
      <c r="W267" s="397">
        <f t="shared" si="86"/>
        <v>45.325354101841768</v>
      </c>
      <c r="X267" s="153">
        <f t="shared" si="87"/>
        <v>45910</v>
      </c>
      <c r="Y267" s="380">
        <f t="shared" si="88"/>
        <v>43.671971663782813</v>
      </c>
      <c r="Z267" s="380">
        <f t="shared" si="89"/>
        <v>44.509702543887506</v>
      </c>
      <c r="AA267" s="381">
        <f t="shared" si="90"/>
        <v>46.641617751189209</v>
      </c>
      <c r="AB267" s="193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4.570843187031913E-2</v>
      </c>
      <c r="AD267" s="227">
        <f>(INDEX(Models!$BJ267:$BT267,,AH267)*(1-AF267)+INDEX(Models!$BJ267:$BT267,,AH267+1)*AF267-ERP_i)*AE267*Ramure*Pc/MaxiM</f>
        <v>1.9498980450038437E-4</v>
      </c>
      <c r="AE267" s="301">
        <f t="shared" si="92"/>
        <v>0.5</v>
      </c>
      <c r="AF267" s="173">
        <f t="shared" si="93"/>
        <v>0.98281522371147689</v>
      </c>
      <c r="AG267" s="802">
        <f t="shared" si="99"/>
        <v>1</v>
      </c>
      <c r="AH267" s="172">
        <f t="shared" si="94"/>
        <v>7</v>
      </c>
      <c r="AI267" s="221">
        <f t="shared" si="95"/>
        <v>1.9828152237114769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45911</v>
      </c>
      <c r="B268" s="406">
        <f>'2024'!Wh/'2024'!Env_an*'2025'!Env_an</f>
        <v>46.890348378282624</v>
      </c>
      <c r="C268" s="385"/>
      <c r="D268" s="388">
        <f t="shared" si="77"/>
        <v>47.790469486151991</v>
      </c>
      <c r="E268" s="380">
        <f t="shared" si="100"/>
        <v>48.255943238161635</v>
      </c>
      <c r="F268" s="380">
        <f t="shared" si="78"/>
        <v>48.2649143073102</v>
      </c>
      <c r="G268" s="110">
        <f t="shared" si="101"/>
        <v>0.9913399603119647</v>
      </c>
      <c r="H268" s="409" t="b">
        <f>Wh_hp&gt;='2024'!Maxi_hp</f>
        <v>0</v>
      </c>
      <c r="I268" s="375">
        <f>IF(H268,Wh_hp,'2024'!Maxi_hp)</f>
        <v>48.265005171653357</v>
      </c>
      <c r="J268" s="85">
        <f>IF(H268,An,'2024'!An_max)</f>
        <v>2022</v>
      </c>
      <c r="K268" s="193">
        <f t="shared" si="79"/>
        <v>45911</v>
      </c>
      <c r="L268" s="143">
        <f>IF(t&lt;Tvie,1-EXP((T0-t)*PertePVj)+'2024'!Pspv,1-EXP((T0-t)*PertePVj)+Pspv)</f>
        <v>1.8834740849955289E-2</v>
      </c>
      <c r="M268" s="836"/>
      <c r="N268" s="836"/>
      <c r="O268" s="48">
        <f>IF(t&lt;Tnet,'2024'!Resal+('2024'!Salim-'2024'!Resal)*(1-EXP(('2024'!Tnet-t)/('2024'!Tau_j))),Resal+(Salim-Resal)*(1-EXP((Tnet-t)/(Tau_j))))*Salcycl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1.8819912267915273E-4</v>
      </c>
      <c r="Q268" s="301">
        <f t="shared" si="80"/>
        <v>0.5</v>
      </c>
      <c r="R268" s="173">
        <f t="shared" si="81"/>
        <v>0.98325520900281349</v>
      </c>
      <c r="S268" s="802">
        <f t="shared" si="82"/>
        <v>1</v>
      </c>
      <c r="T268" s="172">
        <f t="shared" si="83"/>
        <v>7</v>
      </c>
      <c r="U268" s="247">
        <f t="shared" si="84"/>
        <v>1.9832552090028135</v>
      </c>
      <c r="V268" s="378">
        <f t="shared" si="85"/>
        <v>47.299857858456761</v>
      </c>
      <c r="W268" s="397">
        <f t="shared" si="86"/>
        <v>46.890348378282624</v>
      </c>
      <c r="X268" s="153">
        <f t="shared" si="87"/>
        <v>45911</v>
      </c>
      <c r="Y268" s="380">
        <f t="shared" si="88"/>
        <v>45.181602914571442</v>
      </c>
      <c r="Z268" s="380">
        <f t="shared" si="89"/>
        <v>46.048922435055403</v>
      </c>
      <c r="AA268" s="381">
        <f t="shared" si="90"/>
        <v>48.255943238161635</v>
      </c>
      <c r="AB268" s="193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4.5735730254276338E-2</v>
      </c>
      <c r="AD268" s="227">
        <f>(INDEX(Models!$BJ268:$BT268,,AH268)*(1-AF268)+INDEX(Models!$BJ268:$BT268,,AH268+1)*AF268-ERP_i)*AE268*Ramure*Pc/MaxiM</f>
        <v>1.8819912267915273E-4</v>
      </c>
      <c r="AE268" s="301">
        <f t="shared" si="92"/>
        <v>0.5</v>
      </c>
      <c r="AF268" s="173">
        <f t="shared" si="93"/>
        <v>0.98325520900281349</v>
      </c>
      <c r="AG268" s="802">
        <f t="shared" si="99"/>
        <v>1</v>
      </c>
      <c r="AH268" s="172">
        <f t="shared" si="94"/>
        <v>7</v>
      </c>
      <c r="AI268" s="221">
        <f t="shared" si="95"/>
        <v>1.9832552090028135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45912</v>
      </c>
      <c r="B269" s="406">
        <f>'2024'!Wh/'2024'!Env_an*'2025'!Env_an</f>
        <v>36.422598109494878</v>
      </c>
      <c r="C269" s="385"/>
      <c r="D269" s="388">
        <f t="shared" si="77"/>
        <v>37.122285335147737</v>
      </c>
      <c r="E269" s="380">
        <f t="shared" si="100"/>
        <v>37.486350035230025</v>
      </c>
      <c r="F269" s="380">
        <f t="shared" si="78"/>
        <v>37.490956824830477</v>
      </c>
      <c r="G269" s="110">
        <f t="shared" si="101"/>
        <v>0.77522753569153335</v>
      </c>
      <c r="H269" s="409" t="b">
        <f>Wh_hp&gt;='2024'!Maxi_hp</f>
        <v>0</v>
      </c>
      <c r="I269" s="375">
        <f>IF(H269,Wh_hp,'2024'!Maxi_hp)</f>
        <v>37.492707900154691</v>
      </c>
      <c r="J269" s="85">
        <f>IF(H269,An,'2024'!An_max)</f>
        <v>2022</v>
      </c>
      <c r="K269" s="193">
        <f t="shared" si="79"/>
        <v>45912</v>
      </c>
      <c r="L269" s="143">
        <f>IF(t&lt;Tvie,1-EXP((T0-t)*PertePVj)+'2024'!Pspv,1-EXP((T0-t)*PertePVj)+Pspv)</f>
        <v>1.8848172178408062E-2</v>
      </c>
      <c r="M269" s="836"/>
      <c r="N269" s="836"/>
      <c r="O269" s="48">
        <f>IF(t&lt;Tnet,'2024'!Resal+('2024'!Salim-'2024'!Resal)*(1-EXP(('2024'!Tnet-t)/('2024'!Tau_j))),Resal+(Salim-Resal)*(1-EXP((Tnet-t)/(Tau_j))))*Salcycl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1.8097856035957416E-4</v>
      </c>
      <c r="Q269" s="301">
        <f t="shared" si="80"/>
        <v>0.5</v>
      </c>
      <c r="R269" s="173">
        <f t="shared" si="81"/>
        <v>0.98367822338440059</v>
      </c>
      <c r="S269" s="802">
        <f t="shared" si="82"/>
        <v>1</v>
      </c>
      <c r="T269" s="172">
        <f t="shared" si="83"/>
        <v>7</v>
      </c>
      <c r="U269" s="247">
        <f t="shared" si="84"/>
        <v>1.9836782233844006</v>
      </c>
      <c r="V269" s="378">
        <f t="shared" si="85"/>
        <v>46.980376696860958</v>
      </c>
      <c r="W269" s="397">
        <f t="shared" si="86"/>
        <v>36.422598109494878</v>
      </c>
      <c r="X269" s="153">
        <f t="shared" si="87"/>
        <v>45912</v>
      </c>
      <c r="Y269" s="380">
        <f t="shared" si="88"/>
        <v>35.096659343912087</v>
      </c>
      <c r="Z269" s="380">
        <f t="shared" si="89"/>
        <v>35.770874954017721</v>
      </c>
      <c r="AA269" s="381">
        <f t="shared" si="90"/>
        <v>37.486350035230025</v>
      </c>
      <c r="AB269" s="193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4.5762659730810951E-2</v>
      </c>
      <c r="AD269" s="227">
        <f>(INDEX(Models!$BJ269:$BT269,,AH269)*(1-AF269)+INDEX(Models!$BJ269:$BT269,,AH269+1)*AF269-ERP_i)*AE269*Ramure*Pc/MaxiM</f>
        <v>1.8097856035957416E-4</v>
      </c>
      <c r="AE269" s="301">
        <f t="shared" si="92"/>
        <v>0.5</v>
      </c>
      <c r="AF269" s="173">
        <f t="shared" si="93"/>
        <v>0.98367822338440059</v>
      </c>
      <c r="AG269" s="802">
        <f t="shared" si="99"/>
        <v>1</v>
      </c>
      <c r="AH269" s="172">
        <f t="shared" si="94"/>
        <v>7</v>
      </c>
      <c r="AI269" s="221">
        <f t="shared" si="95"/>
        <v>1.9836782233844006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45913</v>
      </c>
      <c r="B270" s="406">
        <f>'2024'!Wh/'2024'!Env_an*'2025'!Env_an</f>
        <v>13.961035264585846</v>
      </c>
      <c r="C270" s="385"/>
      <c r="D270" s="388">
        <f t="shared" si="77"/>
        <v>14.229425035112461</v>
      </c>
      <c r="E270" s="380">
        <f t="shared" si="100"/>
        <v>14.369930783550423</v>
      </c>
      <c r="F270" s="380">
        <f t="shared" si="78"/>
        <v>14.369930783550423</v>
      </c>
      <c r="G270" s="110">
        <f t="shared" si="101"/>
        <v>0.29918077502060808</v>
      </c>
      <c r="H270" s="409" t="b">
        <f>Wh_hp&gt;='2024'!Maxi_hp</f>
        <v>0</v>
      </c>
      <c r="I270" s="375">
        <f>IF(H270,Wh_hp,'2024'!Maxi_hp)</f>
        <v>14.371921268140474</v>
      </c>
      <c r="J270" s="85">
        <f>IF(H270,An,'2024'!An_max)</f>
        <v>2022</v>
      </c>
      <c r="K270" s="193">
        <f t="shared" si="79"/>
        <v>45913</v>
      </c>
      <c r="L270" s="143">
        <f>IF(t&lt;Tvie,1-EXP((T0-t)*PertePVj)+'2024'!Pspv,1-EXP((T0-t)*PertePVj)+Pspv)</f>
        <v>1.8861603322997134E-2</v>
      </c>
      <c r="M270" s="836"/>
      <c r="N270" s="836"/>
      <c r="O270" s="48">
        <f>IF(t&lt;Tnet,'2024'!Resal+('2024'!Salim-'2024'!Resal)*(1-EXP(('2024'!Tnet-t)/('2024'!Tau_j))),Resal+(Salim-Resal)*(1-EXP((Tnet-t)/(Tau_j))))*Salcycl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1.7332128404082573E-4</v>
      </c>
      <c r="Q270" s="301">
        <f t="shared" si="80"/>
        <v>0.5</v>
      </c>
      <c r="R270" s="173">
        <f t="shared" si="81"/>
        <v>0.98408489321261072</v>
      </c>
      <c r="S270" s="802">
        <f t="shared" si="82"/>
        <v>1</v>
      </c>
      <c r="T270" s="172">
        <f t="shared" si="83"/>
        <v>7</v>
      </c>
      <c r="U270" s="247">
        <f t="shared" si="84"/>
        <v>1.9840848932126107</v>
      </c>
      <c r="V270" s="378">
        <f t="shared" si="85"/>
        <v>46.656124609162333</v>
      </c>
      <c r="W270" s="397">
        <f t="shared" si="86"/>
        <v>13.961035264585846</v>
      </c>
      <c r="X270" s="153">
        <f t="shared" si="87"/>
        <v>45913</v>
      </c>
      <c r="Y270" s="380">
        <f t="shared" si="88"/>
        <v>13.45331381981779</v>
      </c>
      <c r="Z270" s="380">
        <f t="shared" si="89"/>
        <v>13.711943050422384</v>
      </c>
      <c r="AA270" s="381">
        <f t="shared" si="90"/>
        <v>14.369930783550423</v>
      </c>
      <c r="AB270" s="193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4.5789206854166056E-2</v>
      </c>
      <c r="AD270" s="227">
        <f>(INDEX(Models!$BJ270:$BT270,,AH270)*(1-AF270)+INDEX(Models!$BJ270:$BT270,,AH270+1)*AF270-ERP_i)*AE270*Ramure*Pc/MaxiM</f>
        <v>1.7332128404082573E-4</v>
      </c>
      <c r="AE270" s="301">
        <f t="shared" si="92"/>
        <v>0.5</v>
      </c>
      <c r="AF270" s="173">
        <f t="shared" si="93"/>
        <v>0.98408489321261072</v>
      </c>
      <c r="AG270" s="802">
        <f t="shared" si="99"/>
        <v>1</v>
      </c>
      <c r="AH270" s="172">
        <f t="shared" si="94"/>
        <v>7</v>
      </c>
      <c r="AI270" s="221">
        <f t="shared" si="95"/>
        <v>1.9840848932126107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45914</v>
      </c>
      <c r="B271" s="406">
        <f>'2024'!Wh/'2024'!Env_an*'2025'!Env_an</f>
        <v>37.513877180938699</v>
      </c>
      <c r="C271" s="385"/>
      <c r="D271" s="388">
        <f t="shared" ref="D271:D334" si="102">Wh/(1-Ppv)</f>
        <v>38.235574969342991</v>
      </c>
      <c r="E271" s="380">
        <f t="shared" si="100"/>
        <v>38.615685906573148</v>
      </c>
      <c r="F271" s="380">
        <f t="shared" ref="F271:F334" si="103">Wh_sa/(1-Pvg*MEDIAN((-Sdif+Wh/Env_an)/Csdif,0,1))</f>
        <v>38.620332682745108</v>
      </c>
      <c r="G271" s="110">
        <f t="shared" si="101"/>
        <v>0.80973011856400512</v>
      </c>
      <c r="H271" s="409" t="b">
        <f>Wh_hp&gt;='2024'!Maxi_hp</f>
        <v>0</v>
      </c>
      <c r="I271" s="375">
        <f>IF(H271,Wh_hp,'2024'!Maxi_hp)</f>
        <v>38.621710894977937</v>
      </c>
      <c r="J271" s="85">
        <f>IF(H271,An,'2024'!An_max)</f>
        <v>2022</v>
      </c>
      <c r="K271" s="193">
        <f t="shared" ref="K271:K334" si="104">t</f>
        <v>45914</v>
      </c>
      <c r="L271" s="143">
        <f>IF(t&lt;Tvie,1-EXP((T0-t)*PertePVj)+'2024'!Pspv,1-EXP((T0-t)*PertePVj)+Pspv)</f>
        <v>1.8875034283725167E-2</v>
      </c>
      <c r="M271" s="836"/>
      <c r="N271" s="836"/>
      <c r="O271" s="48">
        <f>IF(t&lt;Tnet,'2024'!Resal+('2024'!Salim-'2024'!Resal)*(1-EXP(('2024'!Tnet-t)/('2024'!Tau_j))),Resal+(Salim-Resal)*(1-EXP((Tnet-t)/(Tau_j))))*Salcycl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1.6521995774775342E-4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0.98447582391704636</v>
      </c>
      <c r="S271" s="802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1.9844758239170464</v>
      </c>
      <c r="V271" s="378">
        <f t="shared" ref="V271:V334" si="110">MaxiM*(1-Ppv)*(1-Pvg)*(1-Psa)</f>
        <v>46.326784350883429</v>
      </c>
      <c r="W271" s="397">
        <f t="shared" ref="W271:W334" si="111">Wh*(A271&gt;Tmaj)</f>
        <v>37.513877180938699</v>
      </c>
      <c r="X271" s="153">
        <f t="shared" ref="X271:X334" si="112">t</f>
        <v>45914</v>
      </c>
      <c r="Y271" s="380">
        <f t="shared" ref="Y271:Y334" si="113">Wh_pvt_s*(1-Ppv)</f>
        <v>36.151015597794</v>
      </c>
      <c r="Z271" s="380">
        <f t="shared" ref="Z271:Z334" si="114">Wh_sa_s*(1-Psa_s)</f>
        <v>36.846494443653043</v>
      </c>
      <c r="AA271" s="381">
        <f t="shared" ref="AA271:AA334" si="115">Wh_hp*(1-Pvg_s*MEDIAN((-Sdif+Wh/Env_an)/Csdif,0,1))</f>
        <v>38.615685906573148</v>
      </c>
      <c r="AB271" s="193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4.5815357707240753E-2</v>
      </c>
      <c r="AD271" s="227">
        <f>(INDEX(Models!$BJ271:$BT271,,AH271)*(1-AF271)+INDEX(Models!$BJ271:$BT271,,AH271+1)*AF271-ERP_i)*AE271*Ramure*Pc/MaxiM</f>
        <v>1.6521995774775342E-4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0.98447582391704636</v>
      </c>
      <c r="AG271" s="802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1.9844758239170464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45915</v>
      </c>
      <c r="B272" s="406">
        <f>'2024'!Wh/'2024'!Env_an*'2025'!Env_an</f>
        <v>42.615161286533102</v>
      </c>
      <c r="C272" s="385"/>
      <c r="D272" s="388">
        <f t="shared" si="102"/>
        <v>43.435592966670264</v>
      </c>
      <c r="E272" s="380">
        <f t="shared" si="100"/>
        <v>43.870301164979004</v>
      </c>
      <c r="F272" s="380">
        <f t="shared" si="103"/>
        <v>43.876454131760951</v>
      </c>
      <c r="G272" s="110">
        <f t="shared" si="101"/>
        <v>0.92656168426332086</v>
      </c>
      <c r="H272" s="409" t="b">
        <f>Wh_hp&gt;='2024'!Maxi_hp</f>
        <v>0</v>
      </c>
      <c r="I272" s="375">
        <f>IF(H272,Wh_hp,'2024'!Maxi_hp)</f>
        <v>43.877024170324354</v>
      </c>
      <c r="J272" s="85">
        <f>IF(H272,An,'2024'!An_max)</f>
        <v>2022</v>
      </c>
      <c r="K272" s="193">
        <f t="shared" si="104"/>
        <v>45915</v>
      </c>
      <c r="L272" s="143">
        <f>IF(t&lt;Tvie,1-EXP((T0-t)*PertePVj)+'2024'!Pspv,1-EXP((T0-t)*PertePVj)+Pspv)</f>
        <v>1.8888465060594606E-2</v>
      </c>
      <c r="M272" s="836"/>
      <c r="N272" s="836"/>
      <c r="O272" s="48">
        <f>IF(t&lt;Tnet,'2024'!Resal+('2024'!Salim-'2024'!Resal)*(1-EXP(('2024'!Tnet-t)/('2024'!Tau_j))),Resal+(Salim-Resal)*(1-EXP((Tnet-t)/(Tau_j))))*Salcycl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1.5666670126255898E-4</v>
      </c>
      <c r="Q272" s="301">
        <f t="shared" si="105"/>
        <v>0.5</v>
      </c>
      <c r="R272" s="173">
        <f t="shared" si="106"/>
        <v>0.98485160052694432</v>
      </c>
      <c r="S272" s="802">
        <f t="shared" si="107"/>
        <v>1</v>
      </c>
      <c r="T272" s="172">
        <f t="shared" si="108"/>
        <v>7</v>
      </c>
      <c r="U272" s="247">
        <f t="shared" si="109"/>
        <v>1.9848516005269443</v>
      </c>
      <c r="V272" s="378">
        <f t="shared" si="110"/>
        <v>45.992038766644171</v>
      </c>
      <c r="W272" s="397">
        <f t="shared" si="111"/>
        <v>42.615161286533102</v>
      </c>
      <c r="X272" s="153">
        <f t="shared" si="112"/>
        <v>45915</v>
      </c>
      <c r="Y272" s="380">
        <f t="shared" si="113"/>
        <v>41.068581631700432</v>
      </c>
      <c r="Z272" s="380">
        <f t="shared" si="114"/>
        <v>41.859238393560297</v>
      </c>
      <c r="AA272" s="381">
        <f t="shared" si="115"/>
        <v>43.870301164979004</v>
      </c>
      <c r="AB272" s="193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4.5841097918518696E-2</v>
      </c>
      <c r="AD272" s="227">
        <f>(INDEX(Models!$BJ272:$BT272,,AH272)*(1-AF272)+INDEX(Models!$BJ272:$BT272,,AH272+1)*AF272-ERP_i)*AE272*Ramure*Pc/MaxiM</f>
        <v>1.5666670126255898E-4</v>
      </c>
      <c r="AE272" s="301">
        <f t="shared" si="117"/>
        <v>0.5</v>
      </c>
      <c r="AF272" s="173">
        <f t="shared" si="118"/>
        <v>0.98485160052694432</v>
      </c>
      <c r="AG272" s="802">
        <f t="shared" ref="AG272:AG335" si="124">INDEX(Echel_vg,AH272)</f>
        <v>1</v>
      </c>
      <c r="AH272" s="172">
        <f t="shared" si="119"/>
        <v>7</v>
      </c>
      <c r="AI272" s="221">
        <f t="shared" si="120"/>
        <v>1.9848516005269443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45916</v>
      </c>
      <c r="B273" s="406">
        <f>'2024'!Wh/'2024'!Env_an*'2025'!Env_an</f>
        <v>28.636221092047354</v>
      </c>
      <c r="C273" s="385"/>
      <c r="D273" s="388">
        <f t="shared" si="102"/>
        <v>29.187928266485457</v>
      </c>
      <c r="E273" s="380">
        <f t="shared" si="100"/>
        <v>29.481989797542486</v>
      </c>
      <c r="F273" s="380">
        <f t="shared" si="103"/>
        <v>29.48402518835832</v>
      </c>
      <c r="G273" s="110">
        <f t="shared" si="101"/>
        <v>0.62722857239727203</v>
      </c>
      <c r="H273" s="409" t="b">
        <f>Wh_hp&gt;='2024'!Maxi_hp</f>
        <v>0</v>
      </c>
      <c r="I273" s="375">
        <f>IF(H273,Wh_hp,'2024'!Maxi_hp)</f>
        <v>29.485848749759754</v>
      </c>
      <c r="J273" s="85">
        <f>IF(H273,An,'2024'!An_max)</f>
        <v>2022</v>
      </c>
      <c r="K273" s="193">
        <f t="shared" si="104"/>
        <v>45916</v>
      </c>
      <c r="L273" s="143">
        <f>IF(t&lt;Tvie,1-EXP((T0-t)*PertePVj)+'2024'!Pspv,1-EXP((T0-t)*PertePVj)+Pspv)</f>
        <v>1.8901895653608003E-2</v>
      </c>
      <c r="M273" s="836"/>
      <c r="N273" s="836"/>
      <c r="O273" s="48">
        <f>IF(t&lt;Tnet,'2024'!Resal+('2024'!Salim-'2024'!Resal)*(1-EXP(('2024'!Tnet-t)/('2024'!Tau_j))),Resal+(Salim-Resal)*(1-EXP((Tnet-t)/(Tau_j))))*Salcycl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1.4765304503943104E-4</v>
      </c>
      <c r="Q273" s="301">
        <f t="shared" si="105"/>
        <v>0.5</v>
      </c>
      <c r="R273" s="173">
        <f t="shared" si="106"/>
        <v>0.98521278819883995</v>
      </c>
      <c r="S273" s="802">
        <f t="shared" si="107"/>
        <v>1</v>
      </c>
      <c r="T273" s="172">
        <f t="shared" si="108"/>
        <v>7</v>
      </c>
      <c r="U273" s="247">
        <f t="shared" si="109"/>
        <v>1.98521278819884</v>
      </c>
      <c r="V273" s="378">
        <f t="shared" si="110"/>
        <v>45.65157079135043</v>
      </c>
      <c r="W273" s="397">
        <f t="shared" si="111"/>
        <v>28.636221092047354</v>
      </c>
      <c r="X273" s="153">
        <f t="shared" si="112"/>
        <v>45916</v>
      </c>
      <c r="Y273" s="380">
        <f t="shared" si="113"/>
        <v>27.598050961023748</v>
      </c>
      <c r="Z273" s="380">
        <f t="shared" si="114"/>
        <v>28.129756686676693</v>
      </c>
      <c r="AA273" s="381">
        <f t="shared" si="115"/>
        <v>29.481989797542486</v>
      </c>
      <c r="AB273" s="193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4.5866412686246444E-2</v>
      </c>
      <c r="AD273" s="227">
        <f>(INDEX(Models!$BJ273:$BT273,,AH273)*(1-AF273)+INDEX(Models!$BJ273:$BT273,,AH273+1)*AF273-ERP_i)*AE273*Ramure*Pc/MaxiM</f>
        <v>1.4765304503943104E-4</v>
      </c>
      <c r="AE273" s="301">
        <f t="shared" si="117"/>
        <v>0.5</v>
      </c>
      <c r="AF273" s="173">
        <f t="shared" si="118"/>
        <v>0.98521278819883995</v>
      </c>
      <c r="AG273" s="802">
        <f t="shared" si="124"/>
        <v>1</v>
      </c>
      <c r="AH273" s="172">
        <f t="shared" si="119"/>
        <v>7</v>
      </c>
      <c r="AI273" s="221">
        <f t="shared" si="120"/>
        <v>1.98521278819884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45917</v>
      </c>
      <c r="B274" s="406">
        <f>'2024'!Wh/'2024'!Env_an*'2025'!Env_an</f>
        <v>45.981006537648334</v>
      </c>
      <c r="C274" s="385"/>
      <c r="D274" s="388">
        <f t="shared" si="102"/>
        <v>46.867520978714325</v>
      </c>
      <c r="E274" s="380">
        <f t="shared" si="100"/>
        <v>47.342816271486136</v>
      </c>
      <c r="F274" s="380">
        <f t="shared" si="103"/>
        <v>47.349358526733653</v>
      </c>
      <c r="G274" s="110">
        <f t="shared" si="101"/>
        <v>1.0149198133359907</v>
      </c>
      <c r="H274" s="409" t="b">
        <f>Wh_hp&gt;='2024'!Maxi_hp</f>
        <v>1</v>
      </c>
      <c r="I274" s="375">
        <f>IF(H274,Wh_hp,'2024'!Maxi_hp)</f>
        <v>47.349358526733653</v>
      </c>
      <c r="J274" s="85">
        <f>IF(H274,An,'2024'!An_max)</f>
        <v>2025</v>
      </c>
      <c r="K274" s="193">
        <f t="shared" si="104"/>
        <v>45917</v>
      </c>
      <c r="L274" s="143">
        <f>IF(t&lt;Tvie,1-EXP((T0-t)*PertePVj)+'2024'!Pspv,1-EXP((T0-t)*PertePVj)+Pspv)</f>
        <v>1.8915326062767801E-2</v>
      </c>
      <c r="M274" s="836"/>
      <c r="N274" s="836"/>
      <c r="O274" s="48">
        <f>IF(t&lt;Tnet,'2024'!Resal+('2024'!Salim-'2024'!Resal)*(1-EXP(('2024'!Tnet-t)/('2024'!Tau_j))),Resal+(Salim-Resal)*(1-EXP((Tnet-t)/(Tau_j))))*Salcycl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1.38169881305177E-4</v>
      </c>
      <c r="Q274" s="301">
        <f t="shared" si="105"/>
        <v>0.5</v>
      </c>
      <c r="R274" s="173">
        <f t="shared" si="106"/>
        <v>0.98555993274393838</v>
      </c>
      <c r="S274" s="802">
        <f t="shared" si="107"/>
        <v>1</v>
      </c>
      <c r="T274" s="172">
        <f t="shared" si="108"/>
        <v>7</v>
      </c>
      <c r="U274" s="247">
        <f t="shared" si="109"/>
        <v>1.9855599327439384</v>
      </c>
      <c r="V274" s="378">
        <f t="shared" si="110"/>
        <v>45.305063447831472</v>
      </c>
      <c r="W274" s="397">
        <f t="shared" si="111"/>
        <v>45.981006537648334</v>
      </c>
      <c r="X274" s="153">
        <f t="shared" si="112"/>
        <v>45917</v>
      </c>
      <c r="Y274" s="380">
        <f t="shared" si="113"/>
        <v>44.315784572977392</v>
      </c>
      <c r="Z274" s="380">
        <f t="shared" si="114"/>
        <v>45.170193511567</v>
      </c>
      <c r="AA274" s="381">
        <f t="shared" si="115"/>
        <v>47.342816271486136</v>
      </c>
      <c r="AB274" s="193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4.5891286810237228E-2</v>
      </c>
      <c r="AD274" s="227">
        <f>(INDEX(Models!$BJ274:$BT274,,AH274)*(1-AF274)+INDEX(Models!$BJ274:$BT274,,AH274+1)*AF274-ERP_i)*AE274*Ramure*Pc/MaxiM</f>
        <v>1.38169881305177E-4</v>
      </c>
      <c r="AE274" s="301">
        <f t="shared" si="117"/>
        <v>0.5</v>
      </c>
      <c r="AF274" s="173">
        <f t="shared" si="118"/>
        <v>0.98555993274393838</v>
      </c>
      <c r="AG274" s="802">
        <f t="shared" si="124"/>
        <v>1</v>
      </c>
      <c r="AH274" s="172">
        <f t="shared" si="119"/>
        <v>7</v>
      </c>
      <c r="AI274" s="221">
        <f t="shared" si="120"/>
        <v>1.9855599327439384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45918</v>
      </c>
      <c r="B275" s="406">
        <f>'2024'!Wh/'2024'!Env_an*'2025'!Env_an</f>
        <v>45.03961787273078</v>
      </c>
      <c r="C275" s="385"/>
      <c r="D275" s="388">
        <f t="shared" si="102"/>
        <v>45.908610777665373</v>
      </c>
      <c r="E275" s="380">
        <f t="shared" si="100"/>
        <v>46.37722575380937</v>
      </c>
      <c r="F275" s="380">
        <f t="shared" si="103"/>
        <v>46.383172558229624</v>
      </c>
      <c r="G275" s="110">
        <f t="shared" si="101"/>
        <v>1.0019679371990164</v>
      </c>
      <c r="H275" s="409" t="b">
        <f>Wh_hp&gt;='2024'!Maxi_hp</f>
        <v>1</v>
      </c>
      <c r="I275" s="375">
        <f>IF(H275,Wh_hp,'2024'!Maxi_hp)</f>
        <v>46.383172558229624</v>
      </c>
      <c r="J275" s="85">
        <f>IF(H275,An,'2024'!An_max)</f>
        <v>2025</v>
      </c>
      <c r="K275" s="193">
        <f t="shared" si="104"/>
        <v>45918</v>
      </c>
      <c r="L275" s="143">
        <f>IF(t&lt;Tvie,1-EXP((T0-t)*PertePVj)+'2024'!Pspv,1-EXP((T0-t)*PertePVj)+Pspv)</f>
        <v>1.8928756288076554E-2</v>
      </c>
      <c r="M275" s="836"/>
      <c r="N275" s="836"/>
      <c r="O275" s="48">
        <f>IF(t&lt;Tnet,'2024'!Resal+('2024'!Salim-'2024'!Resal)*(1-EXP(('2024'!Tnet-t)/('2024'!Tau_j))),Resal+(Salim-Resal)*(1-EXP((Tnet-t)/(Tau_j))))*Salcycl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1.2821038519493958E-4</v>
      </c>
      <c r="Q275" s="301">
        <f t="shared" si="105"/>
        <v>0.5</v>
      </c>
      <c r="R275" s="173">
        <f t="shared" si="106"/>
        <v>0.98589356115379623</v>
      </c>
      <c r="S275" s="802">
        <f t="shared" si="107"/>
        <v>1</v>
      </c>
      <c r="T275" s="172">
        <f t="shared" si="108"/>
        <v>7</v>
      </c>
      <c r="U275" s="247">
        <f t="shared" si="109"/>
        <v>1.9858935611537962</v>
      </c>
      <c r="V275" s="378">
        <f t="shared" si="110"/>
        <v>44.951156819087679</v>
      </c>
      <c r="W275" s="397">
        <f t="shared" si="111"/>
        <v>45.03961787273078</v>
      </c>
      <c r="X275" s="153">
        <f t="shared" si="112"/>
        <v>45918</v>
      </c>
      <c r="Y275" s="380">
        <f t="shared" si="113"/>
        <v>43.410227253867689</v>
      </c>
      <c r="Z275" s="380">
        <f t="shared" si="114"/>
        <v>44.247782749826918</v>
      </c>
      <c r="AA275" s="381">
        <f t="shared" si="115"/>
        <v>46.37722575380937</v>
      </c>
      <c r="AB275" s="193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4.5915704731595439E-2</v>
      </c>
      <c r="AD275" s="227">
        <f>(INDEX(Models!$BJ275:$BT275,,AH275)*(1-AF275)+INDEX(Models!$BJ275:$BT275,,AH275+1)*AF275-ERP_i)*AE275*Ramure*Pc/MaxiM</f>
        <v>1.2821038519493958E-4</v>
      </c>
      <c r="AE275" s="301">
        <f t="shared" si="117"/>
        <v>0.5</v>
      </c>
      <c r="AF275" s="173">
        <f t="shared" si="118"/>
        <v>0.98589356115379623</v>
      </c>
      <c r="AG275" s="802">
        <f t="shared" si="124"/>
        <v>1</v>
      </c>
      <c r="AH275" s="172">
        <f t="shared" si="119"/>
        <v>7</v>
      </c>
      <c r="AI275" s="221">
        <f t="shared" si="120"/>
        <v>1.9858935611537962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45919</v>
      </c>
      <c r="B276" s="406">
        <f>'2024'!Wh/'2024'!Env_an*'2025'!Env_an</f>
        <v>45.395669089722446</v>
      </c>
      <c r="C276" s="385"/>
      <c r="D276" s="388">
        <f t="shared" si="102"/>
        <v>46.272165062201758</v>
      </c>
      <c r="E276" s="380">
        <f t="shared" si="100"/>
        <v>46.747551050996215</v>
      </c>
      <c r="F276" s="380">
        <f t="shared" si="103"/>
        <v>46.753120968509748</v>
      </c>
      <c r="G276" s="110">
        <f t="shared" si="101"/>
        <v>1.0180864621196526</v>
      </c>
      <c r="H276" s="409" t="b">
        <f>Wh_hp&gt;='2024'!Maxi_hp</f>
        <v>1</v>
      </c>
      <c r="I276" s="375">
        <f>IF(H276,Wh_hp,'2024'!Maxi_hp)</f>
        <v>46.753120968509748</v>
      </c>
      <c r="J276" s="85">
        <f>IF(H276,An,'2024'!An_max)</f>
        <v>2025</v>
      </c>
      <c r="K276" s="193">
        <f t="shared" si="104"/>
        <v>45919</v>
      </c>
      <c r="L276" s="143">
        <f>IF(t&lt;Tvie,1-EXP((T0-t)*PertePVj)+'2024'!Pspv,1-EXP((T0-t)*PertePVj)+Pspv)</f>
        <v>1.8942186329536925E-2</v>
      </c>
      <c r="M276" s="836"/>
      <c r="N276" s="836"/>
      <c r="O276" s="48">
        <f>IF(t&lt;Tnet,'2024'!Resal+('2024'!Salim-'2024'!Resal)*(1-EXP(('2024'!Tnet-t)/('2024'!Tau_j))),Resal+(Salim-Resal)*(1-EXP((Tnet-t)/(Tau_j))))*Salcycl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1.1913466733663351E-4</v>
      </c>
      <c r="Q276" s="301">
        <f t="shared" si="105"/>
        <v>0.5</v>
      </c>
      <c r="R276" s="173">
        <f t="shared" si="106"/>
        <v>0.98621418212305767</v>
      </c>
      <c r="S276" s="802">
        <f t="shared" si="107"/>
        <v>1</v>
      </c>
      <c r="T276" s="172">
        <f t="shared" si="108"/>
        <v>7</v>
      </c>
      <c r="U276" s="247">
        <f t="shared" si="109"/>
        <v>1.9862141821230577</v>
      </c>
      <c r="V276" s="378">
        <f t="shared" si="110"/>
        <v>44.589208067072043</v>
      </c>
      <c r="W276" s="397">
        <f t="shared" si="111"/>
        <v>45.395669089722446</v>
      </c>
      <c r="X276" s="153">
        <f t="shared" si="112"/>
        <v>45919</v>
      </c>
      <c r="Y276" s="380">
        <f t="shared" si="113"/>
        <v>43.755163666131011</v>
      </c>
      <c r="Z276" s="380">
        <f t="shared" si="114"/>
        <v>44.599984890216014</v>
      </c>
      <c r="AA276" s="381">
        <f t="shared" si="115"/>
        <v>46.747551050996215</v>
      </c>
      <c r="AB276" s="193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4.5939650580571569E-2</v>
      </c>
      <c r="AD276" s="227">
        <f>(INDEX(Models!$BJ276:$BT276,,AH276)*(1-AF276)+INDEX(Models!$BJ276:$BT276,,AH276+1)*AF276-ERP_i)*AE276*Ramure*Pc/MaxiM</f>
        <v>1.1913466733663351E-4</v>
      </c>
      <c r="AE276" s="301">
        <f t="shared" si="117"/>
        <v>0.5</v>
      </c>
      <c r="AF276" s="173">
        <f t="shared" si="118"/>
        <v>0.98621418212305767</v>
      </c>
      <c r="AG276" s="802">
        <f t="shared" si="124"/>
        <v>1</v>
      </c>
      <c r="AH276" s="172">
        <f t="shared" si="119"/>
        <v>7</v>
      </c>
      <c r="AI276" s="221">
        <f t="shared" si="120"/>
        <v>1.9862141821230577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45920</v>
      </c>
      <c r="B277" s="406">
        <f>'2024'!Wh/'2024'!Env_an*'2025'!Env_an</f>
        <v>45.754631406807576</v>
      </c>
      <c r="C277" s="385"/>
      <c r="D277" s="388">
        <f t="shared" si="102"/>
        <v>46.638696639780228</v>
      </c>
      <c r="E277" s="380">
        <f t="shared" si="100"/>
        <v>47.120923865248116</v>
      </c>
      <c r="F277" s="380">
        <f t="shared" si="103"/>
        <v>47.126194805421534</v>
      </c>
      <c r="G277" s="110">
        <f t="shared" si="101"/>
        <v>1.0347038043559278</v>
      </c>
      <c r="H277" s="409" t="b">
        <f>Wh_hp&gt;='2024'!Maxi_hp</f>
        <v>1</v>
      </c>
      <c r="I277" s="375">
        <f>IF(H277,Wh_hp,'2024'!Maxi_hp)</f>
        <v>47.126194805421534</v>
      </c>
      <c r="J277" s="85">
        <f>IF(H277,An,'2024'!An_max)</f>
        <v>2025</v>
      </c>
      <c r="K277" s="193">
        <f t="shared" si="104"/>
        <v>45920</v>
      </c>
      <c r="L277" s="143">
        <f>IF(t&lt;Tvie,1-EXP((T0-t)*PertePVj)+'2024'!Pspv,1-EXP((T0-t)*PertePVj)+Pspv)</f>
        <v>1.8955616187151247E-2</v>
      </c>
      <c r="M277" s="836"/>
      <c r="N277" s="836"/>
      <c r="O277" s="48">
        <f>IF(t&lt;Tnet,'2024'!Resal+('2024'!Salim-'2024'!Resal)*(1-EXP(('2024'!Tnet-t)/('2024'!Tau_j))),Resal+(Salim-Resal)*(1-EXP((Tnet-t)/(Tau_j))))*Salcycl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1.1184735358295715E-4</v>
      </c>
      <c r="Q277" s="301">
        <f t="shared" si="105"/>
        <v>0.5</v>
      </c>
      <c r="R277" s="173">
        <f t="shared" si="106"/>
        <v>0.98652228656811647</v>
      </c>
      <c r="S277" s="802">
        <f t="shared" si="107"/>
        <v>1</v>
      </c>
      <c r="T277" s="172">
        <f t="shared" si="108"/>
        <v>7</v>
      </c>
      <c r="U277" s="247">
        <f t="shared" si="109"/>
        <v>1.9865222865681165</v>
      </c>
      <c r="V277" s="378">
        <f t="shared" si="110"/>
        <v>44.220028199556545</v>
      </c>
      <c r="W277" s="397">
        <f t="shared" si="111"/>
        <v>45.754631406807576</v>
      </c>
      <c r="X277" s="153">
        <f t="shared" si="112"/>
        <v>45920</v>
      </c>
      <c r="Y277" s="380">
        <f t="shared" si="113"/>
        <v>44.102948125249469</v>
      </c>
      <c r="Z277" s="380">
        <f t="shared" si="114"/>
        <v>44.95509974160646</v>
      </c>
      <c r="AA277" s="381">
        <f t="shared" si="115"/>
        <v>47.120923865248116</v>
      </c>
      <c r="AB277" s="193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4.596310823266693E-2</v>
      </c>
      <c r="AD277" s="227">
        <f>(INDEX(Models!$BJ277:$BT277,,AH277)*(1-AF277)+INDEX(Models!$BJ277:$BT277,,AH277+1)*AF277-ERP_i)*AE277*Ramure*Pc/MaxiM</f>
        <v>1.1184735358295715E-4</v>
      </c>
      <c r="AE277" s="301">
        <f t="shared" si="117"/>
        <v>0.5</v>
      </c>
      <c r="AF277" s="173">
        <f t="shared" si="118"/>
        <v>0.98652228656811647</v>
      </c>
      <c r="AG277" s="802">
        <f t="shared" si="124"/>
        <v>1</v>
      </c>
      <c r="AH277" s="172">
        <f t="shared" si="119"/>
        <v>7</v>
      </c>
      <c r="AI277" s="221">
        <f t="shared" si="120"/>
        <v>1.9865222865681165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45921</v>
      </c>
      <c r="B278" s="406">
        <f>'2024'!Wh/'2024'!Env_an*'2025'!Env_an</f>
        <v>44.403139758642517</v>
      </c>
      <c r="C278" s="385"/>
      <c r="D278" s="388">
        <f t="shared" si="102"/>
        <v>45.261711234799236</v>
      </c>
      <c r="E278" s="380">
        <f t="shared" si="100"/>
        <v>45.732677091684025</v>
      </c>
      <c r="F278" s="380">
        <f t="shared" si="103"/>
        <v>45.737542651525196</v>
      </c>
      <c r="G278" s="110">
        <f t="shared" si="101"/>
        <v>1.0127421343989176</v>
      </c>
      <c r="H278" s="409" t="b">
        <f>Wh_hp&gt;='2024'!Maxi_hp</f>
        <v>1</v>
      </c>
      <c r="I278" s="375">
        <f>IF(H278,Wh_hp,'2024'!Maxi_hp)</f>
        <v>45.737542651525196</v>
      </c>
      <c r="J278" s="85">
        <f>IF(H278,An,'2024'!An_max)</f>
        <v>2025</v>
      </c>
      <c r="K278" s="193">
        <f t="shared" si="104"/>
        <v>45921</v>
      </c>
      <c r="L278" s="143">
        <f>IF(t&lt;Tvie,1-EXP((T0-t)*PertePVj)+'2024'!Pspv,1-EXP((T0-t)*PertePVj)+Pspv)</f>
        <v>1.8969045860922074E-2</v>
      </c>
      <c r="M278" s="836"/>
      <c r="N278" s="836"/>
      <c r="O278" s="48">
        <f>IF(t&lt;Tnet,'2024'!Resal+('2024'!Salim-'2024'!Resal)*(1-EXP(('2024'!Tnet-t)/('2024'!Tau_j))),Resal+(Salim-Resal)*(1-EXP((Tnet-t)/(Tau_j))))*Salcycl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1.0638000117860679E-4</v>
      </c>
      <c r="Q278" s="301">
        <f t="shared" si="105"/>
        <v>0.5</v>
      </c>
      <c r="R278" s="173">
        <f t="shared" si="106"/>
        <v>0.98681834814070424</v>
      </c>
      <c r="S278" s="802">
        <f t="shared" si="107"/>
        <v>1</v>
      </c>
      <c r="T278" s="172">
        <f t="shared" si="108"/>
        <v>7</v>
      </c>
      <c r="U278" s="247">
        <f t="shared" si="109"/>
        <v>1.9868183481407042</v>
      </c>
      <c r="V278" s="378">
        <f t="shared" si="110"/>
        <v>43.844467659081502</v>
      </c>
      <c r="W278" s="397">
        <f t="shared" si="111"/>
        <v>44.403139758642517</v>
      </c>
      <c r="X278" s="153">
        <f t="shared" si="112"/>
        <v>45921</v>
      </c>
      <c r="Y278" s="380">
        <f t="shared" si="113"/>
        <v>42.801999296725057</v>
      </c>
      <c r="Z278" s="380">
        <f t="shared" si="114"/>
        <v>43.62961139619366</v>
      </c>
      <c r="AA278" s="381">
        <f t="shared" si="115"/>
        <v>45.732677091684025</v>
      </c>
      <c r="AB278" s="193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4.5986061373012969E-2</v>
      </c>
      <c r="AD278" s="227">
        <f>(INDEX(Models!$BJ278:$BT278,,AH278)*(1-AF278)+INDEX(Models!$BJ278:$BT278,,AH278+1)*AF278-ERP_i)*AE278*Ramure*Pc/MaxiM</f>
        <v>1.0638000117860679E-4</v>
      </c>
      <c r="AE278" s="301">
        <f t="shared" si="117"/>
        <v>0.5</v>
      </c>
      <c r="AF278" s="173">
        <f t="shared" si="118"/>
        <v>0.98681834814070424</v>
      </c>
      <c r="AG278" s="802">
        <f t="shared" si="124"/>
        <v>1</v>
      </c>
      <c r="AH278" s="172">
        <f t="shared" si="119"/>
        <v>7</v>
      </c>
      <c r="AI278" s="221">
        <f t="shared" si="120"/>
        <v>1.9868183481407042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45922</v>
      </c>
      <c r="B279" s="406">
        <f>'2024'!Wh/'2024'!Env_an*'2025'!Env_an</f>
        <v>43.160048656676054</v>
      </c>
      <c r="C279" s="385"/>
      <c r="D279" s="388">
        <f t="shared" si="102"/>
        <v>43.995186194162891</v>
      </c>
      <c r="E279" s="380">
        <f t="shared" si="100"/>
        <v>44.45585760332024</v>
      </c>
      <c r="F279" s="380">
        <f t="shared" si="103"/>
        <v>44.46038108415663</v>
      </c>
      <c r="G279" s="110">
        <f t="shared" si="101"/>
        <v>0.99302004965743795</v>
      </c>
      <c r="H279" s="409" t="b">
        <f>Wh_hp&gt;='2024'!Maxi_hp</f>
        <v>0</v>
      </c>
      <c r="I279" s="375">
        <f>IF(H279,Wh_hp,'2024'!Maxi_hp)</f>
        <v>44.460416215759921</v>
      </c>
      <c r="J279" s="85">
        <f>IF(H279,An,'2024'!An_max)</f>
        <v>2022</v>
      </c>
      <c r="K279" s="193">
        <f t="shared" si="104"/>
        <v>45922</v>
      </c>
      <c r="L279" s="143">
        <f>IF(t&lt;Tvie,1-EXP((T0-t)*PertePVj)+'2024'!Pspv,1-EXP((T0-t)*PertePVj)+Pspv)</f>
        <v>1.8982475350851957E-2</v>
      </c>
      <c r="M279" s="836"/>
      <c r="N279" s="836"/>
      <c r="O279" s="48">
        <f>IF(t&lt;Tnet,'2024'!Resal+('2024'!Salim-'2024'!Resal)*(1-EXP(('2024'!Tnet-t)/('2024'!Tau_j))),Resal+(Salim-Resal)*(1-EXP((Tnet-t)/(Tau_j))))*Salcycl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1.0276640802644741E-4</v>
      </c>
      <c r="Q279" s="301">
        <f t="shared" si="105"/>
        <v>0.5</v>
      </c>
      <c r="R279" s="173">
        <f t="shared" si="106"/>
        <v>0.98710282373551417</v>
      </c>
      <c r="S279" s="802">
        <f t="shared" si="107"/>
        <v>1</v>
      </c>
      <c r="T279" s="172">
        <f t="shared" si="108"/>
        <v>7</v>
      </c>
      <c r="U279" s="247">
        <f t="shared" si="109"/>
        <v>1.9871028237355142</v>
      </c>
      <c r="V279" s="378">
        <f t="shared" si="110"/>
        <v>43.463376642316028</v>
      </c>
      <c r="W279" s="397">
        <f t="shared" si="111"/>
        <v>43.160048656676054</v>
      </c>
      <c r="X279" s="153">
        <f t="shared" si="112"/>
        <v>45922</v>
      </c>
      <c r="Y279" s="380">
        <f t="shared" si="113"/>
        <v>41.605454093264555</v>
      </c>
      <c r="Z279" s="380">
        <f t="shared" si="114"/>
        <v>42.410510564675555</v>
      </c>
      <c r="AA279" s="381">
        <f t="shared" si="115"/>
        <v>44.45585760332024</v>
      </c>
      <c r="AB279" s="193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4.6008493568953847E-2</v>
      </c>
      <c r="AD279" s="227">
        <f>(INDEX(Models!$BJ279:$BT279,,AH279)*(1-AF279)+INDEX(Models!$BJ279:$BT279,,AH279+1)*AF279-ERP_i)*AE279*Ramure*Pc/MaxiM</f>
        <v>1.0276640802644741E-4</v>
      </c>
      <c r="AE279" s="301">
        <f t="shared" si="117"/>
        <v>0.5</v>
      </c>
      <c r="AF279" s="173">
        <f t="shared" si="118"/>
        <v>0.98710282373551417</v>
      </c>
      <c r="AG279" s="802">
        <f t="shared" si="124"/>
        <v>1</v>
      </c>
      <c r="AH279" s="172">
        <f t="shared" si="119"/>
        <v>7</v>
      </c>
      <c r="AI279" s="221">
        <f t="shared" si="120"/>
        <v>1.9871028237355142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45923</v>
      </c>
      <c r="B280" s="406">
        <f>'2024'!Wh/'2024'!Env_an*'2025'!Env_an</f>
        <v>31.626973838728485</v>
      </c>
      <c r="C280" s="385"/>
      <c r="D280" s="388">
        <f t="shared" si="102"/>
        <v>32.239390221575526</v>
      </c>
      <c r="E280" s="380">
        <f t="shared" si="100"/>
        <v>32.57907431564341</v>
      </c>
      <c r="F280" s="380">
        <f t="shared" si="103"/>
        <v>32.581116284257355</v>
      </c>
      <c r="G280" s="110">
        <f t="shared" si="101"/>
        <v>0.73415781081997544</v>
      </c>
      <c r="H280" s="409" t="b">
        <f>Wh_hp&gt;='2024'!Maxi_hp</f>
        <v>0</v>
      </c>
      <c r="I280" s="375">
        <f>IF(H280,Wh_hp,'2024'!Maxi_hp)</f>
        <v>32.582079960856511</v>
      </c>
      <c r="J280" s="85">
        <f>IF(H280,An,'2024'!An_max)</f>
        <v>2022</v>
      </c>
      <c r="K280" s="193">
        <f t="shared" si="104"/>
        <v>45923</v>
      </c>
      <c r="L280" s="143">
        <f>IF(t&lt;Tvie,1-EXP((T0-t)*PertePVj)+'2024'!Pspv,1-EXP((T0-t)*PertePVj)+Pspv)</f>
        <v>1.8995904656943452E-2</v>
      </c>
      <c r="M280" s="836"/>
      <c r="N280" s="836"/>
      <c r="O280" s="48">
        <f>IF(t&lt;Tnet,'2024'!Resal+('2024'!Salim-'2024'!Resal)*(1-EXP(('2024'!Tnet-t)/('2024'!Tau_j))),Resal+(Salim-Resal)*(1-EXP((Tnet-t)/(Tau_j))))*Salcycl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1.0104279335285394E-4</v>
      </c>
      <c r="Q280" s="301">
        <f t="shared" si="105"/>
        <v>0.5</v>
      </c>
      <c r="R280" s="173">
        <f t="shared" si="106"/>
        <v>0.98737615399107947</v>
      </c>
      <c r="S280" s="802">
        <f t="shared" si="107"/>
        <v>1</v>
      </c>
      <c r="T280" s="172">
        <f t="shared" si="108"/>
        <v>7</v>
      </c>
      <c r="U280" s="247">
        <f t="shared" si="109"/>
        <v>1.9873761539910795</v>
      </c>
      <c r="V280" s="378">
        <f t="shared" si="110"/>
        <v>43.07760509807607</v>
      </c>
      <c r="W280" s="397">
        <f t="shared" si="111"/>
        <v>31.626973838728485</v>
      </c>
      <c r="X280" s="153">
        <f t="shared" si="112"/>
        <v>45923</v>
      </c>
      <c r="Y280" s="380">
        <f t="shared" si="113"/>
        <v>30.489064663203258</v>
      </c>
      <c r="Z280" s="380">
        <f t="shared" si="114"/>
        <v>31.079446872789305</v>
      </c>
      <c r="AA280" s="381">
        <f t="shared" si="115"/>
        <v>32.57907431564341</v>
      </c>
      <c r="AB280" s="193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4.6030388350660818E-2</v>
      </c>
      <c r="AD280" s="227">
        <f>(INDEX(Models!$BJ280:$BT280,,AH280)*(1-AF280)+INDEX(Models!$BJ280:$BT280,,AH280+1)*AF280-ERP_i)*AE280*Ramure*Pc/MaxiM</f>
        <v>1.0104279335285394E-4</v>
      </c>
      <c r="AE280" s="301">
        <f t="shared" si="117"/>
        <v>0.5</v>
      </c>
      <c r="AF280" s="173">
        <f t="shared" si="118"/>
        <v>0.98737615399107947</v>
      </c>
      <c r="AG280" s="802">
        <f t="shared" si="124"/>
        <v>1</v>
      </c>
      <c r="AH280" s="172">
        <f t="shared" si="119"/>
        <v>7</v>
      </c>
      <c r="AI280" s="221">
        <f t="shared" si="120"/>
        <v>1.9873761539910795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45924</v>
      </c>
      <c r="B281" s="406">
        <f>'2024'!Wh/'2024'!Env_an*'2025'!Env_an</f>
        <v>19.535924447577496</v>
      </c>
      <c r="C281" s="385"/>
      <c r="D281" s="388">
        <f t="shared" si="102"/>
        <v>19.91448555044698</v>
      </c>
      <c r="E281" s="380">
        <f t="shared" si="100"/>
        <v>20.12560806789546</v>
      </c>
      <c r="F281" s="380">
        <f t="shared" si="103"/>
        <v>20.126066970813397</v>
      </c>
      <c r="G281" s="110">
        <f t="shared" si="101"/>
        <v>0.45760847664401311</v>
      </c>
      <c r="H281" s="409" t="b">
        <f>Wh_hp&gt;='2024'!Maxi_hp</f>
        <v>0</v>
      </c>
      <c r="I281" s="375">
        <f>IF(H281,Wh_hp,'2024'!Maxi_hp)</f>
        <v>20.127284995760309</v>
      </c>
      <c r="J281" s="85">
        <f>IF(H281,An,'2024'!An_max)</f>
        <v>2022</v>
      </c>
      <c r="K281" s="193">
        <f t="shared" si="104"/>
        <v>45924</v>
      </c>
      <c r="L281" s="143">
        <f>IF(t&lt;Tvie,1-EXP((T0-t)*PertePVj)+'2024'!Pspv,1-EXP((T0-t)*PertePVj)+Pspv)</f>
        <v>1.9009333779199E-2</v>
      </c>
      <c r="M281" s="836"/>
      <c r="N281" s="836"/>
      <c r="O281" s="48">
        <f>IF(t&lt;Tnet,'2024'!Resal+('2024'!Salim-'2024'!Resal)*(1-EXP(('2024'!Tnet-t)/('2024'!Tau_j))),Resal+(Salim-Resal)*(1-EXP((Tnet-t)/(Tau_j))))*Salcycl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1.0124683584316774E-4</v>
      </c>
      <c r="Q281" s="301">
        <f t="shared" si="105"/>
        <v>0.5</v>
      </c>
      <c r="R281" s="173">
        <f t="shared" si="106"/>
        <v>0.98763876378321558</v>
      </c>
      <c r="S281" s="802">
        <f t="shared" si="107"/>
        <v>1</v>
      </c>
      <c r="T281" s="172">
        <f t="shared" si="108"/>
        <v>7</v>
      </c>
      <c r="U281" s="247">
        <f t="shared" si="109"/>
        <v>1.9876387637832156</v>
      </c>
      <c r="V281" s="378">
        <f t="shared" si="110"/>
        <v>42.688002748961914</v>
      </c>
      <c r="W281" s="397">
        <f t="shared" si="111"/>
        <v>19.535924447577496</v>
      </c>
      <c r="X281" s="153">
        <f t="shared" si="112"/>
        <v>45924</v>
      </c>
      <c r="Y281" s="380">
        <f t="shared" si="113"/>
        <v>18.833832824657062</v>
      </c>
      <c r="Z281" s="380">
        <f t="shared" si="114"/>
        <v>19.198789013164728</v>
      </c>
      <c r="AA281" s="381">
        <f t="shared" si="115"/>
        <v>20.12560806789546</v>
      </c>
      <c r="AB281" s="193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4.6051729299508695E-2</v>
      </c>
      <c r="AD281" s="227">
        <f>(INDEX(Models!$BJ281:$BT281,,AH281)*(1-AF281)+INDEX(Models!$BJ281:$BT281,,AH281+1)*AF281-ERP_i)*AE281*Ramure*Pc/MaxiM</f>
        <v>1.0124683584316774E-4</v>
      </c>
      <c r="AE281" s="301">
        <f t="shared" si="117"/>
        <v>0.5</v>
      </c>
      <c r="AF281" s="173">
        <f t="shared" si="118"/>
        <v>0.98763876378321558</v>
      </c>
      <c r="AG281" s="802">
        <f t="shared" si="124"/>
        <v>1</v>
      </c>
      <c r="AH281" s="172">
        <f t="shared" si="119"/>
        <v>7</v>
      </c>
      <c r="AI281" s="221">
        <f t="shared" si="120"/>
        <v>1.9876387637832156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45925</v>
      </c>
      <c r="B282" s="406">
        <f>'2024'!Wh/'2024'!Env_an*'2025'!Env_an</f>
        <v>31.269973850902989</v>
      </c>
      <c r="C282" s="385"/>
      <c r="D282" s="388">
        <f t="shared" si="102"/>
        <v>31.876350095065234</v>
      </c>
      <c r="E282" s="380">
        <f t="shared" si="100"/>
        <v>32.216355662876602</v>
      </c>
      <c r="F282" s="380">
        <f t="shared" si="103"/>
        <v>32.218465690582072</v>
      </c>
      <c r="G282" s="110">
        <f t="shared" si="101"/>
        <v>0.73929490457915381</v>
      </c>
      <c r="H282" s="409" t="b">
        <f>Wh_hp&gt;='2024'!Maxi_hp</f>
        <v>0</v>
      </c>
      <c r="I282" s="375">
        <f>IF(H282,Wh_hp,'2024'!Maxi_hp)</f>
        <v>32.219433852063254</v>
      </c>
      <c r="J282" s="85">
        <f>IF(H282,An,'2024'!An_max)</f>
        <v>2022</v>
      </c>
      <c r="K282" s="193">
        <f t="shared" si="104"/>
        <v>45925</v>
      </c>
      <c r="L282" s="143">
        <f>IF(t&lt;Tvie,1-EXP((T0-t)*PertePVj)+'2024'!Pspv,1-EXP((T0-t)*PertePVj)+Pspv)</f>
        <v>1.9022762717621156E-2</v>
      </c>
      <c r="M282" s="836"/>
      <c r="N282" s="836"/>
      <c r="O282" s="48">
        <f>IF(t&lt;Tnet,'2024'!Resal+('2024'!Salim-'2024'!Resal)*(1-EXP(('2024'!Tnet-t)/('2024'!Tau_j))),Resal+(Salim-Resal)*(1-EXP((Tnet-t)/(Tau_j))))*Salcycl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1.0435103801234833E-4</v>
      </c>
      <c r="Q282" s="301">
        <f t="shared" si="105"/>
        <v>0.5</v>
      </c>
      <c r="R282" s="173">
        <f t="shared" si="106"/>
        <v>0.98789106271043381</v>
      </c>
      <c r="S282" s="802">
        <f t="shared" si="107"/>
        <v>1</v>
      </c>
      <c r="T282" s="172">
        <f t="shared" si="108"/>
        <v>7</v>
      </c>
      <c r="U282" s="247">
        <f t="shared" si="109"/>
        <v>1.9878910627104338</v>
      </c>
      <c r="V282" s="378">
        <f t="shared" si="110"/>
        <v>42.295379601827818</v>
      </c>
      <c r="W282" s="397">
        <f t="shared" si="111"/>
        <v>31.269973850902989</v>
      </c>
      <c r="X282" s="153">
        <f t="shared" si="112"/>
        <v>45925</v>
      </c>
      <c r="Y282" s="380">
        <f t="shared" si="113"/>
        <v>30.147458781960285</v>
      </c>
      <c r="Z282" s="380">
        <f t="shared" si="114"/>
        <v>30.732067611964577</v>
      </c>
      <c r="AA282" s="381">
        <f t="shared" si="115"/>
        <v>32.216355662876602</v>
      </c>
      <c r="AB282" s="193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4.6072500143844362E-2</v>
      </c>
      <c r="AD282" s="227">
        <f>(INDEX(Models!$BJ282:$BT282,,AH282)*(1-AF282)+INDEX(Models!$BJ282:$BT282,,AH282+1)*AF282-ERP_i)*AE282*Ramure*Pc/MaxiM</f>
        <v>1.0435103801234833E-4</v>
      </c>
      <c r="AE282" s="301">
        <f t="shared" si="117"/>
        <v>0.5</v>
      </c>
      <c r="AF282" s="173">
        <f t="shared" si="118"/>
        <v>0.98789106271043381</v>
      </c>
      <c r="AG282" s="802">
        <f t="shared" si="124"/>
        <v>1</v>
      </c>
      <c r="AH282" s="172">
        <f t="shared" si="119"/>
        <v>7</v>
      </c>
      <c r="AI282" s="221">
        <f t="shared" si="120"/>
        <v>1.9878910627104338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45926</v>
      </c>
      <c r="B283" s="406">
        <f>'2024'!Wh/'2024'!Env_an*'2025'!Env_an</f>
        <v>33.7249442513018</v>
      </c>
      <c r="C283" s="385"/>
      <c r="D283" s="388">
        <f t="shared" si="102"/>
        <v>34.379397035977888</v>
      </c>
      <c r="E283" s="380">
        <f t="shared" si="100"/>
        <v>34.748325957192584</v>
      </c>
      <c r="F283" s="380">
        <f t="shared" si="103"/>
        <v>34.751079956273138</v>
      </c>
      <c r="G283" s="110">
        <f t="shared" si="101"/>
        <v>0.80485494272941505</v>
      </c>
      <c r="H283" s="409" t="b">
        <f>Wh_hp&gt;='2024'!Maxi_hp</f>
        <v>0</v>
      </c>
      <c r="I283" s="375">
        <f>IF(H283,Wh_hp,'2024'!Maxi_hp)</f>
        <v>34.75190503320507</v>
      </c>
      <c r="J283" s="85">
        <f>IF(H283,An,'2024'!An_max)</f>
        <v>2022</v>
      </c>
      <c r="K283" s="193">
        <f t="shared" si="104"/>
        <v>45926</v>
      </c>
      <c r="L283" s="143">
        <f>IF(t&lt;Tvie,1-EXP((T0-t)*PertePVj)+'2024'!Pspv,1-EXP((T0-t)*PertePVj)+Pspv)</f>
        <v>1.903619147221236E-2</v>
      </c>
      <c r="M283" s="836"/>
      <c r="N283" s="836"/>
      <c r="O283" s="48">
        <f>IF(t&lt;Tnet,'2024'!Resal+('2024'!Salim-'2024'!Resal)*(1-EXP(('2024'!Tnet-t)/('2024'!Tau_j))),Resal+(Salim-Resal)*(1-EXP((Tnet-t)/(Tau_j))))*Salcycl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1.0987672481455086E-4</v>
      </c>
      <c r="Q283" s="301">
        <f t="shared" si="105"/>
        <v>0.5</v>
      </c>
      <c r="R283" s="173">
        <f t="shared" si="106"/>
        <v>0.98813344557081173</v>
      </c>
      <c r="S283" s="802">
        <f t="shared" si="107"/>
        <v>1</v>
      </c>
      <c r="T283" s="172">
        <f t="shared" si="108"/>
        <v>7</v>
      </c>
      <c r="U283" s="247">
        <f t="shared" si="109"/>
        <v>1.9881334455708117</v>
      </c>
      <c r="V283" s="378">
        <f t="shared" si="110"/>
        <v>41.900607763170129</v>
      </c>
      <c r="W283" s="397">
        <f t="shared" si="111"/>
        <v>33.7249442513018</v>
      </c>
      <c r="X283" s="153">
        <f t="shared" si="112"/>
        <v>45926</v>
      </c>
      <c r="Y283" s="380">
        <f t="shared" si="113"/>
        <v>32.51569572807653</v>
      </c>
      <c r="Z283" s="380">
        <f t="shared" si="114"/>
        <v>33.146682319376779</v>
      </c>
      <c r="AA283" s="381">
        <f t="shared" si="115"/>
        <v>34.748325957192584</v>
      </c>
      <c r="AB283" s="193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4.6092684861679889E-2</v>
      </c>
      <c r="AD283" s="227">
        <f>(INDEX(Models!$BJ283:$BT283,,AH283)*(1-AF283)+INDEX(Models!$BJ283:$BT283,,AH283+1)*AF283-ERP_i)*AE283*Ramure*Pc/MaxiM</f>
        <v>1.0987672481455086E-4</v>
      </c>
      <c r="AE283" s="301">
        <f t="shared" si="117"/>
        <v>0.5</v>
      </c>
      <c r="AF283" s="173">
        <f t="shared" si="118"/>
        <v>0.98813344557081173</v>
      </c>
      <c r="AG283" s="802">
        <f t="shared" si="124"/>
        <v>1</v>
      </c>
      <c r="AH283" s="172">
        <f t="shared" si="119"/>
        <v>7</v>
      </c>
      <c r="AI283" s="221">
        <f t="shared" si="120"/>
        <v>1.9881334455708117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45927</v>
      </c>
      <c r="B284" s="406">
        <f>'2024'!Wh/'2024'!Env_an*'2025'!Env_an</f>
        <v>16.503502990288652</v>
      </c>
      <c r="C284" s="385"/>
      <c r="D284" s="388">
        <f t="shared" si="102"/>
        <v>16.823993677449483</v>
      </c>
      <c r="E284" s="380">
        <f t="shared" si="100"/>
        <v>17.005618707084768</v>
      </c>
      <c r="F284" s="380">
        <f t="shared" si="103"/>
        <v>17.005898286506788</v>
      </c>
      <c r="G284" s="110">
        <f t="shared" si="101"/>
        <v>0.397590971721071</v>
      </c>
      <c r="H284" s="409" t="b">
        <f>Wh_hp&gt;='2024'!Maxi_hp</f>
        <v>0</v>
      </c>
      <c r="I284" s="375">
        <f>IF(H284,Wh_hp,'2024'!Maxi_hp)</f>
        <v>17.007238726948835</v>
      </c>
      <c r="J284" s="85">
        <f>IF(H284,An,'2024'!An_max)</f>
        <v>2022</v>
      </c>
      <c r="K284" s="193">
        <f t="shared" si="104"/>
        <v>45927</v>
      </c>
      <c r="L284" s="143">
        <f>IF(t&lt;Tvie,1-EXP((T0-t)*PertePVj)+'2024'!Pspv,1-EXP((T0-t)*PertePVj)+Pspv)</f>
        <v>1.9049620042975168E-2</v>
      </c>
      <c r="M284" s="836"/>
      <c r="N284" s="836"/>
      <c r="O284" s="48">
        <f>IF(t&lt;Tnet,'2024'!Resal+('2024'!Salim-'2024'!Resal)*(1-EXP(('2024'!Tnet-t)/('2024'!Tau_j))),Resal+(Salim-Resal)*(1-EXP((Tnet-t)/(Tau_j))))*Salcycl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1.178730632130159E-4</v>
      </c>
      <c r="Q284" s="301">
        <f t="shared" si="105"/>
        <v>0.5</v>
      </c>
      <c r="R284" s="173">
        <f t="shared" si="106"/>
        <v>0.98836629282988109</v>
      </c>
      <c r="S284" s="802">
        <f t="shared" si="107"/>
        <v>1</v>
      </c>
      <c r="T284" s="172">
        <f t="shared" si="108"/>
        <v>7</v>
      </c>
      <c r="U284" s="247">
        <f t="shared" si="109"/>
        <v>1.9883662928298811</v>
      </c>
      <c r="V284" s="378">
        <f t="shared" si="110"/>
        <v>41.504536415539846</v>
      </c>
      <c r="W284" s="397">
        <f t="shared" si="111"/>
        <v>16.503502990288652</v>
      </c>
      <c r="X284" s="153">
        <f t="shared" si="112"/>
        <v>45927</v>
      </c>
      <c r="Y284" s="380">
        <f t="shared" si="113"/>
        <v>15.912438584031122</v>
      </c>
      <c r="Z284" s="380">
        <f t="shared" si="114"/>
        <v>16.221451063333337</v>
      </c>
      <c r="AA284" s="381">
        <f t="shared" si="115"/>
        <v>17.005618707084768</v>
      </c>
      <c r="AB284" s="193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4.611226778974746E-2</v>
      </c>
      <c r="AD284" s="227">
        <f>(INDEX(Models!$BJ284:$BT284,,AH284)*(1-AF284)+INDEX(Models!$BJ284:$BT284,,AH284+1)*AF284-ERP_i)*AE284*Ramure*Pc/MaxiM</f>
        <v>1.178730632130159E-4</v>
      </c>
      <c r="AE284" s="301">
        <f t="shared" si="117"/>
        <v>0.5</v>
      </c>
      <c r="AF284" s="173">
        <f t="shared" si="118"/>
        <v>0.98836629282988109</v>
      </c>
      <c r="AG284" s="802">
        <f t="shared" si="124"/>
        <v>1</v>
      </c>
      <c r="AH284" s="172">
        <f t="shared" si="119"/>
        <v>7</v>
      </c>
      <c r="AI284" s="221">
        <f t="shared" si="120"/>
        <v>1.9883662928298811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45928</v>
      </c>
      <c r="B285" s="406">
        <f>'2024'!Wh/'2024'!Env_an*'2025'!Env_an</f>
        <v>18.853090352049417</v>
      </c>
      <c r="C285" s="385"/>
      <c r="D285" s="388">
        <f t="shared" si="102"/>
        <v>19.219472079090465</v>
      </c>
      <c r="E285" s="380">
        <f t="shared" si="100"/>
        <v>19.428192759410372</v>
      </c>
      <c r="F285" s="380">
        <f t="shared" si="103"/>
        <v>19.428758012837744</v>
      </c>
      <c r="G285" s="110">
        <f t="shared" si="101"/>
        <v>0.45857768809534227</v>
      </c>
      <c r="H285" s="409" t="b">
        <f>Wh_hp&gt;='2024'!Maxi_hp</f>
        <v>0</v>
      </c>
      <c r="I285" s="375">
        <f>IF(H285,Wh_hp,'2024'!Maxi_hp)</f>
        <v>19.430260578992954</v>
      </c>
      <c r="J285" s="85">
        <f>IF(H285,An,'2024'!An_max)</f>
        <v>2022</v>
      </c>
      <c r="K285" s="193">
        <f t="shared" si="104"/>
        <v>45928</v>
      </c>
      <c r="L285" s="143">
        <f>IF(t&lt;Tvie,1-EXP((T0-t)*PertePVj)+'2024'!Pspv,1-EXP((T0-t)*PertePVj)+Pspv)</f>
        <v>1.9063048429912244E-2</v>
      </c>
      <c r="M285" s="836"/>
      <c r="N285" s="836"/>
      <c r="O285" s="48">
        <f>IF(t&lt;Tnet,'2024'!Resal+('2024'!Salim-'2024'!Resal)*(1-EXP(('2024'!Tnet-t)/('2024'!Tau_j))),Resal+(Salim-Resal)*(1-EXP((Tnet-t)/(Tau_j))))*Salcycl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1.2838947396576417E-4</v>
      </c>
      <c r="Q285" s="301">
        <f t="shared" si="105"/>
        <v>0.5</v>
      </c>
      <c r="R285" s="173">
        <f t="shared" si="106"/>
        <v>0.98858997107916768</v>
      </c>
      <c r="S285" s="802">
        <f t="shared" si="107"/>
        <v>1</v>
      </c>
      <c r="T285" s="172">
        <f t="shared" si="108"/>
        <v>7</v>
      </c>
      <c r="U285" s="247">
        <f t="shared" si="109"/>
        <v>1.9885899710791677</v>
      </c>
      <c r="V285" s="378">
        <f t="shared" si="110"/>
        <v>41.108014527882915</v>
      </c>
      <c r="W285" s="397">
        <f t="shared" si="111"/>
        <v>18.853090352049417</v>
      </c>
      <c r="X285" s="153">
        <f t="shared" si="112"/>
        <v>45928</v>
      </c>
      <c r="Y285" s="380">
        <f t="shared" si="113"/>
        <v>18.178670869095068</v>
      </c>
      <c r="Z285" s="380">
        <f t="shared" si="114"/>
        <v>18.531946258114026</v>
      </c>
      <c r="AA285" s="381">
        <f t="shared" si="115"/>
        <v>19.428192759410372</v>
      </c>
      <c r="AB285" s="193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4.6131233738260731E-2</v>
      </c>
      <c r="AD285" s="227">
        <f>(INDEX(Models!$BJ285:$BT285,,AH285)*(1-AF285)+INDEX(Models!$BJ285:$BT285,,AH285+1)*AF285-ERP_i)*AE285*Ramure*Pc/MaxiM</f>
        <v>1.2838947396576417E-4</v>
      </c>
      <c r="AE285" s="301">
        <f t="shared" si="117"/>
        <v>0.5</v>
      </c>
      <c r="AF285" s="173">
        <f t="shared" si="118"/>
        <v>0.98858997107916768</v>
      </c>
      <c r="AG285" s="802">
        <f t="shared" si="124"/>
        <v>1</v>
      </c>
      <c r="AH285" s="172">
        <f t="shared" si="119"/>
        <v>7</v>
      </c>
      <c r="AI285" s="221">
        <f t="shared" si="120"/>
        <v>1.9885899710791677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45929</v>
      </c>
      <c r="B286" s="406">
        <f>'2024'!Wh/'2024'!Env_an*'2025'!Env_an</f>
        <v>24.400029893258285</v>
      </c>
      <c r="C286" s="385"/>
      <c r="D286" s="388">
        <f t="shared" si="102"/>
        <v>24.87454863912971</v>
      </c>
      <c r="E286" s="380">
        <f t="shared" si="100"/>
        <v>25.146275175795843</v>
      </c>
      <c r="F286" s="380">
        <f t="shared" si="103"/>
        <v>25.147796557362771</v>
      </c>
      <c r="G286" s="110">
        <f t="shared" si="101"/>
        <v>0.59928569777202101</v>
      </c>
      <c r="H286" s="409" t="b">
        <f>Wh_hp&gt;='2024'!Maxi_hp</f>
        <v>0</v>
      </c>
      <c r="I286" s="375">
        <f>IF(H286,Wh_hp,'2024'!Maxi_hp)</f>
        <v>25.149385845472246</v>
      </c>
      <c r="J286" s="85">
        <f>IF(H286,An,'2024'!An_max)</f>
        <v>2022</v>
      </c>
      <c r="K286" s="193">
        <f t="shared" si="104"/>
        <v>45929</v>
      </c>
      <c r="L286" s="143">
        <f>IF(t&lt;Tvie,1-EXP((T0-t)*PertePVj)+'2024'!Pspv,1-EXP((T0-t)*PertePVj)+Pspv)</f>
        <v>1.9076476633025918E-2</v>
      </c>
      <c r="M286" s="836"/>
      <c r="N286" s="836"/>
      <c r="O286" s="48">
        <f>IF(t&lt;Tnet,'2024'!Resal+('2024'!Salim-'2024'!Resal)*(1-EXP(('2024'!Tnet-t)/('2024'!Tau_j))),Resal+(Salim-Resal)*(1-EXP((Tnet-t)/(Tau_j))))*Salcycl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1.4147505261372483E-4</v>
      </c>
      <c r="Q286" s="301">
        <f t="shared" si="105"/>
        <v>0.5</v>
      </c>
      <c r="R286" s="173">
        <f t="shared" si="106"/>
        <v>0.98880483348507786</v>
      </c>
      <c r="S286" s="802">
        <f t="shared" si="107"/>
        <v>1</v>
      </c>
      <c r="T286" s="172">
        <f t="shared" si="108"/>
        <v>7</v>
      </c>
      <c r="U286" s="247">
        <f t="shared" si="109"/>
        <v>1.9888048334850779</v>
      </c>
      <c r="V286" s="378">
        <f t="shared" si="110"/>
        <v>40.711890860036533</v>
      </c>
      <c r="W286" s="397">
        <f t="shared" si="111"/>
        <v>24.400029893258285</v>
      </c>
      <c r="X286" s="153">
        <f t="shared" si="112"/>
        <v>45929</v>
      </c>
      <c r="Y286" s="380">
        <f t="shared" si="113"/>
        <v>23.52822116143086</v>
      </c>
      <c r="Z286" s="380">
        <f t="shared" si="114"/>
        <v>23.985785436841542</v>
      </c>
      <c r="AA286" s="381">
        <f t="shared" si="115"/>
        <v>25.146275175795843</v>
      </c>
      <c r="AB286" s="193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4.614956811064061E-2</v>
      </c>
      <c r="AD286" s="227">
        <f>(INDEX(Models!$BJ286:$BT286,,AH286)*(1-AF286)+INDEX(Models!$BJ286:$BT286,,AH286+1)*AF286-ERP_i)*AE286*Ramure*Pc/MaxiM</f>
        <v>1.4147505261372483E-4</v>
      </c>
      <c r="AE286" s="301">
        <f t="shared" si="117"/>
        <v>0.5</v>
      </c>
      <c r="AF286" s="173">
        <f t="shared" si="118"/>
        <v>0.98880483348507786</v>
      </c>
      <c r="AG286" s="802">
        <f t="shared" si="124"/>
        <v>1</v>
      </c>
      <c r="AH286" s="172">
        <f t="shared" si="119"/>
        <v>7</v>
      </c>
      <c r="AI286" s="221">
        <f t="shared" si="120"/>
        <v>1.9888048334850779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45930</v>
      </c>
      <c r="B287" s="406">
        <f>'2024'!Wh/'2024'!Env_an*'2025'!Env_an</f>
        <v>26.165271967503305</v>
      </c>
      <c r="C287" s="385"/>
      <c r="D287" s="388">
        <f t="shared" si="102"/>
        <v>26.674485349474445</v>
      </c>
      <c r="E287" s="380">
        <f t="shared" si="100"/>
        <v>26.967575500484767</v>
      </c>
      <c r="F287" s="380">
        <f t="shared" si="103"/>
        <v>26.969688894193684</v>
      </c>
      <c r="G287" s="110">
        <f t="shared" si="101"/>
        <v>0.64893718523895694</v>
      </c>
      <c r="H287" s="409" t="b">
        <f>Wh_hp&gt;='2024'!Maxi_hp</f>
        <v>0</v>
      </c>
      <c r="I287" s="375">
        <f>IF(H287,Wh_hp,'2024'!Maxi_hp)</f>
        <v>26.97135071424043</v>
      </c>
      <c r="J287" s="85">
        <f>IF(H287,An,'2024'!An_max)</f>
        <v>2022</v>
      </c>
      <c r="K287" s="193">
        <f t="shared" si="104"/>
        <v>45930</v>
      </c>
      <c r="L287" s="143">
        <f>IF(t&lt;Tvie,1-EXP((T0-t)*PertePVj)+'2024'!Pspv,1-EXP((T0-t)*PertePVj)+Pspv)</f>
        <v>1.9089904652318745E-2</v>
      </c>
      <c r="M287" s="836"/>
      <c r="N287" s="836"/>
      <c r="O287" s="48">
        <f>IF(t&lt;Tnet,'2024'!Resal+('2024'!Salim-'2024'!Resal)*(1-EXP(('2024'!Tnet-t)/('2024'!Tau_j))),Resal+(Salim-Resal)*(1-EXP((Tnet-t)/(Tau_j))))*Salcycl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1.5717794144691518E-4</v>
      </c>
      <c r="Q287" s="301">
        <f t="shared" si="105"/>
        <v>0.5</v>
      </c>
      <c r="R287" s="173">
        <f t="shared" si="106"/>
        <v>0.9890112202278869</v>
      </c>
      <c r="S287" s="802">
        <f t="shared" si="107"/>
        <v>1</v>
      </c>
      <c r="T287" s="172">
        <f t="shared" si="108"/>
        <v>7</v>
      </c>
      <c r="U287" s="247">
        <f t="shared" si="109"/>
        <v>1.9890112202278869</v>
      </c>
      <c r="V287" s="378">
        <f t="shared" si="110"/>
        <v>40.317013966167565</v>
      </c>
      <c r="W287" s="397">
        <f t="shared" si="111"/>
        <v>26.165271967503305</v>
      </c>
      <c r="X287" s="153">
        <f t="shared" si="112"/>
        <v>45930</v>
      </c>
      <c r="Y287" s="380">
        <f t="shared" si="113"/>
        <v>25.231515359740694</v>
      </c>
      <c r="Z287" s="380">
        <f t="shared" si="114"/>
        <v>25.722556510948582</v>
      </c>
      <c r="AA287" s="381">
        <f t="shared" si="115"/>
        <v>26.967575500484767</v>
      </c>
      <c r="AB287" s="193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4.6167257027380976E-2</v>
      </c>
      <c r="AD287" s="227">
        <f>(INDEX(Models!$BJ287:$BT287,,AH287)*(1-AF287)+INDEX(Models!$BJ287:$BT287,,AH287+1)*AF287-ERP_i)*AE287*Ramure*Pc/MaxiM</f>
        <v>1.5717794144691518E-4</v>
      </c>
      <c r="AE287" s="301">
        <f t="shared" si="117"/>
        <v>0.5</v>
      </c>
      <c r="AF287" s="173">
        <f t="shared" si="118"/>
        <v>0.9890112202278869</v>
      </c>
      <c r="AG287" s="802">
        <f t="shared" si="124"/>
        <v>1</v>
      </c>
      <c r="AH287" s="172">
        <f t="shared" si="119"/>
        <v>7</v>
      </c>
      <c r="AI287" s="221">
        <f t="shared" si="120"/>
        <v>1.9890112202278869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45931</v>
      </c>
      <c r="B288" s="406">
        <f>'2024'!Wh/'2024'!Env_an*'2025'!Env_an</f>
        <v>35.711792012481339</v>
      </c>
      <c r="C288" s="385"/>
      <c r="D288" s="388">
        <f t="shared" si="102"/>
        <v>36.407292628544816</v>
      </c>
      <c r="E288" s="380">
        <f t="shared" si="100"/>
        <v>36.809636630460737</v>
      </c>
      <c r="F288" s="380">
        <f t="shared" si="103"/>
        <v>36.815125207513589</v>
      </c>
      <c r="G288" s="110">
        <f t="shared" si="101"/>
        <v>0.89446546565310081</v>
      </c>
      <c r="H288" s="409" t="b">
        <f>Wh_hp&gt;='2024'!Maxi_hp</f>
        <v>0</v>
      </c>
      <c r="I288" s="375">
        <f>IF(H288,Wh_hp,'2024'!Maxi_hp)</f>
        <v>36.815887882487736</v>
      </c>
      <c r="J288" s="85">
        <f>IF(H288,An,'2024'!An_max)</f>
        <v>2022</v>
      </c>
      <c r="K288" s="193">
        <f t="shared" si="104"/>
        <v>45931</v>
      </c>
      <c r="L288" s="143">
        <f>IF(t&lt;Tvie,1-EXP((T0-t)*PertePVj)+'2024'!Pspv,1-EXP((T0-t)*PertePVj)+Pspv)</f>
        <v>1.9103332487793279E-2</v>
      </c>
      <c r="M288" s="836"/>
      <c r="N288" s="836"/>
      <c r="O288" s="48">
        <f>IF(t&lt;Tnet,'2024'!Resal+('2024'!Salim-'2024'!Resal)*(1-EXP(('2024'!Tnet-t)/('2024'!Tau_j))),Resal+(Salim-Resal)*(1-EXP((Tnet-t)/(Tau_j))))*Salcycl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1.7554465086591254E-4</v>
      </c>
      <c r="Q288" s="301">
        <f t="shared" si="105"/>
        <v>0.5</v>
      </c>
      <c r="R288" s="173">
        <f t="shared" si="106"/>
        <v>0.98920945893063505</v>
      </c>
      <c r="S288" s="802">
        <f t="shared" si="107"/>
        <v>1</v>
      </c>
      <c r="T288" s="172">
        <f t="shared" si="108"/>
        <v>7</v>
      </c>
      <c r="U288" s="247">
        <f t="shared" si="109"/>
        <v>1.9892094589306351</v>
      </c>
      <c r="V288" s="378">
        <f t="shared" si="110"/>
        <v>39.92423219855759</v>
      </c>
      <c r="W288" s="397">
        <f t="shared" si="111"/>
        <v>35.711792012481339</v>
      </c>
      <c r="X288" s="153">
        <f t="shared" si="112"/>
        <v>45931</v>
      </c>
      <c r="Y288" s="380">
        <f t="shared" si="113"/>
        <v>34.438899241913987</v>
      </c>
      <c r="Z288" s="380">
        <f t="shared" si="114"/>
        <v>35.109609791273364</v>
      </c>
      <c r="AA288" s="381">
        <f t="shared" si="115"/>
        <v>36.809636630460737</v>
      </c>
      <c r="AB288" s="193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4.6184287453154872E-2</v>
      </c>
      <c r="AD288" s="227">
        <f>(INDEX(Models!$BJ288:$BT288,,AH288)*(1-AF288)+INDEX(Models!$BJ288:$BT288,,AH288+1)*AF288-ERP_i)*AE288*Ramure*Pc/MaxiM</f>
        <v>1.7554465086591254E-4</v>
      </c>
      <c r="AE288" s="301">
        <f t="shared" si="117"/>
        <v>0.5</v>
      </c>
      <c r="AF288" s="173">
        <f t="shared" si="118"/>
        <v>0.98920945893063505</v>
      </c>
      <c r="AG288" s="802">
        <f t="shared" si="124"/>
        <v>1</v>
      </c>
      <c r="AH288" s="172">
        <f t="shared" si="119"/>
        <v>7</v>
      </c>
      <c r="AI288" s="221">
        <f t="shared" si="120"/>
        <v>1.9892094589306351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45932</v>
      </c>
      <c r="B289" s="406">
        <f>'2024'!Wh/'2024'!Env_an*'2025'!Env_an</f>
        <v>37.138272537889215</v>
      </c>
      <c r="C289" s="385"/>
      <c r="D289" s="388">
        <f t="shared" si="102"/>
        <v>37.862072700079118</v>
      </c>
      <c r="E289" s="380">
        <f t="shared" si="100"/>
        <v>38.282889697368518</v>
      </c>
      <c r="F289" s="380">
        <f t="shared" si="103"/>
        <v>38.289767665008164</v>
      </c>
      <c r="G289" s="110">
        <f t="shared" si="101"/>
        <v>0.9394476769156942</v>
      </c>
      <c r="H289" s="409" t="b">
        <f>Wh_hp&gt;='2024'!Maxi_hp</f>
        <v>0</v>
      </c>
      <c r="I289" s="375">
        <f>IF(H289,Wh_hp,'2024'!Maxi_hp)</f>
        <v>38.290278052871017</v>
      </c>
      <c r="J289" s="85">
        <f>IF(H289,An,'2024'!An_max)</f>
        <v>2022</v>
      </c>
      <c r="K289" s="193">
        <f t="shared" si="104"/>
        <v>45932</v>
      </c>
      <c r="L289" s="143">
        <f>IF(t&lt;Tvie,1-EXP((T0-t)*PertePVj)+'2024'!Pspv,1-EXP((T0-t)*PertePVj)+Pspv)</f>
        <v>1.911676013945196E-2</v>
      </c>
      <c r="M289" s="836"/>
      <c r="N289" s="836"/>
      <c r="O289" s="48">
        <f>IF(t&lt;Tnet,'2024'!Resal+('2024'!Salim-'2024'!Resal)*(1-EXP(('2024'!Tnet-t)/('2024'!Tau_j))),Resal+(Salim-Resal)*(1-EXP((Tnet-t)/(Tau_j))))*Salcycl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1.9663443340229282E-4</v>
      </c>
      <c r="Q289" s="301">
        <f t="shared" si="105"/>
        <v>0.5</v>
      </c>
      <c r="R289" s="173">
        <f t="shared" si="106"/>
        <v>0.98939986507779154</v>
      </c>
      <c r="S289" s="802">
        <f t="shared" si="107"/>
        <v>1</v>
      </c>
      <c r="T289" s="172">
        <f t="shared" si="108"/>
        <v>7</v>
      </c>
      <c r="U289" s="247">
        <f t="shared" si="109"/>
        <v>1.9893998650777915</v>
      </c>
      <c r="V289" s="378">
        <f t="shared" si="110"/>
        <v>39.531356348068556</v>
      </c>
      <c r="W289" s="397">
        <f t="shared" si="111"/>
        <v>37.138272537889215</v>
      </c>
      <c r="X289" s="153">
        <f t="shared" si="112"/>
        <v>45932</v>
      </c>
      <c r="Y289" s="380">
        <f t="shared" si="113"/>
        <v>35.816162296459751</v>
      </c>
      <c r="Z289" s="380">
        <f t="shared" si="114"/>
        <v>36.514195411832837</v>
      </c>
      <c r="AA289" s="381">
        <f t="shared" si="115"/>
        <v>38.282889697368518</v>
      </c>
      <c r="AB289" s="193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4.6200647326193368E-2</v>
      </c>
      <c r="AD289" s="227">
        <f>(INDEX(Models!$BJ289:$BT289,,AH289)*(1-AF289)+INDEX(Models!$BJ289:$BT289,,AH289+1)*AF289-ERP_i)*AE289*Ramure*Pc/MaxiM</f>
        <v>1.9663443340229282E-4</v>
      </c>
      <c r="AE289" s="301">
        <f t="shared" si="117"/>
        <v>0.5</v>
      </c>
      <c r="AF289" s="173">
        <f t="shared" si="118"/>
        <v>0.98939986507779154</v>
      </c>
      <c r="AG289" s="802">
        <f t="shared" si="124"/>
        <v>1</v>
      </c>
      <c r="AH289" s="172">
        <f t="shared" si="119"/>
        <v>7</v>
      </c>
      <c r="AI289" s="221">
        <f t="shared" si="120"/>
        <v>1.9893998650777915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45933</v>
      </c>
      <c r="B290" s="406">
        <f>'2024'!Wh/'2024'!Env_an*'2025'!Env_an</f>
        <v>33.631628306057941</v>
      </c>
      <c r="C290" s="385"/>
      <c r="D290" s="388">
        <f t="shared" si="102"/>
        <v>34.287555678788827</v>
      </c>
      <c r="E290" s="380">
        <f t="shared" si="100"/>
        <v>34.670804706130255</v>
      </c>
      <c r="F290" s="380">
        <f t="shared" si="103"/>
        <v>34.6768877400728</v>
      </c>
      <c r="G290" s="110">
        <f t="shared" si="101"/>
        <v>0.85931582668875561</v>
      </c>
      <c r="H290" s="409" t="b">
        <f>Wh_hp&gt;='2024'!Maxi_hp</f>
        <v>0</v>
      </c>
      <c r="I290" s="375">
        <f>IF(H290,Wh_hp,'2024'!Maxi_hp)</f>
        <v>34.678087657716873</v>
      </c>
      <c r="J290" s="85">
        <f>IF(H290,An,'2024'!An_max)</f>
        <v>2022</v>
      </c>
      <c r="K290" s="193">
        <f t="shared" si="104"/>
        <v>45933</v>
      </c>
      <c r="L290" s="143">
        <f>IF(t&lt;Tvie,1-EXP((T0-t)*PertePVj)+'2024'!Pspv,1-EXP((T0-t)*PertePVj)+Pspv)</f>
        <v>1.9130187607297455E-2</v>
      </c>
      <c r="M290" s="836"/>
      <c r="N290" s="836"/>
      <c r="O290" s="48">
        <f>IF(t&lt;Tnet,'2024'!Resal+('2024'!Salim-'2024'!Resal)*(1-EXP(('2024'!Tnet-t)/('2024'!Tau_j))),Resal+(Salim-Resal)*(1-EXP((Tnet-t)/(Tau_j))))*Salcycl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2.1952886018959948E-4</v>
      </c>
      <c r="Q290" s="301">
        <f t="shared" si="105"/>
        <v>0.5</v>
      </c>
      <c r="R290" s="173">
        <f t="shared" si="106"/>
        <v>0.98958274242357969</v>
      </c>
      <c r="S290" s="802">
        <f t="shared" si="107"/>
        <v>1</v>
      </c>
      <c r="T290" s="172">
        <f t="shared" si="108"/>
        <v>7</v>
      </c>
      <c r="U290" s="247">
        <f t="shared" si="109"/>
        <v>1.9895827424235797</v>
      </c>
      <c r="V290" s="378">
        <f t="shared" si="110"/>
        <v>39.135953932617433</v>
      </c>
      <c r="W290" s="397">
        <f t="shared" si="111"/>
        <v>33.631628306057941</v>
      </c>
      <c r="X290" s="153">
        <f t="shared" si="112"/>
        <v>45933</v>
      </c>
      <c r="Y290" s="380">
        <f t="shared" si="113"/>
        <v>32.435841899302794</v>
      </c>
      <c r="Z290" s="380">
        <f t="shared" si="114"/>
        <v>33.06844750393514</v>
      </c>
      <c r="AA290" s="381">
        <f t="shared" si="115"/>
        <v>34.670804706130255</v>
      </c>
      <c r="AB290" s="193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4.6216325688910084E-2</v>
      </c>
      <c r="AD290" s="227">
        <f>(INDEX(Models!$BJ290:$BT290,,AH290)*(1-AF290)+INDEX(Models!$BJ290:$BT290,,AH290+1)*AF290-ERP_i)*AE290*Ramure*Pc/MaxiM</f>
        <v>2.1952886018959948E-4</v>
      </c>
      <c r="AE290" s="301">
        <f t="shared" si="117"/>
        <v>0.5</v>
      </c>
      <c r="AF290" s="173">
        <f t="shared" si="118"/>
        <v>0.98958274242357969</v>
      </c>
      <c r="AG290" s="802">
        <f t="shared" si="124"/>
        <v>1</v>
      </c>
      <c r="AH290" s="172">
        <f t="shared" si="119"/>
        <v>7</v>
      </c>
      <c r="AI290" s="221">
        <f t="shared" si="120"/>
        <v>1.9895827424235797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45934</v>
      </c>
      <c r="B291" s="406">
        <f>'2024'!Wh/'2024'!Env_an*'2025'!Env_an</f>
        <v>39.171198118397513</v>
      </c>
      <c r="C291" s="385"/>
      <c r="D291" s="388">
        <f t="shared" si="102"/>
        <v>39.935712009518895</v>
      </c>
      <c r="E291" s="380">
        <f t="shared" si="100"/>
        <v>40.38459966635542</v>
      </c>
      <c r="F291" s="380">
        <f t="shared" si="103"/>
        <v>40.394405046621046</v>
      </c>
      <c r="G291" s="110">
        <f t="shared" si="101"/>
        <v>1.0111694837797947</v>
      </c>
      <c r="H291" s="409" t="b">
        <f>Wh_hp&gt;='2024'!Maxi_hp</f>
        <v>1</v>
      </c>
      <c r="I291" s="375">
        <f>IF(H291,Wh_hp,'2024'!Maxi_hp)</f>
        <v>40.394405046621046</v>
      </c>
      <c r="J291" s="85">
        <f>IF(H291,An,'2024'!An_max)</f>
        <v>2025</v>
      </c>
      <c r="K291" s="193">
        <f t="shared" si="104"/>
        <v>45934</v>
      </c>
      <c r="L291" s="143">
        <f>IF(t&lt;Tvie,1-EXP((T0-t)*PertePVj)+'2024'!Pspv,1-EXP((T0-t)*PertePVj)+Pspv)</f>
        <v>1.9143614891332206E-2</v>
      </c>
      <c r="M291" s="836"/>
      <c r="N291" s="836"/>
      <c r="O291" s="48">
        <f>IF(t&lt;Tnet,'2024'!Resal+('2024'!Salim-'2024'!Resal)*(1-EXP(('2024'!Tnet-t)/('2024'!Tau_j))),Resal+(Salim-Resal)*(1-EXP((Tnet-t)/(Tau_j))))*Salcycl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2.4274104926932258E-4</v>
      </c>
      <c r="Q291" s="301">
        <f t="shared" si="105"/>
        <v>0.5</v>
      </c>
      <c r="R291" s="173">
        <f t="shared" si="106"/>
        <v>0.98975838338991018</v>
      </c>
      <c r="S291" s="802">
        <f t="shared" si="107"/>
        <v>1</v>
      </c>
      <c r="T291" s="172">
        <f t="shared" si="108"/>
        <v>7</v>
      </c>
      <c r="U291" s="247">
        <f t="shared" si="109"/>
        <v>1.9897583833899102</v>
      </c>
      <c r="V291" s="378">
        <f t="shared" si="110"/>
        <v>38.73850897079479</v>
      </c>
      <c r="W291" s="397">
        <f t="shared" si="111"/>
        <v>39.171198118397513</v>
      </c>
      <c r="X291" s="153">
        <f t="shared" si="112"/>
        <v>45934</v>
      </c>
      <c r="Y291" s="380">
        <f t="shared" si="113"/>
        <v>37.780201144463618</v>
      </c>
      <c r="Z291" s="380">
        <f t="shared" si="114"/>
        <v>38.517566606122465</v>
      </c>
      <c r="AA291" s="381">
        <f t="shared" si="115"/>
        <v>40.38459966635542</v>
      </c>
      <c r="AB291" s="193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4.6231312818692756E-2</v>
      </c>
      <c r="AD291" s="227">
        <f>(INDEX(Models!$BJ291:$BT291,,AH291)*(1-AF291)+INDEX(Models!$BJ291:$BT291,,AH291+1)*AF291-ERP_i)*AE291*Ramure*Pc/MaxiM</f>
        <v>2.4274104926932258E-4</v>
      </c>
      <c r="AE291" s="301">
        <f t="shared" si="117"/>
        <v>0.5</v>
      </c>
      <c r="AF291" s="173">
        <f t="shared" si="118"/>
        <v>0.98975838338991018</v>
      </c>
      <c r="AG291" s="802">
        <f t="shared" si="124"/>
        <v>1</v>
      </c>
      <c r="AH291" s="172">
        <f t="shared" si="119"/>
        <v>7</v>
      </c>
      <c r="AI291" s="221">
        <f t="shared" si="120"/>
        <v>1.9897583833899102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45935</v>
      </c>
      <c r="B292" s="406">
        <f>'2024'!Wh/'2024'!Env_an*'2025'!Env_an</f>
        <v>39.426605995774935</v>
      </c>
      <c r="C292" s="385"/>
      <c r="D292" s="388">
        <f t="shared" si="102"/>
        <v>40.196655003599076</v>
      </c>
      <c r="E292" s="380">
        <f t="shared" si="100"/>
        <v>40.650987753085445</v>
      </c>
      <c r="F292" s="380">
        <f t="shared" si="103"/>
        <v>40.661814891212067</v>
      </c>
      <c r="G292" s="110">
        <f t="shared" si="101"/>
        <v>1.0283561778969417</v>
      </c>
      <c r="H292" s="409" t="b">
        <f>Wh_hp&gt;='2024'!Maxi_hp</f>
        <v>1</v>
      </c>
      <c r="I292" s="375">
        <f>IF(H292,Wh_hp,'2024'!Maxi_hp)</f>
        <v>40.661814891212067</v>
      </c>
      <c r="J292" s="85">
        <f>IF(H292,An,'2024'!An_max)</f>
        <v>2025</v>
      </c>
      <c r="K292" s="193">
        <f t="shared" si="104"/>
        <v>45935</v>
      </c>
      <c r="L292" s="143">
        <f>IF(t&lt;Tvie,1-EXP((T0-t)*PertePVj)+'2024'!Pspv,1-EXP((T0-t)*PertePVj)+Pspv)</f>
        <v>1.9157041991558654E-2</v>
      </c>
      <c r="M292" s="836"/>
      <c r="N292" s="836"/>
      <c r="O292" s="48">
        <f>IF(t&lt;Tnet,'2024'!Resal+('2024'!Salim-'2024'!Resal)*(1-EXP(('2024'!Tnet-t)/('2024'!Tau_j))),Resal+(Salim-Resal)*(1-EXP((Tnet-t)/(Tau_j))))*Salcycl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2.6627286941305925E-4</v>
      </c>
      <c r="Q292" s="301">
        <f t="shared" si="105"/>
        <v>0.5</v>
      </c>
      <c r="R292" s="173">
        <f t="shared" si="106"/>
        <v>0.98992706945389175</v>
      </c>
      <c r="S292" s="802">
        <f t="shared" si="107"/>
        <v>1</v>
      </c>
      <c r="T292" s="172">
        <f t="shared" si="108"/>
        <v>7</v>
      </c>
      <c r="U292" s="247">
        <f t="shared" si="109"/>
        <v>1.9899270694538918</v>
      </c>
      <c r="V292" s="378">
        <f t="shared" si="110"/>
        <v>38.339445848815743</v>
      </c>
      <c r="W292" s="397">
        <f t="shared" si="111"/>
        <v>39.426605995774935</v>
      </c>
      <c r="X292" s="153">
        <f t="shared" si="112"/>
        <v>45935</v>
      </c>
      <c r="Y292" s="380">
        <f t="shared" si="113"/>
        <v>38.028319625112864</v>
      </c>
      <c r="Z292" s="380">
        <f t="shared" si="114"/>
        <v>38.771058419308737</v>
      </c>
      <c r="AA292" s="381">
        <f t="shared" si="115"/>
        <v>40.650987753085445</v>
      </c>
      <c r="AB292" s="193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4.624560035774327E-2</v>
      </c>
      <c r="AD292" s="227">
        <f>(INDEX(Models!$BJ292:$BT292,,AH292)*(1-AF292)+INDEX(Models!$BJ292:$BT292,,AH292+1)*AF292-ERP_i)*AE292*Ramure*Pc/MaxiM</f>
        <v>2.6627286941305925E-4</v>
      </c>
      <c r="AE292" s="301">
        <f t="shared" si="117"/>
        <v>0.5</v>
      </c>
      <c r="AF292" s="173">
        <f t="shared" si="118"/>
        <v>0.98992706945389175</v>
      </c>
      <c r="AG292" s="802">
        <f t="shared" si="124"/>
        <v>1</v>
      </c>
      <c r="AH292" s="172">
        <f t="shared" si="119"/>
        <v>7</v>
      </c>
      <c r="AI292" s="221">
        <f t="shared" si="120"/>
        <v>1.9899270694538918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45936</v>
      </c>
      <c r="B293" s="406">
        <f>'2024'!Wh/'2024'!Env_an*'2025'!Env_an</f>
        <v>15.802172431642804</v>
      </c>
      <c r="C293" s="385"/>
      <c r="D293" s="388">
        <f t="shared" si="102"/>
        <v>16.111028400673487</v>
      </c>
      <c r="E293" s="380">
        <f t="shared" si="100"/>
        <v>16.294129794340051</v>
      </c>
      <c r="F293" s="380">
        <f t="shared" si="103"/>
        <v>16.29491668540679</v>
      </c>
      <c r="G293" s="110">
        <f t="shared" si="101"/>
        <v>0.41641245454421816</v>
      </c>
      <c r="H293" s="409" t="b">
        <f>Wh_hp&gt;='2024'!Maxi_hp</f>
        <v>0</v>
      </c>
      <c r="I293" s="375">
        <f>IF(H293,Wh_hp,'2024'!Maxi_hp)</f>
        <v>16.298012203209971</v>
      </c>
      <c r="J293" s="85">
        <f>IF(H293,An,'2024'!An_max)</f>
        <v>2022</v>
      </c>
      <c r="K293" s="193">
        <f t="shared" si="104"/>
        <v>45936</v>
      </c>
      <c r="L293" s="143">
        <f>IF(t&lt;Tvie,1-EXP((T0-t)*PertePVj)+'2024'!Pspv,1-EXP((T0-t)*PertePVj)+Pspv)</f>
        <v>1.9170468907979354E-2</v>
      </c>
      <c r="M293" s="836"/>
      <c r="N293" s="836"/>
      <c r="O293" s="48">
        <f>IF(t&lt;Tnet,'2024'!Resal+('2024'!Salim-'2024'!Resal)*(1-EXP(('2024'!Tnet-t)/('2024'!Tau_j))),Resal+(Salim-Resal)*(1-EXP((Tnet-t)/(Tau_j))))*Salcycl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2.9012518476331594E-4</v>
      </c>
      <c r="Q293" s="301">
        <f t="shared" si="105"/>
        <v>0.5</v>
      </c>
      <c r="R293" s="173">
        <f t="shared" si="106"/>
        <v>0.99008907152493086</v>
      </c>
      <c r="S293" s="802">
        <f t="shared" si="107"/>
        <v>1</v>
      </c>
      <c r="T293" s="172">
        <f t="shared" si="108"/>
        <v>7</v>
      </c>
      <c r="U293" s="247">
        <f t="shared" si="109"/>
        <v>1.9900890715249309</v>
      </c>
      <c r="V293" s="378">
        <f t="shared" si="110"/>
        <v>37.939188808232643</v>
      </c>
      <c r="W293" s="397">
        <f t="shared" si="111"/>
        <v>15.802172431642804</v>
      </c>
      <c r="X293" s="153">
        <f t="shared" si="112"/>
        <v>45936</v>
      </c>
      <c r="Y293" s="380">
        <f t="shared" si="113"/>
        <v>15.242460379652423</v>
      </c>
      <c r="Z293" s="380">
        <f t="shared" si="114"/>
        <v>15.54037668776348</v>
      </c>
      <c r="AA293" s="381">
        <f t="shared" si="115"/>
        <v>16.294129794340051</v>
      </c>
      <c r="AB293" s="193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4.6259181440815332E-2</v>
      </c>
      <c r="AD293" s="227">
        <f>(INDEX(Models!$BJ293:$BT293,,AH293)*(1-AF293)+INDEX(Models!$BJ293:$BT293,,AH293+1)*AF293-ERP_i)*AE293*Ramure*Pc/MaxiM</f>
        <v>2.9012518476331594E-4</v>
      </c>
      <c r="AE293" s="301">
        <f t="shared" si="117"/>
        <v>0.5</v>
      </c>
      <c r="AF293" s="173">
        <f t="shared" si="118"/>
        <v>0.99008907152493086</v>
      </c>
      <c r="AG293" s="802">
        <f t="shared" si="124"/>
        <v>1</v>
      </c>
      <c r="AH293" s="172">
        <f t="shared" si="119"/>
        <v>7</v>
      </c>
      <c r="AI293" s="221">
        <f t="shared" si="120"/>
        <v>1.9900890715249309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45937</v>
      </c>
      <c r="B294" s="406">
        <f>'2024'!Wh/'2024'!Env_an*'2025'!Env_an</f>
        <v>30.352092175640159</v>
      </c>
      <c r="C294" s="385"/>
      <c r="D294" s="388">
        <f t="shared" si="102"/>
        <v>30.945752257467174</v>
      </c>
      <c r="E294" s="380">
        <f t="shared" si="100"/>
        <v>31.299366885687892</v>
      </c>
      <c r="F294" s="380">
        <f t="shared" si="103"/>
        <v>31.306515561625677</v>
      </c>
      <c r="G294" s="110">
        <f t="shared" si="101"/>
        <v>0.8084967710460399</v>
      </c>
      <c r="H294" s="409" t="b">
        <f>Wh_hp&gt;='2024'!Maxi_hp</f>
        <v>0</v>
      </c>
      <c r="I294" s="375">
        <f>IF(H294,Wh_hp,'2024'!Maxi_hp)</f>
        <v>31.308629885145589</v>
      </c>
      <c r="J294" s="85">
        <f>IF(H294,An,'2024'!An_max)</f>
        <v>2022</v>
      </c>
      <c r="K294" s="193">
        <f t="shared" si="104"/>
        <v>45937</v>
      </c>
      <c r="L294" s="143">
        <f>IF(t&lt;Tvie,1-EXP((T0-t)*PertePVj)+'2024'!Pspv,1-EXP((T0-t)*PertePVj)+Pspv)</f>
        <v>1.918389564059686E-2</v>
      </c>
      <c r="M294" s="836"/>
      <c r="N294" s="836"/>
      <c r="O294" s="48">
        <f>IF(t&lt;Tnet,'2024'!Resal+('2024'!Salim-'2024'!Resal)*(1-EXP(('2024'!Tnet-t)/('2024'!Tau_j))),Resal+(Salim-Resal)*(1-EXP((Tnet-t)/(Tau_j))))*Salcycl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3.1429780715316755E-4</v>
      </c>
      <c r="Q294" s="301">
        <f t="shared" si="105"/>
        <v>0.5</v>
      </c>
      <c r="R294" s="173">
        <f t="shared" si="106"/>
        <v>0.9902446503114537</v>
      </c>
      <c r="S294" s="802">
        <f t="shared" si="107"/>
        <v>1</v>
      </c>
      <c r="T294" s="172">
        <f t="shared" si="108"/>
        <v>7</v>
      </c>
      <c r="U294" s="247">
        <f t="shared" si="109"/>
        <v>1.9902446503114537</v>
      </c>
      <c r="V294" s="378">
        <f t="shared" si="110"/>
        <v>37.538161943369467</v>
      </c>
      <c r="W294" s="397">
        <f t="shared" si="111"/>
        <v>30.352092175640159</v>
      </c>
      <c r="X294" s="153">
        <f t="shared" si="112"/>
        <v>45937</v>
      </c>
      <c r="Y294" s="380">
        <f t="shared" si="113"/>
        <v>29.278420968048202</v>
      </c>
      <c r="Z294" s="380">
        <f t="shared" si="114"/>
        <v>29.851080990529525</v>
      </c>
      <c r="AA294" s="381">
        <f t="shared" si="115"/>
        <v>31.299366885687892</v>
      </c>
      <c r="AB294" s="193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4.6272050819680229E-2</v>
      </c>
      <c r="AD294" s="227">
        <f>(INDEX(Models!$BJ294:$BT294,,AH294)*(1-AF294)+INDEX(Models!$BJ294:$BT294,,AH294+1)*AF294-ERP_i)*AE294*Ramure*Pc/MaxiM</f>
        <v>3.1429780715316755E-4</v>
      </c>
      <c r="AE294" s="301">
        <f t="shared" si="117"/>
        <v>0.5</v>
      </c>
      <c r="AF294" s="173">
        <f t="shared" si="118"/>
        <v>0.9902446503114537</v>
      </c>
      <c r="AG294" s="802">
        <f t="shared" si="124"/>
        <v>1</v>
      </c>
      <c r="AH294" s="172">
        <f t="shared" si="119"/>
        <v>7</v>
      </c>
      <c r="AI294" s="221">
        <f t="shared" si="120"/>
        <v>1.9902446503114537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45938</v>
      </c>
      <c r="B295" s="406">
        <f>'2024'!Wh/'2024'!Env_an*'2025'!Env_an</f>
        <v>15.349610113857192</v>
      </c>
      <c r="C295" s="385"/>
      <c r="D295" s="388">
        <f t="shared" si="102"/>
        <v>15.650049149663442</v>
      </c>
      <c r="E295" s="380">
        <f t="shared" si="100"/>
        <v>15.829846129633649</v>
      </c>
      <c r="F295" s="380">
        <f t="shared" si="103"/>
        <v>15.830714415832656</v>
      </c>
      <c r="G295" s="110">
        <f t="shared" si="101"/>
        <v>0.41320889118297505</v>
      </c>
      <c r="H295" s="409" t="b">
        <f>Wh_hp&gt;='2024'!Maxi_hp</f>
        <v>0</v>
      </c>
      <c r="I295" s="375">
        <f>IF(H295,Wh_hp,'2024'!Maxi_hp)</f>
        <v>15.834246656032258</v>
      </c>
      <c r="J295" s="85">
        <f>IF(H295,An,'2024'!An_max)</f>
        <v>2022</v>
      </c>
      <c r="K295" s="193">
        <f t="shared" si="104"/>
        <v>45938</v>
      </c>
      <c r="L295" s="143">
        <f>IF(t&lt;Tvie,1-EXP((T0-t)*PertePVj)+'2024'!Pspv,1-EXP((T0-t)*PertePVj)+Pspv)</f>
        <v>1.9197322189413724E-2</v>
      </c>
      <c r="M295" s="836"/>
      <c r="N295" s="836"/>
      <c r="O295" s="48">
        <f>IF(t&lt;Tnet,'2024'!Resal+('2024'!Salim-'2024'!Resal)*(1-EXP(('2024'!Tnet-t)/('2024'!Tau_j))),Resal+(Salim-Resal)*(1-EXP((Tnet-t)/(Tau_j))))*Salcycl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3.3878944791160146E-4</v>
      </c>
      <c r="Q295" s="301">
        <f t="shared" si="105"/>
        <v>0.5</v>
      </c>
      <c r="R295" s="173">
        <f t="shared" si="106"/>
        <v>0.99039405667731506</v>
      </c>
      <c r="S295" s="802">
        <f t="shared" si="107"/>
        <v>1</v>
      </c>
      <c r="T295" s="172">
        <f t="shared" si="108"/>
        <v>7</v>
      </c>
      <c r="U295" s="247">
        <f t="shared" si="109"/>
        <v>1.9903940566773151</v>
      </c>
      <c r="V295" s="378">
        <f t="shared" si="110"/>
        <v>37.136789199816384</v>
      </c>
      <c r="W295" s="397">
        <f t="shared" si="111"/>
        <v>15.349610113857192</v>
      </c>
      <c r="X295" s="153">
        <f t="shared" si="112"/>
        <v>45938</v>
      </c>
      <c r="Y295" s="380">
        <f t="shared" si="113"/>
        <v>14.807348967590087</v>
      </c>
      <c r="Z295" s="380">
        <f t="shared" si="114"/>
        <v>15.097174286518108</v>
      </c>
      <c r="AA295" s="381">
        <f t="shared" si="115"/>
        <v>15.829846129633649</v>
      </c>
      <c r="AB295" s="193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4.628420498314078E-2</v>
      </c>
      <c r="AD295" s="227">
        <f>(INDEX(Models!$BJ295:$BT295,,AH295)*(1-AF295)+INDEX(Models!$BJ295:$BT295,,AH295+1)*AF295-ERP_i)*AE295*Ramure*Pc/MaxiM</f>
        <v>3.3878944791160146E-4</v>
      </c>
      <c r="AE295" s="301">
        <f t="shared" si="117"/>
        <v>0.5</v>
      </c>
      <c r="AF295" s="173">
        <f t="shared" si="118"/>
        <v>0.99039405667731506</v>
      </c>
      <c r="AG295" s="802">
        <f t="shared" si="124"/>
        <v>1</v>
      </c>
      <c r="AH295" s="172">
        <f t="shared" si="119"/>
        <v>7</v>
      </c>
      <c r="AI295" s="221">
        <f t="shared" si="120"/>
        <v>1.9903940566773151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45939</v>
      </c>
      <c r="B296" s="406">
        <f>'2024'!Wh/'2024'!Env_an*'2025'!Env_an</f>
        <v>35.845104967425556</v>
      </c>
      <c r="C296" s="385"/>
      <c r="D296" s="388">
        <f t="shared" si="102"/>
        <v>36.54720411606683</v>
      </c>
      <c r="E296" s="380">
        <f t="shared" si="100"/>
        <v>36.96932347425826</v>
      </c>
      <c r="F296" s="380">
        <f t="shared" si="103"/>
        <v>36.982281503834265</v>
      </c>
      <c r="G296" s="110">
        <f t="shared" si="101"/>
        <v>0.97574925276122493</v>
      </c>
      <c r="H296" s="409" t="b">
        <f>Wh_hp&gt;='2024'!Maxi_hp</f>
        <v>0</v>
      </c>
      <c r="I296" s="375">
        <f>IF(H296,Wh_hp,'2024'!Maxi_hp)</f>
        <v>36.982646782683823</v>
      </c>
      <c r="J296" s="85">
        <f>IF(H296,An,'2024'!An_max)</f>
        <v>2022</v>
      </c>
      <c r="K296" s="193">
        <f t="shared" si="104"/>
        <v>45939</v>
      </c>
      <c r="L296" s="143">
        <f>IF(t&lt;Tvie,1-EXP((T0-t)*PertePVj)+'2024'!Pspv,1-EXP((T0-t)*PertePVj)+Pspv)</f>
        <v>1.9210748554432389E-2</v>
      </c>
      <c r="M296" s="836"/>
      <c r="N296" s="836"/>
      <c r="O296" s="48">
        <f>IF(t&lt;Tnet,'2024'!Resal+('2024'!Salim-'2024'!Resal)*(1-EXP(('2024'!Tnet-t)/('2024'!Tau_j))),Resal+(Salim-Resal)*(1-EXP((Tnet-t)/(Tau_j))))*Salcycl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3.6295254722947846E-4</v>
      </c>
      <c r="Q296" s="301">
        <f t="shared" si="105"/>
        <v>0.5</v>
      </c>
      <c r="R296" s="173">
        <f t="shared" si="106"/>
        <v>0.99053753198797745</v>
      </c>
      <c r="S296" s="802">
        <f t="shared" si="107"/>
        <v>1</v>
      </c>
      <c r="T296" s="172">
        <f t="shared" si="108"/>
        <v>7</v>
      </c>
      <c r="U296" s="247">
        <f t="shared" si="109"/>
        <v>1.9905375319879774</v>
      </c>
      <c r="V296" s="378">
        <f t="shared" si="110"/>
        <v>36.735518081239135</v>
      </c>
      <c r="W296" s="397">
        <f t="shared" si="111"/>
        <v>35.845104967425556</v>
      </c>
      <c r="X296" s="153">
        <f t="shared" si="112"/>
        <v>45939</v>
      </c>
      <c r="Y296" s="380">
        <f t="shared" si="113"/>
        <v>34.580476075168768</v>
      </c>
      <c r="Z296" s="380">
        <f t="shared" si="114"/>
        <v>35.257804899677708</v>
      </c>
      <c r="AA296" s="381">
        <f t="shared" si="115"/>
        <v>36.96932347425826</v>
      </c>
      <c r="AB296" s="193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4.6295642271416852E-2</v>
      </c>
      <c r="AD296" s="227">
        <f>(INDEX(Models!$BJ296:$BT296,,AH296)*(1-AF296)+INDEX(Models!$BJ296:$BT296,,AH296+1)*AF296-ERP_i)*AE296*Ramure*Pc/MaxiM</f>
        <v>3.6295254722947846E-4</v>
      </c>
      <c r="AE296" s="301">
        <f t="shared" si="117"/>
        <v>0.5</v>
      </c>
      <c r="AF296" s="173">
        <f t="shared" si="118"/>
        <v>0.99053753198797745</v>
      </c>
      <c r="AG296" s="802">
        <f t="shared" si="124"/>
        <v>1</v>
      </c>
      <c r="AH296" s="172">
        <f t="shared" si="119"/>
        <v>7</v>
      </c>
      <c r="AI296" s="221">
        <f t="shared" si="120"/>
        <v>1.9905375319879774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45940</v>
      </c>
      <c r="B297" s="406">
        <f>'2024'!Wh/'2024'!Env_an*'2025'!Env_an</f>
        <v>31.383504096645396</v>
      </c>
      <c r="C297" s="385"/>
      <c r="D297" s="388">
        <f t="shared" si="102"/>
        <v>31.99865176956898</v>
      </c>
      <c r="E297" s="380">
        <f t="shared" ref="E297:E360" si="125">Wh_pvt/(1-Psa)</f>
        <v>32.370190712046053</v>
      </c>
      <c r="F297" s="380">
        <f t="shared" si="103"/>
        <v>32.38024940102828</v>
      </c>
      <c r="G297" s="110">
        <f t="shared" ref="G297:G360" si="126">+Wh_hp/MaxiM</f>
        <v>0.86366619441882553</v>
      </c>
      <c r="H297" s="409" t="b">
        <f>Wh_hp&gt;='2024'!Maxi_hp</f>
        <v>0</v>
      </c>
      <c r="I297" s="375">
        <f>IF(H297,Wh_hp,'2024'!Maxi_hp)</f>
        <v>32.382160198719454</v>
      </c>
      <c r="J297" s="85">
        <f>IF(H297,An,'2024'!An_max)</f>
        <v>2022</v>
      </c>
      <c r="K297" s="193">
        <f t="shared" si="104"/>
        <v>45940</v>
      </c>
      <c r="L297" s="143">
        <f>IF(t&lt;Tvie,1-EXP((T0-t)*PertePVj)+'2024'!Pspv,1-EXP((T0-t)*PertePVj)+Pspv)</f>
        <v>1.9224174735655408E-2</v>
      </c>
      <c r="M297" s="836"/>
      <c r="N297" s="836"/>
      <c r="O297" s="48">
        <f>IF(t&lt;Tnet,'2024'!Resal+('2024'!Salim-'2024'!Resal)*(1-EXP(('2024'!Tnet-t)/('2024'!Tau_j))),Resal+(Salim-Resal)*(1-EXP((Tnet-t)/(Tau_j))))*Salcycl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3.8573341009256763E-4</v>
      </c>
      <c r="Q297" s="301">
        <f t="shared" si="105"/>
        <v>0.5</v>
      </c>
      <c r="R297" s="173">
        <f t="shared" si="106"/>
        <v>0.9906753084465687</v>
      </c>
      <c r="S297" s="802">
        <f t="shared" si="107"/>
        <v>1</v>
      </c>
      <c r="T297" s="172">
        <f t="shared" si="108"/>
        <v>7</v>
      </c>
      <c r="U297" s="247">
        <f t="shared" si="109"/>
        <v>1.9906753084465687</v>
      </c>
      <c r="V297" s="378">
        <f t="shared" si="110"/>
        <v>36.334809627136195</v>
      </c>
      <c r="W297" s="397">
        <f t="shared" si="111"/>
        <v>31.383504096645396</v>
      </c>
      <c r="X297" s="153">
        <f t="shared" si="112"/>
        <v>45940</v>
      </c>
      <c r="Y297" s="380">
        <f t="shared" si="113"/>
        <v>30.277770704603356</v>
      </c>
      <c r="Z297" s="380">
        <f t="shared" si="114"/>
        <v>30.871244911081192</v>
      </c>
      <c r="AA297" s="381">
        <f t="shared" si="115"/>
        <v>32.370190712046053</v>
      </c>
      <c r="AB297" s="193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4.630636298373908E-2</v>
      </c>
      <c r="AD297" s="227">
        <f>(INDEX(Models!$BJ297:$BT297,,AH297)*(1-AF297)+INDEX(Models!$BJ297:$BT297,,AH297+1)*AF297-ERP_i)*AE297*Ramure*Pc/MaxiM</f>
        <v>3.8573341009256763E-4</v>
      </c>
      <c r="AE297" s="301">
        <f t="shared" si="117"/>
        <v>0.5</v>
      </c>
      <c r="AF297" s="173">
        <f t="shared" si="118"/>
        <v>0.9906753084465687</v>
      </c>
      <c r="AG297" s="802">
        <f t="shared" si="124"/>
        <v>1</v>
      </c>
      <c r="AH297" s="172">
        <f t="shared" si="119"/>
        <v>7</v>
      </c>
      <c r="AI297" s="221">
        <f t="shared" si="120"/>
        <v>1.9906753084465687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45941</v>
      </c>
      <c r="B298" s="406">
        <f>'2024'!Wh/'2024'!Env_an*'2025'!Env_an</f>
        <v>25.23950866675229</v>
      </c>
      <c r="C298" s="385"/>
      <c r="D298" s="388">
        <f t="shared" si="102"/>
        <v>25.734580246569333</v>
      </c>
      <c r="E298" s="380">
        <f t="shared" si="125"/>
        <v>26.034951698103317</v>
      </c>
      <c r="F298" s="380">
        <f t="shared" si="103"/>
        <v>26.041045280998645</v>
      </c>
      <c r="G298" s="110">
        <f t="shared" si="126"/>
        <v>0.70224232851947421</v>
      </c>
      <c r="H298" s="409" t="b">
        <f>Wh_hp&gt;='2024'!Maxi_hp</f>
        <v>0</v>
      </c>
      <c r="I298" s="375">
        <f>IF(H298,Wh_hp,'2024'!Maxi_hp)</f>
        <v>26.044587044663935</v>
      </c>
      <c r="J298" s="85">
        <f>IF(H298,An,'2024'!An_max)</f>
        <v>2022</v>
      </c>
      <c r="K298" s="193">
        <f t="shared" si="104"/>
        <v>45941</v>
      </c>
      <c r="L298" s="143">
        <f>IF(t&lt;Tvie,1-EXP((T0-t)*PertePVj)+'2024'!Pspv,1-EXP((T0-t)*PertePVj)+Pspv)</f>
        <v>1.9237600733085225E-2</v>
      </c>
      <c r="M298" s="836"/>
      <c r="N298" s="836"/>
      <c r="O298" s="48">
        <f>IF(t&lt;Tnet,'2024'!Resal+('2024'!Salim-'2024'!Resal)*(1-EXP(('2024'!Tnet-t)/('2024'!Tau_j))),Resal+(Salim-Resal)*(1-EXP((Tnet-t)/(Tau_j))))*Salcycl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4.0709269346608931E-4</v>
      </c>
      <c r="Q298" s="301">
        <f t="shared" si="105"/>
        <v>0.5</v>
      </c>
      <c r="R298" s="173">
        <f t="shared" si="106"/>
        <v>0.99080760941993495</v>
      </c>
      <c r="S298" s="802">
        <f t="shared" si="107"/>
        <v>1</v>
      </c>
      <c r="T298" s="172">
        <f t="shared" si="108"/>
        <v>7</v>
      </c>
      <c r="U298" s="247">
        <f t="shared" si="109"/>
        <v>1.990807609419935</v>
      </c>
      <c r="V298" s="378">
        <f t="shared" si="110"/>
        <v>35.935086541781011</v>
      </c>
      <c r="W298" s="397">
        <f t="shared" si="111"/>
        <v>25.23950866675229</v>
      </c>
      <c r="X298" s="153">
        <f t="shared" si="112"/>
        <v>45941</v>
      </c>
      <c r="Y298" s="380">
        <f t="shared" si="113"/>
        <v>24.351454803963559</v>
      </c>
      <c r="Z298" s="380">
        <f t="shared" si="114"/>
        <v>24.82910725591174</v>
      </c>
      <c r="AA298" s="381">
        <f t="shared" si="115"/>
        <v>26.034951698103317</v>
      </c>
      <c r="AB298" s="193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4.6316369478013021E-2</v>
      </c>
      <c r="AD298" s="227">
        <f>(INDEX(Models!$BJ298:$BT298,,AH298)*(1-AF298)+INDEX(Models!$BJ298:$BT298,,AH298+1)*AF298-ERP_i)*AE298*Ramure*Pc/MaxiM</f>
        <v>4.0709269346608931E-4</v>
      </c>
      <c r="AE298" s="301">
        <f t="shared" si="117"/>
        <v>0.5</v>
      </c>
      <c r="AF298" s="173">
        <f t="shared" si="118"/>
        <v>0.99080760941993495</v>
      </c>
      <c r="AG298" s="802">
        <f t="shared" si="124"/>
        <v>1</v>
      </c>
      <c r="AH298" s="172">
        <f t="shared" si="119"/>
        <v>7</v>
      </c>
      <c r="AI298" s="221">
        <f t="shared" si="120"/>
        <v>1.990807609419935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45942</v>
      </c>
      <c r="B299" s="406">
        <f>'2024'!Wh/'2024'!Env_an*'2025'!Env_an</f>
        <v>25.142310264002614</v>
      </c>
      <c r="C299" s="385"/>
      <c r="D299" s="388">
        <f t="shared" si="102"/>
        <v>25.635826235407659</v>
      </c>
      <c r="E299" s="380">
        <f t="shared" si="125"/>
        <v>25.936596837228755</v>
      </c>
      <c r="F299" s="380">
        <f t="shared" si="103"/>
        <v>25.943045499024876</v>
      </c>
      <c r="G299" s="110">
        <f t="shared" si="126"/>
        <v>0.70737498982876179</v>
      </c>
      <c r="H299" s="409" t="b">
        <f>Wh_hp&gt;='2024'!Maxi_hp</f>
        <v>0</v>
      </c>
      <c r="I299" s="375">
        <f>IF(H299,Wh_hp,'2024'!Maxi_hp)</f>
        <v>25.946681721732432</v>
      </c>
      <c r="J299" s="85">
        <f>IF(H299,An,'2024'!An_max)</f>
        <v>2022</v>
      </c>
      <c r="K299" s="193">
        <f t="shared" si="104"/>
        <v>45942</v>
      </c>
      <c r="L299" s="143">
        <f>IF(t&lt;Tvie,1-EXP((T0-t)*PertePVj)+'2024'!Pspv,1-EXP((T0-t)*PertePVj)+Pspv)</f>
        <v>1.9251026546724392E-2</v>
      </c>
      <c r="M299" s="836"/>
      <c r="N299" s="836"/>
      <c r="O299" s="48">
        <f>IF(t&lt;Tnet,'2024'!Resal+('2024'!Salim-'2024'!Resal)*(1-EXP(('2024'!Tnet-t)/('2024'!Tau_j))),Resal+(Salim-Resal)*(1-EXP((Tnet-t)/(Tau_j))))*Salcycl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4.2699002967213576E-4</v>
      </c>
      <c r="Q299" s="301">
        <f t="shared" si="105"/>
        <v>0.5</v>
      </c>
      <c r="R299" s="173">
        <f t="shared" si="106"/>
        <v>0.99093464975483636</v>
      </c>
      <c r="S299" s="802">
        <f t="shared" si="107"/>
        <v>1</v>
      </c>
      <c r="T299" s="172">
        <f t="shared" si="108"/>
        <v>7</v>
      </c>
      <c r="U299" s="247">
        <f t="shared" si="109"/>
        <v>1.9909346497548364</v>
      </c>
      <c r="V299" s="378">
        <f t="shared" si="110"/>
        <v>35.536771326926804</v>
      </c>
      <c r="W299" s="397">
        <f t="shared" si="111"/>
        <v>25.142310264002614</v>
      </c>
      <c r="X299" s="153">
        <f t="shared" si="112"/>
        <v>45942</v>
      </c>
      <c r="Y299" s="380">
        <f t="shared" si="113"/>
        <v>24.258891282355087</v>
      </c>
      <c r="Z299" s="380">
        <f t="shared" si="114"/>
        <v>24.735066708189439</v>
      </c>
      <c r="AA299" s="381">
        <f t="shared" si="115"/>
        <v>25.936596837228755</v>
      </c>
      <c r="AB299" s="193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4.6325666261452944E-2</v>
      </c>
      <c r="AD299" s="227">
        <f>(INDEX(Models!$BJ299:$BT299,,AH299)*(1-AF299)+INDEX(Models!$BJ299:$BT299,,AH299+1)*AF299-ERP_i)*AE299*Ramure*Pc/MaxiM</f>
        <v>4.2699002967213576E-4</v>
      </c>
      <c r="AE299" s="301">
        <f t="shared" si="117"/>
        <v>0.5</v>
      </c>
      <c r="AF299" s="173">
        <f t="shared" si="118"/>
        <v>0.99093464975483636</v>
      </c>
      <c r="AG299" s="802">
        <f t="shared" si="124"/>
        <v>1</v>
      </c>
      <c r="AH299" s="172">
        <f t="shared" si="119"/>
        <v>7</v>
      </c>
      <c r="AI299" s="221">
        <f t="shared" si="120"/>
        <v>1.9909346497548364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45943</v>
      </c>
      <c r="B300" s="406">
        <f>'2024'!Wh/'2024'!Env_an*'2025'!Env_an</f>
        <v>22.773828129648948</v>
      </c>
      <c r="C300" s="385"/>
      <c r="D300" s="388">
        <f t="shared" si="102"/>
        <v>23.221171273124117</v>
      </c>
      <c r="E300" s="380">
        <f t="shared" si="125"/>
        <v>23.495011059190062</v>
      </c>
      <c r="F300" s="380">
        <f t="shared" si="103"/>
        <v>23.500215710527449</v>
      </c>
      <c r="G300" s="110">
        <f t="shared" si="126"/>
        <v>0.64793802448948101</v>
      </c>
      <c r="H300" s="409" t="b">
        <f>Wh_hp&gt;='2024'!Maxi_hp</f>
        <v>0</v>
      </c>
      <c r="I300" s="375">
        <f>IF(H300,Wh_hp,'2024'!Maxi_hp)</f>
        <v>23.504348128002412</v>
      </c>
      <c r="J300" s="85">
        <f>IF(H300,An,'2024'!An_max)</f>
        <v>2022</v>
      </c>
      <c r="K300" s="193">
        <f t="shared" si="104"/>
        <v>45943</v>
      </c>
      <c r="L300" s="143">
        <f>IF(t&lt;Tvie,1-EXP((T0-t)*PertePVj)+'2024'!Pspv,1-EXP((T0-t)*PertePVj)+Pspv)</f>
        <v>1.9264452176575575E-2</v>
      </c>
      <c r="M300" s="836"/>
      <c r="N300" s="836"/>
      <c r="O300" s="48">
        <f>IF(t&lt;Tnet,'2024'!Resal+('2024'!Salim-'2024'!Resal)*(1-EXP(('2024'!Tnet-t)/('2024'!Tau_j))),Resal+(Salim-Resal)*(1-EXP((Tnet-t)/(Tau_j))))*Salcycl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4.4538420062881662E-4</v>
      </c>
      <c r="Q300" s="301">
        <f t="shared" si="105"/>
        <v>0.5</v>
      </c>
      <c r="R300" s="173">
        <f t="shared" si="106"/>
        <v>0.9910566360844304</v>
      </c>
      <c r="S300" s="802">
        <f t="shared" si="107"/>
        <v>1</v>
      </c>
      <c r="T300" s="172">
        <f t="shared" si="108"/>
        <v>7</v>
      </c>
      <c r="U300" s="247">
        <f t="shared" si="109"/>
        <v>1.9910566360844304</v>
      </c>
      <c r="V300" s="378">
        <f t="shared" si="110"/>
        <v>35.140286281563448</v>
      </c>
      <c r="W300" s="397">
        <f t="shared" si="111"/>
        <v>22.773828129648948</v>
      </c>
      <c r="X300" s="153">
        <f t="shared" si="112"/>
        <v>45943</v>
      </c>
      <c r="Y300" s="380">
        <f t="shared" si="113"/>
        <v>21.974740333538342</v>
      </c>
      <c r="Z300" s="380">
        <f t="shared" si="114"/>
        <v>22.406387106399414</v>
      </c>
      <c r="AA300" s="381">
        <f t="shared" si="115"/>
        <v>23.495011059190062</v>
      </c>
      <c r="AB300" s="193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4.6334260071132539E-2</v>
      </c>
      <c r="AD300" s="227">
        <f>(INDEX(Models!$BJ300:$BT300,,AH300)*(1-AF300)+INDEX(Models!$BJ300:$BT300,,AH300+1)*AF300-ERP_i)*AE300*Ramure*Pc/MaxiM</f>
        <v>4.4538420062881662E-4</v>
      </c>
      <c r="AE300" s="301">
        <f t="shared" si="117"/>
        <v>0.5</v>
      </c>
      <c r="AF300" s="173">
        <f t="shared" si="118"/>
        <v>0.9910566360844304</v>
      </c>
      <c r="AG300" s="802">
        <f t="shared" si="124"/>
        <v>1</v>
      </c>
      <c r="AH300" s="172">
        <f t="shared" si="119"/>
        <v>7</v>
      </c>
      <c r="AI300" s="221">
        <f t="shared" si="120"/>
        <v>1.9910566360844304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45944</v>
      </c>
      <c r="B301" s="406">
        <f>'2024'!Wh/'2024'!Env_an*'2025'!Env_an</f>
        <v>15.307109478671386</v>
      </c>
      <c r="C301" s="385"/>
      <c r="D301" s="388">
        <f t="shared" si="102"/>
        <v>15.607998564940669</v>
      </c>
      <c r="E301" s="380">
        <f t="shared" si="125"/>
        <v>15.792994479726199</v>
      </c>
      <c r="F301" s="380">
        <f t="shared" si="103"/>
        <v>15.794460281822184</v>
      </c>
      <c r="G301" s="110">
        <f t="shared" si="126"/>
        <v>0.4403796267326196</v>
      </c>
      <c r="H301" s="409" t="b">
        <f>Wh_hp&gt;='2024'!Maxi_hp</f>
        <v>0</v>
      </c>
      <c r="I301" s="375">
        <f>IF(H301,Wh_hp,'2024'!Maxi_hp)</f>
        <v>15.799040866811126</v>
      </c>
      <c r="J301" s="85">
        <f>IF(H301,An,'2024'!An_max)</f>
        <v>2022</v>
      </c>
      <c r="K301" s="193">
        <f t="shared" si="104"/>
        <v>45944</v>
      </c>
      <c r="L301" s="143">
        <f>IF(t&lt;Tvie,1-EXP((T0-t)*PertePVj)+'2024'!Pspv,1-EXP((T0-t)*PertePVj)+Pspv)</f>
        <v>1.9277877622640993E-2</v>
      </c>
      <c r="M301" s="836"/>
      <c r="N301" s="836"/>
      <c r="O301" s="48">
        <f>IF(t&lt;Tnet,'2024'!Resal+('2024'!Salim-'2024'!Resal)*(1-EXP(('2024'!Tnet-t)/('2024'!Tau_j))),Resal+(Salim-Resal)*(1-EXP((Tnet-t)/(Tau_j))))*Salcycl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4.622333232021482E-4</v>
      </c>
      <c r="Q301" s="301">
        <f t="shared" si="105"/>
        <v>0.5</v>
      </c>
      <c r="R301" s="173">
        <f t="shared" si="106"/>
        <v>0.99117376712521121</v>
      </c>
      <c r="S301" s="802">
        <f t="shared" si="107"/>
        <v>1</v>
      </c>
      <c r="T301" s="172">
        <f t="shared" si="108"/>
        <v>7</v>
      </c>
      <c r="U301" s="247">
        <f t="shared" si="109"/>
        <v>1.9911737671252112</v>
      </c>
      <c r="V301" s="378">
        <f t="shared" si="110"/>
        <v>34.746053501291001</v>
      </c>
      <c r="W301" s="397">
        <f t="shared" si="111"/>
        <v>15.307109478671386</v>
      </c>
      <c r="X301" s="153">
        <f t="shared" si="112"/>
        <v>45944</v>
      </c>
      <c r="Y301" s="380">
        <f t="shared" si="113"/>
        <v>14.770766710217156</v>
      </c>
      <c r="Z301" s="380">
        <f t="shared" si="114"/>
        <v>15.061113003560564</v>
      </c>
      <c r="AA301" s="381">
        <f t="shared" si="115"/>
        <v>15.792994479726199</v>
      </c>
      <c r="AB301" s="193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4.6342159943458951E-2</v>
      </c>
      <c r="AD301" s="227">
        <f>(INDEX(Models!$BJ301:$BT301,,AH301)*(1-AF301)+INDEX(Models!$BJ301:$BT301,,AH301+1)*AF301-ERP_i)*AE301*Ramure*Pc/MaxiM</f>
        <v>4.622333232021482E-4</v>
      </c>
      <c r="AE301" s="301">
        <f t="shared" si="117"/>
        <v>0.5</v>
      </c>
      <c r="AF301" s="173">
        <f t="shared" si="118"/>
        <v>0.99117376712521121</v>
      </c>
      <c r="AG301" s="802">
        <f t="shared" si="124"/>
        <v>1</v>
      </c>
      <c r="AH301" s="172">
        <f t="shared" si="119"/>
        <v>7</v>
      </c>
      <c r="AI301" s="221">
        <f t="shared" si="120"/>
        <v>1.9911737671252112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45945</v>
      </c>
      <c r="B302" s="406">
        <f>'2024'!Wh/'2024'!Env_an*'2025'!Env_an</f>
        <v>34.116683859677252</v>
      </c>
      <c r="C302" s="385"/>
      <c r="D302" s="388">
        <f t="shared" si="102"/>
        <v>34.787785567760693</v>
      </c>
      <c r="E302" s="380">
        <f t="shared" si="125"/>
        <v>35.202188325605377</v>
      </c>
      <c r="F302" s="380">
        <f t="shared" si="103"/>
        <v>35.218838845896236</v>
      </c>
      <c r="G302" s="110">
        <f t="shared" si="126"/>
        <v>0.99307304053181722</v>
      </c>
      <c r="H302" s="409" t="b">
        <f>Wh_hp&gt;='2024'!Maxi_hp</f>
        <v>0</v>
      </c>
      <c r="I302" s="375">
        <f>IF(H302,Wh_hp,'2024'!Maxi_hp)</f>
        <v>35.21896935140299</v>
      </c>
      <c r="J302" s="85">
        <f>IF(H302,An,'2024'!An_max)</f>
        <v>2022</v>
      </c>
      <c r="K302" s="193">
        <f t="shared" si="104"/>
        <v>45945</v>
      </c>
      <c r="L302" s="143">
        <f>IF(t&lt;Tvie,1-EXP((T0-t)*PertePVj)+'2024'!Pspv,1-EXP((T0-t)*PertePVj)+Pspv)</f>
        <v>1.9291302884923422E-2</v>
      </c>
      <c r="M302" s="836"/>
      <c r="N302" s="836"/>
      <c r="O302" s="48">
        <f>IF(t&lt;Tnet,'2024'!Resal+('2024'!Salim-'2024'!Resal)*(1-EXP(('2024'!Tnet-t)/('2024'!Tau_j))),Resal+(Salim-Resal)*(1-EXP((Tnet-t)/(Tau_j))))*Salcycl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4.7749504574619999E-4</v>
      </c>
      <c r="Q302" s="301">
        <f t="shared" si="105"/>
        <v>0.5</v>
      </c>
      <c r="R302" s="173">
        <f t="shared" si="106"/>
        <v>0.99128623396457738</v>
      </c>
      <c r="S302" s="802">
        <f t="shared" si="107"/>
        <v>1</v>
      </c>
      <c r="T302" s="172">
        <f t="shared" si="108"/>
        <v>7</v>
      </c>
      <c r="U302" s="247">
        <f t="shared" si="109"/>
        <v>1.9912862339645774</v>
      </c>
      <c r="V302" s="378">
        <f t="shared" si="110"/>
        <v>34.354494880586905</v>
      </c>
      <c r="W302" s="397">
        <f t="shared" si="111"/>
        <v>34.116683859677252</v>
      </c>
      <c r="X302" s="153">
        <f t="shared" si="112"/>
        <v>45945</v>
      </c>
      <c r="Y302" s="380">
        <f t="shared" si="113"/>
        <v>32.922968421198874</v>
      </c>
      <c r="Z302" s="380">
        <f t="shared" si="114"/>
        <v>33.570588818114338</v>
      </c>
      <c r="AA302" s="381">
        <f t="shared" si="115"/>
        <v>35.202188325605377</v>
      </c>
      <c r="AB302" s="193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4.6349377271646716E-2</v>
      </c>
      <c r="AD302" s="227">
        <f>(INDEX(Models!$BJ302:$BT302,,AH302)*(1-AF302)+INDEX(Models!$BJ302:$BT302,,AH302+1)*AF302-ERP_i)*AE302*Ramure*Pc/MaxiM</f>
        <v>4.7749504574619999E-4</v>
      </c>
      <c r="AE302" s="301">
        <f t="shared" si="117"/>
        <v>0.5</v>
      </c>
      <c r="AF302" s="173">
        <f t="shared" si="118"/>
        <v>0.99128623396457738</v>
      </c>
      <c r="AG302" s="802">
        <f t="shared" si="124"/>
        <v>1</v>
      </c>
      <c r="AH302" s="172">
        <f t="shared" si="119"/>
        <v>7</v>
      </c>
      <c r="AI302" s="221">
        <f t="shared" si="120"/>
        <v>1.9912862339645774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45946</v>
      </c>
      <c r="B303" s="406">
        <f>'2024'!Wh/'2024'!Env_an*'2025'!Env_an</f>
        <v>29.907672220518879</v>
      </c>
      <c r="C303" s="385"/>
      <c r="D303" s="388">
        <f t="shared" si="102"/>
        <v>30.496396865879337</v>
      </c>
      <c r="E303" s="380">
        <f t="shared" si="125"/>
        <v>30.861490335644113</v>
      </c>
      <c r="F303" s="380">
        <f t="shared" si="103"/>
        <v>30.874066859093634</v>
      </c>
      <c r="G303" s="110">
        <f t="shared" si="126"/>
        <v>0.8804885559463933</v>
      </c>
      <c r="H303" s="409" t="b">
        <f>Wh_hp&gt;='2024'!Maxi_hp</f>
        <v>0</v>
      </c>
      <c r="I303" s="375">
        <f>IF(H303,Wh_hp,'2024'!Maxi_hp)</f>
        <v>30.876096250256072</v>
      </c>
      <c r="J303" s="85">
        <f>IF(H303,An,'2024'!An_max)</f>
        <v>2022</v>
      </c>
      <c r="K303" s="193">
        <f t="shared" si="104"/>
        <v>45946</v>
      </c>
      <c r="L303" s="143">
        <f>IF(t&lt;Tvie,1-EXP((T0-t)*PertePVj)+'2024'!Pspv,1-EXP((T0-t)*PertePVj)+Pspv)</f>
        <v>1.9304727963425306E-2</v>
      </c>
      <c r="M303" s="836"/>
      <c r="N303" s="836"/>
      <c r="O303" s="48">
        <f>IF(t&lt;Tnet,'2024'!Resal+('2024'!Salim-'2024'!Resal)*(1-EXP(('2024'!Tnet-t)/('2024'!Tau_j))),Resal+(Salim-Resal)*(1-EXP((Tnet-t)/(Tau_j))))*Salcycl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4.9115199721199852E-4</v>
      </c>
      <c r="Q303" s="301">
        <f t="shared" si="105"/>
        <v>0.5</v>
      </c>
      <c r="R303" s="173">
        <f t="shared" si="106"/>
        <v>0.99139422033921032</v>
      </c>
      <c r="S303" s="802">
        <f t="shared" si="107"/>
        <v>1</v>
      </c>
      <c r="T303" s="172">
        <f t="shared" si="108"/>
        <v>7</v>
      </c>
      <c r="U303" s="247">
        <f t="shared" si="109"/>
        <v>1.9913942203392103</v>
      </c>
      <c r="V303" s="378">
        <f t="shared" si="110"/>
        <v>33.964285677190958</v>
      </c>
      <c r="W303" s="397">
        <f t="shared" si="111"/>
        <v>29.907672220518879</v>
      </c>
      <c r="X303" s="153">
        <f t="shared" si="112"/>
        <v>45946</v>
      </c>
      <c r="Y303" s="380">
        <f t="shared" si="113"/>
        <v>28.862722296506295</v>
      </c>
      <c r="Z303" s="380">
        <f t="shared" si="114"/>
        <v>29.430877378013779</v>
      </c>
      <c r="AA303" s="381">
        <f t="shared" si="115"/>
        <v>30.861490335644113</v>
      </c>
      <c r="AB303" s="193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4.6355925850347514E-2</v>
      </c>
      <c r="AD303" s="227">
        <f>(INDEX(Models!$BJ303:$BT303,,AH303)*(1-AF303)+INDEX(Models!$BJ303:$BT303,,AH303+1)*AF303-ERP_i)*AE303*Ramure*Pc/MaxiM</f>
        <v>4.9115199721199852E-4</v>
      </c>
      <c r="AE303" s="301">
        <f t="shared" si="117"/>
        <v>0.5</v>
      </c>
      <c r="AF303" s="173">
        <f t="shared" si="118"/>
        <v>0.99139422033921032</v>
      </c>
      <c r="AG303" s="802">
        <f t="shared" si="124"/>
        <v>1</v>
      </c>
      <c r="AH303" s="172">
        <f t="shared" si="119"/>
        <v>7</v>
      </c>
      <c r="AI303" s="221">
        <f t="shared" si="120"/>
        <v>1.9913942203392103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45947</v>
      </c>
      <c r="B304" s="406">
        <f>'2024'!Wh/'2024'!Env_an*'2025'!Env_an</f>
        <v>16.854927924820071</v>
      </c>
      <c r="C304" s="385"/>
      <c r="D304" s="388">
        <f t="shared" si="102"/>
        <v>17.186948013714062</v>
      </c>
      <c r="E304" s="380">
        <f t="shared" si="125"/>
        <v>17.393720650630335</v>
      </c>
      <c r="F304" s="380">
        <f t="shared" si="103"/>
        <v>17.396337596602134</v>
      </c>
      <c r="G304" s="110">
        <f t="shared" si="126"/>
        <v>0.50184564753365535</v>
      </c>
      <c r="H304" s="409" t="b">
        <f>Wh_hp&gt;='2024'!Maxi_hp</f>
        <v>0</v>
      </c>
      <c r="I304" s="375">
        <f>IF(H304,Wh_hp,'2024'!Maxi_hp)</f>
        <v>17.401400956915101</v>
      </c>
      <c r="J304" s="85">
        <f>IF(H304,An,'2024'!An_max)</f>
        <v>2022</v>
      </c>
      <c r="K304" s="193">
        <f t="shared" si="104"/>
        <v>45947</v>
      </c>
      <c r="L304" s="143">
        <f>IF(t&lt;Tvie,1-EXP((T0-t)*PertePVj)+'2024'!Pspv,1-EXP((T0-t)*PertePVj)+Pspv)</f>
        <v>1.9318152858149085E-2</v>
      </c>
      <c r="M304" s="836"/>
      <c r="N304" s="836"/>
      <c r="O304" s="48">
        <f>IF(t&lt;Tnet,'2024'!Resal+('2024'!Salim-'2024'!Resal)*(1-EXP(('2024'!Tnet-t)/('2024'!Tau_j))),Resal+(Salim-Resal)*(1-EXP((Tnet-t)/(Tau_j))))*Salcycl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5.2121294490566745E-4</v>
      </c>
      <c r="Q304" s="301">
        <f t="shared" si="105"/>
        <v>0.5</v>
      </c>
      <c r="R304" s="173">
        <f t="shared" si="106"/>
        <v>0.99149790290445505</v>
      </c>
      <c r="S304" s="802">
        <f t="shared" si="107"/>
        <v>1</v>
      </c>
      <c r="T304" s="172">
        <f t="shared" si="108"/>
        <v>7</v>
      </c>
      <c r="U304" s="247">
        <f t="shared" si="109"/>
        <v>1.9914979029044551</v>
      </c>
      <c r="V304" s="378">
        <f t="shared" si="110"/>
        <v>33.573425538300228</v>
      </c>
      <c r="W304" s="397">
        <f t="shared" si="111"/>
        <v>16.854927924820071</v>
      </c>
      <c r="X304" s="153">
        <f t="shared" si="112"/>
        <v>45947</v>
      </c>
      <c r="Y304" s="380">
        <f t="shared" si="113"/>
        <v>16.266879764154975</v>
      </c>
      <c r="Z304" s="380">
        <f t="shared" si="114"/>
        <v>16.587316071531248</v>
      </c>
      <c r="AA304" s="381">
        <f t="shared" si="115"/>
        <v>17.393720650630335</v>
      </c>
      <c r="AB304" s="193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4.63618219066812E-2</v>
      </c>
      <c r="AD304" s="227">
        <f>(INDEX(Models!$BJ304:$BT304,,AH304)*(1-AF304)+INDEX(Models!$BJ304:$BT304,,AH304+1)*AF304-ERP_i)*AE304*Ramure*Pc/MaxiM</f>
        <v>5.2121294490566745E-4</v>
      </c>
      <c r="AE304" s="301">
        <f t="shared" si="117"/>
        <v>0.5</v>
      </c>
      <c r="AF304" s="173">
        <f t="shared" si="118"/>
        <v>0.99149790290445505</v>
      </c>
      <c r="AG304" s="802">
        <f t="shared" si="124"/>
        <v>1</v>
      </c>
      <c r="AH304" s="172">
        <f t="shared" si="119"/>
        <v>7</v>
      </c>
      <c r="AI304" s="221">
        <f t="shared" si="120"/>
        <v>1.9914979029044551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45948</v>
      </c>
      <c r="B305" s="406">
        <f>'2024'!Wh/'2024'!Env_an*'2025'!Env_an</f>
        <v>30.06702696440999</v>
      </c>
      <c r="C305" s="385"/>
      <c r="D305" s="388">
        <f t="shared" si="102"/>
        <v>30.659727872015271</v>
      </c>
      <c r="E305" s="380">
        <f t="shared" si="125"/>
        <v>31.030392214850014</v>
      </c>
      <c r="F305" s="380">
        <f t="shared" si="103"/>
        <v>31.045690051095516</v>
      </c>
      <c r="G305" s="110">
        <f t="shared" si="126"/>
        <v>0.90604984700786717</v>
      </c>
      <c r="H305" s="409" t="b">
        <f>Wh_hp&gt;='2024'!Maxi_hp</f>
        <v>0</v>
      </c>
      <c r="I305" s="375">
        <f>IF(H305,Wh_hp,'2024'!Maxi_hp)</f>
        <v>31.04755390716814</v>
      </c>
      <c r="J305" s="85">
        <f>IF(H305,An,'2024'!An_max)</f>
        <v>2022</v>
      </c>
      <c r="K305" s="193">
        <f t="shared" si="104"/>
        <v>45948</v>
      </c>
      <c r="L305" s="143">
        <f>IF(t&lt;Tvie,1-EXP((T0-t)*PertePVj)+'2024'!Pspv,1-EXP((T0-t)*PertePVj)+Pspv)</f>
        <v>1.9331577569097425E-2</v>
      </c>
      <c r="M305" s="836"/>
      <c r="N305" s="836"/>
      <c r="O305" s="48">
        <f>IF(t&lt;Tnet,'2024'!Resal+('2024'!Salim-'2024'!Resal)*(1-EXP(('2024'!Tnet-t)/('2024'!Tau_j))),Resal+(Salim-Resal)*(1-EXP((Tnet-t)/(Tau_j))))*Salcycl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5.6907408054680776E-4</v>
      </c>
      <c r="Q305" s="301">
        <f t="shared" si="105"/>
        <v>0.5</v>
      </c>
      <c r="R305" s="173">
        <f t="shared" si="106"/>
        <v>0.99159745149489575</v>
      </c>
      <c r="S305" s="802">
        <f t="shared" si="107"/>
        <v>1</v>
      </c>
      <c r="T305" s="172">
        <f t="shared" si="108"/>
        <v>7</v>
      </c>
      <c r="U305" s="247">
        <f t="shared" si="109"/>
        <v>1.9915974514948958</v>
      </c>
      <c r="V305" s="378">
        <f t="shared" si="110"/>
        <v>33.18220422903466</v>
      </c>
      <c r="W305" s="397">
        <f t="shared" si="111"/>
        <v>30.06702696440999</v>
      </c>
      <c r="X305" s="153">
        <f t="shared" si="112"/>
        <v>45948</v>
      </c>
      <c r="Y305" s="380">
        <f t="shared" si="113"/>
        <v>29.019551032148236</v>
      </c>
      <c r="Z305" s="380">
        <f t="shared" si="114"/>
        <v>29.591603408840196</v>
      </c>
      <c r="AA305" s="381">
        <f t="shared" si="115"/>
        <v>31.030392214850014</v>
      </c>
      <c r="AB305" s="193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4.6367084117011688E-2</v>
      </c>
      <c r="AD305" s="227">
        <f>(INDEX(Models!$BJ305:$BT305,,AH305)*(1-AF305)+INDEX(Models!$BJ305:$BT305,,AH305+1)*AF305-ERP_i)*AE305*Ramure*Pc/MaxiM</f>
        <v>5.6907408054680776E-4</v>
      </c>
      <c r="AE305" s="301">
        <f t="shared" si="117"/>
        <v>0.5</v>
      </c>
      <c r="AF305" s="173">
        <f t="shared" si="118"/>
        <v>0.99159745149489575</v>
      </c>
      <c r="AG305" s="802">
        <f t="shared" si="124"/>
        <v>1</v>
      </c>
      <c r="AH305" s="172">
        <f t="shared" si="119"/>
        <v>7</v>
      </c>
      <c r="AI305" s="221">
        <f t="shared" si="120"/>
        <v>1.9915974514948958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45949</v>
      </c>
      <c r="B306" s="406">
        <f>'2024'!Wh/'2024'!Env_an*'2025'!Env_an</f>
        <v>16.795237001831381</v>
      </c>
      <c r="C306" s="385"/>
      <c r="D306" s="388">
        <f t="shared" si="102"/>
        <v>17.126550150392646</v>
      </c>
      <c r="E306" s="380">
        <f t="shared" si="125"/>
        <v>17.334606240889023</v>
      </c>
      <c r="F306" s="380">
        <f t="shared" si="103"/>
        <v>17.337943920861822</v>
      </c>
      <c r="G306" s="110">
        <f t="shared" si="126"/>
        <v>0.51196453515691942</v>
      </c>
      <c r="H306" s="409" t="b">
        <f>Wh_hp&gt;='2024'!Maxi_hp</f>
        <v>0</v>
      </c>
      <c r="I306" s="375">
        <f>IF(H306,Wh_hp,'2024'!Maxi_hp)</f>
        <v>17.343995779122771</v>
      </c>
      <c r="J306" s="85">
        <f>IF(H306,An,'2024'!An_max)</f>
        <v>2022</v>
      </c>
      <c r="K306" s="193">
        <f t="shared" si="104"/>
        <v>45949</v>
      </c>
      <c r="L306" s="143">
        <f>IF(t&lt;Tvie,1-EXP((T0-t)*PertePVj)+'2024'!Pspv,1-EXP((T0-t)*PertePVj)+Pspv)</f>
        <v>1.9345002096272657E-2</v>
      </c>
      <c r="M306" s="836"/>
      <c r="N306" s="836"/>
      <c r="O306" s="48">
        <f>IF(t&lt;Tnet,'2024'!Resal+('2024'!Salim-'2024'!Resal)*(1-EXP(('2024'!Tnet-t)/('2024'!Tau_j))),Resal+(Salim-Resal)*(1-EXP((Tnet-t)/(Tau_j))))*Salcycl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6.3506424547715875E-4</v>
      </c>
      <c r="Q306" s="301">
        <f t="shared" si="105"/>
        <v>0.5</v>
      </c>
      <c r="R306" s="173">
        <f t="shared" si="106"/>
        <v>0.99169302937632575</v>
      </c>
      <c r="S306" s="802">
        <f t="shared" si="107"/>
        <v>1</v>
      </c>
      <c r="T306" s="172">
        <f t="shared" si="108"/>
        <v>7</v>
      </c>
      <c r="U306" s="247">
        <f t="shared" si="109"/>
        <v>1.9916930293763258</v>
      </c>
      <c r="V306" s="378">
        <f t="shared" si="110"/>
        <v>32.790948529223478</v>
      </c>
      <c r="W306" s="397">
        <f t="shared" si="111"/>
        <v>16.795237001831381</v>
      </c>
      <c r="X306" s="153">
        <f t="shared" si="112"/>
        <v>45949</v>
      </c>
      <c r="Y306" s="380">
        <f t="shared" si="113"/>
        <v>16.210982708132867</v>
      </c>
      <c r="Z306" s="380">
        <f t="shared" si="114"/>
        <v>16.530770498071053</v>
      </c>
      <c r="AA306" s="381">
        <f t="shared" si="115"/>
        <v>17.334606240889023</v>
      </c>
      <c r="AB306" s="193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4.6371733608916645E-2</v>
      </c>
      <c r="AD306" s="227">
        <f>(INDEX(Models!$BJ306:$BT306,,AH306)*(1-AF306)+INDEX(Models!$BJ306:$BT306,,AH306+1)*AF306-ERP_i)*AE306*Ramure*Pc/MaxiM</f>
        <v>6.3506424547715875E-4</v>
      </c>
      <c r="AE306" s="301">
        <f t="shared" si="117"/>
        <v>0.5</v>
      </c>
      <c r="AF306" s="173">
        <f t="shared" si="118"/>
        <v>0.99169302937632575</v>
      </c>
      <c r="AG306" s="802">
        <f t="shared" si="124"/>
        <v>1</v>
      </c>
      <c r="AH306" s="172">
        <f t="shared" si="119"/>
        <v>7</v>
      </c>
      <c r="AI306" s="221">
        <f t="shared" si="120"/>
        <v>1.9916930293763258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45950</v>
      </c>
      <c r="B307" s="406">
        <f>'2024'!Wh/'2024'!Env_an*'2025'!Env_an</f>
        <v>8.8348382742355653</v>
      </c>
      <c r="C307" s="385"/>
      <c r="D307" s="388">
        <f t="shared" si="102"/>
        <v>9.0092430429598789</v>
      </c>
      <c r="E307" s="380">
        <f t="shared" si="125"/>
        <v>9.1192137679902565</v>
      </c>
      <c r="F307" s="380">
        <f t="shared" si="103"/>
        <v>9.1192137679902565</v>
      </c>
      <c r="G307" s="110">
        <f t="shared" si="126"/>
        <v>0.27248411889228807</v>
      </c>
      <c r="H307" s="409" t="b">
        <f>Wh_hp&gt;='2024'!Maxi_hp</f>
        <v>0</v>
      </c>
      <c r="I307" s="375">
        <f>IF(H307,Wh_hp,'2024'!Maxi_hp)</f>
        <v>9.1244045846018054</v>
      </c>
      <c r="J307" s="85">
        <f>IF(H307,An,'2024'!An_max)</f>
        <v>2022</v>
      </c>
      <c r="K307" s="193">
        <f t="shared" si="104"/>
        <v>45950</v>
      </c>
      <c r="L307" s="143">
        <f>IF(t&lt;Tvie,1-EXP((T0-t)*PertePVj)+'2024'!Pspv,1-EXP((T0-t)*PertePVj)+Pspv)</f>
        <v>1.9358426439677334E-2</v>
      </c>
      <c r="M307" s="836"/>
      <c r="N307" s="836"/>
      <c r="O307" s="48">
        <f>IF(t&lt;Tnet,'2024'!Resal+('2024'!Salim-'2024'!Resal)*(1-EXP(('2024'!Tnet-t)/('2024'!Tau_j))),Resal+(Salim-Resal)*(1-EXP((Tnet-t)/(Tau_j))))*Salcycl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7.1951187259804497E-4</v>
      </c>
      <c r="Q307" s="301">
        <f t="shared" si="105"/>
        <v>0.5</v>
      </c>
      <c r="R307" s="173">
        <f t="shared" si="106"/>
        <v>0.99178479348931914</v>
      </c>
      <c r="S307" s="802">
        <f t="shared" si="107"/>
        <v>1</v>
      </c>
      <c r="T307" s="172">
        <f t="shared" si="108"/>
        <v>7</v>
      </c>
      <c r="U307" s="247">
        <f t="shared" si="109"/>
        <v>1.9917847934893191</v>
      </c>
      <c r="V307" s="378">
        <f t="shared" si="110"/>
        <v>32.399985507759567</v>
      </c>
      <c r="W307" s="397">
        <f t="shared" si="111"/>
        <v>8.8348382742355653</v>
      </c>
      <c r="X307" s="153">
        <f t="shared" si="112"/>
        <v>45950</v>
      </c>
      <c r="Y307" s="380">
        <f t="shared" si="113"/>
        <v>8.5279562476030897</v>
      </c>
      <c r="Z307" s="380">
        <f t="shared" si="114"/>
        <v>8.6963029893189674</v>
      </c>
      <c r="AA307" s="381">
        <f t="shared" si="115"/>
        <v>9.1192137679902565</v>
      </c>
      <c r="AB307" s="193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4.6375793947913128E-2</v>
      </c>
      <c r="AD307" s="227">
        <f>(INDEX(Models!$BJ307:$BT307,,AH307)*(1-AF307)+INDEX(Models!$BJ307:$BT307,,AH307+1)*AF307-ERP_i)*AE307*Ramure*Pc/MaxiM</f>
        <v>7.1951187259804497E-4</v>
      </c>
      <c r="AE307" s="301">
        <f t="shared" si="117"/>
        <v>0.5</v>
      </c>
      <c r="AF307" s="173">
        <f t="shared" si="118"/>
        <v>0.99178479348931914</v>
      </c>
      <c r="AG307" s="802">
        <f t="shared" si="124"/>
        <v>1</v>
      </c>
      <c r="AH307" s="172">
        <f t="shared" si="119"/>
        <v>7</v>
      </c>
      <c r="AI307" s="221">
        <f t="shared" si="120"/>
        <v>1.9917847934893191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45951</v>
      </c>
      <c r="B308" s="406">
        <f>'2024'!Wh/'2024'!Env_an*'2025'!Env_an</f>
        <v>17.080468664274509</v>
      </c>
      <c r="C308" s="385"/>
      <c r="D308" s="388">
        <f t="shared" si="102"/>
        <v>17.417885336774489</v>
      </c>
      <c r="E308" s="380">
        <f t="shared" si="125"/>
        <v>17.631505913406809</v>
      </c>
      <c r="F308" s="380">
        <f t="shared" si="103"/>
        <v>17.63634825439739</v>
      </c>
      <c r="G308" s="110">
        <f t="shared" si="126"/>
        <v>0.53331126579037536</v>
      </c>
      <c r="H308" s="409" t="b">
        <f>Wh_hp&gt;='2024'!Maxi_hp</f>
        <v>0</v>
      </c>
      <c r="I308" s="375">
        <f>IF(H308,Wh_hp,'2024'!Maxi_hp)</f>
        <v>17.644021025065648</v>
      </c>
      <c r="J308" s="85">
        <f>IF(H308,An,'2024'!An_max)</f>
        <v>2022</v>
      </c>
      <c r="K308" s="193">
        <f t="shared" si="104"/>
        <v>45951</v>
      </c>
      <c r="L308" s="143">
        <f>IF(t&lt;Tvie,1-EXP((T0-t)*PertePVj)+'2024'!Pspv,1-EXP((T0-t)*PertePVj)+Pspv)</f>
        <v>1.9371850599314122E-2</v>
      </c>
      <c r="M308" s="836"/>
      <c r="N308" s="836"/>
      <c r="O308" s="48">
        <f>IF(t&lt;Tnet,'2024'!Resal+('2024'!Salim-'2024'!Resal)*(1-EXP(('2024'!Tnet-t)/('2024'!Tau_j))),Resal+(Salim-Resal)*(1-EXP((Tnet-t)/(Tau_j))))*Salcycl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8.2274402172579514E-4</v>
      </c>
      <c r="Q308" s="301">
        <f t="shared" si="105"/>
        <v>0.5</v>
      </c>
      <c r="R308" s="173">
        <f t="shared" si="106"/>
        <v>0.99187289468460449</v>
      </c>
      <c r="S308" s="802">
        <f t="shared" si="107"/>
        <v>1</v>
      </c>
      <c r="T308" s="172">
        <f t="shared" si="108"/>
        <v>7</v>
      </c>
      <c r="U308" s="247">
        <f t="shared" si="109"/>
        <v>1.9918728946846045</v>
      </c>
      <c r="V308" s="378">
        <f t="shared" si="110"/>
        <v>32.00964249154206</v>
      </c>
      <c r="W308" s="397">
        <f t="shared" si="111"/>
        <v>17.080468664274509</v>
      </c>
      <c r="X308" s="153">
        <f t="shared" si="112"/>
        <v>45951</v>
      </c>
      <c r="Y308" s="380">
        <f t="shared" si="113"/>
        <v>16.488055343632379</v>
      </c>
      <c r="Z308" s="380">
        <f t="shared" si="114"/>
        <v>16.81376916796556</v>
      </c>
      <c r="AA308" s="381">
        <f t="shared" si="115"/>
        <v>17.631505913406809</v>
      </c>
      <c r="AB308" s="193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4.6379291108619887E-2</v>
      </c>
      <c r="AD308" s="227">
        <f>(INDEX(Models!$BJ308:$BT308,,AH308)*(1-AF308)+INDEX(Models!$BJ308:$BT308,,AH308+1)*AF308-ERP_i)*AE308*Ramure*Pc/MaxiM</f>
        <v>8.2274402172579514E-4</v>
      </c>
      <c r="AE308" s="301">
        <f t="shared" si="117"/>
        <v>0.5</v>
      </c>
      <c r="AF308" s="173">
        <f t="shared" si="118"/>
        <v>0.99187289468460449</v>
      </c>
      <c r="AG308" s="802">
        <f t="shared" si="124"/>
        <v>1</v>
      </c>
      <c r="AH308" s="172">
        <f t="shared" si="119"/>
        <v>7</v>
      </c>
      <c r="AI308" s="221">
        <f t="shared" si="120"/>
        <v>1.9918728946846045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45952</v>
      </c>
      <c r="B309" s="406">
        <f>'2024'!Wh/'2024'!Env_an*'2025'!Env_an</f>
        <v>29.276901968539793</v>
      </c>
      <c r="C309" s="385"/>
      <c r="D309" s="388">
        <f t="shared" si="102"/>
        <v>29.855662177474109</v>
      </c>
      <c r="E309" s="380">
        <f t="shared" si="125"/>
        <v>30.223549054882579</v>
      </c>
      <c r="F309" s="380">
        <f t="shared" si="103"/>
        <v>30.249110436892853</v>
      </c>
      <c r="G309" s="110">
        <f t="shared" si="126"/>
        <v>0.92579827484632593</v>
      </c>
      <c r="H309" s="409" t="b">
        <f>Wh_hp&gt;='2024'!Maxi_hp</f>
        <v>0</v>
      </c>
      <c r="I309" s="375">
        <f>IF(H309,Wh_hp,'2024'!Maxi_hp)</f>
        <v>30.251519935948156</v>
      </c>
      <c r="J309" s="85">
        <f>IF(H309,An,'2024'!An_max)</f>
        <v>2022</v>
      </c>
      <c r="K309" s="193">
        <f t="shared" si="104"/>
        <v>45952</v>
      </c>
      <c r="L309" s="143">
        <f>IF(t&lt;Tvie,1-EXP((T0-t)*PertePVj)+'2024'!Pspv,1-EXP((T0-t)*PertePVj)+Pspv)</f>
        <v>1.9385274575185463E-2</v>
      </c>
      <c r="M309" s="836"/>
      <c r="N309" s="836"/>
      <c r="O309" s="48">
        <f>IF(t&lt;Tnet,'2024'!Resal+('2024'!Salim-'2024'!Resal)*(1-EXP(('2024'!Tnet-t)/('2024'!Tau_j))),Resal+(Salim-Resal)*(1-EXP((Tnet-t)/(Tau_j))))*Salcycl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9.4508541424701009E-4</v>
      </c>
      <c r="Q309" s="301">
        <f t="shared" si="105"/>
        <v>0.5</v>
      </c>
      <c r="R309" s="173">
        <f t="shared" si="106"/>
        <v>0.99195747795045031</v>
      </c>
      <c r="S309" s="802">
        <f t="shared" si="107"/>
        <v>1</v>
      </c>
      <c r="T309" s="172">
        <f t="shared" si="108"/>
        <v>7</v>
      </c>
      <c r="U309" s="247">
        <f t="shared" si="109"/>
        <v>1.9919574779504503</v>
      </c>
      <c r="V309" s="378">
        <f t="shared" si="110"/>
        <v>31.620247035304921</v>
      </c>
      <c r="W309" s="397">
        <f t="shared" si="111"/>
        <v>29.276901968539793</v>
      </c>
      <c r="X309" s="153">
        <f t="shared" si="112"/>
        <v>45952</v>
      </c>
      <c r="Y309" s="380">
        <f t="shared" si="113"/>
        <v>28.262995927808781</v>
      </c>
      <c r="Z309" s="380">
        <f t="shared" si="114"/>
        <v>28.821712743060122</v>
      </c>
      <c r="AA309" s="381">
        <f t="shared" si="115"/>
        <v>30.223549054882579</v>
      </c>
      <c r="AB309" s="193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4.6382253430160648E-2</v>
      </c>
      <c r="AD309" s="227">
        <f>(INDEX(Models!$BJ309:$BT309,,AH309)*(1-AF309)+INDEX(Models!$BJ309:$BT309,,AH309+1)*AF309-ERP_i)*AE309*Ramure*Pc/MaxiM</f>
        <v>9.4508541424701009E-4</v>
      </c>
      <c r="AE309" s="301">
        <f t="shared" si="117"/>
        <v>0.5</v>
      </c>
      <c r="AF309" s="173">
        <f t="shared" si="118"/>
        <v>0.99195747795045031</v>
      </c>
      <c r="AG309" s="802">
        <f t="shared" si="124"/>
        <v>1</v>
      </c>
      <c r="AH309" s="172">
        <f t="shared" si="119"/>
        <v>7</v>
      </c>
      <c r="AI309" s="221">
        <f t="shared" si="120"/>
        <v>1.9919574779504503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45953</v>
      </c>
      <c r="B310" s="406">
        <f>'2024'!Wh/'2024'!Env_an*'2025'!Env_an</f>
        <v>19.08733504369167</v>
      </c>
      <c r="C310" s="385"/>
      <c r="D310" s="388">
        <f t="shared" si="102"/>
        <v>19.464929336633716</v>
      </c>
      <c r="E310" s="380">
        <f t="shared" si="125"/>
        <v>19.705898721309236</v>
      </c>
      <c r="F310" s="380">
        <f t="shared" si="103"/>
        <v>19.715681695581253</v>
      </c>
      <c r="G310" s="110">
        <f t="shared" si="126"/>
        <v>0.61078310457337204</v>
      </c>
      <c r="H310" s="409" t="b">
        <f>Wh_hp&gt;='2024'!Maxi_hp</f>
        <v>0</v>
      </c>
      <c r="I310" s="375">
        <f>IF(H310,Wh_hp,'2024'!Maxi_hp)</f>
        <v>19.725415747408835</v>
      </c>
      <c r="J310" s="85">
        <f>IF(H310,An,'2024'!An_max)</f>
        <v>2022</v>
      </c>
      <c r="K310" s="193">
        <f t="shared" si="104"/>
        <v>45953</v>
      </c>
      <c r="L310" s="143">
        <f>IF(t&lt;Tvie,1-EXP((T0-t)*PertePVj)+'2024'!Pspv,1-EXP((T0-t)*PertePVj)+Pspv)</f>
        <v>1.9398698367293798E-2</v>
      </c>
      <c r="M310" s="836"/>
      <c r="N310" s="836"/>
      <c r="O310" s="48">
        <f>IF(t&lt;Tnet,'2024'!Resal+('2024'!Salim-'2024'!Resal)*(1-EXP(('2024'!Tnet-t)/('2024'!Tau_j))),Resal+(Salim-Resal)*(1-EXP((Tnet-t)/(Tau_j))))*Salcycl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1.1162725413347405E-3</v>
      </c>
      <c r="Q310" s="301">
        <f t="shared" si="105"/>
        <v>0.5</v>
      </c>
      <c r="R310" s="173">
        <f t="shared" si="106"/>
        <v>0.99203868263227202</v>
      </c>
      <c r="S310" s="802">
        <f t="shared" si="107"/>
        <v>1</v>
      </c>
      <c r="T310" s="172">
        <f t="shared" si="108"/>
        <v>7</v>
      </c>
      <c r="U310" s="247">
        <f t="shared" si="109"/>
        <v>1.992038682632272</v>
      </c>
      <c r="V310" s="378">
        <f t="shared" si="110"/>
        <v>31.231207189792759</v>
      </c>
      <c r="W310" s="397">
        <f t="shared" si="111"/>
        <v>19.08733504369167</v>
      </c>
      <c r="X310" s="153">
        <f t="shared" si="112"/>
        <v>45953</v>
      </c>
      <c r="Y310" s="380">
        <f t="shared" si="113"/>
        <v>18.427308935168831</v>
      </c>
      <c r="Z310" s="380">
        <f t="shared" si="114"/>
        <v>18.791846293174675</v>
      </c>
      <c r="AA310" s="381">
        <f t="shared" si="115"/>
        <v>19.705898721309236</v>
      </c>
      <c r="AB310" s="193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4.6384711555740317E-2</v>
      </c>
      <c r="AD310" s="227">
        <f>(INDEX(Models!$BJ310:$BT310,,AH310)*(1-AF310)+INDEX(Models!$BJ310:$BT310,,AH310+1)*AF310-ERP_i)*AE310*Ramure*Pc/MaxiM</f>
        <v>1.1162725413347405E-3</v>
      </c>
      <c r="AE310" s="301">
        <f t="shared" si="117"/>
        <v>0.5</v>
      </c>
      <c r="AF310" s="173">
        <f t="shared" si="118"/>
        <v>0.99203868263227202</v>
      </c>
      <c r="AG310" s="802">
        <f t="shared" si="124"/>
        <v>1</v>
      </c>
      <c r="AH310" s="172">
        <f t="shared" si="119"/>
        <v>7</v>
      </c>
      <c r="AI310" s="221">
        <f t="shared" si="120"/>
        <v>1.992038682632272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45954</v>
      </c>
      <c r="B311" s="406">
        <f>'2024'!Wh/'2024'!Env_an*'2025'!Env_an</f>
        <v>24.757070184023853</v>
      </c>
      <c r="C311" s="385"/>
      <c r="D311" s="388">
        <f t="shared" si="102"/>
        <v>25.247171353885403</v>
      </c>
      <c r="E311" s="380">
        <f t="shared" si="125"/>
        <v>25.561168137912251</v>
      </c>
      <c r="F311" s="380">
        <f t="shared" si="103"/>
        <v>25.585749915534926</v>
      </c>
      <c r="G311" s="110">
        <f t="shared" si="126"/>
        <v>0.80238137087097416</v>
      </c>
      <c r="H311" s="409" t="b">
        <f>Wh_hp&gt;='2024'!Maxi_hp</f>
        <v>0</v>
      </c>
      <c r="I311" s="375">
        <f>IF(H311,Wh_hp,'2024'!Maxi_hp)</f>
        <v>25.593422126687972</v>
      </c>
      <c r="J311" s="85">
        <f>IF(H311,An,'2024'!An_max)</f>
        <v>2022</v>
      </c>
      <c r="K311" s="193">
        <f t="shared" si="104"/>
        <v>45954</v>
      </c>
      <c r="L311" s="143">
        <f>IF(t&lt;Tvie,1-EXP((T0-t)*PertePVj)+'2024'!Pspv,1-EXP((T0-t)*PertePVj)+Pspv)</f>
        <v>1.9412121975641683E-2</v>
      </c>
      <c r="M311" s="836"/>
      <c r="N311" s="836"/>
      <c r="O311" s="48">
        <f>IF(t&lt;Tnet,'2024'!Resal+('2024'!Salim-'2024'!Resal)*(1-EXP(('2024'!Tnet-t)/('2024'!Tau_j))),Resal+(Salim-Resal)*(1-EXP((Tnet-t)/(Tau_j))))*Salcycl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1.3378819415771615E-3</v>
      </c>
      <c r="Q311" s="301">
        <f t="shared" si="105"/>
        <v>0.5</v>
      </c>
      <c r="R311" s="173">
        <f t="shared" si="106"/>
        <v>0.99211664264466481</v>
      </c>
      <c r="S311" s="802">
        <f t="shared" si="107"/>
        <v>1</v>
      </c>
      <c r="T311" s="172">
        <f t="shared" si="108"/>
        <v>7</v>
      </c>
      <c r="U311" s="247">
        <f t="shared" si="109"/>
        <v>1.9921166426446648</v>
      </c>
      <c r="V311" s="378">
        <f t="shared" si="110"/>
        <v>30.842845661061229</v>
      </c>
      <c r="W311" s="397">
        <f t="shared" si="111"/>
        <v>24.757070184023853</v>
      </c>
      <c r="X311" s="153">
        <f t="shared" si="112"/>
        <v>45954</v>
      </c>
      <c r="Y311" s="380">
        <f t="shared" si="113"/>
        <v>23.902290346135281</v>
      </c>
      <c r="Z311" s="380">
        <f t="shared" si="114"/>
        <v>24.37546994186026</v>
      </c>
      <c r="AA311" s="381">
        <f t="shared" si="115"/>
        <v>25.561168137912251</v>
      </c>
      <c r="AB311" s="193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4.638669835645598E-2</v>
      </c>
      <c r="AD311" s="227">
        <f>(INDEX(Models!$BJ311:$BT311,,AH311)*(1-AF311)+INDEX(Models!$BJ311:$BT311,,AH311+1)*AF311-ERP_i)*AE311*Ramure*Pc/MaxiM</f>
        <v>1.3378819415771615E-3</v>
      </c>
      <c r="AE311" s="301">
        <f t="shared" si="117"/>
        <v>0.5</v>
      </c>
      <c r="AF311" s="173">
        <f t="shared" si="118"/>
        <v>0.99211664264466481</v>
      </c>
      <c r="AG311" s="802">
        <f t="shared" si="124"/>
        <v>1</v>
      </c>
      <c r="AH311" s="172">
        <f t="shared" si="119"/>
        <v>7</v>
      </c>
      <c r="AI311" s="221">
        <f t="shared" si="120"/>
        <v>1.9921166426446648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45955</v>
      </c>
      <c r="B312" s="406">
        <f>'2024'!Wh/'2024'!Env_an*'2025'!Env_an</f>
        <v>20.802829562635871</v>
      </c>
      <c r="C312" s="385"/>
      <c r="D312" s="388">
        <f t="shared" si="102"/>
        <v>21.214941369369814</v>
      </c>
      <c r="E312" s="380">
        <f t="shared" si="125"/>
        <v>21.479998943436197</v>
      </c>
      <c r="F312" s="380">
        <f t="shared" si="103"/>
        <v>21.498949441030554</v>
      </c>
      <c r="G312" s="110">
        <f t="shared" si="126"/>
        <v>0.68255778625285701</v>
      </c>
      <c r="H312" s="409" t="b">
        <f>Wh_hp&gt;='2024'!Maxi_hp</f>
        <v>0</v>
      </c>
      <c r="I312" s="375">
        <f>IF(H312,Wh_hp,'2024'!Maxi_hp)</f>
        <v>21.511387732569521</v>
      </c>
      <c r="J312" s="85">
        <f>IF(H312,An,'2024'!An_max)</f>
        <v>2022</v>
      </c>
      <c r="K312" s="193">
        <f t="shared" si="104"/>
        <v>45955</v>
      </c>
      <c r="L312" s="143">
        <f>IF(t&lt;Tvie,1-EXP((T0-t)*PertePVj)+'2024'!Pspv,1-EXP((T0-t)*PertePVj)+Pspv)</f>
        <v>1.9425545400231559E-2</v>
      </c>
      <c r="M312" s="836"/>
      <c r="N312" s="836"/>
      <c r="O312" s="48">
        <f>IF(t&lt;Tnet,'2024'!Resal+('2024'!Salim-'2024'!Resal)*(1-EXP(('2024'!Tnet-t)/('2024'!Tau_j))),Resal+(Salim-Resal)*(1-EXP((Tnet-t)/(Tau_j))))*Salcycl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1.6107891643545374E-3</v>
      </c>
      <c r="Q312" s="301">
        <f t="shared" si="105"/>
        <v>0.5</v>
      </c>
      <c r="R312" s="173">
        <f t="shared" si="106"/>
        <v>0.99219148667607304</v>
      </c>
      <c r="S312" s="802">
        <f t="shared" si="107"/>
        <v>1</v>
      </c>
      <c r="T312" s="172">
        <f t="shared" si="108"/>
        <v>7</v>
      </c>
      <c r="U312" s="247">
        <f t="shared" si="109"/>
        <v>1.992191486676073</v>
      </c>
      <c r="V312" s="378">
        <f t="shared" si="110"/>
        <v>30.455507970373098</v>
      </c>
      <c r="W312" s="397">
        <f t="shared" si="111"/>
        <v>20.802829562635871</v>
      </c>
      <c r="X312" s="153">
        <f t="shared" si="112"/>
        <v>45955</v>
      </c>
      <c r="Y312" s="380">
        <f t="shared" si="113"/>
        <v>20.085674705637892</v>
      </c>
      <c r="Z312" s="380">
        <f t="shared" si="114"/>
        <v>20.483579407375107</v>
      </c>
      <c r="AA312" s="381">
        <f t="shared" si="115"/>
        <v>21.479998943436197</v>
      </c>
      <c r="AB312" s="193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4.6388248839536093E-2</v>
      </c>
      <c r="AD312" s="227">
        <f>(INDEX(Models!$BJ312:$BT312,,AH312)*(1-AF312)+INDEX(Models!$BJ312:$BT312,,AH312+1)*AF312-ERP_i)*AE312*Ramure*Pc/MaxiM</f>
        <v>1.6107891643545374E-3</v>
      </c>
      <c r="AE312" s="301">
        <f t="shared" si="117"/>
        <v>0.5</v>
      </c>
      <c r="AF312" s="173">
        <f t="shared" si="118"/>
        <v>0.99219148667607304</v>
      </c>
      <c r="AG312" s="802">
        <f t="shared" si="124"/>
        <v>1</v>
      </c>
      <c r="AH312" s="172">
        <f t="shared" si="119"/>
        <v>7</v>
      </c>
      <c r="AI312" s="221">
        <f t="shared" si="120"/>
        <v>1.992191486676073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45956</v>
      </c>
      <c r="B313" s="406">
        <f>'2024'!Wh/'2024'!Env_an*'2025'!Env_an</f>
        <v>15.543813737786813</v>
      </c>
      <c r="C313" s="385"/>
      <c r="D313" s="388">
        <f t="shared" si="102"/>
        <v>15.851959481038167</v>
      </c>
      <c r="E313" s="380">
        <f t="shared" si="125"/>
        <v>16.05091235976294</v>
      </c>
      <c r="F313" s="380">
        <f t="shared" si="103"/>
        <v>16.060547383529084</v>
      </c>
      <c r="G313" s="110">
        <f t="shared" si="126"/>
        <v>0.51623788039868956</v>
      </c>
      <c r="H313" s="409" t="b">
        <f>Wh_hp&gt;='2024'!Maxi_hp</f>
        <v>0</v>
      </c>
      <c r="I313" s="375">
        <f>IF(H313,Wh_hp,'2024'!Maxi_hp)</f>
        <v>16.077522083526727</v>
      </c>
      <c r="J313" s="85">
        <f>IF(H313,An,'2024'!An_max)</f>
        <v>2022</v>
      </c>
      <c r="K313" s="193">
        <f t="shared" si="104"/>
        <v>45956</v>
      </c>
      <c r="L313" s="143">
        <f>IF(t&lt;Tvie,1-EXP((T0-t)*PertePVj)+'2024'!Pspv,1-EXP((T0-t)*PertePVj)+Pspv)</f>
        <v>1.9438968641066201E-2</v>
      </c>
      <c r="M313" s="836"/>
      <c r="N313" s="836"/>
      <c r="O313" s="48">
        <f>IF(t&lt;Tnet,'2024'!Resal+('2024'!Salim-'2024'!Resal)*(1-EXP(('2024'!Tnet-t)/('2024'!Tau_j))),Resal+(Salim-Resal)*(1-EXP((Tnet-t)/(Tau_j))))*Salcycl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1.9358562901025955E-3</v>
      </c>
      <c r="Q313" s="301">
        <f t="shared" si="105"/>
        <v>0.5</v>
      </c>
      <c r="R313" s="173">
        <f t="shared" si="106"/>
        <v>0.99226333838630243</v>
      </c>
      <c r="S313" s="802">
        <f t="shared" si="107"/>
        <v>1</v>
      </c>
      <c r="T313" s="172">
        <f t="shared" si="108"/>
        <v>7</v>
      </c>
      <c r="U313" s="247">
        <f t="shared" si="109"/>
        <v>1.9922633383863024</v>
      </c>
      <c r="V313" s="378">
        <f t="shared" si="110"/>
        <v>30.069540221704369</v>
      </c>
      <c r="W313" s="397">
        <f t="shared" si="111"/>
        <v>15.543813737786813</v>
      </c>
      <c r="X313" s="153">
        <f t="shared" si="112"/>
        <v>45956</v>
      </c>
      <c r="Y313" s="380">
        <f t="shared" si="113"/>
        <v>15.008781087574569</v>
      </c>
      <c r="Z313" s="380">
        <f t="shared" si="114"/>
        <v>15.306320165277517</v>
      </c>
      <c r="AA313" s="381">
        <f t="shared" si="115"/>
        <v>16.05091235976294</v>
      </c>
      <c r="AB313" s="193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4.6389400041333226E-2</v>
      </c>
      <c r="AD313" s="227">
        <f>(INDEX(Models!$BJ313:$BT313,,AH313)*(1-AF313)+INDEX(Models!$BJ313:$BT313,,AH313+1)*AF313-ERP_i)*AE313*Ramure*Pc/MaxiM</f>
        <v>1.9358562901025955E-3</v>
      </c>
      <c r="AE313" s="301">
        <f t="shared" si="117"/>
        <v>0.5</v>
      </c>
      <c r="AF313" s="173">
        <f t="shared" si="118"/>
        <v>0.99226333838630243</v>
      </c>
      <c r="AG313" s="802">
        <f t="shared" si="124"/>
        <v>1</v>
      </c>
      <c r="AH313" s="172">
        <f t="shared" si="119"/>
        <v>7</v>
      </c>
      <c r="AI313" s="221">
        <f t="shared" si="120"/>
        <v>1.9922633383863024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45957</v>
      </c>
      <c r="B314" s="406">
        <f>'2024'!Wh/'2024'!Env_an*'2025'!Env_an</f>
        <v>14.695151385256596</v>
      </c>
      <c r="C314" s="385"/>
      <c r="D314" s="388">
        <f t="shared" si="102"/>
        <v>14.986678118267189</v>
      </c>
      <c r="E314" s="380">
        <f t="shared" si="125"/>
        <v>15.175618611914732</v>
      </c>
      <c r="F314" s="380">
        <f t="shared" si="103"/>
        <v>15.185408650676631</v>
      </c>
      <c r="G314" s="110">
        <f t="shared" si="126"/>
        <v>0.49420458735783601</v>
      </c>
      <c r="H314" s="409" t="b">
        <f>Wh_hp&gt;='2024'!Maxi_hp</f>
        <v>0</v>
      </c>
      <c r="I314" s="375">
        <f>IF(H314,Wh_hp,'2024'!Maxi_hp)</f>
        <v>15.20541089305954</v>
      </c>
      <c r="J314" s="85">
        <f>IF(H314,An,'2024'!An_max)</f>
        <v>2022</v>
      </c>
      <c r="K314" s="193">
        <f t="shared" si="104"/>
        <v>45957</v>
      </c>
      <c r="L314" s="143">
        <f>IF(t&lt;Tvie,1-EXP((T0-t)*PertePVj)+'2024'!Pspv,1-EXP((T0-t)*PertePVj)+Pspv)</f>
        <v>1.9452391698147831E-2</v>
      </c>
      <c r="M314" s="836"/>
      <c r="N314" s="836"/>
      <c r="O314" s="48">
        <f>IF(t&lt;Tnet,'2024'!Resal+('2024'!Salim-'2024'!Resal)*(1-EXP(('2024'!Tnet-t)/('2024'!Tau_j))),Resal+(Salim-Resal)*(1-EXP((Tnet-t)/(Tau_j))))*Salcycl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2.3139359332366703E-3</v>
      </c>
      <c r="Q314" s="301">
        <f t="shared" si="105"/>
        <v>0.5</v>
      </c>
      <c r="R314" s="173">
        <f t="shared" si="106"/>
        <v>0.99233231659707988</v>
      </c>
      <c r="S314" s="802">
        <f t="shared" si="107"/>
        <v>1</v>
      </c>
      <c r="T314" s="172">
        <f t="shared" si="108"/>
        <v>7</v>
      </c>
      <c r="U314" s="247">
        <f t="shared" si="109"/>
        <v>1.9923323165970799</v>
      </c>
      <c r="V314" s="378">
        <f t="shared" si="110"/>
        <v>29.685288779049305</v>
      </c>
      <c r="W314" s="397">
        <f t="shared" si="111"/>
        <v>14.695151385256596</v>
      </c>
      <c r="X314" s="153">
        <f t="shared" si="112"/>
        <v>45957</v>
      </c>
      <c r="Y314" s="380">
        <f t="shared" si="113"/>
        <v>14.190111170628848</v>
      </c>
      <c r="Z314" s="380">
        <f t="shared" si="114"/>
        <v>14.471618767398551</v>
      </c>
      <c r="AA314" s="381">
        <f t="shared" si="115"/>
        <v>15.175618611914732</v>
      </c>
      <c r="AB314" s="193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4.6390190905526221E-2</v>
      </c>
      <c r="AD314" s="227">
        <f>(INDEX(Models!$BJ314:$BT314,,AH314)*(1-AF314)+INDEX(Models!$BJ314:$BT314,,AH314+1)*AF314-ERP_i)*AE314*Ramure*Pc/MaxiM</f>
        <v>2.3139359332366703E-3</v>
      </c>
      <c r="AE314" s="301">
        <f t="shared" si="117"/>
        <v>0.5</v>
      </c>
      <c r="AF314" s="173">
        <f t="shared" si="118"/>
        <v>0.99233231659707988</v>
      </c>
      <c r="AG314" s="802">
        <f t="shared" si="124"/>
        <v>1</v>
      </c>
      <c r="AH314" s="172">
        <f t="shared" si="119"/>
        <v>7</v>
      </c>
      <c r="AI314" s="221">
        <f t="shared" si="120"/>
        <v>1.9923323165970799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45958</v>
      </c>
      <c r="B315" s="406">
        <f>'2024'!Wh/'2024'!Env_an*'2025'!Env_an</f>
        <v>16.900161912276204</v>
      </c>
      <c r="C315" s="385"/>
      <c r="D315" s="388">
        <f t="shared" si="102"/>
        <v>17.235668234137457</v>
      </c>
      <c r="E315" s="380">
        <f t="shared" si="125"/>
        <v>17.453933294473554</v>
      </c>
      <c r="F315" s="380">
        <f t="shared" si="103"/>
        <v>17.472900915917933</v>
      </c>
      <c r="G315" s="110">
        <f t="shared" si="126"/>
        <v>0.5757777028875608</v>
      </c>
      <c r="H315" s="409" t="b">
        <f>Wh_hp&gt;='2024'!Maxi_hp</f>
        <v>0</v>
      </c>
      <c r="I315" s="375">
        <f>IF(H315,Wh_hp,'2024'!Maxi_hp)</f>
        <v>17.495740847674913</v>
      </c>
      <c r="J315" s="85">
        <f>IF(H315,An,'2024'!An_max)</f>
        <v>2022</v>
      </c>
      <c r="K315" s="193">
        <f t="shared" si="104"/>
        <v>45958</v>
      </c>
      <c r="L315" s="143">
        <f>IF(t&lt;Tvie,1-EXP((T0-t)*PertePVj)+'2024'!Pspv,1-EXP((T0-t)*PertePVj)+Pspv)</f>
        <v>1.9465814571479112E-2</v>
      </c>
      <c r="M315" s="836"/>
      <c r="N315" s="836"/>
      <c r="O315" s="48">
        <f>IF(t&lt;Tnet,'2024'!Resal+('2024'!Salim-'2024'!Resal)*(1-EXP(('2024'!Tnet-t)/('2024'!Tau_j))),Resal+(Salim-Resal)*(1-EXP((Tnet-t)/(Tau_j))))*Salcycl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2.7458685936739996E-3</v>
      </c>
      <c r="Q315" s="301">
        <f t="shared" si="105"/>
        <v>0.5</v>
      </c>
      <c r="R315" s="173">
        <f t="shared" si="106"/>
        <v>0.99239853547586199</v>
      </c>
      <c r="S315" s="802">
        <f t="shared" si="107"/>
        <v>1</v>
      </c>
      <c r="T315" s="172">
        <f t="shared" si="108"/>
        <v>7</v>
      </c>
      <c r="U315" s="247">
        <f t="shared" si="109"/>
        <v>1.992398535475862</v>
      </c>
      <c r="V315" s="378">
        <f t="shared" si="110"/>
        <v>29.303100134081692</v>
      </c>
      <c r="W315" s="397">
        <f t="shared" si="111"/>
        <v>16.900161912276204</v>
      </c>
      <c r="X315" s="153">
        <f t="shared" si="112"/>
        <v>45958</v>
      </c>
      <c r="Y315" s="380">
        <f t="shared" si="113"/>
        <v>16.32024020358373</v>
      </c>
      <c r="Z315" s="380">
        <f t="shared" si="114"/>
        <v>16.644233771871328</v>
      </c>
      <c r="AA315" s="381">
        <f t="shared" si="115"/>
        <v>17.453933294473554</v>
      </c>
      <c r="AB315" s="193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4.63906621471162E-2</v>
      </c>
      <c r="AD315" s="227">
        <f>(INDEX(Models!$BJ315:$BT315,,AH315)*(1-AF315)+INDEX(Models!$BJ315:$BT315,,AH315+1)*AF315-ERP_i)*AE315*Ramure*Pc/MaxiM</f>
        <v>2.7458685936739996E-3</v>
      </c>
      <c r="AE315" s="301">
        <f t="shared" si="117"/>
        <v>0.5</v>
      </c>
      <c r="AF315" s="173">
        <f t="shared" si="118"/>
        <v>0.99239853547586199</v>
      </c>
      <c r="AG315" s="802">
        <f t="shared" si="124"/>
        <v>1</v>
      </c>
      <c r="AH315" s="172">
        <f t="shared" si="119"/>
        <v>7</v>
      </c>
      <c r="AI315" s="221">
        <f t="shared" si="120"/>
        <v>1.992398535475862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45959</v>
      </c>
      <c r="B316" s="406">
        <f>'2024'!Wh/'2024'!Env_an*'2025'!Env_an</f>
        <v>23.772387579512351</v>
      </c>
      <c r="C316" s="385"/>
      <c r="D316" s="388">
        <f t="shared" si="102"/>
        <v>24.244654965905827</v>
      </c>
      <c r="E316" s="380">
        <f t="shared" si="125"/>
        <v>24.553039872045641</v>
      </c>
      <c r="F316" s="380">
        <f t="shared" si="103"/>
        <v>24.612357972294959</v>
      </c>
      <c r="G316" s="110">
        <f t="shared" si="126"/>
        <v>0.82123316557744896</v>
      </c>
      <c r="H316" s="409" t="b">
        <f>Wh_hp&gt;='2024'!Maxi_hp</f>
        <v>0</v>
      </c>
      <c r="I316" s="375">
        <f>IF(H316,Wh_hp,'2024'!Maxi_hp)</f>
        <v>24.628264313045676</v>
      </c>
      <c r="J316" s="85">
        <f>IF(H316,An,'2024'!An_max)</f>
        <v>2022</v>
      </c>
      <c r="K316" s="193">
        <f t="shared" si="104"/>
        <v>45959</v>
      </c>
      <c r="L316" s="143">
        <f>IF(t&lt;Tvie,1-EXP((T0-t)*PertePVj)+'2024'!Pspv,1-EXP((T0-t)*PertePVj)+Pspv)</f>
        <v>1.9479237261062488E-2</v>
      </c>
      <c r="M316" s="836"/>
      <c r="N316" s="836"/>
      <c r="O316" s="48">
        <f>IF(t&lt;Tnet,'2024'!Resal+('2024'!Salim-'2024'!Resal)*(1-EXP(('2024'!Tnet-t)/('2024'!Tau_j))),Resal+(Salim-Resal)*(1-EXP((Tnet-t)/(Tau_j))))*Salcycl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3.2324798636469356E-3</v>
      </c>
      <c r="Q316" s="301">
        <f t="shared" si="105"/>
        <v>0.5</v>
      </c>
      <c r="R316" s="173">
        <f t="shared" si="106"/>
        <v>0.99246210471309815</v>
      </c>
      <c r="S316" s="802">
        <f t="shared" si="107"/>
        <v>1</v>
      </c>
      <c r="T316" s="172">
        <f t="shared" si="108"/>
        <v>7</v>
      </c>
      <c r="U316" s="247">
        <f t="shared" si="109"/>
        <v>1.9924621047130981</v>
      </c>
      <c r="V316" s="378">
        <f t="shared" si="110"/>
        <v>28.923320771894719</v>
      </c>
      <c r="W316" s="397">
        <f t="shared" si="111"/>
        <v>23.772387579512351</v>
      </c>
      <c r="X316" s="153">
        <f t="shared" si="112"/>
        <v>45959</v>
      </c>
      <c r="Y316" s="380">
        <f t="shared" si="113"/>
        <v>22.957916406308023</v>
      </c>
      <c r="Z316" s="380">
        <f t="shared" si="114"/>
        <v>23.414003332452165</v>
      </c>
      <c r="AA316" s="381">
        <f t="shared" si="115"/>
        <v>24.553039872045641</v>
      </c>
      <c r="AB316" s="193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4.6390856102926002E-2</v>
      </c>
      <c r="AD316" s="227">
        <f>(INDEX(Models!$BJ316:$BT316,,AH316)*(1-AF316)+INDEX(Models!$BJ316:$BT316,,AH316+1)*AF316-ERP_i)*AE316*Ramure*Pc/MaxiM</f>
        <v>3.2324798636469356E-3</v>
      </c>
      <c r="AE316" s="301">
        <f t="shared" si="117"/>
        <v>0.5</v>
      </c>
      <c r="AF316" s="173">
        <f t="shared" si="118"/>
        <v>0.99246210471309815</v>
      </c>
      <c r="AG316" s="802">
        <f t="shared" si="124"/>
        <v>1</v>
      </c>
      <c r="AH316" s="172">
        <f t="shared" si="119"/>
        <v>7</v>
      </c>
      <c r="AI316" s="221">
        <f t="shared" si="120"/>
        <v>1.9924621047130981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45960</v>
      </c>
      <c r="B317" s="406">
        <f>'2024'!Wh/'2024'!Env_an*'2025'!Env_an</f>
        <v>20.813001459908762</v>
      </c>
      <c r="C317" s="385"/>
      <c r="D317" s="388">
        <f t="shared" si="102"/>
        <v>21.226767619058126</v>
      </c>
      <c r="E317" s="380">
        <f t="shared" si="125"/>
        <v>21.497953531620389</v>
      </c>
      <c r="F317" s="380">
        <f t="shared" si="103"/>
        <v>21.547819926435487</v>
      </c>
      <c r="G317" s="110">
        <f t="shared" si="126"/>
        <v>0.72807841290557795</v>
      </c>
      <c r="H317" s="409" t="b">
        <f>Wh_hp&gt;='2024'!Maxi_hp</f>
        <v>0</v>
      </c>
      <c r="I317" s="375">
        <f>IF(H317,Wh_hp,'2024'!Maxi_hp)</f>
        <v>21.572507516990949</v>
      </c>
      <c r="J317" s="85">
        <f>IF(H317,An,'2024'!An_max)</f>
        <v>2022</v>
      </c>
      <c r="K317" s="193">
        <f t="shared" si="104"/>
        <v>45960</v>
      </c>
      <c r="L317" s="143">
        <f>IF(t&lt;Tvie,1-EXP((T0-t)*PertePVj)+'2024'!Pspv,1-EXP((T0-t)*PertePVj)+Pspv)</f>
        <v>1.9492659766900622E-2</v>
      </c>
      <c r="M317" s="836"/>
      <c r="N317" s="836"/>
      <c r="O317" s="48">
        <f>IF(t&lt;Tnet,'2024'!Resal+('2024'!Salim-'2024'!Resal)*(1-EXP(('2024'!Tnet-t)/('2024'!Tau_j))),Resal+(Salim-Resal)*(1-EXP((Tnet-t)/(Tau_j))))*Salcycl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3.7748328265651524E-3</v>
      </c>
      <c r="Q317" s="301">
        <f t="shared" si="105"/>
        <v>0.5</v>
      </c>
      <c r="R317" s="173">
        <f t="shared" si="106"/>
        <v>0.99252312969314072</v>
      </c>
      <c r="S317" s="802">
        <f t="shared" si="107"/>
        <v>1</v>
      </c>
      <c r="T317" s="172">
        <f t="shared" si="108"/>
        <v>7</v>
      </c>
      <c r="U317" s="247">
        <f t="shared" si="109"/>
        <v>1.9925231296931407</v>
      </c>
      <c r="V317" s="378">
        <f t="shared" si="110"/>
        <v>28.544358463028651</v>
      </c>
      <c r="W317" s="397">
        <f t="shared" si="111"/>
        <v>20.813001459908762</v>
      </c>
      <c r="X317" s="153">
        <f t="shared" si="112"/>
        <v>45960</v>
      </c>
      <c r="Y317" s="380">
        <f t="shared" si="113"/>
        <v>20.101033796938509</v>
      </c>
      <c r="Z317" s="380">
        <f t="shared" si="114"/>
        <v>20.500645912716799</v>
      </c>
      <c r="AA317" s="381">
        <f t="shared" si="115"/>
        <v>21.497953531620389</v>
      </c>
      <c r="AB317" s="193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4.6390816569432801E-2</v>
      </c>
      <c r="AD317" s="227">
        <f>(INDEX(Models!$BJ317:$BT317,,AH317)*(1-AF317)+INDEX(Models!$BJ317:$BT317,,AH317+1)*AF317-ERP_i)*AE317*Ramure*Pc/MaxiM</f>
        <v>3.7748328265651524E-3</v>
      </c>
      <c r="AE317" s="301">
        <f t="shared" si="117"/>
        <v>0.5</v>
      </c>
      <c r="AF317" s="173">
        <f t="shared" si="118"/>
        <v>0.99252312969314072</v>
      </c>
      <c r="AG317" s="802">
        <f t="shared" si="124"/>
        <v>1</v>
      </c>
      <c r="AH317" s="172">
        <f t="shared" si="119"/>
        <v>7</v>
      </c>
      <c r="AI317" s="221">
        <f t="shared" si="120"/>
        <v>1.9925231296931407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45961</v>
      </c>
      <c r="B318" s="406">
        <f>'2024'!Wh/'2024'!Env_an*'2025'!Env_an</f>
        <v>19.960840353601231</v>
      </c>
      <c r="C318" s="385"/>
      <c r="D318" s="388">
        <f t="shared" si="102"/>
        <v>20.357944082028464</v>
      </c>
      <c r="E318" s="380">
        <f t="shared" si="125"/>
        <v>20.619165656608711</v>
      </c>
      <c r="F318" s="380">
        <f t="shared" si="103"/>
        <v>20.671794772899677</v>
      </c>
      <c r="G318" s="110">
        <f t="shared" si="126"/>
        <v>0.7074178341690236</v>
      </c>
      <c r="H318" s="409" t="b">
        <f>Wh_hp&gt;='2024'!Maxi_hp</f>
        <v>0</v>
      </c>
      <c r="I318" s="375">
        <f>IF(H318,Wh_hp,'2024'!Maxi_hp)</f>
        <v>20.701155143834445</v>
      </c>
      <c r="J318" s="85">
        <f>IF(H318,An,'2024'!An_max)</f>
        <v>2022</v>
      </c>
      <c r="K318" s="193">
        <f t="shared" si="104"/>
        <v>45961</v>
      </c>
      <c r="L318" s="143">
        <f>IF(t&lt;Tvie,1-EXP((T0-t)*PertePVj)+'2024'!Pspv,1-EXP((T0-t)*PertePVj)+Pspv)</f>
        <v>1.9506082088995846E-2</v>
      </c>
      <c r="M318" s="836"/>
      <c r="N318" s="836"/>
      <c r="O318" s="48">
        <f>IF(t&lt;Tnet,'2024'!Resal+('2024'!Salim-'2024'!Resal)*(1-EXP(('2024'!Tnet-t)/('2024'!Tau_j))),Resal+(Salim-Resal)*(1-EXP((Tnet-t)/(Tau_j))))*Salcycl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4.3604745905750936E-3</v>
      </c>
      <c r="Q318" s="301">
        <f t="shared" si="105"/>
        <v>0.5</v>
      </c>
      <c r="R318" s="173">
        <f t="shared" si="106"/>
        <v>0.99258171165900166</v>
      </c>
      <c r="S318" s="802">
        <f t="shared" si="107"/>
        <v>1</v>
      </c>
      <c r="T318" s="172">
        <f t="shared" si="108"/>
        <v>7</v>
      </c>
      <c r="U318" s="247">
        <f t="shared" si="109"/>
        <v>1.9925817116590017</v>
      </c>
      <c r="V318" s="378">
        <f t="shared" si="110"/>
        <v>28.165148340592715</v>
      </c>
      <c r="W318" s="397">
        <f t="shared" si="111"/>
        <v>19.960840353601231</v>
      </c>
      <c r="X318" s="153">
        <f t="shared" si="112"/>
        <v>45961</v>
      </c>
      <c r="Y318" s="380">
        <f t="shared" si="113"/>
        <v>19.279089541611278</v>
      </c>
      <c r="Z318" s="380">
        <f t="shared" si="114"/>
        <v>19.662630424762277</v>
      </c>
      <c r="AA318" s="381">
        <f t="shared" si="115"/>
        <v>20.619165656608711</v>
      </c>
      <c r="AB318" s="193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4.6390588628878481E-2</v>
      </c>
      <c r="AD318" s="227">
        <f>(INDEX(Models!$BJ318:$BT318,,AH318)*(1-AF318)+INDEX(Models!$BJ318:$BT318,,AH318+1)*AF318-ERP_i)*AE318*Ramure*Pc/MaxiM</f>
        <v>4.3604745905750936E-3</v>
      </c>
      <c r="AE318" s="301">
        <f t="shared" si="117"/>
        <v>0.5</v>
      </c>
      <c r="AF318" s="173">
        <f t="shared" si="118"/>
        <v>0.99258171165900166</v>
      </c>
      <c r="AG318" s="802">
        <f t="shared" si="124"/>
        <v>1</v>
      </c>
      <c r="AH318" s="172">
        <f t="shared" si="119"/>
        <v>7</v>
      </c>
      <c r="AI318" s="221">
        <f t="shared" si="120"/>
        <v>1.9925817116590017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45962</v>
      </c>
      <c r="B319" s="406">
        <f>'2024'!Wh/'2024'!Env_an*'2025'!Env_an</f>
        <v>18.19676145582654</v>
      </c>
      <c r="C319" s="385"/>
      <c r="D319" s="388">
        <f t="shared" si="102"/>
        <v>18.559024411277985</v>
      </c>
      <c r="E319" s="380">
        <f t="shared" si="125"/>
        <v>18.79819535867253</v>
      </c>
      <c r="F319" s="380">
        <f t="shared" si="103"/>
        <v>18.845682950426468</v>
      </c>
      <c r="G319" s="110">
        <f t="shared" si="126"/>
        <v>0.65326200970964665</v>
      </c>
      <c r="H319" s="409" t="b">
        <f>Wh_hp&gt;='2024'!Maxi_hp</f>
        <v>0</v>
      </c>
      <c r="I319" s="375">
        <f>IF(H319,Wh_hp,'2024'!Maxi_hp)</f>
        <v>18.881740725335344</v>
      </c>
      <c r="J319" s="85">
        <f>IF(H319,An,'2024'!An_max)</f>
        <v>2022</v>
      </c>
      <c r="K319" s="193">
        <f t="shared" si="104"/>
        <v>45962</v>
      </c>
      <c r="L319" s="143">
        <f>IF(t&lt;Tvie,1-EXP((T0-t)*PertePVj)+'2024'!Pspv,1-EXP((T0-t)*PertePVj)+Pspv)</f>
        <v>1.9519504227350715E-2</v>
      </c>
      <c r="M319" s="836"/>
      <c r="N319" s="836"/>
      <c r="O319" s="48">
        <f>IF(t&lt;Tnet,'2024'!Resal+('2024'!Salim-'2024'!Resal)*(1-EXP(('2024'!Tnet-t)/('2024'!Tau_j))),Resal+(Salim-Resal)*(1-EXP((Tnet-t)/(Tau_j))))*Salcycl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4.970452150161459E-3</v>
      </c>
      <c r="Q319" s="301">
        <f t="shared" si="105"/>
        <v>0.5</v>
      </c>
      <c r="R319" s="173">
        <f t="shared" si="106"/>
        <v>0.99263794787114334</v>
      </c>
      <c r="S319" s="802">
        <f t="shared" si="107"/>
        <v>1</v>
      </c>
      <c r="T319" s="172">
        <f t="shared" si="108"/>
        <v>7</v>
      </c>
      <c r="U319" s="247">
        <f t="shared" si="109"/>
        <v>1.9926379478711433</v>
      </c>
      <c r="V319" s="378">
        <f t="shared" si="110"/>
        <v>27.786791262003575</v>
      </c>
      <c r="W319" s="397">
        <f t="shared" si="111"/>
        <v>18.19676145582654</v>
      </c>
      <c r="X319" s="153">
        <f t="shared" si="112"/>
        <v>45962</v>
      </c>
      <c r="Y319" s="380">
        <f t="shared" si="113"/>
        <v>17.576233545773217</v>
      </c>
      <c r="Z319" s="380">
        <f t="shared" si="114"/>
        <v>17.926142969241418</v>
      </c>
      <c r="AA319" s="381">
        <f t="shared" si="115"/>
        <v>18.79819535867253</v>
      </c>
      <c r="AB319" s="193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4.6390218464709733E-2</v>
      </c>
      <c r="AD319" s="227">
        <f>(INDEX(Models!$BJ319:$BT319,,AH319)*(1-AF319)+INDEX(Models!$BJ319:$BT319,,AH319+1)*AF319-ERP_i)*AE319*Ramure*Pc/MaxiM</f>
        <v>4.970452150161459E-3</v>
      </c>
      <c r="AE319" s="301">
        <f t="shared" si="117"/>
        <v>0.5</v>
      </c>
      <c r="AF319" s="173">
        <f t="shared" si="118"/>
        <v>0.99263794787114334</v>
      </c>
      <c r="AG319" s="802">
        <f t="shared" si="124"/>
        <v>1</v>
      </c>
      <c r="AH319" s="172">
        <f t="shared" si="119"/>
        <v>7</v>
      </c>
      <c r="AI319" s="221">
        <f t="shared" si="120"/>
        <v>1.9926379478711433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45963</v>
      </c>
      <c r="B320" s="406">
        <f>'2024'!Wh/'2024'!Env_an*'2025'!Env_an</f>
        <v>25.182410014158656</v>
      </c>
      <c r="C320" s="385"/>
      <c r="D320" s="388">
        <f t="shared" si="102"/>
        <v>25.684095556718649</v>
      </c>
      <c r="E320" s="380">
        <f t="shared" si="125"/>
        <v>26.016512066681539</v>
      </c>
      <c r="F320" s="380">
        <f t="shared" si="103"/>
        <v>26.146052268008965</v>
      </c>
      <c r="G320" s="110">
        <f t="shared" si="126"/>
        <v>0.91813582213021949</v>
      </c>
      <c r="H320" s="409" t="b">
        <f>Wh_hp&gt;='2024'!Maxi_hp</f>
        <v>0</v>
      </c>
      <c r="I320" s="375">
        <f>IF(H320,Wh_hp,'2024'!Maxi_hp)</f>
        <v>26.159305907233136</v>
      </c>
      <c r="J320" s="85">
        <f>IF(H320,An,'2024'!An_max)</f>
        <v>2022</v>
      </c>
      <c r="K320" s="193">
        <f t="shared" si="104"/>
        <v>45963</v>
      </c>
      <c r="L320" s="143">
        <f>IF(t&lt;Tvie,1-EXP((T0-t)*PertePVj)+'2024'!Pspv,1-EXP((T0-t)*PertePVj)+Pspv)</f>
        <v>1.9532926181967891E-2</v>
      </c>
      <c r="M320" s="836"/>
      <c r="N320" s="836"/>
      <c r="O320" s="48">
        <f>IF(t&lt;Tnet,'2024'!Resal+('2024'!Salim-'2024'!Resal)*(1-EXP(('2024'!Tnet-t)/('2024'!Tau_j))),Resal+(Salim-Resal)*(1-EXP((Tnet-t)/(Tau_j))))*Salcycl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5.6051940868108302E-3</v>
      </c>
      <c r="Q320" s="301">
        <f t="shared" si="105"/>
        <v>0.5</v>
      </c>
      <c r="R320" s="173">
        <f t="shared" si="106"/>
        <v>0.99269193176049741</v>
      </c>
      <c r="S320" s="802">
        <f t="shared" si="107"/>
        <v>1</v>
      </c>
      <c r="T320" s="172">
        <f t="shared" si="108"/>
        <v>7</v>
      </c>
      <c r="U320" s="247">
        <f t="shared" si="109"/>
        <v>1.9926919317604974</v>
      </c>
      <c r="V320" s="378">
        <f t="shared" si="110"/>
        <v>27.409824747399259</v>
      </c>
      <c r="W320" s="397">
        <f t="shared" si="111"/>
        <v>25.182410014158656</v>
      </c>
      <c r="X320" s="153">
        <f t="shared" si="112"/>
        <v>45963</v>
      </c>
      <c r="Y320" s="380">
        <f t="shared" si="113"/>
        <v>24.325008164187626</v>
      </c>
      <c r="Z320" s="380">
        <f t="shared" si="114"/>
        <v>24.809612493628908</v>
      </c>
      <c r="AA320" s="381">
        <f t="shared" si="115"/>
        <v>26.016512066681539</v>
      </c>
      <c r="AB320" s="193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4.6389753167499555E-2</v>
      </c>
      <c r="AD320" s="227">
        <f>(INDEX(Models!$BJ320:$BT320,,AH320)*(1-AF320)+INDEX(Models!$BJ320:$BT320,,AH320+1)*AF320-ERP_i)*AE320*Ramure*Pc/MaxiM</f>
        <v>5.6051940868108302E-3</v>
      </c>
      <c r="AE320" s="301">
        <f t="shared" si="117"/>
        <v>0.5</v>
      </c>
      <c r="AF320" s="173">
        <f t="shared" si="118"/>
        <v>0.99269193176049741</v>
      </c>
      <c r="AG320" s="802">
        <f t="shared" si="124"/>
        <v>1</v>
      </c>
      <c r="AH320" s="172">
        <f t="shared" si="119"/>
        <v>7</v>
      </c>
      <c r="AI320" s="221">
        <f t="shared" si="120"/>
        <v>1.9926919317604974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45964</v>
      </c>
      <c r="B321" s="406">
        <f>'2024'!Wh/'2024'!Env_an*'2025'!Env_an</f>
        <v>9.131769695692828</v>
      </c>
      <c r="C321" s="385"/>
      <c r="D321" s="388">
        <f t="shared" si="102"/>
        <v>9.3138208793715407</v>
      </c>
      <c r="E321" s="380">
        <f t="shared" si="125"/>
        <v>9.4348803243622559</v>
      </c>
      <c r="F321" s="380">
        <f t="shared" si="103"/>
        <v>9.4380715638363686</v>
      </c>
      <c r="G321" s="110">
        <f t="shared" si="126"/>
        <v>0.33577582597160444</v>
      </c>
      <c r="H321" s="409" t="b">
        <f>Wh_hp&gt;='2024'!Maxi_hp</f>
        <v>0</v>
      </c>
      <c r="I321" s="375">
        <f>IF(H321,Wh_hp,'2024'!Maxi_hp)</f>
        <v>9.4814767533858237</v>
      </c>
      <c r="J321" s="85">
        <f>IF(H321,An,'2024'!An_max)</f>
        <v>2022</v>
      </c>
      <c r="K321" s="193">
        <f t="shared" si="104"/>
        <v>45964</v>
      </c>
      <c r="L321" s="143">
        <f>IF(t&lt;Tvie,1-EXP((T0-t)*PertePVj)+'2024'!Pspv,1-EXP((T0-t)*PertePVj)+Pspv)</f>
        <v>1.9546347952849707E-2</v>
      </c>
      <c r="M321" s="836"/>
      <c r="N321" s="836"/>
      <c r="O321" s="48">
        <f>IF(t&lt;Tnet,'2024'!Resal+('2024'!Salim-'2024'!Resal)*(1-EXP(('2024'!Tnet-t)/('2024'!Tau_j))),Resal+(Salim-Resal)*(1-EXP((Tnet-t)/(Tau_j))))*Salcycl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6.2651185376037238E-3</v>
      </c>
      <c r="Q321" s="301">
        <f t="shared" si="105"/>
        <v>0.5</v>
      </c>
      <c r="R321" s="173">
        <f t="shared" si="106"/>
        <v>0.99274375307589069</v>
      </c>
      <c r="S321" s="802">
        <f t="shared" si="107"/>
        <v>1</v>
      </c>
      <c r="T321" s="172">
        <f t="shared" si="108"/>
        <v>7</v>
      </c>
      <c r="U321" s="247">
        <f t="shared" si="109"/>
        <v>1.9927437530758907</v>
      </c>
      <c r="V321" s="378">
        <f t="shared" si="110"/>
        <v>27.034785528269303</v>
      </c>
      <c r="W321" s="397">
        <f t="shared" si="111"/>
        <v>9.131769695692828</v>
      </c>
      <c r="X321" s="153">
        <f t="shared" si="112"/>
        <v>45964</v>
      </c>
      <c r="Y321" s="380">
        <f t="shared" si="113"/>
        <v>8.8213409235044313</v>
      </c>
      <c r="Z321" s="380">
        <f t="shared" si="114"/>
        <v>8.9972033915991894</v>
      </c>
      <c r="AA321" s="381">
        <f t="shared" si="115"/>
        <v>9.4348803243622559</v>
      </c>
      <c r="AB321" s="193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4.6389240532592697E-2</v>
      </c>
      <c r="AD321" s="227">
        <f>(INDEX(Models!$BJ321:$BT321,,AH321)*(1-AF321)+INDEX(Models!$BJ321:$BT321,,AH321+1)*AF321-ERP_i)*AE321*Ramure*Pc/MaxiM</f>
        <v>6.2651185376037238E-3</v>
      </c>
      <c r="AE321" s="301">
        <f t="shared" si="117"/>
        <v>0.5</v>
      </c>
      <c r="AF321" s="173">
        <f t="shared" si="118"/>
        <v>0.99274375307589069</v>
      </c>
      <c r="AG321" s="802">
        <f t="shared" si="124"/>
        <v>1</v>
      </c>
      <c r="AH321" s="172">
        <f t="shared" si="119"/>
        <v>7</v>
      </c>
      <c r="AI321" s="221">
        <f t="shared" si="120"/>
        <v>1.9927437530758907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45965</v>
      </c>
      <c r="B322" s="406">
        <f>'2024'!Wh/'2024'!Env_an*'2025'!Env_an</f>
        <v>12.668129133877658</v>
      </c>
      <c r="C322" s="385"/>
      <c r="D322" s="388">
        <f t="shared" si="102"/>
        <v>12.920858141382109</v>
      </c>
      <c r="E322" s="380">
        <f t="shared" si="125"/>
        <v>13.089514490792192</v>
      </c>
      <c r="F322" s="380">
        <f t="shared" si="103"/>
        <v>13.112316684044512</v>
      </c>
      <c r="G322" s="110">
        <f t="shared" si="126"/>
        <v>0.47265371645359538</v>
      </c>
      <c r="H322" s="409" t="b">
        <f>Wh_hp&gt;='2024'!Maxi_hp</f>
        <v>0</v>
      </c>
      <c r="I322" s="375">
        <f>IF(H322,Wh_hp,'2024'!Maxi_hp)</f>
        <v>13.165201026271244</v>
      </c>
      <c r="J322" s="85">
        <f>IF(H322,An,'2024'!An_max)</f>
        <v>2022</v>
      </c>
      <c r="K322" s="193">
        <f t="shared" si="104"/>
        <v>45965</v>
      </c>
      <c r="L322" s="143">
        <f>IF(t&lt;Tvie,1-EXP((T0-t)*PertePVj)+'2024'!Pspv,1-EXP((T0-t)*PertePVj)+Pspv)</f>
        <v>1.9559769539998717E-2</v>
      </c>
      <c r="M322" s="836"/>
      <c r="N322" s="836"/>
      <c r="O322" s="48">
        <f>IF(t&lt;Tnet,'2024'!Resal+('2024'!Salim-'2024'!Resal)*(1-EXP(('2024'!Tnet-t)/('2024'!Tau_j))),Resal+(Salim-Resal)*(1-EXP((Tnet-t)/(Tau_j))))*Salcycl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6.9506292740331849E-3</v>
      </c>
      <c r="Q322" s="301">
        <f t="shared" si="105"/>
        <v>0.5</v>
      </c>
      <c r="R322" s="173">
        <f t="shared" si="106"/>
        <v>0.99279349802606309</v>
      </c>
      <c r="S322" s="802">
        <f t="shared" si="107"/>
        <v>1</v>
      </c>
      <c r="T322" s="172">
        <f t="shared" si="108"/>
        <v>7</v>
      </c>
      <c r="U322" s="247">
        <f t="shared" si="109"/>
        <v>1.9927934980260631</v>
      </c>
      <c r="V322" s="378">
        <f t="shared" si="110"/>
        <v>26.662209499690793</v>
      </c>
      <c r="W322" s="397">
        <f t="shared" si="111"/>
        <v>12.668129133877658</v>
      </c>
      <c r="X322" s="153">
        <f t="shared" si="112"/>
        <v>45965</v>
      </c>
      <c r="Y322" s="380">
        <f t="shared" si="113"/>
        <v>12.238157473680287</v>
      </c>
      <c r="Z322" s="380">
        <f t="shared" si="114"/>
        <v>12.48230855229024</v>
      </c>
      <c r="AA322" s="381">
        <f t="shared" si="115"/>
        <v>13.089514490792192</v>
      </c>
      <c r="AB322" s="193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4.6388728850798165E-2</v>
      </c>
      <c r="AD322" s="227">
        <f>(INDEX(Models!$BJ322:$BT322,,AH322)*(1-AF322)+INDEX(Models!$BJ322:$BT322,,AH322+1)*AF322-ERP_i)*AE322*Ramure*Pc/MaxiM</f>
        <v>6.9506292740331849E-3</v>
      </c>
      <c r="AE322" s="301">
        <f t="shared" si="117"/>
        <v>0.5</v>
      </c>
      <c r="AF322" s="173">
        <f t="shared" si="118"/>
        <v>0.99279349802606309</v>
      </c>
      <c r="AG322" s="802">
        <f t="shared" si="124"/>
        <v>1</v>
      </c>
      <c r="AH322" s="172">
        <f t="shared" si="119"/>
        <v>7</v>
      </c>
      <c r="AI322" s="221">
        <f t="shared" si="120"/>
        <v>1.9927934980260631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45966</v>
      </c>
      <c r="B323" s="406">
        <f>'2024'!Wh/'2024'!Env_an*'2025'!Env_an</f>
        <v>25.51722371080286</v>
      </c>
      <c r="C323" s="385"/>
      <c r="D323" s="388">
        <f t="shared" si="102"/>
        <v>26.026648266949017</v>
      </c>
      <c r="E323" s="380">
        <f t="shared" si="125"/>
        <v>26.367808783918395</v>
      </c>
      <c r="F323" s="380">
        <f t="shared" si="103"/>
        <v>26.562760893148862</v>
      </c>
      <c r="G323" s="110">
        <f t="shared" si="126"/>
        <v>0.97019293933008943</v>
      </c>
      <c r="H323" s="409" t="b">
        <f>Wh_hp&gt;='2024'!Maxi_hp</f>
        <v>0</v>
      </c>
      <c r="I323" s="375">
        <f>IF(H323,Wh_hp,'2024'!Maxi_hp)</f>
        <v>26.569385595807791</v>
      </c>
      <c r="J323" s="85">
        <f>IF(H323,An,'2024'!An_max)</f>
        <v>2022</v>
      </c>
      <c r="K323" s="193">
        <f t="shared" si="104"/>
        <v>45966</v>
      </c>
      <c r="L323" s="143">
        <f>IF(t&lt;Tvie,1-EXP((T0-t)*PertePVj)+'2024'!Pspv,1-EXP((T0-t)*PertePVj)+Pspv)</f>
        <v>1.9573190943417473E-2</v>
      </c>
      <c r="M323" s="836"/>
      <c r="N323" s="836"/>
      <c r="O323" s="48">
        <f>IF(t&lt;Tnet,'2024'!Resal+('2024'!Salim-'2024'!Resal)*(1-EXP(('2024'!Tnet-t)/('2024'!Tau_j))),Resal+(Salim-Resal)*(1-EXP((Tnet-t)/(Tau_j))))*Salcycl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7.6621111591570791E-3</v>
      </c>
      <c r="Q323" s="301">
        <f t="shared" si="105"/>
        <v>0.5</v>
      </c>
      <c r="R323" s="173">
        <f t="shared" si="106"/>
        <v>0.99284124941645246</v>
      </c>
      <c r="S323" s="802">
        <f t="shared" si="107"/>
        <v>1</v>
      </c>
      <c r="T323" s="172">
        <f t="shared" si="108"/>
        <v>7</v>
      </c>
      <c r="U323" s="247">
        <f t="shared" si="109"/>
        <v>1.9928412494164525</v>
      </c>
      <c r="V323" s="378">
        <f t="shared" si="110"/>
        <v>26.292631667906637</v>
      </c>
      <c r="W323" s="397">
        <f t="shared" si="111"/>
        <v>25.51722371080286</v>
      </c>
      <c r="X323" s="153">
        <f t="shared" si="112"/>
        <v>45966</v>
      </c>
      <c r="Y323" s="380">
        <f t="shared" si="113"/>
        <v>24.652490766296715</v>
      </c>
      <c r="Z323" s="380">
        <f t="shared" si="114"/>
        <v>25.144651837926197</v>
      </c>
      <c r="AA323" s="381">
        <f t="shared" si="115"/>
        <v>26.367808783918395</v>
      </c>
      <c r="AB323" s="193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4.6388266693522036E-2</v>
      </c>
      <c r="AD323" s="227">
        <f>(INDEX(Models!$BJ323:$BT323,,AH323)*(1-AF323)+INDEX(Models!$BJ323:$BT323,,AH323+1)*AF323-ERP_i)*AE323*Ramure*Pc/MaxiM</f>
        <v>7.6621111591570791E-3</v>
      </c>
      <c r="AE323" s="301">
        <f t="shared" si="117"/>
        <v>0.5</v>
      </c>
      <c r="AF323" s="173">
        <f t="shared" si="118"/>
        <v>0.99284124941645246</v>
      </c>
      <c r="AG323" s="802">
        <f t="shared" si="124"/>
        <v>1</v>
      </c>
      <c r="AH323" s="172">
        <f t="shared" si="119"/>
        <v>7</v>
      </c>
      <c r="AI323" s="221">
        <f t="shared" si="120"/>
        <v>1.9928412494164525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45967</v>
      </c>
      <c r="B324" s="406">
        <f>'2024'!Wh/'2024'!Env_an*'2025'!Env_an</f>
        <v>25.566905335719234</v>
      </c>
      <c r="C324" s="385"/>
      <c r="D324" s="388">
        <f t="shared" si="102"/>
        <v>26.077678714820575</v>
      </c>
      <c r="E324" s="380">
        <f t="shared" si="125"/>
        <v>26.420942406046006</v>
      </c>
      <c r="F324" s="380">
        <f t="shared" si="103"/>
        <v>26.639169233328111</v>
      </c>
      <c r="G324" s="110">
        <f t="shared" si="126"/>
        <v>0.98592017122402187</v>
      </c>
      <c r="H324" s="409" t="b">
        <f>Wh_hp&gt;='2024'!Maxi_hp</f>
        <v>0</v>
      </c>
      <c r="I324" s="375">
        <f>IF(H324,Wh_hp,'2024'!Maxi_hp)</f>
        <v>26.642580367893142</v>
      </c>
      <c r="J324" s="85">
        <f>IF(H324,An,'2024'!An_max)</f>
        <v>2022</v>
      </c>
      <c r="K324" s="193">
        <f t="shared" si="104"/>
        <v>45967</v>
      </c>
      <c r="L324" s="143">
        <f>IF(t&lt;Tvie,1-EXP((T0-t)*PertePVj)+'2024'!Pspv,1-EXP((T0-t)*PertePVj)+Pspv)</f>
        <v>1.958661216310853E-2</v>
      </c>
      <c r="M324" s="836"/>
      <c r="N324" s="836"/>
      <c r="O324" s="48">
        <f>IF(t&lt;Tnet,'2024'!Resal+('2024'!Salim-'2024'!Resal)*(1-EXP(('2024'!Tnet-t)/('2024'!Tau_j))),Resal+(Salim-Resal)*(1-EXP((Tnet-t)/(Tau_j))))*Salcycl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8.3580959507459657E-3</v>
      </c>
      <c r="Q324" s="301">
        <f t="shared" si="105"/>
        <v>0.5</v>
      </c>
      <c r="R324" s="173">
        <f t="shared" si="106"/>
        <v>0.99288708678092163</v>
      </c>
      <c r="S324" s="802">
        <f t="shared" si="107"/>
        <v>1</v>
      </c>
      <c r="T324" s="172">
        <f t="shared" si="108"/>
        <v>7</v>
      </c>
      <c r="U324" s="247">
        <f t="shared" si="109"/>
        <v>1.9928870867809216</v>
      </c>
      <c r="V324" s="378">
        <f t="shared" si="110"/>
        <v>25.927679786507245</v>
      </c>
      <c r="W324" s="397">
        <f t="shared" si="111"/>
        <v>25.566905335719234</v>
      </c>
      <c r="X324" s="153">
        <f t="shared" si="112"/>
        <v>45967</v>
      </c>
      <c r="Y324" s="380">
        <f t="shared" si="113"/>
        <v>24.701839137716064</v>
      </c>
      <c r="Z324" s="380">
        <f t="shared" si="114"/>
        <v>25.195330300636037</v>
      </c>
      <c r="AA324" s="381">
        <f t="shared" si="115"/>
        <v>26.420942406046006</v>
      </c>
      <c r="AB324" s="193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4.6387902693792886E-2</v>
      </c>
      <c r="AD324" s="227">
        <f>(INDEX(Models!$BJ324:$BT324,,AH324)*(1-AF324)+INDEX(Models!$BJ324:$BT324,,AH324+1)*AF324-ERP_i)*AE324*Ramure*Pc/MaxiM</f>
        <v>8.3580959507459657E-3</v>
      </c>
      <c r="AE324" s="301">
        <f t="shared" si="117"/>
        <v>0.5</v>
      </c>
      <c r="AF324" s="173">
        <f t="shared" si="118"/>
        <v>0.99288708678092163</v>
      </c>
      <c r="AG324" s="802">
        <f t="shared" si="124"/>
        <v>1</v>
      </c>
      <c r="AH324" s="172">
        <f t="shared" si="119"/>
        <v>7</v>
      </c>
      <c r="AI324" s="221">
        <f t="shared" si="120"/>
        <v>1.9928870867809216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45968</v>
      </c>
      <c r="B325" s="406">
        <f>'2024'!Wh/'2024'!Env_an*'2025'!Env_an</f>
        <v>25.352795400411924</v>
      </c>
      <c r="C325" s="385"/>
      <c r="D325" s="388">
        <f t="shared" si="102"/>
        <v>25.859645306944323</v>
      </c>
      <c r="E325" s="380">
        <f t="shared" si="125"/>
        <v>26.201459222094513</v>
      </c>
      <c r="F325" s="380">
        <f t="shared" si="103"/>
        <v>26.436675441730976</v>
      </c>
      <c r="G325" s="110">
        <f t="shared" si="126"/>
        <v>0.99144747344895512</v>
      </c>
      <c r="H325" s="409" t="b">
        <f>Wh_hp&gt;='2024'!Maxi_hp</f>
        <v>0</v>
      </c>
      <c r="I325" s="375">
        <f>IF(H325,Wh_hp,'2024'!Maxi_hp)</f>
        <v>26.438884406158653</v>
      </c>
      <c r="J325" s="85">
        <f>IF(H325,An,'2024'!An_max)</f>
        <v>2022</v>
      </c>
      <c r="K325" s="193">
        <f t="shared" si="104"/>
        <v>45968</v>
      </c>
      <c r="L325" s="143">
        <f>IF(t&lt;Tvie,1-EXP((T0-t)*PertePVj)+'2024'!Pspv,1-EXP((T0-t)*PertePVj)+Pspv)</f>
        <v>1.960003319907444E-2</v>
      </c>
      <c r="M325" s="836"/>
      <c r="N325" s="836"/>
      <c r="O325" s="48">
        <f>IF(t&lt;Tnet,'2024'!Resal+('2024'!Salim-'2024'!Resal)*(1-EXP(('2024'!Tnet-t)/('2024'!Tau_j))),Resal+(Salim-Resal)*(1-EXP((Tnet-t)/(Tau_j))))*Salcycl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9.0059807220004076E-3</v>
      </c>
      <c r="Q325" s="301">
        <f t="shared" si="105"/>
        <v>0.5</v>
      </c>
      <c r="R325" s="173">
        <f t="shared" si="106"/>
        <v>0.99293108650859274</v>
      </c>
      <c r="S325" s="802">
        <f t="shared" si="107"/>
        <v>1</v>
      </c>
      <c r="T325" s="172">
        <f t="shared" si="108"/>
        <v>7</v>
      </c>
      <c r="U325" s="247">
        <f t="shared" si="109"/>
        <v>1.9929310865085927</v>
      </c>
      <c r="V325" s="378">
        <f t="shared" si="110"/>
        <v>25.568693382638862</v>
      </c>
      <c r="W325" s="397">
        <f t="shared" si="111"/>
        <v>25.352795400411924</v>
      </c>
      <c r="X325" s="153">
        <f t="shared" si="112"/>
        <v>45968</v>
      </c>
      <c r="Y325" s="380">
        <f t="shared" si="113"/>
        <v>24.496307077276999</v>
      </c>
      <c r="Z325" s="380">
        <f t="shared" si="114"/>
        <v>24.986034176652598</v>
      </c>
      <c r="AA325" s="381">
        <f t="shared" si="115"/>
        <v>26.201459222094513</v>
      </c>
      <c r="AB325" s="193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4.6387685324678359E-2</v>
      </c>
      <c r="AD325" s="227">
        <f>(INDEX(Models!$BJ325:$BT325,,AH325)*(1-AF325)+INDEX(Models!$BJ325:$BT325,,AH325+1)*AF325-ERP_i)*AE325*Ramure*Pc/MaxiM</f>
        <v>9.0059807220004076E-3</v>
      </c>
      <c r="AE325" s="301">
        <f t="shared" si="117"/>
        <v>0.5</v>
      </c>
      <c r="AF325" s="173">
        <f t="shared" si="118"/>
        <v>0.99293108650859274</v>
      </c>
      <c r="AG325" s="802">
        <f t="shared" si="124"/>
        <v>1</v>
      </c>
      <c r="AH325" s="172">
        <f t="shared" si="119"/>
        <v>7</v>
      </c>
      <c r="AI325" s="221">
        <f t="shared" si="120"/>
        <v>1.9929310865085927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45969</v>
      </c>
      <c r="B326" s="406">
        <f>'2024'!Wh/'2024'!Env_an*'2025'!Env_an</f>
        <v>18.336379638971792</v>
      </c>
      <c r="C326" s="385"/>
      <c r="D326" s="388">
        <f t="shared" si="102"/>
        <v>18.703214272721766</v>
      </c>
      <c r="E326" s="380">
        <f t="shared" si="125"/>
        <v>18.951460160282817</v>
      </c>
      <c r="F326" s="380">
        <f t="shared" si="103"/>
        <v>19.063192724298538</v>
      </c>
      <c r="G326" s="110">
        <f t="shared" si="126"/>
        <v>0.72442947700286719</v>
      </c>
      <c r="H326" s="409" t="b">
        <f>Wh_hp&gt;='2024'!Maxi_hp</f>
        <v>0</v>
      </c>
      <c r="I326" s="375">
        <f>IF(H326,Wh_hp,'2024'!Maxi_hp)</f>
        <v>19.117935070519479</v>
      </c>
      <c r="J326" s="85">
        <f>IF(H326,An,'2024'!An_max)</f>
        <v>2022</v>
      </c>
      <c r="K326" s="193">
        <f t="shared" si="104"/>
        <v>45969</v>
      </c>
      <c r="L326" s="143">
        <f>IF(t&lt;Tvie,1-EXP((T0-t)*PertePVj)+'2024'!Pspv,1-EXP((T0-t)*PertePVj)+Pspv)</f>
        <v>1.9613454051317536E-2</v>
      </c>
      <c r="M326" s="836"/>
      <c r="N326" s="836"/>
      <c r="O326" s="48">
        <f>IF(t&lt;Tnet,'2024'!Resal+('2024'!Salim-'2024'!Resal)*(1-EXP(('2024'!Tnet-t)/('2024'!Tau_j))),Resal+(Salim-Resal)*(1-EXP((Tnet-t)/(Tau_j))))*Salcycl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9.6046989891968356E-3</v>
      </c>
      <c r="Q326" s="301">
        <f t="shared" si="105"/>
        <v>0.5</v>
      </c>
      <c r="R326" s="173">
        <f t="shared" si="106"/>
        <v>0.99297332196595889</v>
      </c>
      <c r="S326" s="802">
        <f t="shared" si="107"/>
        <v>1</v>
      </c>
      <c r="T326" s="172">
        <f t="shared" si="108"/>
        <v>7</v>
      </c>
      <c r="U326" s="247">
        <f t="shared" si="109"/>
        <v>1.9929733219659589</v>
      </c>
      <c r="V326" s="378">
        <f t="shared" si="110"/>
        <v>25.216163482691748</v>
      </c>
      <c r="W326" s="397">
        <f t="shared" si="111"/>
        <v>18.336379638971792</v>
      </c>
      <c r="X326" s="153">
        <f t="shared" si="112"/>
        <v>45969</v>
      </c>
      <c r="Y326" s="380">
        <f t="shared" si="113"/>
        <v>17.717885086969535</v>
      </c>
      <c r="Z326" s="380">
        <f t="shared" si="114"/>
        <v>18.072346219138101</v>
      </c>
      <c r="AA326" s="381">
        <f t="shared" si="115"/>
        <v>18.951460160282817</v>
      </c>
      <c r="AB326" s="193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4.6387662676625918E-2</v>
      </c>
      <c r="AD326" s="227">
        <f>(INDEX(Models!$BJ326:$BT326,,AH326)*(1-AF326)+INDEX(Models!$BJ326:$BT326,,AH326+1)*AF326-ERP_i)*AE326*Ramure*Pc/MaxiM</f>
        <v>9.6046989891968356E-3</v>
      </c>
      <c r="AE326" s="301">
        <f t="shared" si="117"/>
        <v>0.5</v>
      </c>
      <c r="AF326" s="173">
        <f t="shared" si="118"/>
        <v>0.99297332196595889</v>
      </c>
      <c r="AG326" s="802">
        <f t="shared" si="124"/>
        <v>1</v>
      </c>
      <c r="AH326" s="172">
        <f t="shared" si="119"/>
        <v>7</v>
      </c>
      <c r="AI326" s="221">
        <f t="shared" si="120"/>
        <v>1.9929733219659589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45970</v>
      </c>
      <c r="B327" s="406">
        <f>'2024'!Wh/'2024'!Env_an*'2025'!Env_an</f>
        <v>10.223627236263109</v>
      </c>
      <c r="C327" s="385"/>
      <c r="D327" s="388">
        <f t="shared" si="102"/>
        <v>10.428302217425147</v>
      </c>
      <c r="E327" s="380">
        <f t="shared" si="125"/>
        <v>10.567287570685151</v>
      </c>
      <c r="F327" s="380">
        <f t="shared" si="103"/>
        <v>10.584339552984462</v>
      </c>
      <c r="G327" s="110">
        <f t="shared" si="126"/>
        <v>0.40755603390824058</v>
      </c>
      <c r="H327" s="409" t="b">
        <f>Wh_hp&gt;='2024'!Maxi_hp</f>
        <v>0</v>
      </c>
      <c r="I327" s="375">
        <f>IF(H327,Wh_hp,'2024'!Maxi_hp)</f>
        <v>10.653499434199968</v>
      </c>
      <c r="J327" s="85">
        <f>IF(H327,An,'2024'!An_max)</f>
        <v>2022</v>
      </c>
      <c r="K327" s="193">
        <f t="shared" si="104"/>
        <v>45970</v>
      </c>
      <c r="L327" s="143">
        <f>IF(t&lt;Tvie,1-EXP((T0-t)*PertePVj)+'2024'!Pspv,1-EXP((T0-t)*PertePVj)+Pspv)</f>
        <v>1.962687471984037E-2</v>
      </c>
      <c r="M327" s="836"/>
      <c r="N327" s="836"/>
      <c r="O327" s="48">
        <f>IF(t&lt;Tnet,'2024'!Resal+('2024'!Salim-'2024'!Resal)*(1-EXP(('2024'!Tnet-t)/('2024'!Tau_j))),Resal+(Salim-Resal)*(1-EXP((Tnet-t)/(Tau_j))))*Salcycl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1.0153135525422748E-2</v>
      </c>
      <c r="Q327" s="301">
        <f t="shared" si="105"/>
        <v>0.5</v>
      </c>
      <c r="R327" s="173">
        <f t="shared" si="106"/>
        <v>0.99301386361442834</v>
      </c>
      <c r="S327" s="802">
        <f t="shared" si="107"/>
        <v>1</v>
      </c>
      <c r="T327" s="172">
        <f t="shared" si="108"/>
        <v>7</v>
      </c>
      <c r="U327" s="247">
        <f t="shared" si="109"/>
        <v>1.9930138636144283</v>
      </c>
      <c r="V327" s="378">
        <f t="shared" si="110"/>
        <v>24.870580856691667</v>
      </c>
      <c r="W327" s="397">
        <f t="shared" si="111"/>
        <v>10.223627236263109</v>
      </c>
      <c r="X327" s="153">
        <f t="shared" si="112"/>
        <v>45970</v>
      </c>
      <c r="Y327" s="380">
        <f t="shared" si="113"/>
        <v>9.8793116280513136</v>
      </c>
      <c r="Z327" s="380">
        <f t="shared" si="114"/>
        <v>10.077093479309848</v>
      </c>
      <c r="AA327" s="381">
        <f t="shared" si="115"/>
        <v>10.567287570685151</v>
      </c>
      <c r="AB327" s="193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4.6387882235282139E-2</v>
      </c>
      <c r="AD327" s="227">
        <f>(INDEX(Models!$BJ327:$BT327,,AH327)*(1-AF327)+INDEX(Models!$BJ327:$BT327,,AH327+1)*AF327-ERP_i)*AE327*Ramure*Pc/MaxiM</f>
        <v>1.0153135525422748E-2</v>
      </c>
      <c r="AE327" s="301">
        <f t="shared" si="117"/>
        <v>0.5</v>
      </c>
      <c r="AF327" s="173">
        <f t="shared" si="118"/>
        <v>0.99301386361442834</v>
      </c>
      <c r="AG327" s="802">
        <f t="shared" si="124"/>
        <v>1</v>
      </c>
      <c r="AH327" s="172">
        <f t="shared" si="119"/>
        <v>7</v>
      </c>
      <c r="AI327" s="221">
        <f t="shared" si="120"/>
        <v>1.9930138636144283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45971</v>
      </c>
      <c r="B328" s="406">
        <f>'2024'!Wh/'2024'!Env_an*'2025'!Env_an</f>
        <v>18.585154668345073</v>
      </c>
      <c r="C328" s="385"/>
      <c r="D328" s="388">
        <f t="shared" si="102"/>
        <v>18.957485275493486</v>
      </c>
      <c r="E328" s="380">
        <f t="shared" si="125"/>
        <v>19.211183428652845</v>
      </c>
      <c r="F328" s="380">
        <f t="shared" si="103"/>
        <v>19.345864646231604</v>
      </c>
      <c r="G328" s="110">
        <f t="shared" si="126"/>
        <v>0.75476096216236954</v>
      </c>
      <c r="H328" s="409" t="b">
        <f>Wh_hp&gt;='2024'!Maxi_hp</f>
        <v>0</v>
      </c>
      <c r="I328" s="375">
        <f>IF(H328,Wh_hp,'2024'!Maxi_hp)</f>
        <v>19.400426866804658</v>
      </c>
      <c r="J328" s="85">
        <f>IF(H328,An,'2024'!An_max)</f>
        <v>2022</v>
      </c>
      <c r="K328" s="193">
        <f t="shared" si="104"/>
        <v>45971</v>
      </c>
      <c r="L328" s="143">
        <f>IF(t&lt;Tvie,1-EXP((T0-t)*PertePVj)+'2024'!Pspv,1-EXP((T0-t)*PertePVj)+Pspv)</f>
        <v>1.9640295204645608E-2</v>
      </c>
      <c r="M328" s="836"/>
      <c r="N328" s="836"/>
      <c r="O328" s="48">
        <f>IF(t&lt;Tnet,'2024'!Resal+('2024'!Salim-'2024'!Resal)*(1-EXP(('2024'!Tnet-t)/('2024'!Tau_j))),Resal+(Salim-Resal)*(1-EXP((Tnet-t)/(Tau_j))))*Salcycl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1.0650128813958742E-2</v>
      </c>
      <c r="Q328" s="301">
        <f t="shared" si="105"/>
        <v>0.5</v>
      </c>
      <c r="R328" s="173">
        <f t="shared" si="106"/>
        <v>0.99305277912346357</v>
      </c>
      <c r="S328" s="802">
        <f t="shared" si="107"/>
        <v>1</v>
      </c>
      <c r="T328" s="172">
        <f t="shared" si="108"/>
        <v>7</v>
      </c>
      <c r="U328" s="247">
        <f t="shared" si="109"/>
        <v>1.9930527791234636</v>
      </c>
      <c r="V328" s="378">
        <f t="shared" si="110"/>
        <v>24.532436198736388</v>
      </c>
      <c r="W328" s="397">
        <f t="shared" si="111"/>
        <v>18.585154668345073</v>
      </c>
      <c r="X328" s="153">
        <f t="shared" si="112"/>
        <v>45971</v>
      </c>
      <c r="Y328" s="380">
        <f t="shared" si="113"/>
        <v>17.960197190329119</v>
      </c>
      <c r="Z328" s="380">
        <f t="shared" si="114"/>
        <v>18.320007546697596</v>
      </c>
      <c r="AA328" s="381">
        <f t="shared" si="115"/>
        <v>19.211183428652845</v>
      </c>
      <c r="AB328" s="193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4.6388390661352481E-2</v>
      </c>
      <c r="AD328" s="227">
        <f>(INDEX(Models!$BJ328:$BT328,,AH328)*(1-AF328)+INDEX(Models!$BJ328:$BT328,,AH328+1)*AF328-ERP_i)*AE328*Ramure*Pc/MaxiM</f>
        <v>1.0650128813958742E-2</v>
      </c>
      <c r="AE328" s="301">
        <f t="shared" si="117"/>
        <v>0.5</v>
      </c>
      <c r="AF328" s="173">
        <f t="shared" si="118"/>
        <v>0.99305277912346357</v>
      </c>
      <c r="AG328" s="802">
        <f t="shared" si="124"/>
        <v>1</v>
      </c>
      <c r="AH328" s="172">
        <f t="shared" si="119"/>
        <v>7</v>
      </c>
      <c r="AI328" s="221">
        <f t="shared" si="120"/>
        <v>1.9930527791234636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45972</v>
      </c>
      <c r="B329" s="406">
        <f>'2024'!Wh/'2024'!Env_an*'2025'!Env_an</f>
        <v>22.104954002166142</v>
      </c>
      <c r="C329" s="385"/>
      <c r="D329" s="388">
        <f t="shared" si="102"/>
        <v>22.548108104035428</v>
      </c>
      <c r="E329" s="380">
        <f t="shared" si="125"/>
        <v>22.851092267648262</v>
      </c>
      <c r="F329" s="380">
        <f t="shared" si="103"/>
        <v>23.07540930640161</v>
      </c>
      <c r="G329" s="110">
        <f t="shared" si="126"/>
        <v>0.91207732434408628</v>
      </c>
      <c r="H329" s="409" t="b">
        <f>Wh_hp&gt;='2024'!Maxi_hp</f>
        <v>0</v>
      </c>
      <c r="I329" s="375">
        <f>IF(H329,Wh_hp,'2024'!Maxi_hp)</f>
        <v>23.099620779371207</v>
      </c>
      <c r="J329" s="85">
        <f>IF(H329,An,'2024'!An_max)</f>
        <v>2022</v>
      </c>
      <c r="K329" s="193">
        <f t="shared" si="104"/>
        <v>45972</v>
      </c>
      <c r="L329" s="143">
        <f>IF(t&lt;Tvie,1-EXP((T0-t)*PertePVj)+'2024'!Pspv,1-EXP((T0-t)*PertePVj)+Pspv)</f>
        <v>1.9653715505735692E-2</v>
      </c>
      <c r="M329" s="836"/>
      <c r="N329" s="836"/>
      <c r="O329" s="48">
        <f>IF(t&lt;Tnet,'2024'!Resal+('2024'!Salim-'2024'!Resal)*(1-EXP(('2024'!Tnet-t)/('2024'!Tau_j))),Resal+(Salim-Resal)*(1-EXP((Tnet-t)/(Tau_j))))*Salcycl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1.1094474354551525E-2</v>
      </c>
      <c r="Q329" s="301">
        <f t="shared" si="105"/>
        <v>0.5</v>
      </c>
      <c r="R329" s="173">
        <f t="shared" si="106"/>
        <v>0.99309013347946062</v>
      </c>
      <c r="S329" s="802">
        <f t="shared" si="107"/>
        <v>1</v>
      </c>
      <c r="T329" s="172">
        <f t="shared" si="108"/>
        <v>7</v>
      </c>
      <c r="U329" s="247">
        <f t="shared" si="109"/>
        <v>1.9930901334794606</v>
      </c>
      <c r="V329" s="378">
        <f t="shared" si="110"/>
        <v>24.202220299218752</v>
      </c>
      <c r="W329" s="397">
        <f t="shared" si="111"/>
        <v>22.104954002166142</v>
      </c>
      <c r="X329" s="153">
        <f t="shared" si="112"/>
        <v>45972</v>
      </c>
      <c r="Y329" s="380">
        <f t="shared" si="113"/>
        <v>21.362772560702986</v>
      </c>
      <c r="Z329" s="380">
        <f t="shared" si="114"/>
        <v>21.791047611021952</v>
      </c>
      <c r="AA329" s="381">
        <f t="shared" si="115"/>
        <v>22.851092267648262</v>
      </c>
      <c r="AB329" s="193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4.6389233574059156E-2</v>
      </c>
      <c r="AD329" s="227">
        <f>(INDEX(Models!$BJ329:$BT329,,AH329)*(1-AF329)+INDEX(Models!$BJ329:$BT329,,AH329+1)*AF329-ERP_i)*AE329*Ramure*Pc/MaxiM</f>
        <v>1.1094474354551525E-2</v>
      </c>
      <c r="AE329" s="301">
        <f t="shared" si="117"/>
        <v>0.5</v>
      </c>
      <c r="AF329" s="173">
        <f t="shared" si="118"/>
        <v>0.99309013347946062</v>
      </c>
      <c r="AG329" s="802">
        <f t="shared" si="124"/>
        <v>1</v>
      </c>
      <c r="AH329" s="172">
        <f t="shared" si="119"/>
        <v>7</v>
      </c>
      <c r="AI329" s="221">
        <f t="shared" si="120"/>
        <v>1.9930901334794606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45973</v>
      </c>
      <c r="B330" s="406">
        <f>'2024'!Wh/'2024'!Env_an*'2025'!Env_an</f>
        <v>22.232488067208266</v>
      </c>
      <c r="C330" s="385"/>
      <c r="D330" s="388">
        <f t="shared" si="102"/>
        <v>22.678509387053492</v>
      </c>
      <c r="E330" s="380">
        <f t="shared" si="125"/>
        <v>22.984487385114143</v>
      </c>
      <c r="F330" s="380">
        <f t="shared" si="103"/>
        <v>23.224928443991669</v>
      </c>
      <c r="G330" s="110">
        <f t="shared" si="126"/>
        <v>0.92992706479674947</v>
      </c>
      <c r="H330" s="409" t="b">
        <f>Wh_hp&gt;='2024'!Maxi_hp</f>
        <v>0</v>
      </c>
      <c r="I330" s="375">
        <f>IF(H330,Wh_hp,'2024'!Maxi_hp)</f>
        <v>23.244988021571906</v>
      </c>
      <c r="J330" s="85">
        <f>IF(H330,An,'2024'!An_max)</f>
        <v>2022</v>
      </c>
      <c r="K330" s="193">
        <f t="shared" si="104"/>
        <v>45973</v>
      </c>
      <c r="L330" s="143">
        <f>IF(t&lt;Tvie,1-EXP((T0-t)*PertePVj)+'2024'!Pspv,1-EXP((T0-t)*PertePVj)+Pspv)</f>
        <v>1.9667135623113174E-2</v>
      </c>
      <c r="M330" s="836"/>
      <c r="N330" s="836"/>
      <c r="O330" s="48">
        <f>IF(t&lt;Tnet,'2024'!Resal+('2024'!Salim-'2024'!Resal)*(1-EXP(('2024'!Tnet-t)/('2024'!Tau_j))),Resal+(Salim-Resal)*(1-EXP((Tnet-t)/(Tau_j))))*Salcycl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1.14849289891252E-2</v>
      </c>
      <c r="Q330" s="301">
        <f t="shared" si="105"/>
        <v>0.5</v>
      </c>
      <c r="R330" s="173">
        <f t="shared" si="106"/>
        <v>0.99312598909052374</v>
      </c>
      <c r="S330" s="802">
        <f t="shared" si="107"/>
        <v>1</v>
      </c>
      <c r="T330" s="172">
        <f t="shared" si="108"/>
        <v>7</v>
      </c>
      <c r="U330" s="247">
        <f t="shared" si="109"/>
        <v>1.9931259890905237</v>
      </c>
      <c r="V330" s="378">
        <f t="shared" si="110"/>
        <v>23.880424222402379</v>
      </c>
      <c r="W330" s="397">
        <f t="shared" si="111"/>
        <v>22.232488067208266</v>
      </c>
      <c r="X330" s="153">
        <f t="shared" si="112"/>
        <v>45973</v>
      </c>
      <c r="Y330" s="380">
        <f t="shared" si="113"/>
        <v>21.487157815399819</v>
      </c>
      <c r="Z330" s="380">
        <f t="shared" si="114"/>
        <v>21.918226549568299</v>
      </c>
      <c r="AA330" s="381">
        <f t="shared" si="115"/>
        <v>22.984487385114143</v>
      </c>
      <c r="AB330" s="193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4.6390455339735209E-2</v>
      </c>
      <c r="AD330" s="227">
        <f>(INDEX(Models!$BJ330:$BT330,,AH330)*(1-AF330)+INDEX(Models!$BJ330:$BT330,,AH330+1)*AF330-ERP_i)*AE330*Ramure*Pc/MaxiM</f>
        <v>1.14849289891252E-2</v>
      </c>
      <c r="AE330" s="301">
        <f t="shared" si="117"/>
        <v>0.5</v>
      </c>
      <c r="AF330" s="173">
        <f t="shared" si="118"/>
        <v>0.99312598909052374</v>
      </c>
      <c r="AG330" s="802">
        <f t="shared" si="124"/>
        <v>1</v>
      </c>
      <c r="AH330" s="172">
        <f t="shared" si="119"/>
        <v>7</v>
      </c>
      <c r="AI330" s="221">
        <f t="shared" si="120"/>
        <v>1.9931259890905237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45974</v>
      </c>
      <c r="B331" s="406">
        <f>'2024'!Wh/'2024'!Env_an*'2025'!Env_an</f>
        <v>21.166472197230306</v>
      </c>
      <c r="C331" s="385"/>
      <c r="D331" s="388">
        <f t="shared" si="102"/>
        <v>21.591403003591321</v>
      </c>
      <c r="E331" s="380">
        <f t="shared" si="125"/>
        <v>21.883896073315526</v>
      </c>
      <c r="F331" s="380">
        <f t="shared" si="103"/>
        <v>22.107207003865945</v>
      </c>
      <c r="G331" s="110">
        <f t="shared" si="126"/>
        <v>0.89660980311235738</v>
      </c>
      <c r="H331" s="409" t="b">
        <f>Wh_hp&gt;='2024'!Maxi_hp</f>
        <v>0</v>
      </c>
      <c r="I331" s="375">
        <f>IF(H331,Wh_hp,'2024'!Maxi_hp)</f>
        <v>22.136158270343074</v>
      </c>
      <c r="J331" s="85">
        <f>IF(H331,An,'2024'!An_max)</f>
        <v>2022</v>
      </c>
      <c r="K331" s="193">
        <f t="shared" si="104"/>
        <v>45974</v>
      </c>
      <c r="L331" s="143">
        <f>IF(t&lt;Tvie,1-EXP((T0-t)*PertePVj)+'2024'!Pspv,1-EXP((T0-t)*PertePVj)+Pspv)</f>
        <v>1.9680555556780388E-2</v>
      </c>
      <c r="M331" s="836"/>
      <c r="N331" s="836"/>
      <c r="O331" s="48">
        <f>IF(t&lt;Tnet,'2024'!Resal+('2024'!Salim-'2024'!Resal)*(1-EXP(('2024'!Tnet-t)/('2024'!Tau_j))),Resal+(Salim-Resal)*(1-EXP((Tnet-t)/(Tau_j))))*Salcycl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1.1820870929863669E-2</v>
      </c>
      <c r="Q331" s="301">
        <f t="shared" si="105"/>
        <v>0.5</v>
      </c>
      <c r="R331" s="173">
        <f t="shared" si="106"/>
        <v>0.9931604058872745</v>
      </c>
      <c r="S331" s="802">
        <f t="shared" si="107"/>
        <v>1</v>
      </c>
      <c r="T331" s="172">
        <f t="shared" si="108"/>
        <v>7</v>
      </c>
      <c r="U331" s="247">
        <f t="shared" si="109"/>
        <v>1.9931604058872745</v>
      </c>
      <c r="V331" s="378">
        <f t="shared" si="110"/>
        <v>23.566218976671593</v>
      </c>
      <c r="W331" s="397">
        <f t="shared" si="111"/>
        <v>21.166472197230306</v>
      </c>
      <c r="X331" s="153">
        <f t="shared" si="112"/>
        <v>45974</v>
      </c>
      <c r="Y331" s="380">
        <f t="shared" si="113"/>
        <v>20.45794945528559</v>
      </c>
      <c r="Z331" s="380">
        <f t="shared" si="114"/>
        <v>20.86865620308577</v>
      </c>
      <c r="AA331" s="381">
        <f t="shared" si="115"/>
        <v>21.883896073315526</v>
      </c>
      <c r="AB331" s="193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4.6392098867061603E-2</v>
      </c>
      <c r="AD331" s="227">
        <f>(INDEX(Models!$BJ331:$BT331,,AH331)*(1-AF331)+INDEX(Models!$BJ331:$BT331,,AH331+1)*AF331-ERP_i)*AE331*Ramure*Pc/MaxiM</f>
        <v>1.1820870929863669E-2</v>
      </c>
      <c r="AE331" s="301">
        <f t="shared" si="117"/>
        <v>0.5</v>
      </c>
      <c r="AF331" s="173">
        <f t="shared" si="118"/>
        <v>0.9931604058872745</v>
      </c>
      <c r="AG331" s="802">
        <f t="shared" si="124"/>
        <v>1</v>
      </c>
      <c r="AH331" s="172">
        <f t="shared" si="119"/>
        <v>7</v>
      </c>
      <c r="AI331" s="221">
        <f t="shared" si="120"/>
        <v>1.9931604058872745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45975</v>
      </c>
      <c r="B332" s="406">
        <f>'2024'!Wh/'2024'!Env_an*'2025'!Env_an</f>
        <v>11.4363155963349</v>
      </c>
      <c r="C332" s="385"/>
      <c r="D332" s="388">
        <f t="shared" si="102"/>
        <v>11.666066828379792</v>
      </c>
      <c r="E332" s="380">
        <f t="shared" si="125"/>
        <v>11.824743052672655</v>
      </c>
      <c r="F332" s="380">
        <f t="shared" si="103"/>
        <v>11.864029054632114</v>
      </c>
      <c r="G332" s="110">
        <f t="shared" si="126"/>
        <v>0.48736963402791272</v>
      </c>
      <c r="H332" s="409" t="b">
        <f>Wh_hp&gt;='2024'!Maxi_hp</f>
        <v>0</v>
      </c>
      <c r="I332" s="375">
        <f>IF(H332,Wh_hp,'2024'!Maxi_hp)</f>
        <v>11.943103695327389</v>
      </c>
      <c r="J332" s="85">
        <f>IF(H332,An,'2024'!An_max)</f>
        <v>2022</v>
      </c>
      <c r="K332" s="193">
        <f t="shared" si="104"/>
        <v>45975</v>
      </c>
      <c r="L332" s="143">
        <f>IF(t&lt;Tvie,1-EXP((T0-t)*PertePVj)+'2024'!Pspv,1-EXP((T0-t)*PertePVj)+Pspv)</f>
        <v>1.9693975306740108E-2</v>
      </c>
      <c r="M332" s="836"/>
      <c r="N332" s="836"/>
      <c r="O332" s="48">
        <f>IF(t&lt;Tnet,'2024'!Resal+('2024'!Salim-'2024'!Resal)*(1-EXP(('2024'!Tnet-t)/('2024'!Tau_j))),Resal+(Salim-Resal)*(1-EXP((Tnet-t)/(Tau_j))))*Salcycl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1.209146473727323E-2</v>
      </c>
      <c r="Q332" s="301">
        <f t="shared" si="105"/>
        <v>0.5</v>
      </c>
      <c r="R332" s="173">
        <f t="shared" si="106"/>
        <v>0.99319344141983623</v>
      </c>
      <c r="S332" s="802">
        <f t="shared" si="107"/>
        <v>1</v>
      </c>
      <c r="T332" s="172">
        <f t="shared" si="108"/>
        <v>7</v>
      </c>
      <c r="U332" s="247">
        <f t="shared" si="109"/>
        <v>1.9931934414198362</v>
      </c>
      <c r="V332" s="378">
        <f t="shared" si="110"/>
        <v>23.258670800545872</v>
      </c>
      <c r="W332" s="397">
        <f t="shared" si="111"/>
        <v>11.4363155963349</v>
      </c>
      <c r="X332" s="153">
        <f t="shared" si="112"/>
        <v>45975</v>
      </c>
      <c r="Y332" s="380">
        <f t="shared" si="113"/>
        <v>11.054071403024491</v>
      </c>
      <c r="Z332" s="380">
        <f t="shared" si="114"/>
        <v>11.276143494561646</v>
      </c>
      <c r="AA332" s="381">
        <f t="shared" si="115"/>
        <v>11.824743052672655</v>
      </c>
      <c r="AB332" s="193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4.6394205410409575E-2</v>
      </c>
      <c r="AD332" s="227">
        <f>(INDEX(Models!$BJ332:$BT332,,AH332)*(1-AF332)+INDEX(Models!$BJ332:$BT332,,AH332+1)*AF332-ERP_i)*AE332*Ramure*Pc/MaxiM</f>
        <v>1.209146473727323E-2</v>
      </c>
      <c r="AE332" s="301">
        <f t="shared" si="117"/>
        <v>0.5</v>
      </c>
      <c r="AF332" s="173">
        <f t="shared" si="118"/>
        <v>0.99319344141983623</v>
      </c>
      <c r="AG332" s="802">
        <f t="shared" si="124"/>
        <v>1</v>
      </c>
      <c r="AH332" s="172">
        <f t="shared" si="119"/>
        <v>7</v>
      </c>
      <c r="AI332" s="221">
        <f t="shared" si="120"/>
        <v>1.9931934414198362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45976</v>
      </c>
      <c r="B333" s="406">
        <f>'2024'!Wh/'2024'!Env_an*'2025'!Env_an</f>
        <v>12.984004177424861</v>
      </c>
      <c r="C333" s="385"/>
      <c r="D333" s="388">
        <f t="shared" si="102"/>
        <v>13.245029197932867</v>
      </c>
      <c r="E333" s="380">
        <f t="shared" si="125"/>
        <v>13.425907778862065</v>
      </c>
      <c r="F333" s="380">
        <f t="shared" si="103"/>
        <v>13.488906953159054</v>
      </c>
      <c r="G333" s="110">
        <f t="shared" si="126"/>
        <v>0.56122833951006246</v>
      </c>
      <c r="H333" s="409" t="b">
        <f>Wh_hp&gt;='2024'!Maxi_hp</f>
        <v>0</v>
      </c>
      <c r="I333" s="375">
        <f>IF(H333,Wh_hp,'2024'!Maxi_hp)</f>
        <v>13.567075240802856</v>
      </c>
      <c r="J333" s="85">
        <f>IF(H333,An,'2024'!An_max)</f>
        <v>2022</v>
      </c>
      <c r="K333" s="193">
        <f t="shared" si="104"/>
        <v>45976</v>
      </c>
      <c r="L333" s="143">
        <f>IF(t&lt;Tvie,1-EXP((T0-t)*PertePVj)+'2024'!Pspv,1-EXP((T0-t)*PertePVj)+Pspv)</f>
        <v>1.9707394872994666E-2</v>
      </c>
      <c r="M333" s="836"/>
      <c r="N333" s="836"/>
      <c r="O333" s="48">
        <f>IF(t&lt;Tnet,'2024'!Resal+('2024'!Salim-'2024'!Resal)*(1-EXP(('2024'!Tnet-t)/('2024'!Tau_j))),Resal+(Salim-Resal)*(1-EXP((Tnet-t)/(Tau_j))))*Salcycl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1.2310557663724585E-2</v>
      </c>
      <c r="Q333" s="301">
        <f t="shared" si="105"/>
        <v>0.5</v>
      </c>
      <c r="R333" s="173">
        <f t="shared" si="106"/>
        <v>0.9932251509511314</v>
      </c>
      <c r="S333" s="802">
        <f t="shared" si="107"/>
        <v>1</v>
      </c>
      <c r="T333" s="172">
        <f t="shared" si="108"/>
        <v>7</v>
      </c>
      <c r="U333" s="247">
        <f t="shared" si="109"/>
        <v>1.9932251509511314</v>
      </c>
      <c r="V333" s="378">
        <f t="shared" si="110"/>
        <v>22.957392765473404</v>
      </c>
      <c r="W333" s="397">
        <f t="shared" si="111"/>
        <v>12.984004177424861</v>
      </c>
      <c r="X333" s="153">
        <f t="shared" si="112"/>
        <v>45976</v>
      </c>
      <c r="Y333" s="380">
        <f t="shared" si="113"/>
        <v>12.55067487922746</v>
      </c>
      <c r="Z333" s="380">
        <f t="shared" si="114"/>
        <v>12.802988427727058</v>
      </c>
      <c r="AA333" s="381">
        <f t="shared" si="115"/>
        <v>13.425907778862065</v>
      </c>
      <c r="AB333" s="193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4.6396814382692261E-2</v>
      </c>
      <c r="AD333" s="227">
        <f>(INDEX(Models!$BJ333:$BT333,,AH333)*(1-AF333)+INDEX(Models!$BJ333:$BT333,,AH333+1)*AF333-ERP_i)*AE333*Ramure*Pc/MaxiM</f>
        <v>1.2310557663724585E-2</v>
      </c>
      <c r="AE333" s="301">
        <f t="shared" si="117"/>
        <v>0.5</v>
      </c>
      <c r="AF333" s="173">
        <f t="shared" si="118"/>
        <v>0.9932251509511314</v>
      </c>
      <c r="AG333" s="802">
        <f t="shared" si="124"/>
        <v>1</v>
      </c>
      <c r="AH333" s="172">
        <f t="shared" si="119"/>
        <v>7</v>
      </c>
      <c r="AI333" s="221">
        <f t="shared" si="120"/>
        <v>1.9932251509511314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45977</v>
      </c>
      <c r="B334" s="406">
        <f>'2024'!Wh/'2024'!Env_an*'2025'!Env_an</f>
        <v>21.684772416970944</v>
      </c>
      <c r="C334" s="385"/>
      <c r="D334" s="388">
        <f t="shared" si="102"/>
        <v>22.121016882045577</v>
      </c>
      <c r="E334" s="380">
        <f t="shared" si="125"/>
        <v>22.424322700372294</v>
      </c>
      <c r="F334" s="380">
        <f t="shared" si="103"/>
        <v>22.689986183291829</v>
      </c>
      <c r="G334" s="110">
        <f t="shared" si="126"/>
        <v>0.95611876736024914</v>
      </c>
      <c r="H334" s="409" t="b">
        <f>Wh_hp&gt;='2024'!Maxi_hp</f>
        <v>0</v>
      </c>
      <c r="I334" s="375">
        <f>IF(H334,Wh_hp,'2024'!Maxi_hp)</f>
        <v>22.703232155133165</v>
      </c>
      <c r="J334" s="85">
        <f>IF(H334,An,'2024'!An_max)</f>
        <v>2022</v>
      </c>
      <c r="K334" s="193">
        <f t="shared" si="104"/>
        <v>45977</v>
      </c>
      <c r="L334" s="143">
        <f>IF(t&lt;Tvie,1-EXP((T0-t)*PertePVj)+'2024'!Pspv,1-EXP((T0-t)*PertePVj)+Pspv)</f>
        <v>1.9720814255546615E-2</v>
      </c>
      <c r="M334" s="836"/>
      <c r="N334" s="836"/>
      <c r="O334" s="48">
        <f>IF(t&lt;Tnet,'2024'!Resal+('2024'!Salim-'2024'!Resal)*(1-EXP(('2024'!Tnet-t)/('2024'!Tau_j))),Resal+(Salim-Resal)*(1-EXP((Tnet-t)/(Tau_j))))*Salcycl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1.2477303177706518E-2</v>
      </c>
      <c r="Q334" s="301">
        <f t="shared" si="105"/>
        <v>0.5</v>
      </c>
      <c r="R334" s="173">
        <f t="shared" si="106"/>
        <v>0.99325558754662091</v>
      </c>
      <c r="S334" s="802">
        <f t="shared" si="107"/>
        <v>1</v>
      </c>
      <c r="T334" s="172">
        <f t="shared" si="108"/>
        <v>7</v>
      </c>
      <c r="U334" s="247">
        <f t="shared" si="109"/>
        <v>1.9932555875466209</v>
      </c>
      <c r="V334" s="378">
        <f t="shared" si="110"/>
        <v>22.662353444579217</v>
      </c>
      <c r="W334" s="397">
        <f t="shared" si="111"/>
        <v>21.684772416970944</v>
      </c>
      <c r="X334" s="153">
        <f t="shared" si="112"/>
        <v>45977</v>
      </c>
      <c r="Y334" s="380">
        <f t="shared" si="113"/>
        <v>20.962128315585005</v>
      </c>
      <c r="Z334" s="380">
        <f t="shared" si="114"/>
        <v>21.383834952759642</v>
      </c>
      <c r="AA334" s="381">
        <f t="shared" si="115"/>
        <v>22.424322700372294</v>
      </c>
      <c r="AB334" s="193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4.6399963179060859E-2</v>
      </c>
      <c r="AD334" s="227">
        <f>(INDEX(Models!$BJ334:$BT334,,AH334)*(1-AF334)+INDEX(Models!$BJ334:$BT334,,AH334+1)*AF334-ERP_i)*AE334*Ramure*Pc/MaxiM</f>
        <v>1.2477303177706518E-2</v>
      </c>
      <c r="AE334" s="301">
        <f t="shared" si="117"/>
        <v>0.5</v>
      </c>
      <c r="AF334" s="173">
        <f t="shared" si="118"/>
        <v>0.99325558754662091</v>
      </c>
      <c r="AG334" s="802">
        <f t="shared" si="124"/>
        <v>1</v>
      </c>
      <c r="AH334" s="172">
        <f t="shared" si="119"/>
        <v>7</v>
      </c>
      <c r="AI334" s="221">
        <f t="shared" si="120"/>
        <v>1.9932555875466209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45978</v>
      </c>
      <c r="B335" s="406">
        <f>'2024'!Wh/'2024'!Env_an*'2025'!Env_an</f>
        <v>14.253574880921859</v>
      </c>
      <c r="C335" s="385"/>
      <c r="D335" s="388">
        <f t="shared" ref="D335:D379" si="127">Wh/(1-Ppv)</f>
        <v>14.5405209152112</v>
      </c>
      <c r="E335" s="380">
        <f t="shared" si="125"/>
        <v>14.740687740995183</v>
      </c>
      <c r="F335" s="380">
        <f t="shared" ref="F335:F379" si="128">Wh_sa/(1-Pvg*MEDIAN((-Sdif+Wh/Env_an)/Csdif,0,1))</f>
        <v>14.830604287774594</v>
      </c>
      <c r="G335" s="110">
        <f t="shared" si="126"/>
        <v>0.63288921120257746</v>
      </c>
      <c r="H335" s="409" t="b">
        <f>Wh_hp&gt;='2024'!Maxi_hp</f>
        <v>0</v>
      </c>
      <c r="I335" s="375">
        <f>IF(H335,Wh_hp,'2024'!Maxi_hp)</f>
        <v>14.903968962126475</v>
      </c>
      <c r="J335" s="85">
        <f>IF(H335,An,'2024'!An_max)</f>
        <v>2022</v>
      </c>
      <c r="K335" s="193">
        <f t="shared" ref="K335:K379" si="129">t</f>
        <v>45978</v>
      </c>
      <c r="L335" s="143">
        <f>IF(t&lt;Tvie,1-EXP((T0-t)*PertePVj)+'2024'!Pspv,1-EXP((T0-t)*PertePVj)+Pspv)</f>
        <v>1.9734233454398509E-2</v>
      </c>
      <c r="M335" s="836"/>
      <c r="N335" s="836"/>
      <c r="O335" s="48">
        <f>IF(t&lt;Tnet,'2024'!Resal+('2024'!Salim-'2024'!Resal)*(1-EXP(('2024'!Tnet-t)/('2024'!Tau_j))),Resal+(Salim-Resal)*(1-EXP((Tnet-t)/(Tau_j))))*Salcycl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1.2590831130382094E-2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0.9932848021606151</v>
      </c>
      <c r="S335" s="802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1.9932848021606151</v>
      </c>
      <c r="V335" s="378">
        <f t="shared" ref="V335:V379" si="135">MaxiM*(1-Ppv)*(1-Pvg)*(1-Psa)</f>
        <v>22.373522531693077</v>
      </c>
      <c r="W335" s="397">
        <f t="shared" ref="W335:W379" si="136">Wh*(A335&gt;Tmaj)</f>
        <v>14.253574880921859</v>
      </c>
      <c r="X335" s="153">
        <f t="shared" ref="X335:X379" si="137">t</f>
        <v>45978</v>
      </c>
      <c r="Y335" s="380">
        <f t="shared" ref="Y335:Y379" si="138">Wh_pvt_s*(1-Ppv)</f>
        <v>13.779267962523397</v>
      </c>
      <c r="Z335" s="380">
        <f t="shared" ref="Z335:Z379" si="139">Wh_sa_s*(1-Psa_s)</f>
        <v>14.056665480710116</v>
      </c>
      <c r="AA335" s="381">
        <f t="shared" ref="AA335:AA379" si="140">Wh_hp*(1-Pvg_s*MEDIAN((-Sdif+Wh/Env_an)/Csdif,0,1))</f>
        <v>14.740687740995183</v>
      </c>
      <c r="AB335" s="193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4.6403687012698779E-2</v>
      </c>
      <c r="AD335" s="227">
        <f>(INDEX(Models!$BJ335:$BT335,,AH335)*(1-AF335)+INDEX(Models!$BJ335:$BT335,,AH335+1)*AF335-ERP_i)*AE335*Ramure*Pc/MaxiM</f>
        <v>1.2590831130382094E-2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0.9932848021606151</v>
      </c>
      <c r="AG335" s="802">
        <f t="shared" si="124"/>
        <v>1</v>
      </c>
      <c r="AH335" s="172">
        <f t="shared" ref="AH335:AH379" si="144">MIN(MATCH(Hp_vg_s,Echel_vg),10)</f>
        <v>7</v>
      </c>
      <c r="AI335" s="221">
        <f t="shared" ref="AI335:AI379" si="145">IF(OR(t&lt;Ttai,Notai),Hdd_s+PousH*Croivg,Hdtai_s+PousH*(Croivg-Croi_tai))</f>
        <v>1.9932848021606151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45979</v>
      </c>
      <c r="B336" s="406">
        <f>'2024'!Wh/'2024'!Env_an*'2025'!Env_an</f>
        <v>11.814277810372003</v>
      </c>
      <c r="C336" s="385"/>
      <c r="D336" s="388">
        <f t="shared" si="127"/>
        <v>12.052282088521133</v>
      </c>
      <c r="E336" s="380">
        <f t="shared" si="125"/>
        <v>12.218858451712878</v>
      </c>
      <c r="F336" s="380">
        <f t="shared" si="128"/>
        <v>12.27092790519203</v>
      </c>
      <c r="G336" s="110">
        <f t="shared" si="126"/>
        <v>0.53028840942032485</v>
      </c>
      <c r="H336" s="409" t="b">
        <f>Wh_hp&gt;='2024'!Maxi_hp</f>
        <v>0</v>
      </c>
      <c r="I336" s="375">
        <f>IF(H336,Wh_hp,'2024'!Maxi_hp)</f>
        <v>12.349054372733571</v>
      </c>
      <c r="J336" s="85">
        <f>IF(H336,An,'2024'!An_max)</f>
        <v>2022</v>
      </c>
      <c r="K336" s="193">
        <f t="shared" si="129"/>
        <v>45979</v>
      </c>
      <c r="L336" s="143">
        <f>IF(t&lt;Tvie,1-EXP((T0-t)*PertePVj)+'2024'!Pspv,1-EXP((T0-t)*PertePVj)+Pspv)</f>
        <v>1.974765246955279E-2</v>
      </c>
      <c r="M336" s="836"/>
      <c r="N336" s="836"/>
      <c r="O336" s="48">
        <f>IF(t&lt;Tnet,'2024'!Resal+('2024'!Salim-'2024'!Resal)*(1-EXP(('2024'!Tnet-t)/('2024'!Tau_j))),Resal+(Salim-Resal)*(1-EXP((Tnet-t)/(Tau_j))))*Salcycl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1.2650242821325009E-2</v>
      </c>
      <c r="Q336" s="301">
        <f t="shared" si="130"/>
        <v>0.5</v>
      </c>
      <c r="R336" s="173">
        <f t="shared" si="131"/>
        <v>0.99331284371927842</v>
      </c>
      <c r="S336" s="802">
        <f t="shared" si="132"/>
        <v>1</v>
      </c>
      <c r="T336" s="172">
        <f t="shared" si="133"/>
        <v>7</v>
      </c>
      <c r="U336" s="247">
        <f t="shared" si="134"/>
        <v>1.9933128437192784</v>
      </c>
      <c r="V336" s="378">
        <f t="shared" si="135"/>
        <v>22.090870951002735</v>
      </c>
      <c r="W336" s="397">
        <f t="shared" si="136"/>
        <v>11.814277810372003</v>
      </c>
      <c r="X336" s="153">
        <f t="shared" si="137"/>
        <v>45979</v>
      </c>
      <c r="Y336" s="380">
        <f t="shared" si="138"/>
        <v>11.421709634952283</v>
      </c>
      <c r="Z336" s="380">
        <f t="shared" si="139"/>
        <v>11.651805439412648</v>
      </c>
      <c r="AA336" s="381">
        <f t="shared" si="140"/>
        <v>12.218858451712878</v>
      </c>
      <c r="AB336" s="193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4.64080187638755E-2</v>
      </c>
      <c r="AD336" s="227">
        <f>(INDEX(Models!$BJ336:$BT336,,AH336)*(1-AF336)+INDEX(Models!$BJ336:$BT336,,AH336+1)*AF336-ERP_i)*AE336*Ramure*Pc/MaxiM</f>
        <v>1.2650242821325009E-2</v>
      </c>
      <c r="AE336" s="301">
        <f t="shared" si="142"/>
        <v>0.5</v>
      </c>
      <c r="AF336" s="173">
        <f t="shared" si="143"/>
        <v>0.99331284371927842</v>
      </c>
      <c r="AG336" s="802">
        <f t="shared" ref="AG336:AG379" si="149">INDEX(Echel_vg,AH336)</f>
        <v>1</v>
      </c>
      <c r="AH336" s="172">
        <f t="shared" si="144"/>
        <v>7</v>
      </c>
      <c r="AI336" s="221">
        <f t="shared" si="145"/>
        <v>1.9933128437192784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45980</v>
      </c>
      <c r="B337" s="406">
        <f>'2024'!Wh/'2024'!Env_an*'2025'!Env_an</f>
        <v>8.4784330316942942</v>
      </c>
      <c r="C337" s="385"/>
      <c r="D337" s="388">
        <f t="shared" si="127"/>
        <v>8.6493535233774139</v>
      </c>
      <c r="E337" s="380">
        <f t="shared" si="125"/>
        <v>8.7693740559265301</v>
      </c>
      <c r="F337" s="380">
        <f t="shared" si="128"/>
        <v>8.7834525749291039</v>
      </c>
      <c r="G337" s="110">
        <f t="shared" si="126"/>
        <v>0.38436042926886382</v>
      </c>
      <c r="H337" s="409" t="b">
        <f>Wh_hp&gt;='2024'!Maxi_hp</f>
        <v>0</v>
      </c>
      <c r="I337" s="375">
        <f>IF(H337,Wh_hp,'2024'!Maxi_hp)</f>
        <v>8.8569305429618339</v>
      </c>
      <c r="J337" s="85">
        <f>IF(H337,An,'2024'!An_max)</f>
        <v>2022</v>
      </c>
      <c r="K337" s="193">
        <f t="shared" si="129"/>
        <v>45980</v>
      </c>
      <c r="L337" s="143">
        <f>IF(t&lt;Tvie,1-EXP((T0-t)*PertePVj)+'2024'!Pspv,1-EXP((T0-t)*PertePVj)+Pspv)</f>
        <v>1.9761071301012012E-2</v>
      </c>
      <c r="M337" s="836"/>
      <c r="N337" s="836"/>
      <c r="O337" s="48">
        <f>IF(t&lt;Tnet,'2024'!Resal+('2024'!Salim-'2024'!Resal)*(1-EXP(('2024'!Tnet-t)/('2024'!Tau_j))),Resal+(Salim-Resal)*(1-EXP((Tnet-t)/(Tau_j))))*Salcycl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1.2654606293892307E-2</v>
      </c>
      <c r="Q337" s="301">
        <f t="shared" si="130"/>
        <v>0.5</v>
      </c>
      <c r="R337" s="173">
        <f t="shared" si="131"/>
        <v>0.99333975920044892</v>
      </c>
      <c r="S337" s="802">
        <f t="shared" si="132"/>
        <v>1</v>
      </c>
      <c r="T337" s="172">
        <f t="shared" si="133"/>
        <v>7</v>
      </c>
      <c r="U337" s="247">
        <f t="shared" si="134"/>
        <v>1.9933397592004489</v>
      </c>
      <c r="V337" s="378">
        <f t="shared" si="135"/>
        <v>21.814370966967815</v>
      </c>
      <c r="W337" s="397">
        <f t="shared" si="136"/>
        <v>8.4784330316942942</v>
      </c>
      <c r="X337" s="153">
        <f t="shared" si="137"/>
        <v>45980</v>
      </c>
      <c r="Y337" s="380">
        <f t="shared" si="138"/>
        <v>8.1971119798727567</v>
      </c>
      <c r="Z337" s="380">
        <f t="shared" si="139"/>
        <v>8.3623611957059172</v>
      </c>
      <c r="AA337" s="381">
        <f t="shared" si="140"/>
        <v>8.7693740559265301</v>
      </c>
      <c r="AB337" s="193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4.6412988843319472E-2</v>
      </c>
      <c r="AD337" s="227">
        <f>(INDEX(Models!$BJ337:$BT337,,AH337)*(1-AF337)+INDEX(Models!$BJ337:$BT337,,AH337+1)*AF337-ERP_i)*AE337*Ramure*Pc/MaxiM</f>
        <v>1.2654606293892307E-2</v>
      </c>
      <c r="AE337" s="301">
        <f t="shared" si="142"/>
        <v>0.5</v>
      </c>
      <c r="AF337" s="173">
        <f t="shared" si="143"/>
        <v>0.99333975920044892</v>
      </c>
      <c r="AG337" s="802">
        <f t="shared" si="149"/>
        <v>1</v>
      </c>
      <c r="AH337" s="172">
        <f t="shared" si="144"/>
        <v>7</v>
      </c>
      <c r="AI337" s="221">
        <f t="shared" si="145"/>
        <v>1.9933397592004489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45981</v>
      </c>
      <c r="B338" s="406">
        <f>'2024'!Wh/'2024'!Env_an*'2025'!Env_an</f>
        <v>15.262223874821007</v>
      </c>
      <c r="C338" s="385"/>
      <c r="D338" s="388">
        <f t="shared" si="127"/>
        <v>15.570114956530244</v>
      </c>
      <c r="E338" s="380">
        <f t="shared" si="125"/>
        <v>15.787029045781841</v>
      </c>
      <c r="F338" s="380">
        <f t="shared" si="128"/>
        <v>15.904038835840259</v>
      </c>
      <c r="G338" s="110">
        <f t="shared" si="126"/>
        <v>0.70467748953672982</v>
      </c>
      <c r="H338" s="409" t="b">
        <f>Wh_hp&gt;='2024'!Maxi_hp</f>
        <v>0</v>
      </c>
      <c r="I338" s="375">
        <f>IF(H338,Wh_hp,'2024'!Maxi_hp)</f>
        <v>15.967385749042172</v>
      </c>
      <c r="J338" s="85">
        <f>IF(H338,An,'2024'!An_max)</f>
        <v>2022</v>
      </c>
      <c r="K338" s="193">
        <f t="shared" si="129"/>
        <v>45981</v>
      </c>
      <c r="L338" s="143">
        <f>IF(t&lt;Tvie,1-EXP((T0-t)*PertePVj)+'2024'!Pspv,1-EXP((T0-t)*PertePVj)+Pspv)</f>
        <v>1.9774489948778728E-2</v>
      </c>
      <c r="M338" s="836"/>
      <c r="N338" s="836"/>
      <c r="O338" s="48">
        <f>IF(t&lt;Tnet,'2024'!Resal+('2024'!Salim-'2024'!Resal)*(1-EXP(('2024'!Tnet-t)/('2024'!Tau_j))),Resal+(Salim-Resal)*(1-EXP((Tnet-t)/(Tau_j))))*Salcycl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1.2609547297084522E-2</v>
      </c>
      <c r="Q338" s="301">
        <f t="shared" si="130"/>
        <v>0.5</v>
      </c>
      <c r="R338" s="173">
        <f t="shared" si="131"/>
        <v>0.99336559371038802</v>
      </c>
      <c r="S338" s="802">
        <f t="shared" si="132"/>
        <v>1</v>
      </c>
      <c r="T338" s="172">
        <f t="shared" si="133"/>
        <v>7</v>
      </c>
      <c r="U338" s="247">
        <f t="shared" si="134"/>
        <v>1.993365593710388</v>
      </c>
      <c r="V338" s="378">
        <f t="shared" si="135"/>
        <v>21.543852371958675</v>
      </c>
      <c r="W338" s="397">
        <f t="shared" si="136"/>
        <v>15.262223874821007</v>
      </c>
      <c r="X338" s="153">
        <f t="shared" si="137"/>
        <v>45981</v>
      </c>
      <c r="Y338" s="380">
        <f t="shared" si="138"/>
        <v>14.756527403468477</v>
      </c>
      <c r="Z338" s="380">
        <f t="shared" si="139"/>
        <v>15.054216863522946</v>
      </c>
      <c r="AA338" s="381">
        <f t="shared" si="140"/>
        <v>15.787029045781841</v>
      </c>
      <c r="AB338" s="193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4.6418625070858172E-2</v>
      </c>
      <c r="AD338" s="227">
        <f>(INDEX(Models!$BJ338:$BT338,,AH338)*(1-AF338)+INDEX(Models!$BJ338:$BT338,,AH338+1)*AF338-ERP_i)*AE338*Ramure*Pc/MaxiM</f>
        <v>1.2609547297084522E-2</v>
      </c>
      <c r="AE338" s="301">
        <f t="shared" si="142"/>
        <v>0.5</v>
      </c>
      <c r="AF338" s="173">
        <f t="shared" si="143"/>
        <v>0.99336559371038802</v>
      </c>
      <c r="AG338" s="802">
        <f t="shared" si="149"/>
        <v>1</v>
      </c>
      <c r="AH338" s="172">
        <f t="shared" si="144"/>
        <v>7</v>
      </c>
      <c r="AI338" s="221">
        <f t="shared" si="145"/>
        <v>1.993365593710388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45982</v>
      </c>
      <c r="B339" s="406">
        <f>'2024'!Wh/'2024'!Env_an*'2025'!Env_an</f>
        <v>3.4756043136513322</v>
      </c>
      <c r="C339" s="385"/>
      <c r="D339" s="388">
        <f t="shared" si="127"/>
        <v>3.5457676389440231</v>
      </c>
      <c r="E339" s="380">
        <f t="shared" si="125"/>
        <v>3.5953613747200355</v>
      </c>
      <c r="F339" s="380">
        <f t="shared" si="128"/>
        <v>3.5953613747200355</v>
      </c>
      <c r="G339" s="110">
        <f t="shared" si="126"/>
        <v>0.16128872199899588</v>
      </c>
      <c r="H339" s="409" t="b">
        <f>Wh_hp&gt;='2024'!Maxi_hp</f>
        <v>0</v>
      </c>
      <c r="I339" s="375">
        <f>IF(H339,Wh_hp,'2024'!Maxi_hp)</f>
        <v>3.629559805133463</v>
      </c>
      <c r="J339" s="85">
        <f>IF(H339,An,'2024'!An_max)</f>
        <v>2022</v>
      </c>
      <c r="K339" s="193">
        <f t="shared" si="129"/>
        <v>45982</v>
      </c>
      <c r="L339" s="143">
        <f>IF(t&lt;Tvie,1-EXP((T0-t)*PertePVj)+'2024'!Pspv,1-EXP((T0-t)*PertePVj)+Pspv)</f>
        <v>1.9787908412855493E-2</v>
      </c>
      <c r="M339" s="836"/>
      <c r="N339" s="836"/>
      <c r="O339" s="48">
        <f>IF(t&lt;Tnet,'2024'!Resal+('2024'!Salim-'2024'!Resal)*(1-EXP(('2024'!Tnet-t)/('2024'!Tau_j))),Resal+(Salim-Resal)*(1-EXP((Tnet-t)/(Tau_j))))*Salcycl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1.2559957391276209E-2</v>
      </c>
      <c r="Q339" s="301">
        <f t="shared" si="130"/>
        <v>0.5</v>
      </c>
      <c r="R339" s="173">
        <f t="shared" si="131"/>
        <v>0.99339039055757317</v>
      </c>
      <c r="S339" s="802">
        <f t="shared" si="132"/>
        <v>1</v>
      </c>
      <c r="T339" s="172">
        <f t="shared" si="133"/>
        <v>7</v>
      </c>
      <c r="U339" s="247">
        <f t="shared" si="134"/>
        <v>1.9933903905575732</v>
      </c>
      <c r="V339" s="378">
        <f t="shared" si="135"/>
        <v>21.278306561225659</v>
      </c>
      <c r="W339" s="397">
        <f t="shared" si="136"/>
        <v>3.4756043136513322</v>
      </c>
      <c r="X339" s="153">
        <f t="shared" si="137"/>
        <v>45982</v>
      </c>
      <c r="Y339" s="380">
        <f t="shared" si="138"/>
        <v>3.3606051003006399</v>
      </c>
      <c r="Z339" s="380">
        <f t="shared" si="139"/>
        <v>3.4284468934260945</v>
      </c>
      <c r="AA339" s="381">
        <f t="shared" si="140"/>
        <v>3.5953613747200355</v>
      </c>
      <c r="AB339" s="193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4.6424952570153902E-2</v>
      </c>
      <c r="AD339" s="227">
        <f>(INDEX(Models!$BJ339:$BT339,,AH339)*(1-AF339)+INDEX(Models!$BJ339:$BT339,,AH339+1)*AF339-ERP_i)*AE339*Ramure*Pc/MaxiM</f>
        <v>1.2559957391276209E-2</v>
      </c>
      <c r="AE339" s="301">
        <f t="shared" si="142"/>
        <v>0.5</v>
      </c>
      <c r="AF339" s="173">
        <f t="shared" si="143"/>
        <v>0.99339039055757317</v>
      </c>
      <c r="AG339" s="802">
        <f t="shared" si="149"/>
        <v>1</v>
      </c>
      <c r="AH339" s="172">
        <f t="shared" si="144"/>
        <v>7</v>
      </c>
      <c r="AI339" s="221">
        <f t="shared" si="145"/>
        <v>1.9933903905575732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45983</v>
      </c>
      <c r="B340" s="406">
        <f>'2024'!Wh/'2024'!Env_an*'2025'!Env_an</f>
        <v>9.7523947138937697</v>
      </c>
      <c r="C340" s="385"/>
      <c r="D340" s="388">
        <f t="shared" si="127"/>
        <v>9.9494061555842741</v>
      </c>
      <c r="E340" s="380">
        <f t="shared" si="125"/>
        <v>10.08911734809168</v>
      </c>
      <c r="F340" s="380">
        <f t="shared" si="128"/>
        <v>10.118766008127775</v>
      </c>
      <c r="G340" s="110">
        <f t="shared" si="126"/>
        <v>0.45955171318532106</v>
      </c>
      <c r="H340" s="409" t="b">
        <f>Wh_hp&gt;='2024'!Maxi_hp</f>
        <v>0</v>
      </c>
      <c r="I340" s="375">
        <f>IF(H340,Wh_hp,'2024'!Maxi_hp)</f>
        <v>10.192243033063592</v>
      </c>
      <c r="J340" s="85">
        <f>IF(H340,An,'2024'!An_max)</f>
        <v>2022</v>
      </c>
      <c r="K340" s="193">
        <f t="shared" si="129"/>
        <v>45983</v>
      </c>
      <c r="L340" s="143">
        <f>IF(t&lt;Tvie,1-EXP((T0-t)*PertePVj)+'2024'!Pspv,1-EXP((T0-t)*PertePVj)+Pspv)</f>
        <v>1.9801326693244747E-2</v>
      </c>
      <c r="M340" s="836"/>
      <c r="N340" s="836"/>
      <c r="O340" s="48">
        <f>IF(t&lt;Tnet,'2024'!Resal+('2024'!Salim-'2024'!Resal)*(1-EXP(('2024'!Tnet-t)/('2024'!Tau_j))),Resal+(Salim-Resal)*(1-EXP((Tnet-t)/(Tau_j))))*Salcycl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1.2505774420864551E-2</v>
      </c>
      <c r="Q340" s="301">
        <f t="shared" si="130"/>
        <v>0.5</v>
      </c>
      <c r="R340" s="173">
        <f t="shared" si="131"/>
        <v>0.99341419132364184</v>
      </c>
      <c r="S340" s="802">
        <f t="shared" si="132"/>
        <v>1</v>
      </c>
      <c r="T340" s="172">
        <f t="shared" si="133"/>
        <v>7</v>
      </c>
      <c r="U340" s="247">
        <f t="shared" si="134"/>
        <v>1.9934141913236418</v>
      </c>
      <c r="V340" s="378">
        <f t="shared" si="135"/>
        <v>21.017730811440337</v>
      </c>
      <c r="W340" s="397">
        <f t="shared" si="136"/>
        <v>9.7523947138937697</v>
      </c>
      <c r="X340" s="153">
        <f t="shared" si="137"/>
        <v>45983</v>
      </c>
      <c r="Y340" s="380">
        <f t="shared" si="138"/>
        <v>9.4301576930820374</v>
      </c>
      <c r="Z340" s="380">
        <f t="shared" si="139"/>
        <v>9.6206595151459151</v>
      </c>
      <c r="AA340" s="381">
        <f t="shared" si="140"/>
        <v>10.08911734809168</v>
      </c>
      <c r="AB340" s="193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4.6431993680237198E-2</v>
      </c>
      <c r="AD340" s="227">
        <f>(INDEX(Models!$BJ340:$BT340,,AH340)*(1-AF340)+INDEX(Models!$BJ340:$BT340,,AH340+1)*AF340-ERP_i)*AE340*Ramure*Pc/MaxiM</f>
        <v>1.2505774420864551E-2</v>
      </c>
      <c r="AE340" s="301">
        <f t="shared" si="142"/>
        <v>0.5</v>
      </c>
      <c r="AF340" s="173">
        <f t="shared" si="143"/>
        <v>0.99341419132364184</v>
      </c>
      <c r="AG340" s="802">
        <f t="shared" si="149"/>
        <v>1</v>
      </c>
      <c r="AH340" s="172">
        <f t="shared" si="144"/>
        <v>7</v>
      </c>
      <c r="AI340" s="221">
        <f t="shared" si="145"/>
        <v>1.9934141913236418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45984</v>
      </c>
      <c r="B341" s="406">
        <f>'2024'!Wh/'2024'!Env_an*'2025'!Env_an</f>
        <v>13.006802837868706</v>
      </c>
      <c r="C341" s="385"/>
      <c r="D341" s="388">
        <f t="shared" si="127"/>
        <v>13.269739336245559</v>
      </c>
      <c r="E341" s="380">
        <f t="shared" si="125"/>
        <v>13.456812322822083</v>
      </c>
      <c r="F341" s="380">
        <f t="shared" si="128"/>
        <v>13.535385208475466</v>
      </c>
      <c r="G341" s="110">
        <f t="shared" si="126"/>
        <v>0.62228262255889943</v>
      </c>
      <c r="H341" s="409" t="b">
        <f>Wh_hp&gt;='2024'!Maxi_hp</f>
        <v>0</v>
      </c>
      <c r="I341" s="375">
        <f>IF(H341,Wh_hp,'2024'!Maxi_hp)</f>
        <v>13.60365476086419</v>
      </c>
      <c r="J341" s="85">
        <f>IF(H341,An,'2024'!An_max)</f>
        <v>2022</v>
      </c>
      <c r="K341" s="193">
        <f t="shared" si="129"/>
        <v>45984</v>
      </c>
      <c r="L341" s="143">
        <f>IF(t&lt;Tvie,1-EXP((T0-t)*PertePVj)+'2024'!Pspv,1-EXP((T0-t)*PertePVj)+Pspv)</f>
        <v>1.9814744789948935E-2</v>
      </c>
      <c r="M341" s="836"/>
      <c r="N341" s="836"/>
      <c r="O341" s="48">
        <f>IF(t&lt;Tnet,'2024'!Resal+('2024'!Salim-'2024'!Resal)*(1-EXP(('2024'!Tnet-t)/('2024'!Tau_j))),Resal+(Salim-Resal)*(1-EXP((Tnet-t)/(Tau_j))))*Salcycl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1.2446857911253094E-2</v>
      </c>
      <c r="Q341" s="301">
        <f t="shared" si="130"/>
        <v>0.5</v>
      </c>
      <c r="R341" s="173">
        <f t="shared" si="131"/>
        <v>0.99343703593159138</v>
      </c>
      <c r="S341" s="802">
        <f t="shared" si="132"/>
        <v>1</v>
      </c>
      <c r="T341" s="172">
        <f t="shared" si="133"/>
        <v>7</v>
      </c>
      <c r="U341" s="247">
        <f t="shared" si="134"/>
        <v>1.9934370359315914</v>
      </c>
      <c r="V341" s="378">
        <f t="shared" si="135"/>
        <v>20.762124138548611</v>
      </c>
      <c r="W341" s="397">
        <f t="shared" si="136"/>
        <v>13.006802837868706</v>
      </c>
      <c r="X341" s="153">
        <f t="shared" si="137"/>
        <v>45984</v>
      </c>
      <c r="Y341" s="380">
        <f t="shared" si="138"/>
        <v>12.577620633269689</v>
      </c>
      <c r="Z341" s="380">
        <f t="shared" si="139"/>
        <v>12.8318810820862</v>
      </c>
      <c r="AA341" s="381">
        <f t="shared" si="140"/>
        <v>13.456812322822083</v>
      </c>
      <c r="AB341" s="193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4.6439767884406888E-2</v>
      </c>
      <c r="AD341" s="227">
        <f>(INDEX(Models!$BJ341:$BT341,,AH341)*(1-AF341)+INDEX(Models!$BJ341:$BT341,,AH341+1)*AF341-ERP_i)*AE341*Ramure*Pc/MaxiM</f>
        <v>1.2446857911253094E-2</v>
      </c>
      <c r="AE341" s="301">
        <f t="shared" si="142"/>
        <v>0.5</v>
      </c>
      <c r="AF341" s="173">
        <f t="shared" si="143"/>
        <v>0.99343703593159138</v>
      </c>
      <c r="AG341" s="802">
        <f t="shared" si="149"/>
        <v>1</v>
      </c>
      <c r="AH341" s="172">
        <f t="shared" si="144"/>
        <v>7</v>
      </c>
      <c r="AI341" s="221">
        <f t="shared" si="145"/>
        <v>1.9934370359315914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45985</v>
      </c>
      <c r="B342" s="406">
        <f>'2024'!Wh/'2024'!Env_an*'2025'!Env_an</f>
        <v>12.093139836252197</v>
      </c>
      <c r="C342" s="385"/>
      <c r="D342" s="388">
        <f t="shared" si="127"/>
        <v>12.337775251328218</v>
      </c>
      <c r="E342" s="380">
        <f t="shared" si="125"/>
        <v>12.512396706852922</v>
      </c>
      <c r="F342" s="380">
        <f t="shared" si="128"/>
        <v>12.576823904399188</v>
      </c>
      <c r="G342" s="110">
        <f t="shared" si="126"/>
        <v>0.58527633068448703</v>
      </c>
      <c r="H342" s="409" t="b">
        <f>Wh_hp&gt;='2024'!Maxi_hp</f>
        <v>0</v>
      </c>
      <c r="I342" s="375">
        <f>IF(H342,Wh_hp,'2024'!Maxi_hp)</f>
        <v>12.646209273203628</v>
      </c>
      <c r="J342" s="85">
        <f>IF(H342,An,'2024'!An_max)</f>
        <v>2022</v>
      </c>
      <c r="K342" s="193">
        <f t="shared" si="129"/>
        <v>45985</v>
      </c>
      <c r="L342" s="143">
        <f>IF(t&lt;Tvie,1-EXP((T0-t)*PertePVj)+'2024'!Pspv,1-EXP((T0-t)*PertePVj)+Pspv)</f>
        <v>1.9828162702970609E-2</v>
      </c>
      <c r="M342" s="836"/>
      <c r="N342" s="836"/>
      <c r="O342" s="48">
        <f>IF(t&lt;Tnet,'2024'!Resal+('2024'!Salim-'2024'!Resal)*(1-EXP(('2024'!Tnet-t)/('2024'!Tau_j))),Resal+(Salim-Resal)*(1-EXP((Tnet-t)/(Tau_j))))*Salcycl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1.2383097873322285E-2</v>
      </c>
      <c r="Q342" s="301">
        <f t="shared" si="130"/>
        <v>0.5</v>
      </c>
      <c r="R342" s="173">
        <f t="shared" si="131"/>
        <v>0.99345896271133949</v>
      </c>
      <c r="S342" s="802">
        <f t="shared" si="132"/>
        <v>1</v>
      </c>
      <c r="T342" s="172">
        <f t="shared" si="133"/>
        <v>7</v>
      </c>
      <c r="U342" s="247">
        <f t="shared" si="134"/>
        <v>1.9934589627113395</v>
      </c>
      <c r="V342" s="378">
        <f t="shared" si="135"/>
        <v>20.511484937414863</v>
      </c>
      <c r="W342" s="397">
        <f t="shared" si="136"/>
        <v>12.093139836252197</v>
      </c>
      <c r="X342" s="153">
        <f t="shared" si="137"/>
        <v>45985</v>
      </c>
      <c r="Y342" s="380">
        <f t="shared" si="138"/>
        <v>11.694643137077094</v>
      </c>
      <c r="Z342" s="380">
        <f t="shared" si="139"/>
        <v>11.931217254034582</v>
      </c>
      <c r="AA342" s="381">
        <f t="shared" si="140"/>
        <v>12.512396706852922</v>
      </c>
      <c r="AB342" s="193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4.6448291756928932E-2</v>
      </c>
      <c r="AD342" s="227">
        <f>(INDEX(Models!$BJ342:$BT342,,AH342)*(1-AF342)+INDEX(Models!$BJ342:$BT342,,AH342+1)*AF342-ERP_i)*AE342*Ramure*Pc/MaxiM</f>
        <v>1.2383097873322285E-2</v>
      </c>
      <c r="AE342" s="301">
        <f t="shared" si="142"/>
        <v>0.5</v>
      </c>
      <c r="AF342" s="173">
        <f t="shared" si="143"/>
        <v>0.99345896271133949</v>
      </c>
      <c r="AG342" s="802">
        <f t="shared" si="149"/>
        <v>1</v>
      </c>
      <c r="AH342" s="172">
        <f t="shared" si="144"/>
        <v>7</v>
      </c>
      <c r="AI342" s="221">
        <f t="shared" si="145"/>
        <v>1.9934589627113395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45986</v>
      </c>
      <c r="B343" s="406">
        <f>'2024'!Wh/'2024'!Env_an*'2025'!Env_an</f>
        <v>4.9081270479565271</v>
      </c>
      <c r="C343" s="385"/>
      <c r="D343" s="388">
        <f t="shared" si="127"/>
        <v>5.0074834332610481</v>
      </c>
      <c r="E343" s="380">
        <f t="shared" si="125"/>
        <v>5.0786359010701112</v>
      </c>
      <c r="F343" s="380">
        <f t="shared" si="128"/>
        <v>5.0786359010701112</v>
      </c>
      <c r="G343" s="110">
        <f t="shared" si="126"/>
        <v>0.23920514838694765</v>
      </c>
      <c r="H343" s="409" t="b">
        <f>Wh_hp&gt;='2024'!Maxi_hp</f>
        <v>0</v>
      </c>
      <c r="I343" s="375">
        <f>IF(H343,Wh_hp,'2024'!Maxi_hp)</f>
        <v>5.1261400512885871</v>
      </c>
      <c r="J343" s="85">
        <f>IF(H343,An,'2024'!An_max)</f>
        <v>2022</v>
      </c>
      <c r="K343" s="193">
        <f t="shared" si="129"/>
        <v>45986</v>
      </c>
      <c r="L343" s="143">
        <f>IF(t&lt;Tvie,1-EXP((T0-t)*PertePVj)+'2024'!Pspv,1-EXP((T0-t)*PertePVj)+Pspv)</f>
        <v>1.9841580432312433E-2</v>
      </c>
      <c r="M343" s="836"/>
      <c r="N343" s="836"/>
      <c r="O343" s="48">
        <f>IF(t&lt;Tnet,'2024'!Resal+('2024'!Salim-'2024'!Resal)*(1-EXP(('2024'!Tnet-t)/('2024'!Tau_j))),Resal+(Salim-Resal)*(1-EXP((Tnet-t)/(Tau_j))))*Salcycl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1.231442357837392E-2</v>
      </c>
      <c r="Q343" s="301">
        <f t="shared" si="130"/>
        <v>0.5</v>
      </c>
      <c r="R343" s="173">
        <f t="shared" si="131"/>
        <v>0.99348000846273665</v>
      </c>
      <c r="S343" s="802">
        <f t="shared" si="132"/>
        <v>1</v>
      </c>
      <c r="T343" s="172">
        <f t="shared" si="133"/>
        <v>7</v>
      </c>
      <c r="U343" s="247">
        <f t="shared" si="134"/>
        <v>1.9934800084627367</v>
      </c>
      <c r="V343" s="378">
        <f t="shared" si="135"/>
        <v>20.265810853994282</v>
      </c>
      <c r="W343" s="397">
        <f t="shared" si="136"/>
        <v>4.9081270479565271</v>
      </c>
      <c r="X343" s="153">
        <f t="shared" si="137"/>
        <v>45986</v>
      </c>
      <c r="Y343" s="380">
        <f t="shared" si="138"/>
        <v>4.7466080550058134</v>
      </c>
      <c r="Z343" s="380">
        <f t="shared" si="139"/>
        <v>4.8426947728504652</v>
      </c>
      <c r="AA343" s="381">
        <f t="shared" si="140"/>
        <v>5.0786359010701112</v>
      </c>
      <c r="AB343" s="193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4.6457578927824254E-2</v>
      </c>
      <c r="AD343" s="227">
        <f>(INDEX(Models!$BJ343:$BT343,,AH343)*(1-AF343)+INDEX(Models!$BJ343:$BT343,,AH343+1)*AF343-ERP_i)*AE343*Ramure*Pc/MaxiM</f>
        <v>1.231442357837392E-2</v>
      </c>
      <c r="AE343" s="301">
        <f t="shared" si="142"/>
        <v>0.5</v>
      </c>
      <c r="AF343" s="173">
        <f t="shared" si="143"/>
        <v>0.99348000846273665</v>
      </c>
      <c r="AG343" s="802">
        <f t="shared" si="149"/>
        <v>1</v>
      </c>
      <c r="AH343" s="172">
        <f t="shared" si="144"/>
        <v>7</v>
      </c>
      <c r="AI343" s="221">
        <f t="shared" si="145"/>
        <v>1.9934800084627367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45987</v>
      </c>
      <c r="B344" s="406">
        <f>'2024'!Wh/'2024'!Env_an*'2025'!Env_an</f>
        <v>9.8156028190237841</v>
      </c>
      <c r="C344" s="385"/>
      <c r="D344" s="388">
        <f t="shared" si="127"/>
        <v>10.014439494946517</v>
      </c>
      <c r="E344" s="380">
        <f t="shared" si="125"/>
        <v>10.157297512562328</v>
      </c>
      <c r="F344" s="380">
        <f t="shared" si="128"/>
        <v>10.191187022179701</v>
      </c>
      <c r="G344" s="110">
        <f t="shared" si="126"/>
        <v>0.48578040048911758</v>
      </c>
      <c r="H344" s="409" t="b">
        <f>Wh_hp&gt;='2024'!Maxi_hp</f>
        <v>0</v>
      </c>
      <c r="I344" s="375">
        <f>IF(H344,Wh_hp,'2024'!Maxi_hp)</f>
        <v>10.260327974722742</v>
      </c>
      <c r="J344" s="85">
        <f>IF(H344,An,'2024'!An_max)</f>
        <v>2022</v>
      </c>
      <c r="K344" s="193">
        <f t="shared" si="129"/>
        <v>45987</v>
      </c>
      <c r="L344" s="143">
        <f>IF(t&lt;Tvie,1-EXP((T0-t)*PertePVj)+'2024'!Pspv,1-EXP((T0-t)*PertePVj)+Pspv)</f>
        <v>1.985499797797674E-2</v>
      </c>
      <c r="M344" s="836"/>
      <c r="N344" s="836"/>
      <c r="O344" s="48">
        <f>IF(t&lt;Tnet,'2024'!Resal+('2024'!Salim-'2024'!Resal)*(1-EXP(('2024'!Tnet-t)/('2024'!Tau_j))),Resal+(Salim-Resal)*(1-EXP((Tnet-t)/(Tau_j))))*Salcycl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1.2240749158615795E-2</v>
      </c>
      <c r="Q344" s="301">
        <f t="shared" si="130"/>
        <v>0.5</v>
      </c>
      <c r="R344" s="173">
        <f t="shared" si="131"/>
        <v>0.99350020851613507</v>
      </c>
      <c r="S344" s="802">
        <f t="shared" si="132"/>
        <v>1</v>
      </c>
      <c r="T344" s="172">
        <f t="shared" si="133"/>
        <v>7</v>
      </c>
      <c r="U344" s="247">
        <f t="shared" si="134"/>
        <v>1.9935002085161351</v>
      </c>
      <c r="V344" s="378">
        <f t="shared" si="135"/>
        <v>20.025099932452708</v>
      </c>
      <c r="W344" s="397">
        <f t="shared" si="136"/>
        <v>9.8156028190237841</v>
      </c>
      <c r="X344" s="153">
        <f t="shared" si="137"/>
        <v>45987</v>
      </c>
      <c r="Y344" s="380">
        <f t="shared" si="138"/>
        <v>9.4930100201570049</v>
      </c>
      <c r="Z344" s="380">
        <f t="shared" si="139"/>
        <v>9.685311867706389</v>
      </c>
      <c r="AA344" s="381">
        <f t="shared" si="140"/>
        <v>10.157297512562328</v>
      </c>
      <c r="AB344" s="193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4.6467640065893302E-2</v>
      </c>
      <c r="AD344" s="227">
        <f>(INDEX(Models!$BJ344:$BT344,,AH344)*(1-AF344)+INDEX(Models!$BJ344:$BT344,,AH344+1)*AF344-ERP_i)*AE344*Ramure*Pc/MaxiM</f>
        <v>1.2240749158615795E-2</v>
      </c>
      <c r="AE344" s="301">
        <f t="shared" si="142"/>
        <v>0.5</v>
      </c>
      <c r="AF344" s="173">
        <f t="shared" si="143"/>
        <v>0.99350020851613507</v>
      </c>
      <c r="AG344" s="802">
        <f t="shared" si="149"/>
        <v>1</v>
      </c>
      <c r="AH344" s="172">
        <f t="shared" si="144"/>
        <v>7</v>
      </c>
      <c r="AI344" s="221">
        <f t="shared" si="145"/>
        <v>1.9935002085161351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45988</v>
      </c>
      <c r="B345" s="406">
        <f>'2024'!Wh/'2024'!Env_an*'2025'!Env_an</f>
        <v>14.032926301341726</v>
      </c>
      <c r="C345" s="385"/>
      <c r="D345" s="388">
        <f t="shared" si="127"/>
        <v>14.317390155536264</v>
      </c>
      <c r="E345" s="380">
        <f t="shared" si="125"/>
        <v>14.522434289859778</v>
      </c>
      <c r="F345" s="380">
        <f t="shared" si="128"/>
        <v>14.626432636788923</v>
      </c>
      <c r="G345" s="110">
        <f t="shared" si="126"/>
        <v>0.70558771760792061</v>
      </c>
      <c r="H345" s="409" t="b">
        <f>Wh_hp&gt;='2024'!Maxi_hp</f>
        <v>0</v>
      </c>
      <c r="I345" s="375">
        <f>IF(H345,Wh_hp,'2024'!Maxi_hp)</f>
        <v>14.682791656561243</v>
      </c>
      <c r="J345" s="85">
        <f>IF(H345,An,'2024'!An_max)</f>
        <v>2022</v>
      </c>
      <c r="K345" s="193">
        <f t="shared" si="129"/>
        <v>45988</v>
      </c>
      <c r="L345" s="143">
        <f>IF(t&lt;Tvie,1-EXP((T0-t)*PertePVj)+'2024'!Pspv,1-EXP((T0-t)*PertePVj)+Pspv)</f>
        <v>1.9868415339966194E-2</v>
      </c>
      <c r="M345" s="836"/>
      <c r="N345" s="836"/>
      <c r="O345" s="48">
        <f>IF(t&lt;Tnet,'2024'!Resal+('2024'!Salim-'2024'!Resal)*(1-EXP(('2024'!Tnet-t)/('2024'!Tau_j))),Resal+(Salim-Resal)*(1-EXP((Tnet-t)/(Tau_j))))*Salcycl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1.2163361778599084E-2</v>
      </c>
      <c r="Q345" s="301">
        <f t="shared" si="130"/>
        <v>0.5</v>
      </c>
      <c r="R345" s="173">
        <f t="shared" si="131"/>
        <v>0.99351959679059565</v>
      </c>
      <c r="S345" s="802">
        <f t="shared" si="132"/>
        <v>1</v>
      </c>
      <c r="T345" s="172">
        <f t="shared" si="133"/>
        <v>7</v>
      </c>
      <c r="U345" s="247">
        <f t="shared" si="134"/>
        <v>1.9935195967905956</v>
      </c>
      <c r="V345" s="378">
        <f t="shared" si="135"/>
        <v>19.787063939581731</v>
      </c>
      <c r="W345" s="397">
        <f t="shared" si="136"/>
        <v>14.032926301341726</v>
      </c>
      <c r="X345" s="153">
        <f t="shared" si="137"/>
        <v>45988</v>
      </c>
      <c r="Y345" s="380">
        <f t="shared" si="138"/>
        <v>13.572326617287214</v>
      </c>
      <c r="Z345" s="380">
        <f t="shared" si="139"/>
        <v>13.847453576342895</v>
      </c>
      <c r="AA345" s="381">
        <f t="shared" si="140"/>
        <v>14.522434289859778</v>
      </c>
      <c r="AB345" s="193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4.6478482879980014E-2</v>
      </c>
      <c r="AD345" s="227">
        <f>(INDEX(Models!$BJ345:$BT345,,AH345)*(1-AF345)+INDEX(Models!$BJ345:$BT345,,AH345+1)*AF345-ERP_i)*AE345*Ramure*Pc/MaxiM</f>
        <v>1.2163361778599084E-2</v>
      </c>
      <c r="AE345" s="301">
        <f t="shared" si="142"/>
        <v>0.5</v>
      </c>
      <c r="AF345" s="173">
        <f t="shared" si="143"/>
        <v>0.99351959679059565</v>
      </c>
      <c r="AG345" s="802">
        <f t="shared" si="149"/>
        <v>1</v>
      </c>
      <c r="AH345" s="172">
        <f t="shared" si="144"/>
        <v>7</v>
      </c>
      <c r="AI345" s="221">
        <f t="shared" si="145"/>
        <v>1.9935195967905956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45989</v>
      </c>
      <c r="B346" s="406">
        <f>'2024'!Wh/'2024'!Env_an*'2025'!Env_an</f>
        <v>9.5828233138859922</v>
      </c>
      <c r="C346" s="385"/>
      <c r="D346" s="388">
        <f t="shared" si="127"/>
        <v>9.7772122095316121</v>
      </c>
      <c r="E346" s="380">
        <f t="shared" si="125"/>
        <v>9.9177852941342675</v>
      </c>
      <c r="F346" s="380">
        <f t="shared" si="128"/>
        <v>9.9504618658038897</v>
      </c>
      <c r="G346" s="110">
        <f t="shared" si="126"/>
        <v>0.48583971058535513</v>
      </c>
      <c r="H346" s="409" t="b">
        <f>Wh_hp&gt;='2024'!Maxi_hp</f>
        <v>0</v>
      </c>
      <c r="I346" s="375">
        <f>IF(H346,Wh_hp,'2024'!Maxi_hp)</f>
        <v>10.017285117579057</v>
      </c>
      <c r="J346" s="85">
        <f>IF(H346,An,'2024'!An_max)</f>
        <v>2022</v>
      </c>
      <c r="K346" s="193">
        <f t="shared" si="129"/>
        <v>45989</v>
      </c>
      <c r="L346" s="143">
        <f>IF(t&lt;Tvie,1-EXP((T0-t)*PertePVj)+'2024'!Pspv,1-EXP((T0-t)*PertePVj)+Pspv)</f>
        <v>1.9881832518283127E-2</v>
      </c>
      <c r="M346" s="836"/>
      <c r="N346" s="836"/>
      <c r="O346" s="48">
        <f>IF(t&lt;Tnet,'2024'!Resal+('2024'!Salim-'2024'!Resal)*(1-EXP(('2024'!Tnet-t)/('2024'!Tau_j))),Resal+(Salim-Resal)*(1-EXP((Tnet-t)/(Tau_j))))*Salcycl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1.2087896351184934E-2</v>
      </c>
      <c r="Q346" s="301">
        <f t="shared" si="130"/>
        <v>0.5</v>
      </c>
      <c r="R346" s="173">
        <f t="shared" si="131"/>
        <v>0.99353820584983055</v>
      </c>
      <c r="S346" s="802">
        <f t="shared" si="132"/>
        <v>1</v>
      </c>
      <c r="T346" s="172">
        <f t="shared" si="133"/>
        <v>7</v>
      </c>
      <c r="U346" s="247">
        <f t="shared" si="134"/>
        <v>1.9935382058498305</v>
      </c>
      <c r="V346" s="378">
        <f t="shared" si="135"/>
        <v>19.550024913067773</v>
      </c>
      <c r="W346" s="397">
        <f t="shared" si="136"/>
        <v>9.5828233138859922</v>
      </c>
      <c r="X346" s="153">
        <f t="shared" si="137"/>
        <v>45989</v>
      </c>
      <c r="Y346" s="380">
        <f t="shared" si="138"/>
        <v>9.2686896919470882</v>
      </c>
      <c r="Z346" s="380">
        <f t="shared" si="139"/>
        <v>9.4567063436460437</v>
      </c>
      <c r="AA346" s="381">
        <f t="shared" si="140"/>
        <v>9.9177852941342675</v>
      </c>
      <c r="AB346" s="193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4.6490112138334205E-2</v>
      </c>
      <c r="AD346" s="227">
        <f>(INDEX(Models!$BJ346:$BT346,,AH346)*(1-AF346)+INDEX(Models!$BJ346:$BT346,,AH346+1)*AF346-ERP_i)*AE346*Ramure*Pc/MaxiM</f>
        <v>1.2087896351184934E-2</v>
      </c>
      <c r="AE346" s="301">
        <f t="shared" si="142"/>
        <v>0.5</v>
      </c>
      <c r="AF346" s="173">
        <f t="shared" si="143"/>
        <v>0.99353820584983055</v>
      </c>
      <c r="AG346" s="802">
        <f t="shared" si="149"/>
        <v>1</v>
      </c>
      <c r="AH346" s="172">
        <f t="shared" si="144"/>
        <v>7</v>
      </c>
      <c r="AI346" s="221">
        <f t="shared" si="145"/>
        <v>1.9935382058498305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45990</v>
      </c>
      <c r="B347" s="406">
        <f>'2024'!Wh/'2024'!Env_an*'2025'!Env_an</f>
        <v>10.621356272194946</v>
      </c>
      <c r="C347" s="385"/>
      <c r="D347" s="388">
        <f t="shared" si="127"/>
        <v>10.836960301352065</v>
      </c>
      <c r="E347" s="380">
        <f t="shared" si="125"/>
        <v>10.993381816510899</v>
      </c>
      <c r="F347" s="380">
        <f t="shared" si="128"/>
        <v>11.040781308158838</v>
      </c>
      <c r="G347" s="110">
        <f t="shared" si="126"/>
        <v>0.54563697295149671</v>
      </c>
      <c r="H347" s="409" t="b">
        <f>Wh_hp&gt;='2024'!Maxi_hp</f>
        <v>0</v>
      </c>
      <c r="I347" s="375">
        <f>IF(H347,Wh_hp,'2024'!Maxi_hp)</f>
        <v>11.10599499175243</v>
      </c>
      <c r="J347" s="85">
        <f>IF(H347,An,'2024'!An_max)</f>
        <v>2022</v>
      </c>
      <c r="K347" s="193">
        <f t="shared" si="129"/>
        <v>45990</v>
      </c>
      <c r="L347" s="143">
        <f>IF(t&lt;Tvie,1-EXP((T0-t)*PertePVj)+'2024'!Pspv,1-EXP((T0-t)*PertePVj)+Pspv)</f>
        <v>1.9895249512930202E-2</v>
      </c>
      <c r="M347" s="836"/>
      <c r="N347" s="836"/>
      <c r="O347" s="48">
        <f>IF(t&lt;Tnet,'2024'!Resal+('2024'!Salim-'2024'!Resal)*(1-EXP(('2024'!Tnet-t)/('2024'!Tau_j))),Resal+(Salim-Resal)*(1-EXP((Tnet-t)/(Tau_j))))*Salcycl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1.2025221338538089E-2</v>
      </c>
      <c r="Q347" s="301">
        <f t="shared" si="130"/>
        <v>0.5</v>
      </c>
      <c r="R347" s="173">
        <f t="shared" si="131"/>
        <v>0.99355606695595955</v>
      </c>
      <c r="S347" s="802">
        <f t="shared" si="132"/>
        <v>1</v>
      </c>
      <c r="T347" s="172">
        <f t="shared" si="133"/>
        <v>7</v>
      </c>
      <c r="U347" s="247">
        <f t="shared" si="134"/>
        <v>1.9935560669559595</v>
      </c>
      <c r="V347" s="378">
        <f t="shared" si="135"/>
        <v>19.314814402198444</v>
      </c>
      <c r="W347" s="397">
        <f t="shared" si="136"/>
        <v>10.621356272194946</v>
      </c>
      <c r="X347" s="153">
        <f t="shared" si="137"/>
        <v>45990</v>
      </c>
      <c r="Y347" s="380">
        <f t="shared" si="138"/>
        <v>10.273616528530162</v>
      </c>
      <c r="Z347" s="380">
        <f t="shared" si="139"/>
        <v>10.482161752021524</v>
      </c>
      <c r="AA347" s="381">
        <f t="shared" si="140"/>
        <v>10.993381816510899</v>
      </c>
      <c r="AB347" s="193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4.6502529705788706E-2</v>
      </c>
      <c r="AD347" s="227">
        <f>(INDEX(Models!$BJ347:$BT347,,AH347)*(1-AF347)+INDEX(Models!$BJ347:$BT347,,AH347+1)*AF347-ERP_i)*AE347*Ramure*Pc/MaxiM</f>
        <v>1.2025221338538089E-2</v>
      </c>
      <c r="AE347" s="301">
        <f t="shared" si="142"/>
        <v>0.5</v>
      </c>
      <c r="AF347" s="173">
        <f t="shared" si="143"/>
        <v>0.99355606695595955</v>
      </c>
      <c r="AG347" s="802">
        <f t="shared" si="149"/>
        <v>1</v>
      </c>
      <c r="AH347" s="172">
        <f t="shared" si="144"/>
        <v>7</v>
      </c>
      <c r="AI347" s="221">
        <f t="shared" si="145"/>
        <v>1.9935560669559595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45991</v>
      </c>
      <c r="B348" s="406">
        <f>'2024'!Wh/'2024'!Env_an*'2025'!Env_an</f>
        <v>4.5502535805257214</v>
      </c>
      <c r="C348" s="385"/>
      <c r="D348" s="388">
        <f t="shared" si="127"/>
        <v>4.6426832114296941</v>
      </c>
      <c r="E348" s="380">
        <f t="shared" si="125"/>
        <v>4.7099589128810466</v>
      </c>
      <c r="F348" s="380">
        <f t="shared" si="128"/>
        <v>4.7099589128810466</v>
      </c>
      <c r="G348" s="110">
        <f t="shared" si="126"/>
        <v>0.23559630536374565</v>
      </c>
      <c r="H348" s="409" t="b">
        <f>Wh_hp&gt;='2024'!Maxi_hp</f>
        <v>0</v>
      </c>
      <c r="I348" s="375">
        <f>IF(H348,Wh_hp,'2024'!Maxi_hp)</f>
        <v>4.7530492210096416</v>
      </c>
      <c r="J348" s="85">
        <f>IF(H348,An,'2024'!An_max)</f>
        <v>2022</v>
      </c>
      <c r="K348" s="193">
        <f t="shared" si="129"/>
        <v>45991</v>
      </c>
      <c r="L348" s="143">
        <f>IF(t&lt;Tvie,1-EXP((T0-t)*PertePVj)+'2024'!Pspv,1-EXP((T0-t)*PertePVj)+Pspv)</f>
        <v>1.9908666323909974E-2</v>
      </c>
      <c r="M348" s="836"/>
      <c r="N348" s="836"/>
      <c r="O348" s="48">
        <f>IF(t&lt;Tnet,'2024'!Resal+('2024'!Salim-'2024'!Resal)*(1-EXP(('2024'!Tnet-t)/('2024'!Tau_j))),Resal+(Salim-Resal)*(1-EXP((Tnet-t)/(Tau_j))))*Salcycl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1.1974921965813179E-2</v>
      </c>
      <c r="Q348" s="301">
        <f t="shared" si="130"/>
        <v>0.5</v>
      </c>
      <c r="R348" s="173">
        <f t="shared" si="131"/>
        <v>0.99357321012116873</v>
      </c>
      <c r="S348" s="802">
        <f t="shared" si="132"/>
        <v>1</v>
      </c>
      <c r="T348" s="172">
        <f t="shared" si="133"/>
        <v>7</v>
      </c>
      <c r="U348" s="247">
        <f t="shared" si="134"/>
        <v>1.9935732101211687</v>
      </c>
      <c r="V348" s="378">
        <f t="shared" si="135"/>
        <v>19.082492155524637</v>
      </c>
      <c r="W348" s="397">
        <f t="shared" si="136"/>
        <v>4.5502535805257214</v>
      </c>
      <c r="X348" s="153">
        <f t="shared" si="137"/>
        <v>45991</v>
      </c>
      <c r="Y348" s="380">
        <f t="shared" si="138"/>
        <v>4.4014644476605334</v>
      </c>
      <c r="Z348" s="380">
        <f t="shared" si="139"/>
        <v>4.4908717141204431</v>
      </c>
      <c r="AA348" s="381">
        <f t="shared" si="140"/>
        <v>4.7099589128810466</v>
      </c>
      <c r="AB348" s="193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4.6515734598327856E-2</v>
      </c>
      <c r="AD348" s="227">
        <f>(INDEX(Models!$BJ348:$BT348,,AH348)*(1-AF348)+INDEX(Models!$BJ348:$BT348,,AH348+1)*AF348-ERP_i)*AE348*Ramure*Pc/MaxiM</f>
        <v>1.1974921965813179E-2</v>
      </c>
      <c r="AE348" s="301">
        <f t="shared" si="142"/>
        <v>0.5</v>
      </c>
      <c r="AF348" s="173">
        <f t="shared" si="143"/>
        <v>0.99357321012116873</v>
      </c>
      <c r="AG348" s="802">
        <f t="shared" si="149"/>
        <v>1</v>
      </c>
      <c r="AH348" s="172">
        <f t="shared" si="144"/>
        <v>7</v>
      </c>
      <c r="AI348" s="221">
        <f t="shared" si="145"/>
        <v>1.9935732101211687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45992</v>
      </c>
      <c r="B349" s="406">
        <f>'2024'!Wh/'2024'!Env_an*'2025'!Env_an</f>
        <v>4.2941568416126197</v>
      </c>
      <c r="C349" s="385"/>
      <c r="D349" s="388">
        <f t="shared" si="127"/>
        <v>4.3814443391840179</v>
      </c>
      <c r="E349" s="380">
        <f t="shared" si="125"/>
        <v>4.445183305037979</v>
      </c>
      <c r="F349" s="380">
        <f t="shared" si="128"/>
        <v>4.445183305037979</v>
      </c>
      <c r="G349" s="110">
        <f t="shared" si="126"/>
        <v>0.22503834160778474</v>
      </c>
      <c r="H349" s="409" t="b">
        <f>Wh_hp&gt;='2024'!Maxi_hp</f>
        <v>0</v>
      </c>
      <c r="I349" s="375">
        <f>IF(H349,Wh_hp,'2024'!Maxi_hp)</f>
        <v>4.4857659812276731</v>
      </c>
      <c r="J349" s="85">
        <f>IF(H349,An,'2024'!An_max)</f>
        <v>2022</v>
      </c>
      <c r="K349" s="193">
        <f t="shared" si="129"/>
        <v>45992</v>
      </c>
      <c r="L349" s="143">
        <f>IF(t&lt;Tvie,1-EXP((T0-t)*PertePVj)+'2024'!Pspv,1-EXP((T0-t)*PertePVj)+Pspv)</f>
        <v>1.9922082951224773E-2</v>
      </c>
      <c r="M349" s="836"/>
      <c r="N349" s="836"/>
      <c r="O349" s="48">
        <f>IF(t&lt;Tnet,'2024'!Resal+('2024'!Salim-'2024'!Resal)*(1-EXP(('2024'!Tnet-t)/('2024'!Tau_j))),Resal+(Salim-Resal)*(1-EXP((Tnet-t)/(Tau_j))))*Salcycl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1.1936567970722043E-2</v>
      </c>
      <c r="Q349" s="301">
        <f t="shared" si="130"/>
        <v>0.5</v>
      </c>
      <c r="R349" s="173">
        <f t="shared" si="131"/>
        <v>0.99358966415734429</v>
      </c>
      <c r="S349" s="802">
        <f t="shared" si="132"/>
        <v>1</v>
      </c>
      <c r="T349" s="172">
        <f t="shared" si="133"/>
        <v>7</v>
      </c>
      <c r="U349" s="247">
        <f t="shared" si="134"/>
        <v>1.9935896641573443</v>
      </c>
      <c r="V349" s="378">
        <f t="shared" si="135"/>
        <v>18.854117552957451</v>
      </c>
      <c r="W349" s="397">
        <f t="shared" si="136"/>
        <v>4.2941568416126197</v>
      </c>
      <c r="X349" s="153">
        <f t="shared" si="137"/>
        <v>45992</v>
      </c>
      <c r="Y349" s="380">
        <f t="shared" si="138"/>
        <v>4.1539133935254675</v>
      </c>
      <c r="Z349" s="380">
        <f t="shared" si="139"/>
        <v>4.2383501569281261</v>
      </c>
      <c r="AA349" s="381">
        <f t="shared" si="140"/>
        <v>4.445183305037979</v>
      </c>
      <c r="AB349" s="193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4.652972305448843E-2</v>
      </c>
      <c r="AD349" s="227">
        <f>(INDEX(Models!$BJ349:$BT349,,AH349)*(1-AF349)+INDEX(Models!$BJ349:$BT349,,AH349+1)*AF349-ERP_i)*AE349*Ramure*Pc/MaxiM</f>
        <v>1.1936567970722043E-2</v>
      </c>
      <c r="AE349" s="301">
        <f t="shared" si="142"/>
        <v>0.5</v>
      </c>
      <c r="AF349" s="173">
        <f t="shared" si="143"/>
        <v>0.99358966415734429</v>
      </c>
      <c r="AG349" s="802">
        <f t="shared" si="149"/>
        <v>1</v>
      </c>
      <c r="AH349" s="172">
        <f t="shared" si="144"/>
        <v>7</v>
      </c>
      <c r="AI349" s="221">
        <f t="shared" si="145"/>
        <v>1.9935896641573443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45993</v>
      </c>
      <c r="B350" s="406">
        <f>'2024'!Wh/'2024'!Env_an*'2025'!Env_an</f>
        <v>5.4792608740424793</v>
      </c>
      <c r="C350" s="385"/>
      <c r="D350" s="388">
        <f t="shared" si="127"/>
        <v>5.5907145607859583</v>
      </c>
      <c r="E350" s="380">
        <f t="shared" si="125"/>
        <v>5.6723637614190006</v>
      </c>
      <c r="F350" s="380">
        <f t="shared" si="128"/>
        <v>5.6723637614190006</v>
      </c>
      <c r="G350" s="110">
        <f t="shared" si="126"/>
        <v>0.29059509674720563</v>
      </c>
      <c r="H350" s="409" t="b">
        <f>Wh_hp&gt;='2024'!Maxi_hp</f>
        <v>0</v>
      </c>
      <c r="I350" s="375">
        <f>IF(H350,Wh_hp,'2024'!Maxi_hp)</f>
        <v>5.724087583959065</v>
      </c>
      <c r="J350" s="85">
        <f>IF(H350,An,'2024'!An_max)</f>
        <v>2022</v>
      </c>
      <c r="K350" s="193">
        <f t="shared" si="129"/>
        <v>45993</v>
      </c>
      <c r="L350" s="143">
        <f>IF(t&lt;Tvie,1-EXP((T0-t)*PertePVj)+'2024'!Pspv,1-EXP((T0-t)*PertePVj)+Pspv)</f>
        <v>1.9935499394877154E-2</v>
      </c>
      <c r="M350" s="836"/>
      <c r="N350" s="836"/>
      <c r="O350" s="48">
        <f>IF(t&lt;Tnet,'2024'!Resal+('2024'!Salim-'2024'!Resal)*(1-EXP(('2024'!Tnet-t)/('2024'!Tau_j))),Resal+(Salim-Resal)*(1-EXP((Tnet-t)/(Tau_j))))*Salcycl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1.190970766993471E-2</v>
      </c>
      <c r="Q350" s="301">
        <f t="shared" si="130"/>
        <v>0.5</v>
      </c>
      <c r="R350" s="173">
        <f t="shared" si="131"/>
        <v>0.99360545672376599</v>
      </c>
      <c r="S350" s="802">
        <f t="shared" si="132"/>
        <v>1</v>
      </c>
      <c r="T350" s="172">
        <f t="shared" si="133"/>
        <v>7</v>
      </c>
      <c r="U350" s="247">
        <f t="shared" si="134"/>
        <v>1.993605456723766</v>
      </c>
      <c r="V350" s="378">
        <f t="shared" si="135"/>
        <v>18.630749587268745</v>
      </c>
      <c r="W350" s="397">
        <f t="shared" si="136"/>
        <v>5.4792608740424793</v>
      </c>
      <c r="X350" s="153">
        <f t="shared" si="137"/>
        <v>45993</v>
      </c>
      <c r="Y350" s="380">
        <f t="shared" si="138"/>
        <v>5.3005284026648214</v>
      </c>
      <c r="Z350" s="380">
        <f t="shared" si="139"/>
        <v>5.4083464908606604</v>
      </c>
      <c r="AA350" s="381">
        <f t="shared" si="140"/>
        <v>5.6723637614190006</v>
      </c>
      <c r="AB350" s="193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4.6544488622904029E-2</v>
      </c>
      <c r="AD350" s="227">
        <f>(INDEX(Models!$BJ350:$BT350,,AH350)*(1-AF350)+INDEX(Models!$BJ350:$BT350,,AH350+1)*AF350-ERP_i)*AE350*Ramure*Pc/MaxiM</f>
        <v>1.190970766993471E-2</v>
      </c>
      <c r="AE350" s="301">
        <f t="shared" si="142"/>
        <v>0.5</v>
      </c>
      <c r="AF350" s="173">
        <f t="shared" si="143"/>
        <v>0.99360545672376599</v>
      </c>
      <c r="AG350" s="802">
        <f t="shared" si="149"/>
        <v>1</v>
      </c>
      <c r="AH350" s="172">
        <f t="shared" si="144"/>
        <v>7</v>
      </c>
      <c r="AI350" s="221">
        <f t="shared" si="145"/>
        <v>1.993605456723766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45994</v>
      </c>
      <c r="B351" s="406">
        <f>'2024'!Wh/'2024'!Env_an*'2025'!Env_an</f>
        <v>9.8541224188402232</v>
      </c>
      <c r="C351" s="385"/>
      <c r="D351" s="388">
        <f t="shared" si="127"/>
        <v>10.05470283768396</v>
      </c>
      <c r="E351" s="380">
        <f t="shared" si="125"/>
        <v>10.202120367288224</v>
      </c>
      <c r="F351" s="380">
        <f t="shared" si="128"/>
        <v>10.243047915484368</v>
      </c>
      <c r="G351" s="110">
        <f t="shared" si="126"/>
        <v>0.53091527334192778</v>
      </c>
      <c r="H351" s="409" t="b">
        <f>Wh_hp&gt;='2024'!Maxi_hp</f>
        <v>0</v>
      </c>
      <c r="I351" s="375">
        <f>IF(H351,Wh_hp,'2024'!Maxi_hp)</f>
        <v>10.305110354856382</v>
      </c>
      <c r="J351" s="85">
        <f>IF(H351,An,'2024'!An_max)</f>
        <v>2022</v>
      </c>
      <c r="K351" s="193">
        <f t="shared" si="129"/>
        <v>45994</v>
      </c>
      <c r="L351" s="143">
        <f>IF(t&lt;Tvie,1-EXP((T0-t)*PertePVj)+'2024'!Pspv,1-EXP((T0-t)*PertePVj)+Pspv)</f>
        <v>1.9948915654869781E-2</v>
      </c>
      <c r="M351" s="836"/>
      <c r="N351" s="836"/>
      <c r="O351" s="48">
        <f>IF(t&lt;Tnet,'2024'!Resal+('2024'!Salim-'2024'!Resal)*(1-EXP(('2024'!Tnet-t)/('2024'!Tau_j))),Resal+(Salim-Resal)*(1-EXP((Tnet-t)/(Tau_j))))*Salcycl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1.1893862047458393E-2</v>
      </c>
      <c r="Q351" s="301">
        <f t="shared" si="130"/>
        <v>0.5</v>
      </c>
      <c r="R351" s="173">
        <f t="shared" si="131"/>
        <v>0.9936206143729287</v>
      </c>
      <c r="S351" s="802">
        <f t="shared" si="132"/>
        <v>1</v>
      </c>
      <c r="T351" s="172">
        <f t="shared" si="133"/>
        <v>7</v>
      </c>
      <c r="U351" s="247">
        <f t="shared" si="134"/>
        <v>1.9936206143729287</v>
      </c>
      <c r="V351" s="378">
        <f t="shared" si="135"/>
        <v>18.413446833995536</v>
      </c>
      <c r="W351" s="397">
        <f t="shared" si="136"/>
        <v>9.8541224188402232</v>
      </c>
      <c r="X351" s="153">
        <f t="shared" si="137"/>
        <v>45994</v>
      </c>
      <c r="Y351" s="380">
        <f t="shared" si="138"/>
        <v>9.5330641305330523</v>
      </c>
      <c r="Z351" s="380">
        <f t="shared" si="139"/>
        <v>9.7271094158352387</v>
      </c>
      <c r="AA351" s="381">
        <f t="shared" si="140"/>
        <v>10.202120367288224</v>
      </c>
      <c r="AB351" s="193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4.6560022265179822E-2</v>
      </c>
      <c r="AD351" s="227">
        <f>(INDEX(Models!$BJ351:$BT351,,AH351)*(1-AF351)+INDEX(Models!$BJ351:$BT351,,AH351+1)*AF351-ERP_i)*AE351*Ramure*Pc/MaxiM</f>
        <v>1.1893862047458393E-2</v>
      </c>
      <c r="AE351" s="301">
        <f t="shared" si="142"/>
        <v>0.5</v>
      </c>
      <c r="AF351" s="173">
        <f t="shared" si="143"/>
        <v>0.9936206143729287</v>
      </c>
      <c r="AG351" s="802">
        <f t="shared" si="149"/>
        <v>1</v>
      </c>
      <c r="AH351" s="172">
        <f t="shared" si="144"/>
        <v>7</v>
      </c>
      <c r="AI351" s="221">
        <f t="shared" si="145"/>
        <v>1.9936206143729287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45995</v>
      </c>
      <c r="B352" s="406">
        <f>'2024'!Wh/'2024'!Env_an*'2025'!Env_an</f>
        <v>13.176649468467543</v>
      </c>
      <c r="C352" s="385"/>
      <c r="D352" s="388">
        <f t="shared" si="127"/>
        <v>13.445043894836891</v>
      </c>
      <c r="E352" s="380">
        <f t="shared" si="125"/>
        <v>13.642939305671472</v>
      </c>
      <c r="F352" s="380">
        <f t="shared" si="128"/>
        <v>13.741933332373364</v>
      </c>
      <c r="G352" s="110">
        <f t="shared" si="126"/>
        <v>0.72044607330824362</v>
      </c>
      <c r="H352" s="409" t="b">
        <f>Wh_hp&gt;='2024'!Maxi_hp</f>
        <v>0</v>
      </c>
      <c r="I352" s="375">
        <f>IF(H352,Wh_hp,'2024'!Maxi_hp)</f>
        <v>13.791486870148061</v>
      </c>
      <c r="J352" s="85">
        <f>IF(H352,An,'2024'!An_max)</f>
        <v>2022</v>
      </c>
      <c r="K352" s="193">
        <f t="shared" si="129"/>
        <v>45995</v>
      </c>
      <c r="L352" s="143">
        <f>IF(t&lt;Tvie,1-EXP((T0-t)*PertePVj)+'2024'!Pspv,1-EXP((T0-t)*PertePVj)+Pspv)</f>
        <v>1.9962331731205096E-2</v>
      </c>
      <c r="M352" s="836"/>
      <c r="N352" s="836"/>
      <c r="O352" s="48">
        <f>IF(t&lt;Tnet,'2024'!Resal+('2024'!Salim-'2024'!Resal)*(1-EXP(('2024'!Tnet-t)/('2024'!Tau_j))),Resal+(Salim-Resal)*(1-EXP((Tnet-t)/(Tau_j))))*Salcycl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1.189676147536179E-2</v>
      </c>
      <c r="Q352" s="301">
        <f t="shared" si="130"/>
        <v>0.5</v>
      </c>
      <c r="R352" s="173">
        <f t="shared" si="131"/>
        <v>0.99363516259456364</v>
      </c>
      <c r="S352" s="802">
        <f t="shared" si="132"/>
        <v>1</v>
      </c>
      <c r="T352" s="172">
        <f t="shared" si="133"/>
        <v>7</v>
      </c>
      <c r="U352" s="247">
        <f t="shared" si="134"/>
        <v>1.9936351625945636</v>
      </c>
      <c r="V352" s="378">
        <f t="shared" si="135"/>
        <v>18.203115597916799</v>
      </c>
      <c r="W352" s="397">
        <f t="shared" si="136"/>
        <v>13.176649468467543</v>
      </c>
      <c r="X352" s="153">
        <f t="shared" si="137"/>
        <v>45995</v>
      </c>
      <c r="Y352" s="380">
        <f t="shared" si="138"/>
        <v>12.747841441550595</v>
      </c>
      <c r="Z352" s="380">
        <f t="shared" si="139"/>
        <v>13.007501501518046</v>
      </c>
      <c r="AA352" s="381">
        <f t="shared" si="140"/>
        <v>13.642939305671472</v>
      </c>
      <c r="AB352" s="193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4.6576312473168437E-2</v>
      </c>
      <c r="AD352" s="227">
        <f>(INDEX(Models!$BJ352:$BT352,,AH352)*(1-AF352)+INDEX(Models!$BJ352:$BT352,,AH352+1)*AF352-ERP_i)*AE352*Ramure*Pc/MaxiM</f>
        <v>1.189676147536179E-2</v>
      </c>
      <c r="AE352" s="301">
        <f t="shared" si="142"/>
        <v>0.5</v>
      </c>
      <c r="AF352" s="173">
        <f t="shared" si="143"/>
        <v>0.99363516259456364</v>
      </c>
      <c r="AG352" s="802">
        <f t="shared" si="149"/>
        <v>1</v>
      </c>
      <c r="AH352" s="172">
        <f t="shared" si="144"/>
        <v>7</v>
      </c>
      <c r="AI352" s="221">
        <f t="shared" si="145"/>
        <v>1.9936351625945636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45996</v>
      </c>
      <c r="B353" s="406">
        <f>'2024'!Wh/'2024'!Env_an*'2025'!Env_an</f>
        <v>18.260210162306851</v>
      </c>
      <c r="C353" s="385"/>
      <c r="D353" s="388">
        <f t="shared" si="127"/>
        <v>18.632406410386398</v>
      </c>
      <c r="E353" s="380">
        <f t="shared" si="125"/>
        <v>18.907724241986013</v>
      </c>
      <c r="F353" s="380">
        <f t="shared" si="128"/>
        <v>19.135643499951627</v>
      </c>
      <c r="G353" s="110">
        <f t="shared" si="126"/>
        <v>1.0144026581276955</v>
      </c>
      <c r="H353" s="409" t="b">
        <f>Wh_hp&gt;='2024'!Maxi_hp</f>
        <v>1</v>
      </c>
      <c r="I353" s="375">
        <f>IF(H353,Wh_hp,'2024'!Maxi_hp)</f>
        <v>19.135643499951627</v>
      </c>
      <c r="J353" s="85">
        <f>IF(H353,An,'2024'!An_max)</f>
        <v>2025</v>
      </c>
      <c r="K353" s="193">
        <f t="shared" si="129"/>
        <v>45996</v>
      </c>
      <c r="L353" s="143">
        <f>IF(t&lt;Tvie,1-EXP((T0-t)*PertePVj)+'2024'!Pspv,1-EXP((T0-t)*PertePVj)+Pspv)</f>
        <v>1.9975747623885542E-2</v>
      </c>
      <c r="M353" s="836"/>
      <c r="N353" s="836"/>
      <c r="O353" s="48">
        <f>IF(t&lt;Tnet,'2024'!Resal+('2024'!Salim-'2024'!Resal)*(1-EXP(('2024'!Tnet-t)/('2024'!Tau_j))),Resal+(Salim-Resal)*(1-EXP((Tnet-t)/(Tau_j))))*Salcycl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1.1910718234596517E-2</v>
      </c>
      <c r="Q353" s="301">
        <f t="shared" si="130"/>
        <v>0.5</v>
      </c>
      <c r="R353" s="173">
        <f t="shared" si="131"/>
        <v>0.99364912585793252</v>
      </c>
      <c r="S353" s="802">
        <f t="shared" si="132"/>
        <v>1</v>
      </c>
      <c r="T353" s="172">
        <f t="shared" si="133"/>
        <v>7</v>
      </c>
      <c r="U353" s="247">
        <f t="shared" si="134"/>
        <v>1.9936491258579325</v>
      </c>
      <c r="V353" s="378">
        <f t="shared" si="135"/>
        <v>18.000948652885146</v>
      </c>
      <c r="W353" s="397">
        <f t="shared" si="136"/>
        <v>18.260210162306851</v>
      </c>
      <c r="X353" s="153">
        <f t="shared" si="137"/>
        <v>45996</v>
      </c>
      <c r="Y353" s="380">
        <f t="shared" si="138"/>
        <v>17.666652304869327</v>
      </c>
      <c r="Z353" s="380">
        <f t="shared" si="139"/>
        <v>18.026750115658572</v>
      </c>
      <c r="AA353" s="381">
        <f t="shared" si="140"/>
        <v>18.907724241986013</v>
      </c>
      <c r="AB353" s="193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4.659334539961045E-2</v>
      </c>
      <c r="AD353" s="227">
        <f>(INDEX(Models!$BJ353:$BT353,,AH353)*(1-AF353)+INDEX(Models!$BJ353:$BT353,,AH353+1)*AF353-ERP_i)*AE353*Ramure*Pc/MaxiM</f>
        <v>1.1910718234596517E-2</v>
      </c>
      <c r="AE353" s="301">
        <f t="shared" si="142"/>
        <v>0.5</v>
      </c>
      <c r="AF353" s="173">
        <f t="shared" si="143"/>
        <v>0.99364912585793252</v>
      </c>
      <c r="AG353" s="802">
        <f t="shared" si="149"/>
        <v>1</v>
      </c>
      <c r="AH353" s="172">
        <f t="shared" si="144"/>
        <v>7</v>
      </c>
      <c r="AI353" s="221">
        <f t="shared" si="145"/>
        <v>1.9936491258579325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45997</v>
      </c>
      <c r="B354" s="406">
        <f>'2024'!Wh/'2024'!Env_an*'2025'!Env_an</f>
        <v>11.927760985972991</v>
      </c>
      <c r="C354" s="385"/>
      <c r="D354" s="388">
        <f t="shared" si="127"/>
        <v>12.171050094239826</v>
      </c>
      <c r="E354" s="380">
        <f t="shared" si="125"/>
        <v>12.351594295069585</v>
      </c>
      <c r="F354" s="380">
        <f t="shared" si="128"/>
        <v>12.42996689874786</v>
      </c>
      <c r="G354" s="110">
        <f t="shared" si="126"/>
        <v>0.66600287019647364</v>
      </c>
      <c r="H354" s="409" t="b">
        <f>Wh_hp&gt;='2024'!Maxi_hp</f>
        <v>0</v>
      </c>
      <c r="I354" s="375">
        <f>IF(H354,Wh_hp,'2024'!Maxi_hp)</f>
        <v>12.483813947652854</v>
      </c>
      <c r="J354" s="85">
        <f>IF(H354,An,'2024'!An_max)</f>
        <v>2022</v>
      </c>
      <c r="K354" s="193">
        <f t="shared" si="129"/>
        <v>45997</v>
      </c>
      <c r="L354" s="143">
        <f>IF(t&lt;Tvie,1-EXP((T0-t)*PertePVj)+'2024'!Pspv,1-EXP((T0-t)*PertePVj)+Pspv)</f>
        <v>1.9989163332913673E-2</v>
      </c>
      <c r="M354" s="836"/>
      <c r="N354" s="836"/>
      <c r="O354" s="48">
        <f>IF(t&lt;Tnet,'2024'!Resal+('2024'!Salim-'2024'!Resal)*(1-EXP(('2024'!Tnet-t)/('2024'!Tau_j))),Resal+(Salim-Resal)*(1-EXP((Tnet-t)/(Tau_j))))*Salcycl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1.1935154669829232E-2</v>
      </c>
      <c r="Q354" s="301">
        <f t="shared" si="130"/>
        <v>0.5</v>
      </c>
      <c r="R354" s="173">
        <f t="shared" si="131"/>
        <v>0.99366252765245555</v>
      </c>
      <c r="S354" s="802">
        <f t="shared" si="132"/>
        <v>1</v>
      </c>
      <c r="T354" s="172">
        <f t="shared" si="133"/>
        <v>7</v>
      </c>
      <c r="U354" s="247">
        <f t="shared" si="134"/>
        <v>1.9936625276524556</v>
      </c>
      <c r="V354" s="378">
        <f t="shared" si="135"/>
        <v>17.808003349580051</v>
      </c>
      <c r="W354" s="397">
        <f t="shared" si="136"/>
        <v>11.927760985972991</v>
      </c>
      <c r="X354" s="153">
        <f t="shared" si="137"/>
        <v>45997</v>
      </c>
      <c r="Y354" s="380">
        <f t="shared" si="138"/>
        <v>11.540482990936825</v>
      </c>
      <c r="Z354" s="380">
        <f t="shared" si="139"/>
        <v>11.775872836452292</v>
      </c>
      <c r="AA354" s="381">
        <f t="shared" si="140"/>
        <v>12.351594295069585</v>
      </c>
      <c r="AB354" s="193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4.6611105001004342E-2</v>
      </c>
      <c r="AD354" s="227">
        <f>(INDEX(Models!$BJ354:$BT354,,AH354)*(1-AF354)+INDEX(Models!$BJ354:$BT354,,AH354+1)*AF354-ERP_i)*AE354*Ramure*Pc/MaxiM</f>
        <v>1.1935154669829232E-2</v>
      </c>
      <c r="AE354" s="301">
        <f t="shared" si="142"/>
        <v>0.5</v>
      </c>
      <c r="AF354" s="173">
        <f t="shared" si="143"/>
        <v>0.99366252765245555</v>
      </c>
      <c r="AG354" s="802">
        <f t="shared" si="149"/>
        <v>1</v>
      </c>
      <c r="AH354" s="172">
        <f t="shared" si="144"/>
        <v>7</v>
      </c>
      <c r="AI354" s="221">
        <f t="shared" si="145"/>
        <v>1.9936625276524556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45998</v>
      </c>
      <c r="B355" s="406">
        <f>'2024'!Wh/'2024'!Env_an*'2025'!Env_an</f>
        <v>14.632030078082776</v>
      </c>
      <c r="C355" s="385"/>
      <c r="D355" s="388">
        <f t="shared" si="127"/>
        <v>14.930682226731063</v>
      </c>
      <c r="E355" s="380">
        <f t="shared" si="125"/>
        <v>15.153025174336985</v>
      </c>
      <c r="F355" s="380">
        <f t="shared" si="128"/>
        <v>15.29165144762116</v>
      </c>
      <c r="G355" s="110">
        <f t="shared" si="126"/>
        <v>0.82773742176989051</v>
      </c>
      <c r="H355" s="409" t="b">
        <f>Wh_hp&gt;='2024'!Maxi_hp</f>
        <v>0</v>
      </c>
      <c r="I355" s="375">
        <f>IF(H355,Wh_hp,'2024'!Maxi_hp)</f>
        <v>15.32586816121578</v>
      </c>
      <c r="J355" s="85">
        <f>IF(H355,An,'2024'!An_max)</f>
        <v>2022</v>
      </c>
      <c r="K355" s="193">
        <f t="shared" si="129"/>
        <v>45998</v>
      </c>
      <c r="L355" s="143">
        <f>IF(t&lt;Tvie,1-EXP((T0-t)*PertePVj)+'2024'!Pspv,1-EXP((T0-t)*PertePVj)+Pspv)</f>
        <v>2.0002578858292042E-2</v>
      </c>
      <c r="M355" s="836"/>
      <c r="N355" s="836"/>
      <c r="O355" s="48">
        <f>IF(t&lt;Tnet,'2024'!Resal+('2024'!Salim-'2024'!Resal)*(1-EXP(('2024'!Tnet-t)/('2024'!Tau_j))),Resal+(Salim-Resal)*(1-EXP((Tnet-t)/(Tau_j))))*Salcycl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1.1969440282003379E-2</v>
      </c>
      <c r="Q355" s="301">
        <f t="shared" si="130"/>
        <v>0.5</v>
      </c>
      <c r="R355" s="173">
        <f t="shared" si="131"/>
        <v>0.99367539052674059</v>
      </c>
      <c r="S355" s="802">
        <f t="shared" si="132"/>
        <v>1</v>
      </c>
      <c r="T355" s="172">
        <f t="shared" si="133"/>
        <v>7</v>
      </c>
      <c r="U355" s="247">
        <f t="shared" si="134"/>
        <v>1.9936753905267406</v>
      </c>
      <c r="V355" s="378">
        <f t="shared" si="135"/>
        <v>17.625336544091152</v>
      </c>
      <c r="W355" s="397">
        <f t="shared" si="136"/>
        <v>14.632030078082776</v>
      </c>
      <c r="X355" s="153">
        <f t="shared" si="137"/>
        <v>45998</v>
      </c>
      <c r="Y355" s="380">
        <f t="shared" si="138"/>
        <v>14.157479901002636</v>
      </c>
      <c r="Z355" s="380">
        <f t="shared" si="139"/>
        <v>14.446446077897852</v>
      </c>
      <c r="AA355" s="381">
        <f t="shared" si="140"/>
        <v>15.153025174336985</v>
      </c>
      <c r="AB355" s="193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4.6629573191483219E-2</v>
      </c>
      <c r="AD355" s="227">
        <f>(INDEX(Models!$BJ355:$BT355,,AH355)*(1-AF355)+INDEX(Models!$BJ355:$BT355,,AH355+1)*AF355-ERP_i)*AE355*Ramure*Pc/MaxiM</f>
        <v>1.1969440282003379E-2</v>
      </c>
      <c r="AE355" s="301">
        <f t="shared" si="142"/>
        <v>0.5</v>
      </c>
      <c r="AF355" s="173">
        <f t="shared" si="143"/>
        <v>0.99367539052674059</v>
      </c>
      <c r="AG355" s="802">
        <f t="shared" si="149"/>
        <v>1</v>
      </c>
      <c r="AH355" s="172">
        <f t="shared" si="144"/>
        <v>7</v>
      </c>
      <c r="AI355" s="221">
        <f t="shared" si="145"/>
        <v>1.9936753905267406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45999</v>
      </c>
      <c r="B356" s="406">
        <f>'2024'!Wh/'2024'!Env_an*'2025'!Env_an</f>
        <v>4.713929598219635</v>
      </c>
      <c r="C356" s="385"/>
      <c r="D356" s="388">
        <f t="shared" si="127"/>
        <v>4.8102107486658188</v>
      </c>
      <c r="E356" s="380">
        <f t="shared" si="125"/>
        <v>4.8821215321420768</v>
      </c>
      <c r="F356" s="380">
        <f t="shared" si="128"/>
        <v>4.8821215321420768</v>
      </c>
      <c r="G356" s="110">
        <f t="shared" si="126"/>
        <v>0.26683284453157097</v>
      </c>
      <c r="H356" s="409" t="b">
        <f>Wh_hp&gt;='2024'!Maxi_hp</f>
        <v>0</v>
      </c>
      <c r="I356" s="375">
        <f>IF(H356,Wh_hp,'2024'!Maxi_hp)</f>
        <v>4.9272457155162224</v>
      </c>
      <c r="J356" s="85">
        <f>IF(H356,An,'2024'!An_max)</f>
        <v>2022</v>
      </c>
      <c r="K356" s="193">
        <f t="shared" si="129"/>
        <v>45999</v>
      </c>
      <c r="L356" s="143">
        <f>IF(t&lt;Tvie,1-EXP((T0-t)*PertePVj)+'2024'!Pspv,1-EXP((T0-t)*PertePVj)+Pspv)</f>
        <v>2.0015994200023091E-2</v>
      </c>
      <c r="M356" s="836"/>
      <c r="N356" s="836"/>
      <c r="O356" s="48">
        <f>IF(t&lt;Tnet,'2024'!Resal+('2024'!Salim-'2024'!Resal)*(1-EXP(('2024'!Tnet-t)/('2024'!Tau_j))),Resal+(Salim-Resal)*(1-EXP((Tnet-t)/(Tau_j))))*Salcycl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1.2012886647826999E-2</v>
      </c>
      <c r="Q356" s="301">
        <f t="shared" si="130"/>
        <v>0.5</v>
      </c>
      <c r="R356" s="173">
        <f t="shared" si="131"/>
        <v>0.99368773612607475</v>
      </c>
      <c r="S356" s="802">
        <f t="shared" si="132"/>
        <v>1</v>
      </c>
      <c r="T356" s="172">
        <f t="shared" si="133"/>
        <v>7</v>
      </c>
      <c r="U356" s="247">
        <f t="shared" si="134"/>
        <v>1.9936877361260747</v>
      </c>
      <c r="V356" s="378">
        <f t="shared" si="135"/>
        <v>17.454004601518783</v>
      </c>
      <c r="W356" s="397">
        <f t="shared" si="136"/>
        <v>4.713929598219635</v>
      </c>
      <c r="X356" s="153">
        <f t="shared" si="137"/>
        <v>45999</v>
      </c>
      <c r="Y356" s="380">
        <f t="shared" si="138"/>
        <v>4.5612147846392084</v>
      </c>
      <c r="Z356" s="380">
        <f t="shared" si="139"/>
        <v>4.6543767629307524</v>
      </c>
      <c r="AA356" s="381">
        <f t="shared" si="140"/>
        <v>4.8821215321420768</v>
      </c>
      <c r="AB356" s="193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4.6648730006399304E-2</v>
      </c>
      <c r="AD356" s="227">
        <f>(INDEX(Models!$BJ356:$BT356,,AH356)*(1-AF356)+INDEX(Models!$BJ356:$BT356,,AH356+1)*AF356-ERP_i)*AE356*Ramure*Pc/MaxiM</f>
        <v>1.2012886647826999E-2</v>
      </c>
      <c r="AE356" s="301">
        <f t="shared" si="142"/>
        <v>0.5</v>
      </c>
      <c r="AF356" s="173">
        <f t="shared" si="143"/>
        <v>0.99368773612607475</v>
      </c>
      <c r="AG356" s="802">
        <f t="shared" si="149"/>
        <v>1</v>
      </c>
      <c r="AH356" s="172">
        <f t="shared" si="144"/>
        <v>7</v>
      </c>
      <c r="AI356" s="221">
        <f t="shared" si="145"/>
        <v>1.9936877361260747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46000</v>
      </c>
      <c r="B357" s="406">
        <f>'2024'!Wh/'2024'!Env_an*'2025'!Env_an</f>
        <v>7.8485628081869647</v>
      </c>
      <c r="C357" s="385"/>
      <c r="D357" s="388">
        <f t="shared" si="127"/>
        <v>8.0089779051900702</v>
      </c>
      <c r="E357" s="380">
        <f t="shared" si="125"/>
        <v>8.1291742013415433</v>
      </c>
      <c r="F357" s="380">
        <f t="shared" si="128"/>
        <v>8.150780774097619</v>
      </c>
      <c r="G357" s="110">
        <f t="shared" si="126"/>
        <v>0.44952023554798176</v>
      </c>
      <c r="H357" s="409" t="b">
        <f>Wh_hp&gt;='2024'!Maxi_hp</f>
        <v>0</v>
      </c>
      <c r="I357" s="375">
        <f>IF(H357,Wh_hp,'2024'!Maxi_hp)</f>
        <v>8.2098937851281431</v>
      </c>
      <c r="J357" s="85">
        <f>IF(H357,An,'2024'!An_max)</f>
        <v>2022</v>
      </c>
      <c r="K357" s="193">
        <f t="shared" si="129"/>
        <v>46000</v>
      </c>
      <c r="L357" s="143">
        <f>IF(t&lt;Tvie,1-EXP((T0-t)*PertePVj)+'2024'!Pspv,1-EXP((T0-t)*PertePVj)+Pspv)</f>
        <v>2.0029409358109374E-2</v>
      </c>
      <c r="M357" s="836"/>
      <c r="N357" s="836"/>
      <c r="O357" s="48">
        <f>IF(t&lt;Tnet,'2024'!Resal+('2024'!Salim-'2024'!Resal)*(1-EXP(('2024'!Tnet-t)/('2024'!Tau_j))),Resal+(Salim-Resal)*(1-EXP((Tnet-t)/(Tau_j))))*Salcycl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1.2064743238464227E-2</v>
      </c>
      <c r="Q357" s="301">
        <f t="shared" si="130"/>
        <v>0.5</v>
      </c>
      <c r="R357" s="173">
        <f t="shared" si="131"/>
        <v>0.99369958522843471</v>
      </c>
      <c r="S357" s="802">
        <f t="shared" si="132"/>
        <v>1</v>
      </c>
      <c r="T357" s="172">
        <f t="shared" si="133"/>
        <v>7</v>
      </c>
      <c r="U357" s="247">
        <f t="shared" si="134"/>
        <v>1.9936995852284347</v>
      </c>
      <c r="V357" s="378">
        <f t="shared" si="135"/>
        <v>17.29506338811537</v>
      </c>
      <c r="W357" s="397">
        <f t="shared" si="136"/>
        <v>7.8485628081869647</v>
      </c>
      <c r="X357" s="153">
        <f t="shared" si="137"/>
        <v>46000</v>
      </c>
      <c r="Y357" s="380">
        <f t="shared" si="138"/>
        <v>7.5945735334593047</v>
      </c>
      <c r="Z357" s="380">
        <f t="shared" si="139"/>
        <v>7.7497973979859767</v>
      </c>
      <c r="AA357" s="381">
        <f t="shared" si="140"/>
        <v>8.1291742013415433</v>
      </c>
      <c r="AB357" s="193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4.6668553774251657E-2</v>
      </c>
      <c r="AD357" s="227">
        <f>(INDEX(Models!$BJ357:$BT357,,AH357)*(1-AF357)+INDEX(Models!$BJ357:$BT357,,AH357+1)*AF357-ERP_i)*AE357*Ramure*Pc/MaxiM</f>
        <v>1.2064743238464227E-2</v>
      </c>
      <c r="AE357" s="301">
        <f t="shared" si="142"/>
        <v>0.5</v>
      </c>
      <c r="AF357" s="173">
        <f t="shared" si="143"/>
        <v>0.99369958522843471</v>
      </c>
      <c r="AG357" s="802">
        <f t="shared" si="149"/>
        <v>1</v>
      </c>
      <c r="AH357" s="172">
        <f t="shared" si="144"/>
        <v>7</v>
      </c>
      <c r="AI357" s="221">
        <f t="shared" si="145"/>
        <v>1.9936995852284347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46001</v>
      </c>
      <c r="B358" s="406">
        <f>'2024'!Wh/'2024'!Env_an*'2025'!Env_an</f>
        <v>11.428917356690123</v>
      </c>
      <c r="C358" s="385"/>
      <c r="D358" s="388">
        <f t="shared" si="127"/>
        <v>11.662670206895433</v>
      </c>
      <c r="E358" s="380">
        <f t="shared" si="125"/>
        <v>11.838379112567889</v>
      </c>
      <c r="F358" s="380">
        <f t="shared" si="128"/>
        <v>11.913992448131333</v>
      </c>
      <c r="G358" s="110">
        <f t="shared" si="126"/>
        <v>0.66255102033244073</v>
      </c>
      <c r="H358" s="409" t="b">
        <f>Wh_hp&gt;='2024'!Maxi_hp</f>
        <v>0</v>
      </c>
      <c r="I358" s="375">
        <f>IF(H358,Wh_hp,'2024'!Maxi_hp)</f>
        <v>11.96710133124366</v>
      </c>
      <c r="J358" s="85">
        <f>IF(H358,An,'2024'!An_max)</f>
        <v>2022</v>
      </c>
      <c r="K358" s="193">
        <f t="shared" si="129"/>
        <v>46001</v>
      </c>
      <c r="L358" s="143">
        <f>IF(t&lt;Tvie,1-EXP((T0-t)*PertePVj)+'2024'!Pspv,1-EXP((T0-t)*PertePVj)+Pspv)</f>
        <v>2.0042824332553444E-2</v>
      </c>
      <c r="M358" s="836"/>
      <c r="N358" s="836"/>
      <c r="O358" s="48">
        <f>IF(t&lt;Tnet,'2024'!Resal+('2024'!Salim-'2024'!Resal)*(1-EXP(('2024'!Tnet-t)/('2024'!Tau_j))),Resal+(Salim-Resal)*(1-EXP((Tnet-t)/(Tau_j))))*Salcycl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1.2124194393257914E-2</v>
      </c>
      <c r="Q358" s="301">
        <f t="shared" si="130"/>
        <v>0.5</v>
      </c>
      <c r="R358" s="173">
        <f t="shared" si="131"/>
        <v>0.99371095777907925</v>
      </c>
      <c r="S358" s="802">
        <f t="shared" si="132"/>
        <v>1</v>
      </c>
      <c r="T358" s="172">
        <f t="shared" si="133"/>
        <v>7</v>
      </c>
      <c r="U358" s="247">
        <f t="shared" si="134"/>
        <v>1.9937109577790793</v>
      </c>
      <c r="V358" s="378">
        <f t="shared" si="135"/>
        <v>17.149568255795575</v>
      </c>
      <c r="W358" s="397">
        <f t="shared" si="136"/>
        <v>11.428917356690123</v>
      </c>
      <c r="X358" s="153">
        <f t="shared" si="137"/>
        <v>46001</v>
      </c>
      <c r="Y358" s="380">
        <f t="shared" si="138"/>
        <v>11.059460341796045</v>
      </c>
      <c r="Z358" s="380">
        <f t="shared" si="139"/>
        <v>11.285656778076524</v>
      </c>
      <c r="AA358" s="381">
        <f t="shared" si="140"/>
        <v>11.838379112567889</v>
      </c>
      <c r="AB358" s="193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4.6689021295540652E-2</v>
      </c>
      <c r="AD358" s="227">
        <f>(INDEX(Models!$BJ358:$BT358,,AH358)*(1-AF358)+INDEX(Models!$BJ358:$BT358,,AH358+1)*AF358-ERP_i)*AE358*Ramure*Pc/MaxiM</f>
        <v>1.2124194393257914E-2</v>
      </c>
      <c r="AE358" s="301">
        <f t="shared" si="142"/>
        <v>0.5</v>
      </c>
      <c r="AF358" s="173">
        <f t="shared" si="143"/>
        <v>0.99371095777907925</v>
      </c>
      <c r="AG358" s="802">
        <f t="shared" si="149"/>
        <v>1</v>
      </c>
      <c r="AH358" s="172">
        <f t="shared" si="144"/>
        <v>7</v>
      </c>
      <c r="AI358" s="221">
        <f t="shared" si="145"/>
        <v>1.9937109577790793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46002</v>
      </c>
      <c r="B359" s="406">
        <f>'2024'!Wh/'2024'!Env_an*'2025'!Env_an</f>
        <v>12.995878252878374</v>
      </c>
      <c r="C359" s="385"/>
      <c r="D359" s="388">
        <f t="shared" si="127"/>
        <v>13.261861314625309</v>
      </c>
      <c r="E359" s="380">
        <f t="shared" si="125"/>
        <v>13.462437609548568</v>
      </c>
      <c r="F359" s="380">
        <f t="shared" si="128"/>
        <v>13.57210385864528</v>
      </c>
      <c r="G359" s="110">
        <f t="shared" si="126"/>
        <v>0.76068603378036015</v>
      </c>
      <c r="H359" s="409" t="b">
        <f>Wh_hp&gt;='2024'!Maxi_hp</f>
        <v>0</v>
      </c>
      <c r="I359" s="375">
        <f>IF(H359,Wh_hp,'2024'!Maxi_hp)</f>
        <v>13.615221721331118</v>
      </c>
      <c r="J359" s="85">
        <f>IF(H359,An,'2024'!An_max)</f>
        <v>2022</v>
      </c>
      <c r="K359" s="193">
        <f t="shared" si="129"/>
        <v>46002</v>
      </c>
      <c r="L359" s="143">
        <f>IF(t&lt;Tvie,1-EXP((T0-t)*PertePVj)+'2024'!Pspv,1-EXP((T0-t)*PertePVj)+Pspv)</f>
        <v>2.0056239123357855E-2</v>
      </c>
      <c r="M359" s="836"/>
      <c r="N359" s="836"/>
      <c r="O359" s="48">
        <f>IF(t&lt;Tnet,'2024'!Resal+('2024'!Salim-'2024'!Resal)*(1-EXP(('2024'!Tnet-t)/('2024'!Tau_j))),Resal+(Salim-Resal)*(1-EXP((Tnet-t)/(Tau_j))))*Salcycl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1.2193901834193936E-2</v>
      </c>
      <c r="Q359" s="301">
        <f t="shared" si="130"/>
        <v>0.5</v>
      </c>
      <c r="R359" s="173">
        <f t="shared" si="131"/>
        <v>0.99372187292377068</v>
      </c>
      <c r="S359" s="802">
        <f t="shared" si="132"/>
        <v>1</v>
      </c>
      <c r="T359" s="172">
        <f t="shared" si="133"/>
        <v>7</v>
      </c>
      <c r="U359" s="247">
        <f t="shared" si="134"/>
        <v>1.9937218729237707</v>
      </c>
      <c r="V359" s="378">
        <f t="shared" si="135"/>
        <v>17.013566587863188</v>
      </c>
      <c r="W359" s="397">
        <f t="shared" si="136"/>
        <v>12.995878252878374</v>
      </c>
      <c r="X359" s="153">
        <f t="shared" si="137"/>
        <v>46002</v>
      </c>
      <c r="Y359" s="380">
        <f t="shared" si="138"/>
        <v>12.576211829874811</v>
      </c>
      <c r="Z359" s="380">
        <f t="shared" si="139"/>
        <v>12.833605694498562</v>
      </c>
      <c r="AA359" s="381">
        <f t="shared" si="140"/>
        <v>13.462437609548568</v>
      </c>
      <c r="AB359" s="193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4.6710108027092412E-2</v>
      </c>
      <c r="AD359" s="227">
        <f>(INDEX(Models!$BJ359:$BT359,,AH359)*(1-AF359)+INDEX(Models!$BJ359:$BT359,,AH359+1)*AF359-ERP_i)*AE359*Ramure*Pc/MaxiM</f>
        <v>1.2193901834193936E-2</v>
      </c>
      <c r="AE359" s="301">
        <f t="shared" si="142"/>
        <v>0.5</v>
      </c>
      <c r="AF359" s="173">
        <f t="shared" si="143"/>
        <v>0.99372187292377068</v>
      </c>
      <c r="AG359" s="802">
        <f t="shared" si="149"/>
        <v>1</v>
      </c>
      <c r="AH359" s="172">
        <f t="shared" si="144"/>
        <v>7</v>
      </c>
      <c r="AI359" s="221">
        <f t="shared" si="145"/>
        <v>1.9937218729237707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46003</v>
      </c>
      <c r="B360" s="406">
        <f>'2024'!Wh/'2024'!Env_an*'2025'!Env_an</f>
        <v>5.9504442143496385</v>
      </c>
      <c r="C360" s="385"/>
      <c r="D360" s="388">
        <f t="shared" si="127"/>
        <v>6.0723134424834946</v>
      </c>
      <c r="E360" s="380">
        <f t="shared" si="125"/>
        <v>6.164508157951416</v>
      </c>
      <c r="F360" s="380">
        <f t="shared" si="128"/>
        <v>6.1701838247132166</v>
      </c>
      <c r="G360" s="110">
        <f t="shared" si="126"/>
        <v>0.34844267005663609</v>
      </c>
      <c r="H360" s="409" t="b">
        <f>Wh_hp&gt;='2024'!Maxi_hp</f>
        <v>0</v>
      </c>
      <c r="I360" s="375">
        <f>IF(H360,Wh_hp,'2024'!Maxi_hp)</f>
        <v>6.2242364696996182</v>
      </c>
      <c r="J360" s="85">
        <f>IF(H360,An,'2024'!An_max)</f>
        <v>2022</v>
      </c>
      <c r="K360" s="193">
        <f t="shared" si="129"/>
        <v>46003</v>
      </c>
      <c r="L360" s="143">
        <f>IF(t&lt;Tvie,1-EXP((T0-t)*PertePVj)+'2024'!Pspv,1-EXP((T0-t)*PertePVj)+Pspv)</f>
        <v>2.0069653730524939E-2</v>
      </c>
      <c r="M360" s="836"/>
      <c r="N360" s="836"/>
      <c r="O360" s="48">
        <f>IF(t&lt;Tnet,'2024'!Resal+('2024'!Salim-'2024'!Resal)*(1-EXP(('2024'!Tnet-t)/('2024'!Tau_j))),Resal+(Salim-Resal)*(1-EXP((Tnet-t)/(Tau_j))))*Salcycl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1.2276632957273137E-2</v>
      </c>
      <c r="Q360" s="301">
        <f t="shared" si="130"/>
        <v>0.5</v>
      </c>
      <c r="R360" s="173">
        <f t="shared" si="131"/>
        <v>0.9937323490406853</v>
      </c>
      <c r="S360" s="802">
        <f t="shared" si="132"/>
        <v>1</v>
      </c>
      <c r="T360" s="172">
        <f t="shared" si="133"/>
        <v>7</v>
      </c>
      <c r="U360" s="247">
        <f t="shared" si="134"/>
        <v>1.9937323490406853</v>
      </c>
      <c r="V360" s="378">
        <f t="shared" si="135"/>
        <v>16.883133495955281</v>
      </c>
      <c r="W360" s="397">
        <f t="shared" si="136"/>
        <v>5.9504442143496385</v>
      </c>
      <c r="X360" s="153">
        <f t="shared" si="137"/>
        <v>46003</v>
      </c>
      <c r="Y360" s="380">
        <f t="shared" si="138"/>
        <v>5.7584917593160654</v>
      </c>
      <c r="Z360" s="380">
        <f t="shared" si="139"/>
        <v>5.8764296679230652</v>
      </c>
      <c r="AA360" s="381">
        <f t="shared" si="140"/>
        <v>6.164508157951416</v>
      </c>
      <c r="AB360" s="193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4.6731788270369529E-2</v>
      </c>
      <c r="AD360" s="227">
        <f>(INDEX(Models!$BJ360:$BT360,,AH360)*(1-AF360)+INDEX(Models!$BJ360:$BT360,,AH360+1)*AF360-ERP_i)*AE360*Ramure*Pc/MaxiM</f>
        <v>1.2276632957273137E-2</v>
      </c>
      <c r="AE360" s="301">
        <f t="shared" si="142"/>
        <v>0.5</v>
      </c>
      <c r="AF360" s="173">
        <f t="shared" si="143"/>
        <v>0.9937323490406853</v>
      </c>
      <c r="AG360" s="802">
        <f t="shared" si="149"/>
        <v>1</v>
      </c>
      <c r="AH360" s="172">
        <f t="shared" si="144"/>
        <v>7</v>
      </c>
      <c r="AI360" s="221">
        <f t="shared" si="145"/>
        <v>1.9937323490406853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46004</v>
      </c>
      <c r="B361" s="406">
        <f>'2024'!Wh/'2024'!Env_an*'2025'!Env_an</f>
        <v>5.6053651677065135</v>
      </c>
      <c r="C361" s="385"/>
      <c r="D361" s="388">
        <f t="shared" si="127"/>
        <v>5.7202452427750883</v>
      </c>
      <c r="E361" s="380">
        <f t="shared" ref="E361:E379" si="150">Wh_pvt/(1-Psa)</f>
        <v>5.8074299709949724</v>
      </c>
      <c r="F361" s="380">
        <f t="shared" si="128"/>
        <v>5.8109660027116279</v>
      </c>
      <c r="G361" s="110">
        <f t="shared" ref="G361:G379" si="151">+Wh_hp/MaxiM</f>
        <v>0.33052495338902588</v>
      </c>
      <c r="H361" s="409" t="b">
        <f>Wh_hp&gt;='2024'!Maxi_hp</f>
        <v>0</v>
      </c>
      <c r="I361" s="375">
        <f>IF(H361,Wh_hp,'2024'!Maxi_hp)</f>
        <v>5.8636677565978781</v>
      </c>
      <c r="J361" s="85">
        <f>IF(H361,An,'2024'!An_max)</f>
        <v>2022</v>
      </c>
      <c r="K361" s="193">
        <f t="shared" si="129"/>
        <v>46004</v>
      </c>
      <c r="L361" s="143">
        <f>IF(t&lt;Tvie,1-EXP((T0-t)*PertePVj)+'2024'!Pspv,1-EXP((T0-t)*PertePVj)+Pspv)</f>
        <v>2.008306815405736E-2</v>
      </c>
      <c r="M361" s="836"/>
      <c r="N361" s="836"/>
      <c r="O361" s="48">
        <f>IF(t&lt;Tnet,'2024'!Resal+('2024'!Salim-'2024'!Resal)*(1-EXP(('2024'!Tnet-t)/('2024'!Tau_j))),Resal+(Salim-Resal)*(1-EXP((Tnet-t)/(Tau_j))))*Salcycl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1.2361543288146312E-2</v>
      </c>
      <c r="Q361" s="301">
        <f t="shared" si="130"/>
        <v>0.5</v>
      </c>
      <c r="R361" s="173">
        <f t="shared" si="131"/>
        <v>0.99374240377106116</v>
      </c>
      <c r="S361" s="802">
        <f t="shared" si="132"/>
        <v>1</v>
      </c>
      <c r="T361" s="172">
        <f t="shared" si="133"/>
        <v>7</v>
      </c>
      <c r="U361" s="247">
        <f t="shared" si="134"/>
        <v>1.9937424037710612</v>
      </c>
      <c r="V361" s="378">
        <f t="shared" si="135"/>
        <v>16.759536474275269</v>
      </c>
      <c r="W361" s="397">
        <f t="shared" si="136"/>
        <v>5.6053651677065135</v>
      </c>
      <c r="X361" s="153">
        <f t="shared" si="137"/>
        <v>46004</v>
      </c>
      <c r="Y361" s="380">
        <f t="shared" si="138"/>
        <v>5.4247311433148102</v>
      </c>
      <c r="Z361" s="380">
        <f t="shared" si="139"/>
        <v>5.5359091847671609</v>
      </c>
      <c r="AA361" s="381">
        <f t="shared" si="140"/>
        <v>5.8074299709949724</v>
      </c>
      <c r="AB361" s="193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4.6754035362270928E-2</v>
      </c>
      <c r="AD361" s="227">
        <f>(INDEX(Models!$BJ361:$BT361,,AH361)*(1-AF361)+INDEX(Models!$BJ361:$BT361,,AH361+1)*AF361-ERP_i)*AE361*Ramure*Pc/MaxiM</f>
        <v>1.2361543288146312E-2</v>
      </c>
      <c r="AE361" s="301">
        <f t="shared" si="142"/>
        <v>0.5</v>
      </c>
      <c r="AF361" s="173">
        <f t="shared" si="143"/>
        <v>0.99374240377106116</v>
      </c>
      <c r="AG361" s="802">
        <f t="shared" si="149"/>
        <v>1</v>
      </c>
      <c r="AH361" s="172">
        <f t="shared" si="144"/>
        <v>7</v>
      </c>
      <c r="AI361" s="221">
        <f t="shared" si="145"/>
        <v>1.9937424037710612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46005</v>
      </c>
      <c r="B362" s="406">
        <f>'2024'!Wh/'2024'!Env_an*'2025'!Env_an</f>
        <v>12.764419258213715</v>
      </c>
      <c r="C362" s="385"/>
      <c r="D362" s="388">
        <f t="shared" si="127"/>
        <v>13.026200058346443</v>
      </c>
      <c r="E362" s="380">
        <f t="shared" si="150"/>
        <v>13.225503336283429</v>
      </c>
      <c r="F362" s="380">
        <f t="shared" si="128"/>
        <v>13.336232088976766</v>
      </c>
      <c r="G362" s="110">
        <f t="shared" si="151"/>
        <v>0.76370879770350741</v>
      </c>
      <c r="H362" s="409" t="b">
        <f>Wh_hp&gt;='2024'!Maxi_hp</f>
        <v>0</v>
      </c>
      <c r="I362" s="375">
        <f>IF(H362,Wh_hp,'2024'!Maxi_hp)</f>
        <v>13.378981463837262</v>
      </c>
      <c r="J362" s="85">
        <f>IF(H362,An,'2024'!An_max)</f>
        <v>2022</v>
      </c>
      <c r="K362" s="193">
        <f t="shared" si="129"/>
        <v>46005</v>
      </c>
      <c r="L362" s="143">
        <f>IF(t&lt;Tvie,1-EXP((T0-t)*PertePVj)+'2024'!Pspv,1-EXP((T0-t)*PertePVj)+Pspv)</f>
        <v>2.009648239395756E-2</v>
      </c>
      <c r="M362" s="836"/>
      <c r="N362" s="836"/>
      <c r="O362" s="48">
        <f>IF(t&lt;Tnet,'2024'!Resal+('2024'!Salim-'2024'!Resal)*(1-EXP(('2024'!Tnet-t)/('2024'!Tau_j))),Resal+(Salim-Resal)*(1-EXP((Tnet-t)/(Tau_j))))*Salcycl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1.2447676142596861E-2</v>
      </c>
      <c r="Q362" s="301">
        <f t="shared" si="130"/>
        <v>0.5</v>
      </c>
      <c r="R362" s="173">
        <f t="shared" si="131"/>
        <v>0.99375205404863065</v>
      </c>
      <c r="S362" s="802">
        <f t="shared" si="132"/>
        <v>1</v>
      </c>
      <c r="T362" s="172">
        <f t="shared" si="133"/>
        <v>7</v>
      </c>
      <c r="U362" s="247">
        <f t="shared" si="134"/>
        <v>1.9937520540486307</v>
      </c>
      <c r="V362" s="378">
        <f t="shared" si="135"/>
        <v>16.643870103858315</v>
      </c>
      <c r="W362" s="397">
        <f t="shared" si="136"/>
        <v>12.764419258213715</v>
      </c>
      <c r="X362" s="153">
        <f t="shared" si="137"/>
        <v>46005</v>
      </c>
      <c r="Y362" s="380">
        <f t="shared" si="138"/>
        <v>12.353502856490989</v>
      </c>
      <c r="Z362" s="380">
        <f t="shared" si="139"/>
        <v>12.606856322621709</v>
      </c>
      <c r="AA362" s="381">
        <f t="shared" si="140"/>
        <v>13.225503336283429</v>
      </c>
      <c r="AB362" s="193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4.6776821866922579E-2</v>
      </c>
      <c r="AD362" s="227">
        <f>(INDEX(Models!$BJ362:$BT362,,AH362)*(1-AF362)+INDEX(Models!$BJ362:$BT362,,AH362+1)*AF362-ERP_i)*AE362*Ramure*Pc/MaxiM</f>
        <v>1.2447676142596861E-2</v>
      </c>
      <c r="AE362" s="301">
        <f t="shared" si="142"/>
        <v>0.5</v>
      </c>
      <c r="AF362" s="173">
        <f t="shared" si="143"/>
        <v>0.99375205404863065</v>
      </c>
      <c r="AG362" s="802">
        <f t="shared" si="149"/>
        <v>1</v>
      </c>
      <c r="AH362" s="172">
        <f t="shared" si="144"/>
        <v>7</v>
      </c>
      <c r="AI362" s="221">
        <f t="shared" si="145"/>
        <v>1.9937520540486307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46006</v>
      </c>
      <c r="B363" s="406">
        <f>'2024'!Wh/'2024'!Env_an*'2025'!Env_an</f>
        <v>6.8173305288253392</v>
      </c>
      <c r="C363" s="385"/>
      <c r="D363" s="388">
        <f t="shared" si="127"/>
        <v>6.957239902851069</v>
      </c>
      <c r="E363" s="380">
        <f t="shared" si="150"/>
        <v>7.0640965181567132</v>
      </c>
      <c r="F363" s="380">
        <f t="shared" si="128"/>
        <v>7.0783222930247423</v>
      </c>
      <c r="G363" s="110">
        <f t="shared" si="151"/>
        <v>0.40789414322851836</v>
      </c>
      <c r="H363" s="409" t="b">
        <f>Wh_hp&gt;='2024'!Maxi_hp</f>
        <v>0</v>
      </c>
      <c r="I363" s="375">
        <f>IF(H363,Wh_hp,'2024'!Maxi_hp)</f>
        <v>7.1358666165073297</v>
      </c>
      <c r="J363" s="85">
        <f>IF(H363,An,'2024'!An_max)</f>
        <v>2022</v>
      </c>
      <c r="K363" s="193">
        <f t="shared" si="129"/>
        <v>46006</v>
      </c>
      <c r="L363" s="143">
        <f>IF(t&lt;Tvie,1-EXP((T0-t)*PertePVj)+'2024'!Pspv,1-EXP((T0-t)*PertePVj)+Pspv)</f>
        <v>2.0109896450228093E-2</v>
      </c>
      <c r="M363" s="836"/>
      <c r="N363" s="836"/>
      <c r="O363" s="48">
        <f>IF(t&lt;Tnet,'2024'!Resal+('2024'!Salim-'2024'!Resal)*(1-EXP(('2024'!Tnet-t)/('2024'!Tau_j))),Resal+(Salim-Resal)*(1-EXP((Tnet-t)/(Tau_j))))*Salcycl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1.2534023531478415E-2</v>
      </c>
      <c r="Q363" s="301">
        <f t="shared" si="130"/>
        <v>0.5</v>
      </c>
      <c r="R363" s="173">
        <f t="shared" si="131"/>
        <v>0.9937613161278871</v>
      </c>
      <c r="S363" s="802">
        <f t="shared" si="132"/>
        <v>1</v>
      </c>
      <c r="T363" s="172">
        <f t="shared" si="133"/>
        <v>7</v>
      </c>
      <c r="U363" s="247">
        <f t="shared" si="134"/>
        <v>1.9937613161278871</v>
      </c>
      <c r="V363" s="378">
        <f t="shared" si="135"/>
        <v>16.537228631807043</v>
      </c>
      <c r="W363" s="397">
        <f t="shared" si="136"/>
        <v>6.8173305288253392</v>
      </c>
      <c r="X363" s="153">
        <f t="shared" si="137"/>
        <v>46006</v>
      </c>
      <c r="Y363" s="380">
        <f t="shared" si="138"/>
        <v>6.5980860486571995</v>
      </c>
      <c r="Z363" s="380">
        <f t="shared" si="139"/>
        <v>6.7334959550615165</v>
      </c>
      <c r="AA363" s="381">
        <f t="shared" si="140"/>
        <v>7.0640965181567132</v>
      </c>
      <c r="AB363" s="193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4.6800119766973874E-2</v>
      </c>
      <c r="AD363" s="227">
        <f>(INDEX(Models!$BJ363:$BT363,,AH363)*(1-AF363)+INDEX(Models!$BJ363:$BT363,,AH363+1)*AF363-ERP_i)*AE363*Ramure*Pc/MaxiM</f>
        <v>1.2534023531478415E-2</v>
      </c>
      <c r="AE363" s="301">
        <f t="shared" si="142"/>
        <v>0.5</v>
      </c>
      <c r="AF363" s="173">
        <f t="shared" si="143"/>
        <v>0.9937613161278871</v>
      </c>
      <c r="AG363" s="802">
        <f t="shared" si="149"/>
        <v>1</v>
      </c>
      <c r="AH363" s="172">
        <f t="shared" si="144"/>
        <v>7</v>
      </c>
      <c r="AI363" s="221">
        <f t="shared" si="145"/>
        <v>1.9937613161278871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46007</v>
      </c>
      <c r="B364" s="406">
        <f>'2024'!Wh/'2024'!Env_an*'2025'!Env_an</f>
        <v>5.7211955179956275</v>
      </c>
      <c r="C364" s="385"/>
      <c r="D364" s="388">
        <f t="shared" si="127"/>
        <v>5.8386892741379262</v>
      </c>
      <c r="E364" s="380">
        <f t="shared" si="150"/>
        <v>5.928710338074672</v>
      </c>
      <c r="F364" s="380">
        <f t="shared" si="128"/>
        <v>5.933844018605523</v>
      </c>
      <c r="G364" s="110">
        <f t="shared" si="151"/>
        <v>0.34389570717683571</v>
      </c>
      <c r="H364" s="409" t="b">
        <f>Wh_hp&gt;='2024'!Maxi_hp</f>
        <v>0</v>
      </c>
      <c r="I364" s="375">
        <f>IF(H364,Wh_hp,'2024'!Maxi_hp)</f>
        <v>5.9877220322580982</v>
      </c>
      <c r="J364" s="85">
        <f>IF(H364,An,'2024'!An_max)</f>
        <v>2022</v>
      </c>
      <c r="K364" s="193">
        <f t="shared" si="129"/>
        <v>46007</v>
      </c>
      <c r="L364" s="143">
        <f>IF(t&lt;Tvie,1-EXP((T0-t)*PertePVj)+'2024'!Pspv,1-EXP((T0-t)*PertePVj)+Pspv)</f>
        <v>2.0123310322871513E-2</v>
      </c>
      <c r="M364" s="836"/>
      <c r="N364" s="836"/>
      <c r="O364" s="48">
        <f>IF(t&lt;Tnet,'2024'!Resal+('2024'!Salim-'2024'!Resal)*(1-EXP(('2024'!Tnet-t)/('2024'!Tau_j))),Resal+(Salim-Resal)*(1-EXP((Tnet-t)/(Tau_j))))*Salcycl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1.2619529556949505E-2</v>
      </c>
      <c r="Q364" s="301">
        <f t="shared" si="130"/>
        <v>0.5</v>
      </c>
      <c r="R364" s="173">
        <f t="shared" si="131"/>
        <v>0.9937702056112323</v>
      </c>
      <c r="S364" s="802">
        <f t="shared" si="132"/>
        <v>1</v>
      </c>
      <c r="T364" s="172">
        <f t="shared" si="133"/>
        <v>7</v>
      </c>
      <c r="U364" s="247">
        <f t="shared" si="134"/>
        <v>1.9937702056112323</v>
      </c>
      <c r="V364" s="378">
        <f t="shared" si="135"/>
        <v>16.44070594686162</v>
      </c>
      <c r="W364" s="397">
        <f t="shared" si="136"/>
        <v>5.7211955179956275</v>
      </c>
      <c r="X364" s="153">
        <f t="shared" si="137"/>
        <v>46007</v>
      </c>
      <c r="Y364" s="380">
        <f t="shared" si="138"/>
        <v>5.5373860547391009</v>
      </c>
      <c r="Z364" s="380">
        <f t="shared" si="139"/>
        <v>5.6511049942046094</v>
      </c>
      <c r="AA364" s="381">
        <f t="shared" si="140"/>
        <v>5.928710338074672</v>
      </c>
      <c r="AB364" s="193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4.6823900652939253E-2</v>
      </c>
      <c r="AD364" s="227">
        <f>(INDEX(Models!$BJ364:$BT364,,AH364)*(1-AF364)+INDEX(Models!$BJ364:$BT364,,AH364+1)*AF364-ERP_i)*AE364*Ramure*Pc/MaxiM</f>
        <v>1.2619529556949505E-2</v>
      </c>
      <c r="AE364" s="301">
        <f t="shared" si="142"/>
        <v>0.5</v>
      </c>
      <c r="AF364" s="173">
        <f t="shared" si="143"/>
        <v>0.9937702056112323</v>
      </c>
      <c r="AG364" s="802">
        <f t="shared" si="149"/>
        <v>1</v>
      </c>
      <c r="AH364" s="172">
        <f t="shared" si="144"/>
        <v>7</v>
      </c>
      <c r="AI364" s="221">
        <f t="shared" si="145"/>
        <v>1.9937702056112323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46008</v>
      </c>
      <c r="B365" s="406">
        <f>'2024'!Wh/'2024'!Env_an*'2025'!Env_an</f>
        <v>3.6940886085200986</v>
      </c>
      <c r="C365" s="385"/>
      <c r="D365" s="388">
        <f t="shared" si="127"/>
        <v>3.7700041414399581</v>
      </c>
      <c r="E365" s="380">
        <f t="shared" si="150"/>
        <v>3.8283528638143927</v>
      </c>
      <c r="F365" s="380">
        <f t="shared" si="128"/>
        <v>3.8283528638143927</v>
      </c>
      <c r="G365" s="110">
        <f t="shared" si="151"/>
        <v>0.22299443800925356</v>
      </c>
      <c r="H365" s="409" t="b">
        <f>Wh_hp&gt;='2024'!Maxi_hp</f>
        <v>0</v>
      </c>
      <c r="I365" s="375">
        <f>IF(H365,Wh_hp,'2024'!Maxi_hp)</f>
        <v>3.8659187328041593</v>
      </c>
      <c r="J365" s="85">
        <f>IF(H365,An,'2024'!An_max)</f>
        <v>2022</v>
      </c>
      <c r="K365" s="193">
        <f t="shared" si="129"/>
        <v>46008</v>
      </c>
      <c r="L365" s="143">
        <f>IF(t&lt;Tvie,1-EXP((T0-t)*PertePVj)+'2024'!Pspv,1-EXP((T0-t)*PertePVj)+Pspv)</f>
        <v>2.013672401189015E-2</v>
      </c>
      <c r="M365" s="836"/>
      <c r="N365" s="836"/>
      <c r="O365" s="48">
        <f>IF(t&lt;Tnet,'2024'!Resal+('2024'!Salim-'2024'!Resal)*(1-EXP(('2024'!Tnet-t)/('2024'!Tau_j))),Resal+(Salim-Resal)*(1-EXP((Tnet-t)/(Tau_j))))*Salcycl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1.2703095662420595E-2</v>
      </c>
      <c r="Q365" s="301">
        <f t="shared" si="130"/>
        <v>0.5</v>
      </c>
      <c r="R365" s="173">
        <f t="shared" si="131"/>
        <v>0.99377873747504486</v>
      </c>
      <c r="S365" s="802">
        <f t="shared" si="132"/>
        <v>1</v>
      </c>
      <c r="T365" s="172">
        <f t="shared" si="133"/>
        <v>7</v>
      </c>
      <c r="U365" s="247">
        <f t="shared" si="134"/>
        <v>1.9937787374750449</v>
      </c>
      <c r="V365" s="378">
        <f t="shared" si="135"/>
        <v>16.355395587890239</v>
      </c>
      <c r="W365" s="397">
        <f t="shared" si="136"/>
        <v>3.6940886085200986</v>
      </c>
      <c r="X365" s="153">
        <f t="shared" si="137"/>
        <v>46008</v>
      </c>
      <c r="Y365" s="380">
        <f t="shared" si="138"/>
        <v>3.5755227290238212</v>
      </c>
      <c r="Z365" s="380">
        <f t="shared" si="139"/>
        <v>3.6490016685421818</v>
      </c>
      <c r="AA365" s="381">
        <f t="shared" si="140"/>
        <v>3.8283528638143927</v>
      </c>
      <c r="AB365" s="193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4.6848135909163272E-2</v>
      </c>
      <c r="AD365" s="227">
        <f>(INDEX(Models!$BJ365:$BT365,,AH365)*(1-AF365)+INDEX(Models!$BJ365:$BT365,,AH365+1)*AF365-ERP_i)*AE365*Ramure*Pc/MaxiM</f>
        <v>1.2703095662420595E-2</v>
      </c>
      <c r="AE365" s="301">
        <f t="shared" si="142"/>
        <v>0.5</v>
      </c>
      <c r="AF365" s="173">
        <f t="shared" si="143"/>
        <v>0.99377873747504486</v>
      </c>
      <c r="AG365" s="802">
        <f t="shared" si="149"/>
        <v>1</v>
      </c>
      <c r="AH365" s="172">
        <f t="shared" si="144"/>
        <v>7</v>
      </c>
      <c r="AI365" s="221">
        <f t="shared" si="145"/>
        <v>1.9937787374750449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46009</v>
      </c>
      <c r="B366" s="406">
        <f>'2024'!Wh/'2024'!Env_an*'2025'!Env_an</f>
        <v>14.865903005450873</v>
      </c>
      <c r="C366" s="385"/>
      <c r="D366" s="388">
        <f t="shared" si="127"/>
        <v>15.171613095688055</v>
      </c>
      <c r="E366" s="380">
        <f t="shared" si="150"/>
        <v>15.407323213640828</v>
      </c>
      <c r="F366" s="380">
        <f t="shared" si="128"/>
        <v>15.581689559847664</v>
      </c>
      <c r="G366" s="110">
        <f t="shared" si="151"/>
        <v>0.91153393978389818</v>
      </c>
      <c r="H366" s="409" t="b">
        <f>Wh_hp&gt;='2024'!Maxi_hp</f>
        <v>0</v>
      </c>
      <c r="I366" s="375">
        <f>IF(H366,Wh_hp,'2024'!Maxi_hp)</f>
        <v>15.600858513413073</v>
      </c>
      <c r="J366" s="85">
        <f>IF(H366,An,'2024'!An_max)</f>
        <v>2022</v>
      </c>
      <c r="K366" s="193">
        <f t="shared" si="129"/>
        <v>46009</v>
      </c>
      <c r="L366" s="143">
        <f>IF(t&lt;Tvie,1-EXP((T0-t)*PertePVj)+'2024'!Pspv,1-EXP((T0-t)*PertePVj)+Pspv)</f>
        <v>2.0150137517286781E-2</v>
      </c>
      <c r="M366" s="836"/>
      <c r="N366" s="836"/>
      <c r="O366" s="48">
        <f>IF(t&lt;Tnet,'2024'!Resal+('2024'!Salim-'2024'!Resal)*(1-EXP(('2024'!Tnet-t)/('2024'!Tau_j))),Resal+(Salim-Resal)*(1-EXP((Tnet-t)/(Tau_j))))*Salcycl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1.277866305873517E-2</v>
      </c>
      <c r="Q366" s="301">
        <f t="shared" si="130"/>
        <v>0.5</v>
      </c>
      <c r="R366" s="173">
        <f t="shared" si="131"/>
        <v>0.99378692609471408</v>
      </c>
      <c r="S366" s="802">
        <f t="shared" si="132"/>
        <v>1</v>
      </c>
      <c r="T366" s="172">
        <f t="shared" si="133"/>
        <v>7</v>
      </c>
      <c r="U366" s="247">
        <f t="shared" si="134"/>
        <v>1.9937869260947141</v>
      </c>
      <c r="V366" s="378">
        <f t="shared" si="135"/>
        <v>16.282471948882353</v>
      </c>
      <c r="W366" s="397">
        <f t="shared" si="136"/>
        <v>14.865903005450873</v>
      </c>
      <c r="X366" s="153">
        <f t="shared" si="137"/>
        <v>46009</v>
      </c>
      <c r="Y366" s="380">
        <f t="shared" si="138"/>
        <v>14.389231314019876</v>
      </c>
      <c r="Z366" s="380">
        <f t="shared" si="139"/>
        <v>14.685138881951657</v>
      </c>
      <c r="AA366" s="381">
        <f t="shared" si="140"/>
        <v>15.407323213640828</v>
      </c>
      <c r="AB366" s="193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4.6872796895036692E-2</v>
      </c>
      <c r="AD366" s="227">
        <f>(INDEX(Models!$BJ366:$BT366,,AH366)*(1-AF366)+INDEX(Models!$BJ366:$BT366,,AH366+1)*AF366-ERP_i)*AE366*Ramure*Pc/MaxiM</f>
        <v>1.277866305873517E-2</v>
      </c>
      <c r="AE366" s="301">
        <f t="shared" si="142"/>
        <v>0.5</v>
      </c>
      <c r="AF366" s="173">
        <f t="shared" si="143"/>
        <v>0.99378692609471408</v>
      </c>
      <c r="AG366" s="802">
        <f t="shared" si="149"/>
        <v>1</v>
      </c>
      <c r="AH366" s="172">
        <f t="shared" si="144"/>
        <v>7</v>
      </c>
      <c r="AI366" s="221">
        <f t="shared" si="145"/>
        <v>1.9937869260947141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46010</v>
      </c>
      <c r="B367" s="406">
        <f>'2024'!Wh/'2024'!Env_an*'2025'!Env_an</f>
        <v>14.233261300455338</v>
      </c>
      <c r="C367" s="385"/>
      <c r="D367" s="388">
        <f t="shared" si="127"/>
        <v>14.526160271587887</v>
      </c>
      <c r="E367" s="380">
        <f t="shared" si="150"/>
        <v>14.752703055502186</v>
      </c>
      <c r="F367" s="380">
        <f t="shared" si="128"/>
        <v>14.910559814993855</v>
      </c>
      <c r="G367" s="110">
        <f t="shared" si="151"/>
        <v>0.87534690245282909</v>
      </c>
      <c r="H367" s="409" t="b">
        <f>Wh_hp&gt;='2024'!Maxi_hp</f>
        <v>0</v>
      </c>
      <c r="I367" s="375">
        <f>IF(H367,Wh_hp,'2024'!Maxi_hp)</f>
        <v>14.936536539370893</v>
      </c>
      <c r="J367" s="85">
        <f>IF(H367,An,'2024'!An_max)</f>
        <v>2022</v>
      </c>
      <c r="K367" s="193">
        <f t="shared" si="129"/>
        <v>46010</v>
      </c>
      <c r="L367" s="143">
        <f>IF(t&lt;Tvie,1-EXP((T0-t)*PertePVj)+'2024'!Pspv,1-EXP((T0-t)*PertePVj)+Pspv)</f>
        <v>2.0163550839063737E-2</v>
      </c>
      <c r="M367" s="836"/>
      <c r="N367" s="836"/>
      <c r="O367" s="48">
        <f>IF(t&lt;Tnet,'2024'!Resal+('2024'!Salim-'2024'!Resal)*(1-EXP(('2024'!Tnet-t)/('2024'!Tau_j))),Resal+(Salim-Resal)*(1-EXP((Tnet-t)/(Tau_j))))*Salcycl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1.2836144581291354E-2</v>
      </c>
      <c r="Q367" s="301">
        <f t="shared" si="130"/>
        <v>0.5</v>
      </c>
      <c r="R367" s="173">
        <f t="shared" si="131"/>
        <v>0.99379478526868015</v>
      </c>
      <c r="S367" s="802">
        <f t="shared" si="132"/>
        <v>1</v>
      </c>
      <c r="T367" s="172">
        <f t="shared" si="133"/>
        <v>7</v>
      </c>
      <c r="U367" s="247">
        <f t="shared" si="134"/>
        <v>1.9937947852686801</v>
      </c>
      <c r="V367" s="378">
        <f t="shared" si="135"/>
        <v>16.223173654131163</v>
      </c>
      <c r="W367" s="397">
        <f t="shared" si="136"/>
        <v>14.233261300455338</v>
      </c>
      <c r="X367" s="153">
        <f t="shared" si="137"/>
        <v>46010</v>
      </c>
      <c r="Y367" s="380">
        <f t="shared" si="138"/>
        <v>13.777316605452294</v>
      </c>
      <c r="Z367" s="380">
        <f t="shared" si="139"/>
        <v>14.0608329249746</v>
      </c>
      <c r="AA367" s="381">
        <f t="shared" si="140"/>
        <v>14.752703055502186</v>
      </c>
      <c r="AB367" s="193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4.6897855120153396E-2</v>
      </c>
      <c r="AD367" s="227">
        <f>(INDEX(Models!$BJ367:$BT367,,AH367)*(1-AF367)+INDEX(Models!$BJ367:$BT367,,AH367+1)*AF367-ERP_i)*AE367*Ramure*Pc/MaxiM</f>
        <v>1.2836144581291354E-2</v>
      </c>
      <c r="AE367" s="301">
        <f t="shared" si="142"/>
        <v>0.5</v>
      </c>
      <c r="AF367" s="173">
        <f t="shared" si="143"/>
        <v>0.99379478526868015</v>
      </c>
      <c r="AG367" s="802">
        <f t="shared" si="149"/>
        <v>1</v>
      </c>
      <c r="AH367" s="172">
        <f t="shared" si="144"/>
        <v>7</v>
      </c>
      <c r="AI367" s="221">
        <f t="shared" si="145"/>
        <v>1.9937947852686801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46011</v>
      </c>
      <c r="B368" s="406">
        <f>'2024'!Wh/'2024'!Env_an*'2025'!Env_an</f>
        <v>4.2967801034770261</v>
      </c>
      <c r="C368" s="385"/>
      <c r="D368" s="388">
        <f t="shared" si="127"/>
        <v>4.3852613640501765</v>
      </c>
      <c r="E368" s="380">
        <f t="shared" si="150"/>
        <v>4.4539118491248502</v>
      </c>
      <c r="F368" s="380">
        <f t="shared" si="128"/>
        <v>4.4539118491248502</v>
      </c>
      <c r="G368" s="110">
        <f t="shared" si="151"/>
        <v>0.2621650833960491</v>
      </c>
      <c r="H368" s="409" t="b">
        <f>Wh_hp&gt;='2024'!Maxi_hp</f>
        <v>0</v>
      </c>
      <c r="I368" s="375">
        <f>IF(H368,Wh_hp,'2024'!Maxi_hp)</f>
        <v>4.4982170424996788</v>
      </c>
      <c r="J368" s="85">
        <f>IF(H368,An,'2024'!An_max)</f>
        <v>2022</v>
      </c>
      <c r="K368" s="193">
        <f t="shared" si="129"/>
        <v>46011</v>
      </c>
      <c r="L368" s="143">
        <f>IF(t&lt;Tvie,1-EXP((T0-t)*PertePVj)+'2024'!Pspv,1-EXP((T0-t)*PertePVj)+Pspv)</f>
        <v>2.0176963977223572E-2</v>
      </c>
      <c r="M368" s="836"/>
      <c r="N368" s="836"/>
      <c r="O368" s="48">
        <f>IF(t&lt;Tnet,'2024'!Resal+('2024'!Salim-'2024'!Resal)*(1-EXP(('2024'!Tnet-t)/('2024'!Tau_j))),Resal+(Salim-Resal)*(1-EXP((Tnet-t)/(Tau_j))))*Salcycl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1.2874317102898812E-2</v>
      </c>
      <c r="Q368" s="301">
        <f t="shared" si="130"/>
        <v>0.5</v>
      </c>
      <c r="R368" s="173">
        <f t="shared" si="131"/>
        <v>0.99380232824151848</v>
      </c>
      <c r="S368" s="802">
        <f t="shared" si="132"/>
        <v>1</v>
      </c>
      <c r="T368" s="172">
        <f t="shared" si="133"/>
        <v>7</v>
      </c>
      <c r="U368" s="247">
        <f t="shared" si="134"/>
        <v>1.9938023282415185</v>
      </c>
      <c r="V368" s="378">
        <f t="shared" si="135"/>
        <v>16.178592278422983</v>
      </c>
      <c r="W368" s="397">
        <f t="shared" si="136"/>
        <v>4.2967801034770261</v>
      </c>
      <c r="X368" s="153">
        <f t="shared" si="137"/>
        <v>46011</v>
      </c>
      <c r="Y368" s="380">
        <f t="shared" si="138"/>
        <v>4.1592700940071081</v>
      </c>
      <c r="Z368" s="380">
        <f t="shared" si="139"/>
        <v>4.244919685589454</v>
      </c>
      <c r="AA368" s="381">
        <f t="shared" si="140"/>
        <v>4.4539118491248502</v>
      </c>
      <c r="AB368" s="193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4.692328241217001E-2</v>
      </c>
      <c r="AD368" s="227">
        <f>(INDEX(Models!$BJ368:$BT368,,AH368)*(1-AF368)+INDEX(Models!$BJ368:$BT368,,AH368+1)*AF368-ERP_i)*AE368*Ramure*Pc/MaxiM</f>
        <v>1.2874317102898812E-2</v>
      </c>
      <c r="AE368" s="301">
        <f t="shared" si="142"/>
        <v>0.5</v>
      </c>
      <c r="AF368" s="173">
        <f t="shared" si="143"/>
        <v>0.99380232824151848</v>
      </c>
      <c r="AG368" s="802">
        <f t="shared" si="149"/>
        <v>1</v>
      </c>
      <c r="AH368" s="172">
        <f t="shared" si="144"/>
        <v>7</v>
      </c>
      <c r="AI368" s="221">
        <f t="shared" si="145"/>
        <v>1.9938023282415185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46012</v>
      </c>
      <c r="B369" s="406">
        <f>'2024'!Wh/'2024'!Env_an*'2025'!Env_an</f>
        <v>15.237187592008032</v>
      </c>
      <c r="C369" s="385"/>
      <c r="D369" s="388">
        <f t="shared" si="127"/>
        <v>15.551171608514563</v>
      </c>
      <c r="E369" s="380">
        <f t="shared" si="150"/>
        <v>15.795545925257322</v>
      </c>
      <c r="F369" s="380">
        <f t="shared" si="128"/>
        <v>15.98498826432642</v>
      </c>
      <c r="G369" s="110">
        <f t="shared" si="151"/>
        <v>0.94249594735437425</v>
      </c>
      <c r="H369" s="409" t="b">
        <f>Wh_hp&gt;='2024'!Maxi_hp</f>
        <v>0</v>
      </c>
      <c r="I369" s="375">
        <f>IF(H369,Wh_hp,'2024'!Maxi_hp)</f>
        <v>15.99787926279242</v>
      </c>
      <c r="J369" s="85">
        <f>IF(H369,An,'2024'!An_max)</f>
        <v>2022</v>
      </c>
      <c r="K369" s="193">
        <f t="shared" si="129"/>
        <v>46012</v>
      </c>
      <c r="L369" s="143">
        <f>IF(t&lt;Tvie,1-EXP((T0-t)*PertePVj)+'2024'!Pspv,1-EXP((T0-t)*PertePVj)+Pspv)</f>
        <v>2.0190376931768839E-2</v>
      </c>
      <c r="M369" s="836"/>
      <c r="N369" s="836"/>
      <c r="O369" s="48">
        <f>IF(t&lt;Tnet,'2024'!Resal+('2024'!Salim-'2024'!Resal)*(1-EXP(('2024'!Tnet-t)/('2024'!Tau_j))),Resal+(Salim-Resal)*(1-EXP((Tnet-t)/(Tau_j))))*Salcycl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1.2892026368868296E-2</v>
      </c>
      <c r="Q369" s="301">
        <f t="shared" si="130"/>
        <v>0.5</v>
      </c>
      <c r="R369" s="173">
        <f t="shared" si="131"/>
        <v>0.9938095677261054</v>
      </c>
      <c r="S369" s="802">
        <f t="shared" si="132"/>
        <v>1</v>
      </c>
      <c r="T369" s="172">
        <f t="shared" si="133"/>
        <v>7</v>
      </c>
      <c r="U369" s="247">
        <f t="shared" si="134"/>
        <v>1.9938095677261054</v>
      </c>
      <c r="V369" s="378">
        <f t="shared" si="135"/>
        <v>16.149819180341851</v>
      </c>
      <c r="W369" s="397">
        <f t="shared" si="136"/>
        <v>15.237187592008032</v>
      </c>
      <c r="X369" s="153">
        <f t="shared" si="137"/>
        <v>46012</v>
      </c>
      <c r="Y369" s="380">
        <f t="shared" si="138"/>
        <v>14.750014905457007</v>
      </c>
      <c r="Z369" s="380">
        <f t="shared" si="139"/>
        <v>15.053960032835745</v>
      </c>
      <c r="AA369" s="381">
        <f t="shared" si="140"/>
        <v>15.795545925257322</v>
      </c>
      <c r="AB369" s="193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4.6949051076213215E-2</v>
      </c>
      <c r="AD369" s="227">
        <f>(INDEX(Models!$BJ369:$BT369,,AH369)*(1-AF369)+INDEX(Models!$BJ369:$BT369,,AH369+1)*AF369-ERP_i)*AE369*Ramure*Pc/MaxiM</f>
        <v>1.2892026368868296E-2</v>
      </c>
      <c r="AE369" s="301">
        <f t="shared" si="142"/>
        <v>0.5</v>
      </c>
      <c r="AF369" s="173">
        <f t="shared" si="143"/>
        <v>0.9938095677261054</v>
      </c>
      <c r="AG369" s="802">
        <f t="shared" si="149"/>
        <v>1</v>
      </c>
      <c r="AH369" s="172">
        <f t="shared" si="144"/>
        <v>7</v>
      </c>
      <c r="AI369" s="221">
        <f t="shared" si="145"/>
        <v>1.9938095677261054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46013</v>
      </c>
      <c r="B370" s="406">
        <f>'2024'!Wh/'2024'!Env_an*'2025'!Env_an</f>
        <v>15.168216165293437</v>
      </c>
      <c r="C370" s="385"/>
      <c r="D370" s="388">
        <f t="shared" si="127"/>
        <v>15.480990848791881</v>
      </c>
      <c r="E370" s="380">
        <f t="shared" si="150"/>
        <v>15.725182561120068</v>
      </c>
      <c r="F370" s="380">
        <f t="shared" si="128"/>
        <v>15.912663200972972</v>
      </c>
      <c r="G370" s="110">
        <f t="shared" si="151"/>
        <v>0.93885771180681954</v>
      </c>
      <c r="H370" s="409" t="b">
        <f>Wh_hp&gt;='2024'!Maxi_hp</f>
        <v>0</v>
      </c>
      <c r="I370" s="375">
        <f>IF(H370,Wh_hp,'2024'!Maxi_hp)</f>
        <v>15.926304409611507</v>
      </c>
      <c r="J370" s="85">
        <f>IF(H370,An,'2024'!An_max)</f>
        <v>2022</v>
      </c>
      <c r="K370" s="193">
        <f t="shared" si="129"/>
        <v>46013</v>
      </c>
      <c r="L370" s="143">
        <f>IF(t&lt;Tvie,1-EXP((T0-t)*PertePVj)+'2024'!Pspv,1-EXP((T0-t)*PertePVj)+Pspv)</f>
        <v>2.020378970270198E-2</v>
      </c>
      <c r="M370" s="836"/>
      <c r="N370" s="836"/>
      <c r="O370" s="48">
        <f>IF(t&lt;Tnet,'2024'!Resal+('2024'!Salim-'2024'!Resal)*(1-EXP(('2024'!Tnet-t)/('2024'!Tau_j))),Resal+(Salim-Resal)*(1-EXP((Tnet-t)/(Tau_j))))*Salcycl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1.2888213040539772E-2</v>
      </c>
      <c r="Q370" s="301">
        <f t="shared" si="130"/>
        <v>0.5</v>
      </c>
      <c r="R370" s="173">
        <f t="shared" si="131"/>
        <v>0.99381651592490283</v>
      </c>
      <c r="S370" s="802">
        <f t="shared" si="132"/>
        <v>1</v>
      </c>
      <c r="T370" s="172">
        <f t="shared" si="133"/>
        <v>7</v>
      </c>
      <c r="U370" s="247">
        <f t="shared" si="134"/>
        <v>1.9938165159249028</v>
      </c>
      <c r="V370" s="378">
        <f t="shared" si="135"/>
        <v>16.13794547763699</v>
      </c>
      <c r="W370" s="397">
        <f t="shared" si="136"/>
        <v>15.168216165293437</v>
      </c>
      <c r="X370" s="153">
        <f t="shared" si="137"/>
        <v>46013</v>
      </c>
      <c r="Y370" s="380">
        <f t="shared" si="138"/>
        <v>14.683706110042154</v>
      </c>
      <c r="Z370" s="380">
        <f t="shared" si="139"/>
        <v>14.986490002432955</v>
      </c>
      <c r="AA370" s="381">
        <f t="shared" si="140"/>
        <v>15.725182561120068</v>
      </c>
      <c r="AB370" s="193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4.6975134044771147E-2</v>
      </c>
      <c r="AD370" s="227">
        <f>(INDEX(Models!$BJ370:$BT370,,AH370)*(1-AF370)+INDEX(Models!$BJ370:$BT370,,AH370+1)*AF370-ERP_i)*AE370*Ramure*Pc/MaxiM</f>
        <v>1.2888213040539772E-2</v>
      </c>
      <c r="AE370" s="301">
        <f t="shared" si="142"/>
        <v>0.5</v>
      </c>
      <c r="AF370" s="173">
        <f t="shared" si="143"/>
        <v>0.99381651592490283</v>
      </c>
      <c r="AG370" s="802">
        <f t="shared" si="149"/>
        <v>1</v>
      </c>
      <c r="AH370" s="172">
        <f t="shared" si="144"/>
        <v>7</v>
      </c>
      <c r="AI370" s="221">
        <f t="shared" si="145"/>
        <v>1.9938165159249028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46014</v>
      </c>
      <c r="B371" s="406">
        <f>'2024'!Wh/'2024'!Env_an*'2025'!Env_an</f>
        <v>14.883002430532898</v>
      </c>
      <c r="C371" s="385"/>
      <c r="D371" s="388">
        <f t="shared" si="127"/>
        <v>15.190103832521476</v>
      </c>
      <c r="E371" s="380">
        <f t="shared" si="150"/>
        <v>15.430610900444517</v>
      </c>
      <c r="F371" s="380">
        <f t="shared" si="128"/>
        <v>15.608969016259657</v>
      </c>
      <c r="G371" s="110">
        <f t="shared" si="151"/>
        <v>0.92054861812401445</v>
      </c>
      <c r="H371" s="409" t="b">
        <f>Wh_hp&gt;='2024'!Maxi_hp</f>
        <v>0</v>
      </c>
      <c r="I371" s="375">
        <f>IF(H371,Wh_hp,'2024'!Maxi_hp)</f>
        <v>15.626325591893499</v>
      </c>
      <c r="J371" s="85">
        <f>IF(H371,An,'2024'!An_max)</f>
        <v>2022</v>
      </c>
      <c r="K371" s="193">
        <f t="shared" si="129"/>
        <v>46014</v>
      </c>
      <c r="L371" s="143">
        <f>IF(t&lt;Tvie,1-EXP((T0-t)*PertePVj)+'2024'!Pspv,1-EXP((T0-t)*PertePVj)+Pspv)</f>
        <v>2.0217202290025549E-2</v>
      </c>
      <c r="M371" s="836"/>
      <c r="N371" s="836"/>
      <c r="O371" s="48">
        <f>IF(t&lt;Tnet,'2024'!Resal+('2024'!Salim-'2024'!Resal)*(1-EXP(('2024'!Tnet-t)/('2024'!Tau_j))),Resal+(Salim-Resal)*(1-EXP((Tnet-t)/(Tau_j))))*Salcycl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1.2861901467572594E-2</v>
      </c>
      <c r="Q371" s="301">
        <f t="shared" si="130"/>
        <v>0.5</v>
      </c>
      <c r="R371" s="173">
        <f t="shared" si="131"/>
        <v>0.99381651592490283</v>
      </c>
      <c r="S371" s="802">
        <f t="shared" si="132"/>
        <v>1</v>
      </c>
      <c r="T371" s="172">
        <f t="shared" si="133"/>
        <v>7</v>
      </c>
      <c r="U371" s="247">
        <f t="shared" si="134"/>
        <v>1.9938165159249028</v>
      </c>
      <c r="V371" s="378">
        <f t="shared" si="135"/>
        <v>16.144062656401729</v>
      </c>
      <c r="W371" s="397">
        <f t="shared" si="136"/>
        <v>14.883002430532898</v>
      </c>
      <c r="X371" s="153">
        <f t="shared" si="137"/>
        <v>46014</v>
      </c>
      <c r="Y371" s="380">
        <f t="shared" si="138"/>
        <v>14.408047950023681</v>
      </c>
      <c r="Z371" s="380">
        <f t="shared" si="139"/>
        <v>14.705348964790263</v>
      </c>
      <c r="AA371" s="381">
        <f t="shared" si="140"/>
        <v>15.430610900444517</v>
      </c>
      <c r="AB371" s="193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4.7001505017106135E-2</v>
      </c>
      <c r="AD371" s="227">
        <f>(INDEX(Models!$BJ371:$BT371,,AH371)*(1-AF371)+INDEX(Models!$BJ371:$BT371,,AH371+1)*AF371-ERP_i)*AE371*Ramure*Pc/MaxiM</f>
        <v>1.2861901467572594E-2</v>
      </c>
      <c r="AE371" s="301">
        <f t="shared" si="142"/>
        <v>0.5</v>
      </c>
      <c r="AF371" s="173">
        <f t="shared" si="143"/>
        <v>0.99381651592490283</v>
      </c>
      <c r="AG371" s="802">
        <f t="shared" si="149"/>
        <v>1</v>
      </c>
      <c r="AH371" s="172">
        <f t="shared" si="144"/>
        <v>7</v>
      </c>
      <c r="AI371" s="221">
        <f t="shared" si="145"/>
        <v>1.9938165159249028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46015</v>
      </c>
      <c r="B372" s="406">
        <f>'2024'!Wh/'2024'!Env_an*'2025'!Env_an</f>
        <v>16.102828461942394</v>
      </c>
      <c r="C372" s="385"/>
      <c r="D372" s="388">
        <f t="shared" si="127"/>
        <v>16.435325193294283</v>
      </c>
      <c r="E372" s="380">
        <f t="shared" si="150"/>
        <v>16.696526518156141</v>
      </c>
      <c r="F372" s="380">
        <f t="shared" si="128"/>
        <v>16.911935939123413</v>
      </c>
      <c r="G372" s="110">
        <f t="shared" si="151"/>
        <v>0.99581557644996987</v>
      </c>
      <c r="H372" s="409" t="b">
        <f>Wh_hp&gt;='2024'!Maxi_hp</f>
        <v>0</v>
      </c>
      <c r="I372" s="375">
        <f>IF(H372,Wh_hp,'2024'!Maxi_hp)</f>
        <v>16.912921484564905</v>
      </c>
      <c r="J372" s="85">
        <f>IF(H372,An,'2024'!An_max)</f>
        <v>2022</v>
      </c>
      <c r="K372" s="193">
        <f t="shared" si="129"/>
        <v>46015</v>
      </c>
      <c r="L372" s="143">
        <f>IF(t&lt;Tvie,1-EXP((T0-t)*PertePVj)+'2024'!Pspv,1-EXP((T0-t)*PertePVj)+Pspv)</f>
        <v>2.0230614693742099E-2</v>
      </c>
      <c r="M372" s="836"/>
      <c r="N372" s="836"/>
      <c r="O372" s="48">
        <f>IF(t&lt;Tnet,'2024'!Resal+('2024'!Salim-'2024'!Resal)*(1-EXP(('2024'!Tnet-t)/('2024'!Tau_j))),Resal+(Salim-Resal)*(1-EXP((Tnet-t)/(Tau_j))))*Salcycl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1.2812324150945414E-2</v>
      </c>
      <c r="Q372" s="301">
        <f t="shared" si="130"/>
        <v>0.5</v>
      </c>
      <c r="R372" s="173">
        <f t="shared" si="131"/>
        <v>0.99381651592490283</v>
      </c>
      <c r="S372" s="802">
        <f t="shared" si="132"/>
        <v>1</v>
      </c>
      <c r="T372" s="172">
        <f t="shared" si="133"/>
        <v>7</v>
      </c>
      <c r="U372" s="247">
        <f t="shared" si="134"/>
        <v>1.9938165159249028</v>
      </c>
      <c r="V372" s="378">
        <f t="shared" si="135"/>
        <v>16.169260936217942</v>
      </c>
      <c r="W372" s="397">
        <f t="shared" si="136"/>
        <v>16.102828461942394</v>
      </c>
      <c r="X372" s="153">
        <f t="shared" si="137"/>
        <v>46015</v>
      </c>
      <c r="Y372" s="380">
        <f t="shared" si="138"/>
        <v>15.589424171852057</v>
      </c>
      <c r="Z372" s="380">
        <f t="shared" si="139"/>
        <v>15.911319955133207</v>
      </c>
      <c r="AA372" s="381">
        <f t="shared" si="140"/>
        <v>16.696526518156141</v>
      </c>
      <c r="AB372" s="193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4.7028138587333304E-2</v>
      </c>
      <c r="AD372" s="227">
        <f>(INDEX(Models!$BJ372:$BT372,,AH372)*(1-AF372)+INDEX(Models!$BJ372:$BT372,,AH372+1)*AF372-ERP_i)*AE372*Ramure*Pc/MaxiM</f>
        <v>1.2812324150945414E-2</v>
      </c>
      <c r="AE372" s="301">
        <f t="shared" si="142"/>
        <v>0.5</v>
      </c>
      <c r="AF372" s="173">
        <f t="shared" si="143"/>
        <v>0.99381651592490283</v>
      </c>
      <c r="AG372" s="802">
        <f t="shared" si="149"/>
        <v>1</v>
      </c>
      <c r="AH372" s="172">
        <f t="shared" si="144"/>
        <v>7</v>
      </c>
      <c r="AI372" s="221">
        <f t="shared" si="145"/>
        <v>1.9938165159249028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46016</v>
      </c>
      <c r="B373" s="406">
        <f>'2024'!Wh/'2024'!Env_an*'2025'!Env_an</f>
        <v>8.9297286208878042</v>
      </c>
      <c r="C373" s="385"/>
      <c r="D373" s="388">
        <f t="shared" si="127"/>
        <v>9.1142374899332719</v>
      </c>
      <c r="E373" s="380">
        <f t="shared" si="150"/>
        <v>9.2596300744219171</v>
      </c>
      <c r="F373" s="380">
        <f t="shared" si="128"/>
        <v>9.302064005822988</v>
      </c>
      <c r="G373" s="110">
        <f t="shared" si="151"/>
        <v>0.54616271556131424</v>
      </c>
      <c r="H373" s="409" t="b">
        <f>Wh_hp&gt;='2024'!Maxi_hp</f>
        <v>0</v>
      </c>
      <c r="I373" s="375">
        <f>IF(H373,Wh_hp,'2024'!Maxi_hp)</f>
        <v>9.3608811966692667</v>
      </c>
      <c r="J373" s="85">
        <f>IF(H373,An,'2024'!An_max)</f>
        <v>2022</v>
      </c>
      <c r="K373" s="193">
        <f t="shared" si="129"/>
        <v>46016</v>
      </c>
      <c r="L373" s="143">
        <f>IF(t&lt;Tvie,1-EXP((T0-t)*PertePVj)+'2024'!Pspv,1-EXP((T0-t)*PertePVj)+Pspv)</f>
        <v>2.0244026913854074E-2</v>
      </c>
      <c r="M373" s="836"/>
      <c r="N373" s="836"/>
      <c r="O373" s="48">
        <f>IF(t&lt;Tnet,'2024'!Resal+('2024'!Salim-'2024'!Resal)*(1-EXP(('2024'!Tnet-t)/('2024'!Tau_j))),Resal+(Salim-Resal)*(1-EXP((Tnet-t)/(Tau_j))))*Salcycl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1.2738024770019445E-2</v>
      </c>
      <c r="Q373" s="301">
        <f t="shared" si="130"/>
        <v>0.5</v>
      </c>
      <c r="R373" s="173">
        <f t="shared" si="131"/>
        <v>0.99381651592490283</v>
      </c>
      <c r="S373" s="802">
        <f t="shared" si="132"/>
        <v>1</v>
      </c>
      <c r="T373" s="172">
        <f t="shared" si="133"/>
        <v>7</v>
      </c>
      <c r="U373" s="247">
        <f t="shared" si="134"/>
        <v>1.9938165159249028</v>
      </c>
      <c r="V373" s="378">
        <f t="shared" si="135"/>
        <v>16.215648003322727</v>
      </c>
      <c r="W373" s="397">
        <f t="shared" si="136"/>
        <v>8.9297286208878042</v>
      </c>
      <c r="X373" s="153">
        <f t="shared" si="137"/>
        <v>46016</v>
      </c>
      <c r="Y373" s="380">
        <f t="shared" si="138"/>
        <v>8.6452864501311115</v>
      </c>
      <c r="Z373" s="380">
        <f t="shared" si="139"/>
        <v>8.8239180853363042</v>
      </c>
      <c r="AA373" s="381">
        <f t="shared" si="140"/>
        <v>9.2596300744219171</v>
      </c>
      <c r="AB373" s="193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4.7055010360423609E-2</v>
      </c>
      <c r="AD373" s="227">
        <f>(INDEX(Models!$BJ373:$BT373,,AH373)*(1-AF373)+INDEX(Models!$BJ373:$BT373,,AH373+1)*AF373-ERP_i)*AE373*Ramure*Pc/MaxiM</f>
        <v>1.2738024770019445E-2</v>
      </c>
      <c r="AE373" s="301">
        <f t="shared" si="142"/>
        <v>0.5</v>
      </c>
      <c r="AF373" s="173">
        <f t="shared" si="143"/>
        <v>0.99381651592490283</v>
      </c>
      <c r="AG373" s="802">
        <f t="shared" si="149"/>
        <v>1</v>
      </c>
      <c r="AH373" s="172">
        <f t="shared" si="144"/>
        <v>7</v>
      </c>
      <c r="AI373" s="221">
        <f t="shared" si="145"/>
        <v>1.9938165159249028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46017</v>
      </c>
      <c r="B374" s="406">
        <f>'2024'!Wh/'2024'!Env_an*'2025'!Env_an</f>
        <v>14.923605125823936</v>
      </c>
      <c r="C374" s="385"/>
      <c r="D374" s="388">
        <f t="shared" si="127"/>
        <v>15.232169877192742</v>
      </c>
      <c r="E374" s="380">
        <f t="shared" si="150"/>
        <v>15.476065071578555</v>
      </c>
      <c r="F374" s="380">
        <f t="shared" si="128"/>
        <v>15.650271547079177</v>
      </c>
      <c r="G374" s="110">
        <f t="shared" si="151"/>
        <v>0.91508703809933023</v>
      </c>
      <c r="H374" s="409" t="b">
        <f>Wh_hp&gt;='2024'!Maxi_hp</f>
        <v>0</v>
      </c>
      <c r="I374" s="375">
        <f>IF(H374,Wh_hp,'2024'!Maxi_hp)</f>
        <v>15.668548082708286</v>
      </c>
      <c r="J374" s="85">
        <f>IF(H374,An,'2024'!An_max)</f>
        <v>2022</v>
      </c>
      <c r="K374" s="193">
        <f t="shared" si="129"/>
        <v>46017</v>
      </c>
      <c r="L374" s="143">
        <f>IF(t&lt;Tvie,1-EXP((T0-t)*PertePVj)+'2024'!Pspv,1-EXP((T0-t)*PertePVj)+Pspv)</f>
        <v>2.0257438950364026E-2</v>
      </c>
      <c r="M374" s="836"/>
      <c r="N374" s="836"/>
      <c r="O374" s="48">
        <f>IF(t&lt;Tnet,'2024'!Resal+('2024'!Salim-'2024'!Resal)*(1-EXP(('2024'!Tnet-t)/('2024'!Tau_j))),Resal+(Salim-Resal)*(1-EXP((Tnet-t)/(Tau_j))))*Salcycl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1.2639160237756249E-2</v>
      </c>
      <c r="Q374" s="301">
        <f t="shared" si="130"/>
        <v>0.5</v>
      </c>
      <c r="R374" s="173">
        <f t="shared" si="131"/>
        <v>0.99381651592490283</v>
      </c>
      <c r="S374" s="802">
        <f t="shared" si="132"/>
        <v>1</v>
      </c>
      <c r="T374" s="172">
        <f t="shared" si="133"/>
        <v>7</v>
      </c>
      <c r="U374" s="247">
        <f t="shared" si="134"/>
        <v>1.9938165159249028</v>
      </c>
      <c r="V374" s="378">
        <f t="shared" si="135"/>
        <v>16.28353058256161</v>
      </c>
      <c r="W374" s="397">
        <f t="shared" si="136"/>
        <v>14.923605125823936</v>
      </c>
      <c r="X374" s="153">
        <f t="shared" si="137"/>
        <v>46017</v>
      </c>
      <c r="Y374" s="380">
        <f t="shared" si="138"/>
        <v>14.448674524174377</v>
      </c>
      <c r="Z374" s="380">
        <f t="shared" si="139"/>
        <v>14.747419473841124</v>
      </c>
      <c r="AA374" s="381">
        <f t="shared" si="140"/>
        <v>15.476065071578555</v>
      </c>
      <c r="AB374" s="193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4.7082097055508844E-2</v>
      </c>
      <c r="AD374" s="227">
        <f>(INDEX(Models!$BJ374:$BT374,,AH374)*(1-AF374)+INDEX(Models!$BJ374:$BT374,,AH374+1)*AF374-ERP_i)*AE374*Ramure*Pc/MaxiM</f>
        <v>1.2639160237756249E-2</v>
      </c>
      <c r="AE374" s="301">
        <f t="shared" si="142"/>
        <v>0.5</v>
      </c>
      <c r="AF374" s="173">
        <f t="shared" si="143"/>
        <v>0.99381651592490283</v>
      </c>
      <c r="AG374" s="802">
        <f t="shared" si="149"/>
        <v>1</v>
      </c>
      <c r="AH374" s="172">
        <f t="shared" si="144"/>
        <v>7</v>
      </c>
      <c r="AI374" s="221">
        <f t="shared" si="145"/>
        <v>1.9938165159249028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46018</v>
      </c>
      <c r="B375" s="406">
        <f>'2024'!Wh/'2024'!Env_an*'2025'!Env_an</f>
        <v>6.4229226451523109</v>
      </c>
      <c r="C375" s="385"/>
      <c r="D375" s="388">
        <f t="shared" si="127"/>
        <v>6.5558145844884068</v>
      </c>
      <c r="E375" s="380">
        <f t="shared" si="150"/>
        <v>6.6611761578321813</v>
      </c>
      <c r="F375" s="380">
        <f t="shared" si="128"/>
        <v>6.6722002834058154</v>
      </c>
      <c r="G375" s="110">
        <f t="shared" si="151"/>
        <v>0.3880584176892603</v>
      </c>
      <c r="H375" s="409" t="b">
        <f>Wh_hp&gt;='2024'!Maxi_hp</f>
        <v>0</v>
      </c>
      <c r="I375" s="375">
        <f>IF(H375,Wh_hp,'2024'!Maxi_hp)</f>
        <v>6.728249126275637</v>
      </c>
      <c r="J375" s="85">
        <f>IF(H375,An,'2024'!An_max)</f>
        <v>2022</v>
      </c>
      <c r="K375" s="193">
        <f t="shared" si="129"/>
        <v>46018</v>
      </c>
      <c r="L375" s="143">
        <f>IF(t&lt;Tvie,1-EXP((T0-t)*PertePVj)+'2024'!Pspv,1-EXP((T0-t)*PertePVj)+Pspv)</f>
        <v>2.0270850803274509E-2</v>
      </c>
      <c r="M375" s="836"/>
      <c r="N375" s="836"/>
      <c r="O375" s="48">
        <f>IF(t&lt;Tnet,'2024'!Resal+('2024'!Salim-'2024'!Resal)*(1-EXP(('2024'!Tnet-t)/('2024'!Tau_j))),Resal+(Salim-Resal)*(1-EXP((Tnet-t)/(Tau_j))))*Salcycl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1.2526283888144573E-2</v>
      </c>
      <c r="Q375" s="301">
        <f t="shared" si="130"/>
        <v>0.5</v>
      </c>
      <c r="R375" s="173">
        <f t="shared" si="131"/>
        <v>0.99381651592490283</v>
      </c>
      <c r="S375" s="802">
        <f t="shared" si="132"/>
        <v>1</v>
      </c>
      <c r="T375" s="172">
        <f t="shared" si="133"/>
        <v>7</v>
      </c>
      <c r="U375" s="247">
        <f t="shared" si="134"/>
        <v>1.9938165159249028</v>
      </c>
      <c r="V375" s="378">
        <f t="shared" si="135"/>
        <v>16.371153597766671</v>
      </c>
      <c r="W375" s="397">
        <f t="shared" si="136"/>
        <v>6.4229226451523109</v>
      </c>
      <c r="X375" s="153">
        <f t="shared" si="137"/>
        <v>46018</v>
      </c>
      <c r="Y375" s="380">
        <f t="shared" si="138"/>
        <v>6.2187056647212442</v>
      </c>
      <c r="Z375" s="380">
        <f t="shared" si="139"/>
        <v>6.3473723016406387</v>
      </c>
      <c r="AA375" s="381">
        <f t="shared" si="140"/>
        <v>6.6611761578321813</v>
      </c>
      <c r="AB375" s="193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4.7109376595989481E-2</v>
      </c>
      <c r="AD375" s="227">
        <f>(INDEX(Models!$BJ375:$BT375,,AH375)*(1-AF375)+INDEX(Models!$BJ375:$BT375,,AH375+1)*AF375-ERP_i)*AE375*Ramure*Pc/MaxiM</f>
        <v>1.2526283888144573E-2</v>
      </c>
      <c r="AE375" s="301">
        <f t="shared" si="142"/>
        <v>0.5</v>
      </c>
      <c r="AF375" s="173">
        <f t="shared" si="143"/>
        <v>0.99381651592490283</v>
      </c>
      <c r="AG375" s="802">
        <f t="shared" si="149"/>
        <v>1</v>
      </c>
      <c r="AH375" s="172">
        <f t="shared" si="144"/>
        <v>7</v>
      </c>
      <c r="AI375" s="221">
        <f t="shared" si="145"/>
        <v>1.9938165159249028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46019</v>
      </c>
      <c r="B376" s="406">
        <f>'2024'!Wh/'2024'!Env_an*'2025'!Env_an</f>
        <v>13.15607499254331</v>
      </c>
      <c r="C376" s="385"/>
      <c r="D376" s="388">
        <f t="shared" si="127"/>
        <v>13.428461428767452</v>
      </c>
      <c r="E376" s="380">
        <f t="shared" si="150"/>
        <v>13.645077355691217</v>
      </c>
      <c r="F376" s="380">
        <f t="shared" si="128"/>
        <v>13.766693306530071</v>
      </c>
      <c r="G376" s="110">
        <f t="shared" si="151"/>
        <v>0.79558183906407631</v>
      </c>
      <c r="H376" s="409" t="b">
        <f>Wh_hp&gt;='2024'!Maxi_hp</f>
        <v>0</v>
      </c>
      <c r="I376" s="375">
        <f>IF(H376,Wh_hp,'2024'!Maxi_hp)</f>
        <v>13.804733458354512</v>
      </c>
      <c r="J376" s="85">
        <f>IF(H376,An,'2024'!An_max)</f>
        <v>2022</v>
      </c>
      <c r="K376" s="193">
        <f t="shared" si="129"/>
        <v>46019</v>
      </c>
      <c r="L376" s="143">
        <f>IF(t&lt;Tvie,1-EXP((T0-t)*PertePVj)+'2024'!Pspv,1-EXP((T0-t)*PertePVj)+Pspv)</f>
        <v>2.0284262472587966E-2</v>
      </c>
      <c r="M376" s="836"/>
      <c r="N376" s="836"/>
      <c r="O376" s="48">
        <f>IF(t&lt;Tnet,'2024'!Resal+('2024'!Salim-'2024'!Resal)*(1-EXP(('2024'!Tnet-t)/('2024'!Tau_j))),Resal+(Salim-Resal)*(1-EXP((Tnet-t)/(Tau_j))))*Salcycl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1.2405928975554118E-2</v>
      </c>
      <c r="Q376" s="301">
        <f t="shared" si="130"/>
        <v>0.5</v>
      </c>
      <c r="R376" s="173">
        <f t="shared" si="131"/>
        <v>0.99381651592490283</v>
      </c>
      <c r="S376" s="802">
        <f t="shared" si="132"/>
        <v>1</v>
      </c>
      <c r="T376" s="172">
        <f t="shared" si="133"/>
        <v>7</v>
      </c>
      <c r="U376" s="247">
        <f t="shared" si="134"/>
        <v>1.9938165159249028</v>
      </c>
      <c r="V376" s="378">
        <f t="shared" si="135"/>
        <v>16.476827266147986</v>
      </c>
      <c r="W376" s="397">
        <f t="shared" si="136"/>
        <v>13.15607499254331</v>
      </c>
      <c r="X376" s="153">
        <f t="shared" si="137"/>
        <v>46019</v>
      </c>
      <c r="Y376" s="380">
        <f t="shared" si="138"/>
        <v>12.738157905134759</v>
      </c>
      <c r="Z376" s="380">
        <f t="shared" si="139"/>
        <v>13.001891688790343</v>
      </c>
      <c r="AA376" s="381">
        <f t="shared" si="140"/>
        <v>13.645077355691217</v>
      </c>
      <c r="AB376" s="193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4.7136828186071698E-2</v>
      </c>
      <c r="AD376" s="227">
        <f>(INDEX(Models!$BJ376:$BT376,,AH376)*(1-AF376)+INDEX(Models!$BJ376:$BT376,,AH376+1)*AF376-ERP_i)*AE376*Ramure*Pc/MaxiM</f>
        <v>1.2405928975554118E-2</v>
      </c>
      <c r="AE376" s="301">
        <f t="shared" si="142"/>
        <v>0.5</v>
      </c>
      <c r="AF376" s="173">
        <f t="shared" si="143"/>
        <v>0.99381651592490283</v>
      </c>
      <c r="AG376" s="802">
        <f t="shared" si="149"/>
        <v>1</v>
      </c>
      <c r="AH376" s="172">
        <f t="shared" si="144"/>
        <v>7</v>
      </c>
      <c r="AI376" s="221">
        <f t="shared" si="145"/>
        <v>1.9938165159249028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46020</v>
      </c>
      <c r="B377" s="406">
        <f>'2024'!Wh/'2024'!Env_an*'2025'!Env_an</f>
        <v>10.02450405096848</v>
      </c>
      <c r="C377" s="385"/>
      <c r="D377" s="388">
        <f t="shared" si="127"/>
        <v>10.232193784280009</v>
      </c>
      <c r="E377" s="380">
        <f t="shared" si="150"/>
        <v>10.39786067994215</v>
      </c>
      <c r="F377" s="380">
        <f t="shared" si="128"/>
        <v>10.453594718713118</v>
      </c>
      <c r="G377" s="110">
        <f t="shared" si="151"/>
        <v>0.59970561493405605</v>
      </c>
      <c r="H377" s="409" t="b">
        <f>Wh_hp&gt;='2024'!Maxi_hp</f>
        <v>0</v>
      </c>
      <c r="I377" s="375">
        <f>IF(H377,Wh_hp,'2024'!Maxi_hp)</f>
        <v>10.509716295214137</v>
      </c>
      <c r="J377" s="85">
        <f>IF(H377,An,'2024'!An_max)</f>
        <v>2022</v>
      </c>
      <c r="K377" s="193">
        <f t="shared" si="129"/>
        <v>46020</v>
      </c>
      <c r="L377" s="143">
        <f>IF(t&lt;Tvie,1-EXP((T0-t)*PertePVj)+'2024'!Pspv,1-EXP((T0-t)*PertePVj)+Pspv)</f>
        <v>2.0297673958306839E-2</v>
      </c>
      <c r="M377" s="836"/>
      <c r="N377" s="836"/>
      <c r="O377" s="48">
        <f>IF(t&lt;Tnet,'2024'!Resal+('2024'!Salim-'2024'!Resal)*(1-EXP(('2024'!Tnet-t)/('2024'!Tau_j))),Resal+(Salim-Resal)*(1-EXP((Tnet-t)/(Tau_j))))*Salcycl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1.2279693980730619E-2</v>
      </c>
      <c r="Q377" s="301">
        <f t="shared" si="130"/>
        <v>0.5</v>
      </c>
      <c r="R377" s="173">
        <f t="shared" si="131"/>
        <v>0.99381651592490283</v>
      </c>
      <c r="S377" s="802">
        <f t="shared" si="132"/>
        <v>1</v>
      </c>
      <c r="T377" s="172">
        <f t="shared" si="133"/>
        <v>7</v>
      </c>
      <c r="U377" s="247">
        <f t="shared" si="134"/>
        <v>1.9938165159249028</v>
      </c>
      <c r="V377" s="378">
        <f t="shared" si="135"/>
        <v>16.598942767831581</v>
      </c>
      <c r="W377" s="397">
        <f t="shared" si="136"/>
        <v>10.02450405096848</v>
      </c>
      <c r="X377" s="153">
        <f t="shared" si="137"/>
        <v>46020</v>
      </c>
      <c r="Y377" s="380">
        <f t="shared" si="138"/>
        <v>9.7063532631128933</v>
      </c>
      <c r="Z377" s="380">
        <f t="shared" si="139"/>
        <v>9.907451483074075</v>
      </c>
      <c r="AA377" s="381">
        <f t="shared" si="140"/>
        <v>10.39786067994215</v>
      </c>
      <c r="AB377" s="193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4.7164432373487469E-2</v>
      </c>
      <c r="AD377" s="227">
        <f>(INDEX(Models!$BJ377:$BT377,,AH377)*(1-AF377)+INDEX(Models!$BJ377:$BT377,,AH377+1)*AF377-ERP_i)*AE377*Ramure*Pc/MaxiM</f>
        <v>1.2279693980730619E-2</v>
      </c>
      <c r="AE377" s="301">
        <f t="shared" si="142"/>
        <v>0.5</v>
      </c>
      <c r="AF377" s="173">
        <f t="shared" si="143"/>
        <v>0.99381651592490283</v>
      </c>
      <c r="AG377" s="802">
        <f t="shared" si="149"/>
        <v>1</v>
      </c>
      <c r="AH377" s="172">
        <f t="shared" si="144"/>
        <v>7</v>
      </c>
      <c r="AI377" s="221">
        <f t="shared" si="145"/>
        <v>1.9938165159249028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46021</v>
      </c>
      <c r="B378" s="406">
        <f>'2024'!Wh/'2024'!Env_an*'2025'!Env_an</f>
        <v>12.011456248471051</v>
      </c>
      <c r="C378" s="385"/>
      <c r="D378" s="388">
        <f t="shared" si="127"/>
        <v>12.260479901075634</v>
      </c>
      <c r="E378" s="380">
        <f t="shared" si="150"/>
        <v>12.45971758712637</v>
      </c>
      <c r="F378" s="380">
        <f t="shared" si="128"/>
        <v>12.550706064684492</v>
      </c>
      <c r="G378" s="110">
        <f t="shared" si="151"/>
        <v>0.71416433153322434</v>
      </c>
      <c r="H378" s="409" t="b">
        <f>Wh_hp&gt;='2024'!Maxi_hp</f>
        <v>0</v>
      </c>
      <c r="I378" s="375">
        <f>IF(H378,Wh_hp,'2024'!Maxi_hp)</f>
        <v>12.598220111558174</v>
      </c>
      <c r="J378" s="85">
        <f>IF(H378,An,'2024'!An_max)</f>
        <v>2022</v>
      </c>
      <c r="K378" s="193">
        <f t="shared" si="129"/>
        <v>46021</v>
      </c>
      <c r="L378" s="143">
        <f>IF(t&lt;Tvie,1-EXP((T0-t)*PertePVj)+'2024'!Pspv,1-EXP((T0-t)*PertePVj)+Pspv)</f>
        <v>2.0311085260433903E-2</v>
      </c>
      <c r="M378" s="836"/>
      <c r="N378" s="836"/>
      <c r="O378" s="48">
        <f>IF(t&lt;Tnet,'2024'!Resal+('2024'!Salim-'2024'!Resal)*(1-EXP(('2024'!Tnet-t)/('2024'!Tau_j))),Resal+(Salim-Resal)*(1-EXP((Tnet-t)/(Tau_j))))*Salcycl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1.2149129666097623E-2</v>
      </c>
      <c r="Q378" s="301">
        <f t="shared" si="130"/>
        <v>0.5</v>
      </c>
      <c r="R378" s="173">
        <f t="shared" si="131"/>
        <v>0.99381651592490283</v>
      </c>
      <c r="S378" s="802">
        <f t="shared" si="132"/>
        <v>1</v>
      </c>
      <c r="T378" s="172">
        <f t="shared" si="133"/>
        <v>7</v>
      </c>
      <c r="U378" s="247">
        <f t="shared" si="134"/>
        <v>1.9938165159249028</v>
      </c>
      <c r="V378" s="378">
        <f t="shared" si="135"/>
        <v>16.735891614190422</v>
      </c>
      <c r="W378" s="397">
        <f t="shared" si="136"/>
        <v>12.011456248471051</v>
      </c>
      <c r="X378" s="153">
        <f t="shared" si="137"/>
        <v>46021</v>
      </c>
      <c r="Y378" s="380">
        <f t="shared" si="138"/>
        <v>11.630589017652422</v>
      </c>
      <c r="Z378" s="380">
        <f t="shared" si="139"/>
        <v>11.871716462918457</v>
      </c>
      <c r="AA378" s="381">
        <f t="shared" si="140"/>
        <v>12.45971758712637</v>
      </c>
      <c r="AB378" s="193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4.7192171098279743E-2</v>
      </c>
      <c r="AD378" s="227">
        <f>(INDEX(Models!$BJ378:$BT378,,AH378)*(1-AF378)+INDEX(Models!$BJ378:$BT378,,AH378+1)*AF378-ERP_i)*AE378*Ramure*Pc/MaxiM</f>
        <v>1.2149129666097623E-2</v>
      </c>
      <c r="AE378" s="301">
        <f t="shared" si="142"/>
        <v>0.5</v>
      </c>
      <c r="AF378" s="173">
        <f t="shared" si="143"/>
        <v>0.99381651592490283</v>
      </c>
      <c r="AG378" s="802">
        <f t="shared" si="149"/>
        <v>1</v>
      </c>
      <c r="AH378" s="172">
        <f t="shared" si="144"/>
        <v>7</v>
      </c>
      <c r="AI378" s="221">
        <f t="shared" si="145"/>
        <v>1.9938165159249028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46022</v>
      </c>
      <c r="B379" s="406">
        <f>'2024'!Wh/'2024'!Env_an*'2025'!Env_an</f>
        <v>10.92255179139492</v>
      </c>
      <c r="C379" s="385"/>
      <c r="D379" s="388">
        <f t="shared" si="127"/>
        <v>11.149152705179949</v>
      </c>
      <c r="E379" s="380">
        <f t="shared" si="150"/>
        <v>11.330995886289415</v>
      </c>
      <c r="F379" s="380">
        <f t="shared" si="128"/>
        <v>11.39885998982494</v>
      </c>
      <c r="G379" s="110">
        <f t="shared" si="151"/>
        <v>0.64289346425337912</v>
      </c>
      <c r="H379" s="409" t="b">
        <f>Wh_hp&gt;='2024'!Maxi_hp</f>
        <v>0</v>
      </c>
      <c r="I379" s="375">
        <f>IF(H379,Wh_hp,'2024'!Maxi_hp)</f>
        <v>11.452210730428593</v>
      </c>
      <c r="J379" s="85">
        <f>IF(H379,An,'2024'!An_max)</f>
        <v>2022</v>
      </c>
      <c r="K379" s="193">
        <f t="shared" si="129"/>
        <v>46022</v>
      </c>
      <c r="L379" s="143">
        <f>IF(t&lt;Tvie,1-EXP((T0-t)*PertePVj)+'2024'!Pspv,1-EXP((T0-t)*PertePVj)+Pspv)</f>
        <v>2.032449637897138E-2</v>
      </c>
      <c r="M379" s="836"/>
      <c r="N379" s="836"/>
      <c r="O379" s="48">
        <f>IF(t&lt;Tnet,'2024'!Resal+('2024'!Salim-'2024'!Resal)*(1-EXP(('2024'!Tnet-t)/('2024'!Tau_j))),Resal+(Salim-Resal)*(1-EXP((Tnet-t)/(Tau_j))))*Salcycl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1.2015721449051274E-2</v>
      </c>
      <c r="Q379" s="302">
        <f t="shared" si="130"/>
        <v>0.5</v>
      </c>
      <c r="R379" s="173">
        <f t="shared" si="131"/>
        <v>0.99381651592490283</v>
      </c>
      <c r="S379" s="802">
        <f t="shared" si="132"/>
        <v>1</v>
      </c>
      <c r="T379" s="172">
        <f t="shared" si="133"/>
        <v>7</v>
      </c>
      <c r="U379" s="303">
        <f t="shared" si="134"/>
        <v>1.9938165159249028</v>
      </c>
      <c r="V379" s="378">
        <f t="shared" si="135"/>
        <v>16.886065646582001</v>
      </c>
      <c r="W379" s="397">
        <f t="shared" si="136"/>
        <v>10.92255179139492</v>
      </c>
      <c r="X379" s="153">
        <f t="shared" si="137"/>
        <v>46022</v>
      </c>
      <c r="Y379" s="380">
        <f t="shared" si="138"/>
        <v>10.576523782062514</v>
      </c>
      <c r="Z379" s="380">
        <f t="shared" si="139"/>
        <v>10.795945946356815</v>
      </c>
      <c r="AA379" s="381">
        <f t="shared" si="140"/>
        <v>11.330995886289415</v>
      </c>
      <c r="AB379" s="193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4.7220027727661082E-2</v>
      </c>
      <c r="AD379" s="227">
        <f>(INDEX(Models!$BJ379:$BT379,,AH379)*(1-AF379)+INDEX(Models!$BJ379:$BT379,,AH379+1)*AF379-ERP_i)*AE379*Ramure*Pc/MaxiM</f>
        <v>1.2015721449051274E-2</v>
      </c>
      <c r="AE379" s="302">
        <f t="shared" si="142"/>
        <v>0.5</v>
      </c>
      <c r="AF379" s="173">
        <f t="shared" si="143"/>
        <v>0.99381651592490283</v>
      </c>
      <c r="AG379" s="802">
        <f t="shared" si="149"/>
        <v>1</v>
      </c>
      <c r="AH379" s="172">
        <f t="shared" si="144"/>
        <v>7</v>
      </c>
      <c r="AI379" s="218">
        <f t="shared" si="145"/>
        <v>1.9938165159249028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708"/>
      <c r="C380" s="389"/>
      <c r="D380" s="396"/>
      <c r="E380" s="382"/>
      <c r="F380" s="382"/>
      <c r="G380" s="122"/>
      <c r="H380" s="409" t="b">
        <f>Wh_hp&gt;='2024'!Maxi_hp</f>
        <v>0</v>
      </c>
      <c r="I380" s="375">
        <f>IF(H380,Wh_hp,'2024'!Maxi_hp)</f>
        <v>12.79301018817635</v>
      </c>
      <c r="J380" s="85">
        <f>IF(H380,An,'2024'!An_max)</f>
        <v>2024</v>
      </c>
      <c r="K380" s="230"/>
      <c r="L380" s="210"/>
      <c r="M380" s="841"/>
      <c r="N380" s="841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1.5430700149724919E-2</v>
      </c>
      <c r="M381" s="838"/>
      <c r="N381" s="838"/>
      <c r="O381" s="47">
        <f t="shared" si="152"/>
        <v>0</v>
      </c>
      <c r="P381" s="164">
        <f t="shared" si="152"/>
        <v>2.4509350596486175E-6</v>
      </c>
      <c r="Q381" s="306">
        <f t="shared" si="152"/>
        <v>0.5</v>
      </c>
      <c r="R381" s="307">
        <f t="shared" si="152"/>
        <v>0.49381778896107398</v>
      </c>
      <c r="S381" s="802">
        <f t="shared" si="152"/>
        <v>1</v>
      </c>
      <c r="T381" s="172">
        <f t="shared" si="152"/>
        <v>7</v>
      </c>
      <c r="U381" s="248">
        <f>+MIN(U15:U380)</f>
        <v>1.493817788961074</v>
      </c>
      <c r="V381" s="57">
        <f>MIN(V15:V380)</f>
        <v>16.13794547763699</v>
      </c>
      <c r="W381" s="58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3.9395213726602998E-2</v>
      </c>
      <c r="AD381" s="164">
        <f t="shared" si="153"/>
        <v>2.4509350596486175E-6</v>
      </c>
      <c r="AE381" s="306">
        <f t="shared" si="153"/>
        <v>0.5</v>
      </c>
      <c r="AF381" s="307">
        <f t="shared" si="153"/>
        <v>0.49381778896107398</v>
      </c>
      <c r="AG381" s="802">
        <f t="shared" si="153"/>
        <v>1</v>
      </c>
      <c r="AH381" s="172">
        <f t="shared" si="153"/>
        <v>7</v>
      </c>
      <c r="AI381" s="222">
        <f>MIN(AI15:AI380)</f>
        <v>1.493817788961074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30.859645522067442</v>
      </c>
      <c r="C382" s="370"/>
      <c r="D382" s="370">
        <f>AVERAGE(D15:D380)</f>
        <v>31.420176509527934</v>
      </c>
      <c r="E382" s="370">
        <f>AVERAGE(E15:E380)</f>
        <v>31.8693128743332</v>
      </c>
      <c r="F382" s="371">
        <f>AVERAGE(F15:F380)</f>
        <v>31.893584398876094</v>
      </c>
      <c r="G382" s="126">
        <f>AVERAGE(G15:G380)</f>
        <v>0.69522162872425564</v>
      </c>
      <c r="H382" s="94"/>
      <c r="I382" s="371">
        <f>AVERAGE(I15:I380)</f>
        <v>31.852969695892629</v>
      </c>
      <c r="J382" s="59">
        <f>AVERAGE(J15:J380)</f>
        <v>2022.295081967213</v>
      </c>
      <c r="K382" s="196" t="s">
        <v>8</v>
      </c>
      <c r="L382" s="143">
        <f t="shared" ref="L382:V382" si="154">AVERAGE(L15:L380)</f>
        <v>1.78796247841931E-2</v>
      </c>
      <c r="M382" s="836"/>
      <c r="N382" s="836"/>
      <c r="O382" s="48">
        <f t="shared" si="154"/>
        <v>1.7721514073499534E-2</v>
      </c>
      <c r="P382" s="165">
        <f t="shared" si="154"/>
        <v>2.9215229912012653E-3</v>
      </c>
      <c r="Q382" s="308">
        <f t="shared" si="154"/>
        <v>0.5</v>
      </c>
      <c r="R382" s="173">
        <f t="shared" si="154"/>
        <v>0.77370138596021765</v>
      </c>
      <c r="S382" s="802">
        <f t="shared" si="154"/>
        <v>1</v>
      </c>
      <c r="T382" s="172">
        <f t="shared" si="154"/>
        <v>7</v>
      </c>
      <c r="U382" s="247">
        <f t="shared" si="154"/>
        <v>1.7737013859602175</v>
      </c>
      <c r="V382" s="59">
        <f t="shared" si="154"/>
        <v>42.430061308764316</v>
      </c>
      <c r="X382" s="112" t="s">
        <v>8</v>
      </c>
      <c r="Y382" s="370">
        <f>AVERAGE(Y15:Y380)</f>
        <v>29.854668097422838</v>
      </c>
      <c r="Z382" s="370">
        <f>AVERAGE(Z15:Z380)</f>
        <v>30.396761387541456</v>
      </c>
      <c r="AA382" s="370">
        <f>AVERAGE(AA15:AA380)</f>
        <v>31.8693128743332</v>
      </c>
      <c r="AB382" s="196" t="s">
        <v>8</v>
      </c>
      <c r="AC382" s="48">
        <f t="shared" ref="AC382:AH382" si="155">AVERAGE(AC15:AC380)</f>
        <v>4.7398310975091597E-2</v>
      </c>
      <c r="AD382" s="165">
        <f t="shared" si="155"/>
        <v>2.9215229912012653E-3</v>
      </c>
      <c r="AE382" s="308">
        <f t="shared" si="155"/>
        <v>0.5</v>
      </c>
      <c r="AF382" s="173">
        <f t="shared" si="155"/>
        <v>0.77370138596021765</v>
      </c>
      <c r="AG382" s="802">
        <f t="shared" si="155"/>
        <v>1</v>
      </c>
      <c r="AH382" s="172">
        <f t="shared" si="155"/>
        <v>7</v>
      </c>
      <c r="AI382" s="221">
        <f>AVERAGE(AI15:AI380)</f>
        <v>1.7737013859602175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66.227626745689264</v>
      </c>
      <c r="C383" s="372"/>
      <c r="D383" s="372">
        <f>MAX(D15:D380)</f>
        <v>67.429686805610743</v>
      </c>
      <c r="E383" s="372">
        <f>MAX(E15:E380)</f>
        <v>67.727086069879462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60">
        <f>MAX(J15:J380)</f>
        <v>2025</v>
      </c>
      <c r="K383" s="196" t="s">
        <v>9</v>
      </c>
      <c r="L383" s="144">
        <f t="shared" ref="L383:T383" si="156">MAX(L15:L380)</f>
        <v>2.032449637897138E-2</v>
      </c>
      <c r="M383" s="839"/>
      <c r="N383" s="839"/>
      <c r="O383" s="49">
        <f t="shared" si="156"/>
        <v>3.9337621462875547E-2</v>
      </c>
      <c r="P383" s="166">
        <f t="shared" si="156"/>
        <v>1.2892026368868296E-2</v>
      </c>
      <c r="Q383" s="309">
        <f t="shared" si="156"/>
        <v>0.5</v>
      </c>
      <c r="R383" s="310">
        <f t="shared" si="156"/>
        <v>0.99381651592490283</v>
      </c>
      <c r="S383" s="803">
        <f t="shared" si="156"/>
        <v>1</v>
      </c>
      <c r="T383" s="229">
        <f t="shared" si="156"/>
        <v>7</v>
      </c>
      <c r="U383" s="249">
        <f>+MAX(U15:U380)</f>
        <v>1.9938165159249028</v>
      </c>
      <c r="V383" s="60">
        <f>MAX(V15:V380)</f>
        <v>63.887095799874281</v>
      </c>
      <c r="X383" s="112" t="s">
        <v>9</v>
      </c>
      <c r="Y383" s="372">
        <f>MAX(Y15:Y380)</f>
        <v>63.657750178656322</v>
      </c>
      <c r="Z383" s="372">
        <f>MAX(Z15:Z380)</f>
        <v>64.813165867762265</v>
      </c>
      <c r="AA383" s="372">
        <f>MAX(AA15:AA380)</f>
        <v>67.727086069879462</v>
      </c>
      <c r="AB383" s="196" t="s">
        <v>9</v>
      </c>
      <c r="AC383" s="49">
        <f t="shared" ref="AC383:AH383" si="157">MAX(AC15:AC380)</f>
        <v>5.512323276550838E-2</v>
      </c>
      <c r="AD383" s="166">
        <f t="shared" si="157"/>
        <v>1.2892026368868296E-2</v>
      </c>
      <c r="AE383" s="309">
        <f t="shared" si="157"/>
        <v>0.5</v>
      </c>
      <c r="AF383" s="310">
        <f t="shared" si="157"/>
        <v>0.99381651592490283</v>
      </c>
      <c r="AG383" s="803">
        <f t="shared" si="157"/>
        <v>1</v>
      </c>
      <c r="AH383" s="229">
        <f t="shared" si="157"/>
        <v>7</v>
      </c>
      <c r="AI383" s="223">
        <f>MAX(AI15:AI380)</f>
        <v>1.9938165159249028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0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49">
        <f>'2025'!An+1</f>
        <v>2026</v>
      </c>
      <c r="K1" s="1250"/>
      <c r="L1" s="113" t="str">
        <f>"Calcul pertes et enveloppes en "&amp;TEXT(An,0)</f>
        <v>Calcul pertes et enveloppes en 2026</v>
      </c>
      <c r="M1" s="239"/>
      <c r="N1" s="239"/>
      <c r="V1" s="452"/>
      <c r="W1" s="450"/>
      <c r="X1" s="481" t="str">
        <f>"Prévision sans nettoyage ni taille végétation en "&amp;TEXT(An,0)</f>
        <v>Prévision sans nettoyage ni taille végétation en 2026</v>
      </c>
      <c r="Y1" s="482"/>
      <c r="Z1" s="483"/>
      <c r="AA1" s="484"/>
      <c r="AB1" s="485"/>
      <c r="AC1" s="486"/>
      <c r="AD1" s="486"/>
      <c r="AE1" s="486"/>
      <c r="AF1" s="486"/>
      <c r="AG1" s="486"/>
      <c r="AH1" s="486"/>
      <c r="AI1" s="486"/>
      <c r="AL1" s="820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8" t="s">
        <v>24</v>
      </c>
      <c r="P2" s="18"/>
      <c r="Q2" s="781"/>
      <c r="R2" s="18"/>
      <c r="S2" s="489"/>
      <c r="T2" s="489"/>
      <c r="U2" s="290" t="s">
        <v>79</v>
      </c>
      <c r="V2" s="490">
        <f>PertePVan</f>
        <v>5.0000000000000001E-3</v>
      </c>
      <c r="W2" s="444" t="s">
        <v>14</v>
      </c>
      <c r="X2" s="491"/>
      <c r="Y2" s="492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826" t="s">
        <v>259</v>
      </c>
      <c r="AK2" s="826" t="s">
        <v>261</v>
      </c>
      <c r="AL2" s="826" t="s">
        <v>260</v>
      </c>
      <c r="AM2" s="826" t="s">
        <v>262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59">
        <f>Tmaj</f>
        <v>44926</v>
      </c>
      <c r="F3" s="1259"/>
      <c r="G3" s="8"/>
      <c r="H3" s="26"/>
      <c r="I3" s="6"/>
      <c r="J3" s="34"/>
      <c r="K3" s="187"/>
      <c r="L3" s="54"/>
      <c r="M3" s="34"/>
      <c r="N3" s="34"/>
      <c r="O3" s="495"/>
      <c r="P3" s="34"/>
      <c r="Q3" s="495"/>
      <c r="R3" s="34"/>
      <c r="S3" s="507"/>
      <c r="T3" s="444"/>
      <c r="U3" s="205" t="s">
        <v>166</v>
      </c>
      <c r="V3" s="623">
        <f>Salim_i</f>
        <v>0.08</v>
      </c>
      <c r="W3" s="444"/>
      <c r="X3" s="496" t="s">
        <v>96</v>
      </c>
      <c r="Y3" s="497"/>
      <c r="Z3" s="498"/>
      <c r="AA3" s="492"/>
      <c r="AB3" s="492"/>
      <c r="AC3" s="422"/>
      <c r="AD3" s="422"/>
      <c r="AE3" s="422"/>
      <c r="AF3" s="422"/>
      <c r="AG3" s="422"/>
      <c r="AH3" s="422"/>
      <c r="AI3" s="422"/>
      <c r="AJ3" s="824">
        <f>AL11-AJ11</f>
        <v>0</v>
      </c>
      <c r="AK3" s="825">
        <f>AM11-AK11</f>
        <v>0</v>
      </c>
      <c r="AL3" s="824"/>
      <c r="AM3" s="825"/>
      <c r="AN3" s="823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0" t="str">
        <f>Station</f>
        <v>S.D.I.S. Montgiscard</v>
      </c>
      <c r="F4" s="1191"/>
      <c r="G4" s="1191"/>
      <c r="H4" s="1191"/>
      <c r="I4" s="1192"/>
      <c r="J4" s="154"/>
      <c r="K4" s="187"/>
      <c r="L4" s="500"/>
      <c r="M4" s="499"/>
      <c r="N4" s="499"/>
      <c r="O4" s="422"/>
      <c r="P4" s="34"/>
      <c r="Q4" s="499"/>
      <c r="R4" s="34"/>
      <c r="S4" s="489"/>
      <c r="T4" s="404"/>
      <c r="U4" s="291" t="s">
        <v>82</v>
      </c>
      <c r="V4" s="622">
        <f>Persistant</f>
        <v>0.6</v>
      </c>
      <c r="W4" s="502" t="s">
        <v>54</v>
      </c>
      <c r="X4" s="503"/>
      <c r="Y4" s="504"/>
      <c r="Z4" s="505" t="s">
        <v>27</v>
      </c>
      <c r="AA4" s="506" t="s">
        <v>28</v>
      </c>
      <c r="AB4" s="499"/>
      <c r="AC4" s="422"/>
      <c r="AD4" s="422"/>
      <c r="AE4" s="422"/>
      <c r="AF4" s="422"/>
      <c r="AG4" s="422"/>
      <c r="AH4" s="422"/>
      <c r="AI4" s="422"/>
      <c r="AJ4" s="824">
        <f>AL12-AJ12</f>
        <v>309.78825983843274</v>
      </c>
      <c r="AK4" s="825">
        <f>AM12-AK12</f>
        <v>-0.31128484231866871</v>
      </c>
      <c r="AL4" s="824"/>
      <c r="AM4" s="825"/>
      <c r="AN4" s="823" t="s">
        <v>269</v>
      </c>
    </row>
    <row r="5" spans="1:40" s="35" customFormat="1" ht="16.5" customHeight="1" x14ac:dyDescent="0.25">
      <c r="D5" s="157" t="s">
        <v>20</v>
      </c>
      <c r="E5" s="1260">
        <f>T0</f>
        <v>44522</v>
      </c>
      <c r="F5" s="1260"/>
      <c r="G5" s="34"/>
      <c r="H5" s="154"/>
      <c r="I5" s="154"/>
      <c r="K5" s="188"/>
      <c r="L5" s="500"/>
      <c r="M5" s="499"/>
      <c r="N5" s="499"/>
      <c r="O5" s="19"/>
      <c r="R5" s="39"/>
      <c r="S5" s="174"/>
      <c r="T5" s="174"/>
      <c r="U5" s="41"/>
      <c r="V5" s="501"/>
      <c r="W5" s="502"/>
      <c r="X5" s="503"/>
      <c r="Y5" s="504"/>
      <c r="Z5" s="232">
        <f>Wh_Psa_s-Wh_Psa</f>
        <v>309.78825983843274</v>
      </c>
      <c r="AA5" s="233">
        <f>Wh_Pvg_s-Wh_Pvg</f>
        <v>-0.31128484231866871</v>
      </c>
      <c r="AB5" s="508" t="s">
        <v>6</v>
      </c>
      <c r="AC5" s="502"/>
      <c r="AD5" s="502"/>
      <c r="AE5" s="502"/>
      <c r="AF5" s="502"/>
      <c r="AG5" s="502"/>
      <c r="AH5" s="502"/>
      <c r="AI5" s="502"/>
      <c r="AJ5" s="510">
        <f>SUMIF(AJ15:AJ380,"VRAI",Wh)</f>
        <v>0</v>
      </c>
      <c r="AK5" s="510">
        <f>SUMIF(AK15:AK380,"VRAI",Wh)</f>
        <v>0</v>
      </c>
      <c r="AL5" s="510">
        <f>SUMIF(AJ15:AJ380,"VRAI",Wh_s)</f>
        <v>0</v>
      </c>
      <c r="AM5" s="510">
        <f>SUMIF(AK15:AK380,"VRAI",Wh_s)</f>
        <v>0</v>
      </c>
      <c r="AN5" s="823" t="s">
        <v>265</v>
      </c>
    </row>
    <row r="6" spans="1:40" s="6" customFormat="1" ht="16.5" customHeight="1" x14ac:dyDescent="0.2">
      <c r="B6" s="8"/>
      <c r="C6" s="8"/>
      <c r="D6" s="157" t="s">
        <v>11</v>
      </c>
      <c r="E6" s="1261">
        <f>Tservice</f>
        <v>44568</v>
      </c>
      <c r="F6" s="126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4"/>
      <c r="W6" s="456"/>
      <c r="X6" s="491"/>
      <c r="Y6" s="492"/>
      <c r="Z6" s="456"/>
      <c r="AA6" s="456"/>
      <c r="AB6" s="510"/>
      <c r="AC6" s="456"/>
      <c r="AD6" s="456"/>
      <c r="AE6" s="456"/>
      <c r="AF6" s="456"/>
      <c r="AG6" s="456"/>
      <c r="AH6" s="456"/>
      <c r="AI6" s="456"/>
      <c r="AJ6" s="510">
        <f>SUMIF(AJ15:AJ380,"FAUX",Wh)</f>
        <v>11064.346824011482</v>
      </c>
      <c r="AK6" s="510">
        <f>SUMIF(AK15:AK380,"FAUX",Wh)</f>
        <v>11064.346824011482</v>
      </c>
      <c r="AL6" s="510">
        <f>SUMIF(AJ15:AJ380,"FAUX",Wh_s)</f>
        <v>10754.537581772065</v>
      </c>
      <c r="AM6" s="510">
        <f>SUMIF(AK15:AK380,"FAUX",Wh_s)</f>
        <v>10754.537581772065</v>
      </c>
      <c r="AN6" s="823" t="s">
        <v>266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AND(YEAR(Tnet)=An,Resal_2026="I")</f>
        <v>0</v>
      </c>
      <c r="F7" s="316" t="b">
        <f>YEAR(Tnet)=An</f>
        <v>0</v>
      </c>
      <c r="J7" s="174"/>
      <c r="K7" s="187"/>
      <c r="L7" s="185" t="s">
        <v>81</v>
      </c>
      <c r="M7" s="834"/>
      <c r="N7" s="834"/>
      <c r="O7" s="18"/>
      <c r="P7" s="118"/>
      <c r="Q7" s="118"/>
      <c r="R7" s="140"/>
      <c r="S7" s="140"/>
      <c r="T7" s="140"/>
      <c r="U7" s="140"/>
      <c r="V7" s="422"/>
      <c r="W7" s="512"/>
      <c r="X7" s="513"/>
      <c r="Y7" s="244"/>
      <c r="Z7" s="512"/>
      <c r="AA7" s="512"/>
      <c r="AB7" s="512"/>
      <c r="AC7" s="512"/>
      <c r="AD7" s="244"/>
      <c r="AE7" s="244"/>
      <c r="AF7" s="487"/>
      <c r="AG7" s="487"/>
      <c r="AH7" s="487"/>
      <c r="AI7" s="512"/>
      <c r="AJ7" s="510">
        <f>SUMIF(AJ15:AJ380,"VRAI",Wh_pvt)</f>
        <v>0</v>
      </c>
      <c r="AK7" s="510">
        <f>SUMIF(AK15:AK380,"VRAI",Wh_sa)</f>
        <v>0</v>
      </c>
      <c r="AL7" s="510">
        <f>SUMIF(AJ15:AJ380,"VRAI",Wh_pvt_s)</f>
        <v>0</v>
      </c>
      <c r="AM7" s="510">
        <f>SUMIF(AK15:AK380,"VRAI",Wh_sa_s)</f>
        <v>0</v>
      </c>
      <c r="AN7" s="823" t="s">
        <v>257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AND(YEAR(Tnet)=An,Resal_2026&lt;&gt;"I")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2"/>
      <c r="W8" s="399"/>
      <c r="X8" s="1247" t="s">
        <v>102</v>
      </c>
      <c r="Y8" s="1248"/>
      <c r="Z8" s="492"/>
      <c r="AA8" s="492"/>
      <c r="AB8" s="456"/>
      <c r="AC8" s="514" t="s">
        <v>61</v>
      </c>
      <c r="AD8" s="456"/>
      <c r="AE8" s="456"/>
      <c r="AF8" s="456"/>
      <c r="AG8" s="456"/>
      <c r="AH8" s="456"/>
      <c r="AI8" s="456"/>
      <c r="AJ8" s="510">
        <f>SUMIF(AJ15:AJ380,"FAUX",Wh_pvt)</f>
        <v>11321.595347669863</v>
      </c>
      <c r="AK8" s="510">
        <f>SUMIF(AK15:AK380,"FAUX",Wh_sa)</f>
        <v>11627.858213231457</v>
      </c>
      <c r="AL8" s="510">
        <f>SUMIF(AJ15:AJ380,"FAUX",Wh_pvt_s)</f>
        <v>11004.603291104784</v>
      </c>
      <c r="AM8" s="510">
        <f>SUMIF(AK15:AK380,"FAUX",Wh_sa_s)</f>
        <v>11627.858213231457</v>
      </c>
      <c r="AN8" s="823" t="s">
        <v>258</v>
      </c>
    </row>
    <row r="9" spans="1:40" s="19" customFormat="1" ht="15" customHeight="1" x14ac:dyDescent="0.25">
      <c r="A9" s="34"/>
      <c r="B9" s="206"/>
      <c r="C9" s="206"/>
      <c r="D9" s="180">
        <f>SUM(D$15:D$380)</f>
        <v>11321.595347669863</v>
      </c>
      <c r="E9" s="180">
        <f>SUM(E$15:E$380)</f>
        <v>11627.858213231457</v>
      </c>
      <c r="F9" s="180">
        <f>SUM(F$15:F$380)</f>
        <v>11639.541454132361</v>
      </c>
      <c r="H9" s="1251">
        <f>+SUM(Wh)</f>
        <v>11064.346824011482</v>
      </c>
      <c r="I9" s="1252"/>
      <c r="J9" s="1253"/>
      <c r="K9" s="187"/>
      <c r="L9" s="228"/>
      <c r="M9" s="228"/>
      <c r="N9" s="228"/>
      <c r="O9" s="219">
        <f>Tnet_2026</f>
        <v>45777</v>
      </c>
      <c r="P9" s="240" t="s">
        <v>91</v>
      </c>
      <c r="Q9" s="241"/>
      <c r="R9" s="241"/>
      <c r="S9" s="241"/>
      <c r="T9" s="241"/>
      <c r="U9" s="242"/>
      <c r="V9" s="456"/>
      <c r="W9" s="515"/>
      <c r="X9" s="1245">
        <f>+SUM(Wh_s)</f>
        <v>10754.537581772065</v>
      </c>
      <c r="Y9" s="1246"/>
      <c r="Z9" s="510">
        <f>SUM(Z$15:Z$380)</f>
        <v>11004.603291104784</v>
      </c>
      <c r="AA9" s="510">
        <f>SUM(AA$15:AA$380)</f>
        <v>11627.858213231457</v>
      </c>
      <c r="AB9" s="510">
        <f>F9</f>
        <v>11639.541454132361</v>
      </c>
      <c r="AC9" s="321">
        <f>IF(An_Tnet,Tnet,'2025'!Tnet_s)</f>
        <v>45777</v>
      </c>
      <c r="AD9" s="312" t="s">
        <v>91</v>
      </c>
      <c r="AE9" s="312"/>
      <c r="AF9" s="312"/>
      <c r="AG9" s="312"/>
      <c r="AH9" s="312"/>
      <c r="AI9" s="313"/>
      <c r="AJ9" s="510">
        <f>SUMIF(AJ15:AJ380,"VRAI",Wh_sa)</f>
        <v>0</v>
      </c>
      <c r="AK9" s="510">
        <f>SUMIF(AK15:AK380,"VRAI",Wh_hp)</f>
        <v>0</v>
      </c>
      <c r="AL9" s="510">
        <f>SUMIF(AJ15:AJ380,"VRAI",Wh_sa_s)</f>
        <v>0</v>
      </c>
      <c r="AM9" s="510">
        <f>SUMIF(AK15:AK380,"VRAI",Wh_hp)</f>
        <v>0</v>
      </c>
      <c r="AN9" s="823" t="s">
        <v>263</v>
      </c>
    </row>
    <row r="10" spans="1:40" s="19" customFormat="1" ht="15" customHeight="1" x14ac:dyDescent="0.25">
      <c r="A10" s="202"/>
      <c r="B10" s="203"/>
      <c r="C10" s="830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IF(Inflex,'2025'!Resal+('2025'!Salim-'2025'!Resal)*(1-EXP(-(Tnet-'2025'!Tnet)/('2025'!Tau_j))),IF(An_Tnet,Resal_2026,'2025'!Resal))</f>
        <v>0</v>
      </c>
      <c r="P10" s="416" t="b">
        <f>NOT(Acti_tai)</f>
        <v>1</v>
      </c>
      <c r="Q10" s="253">
        <f>IF(Acti_tai,'2025'!PousD,Dens-Dd)</f>
        <v>0</v>
      </c>
      <c r="R10" s="270"/>
      <c r="S10" s="271"/>
      <c r="T10" s="272"/>
      <c r="U10" s="262">
        <f>IF(Acti_tai,'2025'!PousH,Hdtf-Hdd)</f>
        <v>0.49999999999999978</v>
      </c>
      <c r="V10" s="422"/>
      <c r="W10" s="499"/>
      <c r="X10" s="500"/>
      <c r="Y10" s="516" t="s">
        <v>26</v>
      </c>
      <c r="Z10" s="506" t="s">
        <v>27</v>
      </c>
      <c r="AA10" s="506" t="s">
        <v>28</v>
      </c>
      <c r="AB10" s="422"/>
      <c r="AC10" s="314">
        <f>IF(OR(Inflex,GainD),'2025'!Resal_s+('2025'!Salim-'2025'!Resal_s)*(1-EXP(('2025'!Tnet_s-Tnet)/('2025'!Tau_j))),IF(Acti_net,'2025'!Resal+('2025'!Salim-'2025'!Resal)*(1-EXP(('2025'!Tnet-Tnet)/'2025'!Tau_j)),'2025'!Resal_s))</f>
        <v>3.8964123281289738E-2</v>
      </c>
      <c r="AD10" s="422"/>
      <c r="AE10" s="422"/>
      <c r="AF10" s="256"/>
      <c r="AG10" s="257"/>
      <c r="AH10" s="258"/>
      <c r="AI10" s="467"/>
      <c r="AJ10" s="510">
        <f>SUMIF(AJ15:AJ380,"FAUX",Wh_sa)</f>
        <v>11627.858213231457</v>
      </c>
      <c r="AK10" s="510">
        <f>SUMIF(AK15:AK380,"FAUX",Wh_hp)</f>
        <v>11639.541454132361</v>
      </c>
      <c r="AL10" s="510">
        <f>SUMIF(AJ15:AJ380,"FAUX",Wh_sa_s)</f>
        <v>11627.858213231457</v>
      </c>
      <c r="AM10" s="510">
        <f>SUMIF(AK15:AK380,"FAUX",Wh_hp)</f>
        <v>11639.541454132361</v>
      </c>
      <c r="AN10" s="823" t="s">
        <v>264</v>
      </c>
    </row>
    <row r="11" spans="1:40" s="40" customFormat="1" ht="15" customHeight="1" x14ac:dyDescent="0.25">
      <c r="A11" s="212"/>
      <c r="B11" s="213" t="s">
        <v>43</v>
      </c>
      <c r="C11" s="831"/>
      <c r="D11" s="50">
        <f>D$9-Prod_an</f>
        <v>257.2485236583816</v>
      </c>
      <c r="E11" s="51">
        <f>(E$9-D$9)*Prod_an/D$9</f>
        <v>299.30398144696915</v>
      </c>
      <c r="F11" s="182">
        <f>(F$9-E$9)*Prod_an/E$9</f>
        <v>11.117045545755152</v>
      </c>
      <c r="G11" s="181" t="s">
        <v>6</v>
      </c>
      <c r="K11" s="190"/>
      <c r="L11" s="207">
        <f>Tvie_2026</f>
        <v>44522</v>
      </c>
      <c r="M11" s="835"/>
      <c r="N11" s="835"/>
      <c r="O11" s="198">
        <f>IF(An_Tnet,Salim_2026,'2025'!Salim)</f>
        <v>0.08</v>
      </c>
      <c r="P11" s="252">
        <f>Ttai_2026</f>
        <v>44562</v>
      </c>
      <c r="Q11" s="268">
        <f>Dens_2026</f>
        <v>0.5</v>
      </c>
      <c r="R11" s="273"/>
      <c r="S11" s="226"/>
      <c r="T11" s="226"/>
      <c r="U11" s="262">
        <f>Htf_2026</f>
        <v>2.4938165159249026</v>
      </c>
      <c r="V11" s="19"/>
      <c r="W11" s="827"/>
      <c r="X11" s="231" t="s">
        <v>43</v>
      </c>
      <c r="Y11" s="50">
        <f>Z$9-Prod_an_s</f>
        <v>250.06570933271905</v>
      </c>
      <c r="Z11" s="51">
        <f>(AA$9-Z$9)*Prod_an_s/Z$9</f>
        <v>609.09224128540188</v>
      </c>
      <c r="AA11" s="182">
        <f>(AB$9-AA$9)*Prod_an_s/AA$9</f>
        <v>10.805760703436484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4">
        <f>IF($AJ7=0,0,($AJ9-$AJ7)*$AJ5/$AJ7)</f>
        <v>0</v>
      </c>
      <c r="AK11" s="825">
        <f>IF($AK7=0,0,($AK9-$AK7)*$AK5/$AK7)</f>
        <v>0</v>
      </c>
      <c r="AL11" s="824">
        <f>IF($AL7=0,0,($AL9-$AL7)*$AL5/$AL7)</f>
        <v>0</v>
      </c>
      <c r="AM11" s="825">
        <f>IF($AM7=0,0,($AM9-$AM7)*$AM5/$AM7)</f>
        <v>0</v>
      </c>
      <c r="AN11" s="823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4.4469433272544379E-2</v>
      </c>
      <c r="K12" s="187"/>
      <c r="L12" s="208">
        <f>Pspv_2026</f>
        <v>0</v>
      </c>
      <c r="M12" s="208"/>
      <c r="N12" s="208"/>
      <c r="O12" s="201">
        <f>IF(An_Tnet,Tau_2026*365,'2025'!Tau_j)</f>
        <v>1095</v>
      </c>
      <c r="P12" s="277">
        <f>INDEX(Croivg,MIN(MAX(Ttai-$A$15,0)+1,366))</f>
        <v>2.3909964587625958E-6</v>
      </c>
      <c r="Q12" s="276">
        <f>'2025'!Df</f>
        <v>0.5</v>
      </c>
      <c r="R12" s="274"/>
      <c r="S12" s="275"/>
      <c r="T12" s="275"/>
      <c r="U12" s="263">
        <f>'2025'!Hdf</f>
        <v>1.9938165159249028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'2025'!Df_s</f>
        <v>0.5</v>
      </c>
      <c r="AF12" s="199"/>
      <c r="AG12" s="199"/>
      <c r="AH12" s="199"/>
      <c r="AI12" s="293">
        <f>'2025'!Hdf_s</f>
        <v>1.9938165159249028</v>
      </c>
      <c r="AJ12" s="824">
        <f>IF($AJ8=0,0,($AJ10-$AJ8)*$AJ6/$AJ8)</f>
        <v>299.30398144696915</v>
      </c>
      <c r="AK12" s="825">
        <f>IF($AK8=0,0,($AK10-$AK8)*$AK6/$AK8)</f>
        <v>11.117045545755152</v>
      </c>
      <c r="AL12" s="824">
        <f>IF($AL8=0,0,($AL10-$AL8)*$AL6/$AL8)</f>
        <v>609.09224128540188</v>
      </c>
      <c r="AM12" s="825">
        <f>IF($AM8=0,0,($AM10-$AM8)*$AM6/$AM8)</f>
        <v>10.805760703436484</v>
      </c>
      <c r="AN12" s="823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203</v>
      </c>
      <c r="V13" s="124" t="s">
        <v>41</v>
      </c>
      <c r="W13" s="828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207</v>
      </c>
      <c r="AJ13" s="73">
        <f>+AJ11+AJ12</f>
        <v>299.30398144696915</v>
      </c>
      <c r="AK13" s="73">
        <f>+AK11+AK12</f>
        <v>11.117045545755152</v>
      </c>
      <c r="AL13" s="73">
        <f>+AL11+AL12</f>
        <v>609.09224128540188</v>
      </c>
      <c r="AM13" s="73">
        <f>+AM11+AM12</f>
        <v>10.805760703436484</v>
      </c>
      <c r="AN13" s="822" t="s">
        <v>272</v>
      </c>
    </row>
    <row r="14" spans="1:40" s="46" customFormat="1" ht="40.5" customHeight="1" thickBot="1" x14ac:dyDescent="0.25">
      <c r="A14" s="45" t="s">
        <v>2</v>
      </c>
      <c r="B14" s="411" t="s">
        <v>189</v>
      </c>
      <c r="C14" s="411"/>
      <c r="D14" s="53" t="s">
        <v>30</v>
      </c>
      <c r="E14" s="158" t="s">
        <v>29</v>
      </c>
      <c r="F14" s="158" t="str">
        <f>"Hors pertes "&amp; TEXT(An,0)</f>
        <v>Hors pertes 2026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204</v>
      </c>
      <c r="S14" s="168" t="s">
        <v>205</v>
      </c>
      <c r="T14" s="168" t="s">
        <v>206</v>
      </c>
      <c r="U14" s="108" t="s">
        <v>202</v>
      </c>
      <c r="V14" s="45" t="str">
        <f>"Enveloppe "&amp; TEXT(An,0)</f>
        <v>Enveloppe 2026</v>
      </c>
      <c r="W14" s="829" t="s">
        <v>116</v>
      </c>
      <c r="X14" s="254" t="s">
        <v>2</v>
      </c>
      <c r="Y14" s="107" t="str">
        <f>"Wh / Jour "&amp; TEXT(An,0)</f>
        <v>Wh / Jour 2026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204</v>
      </c>
      <c r="AG14" s="168" t="s">
        <v>205</v>
      </c>
      <c r="AH14" s="168" t="s">
        <v>206</v>
      </c>
      <c r="AI14" s="108" t="s">
        <v>208</v>
      </c>
      <c r="AJ14" s="684" t="s">
        <v>255</v>
      </c>
      <c r="AK14" s="684" t="s">
        <v>256</v>
      </c>
      <c r="AL14" s="261"/>
      <c r="AM14" s="261"/>
      <c r="AN14" s="75"/>
    </row>
    <row r="15" spans="1:40" s="6" customFormat="1" ht="11.25" x14ac:dyDescent="0.2">
      <c r="A15" s="56">
        <f>DATE(An,1,1)</f>
        <v>46023</v>
      </c>
      <c r="B15" s="405">
        <f>'2025'!Wh/'2025'!Env_an*'2026'!Env_an</f>
        <v>0</v>
      </c>
      <c r="C15" s="832"/>
      <c r="D15" s="388">
        <f t="shared" ref="D15:D78" si="0">Wh/(1-Ppv)</f>
        <v>0</v>
      </c>
      <c r="E15" s="395">
        <f t="shared" ref="E15:E79" si="1">Wh_pvt/(1-Psa)</f>
        <v>0</v>
      </c>
      <c r="F15" s="395">
        <f t="shared" ref="F15:F78" si="2">Wh_sa/(1-Pvg*MEDIAN((-Sdif+Wh/Env_an)/Csdif,0,1))</f>
        <v>0</v>
      </c>
      <c r="G15" s="123">
        <f>+Wh_hp/MaxiM</f>
        <v>0</v>
      </c>
      <c r="H15" s="409" t="b">
        <f>Wh_hp&gt;='2025'!Maxi_hp</f>
        <v>1</v>
      </c>
      <c r="I15" s="374">
        <f>IF(H15,Wh_hp,'2025'!Maxi_hp)</f>
        <v>0</v>
      </c>
      <c r="J15" s="84">
        <f>IF(H15,An,'2025'!An_max)</f>
        <v>2026</v>
      </c>
      <c r="K15" s="193">
        <f t="shared" ref="K15:K78" si="3">t</f>
        <v>46023</v>
      </c>
      <c r="L15" s="142">
        <f>IF(t&lt;Tvie,1-EXP((T0-t)*PertePVj)+'2025'!Pspv,1-EXP((T0-t)*PertePVj)+Pspv)</f>
        <v>2.0337907313921932E-2</v>
      </c>
      <c r="M15" s="836"/>
      <c r="N15" s="836"/>
      <c r="O15" s="48">
        <f>IF(t&lt;Tnet,'2025'!Resal+('2025'!Salim-'2025'!Resal)*(1-EXP(('2025'!Tnet-t)/('2025'!Tau_j))),Resal+(Salim-Resal)*(1-EXP((Tnet-t)/(Tau_j))))*Salcycl</f>
        <v>1.6106033604694817E-2</v>
      </c>
      <c r="P15" s="333">
        <f>(INDEX(Models!$BJ15:$BT15,,T15)*(1-R15)+INDEX(Models!$BJ15:$BT15,,T15+1)*R15-ERP_i)*Q15*Ramure*Pc/MaxiM</f>
        <v>1.1880883626569848E-2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0.99381771142313213</v>
      </c>
      <c r="S15" s="801">
        <f t="shared" ref="S15:S78" si="6">INDEX(Echel_vg,T15)</f>
        <v>1</v>
      </c>
      <c r="T15" s="245">
        <f t="shared" ref="T15:T78" si="7">MIN(MATCH(Hp_vg,Echel_vg),10)</f>
        <v>7</v>
      </c>
      <c r="U15" s="246">
        <f>IF(OR(t&lt;Ttai,Notai),Hdd+PousH*Croivg,Hdtf+PousH*(Croivg-Croi_tai))</f>
        <v>1.9938177114231321</v>
      </c>
      <c r="V15" s="377">
        <f t="shared" ref="V15:V78" si="8">MaxiM*(1-Ppv)*(1-Pvg)*(1-Psa)</f>
        <v>17.047856931953323</v>
      </c>
      <c r="W15" s="397">
        <f t="shared" ref="W15:W78" si="9">Wh*(A15&gt;Tmaj)</f>
        <v>0</v>
      </c>
      <c r="X15" s="152">
        <f t="shared" ref="X15:X78" si="10">t</f>
        <v>46023</v>
      </c>
      <c r="Y15" s="380">
        <f t="shared" ref="Y15:Y78" si="11">Wh_pvt_s*(1-Ppv)</f>
        <v>0</v>
      </c>
      <c r="Z15" s="380">
        <f>Wh_sa_s*(1-Psa_s)</f>
        <v>0</v>
      </c>
      <c r="AA15" s="381">
        <f t="shared" ref="AA15:AA78" si="12">Wh_hp*(1-Pvg_s*MEDIAN((-Sdif+Wh/Env_an)/Csdif,0,1))</f>
        <v>0</v>
      </c>
      <c r="AB15" s="193">
        <f t="shared" ref="AB15:AB78" si="13">t</f>
        <v>46023</v>
      </c>
      <c r="AC15" s="119">
        <f>IF(OR(t&lt;Tnet,NoTnet),'2025'!Resal_s+('2025'!Salim-'2025'!Resal_s)*(1-EXP(('2025'!Tnet_s-t)/'2025'!Tau_j)),Resal_s+(Salim-Resal_s)*(1-EXP((Tnet_s-t)/Tau_j)))*Salcycl</f>
        <v>4.7247987077079896E-2</v>
      </c>
      <c r="AD15" s="227">
        <f>(INDEX(Models!$BJ15:$BT15,,AH15)*(1-AF15)+INDEX(Models!$BJ15:$BT15,,AH15+1)*AF15-ERP_i)*AE15*Ramure*Pc/MaxiM</f>
        <v>1.1880883626569848E-2</v>
      </c>
      <c r="AE15" s="299">
        <f t="shared" ref="AE15:AE78" si="14">IF(OR(t&lt;Ttai,Notai),Dd_s+PousD*Croivg,Dens_s+PousD*(Croivg-Croi_tai))</f>
        <v>0.5</v>
      </c>
      <c r="AF15" s="300">
        <f>(Hp_vg_s-AG15)/(INDEX(Echel_vg,AH15+1)-AG15)</f>
        <v>0.99381771142313213</v>
      </c>
      <c r="AG15" s="801">
        <f>INDEX(Echel_vg,AH15)</f>
        <v>1</v>
      </c>
      <c r="AH15" s="245">
        <f t="shared" ref="AH15:AH78" si="15">MIN(MATCH(Hp_vg_s,Echel_vg),10)</f>
        <v>7</v>
      </c>
      <c r="AI15" s="220">
        <f>IF(OR(t&lt;Ttai,Notai),Hdd_s+PousH*Croivg,Hdtai_s+PousH*(Croivg-Croi_tai))</f>
        <v>1.9938177114231321</v>
      </c>
      <c r="AJ15" s="261" t="b">
        <f t="shared" ref="AJ15:AJ78" si="16">t&lt;Tnet</f>
        <v>0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18">A15+1</f>
        <v>46024</v>
      </c>
      <c r="B16" s="406">
        <f>'2025'!Wh/'2025'!Env_an*'2026'!Env_an</f>
        <v>0</v>
      </c>
      <c r="C16" s="832"/>
      <c r="D16" s="388">
        <f t="shared" si="0"/>
        <v>0</v>
      </c>
      <c r="E16" s="380">
        <f t="shared" si="1"/>
        <v>0</v>
      </c>
      <c r="F16" s="380">
        <f t="shared" si="2"/>
        <v>0</v>
      </c>
      <c r="G16" s="110">
        <f t="shared" ref="G16:G79" si="19">+Wh_hp/MaxiM</f>
        <v>0</v>
      </c>
      <c r="H16" s="409" t="b">
        <f>Wh_hp&gt;='2025'!Maxi_hp</f>
        <v>1</v>
      </c>
      <c r="I16" s="375">
        <f>IF(H16,Wh_hp,'2025'!Maxi_hp)</f>
        <v>0</v>
      </c>
      <c r="J16" s="85">
        <f>IF(H16,An,'2025'!An_max)</f>
        <v>2026</v>
      </c>
      <c r="K16" s="193">
        <f t="shared" si="3"/>
        <v>46024</v>
      </c>
      <c r="L16" s="143">
        <f>IF(t&lt;Tvie,1-EXP((T0-t)*PertePVj)+'2025'!Pspv,1-EXP((T0-t)*PertePVj)+Pspv)</f>
        <v>2.0351318065288004E-2</v>
      </c>
      <c r="M16" s="836"/>
      <c r="N16" s="836"/>
      <c r="O16" s="48">
        <f>IF(t&lt;Tnet,'2025'!Resal+('2025'!Salim-'2025'!Resal)*(1-EXP(('2025'!Tnet-t)/('2025'!Tau_j))),Resal+(Salim-Resal)*(1-EXP((Tnet-t)/(Tau_j))))*Salcycl</f>
        <v>1.6163753114156187E-2</v>
      </c>
      <c r="P16" s="334">
        <f>(INDEX(Models!$BJ16:$BT16,,T16)*(1-R16)+INDEX(Models!$BJ16:$BT16,,T16+1)*R16-ERP_i)*Q16*Ramure*Pc/MaxiM</f>
        <v>1.1755738457990271E-2</v>
      </c>
      <c r="Q16" s="301">
        <f t="shared" si="4"/>
        <v>0.5</v>
      </c>
      <c r="R16" s="173">
        <f t="shared" si="5"/>
        <v>0.99384692603712654</v>
      </c>
      <c r="S16" s="802">
        <f t="shared" si="6"/>
        <v>1</v>
      </c>
      <c r="T16" s="172">
        <f t="shared" si="7"/>
        <v>7</v>
      </c>
      <c r="U16" s="247">
        <f t="shared" ref="U16:U78" si="20">IF(OR(t&lt;Ttai,Notai),Hdd+PousH*Croivg,Hdtf+PousH*(Croivg-Croi_tai))</f>
        <v>1.9938469260371265</v>
      </c>
      <c r="V16" s="378">
        <f t="shared" si="8"/>
        <v>17.219487203537696</v>
      </c>
      <c r="W16" s="397">
        <f t="shared" si="9"/>
        <v>0</v>
      </c>
      <c r="X16" s="153">
        <f t="shared" si="10"/>
        <v>46024</v>
      </c>
      <c r="Y16" s="380">
        <f t="shared" si="11"/>
        <v>0</v>
      </c>
      <c r="Z16" s="380">
        <f t="shared" ref="Z16:Z78" si="21">Wh_sa_s*(1-Psa_s)</f>
        <v>0</v>
      </c>
      <c r="AA16" s="381">
        <f t="shared" si="12"/>
        <v>0</v>
      </c>
      <c r="AB16" s="193">
        <f t="shared" si="13"/>
        <v>46024</v>
      </c>
      <c r="AC16" s="119">
        <f>IF(OR(t&lt;Tnet,NoTnet),'2025'!Resal_s+('2025'!Salim-'2025'!Resal_s)*(1-EXP(('2025'!Tnet_s-t)/'2025'!Tau_j)),Resal_s+(Salim-Resal_s)*(1-EXP((Tnet_s-t)/Tau_j)))*Salcycl</f>
        <v>4.7276035417749267E-2</v>
      </c>
      <c r="AD16" s="227">
        <f>(INDEX(Models!$BJ16:$BT16,,AH16)*(1-AF16)+INDEX(Models!$BJ16:$BT16,,AH16+1)*AF16-ERP_i)*AE16*Ramure*Pc/MaxiM</f>
        <v>1.1755738457990271E-2</v>
      </c>
      <c r="AE16" s="301">
        <f>IF(OR(t&lt;Ttai,Notai),Dd_s+PousD*Croivg,Dens_s+PousD*(Croivg-Croi_tai))</f>
        <v>0.5</v>
      </c>
      <c r="AF16" s="173">
        <f t="shared" ref="AF16:AF78" si="22">(Hp_vg_s-AG16)/(INDEX(Echel_vg,AH16+1)-AG16)</f>
        <v>0.99384692603712654</v>
      </c>
      <c r="AG16" s="802">
        <f t="shared" ref="AG16:AG79" si="23">INDEX(Echel_vg,AH16)</f>
        <v>1</v>
      </c>
      <c r="AH16" s="172">
        <f t="shared" si="15"/>
        <v>7</v>
      </c>
      <c r="AI16" s="221">
        <f t="shared" ref="AI16:AI78" si="24">IF(OR(t&lt;Ttai,Notai),Hdd_s+PousH*Croivg,Hdtai_s+PousH*(Croivg-Croi_tai))</f>
        <v>1.9938469260371265</v>
      </c>
      <c r="AJ16" s="261" t="b">
        <f t="shared" si="16"/>
        <v>0</v>
      </c>
      <c r="AK16" s="261" t="b">
        <f t="shared" si="17"/>
        <v>0</v>
      </c>
      <c r="AL16" s="261"/>
      <c r="AM16" s="261"/>
      <c r="AN16" s="75"/>
    </row>
    <row r="17" spans="1:40" s="6" customFormat="1" ht="11.25" x14ac:dyDescent="0.2">
      <c r="A17" s="56">
        <f t="shared" si="18"/>
        <v>46025</v>
      </c>
      <c r="B17" s="406">
        <f>'2025'!Wh/'2025'!Env_an*'2026'!Env_an</f>
        <v>0</v>
      </c>
      <c r="C17" s="832"/>
      <c r="D17" s="388">
        <f t="shared" si="0"/>
        <v>0</v>
      </c>
      <c r="E17" s="380">
        <f t="shared" si="1"/>
        <v>0</v>
      </c>
      <c r="F17" s="380">
        <f t="shared" si="2"/>
        <v>0</v>
      </c>
      <c r="G17" s="110">
        <f t="shared" si="19"/>
        <v>0</v>
      </c>
      <c r="H17" s="409" t="b">
        <f>Wh_hp&gt;='2025'!Maxi_hp</f>
        <v>1</v>
      </c>
      <c r="I17" s="375">
        <f>IF(H17,Wh_hp,'2025'!Maxi_hp)</f>
        <v>0</v>
      </c>
      <c r="J17" s="85">
        <f>IF(H17,An,'2025'!An_max)</f>
        <v>2026</v>
      </c>
      <c r="K17" s="193">
        <f t="shared" si="3"/>
        <v>46025</v>
      </c>
      <c r="L17" s="143">
        <f>IF(t&lt;Tvie,1-EXP((T0-t)*PertePVj)+'2025'!Pspv,1-EXP((T0-t)*PertePVj)+Pspv)</f>
        <v>2.036472863307226E-2</v>
      </c>
      <c r="M17" s="836"/>
      <c r="N17" s="836"/>
      <c r="O17" s="48">
        <f>IF(t&lt;Tnet,'2025'!Resal+('2025'!Salim-'2025'!Resal)*(1-EXP(('2025'!Tnet-t)/('2025'!Tau_j))),Resal+(Salim-Resal)*(1-EXP((Tnet-t)/(Tau_j))))*Salcycl</f>
        <v>1.6221451180702163E-2</v>
      </c>
      <c r="P17" s="334">
        <f>(INDEX(Models!$BJ17:$BT17,,T17)*(1-R17)+INDEX(Models!$BJ17:$BT17,,T17+1)*R17-ERP_i)*Q17*Ramure*Pc/MaxiM</f>
        <v>1.1641043536148954E-2</v>
      </c>
      <c r="Q17" s="301">
        <f t="shared" si="4"/>
        <v>0.5</v>
      </c>
      <c r="R17" s="173">
        <f t="shared" si="5"/>
        <v>0.99387736263261606</v>
      </c>
      <c r="S17" s="802">
        <f t="shared" si="6"/>
        <v>1</v>
      </c>
      <c r="T17" s="172">
        <f t="shared" si="7"/>
        <v>7</v>
      </c>
      <c r="U17" s="247">
        <f t="shared" si="20"/>
        <v>1.9938773626326161</v>
      </c>
      <c r="V17" s="378">
        <f t="shared" si="8"/>
        <v>17.399352307469851</v>
      </c>
      <c r="W17" s="397">
        <f t="shared" si="9"/>
        <v>0</v>
      </c>
      <c r="X17" s="153">
        <f t="shared" si="10"/>
        <v>46025</v>
      </c>
      <c r="Y17" s="380">
        <f t="shared" si="11"/>
        <v>0</v>
      </c>
      <c r="Z17" s="380">
        <f t="shared" si="21"/>
        <v>0</v>
      </c>
      <c r="AA17" s="381">
        <f t="shared" si="12"/>
        <v>0</v>
      </c>
      <c r="AB17" s="193">
        <f t="shared" si="13"/>
        <v>46025</v>
      </c>
      <c r="AC17" s="119">
        <f>IF(OR(t&lt;Tnet,NoTnet),'2025'!Resal_s+('2025'!Salim-'2025'!Resal_s)*(1-EXP(('2025'!Tnet_s-t)/'2025'!Tau_j)),Resal_s+(Salim-Resal_s)*(1-EXP((Tnet_s-t)/Tau_j)))*Salcycl</f>
        <v>4.7304160471011804E-2</v>
      </c>
      <c r="AD17" s="227">
        <f>(INDEX(Models!$BJ17:$BT17,,AH17)*(1-AF17)+INDEX(Models!$BJ17:$BT17,,AH17+1)*AF17-ERP_i)*AE17*Ramure*Pc/MaxiM</f>
        <v>1.1641043536148954E-2</v>
      </c>
      <c r="AE17" s="301">
        <f t="shared" si="14"/>
        <v>0.5</v>
      </c>
      <c r="AF17" s="173">
        <f>(Hp_vg_s-AG17)/(INDEX(Echel_vg,AH17+1)-AG17)</f>
        <v>0.99387736263261606</v>
      </c>
      <c r="AG17" s="802">
        <f>INDEX(Echel_vg,AH17)</f>
        <v>1</v>
      </c>
      <c r="AH17" s="172">
        <f t="shared" si="15"/>
        <v>7</v>
      </c>
      <c r="AI17" s="221">
        <f t="shared" si="24"/>
        <v>1.9938773626326161</v>
      </c>
      <c r="AJ17" s="261" t="b">
        <f t="shared" si="16"/>
        <v>0</v>
      </c>
      <c r="AK17" s="261" t="b">
        <f t="shared" si="17"/>
        <v>0</v>
      </c>
      <c r="AL17" s="261"/>
      <c r="AM17" s="261"/>
      <c r="AN17" s="75"/>
    </row>
    <row r="18" spans="1:40" s="6" customFormat="1" ht="11.25" x14ac:dyDescent="0.2">
      <c r="A18" s="56">
        <f t="shared" si="18"/>
        <v>46026</v>
      </c>
      <c r="B18" s="406">
        <f>'2025'!Wh/'2025'!Env_an*'2026'!Env_an</f>
        <v>0</v>
      </c>
      <c r="C18" s="832"/>
      <c r="D18" s="388">
        <f t="shared" si="0"/>
        <v>0</v>
      </c>
      <c r="E18" s="380">
        <f t="shared" si="1"/>
        <v>0</v>
      </c>
      <c r="F18" s="380">
        <f t="shared" si="2"/>
        <v>0</v>
      </c>
      <c r="G18" s="110">
        <f t="shared" si="19"/>
        <v>0</v>
      </c>
      <c r="H18" s="409" t="b">
        <f>Wh_hp&gt;='2025'!Maxi_hp</f>
        <v>1</v>
      </c>
      <c r="I18" s="375">
        <f>IF(H18,Wh_hp,'2025'!Maxi_hp)</f>
        <v>0</v>
      </c>
      <c r="J18" s="85">
        <f>IF(H18,An,'2025'!An_max)</f>
        <v>2026</v>
      </c>
      <c r="K18" s="193">
        <f t="shared" si="3"/>
        <v>46026</v>
      </c>
      <c r="L18" s="143">
        <f>IF(t&lt;Tvie,1-EXP((T0-t)*PertePVj)+'2025'!Pspv,1-EXP((T0-t)*PertePVj)+Pspv)</f>
        <v>2.037813901727703E-2</v>
      </c>
      <c r="M18" s="836"/>
      <c r="N18" s="836"/>
      <c r="O18" s="48">
        <f>IF(t&lt;Tnet,'2025'!Resal+('2025'!Salim-'2025'!Resal)*(1-EXP(('2025'!Tnet-t)/('2025'!Tau_j))),Resal+(Salim-Resal)*(1-EXP((Tnet-t)/(Tau_j))))*Salcycl</f>
        <v>1.6279124442909899E-2</v>
      </c>
      <c r="P18" s="334">
        <f>(INDEX(Models!$BJ18:$BT18,,T18)*(1-R18)+INDEX(Models!$BJ18:$BT18,,T18+1)*R18-ERP_i)*Q18*Ramure*Pc/MaxiM</f>
        <v>1.1537622906265374E-2</v>
      </c>
      <c r="Q18" s="301">
        <f t="shared" si="4"/>
        <v>0.5</v>
      </c>
      <c r="R18" s="173">
        <f t="shared" si="5"/>
        <v>0.99390907216391122</v>
      </c>
      <c r="S18" s="802">
        <f t="shared" si="6"/>
        <v>1</v>
      </c>
      <c r="T18" s="172">
        <f t="shared" si="7"/>
        <v>7</v>
      </c>
      <c r="U18" s="247">
        <f t="shared" si="20"/>
        <v>1.9939090721639112</v>
      </c>
      <c r="V18" s="378">
        <f t="shared" si="8"/>
        <v>17.585845538557926</v>
      </c>
      <c r="W18" s="397">
        <f t="shared" si="9"/>
        <v>0</v>
      </c>
      <c r="X18" s="153">
        <f t="shared" si="10"/>
        <v>46026</v>
      </c>
      <c r="Y18" s="380">
        <f t="shared" si="11"/>
        <v>0</v>
      </c>
      <c r="Z18" s="380">
        <f>Wh_sa_s*(1-Psa_s)</f>
        <v>0</v>
      </c>
      <c r="AA18" s="381">
        <f t="shared" si="12"/>
        <v>0</v>
      </c>
      <c r="AB18" s="193">
        <f>t</f>
        <v>46026</v>
      </c>
      <c r="AC18" s="119">
        <f>IF(OR(t&lt;Tnet,NoTnet),'2025'!Resal_s+('2025'!Salim-'2025'!Resal_s)*(1-EXP(('2025'!Tnet_s-t)/'2025'!Tau_j)),Resal_s+(Salim-Resal_s)*(1-EXP((Tnet_s-t)/Tau_j)))*Salcycl</f>
        <v>4.7332351390025465E-2</v>
      </c>
      <c r="AD18" s="227">
        <f>(INDEX(Models!$BJ18:$BT18,,AH18)*(1-AF18)+INDEX(Models!$BJ18:$BT18,,AH18+1)*AF18-ERP_i)*AE18*Ramure*Pc/MaxiM</f>
        <v>1.1537622906265374E-2</v>
      </c>
      <c r="AE18" s="301">
        <f t="shared" si="14"/>
        <v>0.5</v>
      </c>
      <c r="AF18" s="173">
        <f t="shared" si="22"/>
        <v>0.99390907216391122</v>
      </c>
      <c r="AG18" s="802">
        <f t="shared" si="23"/>
        <v>1</v>
      </c>
      <c r="AH18" s="172">
        <f t="shared" si="15"/>
        <v>7</v>
      </c>
      <c r="AI18" s="221">
        <f t="shared" si="24"/>
        <v>1.9939090721639112</v>
      </c>
      <c r="AJ18" s="261" t="b">
        <f t="shared" si="16"/>
        <v>0</v>
      </c>
      <c r="AK18" s="261" t="b">
        <f t="shared" si="17"/>
        <v>0</v>
      </c>
      <c r="AL18" s="261"/>
      <c r="AM18" s="261"/>
      <c r="AN18" s="75"/>
    </row>
    <row r="19" spans="1:40" s="6" customFormat="1" ht="11.25" x14ac:dyDescent="0.2">
      <c r="A19" s="56">
        <f t="shared" si="18"/>
        <v>46027</v>
      </c>
      <c r="B19" s="406">
        <f>'2025'!Wh/'2025'!Env_an*'2026'!Env_an</f>
        <v>0</v>
      </c>
      <c r="C19" s="832"/>
      <c r="D19" s="388">
        <f t="shared" si="0"/>
        <v>0</v>
      </c>
      <c r="E19" s="380">
        <f t="shared" si="1"/>
        <v>0</v>
      </c>
      <c r="F19" s="380">
        <f t="shared" si="2"/>
        <v>0</v>
      </c>
      <c r="G19" s="110">
        <f t="shared" si="19"/>
        <v>0</v>
      </c>
      <c r="H19" s="409" t="b">
        <f>Wh_hp&gt;='2025'!Maxi_hp</f>
        <v>1</v>
      </c>
      <c r="I19" s="375">
        <f>IF(H19,Wh_hp,'2025'!Maxi_hp)</f>
        <v>0</v>
      </c>
      <c r="J19" s="85">
        <f>IF(H19,An,'2025'!An_max)</f>
        <v>2026</v>
      </c>
      <c r="K19" s="193">
        <f t="shared" si="3"/>
        <v>46027</v>
      </c>
      <c r="L19" s="143">
        <f>IF(t&lt;Tvie,1-EXP((T0-t)*PertePVj)+'2025'!Pspv,1-EXP((T0-t)*PertePVj)+Pspv)</f>
        <v>2.039154921790487E-2</v>
      </c>
      <c r="M19" s="836"/>
      <c r="N19" s="836"/>
      <c r="O19" s="48">
        <f>IF(t&lt;Tnet,'2025'!Resal+('2025'!Salim-'2025'!Resal)*(1-EXP(('2025'!Tnet-t)/('2025'!Tau_j))),Resal+(Salim-Resal)*(1-EXP((Tnet-t)/(Tau_j))))*Salcycl</f>
        <v>1.6336769977292193E-2</v>
      </c>
      <c r="P19" s="334">
        <f>(INDEX(Models!$BJ19:$BT19,,T19)*(1-R19)+INDEX(Models!$BJ19:$BT19,,T19+1)*R19-ERP_i)*Q19*Ramure*Pc/MaxiM</f>
        <v>1.144620865013511E-2</v>
      </c>
      <c r="Q19" s="301">
        <f t="shared" si="4"/>
        <v>0.5</v>
      </c>
      <c r="R19" s="173">
        <f t="shared" si="5"/>
        <v>0.99394210769647273</v>
      </c>
      <c r="S19" s="802">
        <f t="shared" si="6"/>
        <v>1</v>
      </c>
      <c r="T19" s="172">
        <f t="shared" si="7"/>
        <v>7</v>
      </c>
      <c r="U19" s="247">
        <f t="shared" si="20"/>
        <v>1.9939421076964727</v>
      </c>
      <c r="V19" s="378">
        <f t="shared" si="8"/>
        <v>17.777360531557065</v>
      </c>
      <c r="W19" s="397">
        <f t="shared" si="9"/>
        <v>0</v>
      </c>
      <c r="X19" s="153">
        <f t="shared" si="10"/>
        <v>46027</v>
      </c>
      <c r="Y19" s="380">
        <f t="shared" si="11"/>
        <v>0</v>
      </c>
      <c r="Z19" s="380">
        <f t="shared" si="21"/>
        <v>0</v>
      </c>
      <c r="AA19" s="381">
        <f t="shared" si="12"/>
        <v>0</v>
      </c>
      <c r="AB19" s="193">
        <f t="shared" si="13"/>
        <v>46027</v>
      </c>
      <c r="AC19" s="119">
        <f>IF(OR(t&lt;Tnet,NoTnet),'2025'!Resal_s+('2025'!Salim-'2025'!Resal_s)*(1-EXP(('2025'!Tnet_s-t)/'2025'!Tau_j)),Resal_s+(Salim-Resal_s)*(1-EXP((Tnet_s-t)/Tau_j)))*Salcycl</f>
        <v>4.7360598729361408E-2</v>
      </c>
      <c r="AD19" s="227">
        <f>(INDEX(Models!$BJ19:$BT19,,AH19)*(1-AF19)+INDEX(Models!$BJ19:$BT19,,AH19+1)*AF19-ERP_i)*AE19*Ramure*Pc/MaxiM</f>
        <v>1.144620865013511E-2</v>
      </c>
      <c r="AE19" s="301">
        <f t="shared" si="14"/>
        <v>0.5</v>
      </c>
      <c r="AF19" s="173">
        <f t="shared" si="22"/>
        <v>0.99394210769647273</v>
      </c>
      <c r="AG19" s="802">
        <f t="shared" si="23"/>
        <v>1</v>
      </c>
      <c r="AH19" s="172">
        <f t="shared" si="15"/>
        <v>7</v>
      </c>
      <c r="AI19" s="221">
        <f t="shared" si="24"/>
        <v>1.9939421076964727</v>
      </c>
      <c r="AJ19" s="261" t="b">
        <f t="shared" si="16"/>
        <v>0</v>
      </c>
      <c r="AK19" s="261" t="b">
        <f t="shared" si="17"/>
        <v>0</v>
      </c>
      <c r="AL19" s="261"/>
      <c r="AM19" s="261"/>
      <c r="AN19" s="75"/>
    </row>
    <row r="20" spans="1:40" s="6" customFormat="1" ht="11.25" x14ac:dyDescent="0.2">
      <c r="A20" s="56">
        <f t="shared" si="18"/>
        <v>46028</v>
      </c>
      <c r="B20" s="406">
        <f>'2025'!Wh/'2025'!Env_an*'2026'!Env_an</f>
        <v>0</v>
      </c>
      <c r="C20" s="832"/>
      <c r="D20" s="388">
        <f t="shared" si="0"/>
        <v>0</v>
      </c>
      <c r="E20" s="380">
        <f t="shared" si="1"/>
        <v>0</v>
      </c>
      <c r="F20" s="380">
        <f t="shared" si="2"/>
        <v>0</v>
      </c>
      <c r="G20" s="110">
        <f t="shared" si="19"/>
        <v>0</v>
      </c>
      <c r="H20" s="409" t="b">
        <f>Wh_hp&gt;='2025'!Maxi_hp</f>
        <v>1</v>
      </c>
      <c r="I20" s="375">
        <f>IF(H20,Wh_hp,'2025'!Maxi_hp)</f>
        <v>0</v>
      </c>
      <c r="J20" s="85">
        <f>IF(H20,An,'2025'!An_max)</f>
        <v>2026</v>
      </c>
      <c r="K20" s="193">
        <f t="shared" si="3"/>
        <v>46028</v>
      </c>
      <c r="L20" s="143">
        <f>IF(t&lt;Tvie,1-EXP((T0-t)*PertePVj)+'2025'!Pspv,1-EXP((T0-t)*PertePVj)+Pspv)</f>
        <v>2.0404959234958442E-2</v>
      </c>
      <c r="M20" s="836"/>
      <c r="N20" s="836"/>
      <c r="O20" s="48">
        <f>IF(t&lt;Tnet,'2025'!Resal+('2025'!Salim-'2025'!Resal)*(1-EXP(('2025'!Tnet-t)/('2025'!Tau_j))),Resal+(Salim-Resal)*(1-EXP((Tnet-t)/(Tau_j))))*Salcycl</f>
        <v>1.6394385291158688E-2</v>
      </c>
      <c r="P20" s="334">
        <f>(INDEX(Models!$BJ20:$BT20,,T20)*(1-R20)+INDEX(Models!$BJ20:$BT20,,T20+1)*R20-ERP_i)*Q20*Ramure*Pc/MaxiM</f>
        <v>1.1367452714905562E-2</v>
      </c>
      <c r="Q20" s="301">
        <f t="shared" si="4"/>
        <v>0.5</v>
      </c>
      <c r="R20" s="173">
        <f t="shared" si="5"/>
        <v>0.99397652449322349</v>
      </c>
      <c r="S20" s="802">
        <f t="shared" si="6"/>
        <v>1</v>
      </c>
      <c r="T20" s="172">
        <f t="shared" si="7"/>
        <v>7</v>
      </c>
      <c r="U20" s="247">
        <f t="shared" si="20"/>
        <v>1.9939765244932235</v>
      </c>
      <c r="V20" s="378">
        <f t="shared" si="8"/>
        <v>17.972291275695259</v>
      </c>
      <c r="W20" s="397">
        <f t="shared" si="9"/>
        <v>0</v>
      </c>
      <c r="X20" s="153">
        <f t="shared" si="10"/>
        <v>46028</v>
      </c>
      <c r="Y20" s="380">
        <f t="shared" si="11"/>
        <v>0</v>
      </c>
      <c r="Z20" s="380">
        <f t="shared" si="21"/>
        <v>0</v>
      </c>
      <c r="AA20" s="381">
        <f t="shared" si="12"/>
        <v>0</v>
      </c>
      <c r="AB20" s="193">
        <f t="shared" si="13"/>
        <v>46028</v>
      </c>
      <c r="AC20" s="119">
        <f>IF(OR(t&lt;Tnet,NoTnet),'2025'!Resal_s+('2025'!Salim-'2025'!Resal_s)*(1-EXP(('2025'!Tnet_s-t)/'2025'!Tau_j)),Resal_s+(Salim-Resal_s)*(1-EXP((Tnet_s-t)/Tau_j)))*Salcycl</f>
        <v>4.7388894403203284E-2</v>
      </c>
      <c r="AD20" s="227">
        <f>(INDEX(Models!$BJ20:$BT20,,AH20)*(1-AF20)+INDEX(Models!$BJ20:$BT20,,AH20+1)*AF20-ERP_i)*AE20*Ramure*Pc/MaxiM</f>
        <v>1.1367452714905562E-2</v>
      </c>
      <c r="AE20" s="301">
        <f t="shared" si="14"/>
        <v>0.5</v>
      </c>
      <c r="AF20" s="173">
        <f t="shared" si="22"/>
        <v>0.99397652449322349</v>
      </c>
      <c r="AG20" s="802">
        <f t="shared" si="23"/>
        <v>1</v>
      </c>
      <c r="AH20" s="172">
        <f t="shared" si="15"/>
        <v>7</v>
      </c>
      <c r="AI20" s="221">
        <f t="shared" si="24"/>
        <v>1.9939765244932235</v>
      </c>
      <c r="AJ20" s="261" t="b">
        <f t="shared" si="16"/>
        <v>0</v>
      </c>
      <c r="AK20" s="261" t="b">
        <f t="shared" si="17"/>
        <v>0</v>
      </c>
      <c r="AL20" s="261"/>
      <c r="AM20" s="261"/>
      <c r="AN20" s="75"/>
    </row>
    <row r="21" spans="1:40" s="6" customFormat="1" ht="11.25" x14ac:dyDescent="0.2">
      <c r="A21" s="56">
        <f t="shared" si="18"/>
        <v>46029</v>
      </c>
      <c r="B21" s="406">
        <f>'2025'!Wh/'2025'!Env_an*'2026'!Env_an</f>
        <v>5.8718424658215671</v>
      </c>
      <c r="C21" s="832"/>
      <c r="D21" s="388">
        <f t="shared" si="0"/>
        <v>5.9942349676744939</v>
      </c>
      <c r="E21" s="380">
        <f t="shared" si="1"/>
        <v>6.0945015134480842</v>
      </c>
      <c r="F21" s="380">
        <f t="shared" si="2"/>
        <v>6.0967831317647594</v>
      </c>
      <c r="G21" s="110">
        <f t="shared" si="19"/>
        <v>0.31964568249508551</v>
      </c>
      <c r="H21" s="409" t="b">
        <f>Wh_hp&gt;='2025'!Maxi_hp</f>
        <v>0</v>
      </c>
      <c r="I21" s="375">
        <f>IF(H21,Wh_hp,'2025'!Maxi_hp)</f>
        <v>6.1641621547056991</v>
      </c>
      <c r="J21" s="85">
        <f>IF(H21,An,'2025'!An_max)</f>
        <v>2022</v>
      </c>
      <c r="K21" s="193">
        <f t="shared" si="3"/>
        <v>46029</v>
      </c>
      <c r="L21" s="143">
        <f>IF(t&lt;Tvie,1-EXP((T0-t)*PertePVj)+'2025'!Pspv,1-EXP((T0-t)*PertePVj)+Pspv)</f>
        <v>2.0418369068440079E-2</v>
      </c>
      <c r="M21" s="836"/>
      <c r="N21" s="836"/>
      <c r="O21" s="48">
        <f>IF(t&lt;Tnet,'2025'!Resal+('2025'!Salim-'2025'!Resal)*(1-EXP(('2025'!Tnet-t)/('2025'!Tau_j))),Resal+(Salim-Resal)*(1-EXP((Tnet-t)/(Tau_j))))*Salcycl</f>
        <v>1.6451968311492454E-2</v>
      </c>
      <c r="P21" s="334">
        <f>(INDEX(Models!$BJ21:$BT21,,T21)*(1-R21)+INDEX(Models!$BJ21:$BT21,,T21+1)*R21-ERP_i)*Q21*Ramure*Pc/MaxiM</f>
        <v>1.1301939612197869E-2</v>
      </c>
      <c r="Q21" s="301">
        <f t="shared" si="4"/>
        <v>0.5</v>
      </c>
      <c r="R21" s="173">
        <f t="shared" si="5"/>
        <v>0.99401238010428661</v>
      </c>
      <c r="S21" s="802">
        <f t="shared" si="6"/>
        <v>1</v>
      </c>
      <c r="T21" s="172">
        <f t="shared" si="7"/>
        <v>7</v>
      </c>
      <c r="U21" s="247">
        <f t="shared" si="20"/>
        <v>1.9940123801042866</v>
      </c>
      <c r="V21" s="378">
        <f t="shared" si="8"/>
        <v>18.169032122203006</v>
      </c>
      <c r="W21" s="397">
        <f t="shared" si="9"/>
        <v>5.8718424658215671</v>
      </c>
      <c r="X21" s="153">
        <f t="shared" si="10"/>
        <v>46029</v>
      </c>
      <c r="Y21" s="380">
        <f t="shared" si="11"/>
        <v>5.6869779322369611</v>
      </c>
      <c r="Z21" s="380">
        <f t="shared" si="21"/>
        <v>5.8055171234976859</v>
      </c>
      <c r="AA21" s="381">
        <f t="shared" si="12"/>
        <v>6.0945015134480842</v>
      </c>
      <c r="AB21" s="193">
        <f t="shared" si="13"/>
        <v>46029</v>
      </c>
      <c r="AC21" s="119">
        <f>IF(OR(t&lt;Tnet,NoTnet),'2025'!Resal_s+('2025'!Salim-'2025'!Resal_s)*(1-EXP(('2025'!Tnet_s-t)/'2025'!Tau_j)),Resal_s+(Salim-Resal_s)*(1-EXP((Tnet_s-t)/Tau_j)))*Salcycl</f>
        <v>4.7417231632928096E-2</v>
      </c>
      <c r="AD21" s="227">
        <f>(INDEX(Models!$BJ21:$BT21,,AH21)*(1-AF21)+INDEX(Models!$BJ21:$BT21,,AH21+1)*AF21-ERP_i)*AE21*Ramure*Pc/MaxiM</f>
        <v>1.1301939612197869E-2</v>
      </c>
      <c r="AE21" s="301">
        <f t="shared" si="14"/>
        <v>0.5</v>
      </c>
      <c r="AF21" s="173">
        <f t="shared" si="22"/>
        <v>0.99401238010428661</v>
      </c>
      <c r="AG21" s="802">
        <f t="shared" si="23"/>
        <v>1</v>
      </c>
      <c r="AH21" s="172">
        <f t="shared" si="15"/>
        <v>7</v>
      </c>
      <c r="AI21" s="221">
        <f t="shared" si="24"/>
        <v>1.9940123801042866</v>
      </c>
      <c r="AJ21" s="261" t="b">
        <f t="shared" si="16"/>
        <v>0</v>
      </c>
      <c r="AK21" s="261" t="b">
        <f t="shared" si="17"/>
        <v>0</v>
      </c>
      <c r="AL21" s="261"/>
      <c r="AM21" s="261"/>
      <c r="AN21" s="75"/>
    </row>
    <row r="22" spans="1:40" s="6" customFormat="1" ht="11.25" x14ac:dyDescent="0.2">
      <c r="A22" s="56">
        <f t="shared" si="18"/>
        <v>46030</v>
      </c>
      <c r="B22" s="406">
        <f>'2025'!Wh/'2025'!Env_an*'2026'!Env_an</f>
        <v>7.6702279797422763</v>
      </c>
      <c r="C22" s="832"/>
      <c r="D22" s="388">
        <f t="shared" si="0"/>
        <v>7.8302131623938367</v>
      </c>
      <c r="E22" s="380">
        <f t="shared" si="1"/>
        <v>7.9616562647919427</v>
      </c>
      <c r="F22" s="380">
        <f t="shared" si="2"/>
        <v>7.9767367225162369</v>
      </c>
      <c r="G22" s="110">
        <f t="shared" si="19"/>
        <v>0.41371613700068594</v>
      </c>
      <c r="H22" s="409" t="b">
        <f>Wh_hp&gt;='2025'!Maxi_hp</f>
        <v>0</v>
      </c>
      <c r="I22" s="375">
        <f>IF(H22,Wh_hp,'2025'!Maxi_hp)</f>
        <v>8.052237097122509</v>
      </c>
      <c r="J22" s="85">
        <f>IF(H22,An,'2025'!An_max)</f>
        <v>2022</v>
      </c>
      <c r="K22" s="193">
        <f t="shared" si="3"/>
        <v>46030</v>
      </c>
      <c r="L22" s="143">
        <f>IF(t&lt;Tvie,1-EXP((T0-t)*PertePVj)+'2025'!Pspv,1-EXP((T0-t)*PertePVj)+Pspv)</f>
        <v>2.0431778718352334E-2</v>
      </c>
      <c r="M22" s="836"/>
      <c r="N22" s="836"/>
      <c r="O22" s="48">
        <f>IF(t&lt;Tnet,'2025'!Resal+('2025'!Salim-'2025'!Resal)*(1-EXP(('2025'!Tnet-t)/('2025'!Tau_j))),Resal+(Salim-Resal)*(1-EXP((Tnet-t)/(Tau_j))))*Salcycl</f>
        <v>1.6509517370069525E-2</v>
      </c>
      <c r="P22" s="334">
        <f>(INDEX(Models!$BJ22:$BT22,,T22)*(1-R22)+INDEX(Models!$BJ22:$BT22,,T22+1)*R22-ERP_i)*Q22*Ramure*Pc/MaxiM</f>
        <v>1.1250199624068449E-2</v>
      </c>
      <c r="Q22" s="301">
        <f t="shared" si="4"/>
        <v>0.5</v>
      </c>
      <c r="R22" s="173">
        <f t="shared" si="5"/>
        <v>0.99404973446028388</v>
      </c>
      <c r="S22" s="802">
        <f t="shared" si="6"/>
        <v>1</v>
      </c>
      <c r="T22" s="172">
        <f t="shared" si="7"/>
        <v>7</v>
      </c>
      <c r="U22" s="247">
        <f t="shared" si="20"/>
        <v>1.9940497344602839</v>
      </c>
      <c r="V22" s="378">
        <f t="shared" si="8"/>
        <v>18.365977802774005</v>
      </c>
      <c r="W22" s="397">
        <f t="shared" si="9"/>
        <v>7.6702279797422763</v>
      </c>
      <c r="X22" s="153">
        <f t="shared" si="10"/>
        <v>46030</v>
      </c>
      <c r="Y22" s="380">
        <f t="shared" si="11"/>
        <v>7.4289578828464577</v>
      </c>
      <c r="Z22" s="380">
        <f t="shared" si="21"/>
        <v>7.5839106674229964</v>
      </c>
      <c r="AA22" s="381">
        <f t="shared" si="12"/>
        <v>7.9616562647919427</v>
      </c>
      <c r="AB22" s="193">
        <f t="shared" si="13"/>
        <v>46030</v>
      </c>
      <c r="AC22" s="119">
        <f>IF(OR(t&lt;Tnet,NoTnet),'2025'!Resal_s+('2025'!Salim-'2025'!Resal_s)*(1-EXP(('2025'!Tnet_s-t)/'2025'!Tau_j)),Resal_s+(Salim-Resal_s)*(1-EXP((Tnet_s-t)/Tau_j)))*Salcycl</f>
        <v>4.7445604884929951E-2</v>
      </c>
      <c r="AD22" s="227">
        <f>(INDEX(Models!$BJ22:$BT22,,AH22)*(1-AF22)+INDEX(Models!$BJ22:$BT22,,AH22+1)*AF22-ERP_i)*AE22*Ramure*Pc/MaxiM</f>
        <v>1.1250199624068449E-2</v>
      </c>
      <c r="AE22" s="301">
        <f t="shared" si="14"/>
        <v>0.5</v>
      </c>
      <c r="AF22" s="173">
        <f t="shared" si="22"/>
        <v>0.99404973446028388</v>
      </c>
      <c r="AG22" s="802">
        <f t="shared" si="23"/>
        <v>1</v>
      </c>
      <c r="AH22" s="172">
        <f t="shared" si="15"/>
        <v>7</v>
      </c>
      <c r="AI22" s="221">
        <f t="shared" si="24"/>
        <v>1.9940497344602839</v>
      </c>
      <c r="AJ22" s="261" t="b">
        <f t="shared" si="16"/>
        <v>0</v>
      </c>
      <c r="AK22" s="261" t="b">
        <f t="shared" si="17"/>
        <v>0</v>
      </c>
      <c r="AL22" s="261"/>
      <c r="AM22" s="261"/>
      <c r="AN22" s="75"/>
    </row>
    <row r="23" spans="1:40" s="6" customFormat="1" ht="11.25" x14ac:dyDescent="0.2">
      <c r="A23" s="56">
        <f t="shared" si="18"/>
        <v>46031</v>
      </c>
      <c r="B23" s="406">
        <f>'2025'!Wh/'2025'!Env_an*'2026'!Env_an</f>
        <v>2.3040578284580975</v>
      </c>
      <c r="C23" s="832"/>
      <c r="D23" s="388">
        <f t="shared" si="0"/>
        <v>2.3521479356405162</v>
      </c>
      <c r="E23" s="380">
        <f t="shared" si="1"/>
        <v>2.3917725053238357</v>
      </c>
      <c r="F23" s="380">
        <f t="shared" si="2"/>
        <v>2.3917725053238357</v>
      </c>
      <c r="G23" s="110">
        <f t="shared" si="19"/>
        <v>0.12271246798819903</v>
      </c>
      <c r="H23" s="409" t="b">
        <f>Wh_hp&gt;='2025'!Maxi_hp</f>
        <v>0</v>
      </c>
      <c r="I23" s="375">
        <f>IF(H23,Wh_hp,'2025'!Maxi_hp)</f>
        <v>2.4188853930491918</v>
      </c>
      <c r="J23" s="85">
        <f>IF(H23,An,'2025'!An_max)</f>
        <v>2022</v>
      </c>
      <c r="K23" s="193">
        <f t="shared" si="3"/>
        <v>46031</v>
      </c>
      <c r="L23" s="143">
        <f>IF(t&lt;Tvie,1-EXP((T0-t)*PertePVj)+'2025'!Pspv,1-EXP((T0-t)*PertePVj)+Pspv)</f>
        <v>2.044518818469776E-2</v>
      </c>
      <c r="M23" s="836"/>
      <c r="N23" s="836"/>
      <c r="O23" s="48">
        <f>IF(t&lt;Tnet,'2025'!Resal+('2025'!Salim-'2025'!Resal)*(1-EXP(('2025'!Tnet-t)/('2025'!Tau_j))),Resal+(Salim-Resal)*(1-EXP((Tnet-t)/(Tau_j))))*Salcycl</f>
        <v>1.6567031185081058E-2</v>
      </c>
      <c r="P23" s="334">
        <f>(INDEX(Models!$BJ23:$BT23,,T23)*(1-R23)+INDEX(Models!$BJ23:$BT23,,T23+1)*R23-ERP_i)*Q23*Ramure*Pc/MaxiM</f>
        <v>1.1210297260161753E-2</v>
      </c>
      <c r="Q23" s="301">
        <f t="shared" si="4"/>
        <v>0.5</v>
      </c>
      <c r="R23" s="173">
        <f t="shared" si="5"/>
        <v>0.99408864996931889</v>
      </c>
      <c r="S23" s="802">
        <f t="shared" si="6"/>
        <v>1</v>
      </c>
      <c r="T23" s="172">
        <f t="shared" si="7"/>
        <v>7</v>
      </c>
      <c r="U23" s="247">
        <f t="shared" si="20"/>
        <v>1.9940886499693189</v>
      </c>
      <c r="V23" s="378">
        <f t="shared" si="8"/>
        <v>18.565584187546218</v>
      </c>
      <c r="W23" s="397">
        <f t="shared" si="9"/>
        <v>2.3040578284580975</v>
      </c>
      <c r="X23" s="153">
        <f t="shared" si="10"/>
        <v>46031</v>
      </c>
      <c r="Y23" s="380">
        <f t="shared" si="11"/>
        <v>2.2316467254251893</v>
      </c>
      <c r="Z23" s="380">
        <f t="shared" si="21"/>
        <v>2.2782254739676295</v>
      </c>
      <c r="AA23" s="381">
        <f t="shared" si="12"/>
        <v>2.3917725053238357</v>
      </c>
      <c r="AB23" s="193">
        <f t="shared" si="13"/>
        <v>46031</v>
      </c>
      <c r="AC23" s="119">
        <f>IF(OR(t&lt;Tnet,NoTnet),'2025'!Resal_s+('2025'!Salim-'2025'!Resal_s)*(1-EXP(('2025'!Tnet_s-t)/'2025'!Tau_j)),Resal_s+(Salim-Resal_s)*(1-EXP((Tnet_s-t)/Tau_j)))*Salcycl</f>
        <v>4.7474009799620319E-2</v>
      </c>
      <c r="AD23" s="227">
        <f>(INDEX(Models!$BJ23:$BT23,,AH23)*(1-AF23)+INDEX(Models!$BJ23:$BT23,,AH23+1)*AF23-ERP_i)*AE23*Ramure*Pc/MaxiM</f>
        <v>1.1210297260161753E-2</v>
      </c>
      <c r="AE23" s="301">
        <f t="shared" si="14"/>
        <v>0.5</v>
      </c>
      <c r="AF23" s="173">
        <f t="shared" si="22"/>
        <v>0.99408864996931889</v>
      </c>
      <c r="AG23" s="802">
        <f t="shared" si="23"/>
        <v>1</v>
      </c>
      <c r="AH23" s="172">
        <f t="shared" si="15"/>
        <v>7</v>
      </c>
      <c r="AI23" s="221">
        <f t="shared" si="24"/>
        <v>1.9940886499693189</v>
      </c>
      <c r="AJ23" s="261" t="b">
        <f t="shared" si="16"/>
        <v>0</v>
      </c>
      <c r="AK23" s="261" t="b">
        <f t="shared" si="17"/>
        <v>0</v>
      </c>
      <c r="AL23" s="261"/>
      <c r="AM23" s="261"/>
      <c r="AN23" s="75"/>
    </row>
    <row r="24" spans="1:40" s="6" customFormat="1" ht="11.25" x14ac:dyDescent="0.2">
      <c r="A24" s="56">
        <f t="shared" si="18"/>
        <v>46032</v>
      </c>
      <c r="B24" s="406">
        <f>'2025'!Wh/'2025'!Env_an*'2026'!Env_an</f>
        <v>1.9052919008195246</v>
      </c>
      <c r="C24" s="832"/>
      <c r="D24" s="388">
        <f t="shared" si="0"/>
        <v>1.9450856246541024</v>
      </c>
      <c r="E24" s="380">
        <f t="shared" si="1"/>
        <v>1.9779683774290173</v>
      </c>
      <c r="F24" s="380">
        <f t="shared" si="2"/>
        <v>1.9779683774290173</v>
      </c>
      <c r="G24" s="110">
        <f t="shared" si="19"/>
        <v>0.10036474595076146</v>
      </c>
      <c r="H24" s="409" t="b">
        <f>Wh_hp&gt;='2025'!Maxi_hp</f>
        <v>0</v>
      </c>
      <c r="I24" s="375">
        <f>IF(H24,Wh_hp,'2025'!Maxi_hp)</f>
        <v>2.0003417507562942</v>
      </c>
      <c r="J24" s="85">
        <f>IF(H24,An,'2025'!An_max)</f>
        <v>2022</v>
      </c>
      <c r="K24" s="193">
        <f t="shared" si="3"/>
        <v>46032</v>
      </c>
      <c r="L24" s="143">
        <f>IF(t&lt;Tvie,1-EXP((T0-t)*PertePVj)+'2025'!Pspv,1-EXP((T0-t)*PertePVj)+Pspv)</f>
        <v>2.0458597467478801E-2</v>
      </c>
      <c r="M24" s="836"/>
      <c r="N24" s="836"/>
      <c r="O24" s="48">
        <f>IF(t&lt;Tnet,'2025'!Resal+('2025'!Salim-'2025'!Resal)*(1-EXP(('2025'!Tnet-t)/('2025'!Tau_j))),Resal+(Salim-Resal)*(1-EXP((Tnet-t)/(Tau_j))))*Salcycl</f>
        <v>1.662450883954792E-2</v>
      </c>
      <c r="P24" s="334">
        <f>(INDEX(Models!$BJ24:$BT24,,T24)*(1-R24)+INDEX(Models!$BJ24:$BT24,,T24+1)*R24-ERP_i)*Q24*Ramure*Pc/MaxiM</f>
        <v>1.1186446797648318E-2</v>
      </c>
      <c r="Q24" s="301">
        <f t="shared" si="4"/>
        <v>0.5</v>
      </c>
      <c r="R24" s="173">
        <f t="shared" si="5"/>
        <v>0.99412919161778857</v>
      </c>
      <c r="S24" s="802">
        <f t="shared" si="6"/>
        <v>1</v>
      </c>
      <c r="T24" s="172">
        <f t="shared" si="7"/>
        <v>7</v>
      </c>
      <c r="U24" s="247">
        <f t="shared" si="20"/>
        <v>1.9941291916177886</v>
      </c>
      <c r="V24" s="378">
        <f t="shared" si="8"/>
        <v>18.771316924981697</v>
      </c>
      <c r="W24" s="397">
        <f t="shared" si="9"/>
        <v>1.9052919008195246</v>
      </c>
      <c r="X24" s="153">
        <f t="shared" si="10"/>
        <v>46032</v>
      </c>
      <c r="Y24" s="380">
        <f t="shared" si="11"/>
        <v>1.8454658439233349</v>
      </c>
      <c r="Z24" s="380">
        <f t="shared" si="21"/>
        <v>1.8840100471016739</v>
      </c>
      <c r="AA24" s="381">
        <f t="shared" si="12"/>
        <v>1.9779683774290173</v>
      </c>
      <c r="AB24" s="193">
        <f t="shared" si="13"/>
        <v>46032</v>
      </c>
      <c r="AC24" s="119">
        <f>IF(OR(t&lt;Tnet,NoTnet),'2025'!Resal_s+('2025'!Salim-'2025'!Resal_s)*(1-EXP(('2025'!Tnet_s-t)/'2025'!Tau_j)),Resal_s+(Salim-Resal_s)*(1-EXP((Tnet_s-t)/Tau_j)))*Salcycl</f>
        <v>4.7502443112599921E-2</v>
      </c>
      <c r="AD24" s="227">
        <f>(INDEX(Models!$BJ24:$BT24,,AH24)*(1-AF24)+INDEX(Models!$BJ24:$BT24,,AH24+1)*AF24-ERP_i)*AE24*Ramure*Pc/MaxiM</f>
        <v>1.1186446797648318E-2</v>
      </c>
      <c r="AE24" s="301">
        <f t="shared" si="14"/>
        <v>0.5</v>
      </c>
      <c r="AF24" s="173">
        <f t="shared" si="22"/>
        <v>0.99412919161778857</v>
      </c>
      <c r="AG24" s="802">
        <f t="shared" si="23"/>
        <v>1</v>
      </c>
      <c r="AH24" s="172">
        <f t="shared" si="15"/>
        <v>7</v>
      </c>
      <c r="AI24" s="221">
        <f t="shared" si="24"/>
        <v>1.9941291916177886</v>
      </c>
      <c r="AJ24" s="261" t="b">
        <f t="shared" si="16"/>
        <v>0</v>
      </c>
      <c r="AK24" s="261" t="b">
        <f t="shared" si="17"/>
        <v>0</v>
      </c>
      <c r="AL24" s="261"/>
      <c r="AM24" s="261"/>
      <c r="AN24" s="75"/>
    </row>
    <row r="25" spans="1:40" s="6" customFormat="1" ht="11.25" x14ac:dyDescent="0.2">
      <c r="A25" s="56">
        <f t="shared" si="18"/>
        <v>46033</v>
      </c>
      <c r="B25" s="406">
        <f>'2025'!Wh/'2025'!Env_an*'2026'!Env_an</f>
        <v>19.119449299643573</v>
      </c>
      <c r="C25" s="832"/>
      <c r="D25" s="388">
        <f t="shared" si="0"/>
        <v>19.51904328188601</v>
      </c>
      <c r="E25" s="380">
        <f t="shared" si="1"/>
        <v>19.850183037989911</v>
      </c>
      <c r="F25" s="380">
        <f t="shared" si="2"/>
        <v>20.074424837955934</v>
      </c>
      <c r="G25" s="110">
        <f t="shared" si="19"/>
        <v>1.0071655941106645</v>
      </c>
      <c r="H25" s="409" t="b">
        <f>Wh_hp&gt;='2025'!Maxi_hp</f>
        <v>1</v>
      </c>
      <c r="I25" s="375">
        <f>IF(H25,Wh_hp,'2025'!Maxi_hp)</f>
        <v>20.074424837955934</v>
      </c>
      <c r="J25" s="85">
        <f>IF(H25,An,'2025'!An_max)</f>
        <v>2026</v>
      </c>
      <c r="K25" s="193">
        <f t="shared" si="3"/>
        <v>46033</v>
      </c>
      <c r="L25" s="143">
        <f>IF(t&lt;Tvie,1-EXP((T0-t)*PertePVj)+'2025'!Pspv,1-EXP((T0-t)*PertePVj)+Pspv)</f>
        <v>2.047200656669812E-2</v>
      </c>
      <c r="M25" s="836"/>
      <c r="N25" s="836"/>
      <c r="O25" s="48">
        <f>IF(t&lt;Tnet,'2025'!Resal+('2025'!Salim-'2025'!Resal)*(1-EXP(('2025'!Tnet-t)/('2025'!Tau_j))),Resal+(Salim-Resal)*(1-EXP((Tnet-t)/(Tau_j))))*Salcycl</f>
        <v>1.6681949756843926E-2</v>
      </c>
      <c r="P25" s="334">
        <f>(INDEX(Models!$BJ25:$BT25,,T25)*(1-R25)+INDEX(Models!$BJ25:$BT25,,T25+1)*R25-ERP_i)*Q25*Ramure*Pc/MaxiM</f>
        <v>1.117052178461592E-2</v>
      </c>
      <c r="Q25" s="301">
        <f t="shared" si="4"/>
        <v>0.5</v>
      </c>
      <c r="R25" s="173">
        <f t="shared" si="5"/>
        <v>0.99417142707515449</v>
      </c>
      <c r="S25" s="802">
        <f t="shared" si="6"/>
        <v>1</v>
      </c>
      <c r="T25" s="172">
        <f t="shared" si="7"/>
        <v>7</v>
      </c>
      <c r="U25" s="247">
        <f t="shared" si="20"/>
        <v>1.9941714270751545</v>
      </c>
      <c r="V25" s="378">
        <f t="shared" si="8"/>
        <v>18.983421804163402</v>
      </c>
      <c r="W25" s="397">
        <f t="shared" si="9"/>
        <v>19.119449299643573</v>
      </c>
      <c r="X25" s="153">
        <f t="shared" si="10"/>
        <v>46033</v>
      </c>
      <c r="Y25" s="380">
        <f t="shared" si="11"/>
        <v>18.519628123683049</v>
      </c>
      <c r="Z25" s="380">
        <f t="shared" si="21"/>
        <v>18.906685922033414</v>
      </c>
      <c r="AA25" s="381">
        <f t="shared" si="12"/>
        <v>19.850183037989911</v>
      </c>
      <c r="AB25" s="193">
        <f t="shared" si="13"/>
        <v>46033</v>
      </c>
      <c r="AC25" s="119">
        <f>IF(OR(t&lt;Tnet,NoTnet),'2025'!Resal_s+('2025'!Salim-'2025'!Resal_s)*(1-EXP(('2025'!Tnet_s-t)/'2025'!Tau_j)),Resal_s+(Salim-Resal_s)*(1-EXP((Tnet_s-t)/Tau_j)))*Salcycl</f>
        <v>4.7530902569049432E-2</v>
      </c>
      <c r="AD25" s="227">
        <f>(INDEX(Models!$BJ25:$BT25,,AH25)*(1-AF25)+INDEX(Models!$BJ25:$BT25,,AH25+1)*AF25-ERP_i)*AE25*Ramure*Pc/MaxiM</f>
        <v>1.117052178461592E-2</v>
      </c>
      <c r="AE25" s="301">
        <f t="shared" si="14"/>
        <v>0.5</v>
      </c>
      <c r="AF25" s="173">
        <f t="shared" si="22"/>
        <v>0.99417142707515449</v>
      </c>
      <c r="AG25" s="802">
        <f t="shared" si="23"/>
        <v>1</v>
      </c>
      <c r="AH25" s="172">
        <f t="shared" si="15"/>
        <v>7</v>
      </c>
      <c r="AI25" s="221">
        <f t="shared" si="24"/>
        <v>1.9941714270751545</v>
      </c>
      <c r="AJ25" s="261" t="b">
        <f t="shared" si="16"/>
        <v>0</v>
      </c>
      <c r="AK25" s="261" t="b">
        <f t="shared" si="17"/>
        <v>0</v>
      </c>
      <c r="AL25" s="261"/>
      <c r="AM25" s="261"/>
      <c r="AN25" s="75"/>
    </row>
    <row r="26" spans="1:40" s="6" customFormat="1" ht="11.25" x14ac:dyDescent="0.2">
      <c r="A26" s="56">
        <f t="shared" si="18"/>
        <v>46034</v>
      </c>
      <c r="B26" s="406">
        <f>'2025'!Wh/'2025'!Env_an*'2026'!Env_an</f>
        <v>17.162800328580477</v>
      </c>
      <c r="C26" s="832"/>
      <c r="D26" s="388">
        <f t="shared" si="0"/>
        <v>17.521740461916888</v>
      </c>
      <c r="E26" s="380">
        <f t="shared" si="1"/>
        <v>17.820036352905774</v>
      </c>
      <c r="F26" s="380">
        <f t="shared" si="2"/>
        <v>17.990383169533445</v>
      </c>
      <c r="G26" s="110">
        <f t="shared" si="19"/>
        <v>0.8922747046057603</v>
      </c>
      <c r="H26" s="409" t="b">
        <f>Wh_hp&gt;='2025'!Maxi_hp</f>
        <v>0</v>
      </c>
      <c r="I26" s="375">
        <f>IF(H26,Wh_hp,'2025'!Maxi_hp)</f>
        <v>18.021186492350228</v>
      </c>
      <c r="J26" s="85">
        <f>IF(H26,An,'2025'!An_max)</f>
        <v>2022</v>
      </c>
      <c r="K26" s="193">
        <f t="shared" si="3"/>
        <v>46034</v>
      </c>
      <c r="L26" s="143">
        <f>IF(t&lt;Tvie,1-EXP((T0-t)*PertePVj)+'2025'!Pspv,1-EXP((T0-t)*PertePVj)+Pspv)</f>
        <v>2.0485415482358049E-2</v>
      </c>
      <c r="M26" s="836"/>
      <c r="N26" s="836"/>
      <c r="O26" s="48">
        <f>IF(t&lt;Tnet,'2025'!Resal+('2025'!Salim-'2025'!Resal)*(1-EXP(('2025'!Tnet-t)/('2025'!Tau_j))),Resal+(Salim-Resal)*(1-EXP((Tnet-t)/(Tau_j))))*Salcycl</f>
        <v>1.673935367366668E-2</v>
      </c>
      <c r="P26" s="334">
        <f>(INDEX(Models!$BJ26:$BT26,,T26)*(1-R26)+INDEX(Models!$BJ26:$BT26,,T26+1)*R26-ERP_i)*Q26*Ramure*Pc/MaxiM</f>
        <v>1.1162190735763709E-2</v>
      </c>
      <c r="Q26" s="301">
        <f t="shared" si="4"/>
        <v>0.5</v>
      </c>
      <c r="R26" s="173">
        <f t="shared" si="5"/>
        <v>0.9942154268028256</v>
      </c>
      <c r="S26" s="802">
        <f t="shared" si="6"/>
        <v>1</v>
      </c>
      <c r="T26" s="172">
        <f t="shared" si="7"/>
        <v>7</v>
      </c>
      <c r="U26" s="247">
        <f t="shared" si="20"/>
        <v>1.9942154268028256</v>
      </c>
      <c r="V26" s="378">
        <f t="shared" si="8"/>
        <v>19.201999770027776</v>
      </c>
      <c r="W26" s="397">
        <f t="shared" si="9"/>
        <v>17.162800328580477</v>
      </c>
      <c r="X26" s="153">
        <f t="shared" si="10"/>
        <v>46034</v>
      </c>
      <c r="Y26" s="380">
        <f t="shared" si="11"/>
        <v>16.624837096552117</v>
      </c>
      <c r="Z26" s="380">
        <f t="shared" si="21"/>
        <v>16.972526350630044</v>
      </c>
      <c r="AA26" s="381">
        <f t="shared" si="12"/>
        <v>17.820036352905774</v>
      </c>
      <c r="AB26" s="193">
        <f t="shared" si="13"/>
        <v>46034</v>
      </c>
      <c r="AC26" s="119">
        <f>IF(OR(t&lt;Tnet,NoTnet),'2025'!Resal_s+('2025'!Salim-'2025'!Resal_s)*(1-EXP(('2025'!Tnet_s-t)/'2025'!Tau_j)),Resal_s+(Salim-Resal_s)*(1-EXP((Tnet_s-t)/Tau_j)))*Salcycl</f>
        <v>4.7559386832425478E-2</v>
      </c>
      <c r="AD26" s="227">
        <f>(INDEX(Models!$BJ26:$BT26,,AH26)*(1-AF26)+INDEX(Models!$BJ26:$BT26,,AH26+1)*AF26-ERP_i)*AE26*Ramure*Pc/MaxiM</f>
        <v>1.1162190735763709E-2</v>
      </c>
      <c r="AE26" s="301">
        <f t="shared" si="14"/>
        <v>0.5</v>
      </c>
      <c r="AF26" s="173">
        <f t="shared" si="22"/>
        <v>0.9942154268028256</v>
      </c>
      <c r="AG26" s="802">
        <f t="shared" si="23"/>
        <v>1</v>
      </c>
      <c r="AH26" s="172">
        <f t="shared" si="15"/>
        <v>7</v>
      </c>
      <c r="AI26" s="221">
        <f t="shared" si="24"/>
        <v>1.9942154268028256</v>
      </c>
      <c r="AJ26" s="261" t="b">
        <f t="shared" si="16"/>
        <v>0</v>
      </c>
      <c r="AK26" s="261" t="b">
        <f t="shared" si="17"/>
        <v>0</v>
      </c>
      <c r="AL26" s="261"/>
      <c r="AM26" s="261"/>
      <c r="AN26" s="75"/>
    </row>
    <row r="27" spans="1:40" s="6" customFormat="1" ht="11.25" x14ac:dyDescent="0.2">
      <c r="A27" s="56">
        <f t="shared" si="18"/>
        <v>46035</v>
      </c>
      <c r="B27" s="406">
        <f>'2025'!Wh/'2025'!Env_an*'2026'!Env_an</f>
        <v>5.831007988255549</v>
      </c>
      <c r="C27" s="832"/>
      <c r="D27" s="388">
        <f t="shared" si="0"/>
        <v>5.9530382733631804</v>
      </c>
      <c r="E27" s="380">
        <f t="shared" si="1"/>
        <v>6.0547380161928501</v>
      </c>
      <c r="F27" s="380">
        <f t="shared" si="2"/>
        <v>6.0547522407650574</v>
      </c>
      <c r="G27" s="110">
        <f t="shared" si="19"/>
        <v>0.29679805997290215</v>
      </c>
      <c r="H27" s="409" t="b">
        <f>Wh_hp&gt;='2025'!Maxi_hp</f>
        <v>0</v>
      </c>
      <c r="I27" s="375">
        <f>IF(H27,Wh_hp,'2025'!Maxi_hp)</f>
        <v>6.1230639003066996</v>
      </c>
      <c r="J27" s="85">
        <f>IF(H27,An,'2025'!An_max)</f>
        <v>2022</v>
      </c>
      <c r="K27" s="193">
        <f t="shared" si="3"/>
        <v>46035</v>
      </c>
      <c r="L27" s="143">
        <f>IF(t&lt;Tvie,1-EXP((T0-t)*PertePVj)+'2025'!Pspv,1-EXP((T0-t)*PertePVj)+Pspv)</f>
        <v>2.0498824214461253E-2</v>
      </c>
      <c r="M27" s="836"/>
      <c r="N27" s="836"/>
      <c r="O27" s="48">
        <f>IF(t&lt;Tnet,'2025'!Resal+('2025'!Salim-'2025'!Resal)*(1-EXP(('2025'!Tnet-t)/('2025'!Tau_j))),Resal+(Salim-Resal)*(1-EXP((Tnet-t)/(Tau_j))))*Salcycl</f>
        <v>1.6796720610814685E-2</v>
      </c>
      <c r="P27" s="334">
        <f>(INDEX(Models!$BJ27:$BT27,,T27)*(1-R27)+INDEX(Models!$BJ27:$BT27,,T27+1)*R27-ERP_i)*Q27*Ramure*Pc/MaxiM</f>
        <v>1.1161123173414413E-2</v>
      </c>
      <c r="Q27" s="301">
        <f t="shared" si="4"/>
        <v>0.5</v>
      </c>
      <c r="R27" s="173">
        <f t="shared" si="5"/>
        <v>0.99426126416729477</v>
      </c>
      <c r="S27" s="802">
        <f t="shared" si="6"/>
        <v>1</v>
      </c>
      <c r="T27" s="172">
        <f t="shared" si="7"/>
        <v>7</v>
      </c>
      <c r="U27" s="247">
        <f t="shared" si="20"/>
        <v>1.9942612641672948</v>
      </c>
      <c r="V27" s="378">
        <f t="shared" si="8"/>
        <v>19.427151701938005</v>
      </c>
      <c r="W27" s="397">
        <f t="shared" si="9"/>
        <v>5.831007988255549</v>
      </c>
      <c r="X27" s="153">
        <f t="shared" si="10"/>
        <v>46035</v>
      </c>
      <c r="Y27" s="380">
        <f t="shared" si="11"/>
        <v>5.6483971387387966</v>
      </c>
      <c r="Z27" s="380">
        <f t="shared" si="21"/>
        <v>5.7666057768730132</v>
      </c>
      <c r="AA27" s="381">
        <f t="shared" si="12"/>
        <v>6.0547380161928501</v>
      </c>
      <c r="AB27" s="193">
        <f t="shared" si="13"/>
        <v>46035</v>
      </c>
      <c r="AC27" s="119">
        <f>IF(OR(t&lt;Tnet,NoTnet),'2025'!Resal_s+('2025'!Salim-'2025'!Resal_s)*(1-EXP(('2025'!Tnet_s-t)/'2025'!Tau_j)),Resal_s+(Salim-Resal_s)*(1-EXP((Tnet_s-t)/Tau_j)))*Salcycl</f>
        <v>4.7587895388578903E-2</v>
      </c>
      <c r="AD27" s="227">
        <f>(INDEX(Models!$BJ27:$BT27,,AH27)*(1-AF27)+INDEX(Models!$BJ27:$BT27,,AH27+1)*AF27-ERP_i)*AE27*Ramure*Pc/MaxiM</f>
        <v>1.1161123173414413E-2</v>
      </c>
      <c r="AE27" s="301">
        <f t="shared" si="14"/>
        <v>0.5</v>
      </c>
      <c r="AF27" s="173">
        <f t="shared" si="22"/>
        <v>0.99426126416729477</v>
      </c>
      <c r="AG27" s="802">
        <f t="shared" si="23"/>
        <v>1</v>
      </c>
      <c r="AH27" s="172">
        <f t="shared" si="15"/>
        <v>7</v>
      </c>
      <c r="AI27" s="221">
        <f t="shared" si="24"/>
        <v>1.9942612641672948</v>
      </c>
      <c r="AJ27" s="261" t="b">
        <f t="shared" si="16"/>
        <v>0</v>
      </c>
      <c r="AK27" s="261" t="b">
        <f t="shared" si="17"/>
        <v>0</v>
      </c>
      <c r="AL27" s="261"/>
      <c r="AM27" s="261"/>
      <c r="AN27" s="75"/>
    </row>
    <row r="28" spans="1:40" s="6" customFormat="1" ht="11.25" x14ac:dyDescent="0.2">
      <c r="A28" s="56">
        <f t="shared" si="18"/>
        <v>46036</v>
      </c>
      <c r="B28" s="406">
        <f>'2025'!Wh/'2025'!Env_an*'2026'!Env_an</f>
        <v>19.726637023500878</v>
      </c>
      <c r="C28" s="832"/>
      <c r="D28" s="388">
        <f t="shared" si="0"/>
        <v>20.139748226919878</v>
      </c>
      <c r="E28" s="380">
        <f t="shared" si="1"/>
        <v>20.485003517708858</v>
      </c>
      <c r="F28" s="380">
        <f t="shared" si="2"/>
        <v>20.716342707250174</v>
      </c>
      <c r="G28" s="110">
        <f t="shared" si="19"/>
        <v>1.0034416130426371</v>
      </c>
      <c r="H28" s="409" t="b">
        <f>Wh_hp&gt;='2025'!Maxi_hp</f>
        <v>1</v>
      </c>
      <c r="I28" s="375">
        <f>IF(H28,Wh_hp,'2025'!Maxi_hp)</f>
        <v>20.716342707250174</v>
      </c>
      <c r="J28" s="85">
        <f>IF(H28,An,'2025'!An_max)</f>
        <v>2026</v>
      </c>
      <c r="K28" s="193">
        <f t="shared" si="3"/>
        <v>46036</v>
      </c>
      <c r="L28" s="143">
        <f>IF(t&lt;Tvie,1-EXP((T0-t)*PertePVj)+'2025'!Pspv,1-EXP((T0-t)*PertePVj)+Pspv)</f>
        <v>2.0512232763010063E-2</v>
      </c>
      <c r="M28" s="836"/>
      <c r="N28" s="836"/>
      <c r="O28" s="48">
        <f>IF(t&lt;Tnet,'2025'!Resal+('2025'!Salim-'2025'!Resal)*(1-EXP(('2025'!Tnet-t)/('2025'!Tau_j))),Resal+(Salim-Resal)*(1-EXP((Tnet-t)/(Tau_j))))*Salcycl</f>
        <v>1.6854050842144794E-2</v>
      </c>
      <c r="P28" s="334">
        <f>(INDEX(Models!$BJ28:$BT28,,T28)*(1-R28)+INDEX(Models!$BJ28:$BT28,,T28+1)*R28-ERP_i)*Q28*Ramure*Pc/MaxiM</f>
        <v>1.11669898886329E-2</v>
      </c>
      <c r="Q28" s="301">
        <f t="shared" si="4"/>
        <v>0.5</v>
      </c>
      <c r="R28" s="173">
        <f t="shared" si="5"/>
        <v>0.99430901555768436</v>
      </c>
      <c r="S28" s="802">
        <f t="shared" si="6"/>
        <v>1</v>
      </c>
      <c r="T28" s="172">
        <f t="shared" si="7"/>
        <v>7</v>
      </c>
      <c r="U28" s="247">
        <f t="shared" si="20"/>
        <v>1.9943090155576844</v>
      </c>
      <c r="V28" s="378">
        <f t="shared" si="8"/>
        <v>19.658978426941797</v>
      </c>
      <c r="W28" s="397">
        <f t="shared" si="9"/>
        <v>19.726637023500878</v>
      </c>
      <c r="X28" s="153">
        <f t="shared" si="10"/>
        <v>46036</v>
      </c>
      <c r="Y28" s="380">
        <f t="shared" si="11"/>
        <v>19.109395750728101</v>
      </c>
      <c r="Z28" s="380">
        <f t="shared" si="21"/>
        <v>19.509580813483019</v>
      </c>
      <c r="AA28" s="381">
        <f t="shared" si="12"/>
        <v>20.485003517708858</v>
      </c>
      <c r="AB28" s="193">
        <f t="shared" si="13"/>
        <v>46036</v>
      </c>
      <c r="AC28" s="119">
        <f>IF(OR(t&lt;Tnet,NoTnet),'2025'!Resal_s+('2025'!Salim-'2025'!Resal_s)*(1-EXP(('2025'!Tnet_s-t)/'2025'!Tau_j)),Resal_s+(Salim-Resal_s)*(1-EXP((Tnet_s-t)/Tau_j)))*Salcycl</f>
        <v>4.7616428446429312E-2</v>
      </c>
      <c r="AD28" s="227">
        <f>(INDEX(Models!$BJ28:$BT28,,AH28)*(1-AF28)+INDEX(Models!$BJ28:$BT28,,AH28+1)*AF28-ERP_i)*AE28*Ramure*Pc/MaxiM</f>
        <v>1.11669898886329E-2</v>
      </c>
      <c r="AE28" s="301">
        <f t="shared" si="14"/>
        <v>0.5</v>
      </c>
      <c r="AF28" s="173">
        <f t="shared" si="22"/>
        <v>0.99430901555768436</v>
      </c>
      <c r="AG28" s="802">
        <f t="shared" si="23"/>
        <v>1</v>
      </c>
      <c r="AH28" s="172">
        <f t="shared" si="15"/>
        <v>7</v>
      </c>
      <c r="AI28" s="221">
        <f t="shared" si="24"/>
        <v>1.9943090155576844</v>
      </c>
      <c r="AJ28" s="261" t="b">
        <f t="shared" si="16"/>
        <v>0</v>
      </c>
      <c r="AK28" s="261" t="b">
        <f t="shared" si="17"/>
        <v>0</v>
      </c>
      <c r="AL28" s="261"/>
      <c r="AM28" s="261"/>
      <c r="AN28" s="75"/>
    </row>
    <row r="29" spans="1:40" s="6" customFormat="1" ht="11.25" x14ac:dyDescent="0.2">
      <c r="A29" s="56">
        <f t="shared" si="18"/>
        <v>46037</v>
      </c>
      <c r="B29" s="406">
        <f>'2025'!Wh/'2025'!Env_an*'2026'!Env_an</f>
        <v>20.296714867393824</v>
      </c>
      <c r="C29" s="832"/>
      <c r="D29" s="388">
        <f t="shared" si="0"/>
        <v>20.722048192020509</v>
      </c>
      <c r="E29" s="380">
        <f t="shared" si="1"/>
        <v>21.078514215092522</v>
      </c>
      <c r="F29" s="380">
        <f t="shared" si="2"/>
        <v>21.31682487483608</v>
      </c>
      <c r="G29" s="110">
        <f t="shared" si="19"/>
        <v>1.0200594310119342</v>
      </c>
      <c r="H29" s="409" t="b">
        <f>Wh_hp&gt;='2025'!Maxi_hp</f>
        <v>1</v>
      </c>
      <c r="I29" s="375">
        <f>IF(H29,Wh_hp,'2025'!Maxi_hp)</f>
        <v>21.31682487483608</v>
      </c>
      <c r="J29" s="85">
        <f>IF(H29,An,'2025'!An_max)</f>
        <v>2026</v>
      </c>
      <c r="K29" s="193">
        <f t="shared" si="3"/>
        <v>46037</v>
      </c>
      <c r="L29" s="143">
        <f>IF(t&lt;Tvie,1-EXP((T0-t)*PertePVj)+'2025'!Pspv,1-EXP((T0-t)*PertePVj)+Pspv)</f>
        <v>2.0525641128007255E-2</v>
      </c>
      <c r="M29" s="836"/>
      <c r="N29" s="836"/>
      <c r="O29" s="48">
        <f>IF(t&lt;Tnet,'2025'!Resal+('2025'!Salim-'2025'!Resal)*(1-EXP(('2025'!Tnet-t)/('2025'!Tau_j))),Resal+(Salim-Resal)*(1-EXP((Tnet-t)/(Tau_j))))*Salcycl</f>
        <v>1.6911344862095584E-2</v>
      </c>
      <c r="P29" s="334">
        <f>(INDEX(Models!$BJ29:$BT29,,T29)*(1-R29)+INDEX(Models!$BJ29:$BT29,,T29+1)*R29-ERP_i)*Q29*Ramure*Pc/MaxiM</f>
        <v>1.1179463224135055E-2</v>
      </c>
      <c r="Q29" s="301">
        <f t="shared" si="4"/>
        <v>0.5</v>
      </c>
      <c r="R29" s="173">
        <f t="shared" si="5"/>
        <v>0.99435876050785654</v>
      </c>
      <c r="S29" s="802">
        <f t="shared" si="6"/>
        <v>1</v>
      </c>
      <c r="T29" s="172">
        <f t="shared" si="7"/>
        <v>7</v>
      </c>
      <c r="U29" s="247">
        <f t="shared" si="20"/>
        <v>1.9943587605078565</v>
      </c>
      <c r="V29" s="378">
        <f t="shared" si="8"/>
        <v>19.897580719643738</v>
      </c>
      <c r="W29" s="397">
        <f t="shared" si="9"/>
        <v>20.296714867393824</v>
      </c>
      <c r="X29" s="153">
        <f t="shared" si="10"/>
        <v>46037</v>
      </c>
      <c r="Y29" s="380">
        <f t="shared" si="11"/>
        <v>19.662192268920503</v>
      </c>
      <c r="Z29" s="380">
        <f t="shared" si="21"/>
        <v>20.074228682784895</v>
      </c>
      <c r="AA29" s="381">
        <f t="shared" si="12"/>
        <v>21.078514215092522</v>
      </c>
      <c r="AB29" s="193">
        <f t="shared" si="13"/>
        <v>46037</v>
      </c>
      <c r="AC29" s="119">
        <f>IF(OR(t&lt;Tnet,NoTnet),'2025'!Resal_s+('2025'!Salim-'2025'!Resal_s)*(1-EXP(('2025'!Tnet_s-t)/'2025'!Tau_j)),Resal_s+(Salim-Resal_s)*(1-EXP((Tnet_s-t)/Tau_j)))*Salcycl</f>
        <v>4.7644986836337132E-2</v>
      </c>
      <c r="AD29" s="227">
        <f>(INDEX(Models!$BJ29:$BT29,,AH29)*(1-AF29)+INDEX(Models!$BJ29:$BT29,,AH29+1)*AF29-ERP_i)*AE29*Ramure*Pc/MaxiM</f>
        <v>1.1179463224135055E-2</v>
      </c>
      <c r="AE29" s="301">
        <f t="shared" si="14"/>
        <v>0.5</v>
      </c>
      <c r="AF29" s="173">
        <f t="shared" si="22"/>
        <v>0.99435876050785654</v>
      </c>
      <c r="AG29" s="802">
        <f t="shared" si="23"/>
        <v>1</v>
      </c>
      <c r="AH29" s="172">
        <f t="shared" si="15"/>
        <v>7</v>
      </c>
      <c r="AI29" s="221">
        <f t="shared" si="24"/>
        <v>1.9943587605078565</v>
      </c>
      <c r="AJ29" s="261" t="b">
        <f t="shared" si="16"/>
        <v>0</v>
      </c>
      <c r="AK29" s="261" t="b">
        <f t="shared" si="17"/>
        <v>0</v>
      </c>
      <c r="AL29" s="261"/>
      <c r="AM29" s="261"/>
      <c r="AN29" s="75"/>
    </row>
    <row r="30" spans="1:40" s="6" customFormat="1" ht="11.25" x14ac:dyDescent="0.2">
      <c r="A30" s="56">
        <f t="shared" si="18"/>
        <v>46038</v>
      </c>
      <c r="B30" s="406">
        <f>'2025'!Wh/'2025'!Env_an*'2026'!Env_an</f>
        <v>20.018426910457976</v>
      </c>
      <c r="C30" s="832"/>
      <c r="D30" s="388">
        <f t="shared" si="0"/>
        <v>20.438208278078339</v>
      </c>
      <c r="E30" s="380">
        <f t="shared" si="1"/>
        <v>20.791002553706132</v>
      </c>
      <c r="F30" s="380">
        <f t="shared" si="2"/>
        <v>21.024136250164617</v>
      </c>
      <c r="G30" s="110">
        <f t="shared" si="19"/>
        <v>0.9937027376690114</v>
      </c>
      <c r="H30" s="409" t="b">
        <f>Wh_hp&gt;='2025'!Maxi_hp</f>
        <v>0</v>
      </c>
      <c r="I30" s="375">
        <f>IF(H30,Wh_hp,'2025'!Maxi_hp)</f>
        <v>21.026241804609086</v>
      </c>
      <c r="J30" s="85">
        <f>IF(H30,An,'2025'!An_max)</f>
        <v>2022</v>
      </c>
      <c r="K30" s="193">
        <f t="shared" si="3"/>
        <v>46038</v>
      </c>
      <c r="L30" s="143">
        <f>IF(t&lt;Tvie,1-EXP((T0-t)*PertePVj)+'2025'!Pspv,1-EXP((T0-t)*PertePVj)+Pspv)</f>
        <v>2.0539049309455049E-2</v>
      </c>
      <c r="M30" s="836"/>
      <c r="N30" s="836"/>
      <c r="O30" s="48">
        <f>IF(t&lt;Tnet,'2025'!Resal+('2025'!Salim-'2025'!Resal)*(1-EXP(('2025'!Tnet-t)/('2025'!Tau_j))),Resal+(Salim-Resal)*(1-EXP((Tnet-t)/(Tau_j))))*Salcycl</f>
        <v>1.6968603352169941E-2</v>
      </c>
      <c r="P30" s="334">
        <f>(INDEX(Models!$BJ30:$BT30,,T30)*(1-R30)+INDEX(Models!$BJ30:$BT30,,T30+1)*R30-ERP_i)*Q30*Ramure*Pc/MaxiM</f>
        <v>1.1187916130924498E-2</v>
      </c>
      <c r="Q30" s="301">
        <f t="shared" si="4"/>
        <v>0.5</v>
      </c>
      <c r="R30" s="173">
        <f t="shared" si="5"/>
        <v>0.99441058182324982</v>
      </c>
      <c r="S30" s="802">
        <f t="shared" si="6"/>
        <v>1</v>
      </c>
      <c r="T30" s="172">
        <f t="shared" si="7"/>
        <v>7</v>
      </c>
      <c r="U30" s="247">
        <f t="shared" si="20"/>
        <v>1.9944105818232498</v>
      </c>
      <c r="V30" s="378">
        <f t="shared" si="8"/>
        <v>20.143269170739877</v>
      </c>
      <c r="W30" s="397">
        <f t="shared" si="9"/>
        <v>20.018426910457976</v>
      </c>
      <c r="X30" s="153">
        <f t="shared" si="10"/>
        <v>46038</v>
      </c>
      <c r="Y30" s="380">
        <f t="shared" si="11"/>
        <v>19.393151694523873</v>
      </c>
      <c r="Z30" s="380">
        <f t="shared" si="21"/>
        <v>19.799821198436963</v>
      </c>
      <c r="AA30" s="381">
        <f t="shared" si="12"/>
        <v>20.791002553706132</v>
      </c>
      <c r="AB30" s="193">
        <f t="shared" si="13"/>
        <v>46038</v>
      </c>
      <c r="AC30" s="119">
        <f>IF(OR(t&lt;Tnet,NoTnet),'2025'!Resal_s+('2025'!Salim-'2025'!Resal_s)*(1-EXP(('2025'!Tnet_s-t)/'2025'!Tau_j)),Resal_s+(Salim-Resal_s)*(1-EXP((Tnet_s-t)/Tau_j)))*Salcycl</f>
        <v>4.7673571907309809E-2</v>
      </c>
      <c r="AD30" s="227">
        <f>(INDEX(Models!$BJ30:$BT30,,AH30)*(1-AF30)+INDEX(Models!$BJ30:$BT30,,AH30+1)*AF30-ERP_i)*AE30*Ramure*Pc/MaxiM</f>
        <v>1.1187916130924498E-2</v>
      </c>
      <c r="AE30" s="301">
        <f t="shared" si="14"/>
        <v>0.5</v>
      </c>
      <c r="AF30" s="173">
        <f t="shared" si="22"/>
        <v>0.99441058182324982</v>
      </c>
      <c r="AG30" s="802">
        <f t="shared" si="23"/>
        <v>1</v>
      </c>
      <c r="AH30" s="172">
        <f t="shared" si="15"/>
        <v>7</v>
      </c>
      <c r="AI30" s="221">
        <f t="shared" si="24"/>
        <v>1.9944105818232498</v>
      </c>
      <c r="AJ30" s="261" t="b">
        <f t="shared" si="16"/>
        <v>0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46039</v>
      </c>
      <c r="B31" s="406">
        <f>'2025'!Wh/'2025'!Env_an*'2026'!Env_an</f>
        <v>13.432816697455189</v>
      </c>
      <c r="C31" s="832"/>
      <c r="D31" s="388">
        <f t="shared" si="0"/>
        <v>13.714687221049555</v>
      </c>
      <c r="E31" s="380">
        <f t="shared" si="1"/>
        <v>13.952235572213125</v>
      </c>
      <c r="F31" s="380">
        <f t="shared" si="2"/>
        <v>14.032662770144725</v>
      </c>
      <c r="G31" s="110">
        <f t="shared" si="19"/>
        <v>0.65497856709621904</v>
      </c>
      <c r="H31" s="409" t="b">
        <f>Wh_hp&gt;='2025'!Maxi_hp</f>
        <v>0</v>
      </c>
      <c r="I31" s="375">
        <f>IF(H31,Wh_hp,'2025'!Maxi_hp)</f>
        <v>14.110078337543527</v>
      </c>
      <c r="J31" s="85">
        <f>IF(H31,An,'2025'!An_max)</f>
        <v>2022</v>
      </c>
      <c r="K31" s="193">
        <f t="shared" si="3"/>
        <v>46039</v>
      </c>
      <c r="L31" s="143">
        <f>IF(t&lt;Tvie,1-EXP((T0-t)*PertePVj)+'2025'!Pspv,1-EXP((T0-t)*PertePVj)+Pspv)</f>
        <v>2.055245730735622E-2</v>
      </c>
      <c r="M31" s="836"/>
      <c r="N31" s="836"/>
      <c r="O31" s="48">
        <f>IF(t&lt;Tnet,'2025'!Resal+('2025'!Salim-'2025'!Resal)*(1-EXP(('2025'!Tnet-t)/('2025'!Tau_j))),Resal+(Salim-Resal)*(1-EXP((Tnet-t)/(Tau_j))))*Salcycl</f>
        <v>1.7025827146773784E-2</v>
      </c>
      <c r="P31" s="334">
        <f>(INDEX(Models!$BJ31:$BT31,,T31)*(1-R31)+INDEX(Models!$BJ31:$BT31,,T31+1)*R31-ERP_i)*Q31*Ramure*Pc/MaxiM</f>
        <v>1.1188168945151776E-2</v>
      </c>
      <c r="Q31" s="301">
        <f t="shared" si="4"/>
        <v>0.5</v>
      </c>
      <c r="R31" s="173">
        <f t="shared" si="5"/>
        <v>0.99446456571260389</v>
      </c>
      <c r="S31" s="802">
        <f t="shared" si="6"/>
        <v>1</v>
      </c>
      <c r="T31" s="172">
        <f t="shared" si="7"/>
        <v>7</v>
      </c>
      <c r="U31" s="247">
        <f t="shared" si="20"/>
        <v>1.9944645657126039</v>
      </c>
      <c r="V31" s="378">
        <f t="shared" si="8"/>
        <v>20.396231933812945</v>
      </c>
      <c r="W31" s="397">
        <f t="shared" si="9"/>
        <v>13.432816697455189</v>
      </c>
      <c r="X31" s="153">
        <f t="shared" si="10"/>
        <v>46039</v>
      </c>
      <c r="Y31" s="380">
        <f t="shared" si="11"/>
        <v>13.013609449629397</v>
      </c>
      <c r="Z31" s="380">
        <f t="shared" si="21"/>
        <v>13.286683443865806</v>
      </c>
      <c r="AA31" s="381">
        <f t="shared" si="12"/>
        <v>13.952235572213125</v>
      </c>
      <c r="AB31" s="193">
        <f t="shared" si="13"/>
        <v>46039</v>
      </c>
      <c r="AC31" s="119">
        <f>IF(OR(t&lt;Tnet,NoTnet),'2025'!Resal_s+('2025'!Salim-'2025'!Resal_s)*(1-EXP(('2025'!Tnet_s-t)/'2025'!Tau_j)),Resal_s+(Salim-Resal_s)*(1-EXP((Tnet_s-t)/Tau_j)))*Salcycl</f>
        <v>4.7702185424163407E-2</v>
      </c>
      <c r="AD31" s="227">
        <f>(INDEX(Models!$BJ31:$BT31,,AH31)*(1-AF31)+INDEX(Models!$BJ31:$BT31,,AH31+1)*AF31-ERP_i)*AE31*Ramure*Pc/MaxiM</f>
        <v>1.1188168945151776E-2</v>
      </c>
      <c r="AE31" s="301">
        <f t="shared" si="14"/>
        <v>0.5</v>
      </c>
      <c r="AF31" s="173">
        <f t="shared" si="22"/>
        <v>0.99446456571260389</v>
      </c>
      <c r="AG31" s="802">
        <f t="shared" si="23"/>
        <v>1</v>
      </c>
      <c r="AH31" s="172">
        <f t="shared" si="15"/>
        <v>7</v>
      </c>
      <c r="AI31" s="221">
        <f t="shared" si="24"/>
        <v>1.9944645657126039</v>
      </c>
      <c r="AJ31" s="261" t="b">
        <f t="shared" si="16"/>
        <v>0</v>
      </c>
      <c r="AK31" s="261" t="b">
        <f t="shared" si="17"/>
        <v>0</v>
      </c>
      <c r="AL31" s="261"/>
      <c r="AM31" s="261"/>
      <c r="AN31" s="75"/>
    </row>
    <row r="32" spans="1:40" s="6" customFormat="1" ht="11.25" x14ac:dyDescent="0.2">
      <c r="A32" s="56">
        <f t="shared" si="18"/>
        <v>46040</v>
      </c>
      <c r="B32" s="406">
        <f>'2025'!Wh/'2025'!Env_an*'2026'!Env_an</f>
        <v>4.2615085371249029</v>
      </c>
      <c r="C32" s="832"/>
      <c r="D32" s="388">
        <f t="shared" si="0"/>
        <v>4.3509904192327085</v>
      </c>
      <c r="E32" s="380">
        <f t="shared" si="1"/>
        <v>4.4266102787571331</v>
      </c>
      <c r="F32" s="380">
        <f t="shared" si="2"/>
        <v>4.4266102787571331</v>
      </c>
      <c r="G32" s="110">
        <f t="shared" si="19"/>
        <v>0.20399626035124352</v>
      </c>
      <c r="H32" s="409" t="b">
        <f>Wh_hp&gt;='2025'!Maxi_hp</f>
        <v>0</v>
      </c>
      <c r="I32" s="375">
        <f>IF(H32,Wh_hp,'2025'!Maxi_hp)</f>
        <v>4.4766449642017561</v>
      </c>
      <c r="J32" s="85">
        <f>IF(H32,An,'2025'!An_max)</f>
        <v>2022</v>
      </c>
      <c r="K32" s="193">
        <f t="shared" si="3"/>
        <v>46040</v>
      </c>
      <c r="L32" s="143">
        <f>IF(t&lt;Tvie,1-EXP((T0-t)*PertePVj)+'2025'!Pspv,1-EXP((T0-t)*PertePVj)+Pspv)</f>
        <v>2.0565865121713101E-2</v>
      </c>
      <c r="M32" s="836"/>
      <c r="N32" s="836"/>
      <c r="O32" s="48">
        <f>IF(t&lt;Tnet,'2025'!Resal+('2025'!Salim-'2025'!Resal)*(1-EXP(('2025'!Tnet-t)/('2025'!Tau_j))),Resal+(Salim-Resal)*(1-EXP((Tnet-t)/(Tau_j))))*Salcycl</f>
        <v>1.7083017198807084E-2</v>
      </c>
      <c r="P32" s="334">
        <f>(INDEX(Models!$BJ32:$BT32,,T32)*(1-R32)+INDEX(Models!$BJ32:$BT32,,T32+1)*R32-ERP_i)*Q32*Ramure*Pc/MaxiM</f>
        <v>1.1180449531636175E-2</v>
      </c>
      <c r="Q32" s="301">
        <f t="shared" si="4"/>
        <v>0.5</v>
      </c>
      <c r="R32" s="173">
        <f t="shared" si="5"/>
        <v>0.99452080192474557</v>
      </c>
      <c r="S32" s="802">
        <f t="shared" si="6"/>
        <v>1</v>
      </c>
      <c r="T32" s="172">
        <f t="shared" si="7"/>
        <v>7</v>
      </c>
      <c r="U32" s="247">
        <f t="shared" si="20"/>
        <v>1.9945208019247456</v>
      </c>
      <c r="V32" s="378">
        <f t="shared" si="8"/>
        <v>20.656569628979742</v>
      </c>
      <c r="W32" s="397">
        <f t="shared" si="9"/>
        <v>4.2615085371249029</v>
      </c>
      <c r="X32" s="153">
        <f t="shared" si="10"/>
        <v>46040</v>
      </c>
      <c r="Y32" s="380">
        <f t="shared" si="11"/>
        <v>4.128632703351534</v>
      </c>
      <c r="Z32" s="380">
        <f t="shared" si="21"/>
        <v>4.2153244984305092</v>
      </c>
      <c r="AA32" s="381">
        <f t="shared" si="12"/>
        <v>4.4266102787571331</v>
      </c>
      <c r="AB32" s="193">
        <f t="shared" si="13"/>
        <v>46040</v>
      </c>
      <c r="AC32" s="119">
        <f>IF(OR(t&lt;Tnet,NoTnet),'2025'!Resal_s+('2025'!Salim-'2025'!Resal_s)*(1-EXP(('2025'!Tnet_s-t)/'2025'!Tau_j)),Resal_s+(Salim-Resal_s)*(1-EXP((Tnet_s-t)/Tau_j)))*Salcycl</f>
        <v>4.7730829465734453E-2</v>
      </c>
      <c r="AD32" s="227">
        <f>(INDEX(Models!$BJ32:$BT32,,AH32)*(1-AF32)+INDEX(Models!$BJ32:$BT32,,AH32+1)*AF32-ERP_i)*AE32*Ramure*Pc/MaxiM</f>
        <v>1.1180449531636175E-2</v>
      </c>
      <c r="AE32" s="301">
        <f t="shared" si="14"/>
        <v>0.5</v>
      </c>
      <c r="AF32" s="173">
        <f t="shared" si="22"/>
        <v>0.99452080192474557</v>
      </c>
      <c r="AG32" s="802">
        <f t="shared" si="23"/>
        <v>1</v>
      </c>
      <c r="AH32" s="172">
        <f t="shared" si="15"/>
        <v>7</v>
      </c>
      <c r="AI32" s="221">
        <f t="shared" si="24"/>
        <v>1.9945208019247456</v>
      </c>
      <c r="AJ32" s="261" t="b">
        <f t="shared" si="16"/>
        <v>0</v>
      </c>
      <c r="AK32" s="261" t="b">
        <f t="shared" si="17"/>
        <v>0</v>
      </c>
      <c r="AL32" s="261"/>
      <c r="AM32" s="261"/>
      <c r="AN32" s="75"/>
    </row>
    <row r="33" spans="1:40" s="6" customFormat="1" ht="11.25" x14ac:dyDescent="0.2">
      <c r="A33" s="56">
        <f t="shared" si="18"/>
        <v>46041</v>
      </c>
      <c r="B33" s="406">
        <f>'2025'!Wh/'2025'!Env_an*'2026'!Env_an</f>
        <v>10.775071078880062</v>
      </c>
      <c r="C33" s="832"/>
      <c r="D33" s="388">
        <f t="shared" si="0"/>
        <v>11.001473400672179</v>
      </c>
      <c r="E33" s="380">
        <f t="shared" si="1"/>
        <v>11.193329013711272</v>
      </c>
      <c r="F33" s="380">
        <f t="shared" si="2"/>
        <v>11.231837319096561</v>
      </c>
      <c r="G33" s="110">
        <f t="shared" si="19"/>
        <v>0.51095523737777582</v>
      </c>
      <c r="H33" s="409" t="b">
        <f>Wh_hp&gt;='2025'!Maxi_hp</f>
        <v>0</v>
      </c>
      <c r="I33" s="375">
        <f>IF(H33,Wh_hp,'2025'!Maxi_hp)</f>
        <v>11.319682789711347</v>
      </c>
      <c r="J33" s="85">
        <f>IF(H33,An,'2025'!An_max)</f>
        <v>2022</v>
      </c>
      <c r="K33" s="193">
        <f t="shared" si="3"/>
        <v>46041</v>
      </c>
      <c r="L33" s="143">
        <f>IF(t&lt;Tvie,1-EXP((T0-t)*PertePVj)+'2025'!Pspv,1-EXP((T0-t)*PertePVj)+Pspv)</f>
        <v>2.0579272752528244E-2</v>
      </c>
      <c r="M33" s="836"/>
      <c r="N33" s="836"/>
      <c r="O33" s="48">
        <f>IF(t&lt;Tnet,'2025'!Resal+('2025'!Salim-'2025'!Resal)*(1-EXP(('2025'!Tnet-t)/('2025'!Tau_j))),Resal+(Salim-Resal)*(1-EXP((Tnet-t)/(Tau_j))))*Salcycl</f>
        <v>1.7140174545399286E-2</v>
      </c>
      <c r="P33" s="334">
        <f>(INDEX(Models!$BJ33:$BT33,,T33)*(1-R33)+INDEX(Models!$BJ33:$BT33,,T33+1)*R33-ERP_i)*Q33*Ramure*Pc/MaxiM</f>
        <v>1.1164991242944688E-2</v>
      </c>
      <c r="Q33" s="301">
        <f t="shared" si="4"/>
        <v>0.5</v>
      </c>
      <c r="R33" s="173">
        <f t="shared" si="5"/>
        <v>0.99457938389060652</v>
      </c>
      <c r="S33" s="802">
        <f t="shared" si="6"/>
        <v>1</v>
      </c>
      <c r="T33" s="172">
        <f t="shared" si="7"/>
        <v>7</v>
      </c>
      <c r="U33" s="247">
        <f t="shared" si="20"/>
        <v>1.9945793838906065</v>
      </c>
      <c r="V33" s="378">
        <f t="shared" si="8"/>
        <v>20.92438284175433</v>
      </c>
      <c r="W33" s="397">
        <f t="shared" si="9"/>
        <v>10.775071078880062</v>
      </c>
      <c r="X33" s="153">
        <f t="shared" si="10"/>
        <v>46041</v>
      </c>
      <c r="Y33" s="380">
        <f t="shared" si="11"/>
        <v>10.439392004641194</v>
      </c>
      <c r="Z33" s="380">
        <f t="shared" si="21"/>
        <v>10.658741145880871</v>
      </c>
      <c r="AA33" s="381">
        <f t="shared" si="12"/>
        <v>11.193329013711272</v>
      </c>
      <c r="AB33" s="193">
        <f t="shared" si="13"/>
        <v>46041</v>
      </c>
      <c r="AC33" s="119">
        <f>IF(OR(t&lt;Tnet,NoTnet),'2025'!Resal_s+('2025'!Salim-'2025'!Resal_s)*(1-EXP(('2025'!Tnet_s-t)/'2025'!Tau_j)),Resal_s+(Salim-Resal_s)*(1-EXP((Tnet_s-t)/Tau_j)))*Salcycl</f>
        <v>4.7759506325201255E-2</v>
      </c>
      <c r="AD33" s="227">
        <f>(INDEX(Models!$BJ33:$BT33,,AH33)*(1-AF33)+INDEX(Models!$BJ33:$BT33,,AH33+1)*AF33-ERP_i)*AE33*Ramure*Pc/MaxiM</f>
        <v>1.1164991242944688E-2</v>
      </c>
      <c r="AE33" s="301">
        <f t="shared" si="14"/>
        <v>0.5</v>
      </c>
      <c r="AF33" s="173">
        <f t="shared" si="22"/>
        <v>0.99457938389060652</v>
      </c>
      <c r="AG33" s="802">
        <f t="shared" si="23"/>
        <v>1</v>
      </c>
      <c r="AH33" s="172">
        <f t="shared" si="15"/>
        <v>7</v>
      </c>
      <c r="AI33" s="221">
        <f t="shared" si="24"/>
        <v>1.9945793838906065</v>
      </c>
      <c r="AJ33" s="261" t="b">
        <f t="shared" si="16"/>
        <v>0</v>
      </c>
      <c r="AK33" s="261" t="b">
        <f t="shared" si="17"/>
        <v>0</v>
      </c>
      <c r="AL33" s="261"/>
      <c r="AM33" s="261"/>
      <c r="AN33" s="75"/>
    </row>
    <row r="34" spans="1:40" s="6" customFormat="1" ht="11.25" x14ac:dyDescent="0.2">
      <c r="A34" s="56">
        <f t="shared" si="18"/>
        <v>46042</v>
      </c>
      <c r="B34" s="406">
        <f>'2025'!Wh/'2025'!Env_an*'2026'!Env_an</f>
        <v>6.2372076392200908</v>
      </c>
      <c r="C34" s="832"/>
      <c r="D34" s="388">
        <f t="shared" si="0"/>
        <v>6.368349013863317</v>
      </c>
      <c r="E34" s="380">
        <f t="shared" si="1"/>
        <v>6.4797838016113465</v>
      </c>
      <c r="F34" s="380">
        <f t="shared" si="2"/>
        <v>6.4797838016113465</v>
      </c>
      <c r="G34" s="110">
        <f t="shared" si="19"/>
        <v>0.29093296066141244</v>
      </c>
      <c r="H34" s="409" t="b">
        <f>Wh_hp&gt;='2025'!Maxi_hp</f>
        <v>0</v>
      </c>
      <c r="I34" s="375">
        <f>IF(H34,Wh_hp,'2025'!Maxi_hp)</f>
        <v>6.552768311666</v>
      </c>
      <c r="J34" s="85">
        <f>IF(H34,An,'2025'!An_max)</f>
        <v>2022</v>
      </c>
      <c r="K34" s="193">
        <f t="shared" si="3"/>
        <v>46042</v>
      </c>
      <c r="L34" s="143">
        <f>IF(t&lt;Tvie,1-EXP((T0-t)*PertePVj)+'2025'!Pspv,1-EXP((T0-t)*PertePVj)+Pspv)</f>
        <v>2.0592680199804203E-2</v>
      </c>
      <c r="M34" s="836"/>
      <c r="N34" s="836"/>
      <c r="O34" s="48">
        <f>IF(t&lt;Tnet,'2025'!Resal+('2025'!Salim-'2025'!Resal)*(1-EXP(('2025'!Tnet-t)/('2025'!Tau_j))),Resal+(Salim-Resal)*(1-EXP((Tnet-t)/(Tau_j))))*Salcycl</f>
        <v>1.7197300274172492E-2</v>
      </c>
      <c r="P34" s="334">
        <f>(INDEX(Models!$BJ34:$BT34,,T34)*(1-R34)+INDEX(Models!$BJ34:$BT34,,T34+1)*R34-ERP_i)*Q34*Ramure*Pc/MaxiM</f>
        <v>1.1142084177726089E-2</v>
      </c>
      <c r="Q34" s="301">
        <f t="shared" si="4"/>
        <v>0.5</v>
      </c>
      <c r="R34" s="173">
        <f t="shared" si="5"/>
        <v>0.99464040887064931</v>
      </c>
      <c r="S34" s="802">
        <f t="shared" si="6"/>
        <v>1</v>
      </c>
      <c r="T34" s="172">
        <f t="shared" si="7"/>
        <v>7</v>
      </c>
      <c r="U34" s="247">
        <f t="shared" si="20"/>
        <v>1.9946404088706493</v>
      </c>
      <c r="V34" s="378">
        <f t="shared" si="8"/>
        <v>21.199771014766259</v>
      </c>
      <c r="W34" s="397">
        <f t="shared" si="9"/>
        <v>6.2372076392200908</v>
      </c>
      <c r="X34" s="153">
        <f t="shared" si="10"/>
        <v>46042</v>
      </c>
      <c r="Y34" s="380">
        <f t="shared" si="11"/>
        <v>6.0430670366731443</v>
      </c>
      <c r="Z34" s="380">
        <f t="shared" si="21"/>
        <v>6.1701264780275089</v>
      </c>
      <c r="AA34" s="381">
        <f t="shared" si="12"/>
        <v>6.4797838016113465</v>
      </c>
      <c r="AB34" s="193">
        <f t="shared" si="13"/>
        <v>46042</v>
      </c>
      <c r="AC34" s="119">
        <f>IF(OR(t&lt;Tnet,NoTnet),'2025'!Resal_s+('2025'!Salim-'2025'!Resal_s)*(1-EXP(('2025'!Tnet_s-t)/'2025'!Tau_j)),Resal_s+(Salim-Resal_s)*(1-EXP((Tnet_s-t)/Tau_j)))*Salcycl</f>
        <v>4.7788218413527053E-2</v>
      </c>
      <c r="AD34" s="227">
        <f>(INDEX(Models!$BJ34:$BT34,,AH34)*(1-AF34)+INDEX(Models!$BJ34:$BT34,,AH34+1)*AF34-ERP_i)*AE34*Ramure*Pc/MaxiM</f>
        <v>1.1142084177726089E-2</v>
      </c>
      <c r="AE34" s="301">
        <f t="shared" si="14"/>
        <v>0.5</v>
      </c>
      <c r="AF34" s="173">
        <f t="shared" si="22"/>
        <v>0.99464040887064931</v>
      </c>
      <c r="AG34" s="802">
        <f t="shared" si="23"/>
        <v>1</v>
      </c>
      <c r="AH34" s="172">
        <f t="shared" si="15"/>
        <v>7</v>
      </c>
      <c r="AI34" s="221">
        <f t="shared" si="24"/>
        <v>1.9946404088706493</v>
      </c>
      <c r="AJ34" s="261" t="b">
        <f t="shared" si="16"/>
        <v>0</v>
      </c>
      <c r="AK34" s="261" t="b">
        <f t="shared" si="17"/>
        <v>0</v>
      </c>
      <c r="AL34" s="261"/>
      <c r="AM34" s="261"/>
      <c r="AN34" s="75"/>
    </row>
    <row r="35" spans="1:40" s="6" customFormat="1" ht="11.25" x14ac:dyDescent="0.2">
      <c r="A35" s="56">
        <f t="shared" si="18"/>
        <v>46043</v>
      </c>
      <c r="B35" s="406">
        <f>'2025'!Wh/'2025'!Env_an*'2026'!Env_an</f>
        <v>17.557710832704739</v>
      </c>
      <c r="C35" s="832"/>
      <c r="D35" s="388">
        <f t="shared" si="0"/>
        <v>17.927118606683372</v>
      </c>
      <c r="E35" s="380">
        <f t="shared" si="1"/>
        <v>18.241871064515475</v>
      </c>
      <c r="F35" s="380">
        <f t="shared" si="2"/>
        <v>18.392907126966417</v>
      </c>
      <c r="G35" s="110">
        <f t="shared" si="19"/>
        <v>0.81490019720631901</v>
      </c>
      <c r="H35" s="409" t="b">
        <f>Wh_hp&gt;='2025'!Maxi_hp</f>
        <v>0</v>
      </c>
      <c r="I35" s="375">
        <f>IF(H35,Wh_hp,'2025'!Maxi_hp)</f>
        <v>18.44683212449177</v>
      </c>
      <c r="J35" s="85">
        <f>IF(H35,An,'2025'!An_max)</f>
        <v>2022</v>
      </c>
      <c r="K35" s="193">
        <f t="shared" si="3"/>
        <v>46043</v>
      </c>
      <c r="L35" s="143">
        <f>IF(t&lt;Tvie,1-EXP((T0-t)*PertePVj)+'2025'!Pspv,1-EXP((T0-t)*PertePVj)+Pspv)</f>
        <v>2.0606087463543421E-2</v>
      </c>
      <c r="M35" s="836"/>
      <c r="N35" s="836"/>
      <c r="O35" s="48">
        <f>IF(t&lt;Tnet,'2025'!Resal+('2025'!Salim-'2025'!Resal)*(1-EXP(('2025'!Tnet-t)/('2025'!Tau_j))),Resal+(Salim-Resal)*(1-EXP((Tnet-t)/(Tau_j))))*Salcycl</f>
        <v>1.7254395490403848E-2</v>
      </c>
      <c r="P35" s="334">
        <f>(INDEX(Models!$BJ35:$BT35,,T35)*(1-R35)+INDEX(Models!$BJ35:$BT35,,T35+1)*R35-ERP_i)*Q35*Ramure*Pc/MaxiM</f>
        <v>1.1112044960548656E-2</v>
      </c>
      <c r="Q35" s="301">
        <f t="shared" si="4"/>
        <v>0.5</v>
      </c>
      <c r="R35" s="173">
        <f t="shared" si="5"/>
        <v>0.99470397810788547</v>
      </c>
      <c r="S35" s="802">
        <f t="shared" si="6"/>
        <v>1</v>
      </c>
      <c r="T35" s="172">
        <f t="shared" si="7"/>
        <v>7</v>
      </c>
      <c r="U35" s="247">
        <f t="shared" si="20"/>
        <v>1.9947039781078855</v>
      </c>
      <c r="V35" s="378">
        <f t="shared" si="8"/>
        <v>21.482833002965563</v>
      </c>
      <c r="W35" s="397">
        <f t="shared" si="9"/>
        <v>17.557710832704739</v>
      </c>
      <c r="X35" s="153">
        <f t="shared" si="10"/>
        <v>46043</v>
      </c>
      <c r="Y35" s="380">
        <f t="shared" si="11"/>
        <v>17.011680597721721</v>
      </c>
      <c r="Z35" s="380">
        <f t="shared" si="21"/>
        <v>17.369600096517331</v>
      </c>
      <c r="AA35" s="381">
        <f t="shared" si="12"/>
        <v>18.241871064515475</v>
      </c>
      <c r="AB35" s="193">
        <f t="shared" si="13"/>
        <v>46043</v>
      </c>
      <c r="AC35" s="119">
        <f>IF(OR(t&lt;Tnet,NoTnet),'2025'!Resal_s+('2025'!Salim-'2025'!Resal_s)*(1-EXP(('2025'!Tnet_s-t)/'2025'!Tau_j)),Resal_s+(Salim-Resal_s)*(1-EXP((Tnet_s-t)/Tau_j)))*Salcycl</f>
        <v>4.7816968166982908E-2</v>
      </c>
      <c r="AD35" s="227">
        <f>(INDEX(Models!$BJ35:$BT35,,AH35)*(1-AF35)+INDEX(Models!$BJ35:$BT35,,AH35+1)*AF35-ERP_i)*AE35*Ramure*Pc/MaxiM</f>
        <v>1.1112044960548656E-2</v>
      </c>
      <c r="AE35" s="301">
        <f t="shared" si="14"/>
        <v>0.5</v>
      </c>
      <c r="AF35" s="173">
        <f t="shared" si="22"/>
        <v>0.99470397810788547</v>
      </c>
      <c r="AG35" s="802">
        <f t="shared" si="23"/>
        <v>1</v>
      </c>
      <c r="AH35" s="172">
        <f t="shared" si="15"/>
        <v>7</v>
      </c>
      <c r="AI35" s="221">
        <f t="shared" si="24"/>
        <v>1.9947039781078855</v>
      </c>
      <c r="AJ35" s="261" t="b">
        <f t="shared" si="16"/>
        <v>0</v>
      </c>
      <c r="AK35" s="261" t="b">
        <f t="shared" si="17"/>
        <v>0</v>
      </c>
      <c r="AL35" s="261"/>
      <c r="AM35" s="261"/>
      <c r="AN35" s="75"/>
    </row>
    <row r="36" spans="1:40" s="6" customFormat="1" ht="11.25" x14ac:dyDescent="0.2">
      <c r="A36" s="56">
        <f t="shared" si="18"/>
        <v>46044</v>
      </c>
      <c r="B36" s="406">
        <f>'2025'!Wh/'2025'!Env_an*'2026'!Env_an</f>
        <v>21.653303603766126</v>
      </c>
      <c r="C36" s="832"/>
      <c r="D36" s="388">
        <f t="shared" si="0"/>
        <v>22.109183798465317</v>
      </c>
      <c r="E36" s="380">
        <f t="shared" si="1"/>
        <v>22.49866862941748</v>
      </c>
      <c r="F36" s="380">
        <f t="shared" si="2"/>
        <v>22.748623437003562</v>
      </c>
      <c r="G36" s="110">
        <f t="shared" si="19"/>
        <v>0.99438405380126571</v>
      </c>
      <c r="H36" s="409" t="b">
        <f>Wh_hp&gt;='2025'!Maxi_hp</f>
        <v>0</v>
      </c>
      <c r="I36" s="375">
        <f>IF(H36,Wh_hp,'2025'!Maxi_hp)</f>
        <v>22.750634528837967</v>
      </c>
      <c r="J36" s="85">
        <f>IF(H36,An,'2025'!An_max)</f>
        <v>2022</v>
      </c>
      <c r="K36" s="193">
        <f t="shared" si="3"/>
        <v>46044</v>
      </c>
      <c r="L36" s="143">
        <f>IF(t&lt;Tvie,1-EXP((T0-t)*PertePVj)+'2025'!Pspv,1-EXP((T0-t)*PertePVj)+Pspv)</f>
        <v>2.0619494543748562E-2</v>
      </c>
      <c r="M36" s="836"/>
      <c r="N36" s="836"/>
      <c r="O36" s="48">
        <f>IF(t&lt;Tnet,'2025'!Resal+('2025'!Salim-'2025'!Resal)*(1-EXP(('2025'!Tnet-t)/('2025'!Tau_j))),Resal+(Salim-Resal)*(1-EXP((Tnet-t)/(Tau_j))))*Salcycl</f>
        <v>1.7311461285442746E-2</v>
      </c>
      <c r="P36" s="334">
        <f>(INDEX(Models!$BJ36:$BT36,,T36)*(1-R36)+INDEX(Models!$BJ36:$BT36,,T36+1)*R36-ERP_i)*Q36*Ramure*Pc/MaxiM</f>
        <v>1.1075151428917962E-2</v>
      </c>
      <c r="Q36" s="301">
        <f t="shared" si="4"/>
        <v>0.5</v>
      </c>
      <c r="R36" s="173">
        <f t="shared" si="5"/>
        <v>0.99477019698666758</v>
      </c>
      <c r="S36" s="802">
        <f t="shared" si="6"/>
        <v>1</v>
      </c>
      <c r="T36" s="172">
        <f t="shared" si="7"/>
        <v>7</v>
      </c>
      <c r="U36" s="247">
        <f t="shared" si="20"/>
        <v>1.9947701969866676</v>
      </c>
      <c r="V36" s="378">
        <f t="shared" si="8"/>
        <v>21.7736684714775</v>
      </c>
      <c r="W36" s="397">
        <f t="shared" si="9"/>
        <v>21.653303603766126</v>
      </c>
      <c r="X36" s="153">
        <f t="shared" si="10"/>
        <v>46044</v>
      </c>
      <c r="Y36" s="380">
        <f t="shared" si="11"/>
        <v>20.98048778251027</v>
      </c>
      <c r="Z36" s="380">
        <f t="shared" si="21"/>
        <v>21.42220277576013</v>
      </c>
      <c r="AA36" s="381">
        <f t="shared" si="12"/>
        <v>22.49866862941748</v>
      </c>
      <c r="AB36" s="193">
        <f t="shared" si="13"/>
        <v>46044</v>
      </c>
      <c r="AC36" s="119">
        <f>IF(OR(t&lt;Tnet,NoTnet),'2025'!Resal_s+('2025'!Salim-'2025'!Resal_s)*(1-EXP(('2025'!Tnet_s-t)/'2025'!Tau_j)),Resal_s+(Salim-Resal_s)*(1-EXP((Tnet_s-t)/Tau_j)))*Salcycl</f>
        <v>4.7845757959644297E-2</v>
      </c>
      <c r="AD36" s="227">
        <f>(INDEX(Models!$BJ36:$BT36,,AH36)*(1-AF36)+INDEX(Models!$BJ36:$BT36,,AH36+1)*AF36-ERP_i)*AE36*Ramure*Pc/MaxiM</f>
        <v>1.1075151428917962E-2</v>
      </c>
      <c r="AE36" s="301">
        <f t="shared" si="14"/>
        <v>0.5</v>
      </c>
      <c r="AF36" s="173">
        <f t="shared" si="22"/>
        <v>0.99477019698666758</v>
      </c>
      <c r="AG36" s="802">
        <f t="shared" si="23"/>
        <v>1</v>
      </c>
      <c r="AH36" s="172">
        <f t="shared" si="15"/>
        <v>7</v>
      </c>
      <c r="AI36" s="221">
        <f t="shared" si="24"/>
        <v>1.9947701969866676</v>
      </c>
      <c r="AJ36" s="261" t="b">
        <f t="shared" si="16"/>
        <v>0</v>
      </c>
      <c r="AK36" s="261" t="b">
        <f t="shared" si="17"/>
        <v>0</v>
      </c>
      <c r="AL36" s="261"/>
      <c r="AM36" s="261"/>
      <c r="AN36" s="75"/>
    </row>
    <row r="37" spans="1:40" s="6" customFormat="1" ht="11.25" x14ac:dyDescent="0.2">
      <c r="A37" s="56">
        <f t="shared" si="18"/>
        <v>46045</v>
      </c>
      <c r="B37" s="406">
        <f>'2025'!Wh/'2025'!Env_an*'2026'!Env_an</f>
        <v>21.725324646771149</v>
      </c>
      <c r="C37" s="832"/>
      <c r="D37" s="388">
        <f t="shared" si="0"/>
        <v>22.183024811354258</v>
      </c>
      <c r="E37" s="380">
        <f t="shared" si="1"/>
        <v>22.575120767203465</v>
      </c>
      <c r="F37" s="380">
        <f t="shared" si="2"/>
        <v>22.821173177586942</v>
      </c>
      <c r="G37" s="110">
        <f t="shared" si="19"/>
        <v>0.98394879614242692</v>
      </c>
      <c r="H37" s="409" t="b">
        <f>Wh_hp&gt;='2025'!Maxi_hp</f>
        <v>0</v>
      </c>
      <c r="I37" s="375">
        <f>IF(H37,Wh_hp,'2025'!Maxi_hp)</f>
        <v>22.826917337644495</v>
      </c>
      <c r="J37" s="85">
        <f>IF(H37,An,'2025'!An_max)</f>
        <v>2022</v>
      </c>
      <c r="K37" s="193">
        <f t="shared" si="3"/>
        <v>46045</v>
      </c>
      <c r="L37" s="143">
        <f>IF(t&lt;Tvie,1-EXP((T0-t)*PertePVj)+'2025'!Pspv,1-EXP((T0-t)*PertePVj)+Pspv)</f>
        <v>2.0632901440421958E-2</v>
      </c>
      <c r="M37" s="836"/>
      <c r="N37" s="836"/>
      <c r="O37" s="48">
        <f>IF(t&lt;Tnet,'2025'!Resal+('2025'!Salim-'2025'!Resal)*(1-EXP(('2025'!Tnet-t)/('2025'!Tau_j))),Resal+(Salim-Resal)*(1-EXP((Tnet-t)/(Tau_j))))*Salcycl</f>
        <v>1.7368498706719422E-2</v>
      </c>
      <c r="P37" s="334">
        <f>(INDEX(Models!$BJ37:$BT37,,T37)*(1-R37)+INDEX(Models!$BJ37:$BT37,,T37+1)*R37-ERP_i)*Q37*Ramure*Pc/MaxiM</f>
        <v>1.1030794822072714E-2</v>
      </c>
      <c r="Q37" s="301">
        <f t="shared" si="4"/>
        <v>0.5</v>
      </c>
      <c r="R37" s="173">
        <f t="shared" si="5"/>
        <v>0.9948391751974448</v>
      </c>
      <c r="S37" s="802">
        <f t="shared" si="6"/>
        <v>1</v>
      </c>
      <c r="T37" s="172">
        <f t="shared" si="7"/>
        <v>7</v>
      </c>
      <c r="U37" s="247">
        <f t="shared" si="20"/>
        <v>1.9948391751974448</v>
      </c>
      <c r="V37" s="378">
        <f t="shared" si="8"/>
        <v>22.074172354169036</v>
      </c>
      <c r="W37" s="397">
        <f t="shared" si="9"/>
        <v>21.725324646771149</v>
      </c>
      <c r="X37" s="153">
        <f t="shared" si="10"/>
        <v>46045</v>
      </c>
      <c r="Y37" s="380">
        <f t="shared" si="11"/>
        <v>21.050855390850305</v>
      </c>
      <c r="Z37" s="380">
        <f t="shared" si="21"/>
        <v>21.494346115783586</v>
      </c>
      <c r="AA37" s="381">
        <f t="shared" si="12"/>
        <v>22.575120767203465</v>
      </c>
      <c r="AB37" s="193">
        <f t="shared" si="13"/>
        <v>46045</v>
      </c>
      <c r="AC37" s="119">
        <f>IF(OR(t&lt;Tnet,NoTnet),'2025'!Resal_s+('2025'!Salim-'2025'!Resal_s)*(1-EXP(('2025'!Tnet_s-t)/'2025'!Tau_j)),Resal_s+(Salim-Resal_s)*(1-EXP((Tnet_s-t)/Tau_j)))*Salcycl</f>
        <v>4.787459002168435E-2</v>
      </c>
      <c r="AD37" s="227">
        <f>(INDEX(Models!$BJ37:$BT37,,AH37)*(1-AF37)+INDEX(Models!$BJ37:$BT37,,AH37+1)*AF37-ERP_i)*AE37*Ramure*Pc/MaxiM</f>
        <v>1.1030794822072714E-2</v>
      </c>
      <c r="AE37" s="301">
        <f t="shared" si="14"/>
        <v>0.5</v>
      </c>
      <c r="AF37" s="173">
        <f t="shared" si="22"/>
        <v>0.9948391751974448</v>
      </c>
      <c r="AG37" s="802">
        <f t="shared" si="23"/>
        <v>1</v>
      </c>
      <c r="AH37" s="172">
        <f t="shared" si="15"/>
        <v>7</v>
      </c>
      <c r="AI37" s="221">
        <f t="shared" si="24"/>
        <v>1.9948391751974448</v>
      </c>
      <c r="AJ37" s="261" t="b">
        <f t="shared" si="16"/>
        <v>0</v>
      </c>
      <c r="AK37" s="261" t="b">
        <f t="shared" si="17"/>
        <v>0</v>
      </c>
      <c r="AL37" s="261"/>
      <c r="AM37" s="261"/>
      <c r="AN37" s="75"/>
    </row>
    <row r="38" spans="1:40" s="6" customFormat="1" ht="11.25" x14ac:dyDescent="0.2">
      <c r="A38" s="56">
        <f t="shared" si="18"/>
        <v>46046</v>
      </c>
      <c r="B38" s="406">
        <f>'2025'!Wh/'2025'!Env_an*'2026'!Env_an</f>
        <v>22.265328705837227</v>
      </c>
      <c r="C38" s="832"/>
      <c r="D38" s="388">
        <f t="shared" si="0"/>
        <v>22.734716672032018</v>
      </c>
      <c r="E38" s="380">
        <f t="shared" si="1"/>
        <v>23.137906463090641</v>
      </c>
      <c r="F38" s="380">
        <f t="shared" si="2"/>
        <v>23.391833583325635</v>
      </c>
      <c r="G38" s="110">
        <f t="shared" si="19"/>
        <v>0.99450585071268349</v>
      </c>
      <c r="H38" s="409" t="b">
        <f>Wh_hp&gt;='2025'!Maxi_hp</f>
        <v>0</v>
      </c>
      <c r="I38" s="375">
        <f>IF(H38,Wh_hp,'2025'!Maxi_hp)</f>
        <v>23.393832011186525</v>
      </c>
      <c r="J38" s="85">
        <f>IF(H38,An,'2025'!An_max)</f>
        <v>2022</v>
      </c>
      <c r="K38" s="193">
        <f t="shared" si="3"/>
        <v>46046</v>
      </c>
      <c r="L38" s="143">
        <f>IF(t&lt;Tvie,1-EXP((T0-t)*PertePVj)+'2025'!Pspv,1-EXP((T0-t)*PertePVj)+Pspv)</f>
        <v>2.0646308153566162E-2</v>
      </c>
      <c r="M38" s="836"/>
      <c r="N38" s="836"/>
      <c r="O38" s="48">
        <f>IF(t&lt;Tnet,'2025'!Resal+('2025'!Salim-'2025'!Resal)*(1-EXP(('2025'!Tnet-t)/('2025'!Tau_j))),Resal+(Salim-Resal)*(1-EXP((Tnet-t)/(Tau_j))))*Salcycl</f>
        <v>1.7425508729659204E-2</v>
      </c>
      <c r="P38" s="334">
        <f>(INDEX(Models!$BJ38:$BT38,,T38)*(1-R38)+INDEX(Models!$BJ38:$BT38,,T38+1)*R38-ERP_i)*Q38*Ramure*Pc/MaxiM</f>
        <v>1.0939911334909192E-2</v>
      </c>
      <c r="Q38" s="301">
        <f t="shared" si="4"/>
        <v>0.5</v>
      </c>
      <c r="R38" s="173">
        <f t="shared" si="5"/>
        <v>0.99491102690767419</v>
      </c>
      <c r="S38" s="802">
        <f t="shared" si="6"/>
        <v>1</v>
      </c>
      <c r="T38" s="172">
        <f t="shared" si="7"/>
        <v>7</v>
      </c>
      <c r="U38" s="247">
        <f t="shared" si="20"/>
        <v>1.9949110269076742</v>
      </c>
      <c r="V38" s="378">
        <f t="shared" si="8"/>
        <v>22.386420149271178</v>
      </c>
      <c r="W38" s="397">
        <f t="shared" si="9"/>
        <v>22.265328705837227</v>
      </c>
      <c r="X38" s="153">
        <f t="shared" si="10"/>
        <v>46046</v>
      </c>
      <c r="Y38" s="380">
        <f t="shared" si="11"/>
        <v>21.574692269572239</v>
      </c>
      <c r="Z38" s="380">
        <f t="shared" si="21"/>
        <v>22.029520539097767</v>
      </c>
      <c r="AA38" s="381">
        <f t="shared" si="12"/>
        <v>23.137906463090641</v>
      </c>
      <c r="AB38" s="193">
        <f t="shared" si="13"/>
        <v>46046</v>
      </c>
      <c r="AC38" s="119">
        <f>IF(OR(t&lt;Tnet,NoTnet),'2025'!Resal_s+('2025'!Salim-'2025'!Resal_s)*(1-EXP(('2025'!Tnet_s-t)/'2025'!Tau_j)),Resal_s+(Salim-Resal_s)*(1-EXP((Tnet_s-t)/Tau_j)))*Salcycl</f>
        <v>4.7903466364208835E-2</v>
      </c>
      <c r="AD38" s="227">
        <f>(INDEX(Models!$BJ38:$BT38,,AH38)*(1-AF38)+INDEX(Models!$BJ38:$BT38,,AH38+1)*AF38-ERP_i)*AE38*Ramure*Pc/MaxiM</f>
        <v>1.0939911334909192E-2</v>
      </c>
      <c r="AE38" s="301">
        <f t="shared" si="14"/>
        <v>0.5</v>
      </c>
      <c r="AF38" s="173">
        <f t="shared" si="22"/>
        <v>0.99491102690767419</v>
      </c>
      <c r="AG38" s="802">
        <f t="shared" si="23"/>
        <v>1</v>
      </c>
      <c r="AH38" s="172">
        <f t="shared" si="15"/>
        <v>7</v>
      </c>
      <c r="AI38" s="221">
        <f t="shared" si="24"/>
        <v>1.9949110269076742</v>
      </c>
      <c r="AJ38" s="261" t="b">
        <f t="shared" si="16"/>
        <v>0</v>
      </c>
      <c r="AK38" s="261" t="b">
        <f t="shared" si="17"/>
        <v>0</v>
      </c>
      <c r="AL38" s="261"/>
      <c r="AM38" s="261"/>
      <c r="AN38" s="75"/>
    </row>
    <row r="39" spans="1:40" s="6" customFormat="1" ht="11.25" x14ac:dyDescent="0.2">
      <c r="A39" s="56">
        <f t="shared" si="18"/>
        <v>46047</v>
      </c>
      <c r="B39" s="406">
        <f>'2025'!Wh/'2025'!Env_an*'2026'!Env_an</f>
        <v>20.853320999039155</v>
      </c>
      <c r="C39" s="832"/>
      <c r="D39" s="388">
        <f t="shared" si="0"/>
        <v>21.293233119980471</v>
      </c>
      <c r="E39" s="380">
        <f t="shared" si="1"/>
        <v>21.672115714607578</v>
      </c>
      <c r="F39" s="380">
        <f t="shared" si="2"/>
        <v>21.880823733398682</v>
      </c>
      <c r="G39" s="110">
        <f t="shared" si="19"/>
        <v>0.91709141386740223</v>
      </c>
      <c r="H39" s="409" t="b">
        <f>Wh_hp&gt;='2025'!Maxi_hp</f>
        <v>0</v>
      </c>
      <c r="I39" s="375">
        <f>IF(H39,Wh_hp,'2025'!Maxi_hp)</f>
        <v>21.908704752489474</v>
      </c>
      <c r="J39" s="85">
        <f>IF(H39,An,'2025'!An_max)</f>
        <v>2022</v>
      </c>
      <c r="K39" s="193">
        <f t="shared" si="3"/>
        <v>46047</v>
      </c>
      <c r="L39" s="143">
        <f>IF(t&lt;Tvie,1-EXP((T0-t)*PertePVj)+'2025'!Pspv,1-EXP((T0-t)*PertePVj)+Pspv)</f>
        <v>2.0659714683183839E-2</v>
      </c>
      <c r="M39" s="836"/>
      <c r="N39" s="836"/>
      <c r="O39" s="48">
        <f>IF(t&lt;Tnet,'2025'!Resal+('2025'!Salim-'2025'!Resal)*(1-EXP(('2025'!Tnet-t)/('2025'!Tau_j))),Resal+(Salim-Resal)*(1-EXP((Tnet-t)/(Tau_j))))*Salcycl</f>
        <v>1.7482492231791207E-2</v>
      </c>
      <c r="P39" s="334">
        <f>(INDEX(Models!$BJ39:$BT39,,T39)*(1-R39)+INDEX(Models!$BJ39:$BT39,,T39+1)*R39-ERP_i)*Q39*Ramure*Pc/MaxiM</f>
        <v>1.0799458357057708E-2</v>
      </c>
      <c r="Q39" s="301">
        <f t="shared" si="4"/>
        <v>0.5</v>
      </c>
      <c r="R39" s="173">
        <f t="shared" si="5"/>
        <v>0.99498587093908242</v>
      </c>
      <c r="S39" s="802">
        <f t="shared" si="6"/>
        <v>1</v>
      </c>
      <c r="T39" s="172">
        <f t="shared" si="7"/>
        <v>7</v>
      </c>
      <c r="U39" s="247">
        <f t="shared" si="20"/>
        <v>1.9949858709390824</v>
      </c>
      <c r="V39" s="378">
        <f t="shared" si="8"/>
        <v>22.709590506403966</v>
      </c>
      <c r="W39" s="397">
        <f t="shared" si="9"/>
        <v>20.853320999039155</v>
      </c>
      <c r="X39" s="153">
        <f t="shared" si="10"/>
        <v>46047</v>
      </c>
      <c r="Y39" s="380">
        <f t="shared" si="11"/>
        <v>20.207040947381923</v>
      </c>
      <c r="Z39" s="380">
        <f t="shared" si="21"/>
        <v>20.633319439978877</v>
      </c>
      <c r="AA39" s="381">
        <f t="shared" si="12"/>
        <v>21.672115714607578</v>
      </c>
      <c r="AB39" s="193">
        <f t="shared" si="13"/>
        <v>46047</v>
      </c>
      <c r="AC39" s="119">
        <f>IF(OR(t&lt;Tnet,NoTnet),'2025'!Resal_s+('2025'!Salim-'2025'!Resal_s)*(1-EXP(('2025'!Tnet_s-t)/'2025'!Tau_j)),Resal_s+(Salim-Resal_s)*(1-EXP((Tnet_s-t)/Tau_j)))*Salcycl</f>
        <v>4.7932388711293517E-2</v>
      </c>
      <c r="AD39" s="227">
        <f>(INDEX(Models!$BJ39:$BT39,,AH39)*(1-AF39)+INDEX(Models!$BJ39:$BT39,,AH39+1)*AF39-ERP_i)*AE39*Ramure*Pc/MaxiM</f>
        <v>1.0799458357057708E-2</v>
      </c>
      <c r="AE39" s="301">
        <f t="shared" si="14"/>
        <v>0.5</v>
      </c>
      <c r="AF39" s="173">
        <f t="shared" si="22"/>
        <v>0.99498587093908242</v>
      </c>
      <c r="AG39" s="802">
        <f t="shared" si="23"/>
        <v>1</v>
      </c>
      <c r="AH39" s="172">
        <f t="shared" si="15"/>
        <v>7</v>
      </c>
      <c r="AI39" s="221">
        <f t="shared" si="24"/>
        <v>1.9949858709390824</v>
      </c>
      <c r="AJ39" s="261" t="b">
        <f t="shared" si="16"/>
        <v>0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46048</v>
      </c>
      <c r="B40" s="406">
        <f>'2025'!Wh/'2025'!Env_an*'2026'!Env_an</f>
        <v>22.442637665272386</v>
      </c>
      <c r="C40" s="832"/>
      <c r="D40" s="388">
        <f t="shared" si="0"/>
        <v>22.91639098975789</v>
      </c>
      <c r="E40" s="380">
        <f t="shared" si="1"/>
        <v>23.325507562662033</v>
      </c>
      <c r="F40" s="380">
        <f t="shared" si="2"/>
        <v>23.566292022900377</v>
      </c>
      <c r="G40" s="110">
        <f t="shared" si="19"/>
        <v>0.9735687032938406</v>
      </c>
      <c r="H40" s="409" t="b">
        <f>Wh_hp&gt;='2025'!Maxi_hp</f>
        <v>0</v>
      </c>
      <c r="I40" s="375">
        <f>IF(H40,Wh_hp,'2025'!Maxi_hp)</f>
        <v>23.575691488486939</v>
      </c>
      <c r="J40" s="85">
        <f>IF(H40,An,'2025'!An_max)</f>
        <v>2022</v>
      </c>
      <c r="K40" s="193">
        <f t="shared" si="3"/>
        <v>46048</v>
      </c>
      <c r="L40" s="143">
        <f>IF(t&lt;Tvie,1-EXP((T0-t)*PertePVj)+'2025'!Pspv,1-EXP((T0-t)*PertePVj)+Pspv)</f>
        <v>2.0673121029277319E-2</v>
      </c>
      <c r="M40" s="836"/>
      <c r="N40" s="836"/>
      <c r="O40" s="48">
        <f>IF(t&lt;Tnet,'2025'!Resal+('2025'!Salim-'2025'!Resal)*(1-EXP(('2025'!Tnet-t)/('2025'!Tau_j))),Resal+(Salim-Resal)*(1-EXP((Tnet-t)/(Tau_j))))*Salcycl</f>
        <v>1.7539449969313045E-2</v>
      </c>
      <c r="P40" s="334">
        <f>(INDEX(Models!$BJ40:$BT40,,T40)*(1-R40)+INDEX(Models!$BJ40:$BT40,,T40+1)*R40-ERP_i)*Q40*Ramure*Pc/MaxiM</f>
        <v>1.0612138753242253E-2</v>
      </c>
      <c r="Q40" s="301">
        <f t="shared" si="4"/>
        <v>0.5</v>
      </c>
      <c r="R40" s="173">
        <f t="shared" si="5"/>
        <v>0.99506383095147521</v>
      </c>
      <c r="S40" s="802">
        <f t="shared" si="6"/>
        <v>1</v>
      </c>
      <c r="T40" s="172">
        <f t="shared" si="7"/>
        <v>7</v>
      </c>
      <c r="U40" s="247">
        <f t="shared" si="20"/>
        <v>1.9950638309514752</v>
      </c>
      <c r="V40" s="378">
        <f t="shared" si="8"/>
        <v>23.042734895152535</v>
      </c>
      <c r="W40" s="397">
        <f t="shared" si="9"/>
        <v>22.442637665272386</v>
      </c>
      <c r="X40" s="153">
        <f t="shared" si="10"/>
        <v>46048</v>
      </c>
      <c r="Y40" s="380">
        <f t="shared" si="11"/>
        <v>21.747700989323597</v>
      </c>
      <c r="Z40" s="380">
        <f t="shared" si="21"/>
        <v>22.206784533659015</v>
      </c>
      <c r="AA40" s="381">
        <f t="shared" si="12"/>
        <v>23.325507562662033</v>
      </c>
      <c r="AB40" s="193">
        <f t="shared" si="13"/>
        <v>46048</v>
      </c>
      <c r="AC40" s="119">
        <f>IF(OR(t&lt;Tnet,NoTnet),'2025'!Resal_s+('2025'!Salim-'2025'!Resal_s)*(1-EXP(('2025'!Tnet_s-t)/'2025'!Tau_j)),Resal_s+(Salim-Resal_s)*(1-EXP((Tnet_s-t)/Tau_j)))*Salcycl</f>
        <v>4.7961358439796528E-2</v>
      </c>
      <c r="AD40" s="227">
        <f>(INDEX(Models!$BJ40:$BT40,,AH40)*(1-AF40)+INDEX(Models!$BJ40:$BT40,,AH40+1)*AF40-ERP_i)*AE40*Ramure*Pc/MaxiM</f>
        <v>1.0612138753242253E-2</v>
      </c>
      <c r="AE40" s="301">
        <f t="shared" si="14"/>
        <v>0.5</v>
      </c>
      <c r="AF40" s="173">
        <f t="shared" si="22"/>
        <v>0.99506383095147521</v>
      </c>
      <c r="AG40" s="802">
        <f t="shared" si="23"/>
        <v>1</v>
      </c>
      <c r="AH40" s="172">
        <f t="shared" si="15"/>
        <v>7</v>
      </c>
      <c r="AI40" s="221">
        <f t="shared" si="24"/>
        <v>1.9950638309514752</v>
      </c>
      <c r="AJ40" s="261" t="b">
        <f t="shared" si="16"/>
        <v>0</v>
      </c>
      <c r="AK40" s="261" t="b">
        <f t="shared" si="17"/>
        <v>0</v>
      </c>
      <c r="AL40" s="261"/>
      <c r="AM40" s="261"/>
      <c r="AN40" s="75"/>
    </row>
    <row r="41" spans="1:40" s="6" customFormat="1" ht="11.25" x14ac:dyDescent="0.2">
      <c r="A41" s="56">
        <f t="shared" si="18"/>
        <v>46049</v>
      </c>
      <c r="B41" s="406">
        <f>'2025'!Wh/'2025'!Env_an*'2026'!Env_an</f>
        <v>18.789763152913203</v>
      </c>
      <c r="C41" s="832"/>
      <c r="D41" s="388">
        <f t="shared" si="0"/>
        <v>19.186668696626977</v>
      </c>
      <c r="E41" s="380">
        <f t="shared" si="1"/>
        <v>19.530331887980211</v>
      </c>
      <c r="F41" s="380">
        <f t="shared" si="2"/>
        <v>19.677254060533297</v>
      </c>
      <c r="G41" s="110">
        <f t="shared" si="19"/>
        <v>0.80114065538629553</v>
      </c>
      <c r="H41" s="409" t="b">
        <f>Wh_hp&gt;='2025'!Maxi_hp</f>
        <v>0</v>
      </c>
      <c r="I41" s="375">
        <f>IF(H41,Wh_hp,'2025'!Maxi_hp)</f>
        <v>19.735165141649773</v>
      </c>
      <c r="J41" s="85">
        <f>IF(H41,An,'2025'!An_max)</f>
        <v>2022</v>
      </c>
      <c r="K41" s="193">
        <f t="shared" si="3"/>
        <v>46049</v>
      </c>
      <c r="L41" s="143">
        <f>IF(t&lt;Tvie,1-EXP((T0-t)*PertePVj)+'2025'!Pspv,1-EXP((T0-t)*PertePVj)+Pspv)</f>
        <v>2.0686527191849158E-2</v>
      </c>
      <c r="M41" s="836"/>
      <c r="N41" s="836"/>
      <c r="O41" s="48">
        <f>IF(t&lt;Tnet,'2025'!Resal+('2025'!Salim-'2025'!Resal)*(1-EXP(('2025'!Tnet-t)/('2025'!Tau_j))),Resal+(Salim-Resal)*(1-EXP((Tnet-t)/(Tau_j))))*Salcycl</f>
        <v>1.7596382556342455E-2</v>
      </c>
      <c r="P41" s="334">
        <f>(INDEX(Models!$BJ41:$BT41,,T41)*(1-R41)+INDEX(Models!$BJ41:$BT41,,T41+1)*R41-ERP_i)*Q41*Ramure*Pc/MaxiM</f>
        <v>1.0380582224745997E-2</v>
      </c>
      <c r="Q41" s="301">
        <f t="shared" si="4"/>
        <v>0.5</v>
      </c>
      <c r="R41" s="173">
        <f t="shared" si="5"/>
        <v>0.99514503563329693</v>
      </c>
      <c r="S41" s="802">
        <f t="shared" si="6"/>
        <v>1</v>
      </c>
      <c r="T41" s="172">
        <f t="shared" si="7"/>
        <v>7</v>
      </c>
      <c r="U41" s="247">
        <f t="shared" si="20"/>
        <v>1.9951450356332969</v>
      </c>
      <c r="V41" s="378">
        <f t="shared" si="8"/>
        <v>23.384905115662914</v>
      </c>
      <c r="W41" s="397">
        <f t="shared" si="9"/>
        <v>18.789763152913203</v>
      </c>
      <c r="X41" s="153">
        <f t="shared" si="10"/>
        <v>46049</v>
      </c>
      <c r="Y41" s="380">
        <f t="shared" si="11"/>
        <v>18.208437984879136</v>
      </c>
      <c r="Z41" s="380">
        <f t="shared" si="21"/>
        <v>18.593063906970471</v>
      </c>
      <c r="AA41" s="381">
        <f t="shared" si="12"/>
        <v>19.530331887980211</v>
      </c>
      <c r="AB41" s="193">
        <f t="shared" si="13"/>
        <v>46049</v>
      </c>
      <c r="AC41" s="119">
        <f>IF(OR(t&lt;Tnet,NoTnet),'2025'!Resal_s+('2025'!Salim-'2025'!Resal_s)*(1-EXP(('2025'!Tnet_s-t)/'2025'!Tau_j)),Resal_s+(Salim-Resal_s)*(1-EXP((Tnet_s-t)/Tau_j)))*Salcycl</f>
        <v>4.7990376527424668E-2</v>
      </c>
      <c r="AD41" s="227">
        <f>(INDEX(Models!$BJ41:$BT41,,AH41)*(1-AF41)+INDEX(Models!$BJ41:$BT41,,AH41+1)*AF41-ERP_i)*AE41*Ramure*Pc/MaxiM</f>
        <v>1.0380582224745997E-2</v>
      </c>
      <c r="AE41" s="301">
        <f t="shared" si="14"/>
        <v>0.5</v>
      </c>
      <c r="AF41" s="173">
        <f t="shared" si="22"/>
        <v>0.99514503563329693</v>
      </c>
      <c r="AG41" s="802">
        <f t="shared" si="23"/>
        <v>1</v>
      </c>
      <c r="AH41" s="172">
        <f t="shared" si="15"/>
        <v>7</v>
      </c>
      <c r="AI41" s="221">
        <f t="shared" si="24"/>
        <v>1.9951450356332969</v>
      </c>
      <c r="AJ41" s="261" t="b">
        <f t="shared" si="16"/>
        <v>0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46050</v>
      </c>
      <c r="B42" s="406">
        <f>'2025'!Wh/'2025'!Env_an*'2026'!Env_an</f>
        <v>4.4821071350778743</v>
      </c>
      <c r="C42" s="832"/>
      <c r="D42" s="388">
        <f t="shared" si="0"/>
        <v>4.5768475739929322</v>
      </c>
      <c r="E42" s="380">
        <f t="shared" si="1"/>
        <v>4.6590959479833804</v>
      </c>
      <c r="F42" s="380">
        <f t="shared" si="2"/>
        <v>4.6590959479833804</v>
      </c>
      <c r="G42" s="110">
        <f t="shared" si="19"/>
        <v>0.18692969754665276</v>
      </c>
      <c r="H42" s="409" t="b">
        <f>Wh_hp&gt;='2025'!Maxi_hp</f>
        <v>0</v>
      </c>
      <c r="I42" s="375">
        <f>IF(H42,Wh_hp,'2025'!Maxi_hp)</f>
        <v>4.7066426478923402</v>
      </c>
      <c r="J42" s="85">
        <f>IF(H42,An,'2025'!An_max)</f>
        <v>2022</v>
      </c>
      <c r="K42" s="193">
        <f t="shared" si="3"/>
        <v>46050</v>
      </c>
      <c r="L42" s="143">
        <f>IF(t&lt;Tvie,1-EXP((T0-t)*PertePVj)+'2025'!Pspv,1-EXP((T0-t)*PertePVj)+Pspv)</f>
        <v>2.0699933170901907E-2</v>
      </c>
      <c r="M42" s="836"/>
      <c r="N42" s="836"/>
      <c r="O42" s="48">
        <f>IF(t&lt;Tnet,'2025'!Resal+('2025'!Salim-'2025'!Resal)*(1-EXP(('2025'!Tnet-t)/('2025'!Tau_j))),Resal+(Salim-Resal)*(1-EXP((Tnet-t)/(Tau_j))))*Salcycl</f>
        <v>1.7653290447055062E-2</v>
      </c>
      <c r="P42" s="334">
        <f>(INDEX(Models!$BJ42:$BT42,,T42)*(1-R42)+INDEX(Models!$BJ42:$BT42,,T42+1)*R42-ERP_i)*Q42*Ramure*Pc/MaxiM</f>
        <v>1.0107322439988364E-2</v>
      </c>
      <c r="Q42" s="301">
        <f t="shared" si="4"/>
        <v>0.5</v>
      </c>
      <c r="R42" s="173">
        <f t="shared" si="5"/>
        <v>0.99522961889914296</v>
      </c>
      <c r="S42" s="802">
        <f t="shared" si="6"/>
        <v>1</v>
      </c>
      <c r="T42" s="172">
        <f t="shared" si="7"/>
        <v>7</v>
      </c>
      <c r="U42" s="247">
        <f t="shared" si="20"/>
        <v>1.995229618899143</v>
      </c>
      <c r="V42" s="378">
        <f t="shared" si="8"/>
        <v>23.735153329212228</v>
      </c>
      <c r="W42" s="397">
        <f t="shared" si="9"/>
        <v>4.4821071350778743</v>
      </c>
      <c r="X42" s="153">
        <f t="shared" si="10"/>
        <v>46050</v>
      </c>
      <c r="Y42" s="380">
        <f t="shared" si="11"/>
        <v>4.3435569165224424</v>
      </c>
      <c r="Z42" s="380">
        <f t="shared" si="21"/>
        <v>4.4353687533041448</v>
      </c>
      <c r="AA42" s="381">
        <f t="shared" si="12"/>
        <v>4.6590959479833804</v>
      </c>
      <c r="AB42" s="193">
        <f t="shared" si="13"/>
        <v>46050</v>
      </c>
      <c r="AC42" s="119">
        <f>IF(OR(t&lt;Tnet,NoTnet),'2025'!Resal_s+('2025'!Salim-'2025'!Resal_s)*(1-EXP(('2025'!Tnet_s-t)/'2025'!Tau_j)),Resal_s+(Salim-Resal_s)*(1-EXP((Tnet_s-t)/Tau_j)))*Salcycl</f>
        <v>4.801944350943721E-2</v>
      </c>
      <c r="AD42" s="227">
        <f>(INDEX(Models!$BJ42:$BT42,,AH42)*(1-AF42)+INDEX(Models!$BJ42:$BT42,,AH42+1)*AF42-ERP_i)*AE42*Ramure*Pc/MaxiM</f>
        <v>1.0107322439988364E-2</v>
      </c>
      <c r="AE42" s="301">
        <f t="shared" si="14"/>
        <v>0.5</v>
      </c>
      <c r="AF42" s="173">
        <f t="shared" si="22"/>
        <v>0.99522961889914296</v>
      </c>
      <c r="AG42" s="802">
        <f t="shared" si="23"/>
        <v>1</v>
      </c>
      <c r="AH42" s="172">
        <f t="shared" si="15"/>
        <v>7</v>
      </c>
      <c r="AI42" s="221">
        <f t="shared" si="24"/>
        <v>1.995229618899143</v>
      </c>
      <c r="AJ42" s="261" t="b">
        <f t="shared" si="16"/>
        <v>0</v>
      </c>
      <c r="AK42" s="261" t="b">
        <f t="shared" si="17"/>
        <v>0</v>
      </c>
      <c r="AL42" s="261"/>
      <c r="AM42" s="261"/>
      <c r="AN42" s="75"/>
    </row>
    <row r="43" spans="1:40" s="6" customFormat="1" ht="11.25" x14ac:dyDescent="0.2">
      <c r="A43" s="56">
        <f t="shared" si="18"/>
        <v>46051</v>
      </c>
      <c r="B43" s="406">
        <f>'2025'!Wh/'2025'!Env_an*'2026'!Env_an</f>
        <v>6.7368540676139714</v>
      </c>
      <c r="C43" s="832"/>
      <c r="D43" s="388">
        <f t="shared" si="0"/>
        <v>6.879348341683464</v>
      </c>
      <c r="E43" s="380">
        <f t="shared" si="1"/>
        <v>7.0033794090516359</v>
      </c>
      <c r="F43" s="380">
        <f t="shared" si="2"/>
        <v>7.0033794090516359</v>
      </c>
      <c r="G43" s="110">
        <f t="shared" si="19"/>
        <v>0.27688530431362951</v>
      </c>
      <c r="H43" s="409" t="b">
        <f>Wh_hp&gt;='2025'!Maxi_hp</f>
        <v>0</v>
      </c>
      <c r="I43" s="375">
        <f>IF(H43,Wh_hp,'2025'!Maxi_hp)</f>
        <v>7.0726171921905499</v>
      </c>
      <c r="J43" s="85">
        <f>IF(H43,An,'2025'!An_max)</f>
        <v>2022</v>
      </c>
      <c r="K43" s="193">
        <f t="shared" si="3"/>
        <v>46051</v>
      </c>
      <c r="L43" s="143">
        <f>IF(t&lt;Tvie,1-EXP((T0-t)*PertePVj)+'2025'!Pspv,1-EXP((T0-t)*PertePVj)+Pspv)</f>
        <v>2.0713338966438011E-2</v>
      </c>
      <c r="M43" s="836"/>
      <c r="N43" s="836"/>
      <c r="O43" s="48">
        <f>IF(t&lt;Tnet,'2025'!Resal+('2025'!Salim-'2025'!Resal)*(1-EXP(('2025'!Tnet-t)/('2025'!Tau_j))),Resal+(Salim-Resal)*(1-EXP((Tnet-t)/(Tau_j))))*Salcycl</f>
        <v>1.7710173920873876E-2</v>
      </c>
      <c r="P43" s="334">
        <f>(INDEX(Models!$BJ43:$BT43,,T43)*(1-R43)+INDEX(Models!$BJ43:$BT43,,T43+1)*R43-ERP_i)*Q43*Ramure*Pc/MaxiM</f>
        <v>9.794778663270453E-3</v>
      </c>
      <c r="Q43" s="301">
        <f t="shared" si="4"/>
        <v>0.5</v>
      </c>
      <c r="R43" s="173">
        <f t="shared" si="5"/>
        <v>0.99531772009442809</v>
      </c>
      <c r="S43" s="802">
        <f t="shared" si="6"/>
        <v>1</v>
      </c>
      <c r="T43" s="172">
        <f t="shared" si="7"/>
        <v>7</v>
      </c>
      <c r="U43" s="247">
        <f t="shared" si="20"/>
        <v>1.9953177200944281</v>
      </c>
      <c r="V43" s="378">
        <f t="shared" si="8"/>
        <v>24.092532067280864</v>
      </c>
      <c r="W43" s="397">
        <f t="shared" si="9"/>
        <v>6.7368540676139714</v>
      </c>
      <c r="X43" s="153">
        <f t="shared" si="10"/>
        <v>46051</v>
      </c>
      <c r="Y43" s="380">
        <f t="shared" si="11"/>
        <v>6.5287838316287665</v>
      </c>
      <c r="Z43" s="380">
        <f t="shared" si="21"/>
        <v>6.666877117205023</v>
      </c>
      <c r="AA43" s="381">
        <f t="shared" si="12"/>
        <v>7.0033794090516359</v>
      </c>
      <c r="AB43" s="193">
        <f t="shared" si="13"/>
        <v>46051</v>
      </c>
      <c r="AC43" s="119">
        <f>IF(OR(t&lt;Tnet,NoTnet),'2025'!Resal_s+('2025'!Salim-'2025'!Resal_s)*(1-EXP(('2025'!Tnet_s-t)/'2025'!Tau_j)),Resal_s+(Salim-Resal_s)*(1-EXP((Tnet_s-t)/Tau_j)))*Salcycl</f>
        <v>4.80485594442727E-2</v>
      </c>
      <c r="AD43" s="227">
        <f>(INDEX(Models!$BJ43:$BT43,,AH43)*(1-AF43)+INDEX(Models!$BJ43:$BT43,,AH43+1)*AF43-ERP_i)*AE43*Ramure*Pc/MaxiM</f>
        <v>9.794778663270453E-3</v>
      </c>
      <c r="AE43" s="301">
        <f t="shared" si="14"/>
        <v>0.5</v>
      </c>
      <c r="AF43" s="173">
        <f t="shared" si="22"/>
        <v>0.99531772009442809</v>
      </c>
      <c r="AG43" s="802">
        <f t="shared" si="23"/>
        <v>1</v>
      </c>
      <c r="AH43" s="172">
        <f t="shared" si="15"/>
        <v>7</v>
      </c>
      <c r="AI43" s="221">
        <f t="shared" si="24"/>
        <v>1.9953177200944281</v>
      </c>
      <c r="AJ43" s="261" t="b">
        <f t="shared" si="16"/>
        <v>0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46052</v>
      </c>
      <c r="B44" s="406">
        <f>'2025'!Wh/'2025'!Env_an*'2026'!Env_an</f>
        <v>4.8561546783365452</v>
      </c>
      <c r="C44" s="832"/>
      <c r="D44" s="388">
        <f t="shared" si="0"/>
        <v>4.9589373052429124</v>
      </c>
      <c r="E44" s="380">
        <f t="shared" si="1"/>
        <v>5.0486365986538537</v>
      </c>
      <c r="F44" s="380">
        <f t="shared" si="2"/>
        <v>5.0486365986538537</v>
      </c>
      <c r="G44" s="110">
        <f t="shared" si="19"/>
        <v>0.196690733932741</v>
      </c>
      <c r="H44" s="409" t="b">
        <f>Wh_hp&gt;='2025'!Maxi_hp</f>
        <v>0</v>
      </c>
      <c r="I44" s="375">
        <f>IF(H44,Wh_hp,'2025'!Maxi_hp)</f>
        <v>5.0966884891748485</v>
      </c>
      <c r="J44" s="85">
        <f>IF(H44,An,'2025'!An_max)</f>
        <v>2022</v>
      </c>
      <c r="K44" s="193">
        <f t="shared" si="3"/>
        <v>46052</v>
      </c>
      <c r="L44" s="143">
        <f>IF(t&lt;Tvie,1-EXP((T0-t)*PertePVj)+'2025'!Pspv,1-EXP((T0-t)*PertePVj)+Pspv)</f>
        <v>2.0726744578460132E-2</v>
      </c>
      <c r="M44" s="836"/>
      <c r="N44" s="836"/>
      <c r="O44" s="48">
        <f>IF(t&lt;Tnet,'2025'!Resal+('2025'!Salim-'2025'!Resal)*(1-EXP(('2025'!Tnet-t)/('2025'!Tau_j))),Resal+(Salim-Resal)*(1-EXP((Tnet-t)/(Tau_j))))*Salcycl</f>
        <v>1.7767033070841081E-2</v>
      </c>
      <c r="P44" s="334">
        <f>(INDEX(Models!$BJ44:$BT44,,T44)*(1-R44)+INDEX(Models!$BJ44:$BT44,,T44+1)*R44-ERP_i)*Q44*Ramure*Pc/MaxiM</f>
        <v>9.4331777796710665E-3</v>
      </c>
      <c r="Q44" s="301">
        <f t="shared" si="4"/>
        <v>0.5</v>
      </c>
      <c r="R44" s="173">
        <f t="shared" si="5"/>
        <v>0.9954094842074217</v>
      </c>
      <c r="S44" s="802">
        <f t="shared" si="6"/>
        <v>1</v>
      </c>
      <c r="T44" s="172">
        <f t="shared" si="7"/>
        <v>7</v>
      </c>
      <c r="U44" s="247">
        <f t="shared" si="20"/>
        <v>1.9954094842074217</v>
      </c>
      <c r="V44" s="378">
        <f t="shared" si="8"/>
        <v>24.45639208187167</v>
      </c>
      <c r="W44" s="397">
        <f t="shared" si="9"/>
        <v>4.8561546783365452</v>
      </c>
      <c r="X44" s="153">
        <f t="shared" si="10"/>
        <v>46052</v>
      </c>
      <c r="Y44" s="380">
        <f t="shared" si="11"/>
        <v>4.7062987806293748</v>
      </c>
      <c r="Z44" s="380">
        <f t="shared" si="21"/>
        <v>4.8059096422514802</v>
      </c>
      <c r="AA44" s="381">
        <f t="shared" si="12"/>
        <v>5.0486365986538537</v>
      </c>
      <c r="AB44" s="193">
        <f t="shared" si="13"/>
        <v>46052</v>
      </c>
      <c r="AC44" s="119">
        <f>IF(OR(t&lt;Tnet,NoTnet),'2025'!Resal_s+('2025'!Salim-'2025'!Resal_s)*(1-EXP(('2025'!Tnet_s-t)/'2025'!Tau_j)),Resal_s+(Salim-Resal_s)*(1-EXP((Tnet_s-t)/Tau_j)))*Salcycl</f>
        <v>4.8077723888285684E-2</v>
      </c>
      <c r="AD44" s="227">
        <f>(INDEX(Models!$BJ44:$BT44,,AH44)*(1-AF44)+INDEX(Models!$BJ44:$BT44,,AH44+1)*AF44-ERP_i)*AE44*Ramure*Pc/MaxiM</f>
        <v>9.4331777796710665E-3</v>
      </c>
      <c r="AE44" s="301">
        <f t="shared" si="14"/>
        <v>0.5</v>
      </c>
      <c r="AF44" s="173">
        <f t="shared" si="22"/>
        <v>0.9954094842074217</v>
      </c>
      <c r="AG44" s="802">
        <f t="shared" si="23"/>
        <v>1</v>
      </c>
      <c r="AH44" s="172">
        <f t="shared" si="15"/>
        <v>7</v>
      </c>
      <c r="AI44" s="221">
        <f t="shared" si="24"/>
        <v>1.9954094842074217</v>
      </c>
      <c r="AJ44" s="261" t="b">
        <f t="shared" si="16"/>
        <v>0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46053</v>
      </c>
      <c r="B45" s="406">
        <f>'2025'!Wh/'2025'!Env_an*'2026'!Env_an</f>
        <v>11.261895957445882</v>
      </c>
      <c r="C45" s="832"/>
      <c r="D45" s="388">
        <f t="shared" si="0"/>
        <v>11.50041631700314</v>
      </c>
      <c r="E45" s="380">
        <f t="shared" si="1"/>
        <v>11.709118089835542</v>
      </c>
      <c r="F45" s="380">
        <f t="shared" si="2"/>
        <v>11.732380448092012</v>
      </c>
      <c r="G45" s="110">
        <f t="shared" si="19"/>
        <v>0.45043596160243821</v>
      </c>
      <c r="H45" s="409" t="b">
        <f>Wh_hp&gt;='2025'!Maxi_hp</f>
        <v>0</v>
      </c>
      <c r="I45" s="375">
        <f>IF(H45,Wh_hp,'2025'!Maxi_hp)</f>
        <v>11.815810990102225</v>
      </c>
      <c r="J45" s="85">
        <f>IF(H45,An,'2025'!An_max)</f>
        <v>2022</v>
      </c>
      <c r="K45" s="193">
        <f t="shared" si="3"/>
        <v>46053</v>
      </c>
      <c r="L45" s="143">
        <f>IF(t&lt;Tvie,1-EXP((T0-t)*PertePVj)+'2025'!Pspv,1-EXP((T0-t)*PertePVj)+Pspv)</f>
        <v>2.0740150006970604E-2</v>
      </c>
      <c r="M45" s="836"/>
      <c r="N45" s="836"/>
      <c r="O45" s="48">
        <f>IF(t&lt;Tnet,'2025'!Resal+('2025'!Salim-'2025'!Resal)*(1-EXP(('2025'!Tnet-t)/('2025'!Tau_j))),Resal+(Salim-Resal)*(1-EXP((Tnet-t)/(Tau_j))))*Salcycl</f>
        <v>1.7823867795267345E-2</v>
      </c>
      <c r="P45" s="334">
        <f>(INDEX(Models!$BJ45:$BT45,,T45)*(1-R45)+INDEX(Models!$BJ45:$BT45,,T45+1)*R45-ERP_i)*Q45*Ramure*Pc/MaxiM</f>
        <v>9.033560026510937E-3</v>
      </c>
      <c r="Q45" s="301">
        <f t="shared" si="4"/>
        <v>0.5</v>
      </c>
      <c r="R45" s="173">
        <f t="shared" si="5"/>
        <v>0.9955050620888517</v>
      </c>
      <c r="S45" s="802">
        <f t="shared" si="6"/>
        <v>1</v>
      </c>
      <c r="T45" s="172">
        <f t="shared" si="7"/>
        <v>7</v>
      </c>
      <c r="U45" s="247">
        <f t="shared" si="20"/>
        <v>1.9955050620888517</v>
      </c>
      <c r="V45" s="378">
        <f t="shared" si="8"/>
        <v>24.825577106435855</v>
      </c>
      <c r="W45" s="397">
        <f t="shared" si="9"/>
        <v>11.261895957445882</v>
      </c>
      <c r="X45" s="153">
        <f t="shared" si="10"/>
        <v>46053</v>
      </c>
      <c r="Y45" s="380">
        <f t="shared" si="11"/>
        <v>10.91466214585512</v>
      </c>
      <c r="Z45" s="380">
        <f t="shared" si="21"/>
        <v>11.145828296680206</v>
      </c>
      <c r="AA45" s="381">
        <f t="shared" si="12"/>
        <v>11.709118089835542</v>
      </c>
      <c r="AB45" s="193">
        <f t="shared" si="13"/>
        <v>46053</v>
      </c>
      <c r="AC45" s="119">
        <f>IF(OR(t&lt;Tnet,NoTnet),'2025'!Resal_s+('2025'!Salim-'2025'!Resal_s)*(1-EXP(('2025'!Tnet_s-t)/'2025'!Tau_j)),Resal_s+(Salim-Resal_s)*(1-EXP((Tnet_s-t)/Tau_j)))*Salcycl</f>
        <v>4.8106935879681408E-2</v>
      </c>
      <c r="AD45" s="227">
        <f>(INDEX(Models!$BJ45:$BT45,,AH45)*(1-AF45)+INDEX(Models!$BJ45:$BT45,,AH45+1)*AF45-ERP_i)*AE45*Ramure*Pc/MaxiM</f>
        <v>9.033560026510937E-3</v>
      </c>
      <c r="AE45" s="301">
        <f t="shared" si="14"/>
        <v>0.5</v>
      </c>
      <c r="AF45" s="173">
        <f t="shared" si="22"/>
        <v>0.9955050620888517</v>
      </c>
      <c r="AG45" s="802">
        <f t="shared" si="23"/>
        <v>1</v>
      </c>
      <c r="AH45" s="172">
        <f t="shared" si="15"/>
        <v>7</v>
      </c>
      <c r="AI45" s="221">
        <f t="shared" si="24"/>
        <v>1.9955050620888517</v>
      </c>
      <c r="AJ45" s="261" t="b">
        <f t="shared" si="16"/>
        <v>0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46054</v>
      </c>
      <c r="B46" s="406">
        <f>'2025'!Wh/'2025'!Env_an*'2026'!Env_an</f>
        <v>14.521591946230982</v>
      </c>
      <c r="C46" s="832"/>
      <c r="D46" s="388">
        <f t="shared" si="0"/>
        <v>14.829353758815602</v>
      </c>
      <c r="E46" s="380">
        <f t="shared" si="1"/>
        <v>15.099340195738224</v>
      </c>
      <c r="F46" s="380">
        <f t="shared" si="2"/>
        <v>15.150753557561503</v>
      </c>
      <c r="G46" s="110">
        <f t="shared" si="19"/>
        <v>0.57326380073956507</v>
      </c>
      <c r="H46" s="409" t="b">
        <f>Wh_hp&gt;='2025'!Maxi_hp</f>
        <v>0</v>
      </c>
      <c r="I46" s="375">
        <f>IF(H46,Wh_hp,'2025'!Maxi_hp)</f>
        <v>15.230246512611631</v>
      </c>
      <c r="J46" s="85">
        <f>IF(H46,An,'2025'!An_max)</f>
        <v>2022</v>
      </c>
      <c r="K46" s="193">
        <f t="shared" si="3"/>
        <v>46054</v>
      </c>
      <c r="L46" s="143">
        <f>IF(t&lt;Tvie,1-EXP((T0-t)*PertePVj)+'2025'!Pspv,1-EXP((T0-t)*PertePVj)+Pspv)</f>
        <v>2.0753555251972089E-2</v>
      </c>
      <c r="M46" s="836"/>
      <c r="N46" s="836"/>
      <c r="O46" s="48">
        <f>IF(t&lt;Tnet,'2025'!Resal+('2025'!Salim-'2025'!Resal)*(1-EXP(('2025'!Tnet-t)/('2025'!Tau_j))),Resal+(Salim-Resal)*(1-EXP((Tnet-t)/(Tau_j))))*Salcycl</f>
        <v>1.7880677792717431E-2</v>
      </c>
      <c r="P46" s="334">
        <f>(INDEX(Models!$BJ46:$BT46,,T46)*(1-R46)+INDEX(Models!$BJ46:$BT46,,T46+1)*R46-ERP_i)*Q46*Ramure*Pc/MaxiM</f>
        <v>8.5980685205218031E-3</v>
      </c>
      <c r="Q46" s="301">
        <f t="shared" si="4"/>
        <v>0.5</v>
      </c>
      <c r="R46" s="173">
        <f t="shared" si="5"/>
        <v>0.99560461067929218</v>
      </c>
      <c r="S46" s="802">
        <f t="shared" si="6"/>
        <v>1</v>
      </c>
      <c r="T46" s="172">
        <f t="shared" si="7"/>
        <v>7</v>
      </c>
      <c r="U46" s="247">
        <f t="shared" si="20"/>
        <v>1.9956046106792922</v>
      </c>
      <c r="V46" s="378">
        <f t="shared" si="8"/>
        <v>25.199140899404096</v>
      </c>
      <c r="W46" s="397">
        <f t="shared" si="9"/>
        <v>14.521591946230982</v>
      </c>
      <c r="X46" s="153">
        <f t="shared" si="10"/>
        <v>46054</v>
      </c>
      <c r="Y46" s="380">
        <f t="shared" si="11"/>
        <v>14.074234634794955</v>
      </c>
      <c r="Z46" s="380">
        <f t="shared" si="21"/>
        <v>14.372515427836378</v>
      </c>
      <c r="AA46" s="381">
        <f t="shared" si="12"/>
        <v>15.099340195738224</v>
      </c>
      <c r="AB46" s="193">
        <f t="shared" si="13"/>
        <v>46054</v>
      </c>
      <c r="AC46" s="119">
        <f>IF(OR(t&lt;Tnet,NoTnet),'2025'!Resal_s+('2025'!Salim-'2025'!Resal_s)*(1-EXP(('2025'!Tnet_s-t)/'2025'!Tau_j)),Resal_s+(Salim-Resal_s)*(1-EXP((Tnet_s-t)/Tau_j)))*Salcycl</f>
        <v>4.8136193931638878E-2</v>
      </c>
      <c r="AD46" s="227">
        <f>(INDEX(Models!$BJ46:$BT46,,AH46)*(1-AF46)+INDEX(Models!$BJ46:$BT46,,AH46+1)*AF46-ERP_i)*AE46*Ramure*Pc/MaxiM</f>
        <v>8.5980685205218031E-3</v>
      </c>
      <c r="AE46" s="301">
        <f t="shared" si="14"/>
        <v>0.5</v>
      </c>
      <c r="AF46" s="173">
        <f t="shared" si="22"/>
        <v>0.99560461067929218</v>
      </c>
      <c r="AG46" s="802">
        <f t="shared" si="23"/>
        <v>1</v>
      </c>
      <c r="AH46" s="172">
        <f t="shared" si="15"/>
        <v>7</v>
      </c>
      <c r="AI46" s="221">
        <f t="shared" si="24"/>
        <v>1.9956046106792922</v>
      </c>
      <c r="AJ46" s="261" t="b">
        <f t="shared" si="16"/>
        <v>0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46055</v>
      </c>
      <c r="B47" s="406">
        <f>'2025'!Wh/'2025'!Env_an*'2026'!Env_an</f>
        <v>5.8578982025576165</v>
      </c>
      <c r="C47" s="832"/>
      <c r="D47" s="388">
        <f t="shared" si="0"/>
        <v>5.9821288346569839</v>
      </c>
      <c r="E47" s="380">
        <f t="shared" si="1"/>
        <v>6.0913929679601795</v>
      </c>
      <c r="F47" s="380">
        <f t="shared" si="2"/>
        <v>6.0913929679601795</v>
      </c>
      <c r="G47" s="110">
        <f t="shared" si="19"/>
        <v>0.2271758650279592</v>
      </c>
      <c r="H47" s="409" t="b">
        <f>Wh_hp&gt;='2025'!Maxi_hp</f>
        <v>0</v>
      </c>
      <c r="I47" s="375">
        <f>IF(H47,Wh_hp,'2025'!Maxi_hp)</f>
        <v>6.1412851991901132</v>
      </c>
      <c r="J47" s="85">
        <f>IF(H47,An,'2025'!An_max)</f>
        <v>2022</v>
      </c>
      <c r="K47" s="193">
        <f t="shared" si="3"/>
        <v>46055</v>
      </c>
      <c r="L47" s="143">
        <f>IF(t&lt;Tvie,1-EXP((T0-t)*PertePVj)+'2025'!Pspv,1-EXP((T0-t)*PertePVj)+Pspv)</f>
        <v>2.076696031346692E-2</v>
      </c>
      <c r="M47" s="836"/>
      <c r="N47" s="836"/>
      <c r="O47" s="48">
        <f>IF(t&lt;Tnet,'2025'!Resal+('2025'!Salim-'2025'!Resal)*(1-EXP(('2025'!Tnet-t)/('2025'!Tau_j))),Resal+(Salim-Resal)*(1-EXP((Tnet-t)/(Tau_j))))*Salcycl</f>
        <v>1.7937462560354979E-2</v>
      </c>
      <c r="P47" s="334">
        <f>(INDEX(Models!$BJ47:$BT47,,T47)*(1-R47)+INDEX(Models!$BJ47:$BT47,,T47+1)*R47-ERP_i)*Q47*Ramure*Pc/MaxiM</f>
        <v>8.1286856889808082E-3</v>
      </c>
      <c r="Q47" s="301">
        <f t="shared" si="4"/>
        <v>0.5</v>
      </c>
      <c r="R47" s="173">
        <f t="shared" si="5"/>
        <v>0.99570829324453691</v>
      </c>
      <c r="S47" s="802">
        <f t="shared" si="6"/>
        <v>1</v>
      </c>
      <c r="T47" s="172">
        <f t="shared" si="7"/>
        <v>7</v>
      </c>
      <c r="U47" s="247">
        <f t="shared" si="20"/>
        <v>1.9957082932445369</v>
      </c>
      <c r="V47" s="378">
        <f t="shared" si="8"/>
        <v>25.576137626045316</v>
      </c>
      <c r="W47" s="397">
        <f t="shared" si="9"/>
        <v>5.8578982025576165</v>
      </c>
      <c r="X47" s="153">
        <f t="shared" si="10"/>
        <v>46055</v>
      </c>
      <c r="Y47" s="380">
        <f t="shared" si="11"/>
        <v>5.6775912096681429</v>
      </c>
      <c r="Z47" s="380">
        <f t="shared" si="21"/>
        <v>5.797998004117205</v>
      </c>
      <c r="AA47" s="381">
        <f t="shared" si="12"/>
        <v>6.0913929679601795</v>
      </c>
      <c r="AB47" s="193">
        <f t="shared" si="13"/>
        <v>46055</v>
      </c>
      <c r="AC47" s="119">
        <f>IF(OR(t&lt;Tnet,NoTnet),'2025'!Resal_s+('2025'!Salim-'2025'!Resal_s)*(1-EXP(('2025'!Tnet_s-t)/'2025'!Tau_j)),Resal_s+(Salim-Resal_s)*(1-EXP((Tnet_s-t)/Tau_j)))*Salcycl</f>
        <v>4.8165496034517537E-2</v>
      </c>
      <c r="AD47" s="227">
        <f>(INDEX(Models!$BJ47:$BT47,,AH47)*(1-AF47)+INDEX(Models!$BJ47:$BT47,,AH47+1)*AF47-ERP_i)*AE47*Ramure*Pc/MaxiM</f>
        <v>8.1286856889808082E-3</v>
      </c>
      <c r="AE47" s="301">
        <f t="shared" si="14"/>
        <v>0.5</v>
      </c>
      <c r="AF47" s="173">
        <f t="shared" si="22"/>
        <v>0.99570829324453691</v>
      </c>
      <c r="AG47" s="802">
        <f t="shared" si="23"/>
        <v>1</v>
      </c>
      <c r="AH47" s="172">
        <f t="shared" si="15"/>
        <v>7</v>
      </c>
      <c r="AI47" s="221">
        <f t="shared" si="24"/>
        <v>1.9957082932445369</v>
      </c>
      <c r="AJ47" s="261" t="b">
        <f t="shared" si="16"/>
        <v>0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46056</v>
      </c>
      <c r="B48" s="406">
        <f>'2025'!Wh/'2025'!Env_an*'2026'!Env_an</f>
        <v>13.540421187596902</v>
      </c>
      <c r="C48" s="832"/>
      <c r="D48" s="388">
        <f t="shared" si="0"/>
        <v>13.827767240639874</v>
      </c>
      <c r="E48" s="380">
        <f t="shared" si="1"/>
        <v>14.081146508416671</v>
      </c>
      <c r="F48" s="380">
        <f t="shared" si="2"/>
        <v>14.11524031222786</v>
      </c>
      <c r="G48" s="110">
        <f t="shared" si="19"/>
        <v>0.51895037916444609</v>
      </c>
      <c r="H48" s="409" t="b">
        <f>Wh_hp&gt;='2025'!Maxi_hp</f>
        <v>0</v>
      </c>
      <c r="I48" s="375">
        <f>IF(H48,Wh_hp,'2025'!Maxi_hp)</f>
        <v>14.189329287709032</v>
      </c>
      <c r="J48" s="85">
        <f>IF(H48,An,'2025'!An_max)</f>
        <v>2022</v>
      </c>
      <c r="K48" s="193">
        <f t="shared" si="3"/>
        <v>46056</v>
      </c>
      <c r="L48" s="143">
        <f>IF(t&lt;Tvie,1-EXP((T0-t)*PertePVj)+'2025'!Pspv,1-EXP((T0-t)*PertePVj)+Pspv)</f>
        <v>2.0780365191457761E-2</v>
      </c>
      <c r="M48" s="836"/>
      <c r="N48" s="836"/>
      <c r="O48" s="48">
        <f>IF(t&lt;Tnet,'2025'!Resal+('2025'!Salim-'2025'!Resal)*(1-EXP(('2025'!Tnet-t)/('2025'!Tau_j))),Resal+(Salim-Resal)*(1-EXP((Tnet-t)/(Tau_j))))*Salcycl</f>
        <v>1.7994221395633267E-2</v>
      </c>
      <c r="P48" s="334">
        <f>(INDEX(Models!$BJ48:$BT48,,T48)*(1-R48)+INDEX(Models!$BJ48:$BT48,,T48+1)*R48-ERP_i)*Q48*Ramure*Pc/MaxiM</f>
        <v>7.62722981264349E-3</v>
      </c>
      <c r="Q48" s="301">
        <f t="shared" si="4"/>
        <v>0.5</v>
      </c>
      <c r="R48" s="173">
        <f t="shared" si="5"/>
        <v>0.99581627961917007</v>
      </c>
      <c r="S48" s="802">
        <f t="shared" si="6"/>
        <v>1</v>
      </c>
      <c r="T48" s="172">
        <f t="shared" si="7"/>
        <v>7</v>
      </c>
      <c r="U48" s="247">
        <f t="shared" si="20"/>
        <v>1.9958162796191701</v>
      </c>
      <c r="V48" s="378">
        <f t="shared" si="8"/>
        <v>25.955621862818457</v>
      </c>
      <c r="W48" s="397">
        <f t="shared" si="9"/>
        <v>13.540421187596902</v>
      </c>
      <c r="X48" s="153">
        <f t="shared" si="10"/>
        <v>46056</v>
      </c>
      <c r="Y48" s="380">
        <f t="shared" si="11"/>
        <v>13.123998901263073</v>
      </c>
      <c r="Z48" s="380">
        <f t="shared" si="21"/>
        <v>13.4025079101167</v>
      </c>
      <c r="AA48" s="381">
        <f t="shared" si="12"/>
        <v>14.081146508416671</v>
      </c>
      <c r="AB48" s="193">
        <f t="shared" si="13"/>
        <v>46056</v>
      </c>
      <c r="AC48" s="119">
        <f>IF(OR(t&lt;Tnet,NoTnet),'2025'!Resal_s+('2025'!Salim-'2025'!Resal_s)*(1-EXP(('2025'!Tnet_s-t)/'2025'!Tau_j)),Resal_s+(Salim-Resal_s)*(1-EXP((Tnet_s-t)/Tau_j)))*Salcycl</f>
        <v>4.8194839666949714E-2</v>
      </c>
      <c r="AD48" s="227">
        <f>(INDEX(Models!$BJ48:$BT48,,AH48)*(1-AF48)+INDEX(Models!$BJ48:$BT48,,AH48+1)*AF48-ERP_i)*AE48*Ramure*Pc/MaxiM</f>
        <v>7.62722981264349E-3</v>
      </c>
      <c r="AE48" s="301">
        <f t="shared" si="14"/>
        <v>0.5</v>
      </c>
      <c r="AF48" s="173">
        <f t="shared" si="22"/>
        <v>0.99581627961917007</v>
      </c>
      <c r="AG48" s="802">
        <f t="shared" si="23"/>
        <v>1</v>
      </c>
      <c r="AH48" s="172">
        <f t="shared" si="15"/>
        <v>7</v>
      </c>
      <c r="AI48" s="221">
        <f t="shared" si="24"/>
        <v>1.9958162796191701</v>
      </c>
      <c r="AJ48" s="261" t="b">
        <f t="shared" si="16"/>
        <v>0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46057</v>
      </c>
      <c r="B49" s="406">
        <f>'2025'!Wh/'2025'!Env_an*'2026'!Env_an</f>
        <v>12.360394915637611</v>
      </c>
      <c r="C49" s="832"/>
      <c r="D49" s="388">
        <f t="shared" si="0"/>
        <v>12.62287201154545</v>
      </c>
      <c r="E49" s="380">
        <f t="shared" si="1"/>
        <v>12.85491549207025</v>
      </c>
      <c r="F49" s="380">
        <f t="shared" si="2"/>
        <v>12.87701625145575</v>
      </c>
      <c r="G49" s="110">
        <f t="shared" si="19"/>
        <v>0.4667941434447091</v>
      </c>
      <c r="H49" s="409" t="b">
        <f>Wh_hp&gt;='2025'!Maxi_hp</f>
        <v>0</v>
      </c>
      <c r="I49" s="375">
        <f>IF(H49,Wh_hp,'2025'!Maxi_hp)</f>
        <v>12.946736780036268</v>
      </c>
      <c r="J49" s="85">
        <f>IF(H49,An,'2025'!An_max)</f>
        <v>2022</v>
      </c>
      <c r="K49" s="193">
        <f t="shared" si="3"/>
        <v>46057</v>
      </c>
      <c r="L49" s="143">
        <f>IF(t&lt;Tvie,1-EXP((T0-t)*PertePVj)+'2025'!Pspv,1-EXP((T0-t)*PertePVj)+Pspv)</f>
        <v>2.0793769885947166E-2</v>
      </c>
      <c r="M49" s="836"/>
      <c r="N49" s="836"/>
      <c r="O49" s="48">
        <f>IF(t&lt;Tnet,'2025'!Resal+('2025'!Salim-'2025'!Resal)*(1-EXP(('2025'!Tnet-t)/('2025'!Tau_j))),Resal+(Salim-Resal)*(1-EXP((Tnet-t)/(Tau_j))))*Salcycl</f>
        <v>1.8050953401283699E-2</v>
      </c>
      <c r="P49" s="334">
        <f>(INDEX(Models!$BJ49:$BT49,,T49)*(1-R49)+INDEX(Models!$BJ49:$BT49,,T49+1)*R49-ERP_i)*Q49*Ramure*Pc/MaxiM</f>
        <v>7.0953535279093781E-3</v>
      </c>
      <c r="Q49" s="301">
        <f t="shared" si="4"/>
        <v>0.5</v>
      </c>
      <c r="R49" s="173">
        <f t="shared" si="5"/>
        <v>0.99592874645853602</v>
      </c>
      <c r="S49" s="802">
        <f t="shared" si="6"/>
        <v>1</v>
      </c>
      <c r="T49" s="172">
        <f t="shared" si="7"/>
        <v>7</v>
      </c>
      <c r="U49" s="247">
        <f t="shared" si="20"/>
        <v>1.995928746458536</v>
      </c>
      <c r="V49" s="378">
        <f t="shared" si="8"/>
        <v>26.336648592021394</v>
      </c>
      <c r="W49" s="397">
        <f t="shared" si="9"/>
        <v>12.360394915637611</v>
      </c>
      <c r="X49" s="153">
        <f t="shared" si="10"/>
        <v>46057</v>
      </c>
      <c r="Y49" s="380">
        <f t="shared" si="11"/>
        <v>11.980585479712708</v>
      </c>
      <c r="Z49" s="380">
        <f t="shared" si="21"/>
        <v>12.234997195960725</v>
      </c>
      <c r="AA49" s="381">
        <f t="shared" si="12"/>
        <v>12.85491549207025</v>
      </c>
      <c r="AB49" s="193">
        <f t="shared" si="13"/>
        <v>46057</v>
      </c>
      <c r="AC49" s="119">
        <f>IF(OR(t&lt;Tnet,NoTnet),'2025'!Resal_s+('2025'!Salim-'2025'!Resal_s)*(1-EXP(('2025'!Tnet_s-t)/'2025'!Tau_j)),Resal_s+(Salim-Resal_s)*(1-EXP((Tnet_s-t)/Tau_j)))*Salcycl</f>
        <v>4.8224221815532771E-2</v>
      </c>
      <c r="AD49" s="227">
        <f>(INDEX(Models!$BJ49:$BT49,,AH49)*(1-AF49)+INDEX(Models!$BJ49:$BT49,,AH49+1)*AF49-ERP_i)*AE49*Ramure*Pc/MaxiM</f>
        <v>7.0953535279093781E-3</v>
      </c>
      <c r="AE49" s="301">
        <f t="shared" si="14"/>
        <v>0.5</v>
      </c>
      <c r="AF49" s="173">
        <f t="shared" si="22"/>
        <v>0.99592874645853602</v>
      </c>
      <c r="AG49" s="802">
        <f t="shared" si="23"/>
        <v>1</v>
      </c>
      <c r="AH49" s="172">
        <f t="shared" si="15"/>
        <v>7</v>
      </c>
      <c r="AI49" s="221">
        <f t="shared" si="24"/>
        <v>1.995928746458536</v>
      </c>
      <c r="AJ49" s="261" t="b">
        <f t="shared" si="16"/>
        <v>0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46058</v>
      </c>
      <c r="B50" s="406">
        <f>'2025'!Wh/'2025'!Env_an*'2026'!Env_an</f>
        <v>9.7096372208423141</v>
      </c>
      <c r="C50" s="832"/>
      <c r="D50" s="388">
        <f t="shared" si="0"/>
        <v>9.9159603368849947</v>
      </c>
      <c r="E50" s="380">
        <f t="shared" si="1"/>
        <v>10.098826426909985</v>
      </c>
      <c r="F50" s="380">
        <f t="shared" si="2"/>
        <v>10.104807651530418</v>
      </c>
      <c r="G50" s="110">
        <f t="shared" si="19"/>
        <v>0.3612472347909868</v>
      </c>
      <c r="H50" s="409" t="b">
        <f>Wh_hp&gt;='2025'!Maxi_hp</f>
        <v>0</v>
      </c>
      <c r="I50" s="375">
        <f>IF(H50,Wh_hp,'2025'!Maxi_hp)</f>
        <v>10.165216263192344</v>
      </c>
      <c r="J50" s="85">
        <f>IF(H50,An,'2025'!An_max)</f>
        <v>2022</v>
      </c>
      <c r="K50" s="193">
        <f t="shared" si="3"/>
        <v>46058</v>
      </c>
      <c r="L50" s="143">
        <f>IF(t&lt;Tvie,1-EXP((T0-t)*PertePVj)+'2025'!Pspv,1-EXP((T0-t)*PertePVj)+Pspv)</f>
        <v>2.0807174396937467E-2</v>
      </c>
      <c r="M50" s="836"/>
      <c r="N50" s="836"/>
      <c r="O50" s="48">
        <f>IF(t&lt;Tnet,'2025'!Resal+('2025'!Salim-'2025'!Resal)*(1-EXP(('2025'!Tnet-t)/('2025'!Tau_j))),Resal+(Salim-Resal)*(1-EXP((Tnet-t)/(Tau_j))))*Salcycl</f>
        <v>1.8107657493519565E-2</v>
      </c>
      <c r="P50" s="334">
        <f>(INDEX(Models!$BJ50:$BT50,,T50)*(1-R50)+INDEX(Models!$BJ50:$BT50,,T50+1)*R50-ERP_i)*Q50*Ramure*Pc/MaxiM</f>
        <v>6.5345438838622779E-3</v>
      </c>
      <c r="Q50" s="301">
        <f t="shared" si="4"/>
        <v>0.5</v>
      </c>
      <c r="R50" s="173">
        <f t="shared" si="5"/>
        <v>0.99604587749931683</v>
      </c>
      <c r="S50" s="802">
        <f t="shared" si="6"/>
        <v>1</v>
      </c>
      <c r="T50" s="172">
        <f t="shared" si="7"/>
        <v>7</v>
      </c>
      <c r="U50" s="247">
        <f t="shared" si="20"/>
        <v>1.9960458774993168</v>
      </c>
      <c r="V50" s="378">
        <f t="shared" si="8"/>
        <v>26.718273199768046</v>
      </c>
      <c r="W50" s="397">
        <f t="shared" si="9"/>
        <v>9.7096372208423141</v>
      </c>
      <c r="X50" s="153">
        <f t="shared" si="10"/>
        <v>46058</v>
      </c>
      <c r="Y50" s="380">
        <f t="shared" si="11"/>
        <v>9.4115327022006223</v>
      </c>
      <c r="Z50" s="380">
        <f t="shared" si="21"/>
        <v>9.6115213021544292</v>
      </c>
      <c r="AA50" s="381">
        <f t="shared" si="12"/>
        <v>10.098826426909985</v>
      </c>
      <c r="AB50" s="193">
        <f t="shared" si="13"/>
        <v>46058</v>
      </c>
      <c r="AC50" s="119">
        <f>IF(OR(t&lt;Tnet,NoTnet),'2025'!Resal_s+('2025'!Salim-'2025'!Resal_s)*(1-EXP(('2025'!Tnet_s-t)/'2025'!Tau_j)),Resal_s+(Salim-Resal_s)*(1-EXP((Tnet_s-t)/Tau_j)))*Salcycl</f>
        <v>4.8253639002750995E-2</v>
      </c>
      <c r="AD50" s="227">
        <f>(INDEX(Models!$BJ50:$BT50,,AH50)*(1-AF50)+INDEX(Models!$BJ50:$BT50,,AH50+1)*AF50-ERP_i)*AE50*Ramure*Pc/MaxiM</f>
        <v>6.5345438838622779E-3</v>
      </c>
      <c r="AE50" s="301">
        <f t="shared" si="14"/>
        <v>0.5</v>
      </c>
      <c r="AF50" s="173">
        <f t="shared" si="22"/>
        <v>0.99604587749931683</v>
      </c>
      <c r="AG50" s="802">
        <f t="shared" si="23"/>
        <v>1</v>
      </c>
      <c r="AH50" s="172">
        <f t="shared" si="15"/>
        <v>7</v>
      </c>
      <c r="AI50" s="221">
        <f t="shared" si="24"/>
        <v>1.9960458774993168</v>
      </c>
      <c r="AJ50" s="261" t="b">
        <f t="shared" si="16"/>
        <v>0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46059</v>
      </c>
      <c r="B51" s="406">
        <f>'2025'!Wh/'2025'!Env_an*'2026'!Env_an</f>
        <v>21.333504051423933</v>
      </c>
      <c r="C51" s="832"/>
      <c r="D51" s="388">
        <f t="shared" si="0"/>
        <v>21.787124594216817</v>
      </c>
      <c r="E51" s="380">
        <f t="shared" si="1"/>
        <v>22.190194666455028</v>
      </c>
      <c r="F51" s="380">
        <f t="shared" si="2"/>
        <v>22.282388485573961</v>
      </c>
      <c r="G51" s="110">
        <f t="shared" si="19"/>
        <v>0.78570974044474029</v>
      </c>
      <c r="H51" s="409" t="b">
        <f>Wh_hp&gt;='2025'!Maxi_hp</f>
        <v>0</v>
      </c>
      <c r="I51" s="375">
        <f>IF(H51,Wh_hp,'2025'!Maxi_hp)</f>
        <v>22.322890993589862</v>
      </c>
      <c r="J51" s="85">
        <f>IF(H51,An,'2025'!An_max)</f>
        <v>2022</v>
      </c>
      <c r="K51" s="193">
        <f t="shared" si="3"/>
        <v>46059</v>
      </c>
      <c r="L51" s="143">
        <f>IF(t&lt;Tvie,1-EXP((T0-t)*PertePVj)+'2025'!Pspv,1-EXP((T0-t)*PertePVj)+Pspv)</f>
        <v>2.0820578724431327E-2</v>
      </c>
      <c r="M51" s="836"/>
      <c r="N51" s="836"/>
      <c r="O51" s="48">
        <f>IF(t&lt;Tnet,'2025'!Resal+('2025'!Salim-'2025'!Resal)*(1-EXP(('2025'!Tnet-t)/('2025'!Tau_j))),Resal+(Salim-Resal)*(1-EXP((Tnet-t)/(Tau_j))))*Salcycl</f>
        <v>1.8164332413339895E-2</v>
      </c>
      <c r="P51" s="334">
        <f>(INDEX(Models!$BJ51:$BT51,,T51)*(1-R51)+INDEX(Models!$BJ51:$BT51,,T51+1)*R51-ERP_i)*Q51*Ramure*Pc/MaxiM</f>
        <v>5.945459492921989E-3</v>
      </c>
      <c r="Q51" s="301">
        <f t="shared" si="4"/>
        <v>0.5</v>
      </c>
      <c r="R51" s="173">
        <f t="shared" si="5"/>
        <v>0.99616786382891087</v>
      </c>
      <c r="S51" s="802">
        <f t="shared" si="6"/>
        <v>1</v>
      </c>
      <c r="T51" s="172">
        <f t="shared" si="7"/>
        <v>7</v>
      </c>
      <c r="U51" s="247">
        <f t="shared" si="20"/>
        <v>1.9961678638289109</v>
      </c>
      <c r="V51" s="378">
        <f t="shared" si="8"/>
        <v>27.102596565091105</v>
      </c>
      <c r="W51" s="397">
        <f t="shared" si="9"/>
        <v>21.333504051423933</v>
      </c>
      <c r="X51" s="153">
        <f t="shared" si="10"/>
        <v>46059</v>
      </c>
      <c r="Y51" s="380">
        <f t="shared" si="11"/>
        <v>20.679078263999063</v>
      </c>
      <c r="Z51" s="380">
        <f t="shared" si="21"/>
        <v>21.118783559667342</v>
      </c>
      <c r="AA51" s="381">
        <f t="shared" si="12"/>
        <v>22.190194666455028</v>
      </c>
      <c r="AB51" s="193">
        <f t="shared" si="13"/>
        <v>46059</v>
      </c>
      <c r="AC51" s="119">
        <f>IF(OR(t&lt;Tnet,NoTnet),'2025'!Resal_s+('2025'!Salim-'2025'!Resal_s)*(1-EXP(('2025'!Tnet_s-t)/'2025'!Tau_j)),Resal_s+(Salim-Resal_s)*(1-EXP((Tnet_s-t)/Tau_j)))*Salcycl</f>
        <v>4.8283087322678615E-2</v>
      </c>
      <c r="AD51" s="227">
        <f>(INDEX(Models!$BJ51:$BT51,,AH51)*(1-AF51)+INDEX(Models!$BJ51:$BT51,,AH51+1)*AF51-ERP_i)*AE51*Ramure*Pc/MaxiM</f>
        <v>5.945459492921989E-3</v>
      </c>
      <c r="AE51" s="301">
        <f t="shared" si="14"/>
        <v>0.5</v>
      </c>
      <c r="AF51" s="173">
        <f t="shared" si="22"/>
        <v>0.99616786382891087</v>
      </c>
      <c r="AG51" s="802">
        <f t="shared" si="23"/>
        <v>1</v>
      </c>
      <c r="AH51" s="172">
        <f t="shared" si="15"/>
        <v>7</v>
      </c>
      <c r="AI51" s="221">
        <f t="shared" si="24"/>
        <v>1.9961678638289109</v>
      </c>
      <c r="AJ51" s="261" t="b">
        <f t="shared" si="16"/>
        <v>0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46060</v>
      </c>
      <c r="B52" s="406">
        <f>'2025'!Wh/'2025'!Env_an*'2026'!Env_an</f>
        <v>14.623947509989835</v>
      </c>
      <c r="C52" s="832"/>
      <c r="D52" s="388">
        <f t="shared" si="0"/>
        <v>14.935105236627956</v>
      </c>
      <c r="E52" s="380">
        <f t="shared" si="1"/>
        <v>15.212287982124401</v>
      </c>
      <c r="F52" s="380">
        <f t="shared" si="2"/>
        <v>15.239318926731729</v>
      </c>
      <c r="G52" s="110">
        <f t="shared" si="19"/>
        <v>0.53003755324770496</v>
      </c>
      <c r="H52" s="409" t="b">
        <f>Wh_hp&gt;='2025'!Maxi_hp</f>
        <v>0</v>
      </c>
      <c r="I52" s="375">
        <f>IF(H52,Wh_hp,'2025'!Maxi_hp)</f>
        <v>15.294127889599769</v>
      </c>
      <c r="J52" s="85">
        <f>IF(H52,An,'2025'!An_max)</f>
        <v>2022</v>
      </c>
      <c r="K52" s="193">
        <f t="shared" si="3"/>
        <v>46060</v>
      </c>
      <c r="L52" s="143">
        <f>IF(t&lt;Tvie,1-EXP((T0-t)*PertePVj)+'2025'!Pspv,1-EXP((T0-t)*PertePVj)+Pspv)</f>
        <v>2.0833982868431078E-2</v>
      </c>
      <c r="M52" s="836"/>
      <c r="N52" s="836"/>
      <c r="O52" s="48">
        <f>IF(t&lt;Tnet,'2025'!Resal+('2025'!Salim-'2025'!Resal)*(1-EXP(('2025'!Tnet-t)/('2025'!Tau_j))),Resal+(Salim-Resal)*(1-EXP((Tnet-t)/(Tau_j))))*Salcycl</f>
        <v>1.8220976740787154E-2</v>
      </c>
      <c r="P52" s="334">
        <f>(INDEX(Models!$BJ52:$BT52,,T52)*(1-R52)+INDEX(Models!$BJ52:$BT52,,T52+1)*R52-ERP_i)*Q52*Ramure*Pc/MaxiM</f>
        <v>5.3531418020239425E-3</v>
      </c>
      <c r="Q52" s="301">
        <f t="shared" si="4"/>
        <v>0.5</v>
      </c>
      <c r="R52" s="173">
        <f t="shared" si="5"/>
        <v>0.9962949041638125</v>
      </c>
      <c r="S52" s="802">
        <f t="shared" si="6"/>
        <v>1</v>
      </c>
      <c r="T52" s="172">
        <f t="shared" si="7"/>
        <v>7</v>
      </c>
      <c r="U52" s="247">
        <f t="shared" si="20"/>
        <v>1.9962949041638125</v>
      </c>
      <c r="V52" s="378">
        <f t="shared" si="8"/>
        <v>27.491466907135443</v>
      </c>
      <c r="W52" s="397">
        <f t="shared" si="9"/>
        <v>14.623947509989835</v>
      </c>
      <c r="X52" s="153">
        <f t="shared" si="10"/>
        <v>46060</v>
      </c>
      <c r="Y52" s="380">
        <f t="shared" si="11"/>
        <v>14.175722644745289</v>
      </c>
      <c r="Z52" s="380">
        <f t="shared" si="21"/>
        <v>14.477343368464268</v>
      </c>
      <c r="AA52" s="381">
        <f t="shared" si="12"/>
        <v>15.212287982124401</v>
      </c>
      <c r="AB52" s="193">
        <f t="shared" si="13"/>
        <v>46060</v>
      </c>
      <c r="AC52" s="119">
        <f>IF(OR(t&lt;Tnet,NoTnet),'2025'!Resal_s+('2025'!Salim-'2025'!Resal_s)*(1-EXP(('2025'!Tnet_s-t)/'2025'!Tau_j)),Resal_s+(Salim-Resal_s)*(1-EXP((Tnet_s-t)/Tau_j)))*Salcycl</f>
        <v>4.8312562483943722E-2</v>
      </c>
      <c r="AD52" s="227">
        <f>(INDEX(Models!$BJ52:$BT52,,AH52)*(1-AF52)+INDEX(Models!$BJ52:$BT52,,AH52+1)*AF52-ERP_i)*AE52*Ramure*Pc/MaxiM</f>
        <v>5.3531418020239425E-3</v>
      </c>
      <c r="AE52" s="301">
        <f t="shared" si="14"/>
        <v>0.5</v>
      </c>
      <c r="AF52" s="173">
        <f t="shared" si="22"/>
        <v>0.9962949041638125</v>
      </c>
      <c r="AG52" s="802">
        <f t="shared" si="23"/>
        <v>1</v>
      </c>
      <c r="AH52" s="172">
        <f t="shared" si="15"/>
        <v>7</v>
      </c>
      <c r="AI52" s="221">
        <f t="shared" si="24"/>
        <v>1.9962949041638125</v>
      </c>
      <c r="AJ52" s="261" t="b">
        <f t="shared" si="16"/>
        <v>0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46061</v>
      </c>
      <c r="B53" s="406">
        <f>'2025'!Wh/'2025'!Env_an*'2026'!Env_an</f>
        <v>28.352843086245741</v>
      </c>
      <c r="C53" s="832"/>
      <c r="D53" s="388">
        <f t="shared" si="0"/>
        <v>28.956510665301597</v>
      </c>
      <c r="E53" s="380">
        <f t="shared" si="1"/>
        <v>29.495619472728428</v>
      </c>
      <c r="F53" s="380">
        <f t="shared" si="2"/>
        <v>29.637565329868828</v>
      </c>
      <c r="G53" s="110">
        <f t="shared" si="19"/>
        <v>1.016825364425431</v>
      </c>
      <c r="H53" s="409" t="b">
        <f>Wh_hp&gt;='2025'!Maxi_hp</f>
        <v>1</v>
      </c>
      <c r="I53" s="375">
        <f>IF(H53,Wh_hp,'2025'!Maxi_hp)</f>
        <v>29.637565329868828</v>
      </c>
      <c r="J53" s="85">
        <f>IF(H53,An,'2025'!An_max)</f>
        <v>2026</v>
      </c>
      <c r="K53" s="193">
        <f t="shared" si="3"/>
        <v>46061</v>
      </c>
      <c r="L53" s="143">
        <f>IF(t&lt;Tvie,1-EXP((T0-t)*PertePVj)+'2025'!Pspv,1-EXP((T0-t)*PertePVj)+Pspv)</f>
        <v>2.0847386828939496E-2</v>
      </c>
      <c r="M53" s="836"/>
      <c r="N53" s="836"/>
      <c r="O53" s="48">
        <f>IF(t&lt;Tnet,'2025'!Resal+('2025'!Salim-'2025'!Resal)*(1-EXP(('2025'!Tnet-t)/('2025'!Tau_j))),Resal+(Salim-Resal)*(1-EXP((Tnet-t)/(Tau_j))))*Salcycl</f>
        <v>1.8277588911983694E-2</v>
      </c>
      <c r="P53" s="334">
        <f>(INDEX(Models!$BJ53:$BT53,,T53)*(1-R53)+INDEX(Models!$BJ53:$BT53,,T53+1)*R53-ERP_i)*Q53*Ramure*Pc/MaxiM</f>
        <v>4.7893899367417204E-3</v>
      </c>
      <c r="Q53" s="301">
        <f t="shared" si="4"/>
        <v>0.5</v>
      </c>
      <c r="R53" s="173">
        <f t="shared" si="5"/>
        <v>0.99642720513717875</v>
      </c>
      <c r="S53" s="802">
        <f t="shared" si="6"/>
        <v>1</v>
      </c>
      <c r="T53" s="172">
        <f t="shared" si="7"/>
        <v>7</v>
      </c>
      <c r="U53" s="247">
        <f t="shared" si="20"/>
        <v>1.9964272051371788</v>
      </c>
      <c r="V53" s="378">
        <f t="shared" si="8"/>
        <v>27.883689843109732</v>
      </c>
      <c r="W53" s="397">
        <f t="shared" si="9"/>
        <v>28.352843086245741</v>
      </c>
      <c r="X53" s="153">
        <f t="shared" si="10"/>
        <v>46061</v>
      </c>
      <c r="Y53" s="380">
        <f t="shared" si="11"/>
        <v>27.484559732810375</v>
      </c>
      <c r="Z53" s="380">
        <f t="shared" si="21"/>
        <v>28.069740470588677</v>
      </c>
      <c r="AA53" s="381">
        <f t="shared" si="12"/>
        <v>29.495619472728428</v>
      </c>
      <c r="AB53" s="193">
        <f t="shared" si="13"/>
        <v>46061</v>
      </c>
      <c r="AC53" s="119">
        <f>IF(OR(t&lt;Tnet,NoTnet),'2025'!Resal_s+('2025'!Salim-'2025'!Resal_s)*(1-EXP(('2025'!Tnet_s-t)/'2025'!Tau_j)),Resal_s+(Salim-Resal_s)*(1-EXP((Tnet_s-t)/Tau_j)))*Salcycl</f>
        <v>4.8342059859367167E-2</v>
      </c>
      <c r="AD53" s="227">
        <f>(INDEX(Models!$BJ53:$BT53,,AH53)*(1-AF53)+INDEX(Models!$BJ53:$BT53,,AH53+1)*AF53-ERP_i)*AE53*Ramure*Pc/MaxiM</f>
        <v>4.7893899367417204E-3</v>
      </c>
      <c r="AE53" s="301">
        <f t="shared" si="14"/>
        <v>0.5</v>
      </c>
      <c r="AF53" s="173">
        <f t="shared" si="22"/>
        <v>0.99642720513717875</v>
      </c>
      <c r="AG53" s="802">
        <f t="shared" si="23"/>
        <v>1</v>
      </c>
      <c r="AH53" s="172">
        <f t="shared" si="15"/>
        <v>7</v>
      </c>
      <c r="AI53" s="221">
        <f t="shared" si="24"/>
        <v>1.9964272051371788</v>
      </c>
      <c r="AJ53" s="261" t="b">
        <f t="shared" si="16"/>
        <v>0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46062</v>
      </c>
      <c r="B54" s="406">
        <f>'2025'!Wh/'2025'!Env_an*'2026'!Env_an</f>
        <v>28.586164920219645</v>
      </c>
      <c r="C54" s="832"/>
      <c r="D54" s="388">
        <f t="shared" si="0"/>
        <v>29.195199871436806</v>
      </c>
      <c r="E54" s="380">
        <f t="shared" si="1"/>
        <v>29.740466559089448</v>
      </c>
      <c r="F54" s="380">
        <f t="shared" si="2"/>
        <v>29.867502380139104</v>
      </c>
      <c r="G54" s="110">
        <f t="shared" si="19"/>
        <v>1.0108637230245661</v>
      </c>
      <c r="H54" s="409" t="b">
        <f>Wh_hp&gt;='2025'!Maxi_hp</f>
        <v>1</v>
      </c>
      <c r="I54" s="375">
        <f>IF(H54,Wh_hp,'2025'!Maxi_hp)</f>
        <v>29.867502380139104</v>
      </c>
      <c r="J54" s="85">
        <f>IF(H54,An,'2025'!An_max)</f>
        <v>2026</v>
      </c>
      <c r="K54" s="193">
        <f t="shared" si="3"/>
        <v>46062</v>
      </c>
      <c r="L54" s="143">
        <f>IF(t&lt;Tvie,1-EXP((T0-t)*PertePVj)+'2025'!Pspv,1-EXP((T0-t)*PertePVj)+Pspv)</f>
        <v>2.0860790605958912E-2</v>
      </c>
      <c r="M54" s="836"/>
      <c r="N54" s="836"/>
      <c r="O54" s="48">
        <f>IF(t&lt;Tnet,'2025'!Resal+('2025'!Salim-'2025'!Resal)*(1-EXP(('2025'!Tnet-t)/('2025'!Tau_j))),Resal+(Salim-Resal)*(1-EXP((Tnet-t)/(Tau_j))))*Salcycl</f>
        <v>1.8334167238744842E-2</v>
      </c>
      <c r="P54" s="334">
        <f>(INDEX(Models!$BJ54:$BT54,,T54)*(1-R54)+INDEX(Models!$BJ54:$BT54,,T54+1)*R54-ERP_i)*Q54*Ramure*Pc/MaxiM</f>
        <v>4.2533124943895193E-3</v>
      </c>
      <c r="Q54" s="301">
        <f t="shared" si="4"/>
        <v>0.5</v>
      </c>
      <c r="R54" s="173">
        <f t="shared" si="5"/>
        <v>0.99656498159576978</v>
      </c>
      <c r="S54" s="802">
        <f t="shared" si="6"/>
        <v>1</v>
      </c>
      <c r="T54" s="172">
        <f t="shared" si="7"/>
        <v>7</v>
      </c>
      <c r="U54" s="247">
        <f t="shared" si="20"/>
        <v>1.9965649815957698</v>
      </c>
      <c r="V54" s="378">
        <f t="shared" si="8"/>
        <v>28.278950237414882</v>
      </c>
      <c r="W54" s="397">
        <f t="shared" si="9"/>
        <v>28.586164920219645</v>
      </c>
      <c r="X54" s="153">
        <f t="shared" si="10"/>
        <v>46062</v>
      </c>
      <c r="Y54" s="380">
        <f t="shared" si="11"/>
        <v>27.711473910020249</v>
      </c>
      <c r="Z54" s="380">
        <f t="shared" si="21"/>
        <v>28.301873364023511</v>
      </c>
      <c r="AA54" s="381">
        <f t="shared" si="12"/>
        <v>29.740466559089448</v>
      </c>
      <c r="AB54" s="193">
        <f t="shared" si="13"/>
        <v>46062</v>
      </c>
      <c r="AC54" s="119">
        <f>IF(OR(t&lt;Tnet,NoTnet),'2025'!Resal_s+('2025'!Salim-'2025'!Resal_s)*(1-EXP(('2025'!Tnet_s-t)/'2025'!Tau_j)),Resal_s+(Salim-Resal_s)*(1-EXP((Tnet_s-t)/Tau_j)))*Salcycl</f>
        <v>4.8371574541633038E-2</v>
      </c>
      <c r="AD54" s="227">
        <f>(INDEX(Models!$BJ54:$BT54,,AH54)*(1-AF54)+INDEX(Models!$BJ54:$BT54,,AH54+1)*AF54-ERP_i)*AE54*Ramure*Pc/MaxiM</f>
        <v>4.2533124943895193E-3</v>
      </c>
      <c r="AE54" s="301">
        <f t="shared" si="14"/>
        <v>0.5</v>
      </c>
      <c r="AF54" s="173">
        <f t="shared" si="22"/>
        <v>0.99656498159576978</v>
      </c>
      <c r="AG54" s="802">
        <f t="shared" si="23"/>
        <v>1</v>
      </c>
      <c r="AH54" s="172">
        <f t="shared" si="15"/>
        <v>7</v>
      </c>
      <c r="AI54" s="221">
        <f t="shared" si="24"/>
        <v>1.9965649815957698</v>
      </c>
      <c r="AJ54" s="261" t="b">
        <f t="shared" si="16"/>
        <v>0</v>
      </c>
      <c r="AK54" s="261" t="b">
        <f t="shared" si="17"/>
        <v>0</v>
      </c>
      <c r="AL54" s="261"/>
      <c r="AM54" s="261"/>
      <c r="AN54" s="75"/>
    </row>
    <row r="55" spans="1:40" s="6" customFormat="1" ht="11.25" x14ac:dyDescent="0.2">
      <c r="A55" s="56">
        <f t="shared" si="18"/>
        <v>46063</v>
      </c>
      <c r="B55" s="406">
        <f>'2025'!Wh/'2025'!Env_an*'2026'!Env_an</f>
        <v>27.598520155700289</v>
      </c>
      <c r="C55" s="832"/>
      <c r="D55" s="388">
        <f t="shared" si="0"/>
        <v>28.186898958440224</v>
      </c>
      <c r="E55" s="380">
        <f t="shared" si="1"/>
        <v>28.714987972909022</v>
      </c>
      <c r="F55" s="380">
        <f t="shared" si="2"/>
        <v>28.817083586882539</v>
      </c>
      <c r="G55" s="110">
        <f t="shared" si="19"/>
        <v>0.96220015247224333</v>
      </c>
      <c r="H55" s="409" t="b">
        <f>Wh_hp&gt;='2025'!Maxi_hp</f>
        <v>0</v>
      </c>
      <c r="I55" s="375">
        <f>IF(H55,Wh_hp,'2025'!Maxi_hp)</f>
        <v>28.822898257849857</v>
      </c>
      <c r="J55" s="85">
        <f>IF(H55,An,'2025'!An_max)</f>
        <v>2022</v>
      </c>
      <c r="K55" s="193">
        <f t="shared" si="3"/>
        <v>46063</v>
      </c>
      <c r="L55" s="143">
        <f>IF(t&lt;Tvie,1-EXP((T0-t)*PertePVj)+'2025'!Pspv,1-EXP((T0-t)*PertePVj)+Pspv)</f>
        <v>2.087419419949188E-2</v>
      </c>
      <c r="M55" s="836"/>
      <c r="N55" s="836"/>
      <c r="O55" s="48">
        <f>IF(t&lt;Tnet,'2025'!Resal+('2025'!Salim-'2025'!Resal)*(1-EXP(('2025'!Tnet-t)/('2025'!Tau_j))),Resal+(Salim-Resal)*(1-EXP((Tnet-t)/(Tau_j))))*Salcycl</f>
        <v>1.8390709930542908E-2</v>
      </c>
      <c r="P55" s="334">
        <f>(INDEX(Models!$BJ55:$BT55,,T55)*(1-R55)+INDEX(Models!$BJ55:$BT55,,T55+1)*R55-ERP_i)*Q55*Ramure*Pc/MaxiM</f>
        <v>3.7440223921532522E-3</v>
      </c>
      <c r="Q55" s="301">
        <f t="shared" si="4"/>
        <v>0.5</v>
      </c>
      <c r="R55" s="173">
        <f t="shared" si="5"/>
        <v>0.99670845690643239</v>
      </c>
      <c r="S55" s="802">
        <f t="shared" si="6"/>
        <v>1</v>
      </c>
      <c r="T55" s="172">
        <f t="shared" si="7"/>
        <v>7</v>
      </c>
      <c r="U55" s="247">
        <f t="shared" si="20"/>
        <v>1.9967084569064324</v>
      </c>
      <c r="V55" s="378">
        <f t="shared" si="8"/>
        <v>28.676933021032291</v>
      </c>
      <c r="W55" s="397">
        <f t="shared" si="9"/>
        <v>27.598520155700289</v>
      </c>
      <c r="X55" s="153">
        <f t="shared" si="10"/>
        <v>46063</v>
      </c>
      <c r="Y55" s="380">
        <f t="shared" si="11"/>
        <v>26.754760421203208</v>
      </c>
      <c r="Z55" s="380">
        <f t="shared" si="21"/>
        <v>27.325150928209069</v>
      </c>
      <c r="AA55" s="381">
        <f t="shared" si="12"/>
        <v>28.714987972909022</v>
      </c>
      <c r="AB55" s="193">
        <f t="shared" si="13"/>
        <v>46063</v>
      </c>
      <c r="AC55" s="119">
        <f>IF(OR(t&lt;Tnet,NoTnet),'2025'!Resal_s+('2025'!Salim-'2025'!Resal_s)*(1-EXP(('2025'!Tnet_s-t)/'2025'!Tau_j)),Resal_s+(Salim-Resal_s)*(1-EXP((Tnet_s-t)/Tau_j)))*Salcycl</f>
        <v>4.8401101404297528E-2</v>
      </c>
      <c r="AD55" s="227">
        <f>(INDEX(Models!$BJ55:$BT55,,AH55)*(1-AF55)+INDEX(Models!$BJ55:$BT55,,AH55+1)*AF55-ERP_i)*AE55*Ramure*Pc/MaxiM</f>
        <v>3.7440223921532522E-3</v>
      </c>
      <c r="AE55" s="301">
        <f t="shared" si="14"/>
        <v>0.5</v>
      </c>
      <c r="AF55" s="173">
        <f t="shared" si="22"/>
        <v>0.99670845690643239</v>
      </c>
      <c r="AG55" s="802">
        <f t="shared" si="23"/>
        <v>1</v>
      </c>
      <c r="AH55" s="172">
        <f t="shared" si="15"/>
        <v>7</v>
      </c>
      <c r="AI55" s="221">
        <f t="shared" si="24"/>
        <v>1.9967084569064324</v>
      </c>
      <c r="AJ55" s="261" t="b">
        <f t="shared" si="16"/>
        <v>0</v>
      </c>
      <c r="AK55" s="261" t="b">
        <f t="shared" si="17"/>
        <v>0</v>
      </c>
      <c r="AL55" s="261"/>
      <c r="AM55" s="261"/>
      <c r="AN55" s="75"/>
    </row>
    <row r="56" spans="1:40" s="6" customFormat="1" ht="11.25" x14ac:dyDescent="0.2">
      <c r="A56" s="56">
        <f t="shared" si="18"/>
        <v>46064</v>
      </c>
      <c r="B56" s="406">
        <f>'2025'!Wh/'2025'!Env_an*'2026'!Env_an</f>
        <v>14.432532728604578</v>
      </c>
      <c r="C56" s="832"/>
      <c r="D56" s="388">
        <f t="shared" si="0"/>
        <v>14.740424790216316</v>
      </c>
      <c r="E56" s="380">
        <f t="shared" si="1"/>
        <v>15.017455013381682</v>
      </c>
      <c r="F56" s="380">
        <f t="shared" si="2"/>
        <v>15.031202705361451</v>
      </c>
      <c r="G56" s="110">
        <f t="shared" si="19"/>
        <v>0.49518459728950515</v>
      </c>
      <c r="H56" s="409" t="b">
        <f>Wh_hp&gt;='2025'!Maxi_hp</f>
        <v>0</v>
      </c>
      <c r="I56" s="375">
        <f>IF(H56,Wh_hp,'2025'!Maxi_hp)</f>
        <v>15.066561571107581</v>
      </c>
      <c r="J56" s="85">
        <f>IF(H56,An,'2025'!An_max)</f>
        <v>2022</v>
      </c>
      <c r="K56" s="193">
        <f t="shared" si="3"/>
        <v>46064</v>
      </c>
      <c r="L56" s="143">
        <f>IF(t&lt;Tvie,1-EXP((T0-t)*PertePVj)+'2025'!Pspv,1-EXP((T0-t)*PertePVj)+Pspv)</f>
        <v>2.0887597609540842E-2</v>
      </c>
      <c r="M56" s="836"/>
      <c r="N56" s="836"/>
      <c r="O56" s="48">
        <f>IF(t&lt;Tnet,'2025'!Resal+('2025'!Salim-'2025'!Resal)*(1-EXP(('2025'!Tnet-t)/('2025'!Tau_j))),Resal+(Salim-Resal)*(1-EXP((Tnet-t)/(Tau_j))))*Salcycl</f>
        <v>1.8447215118574386E-2</v>
      </c>
      <c r="P56" s="334">
        <f>(INDEX(Models!$BJ56:$BT56,,T56)*(1-R56)+INDEX(Models!$BJ56:$BT56,,T56+1)*R56-ERP_i)*Q56*Ramure*Pc/MaxiM</f>
        <v>3.2606406602549653E-3</v>
      </c>
      <c r="Q56" s="301">
        <f t="shared" si="4"/>
        <v>0.5</v>
      </c>
      <c r="R56" s="173">
        <f t="shared" si="5"/>
        <v>0.99685786327229353</v>
      </c>
      <c r="S56" s="802">
        <f t="shared" si="6"/>
        <v>1</v>
      </c>
      <c r="T56" s="172">
        <f t="shared" si="7"/>
        <v>7</v>
      </c>
      <c r="U56" s="247">
        <f t="shared" si="20"/>
        <v>1.9968578632722935</v>
      </c>
      <c r="V56" s="378">
        <f t="shared" si="8"/>
        <v>29.077323184877656</v>
      </c>
      <c r="W56" s="397">
        <f t="shared" si="9"/>
        <v>14.432532728604578</v>
      </c>
      <c r="X56" s="153">
        <f t="shared" si="10"/>
        <v>46064</v>
      </c>
      <c r="Y56" s="380">
        <f t="shared" si="11"/>
        <v>13.991663222822002</v>
      </c>
      <c r="Z56" s="380">
        <f t="shared" si="21"/>
        <v>14.29015012848574</v>
      </c>
      <c r="AA56" s="381">
        <f t="shared" si="12"/>
        <v>15.017455013381682</v>
      </c>
      <c r="AB56" s="193">
        <f t="shared" si="13"/>
        <v>46064</v>
      </c>
      <c r="AC56" s="119">
        <f>IF(OR(t&lt;Tnet,NoTnet),'2025'!Resal_s+('2025'!Salim-'2025'!Resal_s)*(1-EXP(('2025'!Tnet_s-t)/'2025'!Tau_j)),Resal_s+(Salim-Resal_s)*(1-EXP((Tnet_s-t)/Tau_j)))*Salcycl</f>
        <v>4.8430635167400787E-2</v>
      </c>
      <c r="AD56" s="227">
        <f>(INDEX(Models!$BJ56:$BT56,,AH56)*(1-AF56)+INDEX(Models!$BJ56:$BT56,,AH56+1)*AF56-ERP_i)*AE56*Ramure*Pc/MaxiM</f>
        <v>3.2606406602549653E-3</v>
      </c>
      <c r="AE56" s="301">
        <f t="shared" si="14"/>
        <v>0.5</v>
      </c>
      <c r="AF56" s="173">
        <f t="shared" si="22"/>
        <v>0.99685786327229353</v>
      </c>
      <c r="AG56" s="802">
        <f t="shared" si="23"/>
        <v>1</v>
      </c>
      <c r="AH56" s="172">
        <f t="shared" si="15"/>
        <v>7</v>
      </c>
      <c r="AI56" s="221">
        <f t="shared" si="24"/>
        <v>1.9968578632722935</v>
      </c>
      <c r="AJ56" s="261" t="b">
        <f t="shared" si="16"/>
        <v>0</v>
      </c>
      <c r="AK56" s="261" t="b">
        <f t="shared" si="17"/>
        <v>0</v>
      </c>
      <c r="AL56" s="261"/>
      <c r="AM56" s="261"/>
      <c r="AN56" s="75"/>
    </row>
    <row r="57" spans="1:40" s="6" customFormat="1" ht="11.25" x14ac:dyDescent="0.2">
      <c r="A57" s="56">
        <f t="shared" si="18"/>
        <v>46065</v>
      </c>
      <c r="B57" s="406">
        <f>'2025'!Wh/'2025'!Env_an*'2026'!Env_an</f>
        <v>23.086124498710795</v>
      </c>
      <c r="C57" s="832"/>
      <c r="D57" s="388">
        <f t="shared" si="0"/>
        <v>23.578948112933784</v>
      </c>
      <c r="E57" s="380">
        <f t="shared" si="1"/>
        <v>24.023470749349759</v>
      </c>
      <c r="F57" s="380">
        <f t="shared" si="2"/>
        <v>24.070023461490788</v>
      </c>
      <c r="G57" s="110">
        <f t="shared" si="19"/>
        <v>0.78243531818287604</v>
      </c>
      <c r="H57" s="409" t="b">
        <f>Wh_hp&gt;='2025'!Maxi_hp</f>
        <v>0</v>
      </c>
      <c r="I57" s="375">
        <f>IF(H57,Wh_hp,'2025'!Maxi_hp)</f>
        <v>24.090968807798074</v>
      </c>
      <c r="J57" s="85">
        <f>IF(H57,An,'2025'!An_max)</f>
        <v>2022</v>
      </c>
      <c r="K57" s="193">
        <f t="shared" si="3"/>
        <v>46065</v>
      </c>
      <c r="L57" s="143">
        <f>IF(t&lt;Tvie,1-EXP((T0-t)*PertePVj)+'2025'!Pspv,1-EXP((T0-t)*PertePVj)+Pspv)</f>
        <v>2.0901000836108463E-2</v>
      </c>
      <c r="M57" s="836"/>
      <c r="N57" s="836"/>
      <c r="O57" s="48">
        <f>IF(t&lt;Tnet,'2025'!Resal+('2025'!Salim-'2025'!Resal)*(1-EXP(('2025'!Tnet-t)/('2025'!Tau_j))),Resal+(Salim-Resal)*(1-EXP((Tnet-t)/(Tau_j))))*Salcycl</f>
        <v>1.8503680881664764E-2</v>
      </c>
      <c r="P57" s="334">
        <f>(INDEX(Models!$BJ57:$BT57,,T57)*(1-R57)+INDEX(Models!$BJ57:$BT57,,T57+1)*R57-ERP_i)*Q57*Ramure*Pc/MaxiM</f>
        <v>2.8022996829256746E-3</v>
      </c>
      <c r="Q57" s="301">
        <f t="shared" si="4"/>
        <v>0.5</v>
      </c>
      <c r="R57" s="173">
        <f t="shared" si="5"/>
        <v>0.99701344205881637</v>
      </c>
      <c r="S57" s="802">
        <f t="shared" si="6"/>
        <v>1</v>
      </c>
      <c r="T57" s="172">
        <f t="shared" si="7"/>
        <v>7</v>
      </c>
      <c r="U57" s="247">
        <f t="shared" si="20"/>
        <v>1.9970134420588164</v>
      </c>
      <c r="V57" s="378">
        <f t="shared" si="8"/>
        <v>29.479805780908386</v>
      </c>
      <c r="W57" s="397">
        <f t="shared" si="9"/>
        <v>23.086124498710795</v>
      </c>
      <c r="X57" s="153">
        <f t="shared" si="10"/>
        <v>46065</v>
      </c>
      <c r="Y57" s="380">
        <f t="shared" si="11"/>
        <v>22.381507237659186</v>
      </c>
      <c r="Z57" s="380">
        <f t="shared" si="21"/>
        <v>22.859289261629346</v>
      </c>
      <c r="AA57" s="381">
        <f t="shared" si="12"/>
        <v>24.023470749349759</v>
      </c>
      <c r="AB57" s="193">
        <f t="shared" si="13"/>
        <v>46065</v>
      </c>
      <c r="AC57" s="119">
        <f>IF(OR(t&lt;Tnet,NoTnet),'2025'!Resal_s+('2025'!Salim-'2025'!Resal_s)*(1-EXP(('2025'!Tnet_s-t)/'2025'!Tau_j)),Resal_s+(Salim-Resal_s)*(1-EXP((Tnet_s-t)/Tau_j)))*Salcycl</f>
        <v>4.8460170466913956E-2</v>
      </c>
      <c r="AD57" s="227">
        <f>(INDEX(Models!$BJ57:$BT57,,AH57)*(1-AF57)+INDEX(Models!$BJ57:$BT57,,AH57+1)*AF57-ERP_i)*AE57*Ramure*Pc/MaxiM</f>
        <v>2.8022996829256746E-3</v>
      </c>
      <c r="AE57" s="301">
        <f t="shared" si="14"/>
        <v>0.5</v>
      </c>
      <c r="AF57" s="173">
        <f t="shared" si="22"/>
        <v>0.99701344205881637</v>
      </c>
      <c r="AG57" s="802">
        <f t="shared" si="23"/>
        <v>1</v>
      </c>
      <c r="AH57" s="172">
        <f t="shared" si="15"/>
        <v>7</v>
      </c>
      <c r="AI57" s="221">
        <f t="shared" si="24"/>
        <v>1.9970134420588164</v>
      </c>
      <c r="AJ57" s="261" t="b">
        <f t="shared" si="16"/>
        <v>0</v>
      </c>
      <c r="AK57" s="261" t="b">
        <f t="shared" si="17"/>
        <v>0</v>
      </c>
      <c r="AL57" s="261"/>
      <c r="AM57" s="261"/>
      <c r="AN57" s="75"/>
    </row>
    <row r="58" spans="1:40" s="6" customFormat="1" ht="11.25" x14ac:dyDescent="0.2">
      <c r="A58" s="56">
        <f t="shared" si="18"/>
        <v>46066</v>
      </c>
      <c r="B58" s="406">
        <f>'2025'!Wh/'2025'!Env_an*'2026'!Env_an</f>
        <v>25.442863555370689</v>
      </c>
      <c r="C58" s="832"/>
      <c r="D58" s="388">
        <f t="shared" si="0"/>
        <v>25.986352629613663</v>
      </c>
      <c r="E58" s="380">
        <f t="shared" si="1"/>
        <v>26.477783070823122</v>
      </c>
      <c r="F58" s="380">
        <f t="shared" si="2"/>
        <v>26.527566687246726</v>
      </c>
      <c r="G58" s="110">
        <f t="shared" si="19"/>
        <v>0.85096638735803654</v>
      </c>
      <c r="H58" s="409" t="b">
        <f>Wh_hp&gt;='2025'!Maxi_hp</f>
        <v>0</v>
      </c>
      <c r="I58" s="375">
        <f>IF(H58,Wh_hp,'2025'!Maxi_hp)</f>
        <v>26.541007451756311</v>
      </c>
      <c r="J58" s="85">
        <f>IF(H58,An,'2025'!An_max)</f>
        <v>2022</v>
      </c>
      <c r="K58" s="193">
        <f t="shared" si="3"/>
        <v>46066</v>
      </c>
      <c r="L58" s="143">
        <f>IF(t&lt;Tvie,1-EXP((T0-t)*PertePVj)+'2025'!Pspv,1-EXP((T0-t)*PertePVj)+Pspv)</f>
        <v>2.0914403879197074E-2</v>
      </c>
      <c r="M58" s="836"/>
      <c r="N58" s="836"/>
      <c r="O58" s="48">
        <f>IF(t&lt;Tnet,'2025'!Resal+('2025'!Salim-'2025'!Resal)*(1-EXP(('2025'!Tnet-t)/('2025'!Tau_j))),Resal+(Salim-Resal)*(1-EXP((Tnet-t)/(Tau_j))))*Salcycl</f>
        <v>1.8560105273729866E-2</v>
      </c>
      <c r="P58" s="334">
        <f>(INDEX(Models!$BJ58:$BT58,,T58)*(1-R58)+INDEX(Models!$BJ58:$BT58,,T58+1)*R58-ERP_i)*Q58*Ramure*Pc/MaxiM</f>
        <v>2.3824403408285407E-3</v>
      </c>
      <c r="Q58" s="301">
        <f t="shared" si="4"/>
        <v>0.5</v>
      </c>
      <c r="R58" s="173">
        <f t="shared" si="5"/>
        <v>0.99717544412985548</v>
      </c>
      <c r="S58" s="802">
        <f t="shared" si="6"/>
        <v>1</v>
      </c>
      <c r="T58" s="172">
        <f t="shared" si="7"/>
        <v>7</v>
      </c>
      <c r="U58" s="247">
        <f t="shared" si="20"/>
        <v>1.9971754441298555</v>
      </c>
      <c r="V58" s="378">
        <f t="shared" si="8"/>
        <v>29.88363772684702</v>
      </c>
      <c r="W58" s="397">
        <f t="shared" si="9"/>
        <v>25.442863555370689</v>
      </c>
      <c r="X58" s="153">
        <f t="shared" si="10"/>
        <v>46066</v>
      </c>
      <c r="Y58" s="380">
        <f t="shared" si="11"/>
        <v>24.666968212197744</v>
      </c>
      <c r="Z58" s="380">
        <f t="shared" si="21"/>
        <v>25.193883262025079</v>
      </c>
      <c r="AA58" s="381">
        <f t="shared" si="12"/>
        <v>26.477783070823122</v>
      </c>
      <c r="AB58" s="193">
        <f t="shared" si="13"/>
        <v>46066</v>
      </c>
      <c r="AC58" s="119">
        <f>IF(OR(t&lt;Tnet,NoTnet),'2025'!Resal_s+('2025'!Salim-'2025'!Resal_s)*(1-EXP(('2025'!Tnet_s-t)/'2025'!Tau_j)),Resal_s+(Salim-Resal_s)*(1-EXP((Tnet_s-t)/Tau_j)))*Salcycl</f>
        <v>4.8489701927228991E-2</v>
      </c>
      <c r="AD58" s="227">
        <f>(INDEX(Models!$BJ58:$BT58,,AH58)*(1-AF58)+INDEX(Models!$BJ58:$BT58,,AH58+1)*AF58-ERP_i)*AE58*Ramure*Pc/MaxiM</f>
        <v>2.3824403408285407E-3</v>
      </c>
      <c r="AE58" s="301">
        <f t="shared" si="14"/>
        <v>0.5</v>
      </c>
      <c r="AF58" s="173">
        <f t="shared" si="22"/>
        <v>0.99717544412985548</v>
      </c>
      <c r="AG58" s="802">
        <f t="shared" si="23"/>
        <v>1</v>
      </c>
      <c r="AH58" s="172">
        <f t="shared" si="15"/>
        <v>7</v>
      </c>
      <c r="AI58" s="221">
        <f t="shared" si="24"/>
        <v>1.9971754441298555</v>
      </c>
      <c r="AJ58" s="261" t="b">
        <f t="shared" si="16"/>
        <v>0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46067</v>
      </c>
      <c r="B59" s="406">
        <f>'2025'!Wh/'2025'!Env_an*'2026'!Env_an</f>
        <v>16.340064092195938</v>
      </c>
      <c r="C59" s="832"/>
      <c r="D59" s="388">
        <f t="shared" si="0"/>
        <v>16.689335275439529</v>
      </c>
      <c r="E59" s="380">
        <f t="shared" si="1"/>
        <v>17.00592586216414</v>
      </c>
      <c r="F59" s="380">
        <f t="shared" si="2"/>
        <v>17.017625447797762</v>
      </c>
      <c r="G59" s="110">
        <f t="shared" si="19"/>
        <v>0.53877234389100803</v>
      </c>
      <c r="H59" s="409" t="b">
        <f>Wh_hp&gt;='2025'!Maxi_hp</f>
        <v>0</v>
      </c>
      <c r="I59" s="375">
        <f>IF(H59,Wh_hp,'2025'!Maxi_hp)</f>
        <v>17.04015432936102</v>
      </c>
      <c r="J59" s="85">
        <f>IF(H59,An,'2025'!An_max)</f>
        <v>2022</v>
      </c>
      <c r="K59" s="193">
        <f t="shared" si="3"/>
        <v>46067</v>
      </c>
      <c r="L59" s="143">
        <f>IF(t&lt;Tvie,1-EXP((T0-t)*PertePVj)+'2025'!Pspv,1-EXP((T0-t)*PertePVj)+Pspv)</f>
        <v>2.092780673880934E-2</v>
      </c>
      <c r="M59" s="836"/>
      <c r="N59" s="836"/>
      <c r="O59" s="48">
        <f>IF(t&lt;Tnet,'2025'!Resal+('2025'!Salim-'2025'!Resal)*(1-EXP(('2025'!Tnet-t)/('2025'!Tau_j))),Resal+(Salim-Resal)*(1-EXP((Tnet-t)/(Tau_j))))*Salcycl</f>
        <v>1.8616486352500471E-2</v>
      </c>
      <c r="P59" s="334">
        <f>(INDEX(Models!$BJ59:$BT59,,T59)*(1-R59)+INDEX(Models!$BJ59:$BT59,,T59+1)*R59-ERP_i)*Q59*Ramure*Pc/MaxiM</f>
        <v>2.0095062345332829E-3</v>
      </c>
      <c r="Q59" s="301">
        <f t="shared" si="4"/>
        <v>0.5</v>
      </c>
      <c r="R59" s="173">
        <f t="shared" si="5"/>
        <v>0.99734413019383727</v>
      </c>
      <c r="S59" s="802">
        <f t="shared" si="6"/>
        <v>1</v>
      </c>
      <c r="T59" s="172">
        <f t="shared" si="7"/>
        <v>7</v>
      </c>
      <c r="U59" s="247">
        <f t="shared" si="20"/>
        <v>1.9973441301938373</v>
      </c>
      <c r="V59" s="378">
        <f t="shared" si="8"/>
        <v>30.28820561910258</v>
      </c>
      <c r="W59" s="397">
        <f t="shared" si="9"/>
        <v>16.340064092195938</v>
      </c>
      <c r="X59" s="153">
        <f t="shared" si="10"/>
        <v>46067</v>
      </c>
      <c r="Y59" s="380">
        <f t="shared" si="11"/>
        <v>15.842182635301899</v>
      </c>
      <c r="Z59" s="380">
        <f t="shared" si="21"/>
        <v>16.180811531918998</v>
      </c>
      <c r="AA59" s="381">
        <f t="shared" si="12"/>
        <v>17.00592586216414</v>
      </c>
      <c r="AB59" s="193">
        <f t="shared" si="13"/>
        <v>46067</v>
      </c>
      <c r="AC59" s="119">
        <f>IF(OR(t&lt;Tnet,NoTnet),'2025'!Resal_s+('2025'!Salim-'2025'!Resal_s)*(1-EXP(('2025'!Tnet_s-t)/'2025'!Tau_j)),Resal_s+(Salim-Resal_s)*(1-EXP((Tnet_s-t)/Tau_j)))*Salcycl</f>
        <v>4.8519224235882896E-2</v>
      </c>
      <c r="AD59" s="227">
        <f>(INDEX(Models!$BJ59:$BT59,,AH59)*(1-AF59)+INDEX(Models!$BJ59:$BT59,,AH59+1)*AF59-ERP_i)*AE59*Ramure*Pc/MaxiM</f>
        <v>2.0095062345332829E-3</v>
      </c>
      <c r="AE59" s="301">
        <f t="shared" si="14"/>
        <v>0.5</v>
      </c>
      <c r="AF59" s="173">
        <f t="shared" si="22"/>
        <v>0.99734413019383727</v>
      </c>
      <c r="AG59" s="802">
        <f t="shared" si="23"/>
        <v>1</v>
      </c>
      <c r="AH59" s="172">
        <f t="shared" si="15"/>
        <v>7</v>
      </c>
      <c r="AI59" s="221">
        <f t="shared" si="24"/>
        <v>1.9973441301938373</v>
      </c>
      <c r="AJ59" s="261" t="b">
        <f t="shared" si="16"/>
        <v>0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46068</v>
      </c>
      <c r="B60" s="406">
        <f>'2025'!Wh/'2025'!Env_an*'2026'!Env_an</f>
        <v>21.038684102657939</v>
      </c>
      <c r="C60" s="832"/>
      <c r="D60" s="388">
        <f t="shared" si="0"/>
        <v>21.488683115838157</v>
      </c>
      <c r="E60" s="380">
        <f t="shared" si="1"/>
        <v>21.897572595731489</v>
      </c>
      <c r="F60" s="380">
        <f t="shared" si="2"/>
        <v>21.917869930295527</v>
      </c>
      <c r="G60" s="110">
        <f t="shared" si="19"/>
        <v>0.68493262409186062</v>
      </c>
      <c r="H60" s="409" t="b">
        <f>Wh_hp&gt;='2025'!Maxi_hp</f>
        <v>0</v>
      </c>
      <c r="I60" s="375">
        <f>IF(H60,Wh_hp,'2025'!Maxi_hp)</f>
        <v>21.934451021953191</v>
      </c>
      <c r="J60" s="85">
        <f>IF(H60,An,'2025'!An_max)</f>
        <v>2022</v>
      </c>
      <c r="K60" s="193">
        <f t="shared" si="3"/>
        <v>46068</v>
      </c>
      <c r="L60" s="143">
        <f>IF(t&lt;Tvie,1-EXP((T0-t)*PertePVj)+'2025'!Pspv,1-EXP((T0-t)*PertePVj)+Pspv)</f>
        <v>2.0941209414947703E-2</v>
      </c>
      <c r="M60" s="836"/>
      <c r="N60" s="836"/>
      <c r="O60" s="48">
        <f>IF(t&lt;Tnet,'2025'!Resal+('2025'!Salim-'2025'!Resal)*(1-EXP(('2025'!Tnet-t)/('2025'!Tau_j))),Resal+(Salim-Resal)*(1-EXP((Tnet-t)/(Tau_j))))*Salcycl</f>
        <v>1.8672822209208531E-2</v>
      </c>
      <c r="P60" s="334">
        <f>(INDEX(Models!$BJ60:$BT60,,T60)*(1-R60)+INDEX(Models!$BJ60:$BT60,,T60+1)*R60-ERP_i)*Q60*Ramure*Pc/MaxiM</f>
        <v>1.6817808479526271E-3</v>
      </c>
      <c r="Q60" s="301">
        <f t="shared" si="4"/>
        <v>0.5</v>
      </c>
      <c r="R60" s="173">
        <f t="shared" si="5"/>
        <v>0.99751977116016777</v>
      </c>
      <c r="S60" s="802">
        <f t="shared" si="6"/>
        <v>1</v>
      </c>
      <c r="T60" s="172">
        <f t="shared" si="7"/>
        <v>7</v>
      </c>
      <c r="U60" s="247">
        <f t="shared" si="20"/>
        <v>1.9975197711601678</v>
      </c>
      <c r="V60" s="378">
        <f t="shared" si="8"/>
        <v>30.693194224737027</v>
      </c>
      <c r="W60" s="397">
        <f t="shared" si="9"/>
        <v>21.038684102657939</v>
      </c>
      <c r="X60" s="153">
        <f t="shared" si="10"/>
        <v>46068</v>
      </c>
      <c r="Y60" s="380">
        <f t="shared" si="11"/>
        <v>20.398174141031046</v>
      </c>
      <c r="Z60" s="380">
        <f t="shared" si="21"/>
        <v>20.834473207519835</v>
      </c>
      <c r="AA60" s="381">
        <f t="shared" si="12"/>
        <v>21.897572595731489</v>
      </c>
      <c r="AB60" s="193">
        <f t="shared" si="13"/>
        <v>46068</v>
      </c>
      <c r="AC60" s="119">
        <f>IF(OR(t&lt;Tnet,NoTnet),'2025'!Resal_s+('2025'!Salim-'2025'!Resal_s)*(1-EXP(('2025'!Tnet_s-t)/'2025'!Tau_j)),Resal_s+(Salim-Resal_s)*(1-EXP((Tnet_s-t)/Tau_j)))*Salcycl</f>
        <v>4.8548732219702039E-2</v>
      </c>
      <c r="AD60" s="227">
        <f>(INDEX(Models!$BJ60:$BT60,,AH60)*(1-AF60)+INDEX(Models!$BJ60:$BT60,,AH60+1)*AF60-ERP_i)*AE60*Ramure*Pc/MaxiM</f>
        <v>1.6817808479526271E-3</v>
      </c>
      <c r="AE60" s="301">
        <f t="shared" si="14"/>
        <v>0.5</v>
      </c>
      <c r="AF60" s="173">
        <f t="shared" si="22"/>
        <v>0.99751977116016777</v>
      </c>
      <c r="AG60" s="802">
        <f t="shared" si="23"/>
        <v>1</v>
      </c>
      <c r="AH60" s="172">
        <f t="shared" si="15"/>
        <v>7</v>
      </c>
      <c r="AI60" s="221">
        <f t="shared" si="24"/>
        <v>1.9975197711601678</v>
      </c>
      <c r="AJ60" s="261" t="b">
        <f t="shared" si="16"/>
        <v>0</v>
      </c>
      <c r="AK60" s="261" t="b">
        <f t="shared" si="17"/>
        <v>0</v>
      </c>
      <c r="AL60" s="261"/>
      <c r="AM60" s="261"/>
      <c r="AN60" s="75"/>
    </row>
    <row r="61" spans="1:40" s="6" customFormat="1" ht="11.25" x14ac:dyDescent="0.2">
      <c r="A61" s="56">
        <f t="shared" si="18"/>
        <v>46069</v>
      </c>
      <c r="B61" s="406">
        <f>'2025'!Wh/'2025'!Env_an*'2026'!Env_an</f>
        <v>9.9938611413868728</v>
      </c>
      <c r="C61" s="832"/>
      <c r="D61" s="388">
        <f t="shared" si="0"/>
        <v>10.207760807554946</v>
      </c>
      <c r="E61" s="380">
        <f t="shared" si="1"/>
        <v>10.402592109857027</v>
      </c>
      <c r="F61" s="380">
        <f t="shared" si="2"/>
        <v>10.403035845818808</v>
      </c>
      <c r="G61" s="110">
        <f t="shared" si="19"/>
        <v>0.32092825251964902</v>
      </c>
      <c r="H61" s="409" t="b">
        <f>Wh_hp&gt;='2025'!Maxi_hp</f>
        <v>0</v>
      </c>
      <c r="I61" s="375">
        <f>IF(H61,Wh_hp,'2025'!Maxi_hp)</f>
        <v>10.417141926380237</v>
      </c>
      <c r="J61" s="85">
        <f>IF(H61,An,'2025'!An_max)</f>
        <v>2022</v>
      </c>
      <c r="K61" s="193">
        <f t="shared" si="3"/>
        <v>46069</v>
      </c>
      <c r="L61" s="143">
        <f>IF(t&lt;Tvie,1-EXP((T0-t)*PertePVj)+'2025'!Pspv,1-EXP((T0-t)*PertePVj)+Pspv)</f>
        <v>2.0954611907614717E-2</v>
      </c>
      <c r="M61" s="836"/>
      <c r="N61" s="836"/>
      <c r="O61" s="48">
        <f>IF(t&lt;Tnet,'2025'!Resal+('2025'!Salim-'2025'!Resal)*(1-EXP(('2025'!Tnet-t)/('2025'!Tau_j))),Resal+(Salim-Resal)*(1-EXP((Tnet-t)/(Tau_j))))*Salcycl</f>
        <v>1.8729110998927646E-2</v>
      </c>
      <c r="P61" s="334">
        <f>(INDEX(Models!$BJ61:$BT61,,T61)*(1-R61)+INDEX(Models!$BJ61:$BT61,,T61+1)*R61-ERP_i)*Q61*Ramure*Pc/MaxiM</f>
        <v>1.3976100242712917E-3</v>
      </c>
      <c r="Q61" s="301">
        <f t="shared" si="4"/>
        <v>0.5</v>
      </c>
      <c r="R61" s="173">
        <f t="shared" si="5"/>
        <v>0.99770264850595569</v>
      </c>
      <c r="S61" s="802">
        <f t="shared" si="6"/>
        <v>1</v>
      </c>
      <c r="T61" s="172">
        <f t="shared" si="7"/>
        <v>7</v>
      </c>
      <c r="U61" s="247">
        <f t="shared" si="20"/>
        <v>1.9977026485059557</v>
      </c>
      <c r="V61" s="378">
        <f t="shared" si="8"/>
        <v>31.098288317501343</v>
      </c>
      <c r="W61" s="397">
        <f t="shared" si="9"/>
        <v>9.9938611413868728</v>
      </c>
      <c r="X61" s="153">
        <f t="shared" si="10"/>
        <v>46069</v>
      </c>
      <c r="Y61" s="380">
        <f t="shared" si="11"/>
        <v>9.6898596030711985</v>
      </c>
      <c r="Z61" s="380">
        <f t="shared" si="21"/>
        <v>9.8972526921875836</v>
      </c>
      <c r="AA61" s="381">
        <f t="shared" si="12"/>
        <v>10.402592109857027</v>
      </c>
      <c r="AB61" s="193">
        <f t="shared" si="13"/>
        <v>46069</v>
      </c>
      <c r="AC61" s="119">
        <f>IF(OR(t&lt;Tnet,NoTnet),'2025'!Resal_s+('2025'!Salim-'2025'!Resal_s)*(1-EXP(('2025'!Tnet_s-t)/'2025'!Tau_j)),Resal_s+(Salim-Resal_s)*(1-EXP((Tnet_s-t)/Tau_j)))*Salcycl</f>
        <v>4.8578220921553381E-2</v>
      </c>
      <c r="AD61" s="227">
        <f>(INDEX(Models!$BJ61:$BT61,,AH61)*(1-AF61)+INDEX(Models!$BJ61:$BT61,,AH61+1)*AF61-ERP_i)*AE61*Ramure*Pc/MaxiM</f>
        <v>1.3976100242712917E-3</v>
      </c>
      <c r="AE61" s="301">
        <f t="shared" si="14"/>
        <v>0.5</v>
      </c>
      <c r="AF61" s="173">
        <f t="shared" si="22"/>
        <v>0.99770264850595569</v>
      </c>
      <c r="AG61" s="802">
        <f t="shared" si="23"/>
        <v>1</v>
      </c>
      <c r="AH61" s="172">
        <f t="shared" si="15"/>
        <v>7</v>
      </c>
      <c r="AI61" s="221">
        <f t="shared" si="24"/>
        <v>1.9977026485059557</v>
      </c>
      <c r="AJ61" s="261" t="b">
        <f t="shared" si="16"/>
        <v>0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46070</v>
      </c>
      <c r="B62" s="406">
        <f>'2025'!Wh/'2025'!Env_an*'2026'!Env_an</f>
        <v>12.011714459244581</v>
      </c>
      <c r="C62" s="832"/>
      <c r="D62" s="388">
        <f t="shared" si="0"/>
        <v>12.268970405124897</v>
      </c>
      <c r="E62" s="380">
        <f t="shared" si="1"/>
        <v>12.503859799962605</v>
      </c>
      <c r="F62" s="380">
        <f t="shared" si="2"/>
        <v>12.505537648987026</v>
      </c>
      <c r="G62" s="110">
        <f t="shared" si="19"/>
        <v>0.38089643087682956</v>
      </c>
      <c r="H62" s="409" t="b">
        <f>Wh_hp&gt;='2025'!Maxi_hp</f>
        <v>0</v>
      </c>
      <c r="I62" s="375">
        <f>IF(H62,Wh_hp,'2025'!Maxi_hp)</f>
        <v>12.518314703244648</v>
      </c>
      <c r="J62" s="85">
        <f>IF(H62,An,'2025'!An_max)</f>
        <v>2022</v>
      </c>
      <c r="K62" s="193">
        <f t="shared" si="3"/>
        <v>46070</v>
      </c>
      <c r="L62" s="143">
        <f>IF(t&lt;Tvie,1-EXP((T0-t)*PertePVj)+'2025'!Pspv,1-EXP((T0-t)*PertePVj)+Pspv)</f>
        <v>2.0968014216812825E-2</v>
      </c>
      <c r="M62" s="836"/>
      <c r="N62" s="836"/>
      <c r="O62" s="48">
        <f>IF(t&lt;Tnet,'2025'!Resal+('2025'!Salim-'2025'!Resal)*(1-EXP(('2025'!Tnet-t)/('2025'!Tau_j))),Resal+(Salim-Resal)*(1-EXP((Tnet-t)/(Tau_j))))*Salcycl</f>
        <v>1.8785350971258569E-2</v>
      </c>
      <c r="P62" s="334">
        <f>(INDEX(Models!$BJ62:$BT62,,T62)*(1-R62)+INDEX(Models!$BJ62:$BT62,,T62+1)*R62-ERP_i)*Q62*Ramure*Pc/MaxiM</f>
        <v>1.1554030715262922E-3</v>
      </c>
      <c r="Q62" s="301">
        <f t="shared" si="4"/>
        <v>0.5</v>
      </c>
      <c r="R62" s="173">
        <f t="shared" si="5"/>
        <v>0.99789305465311218</v>
      </c>
      <c r="S62" s="802">
        <f t="shared" si="6"/>
        <v>1</v>
      </c>
      <c r="T62" s="172">
        <f t="shared" si="7"/>
        <v>7</v>
      </c>
      <c r="U62" s="247">
        <f t="shared" si="20"/>
        <v>1.9978930546531122</v>
      </c>
      <c r="V62" s="378">
        <f t="shared" si="8"/>
        <v>31.503172679568316</v>
      </c>
      <c r="W62" s="397">
        <f t="shared" si="9"/>
        <v>12.011714459244581</v>
      </c>
      <c r="X62" s="153">
        <f t="shared" si="10"/>
        <v>46070</v>
      </c>
      <c r="Y62" s="380">
        <f t="shared" si="11"/>
        <v>11.646639019995105</v>
      </c>
      <c r="Z62" s="380">
        <f t="shared" si="21"/>
        <v>11.896076113057992</v>
      </c>
      <c r="AA62" s="381">
        <f t="shared" si="12"/>
        <v>12.503859799962605</v>
      </c>
      <c r="AB62" s="193">
        <f t="shared" si="13"/>
        <v>46070</v>
      </c>
      <c r="AC62" s="119">
        <f>IF(OR(t&lt;Tnet,NoTnet),'2025'!Resal_s+('2025'!Salim-'2025'!Resal_s)*(1-EXP(('2025'!Tnet_s-t)/'2025'!Tau_j)),Resal_s+(Salim-Resal_s)*(1-EXP((Tnet_s-t)/Tau_j)))*Salcycl</f>
        <v>4.8607685676900415E-2</v>
      </c>
      <c r="AD62" s="227">
        <f>(INDEX(Models!$BJ62:$BT62,,AH62)*(1-AF62)+INDEX(Models!$BJ62:$BT62,,AH62+1)*AF62-ERP_i)*AE62*Ramure*Pc/MaxiM</f>
        <v>1.1554030715262922E-3</v>
      </c>
      <c r="AE62" s="301">
        <f t="shared" si="14"/>
        <v>0.5</v>
      </c>
      <c r="AF62" s="173">
        <f t="shared" si="22"/>
        <v>0.99789305465311218</v>
      </c>
      <c r="AG62" s="802">
        <f t="shared" si="23"/>
        <v>1</v>
      </c>
      <c r="AH62" s="172">
        <f t="shared" si="15"/>
        <v>7</v>
      </c>
      <c r="AI62" s="221">
        <f t="shared" si="24"/>
        <v>1.9978930546531122</v>
      </c>
      <c r="AJ62" s="261" t="b">
        <f t="shared" si="16"/>
        <v>0</v>
      </c>
      <c r="AK62" s="261" t="b">
        <f t="shared" si="17"/>
        <v>0</v>
      </c>
      <c r="AL62" s="261"/>
      <c r="AM62" s="261"/>
      <c r="AN62" s="75"/>
    </row>
    <row r="63" spans="1:40" s="6" customFormat="1" ht="11.25" x14ac:dyDescent="0.2">
      <c r="A63" s="56">
        <f t="shared" si="18"/>
        <v>46071</v>
      </c>
      <c r="B63" s="406">
        <f>'2025'!Wh/'2025'!Env_an*'2026'!Env_an</f>
        <v>28.150918622543539</v>
      </c>
      <c r="C63" s="832"/>
      <c r="D63" s="388">
        <f t="shared" si="0"/>
        <v>28.754222945775197</v>
      </c>
      <c r="E63" s="380">
        <f t="shared" si="1"/>
        <v>29.306400681149121</v>
      </c>
      <c r="F63" s="380">
        <f t="shared" si="2"/>
        <v>29.329666144142653</v>
      </c>
      <c r="G63" s="110">
        <f t="shared" si="19"/>
        <v>0.8821239988823234</v>
      </c>
      <c r="H63" s="409" t="b">
        <f>Wh_hp&gt;='2025'!Maxi_hp</f>
        <v>0</v>
      </c>
      <c r="I63" s="375">
        <f>IF(H63,Wh_hp,'2025'!Maxi_hp)</f>
        <v>29.334371482242279</v>
      </c>
      <c r="J63" s="85">
        <f>IF(H63,An,'2025'!An_max)</f>
        <v>2022</v>
      </c>
      <c r="K63" s="193">
        <f t="shared" si="3"/>
        <v>46071</v>
      </c>
      <c r="L63" s="143">
        <f>IF(t&lt;Tvie,1-EXP((T0-t)*PertePVj)+'2025'!Pspv,1-EXP((T0-t)*PertePVj)+Pspv)</f>
        <v>2.0981416342544579E-2</v>
      </c>
      <c r="M63" s="836"/>
      <c r="N63" s="836"/>
      <c r="O63" s="48">
        <f>IF(t&lt;Tnet,'2025'!Resal+('2025'!Salim-'2025'!Resal)*(1-EXP(('2025'!Tnet-t)/('2025'!Tau_j))),Resal+(Salim-Resal)*(1-EXP((Tnet-t)/(Tau_j))))*Salcycl</f>
        <v>1.8841540501051815E-2</v>
      </c>
      <c r="P63" s="334">
        <f>(INDEX(Models!$BJ63:$BT63,,T63)*(1-R63)+INDEX(Models!$BJ63:$BT63,,T63+1)*R63-ERP_i)*Q63*Ramure*Pc/MaxiM</f>
        <v>9.5363344010442888E-4</v>
      </c>
      <c r="Q63" s="301">
        <f t="shared" si="4"/>
        <v>0.5</v>
      </c>
      <c r="R63" s="173">
        <f t="shared" si="5"/>
        <v>0.99809129335586033</v>
      </c>
      <c r="S63" s="802">
        <f t="shared" si="6"/>
        <v>1</v>
      </c>
      <c r="T63" s="172">
        <f t="shared" si="7"/>
        <v>7</v>
      </c>
      <c r="U63" s="247">
        <f t="shared" si="20"/>
        <v>1.9980912933558603</v>
      </c>
      <c r="V63" s="378">
        <f t="shared" si="8"/>
        <v>31.907532103993521</v>
      </c>
      <c r="W63" s="397">
        <f t="shared" si="9"/>
        <v>28.150918622543539</v>
      </c>
      <c r="X63" s="153">
        <f t="shared" si="10"/>
        <v>46071</v>
      </c>
      <c r="Y63" s="380">
        <f t="shared" si="11"/>
        <v>27.29603836614967</v>
      </c>
      <c r="Z63" s="380">
        <f t="shared" si="21"/>
        <v>27.881021690289142</v>
      </c>
      <c r="AA63" s="381">
        <f t="shared" si="12"/>
        <v>29.306400681149121</v>
      </c>
      <c r="AB63" s="193">
        <f t="shared" si="13"/>
        <v>46071</v>
      </c>
      <c r="AC63" s="119">
        <f>IF(OR(t&lt;Tnet,NoTnet),'2025'!Resal_s+('2025'!Salim-'2025'!Resal_s)*(1-EXP(('2025'!Tnet_s-t)/'2025'!Tau_j)),Resal_s+(Salim-Resal_s)*(1-EXP((Tnet_s-t)/Tau_j)))*Salcycl</f>
        <v>4.8637122189380017E-2</v>
      </c>
      <c r="AD63" s="227">
        <f>(INDEX(Models!$BJ63:$BT63,,AH63)*(1-AF63)+INDEX(Models!$BJ63:$BT63,,AH63+1)*AF63-ERP_i)*AE63*Ramure*Pc/MaxiM</f>
        <v>9.5363344010442888E-4</v>
      </c>
      <c r="AE63" s="301">
        <f t="shared" si="14"/>
        <v>0.5</v>
      </c>
      <c r="AF63" s="173">
        <f t="shared" si="22"/>
        <v>0.99809129335586033</v>
      </c>
      <c r="AG63" s="802">
        <f t="shared" si="23"/>
        <v>1</v>
      </c>
      <c r="AH63" s="172">
        <f t="shared" si="15"/>
        <v>7</v>
      </c>
      <c r="AI63" s="221">
        <f t="shared" si="24"/>
        <v>1.9980912933558603</v>
      </c>
      <c r="AJ63" s="261" t="b">
        <f t="shared" si="16"/>
        <v>0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46072</v>
      </c>
      <c r="B64" s="406">
        <f>'2025'!Wh/'2025'!Env_an*'2026'!Env_an</f>
        <v>16.995206834483813</v>
      </c>
      <c r="C64" s="832"/>
      <c r="D64" s="388">
        <f t="shared" si="0"/>
        <v>17.359669950580574</v>
      </c>
      <c r="E64" s="380">
        <f t="shared" si="1"/>
        <v>17.694046342990671</v>
      </c>
      <c r="F64" s="380">
        <f t="shared" si="2"/>
        <v>17.698565031444279</v>
      </c>
      <c r="G64" s="110">
        <f t="shared" si="19"/>
        <v>0.52570567693541004</v>
      </c>
      <c r="H64" s="409" t="b">
        <f>Wh_hp&gt;='2025'!Maxi_hp</f>
        <v>0</v>
      </c>
      <c r="I64" s="375">
        <f>IF(H64,Wh_hp,'2025'!Maxi_hp)</f>
        <v>17.708043029969524</v>
      </c>
      <c r="J64" s="85">
        <f>IF(H64,An,'2025'!An_max)</f>
        <v>2022</v>
      </c>
      <c r="K64" s="193">
        <f t="shared" si="3"/>
        <v>46072</v>
      </c>
      <c r="L64" s="143">
        <f>IF(t&lt;Tvie,1-EXP((T0-t)*PertePVj)+'2025'!Pspv,1-EXP((T0-t)*PertePVj)+Pspv)</f>
        <v>2.0994818284812533E-2</v>
      </c>
      <c r="M64" s="836"/>
      <c r="N64" s="836"/>
      <c r="O64" s="48">
        <f>IF(t&lt;Tnet,'2025'!Resal+('2025'!Salim-'2025'!Resal)*(1-EXP(('2025'!Tnet-t)/('2025'!Tau_j))),Resal+(Salim-Resal)*(1-EXP((Tnet-t)/(Tau_j))))*Salcycl</f>
        <v>1.8897678118863802E-2</v>
      </c>
      <c r="P64" s="334">
        <f>(INDEX(Models!$BJ64:$BT64,,T64)*(1-R64)+INDEX(Models!$BJ64:$BT64,,T64+1)*R64-ERP_i)*Q64*Ramure*Pc/MaxiM</f>
        <v>7.9083904555468719E-4</v>
      </c>
      <c r="Q64" s="301">
        <f t="shared" si="4"/>
        <v>0.5</v>
      </c>
      <c r="R64" s="173">
        <f t="shared" si="5"/>
        <v>0.99829768009866937</v>
      </c>
      <c r="S64" s="802">
        <f t="shared" si="6"/>
        <v>1</v>
      </c>
      <c r="T64" s="172">
        <f t="shared" si="7"/>
        <v>7</v>
      </c>
      <c r="U64" s="247">
        <f t="shared" si="20"/>
        <v>1.9982976800986694</v>
      </c>
      <c r="V64" s="378">
        <f t="shared" si="8"/>
        <v>32.3110513993919</v>
      </c>
      <c r="W64" s="397">
        <f t="shared" si="9"/>
        <v>16.995206834483813</v>
      </c>
      <c r="X64" s="153">
        <f t="shared" si="10"/>
        <v>46072</v>
      </c>
      <c r="Y64" s="380">
        <f t="shared" si="11"/>
        <v>16.479534079505342</v>
      </c>
      <c r="Z64" s="380">
        <f t="shared" si="21"/>
        <v>16.832938565895734</v>
      </c>
      <c r="AA64" s="381">
        <f t="shared" si="12"/>
        <v>17.694046342990671</v>
      </c>
      <c r="AB64" s="193">
        <f t="shared" si="13"/>
        <v>46072</v>
      </c>
      <c r="AC64" s="119">
        <f>IF(OR(t&lt;Tnet,NoTnet),'2025'!Resal_s+('2025'!Salim-'2025'!Resal_s)*(1-EXP(('2025'!Tnet_s-t)/'2025'!Tau_j)),Resal_s+(Salim-Resal_s)*(1-EXP((Tnet_s-t)/Tau_j)))*Salcycl</f>
        <v>4.866652660464274E-2</v>
      </c>
      <c r="AD64" s="227">
        <f>(INDEX(Models!$BJ64:$BT64,,AH64)*(1-AF64)+INDEX(Models!$BJ64:$BT64,,AH64+1)*AF64-ERP_i)*AE64*Ramure*Pc/MaxiM</f>
        <v>7.9083904555468719E-4</v>
      </c>
      <c r="AE64" s="301">
        <f t="shared" si="14"/>
        <v>0.5</v>
      </c>
      <c r="AF64" s="173">
        <f t="shared" si="22"/>
        <v>0.99829768009866937</v>
      </c>
      <c r="AG64" s="802">
        <f t="shared" si="23"/>
        <v>1</v>
      </c>
      <c r="AH64" s="172">
        <f t="shared" si="15"/>
        <v>7</v>
      </c>
      <c r="AI64" s="221">
        <f t="shared" si="24"/>
        <v>1.9982976800986694</v>
      </c>
      <c r="AJ64" s="261" t="b">
        <f t="shared" si="16"/>
        <v>0</v>
      </c>
      <c r="AK64" s="261" t="b">
        <f t="shared" si="17"/>
        <v>0</v>
      </c>
      <c r="AL64" s="261"/>
      <c r="AM64" s="261"/>
      <c r="AN64" s="75"/>
    </row>
    <row r="65" spans="1:40" s="6" customFormat="1" ht="11.25" x14ac:dyDescent="0.2">
      <c r="A65" s="56">
        <f t="shared" si="18"/>
        <v>46073</v>
      </c>
      <c r="B65" s="406">
        <f>'2025'!Wh/'2025'!Env_an*'2026'!Env_an</f>
        <v>21.402598405534867</v>
      </c>
      <c r="C65" s="832"/>
      <c r="D65" s="388">
        <f t="shared" si="0"/>
        <v>21.861877539450294</v>
      </c>
      <c r="E65" s="380">
        <f t="shared" si="1"/>
        <v>22.28424788221119</v>
      </c>
      <c r="F65" s="380">
        <f t="shared" si="2"/>
        <v>22.291756598045978</v>
      </c>
      <c r="G65" s="110">
        <f t="shared" si="19"/>
        <v>0.65402348974855307</v>
      </c>
      <c r="H65" s="409" t="b">
        <f>Wh_hp&gt;='2025'!Maxi_hp</f>
        <v>0</v>
      </c>
      <c r="I65" s="375">
        <f>IF(H65,Wh_hp,'2025'!Maxi_hp)</f>
        <v>22.299083982726547</v>
      </c>
      <c r="J65" s="85">
        <f>IF(H65,An,'2025'!An_max)</f>
        <v>2022</v>
      </c>
      <c r="K65" s="193">
        <f t="shared" si="3"/>
        <v>46073</v>
      </c>
      <c r="L65" s="143">
        <f>IF(t&lt;Tvie,1-EXP((T0-t)*PertePVj)+'2025'!Pspv,1-EXP((T0-t)*PertePVj)+Pspv)</f>
        <v>2.100822004361913E-2</v>
      </c>
      <c r="M65" s="836"/>
      <c r="N65" s="836"/>
      <c r="O65" s="48">
        <f>IF(t&lt;Tnet,'2025'!Resal+('2025'!Salim-'2025'!Resal)*(1-EXP(('2025'!Tnet-t)/('2025'!Tau_j))),Resal+(Salim-Resal)*(1-EXP((Tnet-t)/(Tau_j))))*Salcycl</f>
        <v>1.8953762540851141E-2</v>
      </c>
      <c r="P65" s="334">
        <f>(INDEX(Models!$BJ65:$BT65,,T65)*(1-R65)+INDEX(Models!$BJ65:$BT65,,T65+1)*R65-ERP_i)*Q65*Ramure*Pc/MaxiM</f>
        <v>6.6561554928592516E-4</v>
      </c>
      <c r="Q65" s="301">
        <f t="shared" si="4"/>
        <v>0.5</v>
      </c>
      <c r="R65" s="173">
        <f t="shared" si="5"/>
        <v>0.99851254250457955</v>
      </c>
      <c r="S65" s="802">
        <f t="shared" si="6"/>
        <v>1</v>
      </c>
      <c r="T65" s="172">
        <f t="shared" si="7"/>
        <v>7</v>
      </c>
      <c r="U65" s="247">
        <f t="shared" si="20"/>
        <v>1.9985125425045795</v>
      </c>
      <c r="V65" s="378">
        <f t="shared" si="8"/>
        <v>32.713747565558208</v>
      </c>
      <c r="W65" s="397">
        <f t="shared" si="9"/>
        <v>21.402598405534867</v>
      </c>
      <c r="X65" s="153">
        <f t="shared" si="10"/>
        <v>46073</v>
      </c>
      <c r="Y65" s="380">
        <f t="shared" si="11"/>
        <v>20.753741190765211</v>
      </c>
      <c r="Z65" s="380">
        <f t="shared" si="21"/>
        <v>21.19909647422157</v>
      </c>
      <c r="AA65" s="381">
        <f t="shared" si="12"/>
        <v>22.28424788221119</v>
      </c>
      <c r="AB65" s="193">
        <f t="shared" si="13"/>
        <v>46073</v>
      </c>
      <c r="AC65" s="119">
        <f>IF(OR(t&lt;Tnet,NoTnet),'2025'!Resal_s+('2025'!Salim-'2025'!Resal_s)*(1-EXP(('2025'!Tnet_s-t)/'2025'!Tau_j)),Resal_s+(Salim-Resal_s)*(1-EXP((Tnet_s-t)/Tau_j)))*Salcycl</f>
        <v>4.869589558173347E-2</v>
      </c>
      <c r="AD65" s="227">
        <f>(INDEX(Models!$BJ65:$BT65,,AH65)*(1-AF65)+INDEX(Models!$BJ65:$BT65,,AH65+1)*AF65-ERP_i)*AE65*Ramure*Pc/MaxiM</f>
        <v>6.6561554928592516E-4</v>
      </c>
      <c r="AE65" s="301">
        <f t="shared" si="14"/>
        <v>0.5</v>
      </c>
      <c r="AF65" s="173">
        <f t="shared" si="22"/>
        <v>0.99851254250457955</v>
      </c>
      <c r="AG65" s="802">
        <f t="shared" si="23"/>
        <v>1</v>
      </c>
      <c r="AH65" s="172">
        <f t="shared" si="15"/>
        <v>7</v>
      </c>
      <c r="AI65" s="221">
        <f t="shared" si="24"/>
        <v>1.9985125425045795</v>
      </c>
      <c r="AJ65" s="261" t="b">
        <f t="shared" si="16"/>
        <v>0</v>
      </c>
      <c r="AK65" s="261" t="b">
        <f t="shared" si="17"/>
        <v>0</v>
      </c>
      <c r="AL65" s="261"/>
      <c r="AM65" s="261"/>
      <c r="AN65" s="75"/>
    </row>
    <row r="66" spans="1:40" s="6" customFormat="1" ht="11.25" x14ac:dyDescent="0.2">
      <c r="A66" s="56">
        <f t="shared" si="18"/>
        <v>46074</v>
      </c>
      <c r="B66" s="406">
        <f>'2025'!Wh/'2025'!Env_an*'2026'!Env_an</f>
        <v>18.87265666343492</v>
      </c>
      <c r="C66" s="832"/>
      <c r="D66" s="388">
        <f t="shared" si="0"/>
        <v>19.277909584321176</v>
      </c>
      <c r="E66" s="380">
        <f t="shared" si="1"/>
        <v>19.651480148142646</v>
      </c>
      <c r="F66" s="380">
        <f t="shared" si="2"/>
        <v>19.655846426452612</v>
      </c>
      <c r="G66" s="110">
        <f t="shared" si="19"/>
        <v>0.56969357501120976</v>
      </c>
      <c r="H66" s="409" t="b">
        <f>Wh_hp&gt;='2025'!Maxi_hp</f>
        <v>0</v>
      </c>
      <c r="I66" s="375">
        <f>IF(H66,Wh_hp,'2025'!Maxi_hp)</f>
        <v>19.662801372105708</v>
      </c>
      <c r="J66" s="85">
        <f>IF(H66,An,'2025'!An_max)</f>
        <v>2022</v>
      </c>
      <c r="K66" s="193">
        <f t="shared" si="3"/>
        <v>46074</v>
      </c>
      <c r="L66" s="143">
        <f>IF(t&lt;Tvie,1-EXP((T0-t)*PertePVj)+'2025'!Pspv,1-EXP((T0-t)*PertePVj)+Pspv)</f>
        <v>2.1021621618966813E-2</v>
      </c>
      <c r="M66" s="836"/>
      <c r="N66" s="836"/>
      <c r="O66" s="48">
        <f>IF(t&lt;Tnet,'2025'!Resal+('2025'!Salim-'2025'!Resal)*(1-EXP(('2025'!Tnet-t)/('2025'!Tau_j))),Resal+(Salim-Resal)*(1-EXP((Tnet-t)/(Tau_j))))*Salcycl</f>
        <v>1.9009792697817548E-2</v>
      </c>
      <c r="P66" s="334">
        <f>(INDEX(Models!$BJ66:$BT66,,T66)*(1-R66)+INDEX(Models!$BJ66:$BT66,,T66+1)*R66-ERP_i)*Q66*Ramure*Pc/MaxiM</f>
        <v>5.7613238109468275E-4</v>
      </c>
      <c r="Q66" s="301">
        <f t="shared" si="4"/>
        <v>0.5</v>
      </c>
      <c r="R66" s="173">
        <f t="shared" si="5"/>
        <v>0.99873622075386637</v>
      </c>
      <c r="S66" s="802">
        <f t="shared" si="6"/>
        <v>1</v>
      </c>
      <c r="T66" s="172">
        <f t="shared" si="7"/>
        <v>7</v>
      </c>
      <c r="U66" s="247">
        <f t="shared" si="20"/>
        <v>1.9987362207538664</v>
      </c>
      <c r="V66" s="378">
        <f t="shared" si="8"/>
        <v>33.116003341683722</v>
      </c>
      <c r="W66" s="397">
        <f t="shared" si="9"/>
        <v>18.87265666343492</v>
      </c>
      <c r="X66" s="153">
        <f t="shared" si="10"/>
        <v>46074</v>
      </c>
      <c r="Y66" s="380">
        <f t="shared" si="11"/>
        <v>18.300980032045491</v>
      </c>
      <c r="Z66" s="380">
        <f t="shared" si="21"/>
        <v>18.693957329589228</v>
      </c>
      <c r="AA66" s="381">
        <f t="shared" si="12"/>
        <v>19.651480148142646</v>
      </c>
      <c r="AB66" s="193">
        <f t="shared" si="13"/>
        <v>46074</v>
      </c>
      <c r="AC66" s="119">
        <f>IF(OR(t&lt;Tnet,NoTnet),'2025'!Resal_s+('2025'!Salim-'2025'!Resal_s)*(1-EXP(('2025'!Tnet_s-t)/'2025'!Tau_j)),Resal_s+(Salim-Resal_s)*(1-EXP((Tnet_s-t)/Tau_j)))*Salcycl</f>
        <v>4.8725226361329206E-2</v>
      </c>
      <c r="AD66" s="227">
        <f>(INDEX(Models!$BJ66:$BT66,,AH66)*(1-AF66)+INDEX(Models!$BJ66:$BT66,,AH66+1)*AF66-ERP_i)*AE66*Ramure*Pc/MaxiM</f>
        <v>5.7613238109468275E-4</v>
      </c>
      <c r="AE66" s="301">
        <f t="shared" si="14"/>
        <v>0.5</v>
      </c>
      <c r="AF66" s="173">
        <f t="shared" si="22"/>
        <v>0.99873622075386637</v>
      </c>
      <c r="AG66" s="802">
        <f t="shared" si="23"/>
        <v>1</v>
      </c>
      <c r="AH66" s="172">
        <f t="shared" si="15"/>
        <v>7</v>
      </c>
      <c r="AI66" s="221">
        <f t="shared" si="24"/>
        <v>1.9987362207538664</v>
      </c>
      <c r="AJ66" s="261" t="b">
        <f t="shared" si="16"/>
        <v>0</v>
      </c>
      <c r="AK66" s="261" t="b">
        <f t="shared" si="17"/>
        <v>0</v>
      </c>
      <c r="AL66" s="261"/>
      <c r="AM66" s="261"/>
      <c r="AN66" s="75"/>
    </row>
    <row r="67" spans="1:40" s="6" customFormat="1" ht="11.25" x14ac:dyDescent="0.2">
      <c r="A67" s="56">
        <f t="shared" si="18"/>
        <v>46075</v>
      </c>
      <c r="B67" s="406">
        <f>'2025'!Wh/'2025'!Env_an*'2026'!Env_an</f>
        <v>30.84226794729264</v>
      </c>
      <c r="C67" s="832"/>
      <c r="D67" s="388">
        <f t="shared" si="0"/>
        <v>31.504975839023022</v>
      </c>
      <c r="E67" s="380">
        <f t="shared" si="1"/>
        <v>32.117317148960289</v>
      </c>
      <c r="F67" s="380">
        <f t="shared" si="2"/>
        <v>32.13158000547979</v>
      </c>
      <c r="G67" s="110">
        <f t="shared" si="19"/>
        <v>0.92009842254363572</v>
      </c>
      <c r="H67" s="409" t="b">
        <f>Wh_hp&gt;='2025'!Maxi_hp</f>
        <v>0</v>
      </c>
      <c r="I67" s="375">
        <f>IF(H67,Wh_hp,'2025'!Maxi_hp)</f>
        <v>32.133415210523701</v>
      </c>
      <c r="J67" s="85">
        <f>IF(H67,An,'2025'!An_max)</f>
        <v>2022</v>
      </c>
      <c r="K67" s="193">
        <f t="shared" si="3"/>
        <v>46075</v>
      </c>
      <c r="L67" s="143">
        <f>IF(t&lt;Tvie,1-EXP((T0-t)*PertePVj)+'2025'!Pspv,1-EXP((T0-t)*PertePVj)+Pspv)</f>
        <v>2.1035023010858245E-2</v>
      </c>
      <c r="M67" s="836"/>
      <c r="N67" s="836"/>
      <c r="O67" s="48">
        <f>IF(t&lt;Tnet,'2025'!Resal+('2025'!Salim-'2025'!Resal)*(1-EXP(('2025'!Tnet-t)/('2025'!Tau_j))),Resal+(Salim-Resal)*(1-EXP((Tnet-t)/(Tau_j))))*Salcycl</f>
        <v>1.906576776314238E-2</v>
      </c>
      <c r="P67" s="334">
        <f>(INDEX(Models!$BJ67:$BT67,,T67)*(1-R67)+INDEX(Models!$BJ67:$BT67,,T67+1)*R67-ERP_i)*Q67*Ramure*Pc/MaxiM</f>
        <v>5.0104299886705942E-4</v>
      </c>
      <c r="Q67" s="301">
        <f t="shared" si="4"/>
        <v>0.5</v>
      </c>
      <c r="R67" s="173">
        <f t="shared" si="5"/>
        <v>0.9989690680129355</v>
      </c>
      <c r="S67" s="802">
        <f t="shared" si="6"/>
        <v>1</v>
      </c>
      <c r="T67" s="172">
        <f t="shared" si="7"/>
        <v>7</v>
      </c>
      <c r="U67" s="247">
        <f t="shared" si="20"/>
        <v>1.9989690680129355</v>
      </c>
      <c r="V67" s="378">
        <f t="shared" si="8"/>
        <v>33.518701533916243</v>
      </c>
      <c r="W67" s="397">
        <f t="shared" si="9"/>
        <v>30.84226794729264</v>
      </c>
      <c r="X67" s="153">
        <f t="shared" si="10"/>
        <v>46075</v>
      </c>
      <c r="Y67" s="380">
        <f t="shared" si="11"/>
        <v>29.908802355355807</v>
      </c>
      <c r="Z67" s="380">
        <f t="shared" si="21"/>
        <v>30.551452869480478</v>
      </c>
      <c r="AA67" s="381">
        <f t="shared" si="12"/>
        <v>32.117317148960289</v>
      </c>
      <c r="AB67" s="193">
        <f t="shared" si="13"/>
        <v>46075</v>
      </c>
      <c r="AC67" s="119">
        <f>IF(OR(t&lt;Tnet,NoTnet),'2025'!Resal_s+('2025'!Salim-'2025'!Resal_s)*(1-EXP(('2025'!Tnet_s-t)/'2025'!Tau_j)),Resal_s+(Salim-Resal_s)*(1-EXP((Tnet_s-t)/Tau_j)))*Salcycl</f>
        <v>4.8754516830198588E-2</v>
      </c>
      <c r="AD67" s="227">
        <f>(INDEX(Models!$BJ67:$BT67,,AH67)*(1-AF67)+INDEX(Models!$BJ67:$BT67,,AH67+1)*AF67-ERP_i)*AE67*Ramure*Pc/MaxiM</f>
        <v>5.0104299886705942E-4</v>
      </c>
      <c r="AE67" s="301">
        <f t="shared" si="14"/>
        <v>0.5</v>
      </c>
      <c r="AF67" s="173">
        <f t="shared" si="22"/>
        <v>0.9989690680129355</v>
      </c>
      <c r="AG67" s="802">
        <f t="shared" si="23"/>
        <v>1</v>
      </c>
      <c r="AH67" s="172">
        <f t="shared" si="15"/>
        <v>7</v>
      </c>
      <c r="AI67" s="221">
        <f t="shared" si="24"/>
        <v>1.9989690680129355</v>
      </c>
      <c r="AJ67" s="261" t="b">
        <f t="shared" si="16"/>
        <v>0</v>
      </c>
      <c r="AK67" s="261" t="b">
        <f t="shared" si="17"/>
        <v>0</v>
      </c>
      <c r="AL67" s="261"/>
      <c r="AM67" s="261"/>
      <c r="AN67" s="75"/>
    </row>
    <row r="68" spans="1:40" s="6" customFormat="1" ht="11.25" x14ac:dyDescent="0.2">
      <c r="A68" s="56">
        <f t="shared" si="18"/>
        <v>46076</v>
      </c>
      <c r="B68" s="406">
        <f>'2025'!Wh/'2025'!Env_an*'2026'!Env_an</f>
        <v>32.435753957859703</v>
      </c>
      <c r="C68" s="832"/>
      <c r="D68" s="388">
        <f t="shared" si="0"/>
        <v>33.133154652713557</v>
      </c>
      <c r="E68" s="380">
        <f t="shared" si="1"/>
        <v>33.779067412994515</v>
      </c>
      <c r="F68" s="380">
        <f t="shared" si="2"/>
        <v>33.793000787900837</v>
      </c>
      <c r="G68" s="110">
        <f t="shared" si="19"/>
        <v>0.956158577296221</v>
      </c>
      <c r="H68" s="409" t="b">
        <f>Wh_hp&gt;='2025'!Maxi_hp</f>
        <v>0</v>
      </c>
      <c r="I68" s="375">
        <f>IF(H68,Wh_hp,'2025'!Maxi_hp)</f>
        <v>33.793930327105848</v>
      </c>
      <c r="J68" s="85">
        <f>IF(H68,An,'2025'!An_max)</f>
        <v>2022</v>
      </c>
      <c r="K68" s="193">
        <f t="shared" si="3"/>
        <v>46076</v>
      </c>
      <c r="L68" s="143">
        <f>IF(t&lt;Tvie,1-EXP((T0-t)*PertePVj)+'2025'!Pspv,1-EXP((T0-t)*PertePVj)+Pspv)</f>
        <v>2.104842421929598E-2</v>
      </c>
      <c r="M68" s="836"/>
      <c r="N68" s="836"/>
      <c r="O68" s="48">
        <f>IF(t&lt;Tnet,'2025'!Resal+('2025'!Salim-'2025'!Resal)*(1-EXP(('2025'!Tnet-t)/('2025'!Tau_j))),Resal+(Salim-Resal)*(1-EXP((Tnet-t)/(Tau_j))))*Salcycl</f>
        <v>1.9121687179335108E-2</v>
      </c>
      <c r="P68" s="334">
        <f>(INDEX(Models!$BJ68:$BT68,,T68)*(1-R68)+INDEX(Models!$BJ68:$BT68,,T68+1)*R68-ERP_i)*Q68*Ramure*Pc/MaxiM</f>
        <v>4.3984672578997248E-4</v>
      </c>
      <c r="Q68" s="301">
        <f t="shared" si="4"/>
        <v>0.5</v>
      </c>
      <c r="R68" s="173">
        <f t="shared" si="5"/>
        <v>0.99921145087331342</v>
      </c>
      <c r="S68" s="802">
        <f t="shared" si="6"/>
        <v>1</v>
      </c>
      <c r="T68" s="172">
        <f t="shared" si="7"/>
        <v>7</v>
      </c>
      <c r="U68" s="247">
        <f t="shared" si="20"/>
        <v>1.9992114508733134</v>
      </c>
      <c r="V68" s="378">
        <f t="shared" si="8"/>
        <v>33.92205159334268</v>
      </c>
      <c r="W68" s="397">
        <f t="shared" si="9"/>
        <v>32.435753957859703</v>
      </c>
      <c r="X68" s="153">
        <f t="shared" si="10"/>
        <v>46076</v>
      </c>
      <c r="Y68" s="380">
        <f t="shared" si="11"/>
        <v>31.454886235177394</v>
      </c>
      <c r="Z68" s="380">
        <f t="shared" si="21"/>
        <v>32.131197306764065</v>
      </c>
      <c r="AA68" s="381">
        <f t="shared" si="12"/>
        <v>33.779067412994515</v>
      </c>
      <c r="AB68" s="193">
        <f t="shared" si="13"/>
        <v>46076</v>
      </c>
      <c r="AC68" s="119">
        <f>IF(OR(t&lt;Tnet,NoTnet),'2025'!Resal_s+('2025'!Salim-'2025'!Resal_s)*(1-EXP(('2025'!Tnet_s-t)/'2025'!Tau_j)),Resal_s+(Salim-Resal_s)*(1-EXP((Tnet_s-t)/Tau_j)))*Salcycl</f>
        <v>4.8783765581299793E-2</v>
      </c>
      <c r="AD68" s="227">
        <f>(INDEX(Models!$BJ68:$BT68,,AH68)*(1-AF68)+INDEX(Models!$BJ68:$BT68,,AH68+1)*AF68-ERP_i)*AE68*Ramure*Pc/MaxiM</f>
        <v>4.3984672578997248E-4</v>
      </c>
      <c r="AE68" s="301">
        <f t="shared" si="14"/>
        <v>0.5</v>
      </c>
      <c r="AF68" s="173">
        <f t="shared" si="22"/>
        <v>0.99921145087331342</v>
      </c>
      <c r="AG68" s="802">
        <f t="shared" si="23"/>
        <v>1</v>
      </c>
      <c r="AH68" s="172">
        <f t="shared" si="15"/>
        <v>7</v>
      </c>
      <c r="AI68" s="221">
        <f t="shared" si="24"/>
        <v>1.9992114508733134</v>
      </c>
      <c r="AJ68" s="261" t="b">
        <f t="shared" si="16"/>
        <v>0</v>
      </c>
      <c r="AK68" s="261" t="b">
        <f t="shared" si="17"/>
        <v>0</v>
      </c>
      <c r="AL68" s="261"/>
      <c r="AM68" s="261"/>
      <c r="AN68" s="75"/>
    </row>
    <row r="69" spans="1:40" s="6" customFormat="1" ht="11.25" x14ac:dyDescent="0.2">
      <c r="A69" s="56">
        <f t="shared" si="18"/>
        <v>46077</v>
      </c>
      <c r="B69" s="406">
        <f>'2025'!Wh/'2025'!Env_an*'2026'!Env_an</f>
        <v>23.096504926088549</v>
      </c>
      <c r="C69" s="832"/>
      <c r="D69" s="388">
        <f t="shared" si="0"/>
        <v>23.593425531548</v>
      </c>
      <c r="E69" s="380">
        <f t="shared" si="1"/>
        <v>24.05473645915923</v>
      </c>
      <c r="F69" s="380">
        <f t="shared" si="2"/>
        <v>24.059760949950704</v>
      </c>
      <c r="G69" s="110">
        <f t="shared" si="19"/>
        <v>0.67272898593524322</v>
      </c>
      <c r="H69" s="409" t="b">
        <f>Wh_hp&gt;='2025'!Maxi_hp</f>
        <v>0</v>
      </c>
      <c r="I69" s="375">
        <f>IF(H69,Wh_hp,'2025'!Maxi_hp)</f>
        <v>24.064164791213923</v>
      </c>
      <c r="J69" s="85">
        <f>IF(H69,An,'2025'!An_max)</f>
        <v>2022</v>
      </c>
      <c r="K69" s="193">
        <f t="shared" si="3"/>
        <v>46077</v>
      </c>
      <c r="L69" s="143">
        <f>IF(t&lt;Tvie,1-EXP((T0-t)*PertePVj)+'2025'!Pspv,1-EXP((T0-t)*PertePVj)+Pspv)</f>
        <v>2.106182524428224E-2</v>
      </c>
      <c r="M69" s="836"/>
      <c r="N69" s="836"/>
      <c r="O69" s="48">
        <f>IF(t&lt;Tnet,'2025'!Resal+('2025'!Salim-'2025'!Resal)*(1-EXP(('2025'!Tnet-t)/('2025'!Tau_j))),Resal+(Salim-Resal)*(1-EXP((Tnet-t)/(Tau_j))))*Salcycl</f>
        <v>1.9177550682979036E-2</v>
      </c>
      <c r="P69" s="334">
        <f>(INDEX(Models!$BJ69:$BT69,,T69)*(1-R69)+INDEX(Models!$BJ69:$BT69,,T69+1)*R69-ERP_i)*Q69*Ramure*Pc/MaxiM</f>
        <v>3.9206850647468215E-4</v>
      </c>
      <c r="Q69" s="301">
        <f t="shared" si="4"/>
        <v>0.5</v>
      </c>
      <c r="R69" s="173">
        <f t="shared" si="5"/>
        <v>0.99946374980053165</v>
      </c>
      <c r="S69" s="802">
        <f t="shared" si="6"/>
        <v>1</v>
      </c>
      <c r="T69" s="172">
        <f t="shared" si="7"/>
        <v>7</v>
      </c>
      <c r="U69" s="247">
        <f t="shared" si="20"/>
        <v>1.9994637498005317</v>
      </c>
      <c r="V69" s="378">
        <f t="shared" si="8"/>
        <v>34.326262793930304</v>
      </c>
      <c r="W69" s="397">
        <f t="shared" si="9"/>
        <v>23.096504926088549</v>
      </c>
      <c r="X69" s="153">
        <f t="shared" si="10"/>
        <v>46077</v>
      </c>
      <c r="Y69" s="380">
        <f t="shared" si="11"/>
        <v>22.398647067925022</v>
      </c>
      <c r="Z69" s="380">
        <f t="shared" si="21"/>
        <v>22.88055328265683</v>
      </c>
      <c r="AA69" s="381">
        <f t="shared" si="12"/>
        <v>24.05473645915923</v>
      </c>
      <c r="AB69" s="193">
        <f t="shared" si="13"/>
        <v>46077</v>
      </c>
      <c r="AC69" s="119">
        <f>IF(OR(t&lt;Tnet,NoTnet),'2025'!Resal_s+('2025'!Salim-'2025'!Resal_s)*(1-EXP(('2025'!Tnet_s-t)/'2025'!Tau_j)),Resal_s+(Salim-Resal_s)*(1-EXP((Tnet_s-t)/Tau_j)))*Salcycl</f>
        <v>4.8812971968990843E-2</v>
      </c>
      <c r="AD69" s="227">
        <f>(INDEX(Models!$BJ69:$BT69,,AH69)*(1-AF69)+INDEX(Models!$BJ69:$BT69,,AH69+1)*AF69-ERP_i)*AE69*Ramure*Pc/MaxiM</f>
        <v>3.9206850647468215E-4</v>
      </c>
      <c r="AE69" s="301">
        <f t="shared" si="14"/>
        <v>0.5</v>
      </c>
      <c r="AF69" s="173">
        <f t="shared" si="22"/>
        <v>0.99946374980053165</v>
      </c>
      <c r="AG69" s="802">
        <f t="shared" si="23"/>
        <v>1</v>
      </c>
      <c r="AH69" s="172">
        <f t="shared" si="15"/>
        <v>7</v>
      </c>
      <c r="AI69" s="221">
        <f t="shared" si="24"/>
        <v>1.9994637498005317</v>
      </c>
      <c r="AJ69" s="261" t="b">
        <f t="shared" si="16"/>
        <v>0</v>
      </c>
      <c r="AK69" s="261" t="b">
        <f t="shared" si="17"/>
        <v>0</v>
      </c>
      <c r="AL69" s="261"/>
      <c r="AM69" s="261"/>
      <c r="AN69" s="75"/>
    </row>
    <row r="70" spans="1:40" s="6" customFormat="1" ht="11.25" x14ac:dyDescent="0.2">
      <c r="A70" s="56">
        <f t="shared" si="18"/>
        <v>46078</v>
      </c>
      <c r="B70" s="406">
        <f>'2025'!Wh/'2025'!Env_an*'2026'!Env_an</f>
        <v>25.499701450840455</v>
      </c>
      <c r="C70" s="832"/>
      <c r="D70" s="388">
        <f t="shared" si="0"/>
        <v>26.048683341500507</v>
      </c>
      <c r="E70" s="380">
        <f t="shared" si="1"/>
        <v>26.559511951883856</v>
      </c>
      <c r="F70" s="380">
        <f t="shared" si="2"/>
        <v>26.565398756008612</v>
      </c>
      <c r="G70" s="110">
        <f t="shared" si="19"/>
        <v>0.7340946668434819</v>
      </c>
      <c r="H70" s="409" t="b">
        <f>Wh_hp&gt;='2025'!Maxi_hp</f>
        <v>0</v>
      </c>
      <c r="I70" s="375">
        <f>IF(H70,Wh_hp,'2025'!Maxi_hp)</f>
        <v>26.56899815763115</v>
      </c>
      <c r="J70" s="85">
        <f>IF(H70,An,'2025'!An_max)</f>
        <v>2022</v>
      </c>
      <c r="K70" s="193">
        <f t="shared" si="3"/>
        <v>46078</v>
      </c>
      <c r="L70" s="143">
        <f>IF(t&lt;Tvie,1-EXP((T0-t)*PertePVj)+'2025'!Pspv,1-EXP((T0-t)*PertePVj)+Pspv)</f>
        <v>2.1075226085819798E-2</v>
      </c>
      <c r="M70" s="836"/>
      <c r="N70" s="836"/>
      <c r="O70" s="48">
        <f>IF(t&lt;Tnet,'2025'!Resal+('2025'!Salim-'2025'!Resal)*(1-EXP(('2025'!Tnet-t)/('2025'!Tau_j))),Resal+(Salim-Resal)*(1-EXP((Tnet-t)/(Tau_j))))*Salcycl</f>
        <v>1.9233358327848234E-2</v>
      </c>
      <c r="P70" s="334">
        <f>(INDEX(Models!$BJ70:$BT70,,T70)*(1-R70)+INDEX(Models!$BJ70:$BT70,,T70+1)*R70-ERP_i)*Q70*Ramure*Pc/MaxiM</f>
        <v>3.5725406630283995E-4</v>
      </c>
      <c r="Q70" s="301">
        <f t="shared" si="4"/>
        <v>0.5</v>
      </c>
      <c r="R70" s="173">
        <f t="shared" si="5"/>
        <v>0.99972635959266776</v>
      </c>
      <c r="S70" s="802">
        <f t="shared" si="6"/>
        <v>1</v>
      </c>
      <c r="T70" s="172">
        <f t="shared" si="7"/>
        <v>7</v>
      </c>
      <c r="U70" s="247">
        <f t="shared" si="20"/>
        <v>1.9997263595926678</v>
      </c>
      <c r="V70" s="378">
        <f t="shared" si="8"/>
        <v>34.731544326371314</v>
      </c>
      <c r="W70" s="397">
        <f t="shared" si="9"/>
        <v>25.499701450840455</v>
      </c>
      <c r="X70" s="153">
        <f t="shared" si="10"/>
        <v>46078</v>
      </c>
      <c r="Y70" s="380">
        <f t="shared" si="11"/>
        <v>24.729880208012972</v>
      </c>
      <c r="Z70" s="380">
        <f t="shared" si="21"/>
        <v>25.262288652816316</v>
      </c>
      <c r="AA70" s="381">
        <f t="shared" si="12"/>
        <v>26.559511951883856</v>
      </c>
      <c r="AB70" s="193">
        <f t="shared" si="13"/>
        <v>46078</v>
      </c>
      <c r="AC70" s="119">
        <f>IF(OR(t&lt;Tnet,NoTnet),'2025'!Resal_s+('2025'!Salim-'2025'!Resal_s)*(1-EXP(('2025'!Tnet_s-t)/'2025'!Tau_j)),Resal_s+(Salim-Resal_s)*(1-EXP((Tnet_s-t)/Tau_j)))*Salcycl</f>
        <v>4.8842136158888584E-2</v>
      </c>
      <c r="AD70" s="227">
        <f>(INDEX(Models!$BJ70:$BT70,,AH70)*(1-AF70)+INDEX(Models!$BJ70:$BT70,,AH70+1)*AF70-ERP_i)*AE70*Ramure*Pc/MaxiM</f>
        <v>3.5725406630283995E-4</v>
      </c>
      <c r="AE70" s="301">
        <f t="shared" si="14"/>
        <v>0.5</v>
      </c>
      <c r="AF70" s="173">
        <f t="shared" si="22"/>
        <v>0.99972635959266776</v>
      </c>
      <c r="AG70" s="802">
        <f t="shared" si="23"/>
        <v>1</v>
      </c>
      <c r="AH70" s="172">
        <f t="shared" si="15"/>
        <v>7</v>
      </c>
      <c r="AI70" s="221">
        <f t="shared" si="24"/>
        <v>1.9997263595926678</v>
      </c>
      <c r="AJ70" s="261" t="b">
        <f t="shared" si="16"/>
        <v>0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46079</v>
      </c>
      <c r="B71" s="406">
        <f>'2025'!Wh/'2025'!Env_an*'2026'!Env_an</f>
        <v>35.909054393436342</v>
      </c>
      <c r="C71" s="832"/>
      <c r="D71" s="388">
        <f t="shared" si="0"/>
        <v>36.682640915688218</v>
      </c>
      <c r="E71" s="380">
        <f t="shared" si="1"/>
        <v>37.404133377793798</v>
      </c>
      <c r="F71" s="380">
        <f t="shared" si="2"/>
        <v>37.416666766304836</v>
      </c>
      <c r="G71" s="110">
        <f t="shared" si="19"/>
        <v>1.0219405426181236</v>
      </c>
      <c r="H71" s="409" t="b">
        <f>Wh_hp&gt;='2025'!Maxi_hp</f>
        <v>1</v>
      </c>
      <c r="I71" s="375">
        <f>IF(H71,Wh_hp,'2025'!Maxi_hp)</f>
        <v>37.416666766304836</v>
      </c>
      <c r="J71" s="85">
        <f>IF(H71,An,'2025'!An_max)</f>
        <v>2026</v>
      </c>
      <c r="K71" s="193">
        <f t="shared" si="3"/>
        <v>46079</v>
      </c>
      <c r="L71" s="143">
        <f>IF(t&lt;Tvie,1-EXP((T0-t)*PertePVj)+'2025'!Pspv,1-EXP((T0-t)*PertePVj)+Pspv)</f>
        <v>2.108862674391121E-2</v>
      </c>
      <c r="M71" s="836"/>
      <c r="N71" s="836"/>
      <c r="O71" s="48">
        <f>IF(t&lt;Tnet,'2025'!Resal+('2025'!Salim-'2025'!Resal)*(1-EXP(('2025'!Tnet-t)/('2025'!Tau_j))),Resal+(Salim-Resal)*(1-EXP((Tnet-t)/(Tau_j))))*Salcycl</f>
        <v>1.9289110506004046E-2</v>
      </c>
      <c r="P71" s="334">
        <f>(INDEX(Models!$BJ71:$BT71,,T71)*(1-R71)+INDEX(Models!$BJ71:$BT71,,T71+1)*R71-ERP_i)*Q71*Ramure*Pc/MaxiM</f>
        <v>3.3496806621814164E-4</v>
      </c>
      <c r="Q71" s="301">
        <f t="shared" si="4"/>
        <v>0.5</v>
      </c>
      <c r="R71" s="173">
        <f t="shared" si="5"/>
        <v>0.99999968984823306</v>
      </c>
      <c r="S71" s="802">
        <f t="shared" si="6"/>
        <v>1</v>
      </c>
      <c r="T71" s="172">
        <f t="shared" si="7"/>
        <v>7</v>
      </c>
      <c r="U71" s="247">
        <f t="shared" si="20"/>
        <v>1.9999996898482331</v>
      </c>
      <c r="V71" s="378">
        <f t="shared" si="8"/>
        <v>35.138105296654963</v>
      </c>
      <c r="W71" s="397">
        <f t="shared" si="9"/>
        <v>35.909054393436342</v>
      </c>
      <c r="X71" s="153">
        <f t="shared" si="10"/>
        <v>46079</v>
      </c>
      <c r="Y71" s="380">
        <f t="shared" si="11"/>
        <v>34.825894211469553</v>
      </c>
      <c r="Z71" s="380">
        <f t="shared" si="21"/>
        <v>35.576146281384453</v>
      </c>
      <c r="AA71" s="381">
        <f t="shared" si="12"/>
        <v>37.404133377793798</v>
      </c>
      <c r="AB71" s="193">
        <f t="shared" si="13"/>
        <v>46079</v>
      </c>
      <c r="AC71" s="119">
        <f>IF(OR(t&lt;Tnet,NoTnet),'2025'!Resal_s+('2025'!Salim-'2025'!Resal_s)*(1-EXP(('2025'!Tnet_s-t)/'2025'!Tau_j)),Resal_s+(Salim-Resal_s)*(1-EXP((Tnet_s-t)/Tau_j)))*Salcycl</f>
        <v>4.8871259171976808E-2</v>
      </c>
      <c r="AD71" s="227">
        <f>(INDEX(Models!$BJ71:$BT71,,AH71)*(1-AF71)+INDEX(Models!$BJ71:$BT71,,AH71+1)*AF71-ERP_i)*AE71*Ramure*Pc/MaxiM</f>
        <v>3.3496806621814164E-4</v>
      </c>
      <c r="AE71" s="301">
        <f t="shared" si="14"/>
        <v>0.5</v>
      </c>
      <c r="AF71" s="173">
        <f t="shared" si="22"/>
        <v>0.99999968984823306</v>
      </c>
      <c r="AG71" s="802">
        <f t="shared" si="23"/>
        <v>1</v>
      </c>
      <c r="AH71" s="172">
        <f t="shared" si="15"/>
        <v>7</v>
      </c>
      <c r="AI71" s="221">
        <f t="shared" si="24"/>
        <v>1.9999996898482331</v>
      </c>
      <c r="AJ71" s="261" t="b">
        <f t="shared" si="16"/>
        <v>0</v>
      </c>
      <c r="AK71" s="261" t="b">
        <f t="shared" si="17"/>
        <v>0</v>
      </c>
      <c r="AL71" s="261"/>
      <c r="AM71" s="261"/>
      <c r="AN71" s="75"/>
    </row>
    <row r="72" spans="1:40" s="6" customFormat="1" ht="11.25" x14ac:dyDescent="0.2">
      <c r="A72" s="56">
        <f t="shared" si="18"/>
        <v>46080</v>
      </c>
      <c r="B72" s="406">
        <f>'2025'!Wh/'2025'!Env_an*'2026'!Env_an</f>
        <v>22.968202980664593</v>
      </c>
      <c r="C72" s="832"/>
      <c r="D72" s="388">
        <f t="shared" si="0"/>
        <v>23.463326740173674</v>
      </c>
      <c r="E72" s="380">
        <f t="shared" si="1"/>
        <v>23.926173981218238</v>
      </c>
      <c r="F72" s="380">
        <f t="shared" si="2"/>
        <v>23.930009284171938</v>
      </c>
      <c r="G72" s="110">
        <f t="shared" si="19"/>
        <v>0.64604522781412332</v>
      </c>
      <c r="H72" s="409" t="b">
        <f>Wh_hp&gt;='2025'!Maxi_hp</f>
        <v>0</v>
      </c>
      <c r="I72" s="375">
        <f>IF(H72,Wh_hp,'2025'!Maxi_hp)</f>
        <v>23.933924564086386</v>
      </c>
      <c r="J72" s="85">
        <f>IF(H72,An,'2025'!An_max)</f>
        <v>2022</v>
      </c>
      <c r="K72" s="193">
        <f t="shared" si="3"/>
        <v>46080</v>
      </c>
      <c r="L72" s="143">
        <f>IF(t&lt;Tvie,1-EXP((T0-t)*PertePVj)+'2025'!Pspv,1-EXP((T0-t)*PertePVj)+Pspv)</f>
        <v>2.1102027218558694E-2</v>
      </c>
      <c r="M72" s="836"/>
      <c r="N72" s="836"/>
      <c r="O72" s="48">
        <f>IF(t&lt;Tnet,'2025'!Resal+('2025'!Salim-'2025'!Resal)*(1-EXP(('2025'!Tnet-t)/('2025'!Tau_j))),Resal+(Salim-Resal)*(1-EXP((Tnet-t)/(Tau_j))))*Salcycl</f>
        <v>1.9344807966701849E-2</v>
      </c>
      <c r="P72" s="334">
        <f>(INDEX(Models!$BJ72:$BT72,,T72)*(1-R72)+INDEX(Models!$BJ72:$BT72,,T72+1)*R72-ERP_i)*Q72*Ramure*Pc/MaxiM</f>
        <v>3.2410753092433267E-4</v>
      </c>
      <c r="Q72" s="301">
        <f t="shared" si="4"/>
        <v>0.5</v>
      </c>
      <c r="R72" s="173">
        <f t="shared" si="5"/>
        <v>2.8416544304299407E-4</v>
      </c>
      <c r="S72" s="802">
        <f t="shared" si="6"/>
        <v>2</v>
      </c>
      <c r="T72" s="172">
        <f t="shared" si="7"/>
        <v>8</v>
      </c>
      <c r="U72" s="247">
        <f t="shared" si="20"/>
        <v>2.000284165443043</v>
      </c>
      <c r="V72" s="378">
        <f t="shared" si="8"/>
        <v>35.546179081362361</v>
      </c>
      <c r="W72" s="397">
        <f t="shared" si="9"/>
        <v>22.968202980664593</v>
      </c>
      <c r="X72" s="153">
        <f t="shared" si="10"/>
        <v>46080</v>
      </c>
      <c r="Y72" s="380">
        <f t="shared" si="11"/>
        <v>22.275974426138276</v>
      </c>
      <c r="Z72" s="380">
        <f t="shared" si="21"/>
        <v>22.756175868710105</v>
      </c>
      <c r="AA72" s="381">
        <f t="shared" si="12"/>
        <v>23.926173981218238</v>
      </c>
      <c r="AB72" s="193">
        <f t="shared" si="13"/>
        <v>46080</v>
      </c>
      <c r="AC72" s="119">
        <f>IF(OR(t&lt;Tnet,NoTnet),'2025'!Resal_s+('2025'!Salim-'2025'!Resal_s)*(1-EXP(('2025'!Tnet_s-t)/'2025'!Tau_j)),Resal_s+(Salim-Resal_s)*(1-EXP((Tnet_s-t)/Tau_j)))*Salcycl</f>
        <v>4.8900342922632199E-2</v>
      </c>
      <c r="AD72" s="227">
        <f>(INDEX(Models!$BJ72:$BT72,,AH72)*(1-AF72)+INDEX(Models!$BJ72:$BT72,,AH72+1)*AF72-ERP_i)*AE72*Ramure*Pc/MaxiM</f>
        <v>3.2410753092433267E-4</v>
      </c>
      <c r="AE72" s="301">
        <f t="shared" si="14"/>
        <v>0.5</v>
      </c>
      <c r="AF72" s="173">
        <f t="shared" si="22"/>
        <v>2.8416544304299407E-4</v>
      </c>
      <c r="AG72" s="802">
        <f t="shared" si="23"/>
        <v>2</v>
      </c>
      <c r="AH72" s="172">
        <f t="shared" si="15"/>
        <v>8</v>
      </c>
      <c r="AI72" s="221">
        <f t="shared" si="24"/>
        <v>2.000284165443043</v>
      </c>
      <c r="AJ72" s="261" t="b">
        <f t="shared" si="16"/>
        <v>0</v>
      </c>
      <c r="AK72" s="261" t="b">
        <f t="shared" si="17"/>
        <v>0</v>
      </c>
      <c r="AL72" s="261"/>
      <c r="AM72" s="261"/>
      <c r="AN72" s="75"/>
    </row>
    <row r="73" spans="1:40" s="6" customFormat="1" ht="11.25" x14ac:dyDescent="0.2">
      <c r="A73" s="56">
        <f t="shared" si="18"/>
        <v>46081</v>
      </c>
      <c r="B73" s="406">
        <f>'2025'!Wh/'2025'!Env_an*'2026'!Env_an</f>
        <v>33.495242727351595</v>
      </c>
      <c r="C73" s="832"/>
      <c r="D73" s="388">
        <f t="shared" si="0"/>
        <v>34.217765473758888</v>
      </c>
      <c r="E73" s="380">
        <f t="shared" si="1"/>
        <v>34.894739180453115</v>
      </c>
      <c r="F73" s="380">
        <f t="shared" si="2"/>
        <v>34.904573754154796</v>
      </c>
      <c r="G73" s="110">
        <f t="shared" si="19"/>
        <v>0.93152300489253759</v>
      </c>
      <c r="H73" s="409" t="b">
        <f>Wh_hp&gt;='2025'!Maxi_hp</f>
        <v>0</v>
      </c>
      <c r="I73" s="375">
        <f>IF(H73,Wh_hp,'2025'!Maxi_hp)</f>
        <v>34.905638121982101</v>
      </c>
      <c r="J73" s="85">
        <f>IF(H73,An,'2025'!An_max)</f>
        <v>2022</v>
      </c>
      <c r="K73" s="193">
        <f t="shared" si="3"/>
        <v>46081</v>
      </c>
      <c r="L73" s="143">
        <f>IF(t&lt;Tvie,1-EXP((T0-t)*PertePVj)+'2025'!Pspv,1-EXP((T0-t)*PertePVj)+Pspv)</f>
        <v>2.1115427509765028E-2</v>
      </c>
      <c r="M73" s="836"/>
      <c r="N73" s="836"/>
      <c r="O73" s="48">
        <f>IF(t&lt;Tnet,'2025'!Resal+('2025'!Salim-'2025'!Resal)*(1-EXP(('2025'!Tnet-t)/('2025'!Tau_j))),Resal+(Salim-Resal)*(1-EXP((Tnet-t)/(Tau_j))))*Salcycl</f>
        <v>1.940045183296411E-2</v>
      </c>
      <c r="P73" s="334">
        <f>(INDEX(Models!$BJ73:$BT73,,T73)*(1-R73)+INDEX(Models!$BJ73:$BT73,,T73+1)*R73-ERP_i)*Q73*Ramure*Pc/MaxiM</f>
        <v>3.1229317791784983E-4</v>
      </c>
      <c r="Q73" s="301">
        <f t="shared" si="4"/>
        <v>0.5</v>
      </c>
      <c r="R73" s="173">
        <f t="shared" si="5"/>
        <v>5.8022701563098522E-4</v>
      </c>
      <c r="S73" s="802">
        <f t="shared" si="6"/>
        <v>2</v>
      </c>
      <c r="T73" s="172">
        <f t="shared" si="7"/>
        <v>8</v>
      </c>
      <c r="U73" s="247">
        <f t="shared" si="20"/>
        <v>2.000580227015631</v>
      </c>
      <c r="V73" s="378">
        <f t="shared" si="8"/>
        <v>35.956406243931404</v>
      </c>
      <c r="W73" s="397">
        <f t="shared" si="9"/>
        <v>33.495242727351595</v>
      </c>
      <c r="X73" s="153">
        <f t="shared" si="10"/>
        <v>46081</v>
      </c>
      <c r="Y73" s="380">
        <f t="shared" si="11"/>
        <v>32.486595556731643</v>
      </c>
      <c r="Z73" s="380">
        <f t="shared" si="21"/>
        <v>33.187360869410085</v>
      </c>
      <c r="AA73" s="381">
        <f t="shared" si="12"/>
        <v>34.894739180453115</v>
      </c>
      <c r="AB73" s="193">
        <f t="shared" si="13"/>
        <v>46081</v>
      </c>
      <c r="AC73" s="119">
        <f>IF(OR(t&lt;Tnet,NoTnet),'2025'!Resal_s+('2025'!Salim-'2025'!Resal_s)*(1-EXP(('2025'!Tnet_s-t)/'2025'!Tau_j)),Resal_s+(Salim-Resal_s)*(1-EXP((Tnet_s-t)/Tau_j)))*Salcycl</f>
        <v>4.8929390250305821E-2</v>
      </c>
      <c r="AD73" s="227">
        <f>(INDEX(Models!$BJ73:$BT73,,AH73)*(1-AF73)+INDEX(Models!$BJ73:$BT73,,AH73+1)*AF73-ERP_i)*AE73*Ramure*Pc/MaxiM</f>
        <v>3.1229317791784983E-4</v>
      </c>
      <c r="AE73" s="301">
        <f t="shared" si="14"/>
        <v>0.5</v>
      </c>
      <c r="AF73" s="173">
        <f t="shared" si="22"/>
        <v>5.8022701563098522E-4</v>
      </c>
      <c r="AG73" s="802">
        <f t="shared" si="23"/>
        <v>2</v>
      </c>
      <c r="AH73" s="172">
        <f t="shared" si="15"/>
        <v>8</v>
      </c>
      <c r="AI73" s="221">
        <f t="shared" si="24"/>
        <v>2.000580227015631</v>
      </c>
      <c r="AJ73" s="261" t="b">
        <f t="shared" si="16"/>
        <v>0</v>
      </c>
      <c r="AK73" s="261" t="b">
        <f t="shared" si="17"/>
        <v>0</v>
      </c>
      <c r="AL73" s="261"/>
      <c r="AM73" s="261"/>
      <c r="AN73" s="75"/>
    </row>
    <row r="74" spans="1:40" s="6" customFormat="1" ht="11.25" x14ac:dyDescent="0.2">
      <c r="A74" s="56">
        <f t="shared" si="18"/>
        <v>46082</v>
      </c>
      <c r="B74" s="406">
        <f>'2025'!Wh/'2025'!Env_an*'2026'!Env_an</f>
        <v>35.341113611309048</v>
      </c>
      <c r="C74" s="832"/>
      <c r="D74" s="388">
        <f t="shared" si="0"/>
        <v>36.103947698543998</v>
      </c>
      <c r="E74" s="380">
        <f t="shared" si="1"/>
        <v>36.820325558555602</v>
      </c>
      <c r="F74" s="380">
        <f t="shared" si="2"/>
        <v>36.830913114380643</v>
      </c>
      <c r="G74" s="110">
        <f t="shared" si="19"/>
        <v>0.97172564446959064</v>
      </c>
      <c r="H74" s="409" t="b">
        <f>Wh_hp&gt;='2025'!Maxi_hp</f>
        <v>0</v>
      </c>
      <c r="I74" s="375">
        <f>IF(H74,Wh_hp,'2025'!Maxi_hp)</f>
        <v>36.831357903305943</v>
      </c>
      <c r="J74" s="85">
        <f>IF(H74,An,'2025'!An_max)</f>
        <v>2022</v>
      </c>
      <c r="K74" s="193">
        <f t="shared" si="3"/>
        <v>46082</v>
      </c>
      <c r="L74" s="143">
        <f>IF(t&lt;Tvie,1-EXP((T0-t)*PertePVj)+'2025'!Pspv,1-EXP((T0-t)*PertePVj)+Pspv)</f>
        <v>2.1128827617532542E-2</v>
      </c>
      <c r="M74" s="836"/>
      <c r="N74" s="836"/>
      <c r="O74" s="48">
        <f>IF(t&lt;Tnet,'2025'!Resal+('2025'!Salim-'2025'!Resal)*(1-EXP(('2025'!Tnet-t)/('2025'!Tau_j))),Resal+(Salim-Resal)*(1-EXP((Tnet-t)/(Tau_j))))*Salcycl</f>
        <v>1.9456043615701975E-2</v>
      </c>
      <c r="P74" s="334">
        <f>(INDEX(Models!$BJ74:$BT74,,T74)*(1-R74)+INDEX(Models!$BJ74:$BT74,,T74+1)*R74-ERP_i)*Q74*Ramure*Pc/MaxiM</f>
        <v>2.9955856243502196E-4</v>
      </c>
      <c r="Q74" s="301">
        <f t="shared" si="4"/>
        <v>0.5</v>
      </c>
      <c r="R74" s="173">
        <f t="shared" si="5"/>
        <v>8.8833146068978408E-4</v>
      </c>
      <c r="S74" s="802">
        <f t="shared" si="6"/>
        <v>2</v>
      </c>
      <c r="T74" s="172">
        <f t="shared" si="7"/>
        <v>8</v>
      </c>
      <c r="U74" s="247">
        <f t="shared" si="20"/>
        <v>2.0008883314606898</v>
      </c>
      <c r="V74" s="378">
        <f t="shared" si="8"/>
        <v>36.368995969882754</v>
      </c>
      <c r="W74" s="397">
        <f t="shared" si="9"/>
        <v>35.341113611309048</v>
      </c>
      <c r="X74" s="153">
        <f t="shared" si="10"/>
        <v>46082</v>
      </c>
      <c r="Y74" s="380">
        <f t="shared" si="11"/>
        <v>34.277779023664884</v>
      </c>
      <c r="Z74" s="380">
        <f t="shared" si="21"/>
        <v>35.017661149665329</v>
      </c>
      <c r="AA74" s="381">
        <f t="shared" si="12"/>
        <v>36.820325558555602</v>
      </c>
      <c r="AB74" s="193">
        <f t="shared" si="13"/>
        <v>46082</v>
      </c>
      <c r="AC74" s="119">
        <f>IF(OR(t&lt;Tnet,NoTnet),'2025'!Resal_s+('2025'!Salim-'2025'!Resal_s)*(1-EXP(('2025'!Tnet_s-t)/'2025'!Tau_j)),Resal_s+(Salim-Resal_s)*(1-EXP((Tnet_s-t)/Tau_j)))*Salcycl</f>
        <v>4.8958404944667966E-2</v>
      </c>
      <c r="AD74" s="227">
        <f>(INDEX(Models!$BJ74:$BT74,,AH74)*(1-AF74)+INDEX(Models!$BJ74:$BT74,,AH74+1)*AF74-ERP_i)*AE74*Ramure*Pc/MaxiM</f>
        <v>2.9955856243502196E-4</v>
      </c>
      <c r="AE74" s="301">
        <f t="shared" si="14"/>
        <v>0.5</v>
      </c>
      <c r="AF74" s="173">
        <f t="shared" si="22"/>
        <v>8.8833146068978408E-4</v>
      </c>
      <c r="AG74" s="802">
        <f t="shared" si="23"/>
        <v>2</v>
      </c>
      <c r="AH74" s="172">
        <f t="shared" si="15"/>
        <v>8</v>
      </c>
      <c r="AI74" s="221">
        <f t="shared" si="24"/>
        <v>2.0008883314606898</v>
      </c>
      <c r="AJ74" s="261" t="b">
        <f t="shared" si="16"/>
        <v>0</v>
      </c>
      <c r="AK74" s="261" t="b">
        <f t="shared" si="17"/>
        <v>0</v>
      </c>
      <c r="AL74" s="261"/>
      <c r="AM74" s="261"/>
      <c r="AN74" s="75"/>
    </row>
    <row r="75" spans="1:40" s="6" customFormat="1" ht="11.25" x14ac:dyDescent="0.2">
      <c r="A75" s="56">
        <f t="shared" si="18"/>
        <v>46083</v>
      </c>
      <c r="B75" s="406">
        <f>'2025'!Wh/'2025'!Env_an*'2026'!Env_an</f>
        <v>16.330434863811313</v>
      </c>
      <c r="C75" s="832"/>
      <c r="D75" s="388">
        <f t="shared" si="0"/>
        <v>16.683153899674156</v>
      </c>
      <c r="E75" s="380">
        <f t="shared" si="1"/>
        <v>17.015146378356324</v>
      </c>
      <c r="F75" s="380">
        <f t="shared" si="2"/>
        <v>17.016146962155332</v>
      </c>
      <c r="G75" s="110">
        <f t="shared" si="19"/>
        <v>0.44385209860324626</v>
      </c>
      <c r="H75" s="409" t="b">
        <f>Wh_hp&gt;='2025'!Maxi_hp</f>
        <v>0</v>
      </c>
      <c r="I75" s="375">
        <f>IF(H75,Wh_hp,'2025'!Maxi_hp)</f>
        <v>17.020005743772145</v>
      </c>
      <c r="J75" s="85">
        <f>IF(H75,An,'2025'!An_max)</f>
        <v>2022</v>
      </c>
      <c r="K75" s="193">
        <f t="shared" si="3"/>
        <v>46083</v>
      </c>
      <c r="L75" s="143">
        <f>IF(t&lt;Tvie,1-EXP((T0-t)*PertePVj)+'2025'!Pspv,1-EXP((T0-t)*PertePVj)+Pspv)</f>
        <v>2.1142227541863901E-2</v>
      </c>
      <c r="M75" s="836"/>
      <c r="N75" s="836"/>
      <c r="O75" s="48">
        <f>IF(t&lt;Tnet,'2025'!Resal+('2025'!Salim-'2025'!Resal)*(1-EXP(('2025'!Tnet-t)/('2025'!Tau_j))),Resal+(Salim-Resal)*(1-EXP((Tnet-t)/(Tau_j))))*Salcycl</f>
        <v>1.9511585225294985E-2</v>
      </c>
      <c r="P75" s="334">
        <f>(INDEX(Models!$BJ75:$BT75,,T75)*(1-R75)+INDEX(Models!$BJ75:$BT75,,T75+1)*R75-ERP_i)*Q75*Ramure*Pc/MaxiM</f>
        <v>2.8593659099830556E-4</v>
      </c>
      <c r="Q75" s="301">
        <f t="shared" si="4"/>
        <v>0.5</v>
      </c>
      <c r="R75" s="173">
        <f t="shared" si="5"/>
        <v>1.2089524299510046E-3</v>
      </c>
      <c r="S75" s="802">
        <f t="shared" si="6"/>
        <v>2</v>
      </c>
      <c r="T75" s="172">
        <f t="shared" si="7"/>
        <v>8</v>
      </c>
      <c r="U75" s="247">
        <f t="shared" si="20"/>
        <v>2.001208952429951</v>
      </c>
      <c r="V75" s="378">
        <f t="shared" si="8"/>
        <v>36.784157359482329</v>
      </c>
      <c r="W75" s="397">
        <f t="shared" si="9"/>
        <v>16.330434863811313</v>
      </c>
      <c r="X75" s="153">
        <f t="shared" si="10"/>
        <v>46083</v>
      </c>
      <c r="Y75" s="380">
        <f t="shared" si="11"/>
        <v>15.839503271467322</v>
      </c>
      <c r="Z75" s="380">
        <f t="shared" si="21"/>
        <v>16.181618736796359</v>
      </c>
      <c r="AA75" s="381">
        <f t="shared" si="12"/>
        <v>17.015146378356324</v>
      </c>
      <c r="AB75" s="193">
        <f t="shared" si="13"/>
        <v>46083</v>
      </c>
      <c r="AC75" s="119">
        <f>IF(OR(t&lt;Tnet,NoTnet),'2025'!Resal_s+('2025'!Salim-'2025'!Resal_s)*(1-EXP(('2025'!Tnet_s-t)/'2025'!Tau_j)),Resal_s+(Salim-Resal_s)*(1-EXP((Tnet_s-t)/Tau_j)))*Salcycl</f>
        <v>4.8987391764095028E-2</v>
      </c>
      <c r="AD75" s="227">
        <f>(INDEX(Models!$BJ75:$BT75,,AH75)*(1-AF75)+INDEX(Models!$BJ75:$BT75,,AH75+1)*AF75-ERP_i)*AE75*Ramure*Pc/MaxiM</f>
        <v>2.8593659099830556E-4</v>
      </c>
      <c r="AE75" s="301">
        <f t="shared" si="14"/>
        <v>0.5</v>
      </c>
      <c r="AF75" s="173">
        <f t="shared" si="22"/>
        <v>1.2089524299510046E-3</v>
      </c>
      <c r="AG75" s="802">
        <f t="shared" si="23"/>
        <v>2</v>
      </c>
      <c r="AH75" s="172">
        <f t="shared" si="15"/>
        <v>8</v>
      </c>
      <c r="AI75" s="221">
        <f t="shared" si="24"/>
        <v>2.001208952429951</v>
      </c>
      <c r="AJ75" s="261" t="b">
        <f t="shared" si="16"/>
        <v>0</v>
      </c>
      <c r="AK75" s="261" t="b">
        <f t="shared" si="17"/>
        <v>0</v>
      </c>
      <c r="AL75" s="261"/>
      <c r="AM75" s="261"/>
      <c r="AN75" s="75"/>
    </row>
    <row r="76" spans="1:40" s="6" customFormat="1" ht="11.25" x14ac:dyDescent="0.2">
      <c r="A76" s="56">
        <f t="shared" si="18"/>
        <v>46084</v>
      </c>
      <c r="B76" s="406">
        <f>'2025'!Wh/'2025'!Env_an*'2026'!Env_an</f>
        <v>28.170175553623125</v>
      </c>
      <c r="C76" s="832"/>
      <c r="D76" s="388">
        <f t="shared" si="0"/>
        <v>28.779013639751213</v>
      </c>
      <c r="E76" s="380">
        <f t="shared" si="1"/>
        <v>29.353373415722686</v>
      </c>
      <c r="F76" s="380">
        <f t="shared" si="2"/>
        <v>29.358578974308305</v>
      </c>
      <c r="G76" s="110">
        <f t="shared" si="19"/>
        <v>0.75714874417483036</v>
      </c>
      <c r="H76" s="409" t="b">
        <f>Wh_hp&gt;='2025'!Maxi_hp</f>
        <v>0</v>
      </c>
      <c r="I76" s="375">
        <f>IF(H76,Wh_hp,'2025'!Maxi_hp)</f>
        <v>29.361338384403382</v>
      </c>
      <c r="J76" s="85">
        <f>IF(H76,An,'2025'!An_max)</f>
        <v>2022</v>
      </c>
      <c r="K76" s="193">
        <f t="shared" si="3"/>
        <v>46084</v>
      </c>
      <c r="L76" s="143">
        <f>IF(t&lt;Tvie,1-EXP((T0-t)*PertePVj)+'2025'!Pspv,1-EXP((T0-t)*PertePVj)+Pspv)</f>
        <v>2.1155627282761547E-2</v>
      </c>
      <c r="M76" s="836"/>
      <c r="N76" s="836"/>
      <c r="O76" s="48">
        <f>IF(t&lt;Tnet,'2025'!Resal+('2025'!Salim-'2025'!Resal)*(1-EXP(('2025'!Tnet-t)/('2025'!Tau_j))),Resal+(Salim-Resal)*(1-EXP((Tnet-t)/(Tau_j))))*Salcycl</f>
        <v>1.9567078980565318E-2</v>
      </c>
      <c r="P76" s="334">
        <f>(INDEX(Models!$BJ76:$BT76,,T76)*(1-R76)+INDEX(Models!$BJ76:$BT76,,T76+1)*R76-ERP_i)*Q76*Ramure*Pc/MaxiM</f>
        <v>2.7145952314917886E-4</v>
      </c>
      <c r="Q76" s="301">
        <f t="shared" si="4"/>
        <v>0.5</v>
      </c>
      <c r="R76" s="173">
        <f t="shared" si="5"/>
        <v>1.5425808398088492E-3</v>
      </c>
      <c r="S76" s="802">
        <f t="shared" si="6"/>
        <v>2</v>
      </c>
      <c r="T76" s="172">
        <f t="shared" si="7"/>
        <v>8</v>
      </c>
      <c r="U76" s="247">
        <f t="shared" si="20"/>
        <v>2.0015425808398088</v>
      </c>
      <c r="V76" s="378">
        <f t="shared" si="8"/>
        <v>37.202099429978524</v>
      </c>
      <c r="W76" s="397">
        <f t="shared" si="9"/>
        <v>28.170175553623125</v>
      </c>
      <c r="X76" s="153">
        <f t="shared" si="10"/>
        <v>46084</v>
      </c>
      <c r="Y76" s="380">
        <f t="shared" si="11"/>
        <v>27.324027593488537</v>
      </c>
      <c r="Z76" s="380">
        <f t="shared" si="21"/>
        <v>27.914578001442631</v>
      </c>
      <c r="AA76" s="381">
        <f t="shared" si="12"/>
        <v>29.353373415722686</v>
      </c>
      <c r="AB76" s="193">
        <f t="shared" si="13"/>
        <v>46084</v>
      </c>
      <c r="AC76" s="119">
        <f>IF(OR(t&lt;Tnet,NoTnet),'2025'!Resal_s+('2025'!Salim-'2025'!Resal_s)*(1-EXP(('2025'!Tnet_s-t)/'2025'!Tau_j)),Resal_s+(Salim-Resal_s)*(1-EXP((Tnet_s-t)/Tau_j)))*Salcycl</f>
        <v>4.9016356447446126E-2</v>
      </c>
      <c r="AD76" s="227">
        <f>(INDEX(Models!$BJ76:$BT76,,AH76)*(1-AF76)+INDEX(Models!$BJ76:$BT76,,AH76+1)*AF76-ERP_i)*AE76*Ramure*Pc/MaxiM</f>
        <v>2.7145952314917886E-4</v>
      </c>
      <c r="AE76" s="301">
        <f t="shared" si="14"/>
        <v>0.5</v>
      </c>
      <c r="AF76" s="173">
        <f t="shared" si="22"/>
        <v>1.5425808398088492E-3</v>
      </c>
      <c r="AG76" s="802">
        <f t="shared" si="23"/>
        <v>2</v>
      </c>
      <c r="AH76" s="172">
        <f t="shared" si="15"/>
        <v>8</v>
      </c>
      <c r="AI76" s="221">
        <f t="shared" si="24"/>
        <v>2.0015425808398088</v>
      </c>
      <c r="AJ76" s="261" t="b">
        <f t="shared" si="16"/>
        <v>0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46085</v>
      </c>
      <c r="B77" s="406">
        <f>'2025'!Wh/'2025'!Env_an*'2026'!Env_an</f>
        <v>5.5482577087592979</v>
      </c>
      <c r="C77" s="832"/>
      <c r="D77" s="388">
        <f t="shared" si="0"/>
        <v>5.6682490244959487</v>
      </c>
      <c r="E77" s="380">
        <f t="shared" si="1"/>
        <v>5.7817006042654491</v>
      </c>
      <c r="F77" s="380">
        <f t="shared" si="2"/>
        <v>5.7817006042654491</v>
      </c>
      <c r="G77" s="110">
        <f t="shared" si="19"/>
        <v>0.14743194015967828</v>
      </c>
      <c r="H77" s="409" t="b">
        <f>Wh_hp&gt;='2025'!Maxi_hp</f>
        <v>0</v>
      </c>
      <c r="I77" s="375">
        <f>IF(H77,Wh_hp,'2025'!Maxi_hp)</f>
        <v>5.7831789540560674</v>
      </c>
      <c r="J77" s="85">
        <f>IF(H77,An,'2025'!An_max)</f>
        <v>2022</v>
      </c>
      <c r="K77" s="193">
        <f t="shared" si="3"/>
        <v>46085</v>
      </c>
      <c r="L77" s="143">
        <f>IF(t&lt;Tvie,1-EXP((T0-t)*PertePVj)+'2025'!Pspv,1-EXP((T0-t)*PertePVj)+Pspv)</f>
        <v>2.1169026840228033E-2</v>
      </c>
      <c r="M77" s="836"/>
      <c r="N77" s="836"/>
      <c r="O77" s="48">
        <f>IF(t&lt;Tnet,'2025'!Resal+('2025'!Salim-'2025'!Resal)*(1-EXP(('2025'!Tnet-t)/('2025'!Tau_j))),Resal+(Salim-Resal)*(1-EXP((Tnet-t)/(Tau_j))))*Salcycl</f>
        <v>1.9622527615110599E-2</v>
      </c>
      <c r="P77" s="334">
        <f>(INDEX(Models!$BJ77:$BT77,,T77)*(1-R77)+INDEX(Models!$BJ77:$BT77,,T77+1)*R77-ERP_i)*Q77*Ramure*Pc/MaxiM</f>
        <v>2.5615901468270004E-4</v>
      </c>
      <c r="Q77" s="301">
        <f t="shared" si="4"/>
        <v>0.5</v>
      </c>
      <c r="R77" s="173">
        <f t="shared" si="5"/>
        <v>1.8897253849075035E-3</v>
      </c>
      <c r="S77" s="802">
        <f t="shared" si="6"/>
        <v>2</v>
      </c>
      <c r="T77" s="172">
        <f t="shared" si="7"/>
        <v>8</v>
      </c>
      <c r="U77" s="247">
        <f t="shared" si="20"/>
        <v>2.0018897253849075</v>
      </c>
      <c r="V77" s="378">
        <f t="shared" si="8"/>
        <v>37.623031118791729</v>
      </c>
      <c r="W77" s="397">
        <f t="shared" si="9"/>
        <v>5.5482577087592979</v>
      </c>
      <c r="X77" s="153">
        <f t="shared" si="10"/>
        <v>46085</v>
      </c>
      <c r="Y77" s="380">
        <f t="shared" si="11"/>
        <v>5.3817451561690044</v>
      </c>
      <c r="Z77" s="380">
        <f t="shared" si="21"/>
        <v>5.4981353305526799</v>
      </c>
      <c r="AA77" s="381">
        <f t="shared" si="12"/>
        <v>5.7817006042654491</v>
      </c>
      <c r="AB77" s="193">
        <f t="shared" si="13"/>
        <v>46085</v>
      </c>
      <c r="AC77" s="119">
        <f>IF(OR(t&lt;Tnet,NoTnet),'2025'!Resal_s+('2025'!Salim-'2025'!Resal_s)*(1-EXP(('2025'!Tnet_s-t)/'2025'!Tau_j)),Resal_s+(Salim-Resal_s)*(1-EXP((Tnet_s-t)/Tau_j)))*Salcycl</f>
        <v>4.9045305719145782E-2</v>
      </c>
      <c r="AD77" s="227">
        <f>(INDEX(Models!$BJ77:$BT77,,AH77)*(1-AF77)+INDEX(Models!$BJ77:$BT77,,AH77+1)*AF77-ERP_i)*AE77*Ramure*Pc/MaxiM</f>
        <v>2.5615901468270004E-4</v>
      </c>
      <c r="AE77" s="301">
        <f t="shared" si="14"/>
        <v>0.5</v>
      </c>
      <c r="AF77" s="173">
        <f t="shared" si="22"/>
        <v>1.8897253849075035E-3</v>
      </c>
      <c r="AG77" s="802">
        <f t="shared" si="23"/>
        <v>2</v>
      </c>
      <c r="AH77" s="172">
        <f t="shared" si="15"/>
        <v>8</v>
      </c>
      <c r="AI77" s="221">
        <f t="shared" si="24"/>
        <v>2.0018897253849075</v>
      </c>
      <c r="AJ77" s="261" t="b">
        <f t="shared" si="16"/>
        <v>0</v>
      </c>
      <c r="AK77" s="261" t="b">
        <f t="shared" si="17"/>
        <v>0</v>
      </c>
      <c r="AL77" s="261"/>
      <c r="AM77" s="261"/>
      <c r="AN77" s="75"/>
    </row>
    <row r="78" spans="1:40" s="6" customFormat="1" ht="11.25" x14ac:dyDescent="0.2">
      <c r="A78" s="56">
        <f t="shared" si="18"/>
        <v>46086</v>
      </c>
      <c r="B78" s="406">
        <f>'2025'!Wh/'2025'!Env_an*'2026'!Env_an</f>
        <v>14.388698203114259</v>
      </c>
      <c r="C78" s="832"/>
      <c r="D78" s="388">
        <f t="shared" si="0"/>
        <v>14.70008159688394</v>
      </c>
      <c r="E78" s="380">
        <f t="shared" si="1"/>
        <v>14.995155276957082</v>
      </c>
      <c r="F78" s="380">
        <f t="shared" si="2"/>
        <v>14.995557340309167</v>
      </c>
      <c r="G78" s="110">
        <f t="shared" si="19"/>
        <v>0.3780999473101479</v>
      </c>
      <c r="H78" s="409" t="b">
        <f>Wh_hp&gt;='2025'!Maxi_hp</f>
        <v>0</v>
      </c>
      <c r="I78" s="375">
        <f>IF(H78,Wh_hp,'2025'!Maxi_hp)</f>
        <v>14.998749007725031</v>
      </c>
      <c r="J78" s="85">
        <f>IF(H78,An,'2025'!An_max)</f>
        <v>2022</v>
      </c>
      <c r="K78" s="193">
        <f t="shared" si="3"/>
        <v>46086</v>
      </c>
      <c r="L78" s="143">
        <f>IF(t&lt;Tvie,1-EXP((T0-t)*PertePVj)+'2025'!Pspv,1-EXP((T0-t)*PertePVj)+Pspv)</f>
        <v>2.1182426214265804E-2</v>
      </c>
      <c r="M78" s="836"/>
      <c r="N78" s="836"/>
      <c r="O78" s="48">
        <f>IF(t&lt;Tnet,'2025'!Resal+('2025'!Salim-'2025'!Resal)*(1-EXP(('2025'!Tnet-t)/('2025'!Tau_j))),Resal+(Salim-Resal)*(1-EXP((Tnet-t)/(Tau_j))))*Salcycl</f>
        <v>1.9677934280985975E-2</v>
      </c>
      <c r="P78" s="334">
        <f>(INDEX(Models!$BJ78:$BT78,,T78)*(1-R78)+INDEX(Models!$BJ78:$BT78,,T78+1)*R78-ERP_i)*Q78*Ramure*Pc/MaxiM</f>
        <v>2.4006615095034859E-4</v>
      </c>
      <c r="Q78" s="301">
        <f t="shared" si="4"/>
        <v>0.5</v>
      </c>
      <c r="R78" s="173">
        <f t="shared" si="5"/>
        <v>2.2509130568031388E-3</v>
      </c>
      <c r="S78" s="802">
        <f t="shared" si="6"/>
        <v>2</v>
      </c>
      <c r="T78" s="172">
        <f t="shared" si="7"/>
        <v>8</v>
      </c>
      <c r="U78" s="247">
        <f t="shared" si="20"/>
        <v>2.0022509130568031</v>
      </c>
      <c r="V78" s="378">
        <f t="shared" si="8"/>
        <v>38.047161275561557</v>
      </c>
      <c r="W78" s="397">
        <f t="shared" si="9"/>
        <v>14.388698203114259</v>
      </c>
      <c r="X78" s="153">
        <f t="shared" si="10"/>
        <v>46086</v>
      </c>
      <c r="Y78" s="380">
        <f t="shared" si="11"/>
        <v>13.95723318674027</v>
      </c>
      <c r="Z78" s="380">
        <f t="shared" si="21"/>
        <v>14.25927931877891</v>
      </c>
      <c r="AA78" s="381">
        <f t="shared" si="12"/>
        <v>14.995155276957082</v>
      </c>
      <c r="AB78" s="193">
        <f t="shared" si="13"/>
        <v>46086</v>
      </c>
      <c r="AC78" s="119">
        <f>IF(OR(t&lt;Tnet,NoTnet),'2025'!Resal_s+('2025'!Salim-'2025'!Resal_s)*(1-EXP(('2025'!Tnet_s-t)/'2025'!Tau_j)),Resal_s+(Salim-Resal_s)*(1-EXP((Tnet_s-t)/Tau_j)))*Salcycl</f>
        <v>4.907424728765461E-2</v>
      </c>
      <c r="AD78" s="227">
        <f>(INDEX(Models!$BJ78:$BT78,,AH78)*(1-AF78)+INDEX(Models!$BJ78:$BT78,,AH78+1)*AF78-ERP_i)*AE78*Ramure*Pc/MaxiM</f>
        <v>2.4006615095034859E-4</v>
      </c>
      <c r="AE78" s="301">
        <f t="shared" si="14"/>
        <v>0.5</v>
      </c>
      <c r="AF78" s="173">
        <f t="shared" si="22"/>
        <v>2.2509130568031388E-3</v>
      </c>
      <c r="AG78" s="802">
        <f t="shared" si="23"/>
        <v>2</v>
      </c>
      <c r="AH78" s="172">
        <f t="shared" si="15"/>
        <v>8</v>
      </c>
      <c r="AI78" s="221">
        <f t="shared" si="24"/>
        <v>2.0022509130568031</v>
      </c>
      <c r="AJ78" s="261" t="b">
        <f t="shared" si="16"/>
        <v>0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46087</v>
      </c>
      <c r="B79" s="406">
        <f>'2025'!Wh/'2025'!Env_an*'2026'!Env_an</f>
        <v>22.027795448809435</v>
      </c>
      <c r="C79" s="832"/>
      <c r="D79" s="388">
        <f t="shared" ref="D79:D142" si="25">Wh/(1-Ppv)</f>
        <v>22.504803330984075</v>
      </c>
      <c r="E79" s="380">
        <f t="shared" si="1"/>
        <v>22.957837279916657</v>
      </c>
      <c r="F79" s="380">
        <f t="shared" ref="F79:F142" si="26">Wh_sa/(1-Pvg*MEDIAN((-Sdif+Wh/Env_an)/Csdif,0,1))</f>
        <v>22.959832427278023</v>
      </c>
      <c r="G79" s="110">
        <f t="shared" si="19"/>
        <v>0.57243963930925845</v>
      </c>
      <c r="H79" s="409" t="b">
        <f>Wh_hp&gt;='2025'!Maxi_hp</f>
        <v>0</v>
      </c>
      <c r="I79" s="375">
        <f>IF(H79,Wh_hp,'2025'!Maxi_hp)</f>
        <v>22.962955608308192</v>
      </c>
      <c r="J79" s="85">
        <f>IF(H79,An,'2025'!An_max)</f>
        <v>2022</v>
      </c>
      <c r="K79" s="193">
        <f t="shared" ref="K79:K142" si="27">t</f>
        <v>46087</v>
      </c>
      <c r="L79" s="143">
        <f>IF(t&lt;Tvie,1-EXP((T0-t)*PertePVj)+'2025'!Pspv,1-EXP((T0-t)*PertePVj)+Pspv)</f>
        <v>2.11958254048773E-2</v>
      </c>
      <c r="M79" s="836"/>
      <c r="N79" s="836"/>
      <c r="O79" s="48">
        <f>IF(t&lt;Tnet,'2025'!Resal+('2025'!Salim-'2025'!Resal)*(1-EXP(('2025'!Tnet-t)/('2025'!Tau_j))),Resal+(Salim-Resal)*(1-EXP((Tnet-t)/(Tau_j))))*Salcycl</f>
        <v>1.9733302549752463E-2</v>
      </c>
      <c r="P79" s="334">
        <f>(INDEX(Models!$BJ79:$BT79,,T79)*(1-R79)+INDEX(Models!$BJ79:$BT79,,T79+1)*R79-ERP_i)*Q79*Ramure*Pc/MaxiM</f>
        <v>2.2320792542141705E-4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2.6266896667013206E-3</v>
      </c>
      <c r="S79" s="802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2.0026266896667013</v>
      </c>
      <c r="V79" s="378">
        <f t="shared" ref="V79:V142" si="33">MaxiM*(1-Ppv)*(1-Pvg)*(1-Psa)</f>
        <v>38.475309976415353</v>
      </c>
      <c r="W79" s="397">
        <f t="shared" ref="W79:W142" si="34">Wh*(A79&gt;Tmaj)</f>
        <v>22.027795448809435</v>
      </c>
      <c r="X79" s="153">
        <f t="shared" ref="X79:X142" si="35">t</f>
        <v>46087</v>
      </c>
      <c r="Y79" s="380">
        <f t="shared" ref="Y79:Y142" si="36">Wh_pvt_s*(1-Ppv)</f>
        <v>21.36781804550554</v>
      </c>
      <c r="Z79" s="380">
        <f t="shared" ref="Z79:Z142" si="37">Wh_sa_s*(1-Psa_s)</f>
        <v>21.830534237703091</v>
      </c>
      <c r="AA79" s="381">
        <f t="shared" ref="AA79:AA142" si="38">Wh_hp*(1-Pvg_s*MEDIAN((-Sdif+Wh/Env_an)/Csdif,0,1))</f>
        <v>22.957837279916657</v>
      </c>
      <c r="AB79" s="193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4.9103189837473089E-2</v>
      </c>
      <c r="AD79" s="227">
        <f>(INDEX(Models!$BJ79:$BT79,,AH79)*(1-AF79)+INDEX(Models!$BJ79:$BT79,,AH79+1)*AF79-ERP_i)*AE79*Ramure*Pc/MaxiM</f>
        <v>2.2320792542141705E-4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2.6266896667013206E-3</v>
      </c>
      <c r="AG79" s="802">
        <f t="shared" si="23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2.0026266896667013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46088</v>
      </c>
      <c r="B80" s="406">
        <f>'2025'!Wh/'2025'!Env_an*'2026'!Env_an</f>
        <v>35.703738081000033</v>
      </c>
      <c r="C80" s="832"/>
      <c r="D80" s="388">
        <f t="shared" si="25"/>
        <v>36.477395344836289</v>
      </c>
      <c r="E80" s="380">
        <f t="shared" ref="E80:E143" si="47">Wh_pvt/(1-Psa)</f>
        <v>37.21380581762844</v>
      </c>
      <c r="F80" s="380">
        <f t="shared" si="26"/>
        <v>37.220580482215986</v>
      </c>
      <c r="G80" s="110">
        <f t="shared" ref="G80:G143" si="48">+Wh_hp/MaxiM</f>
        <v>0.91762803153655115</v>
      </c>
      <c r="H80" s="409" t="b">
        <f>Wh_hp&gt;='2025'!Maxi_hp</f>
        <v>0</v>
      </c>
      <c r="I80" s="375">
        <f>IF(H80,Wh_hp,'2025'!Maxi_hp)</f>
        <v>37.221481723491209</v>
      </c>
      <c r="J80" s="85">
        <f>IF(H80,An,'2025'!An_max)</f>
        <v>2022</v>
      </c>
      <c r="K80" s="193">
        <f t="shared" si="27"/>
        <v>46088</v>
      </c>
      <c r="L80" s="143">
        <f>IF(t&lt;Tvie,1-EXP((T0-t)*PertePVj)+'2025'!Pspv,1-EXP((T0-t)*PertePVj)+Pspv)</f>
        <v>2.1209224412065186E-2</v>
      </c>
      <c r="M80" s="836"/>
      <c r="N80" s="836"/>
      <c r="O80" s="48">
        <f>IF(t&lt;Tnet,'2025'!Resal+('2025'!Salim-'2025'!Resal)*(1-EXP(('2025'!Tnet-t)/('2025'!Tau_j))),Resal+(Salim-Resal)*(1-EXP((Tnet-t)/(Tau_j))))*Salcycl</f>
        <v>1.9788636410933931E-2</v>
      </c>
      <c r="P80" s="334">
        <f>(INDEX(Models!$BJ80:$BT80,,T80)*(1-R80)+INDEX(Models!$BJ80:$BT80,,T80+1)*R80-ERP_i)*Q80*Ramure*Pc/MaxiM</f>
        <v>2.0628138389045173E-4</v>
      </c>
      <c r="Q80" s="301">
        <f t="shared" si="28"/>
        <v>0.5</v>
      </c>
      <c r="R80" s="173">
        <f t="shared" si="29"/>
        <v>3.017620371136509E-3</v>
      </c>
      <c r="S80" s="802">
        <f t="shared" si="30"/>
        <v>2</v>
      </c>
      <c r="T80" s="172">
        <f t="shared" si="31"/>
        <v>8</v>
      </c>
      <c r="U80" s="247">
        <f t="shared" si="32"/>
        <v>2.0030176203711365</v>
      </c>
      <c r="V80" s="378">
        <f t="shared" si="33"/>
        <v>38.907782083666881</v>
      </c>
      <c r="W80" s="397">
        <f t="shared" si="34"/>
        <v>35.703738081000033</v>
      </c>
      <c r="X80" s="153">
        <f t="shared" si="35"/>
        <v>46088</v>
      </c>
      <c r="Y80" s="380">
        <f t="shared" si="36"/>
        <v>34.634914648542157</v>
      </c>
      <c r="Z80" s="380">
        <f t="shared" si="37"/>
        <v>35.385411788068645</v>
      </c>
      <c r="AA80" s="381">
        <f t="shared" si="38"/>
        <v>37.21380581762844</v>
      </c>
      <c r="AB80" s="193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4.9132143014882723E-2</v>
      </c>
      <c r="AD80" s="227">
        <f>(INDEX(Models!$BJ80:$BT80,,AH80)*(1-AF80)+INDEX(Models!$BJ80:$BT80,,AH80+1)*AF80-ERP_i)*AE80*Ramure*Pc/MaxiM</f>
        <v>2.0628138389045173E-4</v>
      </c>
      <c r="AE80" s="301">
        <f t="shared" si="40"/>
        <v>0.5</v>
      </c>
      <c r="AF80" s="173">
        <f t="shared" si="41"/>
        <v>3.017620371136509E-3</v>
      </c>
      <c r="AG80" s="802">
        <f t="shared" ref="AG80:AG143" si="49">INDEX(Echel_vg,AH80)</f>
        <v>2</v>
      </c>
      <c r="AH80" s="172">
        <f t="shared" si="42"/>
        <v>8</v>
      </c>
      <c r="AI80" s="221">
        <f t="shared" si="43"/>
        <v>2.0030176203711365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46089</v>
      </c>
      <c r="B81" s="406">
        <f>'2025'!Wh/'2025'!Env_an*'2026'!Env_an</f>
        <v>32.03320703670186</v>
      </c>
      <c r="C81" s="832"/>
      <c r="D81" s="388">
        <f t="shared" si="25"/>
        <v>32.727776302516766</v>
      </c>
      <c r="E81" s="380">
        <f t="shared" si="47"/>
        <v>33.390372867218382</v>
      </c>
      <c r="F81" s="380">
        <f t="shared" si="26"/>
        <v>33.39502630503106</v>
      </c>
      <c r="G81" s="110">
        <f t="shared" si="48"/>
        <v>0.81414100857187632</v>
      </c>
      <c r="H81" s="409" t="b">
        <f>Wh_hp&gt;='2025'!Maxi_hp</f>
        <v>0</v>
      </c>
      <c r="I81" s="375">
        <f>IF(H81,Wh_hp,'2025'!Maxi_hp)</f>
        <v>33.396703977303218</v>
      </c>
      <c r="J81" s="85">
        <f>IF(H81,An,'2025'!An_max)</f>
        <v>2022</v>
      </c>
      <c r="K81" s="193">
        <f t="shared" si="27"/>
        <v>46089</v>
      </c>
      <c r="L81" s="143">
        <f>IF(t&lt;Tvie,1-EXP((T0-t)*PertePVj)+'2025'!Pspv,1-EXP((T0-t)*PertePVj)+Pspv)</f>
        <v>2.1222623235832017E-2</v>
      </c>
      <c r="M81" s="836"/>
      <c r="N81" s="836"/>
      <c r="O81" s="48">
        <f>IF(t&lt;Tnet,'2025'!Resal+('2025'!Salim-'2025'!Resal)*(1-EXP(('2025'!Tnet-t)/('2025'!Tau_j))),Resal+(Salim-Resal)*(1-EXP((Tnet-t)/(Tau_j))))*Salcycl</f>
        <v>1.9843940267948775E-2</v>
      </c>
      <c r="P81" s="334">
        <f>(INDEX(Models!$BJ81:$BT81,,T81)*(1-R81)+INDEX(Models!$BJ81:$BT81,,T81+1)*R81-ERP_i)*Q81*Ramure*Pc/MaxiM</f>
        <v>1.8970260003139597E-4</v>
      </c>
      <c r="Q81" s="301">
        <f t="shared" si="28"/>
        <v>0.5</v>
      </c>
      <c r="R81" s="173">
        <f t="shared" si="29"/>
        <v>3.4242901993466468E-3</v>
      </c>
      <c r="S81" s="802">
        <f t="shared" si="30"/>
        <v>2</v>
      </c>
      <c r="T81" s="172">
        <f t="shared" si="31"/>
        <v>8</v>
      </c>
      <c r="U81" s="247">
        <f t="shared" si="32"/>
        <v>2.0034242901993466</v>
      </c>
      <c r="V81" s="378">
        <f t="shared" si="33"/>
        <v>39.344036680087257</v>
      </c>
      <c r="W81" s="397">
        <f t="shared" si="34"/>
        <v>32.03320703670186</v>
      </c>
      <c r="X81" s="153">
        <f t="shared" si="35"/>
        <v>46089</v>
      </c>
      <c r="Y81" s="380">
        <f t="shared" si="36"/>
        <v>31.075070630030531</v>
      </c>
      <c r="Z81" s="380">
        <f t="shared" si="37"/>
        <v>31.74886482640672</v>
      </c>
      <c r="AA81" s="381">
        <f t="shared" si="38"/>
        <v>33.390372867218382</v>
      </c>
      <c r="AB81" s="193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4.9161117407683801E-2</v>
      </c>
      <c r="AD81" s="227">
        <f>(INDEX(Models!$BJ81:$BT81,,AH81)*(1-AF81)+INDEX(Models!$BJ81:$BT81,,AH81+1)*AF81-ERP_i)*AE81*Ramure*Pc/MaxiM</f>
        <v>1.8970260003139597E-4</v>
      </c>
      <c r="AE81" s="301">
        <f t="shared" si="40"/>
        <v>0.5</v>
      </c>
      <c r="AF81" s="173">
        <f t="shared" si="41"/>
        <v>3.4242901993466468E-3</v>
      </c>
      <c r="AG81" s="802">
        <f t="shared" si="49"/>
        <v>2</v>
      </c>
      <c r="AH81" s="172">
        <f t="shared" si="42"/>
        <v>8</v>
      </c>
      <c r="AI81" s="221">
        <f t="shared" si="43"/>
        <v>2.0034242901993466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46090</v>
      </c>
      <c r="B82" s="406">
        <f>'2025'!Wh/'2025'!Env_an*'2026'!Env_an</f>
        <v>28.592788011921847</v>
      </c>
      <c r="C82" s="832"/>
      <c r="D82" s="388">
        <f t="shared" si="25"/>
        <v>29.213159301929966</v>
      </c>
      <c r="E82" s="380">
        <f t="shared" si="47"/>
        <v>29.806281013351601</v>
      </c>
      <c r="F82" s="380">
        <f t="shared" si="26"/>
        <v>29.80937403491475</v>
      </c>
      <c r="G82" s="110">
        <f t="shared" si="48"/>
        <v>0.71865872823554822</v>
      </c>
      <c r="H82" s="409" t="b">
        <f>Wh_hp&gt;='2025'!Maxi_hp</f>
        <v>0</v>
      </c>
      <c r="I82" s="375">
        <f>IF(H82,Wh_hp,'2025'!Maxi_hp)</f>
        <v>29.811446608214982</v>
      </c>
      <c r="J82" s="85">
        <f>IF(H82,An,'2025'!An_max)</f>
        <v>2022</v>
      </c>
      <c r="K82" s="193">
        <f t="shared" si="27"/>
        <v>46090</v>
      </c>
      <c r="L82" s="143">
        <f>IF(t&lt;Tvie,1-EXP((T0-t)*PertePVj)+'2025'!Pspv,1-EXP((T0-t)*PertePVj)+Pspv)</f>
        <v>2.1236021876180122E-2</v>
      </c>
      <c r="M82" s="836"/>
      <c r="N82" s="836"/>
      <c r="O82" s="48">
        <f>IF(t&lt;Tnet,'2025'!Resal+('2025'!Salim-'2025'!Resal)*(1-EXP(('2025'!Tnet-t)/('2025'!Tau_j))),Resal+(Salim-Resal)*(1-EXP((Tnet-t)/(Tau_j))))*Salcycl</f>
        <v>1.9899218931605331E-2</v>
      </c>
      <c r="P82" s="334">
        <f>(INDEX(Models!$BJ82:$BT82,,T82)*(1-R82)+INDEX(Models!$BJ82:$BT82,,T82+1)*R82-ERP_i)*Q82*Ramure*Pc/MaxiM</f>
        <v>1.7346665716189868E-4</v>
      </c>
      <c r="Q82" s="301">
        <f t="shared" si="28"/>
        <v>0.5</v>
      </c>
      <c r="R82" s="173">
        <f t="shared" si="29"/>
        <v>3.8473045809337414E-3</v>
      </c>
      <c r="S82" s="802">
        <f t="shared" si="30"/>
        <v>2</v>
      </c>
      <c r="T82" s="172">
        <f t="shared" si="31"/>
        <v>8</v>
      </c>
      <c r="U82" s="247">
        <f t="shared" si="32"/>
        <v>2.0038473045809337</v>
      </c>
      <c r="V82" s="378">
        <f t="shared" si="33"/>
        <v>39.783548957231041</v>
      </c>
      <c r="W82" s="397">
        <f t="shared" si="34"/>
        <v>28.592788011921847</v>
      </c>
      <c r="X82" s="153">
        <f t="shared" si="35"/>
        <v>46090</v>
      </c>
      <c r="Y82" s="380">
        <f t="shared" si="36"/>
        <v>27.738275220664313</v>
      </c>
      <c r="Z82" s="380">
        <f t="shared" si="37"/>
        <v>28.340106338849388</v>
      </c>
      <c r="AA82" s="381">
        <f t="shared" si="38"/>
        <v>29.806281013351601</v>
      </c>
      <c r="AB82" s="193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4.9190124519239674E-2</v>
      </c>
      <c r="AD82" s="227">
        <f>(INDEX(Models!$BJ82:$BT82,,AH82)*(1-AF82)+INDEX(Models!$BJ82:$BT82,,AH82+1)*AF82-ERP_i)*AE82*Ramure*Pc/MaxiM</f>
        <v>1.7346665716189868E-4</v>
      </c>
      <c r="AE82" s="301">
        <f t="shared" si="40"/>
        <v>0.5</v>
      </c>
      <c r="AF82" s="173">
        <f t="shared" si="41"/>
        <v>3.8473045809337414E-3</v>
      </c>
      <c r="AG82" s="802">
        <f t="shared" si="49"/>
        <v>2</v>
      </c>
      <c r="AH82" s="172">
        <f t="shared" si="42"/>
        <v>8</v>
      </c>
      <c r="AI82" s="221">
        <f t="shared" si="43"/>
        <v>2.0038473045809337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46091</v>
      </c>
      <c r="B83" s="406">
        <f>'2025'!Wh/'2025'!Env_an*'2026'!Env_an</f>
        <v>24.158282410990477</v>
      </c>
      <c r="C83" s="832"/>
      <c r="D83" s="388">
        <f t="shared" si="25"/>
        <v>24.682777116936787</v>
      </c>
      <c r="E83" s="380">
        <f t="shared" si="47"/>
        <v>25.185337367570252</v>
      </c>
      <c r="F83" s="380">
        <f t="shared" si="26"/>
        <v>25.187041437748796</v>
      </c>
      <c r="G83" s="110">
        <f t="shared" si="48"/>
        <v>0.60051294516038689</v>
      </c>
      <c r="H83" s="409" t="b">
        <f>Wh_hp&gt;='2025'!Maxi_hp</f>
        <v>0</v>
      </c>
      <c r="I83" s="375">
        <f>IF(H83,Wh_hp,'2025'!Maxi_hp)</f>
        <v>25.189299753187651</v>
      </c>
      <c r="J83" s="85">
        <f>IF(H83,An,'2025'!An_max)</f>
        <v>2022</v>
      </c>
      <c r="K83" s="193">
        <f t="shared" si="27"/>
        <v>46091</v>
      </c>
      <c r="L83" s="143">
        <f>IF(t&lt;Tvie,1-EXP((T0-t)*PertePVj)+'2025'!Pspv,1-EXP((T0-t)*PertePVj)+Pspv)</f>
        <v>2.1249420333112057E-2</v>
      </c>
      <c r="M83" s="836"/>
      <c r="N83" s="836"/>
      <c r="O83" s="48">
        <f>IF(t&lt;Tnet,'2025'!Resal+('2025'!Salim-'2025'!Resal)*(1-EXP(('2025'!Tnet-t)/('2025'!Tau_j))),Resal+(Salim-Resal)*(1-EXP((Tnet-t)/(Tau_j))))*Salcycl</f>
        <v>1.9954477611270168E-2</v>
      </c>
      <c r="P83" s="334">
        <f>(INDEX(Models!$BJ83:$BT83,,T83)*(1-R83)+INDEX(Models!$BJ83:$BT83,,T83+1)*R83-ERP_i)*Q83*Ramure*Pc/MaxiM</f>
        <v>1.5756767995755221E-4</v>
      </c>
      <c r="Q83" s="301">
        <f t="shared" si="28"/>
        <v>0.5</v>
      </c>
      <c r="R83" s="173">
        <f t="shared" si="29"/>
        <v>4.287289872270339E-3</v>
      </c>
      <c r="S83" s="802">
        <f t="shared" si="30"/>
        <v>2</v>
      </c>
      <c r="T83" s="172">
        <f t="shared" si="31"/>
        <v>8</v>
      </c>
      <c r="U83" s="247">
        <f t="shared" si="32"/>
        <v>2.0042872898722703</v>
      </c>
      <c r="V83" s="378">
        <f t="shared" si="33"/>
        <v>40.225794234755924</v>
      </c>
      <c r="W83" s="397">
        <f t="shared" si="34"/>
        <v>24.158282410990477</v>
      </c>
      <c r="X83" s="153">
        <f t="shared" si="35"/>
        <v>46091</v>
      </c>
      <c r="Y83" s="380">
        <f t="shared" si="36"/>
        <v>23.436902791364993</v>
      </c>
      <c r="Z83" s="380">
        <f t="shared" si="37"/>
        <v>23.945735796490261</v>
      </c>
      <c r="AA83" s="381">
        <f t="shared" si="38"/>
        <v>25.185337367570252</v>
      </c>
      <c r="AB83" s="193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4.9219176737181763E-2</v>
      </c>
      <c r="AD83" s="227">
        <f>(INDEX(Models!$BJ83:$BT83,,AH83)*(1-AF83)+INDEX(Models!$BJ83:$BT83,,AH83+1)*AF83-ERP_i)*AE83*Ramure*Pc/MaxiM</f>
        <v>1.5756767995755221E-4</v>
      </c>
      <c r="AE83" s="301">
        <f t="shared" si="40"/>
        <v>0.5</v>
      </c>
      <c r="AF83" s="173">
        <f t="shared" si="41"/>
        <v>4.287289872270339E-3</v>
      </c>
      <c r="AG83" s="802">
        <f t="shared" si="49"/>
        <v>2</v>
      </c>
      <c r="AH83" s="172">
        <f t="shared" si="42"/>
        <v>8</v>
      </c>
      <c r="AI83" s="221">
        <f t="shared" si="43"/>
        <v>2.0042872898722703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46092</v>
      </c>
      <c r="B84" s="406">
        <f>'2025'!Wh/'2025'!Env_an*'2026'!Env_an</f>
        <v>17.434715015963821</v>
      </c>
      <c r="C84" s="832"/>
      <c r="D84" s="388">
        <f t="shared" si="25"/>
        <v>17.813479805828017</v>
      </c>
      <c r="E84" s="380">
        <f t="shared" si="47"/>
        <v>18.177200533493515</v>
      </c>
      <c r="F84" s="380">
        <f t="shared" si="26"/>
        <v>18.177675051175839</v>
      </c>
      <c r="G84" s="110">
        <f t="shared" si="48"/>
        <v>0.42863506491974551</v>
      </c>
      <c r="H84" s="409" t="b">
        <f>Wh_hp&gt;='2025'!Maxi_hp</f>
        <v>0</v>
      </c>
      <c r="I84" s="375">
        <f>IF(H84,Wh_hp,'2025'!Maxi_hp)</f>
        <v>18.179775420005882</v>
      </c>
      <c r="J84" s="85">
        <f>IF(H84,An,'2025'!An_max)</f>
        <v>2022</v>
      </c>
      <c r="K84" s="193">
        <f t="shared" si="27"/>
        <v>46092</v>
      </c>
      <c r="L84" s="143">
        <f>IF(t&lt;Tvie,1-EXP((T0-t)*PertePVj)+'2025'!Pspv,1-EXP((T0-t)*PertePVj)+Pspv)</f>
        <v>2.1262818606630374E-2</v>
      </c>
      <c r="M84" s="836"/>
      <c r="N84" s="836"/>
      <c r="O84" s="48">
        <f>IF(t&lt;Tnet,'2025'!Resal+('2025'!Salim-'2025'!Resal)*(1-EXP(('2025'!Tnet-t)/('2025'!Tau_j))),Resal+(Salim-Resal)*(1-EXP((Tnet-t)/(Tau_j))))*Salcycl</f>
        <v>2.0009721903837787E-2</v>
      </c>
      <c r="P84" s="334">
        <f>(INDEX(Models!$BJ84:$BT84,,T84)*(1-R84)+INDEX(Models!$BJ84:$BT84,,T84+1)*R84-ERP_i)*Q84*Ramure*Pc/MaxiM</f>
        <v>1.4199891536563226E-4</v>
      </c>
      <c r="Q84" s="301">
        <f t="shared" si="28"/>
        <v>0.5</v>
      </c>
      <c r="R84" s="173">
        <f t="shared" si="29"/>
        <v>4.7448938799354856E-3</v>
      </c>
      <c r="S84" s="802">
        <f t="shared" si="30"/>
        <v>2</v>
      </c>
      <c r="T84" s="172">
        <f t="shared" si="31"/>
        <v>8</v>
      </c>
      <c r="U84" s="247">
        <f t="shared" si="32"/>
        <v>2.0047448938799355</v>
      </c>
      <c r="V84" s="378">
        <f t="shared" si="33"/>
        <v>40.670247962562172</v>
      </c>
      <c r="W84" s="397">
        <f t="shared" si="34"/>
        <v>17.434715015963821</v>
      </c>
      <c r="X84" s="153">
        <f t="shared" si="35"/>
        <v>46092</v>
      </c>
      <c r="Y84" s="380">
        <f t="shared" si="36"/>
        <v>16.914540411682349</v>
      </c>
      <c r="Z84" s="380">
        <f t="shared" si="37"/>
        <v>17.282004539361761</v>
      </c>
      <c r="AA84" s="381">
        <f t="shared" si="38"/>
        <v>18.177200533493515</v>
      </c>
      <c r="AB84" s="193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4.9248287297169603E-2</v>
      </c>
      <c r="AD84" s="227">
        <f>(INDEX(Models!$BJ84:$BT84,,AH84)*(1-AF84)+INDEX(Models!$BJ84:$BT84,,AH84+1)*AF84-ERP_i)*AE84*Ramure*Pc/MaxiM</f>
        <v>1.4199891536563226E-4</v>
      </c>
      <c r="AE84" s="301">
        <f t="shared" si="40"/>
        <v>0.5</v>
      </c>
      <c r="AF84" s="173">
        <f t="shared" si="41"/>
        <v>4.7448938799354856E-3</v>
      </c>
      <c r="AG84" s="802">
        <f t="shared" si="49"/>
        <v>2</v>
      </c>
      <c r="AH84" s="172">
        <f t="shared" si="42"/>
        <v>8</v>
      </c>
      <c r="AI84" s="221">
        <f t="shared" si="43"/>
        <v>2.0047448938799355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46093</v>
      </c>
      <c r="B85" s="406">
        <f>'2025'!Wh/'2025'!Env_an*'2026'!Env_an</f>
        <v>13.64423675399507</v>
      </c>
      <c r="C85" s="832"/>
      <c r="D85" s="388">
        <f t="shared" si="25"/>
        <v>13.940845197349553</v>
      </c>
      <c r="E85" s="380">
        <f t="shared" si="47"/>
        <v>14.226295210115534</v>
      </c>
      <c r="F85" s="380">
        <f t="shared" si="26"/>
        <v>14.226377242452745</v>
      </c>
      <c r="G85" s="110">
        <f t="shared" si="48"/>
        <v>0.33180411499028489</v>
      </c>
      <c r="H85" s="409" t="b">
        <f>Wh_hp&gt;='2025'!Maxi_hp</f>
        <v>0</v>
      </c>
      <c r="I85" s="375">
        <f>IF(H85,Wh_hp,'2025'!Maxi_hp)</f>
        <v>14.228092826357823</v>
      </c>
      <c r="J85" s="85">
        <f>IF(H85,An,'2025'!An_max)</f>
        <v>2022</v>
      </c>
      <c r="K85" s="193">
        <f t="shared" si="27"/>
        <v>46093</v>
      </c>
      <c r="L85" s="143">
        <f>IF(t&lt;Tvie,1-EXP((T0-t)*PertePVj)+'2025'!Pspv,1-EXP((T0-t)*PertePVj)+Pspv)</f>
        <v>2.1276216696737626E-2</v>
      </c>
      <c r="M85" s="836"/>
      <c r="N85" s="836"/>
      <c r="O85" s="48">
        <f>IF(t&lt;Tnet,'2025'!Resal+('2025'!Salim-'2025'!Resal)*(1-EXP(('2025'!Tnet-t)/('2025'!Tau_j))),Resal+(Salim-Resal)*(1-EXP((Tnet-t)/(Tau_j))))*Salcycl</f>
        <v>2.0064957780646382E-2</v>
      </c>
      <c r="P85" s="334">
        <f>(INDEX(Models!$BJ85:$BT85,,T85)*(1-R85)+INDEX(Models!$BJ85:$BT85,,T85+1)*R85-ERP_i)*Q85*Ramure*Pc/MaxiM</f>
        <v>1.2675280819937645E-4</v>
      </c>
      <c r="Q85" s="301">
        <f t="shared" si="28"/>
        <v>0.5</v>
      </c>
      <c r="R85" s="173">
        <f t="shared" si="29"/>
        <v>5.2207863792905762E-3</v>
      </c>
      <c r="S85" s="802">
        <f t="shared" si="30"/>
        <v>2</v>
      </c>
      <c r="T85" s="172">
        <f t="shared" si="31"/>
        <v>8</v>
      </c>
      <c r="U85" s="247">
        <f t="shared" si="32"/>
        <v>2.0052207863792906</v>
      </c>
      <c r="V85" s="378">
        <f t="shared" si="33"/>
        <v>41.116385717946798</v>
      </c>
      <c r="W85" s="397">
        <f t="shared" si="34"/>
        <v>13.64423675399507</v>
      </c>
      <c r="X85" s="153">
        <f t="shared" si="35"/>
        <v>46093</v>
      </c>
      <c r="Y85" s="380">
        <f t="shared" si="36"/>
        <v>13.237493021981118</v>
      </c>
      <c r="Z85" s="380">
        <f t="shared" si="37"/>
        <v>13.525259371243271</v>
      </c>
      <c r="AA85" s="381">
        <f t="shared" si="38"/>
        <v>14.226295210115534</v>
      </c>
      <c r="AB85" s="193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4.9277470242132651E-2</v>
      </c>
      <c r="AD85" s="227">
        <f>(INDEX(Models!$BJ85:$BT85,,AH85)*(1-AF85)+INDEX(Models!$BJ85:$BT85,,AH85+1)*AF85-ERP_i)*AE85*Ramure*Pc/MaxiM</f>
        <v>1.2675280819937645E-4</v>
      </c>
      <c r="AE85" s="301">
        <f t="shared" si="40"/>
        <v>0.5</v>
      </c>
      <c r="AF85" s="173">
        <f t="shared" si="41"/>
        <v>5.2207863792905762E-3</v>
      </c>
      <c r="AG85" s="802">
        <f t="shared" si="49"/>
        <v>2</v>
      </c>
      <c r="AH85" s="172">
        <f t="shared" si="42"/>
        <v>8</v>
      </c>
      <c r="AI85" s="221">
        <f t="shared" si="43"/>
        <v>2.0052207863792906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46094</v>
      </c>
      <c r="B86" s="406">
        <f>'2025'!Wh/'2025'!Env_an*'2026'!Env_an</f>
        <v>8.6902105494279862</v>
      </c>
      <c r="C86" s="832"/>
      <c r="D86" s="388">
        <f t="shared" si="25"/>
        <v>8.8792462807133692</v>
      </c>
      <c r="E86" s="380">
        <f t="shared" si="47"/>
        <v>9.0615667394582502</v>
      </c>
      <c r="F86" s="380">
        <f t="shared" si="26"/>
        <v>9.0615667394582502</v>
      </c>
      <c r="G86" s="110">
        <f t="shared" si="48"/>
        <v>0.2090584406928645</v>
      </c>
      <c r="H86" s="409" t="b">
        <f>Wh_hp&gt;='2025'!Maxi_hp</f>
        <v>0</v>
      </c>
      <c r="I86" s="375">
        <f>IF(H86,Wh_hp,'2025'!Maxi_hp)</f>
        <v>9.0625850333182196</v>
      </c>
      <c r="J86" s="85">
        <f>IF(H86,An,'2025'!An_max)</f>
        <v>2022</v>
      </c>
      <c r="K86" s="193">
        <f t="shared" si="27"/>
        <v>46094</v>
      </c>
      <c r="L86" s="143">
        <f>IF(t&lt;Tvie,1-EXP((T0-t)*PertePVj)+'2025'!Pspv,1-EXP((T0-t)*PertePVj)+Pspv)</f>
        <v>2.1289614603436258E-2</v>
      </c>
      <c r="M86" s="836"/>
      <c r="N86" s="836"/>
      <c r="O86" s="48">
        <f>IF(t&lt;Tnet,'2025'!Resal+('2025'!Salim-'2025'!Resal)*(1-EXP(('2025'!Tnet-t)/('2025'!Tau_j))),Resal+(Salim-Resal)*(1-EXP((Tnet-t)/(Tau_j))))*Salcycl</f>
        <v>2.01201915724986E-2</v>
      </c>
      <c r="P86" s="334">
        <f>(INDEX(Models!$BJ86:$BT86,,T86)*(1-R86)+INDEX(Models!$BJ86:$BT86,,T86+1)*R86-ERP_i)*Q86*Ramure*Pc/MaxiM</f>
        <v>1.1277723036688656E-4</v>
      </c>
      <c r="Q86" s="301">
        <f t="shared" si="28"/>
        <v>0.5</v>
      </c>
      <c r="R86" s="173">
        <f t="shared" si="29"/>
        <v>5.7156596261362935E-3</v>
      </c>
      <c r="S86" s="802">
        <f t="shared" si="30"/>
        <v>2</v>
      </c>
      <c r="T86" s="172">
        <f t="shared" si="31"/>
        <v>8</v>
      </c>
      <c r="U86" s="247">
        <f t="shared" si="32"/>
        <v>2.0057156596261363</v>
      </c>
      <c r="V86" s="378">
        <f t="shared" si="33"/>
        <v>41.563643461383073</v>
      </c>
      <c r="W86" s="397">
        <f t="shared" si="34"/>
        <v>8.6902105494279862</v>
      </c>
      <c r="X86" s="153">
        <f t="shared" si="35"/>
        <v>46094</v>
      </c>
      <c r="Y86" s="380">
        <f t="shared" si="36"/>
        <v>8.4313652786664619</v>
      </c>
      <c r="Z86" s="380">
        <f t="shared" si="37"/>
        <v>8.6147704208228628</v>
      </c>
      <c r="AA86" s="381">
        <f t="shared" si="38"/>
        <v>9.0615667394582502</v>
      </c>
      <c r="AB86" s="193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4.9306740377448165E-2</v>
      </c>
      <c r="AD86" s="227">
        <f>(INDEX(Models!$BJ86:$BT86,,AH86)*(1-AF86)+INDEX(Models!$BJ86:$BT86,,AH86+1)*AF86-ERP_i)*AE86*Ramure*Pc/MaxiM</f>
        <v>1.1277723036688656E-4</v>
      </c>
      <c r="AE86" s="301">
        <f t="shared" si="40"/>
        <v>0.5</v>
      </c>
      <c r="AF86" s="173">
        <f t="shared" si="41"/>
        <v>5.7156596261362935E-3</v>
      </c>
      <c r="AG86" s="802">
        <f t="shared" si="49"/>
        <v>2</v>
      </c>
      <c r="AH86" s="172">
        <f t="shared" si="42"/>
        <v>8</v>
      </c>
      <c r="AI86" s="221">
        <f t="shared" si="43"/>
        <v>2.0057156596261363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46095</v>
      </c>
      <c r="B87" s="406">
        <f>'2025'!Wh/'2025'!Env_an*'2026'!Env_an</f>
        <v>12.940274844044369</v>
      </c>
      <c r="C87" s="832"/>
      <c r="D87" s="388">
        <f t="shared" si="25"/>
        <v>13.221942038268905</v>
      </c>
      <c r="E87" s="380">
        <f t="shared" si="47"/>
        <v>13.494193187699013</v>
      </c>
      <c r="F87" s="380">
        <f t="shared" si="26"/>
        <v>13.494208744553166</v>
      </c>
      <c r="G87" s="110">
        <f t="shared" si="48"/>
        <v>0.30798700892499509</v>
      </c>
      <c r="H87" s="409" t="b">
        <f>Wh_hp&gt;='2025'!Maxi_hp</f>
        <v>0</v>
      </c>
      <c r="I87" s="375">
        <f>IF(H87,Wh_hp,'2025'!Maxi_hp)</f>
        <v>13.495546182179719</v>
      </c>
      <c r="J87" s="85">
        <f>IF(H87,An,'2025'!An_max)</f>
        <v>2022</v>
      </c>
      <c r="K87" s="193">
        <f t="shared" si="27"/>
        <v>46095</v>
      </c>
      <c r="L87" s="143">
        <f>IF(t&lt;Tvie,1-EXP((T0-t)*PertePVj)+'2025'!Pspv,1-EXP((T0-t)*PertePVj)+Pspv)</f>
        <v>2.130301232672871E-2</v>
      </c>
      <c r="M87" s="836"/>
      <c r="N87" s="836"/>
      <c r="O87" s="48">
        <f>IF(t&lt;Tnet,'2025'!Resal+('2025'!Salim-'2025'!Resal)*(1-EXP(('2025'!Tnet-t)/('2025'!Tau_j))),Resal+(Salim-Resal)*(1-EXP((Tnet-t)/(Tau_j))))*Salcycl</f>
        <v>2.0175429952958304E-2</v>
      </c>
      <c r="P87" s="334">
        <f>(INDEX(Models!$BJ87:$BT87,,T87)*(1-R87)+INDEX(Models!$BJ87:$BT87,,T87+1)*R87-ERP_i)*Q87*Ramure*Pc/MaxiM</f>
        <v>1.0065258729396279E-4</v>
      </c>
      <c r="Q87" s="301">
        <f t="shared" si="28"/>
        <v>0.5</v>
      </c>
      <c r="R87" s="173">
        <f t="shared" si="29"/>
        <v>6.230228859173792E-3</v>
      </c>
      <c r="S87" s="802">
        <f t="shared" si="30"/>
        <v>2</v>
      </c>
      <c r="T87" s="172">
        <f t="shared" si="31"/>
        <v>8</v>
      </c>
      <c r="U87" s="247">
        <f t="shared" si="32"/>
        <v>2.0062302288591738</v>
      </c>
      <c r="V87" s="378">
        <f t="shared" si="33"/>
        <v>42.011470983235199</v>
      </c>
      <c r="W87" s="397">
        <f t="shared" si="34"/>
        <v>12.940274844044369</v>
      </c>
      <c r="X87" s="153">
        <f t="shared" si="35"/>
        <v>46095</v>
      </c>
      <c r="Y87" s="380">
        <f t="shared" si="36"/>
        <v>12.555157683601799</v>
      </c>
      <c r="Z87" s="380">
        <f t="shared" si="37"/>
        <v>12.828442144744006</v>
      </c>
      <c r="AA87" s="381">
        <f t="shared" si="38"/>
        <v>13.494193187699013</v>
      </c>
      <c r="AB87" s="193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4.9336113222529579E-2</v>
      </c>
      <c r="AD87" s="227">
        <f>(INDEX(Models!$BJ87:$BT87,,AH87)*(1-AF87)+INDEX(Models!$BJ87:$BT87,,AH87+1)*AF87-ERP_i)*AE87*Ramure*Pc/MaxiM</f>
        <v>1.0065258729396279E-4</v>
      </c>
      <c r="AE87" s="301">
        <f t="shared" si="40"/>
        <v>0.5</v>
      </c>
      <c r="AF87" s="173">
        <f t="shared" si="41"/>
        <v>6.230228859173792E-3</v>
      </c>
      <c r="AG87" s="802">
        <f t="shared" si="49"/>
        <v>2</v>
      </c>
      <c r="AH87" s="172">
        <f t="shared" si="42"/>
        <v>8</v>
      </c>
      <c r="AI87" s="221">
        <f t="shared" si="43"/>
        <v>2.0062302288591738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46096</v>
      </c>
      <c r="B88" s="406">
        <f>'2025'!Wh/'2025'!Env_an*'2026'!Env_an</f>
        <v>15.33507466812906</v>
      </c>
      <c r="C88" s="832"/>
      <c r="D88" s="388">
        <f t="shared" si="25"/>
        <v>15.66908326933231</v>
      </c>
      <c r="E88" s="380">
        <f t="shared" si="47"/>
        <v>15.992624945690839</v>
      </c>
      <c r="F88" s="380">
        <f t="shared" si="26"/>
        <v>15.992751178163148</v>
      </c>
      <c r="G88" s="110">
        <f t="shared" si="48"/>
        <v>0.3611410138215197</v>
      </c>
      <c r="H88" s="409" t="b">
        <f>Wh_hp&gt;='2025'!Maxi_hp</f>
        <v>0</v>
      </c>
      <c r="I88" s="375">
        <f>IF(H88,Wh_hp,'2025'!Maxi_hp)</f>
        <v>15.994063855850605</v>
      </c>
      <c r="J88" s="85">
        <f>IF(H88,An,'2025'!An_max)</f>
        <v>2022</v>
      </c>
      <c r="K88" s="193">
        <f t="shared" si="27"/>
        <v>46096</v>
      </c>
      <c r="L88" s="143">
        <f>IF(t&lt;Tvie,1-EXP((T0-t)*PertePVj)+'2025'!Pspv,1-EXP((T0-t)*PertePVj)+Pspv)</f>
        <v>2.1316409866617758E-2</v>
      </c>
      <c r="M88" s="836"/>
      <c r="N88" s="836"/>
      <c r="O88" s="48">
        <f>IF(t&lt;Tnet,'2025'!Resal+('2025'!Salim-'2025'!Resal)*(1-EXP(('2025'!Tnet-t)/('2025'!Tau_j))),Resal+(Salim-Resal)*(1-EXP((Tnet-t)/(Tau_j))))*Salcycl</f>
        <v>2.0230679920103148E-2</v>
      </c>
      <c r="P88" s="334">
        <f>(INDEX(Models!$BJ88:$BT88,,T88)*(1-R88)+INDEX(Models!$BJ88:$BT88,,T88+1)*R88-ERP_i)*Q88*Ramure*Pc/MaxiM</f>
        <v>9.0323735384137261E-5</v>
      </c>
      <c r="Q88" s="301">
        <f t="shared" si="28"/>
        <v>0.5</v>
      </c>
      <c r="R88" s="173">
        <f t="shared" si="29"/>
        <v>6.7652327908054311E-3</v>
      </c>
      <c r="S88" s="802">
        <f t="shared" si="30"/>
        <v>2</v>
      </c>
      <c r="T88" s="172">
        <f t="shared" si="31"/>
        <v>8</v>
      </c>
      <c r="U88" s="247">
        <f t="shared" si="32"/>
        <v>2.0067652327908054</v>
      </c>
      <c r="V88" s="378">
        <f t="shared" si="33"/>
        <v>42.459344110567926</v>
      </c>
      <c r="W88" s="397">
        <f t="shared" si="34"/>
        <v>15.33507466812906</v>
      </c>
      <c r="X88" s="153">
        <f t="shared" si="35"/>
        <v>46096</v>
      </c>
      <c r="Y88" s="380">
        <f t="shared" si="36"/>
        <v>14.879062990920998</v>
      </c>
      <c r="Z88" s="380">
        <f t="shared" si="37"/>
        <v>15.2031393403594</v>
      </c>
      <c r="AA88" s="381">
        <f t="shared" si="38"/>
        <v>15.992624945690839</v>
      </c>
      <c r="AB88" s="193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4.9365604959313691E-2</v>
      </c>
      <c r="AD88" s="227">
        <f>(INDEX(Models!$BJ88:$BT88,,AH88)*(1-AF88)+INDEX(Models!$BJ88:$BT88,,AH88+1)*AF88-ERP_i)*AE88*Ramure*Pc/MaxiM</f>
        <v>9.0323735384137261E-5</v>
      </c>
      <c r="AE88" s="301">
        <f t="shared" si="40"/>
        <v>0.5</v>
      </c>
      <c r="AF88" s="173">
        <f t="shared" si="41"/>
        <v>6.7652327908054311E-3</v>
      </c>
      <c r="AG88" s="802">
        <f t="shared" si="49"/>
        <v>2</v>
      </c>
      <c r="AH88" s="172">
        <f t="shared" si="42"/>
        <v>8</v>
      </c>
      <c r="AI88" s="221">
        <f t="shared" si="43"/>
        <v>2.0067652327908054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46097</v>
      </c>
      <c r="B89" s="406">
        <f>'2025'!Wh/'2025'!Env_an*'2026'!Env_an</f>
        <v>12.876904913197809</v>
      </c>
      <c r="C89" s="832"/>
      <c r="D89" s="388">
        <f t="shared" si="25"/>
        <v>13.157552981827999</v>
      </c>
      <c r="E89" s="380">
        <f t="shared" si="47"/>
        <v>13.429993134631516</v>
      </c>
      <c r="F89" s="380">
        <f t="shared" si="26"/>
        <v>13.429993313109785</v>
      </c>
      <c r="G89" s="110">
        <f t="shared" si="48"/>
        <v>0.30008928491162307</v>
      </c>
      <c r="H89" s="409" t="b">
        <f>Wh_hp&gt;='2025'!Maxi_hp</f>
        <v>0</v>
      </c>
      <c r="I89" s="375">
        <f>IF(H89,Wh_hp,'2025'!Maxi_hp)</f>
        <v>13.431085760338645</v>
      </c>
      <c r="J89" s="85">
        <f>IF(H89,An,'2025'!An_max)</f>
        <v>2022</v>
      </c>
      <c r="K89" s="193">
        <f t="shared" si="27"/>
        <v>46097</v>
      </c>
      <c r="L89" s="143">
        <f>IF(t&lt;Tvie,1-EXP((T0-t)*PertePVj)+'2025'!Pspv,1-EXP((T0-t)*PertePVj)+Pspv)</f>
        <v>2.1329807223105623E-2</v>
      </c>
      <c r="M89" s="836"/>
      <c r="N89" s="836"/>
      <c r="O89" s="48">
        <f>IF(t&lt;Tnet,'2025'!Resal+('2025'!Salim-'2025'!Resal)*(1-EXP(('2025'!Tnet-t)/('2025'!Tau_j))),Resal+(Salim-Resal)*(1-EXP((Tnet-t)/(Tau_j))))*Salcycl</f>
        <v>2.0285948776919575E-2</v>
      </c>
      <c r="P89" s="334">
        <f>(INDEX(Models!$BJ89:$BT89,,T89)*(1-R89)+INDEX(Models!$BJ89:$BT89,,T89+1)*R89-ERP_i)*Q89*Ramure*Pc/MaxiM</f>
        <v>8.1737527855492803E-5</v>
      </c>
      <c r="Q89" s="301">
        <f t="shared" si="28"/>
        <v>0.5</v>
      </c>
      <c r="R89" s="173">
        <f t="shared" si="29"/>
        <v>7.3214340835776603E-3</v>
      </c>
      <c r="S89" s="802">
        <f t="shared" si="30"/>
        <v>2</v>
      </c>
      <c r="T89" s="172">
        <f t="shared" si="31"/>
        <v>8</v>
      </c>
      <c r="U89" s="247">
        <f t="shared" si="32"/>
        <v>2.0073214340835777</v>
      </c>
      <c r="V89" s="378">
        <f t="shared" si="33"/>
        <v>42.906738778526332</v>
      </c>
      <c r="W89" s="397">
        <f t="shared" si="34"/>
        <v>12.876904913197809</v>
      </c>
      <c r="X89" s="153">
        <f t="shared" si="35"/>
        <v>46097</v>
      </c>
      <c r="Y89" s="380">
        <f t="shared" si="36"/>
        <v>12.494306055340962</v>
      </c>
      <c r="Z89" s="380">
        <f t="shared" si="37"/>
        <v>12.766615502909534</v>
      </c>
      <c r="AA89" s="381">
        <f t="shared" si="38"/>
        <v>13.429993134631516</v>
      </c>
      <c r="AB89" s="193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4.9395232378142438E-2</v>
      </c>
      <c r="AD89" s="227">
        <f>(INDEX(Models!$BJ89:$BT89,,AH89)*(1-AF89)+INDEX(Models!$BJ89:$BT89,,AH89+1)*AF89-ERP_i)*AE89*Ramure*Pc/MaxiM</f>
        <v>8.1737527855492803E-5</v>
      </c>
      <c r="AE89" s="301">
        <f t="shared" si="40"/>
        <v>0.5</v>
      </c>
      <c r="AF89" s="173">
        <f t="shared" si="41"/>
        <v>7.3214340835776603E-3</v>
      </c>
      <c r="AG89" s="802">
        <f t="shared" si="49"/>
        <v>2</v>
      </c>
      <c r="AH89" s="172">
        <f t="shared" si="42"/>
        <v>8</v>
      </c>
      <c r="AI89" s="221">
        <f t="shared" si="43"/>
        <v>2.0073214340835777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46098</v>
      </c>
      <c r="B90" s="406">
        <f>'2025'!Wh/'2025'!Env_an*'2026'!Env_an</f>
        <v>12.367034796660503</v>
      </c>
      <c r="C90" s="832"/>
      <c r="D90" s="388">
        <f t="shared" si="25"/>
        <v>12.636743393817007</v>
      </c>
      <c r="E90" s="380">
        <f t="shared" si="47"/>
        <v>12.8991276991585</v>
      </c>
      <c r="F90" s="380">
        <f t="shared" si="26"/>
        <v>12.8991276991585</v>
      </c>
      <c r="G90" s="110">
        <f t="shared" si="48"/>
        <v>0.28524143279533171</v>
      </c>
      <c r="H90" s="409" t="b">
        <f>Wh_hp&gt;='2025'!Maxi_hp</f>
        <v>0</v>
      </c>
      <c r="I90" s="375">
        <f>IF(H90,Wh_hp,'2025'!Maxi_hp)</f>
        <v>12.900088201183433</v>
      </c>
      <c r="J90" s="85">
        <f>IF(H90,An,'2025'!An_max)</f>
        <v>2022</v>
      </c>
      <c r="K90" s="193">
        <f t="shared" si="27"/>
        <v>46098</v>
      </c>
      <c r="L90" s="143">
        <f>IF(t&lt;Tvie,1-EXP((T0-t)*PertePVj)+'2025'!Pspv,1-EXP((T0-t)*PertePVj)+Pspv)</f>
        <v>2.134320439619497E-2</v>
      </c>
      <c r="M90" s="836"/>
      <c r="N90" s="836"/>
      <c r="O90" s="48">
        <f>IF(t&lt;Tnet,'2025'!Resal+('2025'!Salim-'2025'!Resal)*(1-EXP(('2025'!Tnet-t)/('2025'!Tau_j))),Resal+(Salim-Resal)*(1-EXP((Tnet-t)/(Tau_j))))*Salcycl</f>
        <v>2.0341244110530808E-2</v>
      </c>
      <c r="P90" s="334">
        <f>(INDEX(Models!$BJ90:$BT90,,T90)*(1-R90)+INDEX(Models!$BJ90:$BT90,,T90+1)*R90-ERP_i)*Q90*Ramure*Pc/MaxiM</f>
        <v>7.4842985056291933E-5</v>
      </c>
      <c r="Q90" s="301">
        <f t="shared" si="28"/>
        <v>0.5</v>
      </c>
      <c r="R90" s="173">
        <f t="shared" si="29"/>
        <v>7.8996198093417291E-3</v>
      </c>
      <c r="S90" s="802">
        <f t="shared" si="30"/>
        <v>2</v>
      </c>
      <c r="T90" s="172">
        <f t="shared" si="31"/>
        <v>8</v>
      </c>
      <c r="U90" s="247">
        <f t="shared" si="32"/>
        <v>2.0078996198093417</v>
      </c>
      <c r="V90" s="378">
        <f t="shared" si="33"/>
        <v>43.353131028945</v>
      </c>
      <c r="W90" s="397">
        <f t="shared" si="34"/>
        <v>12.367034796660503</v>
      </c>
      <c r="X90" s="153">
        <f t="shared" si="35"/>
        <v>46098</v>
      </c>
      <c r="Y90" s="380">
        <f t="shared" si="36"/>
        <v>11.999886565192439</v>
      </c>
      <c r="Z90" s="380">
        <f t="shared" si="37"/>
        <v>12.261588147240964</v>
      </c>
      <c r="AA90" s="381">
        <f t="shared" si="38"/>
        <v>12.8991276991585</v>
      </c>
      <c r="AB90" s="193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4.9425012821535726E-2</v>
      </c>
      <c r="AD90" s="227">
        <f>(INDEX(Models!$BJ90:$BT90,,AH90)*(1-AF90)+INDEX(Models!$BJ90:$BT90,,AH90+1)*AF90-ERP_i)*AE90*Ramure*Pc/MaxiM</f>
        <v>7.4842985056291933E-5</v>
      </c>
      <c r="AE90" s="301">
        <f t="shared" si="40"/>
        <v>0.5</v>
      </c>
      <c r="AF90" s="173">
        <f t="shared" si="41"/>
        <v>7.8996198093417291E-3</v>
      </c>
      <c r="AG90" s="802">
        <f t="shared" si="49"/>
        <v>2</v>
      </c>
      <c r="AH90" s="172">
        <f t="shared" si="42"/>
        <v>8</v>
      </c>
      <c r="AI90" s="221">
        <f t="shared" si="43"/>
        <v>2.0078996198093417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46099</v>
      </c>
      <c r="B91" s="406">
        <f>'2025'!Wh/'2025'!Env_an*'2026'!Env_an</f>
        <v>14.597333390171746</v>
      </c>
      <c r="C91" s="832"/>
      <c r="D91" s="388">
        <f t="shared" si="25"/>
        <v>14.915886022266637</v>
      </c>
      <c r="E91" s="380">
        <f t="shared" si="47"/>
        <v>15.226453504432104</v>
      </c>
      <c r="F91" s="380">
        <f t="shared" si="26"/>
        <v>15.226503894126147</v>
      </c>
      <c r="G91" s="110">
        <f t="shared" si="48"/>
        <v>0.33326560213091427</v>
      </c>
      <c r="H91" s="409" t="b">
        <f>Wh_hp&gt;='2025'!Maxi_hp</f>
        <v>0</v>
      </c>
      <c r="I91" s="375">
        <f>IF(H91,Wh_hp,'2025'!Maxi_hp)</f>
        <v>15.227507547270084</v>
      </c>
      <c r="J91" s="85">
        <f>IF(H91,An,'2025'!An_max)</f>
        <v>2022</v>
      </c>
      <c r="K91" s="193">
        <f t="shared" si="27"/>
        <v>46099</v>
      </c>
      <c r="L91" s="143">
        <f>IF(t&lt;Tvie,1-EXP((T0-t)*PertePVj)+'2025'!Pspv,1-EXP((T0-t)*PertePVj)+Pspv)</f>
        <v>2.1356601385888241E-2</v>
      </c>
      <c r="M91" s="836"/>
      <c r="N91" s="836"/>
      <c r="O91" s="48">
        <f>IF(t&lt;Tnet,'2025'!Resal+('2025'!Salim-'2025'!Resal)*(1-EXP(('2025'!Tnet-t)/('2025'!Tau_j))),Resal+(Salim-Resal)*(1-EXP((Tnet-t)/(Tau_j))))*Salcycl</f>
        <v>2.0396573770449438E-2</v>
      </c>
      <c r="P91" s="334">
        <f>(INDEX(Models!$BJ91:$BT91,,T91)*(1-R91)+INDEX(Models!$BJ91:$BT91,,T91+1)*R91-ERP_i)*Q91*Ramure*Pc/MaxiM</f>
        <v>6.9591446436174627E-5</v>
      </c>
      <c r="Q91" s="301">
        <f t="shared" si="28"/>
        <v>0.5</v>
      </c>
      <c r="R91" s="173">
        <f t="shared" si="29"/>
        <v>8.5006018879671963E-3</v>
      </c>
      <c r="S91" s="802">
        <f t="shared" si="30"/>
        <v>2</v>
      </c>
      <c r="T91" s="172">
        <f t="shared" si="31"/>
        <v>8</v>
      </c>
      <c r="U91" s="247">
        <f t="shared" si="32"/>
        <v>2.0085006018879672</v>
      </c>
      <c r="V91" s="378">
        <f t="shared" si="33"/>
        <v>43.797997007940744</v>
      </c>
      <c r="W91" s="397">
        <f t="shared" si="34"/>
        <v>14.597333390171746</v>
      </c>
      <c r="X91" s="153">
        <f t="shared" si="35"/>
        <v>46099</v>
      </c>
      <c r="Y91" s="380">
        <f t="shared" si="36"/>
        <v>14.164326521831763</v>
      </c>
      <c r="Z91" s="380">
        <f t="shared" si="37"/>
        <v>14.473429792598937</v>
      </c>
      <c r="AA91" s="381">
        <f t="shared" si="38"/>
        <v>15.226453504432104</v>
      </c>
      <c r="AB91" s="193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4.9454964126346104E-2</v>
      </c>
      <c r="AD91" s="227">
        <f>(INDEX(Models!$BJ91:$BT91,,AH91)*(1-AF91)+INDEX(Models!$BJ91:$BT91,,AH91+1)*AF91-ERP_i)*AE91*Ramure*Pc/MaxiM</f>
        <v>6.9591446436174627E-5</v>
      </c>
      <c r="AE91" s="301">
        <f t="shared" si="40"/>
        <v>0.5</v>
      </c>
      <c r="AF91" s="173">
        <f t="shared" si="41"/>
        <v>8.5006018879671963E-3</v>
      </c>
      <c r="AG91" s="802">
        <f t="shared" si="49"/>
        <v>2</v>
      </c>
      <c r="AH91" s="172">
        <f t="shared" si="42"/>
        <v>8</v>
      </c>
      <c r="AI91" s="221">
        <f t="shared" si="43"/>
        <v>2.0085006018879672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46100</v>
      </c>
      <c r="B92" s="406">
        <f>'2025'!Wh/'2025'!Env_an*'2026'!Env_an</f>
        <v>26.821674903031155</v>
      </c>
      <c r="C92" s="832"/>
      <c r="D92" s="388">
        <f t="shared" si="25"/>
        <v>27.407370358034985</v>
      </c>
      <c r="E92" s="380">
        <f t="shared" si="47"/>
        <v>27.979607781169033</v>
      </c>
      <c r="F92" s="380">
        <f t="shared" si="26"/>
        <v>27.980414981475022</v>
      </c>
      <c r="G92" s="110">
        <f t="shared" si="48"/>
        <v>0.60624293084155567</v>
      </c>
      <c r="H92" s="409" t="b">
        <f>Wh_hp&gt;='2025'!Maxi_hp</f>
        <v>0</v>
      </c>
      <c r="I92" s="375">
        <f>IF(H92,Wh_hp,'2025'!Maxi_hp)</f>
        <v>27.981446472007683</v>
      </c>
      <c r="J92" s="85">
        <f>IF(H92,An,'2025'!An_max)</f>
        <v>2022</v>
      </c>
      <c r="K92" s="193">
        <f t="shared" si="27"/>
        <v>46100</v>
      </c>
      <c r="L92" s="143">
        <f>IF(t&lt;Tvie,1-EXP((T0-t)*PertePVj)+'2025'!Pspv,1-EXP((T0-t)*PertePVj)+Pspv)</f>
        <v>2.1369998192187878E-2</v>
      </c>
      <c r="M92" s="836"/>
      <c r="N92" s="836"/>
      <c r="O92" s="48">
        <f>IF(t&lt;Tnet,'2025'!Resal+('2025'!Salim-'2025'!Resal)*(1-EXP(('2025'!Tnet-t)/('2025'!Tau_j))),Resal+(Salim-Resal)*(1-EXP((Tnet-t)/(Tau_j))))*Salcycl</f>
        <v>2.045194584604507E-2</v>
      </c>
      <c r="P92" s="334">
        <f>(INDEX(Models!$BJ92:$BT92,,T92)*(1-R92)+INDEX(Models!$BJ92:$BT92,,T92+1)*R92-ERP_i)*Q92*Ramure*Pc/MaxiM</f>
        <v>6.5936706011437626E-5</v>
      </c>
      <c r="Q92" s="301">
        <f t="shared" si="28"/>
        <v>0.5</v>
      </c>
      <c r="R92" s="173">
        <f t="shared" si="29"/>
        <v>9.1252175021736548E-3</v>
      </c>
      <c r="S92" s="802">
        <f t="shared" si="30"/>
        <v>2</v>
      </c>
      <c r="T92" s="172">
        <f t="shared" si="31"/>
        <v>8</v>
      </c>
      <c r="U92" s="247">
        <f t="shared" si="32"/>
        <v>2.0091252175021737</v>
      </c>
      <c r="V92" s="378">
        <f t="shared" si="33"/>
        <v>44.240812963046231</v>
      </c>
      <c r="W92" s="397">
        <f t="shared" si="34"/>
        <v>26.821674903031155</v>
      </c>
      <c r="X92" s="153">
        <f t="shared" si="35"/>
        <v>46100</v>
      </c>
      <c r="Y92" s="380">
        <f t="shared" si="36"/>
        <v>26.026698136695323</v>
      </c>
      <c r="Z92" s="380">
        <f t="shared" si="37"/>
        <v>26.595033964436507</v>
      </c>
      <c r="AA92" s="381">
        <f t="shared" si="38"/>
        <v>27.979607781169033</v>
      </c>
      <c r="AB92" s="193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4.9485104564774486E-2</v>
      </c>
      <c r="AD92" s="227">
        <f>(INDEX(Models!$BJ92:$BT92,,AH92)*(1-AF92)+INDEX(Models!$BJ92:$BT92,,AH92+1)*AF92-ERP_i)*AE92*Ramure*Pc/MaxiM</f>
        <v>6.5936706011437626E-5</v>
      </c>
      <c r="AE92" s="301">
        <f t="shared" si="40"/>
        <v>0.5</v>
      </c>
      <c r="AF92" s="173">
        <f t="shared" si="41"/>
        <v>9.1252175021736548E-3</v>
      </c>
      <c r="AG92" s="802">
        <f t="shared" si="49"/>
        <v>2</v>
      </c>
      <c r="AH92" s="172">
        <f t="shared" si="42"/>
        <v>8</v>
      </c>
      <c r="AI92" s="221">
        <f t="shared" si="43"/>
        <v>2.0091252175021737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46101</v>
      </c>
      <c r="B93" s="406">
        <f>'2025'!Wh/'2025'!Env_an*'2026'!Env_an</f>
        <v>32.150587172300106</v>
      </c>
      <c r="C93" s="832"/>
      <c r="D93" s="388">
        <f t="shared" si="25"/>
        <v>32.853097936372599</v>
      </c>
      <c r="E93" s="380">
        <f t="shared" si="47"/>
        <v>33.54093423946582</v>
      </c>
      <c r="F93" s="380">
        <f t="shared" si="26"/>
        <v>33.542217257080395</v>
      </c>
      <c r="G93" s="110">
        <f t="shared" si="48"/>
        <v>0.71947051081070679</v>
      </c>
      <c r="H93" s="409" t="b">
        <f>Wh_hp&gt;='2025'!Maxi_hp</f>
        <v>0</v>
      </c>
      <c r="I93" s="375">
        <f>IF(H93,Wh_hp,'2025'!Maxi_hp)</f>
        <v>33.543069625939346</v>
      </c>
      <c r="J93" s="85">
        <f>IF(H93,An,'2025'!An_max)</f>
        <v>2022</v>
      </c>
      <c r="K93" s="193">
        <f t="shared" si="27"/>
        <v>46101</v>
      </c>
      <c r="L93" s="143">
        <f>IF(t&lt;Tvie,1-EXP((T0-t)*PertePVj)+'2025'!Pspv,1-EXP((T0-t)*PertePVj)+Pspv)</f>
        <v>2.1383394815096657E-2</v>
      </c>
      <c r="M93" s="836"/>
      <c r="N93" s="836"/>
      <c r="O93" s="48">
        <f>IF(t&lt;Tnet,'2025'!Resal+('2025'!Salim-'2025'!Resal)*(1-EXP(('2025'!Tnet-t)/('2025'!Tau_j))),Resal+(Salim-Resal)*(1-EXP((Tnet-t)/(Tau_j))))*Salcycl</f>
        <v>2.0507368643413577E-2</v>
      </c>
      <c r="P93" s="334">
        <f>(INDEX(Models!$BJ93:$BT93,,T93)*(1-R93)+INDEX(Models!$BJ93:$BT93,,T93+1)*R93-ERP_i)*Q93*Ramure*Pc/MaxiM</f>
        <v>6.3829053202214784E-5</v>
      </c>
      <c r="Q93" s="301">
        <f t="shared" si="28"/>
        <v>0.5</v>
      </c>
      <c r="R93" s="173">
        <f t="shared" si="29"/>
        <v>9.7743294847951745E-3</v>
      </c>
      <c r="S93" s="802">
        <f t="shared" si="30"/>
        <v>2</v>
      </c>
      <c r="T93" s="172">
        <f t="shared" si="31"/>
        <v>8</v>
      </c>
      <c r="U93" s="247">
        <f t="shared" si="32"/>
        <v>2.0097743294847952</v>
      </c>
      <c r="V93" s="378">
        <f t="shared" si="33"/>
        <v>44.68531274435086</v>
      </c>
      <c r="W93" s="397">
        <f t="shared" si="34"/>
        <v>32.150587172300106</v>
      </c>
      <c r="X93" s="153">
        <f t="shared" si="35"/>
        <v>46101</v>
      </c>
      <c r="Y93" s="380">
        <f t="shared" si="36"/>
        <v>31.198434079944082</v>
      </c>
      <c r="Z93" s="380">
        <f t="shared" si="37"/>
        <v>31.880139693776542</v>
      </c>
      <c r="AA93" s="381">
        <f t="shared" si="38"/>
        <v>33.54093423946582</v>
      </c>
      <c r="AB93" s="193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4.9515452784708404E-2</v>
      </c>
      <c r="AD93" s="227">
        <f>(INDEX(Models!$BJ93:$BT93,,AH93)*(1-AF93)+INDEX(Models!$BJ93:$BT93,,AH93+1)*AF93-ERP_i)*AE93*Ramure*Pc/MaxiM</f>
        <v>6.3829053202214784E-5</v>
      </c>
      <c r="AE93" s="301">
        <f t="shared" si="40"/>
        <v>0.5</v>
      </c>
      <c r="AF93" s="173">
        <f t="shared" si="41"/>
        <v>9.7743294847951745E-3</v>
      </c>
      <c r="AG93" s="802">
        <f t="shared" si="49"/>
        <v>2</v>
      </c>
      <c r="AH93" s="172">
        <f t="shared" si="42"/>
        <v>8</v>
      </c>
      <c r="AI93" s="221">
        <f t="shared" si="43"/>
        <v>2.0097743294847952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46102</v>
      </c>
      <c r="B94" s="406">
        <f>'2025'!Wh/'2025'!Env_an*'2026'!Env_an</f>
        <v>43.242814370248126</v>
      </c>
      <c r="C94" s="832"/>
      <c r="D94" s="388">
        <f t="shared" si="25"/>
        <v>44.188302249373891</v>
      </c>
      <c r="E94" s="380">
        <f t="shared" si="47"/>
        <v>45.116016151963329</v>
      </c>
      <c r="F94" s="380">
        <f t="shared" si="26"/>
        <v>45.118712051598912</v>
      </c>
      <c r="G94" s="110">
        <f t="shared" si="48"/>
        <v>0.95808086110324797</v>
      </c>
      <c r="H94" s="409" t="b">
        <f>Wh_hp&gt;='2025'!Maxi_hp</f>
        <v>0</v>
      </c>
      <c r="I94" s="375">
        <f>IF(H94,Wh_hp,'2025'!Maxi_hp)</f>
        <v>45.118882566979195</v>
      </c>
      <c r="J94" s="85">
        <f>IF(H94,An,'2025'!An_max)</f>
        <v>2022</v>
      </c>
      <c r="K94" s="193">
        <f t="shared" si="27"/>
        <v>46102</v>
      </c>
      <c r="L94" s="143">
        <f>IF(t&lt;Tvie,1-EXP((T0-t)*PertePVj)+'2025'!Pspv,1-EXP((T0-t)*PertePVj)+Pspv)</f>
        <v>2.1396791254616798E-2</v>
      </c>
      <c r="M94" s="836"/>
      <c r="N94" s="836"/>
      <c r="O94" s="48">
        <f>IF(t&lt;Tnet,'2025'!Resal+('2025'!Salim-'2025'!Resal)*(1-EXP(('2025'!Tnet-t)/('2025'!Tau_j))),Resal+(Salim-Resal)*(1-EXP((Tnet-t)/(Tau_j))))*Salcycl</f>
        <v>2.0562850661827954E-2</v>
      </c>
      <c r="P94" s="334">
        <f>(INDEX(Models!$BJ94:$BT94,,T94)*(1-R94)+INDEX(Models!$BJ94:$BT94,,T94+1)*R94-ERP_i)*Q94*Ramure*Pc/MaxiM</f>
        <v>6.3557001419560502E-5</v>
      </c>
      <c r="Q94" s="301">
        <f t="shared" si="28"/>
        <v>0.5</v>
      </c>
      <c r="R94" s="173">
        <f t="shared" si="29"/>
        <v>1.0448826674495315E-2</v>
      </c>
      <c r="S94" s="802">
        <f t="shared" si="30"/>
        <v>2</v>
      </c>
      <c r="T94" s="172">
        <f t="shared" si="31"/>
        <v>8</v>
      </c>
      <c r="U94" s="247">
        <f t="shared" si="32"/>
        <v>2.0104488266744953</v>
      </c>
      <c r="V94" s="378">
        <f t="shared" si="33"/>
        <v>45.134655690127687</v>
      </c>
      <c r="W94" s="397">
        <f t="shared" si="34"/>
        <v>43.242814370248126</v>
      </c>
      <c r="X94" s="153">
        <f t="shared" si="35"/>
        <v>46102</v>
      </c>
      <c r="Y94" s="380">
        <f t="shared" si="36"/>
        <v>41.96318744623057</v>
      </c>
      <c r="Z94" s="380">
        <f t="shared" si="37"/>
        <v>42.880696763736765</v>
      </c>
      <c r="AA94" s="381">
        <f t="shared" si="38"/>
        <v>45.116016151963329</v>
      </c>
      <c r="AB94" s="193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4.9546027749821406E-2</v>
      </c>
      <c r="AD94" s="227">
        <f>(INDEX(Models!$BJ94:$BT94,,AH94)*(1-AF94)+INDEX(Models!$BJ94:$BT94,,AH94+1)*AF94-ERP_i)*AE94*Ramure*Pc/MaxiM</f>
        <v>6.3557001419560502E-5</v>
      </c>
      <c r="AE94" s="301">
        <f t="shared" si="40"/>
        <v>0.5</v>
      </c>
      <c r="AF94" s="173">
        <f t="shared" si="41"/>
        <v>1.0448826674495315E-2</v>
      </c>
      <c r="AG94" s="802">
        <f t="shared" si="49"/>
        <v>2</v>
      </c>
      <c r="AH94" s="172">
        <f t="shared" si="42"/>
        <v>8</v>
      </c>
      <c r="AI94" s="221">
        <f t="shared" si="43"/>
        <v>2.0104488266744953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46103</v>
      </c>
      <c r="B95" s="406">
        <f>'2025'!Wh/'2025'!Env_an*'2026'!Env_an</f>
        <v>42.205536384649463</v>
      </c>
      <c r="C95" s="832"/>
      <c r="D95" s="388">
        <f t="shared" si="25"/>
        <v>43.128934969485123</v>
      </c>
      <c r="E95" s="380">
        <f t="shared" si="47"/>
        <v>44.036905527512083</v>
      </c>
      <c r="F95" s="380">
        <f t="shared" si="26"/>
        <v>44.03944498546069</v>
      </c>
      <c r="G95" s="110">
        <f t="shared" si="48"/>
        <v>0.92580735633920519</v>
      </c>
      <c r="H95" s="409" t="b">
        <f>Wh_hp&gt;='2025'!Maxi_hp</f>
        <v>0</v>
      </c>
      <c r="I95" s="375">
        <f>IF(H95,Wh_hp,'2025'!Maxi_hp)</f>
        <v>44.0397438016956</v>
      </c>
      <c r="J95" s="85">
        <f>IF(H95,An,'2025'!An_max)</f>
        <v>2022</v>
      </c>
      <c r="K95" s="193">
        <f t="shared" si="27"/>
        <v>46103</v>
      </c>
      <c r="L95" s="143">
        <f>IF(t&lt;Tvie,1-EXP((T0-t)*PertePVj)+'2025'!Pspv,1-EXP((T0-t)*PertePVj)+Pspv)</f>
        <v>2.1410187510750966E-2</v>
      </c>
      <c r="M95" s="836"/>
      <c r="N95" s="836"/>
      <c r="O95" s="48">
        <f>IF(t&lt;Tnet,'2025'!Resal+('2025'!Salim-'2025'!Resal)*(1-EXP(('2025'!Tnet-t)/('2025'!Tau_j))),Resal+(Salim-Resal)*(1-EXP((Tnet-t)/(Tau_j))))*Salcycl</f>
        <v>2.0618400569942474E-2</v>
      </c>
      <c r="P95" s="334">
        <f>(INDEX(Models!$BJ95:$BT95,,T95)*(1-R95)+INDEX(Models!$BJ95:$BT95,,T95+1)*R95-ERP_i)*Q95*Ramure*Pc/MaxiM</f>
        <v>6.4498879890252555E-5</v>
      </c>
      <c r="Q95" s="301">
        <f t="shared" si="28"/>
        <v>0.5</v>
      </c>
      <c r="R95" s="173">
        <f t="shared" si="29"/>
        <v>1.1149624235670341E-2</v>
      </c>
      <c r="S95" s="802">
        <f t="shared" si="30"/>
        <v>2</v>
      </c>
      <c r="T95" s="172">
        <f t="shared" si="31"/>
        <v>8</v>
      </c>
      <c r="U95" s="247">
        <f t="shared" si="32"/>
        <v>2.0111496242356703</v>
      </c>
      <c r="V95" s="378">
        <f t="shared" si="33"/>
        <v>45.587505411361178</v>
      </c>
      <c r="W95" s="397">
        <f t="shared" si="34"/>
        <v>42.205536384649463</v>
      </c>
      <c r="X95" s="153">
        <f t="shared" si="35"/>
        <v>46103</v>
      </c>
      <c r="Y95" s="380">
        <f t="shared" si="36"/>
        <v>40.957599078029986</v>
      </c>
      <c r="Z95" s="380">
        <f t="shared" si="37"/>
        <v>41.853694525846038</v>
      </c>
      <c r="AA95" s="381">
        <f t="shared" si="38"/>
        <v>44.036905527512083</v>
      </c>
      <c r="AB95" s="193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4.9576848679843917E-2</v>
      </c>
      <c r="AD95" s="227">
        <f>(INDEX(Models!$BJ95:$BT95,,AH95)*(1-AF95)+INDEX(Models!$BJ95:$BT95,,AH95+1)*AF95-ERP_i)*AE95*Ramure*Pc/MaxiM</f>
        <v>6.4498879890252555E-5</v>
      </c>
      <c r="AE95" s="301">
        <f t="shared" si="40"/>
        <v>0.5</v>
      </c>
      <c r="AF95" s="173">
        <f t="shared" si="41"/>
        <v>1.1149624235670341E-2</v>
      </c>
      <c r="AG95" s="802">
        <f t="shared" si="49"/>
        <v>2</v>
      </c>
      <c r="AH95" s="172">
        <f t="shared" si="42"/>
        <v>8</v>
      </c>
      <c r="AI95" s="221">
        <f t="shared" si="43"/>
        <v>2.0111496242356703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46104</v>
      </c>
      <c r="B96" s="406">
        <f>'2025'!Wh/'2025'!Env_an*'2026'!Env_an</f>
        <v>45.025588135768821</v>
      </c>
      <c r="C96" s="832"/>
      <c r="D96" s="388">
        <f t="shared" si="25"/>
        <v>46.011315396962509</v>
      </c>
      <c r="E96" s="380">
        <f t="shared" si="47"/>
        <v>46.982635684174952</v>
      </c>
      <c r="F96" s="380">
        <f t="shared" si="26"/>
        <v>46.985667349079293</v>
      </c>
      <c r="G96" s="110">
        <f t="shared" si="48"/>
        <v>0.97791157674992901</v>
      </c>
      <c r="H96" s="409" t="b">
        <f>Wh_hp&gt;='2025'!Maxi_hp</f>
        <v>0</v>
      </c>
      <c r="I96" s="375">
        <f>IF(H96,Wh_hp,'2025'!Maxi_hp)</f>
        <v>46.985765354828146</v>
      </c>
      <c r="J96" s="85">
        <f>IF(H96,An,'2025'!An_max)</f>
        <v>2022</v>
      </c>
      <c r="K96" s="193">
        <f t="shared" si="27"/>
        <v>46104</v>
      </c>
      <c r="L96" s="143">
        <f>IF(t&lt;Tvie,1-EXP((T0-t)*PertePVj)+'2025'!Pspv,1-EXP((T0-t)*PertePVj)+Pspv)</f>
        <v>2.1423583583501715E-2</v>
      </c>
      <c r="M96" s="836"/>
      <c r="N96" s="836"/>
      <c r="O96" s="48">
        <f>IF(t&lt;Tnet,'2025'!Resal+('2025'!Salim-'2025'!Resal)*(1-EXP(('2025'!Tnet-t)/('2025'!Tau_j))),Resal+(Salim-Resal)*(1-EXP((Tnet-t)/(Tau_j))))*Salcycl</f>
        <v>2.067402718191072E-2</v>
      </c>
      <c r="P96" s="334">
        <f>(INDEX(Models!$BJ96:$BT96,,T96)*(1-R96)+INDEX(Models!$BJ96:$BT96,,T96+1)*R96-ERP_i)*Q96*Ramure*Pc/MaxiM</f>
        <v>6.662534472215671E-5</v>
      </c>
      <c r="Q96" s="301">
        <f t="shared" si="28"/>
        <v>0.5</v>
      </c>
      <c r="R96" s="173">
        <f t="shared" si="29"/>
        <v>1.1877663937964744E-2</v>
      </c>
      <c r="S96" s="802">
        <f t="shared" si="30"/>
        <v>2</v>
      </c>
      <c r="T96" s="172">
        <f t="shared" si="31"/>
        <v>8</v>
      </c>
      <c r="U96" s="247">
        <f t="shared" si="32"/>
        <v>2.0118776639379647</v>
      </c>
      <c r="V96" s="378">
        <f t="shared" si="33"/>
        <v>46.042499699535746</v>
      </c>
      <c r="W96" s="397">
        <f t="shared" si="34"/>
        <v>45.025588135768821</v>
      </c>
      <c r="X96" s="153">
        <f t="shared" si="35"/>
        <v>46104</v>
      </c>
      <c r="Y96" s="380">
        <f t="shared" si="36"/>
        <v>43.69531991829389</v>
      </c>
      <c r="Z96" s="380">
        <f t="shared" si="37"/>
        <v>44.651924147430549</v>
      </c>
      <c r="AA96" s="381">
        <f t="shared" si="38"/>
        <v>46.982635684174952</v>
      </c>
      <c r="AB96" s="193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4.9607934991383378E-2</v>
      </c>
      <c r="AD96" s="227">
        <f>(INDEX(Models!$BJ96:$BT96,,AH96)*(1-AF96)+INDEX(Models!$BJ96:$BT96,,AH96+1)*AF96-ERP_i)*AE96*Ramure*Pc/MaxiM</f>
        <v>6.662534472215671E-5</v>
      </c>
      <c r="AE96" s="301">
        <f t="shared" si="40"/>
        <v>0.5</v>
      </c>
      <c r="AF96" s="173">
        <f t="shared" si="41"/>
        <v>1.1877663937964744E-2</v>
      </c>
      <c r="AG96" s="802">
        <f t="shared" si="49"/>
        <v>2</v>
      </c>
      <c r="AH96" s="172">
        <f t="shared" si="42"/>
        <v>8</v>
      </c>
      <c r="AI96" s="221">
        <f t="shared" si="43"/>
        <v>2.0118776639379647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46105</v>
      </c>
      <c r="B97" s="406">
        <f>'2025'!Wh/'2025'!Env_an*'2026'!Env_an</f>
        <v>44.729676675303011</v>
      </c>
      <c r="C97" s="832"/>
      <c r="D97" s="388">
        <f t="shared" si="25"/>
        <v>45.709551390168208</v>
      </c>
      <c r="E97" s="380">
        <f t="shared" si="47"/>
        <v>46.677156685763812</v>
      </c>
      <c r="F97" s="380">
        <f t="shared" si="26"/>
        <v>46.680242722663955</v>
      </c>
      <c r="G97" s="110">
        <f t="shared" si="48"/>
        <v>0.96196052741302229</v>
      </c>
      <c r="H97" s="409" t="b">
        <f>Wh_hp&gt;='2025'!Maxi_hp</f>
        <v>0</v>
      </c>
      <c r="I97" s="375">
        <f>IF(H97,Wh_hp,'2025'!Maxi_hp)</f>
        <v>46.68041860984021</v>
      </c>
      <c r="J97" s="85">
        <f>IF(H97,An,'2025'!An_max)</f>
        <v>2022</v>
      </c>
      <c r="K97" s="193">
        <f t="shared" si="27"/>
        <v>46105</v>
      </c>
      <c r="L97" s="143">
        <f>IF(t&lt;Tvie,1-EXP((T0-t)*PertePVj)+'2025'!Pspv,1-EXP((T0-t)*PertePVj)+Pspv)</f>
        <v>2.1436979472871376E-2</v>
      </c>
      <c r="M97" s="836"/>
      <c r="N97" s="836"/>
      <c r="O97" s="48">
        <f>IF(t&lt;Tnet,'2025'!Resal+('2025'!Salim-'2025'!Resal)*(1-EXP(('2025'!Tnet-t)/('2025'!Tau_j))),Resal+(Salim-Resal)*(1-EXP((Tnet-t)/(Tau_j))))*Salcycl</f>
        <v>2.0729739433565705E-2</v>
      </c>
      <c r="P97" s="334">
        <f>(INDEX(Models!$BJ97:$BT97,,T97)*(1-R97)+INDEX(Models!$BJ97:$BT97,,T97+1)*R97-ERP_i)*Q97*Ramure*Pc/MaxiM</f>
        <v>6.9908753453007202E-5</v>
      </c>
      <c r="Q97" s="301">
        <f t="shared" si="28"/>
        <v>0.5</v>
      </c>
      <c r="R97" s="173">
        <f t="shared" si="29"/>
        <v>1.2633914390524748E-2</v>
      </c>
      <c r="S97" s="802">
        <f t="shared" si="30"/>
        <v>2</v>
      </c>
      <c r="T97" s="172">
        <f t="shared" si="31"/>
        <v>8</v>
      </c>
      <c r="U97" s="247">
        <f t="shared" si="32"/>
        <v>2.0126339143905247</v>
      </c>
      <c r="V97" s="378">
        <f t="shared" si="33"/>
        <v>46.498276673728483</v>
      </c>
      <c r="W97" s="397">
        <f t="shared" si="34"/>
        <v>44.729676675303011</v>
      </c>
      <c r="X97" s="153">
        <f t="shared" si="35"/>
        <v>46105</v>
      </c>
      <c r="Y97" s="380">
        <f t="shared" si="36"/>
        <v>43.409187707006787</v>
      </c>
      <c r="Z97" s="380">
        <f t="shared" si="37"/>
        <v>44.360135010643759</v>
      </c>
      <c r="AA97" s="381">
        <f t="shared" si="38"/>
        <v>46.677156685763812</v>
      </c>
      <c r="AB97" s="193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4.9639306239635021E-2</v>
      </c>
      <c r="AD97" s="227">
        <f>(INDEX(Models!$BJ97:$BT97,,AH97)*(1-AF97)+INDEX(Models!$BJ97:$BT97,,AH97+1)*AF97-ERP_i)*AE97*Ramure*Pc/MaxiM</f>
        <v>6.9908753453007202E-5</v>
      </c>
      <c r="AE97" s="301">
        <f t="shared" si="40"/>
        <v>0.5</v>
      </c>
      <c r="AF97" s="173">
        <f t="shared" si="41"/>
        <v>1.2633914390524748E-2</v>
      </c>
      <c r="AG97" s="802">
        <f t="shared" si="49"/>
        <v>2</v>
      </c>
      <c r="AH97" s="172">
        <f t="shared" si="42"/>
        <v>8</v>
      </c>
      <c r="AI97" s="221">
        <f t="shared" si="43"/>
        <v>2.0126339143905247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46106</v>
      </c>
      <c r="B98" s="406">
        <f>'2025'!Wh/'2025'!Env_an*'2026'!Env_an</f>
        <v>37.259923519635443</v>
      </c>
      <c r="C98" s="832"/>
      <c r="D98" s="388">
        <f t="shared" si="25"/>
        <v>38.076682648001565</v>
      </c>
      <c r="E98" s="380">
        <f t="shared" si="47"/>
        <v>38.884927102958493</v>
      </c>
      <c r="F98" s="380">
        <f t="shared" si="26"/>
        <v>38.88696491053355</v>
      </c>
      <c r="G98" s="110">
        <f t="shared" si="48"/>
        <v>0.79353246827539292</v>
      </c>
      <c r="H98" s="409" t="b">
        <f>Wh_hp&gt;='2025'!Maxi_hp</f>
        <v>0</v>
      </c>
      <c r="I98" s="375">
        <f>IF(H98,Wh_hp,'2025'!Maxi_hp)</f>
        <v>38.887810174833888</v>
      </c>
      <c r="J98" s="85">
        <f>IF(H98,An,'2025'!An_max)</f>
        <v>2022</v>
      </c>
      <c r="K98" s="193">
        <f t="shared" si="27"/>
        <v>46106</v>
      </c>
      <c r="L98" s="143">
        <f>IF(t&lt;Tvie,1-EXP((T0-t)*PertePVj)+'2025'!Pspv,1-EXP((T0-t)*PertePVj)+Pspv)</f>
        <v>2.1450375178862613E-2</v>
      </c>
      <c r="M98" s="836"/>
      <c r="N98" s="836"/>
      <c r="O98" s="48">
        <f>IF(t&lt;Tnet,'2025'!Resal+('2025'!Salim-'2025'!Resal)*(1-EXP(('2025'!Tnet-t)/('2025'!Tau_j))),Resal+(Salim-Resal)*(1-EXP((Tnet-t)/(Tau_j))))*Salcycl</f>
        <v>2.0785546358795485E-2</v>
      </c>
      <c r="P98" s="334">
        <f>(INDEX(Models!$BJ98:$BT98,,T98)*(1-R98)+INDEX(Models!$BJ98:$BT98,,T98+1)*R98-ERP_i)*Q98*Ramure*Pc/MaxiM</f>
        <v>7.4323495650895096E-5</v>
      </c>
      <c r="Q98" s="301">
        <f t="shared" si="28"/>
        <v>0.5</v>
      </c>
      <c r="R98" s="173">
        <f t="shared" si="29"/>
        <v>1.3419371225771748E-2</v>
      </c>
      <c r="S98" s="802">
        <f t="shared" si="30"/>
        <v>2</v>
      </c>
      <c r="T98" s="172">
        <f t="shared" si="31"/>
        <v>8</v>
      </c>
      <c r="U98" s="247">
        <f t="shared" si="32"/>
        <v>2.0134193712257717</v>
      </c>
      <c r="V98" s="378">
        <f t="shared" si="33"/>
        <v>46.953474777392586</v>
      </c>
      <c r="W98" s="397">
        <f t="shared" si="34"/>
        <v>37.259923519635443</v>
      </c>
      <c r="X98" s="153">
        <f t="shared" si="35"/>
        <v>46106</v>
      </c>
      <c r="Y98" s="380">
        <f t="shared" si="36"/>
        <v>36.160808692332829</v>
      </c>
      <c r="Z98" s="380">
        <f t="shared" si="37"/>
        <v>36.953474586373098</v>
      </c>
      <c r="AA98" s="381">
        <f t="shared" si="38"/>
        <v>38.884927102958493</v>
      </c>
      <c r="AB98" s="193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4.9670982061284244E-2</v>
      </c>
      <c r="AD98" s="227">
        <f>(INDEX(Models!$BJ98:$BT98,,AH98)*(1-AF98)+INDEX(Models!$BJ98:$BT98,,AH98+1)*AF98-ERP_i)*AE98*Ramure*Pc/MaxiM</f>
        <v>7.4323495650895096E-5</v>
      </c>
      <c r="AE98" s="301">
        <f t="shared" si="40"/>
        <v>0.5</v>
      </c>
      <c r="AF98" s="173">
        <f t="shared" si="41"/>
        <v>1.3419371225771748E-2</v>
      </c>
      <c r="AG98" s="802">
        <f t="shared" si="49"/>
        <v>2</v>
      </c>
      <c r="AH98" s="172">
        <f t="shared" si="42"/>
        <v>8</v>
      </c>
      <c r="AI98" s="221">
        <f t="shared" si="43"/>
        <v>2.0134193712257717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46107</v>
      </c>
      <c r="B99" s="406">
        <f>'2025'!Wh/'2025'!Env_an*'2026'!Env_an</f>
        <v>40.923938109829798</v>
      </c>
      <c r="C99" s="832"/>
      <c r="D99" s="388">
        <f t="shared" si="25"/>
        <v>41.821587064964078</v>
      </c>
      <c r="E99" s="380">
        <f t="shared" si="47"/>
        <v>42.711762427826734</v>
      </c>
      <c r="F99" s="380">
        <f t="shared" si="26"/>
        <v>42.714506746429507</v>
      </c>
      <c r="G99" s="110">
        <f t="shared" si="48"/>
        <v>0.86323813775473102</v>
      </c>
      <c r="H99" s="409" t="b">
        <f>Wh_hp&gt;='2025'!Maxi_hp</f>
        <v>0</v>
      </c>
      <c r="I99" s="375">
        <f>IF(H99,Wh_hp,'2025'!Maxi_hp)</f>
        <v>42.715167261365842</v>
      </c>
      <c r="J99" s="85">
        <f>IF(H99,An,'2025'!An_max)</f>
        <v>2022</v>
      </c>
      <c r="K99" s="193">
        <f t="shared" si="27"/>
        <v>46107</v>
      </c>
      <c r="L99" s="143">
        <f>IF(t&lt;Tvie,1-EXP((T0-t)*PertePVj)+'2025'!Pspv,1-EXP((T0-t)*PertePVj)+Pspv)</f>
        <v>2.1463770701477869E-2</v>
      </c>
      <c r="M99" s="836"/>
      <c r="N99" s="836"/>
      <c r="O99" s="48">
        <f>IF(t&lt;Tnet,'2025'!Resal+('2025'!Salim-'2025'!Resal)*(1-EXP(('2025'!Tnet-t)/('2025'!Tau_j))),Resal+(Salim-Resal)*(1-EXP((Tnet-t)/(Tau_j))))*Salcycl</f>
        <v>2.084145706623209E-2</v>
      </c>
      <c r="P99" s="334">
        <f>(INDEX(Models!$BJ99:$BT99,,T99)*(1-R99)+INDEX(Models!$BJ99:$BT99,,T99+1)*R99-ERP_i)*Q99*Ramure*Pc/MaxiM</f>
        <v>7.9846289092800433E-5</v>
      </c>
      <c r="Q99" s="301">
        <f t="shared" si="28"/>
        <v>0.5</v>
      </c>
      <c r="R99" s="173">
        <f t="shared" si="29"/>
        <v>1.4235057227175663E-2</v>
      </c>
      <c r="S99" s="802">
        <f t="shared" si="30"/>
        <v>2</v>
      </c>
      <c r="T99" s="172">
        <f t="shared" si="31"/>
        <v>8</v>
      </c>
      <c r="U99" s="247">
        <f t="shared" si="32"/>
        <v>2.0142350572271757</v>
      </c>
      <c r="V99" s="378">
        <f t="shared" si="33"/>
        <v>47.40673278052607</v>
      </c>
      <c r="W99" s="397">
        <f t="shared" si="34"/>
        <v>40.923938109829798</v>
      </c>
      <c r="X99" s="153">
        <f t="shared" si="35"/>
        <v>46107</v>
      </c>
      <c r="Y99" s="380">
        <f t="shared" si="36"/>
        <v>39.71767046958626</v>
      </c>
      <c r="Z99" s="380">
        <f t="shared" si="37"/>
        <v>40.588860463611496</v>
      </c>
      <c r="AA99" s="381">
        <f t="shared" si="38"/>
        <v>42.711762427826734</v>
      </c>
      <c r="AB99" s="193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4.9702982118859269E-2</v>
      </c>
      <c r="AD99" s="227">
        <f>(INDEX(Models!$BJ99:$BT99,,AH99)*(1-AF99)+INDEX(Models!$BJ99:$BT99,,AH99+1)*AF99-ERP_i)*AE99*Ramure*Pc/MaxiM</f>
        <v>7.9846289092800433E-5</v>
      </c>
      <c r="AE99" s="301">
        <f t="shared" si="40"/>
        <v>0.5</v>
      </c>
      <c r="AF99" s="173">
        <f t="shared" si="41"/>
        <v>1.4235057227175663E-2</v>
      </c>
      <c r="AG99" s="802">
        <f t="shared" si="49"/>
        <v>2</v>
      </c>
      <c r="AH99" s="172">
        <f t="shared" si="42"/>
        <v>8</v>
      </c>
      <c r="AI99" s="221">
        <f t="shared" si="43"/>
        <v>2.0142350572271757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46108</v>
      </c>
      <c r="B100" s="406">
        <f>'2025'!Wh/'2025'!Env_an*'2026'!Env_an</f>
        <v>42.825228537762527</v>
      </c>
      <c r="C100" s="832"/>
      <c r="D100" s="388">
        <f t="shared" si="25"/>
        <v>43.76518058805425</v>
      </c>
      <c r="E100" s="380">
        <f t="shared" si="47"/>
        <v>44.699282992423278</v>
      </c>
      <c r="F100" s="380">
        <f t="shared" si="26"/>
        <v>44.702546791118529</v>
      </c>
      <c r="G100" s="110">
        <f t="shared" si="48"/>
        <v>0.89485196138981149</v>
      </c>
      <c r="H100" s="409" t="b">
        <f>Wh_hp&gt;='2025'!Maxi_hp</f>
        <v>0</v>
      </c>
      <c r="I100" s="375">
        <f>IF(H100,Wh_hp,'2025'!Maxi_hp)</f>
        <v>44.703118513444139</v>
      </c>
      <c r="J100" s="85">
        <f>IF(H100,An,'2025'!An_max)</f>
        <v>2022</v>
      </c>
      <c r="K100" s="193">
        <f t="shared" si="27"/>
        <v>46108</v>
      </c>
      <c r="L100" s="143">
        <f>IF(t&lt;Tvie,1-EXP((T0-t)*PertePVj)+'2025'!Pspv,1-EXP((T0-t)*PertePVj)+Pspv)</f>
        <v>2.1477166040719697E-2</v>
      </c>
      <c r="M100" s="836"/>
      <c r="N100" s="836"/>
      <c r="O100" s="48">
        <f>IF(t&lt;Tnet,'2025'!Resal+('2025'!Salim-'2025'!Resal)*(1-EXP(('2025'!Tnet-t)/('2025'!Tau_j))),Resal+(Salim-Resal)*(1-EXP((Tnet-t)/(Tau_j))))*Salcycl</f>
        <v>2.0897480716354187E-2</v>
      </c>
      <c r="P100" s="334">
        <f>(INDEX(Models!$BJ100:$BT100,,T100)*(1-R100)+INDEX(Models!$BJ100:$BT100,,T100+1)*R100-ERP_i)*Q100*Ramure*Pc/MaxiM</f>
        <v>8.5915556794496136E-5</v>
      </c>
      <c r="Q100" s="301">
        <f t="shared" si="28"/>
        <v>0.5</v>
      </c>
      <c r="R100" s="173">
        <f t="shared" si="29"/>
        <v>1.5082022395140005E-2</v>
      </c>
      <c r="S100" s="802">
        <f t="shared" si="30"/>
        <v>2</v>
      </c>
      <c r="T100" s="172">
        <f t="shared" si="31"/>
        <v>8</v>
      </c>
      <c r="U100" s="247">
        <f t="shared" si="32"/>
        <v>2.01508202239514</v>
      </c>
      <c r="V100" s="378">
        <f t="shared" si="33"/>
        <v>47.85671566330776</v>
      </c>
      <c r="W100" s="397">
        <f t="shared" si="34"/>
        <v>42.825228537762527</v>
      </c>
      <c r="X100" s="153">
        <f t="shared" si="35"/>
        <v>46108</v>
      </c>
      <c r="Y100" s="380">
        <f t="shared" si="36"/>
        <v>41.56388226146624</v>
      </c>
      <c r="Z100" s="380">
        <f t="shared" si="37"/>
        <v>42.476149578739268</v>
      </c>
      <c r="AA100" s="381">
        <f t="shared" si="38"/>
        <v>44.699282992423278</v>
      </c>
      <c r="AB100" s="193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4.9735326046747547E-2</v>
      </c>
      <c r="AD100" s="227">
        <f>(INDEX(Models!$BJ100:$BT100,,AH100)*(1-AF100)+INDEX(Models!$BJ100:$BT100,,AH100+1)*AF100-ERP_i)*AE100*Ramure*Pc/MaxiM</f>
        <v>8.5915556794496136E-5</v>
      </c>
      <c r="AE100" s="301">
        <f t="shared" si="40"/>
        <v>0.5</v>
      </c>
      <c r="AF100" s="173">
        <f t="shared" si="41"/>
        <v>1.5082022395140005E-2</v>
      </c>
      <c r="AG100" s="802">
        <f t="shared" si="49"/>
        <v>2</v>
      </c>
      <c r="AH100" s="172">
        <f t="shared" si="42"/>
        <v>8</v>
      </c>
      <c r="AI100" s="221">
        <f t="shared" si="43"/>
        <v>2.01508202239514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46109</v>
      </c>
      <c r="B101" s="406">
        <f>'2025'!Wh/'2025'!Env_an*'2026'!Env_an</f>
        <v>36.787954697238327</v>
      </c>
      <c r="C101" s="832"/>
      <c r="D101" s="388">
        <f t="shared" si="25"/>
        <v>37.59591194360398</v>
      </c>
      <c r="E101" s="380">
        <f t="shared" si="47"/>
        <v>38.400542569977532</v>
      </c>
      <c r="F101" s="380">
        <f t="shared" si="26"/>
        <v>38.402864645055601</v>
      </c>
      <c r="G101" s="110">
        <f t="shared" si="48"/>
        <v>0.7615984278281559</v>
      </c>
      <c r="H101" s="409" t="b">
        <f>Wh_hp&gt;='2025'!Maxi_hp</f>
        <v>0</v>
      </c>
      <c r="I101" s="375">
        <f>IF(H101,Wh_hp,'2025'!Maxi_hp)</f>
        <v>38.404052832194026</v>
      </c>
      <c r="J101" s="85">
        <f>IF(H101,An,'2025'!An_max)</f>
        <v>2022</v>
      </c>
      <c r="K101" s="193">
        <f t="shared" si="27"/>
        <v>46109</v>
      </c>
      <c r="L101" s="143">
        <f>IF(t&lt;Tvie,1-EXP((T0-t)*PertePVj)+'2025'!Pspv,1-EXP((T0-t)*PertePVj)+Pspv)</f>
        <v>2.1490561196590541E-2</v>
      </c>
      <c r="M101" s="836"/>
      <c r="N101" s="836"/>
      <c r="O101" s="48">
        <f>IF(t&lt;Tnet,'2025'!Resal+('2025'!Salim-'2025'!Resal)*(1-EXP(('2025'!Tnet-t)/('2025'!Tau_j))),Resal+(Salim-Resal)*(1-EXP((Tnet-t)/(Tau_j))))*Salcycl</f>
        <v>2.0953626499085796E-2</v>
      </c>
      <c r="P101" s="334">
        <f>(INDEX(Models!$BJ101:$BT101,,T101)*(1-R101)+INDEX(Models!$BJ101:$BT101,,T101+1)*R101-ERP_i)*Q101*Ramure*Pc/MaxiM</f>
        <v>9.1690423712386613E-5</v>
      </c>
      <c r="Q101" s="301">
        <f t="shared" si="28"/>
        <v>0.5</v>
      </c>
      <c r="R101" s="173">
        <f t="shared" si="29"/>
        <v>1.5961343944804085E-2</v>
      </c>
      <c r="S101" s="802">
        <f t="shared" si="30"/>
        <v>2</v>
      </c>
      <c r="T101" s="172">
        <f t="shared" si="31"/>
        <v>8</v>
      </c>
      <c r="U101" s="247">
        <f t="shared" si="32"/>
        <v>2.0159613439448041</v>
      </c>
      <c r="V101" s="378">
        <f t="shared" si="33"/>
        <v>48.30210332385834</v>
      </c>
      <c r="W101" s="397">
        <f t="shared" si="34"/>
        <v>36.787954697238327</v>
      </c>
      <c r="X101" s="153">
        <f t="shared" si="35"/>
        <v>46109</v>
      </c>
      <c r="Y101" s="380">
        <f t="shared" si="36"/>
        <v>35.705244904981043</v>
      </c>
      <c r="Z101" s="380">
        <f t="shared" si="37"/>
        <v>36.489423084813509</v>
      </c>
      <c r="AA101" s="381">
        <f t="shared" si="38"/>
        <v>38.400542569977532</v>
      </c>
      <c r="AB101" s="193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4.9768033399043149E-2</v>
      </c>
      <c r="AD101" s="227">
        <f>(INDEX(Models!$BJ101:$BT101,,AH101)*(1-AF101)+INDEX(Models!$BJ101:$BT101,,AH101+1)*AF101-ERP_i)*AE101*Ramure*Pc/MaxiM</f>
        <v>9.1690423712386613E-5</v>
      </c>
      <c r="AE101" s="301">
        <f t="shared" si="40"/>
        <v>0.5</v>
      </c>
      <c r="AF101" s="173">
        <f t="shared" si="41"/>
        <v>1.5961343944804085E-2</v>
      </c>
      <c r="AG101" s="802">
        <f t="shared" si="49"/>
        <v>2</v>
      </c>
      <c r="AH101" s="172">
        <f t="shared" si="42"/>
        <v>8</v>
      </c>
      <c r="AI101" s="221">
        <f t="shared" si="43"/>
        <v>2.0159613439448041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46110</v>
      </c>
      <c r="B102" s="406">
        <f>'2025'!Wh/'2025'!Env_an*'2026'!Env_an</f>
        <v>28.015057603850359</v>
      </c>
      <c r="C102" s="832"/>
      <c r="D102" s="388">
        <f t="shared" si="25"/>
        <v>28.630731601293643</v>
      </c>
      <c r="E102" s="380">
        <f t="shared" si="47"/>
        <v>29.2451697999049</v>
      </c>
      <c r="F102" s="380">
        <f t="shared" si="26"/>
        <v>29.246285483519344</v>
      </c>
      <c r="G102" s="110">
        <f t="shared" si="48"/>
        <v>0.57473370718557204</v>
      </c>
      <c r="H102" s="409" t="b">
        <f>Wh_hp&gt;='2025'!Maxi_hp</f>
        <v>0</v>
      </c>
      <c r="I102" s="375">
        <f>IF(H102,Wh_hp,'2025'!Maxi_hp)</f>
        <v>29.247996056103595</v>
      </c>
      <c r="J102" s="85">
        <f>IF(H102,An,'2025'!An_max)</f>
        <v>2022</v>
      </c>
      <c r="K102" s="193">
        <f t="shared" si="27"/>
        <v>46110</v>
      </c>
      <c r="L102" s="143">
        <f>IF(t&lt;Tvie,1-EXP((T0-t)*PertePVj)+'2025'!Pspv,1-EXP((T0-t)*PertePVj)+Pspv)</f>
        <v>2.1503956169092953E-2</v>
      </c>
      <c r="M102" s="836"/>
      <c r="N102" s="836"/>
      <c r="O102" s="48">
        <f>IF(t&lt;Tnet,'2025'!Resal+('2025'!Salim-'2025'!Resal)*(1-EXP(('2025'!Tnet-t)/('2025'!Tau_j))),Resal+(Salim-Resal)*(1-EXP((Tnet-t)/(Tau_j))))*Salcycl</f>
        <v>2.1009903611954848E-2</v>
      </c>
      <c r="P102" s="334">
        <f>(INDEX(Models!$BJ102:$BT102,,T102)*(1-R102)+INDEX(Models!$BJ102:$BT102,,T102+1)*R102-ERP_i)*Q102*Ramure*Pc/MaxiM</f>
        <v>9.7185795489181348E-5</v>
      </c>
      <c r="Q102" s="301">
        <f t="shared" si="28"/>
        <v>0.5</v>
      </c>
      <c r="R102" s="173">
        <f t="shared" si="29"/>
        <v>1.6874126229190711E-2</v>
      </c>
      <c r="S102" s="802">
        <f t="shared" si="30"/>
        <v>2</v>
      </c>
      <c r="T102" s="172">
        <f t="shared" si="31"/>
        <v>8</v>
      </c>
      <c r="U102" s="247">
        <f t="shared" si="32"/>
        <v>2.0168741262291907</v>
      </c>
      <c r="V102" s="378">
        <f t="shared" si="33"/>
        <v>48.741535844769345</v>
      </c>
      <c r="W102" s="397">
        <f t="shared" si="34"/>
        <v>28.015057603850359</v>
      </c>
      <c r="X102" s="153">
        <f t="shared" si="35"/>
        <v>46110</v>
      </c>
      <c r="Y102" s="380">
        <f t="shared" si="36"/>
        <v>27.191159906204838</v>
      </c>
      <c r="Z102" s="380">
        <f t="shared" si="37"/>
        <v>27.788727484015986</v>
      </c>
      <c r="AA102" s="381">
        <f t="shared" si="38"/>
        <v>29.2451697999049</v>
      </c>
      <c r="AB102" s="193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4.980112359934559E-2</v>
      </c>
      <c r="AD102" s="227">
        <f>(INDEX(Models!$BJ102:$BT102,,AH102)*(1-AF102)+INDEX(Models!$BJ102:$BT102,,AH102+1)*AF102-ERP_i)*AE102*Ramure*Pc/MaxiM</f>
        <v>9.7185795489181348E-5</v>
      </c>
      <c r="AE102" s="301">
        <f t="shared" si="40"/>
        <v>0.5</v>
      </c>
      <c r="AF102" s="173">
        <f t="shared" si="41"/>
        <v>1.6874126229190711E-2</v>
      </c>
      <c r="AG102" s="802">
        <f t="shared" si="49"/>
        <v>2</v>
      </c>
      <c r="AH102" s="172">
        <f t="shared" si="42"/>
        <v>8</v>
      </c>
      <c r="AI102" s="221">
        <f t="shared" si="43"/>
        <v>2.0168741262291907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46111</v>
      </c>
      <c r="B103" s="406">
        <f>'2025'!Wh/'2025'!Env_an*'2026'!Env_an</f>
        <v>7.8021581010078958</v>
      </c>
      <c r="C103" s="832"/>
      <c r="D103" s="388">
        <f t="shared" si="25"/>
        <v>7.9737316841014607</v>
      </c>
      <c r="E103" s="380">
        <f t="shared" si="47"/>
        <v>8.1453236895397687</v>
      </c>
      <c r="F103" s="380">
        <f t="shared" si="26"/>
        <v>8.1453236895397687</v>
      </c>
      <c r="G103" s="110">
        <f t="shared" si="48"/>
        <v>0.1586491636699375</v>
      </c>
      <c r="H103" s="409" t="b">
        <f>Wh_hp&gt;='2025'!Maxi_hp</f>
        <v>0</v>
      </c>
      <c r="I103" s="375">
        <f>IF(H103,Wh_hp,'2025'!Maxi_hp)</f>
        <v>8.146149983745957</v>
      </c>
      <c r="J103" s="85">
        <f>IF(H103,An,'2025'!An_max)</f>
        <v>2022</v>
      </c>
      <c r="K103" s="193">
        <f t="shared" si="27"/>
        <v>46111</v>
      </c>
      <c r="L103" s="143">
        <f>IF(t&lt;Tvie,1-EXP((T0-t)*PertePVj)+'2025'!Pspv,1-EXP((T0-t)*PertePVj)+Pspv)</f>
        <v>2.1517350958229486E-2</v>
      </c>
      <c r="M103" s="836"/>
      <c r="N103" s="836"/>
      <c r="O103" s="48">
        <f>IF(t&lt;Tnet,'2025'!Resal+('2025'!Salim-'2025'!Resal)*(1-EXP(('2025'!Tnet-t)/('2025'!Tau_j))),Resal+(Salim-Resal)*(1-EXP((Tnet-t)/(Tau_j))))*Salcycl</f>
        <v>2.106632123885583E-2</v>
      </c>
      <c r="P103" s="334">
        <f>(INDEX(Models!$BJ103:$BT103,,T103)*(1-R103)+INDEX(Models!$BJ103:$BT103,,T103+1)*R103-ERP_i)*Q103*Ramure*Pc/MaxiM</f>
        <v>1.0241649924271184E-4</v>
      </c>
      <c r="Q103" s="301">
        <f t="shared" si="28"/>
        <v>0.5</v>
      </c>
      <c r="R103" s="173">
        <f t="shared" si="29"/>
        <v>1.7821500580808891E-2</v>
      </c>
      <c r="S103" s="802">
        <f t="shared" si="30"/>
        <v>2</v>
      </c>
      <c r="T103" s="172">
        <f t="shared" si="31"/>
        <v>8</v>
      </c>
      <c r="U103" s="247">
        <f t="shared" si="32"/>
        <v>2.0178215005808089</v>
      </c>
      <c r="V103" s="378">
        <f t="shared" si="33"/>
        <v>49.173653682278662</v>
      </c>
      <c r="W103" s="397">
        <f t="shared" si="34"/>
        <v>7.8021581010078958</v>
      </c>
      <c r="X103" s="153">
        <f t="shared" si="35"/>
        <v>46111</v>
      </c>
      <c r="Y103" s="380">
        <f t="shared" si="36"/>
        <v>7.5728731269034055</v>
      </c>
      <c r="Z103" s="380">
        <f t="shared" si="37"/>
        <v>7.7394046121507944</v>
      </c>
      <c r="AA103" s="381">
        <f t="shared" si="38"/>
        <v>8.1453236895397687</v>
      </c>
      <c r="AB103" s="193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4.9834615892583339E-2</v>
      </c>
      <c r="AD103" s="227">
        <f>(INDEX(Models!$BJ103:$BT103,,AH103)*(1-AF103)+INDEX(Models!$BJ103:$BT103,,AH103+1)*AF103-ERP_i)*AE103*Ramure*Pc/MaxiM</f>
        <v>1.0241649924271184E-4</v>
      </c>
      <c r="AE103" s="301">
        <f t="shared" si="40"/>
        <v>0.5</v>
      </c>
      <c r="AF103" s="173">
        <f t="shared" si="41"/>
        <v>1.7821500580808891E-2</v>
      </c>
      <c r="AG103" s="802">
        <f t="shared" si="49"/>
        <v>2</v>
      </c>
      <c r="AH103" s="172">
        <f t="shared" si="42"/>
        <v>8</v>
      </c>
      <c r="AI103" s="221">
        <f t="shared" si="43"/>
        <v>2.0178215005808089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46112</v>
      </c>
      <c r="B104" s="406">
        <f>'2025'!Wh/'2025'!Env_an*'2026'!Env_an</f>
        <v>27.248616124454813</v>
      </c>
      <c r="C104" s="832"/>
      <c r="D104" s="388">
        <f t="shared" si="25"/>
        <v>27.848208823036831</v>
      </c>
      <c r="E104" s="380">
        <f t="shared" si="47"/>
        <v>28.449136767740661</v>
      </c>
      <c r="F104" s="380">
        <f t="shared" si="26"/>
        <v>28.450225387327094</v>
      </c>
      <c r="G104" s="110">
        <f t="shared" si="48"/>
        <v>0.54936142531980836</v>
      </c>
      <c r="H104" s="409" t="b">
        <f>Wh_hp&gt;='2025'!Maxi_hp</f>
        <v>0</v>
      </c>
      <c r="I104" s="375">
        <f>IF(H104,Wh_hp,'2025'!Maxi_hp)</f>
        <v>28.452173225194628</v>
      </c>
      <c r="J104" s="85">
        <f>IF(H104,An,'2025'!An_max)</f>
        <v>2022</v>
      </c>
      <c r="K104" s="193">
        <f t="shared" si="27"/>
        <v>46112</v>
      </c>
      <c r="L104" s="143">
        <f>IF(t&lt;Tvie,1-EXP((T0-t)*PertePVj)+'2025'!Pspv,1-EXP((T0-t)*PertePVj)+Pspv)</f>
        <v>2.1530745564002585E-2</v>
      </c>
      <c r="M104" s="836"/>
      <c r="N104" s="836"/>
      <c r="O104" s="48">
        <f>IF(t&lt;Tnet,'2025'!Resal+('2025'!Salim-'2025'!Resal)*(1-EXP(('2025'!Tnet-t)/('2025'!Tau_j))),Resal+(Salim-Resal)*(1-EXP((Tnet-t)/(Tau_j))))*Salcycl</f>
        <v>2.1122888529441813E-2</v>
      </c>
      <c r="P104" s="334">
        <f>(INDEX(Models!$BJ104:$BT104,,T104)*(1-R104)+INDEX(Models!$BJ104:$BT104,,T104+1)*R104-ERP_i)*Q104*Ramure*Pc/MaxiM</f>
        <v>1.0739722339293334E-4</v>
      </c>
      <c r="Q104" s="301">
        <f t="shared" si="28"/>
        <v>0.5</v>
      </c>
      <c r="R104" s="173">
        <f t="shared" si="29"/>
        <v>1.8804625064473335E-2</v>
      </c>
      <c r="S104" s="802">
        <f t="shared" si="30"/>
        <v>2</v>
      </c>
      <c r="T104" s="172">
        <f t="shared" si="31"/>
        <v>8</v>
      </c>
      <c r="U104" s="247">
        <f t="shared" si="32"/>
        <v>2.0188046250644733</v>
      </c>
      <c r="V104" s="378">
        <f t="shared" si="33"/>
        <v>49.597097670261483</v>
      </c>
      <c r="W104" s="397">
        <f t="shared" si="34"/>
        <v>27.248616124454813</v>
      </c>
      <c r="X104" s="153">
        <f t="shared" si="35"/>
        <v>46112</v>
      </c>
      <c r="Y104" s="380">
        <f t="shared" si="36"/>
        <v>26.448435058415356</v>
      </c>
      <c r="Z104" s="380">
        <f t="shared" si="37"/>
        <v>27.030420157310495</v>
      </c>
      <c r="AA104" s="381">
        <f t="shared" si="38"/>
        <v>28.449136767740661</v>
      </c>
      <c r="AB104" s="193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4.9868529298888735E-2</v>
      </c>
      <c r="AD104" s="227">
        <f>(INDEX(Models!$BJ104:$BT104,,AH104)*(1-AF104)+INDEX(Models!$BJ104:$BT104,,AH104+1)*AF104-ERP_i)*AE104*Ramure*Pc/MaxiM</f>
        <v>1.0739722339293334E-4</v>
      </c>
      <c r="AE104" s="301">
        <f t="shared" si="40"/>
        <v>0.5</v>
      </c>
      <c r="AF104" s="173">
        <f t="shared" si="41"/>
        <v>1.8804625064473335E-2</v>
      </c>
      <c r="AG104" s="802">
        <f t="shared" si="49"/>
        <v>2</v>
      </c>
      <c r="AH104" s="172">
        <f t="shared" si="42"/>
        <v>8</v>
      </c>
      <c r="AI104" s="221">
        <f t="shared" si="43"/>
        <v>2.0188046250644733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46113</v>
      </c>
      <c r="B105" s="406">
        <f>'2025'!Wh/'2025'!Env_an*'2026'!Env_an</f>
        <v>29.970796328609381</v>
      </c>
      <c r="C105" s="832"/>
      <c r="D105" s="388">
        <f t="shared" si="25"/>
        <v>30.630708602627465</v>
      </c>
      <c r="E105" s="380">
        <f t="shared" si="47"/>
        <v>31.293492717213546</v>
      </c>
      <c r="F105" s="380">
        <f t="shared" si="26"/>
        <v>31.294993227899365</v>
      </c>
      <c r="G105" s="110">
        <f t="shared" si="48"/>
        <v>0.59925149415305135</v>
      </c>
      <c r="H105" s="409" t="b">
        <f>Wh_hp&gt;='2025'!Maxi_hp</f>
        <v>0</v>
      </c>
      <c r="I105" s="375">
        <f>IF(H105,Wh_hp,'2025'!Maxi_hp)</f>
        <v>31.296982474541696</v>
      </c>
      <c r="J105" s="85">
        <f>IF(H105,An,'2025'!An_max)</f>
        <v>2022</v>
      </c>
      <c r="K105" s="193">
        <f t="shared" si="27"/>
        <v>46113</v>
      </c>
      <c r="L105" s="143">
        <f>IF(t&lt;Tvie,1-EXP((T0-t)*PertePVj)+'2025'!Pspv,1-EXP((T0-t)*PertePVj)+Pspv)</f>
        <v>2.154413998641469E-2</v>
      </c>
      <c r="M105" s="836"/>
      <c r="N105" s="836"/>
      <c r="O105" s="48">
        <f>IF(t&lt;Tnet,'2025'!Resal+('2025'!Salim-'2025'!Resal)*(1-EXP(('2025'!Tnet-t)/('2025'!Tau_j))),Resal+(Salim-Resal)*(1-EXP((Tnet-t)/(Tau_j))))*Salcycl</f>
        <v>2.1179614579151917E-2</v>
      </c>
      <c r="P105" s="334">
        <f>(INDEX(Models!$BJ105:$BT105,,T105)*(1-R105)+INDEX(Models!$BJ105:$BT105,,T105+1)*R105-ERP_i)*Q105*Ramure*Pc/MaxiM</f>
        <v>1.1214246848255581E-4</v>
      </c>
      <c r="Q105" s="301">
        <f t="shared" si="28"/>
        <v>0.5</v>
      </c>
      <c r="R105" s="173">
        <f t="shared" si="29"/>
        <v>1.9824684133758375E-2</v>
      </c>
      <c r="S105" s="802">
        <f t="shared" si="30"/>
        <v>2</v>
      </c>
      <c r="T105" s="172">
        <f t="shared" si="31"/>
        <v>8</v>
      </c>
      <c r="U105" s="247">
        <f t="shared" si="32"/>
        <v>2.0198246841337584</v>
      </c>
      <c r="V105" s="378">
        <f t="shared" si="33"/>
        <v>50.01050902449213</v>
      </c>
      <c r="W105" s="397">
        <f t="shared" si="34"/>
        <v>29.970796328609381</v>
      </c>
      <c r="X105" s="153">
        <f t="shared" si="35"/>
        <v>46113</v>
      </c>
      <c r="Y105" s="380">
        <f t="shared" si="36"/>
        <v>29.091309930846172</v>
      </c>
      <c r="Z105" s="380">
        <f t="shared" si="37"/>
        <v>29.731857224956734</v>
      </c>
      <c r="AA105" s="381">
        <f t="shared" si="38"/>
        <v>31.293492717213546</v>
      </c>
      <c r="AB105" s="193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4.9902882569506445E-2</v>
      </c>
      <c r="AD105" s="227">
        <f>(INDEX(Models!$BJ105:$BT105,,AH105)*(1-AF105)+INDEX(Models!$BJ105:$BT105,,AH105+1)*AF105-ERP_i)*AE105*Ramure*Pc/MaxiM</f>
        <v>1.1214246848255581E-4</v>
      </c>
      <c r="AE105" s="301">
        <f t="shared" si="40"/>
        <v>0.5</v>
      </c>
      <c r="AF105" s="173">
        <f t="shared" si="41"/>
        <v>1.9824684133758375E-2</v>
      </c>
      <c r="AG105" s="802">
        <f t="shared" si="49"/>
        <v>2</v>
      </c>
      <c r="AH105" s="172">
        <f t="shared" si="42"/>
        <v>8</v>
      </c>
      <c r="AI105" s="221">
        <f t="shared" si="43"/>
        <v>2.0198246841337584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46114</v>
      </c>
      <c r="B106" s="406">
        <f>'2025'!Wh/'2025'!Env_an*'2026'!Env_an</f>
        <v>20.424293314430052</v>
      </c>
      <c r="C106" s="832"/>
      <c r="D106" s="388">
        <f t="shared" si="25"/>
        <v>20.874291569369134</v>
      </c>
      <c r="E106" s="380">
        <f t="shared" si="47"/>
        <v>21.327206979753537</v>
      </c>
      <c r="F106" s="380">
        <f t="shared" si="26"/>
        <v>21.327580720916121</v>
      </c>
      <c r="G106" s="110">
        <f t="shared" si="48"/>
        <v>0.40510302942448989</v>
      </c>
      <c r="H106" s="409" t="b">
        <f>Wh_hp&gt;='2025'!Maxi_hp</f>
        <v>0</v>
      </c>
      <c r="I106" s="375">
        <f>IF(H106,Wh_hp,'2025'!Maxi_hp)</f>
        <v>21.329674123347726</v>
      </c>
      <c r="J106" s="85">
        <f>IF(H106,An,'2025'!An_max)</f>
        <v>2022</v>
      </c>
      <c r="K106" s="193">
        <f t="shared" si="27"/>
        <v>46114</v>
      </c>
      <c r="L106" s="143">
        <f>IF(t&lt;Tvie,1-EXP((T0-t)*PertePVj)+'2025'!Pspv,1-EXP((T0-t)*PertePVj)+Pspv)</f>
        <v>2.1557534225468467E-2</v>
      </c>
      <c r="M106" s="836"/>
      <c r="N106" s="836"/>
      <c r="O106" s="48">
        <f>IF(t&lt;Tnet,'2025'!Resal+('2025'!Salim-'2025'!Resal)*(1-EXP(('2025'!Tnet-t)/('2025'!Tau_j))),Resal+(Salim-Resal)*(1-EXP((Tnet-t)/(Tau_j))))*Salcycl</f>
        <v>2.1236508409862003E-2</v>
      </c>
      <c r="P106" s="334">
        <f>(INDEX(Models!$BJ106:$BT106,,T106)*(1-R106)+INDEX(Models!$BJ106:$BT106,,T106+1)*R106-ERP_i)*Q106*Ramure*Pc/MaxiM</f>
        <v>1.166665080899176E-4</v>
      </c>
      <c r="Q106" s="301">
        <f t="shared" si="28"/>
        <v>0.5</v>
      </c>
      <c r="R106" s="173">
        <f t="shared" si="29"/>
        <v>2.0882888183197945E-2</v>
      </c>
      <c r="S106" s="802">
        <f t="shared" si="30"/>
        <v>2</v>
      </c>
      <c r="T106" s="172">
        <f t="shared" si="31"/>
        <v>8</v>
      </c>
      <c r="U106" s="247">
        <f t="shared" si="32"/>
        <v>2.0208828881831979</v>
      </c>
      <c r="V106" s="378">
        <f t="shared" si="33"/>
        <v>50.412529348578929</v>
      </c>
      <c r="W106" s="397">
        <f t="shared" si="34"/>
        <v>20.424293314430052</v>
      </c>
      <c r="X106" s="153">
        <f t="shared" si="35"/>
        <v>46114</v>
      </c>
      <c r="Y106" s="380">
        <f t="shared" si="36"/>
        <v>19.825372900094429</v>
      </c>
      <c r="Z106" s="380">
        <f t="shared" si="37"/>
        <v>20.26217544063844</v>
      </c>
      <c r="AA106" s="381">
        <f t="shared" si="38"/>
        <v>21.327206979753537</v>
      </c>
      <c r="AB106" s="193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4.9937694144674298E-2</v>
      </c>
      <c r="AD106" s="227">
        <f>(INDEX(Models!$BJ106:$BT106,,AH106)*(1-AF106)+INDEX(Models!$BJ106:$BT106,,AH106+1)*AF106-ERP_i)*AE106*Ramure*Pc/MaxiM</f>
        <v>1.166665080899176E-4</v>
      </c>
      <c r="AE106" s="301">
        <f t="shared" si="40"/>
        <v>0.5</v>
      </c>
      <c r="AF106" s="173">
        <f t="shared" si="41"/>
        <v>2.0882888183197945E-2</v>
      </c>
      <c r="AG106" s="802">
        <f t="shared" si="49"/>
        <v>2</v>
      </c>
      <c r="AH106" s="172">
        <f t="shared" si="42"/>
        <v>8</v>
      </c>
      <c r="AI106" s="221">
        <f t="shared" si="43"/>
        <v>2.0208828881831979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46115</v>
      </c>
      <c r="B107" s="406">
        <f>'2025'!Wh/'2025'!Env_an*'2026'!Env_an</f>
        <v>27.884959820632517</v>
      </c>
      <c r="C107" s="832"/>
      <c r="D107" s="388">
        <f t="shared" si="25"/>
        <v>28.499725352238595</v>
      </c>
      <c r="E107" s="380">
        <f t="shared" si="47"/>
        <v>29.119789897460436</v>
      </c>
      <c r="F107" s="380">
        <f t="shared" si="26"/>
        <v>29.121042295971868</v>
      </c>
      <c r="G107" s="110">
        <f t="shared" si="48"/>
        <v>0.54881021342963088</v>
      </c>
      <c r="H107" s="409" t="b">
        <f>Wh_hp&gt;='2025'!Maxi_hp</f>
        <v>0</v>
      </c>
      <c r="I107" s="375">
        <f>IF(H107,Wh_hp,'2025'!Maxi_hp)</f>
        <v>29.123289882556353</v>
      </c>
      <c r="J107" s="85">
        <f>IF(H107,An,'2025'!An_max)</f>
        <v>2022</v>
      </c>
      <c r="K107" s="193">
        <f t="shared" si="27"/>
        <v>46115</v>
      </c>
      <c r="L107" s="143">
        <f>IF(t&lt;Tvie,1-EXP((T0-t)*PertePVj)+'2025'!Pspv,1-EXP((T0-t)*PertePVj)+Pspv)</f>
        <v>2.1570928281166357E-2</v>
      </c>
      <c r="M107" s="836"/>
      <c r="N107" s="836"/>
      <c r="O107" s="48">
        <f>IF(t&lt;Tnet,'2025'!Resal+('2025'!Salim-'2025'!Resal)*(1-EXP(('2025'!Tnet-t)/('2025'!Tau_j))),Resal+(Salim-Resal)*(1-EXP((Tnet-t)/(Tau_j))))*Salcycl</f>
        <v>2.1293578951128309E-2</v>
      </c>
      <c r="P107" s="334">
        <f>(INDEX(Models!$BJ107:$BT107,,T107)*(1-R107)+INDEX(Models!$BJ107:$BT107,,T107+1)*R107-ERP_i)*Q107*Ramure*Pc/MaxiM</f>
        <v>1.2097364700339104E-4</v>
      </c>
      <c r="Q107" s="301">
        <f t="shared" si="28"/>
        <v>0.5</v>
      </c>
      <c r="R107" s="173">
        <f t="shared" si="29"/>
        <v>2.1980472988011535E-2</v>
      </c>
      <c r="S107" s="802">
        <f t="shared" si="30"/>
        <v>2</v>
      </c>
      <c r="T107" s="172">
        <f t="shared" si="31"/>
        <v>8</v>
      </c>
      <c r="U107" s="247">
        <f t="shared" si="32"/>
        <v>2.0219804729880115</v>
      </c>
      <c r="V107" s="378">
        <f t="shared" si="33"/>
        <v>50.805879588755168</v>
      </c>
      <c r="W107" s="397">
        <f t="shared" si="34"/>
        <v>27.884959820632517</v>
      </c>
      <c r="X107" s="153">
        <f t="shared" si="35"/>
        <v>46115</v>
      </c>
      <c r="Y107" s="380">
        <f t="shared" si="36"/>
        <v>27.067836332261088</v>
      </c>
      <c r="Z107" s="380">
        <f t="shared" si="37"/>
        <v>27.664587157769407</v>
      </c>
      <c r="AA107" s="381">
        <f t="shared" si="38"/>
        <v>29.119789897460436</v>
      </c>
      <c r="AB107" s="193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4.9972982113374961E-2</v>
      </c>
      <c r="AD107" s="227">
        <f>(INDEX(Models!$BJ107:$BT107,,AH107)*(1-AF107)+INDEX(Models!$BJ107:$BT107,,AH107+1)*AF107-ERP_i)*AE107*Ramure*Pc/MaxiM</f>
        <v>1.2097364700339104E-4</v>
      </c>
      <c r="AE107" s="301">
        <f t="shared" si="40"/>
        <v>0.5</v>
      </c>
      <c r="AF107" s="173">
        <f t="shared" si="41"/>
        <v>2.1980472988011535E-2</v>
      </c>
      <c r="AG107" s="802">
        <f t="shared" si="49"/>
        <v>2</v>
      </c>
      <c r="AH107" s="172">
        <f t="shared" si="42"/>
        <v>8</v>
      </c>
      <c r="AI107" s="221">
        <f t="shared" si="43"/>
        <v>2.0219804729880115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46116</v>
      </c>
      <c r="B108" s="406">
        <f>'2025'!Wh/'2025'!Env_an*'2026'!Env_an</f>
        <v>43.304870789190474</v>
      </c>
      <c r="C108" s="832"/>
      <c r="D108" s="388">
        <f t="shared" si="25"/>
        <v>44.260197142900751</v>
      </c>
      <c r="E108" s="380">
        <f t="shared" si="47"/>
        <v>45.225805862609306</v>
      </c>
      <c r="F108" s="380">
        <f t="shared" si="26"/>
        <v>45.230192433239012</v>
      </c>
      <c r="G108" s="110">
        <f t="shared" si="48"/>
        <v>0.8458740074574651</v>
      </c>
      <c r="H108" s="409" t="b">
        <f>Wh_hp&gt;='2025'!Maxi_hp</f>
        <v>0</v>
      </c>
      <c r="I108" s="375">
        <f>IF(H108,Wh_hp,'2025'!Maxi_hp)</f>
        <v>45.231418078824802</v>
      </c>
      <c r="J108" s="85">
        <f>IF(H108,An,'2025'!An_max)</f>
        <v>2022</v>
      </c>
      <c r="K108" s="193">
        <f t="shared" si="27"/>
        <v>46116</v>
      </c>
      <c r="L108" s="143">
        <f>IF(t&lt;Tvie,1-EXP((T0-t)*PertePVj)+'2025'!Pspv,1-EXP((T0-t)*PertePVj)+Pspv)</f>
        <v>2.1584322153510915E-2</v>
      </c>
      <c r="M108" s="836"/>
      <c r="N108" s="836"/>
      <c r="O108" s="48">
        <f>IF(t&lt;Tnet,'2025'!Resal+('2025'!Salim-'2025'!Resal)*(1-EXP(('2025'!Tnet-t)/('2025'!Tau_j))),Resal+(Salim-Resal)*(1-EXP((Tnet-t)/(Tau_j))))*Salcycl</f>
        <v>2.135083502197754E-2</v>
      </c>
      <c r="P108" s="334">
        <f>(INDEX(Models!$BJ108:$BT108,,T108)*(1-R108)+INDEX(Models!$BJ108:$BT108,,T108+1)*R108-ERP_i)*Q108*Ramure*Pc/MaxiM</f>
        <v>1.2436090946469291E-4</v>
      </c>
      <c r="Q108" s="301">
        <f t="shared" si="28"/>
        <v>0.5</v>
      </c>
      <c r="R108" s="173">
        <f t="shared" si="29"/>
        <v>2.3118699022864231E-2</v>
      </c>
      <c r="S108" s="802">
        <f t="shared" si="30"/>
        <v>2</v>
      </c>
      <c r="T108" s="172">
        <f t="shared" si="31"/>
        <v>8</v>
      </c>
      <c r="U108" s="247">
        <f t="shared" si="32"/>
        <v>2.0231186990228642</v>
      </c>
      <c r="V108" s="378">
        <f t="shared" si="33"/>
        <v>51.194013181634439</v>
      </c>
      <c r="W108" s="397">
        <f t="shared" si="34"/>
        <v>43.304870789190474</v>
      </c>
      <c r="X108" s="153">
        <f t="shared" si="35"/>
        <v>46116</v>
      </c>
      <c r="Y108" s="380">
        <f t="shared" si="36"/>
        <v>42.036767812698912</v>
      </c>
      <c r="Z108" s="380">
        <f t="shared" si="37"/>
        <v>42.964119202609886</v>
      </c>
      <c r="AA108" s="381">
        <f t="shared" si="38"/>
        <v>45.225805862609306</v>
      </c>
      <c r="AB108" s="193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5.0008764174820003E-2</v>
      </c>
      <c r="AD108" s="227">
        <f>(INDEX(Models!$BJ108:$BT108,,AH108)*(1-AF108)+INDEX(Models!$BJ108:$BT108,,AH108+1)*AF108-ERP_i)*AE108*Ramure*Pc/MaxiM</f>
        <v>1.2436090946469291E-4</v>
      </c>
      <c r="AE108" s="301">
        <f t="shared" si="40"/>
        <v>0.5</v>
      </c>
      <c r="AF108" s="173">
        <f t="shared" si="41"/>
        <v>2.3118699022864231E-2</v>
      </c>
      <c r="AG108" s="802">
        <f t="shared" si="49"/>
        <v>2</v>
      </c>
      <c r="AH108" s="172">
        <f t="shared" si="42"/>
        <v>8</v>
      </c>
      <c r="AI108" s="221">
        <f t="shared" si="43"/>
        <v>2.0231186990228642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46117</v>
      </c>
      <c r="B109" s="406">
        <f>'2025'!Wh/'2025'!Env_an*'2026'!Env_an</f>
        <v>51.825802409529238</v>
      </c>
      <c r="C109" s="832"/>
      <c r="D109" s="388">
        <f t="shared" si="25"/>
        <v>52.969829740490191</v>
      </c>
      <c r="E109" s="380">
        <f t="shared" si="47"/>
        <v>54.128630914724489</v>
      </c>
      <c r="F109" s="380">
        <f t="shared" si="26"/>
        <v>54.135481479246046</v>
      </c>
      <c r="G109" s="110">
        <f t="shared" si="48"/>
        <v>1.0048310592931584</v>
      </c>
      <c r="H109" s="409" t="b">
        <f>Wh_hp&gt;='2025'!Maxi_hp</f>
        <v>0</v>
      </c>
      <c r="I109" s="375">
        <f>IF(H109,Wh_hp,'2025'!Maxi_hp)</f>
        <v>54.135481479246067</v>
      </c>
      <c r="J109" s="85">
        <f>IF(H109,An,'2025'!An_max)</f>
        <v>2025</v>
      </c>
      <c r="K109" s="193">
        <f t="shared" si="27"/>
        <v>46117</v>
      </c>
      <c r="L109" s="143">
        <f>IF(t&lt;Tvie,1-EXP((T0-t)*PertePVj)+'2025'!Pspv,1-EXP((T0-t)*PertePVj)+Pspv)</f>
        <v>2.1597715842504583E-2</v>
      </c>
      <c r="M109" s="836"/>
      <c r="N109" s="836"/>
      <c r="O109" s="48">
        <f>IF(t&lt;Tnet,'2025'!Resal+('2025'!Salim-'2025'!Resal)*(1-EXP(('2025'!Tnet-t)/('2025'!Tau_j))),Resal+(Salim-Resal)*(1-EXP((Tnet-t)/(Tau_j))))*Salcycl</f>
        <v>2.1408285313181178E-2</v>
      </c>
      <c r="P109" s="334">
        <f>(INDEX(Models!$BJ109:$BT109,,T109)*(1-R109)+INDEX(Models!$BJ109:$BT109,,T109+1)*R109-ERP_i)*Q109*Ramure*Pc/MaxiM</f>
        <v>1.2654481560644756E-4</v>
      </c>
      <c r="Q109" s="301">
        <f t="shared" si="28"/>
        <v>0.5</v>
      </c>
      <c r="R109" s="173">
        <f t="shared" si="29"/>
        <v>2.4298850650882997E-2</v>
      </c>
      <c r="S109" s="802">
        <f t="shared" si="30"/>
        <v>2</v>
      </c>
      <c r="T109" s="172">
        <f t="shared" si="31"/>
        <v>8</v>
      </c>
      <c r="U109" s="247">
        <f t="shared" si="32"/>
        <v>2.024298850650883</v>
      </c>
      <c r="V109" s="378">
        <f t="shared" si="33"/>
        <v>51.576632639108247</v>
      </c>
      <c r="W109" s="397">
        <f t="shared" si="34"/>
        <v>51.825802409529238</v>
      </c>
      <c r="X109" s="153">
        <f t="shared" si="35"/>
        <v>46117</v>
      </c>
      <c r="Y109" s="380">
        <f t="shared" si="36"/>
        <v>50.309211087543872</v>
      </c>
      <c r="Z109" s="380">
        <f t="shared" si="37"/>
        <v>51.419760462707075</v>
      </c>
      <c r="AA109" s="381">
        <f t="shared" si="38"/>
        <v>54.128630914724489</v>
      </c>
      <c r="AB109" s="193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5.0045057601494386E-2</v>
      </c>
      <c r="AD109" s="227">
        <f>(INDEX(Models!$BJ109:$BT109,,AH109)*(1-AF109)+INDEX(Models!$BJ109:$BT109,,AH109+1)*AF109-ERP_i)*AE109*Ramure*Pc/MaxiM</f>
        <v>1.2654481560644756E-4</v>
      </c>
      <c r="AE109" s="301">
        <f t="shared" si="40"/>
        <v>0.5</v>
      </c>
      <c r="AF109" s="173">
        <f t="shared" si="41"/>
        <v>2.4298850650882997E-2</v>
      </c>
      <c r="AG109" s="802">
        <f t="shared" si="49"/>
        <v>2</v>
      </c>
      <c r="AH109" s="172">
        <f t="shared" si="42"/>
        <v>8</v>
      </c>
      <c r="AI109" s="221">
        <f t="shared" si="43"/>
        <v>2.024298850650883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46118</v>
      </c>
      <c r="B110" s="406">
        <f>'2025'!Wh/'2025'!Env_an*'2026'!Env_an</f>
        <v>12.641688128219267</v>
      </c>
      <c r="C110" s="832"/>
      <c r="D110" s="388">
        <f t="shared" si="25"/>
        <v>12.920923621482212</v>
      </c>
      <c r="E110" s="380">
        <f t="shared" si="47"/>
        <v>13.204367766164706</v>
      </c>
      <c r="F110" s="380">
        <f t="shared" si="26"/>
        <v>13.204367766164706</v>
      </c>
      <c r="G110" s="110">
        <f t="shared" si="48"/>
        <v>0.24329629260091878</v>
      </c>
      <c r="H110" s="409" t="b">
        <f>Wh_hp&gt;='2025'!Maxi_hp</f>
        <v>0</v>
      </c>
      <c r="I110" s="375">
        <f>IF(H110,Wh_hp,'2025'!Maxi_hp)</f>
        <v>13.206034136650299</v>
      </c>
      <c r="J110" s="85">
        <f>IF(H110,An,'2025'!An_max)</f>
        <v>2022</v>
      </c>
      <c r="K110" s="193">
        <f t="shared" si="27"/>
        <v>46118</v>
      </c>
      <c r="L110" s="143">
        <f>IF(t&lt;Tvie,1-EXP((T0-t)*PertePVj)+'2025'!Pspv,1-EXP((T0-t)*PertePVj)+Pspv)</f>
        <v>2.1611109348149915E-2</v>
      </c>
      <c r="M110" s="836"/>
      <c r="N110" s="836"/>
      <c r="O110" s="48">
        <f>IF(t&lt;Tnet,'2025'!Resal+('2025'!Salim-'2025'!Resal)*(1-EXP(('2025'!Tnet-t)/('2025'!Tau_j))),Resal+(Salim-Resal)*(1-EXP((Tnet-t)/(Tau_j))))*Salcycl</f>
        <v>2.14659383699385E-2</v>
      </c>
      <c r="P110" s="334">
        <f>(INDEX(Models!$BJ110:$BT110,,T110)*(1-R110)+INDEX(Models!$BJ110:$BT110,,T110+1)*R110-ERP_i)*Q110*Ramure*Pc/MaxiM</f>
        <v>1.2754552432778116E-4</v>
      </c>
      <c r="Q110" s="301">
        <f t="shared" si="28"/>
        <v>0.5</v>
      </c>
      <c r="R110" s="173">
        <f t="shared" si="29"/>
        <v>2.5522235173923047E-2</v>
      </c>
      <c r="S110" s="802">
        <f t="shared" si="30"/>
        <v>2</v>
      </c>
      <c r="T110" s="172">
        <f t="shared" si="31"/>
        <v>8</v>
      </c>
      <c r="U110" s="247">
        <f t="shared" si="32"/>
        <v>2.025522235173923</v>
      </c>
      <c r="V110" s="378">
        <f t="shared" si="33"/>
        <v>51.953425193421261</v>
      </c>
      <c r="W110" s="397">
        <f t="shared" si="34"/>
        <v>12.641688128219267</v>
      </c>
      <c r="X110" s="153">
        <f t="shared" si="35"/>
        <v>46118</v>
      </c>
      <c r="Y110" s="380">
        <f t="shared" si="36"/>
        <v>12.271998595990203</v>
      </c>
      <c r="Z110" s="380">
        <f t="shared" si="37"/>
        <v>12.543068214740257</v>
      </c>
      <c r="AA110" s="381">
        <f t="shared" si="38"/>
        <v>13.204367766164706</v>
      </c>
      <c r="AB110" s="193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5.0081879203560387E-2</v>
      </c>
      <c r="AD110" s="227">
        <f>(INDEX(Models!$BJ110:$BT110,,AH110)*(1-AF110)+INDEX(Models!$BJ110:$BT110,,AH110+1)*AF110-ERP_i)*AE110*Ramure*Pc/MaxiM</f>
        <v>1.2754552432778116E-4</v>
      </c>
      <c r="AE110" s="301">
        <f t="shared" si="40"/>
        <v>0.5</v>
      </c>
      <c r="AF110" s="173">
        <f t="shared" si="41"/>
        <v>2.5522235173923047E-2</v>
      </c>
      <c r="AG110" s="802">
        <f t="shared" si="49"/>
        <v>2</v>
      </c>
      <c r="AH110" s="172">
        <f t="shared" si="42"/>
        <v>8</v>
      </c>
      <c r="AI110" s="221">
        <f t="shared" si="43"/>
        <v>2.025522235173923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46119</v>
      </c>
      <c r="B111" s="406">
        <f>'2025'!Wh/'2025'!Env_an*'2026'!Env_an</f>
        <v>42.849858571467308</v>
      </c>
      <c r="C111" s="832"/>
      <c r="D111" s="388">
        <f t="shared" si="25"/>
        <v>43.796945741614373</v>
      </c>
      <c r="E111" s="380">
        <f t="shared" si="47"/>
        <v>44.760358869093544</v>
      </c>
      <c r="F111" s="380">
        <f t="shared" si="26"/>
        <v>44.764586048106125</v>
      </c>
      <c r="G111" s="110">
        <f t="shared" si="48"/>
        <v>0.81890494813048098</v>
      </c>
      <c r="H111" s="409" t="b">
        <f>Wh_hp&gt;='2025'!Maxi_hp</f>
        <v>0</v>
      </c>
      <c r="I111" s="375">
        <f>IF(H111,Wh_hp,'2025'!Maxi_hp)</f>
        <v>44.766045147251283</v>
      </c>
      <c r="J111" s="85">
        <f>IF(H111,An,'2025'!An_max)</f>
        <v>2022</v>
      </c>
      <c r="K111" s="193">
        <f t="shared" si="27"/>
        <v>46119</v>
      </c>
      <c r="L111" s="143">
        <f>IF(t&lt;Tvie,1-EXP((T0-t)*PertePVj)+'2025'!Pspv,1-EXP((T0-t)*PertePVj)+Pspv)</f>
        <v>2.1624502670449353E-2</v>
      </c>
      <c r="M111" s="836"/>
      <c r="N111" s="836"/>
      <c r="O111" s="48">
        <f>IF(t&lt;Tnet,'2025'!Resal+('2025'!Salim-'2025'!Resal)*(1-EXP(('2025'!Tnet-t)/('2025'!Tau_j))),Resal+(Salim-Resal)*(1-EXP((Tnet-t)/(Tau_j))))*Salcycl</f>
        <v>2.1523802574880523E-2</v>
      </c>
      <c r="P111" s="334">
        <f>(INDEX(Models!$BJ111:$BT111,,T111)*(1-R111)+INDEX(Models!$BJ111:$BT111,,T111+1)*R111-ERP_i)*Q111*Ramure*Pc/MaxiM</f>
        <v>1.2738072308085056E-4</v>
      </c>
      <c r="Q111" s="301">
        <f t="shared" si="28"/>
        <v>0.5</v>
      </c>
      <c r="R111" s="173">
        <f t="shared" si="29"/>
        <v>2.6790181734872132E-2</v>
      </c>
      <c r="S111" s="802">
        <f t="shared" si="30"/>
        <v>2</v>
      </c>
      <c r="T111" s="172">
        <f t="shared" si="31"/>
        <v>8</v>
      </c>
      <c r="U111" s="247">
        <f t="shared" si="32"/>
        <v>2.0267901817348721</v>
      </c>
      <c r="V111" s="378">
        <f t="shared" si="33"/>
        <v>52.324078220247948</v>
      </c>
      <c r="W111" s="397">
        <f t="shared" si="34"/>
        <v>42.849858571467308</v>
      </c>
      <c r="X111" s="153">
        <f t="shared" si="35"/>
        <v>46119</v>
      </c>
      <c r="Y111" s="380">
        <f t="shared" si="36"/>
        <v>41.597594408532999</v>
      </c>
      <c r="Z111" s="380">
        <f t="shared" si="37"/>
        <v>42.517003463468271</v>
      </c>
      <c r="AA111" s="381">
        <f t="shared" si="38"/>
        <v>44.760358869093544</v>
      </c>
      <c r="AB111" s="193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5.0119245294395522E-2</v>
      </c>
      <c r="AD111" s="227">
        <f>(INDEX(Models!$BJ111:$BT111,,AH111)*(1-AF111)+INDEX(Models!$BJ111:$BT111,,AH111+1)*AF111-ERP_i)*AE111*Ramure*Pc/MaxiM</f>
        <v>1.2738072308085056E-4</v>
      </c>
      <c r="AE111" s="301">
        <f t="shared" si="40"/>
        <v>0.5</v>
      </c>
      <c r="AF111" s="173">
        <f t="shared" si="41"/>
        <v>2.6790181734872132E-2</v>
      </c>
      <c r="AG111" s="802">
        <f t="shared" si="49"/>
        <v>2</v>
      </c>
      <c r="AH111" s="172">
        <f t="shared" si="42"/>
        <v>8</v>
      </c>
      <c r="AI111" s="221">
        <f t="shared" si="43"/>
        <v>2.0267901817348721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46120</v>
      </c>
      <c r="B112" s="406">
        <f>'2025'!Wh/'2025'!Env_an*'2026'!Env_an</f>
        <v>36.500742290788089</v>
      </c>
      <c r="C112" s="832"/>
      <c r="D112" s="388">
        <f t="shared" si="25"/>
        <v>37.308009104650878</v>
      </c>
      <c r="E112" s="380">
        <f t="shared" si="47"/>
        <v>38.130946857814791</v>
      </c>
      <c r="F112" s="380">
        <f t="shared" si="26"/>
        <v>38.133644241643204</v>
      </c>
      <c r="G112" s="110">
        <f t="shared" si="48"/>
        <v>0.69272944672469039</v>
      </c>
      <c r="H112" s="409" t="b">
        <f>Wh_hp&gt;='2025'!Maxi_hp</f>
        <v>0</v>
      </c>
      <c r="I112" s="375">
        <f>IF(H112,Wh_hp,'2025'!Maxi_hp)</f>
        <v>38.135731064829805</v>
      </c>
      <c r="J112" s="85">
        <f>IF(H112,An,'2025'!An_max)</f>
        <v>2022</v>
      </c>
      <c r="K112" s="193">
        <f t="shared" si="27"/>
        <v>46120</v>
      </c>
      <c r="L112" s="143">
        <f>IF(t&lt;Tvie,1-EXP((T0-t)*PertePVj)+'2025'!Pspv,1-EXP((T0-t)*PertePVj)+Pspv)</f>
        <v>2.163789580940545E-2</v>
      </c>
      <c r="M112" s="836"/>
      <c r="N112" s="836"/>
      <c r="O112" s="48">
        <f>IF(t&lt;Tnet,'2025'!Resal+('2025'!Salim-'2025'!Resal)*(1-EXP(('2025'!Tnet-t)/('2025'!Tau_j))),Resal+(Salim-Resal)*(1-EXP((Tnet-t)/(Tau_j))))*Salcycl</f>
        <v>2.1581886131297467E-2</v>
      </c>
      <c r="P112" s="334">
        <f>(INDEX(Models!$BJ112:$BT112,,T112)*(1-R112)+INDEX(Models!$BJ112:$BT112,,T112+1)*R112-ERP_i)*Q112*Ramure*Pc/MaxiM</f>
        <v>1.260656084008489E-4</v>
      </c>
      <c r="Q112" s="301">
        <f t="shared" si="28"/>
        <v>0.5</v>
      </c>
      <c r="R112" s="173">
        <f t="shared" si="29"/>
        <v>2.8104040062615798E-2</v>
      </c>
      <c r="S112" s="802">
        <f t="shared" si="30"/>
        <v>2</v>
      </c>
      <c r="T112" s="172">
        <f t="shared" si="31"/>
        <v>8</v>
      </c>
      <c r="U112" s="247">
        <f t="shared" si="32"/>
        <v>2.0281040400626158</v>
      </c>
      <c r="V112" s="378">
        <f t="shared" si="33"/>
        <v>52.688279259232935</v>
      </c>
      <c r="W112" s="397">
        <f t="shared" si="34"/>
        <v>36.500742290788089</v>
      </c>
      <c r="X112" s="153">
        <f t="shared" si="35"/>
        <v>46120</v>
      </c>
      <c r="Y112" s="380">
        <f t="shared" si="36"/>
        <v>35.434716306522589</v>
      </c>
      <c r="Z112" s="380">
        <f t="shared" si="37"/>
        <v>36.218406410822674</v>
      </c>
      <c r="AA112" s="381">
        <f t="shared" si="38"/>
        <v>38.130946857814791</v>
      </c>
      <c r="AB112" s="193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5.0157171657019876E-2</v>
      </c>
      <c r="AD112" s="227">
        <f>(INDEX(Models!$BJ112:$BT112,,AH112)*(1-AF112)+INDEX(Models!$BJ112:$BT112,,AH112+1)*AF112-ERP_i)*AE112*Ramure*Pc/MaxiM</f>
        <v>1.260656084008489E-4</v>
      </c>
      <c r="AE112" s="301">
        <f t="shared" si="40"/>
        <v>0.5</v>
      </c>
      <c r="AF112" s="173">
        <f t="shared" si="41"/>
        <v>2.8104040062615798E-2</v>
      </c>
      <c r="AG112" s="802">
        <f t="shared" si="49"/>
        <v>2</v>
      </c>
      <c r="AH112" s="172">
        <f t="shared" si="42"/>
        <v>8</v>
      </c>
      <c r="AI112" s="221">
        <f t="shared" si="43"/>
        <v>2.0281040400626158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46121</v>
      </c>
      <c r="B113" s="406">
        <f>'2025'!Wh/'2025'!Env_an*'2026'!Env_an</f>
        <v>33.957024863149947</v>
      </c>
      <c r="C113" s="832"/>
      <c r="D113" s="388">
        <f t="shared" si="25"/>
        <v>34.708508809998492</v>
      </c>
      <c r="E113" s="380">
        <f t="shared" si="47"/>
        <v>35.476221227833484</v>
      </c>
      <c r="F113" s="380">
        <f t="shared" si="26"/>
        <v>35.478352284393118</v>
      </c>
      <c r="G113" s="110">
        <f t="shared" si="48"/>
        <v>0.6401057321246465</v>
      </c>
      <c r="H113" s="409" t="b">
        <f>Wh_hp&gt;='2025'!Maxi_hp</f>
        <v>0</v>
      </c>
      <c r="I113" s="375">
        <f>IF(H113,Wh_hp,'2025'!Maxi_hp)</f>
        <v>35.480581616370678</v>
      </c>
      <c r="J113" s="85">
        <f>IF(H113,An,'2025'!An_max)</f>
        <v>2022</v>
      </c>
      <c r="K113" s="193">
        <f t="shared" si="27"/>
        <v>46121</v>
      </c>
      <c r="L113" s="143">
        <f>IF(t&lt;Tvie,1-EXP((T0-t)*PertePVj)+'2025'!Pspv,1-EXP((T0-t)*PertePVj)+Pspv)</f>
        <v>2.165128876502076E-2</v>
      </c>
      <c r="M113" s="836"/>
      <c r="N113" s="836"/>
      <c r="O113" s="48">
        <f>IF(t&lt;Tnet,'2025'!Resal+('2025'!Salim-'2025'!Resal)*(1-EXP(('2025'!Tnet-t)/('2025'!Tau_j))),Resal+(Salim-Resal)*(1-EXP((Tnet-t)/(Tau_j))))*Salcycl</f>
        <v>2.1640197046484556E-2</v>
      </c>
      <c r="P113" s="334">
        <f>(INDEX(Models!$BJ113:$BT113,,T113)*(1-R113)+INDEX(Models!$BJ113:$BT113,,T113+1)*R113-ERP_i)*Q113*Ramure*Pc/MaxiM</f>
        <v>1.236128667184225E-4</v>
      </c>
      <c r="Q113" s="301">
        <f t="shared" si="28"/>
        <v>0.5</v>
      </c>
      <c r="R113" s="173">
        <f t="shared" si="29"/>
        <v>2.9465179050181423E-2</v>
      </c>
      <c r="S113" s="802">
        <f t="shared" si="30"/>
        <v>2</v>
      </c>
      <c r="T113" s="172">
        <f t="shared" si="31"/>
        <v>8</v>
      </c>
      <c r="U113" s="247">
        <f t="shared" si="32"/>
        <v>2.0294651790501814</v>
      </c>
      <c r="V113" s="378">
        <f t="shared" si="33"/>
        <v>53.045716012491845</v>
      </c>
      <c r="W113" s="397">
        <f t="shared" si="34"/>
        <v>33.957024863149947</v>
      </c>
      <c r="X113" s="153">
        <f t="shared" si="35"/>
        <v>46121</v>
      </c>
      <c r="Y113" s="380">
        <f t="shared" si="36"/>
        <v>32.965918093061241</v>
      </c>
      <c r="Z113" s="380">
        <f t="shared" si="37"/>
        <v>33.695468409671676</v>
      </c>
      <c r="AA113" s="381">
        <f t="shared" si="38"/>
        <v>35.476221227833484</v>
      </c>
      <c r="AB113" s="193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5.0195673511154171E-2</v>
      </c>
      <c r="AD113" s="227">
        <f>(INDEX(Models!$BJ113:$BT113,,AH113)*(1-AF113)+INDEX(Models!$BJ113:$BT113,,AH113+1)*AF113-ERP_i)*AE113*Ramure*Pc/MaxiM</f>
        <v>1.236128667184225E-4</v>
      </c>
      <c r="AE113" s="301">
        <f t="shared" si="40"/>
        <v>0.5</v>
      </c>
      <c r="AF113" s="173">
        <f t="shared" si="41"/>
        <v>2.9465179050181423E-2</v>
      </c>
      <c r="AG113" s="802">
        <f t="shared" si="49"/>
        <v>2</v>
      </c>
      <c r="AH113" s="172">
        <f t="shared" si="42"/>
        <v>8</v>
      </c>
      <c r="AI113" s="221">
        <f t="shared" si="43"/>
        <v>2.0294651790501814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46122</v>
      </c>
      <c r="B114" s="406">
        <f>'2025'!Wh/'2025'!Env_an*'2026'!Env_an</f>
        <v>55.634680698400423</v>
      </c>
      <c r="C114" s="832"/>
      <c r="D114" s="388">
        <f t="shared" si="25"/>
        <v>56.866679193204881</v>
      </c>
      <c r="E114" s="380">
        <f t="shared" si="47"/>
        <v>58.127983372196724</v>
      </c>
      <c r="F114" s="380">
        <f t="shared" si="26"/>
        <v>58.134973098692676</v>
      </c>
      <c r="G114" s="110">
        <f t="shared" si="48"/>
        <v>1.0419247187108809</v>
      </c>
      <c r="H114" s="409" t="b">
        <f>Wh_hp&gt;='2025'!Maxi_hp</f>
        <v>1</v>
      </c>
      <c r="I114" s="375">
        <f>IF(H114,Wh_hp,'2025'!Maxi_hp)</f>
        <v>58.134973098692676</v>
      </c>
      <c r="J114" s="85">
        <f>IF(H114,An,'2025'!An_max)</f>
        <v>2026</v>
      </c>
      <c r="K114" s="193">
        <f t="shared" si="27"/>
        <v>46122</v>
      </c>
      <c r="L114" s="143">
        <f>IF(t&lt;Tvie,1-EXP((T0-t)*PertePVj)+'2025'!Pspv,1-EXP((T0-t)*PertePVj)+Pspv)</f>
        <v>2.1664681537297725E-2</v>
      </c>
      <c r="M114" s="836"/>
      <c r="N114" s="836"/>
      <c r="O114" s="48">
        <f>IF(t&lt;Tnet,'2025'!Resal+('2025'!Salim-'2025'!Resal)*(1-EXP(('2025'!Tnet-t)/('2025'!Tau_j))),Resal+(Salim-Resal)*(1-EXP((Tnet-t)/(Tau_j))))*Salcycl</f>
        <v>2.1698743115095582E-2</v>
      </c>
      <c r="P114" s="334">
        <f>(INDEX(Models!$BJ114:$BT114,,T114)*(1-R114)+INDEX(Models!$BJ114:$BT114,,T114+1)*R114-ERP_i)*Q114*Ramure*Pc/MaxiM</f>
        <v>1.2023272951525602E-4</v>
      </c>
      <c r="Q114" s="301">
        <f t="shared" si="28"/>
        <v>0.5</v>
      </c>
      <c r="R114" s="173">
        <f t="shared" si="29"/>
        <v>3.0874985156524204E-2</v>
      </c>
      <c r="S114" s="802">
        <f t="shared" si="30"/>
        <v>2</v>
      </c>
      <c r="T114" s="172">
        <f t="shared" si="31"/>
        <v>8</v>
      </c>
      <c r="U114" s="247">
        <f t="shared" si="32"/>
        <v>2.0308749851565242</v>
      </c>
      <c r="V114" s="378">
        <f t="shared" si="33"/>
        <v>53.396065665122443</v>
      </c>
      <c r="W114" s="397">
        <f t="shared" si="34"/>
        <v>55.634680698400423</v>
      </c>
      <c r="X114" s="153">
        <f t="shared" si="35"/>
        <v>46122</v>
      </c>
      <c r="Y114" s="380">
        <f t="shared" si="36"/>
        <v>54.011875369738398</v>
      </c>
      <c r="Z114" s="380">
        <f t="shared" si="37"/>
        <v>55.207937759631776</v>
      </c>
      <c r="AA114" s="381">
        <f t="shared" si="38"/>
        <v>58.127983372196724</v>
      </c>
      <c r="AB114" s="193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5.0234765480641722E-2</v>
      </c>
      <c r="AD114" s="227">
        <f>(INDEX(Models!$BJ114:$BT114,,AH114)*(1-AF114)+INDEX(Models!$BJ114:$BT114,,AH114+1)*AF114-ERP_i)*AE114*Ramure*Pc/MaxiM</f>
        <v>1.2023272951525602E-4</v>
      </c>
      <c r="AE114" s="301">
        <f t="shared" si="40"/>
        <v>0.5</v>
      </c>
      <c r="AF114" s="173">
        <f t="shared" si="41"/>
        <v>3.0874985156524204E-2</v>
      </c>
      <c r="AG114" s="802">
        <f t="shared" si="49"/>
        <v>2</v>
      </c>
      <c r="AH114" s="172">
        <f t="shared" si="42"/>
        <v>8</v>
      </c>
      <c r="AI114" s="221">
        <f t="shared" si="43"/>
        <v>2.0308749851565242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46123</v>
      </c>
      <c r="B115" s="406">
        <f>'2025'!Wh/'2025'!Env_an*'2026'!Env_an</f>
        <v>44.883671464249886</v>
      </c>
      <c r="C115" s="832"/>
      <c r="D115" s="388">
        <f t="shared" si="25"/>
        <v>45.878222982852272</v>
      </c>
      <c r="E115" s="380">
        <f t="shared" si="47"/>
        <v>46.898621230451965</v>
      </c>
      <c r="F115" s="380">
        <f t="shared" si="26"/>
        <v>46.902796546281351</v>
      </c>
      <c r="G115" s="110">
        <f t="shared" si="48"/>
        <v>0.83519324937870654</v>
      </c>
      <c r="H115" s="409" t="b">
        <f>Wh_hp&gt;='2025'!Maxi_hp</f>
        <v>0</v>
      </c>
      <c r="I115" s="375">
        <f>IF(H115,Wh_hp,'2025'!Maxi_hp)</f>
        <v>46.904067064445634</v>
      </c>
      <c r="J115" s="85">
        <f>IF(H115,An,'2025'!An_max)</f>
        <v>2022</v>
      </c>
      <c r="K115" s="193">
        <f t="shared" si="27"/>
        <v>46123</v>
      </c>
      <c r="L115" s="143">
        <f>IF(t&lt;Tvie,1-EXP((T0-t)*PertePVj)+'2025'!Pspv,1-EXP((T0-t)*PertePVj)+Pspv)</f>
        <v>2.16780741262389E-2</v>
      </c>
      <c r="M115" s="836"/>
      <c r="N115" s="836"/>
      <c r="O115" s="48">
        <f>IF(t&lt;Tnet,'2025'!Resal+('2025'!Salim-'2025'!Resal)*(1-EXP(('2025'!Tnet-t)/('2025'!Tau_j))),Resal+(Salim-Resal)*(1-EXP((Tnet-t)/(Tau_j))))*Salcycl</f>
        <v>2.1757531902390683E-2</v>
      </c>
      <c r="P115" s="334">
        <f>(INDEX(Models!$BJ115:$BT115,,T115)*(1-R115)+INDEX(Models!$BJ115:$BT115,,T115+1)*R115-ERP_i)*Q115*Ramure*Pc/MaxiM</f>
        <v>1.164285342511932E-4</v>
      </c>
      <c r="Q115" s="301">
        <f t="shared" si="28"/>
        <v>0.5</v>
      </c>
      <c r="R115" s="173">
        <f t="shared" si="29"/>
        <v>3.2334860622421413E-2</v>
      </c>
      <c r="S115" s="802">
        <f t="shared" si="30"/>
        <v>2</v>
      </c>
      <c r="T115" s="172">
        <f t="shared" si="31"/>
        <v>8</v>
      </c>
      <c r="U115" s="247">
        <f t="shared" si="32"/>
        <v>2.0323348606224214</v>
      </c>
      <c r="V115" s="378">
        <f t="shared" si="33"/>
        <v>53.73898941365772</v>
      </c>
      <c r="W115" s="397">
        <f t="shared" si="34"/>
        <v>44.883671464249886</v>
      </c>
      <c r="X115" s="153">
        <f t="shared" si="35"/>
        <v>46123</v>
      </c>
      <c r="Y115" s="380">
        <f t="shared" si="36"/>
        <v>43.575259139385615</v>
      </c>
      <c r="Z115" s="380">
        <f t="shared" si="37"/>
        <v>44.540818300139378</v>
      </c>
      <c r="AA115" s="381">
        <f t="shared" si="38"/>
        <v>46.898621230451965</v>
      </c>
      <c r="AB115" s="193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5.0274461560964524E-2</v>
      </c>
      <c r="AD115" s="227">
        <f>(INDEX(Models!$BJ115:$BT115,,AH115)*(1-AF115)+INDEX(Models!$BJ115:$BT115,,AH115+1)*AF115-ERP_i)*AE115*Ramure*Pc/MaxiM</f>
        <v>1.164285342511932E-4</v>
      </c>
      <c r="AE115" s="301">
        <f t="shared" si="40"/>
        <v>0.5</v>
      </c>
      <c r="AF115" s="173">
        <f t="shared" si="41"/>
        <v>3.2334860622421413E-2</v>
      </c>
      <c r="AG115" s="802">
        <f t="shared" si="49"/>
        <v>2</v>
      </c>
      <c r="AH115" s="172">
        <f t="shared" si="42"/>
        <v>8</v>
      </c>
      <c r="AI115" s="221">
        <f t="shared" si="43"/>
        <v>2.0323348606224214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46124</v>
      </c>
      <c r="B116" s="406">
        <f>'2025'!Wh/'2025'!Env_an*'2026'!Env_an</f>
        <v>37.450120465595113</v>
      </c>
      <c r="C116" s="832"/>
      <c r="D116" s="388">
        <f t="shared" si="25"/>
        <v>38.280480221134887</v>
      </c>
      <c r="E116" s="380">
        <f t="shared" si="47"/>
        <v>39.134255473532043</v>
      </c>
      <c r="F116" s="380">
        <f t="shared" si="26"/>
        <v>39.136718068576769</v>
      </c>
      <c r="G116" s="110">
        <f t="shared" si="48"/>
        <v>0.69253529740036524</v>
      </c>
      <c r="H116" s="409" t="b">
        <f>Wh_hp&gt;='2025'!Maxi_hp</f>
        <v>0</v>
      </c>
      <c r="I116" s="375">
        <f>IF(H116,Wh_hp,'2025'!Maxi_hp)</f>
        <v>39.138623490789477</v>
      </c>
      <c r="J116" s="85">
        <f>IF(H116,An,'2025'!An_max)</f>
        <v>2022</v>
      </c>
      <c r="K116" s="193">
        <f t="shared" si="27"/>
        <v>46124</v>
      </c>
      <c r="L116" s="143">
        <f>IF(t&lt;Tvie,1-EXP((T0-t)*PertePVj)+'2025'!Pspv,1-EXP((T0-t)*PertePVj)+Pspv)</f>
        <v>2.1691466531846837E-2</v>
      </c>
      <c r="M116" s="836"/>
      <c r="N116" s="836"/>
      <c r="O116" s="48">
        <f>IF(t&lt;Tnet,'2025'!Resal+('2025'!Salim-'2025'!Resal)*(1-EXP(('2025'!Tnet-t)/('2025'!Tau_j))),Resal+(Salim-Resal)*(1-EXP((Tnet-t)/(Tau_j))))*Salcycl</f>
        <v>2.181657072726469E-2</v>
      </c>
      <c r="P116" s="334">
        <f>(INDEX(Models!$BJ116:$BT116,,T116)*(1-R116)+INDEX(Models!$BJ116:$BT116,,T116+1)*R116-ERP_i)*Q116*Ramure*Pc/MaxiM</f>
        <v>1.1219930417696811E-4</v>
      </c>
      <c r="Q116" s="301">
        <f t="shared" si="28"/>
        <v>0.5</v>
      </c>
      <c r="R116" s="173">
        <f t="shared" si="29"/>
        <v>3.3846221491049544E-2</v>
      </c>
      <c r="S116" s="802">
        <f t="shared" si="30"/>
        <v>2</v>
      </c>
      <c r="T116" s="172">
        <f t="shared" si="31"/>
        <v>8</v>
      </c>
      <c r="U116" s="247">
        <f t="shared" si="32"/>
        <v>2.0338462214910495</v>
      </c>
      <c r="V116" s="378">
        <f t="shared" si="33"/>
        <v>54.074175109990477</v>
      </c>
      <c r="W116" s="397">
        <f t="shared" si="34"/>
        <v>37.450120465595113</v>
      </c>
      <c r="X116" s="153">
        <f t="shared" si="35"/>
        <v>46124</v>
      </c>
      <c r="Y116" s="380">
        <f t="shared" si="36"/>
        <v>36.359055994074389</v>
      </c>
      <c r="Z116" s="380">
        <f t="shared" si="37"/>
        <v>37.165224211200218</v>
      </c>
      <c r="AA116" s="381">
        <f t="shared" si="38"/>
        <v>39.134255473532043</v>
      </c>
      <c r="AB116" s="193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5.0314775086587653E-2</v>
      </c>
      <c r="AD116" s="227">
        <f>(INDEX(Models!$BJ116:$BT116,,AH116)*(1-AF116)+INDEX(Models!$BJ116:$BT116,,AH116+1)*AF116-ERP_i)*AE116*Ramure*Pc/MaxiM</f>
        <v>1.1219930417696811E-4</v>
      </c>
      <c r="AE116" s="301">
        <f t="shared" si="40"/>
        <v>0.5</v>
      </c>
      <c r="AF116" s="173">
        <f t="shared" si="41"/>
        <v>3.3846221491049544E-2</v>
      </c>
      <c r="AG116" s="802">
        <f t="shared" si="49"/>
        <v>2</v>
      </c>
      <c r="AH116" s="172">
        <f t="shared" si="42"/>
        <v>8</v>
      </c>
      <c r="AI116" s="221">
        <f t="shared" si="43"/>
        <v>2.0338462214910495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46125</v>
      </c>
      <c r="B117" s="406">
        <f>'2025'!Wh/'2025'!Env_an*'2026'!Env_an</f>
        <v>8.6597888575249922</v>
      </c>
      <c r="C117" s="832"/>
      <c r="D117" s="388">
        <f t="shared" si="25"/>
        <v>8.8519184982321377</v>
      </c>
      <c r="E117" s="380">
        <f t="shared" si="47"/>
        <v>9.049892745074434</v>
      </c>
      <c r="F117" s="380">
        <f t="shared" si="26"/>
        <v>9.049892745074434</v>
      </c>
      <c r="G117" s="110">
        <f t="shared" si="48"/>
        <v>0.15916634062980414</v>
      </c>
      <c r="H117" s="409" t="b">
        <f>Wh_hp&gt;='2025'!Maxi_hp</f>
        <v>0</v>
      </c>
      <c r="I117" s="375">
        <f>IF(H117,Wh_hp,'2025'!Maxi_hp)</f>
        <v>9.0508539778178534</v>
      </c>
      <c r="J117" s="85">
        <f>IF(H117,An,'2025'!An_max)</f>
        <v>2022</v>
      </c>
      <c r="K117" s="193">
        <f t="shared" si="27"/>
        <v>46125</v>
      </c>
      <c r="L117" s="143">
        <f>IF(t&lt;Tvie,1-EXP((T0-t)*PertePVj)+'2025'!Pspv,1-EXP((T0-t)*PertePVj)+Pspv)</f>
        <v>2.1704858754123868E-2</v>
      </c>
      <c r="M117" s="836"/>
      <c r="N117" s="836"/>
      <c r="O117" s="48">
        <f>IF(t&lt;Tnet,'2025'!Resal+('2025'!Salim-'2025'!Resal)*(1-EXP(('2025'!Tnet-t)/('2025'!Tau_j))),Resal+(Salim-Resal)*(1-EXP((Tnet-t)/(Tau_j))))*Salcycl</f>
        <v>2.1875866644944085E-2</v>
      </c>
      <c r="P117" s="334">
        <f>(INDEX(Models!$BJ117:$BT117,,T117)*(1-R117)+INDEX(Models!$BJ117:$BT117,,T117+1)*R117-ERP_i)*Q117*Ramure*Pc/MaxiM</f>
        <v>1.0754290709229084E-4</v>
      </c>
      <c r="Q117" s="301">
        <f t="shared" si="28"/>
        <v>0.5</v>
      </c>
      <c r="R117" s="173">
        <f t="shared" si="29"/>
        <v>3.5410495423971344E-2</v>
      </c>
      <c r="S117" s="802">
        <f t="shared" si="30"/>
        <v>2</v>
      </c>
      <c r="T117" s="172">
        <f t="shared" si="31"/>
        <v>8</v>
      </c>
      <c r="U117" s="247">
        <f t="shared" si="32"/>
        <v>2.0354104954239713</v>
      </c>
      <c r="V117" s="378">
        <f t="shared" si="33"/>
        <v>54.401310756999742</v>
      </c>
      <c r="W117" s="397">
        <f t="shared" si="34"/>
        <v>8.6597888575249922</v>
      </c>
      <c r="X117" s="153">
        <f t="shared" si="35"/>
        <v>46125</v>
      </c>
      <c r="Y117" s="380">
        <f t="shared" si="36"/>
        <v>8.4076434528042618</v>
      </c>
      <c r="Z117" s="380">
        <f t="shared" si="37"/>
        <v>8.5941788917575312</v>
      </c>
      <c r="AA117" s="381">
        <f t="shared" si="38"/>
        <v>9.049892745074434</v>
      </c>
      <c r="AB117" s="193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5.0355718697874453E-2</v>
      </c>
      <c r="AD117" s="227">
        <f>(INDEX(Models!$BJ117:$BT117,,AH117)*(1-AF117)+INDEX(Models!$BJ117:$BT117,,AH117+1)*AF117-ERP_i)*AE117*Ramure*Pc/MaxiM</f>
        <v>1.0754290709229084E-4</v>
      </c>
      <c r="AE117" s="301">
        <f t="shared" si="40"/>
        <v>0.5</v>
      </c>
      <c r="AF117" s="173">
        <f t="shared" si="41"/>
        <v>3.5410495423971344E-2</v>
      </c>
      <c r="AG117" s="802">
        <f t="shared" si="49"/>
        <v>2</v>
      </c>
      <c r="AH117" s="172">
        <f t="shared" si="42"/>
        <v>8</v>
      </c>
      <c r="AI117" s="221">
        <f t="shared" si="43"/>
        <v>2.0354104954239713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46126</v>
      </c>
      <c r="B118" s="406">
        <f>'2025'!Wh/'2025'!Env_an*'2026'!Env_an</f>
        <v>39.976854821612633</v>
      </c>
      <c r="C118" s="832"/>
      <c r="D118" s="388">
        <f t="shared" si="25"/>
        <v>40.864357179331044</v>
      </c>
      <c r="E118" s="380">
        <f t="shared" si="47"/>
        <v>41.780837670197933</v>
      </c>
      <c r="F118" s="380">
        <f t="shared" si="26"/>
        <v>41.783470894454787</v>
      </c>
      <c r="G118" s="110">
        <f t="shared" si="48"/>
        <v>0.73054123686755978</v>
      </c>
      <c r="H118" s="409" t="b">
        <f>Wh_hp&gt;='2025'!Maxi_hp</f>
        <v>0</v>
      </c>
      <c r="I118" s="375">
        <f>IF(H118,Wh_hp,'2025'!Maxi_hp)</f>
        <v>41.785097562255523</v>
      </c>
      <c r="J118" s="85">
        <f>IF(H118,An,'2025'!An_max)</f>
        <v>2022</v>
      </c>
      <c r="K118" s="193">
        <f t="shared" si="27"/>
        <v>46126</v>
      </c>
      <c r="L118" s="143">
        <f>IF(t&lt;Tvie,1-EXP((T0-t)*PertePVj)+'2025'!Pspv,1-EXP((T0-t)*PertePVj)+Pspv)</f>
        <v>2.1718250793072658E-2</v>
      </c>
      <c r="M118" s="836"/>
      <c r="N118" s="836"/>
      <c r="O118" s="48">
        <f>IF(t&lt;Tnet,'2025'!Resal+('2025'!Salim-'2025'!Resal)*(1-EXP(('2025'!Tnet-t)/('2025'!Tau_j))),Resal+(Salim-Resal)*(1-EXP((Tnet-t)/(Tau_j))))*Salcycl</f>
        <v>2.193542642924589E-2</v>
      </c>
      <c r="P118" s="334">
        <f>(INDEX(Models!$BJ118:$BT118,,T118)*(1-R118)+INDEX(Models!$BJ118:$BT118,,T118+1)*R118-ERP_i)*Q118*Ramure*Pc/MaxiM</f>
        <v>1.024560379357695E-4</v>
      </c>
      <c r="Q118" s="301">
        <f t="shared" si="28"/>
        <v>0.5</v>
      </c>
      <c r="R118" s="173">
        <f t="shared" si="29"/>
        <v>3.7029119303534586E-2</v>
      </c>
      <c r="S118" s="802">
        <f t="shared" si="30"/>
        <v>2</v>
      </c>
      <c r="T118" s="172">
        <f t="shared" si="31"/>
        <v>8</v>
      </c>
      <c r="U118" s="247">
        <f t="shared" si="32"/>
        <v>2.0370291193035346</v>
      </c>
      <c r="V118" s="378">
        <f t="shared" si="33"/>
        <v>54.720084513675999</v>
      </c>
      <c r="W118" s="397">
        <f t="shared" si="34"/>
        <v>39.976854821612633</v>
      </c>
      <c r="X118" s="153">
        <f t="shared" si="35"/>
        <v>46126</v>
      </c>
      <c r="Y118" s="380">
        <f t="shared" si="36"/>
        <v>38.813520221189812</v>
      </c>
      <c r="Z118" s="380">
        <f t="shared" si="37"/>
        <v>39.675196079917797</v>
      </c>
      <c r="AA118" s="381">
        <f t="shared" si="38"/>
        <v>41.780837670197933</v>
      </c>
      <c r="AB118" s="193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5.0397304307330394E-2</v>
      </c>
      <c r="AD118" s="227">
        <f>(INDEX(Models!$BJ118:$BT118,,AH118)*(1-AF118)+INDEX(Models!$BJ118:$BT118,,AH118+1)*AF118-ERP_i)*AE118*Ramure*Pc/MaxiM</f>
        <v>1.024560379357695E-4</v>
      </c>
      <c r="AE118" s="301">
        <f t="shared" si="40"/>
        <v>0.5</v>
      </c>
      <c r="AF118" s="173">
        <f t="shared" si="41"/>
        <v>3.7029119303534586E-2</v>
      </c>
      <c r="AG118" s="802">
        <f t="shared" si="49"/>
        <v>2</v>
      </c>
      <c r="AH118" s="172">
        <f t="shared" si="42"/>
        <v>8</v>
      </c>
      <c r="AI118" s="221">
        <f t="shared" si="43"/>
        <v>2.0370291193035346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46127</v>
      </c>
      <c r="B119" s="406">
        <f>'2025'!Wh/'2025'!Env_an*'2026'!Env_an</f>
        <v>43.806334873306454</v>
      </c>
      <c r="C119" s="832"/>
      <c r="D119" s="388">
        <f t="shared" si="25"/>
        <v>44.779466231447614</v>
      </c>
      <c r="E119" s="380">
        <f t="shared" si="47"/>
        <v>45.786553216174426</v>
      </c>
      <c r="F119" s="380">
        <f t="shared" si="26"/>
        <v>45.789698538591388</v>
      </c>
      <c r="G119" s="110">
        <f t="shared" si="48"/>
        <v>0.79601945350857173</v>
      </c>
      <c r="H119" s="409" t="b">
        <f>Wh_hp&gt;='2025'!Maxi_hp</f>
        <v>0</v>
      </c>
      <c r="I119" s="375">
        <f>IF(H119,Wh_hp,'2025'!Maxi_hp)</f>
        <v>45.790974578011351</v>
      </c>
      <c r="J119" s="85">
        <f>IF(H119,An,'2025'!An_max)</f>
        <v>2022</v>
      </c>
      <c r="K119" s="193">
        <f t="shared" si="27"/>
        <v>46127</v>
      </c>
      <c r="L119" s="143">
        <f>IF(t&lt;Tvie,1-EXP((T0-t)*PertePVj)+'2025'!Pspv,1-EXP((T0-t)*PertePVj)+Pspv)</f>
        <v>2.1731642648695759E-2</v>
      </c>
      <c r="M119" s="836"/>
      <c r="N119" s="836"/>
      <c r="O119" s="48">
        <f>IF(t&lt;Tnet,'2025'!Resal+('2025'!Salim-'2025'!Resal)*(1-EXP(('2025'!Tnet-t)/('2025'!Tau_j))),Resal+(Salim-Resal)*(1-EXP((Tnet-t)/(Tau_j))))*Salcycl</f>
        <v>2.1995256554298806E-2</v>
      </c>
      <c r="P119" s="334">
        <f>(INDEX(Models!$BJ119:$BT119,,T119)*(1-R119)+INDEX(Models!$BJ119:$BT119,,T119+1)*R119-ERP_i)*Q119*Ramure*Pc/MaxiM</f>
        <v>9.6934199952909865E-5</v>
      </c>
      <c r="Q119" s="301">
        <f t="shared" si="28"/>
        <v>0.5</v>
      </c>
      <c r="R119" s="173">
        <f t="shared" si="29"/>
        <v>3.8703536613066358E-2</v>
      </c>
      <c r="S119" s="802">
        <f t="shared" si="30"/>
        <v>2</v>
      </c>
      <c r="T119" s="172">
        <f t="shared" si="31"/>
        <v>8</v>
      </c>
      <c r="U119" s="247">
        <f t="shared" si="32"/>
        <v>2.0387035366130664</v>
      </c>
      <c r="V119" s="378">
        <f t="shared" si="33"/>
        <v>55.030184686021251</v>
      </c>
      <c r="W119" s="397">
        <f t="shared" si="34"/>
        <v>43.806334873306454</v>
      </c>
      <c r="X119" s="153">
        <f t="shared" si="35"/>
        <v>46127</v>
      </c>
      <c r="Y119" s="380">
        <f t="shared" si="36"/>
        <v>42.532271584279876</v>
      </c>
      <c r="Z119" s="380">
        <f t="shared" si="37"/>
        <v>43.4771003934314</v>
      </c>
      <c r="AA119" s="381">
        <f t="shared" si="38"/>
        <v>45.786553216174426</v>
      </c>
      <c r="AB119" s="193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5.0439543064953761E-2</v>
      </c>
      <c r="AD119" s="227">
        <f>(INDEX(Models!$BJ119:$BT119,,AH119)*(1-AF119)+INDEX(Models!$BJ119:$BT119,,AH119+1)*AF119-ERP_i)*AE119*Ramure*Pc/MaxiM</f>
        <v>9.6934199952909865E-5</v>
      </c>
      <c r="AE119" s="301">
        <f t="shared" si="40"/>
        <v>0.5</v>
      </c>
      <c r="AF119" s="173">
        <f t="shared" si="41"/>
        <v>3.8703536613066358E-2</v>
      </c>
      <c r="AG119" s="802">
        <f t="shared" si="49"/>
        <v>2</v>
      </c>
      <c r="AH119" s="172">
        <f t="shared" si="42"/>
        <v>8</v>
      </c>
      <c r="AI119" s="221">
        <f t="shared" si="43"/>
        <v>2.0387035366130664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46128</v>
      </c>
      <c r="B120" s="406">
        <f>'2025'!Wh/'2025'!Env_an*'2026'!Env_an</f>
        <v>39.859735087752732</v>
      </c>
      <c r="C120" s="832"/>
      <c r="D120" s="388">
        <f t="shared" si="25"/>
        <v>40.74575288262011</v>
      </c>
      <c r="E120" s="380">
        <f t="shared" si="47"/>
        <v>41.664682588711784</v>
      </c>
      <c r="F120" s="380">
        <f t="shared" si="26"/>
        <v>41.666958971446597</v>
      </c>
      <c r="G120" s="110">
        <f t="shared" si="48"/>
        <v>0.72035695401962219</v>
      </c>
      <c r="H120" s="409" t="b">
        <f>Wh_hp&gt;='2025'!Maxi_hp</f>
        <v>0</v>
      </c>
      <c r="I120" s="375">
        <f>IF(H120,Wh_hp,'2025'!Maxi_hp)</f>
        <v>41.668451970182822</v>
      </c>
      <c r="J120" s="85">
        <f>IF(H120,An,'2025'!An_max)</f>
        <v>2022</v>
      </c>
      <c r="K120" s="193">
        <f t="shared" si="27"/>
        <v>46128</v>
      </c>
      <c r="L120" s="143">
        <f>IF(t&lt;Tvie,1-EXP((T0-t)*PertePVj)+'2025'!Pspv,1-EXP((T0-t)*PertePVj)+Pspv)</f>
        <v>2.1745034320995504E-2</v>
      </c>
      <c r="M120" s="836"/>
      <c r="N120" s="836"/>
      <c r="O120" s="48">
        <f>IF(t&lt;Tnet,'2025'!Resal+('2025'!Salim-'2025'!Resal)*(1-EXP(('2025'!Tnet-t)/('2025'!Tau_j))),Resal+(Salim-Resal)*(1-EXP((Tnet-t)/(Tau_j))))*Salcycl</f>
        <v>2.2055363175636812E-2</v>
      </c>
      <c r="P120" s="334">
        <f>(INDEX(Models!$BJ120:$BT120,,T120)*(1-R120)+INDEX(Models!$BJ120:$BT120,,T120+1)*R120-ERP_i)*Q120*Ramure*Pc/MaxiM</f>
        <v>9.097168421614432E-5</v>
      </c>
      <c r="Q120" s="301">
        <f t="shared" si="28"/>
        <v>0.5</v>
      </c>
      <c r="R120" s="173">
        <f t="shared" si="29"/>
        <v>4.0435194586708523E-2</v>
      </c>
      <c r="S120" s="802">
        <f t="shared" si="30"/>
        <v>2</v>
      </c>
      <c r="T120" s="172">
        <f t="shared" si="31"/>
        <v>8</v>
      </c>
      <c r="U120" s="247">
        <f t="shared" si="32"/>
        <v>2.0404351945867085</v>
      </c>
      <c r="V120" s="378">
        <f t="shared" si="33"/>
        <v>55.331299750769894</v>
      </c>
      <c r="W120" s="397">
        <f t="shared" si="34"/>
        <v>39.859735087752732</v>
      </c>
      <c r="X120" s="153">
        <f t="shared" si="35"/>
        <v>46128</v>
      </c>
      <c r="Y120" s="380">
        <f t="shared" si="36"/>
        <v>38.701084668265722</v>
      </c>
      <c r="Z120" s="380">
        <f t="shared" si="37"/>
        <v>39.561347528047953</v>
      </c>
      <c r="AA120" s="381">
        <f t="shared" si="38"/>
        <v>41.664682588711784</v>
      </c>
      <c r="AB120" s="193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5.0482445322496947E-2</v>
      </c>
      <c r="AD120" s="227">
        <f>(INDEX(Models!$BJ120:$BT120,,AH120)*(1-AF120)+INDEX(Models!$BJ120:$BT120,,AH120+1)*AF120-ERP_i)*AE120*Ramure*Pc/MaxiM</f>
        <v>9.097168421614432E-5</v>
      </c>
      <c r="AE120" s="301">
        <f t="shared" si="40"/>
        <v>0.5</v>
      </c>
      <c r="AF120" s="173">
        <f t="shared" si="41"/>
        <v>4.0435194586708523E-2</v>
      </c>
      <c r="AG120" s="802">
        <f t="shared" si="49"/>
        <v>2</v>
      </c>
      <c r="AH120" s="172">
        <f t="shared" si="42"/>
        <v>8</v>
      </c>
      <c r="AI120" s="221">
        <f t="shared" si="43"/>
        <v>2.0404351945867085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46129</v>
      </c>
      <c r="B121" s="406">
        <f>'2025'!Wh/'2025'!Env_an*'2026'!Env_an</f>
        <v>55.204665952060928</v>
      </c>
      <c r="C121" s="832"/>
      <c r="D121" s="388">
        <f t="shared" si="25"/>
        <v>56.432549391258348</v>
      </c>
      <c r="E121" s="380">
        <f t="shared" si="47"/>
        <v>57.708823424712982</v>
      </c>
      <c r="F121" s="380">
        <f t="shared" si="26"/>
        <v>57.713651260665138</v>
      </c>
      <c r="G121" s="110">
        <f t="shared" si="48"/>
        <v>0.99247019979492546</v>
      </c>
      <c r="H121" s="409" t="b">
        <f>Wh_hp&gt;='2025'!Maxi_hp</f>
        <v>0</v>
      </c>
      <c r="I121" s="375">
        <f>IF(H121,Wh_hp,'2025'!Maxi_hp)</f>
        <v>57.713702978018006</v>
      </c>
      <c r="J121" s="85">
        <f>IF(H121,An,'2025'!An_max)</f>
        <v>2022</v>
      </c>
      <c r="K121" s="193">
        <f t="shared" si="27"/>
        <v>46129</v>
      </c>
      <c r="L121" s="143">
        <f>IF(t&lt;Tvie,1-EXP((T0-t)*PertePVj)+'2025'!Pspv,1-EXP((T0-t)*PertePVj)+Pspv)</f>
        <v>2.1758425809974558E-2</v>
      </c>
      <c r="M121" s="836"/>
      <c r="N121" s="836"/>
      <c r="O121" s="48">
        <f>IF(t&lt;Tnet,'2025'!Resal+('2025'!Salim-'2025'!Resal)*(1-EXP(('2025'!Tnet-t)/('2025'!Tau_j))),Resal+(Salim-Resal)*(1-EXP((Tnet-t)/(Tau_j))))*Salcycl</f>
        <v>2.2115752110587764E-2</v>
      </c>
      <c r="P121" s="334">
        <f>(INDEX(Models!$BJ121:$BT121,,T121)*(1-R121)+INDEX(Models!$BJ121:$BT121,,T121+1)*R121-ERP_i)*Q121*Ramure*Pc/MaxiM</f>
        <v>8.4561044565384009E-5</v>
      </c>
      <c r="Q121" s="301">
        <f t="shared" si="28"/>
        <v>0.5</v>
      </c>
      <c r="R121" s="173">
        <f t="shared" si="29"/>
        <v>4.2225541121385213E-2</v>
      </c>
      <c r="S121" s="802">
        <f t="shared" si="30"/>
        <v>2</v>
      </c>
      <c r="T121" s="172">
        <f t="shared" si="31"/>
        <v>8</v>
      </c>
      <c r="U121" s="247">
        <f t="shared" si="32"/>
        <v>2.0422255411213852</v>
      </c>
      <c r="V121" s="378">
        <f t="shared" si="33"/>
        <v>55.623449198283886</v>
      </c>
      <c r="W121" s="397">
        <f t="shared" si="34"/>
        <v>55.204665952060928</v>
      </c>
      <c r="X121" s="153">
        <f t="shared" si="35"/>
        <v>46129</v>
      </c>
      <c r="Y121" s="380">
        <f t="shared" si="36"/>
        <v>53.600816227764078</v>
      </c>
      <c r="Z121" s="380">
        <f t="shared" si="37"/>
        <v>54.7930262237577</v>
      </c>
      <c r="AA121" s="381">
        <f t="shared" si="38"/>
        <v>57.708823424712982</v>
      </c>
      <c r="AB121" s="193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5.0526020596473188E-2</v>
      </c>
      <c r="AD121" s="227">
        <f>(INDEX(Models!$BJ121:$BT121,,AH121)*(1-AF121)+INDEX(Models!$BJ121:$BT121,,AH121+1)*AF121-ERP_i)*AE121*Ramure*Pc/MaxiM</f>
        <v>8.4561044565384009E-5</v>
      </c>
      <c r="AE121" s="301">
        <f t="shared" si="40"/>
        <v>0.5</v>
      </c>
      <c r="AF121" s="173">
        <f t="shared" si="41"/>
        <v>4.2225541121385213E-2</v>
      </c>
      <c r="AG121" s="802">
        <f t="shared" si="49"/>
        <v>2</v>
      </c>
      <c r="AH121" s="172">
        <f t="shared" si="42"/>
        <v>8</v>
      </c>
      <c r="AI121" s="221">
        <f t="shared" si="43"/>
        <v>2.0422255411213852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46130</v>
      </c>
      <c r="B122" s="406">
        <f>'2025'!Wh/'2025'!Env_an*'2026'!Env_an</f>
        <v>35.218357492433583</v>
      </c>
      <c r="C122" s="832"/>
      <c r="D122" s="388">
        <f t="shared" si="25"/>
        <v>36.002190601982186</v>
      </c>
      <c r="E122" s="380">
        <f t="shared" si="47"/>
        <v>36.818697833657851</v>
      </c>
      <c r="F122" s="380">
        <f t="shared" si="26"/>
        <v>36.820051044456434</v>
      </c>
      <c r="G122" s="110">
        <f t="shared" si="48"/>
        <v>0.62991959917088314</v>
      </c>
      <c r="H122" s="409" t="b">
        <f>Wh_hp&gt;='2025'!Maxi_hp</f>
        <v>0</v>
      </c>
      <c r="I122" s="375">
        <f>IF(H122,Wh_hp,'2025'!Maxi_hp)</f>
        <v>36.821545007941346</v>
      </c>
      <c r="J122" s="85">
        <f>IF(H122,An,'2025'!An_max)</f>
        <v>2022</v>
      </c>
      <c r="K122" s="193">
        <f t="shared" si="27"/>
        <v>46130</v>
      </c>
      <c r="L122" s="143">
        <f>IF(t&lt;Tvie,1-EXP((T0-t)*PertePVj)+'2025'!Pspv,1-EXP((T0-t)*PertePVj)+Pspv)</f>
        <v>2.1771817115635361E-2</v>
      </c>
      <c r="M122" s="836"/>
      <c r="N122" s="836"/>
      <c r="O122" s="48">
        <f>IF(t&lt;Tnet,'2025'!Resal+('2025'!Salim-'2025'!Resal)*(1-EXP(('2025'!Tnet-t)/('2025'!Tau_j))),Resal+(Salim-Resal)*(1-EXP((Tnet-t)/(Tau_j))))*Salcycl</f>
        <v>2.2176428817894039E-2</v>
      </c>
      <c r="P122" s="334">
        <f>(INDEX(Models!$BJ122:$BT122,,T122)*(1-R122)+INDEX(Models!$BJ122:$BT122,,T122+1)*R122-ERP_i)*Q122*Ramure*Pc/MaxiM</f>
        <v>7.7971665640870632E-5</v>
      </c>
      <c r="Q122" s="301">
        <f t="shared" si="28"/>
        <v>0.5</v>
      </c>
      <c r="R122" s="173">
        <f t="shared" si="29"/>
        <v>4.4076021444108271E-2</v>
      </c>
      <c r="S122" s="802">
        <f t="shared" si="30"/>
        <v>2</v>
      </c>
      <c r="T122" s="172">
        <f t="shared" si="31"/>
        <v>8</v>
      </c>
      <c r="U122" s="247">
        <f t="shared" si="32"/>
        <v>2.0440760214441083</v>
      </c>
      <c r="V122" s="378">
        <f t="shared" si="33"/>
        <v>55.906985267298595</v>
      </c>
      <c r="W122" s="397">
        <f t="shared" si="34"/>
        <v>35.218357492433583</v>
      </c>
      <c r="X122" s="153">
        <f t="shared" si="35"/>
        <v>46130</v>
      </c>
      <c r="Y122" s="380">
        <f t="shared" si="36"/>
        <v>34.195693748183345</v>
      </c>
      <c r="Z122" s="380">
        <f t="shared" si="37"/>
        <v>34.956766065924704</v>
      </c>
      <c r="AA122" s="381">
        <f t="shared" si="38"/>
        <v>36.818697833657851</v>
      </c>
      <c r="AB122" s="193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5.0570277529778829E-2</v>
      </c>
      <c r="AD122" s="227">
        <f>(INDEX(Models!$BJ122:$BT122,,AH122)*(1-AF122)+INDEX(Models!$BJ122:$BT122,,AH122+1)*AF122-ERP_i)*AE122*Ramure*Pc/MaxiM</f>
        <v>7.7971665640870632E-5</v>
      </c>
      <c r="AE122" s="301">
        <f t="shared" si="40"/>
        <v>0.5</v>
      </c>
      <c r="AF122" s="173">
        <f t="shared" si="41"/>
        <v>4.4076021444108271E-2</v>
      </c>
      <c r="AG122" s="802">
        <f t="shared" si="49"/>
        <v>2</v>
      </c>
      <c r="AH122" s="172">
        <f t="shared" si="42"/>
        <v>8</v>
      </c>
      <c r="AI122" s="221">
        <f t="shared" si="43"/>
        <v>2.0440760214441083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46131</v>
      </c>
      <c r="B123" s="406">
        <f>'2025'!Wh/'2025'!Env_an*'2026'!Env_an</f>
        <v>11.587267401696101</v>
      </c>
      <c r="C123" s="832"/>
      <c r="D123" s="388">
        <f t="shared" si="25"/>
        <v>11.845320168206019</v>
      </c>
      <c r="E123" s="380">
        <f t="shared" si="47"/>
        <v>12.114720023590589</v>
      </c>
      <c r="F123" s="380">
        <f t="shared" si="26"/>
        <v>12.114720023590589</v>
      </c>
      <c r="G123" s="110">
        <f t="shared" si="48"/>
        <v>0.20623007293888351</v>
      </c>
      <c r="H123" s="409" t="b">
        <f>Wh_hp&gt;='2025'!Maxi_hp</f>
        <v>0</v>
      </c>
      <c r="I123" s="375">
        <f>IF(H123,Wh_hp,'2025'!Maxi_hp)</f>
        <v>12.115576343034617</v>
      </c>
      <c r="J123" s="85">
        <f>IF(H123,An,'2025'!An_max)</f>
        <v>2022</v>
      </c>
      <c r="K123" s="193">
        <f t="shared" si="27"/>
        <v>46131</v>
      </c>
      <c r="L123" s="143">
        <f>IF(t&lt;Tvie,1-EXP((T0-t)*PertePVj)+'2025'!Pspv,1-EXP((T0-t)*PertePVj)+Pspv)</f>
        <v>2.1785208237980469E-2</v>
      </c>
      <c r="M123" s="836"/>
      <c r="N123" s="836"/>
      <c r="O123" s="48">
        <f>IF(t&lt;Tnet,'2025'!Resal+('2025'!Salim-'2025'!Resal)*(1-EXP(('2025'!Tnet-t)/('2025'!Tau_j))),Resal+(Salim-Resal)*(1-EXP((Tnet-t)/(Tau_j))))*Salcycl</f>
        <v>2.2237398376518613E-2</v>
      </c>
      <c r="P123" s="334">
        <f>(INDEX(Models!$BJ123:$BT123,,T123)*(1-R123)+INDEX(Models!$BJ123:$BT123,,T123+1)*R123-ERP_i)*Q123*Ramure*Pc/MaxiM</f>
        <v>7.1880549087458413E-5</v>
      </c>
      <c r="Q123" s="301">
        <f t="shared" si="28"/>
        <v>0.5</v>
      </c>
      <c r="R123" s="173">
        <f t="shared" si="29"/>
        <v>4.5988074528745315E-2</v>
      </c>
      <c r="S123" s="802">
        <f t="shared" si="30"/>
        <v>2</v>
      </c>
      <c r="T123" s="172">
        <f t="shared" si="31"/>
        <v>8</v>
      </c>
      <c r="U123" s="247">
        <f t="shared" si="32"/>
        <v>2.0459880745287453</v>
      </c>
      <c r="V123" s="378">
        <f t="shared" si="33"/>
        <v>56.182080224480622</v>
      </c>
      <c r="W123" s="397">
        <f t="shared" si="34"/>
        <v>11.587267401696101</v>
      </c>
      <c r="X123" s="153">
        <f t="shared" si="35"/>
        <v>46131</v>
      </c>
      <c r="Y123" s="380">
        <f t="shared" si="36"/>
        <v>11.250967515082266</v>
      </c>
      <c r="Z123" s="380">
        <f t="shared" si="37"/>
        <v>11.501530757694171</v>
      </c>
      <c r="AA123" s="381">
        <f t="shared" si="38"/>
        <v>12.114720023590589</v>
      </c>
      <c r="AB123" s="193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5.0615223851841015E-2</v>
      </c>
      <c r="AD123" s="227">
        <f>(INDEX(Models!$BJ123:$BT123,,AH123)*(1-AF123)+INDEX(Models!$BJ123:$BT123,,AH123+1)*AF123-ERP_i)*AE123*Ramure*Pc/MaxiM</f>
        <v>7.1880549087458413E-5</v>
      </c>
      <c r="AE123" s="301">
        <f t="shared" si="40"/>
        <v>0.5</v>
      </c>
      <c r="AF123" s="173">
        <f t="shared" si="41"/>
        <v>4.5988074528745315E-2</v>
      </c>
      <c r="AG123" s="802">
        <f t="shared" si="49"/>
        <v>2</v>
      </c>
      <c r="AH123" s="172">
        <f t="shared" si="42"/>
        <v>8</v>
      </c>
      <c r="AI123" s="221">
        <f t="shared" si="43"/>
        <v>2.0459880745287453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46132</v>
      </c>
      <c r="B124" s="406">
        <f>'2025'!Wh/'2025'!Env_an*'2026'!Env_an</f>
        <v>11.611605893593387</v>
      </c>
      <c r="C124" s="832"/>
      <c r="D124" s="388">
        <f t="shared" si="25"/>
        <v>11.870363182698599</v>
      </c>
      <c r="E124" s="380">
        <f t="shared" si="47"/>
        <v>12.141093361938921</v>
      </c>
      <c r="F124" s="380">
        <f t="shared" si="26"/>
        <v>12.141093361938921</v>
      </c>
      <c r="G124" s="110">
        <f t="shared" si="48"/>
        <v>0.20568739479833092</v>
      </c>
      <c r="H124" s="409" t="b">
        <f>Wh_hp&gt;='2025'!Maxi_hp</f>
        <v>0</v>
      </c>
      <c r="I124" s="375">
        <f>IF(H124,Wh_hp,'2025'!Maxi_hp)</f>
        <v>12.141883816288592</v>
      </c>
      <c r="J124" s="85">
        <f>IF(H124,An,'2025'!An_max)</f>
        <v>2022</v>
      </c>
      <c r="K124" s="193">
        <f t="shared" si="27"/>
        <v>46132</v>
      </c>
      <c r="L124" s="143">
        <f>IF(t&lt;Tvie,1-EXP((T0-t)*PertePVj)+'2025'!Pspv,1-EXP((T0-t)*PertePVj)+Pspv)</f>
        <v>2.1798599177012323E-2</v>
      </c>
      <c r="M124" s="836"/>
      <c r="N124" s="836"/>
      <c r="O124" s="48">
        <f>IF(t&lt;Tnet,'2025'!Resal+('2025'!Salim-'2025'!Resal)*(1-EXP(('2025'!Tnet-t)/('2025'!Tau_j))),Resal+(Salim-Resal)*(1-EXP((Tnet-t)/(Tau_j))))*Salcycl</f>
        <v>2.2298665463609122E-2</v>
      </c>
      <c r="P124" s="334">
        <f>(INDEX(Models!$BJ124:$BT124,,T124)*(1-R124)+INDEX(Models!$BJ124:$BT124,,T124+1)*R124-ERP_i)*Q124*Ramure*Pc/MaxiM</f>
        <v>6.6281051524878559E-5</v>
      </c>
      <c r="Q124" s="301">
        <f t="shared" si="28"/>
        <v>0.5</v>
      </c>
      <c r="R124" s="173">
        <f t="shared" si="29"/>
        <v>4.7963129257414305E-2</v>
      </c>
      <c r="S124" s="802">
        <f t="shared" si="30"/>
        <v>2</v>
      </c>
      <c r="T124" s="172">
        <f t="shared" si="31"/>
        <v>8</v>
      </c>
      <c r="U124" s="247">
        <f t="shared" si="32"/>
        <v>2.0479631292574143</v>
      </c>
      <c r="V124" s="378">
        <f t="shared" si="33"/>
        <v>56.448944163685269</v>
      </c>
      <c r="W124" s="397">
        <f t="shared" si="34"/>
        <v>11.611605893593387</v>
      </c>
      <c r="X124" s="153">
        <f t="shared" si="35"/>
        <v>46132</v>
      </c>
      <c r="Y124" s="380">
        <f t="shared" si="36"/>
        <v>11.274764071672646</v>
      </c>
      <c r="Z124" s="380">
        <f t="shared" si="37"/>
        <v>11.526015053941732</v>
      </c>
      <c r="AA124" s="381">
        <f t="shared" si="38"/>
        <v>12.141093361938921</v>
      </c>
      <c r="AB124" s="193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5.0660866337244079E-2</v>
      </c>
      <c r="AD124" s="227">
        <f>(INDEX(Models!$BJ124:$BT124,,AH124)*(1-AF124)+INDEX(Models!$BJ124:$BT124,,AH124+1)*AF124-ERP_i)*AE124*Ramure*Pc/MaxiM</f>
        <v>6.6281051524878559E-5</v>
      </c>
      <c r="AE124" s="301">
        <f t="shared" si="40"/>
        <v>0.5</v>
      </c>
      <c r="AF124" s="173">
        <f t="shared" si="41"/>
        <v>4.7963129257414305E-2</v>
      </c>
      <c r="AG124" s="802">
        <f t="shared" si="49"/>
        <v>2</v>
      </c>
      <c r="AH124" s="172">
        <f t="shared" si="42"/>
        <v>8</v>
      </c>
      <c r="AI124" s="221">
        <f t="shared" si="43"/>
        <v>2.0479631292574143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46133</v>
      </c>
      <c r="B125" s="406">
        <f>'2025'!Wh/'2025'!Env_an*'2026'!Env_an</f>
        <v>11.145055262882945</v>
      </c>
      <c r="C125" s="832"/>
      <c r="D125" s="388">
        <f t="shared" si="25"/>
        <v>11.393571734861624</v>
      </c>
      <c r="E125" s="380">
        <f t="shared" si="47"/>
        <v>11.654161517327521</v>
      </c>
      <c r="F125" s="380">
        <f t="shared" si="26"/>
        <v>11.654161517327521</v>
      </c>
      <c r="G125" s="110">
        <f t="shared" si="48"/>
        <v>0.19652280772473527</v>
      </c>
      <c r="H125" s="409" t="b">
        <f>Wh_hp&gt;='2025'!Maxi_hp</f>
        <v>0</v>
      </c>
      <c r="I125" s="375">
        <f>IF(H125,Wh_hp,'2025'!Maxi_hp)</f>
        <v>11.654860886678643</v>
      </c>
      <c r="J125" s="85">
        <f>IF(H125,An,'2025'!An_max)</f>
        <v>2022</v>
      </c>
      <c r="K125" s="193">
        <f t="shared" si="27"/>
        <v>46133</v>
      </c>
      <c r="L125" s="143">
        <f>IF(t&lt;Tvie,1-EXP((T0-t)*PertePVj)+'2025'!Pspv,1-EXP((T0-t)*PertePVj)+Pspv)</f>
        <v>2.1811989932733478E-2</v>
      </c>
      <c r="M125" s="836"/>
      <c r="N125" s="836"/>
      <c r="O125" s="48">
        <f>IF(t&lt;Tnet,'2025'!Resal+('2025'!Salim-'2025'!Resal)*(1-EXP(('2025'!Tnet-t)/('2025'!Tau_j))),Resal+(Salim-Resal)*(1-EXP((Tnet-t)/(Tau_j))))*Salcycl</f>
        <v>2.2360234331611925E-2</v>
      </c>
      <c r="P125" s="334">
        <f>(INDEX(Models!$BJ125:$BT125,,T125)*(1-R125)+INDEX(Models!$BJ125:$BT125,,T125+1)*R125-ERP_i)*Q125*Ramure*Pc/MaxiM</f>
        <v>6.1167813857347162E-5</v>
      </c>
      <c r="Q125" s="301">
        <f t="shared" si="28"/>
        <v>0.5</v>
      </c>
      <c r="R125" s="173">
        <f t="shared" si="29"/>
        <v>5.0002600322887503E-2</v>
      </c>
      <c r="S125" s="802">
        <f t="shared" si="30"/>
        <v>2</v>
      </c>
      <c r="T125" s="172">
        <f t="shared" si="31"/>
        <v>8</v>
      </c>
      <c r="U125" s="247">
        <f t="shared" si="32"/>
        <v>2.0500026003228875</v>
      </c>
      <c r="V125" s="378">
        <f t="shared" si="33"/>
        <v>56.707787117650227</v>
      </c>
      <c r="W125" s="397">
        <f t="shared" si="34"/>
        <v>11.145055262882945</v>
      </c>
      <c r="X125" s="153">
        <f t="shared" si="35"/>
        <v>46133</v>
      </c>
      <c r="Y125" s="380">
        <f t="shared" si="36"/>
        <v>10.821900835295175</v>
      </c>
      <c r="Z125" s="380">
        <f t="shared" si="37"/>
        <v>11.063211493004285</v>
      </c>
      <c r="AA125" s="381">
        <f t="shared" si="38"/>
        <v>11.654161517327521</v>
      </c>
      <c r="AB125" s="193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5.0707210762833972E-2</v>
      </c>
      <c r="AD125" s="227">
        <f>(INDEX(Models!$BJ125:$BT125,,AH125)*(1-AF125)+INDEX(Models!$BJ125:$BT125,,AH125+1)*AF125-ERP_i)*AE125*Ramure*Pc/MaxiM</f>
        <v>6.1167813857347162E-5</v>
      </c>
      <c r="AE125" s="301">
        <f t="shared" si="40"/>
        <v>0.5</v>
      </c>
      <c r="AF125" s="173">
        <f t="shared" si="41"/>
        <v>5.0002600322887503E-2</v>
      </c>
      <c r="AG125" s="802">
        <f t="shared" si="49"/>
        <v>2</v>
      </c>
      <c r="AH125" s="172">
        <f t="shared" si="42"/>
        <v>8</v>
      </c>
      <c r="AI125" s="221">
        <f t="shared" si="43"/>
        <v>2.0500026003228875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46134</v>
      </c>
      <c r="B126" s="406">
        <f>'2025'!Wh/'2025'!Env_an*'2026'!Env_an</f>
        <v>29.644929793590975</v>
      </c>
      <c r="C126" s="832"/>
      <c r="D126" s="388">
        <f t="shared" si="25"/>
        <v>30.306378025735462</v>
      </c>
      <c r="E126" s="380">
        <f t="shared" si="47"/>
        <v>31.001496963126598</v>
      </c>
      <c r="F126" s="380">
        <f t="shared" si="26"/>
        <v>31.002048985030431</v>
      </c>
      <c r="G126" s="110">
        <f t="shared" si="48"/>
        <v>0.52044234929149724</v>
      </c>
      <c r="H126" s="409" t="b">
        <f>Wh_hp&gt;='2025'!Maxi_hp</f>
        <v>0</v>
      </c>
      <c r="I126" s="375">
        <f>IF(H126,Wh_hp,'2025'!Maxi_hp)</f>
        <v>31.003225427552021</v>
      </c>
      <c r="J126" s="85">
        <f>IF(H126,An,'2025'!An_max)</f>
        <v>2022</v>
      </c>
      <c r="K126" s="193">
        <f t="shared" si="27"/>
        <v>46134</v>
      </c>
      <c r="L126" s="143">
        <f>IF(t&lt;Tvie,1-EXP((T0-t)*PertePVj)+'2025'!Pspv,1-EXP((T0-t)*PertePVj)+Pspv)</f>
        <v>2.1825380505146486E-2</v>
      </c>
      <c r="M126" s="836"/>
      <c r="N126" s="836"/>
      <c r="O126" s="48">
        <f>IF(t&lt;Tnet,'2025'!Resal+('2025'!Salim-'2025'!Resal)*(1-EXP(('2025'!Tnet-t)/('2025'!Tau_j))),Resal+(Salim-Resal)*(1-EXP((Tnet-t)/(Tau_j))))*Salcycl</f>
        <v>2.2422108784550556E-2</v>
      </c>
      <c r="P126" s="334">
        <f>(INDEX(Models!$BJ126:$BT126,,T126)*(1-R126)+INDEX(Models!$BJ126:$BT126,,T126+1)*R126-ERP_i)*Q126*Ramure*Pc/MaxiM</f>
        <v>5.6536537841077748E-5</v>
      </c>
      <c r="Q126" s="301">
        <f t="shared" si="28"/>
        <v>0.5</v>
      </c>
      <c r="R126" s="173">
        <f t="shared" si="29"/>
        <v>5.2107883869769722E-2</v>
      </c>
      <c r="S126" s="802">
        <f t="shared" si="30"/>
        <v>2</v>
      </c>
      <c r="T126" s="172">
        <f t="shared" si="31"/>
        <v>8</v>
      </c>
      <c r="U126" s="247">
        <f t="shared" si="32"/>
        <v>2.0521078838697697</v>
      </c>
      <c r="V126" s="378">
        <f t="shared" si="33"/>
        <v>56.958819067802104</v>
      </c>
      <c r="W126" s="397">
        <f t="shared" si="34"/>
        <v>29.644929793590975</v>
      </c>
      <c r="X126" s="153">
        <f t="shared" si="35"/>
        <v>46134</v>
      </c>
      <c r="Y126" s="380">
        <f t="shared" si="36"/>
        <v>28.785760722287606</v>
      </c>
      <c r="Z126" s="380">
        <f t="shared" si="37"/>
        <v>29.42803886810422</v>
      </c>
      <c r="AA126" s="381">
        <f t="shared" si="38"/>
        <v>31.001496963126598</v>
      </c>
      <c r="AB126" s="193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5.0754261863349921E-2</v>
      </c>
      <c r="AD126" s="227">
        <f>(INDEX(Models!$BJ126:$BT126,,AH126)*(1-AF126)+INDEX(Models!$BJ126:$BT126,,AH126+1)*AF126-ERP_i)*AE126*Ramure*Pc/MaxiM</f>
        <v>5.6536537841077748E-5</v>
      </c>
      <c r="AE126" s="301">
        <f t="shared" si="40"/>
        <v>0.5</v>
      </c>
      <c r="AF126" s="173">
        <f t="shared" si="41"/>
        <v>5.2107883869769722E-2</v>
      </c>
      <c r="AG126" s="802">
        <f t="shared" si="49"/>
        <v>2</v>
      </c>
      <c r="AH126" s="172">
        <f t="shared" si="42"/>
        <v>8</v>
      </c>
      <c r="AI126" s="221">
        <f t="shared" si="43"/>
        <v>2.0521078838697697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46135</v>
      </c>
      <c r="B127" s="406">
        <f>'2025'!Wh/'2025'!Env_an*'2026'!Env_an</f>
        <v>9.73263060345956</v>
      </c>
      <c r="C127" s="832"/>
      <c r="D127" s="388">
        <f t="shared" si="25"/>
        <v>9.9499247300542848</v>
      </c>
      <c r="E127" s="380">
        <f t="shared" si="47"/>
        <v>10.178787563398197</v>
      </c>
      <c r="F127" s="380">
        <f t="shared" si="26"/>
        <v>10.178787563398197</v>
      </c>
      <c r="G127" s="110">
        <f t="shared" si="48"/>
        <v>0.17013527931359573</v>
      </c>
      <c r="H127" s="409" t="b">
        <f>Wh_hp&gt;='2025'!Maxi_hp</f>
        <v>0</v>
      </c>
      <c r="I127" s="375">
        <f>IF(H127,Wh_hp,'2025'!Maxi_hp)</f>
        <v>10.179309228480937</v>
      </c>
      <c r="J127" s="85">
        <f>IF(H127,An,'2025'!An_max)</f>
        <v>2022</v>
      </c>
      <c r="K127" s="193">
        <f t="shared" si="27"/>
        <v>46135</v>
      </c>
      <c r="L127" s="143">
        <f>IF(t&lt;Tvie,1-EXP((T0-t)*PertePVj)+'2025'!Pspv,1-EXP((T0-t)*PertePVj)+Pspv)</f>
        <v>2.1838770894253678E-2</v>
      </c>
      <c r="M127" s="836"/>
      <c r="N127" s="836"/>
      <c r="O127" s="48">
        <f>IF(t&lt;Tnet,'2025'!Resal+('2025'!Salim-'2025'!Resal)*(1-EXP(('2025'!Tnet-t)/('2025'!Tau_j))),Resal+(Salim-Resal)*(1-EXP((Tnet-t)/(Tau_j))))*Salcycl</f>
        <v>2.2484292153505499E-2</v>
      </c>
      <c r="P127" s="334">
        <f>(INDEX(Models!$BJ127:$BT127,,T127)*(1-R127)+INDEX(Models!$BJ127:$BT127,,T127+1)*R127-ERP_i)*Q127*Ramure*Pc/MaxiM</f>
        <v>5.2383835795330287E-5</v>
      </c>
      <c r="Q127" s="301">
        <f t="shared" si="28"/>
        <v>0.5</v>
      </c>
      <c r="R127" s="173">
        <f t="shared" si="29"/>
        <v>5.4280352873803395E-2</v>
      </c>
      <c r="S127" s="802">
        <f t="shared" si="30"/>
        <v>2</v>
      </c>
      <c r="T127" s="172">
        <f t="shared" si="31"/>
        <v>8</v>
      </c>
      <c r="U127" s="247">
        <f t="shared" si="32"/>
        <v>2.0542803528738034</v>
      </c>
      <c r="V127" s="378">
        <f t="shared" si="33"/>
        <v>57.202249940165501</v>
      </c>
      <c r="W127" s="397">
        <f t="shared" si="34"/>
        <v>9.73263060345956</v>
      </c>
      <c r="X127" s="153">
        <f t="shared" si="35"/>
        <v>46135</v>
      </c>
      <c r="Y127" s="380">
        <f t="shared" si="36"/>
        <v>9.4506852450113197</v>
      </c>
      <c r="Z127" s="380">
        <f t="shared" si="37"/>
        <v>9.6616845605824277</v>
      </c>
      <c r="AA127" s="381">
        <f t="shared" si="38"/>
        <v>10.178787563398197</v>
      </c>
      <c r="AB127" s="193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5.0802023285682361E-2</v>
      </c>
      <c r="AD127" s="227">
        <f>(INDEX(Models!$BJ127:$BT127,,AH127)*(1-AF127)+INDEX(Models!$BJ127:$BT127,,AH127+1)*AF127-ERP_i)*AE127*Ramure*Pc/MaxiM</f>
        <v>5.2383835795330287E-5</v>
      </c>
      <c r="AE127" s="301">
        <f t="shared" si="40"/>
        <v>0.5</v>
      </c>
      <c r="AF127" s="173">
        <f t="shared" si="41"/>
        <v>5.4280352873803395E-2</v>
      </c>
      <c r="AG127" s="802">
        <f t="shared" si="49"/>
        <v>2</v>
      </c>
      <c r="AH127" s="172">
        <f t="shared" si="42"/>
        <v>8</v>
      </c>
      <c r="AI127" s="221">
        <f t="shared" si="43"/>
        <v>2.0542803528738034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46136</v>
      </c>
      <c r="B128" s="406">
        <f>'2025'!Wh/'2025'!Env_an*'2026'!Env_an</f>
        <v>34.897195419743213</v>
      </c>
      <c r="C128" s="832"/>
      <c r="D128" s="388">
        <f t="shared" si="25"/>
        <v>35.676810837705027</v>
      </c>
      <c r="E128" s="380">
        <f t="shared" si="47"/>
        <v>36.499763234815269</v>
      </c>
      <c r="F128" s="380">
        <f t="shared" si="26"/>
        <v>36.500543962504395</v>
      </c>
      <c r="G128" s="110">
        <f t="shared" si="48"/>
        <v>0.60754319665961143</v>
      </c>
      <c r="H128" s="409" t="b">
        <f>Wh_hp&gt;='2025'!Maxi_hp</f>
        <v>0</v>
      </c>
      <c r="I128" s="375">
        <f>IF(H128,Wh_hp,'2025'!Maxi_hp)</f>
        <v>36.501517073169801</v>
      </c>
      <c r="J128" s="85">
        <f>IF(H128,An,'2025'!An_max)</f>
        <v>2022</v>
      </c>
      <c r="K128" s="193">
        <f t="shared" si="27"/>
        <v>46136</v>
      </c>
      <c r="L128" s="143">
        <f>IF(t&lt;Tvie,1-EXP((T0-t)*PertePVj)+'2025'!Pspv,1-EXP((T0-t)*PertePVj)+Pspv)</f>
        <v>2.1852161100057721E-2</v>
      </c>
      <c r="M128" s="836"/>
      <c r="N128" s="836"/>
      <c r="O128" s="48">
        <f>IF(t&lt;Tnet,'2025'!Resal+('2025'!Salim-'2025'!Resal)*(1-EXP(('2025'!Tnet-t)/('2025'!Tau_j))),Resal+(Salim-Resal)*(1-EXP((Tnet-t)/(Tau_j))))*Salcycl</f>
        <v>2.2546787271356013E-2</v>
      </c>
      <c r="P128" s="334">
        <f>(INDEX(Models!$BJ128:$BT128,,T128)*(1-R128)+INDEX(Models!$BJ128:$BT128,,T128+1)*R128-ERP_i)*Q128*Ramure*Pc/MaxiM</f>
        <v>4.8682037384323683E-5</v>
      </c>
      <c r="Q128" s="301">
        <f t="shared" si="28"/>
        <v>0.5</v>
      </c>
      <c r="R128" s="173">
        <f t="shared" si="29"/>
        <v>5.6521352260384905E-2</v>
      </c>
      <c r="S128" s="802">
        <f t="shared" si="30"/>
        <v>2</v>
      </c>
      <c r="T128" s="172">
        <f t="shared" si="31"/>
        <v>8</v>
      </c>
      <c r="U128" s="247">
        <f t="shared" si="32"/>
        <v>2.0565213522603849</v>
      </c>
      <c r="V128" s="378">
        <f t="shared" si="33"/>
        <v>57.43829106730341</v>
      </c>
      <c r="W128" s="397">
        <f t="shared" si="34"/>
        <v>34.897195419743213</v>
      </c>
      <c r="X128" s="153">
        <f t="shared" si="35"/>
        <v>46136</v>
      </c>
      <c r="Y128" s="380">
        <f t="shared" si="36"/>
        <v>33.88669169889711</v>
      </c>
      <c r="Z128" s="380">
        <f t="shared" si="37"/>
        <v>34.643732114163043</v>
      </c>
      <c r="AA128" s="381">
        <f t="shared" si="38"/>
        <v>36.499763234815269</v>
      </c>
      <c r="AB128" s="193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5.0850497541908853E-2</v>
      </c>
      <c r="AD128" s="227">
        <f>(INDEX(Models!$BJ128:$BT128,,AH128)*(1-AF128)+INDEX(Models!$BJ128:$BT128,,AH128+1)*AF128-ERP_i)*AE128*Ramure*Pc/MaxiM</f>
        <v>4.8682037384323683E-5</v>
      </c>
      <c r="AE128" s="301">
        <f t="shared" si="40"/>
        <v>0.5</v>
      </c>
      <c r="AF128" s="173">
        <f t="shared" si="41"/>
        <v>5.6521352260384905E-2</v>
      </c>
      <c r="AG128" s="802">
        <f t="shared" si="49"/>
        <v>2</v>
      </c>
      <c r="AH128" s="172">
        <f t="shared" si="42"/>
        <v>8</v>
      </c>
      <c r="AI128" s="221">
        <f t="shared" si="43"/>
        <v>2.0565213522603849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46137</v>
      </c>
      <c r="B129" s="406">
        <f>'2025'!Wh/'2025'!Env_an*'2026'!Env_an</f>
        <v>46.054581485198618</v>
      </c>
      <c r="C129" s="832"/>
      <c r="D129" s="388">
        <f t="shared" si="25"/>
        <v>47.08410130944003</v>
      </c>
      <c r="E129" s="380">
        <f t="shared" si="47"/>
        <v>48.173279723510753</v>
      </c>
      <c r="F129" s="380">
        <f t="shared" si="26"/>
        <v>48.174831952644432</v>
      </c>
      <c r="G129" s="110">
        <f t="shared" si="48"/>
        <v>0.79861708620904093</v>
      </c>
      <c r="H129" s="409" t="b">
        <f>Wh_hp&gt;='2025'!Maxi_hp</f>
        <v>0</v>
      </c>
      <c r="I129" s="375">
        <f>IF(H129,Wh_hp,'2025'!Maxi_hp)</f>
        <v>48.17544330333763</v>
      </c>
      <c r="J129" s="85">
        <f>IF(H129,An,'2025'!An_max)</f>
        <v>2022</v>
      </c>
      <c r="K129" s="193">
        <f t="shared" si="27"/>
        <v>46137</v>
      </c>
      <c r="L129" s="143">
        <f>IF(t&lt;Tvie,1-EXP((T0-t)*PertePVj)+'2025'!Pspv,1-EXP((T0-t)*PertePVj)+Pspv)</f>
        <v>2.1865551122561167E-2</v>
      </c>
      <c r="M129" s="836"/>
      <c r="N129" s="836"/>
      <c r="O129" s="48">
        <f>IF(t&lt;Tnet,'2025'!Resal+('2025'!Salim-'2025'!Resal)*(1-EXP(('2025'!Tnet-t)/('2025'!Tau_j))),Resal+(Salim-Resal)*(1-EXP((Tnet-t)/(Tau_j))))*Salcycl</f>
        <v>2.2609596446869079E-2</v>
      </c>
      <c r="P129" s="334">
        <f>(INDEX(Models!$BJ129:$BT129,,T129)*(1-R129)+INDEX(Models!$BJ129:$BT129,,T129+1)*R129-ERP_i)*Q129*Ramure*Pc/MaxiM</f>
        <v>4.523321469420422E-5</v>
      </c>
      <c r="Q129" s="301">
        <f t="shared" si="28"/>
        <v>0.5</v>
      </c>
      <c r="R129" s="173">
        <f t="shared" si="29"/>
        <v>5.8832193765350649E-2</v>
      </c>
      <c r="S129" s="802">
        <f t="shared" si="30"/>
        <v>2</v>
      </c>
      <c r="T129" s="172">
        <f t="shared" si="31"/>
        <v>8</v>
      </c>
      <c r="U129" s="247">
        <f t="shared" si="32"/>
        <v>2.0588321937653506</v>
      </c>
      <c r="V129" s="378">
        <f t="shared" si="33"/>
        <v>57.6671636225661</v>
      </c>
      <c r="W129" s="397">
        <f t="shared" si="34"/>
        <v>46.054581485198618</v>
      </c>
      <c r="X129" s="153">
        <f t="shared" si="35"/>
        <v>46137</v>
      </c>
      <c r="Y129" s="380">
        <f t="shared" si="36"/>
        <v>44.721554039839987</v>
      </c>
      <c r="Z129" s="380">
        <f t="shared" si="37"/>
        <v>45.721274913857613</v>
      </c>
      <c r="AA129" s="381">
        <f t="shared" si="38"/>
        <v>48.173279723510753</v>
      </c>
      <c r="AB129" s="193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5.0899685961311981E-2</v>
      </c>
      <c r="AD129" s="227">
        <f>(INDEX(Models!$BJ129:$BT129,,AH129)*(1-AF129)+INDEX(Models!$BJ129:$BT129,,AH129+1)*AF129-ERP_i)*AE129*Ramure*Pc/MaxiM</f>
        <v>4.523321469420422E-5</v>
      </c>
      <c r="AE129" s="301">
        <f t="shared" si="40"/>
        <v>0.5</v>
      </c>
      <c r="AF129" s="173">
        <f t="shared" si="41"/>
        <v>5.8832193765350649E-2</v>
      </c>
      <c r="AG129" s="802">
        <f t="shared" si="49"/>
        <v>2</v>
      </c>
      <c r="AH129" s="172">
        <f t="shared" si="42"/>
        <v>8</v>
      </c>
      <c r="AI129" s="221">
        <f t="shared" si="43"/>
        <v>2.0588321937653506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46138</v>
      </c>
      <c r="B130" s="406">
        <f>'2025'!Wh/'2025'!Env_an*'2026'!Env_an</f>
        <v>57.502608826477712</v>
      </c>
      <c r="C130" s="832"/>
      <c r="D130" s="388">
        <f t="shared" si="25"/>
        <v>58.788846528893721</v>
      </c>
      <c r="E130" s="380">
        <f t="shared" si="47"/>
        <v>60.152671288790806</v>
      </c>
      <c r="F130" s="380">
        <f t="shared" si="26"/>
        <v>60.155175861937281</v>
      </c>
      <c r="G130" s="110">
        <f t="shared" si="48"/>
        <v>0.99332357991930731</v>
      </c>
      <c r="H130" s="409" t="b">
        <f>Wh_hp&gt;='2025'!Maxi_hp</f>
        <v>0</v>
      </c>
      <c r="I130" s="375">
        <f>IF(H130,Wh_hp,'2025'!Maxi_hp)</f>
        <v>60.155199341869753</v>
      </c>
      <c r="J130" s="85">
        <f>IF(H130,An,'2025'!An_max)</f>
        <v>2022</v>
      </c>
      <c r="K130" s="193">
        <f t="shared" si="27"/>
        <v>46138</v>
      </c>
      <c r="L130" s="143">
        <f>IF(t&lt;Tvie,1-EXP((T0-t)*PertePVj)+'2025'!Pspv,1-EXP((T0-t)*PertePVj)+Pspv)</f>
        <v>2.1878940961766347E-2</v>
      </c>
      <c r="M130" s="836"/>
      <c r="N130" s="836"/>
      <c r="O130" s="48">
        <f>IF(t&lt;Tnet,'2025'!Resal+('2025'!Salim-'2025'!Resal)*(1-EXP(('2025'!Tnet-t)/('2025'!Tau_j))),Resal+(Salim-Resal)*(1-EXP((Tnet-t)/(Tau_j))))*Salcycl</f>
        <v>2.2672721438245138E-2</v>
      </c>
      <c r="P130" s="334">
        <f>(INDEX(Models!$BJ130:$BT130,,T130)*(1-R130)+INDEX(Models!$BJ130:$BT130,,T130+1)*R130-ERP_i)*Q130*Ramure*Pc/MaxiM</f>
        <v>4.2036111839675286E-5</v>
      </c>
      <c r="Q130" s="301">
        <f t="shared" si="28"/>
        <v>0.5</v>
      </c>
      <c r="R130" s="173">
        <f t="shared" si="29"/>
        <v>6.1214150543209556E-2</v>
      </c>
      <c r="S130" s="802">
        <f t="shared" si="30"/>
        <v>2</v>
      </c>
      <c r="T130" s="172">
        <f t="shared" si="31"/>
        <v>8</v>
      </c>
      <c r="U130" s="247">
        <f t="shared" si="32"/>
        <v>2.0612141505432096</v>
      </c>
      <c r="V130" s="378">
        <f t="shared" si="33"/>
        <v>57.889077572350153</v>
      </c>
      <c r="W130" s="397">
        <f t="shared" si="34"/>
        <v>57.502608826477712</v>
      </c>
      <c r="X130" s="153">
        <f t="shared" si="35"/>
        <v>46138</v>
      </c>
      <c r="Y130" s="380">
        <f t="shared" si="36"/>
        <v>55.838894255829878</v>
      </c>
      <c r="Z130" s="380">
        <f t="shared" si="37"/>
        <v>57.087917430931419</v>
      </c>
      <c r="AA130" s="381">
        <f t="shared" si="38"/>
        <v>60.152671288790806</v>
      </c>
      <c r="AB130" s="193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5.0949588641635152E-2</v>
      </c>
      <c r="AD130" s="227">
        <f>(INDEX(Models!$BJ130:$BT130,,AH130)*(1-AF130)+INDEX(Models!$BJ130:$BT130,,AH130+1)*AF130-ERP_i)*AE130*Ramure*Pc/MaxiM</f>
        <v>4.2036111839675286E-5</v>
      </c>
      <c r="AE130" s="301">
        <f t="shared" si="40"/>
        <v>0.5</v>
      </c>
      <c r="AF130" s="173">
        <f t="shared" si="41"/>
        <v>6.1214150543209556E-2</v>
      </c>
      <c r="AG130" s="802">
        <f t="shared" si="49"/>
        <v>2</v>
      </c>
      <c r="AH130" s="172">
        <f t="shared" si="42"/>
        <v>8</v>
      </c>
      <c r="AI130" s="221">
        <f t="shared" si="43"/>
        <v>2.0612141505432096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46139</v>
      </c>
      <c r="B131" s="406">
        <f>'2025'!Wh/'2025'!Env_an*'2026'!Env_an</f>
        <v>45.706732448763361</v>
      </c>
      <c r="C131" s="832"/>
      <c r="D131" s="388">
        <f t="shared" si="25"/>
        <v>46.729755710459983</v>
      </c>
      <c r="E131" s="380">
        <f t="shared" si="47"/>
        <v>47.816929227927808</v>
      </c>
      <c r="F131" s="380">
        <f t="shared" si="26"/>
        <v>47.818228690615783</v>
      </c>
      <c r="G131" s="110">
        <f t="shared" si="48"/>
        <v>0.78662392962681105</v>
      </c>
      <c r="H131" s="409" t="b">
        <f>Wh_hp&gt;='2025'!Maxi_hp</f>
        <v>0</v>
      </c>
      <c r="I131" s="375">
        <f>IF(H131,Wh_hp,'2025'!Maxi_hp)</f>
        <v>47.818782462690812</v>
      </c>
      <c r="J131" s="85">
        <f>IF(H131,An,'2025'!An_max)</f>
        <v>2022</v>
      </c>
      <c r="K131" s="193">
        <f t="shared" si="27"/>
        <v>46139</v>
      </c>
      <c r="L131" s="143">
        <f>IF(t&lt;Tvie,1-EXP((T0-t)*PertePVj)+'2025'!Pspv,1-EXP((T0-t)*PertePVj)+Pspv)</f>
        <v>2.1892330617675926E-2</v>
      </c>
      <c r="M131" s="836"/>
      <c r="N131" s="836"/>
      <c r="O131" s="48">
        <f>IF(t&lt;Tnet,'2025'!Resal+('2025'!Salim-'2025'!Resal)*(1-EXP(('2025'!Tnet-t)/('2025'!Tau_j))),Resal+(Salim-Resal)*(1-EXP((Tnet-t)/(Tau_j))))*Salcycl</f>
        <v>2.2736163426254754E-2</v>
      </c>
      <c r="P131" s="334">
        <f>(INDEX(Models!$BJ131:$BT131,,T131)*(1-R131)+INDEX(Models!$BJ131:$BT131,,T131+1)*R131-ERP_i)*Q131*Ramure*Pc/MaxiM</f>
        <v>3.9090078519516417E-5</v>
      </c>
      <c r="Q131" s="301">
        <f t="shared" si="28"/>
        <v>0.5</v>
      </c>
      <c r="R131" s="173">
        <f t="shared" si="29"/>
        <v>6.3668451530344505E-2</v>
      </c>
      <c r="S131" s="802">
        <f t="shared" si="30"/>
        <v>2</v>
      </c>
      <c r="T131" s="172">
        <f t="shared" si="31"/>
        <v>8</v>
      </c>
      <c r="U131" s="247">
        <f t="shared" si="32"/>
        <v>2.0636684515303445</v>
      </c>
      <c r="V131" s="378">
        <f t="shared" si="33"/>
        <v>58.10424284773805</v>
      </c>
      <c r="W131" s="397">
        <f t="shared" si="34"/>
        <v>45.706732448763361</v>
      </c>
      <c r="X131" s="153">
        <f t="shared" si="35"/>
        <v>46139</v>
      </c>
      <c r="Y131" s="380">
        <f t="shared" si="36"/>
        <v>44.384820278932381</v>
      </c>
      <c r="Z131" s="380">
        <f t="shared" si="37"/>
        <v>45.37825606352871</v>
      </c>
      <c r="AA131" s="381">
        <f t="shared" si="38"/>
        <v>47.816929227927808</v>
      </c>
      <c r="AB131" s="193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5.1000204399883828E-2</v>
      </c>
      <c r="AD131" s="227">
        <f>(INDEX(Models!$BJ131:$BT131,,AH131)*(1-AF131)+INDEX(Models!$BJ131:$BT131,,AH131+1)*AF131-ERP_i)*AE131*Ramure*Pc/MaxiM</f>
        <v>3.9090078519516417E-5</v>
      </c>
      <c r="AE131" s="301">
        <f t="shared" si="40"/>
        <v>0.5</v>
      </c>
      <c r="AF131" s="173">
        <f t="shared" si="41"/>
        <v>6.3668451530344505E-2</v>
      </c>
      <c r="AG131" s="802">
        <f t="shared" si="49"/>
        <v>2</v>
      </c>
      <c r="AH131" s="172">
        <f t="shared" si="42"/>
        <v>8</v>
      </c>
      <c r="AI131" s="221">
        <f t="shared" si="43"/>
        <v>2.0636684515303445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46140</v>
      </c>
      <c r="B132" s="406">
        <f>'2025'!Wh/'2025'!Env_an*'2026'!Env_an</f>
        <v>24.367417503378174</v>
      </c>
      <c r="C132" s="832"/>
      <c r="D132" s="388">
        <f t="shared" si="25"/>
        <v>24.913158172878433</v>
      </c>
      <c r="E132" s="380">
        <f t="shared" si="47"/>
        <v>25.494429195128049</v>
      </c>
      <c r="F132" s="380">
        <f t="shared" si="26"/>
        <v>25.494585441324279</v>
      </c>
      <c r="G132" s="110">
        <f t="shared" si="48"/>
        <v>0.41786110447852798</v>
      </c>
      <c r="H132" s="409" t="b">
        <f>Wh_hp&gt;='2025'!Maxi_hp</f>
        <v>0</v>
      </c>
      <c r="I132" s="375">
        <f>IF(H132,Wh_hp,'2025'!Maxi_hp)</f>
        <v>25.495334159248106</v>
      </c>
      <c r="J132" s="85">
        <f>IF(H132,An,'2025'!An_max)</f>
        <v>2022</v>
      </c>
      <c r="K132" s="193">
        <f t="shared" si="27"/>
        <v>46140</v>
      </c>
      <c r="L132" s="143">
        <f>IF(t&lt;Tvie,1-EXP((T0-t)*PertePVj)+'2025'!Pspv,1-EXP((T0-t)*PertePVj)+Pspv)</f>
        <v>2.1905720090292458E-2</v>
      </c>
      <c r="M132" s="836"/>
      <c r="N132" s="836"/>
      <c r="O132" s="48">
        <f>IF(t&lt;Tnet,'2025'!Resal+('2025'!Salim-'2025'!Resal)*(1-EXP(('2025'!Tnet-t)/('2025'!Tau_j))),Resal+(Salim-Resal)*(1-EXP((Tnet-t)/(Tau_j))))*Salcycl</f>
        <v>2.2799922987124396E-2</v>
      </c>
      <c r="P132" s="334">
        <f>(INDEX(Models!$BJ132:$BT132,,T132)*(1-R132)+INDEX(Models!$BJ132:$BT132,,T132+1)*R132-ERP_i)*Q132*Ramure*Pc/MaxiM</f>
        <v>3.6395059261885668E-5</v>
      </c>
      <c r="Q132" s="301">
        <f t="shared" si="28"/>
        <v>0.5</v>
      </c>
      <c r="R132" s="173">
        <f t="shared" si="29"/>
        <v>6.6196275573221719E-2</v>
      </c>
      <c r="S132" s="802">
        <f t="shared" si="30"/>
        <v>2</v>
      </c>
      <c r="T132" s="172">
        <f t="shared" si="31"/>
        <v>8</v>
      </c>
      <c r="U132" s="247">
        <f t="shared" si="32"/>
        <v>2.0661962755732217</v>
      </c>
      <c r="V132" s="378">
        <f t="shared" si="33"/>
        <v>58.312869329855232</v>
      </c>
      <c r="W132" s="397">
        <f t="shared" si="34"/>
        <v>24.367417503378174</v>
      </c>
      <c r="X132" s="153">
        <f t="shared" si="35"/>
        <v>46140</v>
      </c>
      <c r="Y132" s="380">
        <f t="shared" si="36"/>
        <v>23.662936673877205</v>
      </c>
      <c r="Z132" s="380">
        <f t="shared" si="37"/>
        <v>24.192899559806893</v>
      </c>
      <c r="AA132" s="381">
        <f t="shared" si="38"/>
        <v>25.494429195128049</v>
      </c>
      <c r="AB132" s="193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5.10515307230286E-2</v>
      </c>
      <c r="AD132" s="227">
        <f>(INDEX(Models!$BJ132:$BT132,,AH132)*(1-AF132)+INDEX(Models!$BJ132:$BT132,,AH132+1)*AF132-ERP_i)*AE132*Ramure*Pc/MaxiM</f>
        <v>3.6395059261885668E-5</v>
      </c>
      <c r="AE132" s="301">
        <f t="shared" si="40"/>
        <v>0.5</v>
      </c>
      <c r="AF132" s="173">
        <f t="shared" si="41"/>
        <v>6.6196275573221719E-2</v>
      </c>
      <c r="AG132" s="802">
        <f t="shared" si="49"/>
        <v>2</v>
      </c>
      <c r="AH132" s="172">
        <f t="shared" si="42"/>
        <v>8</v>
      </c>
      <c r="AI132" s="221">
        <f t="shared" si="43"/>
        <v>2.0661962755732217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46141</v>
      </c>
      <c r="B133" s="406">
        <f>'2025'!Wh/'2025'!Env_an*'2026'!Env_an</f>
        <v>44.163945045537815</v>
      </c>
      <c r="C133" s="832"/>
      <c r="D133" s="388">
        <f t="shared" si="25"/>
        <v>45.153673350601196</v>
      </c>
      <c r="E133" s="380">
        <f t="shared" si="47"/>
        <v>46.210223913171916</v>
      </c>
      <c r="F133" s="380">
        <f t="shared" si="26"/>
        <v>46.211243152550523</v>
      </c>
      <c r="G133" s="110">
        <f t="shared" si="48"/>
        <v>0.75473457637941199</v>
      </c>
      <c r="H133" s="409" t="b">
        <f>Wh_hp&gt;='2025'!Maxi_hp</f>
        <v>0</v>
      </c>
      <c r="I133" s="375">
        <f>IF(H133,Wh_hp,'2025'!Maxi_hp)</f>
        <v>46.211775667555173</v>
      </c>
      <c r="J133" s="85">
        <f>IF(H133,An,'2025'!An_max)</f>
        <v>2022</v>
      </c>
      <c r="K133" s="193">
        <f t="shared" si="27"/>
        <v>46141</v>
      </c>
      <c r="L133" s="143">
        <f>IF(t&lt;Tvie,1-EXP((T0-t)*PertePVj)+'2025'!Pspv,1-EXP((T0-t)*PertePVj)+Pspv)</f>
        <v>2.1919109379618273E-2</v>
      </c>
      <c r="M133" s="836"/>
      <c r="N133" s="836"/>
      <c r="O133" s="48">
        <f>IF(t&lt;Tnet,'2025'!Resal+('2025'!Salim-'2025'!Resal)*(1-EXP(('2025'!Tnet-t)/('2025'!Tau_j))),Resal+(Salim-Resal)*(1-EXP((Tnet-t)/(Tau_j))))*Salcycl</f>
        <v>2.2864000065352583E-2</v>
      </c>
      <c r="P133" s="334">
        <f>(INDEX(Models!$BJ133:$BT133,,T133)*(1-R133)+INDEX(Models!$BJ133:$BT133,,T133+1)*R133-ERP_i)*Q133*Ramure*Pc/MaxiM</f>
        <v>3.3951583168960747E-5</v>
      </c>
      <c r="Q133" s="301">
        <f t="shared" si="28"/>
        <v>0.5</v>
      </c>
      <c r="R133" s="173">
        <f t="shared" si="29"/>
        <v>6.8798745334353928E-2</v>
      </c>
      <c r="S133" s="802">
        <f t="shared" si="30"/>
        <v>2</v>
      </c>
      <c r="T133" s="172">
        <f t="shared" si="31"/>
        <v>8</v>
      </c>
      <c r="U133" s="247">
        <f t="shared" si="32"/>
        <v>2.0687987453343539</v>
      </c>
      <c r="V133" s="378">
        <f t="shared" si="33"/>
        <v>58.515166873554243</v>
      </c>
      <c r="W133" s="397">
        <f t="shared" si="34"/>
        <v>44.163945045537815</v>
      </c>
      <c r="X133" s="153">
        <f t="shared" si="35"/>
        <v>46141</v>
      </c>
      <c r="Y133" s="380">
        <f t="shared" si="36"/>
        <v>42.887591971458399</v>
      </c>
      <c r="Z133" s="380">
        <f t="shared" si="37"/>
        <v>43.848716790955251</v>
      </c>
      <c r="AA133" s="381">
        <f t="shared" si="38"/>
        <v>46.210223913171916</v>
      </c>
      <c r="AB133" s="193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5.1103563719013624E-2</v>
      </c>
      <c r="AD133" s="227">
        <f>(INDEX(Models!$BJ133:$BT133,,AH133)*(1-AF133)+INDEX(Models!$BJ133:$BT133,,AH133+1)*AF133-ERP_i)*AE133*Ramure*Pc/MaxiM</f>
        <v>3.3951583168960747E-5</v>
      </c>
      <c r="AE133" s="301">
        <f t="shared" si="40"/>
        <v>0.5</v>
      </c>
      <c r="AF133" s="173">
        <f t="shared" si="41"/>
        <v>6.8798745334353928E-2</v>
      </c>
      <c r="AG133" s="802">
        <f t="shared" si="49"/>
        <v>2</v>
      </c>
      <c r="AH133" s="172">
        <f t="shared" si="42"/>
        <v>8</v>
      </c>
      <c r="AI133" s="221">
        <f t="shared" si="43"/>
        <v>2.0687987453343539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46142</v>
      </c>
      <c r="B134" s="406">
        <f>'2025'!Wh/'2025'!Env_an*'2026'!Env_an</f>
        <v>43.559051652219395</v>
      </c>
      <c r="C134" s="832"/>
      <c r="D134" s="388">
        <f t="shared" si="25"/>
        <v>44.535833758689272</v>
      </c>
      <c r="E134" s="380">
        <f t="shared" si="47"/>
        <v>45.580931308178862</v>
      </c>
      <c r="F134" s="380">
        <f t="shared" si="26"/>
        <v>45.58184526811317</v>
      </c>
      <c r="G134" s="110">
        <f t="shared" si="48"/>
        <v>0.74191012587906136</v>
      </c>
      <c r="H134" s="409" t="b">
        <f>Wh_hp&gt;='2025'!Maxi_hp</f>
        <v>0</v>
      </c>
      <c r="I134" s="375">
        <f>IF(H134,Wh_hp,'2025'!Maxi_hp)</f>
        <v>45.582361552210081</v>
      </c>
      <c r="J134" s="85">
        <f>IF(H134,An,'2025'!An_max)</f>
        <v>2022</v>
      </c>
      <c r="K134" s="193">
        <f t="shared" si="27"/>
        <v>46142</v>
      </c>
      <c r="L134" s="143">
        <f>IF(t&lt;Tvie,1-EXP((T0-t)*PertePVj)+'2025'!Pspv,1-EXP((T0-t)*PertePVj)+Pspv)</f>
        <v>2.1932498485655927E-2</v>
      </c>
      <c r="M134" s="836"/>
      <c r="N134" s="836"/>
      <c r="O134" s="48">
        <f>IF(t&lt;Tnet,'2025'!Resal+('2025'!Salim-'2025'!Resal)*(1-EXP(('2025'!Tnet-t)/('2025'!Tau_j))),Resal+(Salim-Resal)*(1-EXP((Tnet-t)/(Tau_j))))*Salcycl</f>
        <v>2.2928393946660304E-2</v>
      </c>
      <c r="P134" s="334">
        <f>(INDEX(Models!$BJ134:$BT134,,T134)*(1-R134)+INDEX(Models!$BJ134:$BT134,,T134+1)*R134-ERP_i)*Q134*Ramure*Pc/MaxiM</f>
        <v>3.1760754007362122E-5</v>
      </c>
      <c r="Q134" s="301">
        <f t="shared" si="28"/>
        <v>0.5</v>
      </c>
      <c r="R134" s="173">
        <f t="shared" si="29"/>
        <v>7.1476920991632831E-2</v>
      </c>
      <c r="S134" s="802">
        <f t="shared" si="30"/>
        <v>2</v>
      </c>
      <c r="T134" s="172">
        <f t="shared" si="31"/>
        <v>8</v>
      </c>
      <c r="U134" s="247">
        <f t="shared" si="32"/>
        <v>2.0714769209916328</v>
      </c>
      <c r="V134" s="378">
        <f t="shared" si="33"/>
        <v>58.711345290009596</v>
      </c>
      <c r="W134" s="397">
        <f t="shared" si="34"/>
        <v>43.559051652219395</v>
      </c>
      <c r="X134" s="153">
        <f t="shared" si="35"/>
        <v>46142</v>
      </c>
      <c r="Y134" s="380">
        <f t="shared" si="36"/>
        <v>42.300617033855559</v>
      </c>
      <c r="Z134" s="380">
        <f t="shared" si="37"/>
        <v>43.249179599937037</v>
      </c>
      <c r="AA134" s="381">
        <f t="shared" si="38"/>
        <v>45.580931308178862</v>
      </c>
      <c r="AB134" s="193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5.115629806851768E-2</v>
      </c>
      <c r="AD134" s="227">
        <f>(INDEX(Models!$BJ134:$BT134,,AH134)*(1-AF134)+INDEX(Models!$BJ134:$BT134,,AH134+1)*AF134-ERP_i)*AE134*Ramure*Pc/MaxiM</f>
        <v>3.1760754007362122E-5</v>
      </c>
      <c r="AE134" s="301">
        <f t="shared" si="40"/>
        <v>0.5</v>
      </c>
      <c r="AF134" s="173">
        <f t="shared" si="41"/>
        <v>7.1476920991632831E-2</v>
      </c>
      <c r="AG134" s="802">
        <f t="shared" si="49"/>
        <v>2</v>
      </c>
      <c r="AH134" s="172">
        <f t="shared" si="42"/>
        <v>8</v>
      </c>
      <c r="AI134" s="221">
        <f t="shared" si="43"/>
        <v>2.0714769209916328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46143</v>
      </c>
      <c r="B135" s="406">
        <f>'2025'!Wh/'2025'!Env_an*'2026'!Env_an</f>
        <v>49.416472615901277</v>
      </c>
      <c r="C135" s="832"/>
      <c r="D135" s="388">
        <f t="shared" si="25"/>
        <v>50.525295052397794</v>
      </c>
      <c r="E135" s="380">
        <f t="shared" si="47"/>
        <v>51.71436887446999</v>
      </c>
      <c r="F135" s="380">
        <f t="shared" si="26"/>
        <v>51.715556504293446</v>
      </c>
      <c r="G135" s="110">
        <f t="shared" si="48"/>
        <v>0.83898091443853462</v>
      </c>
      <c r="H135" s="409" t="b">
        <f>Wh_hp&gt;='2025'!Maxi_hp</f>
        <v>0</v>
      </c>
      <c r="I135" s="375">
        <f>IF(H135,Wh_hp,'2025'!Maxi_hp)</f>
        <v>51.715899228512008</v>
      </c>
      <c r="J135" s="85">
        <f>IF(H135,An,'2025'!An_max)</f>
        <v>2022</v>
      </c>
      <c r="K135" s="193">
        <f t="shared" si="27"/>
        <v>46143</v>
      </c>
      <c r="L135" s="143">
        <f>IF(t&lt;Tvie,1-EXP((T0-t)*PertePVj)+'2025'!Pspv,1-EXP((T0-t)*PertePVj)+Pspv)</f>
        <v>2.1945887408407971E-2</v>
      </c>
      <c r="M135" s="836"/>
      <c r="N135" s="836"/>
      <c r="O135" s="48">
        <f>IF(t&lt;Tnet,'2025'!Resal+('2025'!Salim-'2025'!Resal)*(1-EXP(('2025'!Tnet-t)/('2025'!Tau_j))),Resal+(Salim-Resal)*(1-EXP((Tnet-t)/(Tau_j))))*Salcycl</f>
        <v>2.2993103231299494E-2</v>
      </c>
      <c r="P135" s="334">
        <f>(INDEX(Models!$BJ135:$BT135,,T135)*(1-R135)+INDEX(Models!$BJ135:$BT135,,T135+1)*R135-ERP_i)*Q135*Ramure*Pc/MaxiM</f>
        <v>2.9824962602856204E-5</v>
      </c>
      <c r="Q135" s="301">
        <f t="shared" si="28"/>
        <v>0.5</v>
      </c>
      <c r="R135" s="173">
        <f t="shared" si="29"/>
        <v>7.4231793749693242E-2</v>
      </c>
      <c r="S135" s="802">
        <f t="shared" si="30"/>
        <v>2</v>
      </c>
      <c r="T135" s="172">
        <f t="shared" si="31"/>
        <v>8</v>
      </c>
      <c r="U135" s="247">
        <f t="shared" si="32"/>
        <v>2.0742317937496932</v>
      </c>
      <c r="V135" s="378">
        <f t="shared" si="33"/>
        <v>58.900188008326289</v>
      </c>
      <c r="W135" s="397">
        <f t="shared" si="34"/>
        <v>49.416472615901277</v>
      </c>
      <c r="X135" s="153">
        <f t="shared" si="35"/>
        <v>46143</v>
      </c>
      <c r="Y135" s="380">
        <f t="shared" si="36"/>
        <v>47.989291273270624</v>
      </c>
      <c r="Z135" s="380">
        <f t="shared" si="37"/>
        <v>49.066090163571147</v>
      </c>
      <c r="AA135" s="381">
        <f t="shared" si="38"/>
        <v>51.71436887446999</v>
      </c>
      <c r="AB135" s="193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5.120972697795468E-2</v>
      </c>
      <c r="AD135" s="227">
        <f>(INDEX(Models!$BJ135:$BT135,,AH135)*(1-AF135)+INDEX(Models!$BJ135:$BT135,,AH135+1)*AF135-ERP_i)*AE135*Ramure*Pc/MaxiM</f>
        <v>2.9824962602856204E-5</v>
      </c>
      <c r="AE135" s="301">
        <f t="shared" si="40"/>
        <v>0.5</v>
      </c>
      <c r="AF135" s="173">
        <f t="shared" si="41"/>
        <v>7.4231793749693242E-2</v>
      </c>
      <c r="AG135" s="802">
        <f t="shared" si="49"/>
        <v>2</v>
      </c>
      <c r="AH135" s="172">
        <f t="shared" si="42"/>
        <v>8</v>
      </c>
      <c r="AI135" s="221">
        <f t="shared" si="43"/>
        <v>2.0742317937496932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46144</v>
      </c>
      <c r="B136" s="406">
        <f>'2025'!Wh/'2025'!Env_an*'2026'!Env_an</f>
        <v>31.762857072719186</v>
      </c>
      <c r="C136" s="832"/>
      <c r="D136" s="388">
        <f t="shared" si="25"/>
        <v>32.476006671396675</v>
      </c>
      <c r="E136" s="380">
        <f t="shared" si="47"/>
        <v>33.242516806084701</v>
      </c>
      <c r="F136" s="380">
        <f t="shared" si="26"/>
        <v>33.242835176632468</v>
      </c>
      <c r="G136" s="110">
        <f t="shared" si="48"/>
        <v>0.53760891979318759</v>
      </c>
      <c r="H136" s="409" t="b">
        <f>Wh_hp&gt;='2025'!Maxi_hp</f>
        <v>0</v>
      </c>
      <c r="I136" s="375">
        <f>IF(H136,Wh_hp,'2025'!Maxi_hp)</f>
        <v>33.243433014495245</v>
      </c>
      <c r="J136" s="85">
        <f>IF(H136,An,'2025'!An_max)</f>
        <v>2022</v>
      </c>
      <c r="K136" s="193">
        <f t="shared" si="27"/>
        <v>46144</v>
      </c>
      <c r="L136" s="143">
        <f>IF(t&lt;Tvie,1-EXP((T0-t)*PertePVj)+'2025'!Pspv,1-EXP((T0-t)*PertePVj)+Pspv)</f>
        <v>2.1959276147876849E-2</v>
      </c>
      <c r="M136" s="836"/>
      <c r="N136" s="836"/>
      <c r="O136" s="48">
        <f>IF(t&lt;Tnet,'2025'!Resal+('2025'!Salim-'2025'!Resal)*(1-EXP(('2025'!Tnet-t)/('2025'!Tau_j))),Resal+(Salim-Resal)*(1-EXP((Tnet-t)/(Tau_j))))*Salcycl</f>
        <v>2.3058125807963067E-2</v>
      </c>
      <c r="P136" s="334">
        <f>(INDEX(Models!$BJ136:$BT136,,T136)*(1-R136)+INDEX(Models!$BJ136:$BT136,,T136+1)*R136-ERP_i)*Q136*Ramure*Pc/MaxiM</f>
        <v>2.8213165472185466E-5</v>
      </c>
      <c r="Q136" s="301">
        <f t="shared" si="28"/>
        <v>0.5</v>
      </c>
      <c r="R136" s="173">
        <f t="shared" si="29"/>
        <v>7.7064279185127926E-2</v>
      </c>
      <c r="S136" s="802">
        <f t="shared" si="30"/>
        <v>2</v>
      </c>
      <c r="T136" s="172">
        <f t="shared" si="31"/>
        <v>8</v>
      </c>
      <c r="U136" s="247">
        <f t="shared" si="32"/>
        <v>2.0770642791851279</v>
      </c>
      <c r="V136" s="378">
        <f t="shared" si="33"/>
        <v>59.080614110996159</v>
      </c>
      <c r="W136" s="397">
        <f t="shared" si="34"/>
        <v>31.762857072719186</v>
      </c>
      <c r="X136" s="153">
        <f t="shared" si="35"/>
        <v>46144</v>
      </c>
      <c r="Y136" s="380">
        <f t="shared" si="36"/>
        <v>30.845817727828788</v>
      </c>
      <c r="Z136" s="380">
        <f t="shared" si="37"/>
        <v>31.538377672392897</v>
      </c>
      <c r="AA136" s="381">
        <f t="shared" si="38"/>
        <v>33.242516806084701</v>
      </c>
      <c r="AB136" s="193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5.1263842134235696E-2</v>
      </c>
      <c r="AD136" s="227">
        <f>(INDEX(Models!$BJ136:$BT136,,AH136)*(1-AF136)+INDEX(Models!$BJ136:$BT136,,AH136+1)*AF136-ERP_i)*AE136*Ramure*Pc/MaxiM</f>
        <v>2.8213165472185466E-5</v>
      </c>
      <c r="AE136" s="301">
        <f t="shared" si="40"/>
        <v>0.5</v>
      </c>
      <c r="AF136" s="173">
        <f t="shared" si="41"/>
        <v>7.7064279185127926E-2</v>
      </c>
      <c r="AG136" s="802">
        <f t="shared" si="49"/>
        <v>2</v>
      </c>
      <c r="AH136" s="172">
        <f t="shared" si="42"/>
        <v>8</v>
      </c>
      <c r="AI136" s="221">
        <f t="shared" si="43"/>
        <v>2.0770642791851279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46145</v>
      </c>
      <c r="B137" s="406">
        <f>'2025'!Wh/'2025'!Env_an*'2026'!Env_an</f>
        <v>35.400913744058165</v>
      </c>
      <c r="C137" s="832"/>
      <c r="D137" s="388">
        <f t="shared" si="25"/>
        <v>36.196241624827834</v>
      </c>
      <c r="E137" s="380">
        <f t="shared" si="47"/>
        <v>37.053035976708259</v>
      </c>
      <c r="F137" s="380">
        <f t="shared" si="26"/>
        <v>37.053455352713776</v>
      </c>
      <c r="G137" s="110">
        <f t="shared" si="48"/>
        <v>0.5974437694505732</v>
      </c>
      <c r="H137" s="409" t="b">
        <f>Wh_hp&gt;='2025'!Maxi_hp</f>
        <v>0</v>
      </c>
      <c r="I137" s="375">
        <f>IF(H137,Wh_hp,'2025'!Maxi_hp)</f>
        <v>37.054002471299164</v>
      </c>
      <c r="J137" s="85">
        <f>IF(H137,An,'2025'!An_max)</f>
        <v>2022</v>
      </c>
      <c r="K137" s="193">
        <f t="shared" si="27"/>
        <v>46145</v>
      </c>
      <c r="L137" s="143">
        <f>IF(t&lt;Tvie,1-EXP((T0-t)*PertePVj)+'2025'!Pspv,1-EXP((T0-t)*PertePVj)+Pspv)</f>
        <v>2.1972664704065226E-2</v>
      </c>
      <c r="M137" s="836"/>
      <c r="N137" s="836"/>
      <c r="O137" s="48">
        <f>IF(t&lt;Tnet,'2025'!Resal+('2025'!Salim-'2025'!Resal)*(1-EXP(('2025'!Tnet-t)/('2025'!Tau_j))),Resal+(Salim-Resal)*(1-EXP((Tnet-t)/(Tau_j))))*Salcycl</f>
        <v>2.312345882855631E-2</v>
      </c>
      <c r="P137" s="334">
        <f>(INDEX(Models!$BJ137:$BT137,,T137)*(1-R137)+INDEX(Models!$BJ137:$BT137,,T137+1)*R137-ERP_i)*Q137*Ramure*Pc/MaxiM</f>
        <v>2.6635120602418438E-5</v>
      </c>
      <c r="Q137" s="301">
        <f t="shared" si="28"/>
        <v>0.5</v>
      </c>
      <c r="R137" s="173">
        <f t="shared" si="29"/>
        <v>7.9975210450691669E-2</v>
      </c>
      <c r="S137" s="802">
        <f t="shared" si="30"/>
        <v>2</v>
      </c>
      <c r="T137" s="172">
        <f t="shared" si="31"/>
        <v>8</v>
      </c>
      <c r="U137" s="247">
        <f t="shared" si="32"/>
        <v>2.0799752104506917</v>
      </c>
      <c r="V137" s="378">
        <f t="shared" si="33"/>
        <v>59.253059974474091</v>
      </c>
      <c r="W137" s="397">
        <f t="shared" si="34"/>
        <v>35.400913744058165</v>
      </c>
      <c r="X137" s="153">
        <f t="shared" si="35"/>
        <v>46145</v>
      </c>
      <c r="Y137" s="380">
        <f t="shared" si="36"/>
        <v>34.379152129151372</v>
      </c>
      <c r="Z137" s="380">
        <f t="shared" si="37"/>
        <v>35.151524797360409</v>
      </c>
      <c r="AA137" s="381">
        <f t="shared" si="38"/>
        <v>37.053035976708259</v>
      </c>
      <c r="AB137" s="193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5.1318633661844873E-2</v>
      </c>
      <c r="AD137" s="227">
        <f>(INDEX(Models!$BJ137:$BT137,,AH137)*(1-AF137)+INDEX(Models!$BJ137:$BT137,,AH137+1)*AF137-ERP_i)*AE137*Ramure*Pc/MaxiM</f>
        <v>2.6635120602418438E-5</v>
      </c>
      <c r="AE137" s="301">
        <f t="shared" si="40"/>
        <v>0.5</v>
      </c>
      <c r="AF137" s="173">
        <f t="shared" si="41"/>
        <v>7.9975210450691669E-2</v>
      </c>
      <c r="AG137" s="802">
        <f t="shared" si="49"/>
        <v>2</v>
      </c>
      <c r="AH137" s="172">
        <f t="shared" si="42"/>
        <v>8</v>
      </c>
      <c r="AI137" s="221">
        <f t="shared" si="43"/>
        <v>2.0799752104506917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46146</v>
      </c>
      <c r="B138" s="406">
        <f>'2025'!Wh/'2025'!Env_an*'2026'!Env_an</f>
        <v>19.923766410542441</v>
      </c>
      <c r="C138" s="832"/>
      <c r="D138" s="388">
        <f t="shared" si="25"/>
        <v>20.371658781784795</v>
      </c>
      <c r="E138" s="380">
        <f t="shared" si="47"/>
        <v>20.855273783637571</v>
      </c>
      <c r="F138" s="380">
        <f t="shared" si="26"/>
        <v>20.855300181999588</v>
      </c>
      <c r="G138" s="110">
        <f t="shared" si="48"/>
        <v>0.33530765441936516</v>
      </c>
      <c r="H138" s="409" t="b">
        <f>Wh_hp&gt;='2025'!Maxi_hp</f>
        <v>0</v>
      </c>
      <c r="I138" s="375">
        <f>IF(H138,Wh_hp,'2025'!Maxi_hp)</f>
        <v>20.855778646437024</v>
      </c>
      <c r="J138" s="85">
        <f>IF(H138,An,'2025'!An_max)</f>
        <v>2022</v>
      </c>
      <c r="K138" s="193">
        <f t="shared" si="27"/>
        <v>46146</v>
      </c>
      <c r="L138" s="143">
        <f>IF(t&lt;Tvie,1-EXP((T0-t)*PertePVj)+'2025'!Pspv,1-EXP((T0-t)*PertePVj)+Pspv)</f>
        <v>2.1986053076975542E-2</v>
      </c>
      <c r="M138" s="836"/>
      <c r="N138" s="836"/>
      <c r="O138" s="48">
        <f>IF(t&lt;Tnet,'2025'!Resal+('2025'!Salim-'2025'!Resal)*(1-EXP(('2025'!Tnet-t)/('2025'!Tau_j))),Resal+(Salim-Resal)*(1-EXP((Tnet-t)/(Tau_j))))*Salcycl</f>
        <v>2.3189098684103834E-2</v>
      </c>
      <c r="P138" s="334">
        <f>(INDEX(Models!$BJ138:$BT138,,T138)*(1-R138)+INDEX(Models!$BJ138:$BT138,,T138+1)*R138-ERP_i)*Q138*Ramure*Pc/MaxiM</f>
        <v>2.5089468346653556E-5</v>
      </c>
      <c r="Q138" s="301">
        <f t="shared" si="28"/>
        <v>0.5</v>
      </c>
      <c r="R138" s="173">
        <f t="shared" si="29"/>
        <v>8.2965331366982475E-2</v>
      </c>
      <c r="S138" s="802">
        <f t="shared" si="30"/>
        <v>2</v>
      </c>
      <c r="T138" s="172">
        <f t="shared" si="31"/>
        <v>8</v>
      </c>
      <c r="U138" s="247">
        <f t="shared" si="32"/>
        <v>2.0829653313669825</v>
      </c>
      <c r="V138" s="378">
        <f t="shared" si="33"/>
        <v>59.417944952595811</v>
      </c>
      <c r="W138" s="397">
        <f t="shared" si="34"/>
        <v>19.923766410542441</v>
      </c>
      <c r="X138" s="153">
        <f t="shared" si="35"/>
        <v>46146</v>
      </c>
      <c r="Y138" s="380">
        <f t="shared" si="36"/>
        <v>19.348884225920632</v>
      </c>
      <c r="Z138" s="380">
        <f t="shared" si="37"/>
        <v>19.7838530695754</v>
      </c>
      <c r="AA138" s="381">
        <f t="shared" si="38"/>
        <v>20.855273783637571</v>
      </c>
      <c r="AB138" s="193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5.1374090082805746E-2</v>
      </c>
      <c r="AD138" s="227">
        <f>(INDEX(Models!$BJ138:$BT138,,AH138)*(1-AF138)+INDEX(Models!$BJ138:$BT138,,AH138+1)*AF138-ERP_i)*AE138*Ramure*Pc/MaxiM</f>
        <v>2.5089468346653556E-5</v>
      </c>
      <c r="AE138" s="301">
        <f t="shared" si="40"/>
        <v>0.5</v>
      </c>
      <c r="AF138" s="173">
        <f t="shared" si="41"/>
        <v>8.2965331366982475E-2</v>
      </c>
      <c r="AG138" s="802">
        <f t="shared" si="49"/>
        <v>2</v>
      </c>
      <c r="AH138" s="172">
        <f t="shared" si="42"/>
        <v>8</v>
      </c>
      <c r="AI138" s="221">
        <f t="shared" si="43"/>
        <v>2.0829653313669825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46147</v>
      </c>
      <c r="B139" s="406">
        <f>'2025'!Wh/'2025'!Env_an*'2026'!Env_an</f>
        <v>40.103360511143883</v>
      </c>
      <c r="C139" s="832"/>
      <c r="D139" s="388">
        <f t="shared" si="25"/>
        <v>41.005457668737748</v>
      </c>
      <c r="E139" s="380">
        <f t="shared" si="47"/>
        <v>41.981744866098019</v>
      </c>
      <c r="F139" s="380">
        <f t="shared" si="26"/>
        <v>41.982272463082296</v>
      </c>
      <c r="G139" s="110">
        <f t="shared" si="48"/>
        <v>0.67314235358949082</v>
      </c>
      <c r="H139" s="409" t="b">
        <f>Wh_hp&gt;='2025'!Maxi_hp</f>
        <v>0</v>
      </c>
      <c r="I139" s="375">
        <f>IF(H139,Wh_hp,'2025'!Maxi_hp)</f>
        <v>41.982717028924689</v>
      </c>
      <c r="J139" s="85">
        <f>IF(H139,An,'2025'!An_max)</f>
        <v>2022</v>
      </c>
      <c r="K139" s="193">
        <f t="shared" si="27"/>
        <v>46147</v>
      </c>
      <c r="L139" s="143">
        <f>IF(t&lt;Tvie,1-EXP((T0-t)*PertePVj)+'2025'!Pspv,1-EXP((T0-t)*PertePVj)+Pspv)</f>
        <v>2.1999441266610131E-2</v>
      </c>
      <c r="M139" s="836"/>
      <c r="N139" s="836"/>
      <c r="O139" s="48">
        <f>IF(t&lt;Tnet,'2025'!Resal+('2025'!Salim-'2025'!Resal)*(1-EXP(('2025'!Tnet-t)/('2025'!Tau_j))),Resal+(Salim-Resal)*(1-EXP((Tnet-t)/(Tau_j))))*Salcycl</f>
        <v>2.3255040982078527E-2</v>
      </c>
      <c r="P139" s="334">
        <f>(INDEX(Models!$BJ139:$BT139,,T139)*(1-R139)+INDEX(Models!$BJ139:$BT139,,T139+1)*R139-ERP_i)*Q139*Ramure*Pc/MaxiM</f>
        <v>2.3574974453997011E-5</v>
      </c>
      <c r="Q139" s="301">
        <f t="shared" si="28"/>
        <v>0.5</v>
      </c>
      <c r="R139" s="173">
        <f t="shared" si="29"/>
        <v>8.6035289433558759E-2</v>
      </c>
      <c r="S139" s="802">
        <f t="shared" si="30"/>
        <v>2</v>
      </c>
      <c r="T139" s="172">
        <f t="shared" si="31"/>
        <v>8</v>
      </c>
      <c r="U139" s="247">
        <f t="shared" si="32"/>
        <v>2.0860352894335588</v>
      </c>
      <c r="V139" s="378">
        <f t="shared" si="33"/>
        <v>59.575688322818763</v>
      </c>
      <c r="W139" s="397">
        <f t="shared" si="34"/>
        <v>40.103360511143883</v>
      </c>
      <c r="X139" s="153">
        <f t="shared" si="35"/>
        <v>46147</v>
      </c>
      <c r="Y139" s="380">
        <f t="shared" si="36"/>
        <v>38.9465401148368</v>
      </c>
      <c r="Z139" s="380">
        <f t="shared" si="37"/>
        <v>39.822615403488655</v>
      </c>
      <c r="AA139" s="381">
        <f t="shared" si="38"/>
        <v>41.981744866098019</v>
      </c>
      <c r="AB139" s="193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5.1430198280132726E-2</v>
      </c>
      <c r="AD139" s="227">
        <f>(INDEX(Models!$BJ139:$BT139,,AH139)*(1-AF139)+INDEX(Models!$BJ139:$BT139,,AH139+1)*AF139-ERP_i)*AE139*Ramure*Pc/MaxiM</f>
        <v>2.3574974453997011E-5</v>
      </c>
      <c r="AE139" s="301">
        <f t="shared" si="40"/>
        <v>0.5</v>
      </c>
      <c r="AF139" s="173">
        <f t="shared" si="41"/>
        <v>8.6035289433558759E-2</v>
      </c>
      <c r="AG139" s="802">
        <f t="shared" si="49"/>
        <v>2</v>
      </c>
      <c r="AH139" s="172">
        <f t="shared" si="42"/>
        <v>8</v>
      </c>
      <c r="AI139" s="221">
        <f t="shared" si="43"/>
        <v>2.0860352894335588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46148</v>
      </c>
      <c r="B140" s="406">
        <f>'2025'!Wh/'2025'!Env_an*'2026'!Env_an</f>
        <v>42.040170489756534</v>
      </c>
      <c r="C140" s="832"/>
      <c r="D140" s="388">
        <f t="shared" si="25"/>
        <v>42.986423286620614</v>
      </c>
      <c r="E140" s="380">
        <f t="shared" si="47"/>
        <v>44.012859530457504</v>
      </c>
      <c r="F140" s="380">
        <f t="shared" si="26"/>
        <v>44.013420501846682</v>
      </c>
      <c r="G140" s="110">
        <f t="shared" si="48"/>
        <v>0.70386897445111207</v>
      </c>
      <c r="H140" s="409" t="b">
        <f>Wh_hp&gt;='2025'!Maxi_hp</f>
        <v>0</v>
      </c>
      <c r="I140" s="375">
        <f>IF(H140,Wh_hp,'2025'!Maxi_hp)</f>
        <v>44.0138157587295</v>
      </c>
      <c r="J140" s="85">
        <f>IF(H140,An,'2025'!An_max)</f>
        <v>2022</v>
      </c>
      <c r="K140" s="193">
        <f t="shared" si="27"/>
        <v>46148</v>
      </c>
      <c r="L140" s="143">
        <f>IF(t&lt;Tvie,1-EXP((T0-t)*PertePVj)+'2025'!Pspv,1-EXP((T0-t)*PertePVj)+Pspv)</f>
        <v>2.2012829272971768E-2</v>
      </c>
      <c r="M140" s="836"/>
      <c r="N140" s="836"/>
      <c r="O140" s="48">
        <f>IF(t&lt;Tnet,'2025'!Resal+('2025'!Salim-'2025'!Resal)*(1-EXP(('2025'!Tnet-t)/('2025'!Tau_j))),Resal+(Salim-Resal)*(1-EXP((Tnet-t)/(Tau_j))))*Salcycl</f>
        <v>2.3321280525447036E-2</v>
      </c>
      <c r="P140" s="334">
        <f>(INDEX(Models!$BJ140:$BT140,,T140)*(1-R140)+INDEX(Models!$BJ140:$BT140,,T140+1)*R140-ERP_i)*Q140*Ramure*Pc/MaxiM</f>
        <v>2.2090526448278244E-5</v>
      </c>
      <c r="Q140" s="301">
        <f t="shared" si="28"/>
        <v>0.5</v>
      </c>
      <c r="R140" s="173">
        <f t="shared" si="29"/>
        <v>8.9185628794900218E-2</v>
      </c>
      <c r="S140" s="802">
        <f t="shared" si="30"/>
        <v>2</v>
      </c>
      <c r="T140" s="172">
        <f t="shared" si="31"/>
        <v>8</v>
      </c>
      <c r="U140" s="247">
        <f t="shared" si="32"/>
        <v>2.0891856287949002</v>
      </c>
      <c r="V140" s="378">
        <f t="shared" si="33"/>
        <v>59.726709291938903</v>
      </c>
      <c r="W140" s="397">
        <f t="shared" si="34"/>
        <v>42.040170489756534</v>
      </c>
      <c r="X140" s="153">
        <f t="shared" si="35"/>
        <v>46148</v>
      </c>
      <c r="Y140" s="380">
        <f t="shared" si="36"/>
        <v>40.827807357089341</v>
      </c>
      <c r="Z140" s="380">
        <f t="shared" si="37"/>
        <v>41.746771920063388</v>
      </c>
      <c r="AA140" s="381">
        <f t="shared" si="38"/>
        <v>44.012859530457504</v>
      </c>
      <c r="AB140" s="193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5.148694346537408E-2</v>
      </c>
      <c r="AD140" s="227">
        <f>(INDEX(Models!$BJ140:$BT140,,AH140)*(1-AF140)+INDEX(Models!$BJ140:$BT140,,AH140+1)*AF140-ERP_i)*AE140*Ramure*Pc/MaxiM</f>
        <v>2.2090526448278244E-5</v>
      </c>
      <c r="AE140" s="301">
        <f t="shared" si="40"/>
        <v>0.5</v>
      </c>
      <c r="AF140" s="173">
        <f t="shared" si="41"/>
        <v>8.9185628794900218E-2</v>
      </c>
      <c r="AG140" s="802">
        <f t="shared" si="49"/>
        <v>2</v>
      </c>
      <c r="AH140" s="172">
        <f t="shared" si="42"/>
        <v>8</v>
      </c>
      <c r="AI140" s="221">
        <f t="shared" si="43"/>
        <v>2.0891856287949002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46149</v>
      </c>
      <c r="B141" s="406">
        <f>'2025'!Wh/'2025'!Env_an*'2026'!Env_an</f>
        <v>48.353774481412174</v>
      </c>
      <c r="C141" s="832"/>
      <c r="D141" s="388">
        <f t="shared" si="25"/>
        <v>49.442812605705392</v>
      </c>
      <c r="E141" s="380">
        <f t="shared" si="47"/>
        <v>50.626864150859134</v>
      </c>
      <c r="F141" s="380">
        <f t="shared" si="26"/>
        <v>50.627621753229604</v>
      </c>
      <c r="G141" s="110">
        <f t="shared" si="48"/>
        <v>0.8076223116078296</v>
      </c>
      <c r="H141" s="409" t="b">
        <f>Wh_hp&gt;='2025'!Maxi_hp</f>
        <v>0</v>
      </c>
      <c r="I141" s="375">
        <f>IF(H141,Wh_hp,'2025'!Maxi_hp)</f>
        <v>50.627897365958461</v>
      </c>
      <c r="J141" s="85">
        <f>IF(H141,An,'2025'!An_max)</f>
        <v>2022</v>
      </c>
      <c r="K141" s="193">
        <f t="shared" si="27"/>
        <v>46149</v>
      </c>
      <c r="L141" s="143">
        <f>IF(t&lt;Tvie,1-EXP((T0-t)*PertePVj)+'2025'!Pspv,1-EXP((T0-t)*PertePVj)+Pspv)</f>
        <v>2.2026217096062783E-2</v>
      </c>
      <c r="M141" s="836"/>
      <c r="N141" s="836"/>
      <c r="O141" s="48">
        <f>IF(t&lt;Tnet,'2025'!Resal+('2025'!Salim-'2025'!Resal)*(1-EXP(('2025'!Tnet-t)/('2025'!Tau_j))),Resal+(Salim-Resal)*(1-EXP((Tnet-t)/(Tau_j))))*Salcycl</f>
        <v>2.3387811293732876E-2</v>
      </c>
      <c r="P141" s="334">
        <f>(INDEX(Models!$BJ141:$BT141,,T141)*(1-R141)+INDEX(Models!$BJ141:$BT141,,T141+1)*R141-ERP_i)*Q141*Ramure*Pc/MaxiM</f>
        <v>2.0635130378953796E-5</v>
      </c>
      <c r="Q141" s="301">
        <f t="shared" si="28"/>
        <v>0.5</v>
      </c>
      <c r="R141" s="173">
        <f t="shared" si="29"/>
        <v>9.2416783200052421E-2</v>
      </c>
      <c r="S141" s="802">
        <f t="shared" si="30"/>
        <v>2</v>
      </c>
      <c r="T141" s="172">
        <f t="shared" si="31"/>
        <v>8</v>
      </c>
      <c r="U141" s="247">
        <f t="shared" si="32"/>
        <v>2.0924167832000524</v>
      </c>
      <c r="V141" s="378">
        <f t="shared" si="33"/>
        <v>59.871426992460201</v>
      </c>
      <c r="W141" s="397">
        <f t="shared" si="34"/>
        <v>48.353774481412174</v>
      </c>
      <c r="X141" s="153">
        <f t="shared" si="35"/>
        <v>46149</v>
      </c>
      <c r="Y141" s="380">
        <f t="shared" si="36"/>
        <v>46.959697115479095</v>
      </c>
      <c r="Z141" s="380">
        <f t="shared" si="37"/>
        <v>48.017337413728782</v>
      </c>
      <c r="AA141" s="381">
        <f t="shared" si="38"/>
        <v>50.626864150859134</v>
      </c>
      <c r="AB141" s="193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5.1544309150857594E-2</v>
      </c>
      <c r="AD141" s="227">
        <f>(INDEX(Models!$BJ141:$BT141,,AH141)*(1-AF141)+INDEX(Models!$BJ141:$BT141,,AH141+1)*AF141-ERP_i)*AE141*Ramure*Pc/MaxiM</f>
        <v>2.0635130378953796E-5</v>
      </c>
      <c r="AE141" s="301">
        <f t="shared" si="40"/>
        <v>0.5</v>
      </c>
      <c r="AF141" s="173">
        <f t="shared" si="41"/>
        <v>9.2416783200052421E-2</v>
      </c>
      <c r="AG141" s="802">
        <f t="shared" si="49"/>
        <v>2</v>
      </c>
      <c r="AH141" s="172">
        <f t="shared" si="42"/>
        <v>8</v>
      </c>
      <c r="AI141" s="221">
        <f t="shared" si="43"/>
        <v>2.0924167832000524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46150</v>
      </c>
      <c r="B142" s="406">
        <f>'2025'!Wh/'2025'!Env_an*'2026'!Env_an</f>
        <v>54.844625732788479</v>
      </c>
      <c r="C142" s="832"/>
      <c r="D142" s="388">
        <f t="shared" si="25"/>
        <v>56.0806204406435</v>
      </c>
      <c r="E142" s="380">
        <f t="shared" si="47"/>
        <v>57.427562464834963</v>
      </c>
      <c r="F142" s="380">
        <f t="shared" si="26"/>
        <v>57.428532875755998</v>
      </c>
      <c r="G142" s="110">
        <f t="shared" si="48"/>
        <v>0.91391869629662392</v>
      </c>
      <c r="H142" s="409" t="b">
        <f>Wh_hp&gt;='2025'!Maxi_hp</f>
        <v>0</v>
      </c>
      <c r="I142" s="375">
        <f>IF(H142,Wh_hp,'2025'!Maxi_hp)</f>
        <v>57.428663358551631</v>
      </c>
      <c r="J142" s="85">
        <f>IF(H142,An,'2025'!An_max)</f>
        <v>2022</v>
      </c>
      <c r="K142" s="193">
        <f t="shared" si="27"/>
        <v>46150</v>
      </c>
      <c r="L142" s="143">
        <f>IF(t&lt;Tvie,1-EXP((T0-t)*PertePVj)+'2025'!Pspv,1-EXP((T0-t)*PertePVj)+Pspv)</f>
        <v>2.2039604735885843E-2</v>
      </c>
      <c r="M142" s="836"/>
      <c r="N142" s="836"/>
      <c r="O142" s="48">
        <f>IF(t&lt;Tnet,'2025'!Resal+('2025'!Salim-'2025'!Resal)*(1-EXP(('2025'!Tnet-t)/('2025'!Tau_j))),Resal+(Salim-Resal)*(1-EXP((Tnet-t)/(Tau_j))))*Salcycl</f>
        <v>2.3454626426400151E-2</v>
      </c>
      <c r="P142" s="334">
        <f>(INDEX(Models!$BJ142:$BT142,,T142)*(1-R142)+INDEX(Models!$BJ142:$BT142,,T142+1)*R142-ERP_i)*Q142*Ramure*Pc/MaxiM</f>
        <v>1.9266978047193593E-5</v>
      </c>
      <c r="Q142" s="301">
        <f t="shared" si="28"/>
        <v>0.5</v>
      </c>
      <c r="R142" s="173">
        <f t="shared" si="29"/>
        <v>9.572906899818534E-2</v>
      </c>
      <c r="S142" s="802">
        <f t="shared" si="30"/>
        <v>2</v>
      </c>
      <c r="T142" s="172">
        <f t="shared" si="31"/>
        <v>8</v>
      </c>
      <c r="U142" s="247">
        <f t="shared" si="32"/>
        <v>2.0957290689981853</v>
      </c>
      <c r="V142" s="378">
        <f t="shared" si="33"/>
        <v>60.010256942363185</v>
      </c>
      <c r="W142" s="397">
        <f t="shared" si="34"/>
        <v>54.844625732788479</v>
      </c>
      <c r="X142" s="153">
        <f t="shared" si="35"/>
        <v>46150</v>
      </c>
      <c r="Y142" s="380">
        <f t="shared" si="36"/>
        <v>53.26380070435588</v>
      </c>
      <c r="Z142" s="380">
        <f t="shared" si="37"/>
        <v>54.464169471782263</v>
      </c>
      <c r="AA142" s="381">
        <f t="shared" si="38"/>
        <v>57.427562464834963</v>
      </c>
      <c r="AB142" s="193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5.1602277127246993E-2</v>
      </c>
      <c r="AD142" s="227">
        <f>(INDEX(Models!$BJ142:$BT142,,AH142)*(1-AF142)+INDEX(Models!$BJ142:$BT142,,AH142+1)*AF142-ERP_i)*AE142*Ramure*Pc/MaxiM</f>
        <v>1.9266978047193593E-5</v>
      </c>
      <c r="AE142" s="301">
        <f t="shared" si="40"/>
        <v>0.5</v>
      </c>
      <c r="AF142" s="173">
        <f t="shared" si="41"/>
        <v>9.572906899818534E-2</v>
      </c>
      <c r="AG142" s="802">
        <f t="shared" si="49"/>
        <v>2</v>
      </c>
      <c r="AH142" s="172">
        <f t="shared" si="42"/>
        <v>8</v>
      </c>
      <c r="AI142" s="221">
        <f t="shared" si="43"/>
        <v>2.0957290689981853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46151</v>
      </c>
      <c r="B143" s="406">
        <f>'2025'!Wh/'2025'!Env_an*'2026'!Env_an</f>
        <v>58.030631211691734</v>
      </c>
      <c r="C143" s="832"/>
      <c r="D143" s="388">
        <f t="shared" ref="D143:D206" si="50">Wh/(1-Ppv)</f>
        <v>59.339238985750008</v>
      </c>
      <c r="E143" s="380">
        <f t="shared" si="47"/>
        <v>60.768621373641722</v>
      </c>
      <c r="F143" s="380">
        <f t="shared" ref="F143:F206" si="51">Wh_sa/(1-Pvg*MEDIAN((-Sdif+Wh/Env_an)/Csdif,0,1))</f>
        <v>60.769661108282023</v>
      </c>
      <c r="G143" s="110">
        <f t="shared" si="48"/>
        <v>0.9648668007221145</v>
      </c>
      <c r="H143" s="409" t="b">
        <f>Wh_hp&gt;='2025'!Maxi_hp</f>
        <v>0</v>
      </c>
      <c r="I143" s="375">
        <f>IF(H143,Wh_hp,'2025'!Maxi_hp)</f>
        <v>60.769713742557045</v>
      </c>
      <c r="J143" s="85">
        <f>IF(H143,An,'2025'!An_max)</f>
        <v>2022</v>
      </c>
      <c r="K143" s="193">
        <f t="shared" ref="K143:K206" si="52">t</f>
        <v>46151</v>
      </c>
      <c r="L143" s="143">
        <f>IF(t&lt;Tvie,1-EXP((T0-t)*PertePVj)+'2025'!Pspv,1-EXP((T0-t)*PertePVj)+Pspv)</f>
        <v>2.2052992192443277E-2</v>
      </c>
      <c r="M143" s="836"/>
      <c r="N143" s="836"/>
      <c r="O143" s="48">
        <f>IF(t&lt;Tnet,'2025'!Resal+('2025'!Salim-'2025'!Resal)*(1-EXP(('2025'!Tnet-t)/('2025'!Tau_j))),Resal+(Salim-Resal)*(1-EXP((Tnet-t)/(Tau_j))))*Salcycl</f>
        <v>2.3521718208860027E-2</v>
      </c>
      <c r="P143" s="334">
        <f>(INDEX(Models!$BJ143:$BT143,,T143)*(1-R143)+INDEX(Models!$BJ143:$BT143,,T143+1)*R143-ERP_i)*Q143*Ramure*Pc/MaxiM</f>
        <v>1.8013517325444E-5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9.912267821553078E-2</v>
      </c>
      <c r="S143" s="802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2.0991226782155308</v>
      </c>
      <c r="V143" s="378">
        <f t="shared" ref="V143:V206" si="58">MaxiM*(1-Ppv)*(1-Pvg)*(1-Psa)</f>
        <v>60.143616406913132</v>
      </c>
      <c r="W143" s="397">
        <f t="shared" ref="W143:W206" si="59">Wh*(A143&gt;Tmaj)</f>
        <v>58.030631211691734</v>
      </c>
      <c r="X143" s="153">
        <f t="shared" ref="X143:X206" si="60">t</f>
        <v>46151</v>
      </c>
      <c r="Y143" s="380">
        <f t="shared" ref="Y143:Y206" si="61">Wh_pvt_s*(1-Ppv)</f>
        <v>56.358366399176717</v>
      </c>
      <c r="Z143" s="380">
        <f t="shared" ref="Z143:Z206" si="62">Wh_sa_s*(1-Psa_s)</f>
        <v>57.629264110665474</v>
      </c>
      <c r="AA143" s="381">
        <f t="shared" ref="AA143:AA206" si="63">Wh_hp*(1-Pvg_s*MEDIAN((-Sdif+Wh/Env_an)/Csdif,0,1))</f>
        <v>60.768621373641722</v>
      </c>
      <c r="AB143" s="193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5.1660827447007569E-2</v>
      </c>
      <c r="AD143" s="227">
        <f>(INDEX(Models!$BJ143:$BT143,,AH143)*(1-AF143)+INDEX(Models!$BJ143:$BT143,,AH143+1)*AF143-ERP_i)*AE143*Ramure*Pc/MaxiM</f>
        <v>1.8013517325444E-5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9.912267821553078E-2</v>
      </c>
      <c r="AG143" s="802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2.0991226782155308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46152</v>
      </c>
      <c r="B144" s="406">
        <f>'2025'!Wh/'2025'!Env_an*'2026'!Env_an</f>
        <v>56.842715873503153</v>
      </c>
      <c r="C144" s="832"/>
      <c r="D144" s="388">
        <f t="shared" si="50"/>
        <v>58.125331494840083</v>
      </c>
      <c r="E144" s="380">
        <f t="shared" ref="E144:E169" si="72">Wh_pvt/(1-Psa)</f>
        <v>59.529579390033774</v>
      </c>
      <c r="F144" s="380">
        <f t="shared" si="51"/>
        <v>59.530502363641439</v>
      </c>
      <c r="G144" s="110">
        <f t="shared" ref="G144:G169" si="73">+Wh_hp/MaxiM</f>
        <v>0.94310308973714874</v>
      </c>
      <c r="H144" s="409" t="b">
        <f>Wh_hp&gt;='2025'!Maxi_hp</f>
        <v>0</v>
      </c>
      <c r="I144" s="375">
        <f>IF(H144,Wh_hp,'2025'!Maxi_hp)</f>
        <v>59.530580514371692</v>
      </c>
      <c r="J144" s="85">
        <f>IF(H144,An,'2025'!An_max)</f>
        <v>2022</v>
      </c>
      <c r="K144" s="193">
        <f t="shared" si="52"/>
        <v>46152</v>
      </c>
      <c r="L144" s="143">
        <f>IF(t&lt;Tvie,1-EXP((T0-t)*PertePVj)+'2025'!Pspv,1-EXP((T0-t)*PertePVj)+Pspv)</f>
        <v>2.206637946573764E-2</v>
      </c>
      <c r="M144" s="836"/>
      <c r="N144" s="836"/>
      <c r="O144" s="48">
        <f>IF(t&lt;Tnet,'2025'!Resal+('2025'!Salim-'2025'!Resal)*(1-EXP(('2025'!Tnet-t)/('2025'!Tau_j))),Resal+(Salim-Resal)*(1-EXP((Tnet-t)/(Tau_j))))*Salcycl</f>
        <v>2.3589078061397848E-2</v>
      </c>
      <c r="P144" s="334">
        <f>(INDEX(Models!$BJ144:$BT144,,T144)*(1-R144)+INDEX(Models!$BJ144:$BT144,,T144+1)*R144-ERP_i)*Q144*Ramure*Pc/MaxiM</f>
        <v>1.6875875214360194E-5</v>
      </c>
      <c r="Q144" s="301">
        <f t="shared" si="53"/>
        <v>0.5</v>
      </c>
      <c r="R144" s="173">
        <f t="shared" si="54"/>
        <v>0.10259767176224877</v>
      </c>
      <c r="S144" s="802">
        <f t="shared" si="55"/>
        <v>2</v>
      </c>
      <c r="T144" s="172">
        <f t="shared" si="56"/>
        <v>8</v>
      </c>
      <c r="U144" s="247">
        <f t="shared" si="57"/>
        <v>2.1025976717622488</v>
      </c>
      <c r="V144" s="378">
        <f t="shared" si="58"/>
        <v>60.271924163825481</v>
      </c>
      <c r="W144" s="397">
        <f t="shared" si="59"/>
        <v>56.842715873503153</v>
      </c>
      <c r="X144" s="153">
        <f t="shared" si="60"/>
        <v>46152</v>
      </c>
      <c r="Y144" s="380">
        <f t="shared" si="61"/>
        <v>55.205050351341711</v>
      </c>
      <c r="Z144" s="380">
        <f t="shared" si="62"/>
        <v>56.450713210148372</v>
      </c>
      <c r="AA144" s="381">
        <f t="shared" si="63"/>
        <v>59.529579390033774</v>
      </c>
      <c r="AB144" s="193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5.1719938414361705E-2</v>
      </c>
      <c r="AD144" s="227">
        <f>(INDEX(Models!$BJ144:$BT144,,AH144)*(1-AF144)+INDEX(Models!$BJ144:$BT144,,AH144+1)*AF144-ERP_i)*AE144*Ramure*Pc/MaxiM</f>
        <v>1.6875875214360194E-5</v>
      </c>
      <c r="AE144" s="301">
        <f t="shared" si="65"/>
        <v>0.5</v>
      </c>
      <c r="AF144" s="173">
        <f t="shared" si="66"/>
        <v>0.10259767176224877</v>
      </c>
      <c r="AG144" s="802">
        <f t="shared" ref="AG144:AG207" si="74">INDEX(Echel_vg,AH144)</f>
        <v>2</v>
      </c>
      <c r="AH144" s="172">
        <f t="shared" si="67"/>
        <v>8</v>
      </c>
      <c r="AI144" s="221">
        <f t="shared" si="68"/>
        <v>2.1025976717622488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46153</v>
      </c>
      <c r="B145" s="406">
        <f>'2025'!Wh/'2025'!Env_an*'2026'!Env_an</f>
        <v>60.636837145410368</v>
      </c>
      <c r="C145" s="832"/>
      <c r="D145" s="388">
        <f t="shared" si="50"/>
        <v>62.005913234710192</v>
      </c>
      <c r="E145" s="380">
        <f t="shared" si="72"/>
        <v>63.508310052846738</v>
      </c>
      <c r="F145" s="380">
        <f t="shared" si="51"/>
        <v>63.509317018832242</v>
      </c>
      <c r="G145" s="110">
        <f t="shared" si="73"/>
        <v>1.0039943016367112</v>
      </c>
      <c r="H145" s="409" t="b">
        <f>Wh_hp&gt;='2025'!Maxi_hp</f>
        <v>1</v>
      </c>
      <c r="I145" s="375">
        <f>IF(H145,Wh_hp,'2025'!Maxi_hp)</f>
        <v>63.509317018832242</v>
      </c>
      <c r="J145" s="85">
        <f>IF(H145,An,'2025'!An_max)</f>
        <v>2026</v>
      </c>
      <c r="K145" s="193">
        <f t="shared" si="52"/>
        <v>46153</v>
      </c>
      <c r="L145" s="143">
        <f>IF(t&lt;Tvie,1-EXP((T0-t)*PertePVj)+'2025'!Pspv,1-EXP((T0-t)*PertePVj)+Pspv)</f>
        <v>2.2079766555771485E-2</v>
      </c>
      <c r="M145" s="836"/>
      <c r="N145" s="836"/>
      <c r="O145" s="48">
        <f>IF(t&lt;Tnet,'2025'!Resal+('2025'!Salim-'2025'!Resal)*(1-EXP(('2025'!Tnet-t)/('2025'!Tau_j))),Resal+(Salim-Resal)*(1-EXP((Tnet-t)/(Tau_j))))*Salcycl</f>
        <v>2.3656696531310122E-2</v>
      </c>
      <c r="P145" s="334">
        <f>(INDEX(Models!$BJ145:$BT145,,T145)*(1-R145)+INDEX(Models!$BJ145:$BT145,,T145+1)*R145-ERP_i)*Q145*Ramure*Pc/MaxiM</f>
        <v>1.585540567542015E-5</v>
      </c>
      <c r="Q145" s="301">
        <f t="shared" si="53"/>
        <v>0.5</v>
      </c>
      <c r="R145" s="173">
        <f t="shared" si="54"/>
        <v>0.10615397282061334</v>
      </c>
      <c r="S145" s="802">
        <f t="shared" si="55"/>
        <v>2</v>
      </c>
      <c r="T145" s="172">
        <f t="shared" si="56"/>
        <v>8</v>
      </c>
      <c r="U145" s="247">
        <f t="shared" si="57"/>
        <v>2.1061539728206133</v>
      </c>
      <c r="V145" s="378">
        <f t="shared" si="58"/>
        <v>60.395598905850576</v>
      </c>
      <c r="W145" s="397">
        <f t="shared" si="59"/>
        <v>60.636837145410368</v>
      </c>
      <c r="X145" s="153">
        <f t="shared" si="60"/>
        <v>46153</v>
      </c>
      <c r="Y145" s="380">
        <f t="shared" si="61"/>
        <v>58.890235209368917</v>
      </c>
      <c r="Z145" s="380">
        <f t="shared" si="62"/>
        <v>60.219876013770474</v>
      </c>
      <c r="AA145" s="381">
        <f t="shared" si="63"/>
        <v>63.508310052846738</v>
      </c>
      <c r="AB145" s="193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5.1779586582289511E-2</v>
      </c>
      <c r="AD145" s="227">
        <f>(INDEX(Models!$BJ145:$BT145,,AH145)*(1-AF145)+INDEX(Models!$BJ145:$BT145,,AH145+1)*AF145-ERP_i)*AE145*Ramure*Pc/MaxiM</f>
        <v>1.585540567542015E-5</v>
      </c>
      <c r="AE145" s="301">
        <f t="shared" si="65"/>
        <v>0.5</v>
      </c>
      <c r="AF145" s="173">
        <f t="shared" si="66"/>
        <v>0.10615397282061334</v>
      </c>
      <c r="AG145" s="802">
        <f t="shared" si="74"/>
        <v>2</v>
      </c>
      <c r="AH145" s="172">
        <f t="shared" si="67"/>
        <v>8</v>
      </c>
      <c r="AI145" s="221">
        <f t="shared" si="68"/>
        <v>2.1061539728206133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46154</v>
      </c>
      <c r="B146" s="406">
        <f>'2025'!Wh/'2025'!Env_an*'2026'!Env_an</f>
        <v>46.17207524909869</v>
      </c>
      <c r="C146" s="832"/>
      <c r="D146" s="388">
        <f t="shared" si="50"/>
        <v>47.215208087133846</v>
      </c>
      <c r="E146" s="380">
        <f t="shared" si="72"/>
        <v>48.362589400154974</v>
      </c>
      <c r="F146" s="380">
        <f t="shared" si="51"/>
        <v>48.363067733458166</v>
      </c>
      <c r="G146" s="110">
        <f t="shared" si="73"/>
        <v>0.76298101728475587</v>
      </c>
      <c r="H146" s="409" t="b">
        <f>Wh_hp&gt;='2025'!Maxi_hp</f>
        <v>0</v>
      </c>
      <c r="I146" s="375">
        <f>IF(H146,Wh_hp,'2025'!Maxi_hp)</f>
        <v>48.363301649060638</v>
      </c>
      <c r="J146" s="85">
        <f>IF(H146,An,'2025'!An_max)</f>
        <v>2022</v>
      </c>
      <c r="K146" s="193">
        <f t="shared" si="52"/>
        <v>46154</v>
      </c>
      <c r="L146" s="143">
        <f>IF(t&lt;Tvie,1-EXP((T0-t)*PertePVj)+'2025'!Pspv,1-EXP((T0-t)*PertePVj)+Pspv)</f>
        <v>2.2093153462547366E-2</v>
      </c>
      <c r="M146" s="836"/>
      <c r="N146" s="836"/>
      <c r="O146" s="48">
        <f>IF(t&lt;Tnet,'2025'!Resal+('2025'!Salim-'2025'!Resal)*(1-EXP(('2025'!Tnet-t)/('2025'!Tau_j))),Resal+(Salim-Resal)*(1-EXP((Tnet-t)/(Tau_j))))*Salcycl</f>
        <v>2.3724563288529284E-2</v>
      </c>
      <c r="P146" s="334">
        <f>(INDEX(Models!$BJ146:$BT146,,T146)*(1-R146)+INDEX(Models!$BJ146:$BT146,,T146+1)*R146-ERP_i)*Q146*Ramure*Pc/MaxiM</f>
        <v>1.4953677474230397E-5</v>
      </c>
      <c r="Q146" s="301">
        <f t="shared" si="53"/>
        <v>0.5</v>
      </c>
      <c r="R146" s="173">
        <f t="shared" si="54"/>
        <v>0.10979136046844218</v>
      </c>
      <c r="S146" s="802">
        <f t="shared" si="55"/>
        <v>2</v>
      </c>
      <c r="T146" s="172">
        <f t="shared" si="56"/>
        <v>8</v>
      </c>
      <c r="U146" s="247">
        <f t="shared" si="57"/>
        <v>2.1097913604684422</v>
      </c>
      <c r="V146" s="378">
        <f t="shared" si="58"/>
        <v>60.51505925028566</v>
      </c>
      <c r="W146" s="397">
        <f t="shared" si="59"/>
        <v>46.17207524909869</v>
      </c>
      <c r="X146" s="153">
        <f t="shared" si="60"/>
        <v>46154</v>
      </c>
      <c r="Y146" s="380">
        <f t="shared" si="61"/>
        <v>44.842392745638747</v>
      </c>
      <c r="Z146" s="380">
        <f t="shared" si="62"/>
        <v>45.855485013133446</v>
      </c>
      <c r="AA146" s="381">
        <f t="shared" si="63"/>
        <v>48.362589400154974</v>
      </c>
      <c r="AB146" s="193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5.1839746757097675E-2</v>
      </c>
      <c r="AD146" s="227">
        <f>(INDEX(Models!$BJ146:$BT146,,AH146)*(1-AF146)+INDEX(Models!$BJ146:$BT146,,AH146+1)*AF146-ERP_i)*AE146*Ramure*Pc/MaxiM</f>
        <v>1.4953677474230397E-5</v>
      </c>
      <c r="AE146" s="301">
        <f t="shared" si="65"/>
        <v>0.5</v>
      </c>
      <c r="AF146" s="173">
        <f t="shared" si="66"/>
        <v>0.10979136046844218</v>
      </c>
      <c r="AG146" s="802">
        <f t="shared" si="74"/>
        <v>2</v>
      </c>
      <c r="AH146" s="172">
        <f t="shared" si="67"/>
        <v>8</v>
      </c>
      <c r="AI146" s="221">
        <f t="shared" si="68"/>
        <v>2.1097913604684422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46155</v>
      </c>
      <c r="B147" s="406">
        <f>'2025'!Wh/'2025'!Env_an*'2026'!Env_an</f>
        <v>48.927136696792836</v>
      </c>
      <c r="C147" s="832"/>
      <c r="D147" s="388">
        <f t="shared" si="50"/>
        <v>50.033197589952593</v>
      </c>
      <c r="E147" s="380">
        <f t="shared" si="72"/>
        <v>51.252634460961481</v>
      </c>
      <c r="F147" s="380">
        <f t="shared" si="51"/>
        <v>51.253160538322561</v>
      </c>
      <c r="G147" s="110">
        <f t="shared" si="73"/>
        <v>0.8069662123393877</v>
      </c>
      <c r="H147" s="409" t="b">
        <f>Wh_hp&gt;='2025'!Maxi_hp</f>
        <v>0</v>
      </c>
      <c r="I147" s="375">
        <f>IF(H147,Wh_hp,'2025'!Maxi_hp)</f>
        <v>51.253351704584936</v>
      </c>
      <c r="J147" s="85">
        <f>IF(H147,An,'2025'!An_max)</f>
        <v>2022</v>
      </c>
      <c r="K147" s="193">
        <f t="shared" si="52"/>
        <v>46155</v>
      </c>
      <c r="L147" s="143">
        <f>IF(t&lt;Tvie,1-EXP((T0-t)*PertePVj)+'2025'!Pspv,1-EXP((T0-t)*PertePVj)+Pspv)</f>
        <v>2.2106540186067725E-2</v>
      </c>
      <c r="M147" s="836"/>
      <c r="N147" s="836"/>
      <c r="O147" s="48">
        <f>IF(t&lt;Tnet,'2025'!Resal+('2025'!Salim-'2025'!Resal)*(1-EXP(('2025'!Tnet-t)/('2025'!Tau_j))),Resal+(Salim-Resal)*(1-EXP((Tnet-t)/(Tau_j))))*Salcycl</f>
        <v>2.3792667124998647E-2</v>
      </c>
      <c r="P147" s="334">
        <f>(INDEX(Models!$BJ147:$BT147,,T147)*(1-R147)+INDEX(Models!$BJ147:$BT147,,T147+1)*R147-ERP_i)*Q147*Ramure*Pc/MaxiM</f>
        <v>1.4172461435696598E-5</v>
      </c>
      <c r="Q147" s="301">
        <f t="shared" si="53"/>
        <v>0.5</v>
      </c>
      <c r="R147" s="173">
        <f t="shared" si="54"/>
        <v>0.11350946359389402</v>
      </c>
      <c r="S147" s="802">
        <f t="shared" si="55"/>
        <v>2</v>
      </c>
      <c r="T147" s="172">
        <f t="shared" si="56"/>
        <v>8</v>
      </c>
      <c r="U147" s="247">
        <f t="shared" si="57"/>
        <v>2.113509463593894</v>
      </c>
      <c r="V147" s="378">
        <f t="shared" si="58"/>
        <v>60.630723729322654</v>
      </c>
      <c r="W147" s="397">
        <f t="shared" si="59"/>
        <v>48.927136696792836</v>
      </c>
      <c r="X147" s="153">
        <f t="shared" si="60"/>
        <v>46155</v>
      </c>
      <c r="Y147" s="380">
        <f t="shared" si="61"/>
        <v>47.518388317813773</v>
      </c>
      <c r="Z147" s="380">
        <f t="shared" si="62"/>
        <v>48.592602640839104</v>
      </c>
      <c r="AA147" s="381">
        <f t="shared" si="63"/>
        <v>51.252634460961481</v>
      </c>
      <c r="AB147" s="193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5.1900392011038854E-2</v>
      </c>
      <c r="AD147" s="227">
        <f>(INDEX(Models!$BJ147:$BT147,,AH147)*(1-AF147)+INDEX(Models!$BJ147:$BT147,,AH147+1)*AF147-ERP_i)*AE147*Ramure*Pc/MaxiM</f>
        <v>1.4172461435696598E-5</v>
      </c>
      <c r="AE147" s="301">
        <f t="shared" si="65"/>
        <v>0.5</v>
      </c>
      <c r="AF147" s="173">
        <f t="shared" si="66"/>
        <v>0.11350946359389402</v>
      </c>
      <c r="AG147" s="802">
        <f t="shared" si="74"/>
        <v>2</v>
      </c>
      <c r="AH147" s="172">
        <f t="shared" si="67"/>
        <v>8</v>
      </c>
      <c r="AI147" s="221">
        <f t="shared" si="68"/>
        <v>2.113509463593894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46156</v>
      </c>
      <c r="B148" s="406">
        <f>'2025'!Wh/'2025'!Env_an*'2026'!Env_an</f>
        <v>54.775079625612044</v>
      </c>
      <c r="C148" s="832"/>
      <c r="D148" s="388">
        <f t="shared" si="50"/>
        <v>56.014107580943559</v>
      </c>
      <c r="E148" s="380">
        <f t="shared" si="72"/>
        <v>57.38333101023774</v>
      </c>
      <c r="F148" s="380">
        <f t="shared" si="51"/>
        <v>57.383997639704234</v>
      </c>
      <c r="G148" s="110">
        <f t="shared" si="73"/>
        <v>0.90174943609043268</v>
      </c>
      <c r="H148" s="409" t="b">
        <f>Wh_hp&gt;='2025'!Maxi_hp</f>
        <v>0</v>
      </c>
      <c r="I148" s="375">
        <f>IF(H148,Wh_hp,'2025'!Maxi_hp)</f>
        <v>57.384101419419501</v>
      </c>
      <c r="J148" s="85">
        <f>IF(H148,An,'2025'!An_max)</f>
        <v>2022</v>
      </c>
      <c r="K148" s="193">
        <f t="shared" si="52"/>
        <v>46156</v>
      </c>
      <c r="L148" s="143">
        <f>IF(t&lt;Tvie,1-EXP((T0-t)*PertePVj)+'2025'!Pspv,1-EXP((T0-t)*PertePVj)+Pspv)</f>
        <v>2.2119926726335004E-2</v>
      </c>
      <c r="M148" s="836"/>
      <c r="N148" s="836"/>
      <c r="O148" s="48">
        <f>IF(t&lt;Tnet,'2025'!Resal+('2025'!Salim-'2025'!Resal)*(1-EXP(('2025'!Tnet-t)/('2025'!Tau_j))),Resal+(Salim-Resal)*(1-EXP((Tnet-t)/(Tau_j))))*Salcycl</f>
        <v>2.3860995958040532E-2</v>
      </c>
      <c r="P148" s="334">
        <f>(INDEX(Models!$BJ148:$BT148,,T148)*(1-R148)+INDEX(Models!$BJ148:$BT148,,T148+1)*R148-ERP_i)*Q148*Ramure*Pc/MaxiM</f>
        <v>1.3513717011163647E-5</v>
      </c>
      <c r="Q148" s="301">
        <f t="shared" si="53"/>
        <v>0.5</v>
      </c>
      <c r="R148" s="173">
        <f t="shared" si="54"/>
        <v>0.11730775515949654</v>
      </c>
      <c r="S148" s="802">
        <f t="shared" si="55"/>
        <v>2</v>
      </c>
      <c r="T148" s="172">
        <f t="shared" si="56"/>
        <v>8</v>
      </c>
      <c r="U148" s="247">
        <f t="shared" si="57"/>
        <v>2.1173077551594965</v>
      </c>
      <c r="V148" s="378">
        <f t="shared" si="58"/>
        <v>60.743010795376065</v>
      </c>
      <c r="W148" s="397">
        <f t="shared" si="59"/>
        <v>54.775079625612044</v>
      </c>
      <c r="X148" s="153">
        <f t="shared" si="60"/>
        <v>46156</v>
      </c>
      <c r="Y148" s="380">
        <f t="shared" si="61"/>
        <v>53.198247847403337</v>
      </c>
      <c r="Z148" s="380">
        <f t="shared" si="62"/>
        <v>54.401607417268153</v>
      </c>
      <c r="AA148" s="381">
        <f t="shared" si="63"/>
        <v>57.38333101023774</v>
      </c>
      <c r="AB148" s="193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5.1961493703417433E-2</v>
      </c>
      <c r="AD148" s="227">
        <f>(INDEX(Models!$BJ148:$BT148,,AH148)*(1-AF148)+INDEX(Models!$BJ148:$BT148,,AH148+1)*AF148-ERP_i)*AE148*Ramure*Pc/MaxiM</f>
        <v>1.3513717011163647E-5</v>
      </c>
      <c r="AE148" s="301">
        <f t="shared" si="65"/>
        <v>0.5</v>
      </c>
      <c r="AF148" s="173">
        <f t="shared" si="66"/>
        <v>0.11730775515949654</v>
      </c>
      <c r="AG148" s="802">
        <f t="shared" si="74"/>
        <v>2</v>
      </c>
      <c r="AH148" s="172">
        <f t="shared" si="67"/>
        <v>8</v>
      </c>
      <c r="AI148" s="221">
        <f t="shared" si="68"/>
        <v>2.1173077551594965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46157</v>
      </c>
      <c r="B149" s="406">
        <f>'2025'!Wh/'2025'!Env_an*'2026'!Env_an</f>
        <v>56.543419157084649</v>
      </c>
      <c r="C149" s="832"/>
      <c r="D149" s="388">
        <f t="shared" si="50"/>
        <v>57.823239009577101</v>
      </c>
      <c r="E149" s="380">
        <f t="shared" si="72"/>
        <v>59.240844992126817</v>
      </c>
      <c r="F149" s="380">
        <f t="shared" si="51"/>
        <v>59.241536182151748</v>
      </c>
      <c r="G149" s="110">
        <f t="shared" si="73"/>
        <v>0.92921216291519759</v>
      </c>
      <c r="H149" s="409" t="b">
        <f>Wh_hp&gt;='2025'!Maxi_hp</f>
        <v>0</v>
      </c>
      <c r="I149" s="375">
        <f>IF(H149,Wh_hp,'2025'!Maxi_hp)</f>
        <v>59.241610255931469</v>
      </c>
      <c r="J149" s="85">
        <f>IF(H149,An,'2025'!An_max)</f>
        <v>2022</v>
      </c>
      <c r="K149" s="193">
        <f t="shared" si="52"/>
        <v>46157</v>
      </c>
      <c r="L149" s="143">
        <f>IF(t&lt;Tvie,1-EXP((T0-t)*PertePVj)+'2025'!Pspv,1-EXP((T0-t)*PertePVj)+Pspv)</f>
        <v>2.2133313083351869E-2</v>
      </c>
      <c r="M149" s="836"/>
      <c r="N149" s="836"/>
      <c r="O149" s="48">
        <f>IF(t&lt;Tnet,'2025'!Resal+('2025'!Salim-'2025'!Resal)*(1-EXP(('2025'!Tnet-t)/('2025'!Tau_j))),Resal+(Salim-Resal)*(1-EXP((Tnet-t)/(Tau_j))))*Salcycl</f>
        <v>2.3929536837938786E-2</v>
      </c>
      <c r="P149" s="334">
        <f>(INDEX(Models!$BJ149:$BT149,,T149)*(1-R149)+INDEX(Models!$BJ149:$BT149,,T149+1)*R149-ERP_i)*Q149*Ramure*Pc/MaxiM</f>
        <v>1.2979896795030872E-5</v>
      </c>
      <c r="Q149" s="301">
        <f t="shared" si="53"/>
        <v>0.5</v>
      </c>
      <c r="R149" s="173">
        <f t="shared" si="54"/>
        <v>0.12118554687453598</v>
      </c>
      <c r="S149" s="802">
        <f t="shared" si="55"/>
        <v>2</v>
      </c>
      <c r="T149" s="172">
        <f t="shared" si="56"/>
        <v>8</v>
      </c>
      <c r="U149" s="247">
        <f t="shared" si="57"/>
        <v>2.121185546874536</v>
      </c>
      <c r="V149" s="378">
        <f t="shared" si="58"/>
        <v>60.850844613687165</v>
      </c>
      <c r="W149" s="397">
        <f t="shared" si="59"/>
        <v>56.543419157084649</v>
      </c>
      <c r="X149" s="153">
        <f t="shared" si="60"/>
        <v>46157</v>
      </c>
      <c r="Y149" s="380">
        <f t="shared" si="61"/>
        <v>54.91597345579661</v>
      </c>
      <c r="Z149" s="380">
        <f t="shared" si="62"/>
        <v>56.158957238797484</v>
      </c>
      <c r="AA149" s="381">
        <f t="shared" si="63"/>
        <v>59.240844992126817</v>
      </c>
      <c r="AB149" s="193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5.2023021510562775E-2</v>
      </c>
      <c r="AD149" s="227">
        <f>(INDEX(Models!$BJ149:$BT149,,AH149)*(1-AF149)+INDEX(Models!$BJ149:$BT149,,AH149+1)*AF149-ERP_i)*AE149*Ramure*Pc/MaxiM</f>
        <v>1.2979896795030872E-5</v>
      </c>
      <c r="AE149" s="301">
        <f t="shared" si="65"/>
        <v>0.5</v>
      </c>
      <c r="AF149" s="173">
        <f t="shared" si="66"/>
        <v>0.12118554687453598</v>
      </c>
      <c r="AG149" s="802">
        <f t="shared" si="74"/>
        <v>2</v>
      </c>
      <c r="AH149" s="172">
        <f t="shared" si="67"/>
        <v>8</v>
      </c>
      <c r="AI149" s="221">
        <f t="shared" si="68"/>
        <v>2.121185546874536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46158</v>
      </c>
      <c r="B150" s="406">
        <f>'2025'!Wh/'2025'!Env_an*'2026'!Env_an</f>
        <v>55.263409135997875</v>
      </c>
      <c r="C150" s="832"/>
      <c r="D150" s="388">
        <f t="shared" si="50"/>
        <v>56.51503052044108</v>
      </c>
      <c r="E150" s="380">
        <f t="shared" si="72"/>
        <v>57.904642100940457</v>
      </c>
      <c r="F150" s="380">
        <f t="shared" si="51"/>
        <v>57.905272265896066</v>
      </c>
      <c r="G150" s="110">
        <f t="shared" si="73"/>
        <v>0.90665440443017642</v>
      </c>
      <c r="H150" s="409" t="b">
        <f>Wh_hp&gt;='2025'!Maxi_hp</f>
        <v>0</v>
      </c>
      <c r="I150" s="375">
        <f>IF(H150,Wh_hp,'2025'!Maxi_hp)</f>
        <v>57.905364539166378</v>
      </c>
      <c r="J150" s="85">
        <f>IF(H150,An,'2025'!An_max)</f>
        <v>2022</v>
      </c>
      <c r="K150" s="193">
        <f t="shared" si="52"/>
        <v>46158</v>
      </c>
      <c r="L150" s="143">
        <f>IF(t&lt;Tvie,1-EXP((T0-t)*PertePVj)+'2025'!Pspv,1-EXP((T0-t)*PertePVj)+Pspv)</f>
        <v>2.214669925712065E-2</v>
      </c>
      <c r="M150" s="836"/>
      <c r="N150" s="836"/>
      <c r="O150" s="48">
        <f>IF(t&lt;Tnet,'2025'!Resal+('2025'!Salim-'2025'!Resal)*(1-EXP(('2025'!Tnet-t)/('2025'!Tau_j))),Resal+(Salim-Resal)*(1-EXP((Tnet-t)/(Tau_j))))*Salcycl</f>
        <v>2.3998275959930482E-2</v>
      </c>
      <c r="P150" s="334">
        <f>(INDEX(Models!$BJ150:$BT150,,T150)*(1-R150)+INDEX(Models!$BJ150:$BT150,,T150+1)*R150-ERP_i)*Q150*Ramure*Pc/MaxiM</f>
        <v>1.2557168963001586E-5</v>
      </c>
      <c r="Q150" s="301">
        <f t="shared" si="53"/>
        <v>0.5</v>
      </c>
      <c r="R150" s="173">
        <f t="shared" si="54"/>
        <v>0.12514198433566204</v>
      </c>
      <c r="S150" s="802">
        <f t="shared" si="55"/>
        <v>2</v>
      </c>
      <c r="T150" s="172">
        <f t="shared" si="56"/>
        <v>8</v>
      </c>
      <c r="U150" s="247">
        <f t="shared" si="57"/>
        <v>2.125141984335662</v>
      </c>
      <c r="V150" s="378">
        <f t="shared" si="58"/>
        <v>60.953011784179516</v>
      </c>
      <c r="W150" s="397">
        <f t="shared" si="59"/>
        <v>55.263409135997875</v>
      </c>
      <c r="X150" s="153">
        <f t="shared" si="60"/>
        <v>46158</v>
      </c>
      <c r="Y150" s="380">
        <f t="shared" si="61"/>
        <v>53.673078955868803</v>
      </c>
      <c r="Z150" s="380">
        <f t="shared" si="62"/>
        <v>54.888682090752404</v>
      </c>
      <c r="AA150" s="381">
        <f t="shared" si="63"/>
        <v>57.904642100940457</v>
      </c>
      <c r="AB150" s="193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5.2084943464991582E-2</v>
      </c>
      <c r="AD150" s="227">
        <f>(INDEX(Models!$BJ150:$BT150,,AH150)*(1-AF150)+INDEX(Models!$BJ150:$BT150,,AH150+1)*AF150-ERP_i)*AE150*Ramure*Pc/MaxiM</f>
        <v>1.2557168963001586E-5</v>
      </c>
      <c r="AE150" s="301">
        <f t="shared" si="65"/>
        <v>0.5</v>
      </c>
      <c r="AF150" s="173">
        <f t="shared" si="66"/>
        <v>0.12514198433566204</v>
      </c>
      <c r="AG150" s="802">
        <f t="shared" si="74"/>
        <v>2</v>
      </c>
      <c r="AH150" s="172">
        <f t="shared" si="67"/>
        <v>8</v>
      </c>
      <c r="AI150" s="221">
        <f t="shared" si="68"/>
        <v>2.125141984335662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46159</v>
      </c>
      <c r="B151" s="406">
        <f>'2025'!Wh/'2025'!Env_an*'2026'!Env_an</f>
        <v>59.018788703054433</v>
      </c>
      <c r="C151" s="832"/>
      <c r="D151" s="388">
        <f t="shared" si="50"/>
        <v>60.356289217342194</v>
      </c>
      <c r="E151" s="380">
        <f t="shared" si="72"/>
        <v>61.844718341011777</v>
      </c>
      <c r="F151" s="380">
        <f t="shared" si="51"/>
        <v>61.845435549783893</v>
      </c>
      <c r="G151" s="110">
        <f t="shared" si="73"/>
        <v>0.96673248498881814</v>
      </c>
      <c r="H151" s="409" t="b">
        <f>Wh_hp&gt;='2025'!Maxi_hp</f>
        <v>0</v>
      </c>
      <c r="I151" s="375">
        <f>IF(H151,Wh_hp,'2025'!Maxi_hp)</f>
        <v>61.845469570151174</v>
      </c>
      <c r="J151" s="85">
        <f>IF(H151,An,'2025'!An_max)</f>
        <v>2022</v>
      </c>
      <c r="K151" s="193">
        <f t="shared" si="52"/>
        <v>46159</v>
      </c>
      <c r="L151" s="143">
        <f>IF(t&lt;Tvie,1-EXP((T0-t)*PertePVj)+'2025'!Pspv,1-EXP((T0-t)*PertePVj)+Pspv)</f>
        <v>2.2160085247644012E-2</v>
      </c>
      <c r="M151" s="836"/>
      <c r="N151" s="836"/>
      <c r="O151" s="48">
        <f>IF(t&lt;Tnet,'2025'!Resal+('2025'!Salim-'2025'!Resal)*(1-EXP(('2025'!Tnet-t)/('2025'!Tau_j))),Resal+(Salim-Resal)*(1-EXP((Tnet-t)/(Tau_j))))*Salcycl</f>
        <v>2.4067198680773071E-2</v>
      </c>
      <c r="P151" s="334">
        <f>(INDEX(Models!$BJ151:$BT151,,T151)*(1-R151)+INDEX(Models!$BJ151:$BT151,,T151+1)*R151-ERP_i)*Q151*Ramure*Pc/MaxiM</f>
        <v>1.2175421370730078E-5</v>
      </c>
      <c r="Q151" s="301">
        <f t="shared" si="53"/>
        <v>0.5</v>
      </c>
      <c r="R151" s="173">
        <f t="shared" si="54"/>
        <v>0.1291760426956361</v>
      </c>
      <c r="S151" s="802">
        <f t="shared" si="55"/>
        <v>2</v>
      </c>
      <c r="T151" s="172">
        <f t="shared" si="56"/>
        <v>8</v>
      </c>
      <c r="U151" s="247">
        <f t="shared" si="57"/>
        <v>2.1291760426956361</v>
      </c>
      <c r="V151" s="378">
        <f t="shared" si="58"/>
        <v>61.049727271191152</v>
      </c>
      <c r="W151" s="397">
        <f t="shared" si="59"/>
        <v>59.018788703054433</v>
      </c>
      <c r="X151" s="153">
        <f t="shared" si="60"/>
        <v>46159</v>
      </c>
      <c r="Y151" s="380">
        <f t="shared" si="61"/>
        <v>57.320670556880707</v>
      </c>
      <c r="Z151" s="380">
        <f t="shared" si="62"/>
        <v>58.619687836528456</v>
      </c>
      <c r="AA151" s="381">
        <f t="shared" si="63"/>
        <v>61.844718341011777</v>
      </c>
      <c r="AB151" s="193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5.214722600401387E-2</v>
      </c>
      <c r="AD151" s="227">
        <f>(INDEX(Models!$BJ151:$BT151,,AH151)*(1-AF151)+INDEX(Models!$BJ151:$BT151,,AH151+1)*AF151-ERP_i)*AE151*Ramure*Pc/MaxiM</f>
        <v>1.2175421370730078E-5</v>
      </c>
      <c r="AE151" s="301">
        <f t="shared" si="65"/>
        <v>0.5</v>
      </c>
      <c r="AF151" s="173">
        <f t="shared" si="66"/>
        <v>0.1291760426956361</v>
      </c>
      <c r="AG151" s="802">
        <f t="shared" si="74"/>
        <v>2</v>
      </c>
      <c r="AH151" s="172">
        <f t="shared" si="67"/>
        <v>8</v>
      </c>
      <c r="AI151" s="221">
        <f t="shared" si="68"/>
        <v>2.1291760426956361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46160</v>
      </c>
      <c r="B152" s="406">
        <f>'2025'!Wh/'2025'!Env_an*'2026'!Env_an</f>
        <v>56.351121676569065</v>
      </c>
      <c r="C152" s="832"/>
      <c r="D152" s="388">
        <f t="shared" si="50"/>
        <v>57.628955656749525</v>
      </c>
      <c r="E152" s="380">
        <f t="shared" si="72"/>
        <v>59.05430752167819</v>
      </c>
      <c r="F152" s="380">
        <f t="shared" si="51"/>
        <v>59.054928230197582</v>
      </c>
      <c r="G152" s="110">
        <f t="shared" si="73"/>
        <v>0.92165422709080369</v>
      </c>
      <c r="H152" s="409" t="b">
        <f>Wh_hp&gt;='2025'!Maxi_hp</f>
        <v>0</v>
      </c>
      <c r="I152" s="375">
        <f>IF(H152,Wh_hp,'2025'!Maxi_hp)</f>
        <v>59.055002518702814</v>
      </c>
      <c r="J152" s="85">
        <f>IF(H152,An,'2025'!An_max)</f>
        <v>2022</v>
      </c>
      <c r="K152" s="193">
        <f t="shared" si="52"/>
        <v>46160</v>
      </c>
      <c r="L152" s="143">
        <f>IF(t&lt;Tvie,1-EXP((T0-t)*PertePVj)+'2025'!Pspv,1-EXP((T0-t)*PertePVj)+Pspv)</f>
        <v>2.217347105492451E-2</v>
      </c>
      <c r="M152" s="836"/>
      <c r="N152" s="836"/>
      <c r="O152" s="48">
        <f>IF(t&lt;Tnet,'2025'!Resal+('2025'!Salim-'2025'!Resal)*(1-EXP(('2025'!Tnet-t)/('2025'!Tau_j))),Resal+(Salim-Resal)*(1-EXP((Tnet-t)/(Tau_j))))*Salcycl</f>
        <v>2.4136289540021019E-2</v>
      </c>
      <c r="P152" s="334">
        <f>(INDEX(Models!$BJ152:$BT152,,T152)*(1-R152)+INDEX(Models!$BJ152:$BT152,,T152+1)*R152-ERP_i)*Q152*Ramure*Pc/MaxiM</f>
        <v>1.1835315952119445E-5</v>
      </c>
      <c r="Q152" s="301">
        <f t="shared" si="53"/>
        <v>0.5</v>
      </c>
      <c r="R152" s="173">
        <f t="shared" si="54"/>
        <v>0.13328652291959298</v>
      </c>
      <c r="S152" s="802">
        <f t="shared" si="55"/>
        <v>2</v>
      </c>
      <c r="T152" s="172">
        <f t="shared" si="56"/>
        <v>8</v>
      </c>
      <c r="U152" s="247">
        <f t="shared" si="57"/>
        <v>2.133286522919593</v>
      </c>
      <c r="V152" s="378">
        <f t="shared" si="58"/>
        <v>61.141201738912493</v>
      </c>
      <c r="W152" s="397">
        <f t="shared" si="59"/>
        <v>56.351121676569065</v>
      </c>
      <c r="X152" s="153">
        <f t="shared" si="60"/>
        <v>46160</v>
      </c>
      <c r="Y152" s="380">
        <f t="shared" si="61"/>
        <v>54.730018540571621</v>
      </c>
      <c r="Z152" s="380">
        <f t="shared" si="62"/>
        <v>55.971091927334896</v>
      </c>
      <c r="AA152" s="381">
        <f t="shared" si="63"/>
        <v>59.05430752167819</v>
      </c>
      <c r="AB152" s="193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5.2209834027966195E-2</v>
      </c>
      <c r="AD152" s="227">
        <f>(INDEX(Models!$BJ152:$BT152,,AH152)*(1-AF152)+INDEX(Models!$BJ152:$BT152,,AH152+1)*AF152-ERP_i)*AE152*Ramure*Pc/MaxiM</f>
        <v>1.1835315952119445E-5</v>
      </c>
      <c r="AE152" s="301">
        <f t="shared" si="65"/>
        <v>0.5</v>
      </c>
      <c r="AF152" s="173">
        <f t="shared" si="66"/>
        <v>0.13328652291959298</v>
      </c>
      <c r="AG152" s="802">
        <f t="shared" si="74"/>
        <v>2</v>
      </c>
      <c r="AH152" s="172">
        <f t="shared" si="67"/>
        <v>8</v>
      </c>
      <c r="AI152" s="221">
        <f t="shared" si="68"/>
        <v>2.133286522919593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46161</v>
      </c>
      <c r="B153" s="406">
        <f>'2025'!Wh/'2025'!Env_an*'2026'!Env_an</f>
        <v>55.147583679347065</v>
      </c>
      <c r="C153" s="832"/>
      <c r="D153" s="388">
        <f t="shared" si="50"/>
        <v>56.398897944902146</v>
      </c>
      <c r="E153" s="380">
        <f t="shared" si="72"/>
        <v>57.797927546191836</v>
      </c>
      <c r="F153" s="380">
        <f t="shared" si="51"/>
        <v>57.79849980047333</v>
      </c>
      <c r="G153" s="110">
        <f t="shared" si="73"/>
        <v>0.90069596271556918</v>
      </c>
      <c r="H153" s="409" t="b">
        <f>Wh_hp&gt;='2025'!Maxi_hp</f>
        <v>0</v>
      </c>
      <c r="I153" s="375">
        <f>IF(H153,Wh_hp,'2025'!Maxi_hp)</f>
        <v>57.798589542149266</v>
      </c>
      <c r="J153" s="85">
        <f>IF(H153,An,'2025'!An_max)</f>
        <v>2022</v>
      </c>
      <c r="K153" s="193">
        <f t="shared" si="52"/>
        <v>46161</v>
      </c>
      <c r="L153" s="143">
        <f>IF(t&lt;Tvie,1-EXP((T0-t)*PertePVj)+'2025'!Pspv,1-EXP((T0-t)*PertePVj)+Pspv)</f>
        <v>2.2186856678964362E-2</v>
      </c>
      <c r="M153" s="836"/>
      <c r="N153" s="836"/>
      <c r="O153" s="48">
        <f>IF(t&lt;Tnet,'2025'!Resal+('2025'!Salim-'2025'!Resal)*(1-EXP(('2025'!Tnet-t)/('2025'!Tau_j))),Resal+(Salim-Resal)*(1-EXP((Tnet-t)/(Tau_j))))*Salcycl</f>
        <v>2.4205532286111678E-2</v>
      </c>
      <c r="P153" s="334">
        <f>(INDEX(Models!$BJ153:$BT153,,T153)*(1-R153)+INDEX(Models!$BJ153:$BT153,,T153+1)*R153-ERP_i)*Q153*Ramure*Pc/MaxiM</f>
        <v>1.153758053790223E-5</v>
      </c>
      <c r="Q153" s="301">
        <f t="shared" si="53"/>
        <v>0.5</v>
      </c>
      <c r="R153" s="173">
        <f t="shared" si="54"/>
        <v>0.13747204868688945</v>
      </c>
      <c r="S153" s="802">
        <f t="shared" si="55"/>
        <v>2</v>
      </c>
      <c r="T153" s="172">
        <f t="shared" si="56"/>
        <v>8</v>
      </c>
      <c r="U153" s="247">
        <f t="shared" si="57"/>
        <v>2.1374720486868894</v>
      </c>
      <c r="V153" s="378">
        <f t="shared" si="58"/>
        <v>61.227645842283678</v>
      </c>
      <c r="W153" s="397">
        <f t="shared" si="59"/>
        <v>55.147583679347065</v>
      </c>
      <c r="X153" s="153">
        <f t="shared" si="60"/>
        <v>46161</v>
      </c>
      <c r="Y153" s="380">
        <f t="shared" si="61"/>
        <v>53.561349857392237</v>
      </c>
      <c r="Z153" s="380">
        <f t="shared" si="62"/>
        <v>54.77667202905144</v>
      </c>
      <c r="AA153" s="381">
        <f t="shared" si="63"/>
        <v>57.797927546191836</v>
      </c>
      <c r="AB153" s="193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5.2272730968179061E-2</v>
      </c>
      <c r="AD153" s="227">
        <f>(INDEX(Models!$BJ153:$BT153,,AH153)*(1-AF153)+INDEX(Models!$BJ153:$BT153,,AH153+1)*AF153-ERP_i)*AE153*Ramure*Pc/MaxiM</f>
        <v>1.153758053790223E-5</v>
      </c>
      <c r="AE153" s="301">
        <f t="shared" si="65"/>
        <v>0.5</v>
      </c>
      <c r="AF153" s="173">
        <f t="shared" si="66"/>
        <v>0.13747204868688945</v>
      </c>
      <c r="AG153" s="802">
        <f t="shared" si="74"/>
        <v>2</v>
      </c>
      <c r="AH153" s="172">
        <f t="shared" si="67"/>
        <v>8</v>
      </c>
      <c r="AI153" s="221">
        <f t="shared" si="68"/>
        <v>2.1374720486868894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46162</v>
      </c>
      <c r="B154" s="406">
        <f>'2025'!Wh/'2025'!Env_an*'2026'!Env_an</f>
        <v>52.412101180954338</v>
      </c>
      <c r="C154" s="832"/>
      <c r="D154" s="388">
        <f t="shared" si="50"/>
        <v>53.602080342685113</v>
      </c>
      <c r="E154" s="380">
        <f t="shared" si="72"/>
        <v>54.935638005981637</v>
      </c>
      <c r="F154" s="380">
        <f t="shared" si="51"/>
        <v>54.936129348431692</v>
      </c>
      <c r="G154" s="110">
        <f t="shared" si="73"/>
        <v>0.85487852649310603</v>
      </c>
      <c r="H154" s="409" t="b">
        <f>Wh_hp&gt;='2025'!Maxi_hp</f>
        <v>0</v>
      </c>
      <c r="I154" s="375">
        <f>IF(H154,Wh_hp,'2025'!Maxi_hp)</f>
        <v>54.936251111183481</v>
      </c>
      <c r="J154" s="85">
        <f>IF(H154,An,'2025'!An_max)</f>
        <v>2022</v>
      </c>
      <c r="K154" s="193">
        <f t="shared" si="52"/>
        <v>46162</v>
      </c>
      <c r="L154" s="143">
        <f>IF(t&lt;Tvie,1-EXP((T0-t)*PertePVj)+'2025'!Pspv,1-EXP((T0-t)*PertePVj)+Pspv)</f>
        <v>2.2200242119766345E-2</v>
      </c>
      <c r="M154" s="836"/>
      <c r="N154" s="836"/>
      <c r="O154" s="48">
        <f>IF(t&lt;Tnet,'2025'!Resal+('2025'!Salim-'2025'!Resal)*(1-EXP(('2025'!Tnet-t)/('2025'!Tau_j))),Resal+(Salim-Resal)*(1-EXP((Tnet-t)/(Tau_j))))*Salcycl</f>
        <v>2.427490990732312E-2</v>
      </c>
      <c r="P154" s="334">
        <f>(INDEX(Models!$BJ154:$BT154,,T154)*(1-R154)+INDEX(Models!$BJ154:$BT154,,T154+1)*R154-ERP_i)*Q154*Ramure*Pc/MaxiM</f>
        <v>1.1283005162887911E-5</v>
      </c>
      <c r="Q154" s="301">
        <f t="shared" si="53"/>
        <v>0.5</v>
      </c>
      <c r="R154" s="173">
        <f t="shared" si="54"/>
        <v>0.14173106399455015</v>
      </c>
      <c r="S154" s="802">
        <f t="shared" si="55"/>
        <v>2</v>
      </c>
      <c r="T154" s="172">
        <f t="shared" si="56"/>
        <v>8</v>
      </c>
      <c r="U154" s="247">
        <f t="shared" si="57"/>
        <v>2.1417310639945502</v>
      </c>
      <c r="V154" s="378">
        <f t="shared" si="58"/>
        <v>61.309270214899264</v>
      </c>
      <c r="W154" s="397">
        <f t="shared" si="59"/>
        <v>52.412101180954338</v>
      </c>
      <c r="X154" s="153">
        <f t="shared" si="60"/>
        <v>46162</v>
      </c>
      <c r="Y154" s="380">
        <f t="shared" si="61"/>
        <v>50.904776670020368</v>
      </c>
      <c r="Z154" s="380">
        <f t="shared" si="62"/>
        <v>52.060533109945268</v>
      </c>
      <c r="AA154" s="381">
        <f t="shared" si="63"/>
        <v>54.935638005981637</v>
      </c>
      <c r="AB154" s="193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5.2335878864705587E-2</v>
      </c>
      <c r="AD154" s="227">
        <f>(INDEX(Models!$BJ154:$BT154,,AH154)*(1-AF154)+INDEX(Models!$BJ154:$BT154,,AH154+1)*AF154-ERP_i)*AE154*Ramure*Pc/MaxiM</f>
        <v>1.1283005162887911E-5</v>
      </c>
      <c r="AE154" s="301">
        <f t="shared" si="65"/>
        <v>0.5</v>
      </c>
      <c r="AF154" s="173">
        <f t="shared" si="66"/>
        <v>0.14173106399455015</v>
      </c>
      <c r="AG154" s="802">
        <f t="shared" si="74"/>
        <v>2</v>
      </c>
      <c r="AH154" s="172">
        <f t="shared" si="67"/>
        <v>8</v>
      </c>
      <c r="AI154" s="221">
        <f t="shared" si="68"/>
        <v>2.1417310639945502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46163</v>
      </c>
      <c r="B155" s="406">
        <f>'2025'!Wh/'2025'!Env_an*'2026'!Env_an</f>
        <v>54.887320564548993</v>
      </c>
      <c r="C155" s="832"/>
      <c r="D155" s="388">
        <f t="shared" si="50"/>
        <v>56.134266237856743</v>
      </c>
      <c r="E155" s="380">
        <f t="shared" si="72"/>
        <v>57.534919603196364</v>
      </c>
      <c r="F155" s="380">
        <f t="shared" si="51"/>
        <v>57.535460310591567</v>
      </c>
      <c r="G155" s="110">
        <f t="shared" si="73"/>
        <v>0.89412852107779572</v>
      </c>
      <c r="H155" s="409" t="b">
        <f>Wh_hp&gt;='2025'!Maxi_hp</f>
        <v>0</v>
      </c>
      <c r="I155" s="375">
        <f>IF(H155,Wh_hp,'2025'!Maxi_hp)</f>
        <v>57.535551497709676</v>
      </c>
      <c r="J155" s="85">
        <f>IF(H155,An,'2025'!An_max)</f>
        <v>2022</v>
      </c>
      <c r="K155" s="193">
        <f t="shared" si="52"/>
        <v>46163</v>
      </c>
      <c r="L155" s="143">
        <f>IF(t&lt;Tvie,1-EXP((T0-t)*PertePVj)+'2025'!Pspv,1-EXP((T0-t)*PertePVj)+Pspv)</f>
        <v>2.2213627377332901E-2</v>
      </c>
      <c r="M155" s="836"/>
      <c r="N155" s="836"/>
      <c r="O155" s="48">
        <f>IF(t&lt;Tnet,'2025'!Resal+('2025'!Salim-'2025'!Resal)*(1-EXP(('2025'!Tnet-t)/('2025'!Tau_j))),Resal+(Salim-Resal)*(1-EXP((Tnet-t)/(Tau_j))))*Salcycl</f>
        <v>2.4344404667627467E-2</v>
      </c>
      <c r="P155" s="334">
        <f>(INDEX(Models!$BJ155:$BT155,,T155)*(1-R155)+INDEX(Models!$BJ155:$BT155,,T155+1)*R155-ERP_i)*Q155*Ramure*Pc/MaxiM</f>
        <v>1.1072438118082598E-5</v>
      </c>
      <c r="Q155" s="301">
        <f t="shared" si="53"/>
        <v>0.5</v>
      </c>
      <c r="R155" s="173">
        <f t="shared" si="54"/>
        <v>0.1460618315154929</v>
      </c>
      <c r="S155" s="802">
        <f t="shared" si="55"/>
        <v>2</v>
      </c>
      <c r="T155" s="172">
        <f t="shared" si="56"/>
        <v>8</v>
      </c>
      <c r="U155" s="247">
        <f t="shared" si="57"/>
        <v>2.1460618315154929</v>
      </c>
      <c r="V155" s="378">
        <f t="shared" si="58"/>
        <v>61.386285476880481</v>
      </c>
      <c r="W155" s="397">
        <f t="shared" si="59"/>
        <v>54.887320564548993</v>
      </c>
      <c r="X155" s="153">
        <f t="shared" si="60"/>
        <v>46163</v>
      </c>
      <c r="Y155" s="380">
        <f t="shared" si="61"/>
        <v>53.309043698438536</v>
      </c>
      <c r="Z155" s="380">
        <f t="shared" si="62"/>
        <v>54.520133631490872</v>
      </c>
      <c r="AA155" s="381">
        <f t="shared" si="63"/>
        <v>57.534919603196364</v>
      </c>
      <c r="AB155" s="193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5.2399238453754729E-2</v>
      </c>
      <c r="AD155" s="227">
        <f>(INDEX(Models!$BJ155:$BT155,,AH155)*(1-AF155)+INDEX(Models!$BJ155:$BT155,,AH155+1)*AF155-ERP_i)*AE155*Ramure*Pc/MaxiM</f>
        <v>1.1072438118082598E-5</v>
      </c>
      <c r="AE155" s="301">
        <f t="shared" si="65"/>
        <v>0.5</v>
      </c>
      <c r="AF155" s="173">
        <f t="shared" si="66"/>
        <v>0.1460618315154929</v>
      </c>
      <c r="AG155" s="802">
        <f t="shared" si="74"/>
        <v>2</v>
      </c>
      <c r="AH155" s="172">
        <f t="shared" si="67"/>
        <v>8</v>
      </c>
      <c r="AI155" s="221">
        <f t="shared" si="68"/>
        <v>2.1460618315154929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46164</v>
      </c>
      <c r="B156" s="406">
        <f>'2025'!Wh/'2025'!Env_an*'2026'!Env_an</f>
        <v>42.441137644961891</v>
      </c>
      <c r="C156" s="832"/>
      <c r="D156" s="388">
        <f t="shared" si="50"/>
        <v>43.405921604951203</v>
      </c>
      <c r="E156" s="380">
        <f t="shared" si="72"/>
        <v>44.492152944513414</v>
      </c>
      <c r="F156" s="380">
        <f t="shared" si="51"/>
        <v>44.492423441462861</v>
      </c>
      <c r="G156" s="110">
        <f t="shared" si="73"/>
        <v>0.69055793764802142</v>
      </c>
      <c r="H156" s="409" t="b">
        <f>Wh_hp&gt;='2025'!Maxi_hp</f>
        <v>0</v>
      </c>
      <c r="I156" s="375">
        <f>IF(H156,Wh_hp,'2025'!Maxi_hp)</f>
        <v>44.49262600996402</v>
      </c>
      <c r="J156" s="85">
        <f>IF(H156,An,'2025'!An_max)</f>
        <v>2022</v>
      </c>
      <c r="K156" s="193">
        <f t="shared" si="52"/>
        <v>46164</v>
      </c>
      <c r="L156" s="143">
        <f>IF(t&lt;Tvie,1-EXP((T0-t)*PertePVj)+'2025'!Pspv,1-EXP((T0-t)*PertePVj)+Pspv)</f>
        <v>2.2227012451666583E-2</v>
      </c>
      <c r="M156" s="836"/>
      <c r="N156" s="836"/>
      <c r="O156" s="48">
        <f>IF(t&lt;Tnet,'2025'!Resal+('2025'!Salim-'2025'!Resal)*(1-EXP(('2025'!Tnet-t)/('2025'!Tau_j))),Resal+(Salim-Resal)*(1-EXP((Tnet-t)/(Tau_j))))*Salcycl</f>
        <v>2.4413998147422955E-2</v>
      </c>
      <c r="P156" s="334">
        <f>(INDEX(Models!$BJ156:$BT156,,T156)*(1-R156)+INDEX(Models!$BJ156:$BT156,,T156+1)*R156-ERP_i)*Q156*Ramure*Pc/MaxiM</f>
        <v>1.0896453811357574E-5</v>
      </c>
      <c r="Q156" s="301">
        <f t="shared" si="53"/>
        <v>0.5</v>
      </c>
      <c r="R156" s="173">
        <f t="shared" si="54"/>
        <v>0.15046243176104879</v>
      </c>
      <c r="S156" s="802">
        <f t="shared" si="55"/>
        <v>2</v>
      </c>
      <c r="T156" s="172">
        <f t="shared" si="56"/>
        <v>8</v>
      </c>
      <c r="U156" s="247">
        <f t="shared" si="57"/>
        <v>2.1504624317610488</v>
      </c>
      <c r="V156" s="378">
        <f t="shared" si="58"/>
        <v>61.458902863802962</v>
      </c>
      <c r="W156" s="397">
        <f t="shared" si="59"/>
        <v>42.441137644961891</v>
      </c>
      <c r="X156" s="153">
        <f t="shared" si="60"/>
        <v>46164</v>
      </c>
      <c r="Y156" s="380">
        <f t="shared" si="61"/>
        <v>41.220925635462685</v>
      </c>
      <c r="Z156" s="380">
        <f t="shared" si="62"/>
        <v>42.15797139049625</v>
      </c>
      <c r="AA156" s="381">
        <f t="shared" si="63"/>
        <v>44.492152944513414</v>
      </c>
      <c r="AB156" s="193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5.2462769264686814E-2</v>
      </c>
      <c r="AD156" s="227">
        <f>(INDEX(Models!$BJ156:$BT156,,AH156)*(1-AF156)+INDEX(Models!$BJ156:$BT156,,AH156+1)*AF156-ERP_i)*AE156*Ramure*Pc/MaxiM</f>
        <v>1.0896453811357574E-5</v>
      </c>
      <c r="AE156" s="301">
        <f t="shared" si="65"/>
        <v>0.5</v>
      </c>
      <c r="AF156" s="173">
        <f t="shared" si="66"/>
        <v>0.15046243176104879</v>
      </c>
      <c r="AG156" s="802">
        <f t="shared" si="74"/>
        <v>2</v>
      </c>
      <c r="AH156" s="172">
        <f t="shared" si="67"/>
        <v>8</v>
      </c>
      <c r="AI156" s="221">
        <f t="shared" si="68"/>
        <v>2.1504624317610488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46165</v>
      </c>
      <c r="B157" s="406">
        <f>'2025'!Wh/'2025'!Env_an*'2026'!Env_an</f>
        <v>20.194149789702877</v>
      </c>
      <c r="C157" s="832"/>
      <c r="D157" s="388">
        <f t="shared" si="50"/>
        <v>20.653491650526156</v>
      </c>
      <c r="E157" s="380">
        <f t="shared" si="72"/>
        <v>21.171856423785847</v>
      </c>
      <c r="F157" s="380">
        <f t="shared" si="51"/>
        <v>21.171865545621589</v>
      </c>
      <c r="G157" s="110">
        <f t="shared" si="73"/>
        <v>0.32821089934069686</v>
      </c>
      <c r="H157" s="409" t="b">
        <f>Wh_hp&gt;='2025'!Maxi_hp</f>
        <v>0</v>
      </c>
      <c r="I157" s="375">
        <f>IF(H157,Wh_hp,'2025'!Maxi_hp)</f>
        <v>21.172070560817748</v>
      </c>
      <c r="J157" s="85">
        <f>IF(H157,An,'2025'!An_max)</f>
        <v>2022</v>
      </c>
      <c r="K157" s="193">
        <f t="shared" si="52"/>
        <v>46165</v>
      </c>
      <c r="L157" s="143">
        <f>IF(t&lt;Tvie,1-EXP((T0-t)*PertePVj)+'2025'!Pspv,1-EXP((T0-t)*PertePVj)+Pspv)</f>
        <v>2.2240397342769724E-2</v>
      </c>
      <c r="M157" s="836"/>
      <c r="N157" s="836"/>
      <c r="O157" s="48">
        <f>IF(t&lt;Tnet,'2025'!Resal+('2025'!Salim-'2025'!Resal)*(1-EXP(('2025'!Tnet-t)/('2025'!Tau_j))),Resal+(Salim-Resal)*(1-EXP((Tnet-t)/(Tau_j))))*Salcycl</f>
        <v>2.4483671289085653E-2</v>
      </c>
      <c r="P157" s="334">
        <f>(INDEX(Models!$BJ157:$BT157,,T157)*(1-R157)+INDEX(Models!$BJ157:$BT157,,T157+1)*R157-ERP_i)*Q157*Ramure*Pc/MaxiM</f>
        <v>1.0689377104145759E-5</v>
      </c>
      <c r="Q157" s="301">
        <f t="shared" si="53"/>
        <v>0.5</v>
      </c>
      <c r="R157" s="173">
        <f t="shared" si="54"/>
        <v>0.15493076309282117</v>
      </c>
      <c r="S157" s="802">
        <f t="shared" si="55"/>
        <v>2</v>
      </c>
      <c r="T157" s="172">
        <f t="shared" si="56"/>
        <v>8</v>
      </c>
      <c r="U157" s="247">
        <f t="shared" si="57"/>
        <v>2.1549307630928212</v>
      </c>
      <c r="V157" s="378">
        <f t="shared" si="58"/>
        <v>61.527337050311814</v>
      </c>
      <c r="W157" s="397">
        <f t="shared" si="59"/>
        <v>20.194149789702877</v>
      </c>
      <c r="X157" s="153">
        <f t="shared" si="60"/>
        <v>46165</v>
      </c>
      <c r="Y157" s="380">
        <f t="shared" si="61"/>
        <v>19.613637042010861</v>
      </c>
      <c r="Z157" s="380">
        <f t="shared" si="62"/>
        <v>20.059774395165665</v>
      </c>
      <c r="AA157" s="381">
        <f t="shared" si="63"/>
        <v>21.171856423785847</v>
      </c>
      <c r="AB157" s="193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5.2526429726341556E-2</v>
      </c>
      <c r="AD157" s="227">
        <f>(INDEX(Models!$BJ157:$BT157,,AH157)*(1-AF157)+INDEX(Models!$BJ157:$BT157,,AH157+1)*AF157-ERP_i)*AE157*Ramure*Pc/MaxiM</f>
        <v>1.0689377104145759E-5</v>
      </c>
      <c r="AE157" s="301">
        <f t="shared" si="65"/>
        <v>0.5</v>
      </c>
      <c r="AF157" s="173">
        <f t="shared" si="66"/>
        <v>0.15493076309282117</v>
      </c>
      <c r="AG157" s="802">
        <f t="shared" si="74"/>
        <v>2</v>
      </c>
      <c r="AH157" s="172">
        <f t="shared" si="67"/>
        <v>8</v>
      </c>
      <c r="AI157" s="221">
        <f t="shared" si="68"/>
        <v>2.1549307630928212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46166</v>
      </c>
      <c r="B158" s="406">
        <f>'2025'!Wh/'2025'!Env_an*'2026'!Env_an</f>
        <v>17.346241091284966</v>
      </c>
      <c r="C158" s="832"/>
      <c r="D158" s="388">
        <f t="shared" si="50"/>
        <v>17.741046472841955</v>
      </c>
      <c r="E158" s="380">
        <f t="shared" si="72"/>
        <v>18.187614323251136</v>
      </c>
      <c r="F158" s="380">
        <f t="shared" si="51"/>
        <v>18.187614323251136</v>
      </c>
      <c r="G158" s="110">
        <f t="shared" si="73"/>
        <v>0.28162937564993468</v>
      </c>
      <c r="H158" s="409" t="b">
        <f>Wh_hp&gt;='2025'!Maxi_hp</f>
        <v>0</v>
      </c>
      <c r="I158" s="375">
        <f>IF(H158,Wh_hp,'2025'!Maxi_hp)</f>
        <v>18.1877934787436</v>
      </c>
      <c r="J158" s="85">
        <f>IF(H158,An,'2025'!An_max)</f>
        <v>2022</v>
      </c>
      <c r="K158" s="193">
        <f t="shared" si="52"/>
        <v>46166</v>
      </c>
      <c r="L158" s="143">
        <f>IF(t&lt;Tvie,1-EXP((T0-t)*PertePVj)+'2025'!Pspv,1-EXP((T0-t)*PertePVj)+Pspv)</f>
        <v>2.2253782050644988E-2</v>
      </c>
      <c r="M158" s="836"/>
      <c r="N158" s="836"/>
      <c r="O158" s="48">
        <f>IF(t&lt;Tnet,'2025'!Resal+('2025'!Salim-'2025'!Resal)*(1-EXP(('2025'!Tnet-t)/('2025'!Tau_j))),Resal+(Salim-Resal)*(1-EXP((Tnet-t)/(Tau_j))))*Salcycl</f>
        <v>2.4553404447238913E-2</v>
      </c>
      <c r="P158" s="334">
        <f>(INDEX(Models!$BJ158:$BT158,,T158)*(1-R158)+INDEX(Models!$BJ158:$BT158,,T158+1)*R158-ERP_i)*Q158*Ramure*Pc/MaxiM</f>
        <v>1.0450186091441124E-5</v>
      </c>
      <c r="Q158" s="301">
        <f t="shared" si="53"/>
        <v>0.5</v>
      </c>
      <c r="R158" s="173">
        <f t="shared" si="54"/>
        <v>0.15946454262365073</v>
      </c>
      <c r="S158" s="802">
        <f t="shared" si="55"/>
        <v>2</v>
      </c>
      <c r="T158" s="172">
        <f t="shared" si="56"/>
        <v>8</v>
      </c>
      <c r="U158" s="247">
        <f t="shared" si="57"/>
        <v>2.1594645426236507</v>
      </c>
      <c r="V158" s="378">
        <f t="shared" si="58"/>
        <v>61.591798724145626</v>
      </c>
      <c r="W158" s="397">
        <f t="shared" si="59"/>
        <v>17.346241091284966</v>
      </c>
      <c r="X158" s="153">
        <f t="shared" si="60"/>
        <v>46166</v>
      </c>
      <c r="Y158" s="380">
        <f t="shared" si="61"/>
        <v>16.847666773390745</v>
      </c>
      <c r="Z158" s="380">
        <f t="shared" si="62"/>
        <v>17.231124461647791</v>
      </c>
      <c r="AA158" s="381">
        <f t="shared" si="63"/>
        <v>18.187614323251136</v>
      </c>
      <c r="AB158" s="193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5.2590177282380683E-2</v>
      </c>
      <c r="AD158" s="227">
        <f>(INDEX(Models!$BJ158:$BT158,,AH158)*(1-AF158)+INDEX(Models!$BJ158:$BT158,,AH158+1)*AF158-ERP_i)*AE158*Ramure*Pc/MaxiM</f>
        <v>1.0450186091441124E-5</v>
      </c>
      <c r="AE158" s="301">
        <f t="shared" si="65"/>
        <v>0.5</v>
      </c>
      <c r="AF158" s="173">
        <f t="shared" si="66"/>
        <v>0.15946454262365073</v>
      </c>
      <c r="AG158" s="802">
        <f t="shared" si="74"/>
        <v>2</v>
      </c>
      <c r="AH158" s="172">
        <f t="shared" si="67"/>
        <v>8</v>
      </c>
      <c r="AI158" s="221">
        <f t="shared" si="68"/>
        <v>2.1594645426236507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46167</v>
      </c>
      <c r="B159" s="406">
        <f>'2025'!Wh/'2025'!Env_an*'2026'!Env_an</f>
        <v>42.275796831125184</v>
      </c>
      <c r="C159" s="832"/>
      <c r="D159" s="388">
        <f t="shared" si="50"/>
        <v>43.238597892888322</v>
      </c>
      <c r="E159" s="380">
        <f t="shared" si="72"/>
        <v>44.33014696777655</v>
      </c>
      <c r="F159" s="380">
        <f t="shared" si="51"/>
        <v>44.330395580810261</v>
      </c>
      <c r="G159" s="110">
        <f t="shared" si="73"/>
        <v>0.68570787304957315</v>
      </c>
      <c r="H159" s="409" t="b">
        <f>Wh_hp&gt;='2025'!Maxi_hp</f>
        <v>0</v>
      </c>
      <c r="I159" s="375">
        <f>IF(H159,Wh_hp,'2025'!Maxi_hp)</f>
        <v>44.330586248471548</v>
      </c>
      <c r="J159" s="85">
        <f>IF(H159,An,'2025'!An_max)</f>
        <v>2022</v>
      </c>
      <c r="K159" s="193">
        <f t="shared" si="52"/>
        <v>46167</v>
      </c>
      <c r="L159" s="143">
        <f>IF(t&lt;Tvie,1-EXP((T0-t)*PertePVj)+'2025'!Pspv,1-EXP((T0-t)*PertePVj)+Pspv)</f>
        <v>2.2267166575294817E-2</v>
      </c>
      <c r="M159" s="836"/>
      <c r="N159" s="836"/>
      <c r="O159" s="48">
        <f>IF(t&lt;Tnet,'2025'!Resal+('2025'!Salim-'2025'!Resal)*(1-EXP(('2025'!Tnet-t)/('2025'!Tau_j))),Resal+(Salim-Resal)*(1-EXP((Tnet-t)/(Tau_j))))*Salcycl</f>
        <v>2.462317744359559E-2</v>
      </c>
      <c r="P159" s="334">
        <f>(INDEX(Models!$BJ159:$BT159,,T159)*(1-R159)+INDEX(Models!$BJ159:$BT159,,T159+1)*R159-ERP_i)*Q159*Ramure*Pc/MaxiM</f>
        <v>1.0177902692202014E-5</v>
      </c>
      <c r="Q159" s="301">
        <f t="shared" si="53"/>
        <v>0.5</v>
      </c>
      <c r="R159" s="173">
        <f t="shared" si="54"/>
        <v>0.16406130804136776</v>
      </c>
      <c r="S159" s="802">
        <f t="shared" si="55"/>
        <v>2</v>
      </c>
      <c r="T159" s="172">
        <f t="shared" si="56"/>
        <v>8</v>
      </c>
      <c r="U159" s="247">
        <f t="shared" si="57"/>
        <v>2.1640613080413678</v>
      </c>
      <c r="V159" s="378">
        <f t="shared" si="58"/>
        <v>61.65249853927822</v>
      </c>
      <c r="W159" s="397">
        <f t="shared" si="59"/>
        <v>42.275796831125184</v>
      </c>
      <c r="X159" s="153">
        <f t="shared" si="60"/>
        <v>46167</v>
      </c>
      <c r="Y159" s="380">
        <f t="shared" si="61"/>
        <v>41.060857126842826</v>
      </c>
      <c r="Z159" s="380">
        <f t="shared" si="62"/>
        <v>41.995988805059298</v>
      </c>
      <c r="AA159" s="381">
        <f t="shared" si="63"/>
        <v>44.33014696777655</v>
      </c>
      <c r="AB159" s="193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5.2653968515239583E-2</v>
      </c>
      <c r="AD159" s="227">
        <f>(INDEX(Models!$BJ159:$BT159,,AH159)*(1-AF159)+INDEX(Models!$BJ159:$BT159,,AH159+1)*AF159-ERP_i)*AE159*Ramure*Pc/MaxiM</f>
        <v>1.0177902692202014E-5</v>
      </c>
      <c r="AE159" s="301">
        <f t="shared" si="65"/>
        <v>0.5</v>
      </c>
      <c r="AF159" s="173">
        <f t="shared" si="66"/>
        <v>0.16406130804136776</v>
      </c>
      <c r="AG159" s="802">
        <f t="shared" si="74"/>
        <v>2</v>
      </c>
      <c r="AH159" s="172">
        <f t="shared" si="67"/>
        <v>8</v>
      </c>
      <c r="AI159" s="221">
        <f t="shared" si="68"/>
        <v>2.1640613080413678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46168</v>
      </c>
      <c r="B160" s="406">
        <f>'2025'!Wh/'2025'!Env_an*'2026'!Env_an</f>
        <v>28.207485103223433</v>
      </c>
      <c r="C160" s="832"/>
      <c r="D160" s="388">
        <f t="shared" si="50"/>
        <v>28.850285355038316</v>
      </c>
      <c r="E160" s="380">
        <f t="shared" si="72"/>
        <v>29.580721205280938</v>
      </c>
      <c r="F160" s="380">
        <f t="shared" si="51"/>
        <v>29.580786740241134</v>
      </c>
      <c r="G160" s="110">
        <f t="shared" si="73"/>
        <v>0.45709658801285669</v>
      </c>
      <c r="H160" s="409" t="b">
        <f>Wh_hp&gt;='2025'!Maxi_hp</f>
        <v>0</v>
      </c>
      <c r="I160" s="375">
        <f>IF(H160,Wh_hp,'2025'!Maxi_hp)</f>
        <v>29.580999563850057</v>
      </c>
      <c r="J160" s="85">
        <f>IF(H160,An,'2025'!An_max)</f>
        <v>2022</v>
      </c>
      <c r="K160" s="193">
        <f t="shared" si="52"/>
        <v>46168</v>
      </c>
      <c r="L160" s="143">
        <f>IF(t&lt;Tvie,1-EXP((T0-t)*PertePVj)+'2025'!Pspv,1-EXP((T0-t)*PertePVj)+Pspv)</f>
        <v>2.2280550916721764E-2</v>
      </c>
      <c r="M160" s="836"/>
      <c r="N160" s="836"/>
      <c r="O160" s="48">
        <f>IF(t&lt;Tnet,'2025'!Resal+('2025'!Salim-'2025'!Resal)*(1-EXP(('2025'!Tnet-t)/('2025'!Tau_j))),Resal+(Salim-Resal)*(1-EXP((Tnet-t)/(Tau_j))))*Salcycl</f>
        <v>2.4692969626184058E-2</v>
      </c>
      <c r="P160" s="334">
        <f>(INDEX(Models!$BJ160:$BT160,,T160)*(1-R160)+INDEX(Models!$BJ160:$BT160,,T160+1)*R160-ERP_i)*Q160*Ramure*Pc/MaxiM</f>
        <v>9.8715405151435814E-6</v>
      </c>
      <c r="Q160" s="301">
        <f t="shared" si="53"/>
        <v>0.5</v>
      </c>
      <c r="R160" s="173">
        <f t="shared" si="54"/>
        <v>0.16871842038219986</v>
      </c>
      <c r="S160" s="802">
        <f t="shared" si="55"/>
        <v>2</v>
      </c>
      <c r="T160" s="172">
        <f t="shared" si="56"/>
        <v>8</v>
      </c>
      <c r="U160" s="247">
        <f t="shared" si="57"/>
        <v>2.1687184203821999</v>
      </c>
      <c r="V160" s="378">
        <f t="shared" si="58"/>
        <v>61.709647115303092</v>
      </c>
      <c r="W160" s="397">
        <f t="shared" si="59"/>
        <v>28.207485103223433</v>
      </c>
      <c r="X160" s="153">
        <f t="shared" si="60"/>
        <v>46168</v>
      </c>
      <c r="Y160" s="380">
        <f t="shared" si="61"/>
        <v>27.396962045343802</v>
      </c>
      <c r="Z160" s="380">
        <f t="shared" si="62"/>
        <v>28.021291865505518</v>
      </c>
      <c r="AA160" s="381">
        <f t="shared" si="63"/>
        <v>29.580721205280938</v>
      </c>
      <c r="AB160" s="193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5.2717759278195664E-2</v>
      </c>
      <c r="AD160" s="227">
        <f>(INDEX(Models!$BJ160:$BT160,,AH160)*(1-AF160)+INDEX(Models!$BJ160:$BT160,,AH160+1)*AF160-ERP_i)*AE160*Ramure*Pc/MaxiM</f>
        <v>9.8715405151435814E-6</v>
      </c>
      <c r="AE160" s="301">
        <f t="shared" si="65"/>
        <v>0.5</v>
      </c>
      <c r="AF160" s="173">
        <f t="shared" si="66"/>
        <v>0.16871842038219986</v>
      </c>
      <c r="AG160" s="802">
        <f t="shared" si="74"/>
        <v>2</v>
      </c>
      <c r="AH160" s="172">
        <f t="shared" si="67"/>
        <v>8</v>
      </c>
      <c r="AI160" s="221">
        <f t="shared" si="68"/>
        <v>2.1687184203821999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46169</v>
      </c>
      <c r="B161" s="406">
        <f>'2025'!Wh/'2025'!Env_an*'2026'!Env_an</f>
        <v>44.168157934581579</v>
      </c>
      <c r="C161" s="832"/>
      <c r="D161" s="388">
        <f t="shared" si="50"/>
        <v>45.175292983343098</v>
      </c>
      <c r="E161" s="380">
        <f t="shared" si="72"/>
        <v>46.322362526093478</v>
      </c>
      <c r="F161" s="380">
        <f t="shared" si="51"/>
        <v>46.322624323013002</v>
      </c>
      <c r="G161" s="110">
        <f t="shared" si="73"/>
        <v>0.71511521831416225</v>
      </c>
      <c r="H161" s="409" t="b">
        <f>Wh_hp&gt;='2025'!Maxi_hp</f>
        <v>0</v>
      </c>
      <c r="I161" s="375">
        <f>IF(H161,Wh_hp,'2025'!Maxi_hp)</f>
        <v>46.32279287527755</v>
      </c>
      <c r="J161" s="85">
        <f>IF(H161,An,'2025'!An_max)</f>
        <v>2022</v>
      </c>
      <c r="K161" s="193">
        <f t="shared" si="52"/>
        <v>46169</v>
      </c>
      <c r="L161" s="143">
        <f>IF(t&lt;Tvie,1-EXP((T0-t)*PertePVj)+'2025'!Pspv,1-EXP((T0-t)*PertePVj)+Pspv)</f>
        <v>2.2293935074928384E-2</v>
      </c>
      <c r="M161" s="836"/>
      <c r="N161" s="836"/>
      <c r="O161" s="48">
        <f>IF(t&lt;Tnet,'2025'!Resal+('2025'!Salim-'2025'!Resal)*(1-EXP(('2025'!Tnet-t)/('2025'!Tau_j))),Resal+(Salim-Resal)*(1-EXP((Tnet-t)/(Tau_j))))*Salcycl</f>
        <v>2.4762759932726627E-2</v>
      </c>
      <c r="P161" s="334">
        <f>(INDEX(Models!$BJ161:$BT161,,T161)*(1-R161)+INDEX(Models!$BJ161:$BT161,,T161+1)*R161-ERP_i)*Q161*Ramure*Pc/MaxiM</f>
        <v>9.5301088192727136E-6</v>
      </c>
      <c r="Q161" s="301">
        <f t="shared" si="53"/>
        <v>0.5</v>
      </c>
      <c r="R161" s="173">
        <f t="shared" si="54"/>
        <v>0.17343306777317569</v>
      </c>
      <c r="S161" s="802">
        <f t="shared" si="55"/>
        <v>2</v>
      </c>
      <c r="T161" s="172">
        <f t="shared" si="56"/>
        <v>8</v>
      </c>
      <c r="U161" s="247">
        <f t="shared" si="57"/>
        <v>2.1734330677731757</v>
      </c>
      <c r="V161" s="378">
        <f t="shared" si="58"/>
        <v>61.763455029139948</v>
      </c>
      <c r="W161" s="397">
        <f t="shared" si="59"/>
        <v>44.168157934581579</v>
      </c>
      <c r="X161" s="153">
        <f t="shared" si="60"/>
        <v>46169</v>
      </c>
      <c r="Y161" s="380">
        <f t="shared" si="61"/>
        <v>42.899198650494</v>
      </c>
      <c r="Z161" s="380">
        <f t="shared" si="62"/>
        <v>43.877398524454961</v>
      </c>
      <c r="AA161" s="381">
        <f t="shared" si="63"/>
        <v>46.322362526093478</v>
      </c>
      <c r="AB161" s="193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5.2781504834976116E-2</v>
      </c>
      <c r="AD161" s="227">
        <f>(INDEX(Models!$BJ161:$BT161,,AH161)*(1-AF161)+INDEX(Models!$BJ161:$BT161,,AH161+1)*AF161-ERP_i)*AE161*Ramure*Pc/MaxiM</f>
        <v>9.5301088192727136E-6</v>
      </c>
      <c r="AE161" s="301">
        <f t="shared" si="65"/>
        <v>0.5</v>
      </c>
      <c r="AF161" s="173">
        <f t="shared" si="66"/>
        <v>0.17343306777317569</v>
      </c>
      <c r="AG161" s="802">
        <f t="shared" si="74"/>
        <v>2</v>
      </c>
      <c r="AH161" s="172">
        <f t="shared" si="67"/>
        <v>8</v>
      </c>
      <c r="AI161" s="221">
        <f t="shared" si="68"/>
        <v>2.1734330677731757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46170</v>
      </c>
      <c r="B162" s="406">
        <f>'2025'!Wh/'2025'!Env_an*'2026'!Env_an</f>
        <v>57.985901463844733</v>
      </c>
      <c r="C162" s="832"/>
      <c r="D162" s="388">
        <f t="shared" si="50"/>
        <v>59.308924566660693</v>
      </c>
      <c r="E162" s="380">
        <f t="shared" si="72"/>
        <v>60.819219473802114</v>
      </c>
      <c r="F162" s="380">
        <f t="shared" si="51"/>
        <v>60.819726883915344</v>
      </c>
      <c r="G162" s="110">
        <f t="shared" si="73"/>
        <v>0.93806791205663731</v>
      </c>
      <c r="H162" s="409" t="b">
        <f>Wh_hp&gt;='2025'!Maxi_hp</f>
        <v>0</v>
      </c>
      <c r="I162" s="375">
        <f>IF(H162,Wh_hp,'2025'!Maxi_hp)</f>
        <v>60.819773004939982</v>
      </c>
      <c r="J162" s="85">
        <f>IF(H162,An,'2025'!An_max)</f>
        <v>2022</v>
      </c>
      <c r="K162" s="193">
        <f t="shared" si="52"/>
        <v>46170</v>
      </c>
      <c r="L162" s="143">
        <f>IF(t&lt;Tvie,1-EXP((T0-t)*PertePVj)+'2025'!Pspv,1-EXP((T0-t)*PertePVj)+Pspv)</f>
        <v>2.2307319049917007E-2</v>
      </c>
      <c r="M162" s="836"/>
      <c r="N162" s="836"/>
      <c r="O162" s="48">
        <f>IF(t&lt;Tnet,'2025'!Resal+('2025'!Salim-'2025'!Resal)*(1-EXP(('2025'!Tnet-t)/('2025'!Tau_j))),Resal+(Salim-Resal)*(1-EXP((Tnet-t)/(Tau_j))))*Salcycl</f>
        <v>2.4832526957896606E-2</v>
      </c>
      <c r="P162" s="334">
        <f>(INDEX(Models!$BJ162:$BT162,,T162)*(1-R162)+INDEX(Models!$BJ162:$BT162,,T162+1)*R162-ERP_i)*Q162*Ramure*Pc/MaxiM</f>
        <v>9.1526166254254383E-6</v>
      </c>
      <c r="Q162" s="301">
        <f t="shared" si="53"/>
        <v>0.5</v>
      </c>
      <c r="R162" s="173">
        <f t="shared" si="54"/>
        <v>0.17820227015471835</v>
      </c>
      <c r="S162" s="802">
        <f t="shared" si="55"/>
        <v>2</v>
      </c>
      <c r="T162" s="172">
        <f t="shared" si="56"/>
        <v>8</v>
      </c>
      <c r="U162" s="247">
        <f t="shared" si="57"/>
        <v>2.1782022701547183</v>
      </c>
      <c r="V162" s="378">
        <f t="shared" si="58"/>
        <v>61.814132818506621</v>
      </c>
      <c r="W162" s="397">
        <f t="shared" si="59"/>
        <v>57.985901463844733</v>
      </c>
      <c r="X162" s="153">
        <f t="shared" si="60"/>
        <v>46170</v>
      </c>
      <c r="Y162" s="380">
        <f t="shared" si="61"/>
        <v>56.320200110396939</v>
      </c>
      <c r="Z162" s="380">
        <f t="shared" si="62"/>
        <v>57.605218089253981</v>
      </c>
      <c r="AA162" s="381">
        <f t="shared" si="63"/>
        <v>60.819219473802114</v>
      </c>
      <c r="AB162" s="193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5.2845160006247158E-2</v>
      </c>
      <c r="AD162" s="227">
        <f>(INDEX(Models!$BJ162:$BT162,,AH162)*(1-AF162)+INDEX(Models!$BJ162:$BT162,,AH162+1)*AF162-ERP_i)*AE162*Ramure*Pc/MaxiM</f>
        <v>9.1526166254254383E-6</v>
      </c>
      <c r="AE162" s="301">
        <f t="shared" si="65"/>
        <v>0.5</v>
      </c>
      <c r="AF162" s="173">
        <f t="shared" si="66"/>
        <v>0.17820227015471835</v>
      </c>
      <c r="AG162" s="802">
        <f t="shared" si="74"/>
        <v>2</v>
      </c>
      <c r="AH162" s="172">
        <f t="shared" si="67"/>
        <v>8</v>
      </c>
      <c r="AI162" s="221">
        <f t="shared" si="68"/>
        <v>2.1782022701547183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46171</v>
      </c>
      <c r="B163" s="406">
        <f>'2025'!Wh/'2025'!Env_an*'2026'!Env_an</f>
        <v>63.059323167320031</v>
      </c>
      <c r="C163" s="832"/>
      <c r="D163" s="388">
        <f t="shared" si="50"/>
        <v>64.498985864389454</v>
      </c>
      <c r="E163" s="380">
        <f t="shared" si="72"/>
        <v>66.146174370559251</v>
      </c>
      <c r="F163" s="380">
        <f t="shared" si="51"/>
        <v>66.146752375052444</v>
      </c>
      <c r="G163" s="110">
        <f t="shared" si="73"/>
        <v>1.0193725542453584</v>
      </c>
      <c r="H163" s="409" t="b">
        <f>Wh_hp&gt;='2025'!Maxi_hp</f>
        <v>0</v>
      </c>
      <c r="I163" s="375">
        <f>IF(H163,Wh_hp,'2025'!Maxi_hp)</f>
        <v>66.146752375052458</v>
      </c>
      <c r="J163" s="85">
        <f>IF(H163,An,'2025'!An_max)</f>
        <v>2024</v>
      </c>
      <c r="K163" s="193">
        <f t="shared" si="52"/>
        <v>46171</v>
      </c>
      <c r="L163" s="143">
        <f>IF(t&lt;Tvie,1-EXP((T0-t)*PertePVj)+'2025'!Pspv,1-EXP((T0-t)*PertePVj)+Pspv)</f>
        <v>2.2320702841690299E-2</v>
      </c>
      <c r="M163" s="836"/>
      <c r="N163" s="836"/>
      <c r="O163" s="48">
        <f>IF(t&lt;Tnet,'2025'!Resal+('2025'!Salim-'2025'!Resal)*(1-EXP(('2025'!Tnet-t)/('2025'!Tau_j))),Resal+(Salim-Resal)*(1-EXP((Tnet-t)/(Tau_j))))*Salcycl</f>
        <v>2.4902249024139192E-2</v>
      </c>
      <c r="P163" s="334">
        <f>(INDEX(Models!$BJ163:$BT163,,T163)*(1-R163)+INDEX(Models!$BJ163:$BT163,,T163+1)*R163-ERP_i)*Q163*Ramure*Pc/MaxiM</f>
        <v>8.7382142348284433E-6</v>
      </c>
      <c r="Q163" s="301">
        <f t="shared" si="53"/>
        <v>0.5</v>
      </c>
      <c r="R163" s="173">
        <f t="shared" si="54"/>
        <v>0.18302288498594033</v>
      </c>
      <c r="S163" s="802">
        <f t="shared" si="55"/>
        <v>2</v>
      </c>
      <c r="T163" s="172">
        <f t="shared" si="56"/>
        <v>8</v>
      </c>
      <c r="U163" s="247">
        <f t="shared" si="57"/>
        <v>2.1830228849859403</v>
      </c>
      <c r="V163" s="378">
        <f t="shared" si="58"/>
        <v>61.860919155315941</v>
      </c>
      <c r="W163" s="397">
        <f t="shared" si="59"/>
        <v>63.059323167320031</v>
      </c>
      <c r="X163" s="153">
        <f t="shared" si="60"/>
        <v>46171</v>
      </c>
      <c r="Y163" s="380">
        <f t="shared" si="61"/>
        <v>61.248154454066409</v>
      </c>
      <c r="Z163" s="380">
        <f t="shared" si="62"/>
        <v>62.646467642393851</v>
      </c>
      <c r="AA163" s="381">
        <f t="shared" si="63"/>
        <v>66.146174370559251</v>
      </c>
      <c r="AB163" s="193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5.2908679322247729E-2</v>
      </c>
      <c r="AD163" s="227">
        <f>(INDEX(Models!$BJ163:$BT163,,AH163)*(1-AF163)+INDEX(Models!$BJ163:$BT163,,AH163+1)*AF163-ERP_i)*AE163*Ramure*Pc/MaxiM</f>
        <v>8.7382142348284433E-6</v>
      </c>
      <c r="AE163" s="301">
        <f t="shared" si="65"/>
        <v>0.5</v>
      </c>
      <c r="AF163" s="173">
        <f t="shared" si="66"/>
        <v>0.18302288498594033</v>
      </c>
      <c r="AG163" s="802">
        <f t="shared" si="74"/>
        <v>2</v>
      </c>
      <c r="AH163" s="172">
        <f t="shared" si="67"/>
        <v>8</v>
      </c>
      <c r="AI163" s="221">
        <f t="shared" si="68"/>
        <v>2.1830228849859403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46172</v>
      </c>
      <c r="B164" s="406">
        <f>'2025'!Wh/'2025'!Env_an*'2026'!Env_an</f>
        <v>50.714650559725818</v>
      </c>
      <c r="C164" s="832"/>
      <c r="D164" s="388">
        <f t="shared" si="50"/>
        <v>51.873190889502318</v>
      </c>
      <c r="E164" s="380">
        <f t="shared" si="72"/>
        <v>53.201739637978747</v>
      </c>
      <c r="F164" s="380">
        <f t="shared" si="51"/>
        <v>53.202067563379664</v>
      </c>
      <c r="G164" s="110">
        <f t="shared" si="73"/>
        <v>0.8192575404241933</v>
      </c>
      <c r="H164" s="409" t="b">
        <f>Wh_hp&gt;='2025'!Maxi_hp</f>
        <v>0</v>
      </c>
      <c r="I164" s="375">
        <f>IF(H164,Wh_hp,'2025'!Maxi_hp)</f>
        <v>53.20217402589779</v>
      </c>
      <c r="J164" s="85">
        <f>IF(H164,An,'2025'!An_max)</f>
        <v>2022</v>
      </c>
      <c r="K164" s="193">
        <f t="shared" si="52"/>
        <v>46172</v>
      </c>
      <c r="L164" s="143">
        <f>IF(t&lt;Tvie,1-EXP((T0-t)*PertePVj)+'2025'!Pspv,1-EXP((T0-t)*PertePVj)+Pspv)</f>
        <v>2.2334086450250701E-2</v>
      </c>
      <c r="M164" s="836"/>
      <c r="N164" s="836"/>
      <c r="O164" s="48">
        <f>IF(t&lt;Tnet,'2025'!Resal+('2025'!Salim-'2025'!Resal)*(1-EXP(('2025'!Tnet-t)/('2025'!Tau_j))),Resal+(Salim-Resal)*(1-EXP((Tnet-t)/(Tau_j))))*Salcycl</f>
        <v>2.4971904255702775E-2</v>
      </c>
      <c r="P164" s="334">
        <f>(INDEX(Models!$BJ164:$BT164,,T164)*(1-R164)+INDEX(Models!$BJ164:$BT164,,T164+1)*R164-ERP_i)*Q164*Ramure*Pc/MaxiM</f>
        <v>8.3092209199375809E-6</v>
      </c>
      <c r="Q164" s="301">
        <f t="shared" si="53"/>
        <v>0.5</v>
      </c>
      <c r="R164" s="173">
        <f t="shared" si="54"/>
        <v>0.18789161392602782</v>
      </c>
      <c r="S164" s="802">
        <f t="shared" si="55"/>
        <v>2</v>
      </c>
      <c r="T164" s="172">
        <f t="shared" si="56"/>
        <v>8</v>
      </c>
      <c r="U164" s="247">
        <f t="shared" si="57"/>
        <v>2.1878916139260278</v>
      </c>
      <c r="V164" s="378">
        <f t="shared" si="58"/>
        <v>61.903051544806274</v>
      </c>
      <c r="W164" s="397">
        <f t="shared" si="59"/>
        <v>50.714650559725818</v>
      </c>
      <c r="X164" s="153">
        <f t="shared" si="60"/>
        <v>46172</v>
      </c>
      <c r="Y164" s="380">
        <f t="shared" si="61"/>
        <v>49.258265919298495</v>
      </c>
      <c r="Z164" s="380">
        <f t="shared" si="62"/>
        <v>50.383536171829469</v>
      </c>
      <c r="AA164" s="381">
        <f t="shared" si="63"/>
        <v>53.201739637978747</v>
      </c>
      <c r="AB164" s="193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5.2972017180759001E-2</v>
      </c>
      <c r="AD164" s="227">
        <f>(INDEX(Models!$BJ164:$BT164,,AH164)*(1-AF164)+INDEX(Models!$BJ164:$BT164,,AH164+1)*AF164-ERP_i)*AE164*Ramure*Pc/MaxiM</f>
        <v>8.3092209199375809E-6</v>
      </c>
      <c r="AE164" s="301">
        <f t="shared" si="65"/>
        <v>0.5</v>
      </c>
      <c r="AF164" s="173">
        <f t="shared" si="66"/>
        <v>0.18789161392602782</v>
      </c>
      <c r="AG164" s="802">
        <f t="shared" si="74"/>
        <v>2</v>
      </c>
      <c r="AH164" s="172">
        <f t="shared" si="67"/>
        <v>8</v>
      </c>
      <c r="AI164" s="221">
        <f t="shared" si="68"/>
        <v>2.1878916139260278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46173</v>
      </c>
      <c r="B165" s="406">
        <f>'2025'!Wh/'2025'!Env_an*'2026'!Env_an</f>
        <v>59.948224747856791</v>
      </c>
      <c r="C165" s="832"/>
      <c r="D165" s="388">
        <f t="shared" si="50"/>
        <v>61.318538949854521</v>
      </c>
      <c r="E165" s="380">
        <f t="shared" si="72"/>
        <v>62.893484291152944</v>
      </c>
      <c r="F165" s="380">
        <f t="shared" si="51"/>
        <v>62.893957366196524</v>
      </c>
      <c r="G165" s="110">
        <f t="shared" si="73"/>
        <v>0.96783156561103145</v>
      </c>
      <c r="H165" s="409" t="b">
        <f>Wh_hp&gt;='2025'!Maxi_hp</f>
        <v>0</v>
      </c>
      <c r="I165" s="375">
        <f>IF(H165,Wh_hp,'2025'!Maxi_hp)</f>
        <v>62.893978575156851</v>
      </c>
      <c r="J165" s="85">
        <f>IF(H165,An,'2025'!An_max)</f>
        <v>2022</v>
      </c>
      <c r="K165" s="193">
        <f t="shared" si="52"/>
        <v>46173</v>
      </c>
      <c r="L165" s="143">
        <f>IF(t&lt;Tvie,1-EXP((T0-t)*PertePVj)+'2025'!Pspv,1-EXP((T0-t)*PertePVj)+Pspv)</f>
        <v>2.2347469875600767E-2</v>
      </c>
      <c r="M165" s="836"/>
      <c r="N165" s="836"/>
      <c r="O165" s="48">
        <f>IF(t&lt;Tnet,'2025'!Resal+('2025'!Salim-'2025'!Resal)*(1-EXP(('2025'!Tnet-t)/('2025'!Tau_j))),Resal+(Salim-Resal)*(1-EXP((Tnet-t)/(Tau_j))))*Salcycl</f>
        <v>2.5041470655489891E-2</v>
      </c>
      <c r="P165" s="334">
        <f>(INDEX(Models!$BJ165:$BT165,,T165)*(1-R165)+INDEX(Models!$BJ165:$BT165,,T165+1)*R165-ERP_i)*Q165*Ramure*Pc/MaxiM</f>
        <v>7.8840974851780511E-6</v>
      </c>
      <c r="Q165" s="301">
        <f t="shared" si="53"/>
        <v>0.5</v>
      </c>
      <c r="R165" s="173">
        <f t="shared" si="54"/>
        <v>0.19280501047565446</v>
      </c>
      <c r="S165" s="802">
        <f t="shared" si="55"/>
        <v>2</v>
      </c>
      <c r="T165" s="172">
        <f t="shared" si="56"/>
        <v>8</v>
      </c>
      <c r="U165" s="247">
        <f t="shared" si="57"/>
        <v>2.1928050104756545</v>
      </c>
      <c r="V165" s="378">
        <f t="shared" si="58"/>
        <v>61.940739647258383</v>
      </c>
      <c r="W165" s="397">
        <f t="shared" si="59"/>
        <v>59.948224747856791</v>
      </c>
      <c r="X165" s="153">
        <f t="shared" si="60"/>
        <v>46173</v>
      </c>
      <c r="Y165" s="380">
        <f t="shared" si="61"/>
        <v>58.226951471030418</v>
      </c>
      <c r="Z165" s="380">
        <f t="shared" si="62"/>
        <v>59.557920300806117</v>
      </c>
      <c r="AA165" s="381">
        <f t="shared" si="63"/>
        <v>62.893484291152944</v>
      </c>
      <c r="AB165" s="193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5.3035128009532716E-2</v>
      </c>
      <c r="AD165" s="227">
        <f>(INDEX(Models!$BJ165:$BT165,,AH165)*(1-AF165)+INDEX(Models!$BJ165:$BT165,,AH165+1)*AF165-ERP_i)*AE165*Ramure*Pc/MaxiM</f>
        <v>7.8840974851780511E-6</v>
      </c>
      <c r="AE165" s="301">
        <f t="shared" si="65"/>
        <v>0.5</v>
      </c>
      <c r="AF165" s="173">
        <f t="shared" si="66"/>
        <v>0.19280501047565446</v>
      </c>
      <c r="AG165" s="802">
        <f t="shared" si="74"/>
        <v>2</v>
      </c>
      <c r="AH165" s="172">
        <f t="shared" si="67"/>
        <v>8</v>
      </c>
      <c r="AI165" s="221">
        <f t="shared" si="68"/>
        <v>2.1928050104756545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46174</v>
      </c>
      <c r="B166" s="406">
        <f>'2025'!Wh/'2025'!Env_an*'2026'!Env_an</f>
        <v>62.50294795122467</v>
      </c>
      <c r="C166" s="832"/>
      <c r="D166" s="388">
        <f t="shared" si="50"/>
        <v>63.932533952378932</v>
      </c>
      <c r="E166" s="380">
        <f t="shared" si="72"/>
        <v>65.579290679859852</v>
      </c>
      <c r="F166" s="380">
        <f t="shared" si="51"/>
        <v>65.579780102115691</v>
      </c>
      <c r="G166" s="110">
        <f t="shared" si="73"/>
        <v>1.0085318377265537</v>
      </c>
      <c r="H166" s="409" t="b">
        <f>Wh_hp&gt;='2025'!Maxi_hp</f>
        <v>1</v>
      </c>
      <c r="I166" s="375">
        <f>IF(H166,Wh_hp,'2025'!Maxi_hp)</f>
        <v>65.579780102115691</v>
      </c>
      <c r="J166" s="85">
        <f>IF(H166,An,'2025'!An_max)</f>
        <v>2026</v>
      </c>
      <c r="K166" s="193">
        <f t="shared" si="52"/>
        <v>46174</v>
      </c>
      <c r="L166" s="143">
        <f>IF(t&lt;Tvie,1-EXP((T0-t)*PertePVj)+'2025'!Pspv,1-EXP((T0-t)*PertePVj)+Pspv)</f>
        <v>2.2360853117743051E-2</v>
      </c>
      <c r="M166" s="836"/>
      <c r="N166" s="836"/>
      <c r="O166" s="48">
        <f>IF(t&lt;Tnet,'2025'!Resal+('2025'!Salim-'2025'!Resal)*(1-EXP(('2025'!Tnet-t)/('2025'!Tau_j))),Resal+(Salim-Resal)*(1-EXP((Tnet-t)/(Tau_j))))*Salcycl</f>
        <v>2.5110926184303224E-2</v>
      </c>
      <c r="P166" s="334">
        <f>(INDEX(Models!$BJ166:$BT166,,T166)*(1-R166)+INDEX(Models!$BJ166:$BT166,,T166+1)*R166-ERP_i)*Q166*Ramure*Pc/MaxiM</f>
        <v>7.4630054427023347E-6</v>
      </c>
      <c r="Q166" s="301">
        <f t="shared" si="53"/>
        <v>0.5</v>
      </c>
      <c r="R166" s="173">
        <f t="shared" si="54"/>
        <v>0.19775948855273651</v>
      </c>
      <c r="S166" s="802">
        <f t="shared" si="55"/>
        <v>2</v>
      </c>
      <c r="T166" s="172">
        <f t="shared" si="56"/>
        <v>8</v>
      </c>
      <c r="U166" s="247">
        <f t="shared" si="57"/>
        <v>2.1977594885527365</v>
      </c>
      <c r="V166" s="378">
        <f t="shared" si="58"/>
        <v>61.97419418321951</v>
      </c>
      <c r="W166" s="397">
        <f t="shared" si="59"/>
        <v>62.50294795122467</v>
      </c>
      <c r="X166" s="153">
        <f t="shared" si="60"/>
        <v>46174</v>
      </c>
      <c r="Y166" s="380">
        <f t="shared" si="61"/>
        <v>60.708618148061454</v>
      </c>
      <c r="Z166" s="380">
        <f t="shared" si="62"/>
        <v>62.09716370469048</v>
      </c>
      <c r="AA166" s="381">
        <f t="shared" si="63"/>
        <v>65.579290679859852</v>
      </c>
      <c r="AB166" s="193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5.3097966432241003E-2</v>
      </c>
      <c r="AD166" s="227">
        <f>(INDEX(Models!$BJ166:$BT166,,AH166)*(1-AF166)+INDEX(Models!$BJ166:$BT166,,AH166+1)*AF166-ERP_i)*AE166*Ramure*Pc/MaxiM</f>
        <v>7.4630054427023347E-6</v>
      </c>
      <c r="AE166" s="301">
        <f t="shared" si="65"/>
        <v>0.5</v>
      </c>
      <c r="AF166" s="173">
        <f t="shared" si="66"/>
        <v>0.19775948855273651</v>
      </c>
      <c r="AG166" s="802">
        <f t="shared" si="74"/>
        <v>2</v>
      </c>
      <c r="AH166" s="172">
        <f t="shared" si="67"/>
        <v>8</v>
      </c>
      <c r="AI166" s="221">
        <f t="shared" si="68"/>
        <v>2.1977594885527365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46175</v>
      </c>
      <c r="B167" s="406">
        <f>'2025'!Wh/'2025'!Env_an*'2026'!Env_an</f>
        <v>45.020942946932806</v>
      </c>
      <c r="C167" s="832"/>
      <c r="D167" s="388">
        <f t="shared" si="50"/>
        <v>46.0513057377538</v>
      </c>
      <c r="E167" s="380">
        <f t="shared" si="72"/>
        <v>47.240841892103994</v>
      </c>
      <c r="F167" s="380">
        <f t="shared" si="51"/>
        <v>47.241044513650536</v>
      </c>
      <c r="G167" s="110">
        <f t="shared" si="73"/>
        <v>0.72609977628768152</v>
      </c>
      <c r="H167" s="409" t="b">
        <f>Wh_hp&gt;='2025'!Maxi_hp</f>
        <v>0</v>
      </c>
      <c r="I167" s="375">
        <f>IF(H167,Wh_hp,'2025'!Maxi_hp)</f>
        <v>47.241165214979837</v>
      </c>
      <c r="J167" s="85">
        <f>IF(H167,An,'2025'!An_max)</f>
        <v>2022</v>
      </c>
      <c r="K167" s="193">
        <f t="shared" si="52"/>
        <v>46175</v>
      </c>
      <c r="L167" s="143">
        <f>IF(t&lt;Tvie,1-EXP((T0-t)*PertePVj)+'2025'!Pspv,1-EXP((T0-t)*PertePVj)+Pspv)</f>
        <v>2.2374236176679885E-2</v>
      </c>
      <c r="M167" s="836"/>
      <c r="N167" s="836"/>
      <c r="O167" s="48">
        <f>IF(t&lt;Tnet,'2025'!Resal+('2025'!Salim-'2025'!Resal)*(1-EXP(('2025'!Tnet-t)/('2025'!Tau_j))),Resal+(Salim-Resal)*(1-EXP((Tnet-t)/(Tau_j))))*Salcycl</f>
        <v>2.5180248842030364E-2</v>
      </c>
      <c r="P167" s="334">
        <f>(INDEX(Models!$BJ167:$BT167,,T167)*(1-R167)+INDEX(Models!$BJ167:$BT167,,T167+1)*R167-ERP_i)*Q167*Ramure*Pc/MaxiM</f>
        <v>7.0461328600705413E-6</v>
      </c>
      <c r="Q167" s="301">
        <f t="shared" si="53"/>
        <v>0.5</v>
      </c>
      <c r="R167" s="173">
        <f t="shared" si="54"/>
        <v>0.20275133196714945</v>
      </c>
      <c r="S167" s="802">
        <f t="shared" si="55"/>
        <v>2</v>
      </c>
      <c r="T167" s="172">
        <f t="shared" si="56"/>
        <v>8</v>
      </c>
      <c r="U167" s="247">
        <f t="shared" si="57"/>
        <v>2.2027513319671495</v>
      </c>
      <c r="V167" s="378">
        <f t="shared" si="58"/>
        <v>62.003625799668846</v>
      </c>
      <c r="W167" s="397">
        <f t="shared" si="59"/>
        <v>45.020942946932806</v>
      </c>
      <c r="X167" s="153">
        <f t="shared" si="60"/>
        <v>46175</v>
      </c>
      <c r="Y167" s="380">
        <f t="shared" si="61"/>
        <v>43.72870740910404</v>
      </c>
      <c r="Z167" s="380">
        <f t="shared" si="62"/>
        <v>44.729495710187564</v>
      </c>
      <c r="AA167" s="381">
        <f t="shared" si="63"/>
        <v>47.240841892103994</v>
      </c>
      <c r="AB167" s="193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5.3160487436956234E-2</v>
      </c>
      <c r="AD167" s="227">
        <f>(INDEX(Models!$BJ167:$BT167,,AH167)*(1-AF167)+INDEX(Models!$BJ167:$BT167,,AH167+1)*AF167-ERP_i)*AE167*Ramure*Pc/MaxiM</f>
        <v>7.0461328600705413E-6</v>
      </c>
      <c r="AE167" s="301">
        <f t="shared" si="65"/>
        <v>0.5</v>
      </c>
      <c r="AF167" s="173">
        <f t="shared" si="66"/>
        <v>0.20275133196714945</v>
      </c>
      <c r="AG167" s="802">
        <f t="shared" si="74"/>
        <v>2</v>
      </c>
      <c r="AH167" s="172">
        <f t="shared" si="67"/>
        <v>8</v>
      </c>
      <c r="AI167" s="221">
        <f t="shared" si="68"/>
        <v>2.2027513319671495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46176</v>
      </c>
      <c r="B168" s="406">
        <f>'2025'!Wh/'2025'!Env_an*'2026'!Env_an</f>
        <v>59.609736451862602</v>
      </c>
      <c r="C168" s="832"/>
      <c r="D168" s="388">
        <f t="shared" si="50"/>
        <v>60.974817436419649</v>
      </c>
      <c r="E168" s="380">
        <f t="shared" si="72"/>
        <v>62.554276431552353</v>
      </c>
      <c r="F168" s="380">
        <f t="shared" si="51"/>
        <v>62.554668276859353</v>
      </c>
      <c r="G168" s="110">
        <f t="shared" si="73"/>
        <v>0.96099371117931709</v>
      </c>
      <c r="H168" s="409" t="b">
        <f>Wh_hp&gt;='2025'!Maxi_hp</f>
        <v>0</v>
      </c>
      <c r="I168" s="375">
        <f>IF(H168,Wh_hp,'2025'!Maxi_hp)</f>
        <v>62.554689658440559</v>
      </c>
      <c r="J168" s="85">
        <f>IF(H168,An,'2025'!An_max)</f>
        <v>2022</v>
      </c>
      <c r="K168" s="193">
        <f t="shared" si="52"/>
        <v>46176</v>
      </c>
      <c r="L168" s="143">
        <f>IF(t&lt;Tvie,1-EXP((T0-t)*PertePVj)+'2025'!Pspv,1-EXP((T0-t)*PertePVj)+Pspv)</f>
        <v>2.2387619052413932E-2</v>
      </c>
      <c r="M168" s="836"/>
      <c r="N168" s="836"/>
      <c r="O168" s="48">
        <f>IF(t&lt;Tnet,'2025'!Resal+('2025'!Salim-'2025'!Resal)*(1-EXP(('2025'!Tnet-t)/('2025'!Tau_j))),Resal+(Salim-Resal)*(1-EXP((Tnet-t)/(Tau_j))))*Salcycl</f>
        <v>2.5249416750283537E-2</v>
      </c>
      <c r="P168" s="334">
        <f>(INDEX(Models!$BJ168:$BT168,,T168)*(1-R168)+INDEX(Models!$BJ168:$BT168,,T168+1)*R168-ERP_i)*Q168*Ramure*Pc/MaxiM</f>
        <v>6.6336935257753831E-6</v>
      </c>
      <c r="Q168" s="301">
        <f t="shared" si="53"/>
        <v>0.5</v>
      </c>
      <c r="R168" s="173">
        <f t="shared" si="54"/>
        <v>0.207776704749421</v>
      </c>
      <c r="S168" s="802">
        <f t="shared" si="55"/>
        <v>2</v>
      </c>
      <c r="T168" s="172">
        <f t="shared" si="56"/>
        <v>8</v>
      </c>
      <c r="U168" s="247">
        <f t="shared" si="57"/>
        <v>2.207776704749421</v>
      </c>
      <c r="V168" s="378">
        <f t="shared" si="58"/>
        <v>62.029245065473752</v>
      </c>
      <c r="W168" s="397">
        <f t="shared" si="59"/>
        <v>59.609736451862602</v>
      </c>
      <c r="X168" s="153">
        <f t="shared" si="60"/>
        <v>46176</v>
      </c>
      <c r="Y168" s="380">
        <f t="shared" si="61"/>
        <v>57.899066169134272</v>
      </c>
      <c r="Z168" s="380">
        <f t="shared" si="62"/>
        <v>59.224972287087354</v>
      </c>
      <c r="AA168" s="381">
        <f t="shared" si="63"/>
        <v>62.554276431552353</v>
      </c>
      <c r="AB168" s="193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5.3222646546123312E-2</v>
      </c>
      <c r="AD168" s="227">
        <f>(INDEX(Models!$BJ168:$BT168,,AH168)*(1-AF168)+INDEX(Models!$BJ168:$BT168,,AH168+1)*AF168-ERP_i)*AE168*Ramure*Pc/MaxiM</f>
        <v>6.6336935257753831E-6</v>
      </c>
      <c r="AE168" s="301">
        <f t="shared" si="65"/>
        <v>0.5</v>
      </c>
      <c r="AF168" s="173">
        <f t="shared" si="66"/>
        <v>0.207776704749421</v>
      </c>
      <c r="AG168" s="802">
        <f t="shared" si="74"/>
        <v>2</v>
      </c>
      <c r="AH168" s="172">
        <f t="shared" si="67"/>
        <v>8</v>
      </c>
      <c r="AI168" s="221">
        <f t="shared" si="68"/>
        <v>2.207776704749421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46177</v>
      </c>
      <c r="B169" s="406">
        <f>'2025'!Wh/'2025'!Env_an*'2026'!Env_an</f>
        <v>30.296886833053641</v>
      </c>
      <c r="C169" s="832"/>
      <c r="D169" s="388">
        <f t="shared" si="50"/>
        <v>30.99111894256389</v>
      </c>
      <c r="E169" s="380">
        <f t="shared" si="72"/>
        <v>31.796146766735429</v>
      </c>
      <c r="F169" s="380">
        <f t="shared" si="51"/>
        <v>31.796200005678777</v>
      </c>
      <c r="G169" s="110">
        <f t="shared" si="73"/>
        <v>0.48825354605501414</v>
      </c>
      <c r="H169" s="409" t="b">
        <f>Wh_hp&gt;='2025'!Maxi_hp</f>
        <v>0</v>
      </c>
      <c r="I169" s="375">
        <f>IF(H169,Wh_hp,'2025'!Maxi_hp)</f>
        <v>31.79633352939906</v>
      </c>
      <c r="J169" s="85">
        <f>IF(H169,An,'2025'!An_max)</f>
        <v>2022</v>
      </c>
      <c r="K169" s="193">
        <f t="shared" si="52"/>
        <v>46177</v>
      </c>
      <c r="L169" s="143">
        <f>IF(t&lt;Tvie,1-EXP((T0-t)*PertePVj)+'2025'!Pspv,1-EXP((T0-t)*PertePVj)+Pspv)</f>
        <v>2.2401001744947524E-2</v>
      </c>
      <c r="M169" s="836"/>
      <c r="N169" s="836"/>
      <c r="O169" s="48">
        <f>IF(t&lt;Tnet,'2025'!Resal+('2025'!Salim-'2025'!Resal)*(1-EXP(('2025'!Tnet-t)/('2025'!Tau_j))),Resal+(Salim-Resal)*(1-EXP((Tnet-t)/(Tau_j))))*Salcycl</f>
        <v>2.5318408235986221E-2</v>
      </c>
      <c r="P169" s="334">
        <f>(INDEX(Models!$BJ169:$BT169,,T169)*(1-R169)+INDEX(Models!$BJ169:$BT169,,T169+1)*R169-ERP_i)*Q169*Ramure*Pc/MaxiM</f>
        <v>6.225926004869486E-6</v>
      </c>
      <c r="Q169" s="301">
        <f t="shared" si="53"/>
        <v>0.5</v>
      </c>
      <c r="R169" s="173">
        <f t="shared" si="54"/>
        <v>0.2128316622790809</v>
      </c>
      <c r="S169" s="802">
        <f t="shared" si="55"/>
        <v>2</v>
      </c>
      <c r="T169" s="172">
        <f t="shared" si="56"/>
        <v>8</v>
      </c>
      <c r="U169" s="247">
        <f t="shared" si="57"/>
        <v>2.2128316622790809</v>
      </c>
      <c r="V169" s="378">
        <f t="shared" si="58"/>
        <v>62.051262463858826</v>
      </c>
      <c r="W169" s="397">
        <f t="shared" si="59"/>
        <v>30.296886833053641</v>
      </c>
      <c r="X169" s="153">
        <f t="shared" si="60"/>
        <v>46177</v>
      </c>
      <c r="Y169" s="380">
        <f t="shared" si="61"/>
        <v>29.427595267056571</v>
      </c>
      <c r="Z169" s="380">
        <f t="shared" si="62"/>
        <v>30.10190816437294</v>
      </c>
      <c r="AA169" s="381">
        <f t="shared" si="63"/>
        <v>31.796146766735429</v>
      </c>
      <c r="AB169" s="193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5.3284399986949761E-2</v>
      </c>
      <c r="AD169" s="227">
        <f>(INDEX(Models!$BJ169:$BT169,,AH169)*(1-AF169)+INDEX(Models!$BJ169:$BT169,,AH169+1)*AF169-ERP_i)*AE169*Ramure*Pc/MaxiM</f>
        <v>6.225926004869486E-6</v>
      </c>
      <c r="AE169" s="301">
        <f t="shared" si="65"/>
        <v>0.5</v>
      </c>
      <c r="AF169" s="173">
        <f t="shared" si="66"/>
        <v>0.2128316622790809</v>
      </c>
      <c r="AG169" s="802">
        <f t="shared" si="74"/>
        <v>2</v>
      </c>
      <c r="AH169" s="172">
        <f t="shared" si="67"/>
        <v>8</v>
      </c>
      <c r="AI169" s="221">
        <f t="shared" si="68"/>
        <v>2.2128316622790809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46178</v>
      </c>
      <c r="B170" s="406">
        <f>'2025'!Wh/'2025'!Env_an*'2026'!Env_an</f>
        <v>33.481028091185415</v>
      </c>
      <c r="C170" s="832"/>
      <c r="D170" s="388">
        <f t="shared" si="50"/>
        <v>34.248691420899846</v>
      </c>
      <c r="E170" s="380">
        <f t="shared" ref="E170:E232" si="75">Wh_pvt/(1-Psa)</f>
        <v>35.14081847499623</v>
      </c>
      <c r="F170" s="380">
        <f t="shared" si="51"/>
        <v>35.140888599255504</v>
      </c>
      <c r="G170" s="110">
        <f t="shared" ref="G170:G232" si="76">+Wh_hp/MaxiM</f>
        <v>0.53940647891389393</v>
      </c>
      <c r="H170" s="409" t="b">
        <f>Wh_hp&gt;='2025'!Maxi_hp</f>
        <v>0</v>
      </c>
      <c r="I170" s="375">
        <f>IF(H170,Wh_hp,'2025'!Maxi_hp)</f>
        <v>35.141012790309702</v>
      </c>
      <c r="J170" s="85">
        <f>IF(H170,An,'2025'!An_max)</f>
        <v>2022</v>
      </c>
      <c r="K170" s="193">
        <f t="shared" si="52"/>
        <v>46178</v>
      </c>
      <c r="L170" s="143">
        <f>IF(t&lt;Tvie,1-EXP((T0-t)*PertePVj)+'2025'!Pspv,1-EXP((T0-t)*PertePVj)+Pspv)</f>
        <v>2.2414384254283437E-2</v>
      </c>
      <c r="M170" s="836"/>
      <c r="N170" s="836"/>
      <c r="O170" s="48">
        <f>IF(t&lt;Tnet,'2025'!Resal+('2025'!Salim-'2025'!Resal)*(1-EXP(('2025'!Tnet-t)/('2025'!Tau_j))),Resal+(Salim-Resal)*(1-EXP((Tnet-t)/(Tau_j))))*Salcycl</f>
        <v>2.5387201915378372E-2</v>
      </c>
      <c r="P170" s="334">
        <f>(INDEX(Models!$BJ170:$BT170,,T170)*(1-R170)+INDEX(Models!$BJ170:$BT170,,T170+1)*R170-ERP_i)*Q170*Ramure*Pc/MaxiM</f>
        <v>5.8346382090456466E-6</v>
      </c>
      <c r="Q170" s="301">
        <f t="shared" si="53"/>
        <v>0.5</v>
      </c>
      <c r="R170" s="173">
        <f t="shared" si="54"/>
        <v>0.2179121631493528</v>
      </c>
      <c r="S170" s="802">
        <f t="shared" si="55"/>
        <v>2</v>
      </c>
      <c r="T170" s="172">
        <f t="shared" si="56"/>
        <v>8</v>
      </c>
      <c r="U170" s="247">
        <f t="shared" si="57"/>
        <v>2.2179121631493528</v>
      </c>
      <c r="V170" s="378">
        <f t="shared" si="58"/>
        <v>62.069887667341611</v>
      </c>
      <c r="W170" s="397">
        <f t="shared" si="59"/>
        <v>33.481028091185415</v>
      </c>
      <c r="X170" s="153">
        <f t="shared" si="60"/>
        <v>46178</v>
      </c>
      <c r="Y170" s="380">
        <f t="shared" si="61"/>
        <v>32.520565203407664</v>
      </c>
      <c r="Z170" s="380">
        <f t="shared" si="62"/>
        <v>33.266206744051267</v>
      </c>
      <c r="AA170" s="381">
        <f t="shared" si="63"/>
        <v>35.14081847499623</v>
      </c>
      <c r="AB170" s="193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5.3345704861109233E-2</v>
      </c>
      <c r="AD170" s="227">
        <f>(INDEX(Models!$BJ170:$BT170,,AH170)*(1-AF170)+INDEX(Models!$BJ170:$BT170,,AH170+1)*AF170-ERP_i)*AE170*Ramure*Pc/MaxiM</f>
        <v>5.8346382090456466E-6</v>
      </c>
      <c r="AE170" s="301">
        <f t="shared" si="65"/>
        <v>0.5</v>
      </c>
      <c r="AF170" s="173">
        <f t="shared" si="66"/>
        <v>0.2179121631493528</v>
      </c>
      <c r="AG170" s="802">
        <f t="shared" si="74"/>
        <v>2</v>
      </c>
      <c r="AH170" s="172">
        <f t="shared" si="67"/>
        <v>8</v>
      </c>
      <c r="AI170" s="221">
        <f t="shared" si="68"/>
        <v>2.2179121631493528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46179</v>
      </c>
      <c r="B171" s="406">
        <f>'2025'!Wh/'2025'!Env_an*'2026'!Env_an</f>
        <v>53.541326469597358</v>
      </c>
      <c r="C171" s="832"/>
      <c r="D171" s="388">
        <f t="shared" si="50"/>
        <v>54.76968825342783</v>
      </c>
      <c r="E171" s="380">
        <f t="shared" si="75"/>
        <v>56.200310820523477</v>
      </c>
      <c r="F171" s="380">
        <f t="shared" si="51"/>
        <v>56.200557894904307</v>
      </c>
      <c r="G171" s="110">
        <f t="shared" si="76"/>
        <v>0.86238196162883907</v>
      </c>
      <c r="H171" s="409" t="b">
        <f>Wh_hp&gt;='2025'!Maxi_hp</f>
        <v>0</v>
      </c>
      <c r="I171" s="375">
        <f>IF(H171,Wh_hp,'2025'!Maxi_hp)</f>
        <v>56.200613424709161</v>
      </c>
      <c r="J171" s="85">
        <f>IF(H171,An,'2025'!An_max)</f>
        <v>2022</v>
      </c>
      <c r="K171" s="193">
        <f t="shared" si="52"/>
        <v>46179</v>
      </c>
      <c r="L171" s="143">
        <f>IF(t&lt;Tvie,1-EXP((T0-t)*PertePVj)+'2025'!Pspv,1-EXP((T0-t)*PertePVj)+Pspv)</f>
        <v>2.2427766580424002E-2</v>
      </c>
      <c r="M171" s="836"/>
      <c r="N171" s="836"/>
      <c r="O171" s="48">
        <f>IF(t&lt;Tnet,'2025'!Resal+('2025'!Salim-'2025'!Resal)*(1-EXP(('2025'!Tnet-t)/('2025'!Tau_j))),Resal+(Salim-Resal)*(1-EXP((Tnet-t)/(Tau_j))))*Salcycl</f>
        <v>2.5455776777896507E-2</v>
      </c>
      <c r="P171" s="334">
        <f>(INDEX(Models!$BJ171:$BT171,,T171)*(1-R171)+INDEX(Models!$BJ171:$BT171,,T171+1)*R171-ERP_i)*Q171*Ramure*Pc/MaxiM</f>
        <v>5.4720874621007835E-6</v>
      </c>
      <c r="Q171" s="301">
        <f t="shared" si="53"/>
        <v>0.5</v>
      </c>
      <c r="R171" s="173">
        <f t="shared" si="54"/>
        <v>0.22301408169649273</v>
      </c>
      <c r="S171" s="802">
        <f t="shared" si="55"/>
        <v>2</v>
      </c>
      <c r="T171" s="172">
        <f t="shared" si="56"/>
        <v>8</v>
      </c>
      <c r="U171" s="247">
        <f t="shared" si="57"/>
        <v>2.2230140816964927</v>
      </c>
      <c r="V171" s="378">
        <f t="shared" si="58"/>
        <v>62.085330227691443</v>
      </c>
      <c r="W171" s="397">
        <f t="shared" si="59"/>
        <v>53.541326469597358</v>
      </c>
      <c r="X171" s="153">
        <f t="shared" si="60"/>
        <v>46179</v>
      </c>
      <c r="Y171" s="380">
        <f t="shared" si="61"/>
        <v>52.005716493713201</v>
      </c>
      <c r="Z171" s="380">
        <f t="shared" si="62"/>
        <v>53.198847835311049</v>
      </c>
      <c r="AA171" s="381">
        <f t="shared" si="63"/>
        <v>56.200310820523477</v>
      </c>
      <c r="AB171" s="193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5.3406519312635833E-2</v>
      </c>
      <c r="AD171" s="227">
        <f>(INDEX(Models!$BJ171:$BT171,,AH171)*(1-AF171)+INDEX(Models!$BJ171:$BT171,,AH171+1)*AF171-ERP_i)*AE171*Ramure*Pc/MaxiM</f>
        <v>5.4720874621007835E-6</v>
      </c>
      <c r="AE171" s="301">
        <f t="shared" si="65"/>
        <v>0.5</v>
      </c>
      <c r="AF171" s="173">
        <f t="shared" si="66"/>
        <v>0.22301408169649273</v>
      </c>
      <c r="AG171" s="802">
        <f t="shared" si="74"/>
        <v>2</v>
      </c>
      <c r="AH171" s="172">
        <f t="shared" si="67"/>
        <v>8</v>
      </c>
      <c r="AI171" s="221">
        <f t="shared" si="68"/>
        <v>2.2230140816964927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46180</v>
      </c>
      <c r="B172" s="406">
        <f>'2025'!Wh/'2025'!Env_an*'2026'!Env_an</f>
        <v>27.958476068634663</v>
      </c>
      <c r="C172" s="832"/>
      <c r="D172" s="388">
        <f t="shared" si="50"/>
        <v>28.600299646535564</v>
      </c>
      <c r="E172" s="380">
        <f t="shared" si="75"/>
        <v>29.349417473161242</v>
      </c>
      <c r="F172" s="380">
        <f t="shared" si="51"/>
        <v>29.34944984429556</v>
      </c>
      <c r="G172" s="110">
        <f t="shared" si="76"/>
        <v>0.45023113681610288</v>
      </c>
      <c r="H172" s="409" t="b">
        <f>Wh_hp&gt;='2025'!Maxi_hp</f>
        <v>0</v>
      </c>
      <c r="I172" s="375">
        <f>IF(H172,Wh_hp,'2025'!Maxi_hp)</f>
        <v>29.349558396562763</v>
      </c>
      <c r="J172" s="85">
        <f>IF(H172,An,'2025'!An_max)</f>
        <v>2022</v>
      </c>
      <c r="K172" s="193">
        <f t="shared" si="52"/>
        <v>46180</v>
      </c>
      <c r="L172" s="143">
        <f>IF(t&lt;Tvie,1-EXP((T0-t)*PertePVj)+'2025'!Pspv,1-EXP((T0-t)*PertePVj)+Pspv)</f>
        <v>2.2441148723371773E-2</v>
      </c>
      <c r="M172" s="836"/>
      <c r="N172" s="836"/>
      <c r="O172" s="48">
        <f>IF(t&lt;Tnet,'2025'!Resal+('2025'!Salim-'2025'!Resal)*(1-EXP(('2025'!Tnet-t)/('2025'!Tau_j))),Resal+(Salim-Resal)*(1-EXP((Tnet-t)/(Tau_j))))*Salcycl</f>
        <v>2.5524112269373411E-2</v>
      </c>
      <c r="P172" s="334">
        <f>(INDEX(Models!$BJ172:$BT172,,T172)*(1-R172)+INDEX(Models!$BJ172:$BT172,,T172+1)*R172-ERP_i)*Q172*Ramure*Pc/MaxiM</f>
        <v>5.1391439907161623E-6</v>
      </c>
      <c r="Q172" s="301">
        <f t="shared" si="53"/>
        <v>0.5</v>
      </c>
      <c r="R172" s="173">
        <f t="shared" si="54"/>
        <v>0.228133221114319</v>
      </c>
      <c r="S172" s="802">
        <f t="shared" si="55"/>
        <v>2</v>
      </c>
      <c r="T172" s="172">
        <f t="shared" si="56"/>
        <v>8</v>
      </c>
      <c r="U172" s="247">
        <f t="shared" si="57"/>
        <v>2.228133221114319</v>
      </c>
      <c r="V172" s="378">
        <f t="shared" si="58"/>
        <v>62.09780029995526</v>
      </c>
      <c r="W172" s="397">
        <f t="shared" si="59"/>
        <v>27.958476068634663</v>
      </c>
      <c r="X172" s="153">
        <f t="shared" si="60"/>
        <v>46180</v>
      </c>
      <c r="Y172" s="380">
        <f t="shared" si="61"/>
        <v>27.156778405988415</v>
      </c>
      <c r="Z172" s="380">
        <f t="shared" si="62"/>
        <v>27.780197959972877</v>
      </c>
      <c r="AA172" s="381">
        <f t="shared" si="63"/>
        <v>29.349417473161242</v>
      </c>
      <c r="AB172" s="193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5.3466802692876132E-2</v>
      </c>
      <c r="AD172" s="227">
        <f>(INDEX(Models!$BJ172:$BT172,,AH172)*(1-AF172)+INDEX(Models!$BJ172:$BT172,,AH172+1)*AF172-ERP_i)*AE172*Ramure*Pc/MaxiM</f>
        <v>5.1391439907161623E-6</v>
      </c>
      <c r="AE172" s="301">
        <f t="shared" si="65"/>
        <v>0.5</v>
      </c>
      <c r="AF172" s="173">
        <f t="shared" si="66"/>
        <v>0.228133221114319</v>
      </c>
      <c r="AG172" s="802">
        <f t="shared" si="74"/>
        <v>2</v>
      </c>
      <c r="AH172" s="172">
        <f t="shared" si="67"/>
        <v>8</v>
      </c>
      <c r="AI172" s="221">
        <f t="shared" si="68"/>
        <v>2.228133221114319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46181</v>
      </c>
      <c r="B173" s="406">
        <f>'2025'!Wh/'2025'!Env_an*'2026'!Env_an</f>
        <v>25.193790711213776</v>
      </c>
      <c r="C173" s="832"/>
      <c r="D173" s="388">
        <f t="shared" si="50"/>
        <v>25.772500105616288</v>
      </c>
      <c r="E173" s="380">
        <f t="shared" si="75"/>
        <v>26.449398083754545</v>
      </c>
      <c r="F173" s="380">
        <f t="shared" si="51"/>
        <v>26.449417391350256</v>
      </c>
      <c r="G173" s="110">
        <f t="shared" si="76"/>
        <v>0.40564640388288126</v>
      </c>
      <c r="H173" s="409" t="b">
        <f>Wh_hp&gt;='2025'!Maxi_hp</f>
        <v>0</v>
      </c>
      <c r="I173" s="375">
        <f>IF(H173,Wh_hp,'2025'!Maxi_hp)</f>
        <v>26.449516701435005</v>
      </c>
      <c r="J173" s="85">
        <f>IF(H173,An,'2025'!An_max)</f>
        <v>2022</v>
      </c>
      <c r="K173" s="193">
        <f t="shared" si="52"/>
        <v>46181</v>
      </c>
      <c r="L173" s="143">
        <f>IF(t&lt;Tvie,1-EXP((T0-t)*PertePVj)+'2025'!Pspv,1-EXP((T0-t)*PertePVj)+Pspv)</f>
        <v>2.2454530683129192E-2</v>
      </c>
      <c r="M173" s="836"/>
      <c r="N173" s="836"/>
      <c r="O173" s="48">
        <f>IF(t&lt;Tnet,'2025'!Resal+('2025'!Salim-'2025'!Resal)*(1-EXP(('2025'!Tnet-t)/('2025'!Tau_j))),Resal+(Salim-Resal)*(1-EXP((Tnet-t)/(Tau_j))))*Salcycl</f>
        <v>2.5592188373995964E-2</v>
      </c>
      <c r="P173" s="334">
        <f>(INDEX(Models!$BJ173:$BT173,,T173)*(1-R173)+INDEX(Models!$BJ173:$BT173,,T173+1)*R173-ERP_i)*Q173*Ramure*Pc/MaxiM</f>
        <v>4.8366934151519045E-6</v>
      </c>
      <c r="Q173" s="301">
        <f t="shared" si="53"/>
        <v>0.5</v>
      </c>
      <c r="R173" s="173">
        <f t="shared" si="54"/>
        <v>0.23326532706758529</v>
      </c>
      <c r="S173" s="802">
        <f t="shared" si="55"/>
        <v>2</v>
      </c>
      <c r="T173" s="172">
        <f t="shared" si="56"/>
        <v>8</v>
      </c>
      <c r="U173" s="247">
        <f t="shared" si="57"/>
        <v>2.2332653270675853</v>
      </c>
      <c r="V173" s="378">
        <f t="shared" si="58"/>
        <v>62.107507933884072</v>
      </c>
      <c r="W173" s="397">
        <f t="shared" si="59"/>
        <v>25.193790711213776</v>
      </c>
      <c r="X173" s="153">
        <f t="shared" si="60"/>
        <v>46181</v>
      </c>
      <c r="Y173" s="380">
        <f t="shared" si="61"/>
        <v>24.471535010416599</v>
      </c>
      <c r="Z173" s="380">
        <f t="shared" si="62"/>
        <v>25.033653961403779</v>
      </c>
      <c r="AA173" s="381">
        <f t="shared" si="63"/>
        <v>26.449398083754545</v>
      </c>
      <c r="AB173" s="193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5.3526515721366491E-2</v>
      </c>
      <c r="AD173" s="227">
        <f>(INDEX(Models!$BJ173:$BT173,,AH173)*(1-AF173)+INDEX(Models!$BJ173:$BT173,,AH173+1)*AF173-ERP_i)*AE173*Ramure*Pc/MaxiM</f>
        <v>4.8366934151519045E-6</v>
      </c>
      <c r="AE173" s="301">
        <f t="shared" si="65"/>
        <v>0.5</v>
      </c>
      <c r="AF173" s="173">
        <f t="shared" si="66"/>
        <v>0.23326532706758529</v>
      </c>
      <c r="AG173" s="802">
        <f t="shared" si="74"/>
        <v>2</v>
      </c>
      <c r="AH173" s="172">
        <f t="shared" si="67"/>
        <v>8</v>
      </c>
      <c r="AI173" s="221">
        <f t="shared" si="68"/>
        <v>2.2332653270675853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46182</v>
      </c>
      <c r="B174" s="406">
        <f>'2025'!Wh/'2025'!Env_an*'2026'!Env_an</f>
        <v>51.771583200752779</v>
      </c>
      <c r="C174" s="832"/>
      <c r="D174" s="388">
        <f t="shared" si="50"/>
        <v>52.961517949781232</v>
      </c>
      <c r="E174" s="380">
        <f t="shared" si="75"/>
        <v>54.356299825712682</v>
      </c>
      <c r="F174" s="380">
        <f t="shared" si="51"/>
        <v>54.356488962408974</v>
      </c>
      <c r="G174" s="110">
        <f t="shared" si="76"/>
        <v>0.83348318124038334</v>
      </c>
      <c r="H174" s="409" t="b">
        <f>Wh_hp&gt;='2025'!Maxi_hp</f>
        <v>0</v>
      </c>
      <c r="I174" s="375">
        <f>IF(H174,Wh_hp,'2025'!Maxi_hp)</f>
        <v>54.356542817414159</v>
      </c>
      <c r="J174" s="85">
        <f>IF(H174,An,'2025'!An_max)</f>
        <v>2022</v>
      </c>
      <c r="K174" s="193">
        <f t="shared" si="52"/>
        <v>46182</v>
      </c>
      <c r="L174" s="143">
        <f>IF(t&lt;Tvie,1-EXP((T0-t)*PertePVj)+'2025'!Pspv,1-EXP((T0-t)*PertePVj)+Pspv)</f>
        <v>2.2467912459698813E-2</v>
      </c>
      <c r="M174" s="836"/>
      <c r="N174" s="836"/>
      <c r="O174" s="48">
        <f>IF(t&lt;Tnet,'2025'!Resal+('2025'!Salim-'2025'!Resal)*(1-EXP(('2025'!Tnet-t)/('2025'!Tau_j))),Resal+(Salim-Resal)*(1-EXP((Tnet-t)/(Tau_j))))*Salcycl</f>
        <v>2.5659985694457852E-2</v>
      </c>
      <c r="P174" s="334">
        <f>(INDEX(Models!$BJ174:$BT174,,T174)*(1-R174)+INDEX(Models!$BJ174:$BT174,,T174+1)*R174-ERP_i)*Q174*Ramure*Pc/MaxiM</f>
        <v>4.5656327305934955E-6</v>
      </c>
      <c r="Q174" s="301">
        <f t="shared" si="53"/>
        <v>0.5</v>
      </c>
      <c r="R174" s="173">
        <f t="shared" si="54"/>
        <v>0.23840610171189125</v>
      </c>
      <c r="S174" s="802">
        <f t="shared" si="55"/>
        <v>2</v>
      </c>
      <c r="T174" s="172">
        <f t="shared" si="56"/>
        <v>8</v>
      </c>
      <c r="U174" s="247">
        <f t="shared" si="57"/>
        <v>2.2384061017118912</v>
      </c>
      <c r="V174" s="378">
        <f t="shared" si="58"/>
        <v>62.114663064750111</v>
      </c>
      <c r="W174" s="397">
        <f t="shared" si="59"/>
        <v>51.771583200752779</v>
      </c>
      <c r="X174" s="153">
        <f t="shared" si="60"/>
        <v>46182</v>
      </c>
      <c r="Y174" s="380">
        <f t="shared" si="61"/>
        <v>50.287753827157985</v>
      </c>
      <c r="Z174" s="380">
        <f t="shared" si="62"/>
        <v>51.443583763775678</v>
      </c>
      <c r="AA174" s="381">
        <f t="shared" si="63"/>
        <v>54.356299825712682</v>
      </c>
      <c r="AB174" s="193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5.3585620641513496E-2</v>
      </c>
      <c r="AD174" s="227">
        <f>(INDEX(Models!$BJ174:$BT174,,AH174)*(1-AF174)+INDEX(Models!$BJ174:$BT174,,AH174+1)*AF174-ERP_i)*AE174*Ramure*Pc/MaxiM</f>
        <v>4.5656327305934955E-6</v>
      </c>
      <c r="AE174" s="301">
        <f t="shared" si="65"/>
        <v>0.5</v>
      </c>
      <c r="AF174" s="173">
        <f t="shared" si="66"/>
        <v>0.23840610171189125</v>
      </c>
      <c r="AG174" s="802">
        <f t="shared" si="74"/>
        <v>2</v>
      </c>
      <c r="AH174" s="172">
        <f t="shared" si="67"/>
        <v>8</v>
      </c>
      <c r="AI174" s="221">
        <f t="shared" si="68"/>
        <v>2.2384061017118912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46183</v>
      </c>
      <c r="B175" s="406">
        <f>'2025'!Wh/'2025'!Env_an*'2026'!Env_an</f>
        <v>63.696658904633871</v>
      </c>
      <c r="C175" s="832"/>
      <c r="D175" s="388">
        <f t="shared" si="50"/>
        <v>65.161575443133117</v>
      </c>
      <c r="E175" s="380">
        <f t="shared" si="75"/>
        <v>66.882288554105259</v>
      </c>
      <c r="F175" s="380">
        <f t="shared" si="51"/>
        <v>66.882577946073695</v>
      </c>
      <c r="G175" s="110">
        <f t="shared" si="76"/>
        <v>1.0253895155984707</v>
      </c>
      <c r="H175" s="409" t="b">
        <f>Wh_hp&gt;='2025'!Maxi_hp</f>
        <v>1</v>
      </c>
      <c r="I175" s="375">
        <f>IF(H175,Wh_hp,'2025'!Maxi_hp)</f>
        <v>66.882577946073695</v>
      </c>
      <c r="J175" s="85">
        <f>IF(H175,An,'2025'!An_max)</f>
        <v>2026</v>
      </c>
      <c r="K175" s="193">
        <f t="shared" si="52"/>
        <v>46183</v>
      </c>
      <c r="L175" s="143">
        <f>IF(t&lt;Tvie,1-EXP((T0-t)*PertePVj)+'2025'!Pspv,1-EXP((T0-t)*PertePVj)+Pspv)</f>
        <v>2.248129405308319E-2</v>
      </c>
      <c r="M175" s="836"/>
      <c r="N175" s="836"/>
      <c r="O175" s="48">
        <f>IF(t&lt;Tnet,'2025'!Resal+('2025'!Salim-'2025'!Resal)*(1-EXP(('2025'!Tnet-t)/('2025'!Tau_j))),Resal+(Salim-Resal)*(1-EXP((Tnet-t)/(Tau_j))))*Salcycl</f>
        <v>2.5727485529747608E-2</v>
      </c>
      <c r="P175" s="334">
        <f>(INDEX(Models!$BJ175:$BT175,,T175)*(1-R175)+INDEX(Models!$BJ175:$BT175,,T175+1)*R175-ERP_i)*Q175*Ramure*Pc/MaxiM</f>
        <v>4.3268662380969198E-6</v>
      </c>
      <c r="Q175" s="301">
        <f t="shared" si="53"/>
        <v>0.5</v>
      </c>
      <c r="R175" s="173">
        <f t="shared" si="54"/>
        <v>0.24355121802290292</v>
      </c>
      <c r="S175" s="802">
        <f t="shared" si="55"/>
        <v>2</v>
      </c>
      <c r="T175" s="172">
        <f t="shared" si="56"/>
        <v>8</v>
      </c>
      <c r="U175" s="247">
        <f t="shared" si="57"/>
        <v>2.2435512180229029</v>
      </c>
      <c r="V175" s="378">
        <f t="shared" si="58"/>
        <v>62.11947551214935</v>
      </c>
      <c r="W175" s="397">
        <f t="shared" si="59"/>
        <v>63.696658904633871</v>
      </c>
      <c r="X175" s="153">
        <f t="shared" si="60"/>
        <v>46183</v>
      </c>
      <c r="Y175" s="380">
        <f t="shared" si="61"/>
        <v>61.871508490757712</v>
      </c>
      <c r="Z175" s="380">
        <f t="shared" si="62"/>
        <v>63.294449624698622</v>
      </c>
      <c r="AA175" s="381">
        <f t="shared" si="63"/>
        <v>66.882288554105259</v>
      </c>
      <c r="AB175" s="193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5.3644081369975997E-2</v>
      </c>
      <c r="AD175" s="227">
        <f>(INDEX(Models!$BJ175:$BT175,,AH175)*(1-AF175)+INDEX(Models!$BJ175:$BT175,,AH175+1)*AF175-ERP_i)*AE175*Ramure*Pc/MaxiM</f>
        <v>4.3268662380969198E-6</v>
      </c>
      <c r="AE175" s="301">
        <f t="shared" si="65"/>
        <v>0.5</v>
      </c>
      <c r="AF175" s="173">
        <f t="shared" si="66"/>
        <v>0.24355121802290292</v>
      </c>
      <c r="AG175" s="802">
        <f t="shared" si="74"/>
        <v>2</v>
      </c>
      <c r="AH175" s="172">
        <f t="shared" si="67"/>
        <v>8</v>
      </c>
      <c r="AI175" s="221">
        <f t="shared" si="68"/>
        <v>2.2435512180229029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46184</v>
      </c>
      <c r="B176" s="406">
        <f>'2025'!Wh/'2025'!Env_an*'2026'!Env_an</f>
        <v>60.987277782393726</v>
      </c>
      <c r="C176" s="832"/>
      <c r="D176" s="388">
        <f t="shared" si="50"/>
        <v>62.390737166877742</v>
      </c>
      <c r="E176" s="380">
        <f t="shared" si="75"/>
        <v>64.042697409258622</v>
      </c>
      <c r="F176" s="380">
        <f t="shared" si="51"/>
        <v>64.042954461311496</v>
      </c>
      <c r="G176" s="110">
        <f t="shared" si="76"/>
        <v>0.98173141689003462</v>
      </c>
      <c r="H176" s="409" t="b">
        <f>Wh_hp&gt;='2025'!Maxi_hp</f>
        <v>0</v>
      </c>
      <c r="I176" s="375">
        <f>IF(H176,Wh_hp,'2025'!Maxi_hp)</f>
        <v>64.04296071880799</v>
      </c>
      <c r="J176" s="85">
        <f>IF(H176,An,'2025'!An_max)</f>
        <v>2022</v>
      </c>
      <c r="K176" s="193">
        <f t="shared" si="52"/>
        <v>46184</v>
      </c>
      <c r="L176" s="143">
        <f>IF(t&lt;Tvie,1-EXP((T0-t)*PertePVj)+'2025'!Pspv,1-EXP((T0-t)*PertePVj)+Pspv)</f>
        <v>2.2494675463284763E-2</v>
      </c>
      <c r="M176" s="836"/>
      <c r="N176" s="836"/>
      <c r="O176" s="48">
        <f>IF(t&lt;Tnet,'2025'!Resal+('2025'!Salim-'2025'!Resal)*(1-EXP(('2025'!Tnet-t)/('2025'!Tau_j))),Resal+(Salim-Resal)*(1-EXP((Tnet-t)/(Tau_j))))*Salcycl</f>
        <v>2.5794669950020731E-2</v>
      </c>
      <c r="P176" s="334">
        <f>(INDEX(Models!$BJ176:$BT176,,T176)*(1-R176)+INDEX(Models!$BJ176:$BT176,,T176+1)*R176-ERP_i)*Q176*Ramure*Pc/MaxiM</f>
        <v>4.1213014517253703E-6</v>
      </c>
      <c r="Q176" s="301">
        <f t="shared" si="53"/>
        <v>0.5</v>
      </c>
      <c r="R176" s="173">
        <f t="shared" si="54"/>
        <v>0.24869633433391414</v>
      </c>
      <c r="S176" s="802">
        <f t="shared" si="55"/>
        <v>2</v>
      </c>
      <c r="T176" s="172">
        <f t="shared" si="56"/>
        <v>8</v>
      </c>
      <c r="U176" s="247">
        <f t="shared" si="57"/>
        <v>2.2486963343339141</v>
      </c>
      <c r="V176" s="378">
        <f t="shared" si="58"/>
        <v>62.122154973868781</v>
      </c>
      <c r="W176" s="397">
        <f t="shared" si="59"/>
        <v>60.987277782393726</v>
      </c>
      <c r="X176" s="153">
        <f t="shared" si="60"/>
        <v>46184</v>
      </c>
      <c r="Y176" s="380">
        <f t="shared" si="61"/>
        <v>59.240229474282046</v>
      </c>
      <c r="Z176" s="380">
        <f t="shared" si="62"/>
        <v>60.603485205933502</v>
      </c>
      <c r="AA176" s="381">
        <f t="shared" si="63"/>
        <v>64.042697409258622</v>
      </c>
      <c r="AB176" s="193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5.3701863638677912E-2</v>
      </c>
      <c r="AD176" s="227">
        <f>(INDEX(Models!$BJ176:$BT176,,AH176)*(1-AF176)+INDEX(Models!$BJ176:$BT176,,AH176+1)*AF176-ERP_i)*AE176*Ramure*Pc/MaxiM</f>
        <v>4.1213014517253703E-6</v>
      </c>
      <c r="AE176" s="301">
        <f t="shared" si="65"/>
        <v>0.5</v>
      </c>
      <c r="AF176" s="173">
        <f t="shared" si="66"/>
        <v>0.24869633433391414</v>
      </c>
      <c r="AG176" s="802">
        <f t="shared" si="74"/>
        <v>2</v>
      </c>
      <c r="AH176" s="172">
        <f t="shared" si="67"/>
        <v>8</v>
      </c>
      <c r="AI176" s="221">
        <f t="shared" si="68"/>
        <v>2.2486963343339141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46185</v>
      </c>
      <c r="B177" s="406">
        <f>'2025'!Wh/'2025'!Env_an*'2026'!Env_an</f>
        <v>49.178714940617262</v>
      </c>
      <c r="C177" s="832"/>
      <c r="D177" s="388">
        <f t="shared" si="50"/>
        <v>50.311120492822532</v>
      </c>
      <c r="E177" s="380">
        <f t="shared" si="75"/>
        <v>51.646784951252165</v>
      </c>
      <c r="F177" s="380">
        <f t="shared" si="51"/>
        <v>51.646928222440472</v>
      </c>
      <c r="G177" s="110">
        <f t="shared" si="76"/>
        <v>0.7916270511382365</v>
      </c>
      <c r="H177" s="409" t="b">
        <f>Wh_hp&gt;='2025'!Maxi_hp</f>
        <v>0</v>
      </c>
      <c r="I177" s="375">
        <f>IF(H177,Wh_hp,'2025'!Maxi_hp)</f>
        <v>51.646983281304863</v>
      </c>
      <c r="J177" s="85">
        <f>IF(H177,An,'2025'!An_max)</f>
        <v>2022</v>
      </c>
      <c r="K177" s="193">
        <f t="shared" si="52"/>
        <v>46185</v>
      </c>
      <c r="L177" s="143">
        <f>IF(t&lt;Tvie,1-EXP((T0-t)*PertePVj)+'2025'!Pspv,1-EXP((T0-t)*PertePVj)+Pspv)</f>
        <v>2.2508056690306089E-2</v>
      </c>
      <c r="M177" s="836"/>
      <c r="N177" s="836"/>
      <c r="O177" s="48">
        <f>IF(t&lt;Tnet,'2025'!Resal+('2025'!Salim-'2025'!Resal)*(1-EXP(('2025'!Tnet-t)/('2025'!Tau_j))),Resal+(Salim-Resal)*(1-EXP((Tnet-t)/(Tau_j))))*Salcycl</f>
        <v>2.58615218680181E-2</v>
      </c>
      <c r="P177" s="334">
        <f>(INDEX(Models!$BJ177:$BT177,,T177)*(1-R177)+INDEX(Models!$BJ177:$BT177,,T177+1)*R177-ERP_i)*Q177*Ramure*Pc/MaxiM</f>
        <v>3.9498064357321113E-6</v>
      </c>
      <c r="Q177" s="301">
        <f t="shared" si="53"/>
        <v>0.5</v>
      </c>
      <c r="R177" s="173">
        <f t="shared" si="54"/>
        <v>0.25383710897822009</v>
      </c>
      <c r="S177" s="802">
        <f t="shared" si="55"/>
        <v>2</v>
      </c>
      <c r="T177" s="172">
        <f t="shared" si="56"/>
        <v>8</v>
      </c>
      <c r="U177" s="247">
        <f t="shared" si="57"/>
        <v>2.2538371089782201</v>
      </c>
      <c r="V177" s="378">
        <f t="shared" si="58"/>
        <v>62.123517693819068</v>
      </c>
      <c r="W177" s="397">
        <f t="shared" si="59"/>
        <v>49.178714940617262</v>
      </c>
      <c r="X177" s="153">
        <f t="shared" si="60"/>
        <v>46185</v>
      </c>
      <c r="Y177" s="380">
        <f t="shared" si="61"/>
        <v>47.770333108760198</v>
      </c>
      <c r="Z177" s="380">
        <f t="shared" si="62"/>
        <v>48.870308789466272</v>
      </c>
      <c r="AA177" s="381">
        <f t="shared" si="63"/>
        <v>51.646784951252165</v>
      </c>
      <c r="AB177" s="193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5.3758935128421281E-2</v>
      </c>
      <c r="AD177" s="227">
        <f>(INDEX(Models!$BJ177:$BT177,,AH177)*(1-AF177)+INDEX(Models!$BJ177:$BT177,,AH177+1)*AF177-ERP_i)*AE177*Ramure*Pc/MaxiM</f>
        <v>3.9498064357321113E-6</v>
      </c>
      <c r="AE177" s="301">
        <f t="shared" si="65"/>
        <v>0.5</v>
      </c>
      <c r="AF177" s="173">
        <f t="shared" si="66"/>
        <v>0.25383710897822009</v>
      </c>
      <c r="AG177" s="802">
        <f t="shared" si="74"/>
        <v>2</v>
      </c>
      <c r="AH177" s="172">
        <f t="shared" si="67"/>
        <v>8</v>
      </c>
      <c r="AI177" s="221">
        <f t="shared" si="68"/>
        <v>2.2538371089782201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46186</v>
      </c>
      <c r="B178" s="406">
        <f>'2025'!Wh/'2025'!Env_an*'2026'!Env_an</f>
        <v>54.9806561149761</v>
      </c>
      <c r="C178" s="832"/>
      <c r="D178" s="388">
        <f t="shared" si="50"/>
        <v>56.247429086861864</v>
      </c>
      <c r="E178" s="380">
        <f t="shared" si="75"/>
        <v>57.744633391195087</v>
      </c>
      <c r="F178" s="380">
        <f t="shared" si="51"/>
        <v>57.744817716766129</v>
      </c>
      <c r="G178" s="110">
        <f t="shared" si="76"/>
        <v>0.88501570272762842</v>
      </c>
      <c r="H178" s="409" t="b">
        <f>Wh_hp&gt;='2025'!Maxi_hp</f>
        <v>0</v>
      </c>
      <c r="I178" s="375">
        <f>IF(H178,Wh_hp,'2025'!Maxi_hp)</f>
        <v>57.744850509610608</v>
      </c>
      <c r="J178" s="85">
        <f>IF(H178,An,'2025'!An_max)</f>
        <v>2022</v>
      </c>
      <c r="K178" s="193">
        <f t="shared" si="52"/>
        <v>46186</v>
      </c>
      <c r="L178" s="143">
        <f>IF(t&lt;Tvie,1-EXP((T0-t)*PertePVj)+'2025'!Pspv,1-EXP((T0-t)*PertePVj)+Pspv)</f>
        <v>2.2521437734149719E-2</v>
      </c>
      <c r="M178" s="836"/>
      <c r="N178" s="836"/>
      <c r="O178" s="48">
        <f>IF(t&lt;Tnet,'2025'!Resal+('2025'!Salim-'2025'!Resal)*(1-EXP(('2025'!Tnet-t)/('2025'!Tau_j))),Resal+(Salim-Resal)*(1-EXP((Tnet-t)/(Tau_j))))*Salcycl</f>
        <v>2.5928025106511664E-2</v>
      </c>
      <c r="P178" s="334">
        <f>(INDEX(Models!$BJ178:$BT178,,T178)*(1-R178)+INDEX(Models!$BJ178:$BT178,,T178+1)*R178-ERP_i)*Q178*Ramure*Pc/MaxiM</f>
        <v>3.8194662578235747E-6</v>
      </c>
      <c r="Q178" s="301">
        <f t="shared" si="53"/>
        <v>0.5</v>
      </c>
      <c r="R178" s="173">
        <f t="shared" si="54"/>
        <v>0.25896921493148684</v>
      </c>
      <c r="S178" s="802">
        <f t="shared" si="55"/>
        <v>2</v>
      </c>
      <c r="T178" s="172">
        <f t="shared" si="56"/>
        <v>8</v>
      </c>
      <c r="U178" s="247">
        <f t="shared" si="57"/>
        <v>2.2589692149314868</v>
      </c>
      <c r="V178" s="378">
        <f t="shared" si="58"/>
        <v>62.123893904734757</v>
      </c>
      <c r="W178" s="397">
        <f t="shared" si="59"/>
        <v>54.9806561149761</v>
      </c>
      <c r="X178" s="153">
        <f t="shared" si="60"/>
        <v>46186</v>
      </c>
      <c r="Y178" s="380">
        <f t="shared" si="61"/>
        <v>53.406584774552329</v>
      </c>
      <c r="Z178" s="380">
        <f t="shared" si="62"/>
        <v>54.637090608670597</v>
      </c>
      <c r="AA178" s="381">
        <f t="shared" si="63"/>
        <v>57.744633391195087</v>
      </c>
      <c r="AB178" s="193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5.3815265593119672E-2</v>
      </c>
      <c r="AD178" s="227">
        <f>(INDEX(Models!$BJ178:$BT178,,AH178)*(1-AF178)+INDEX(Models!$BJ178:$BT178,,AH178+1)*AF178-ERP_i)*AE178*Ramure*Pc/MaxiM</f>
        <v>3.8194662578235747E-6</v>
      </c>
      <c r="AE178" s="301">
        <f t="shared" si="65"/>
        <v>0.5</v>
      </c>
      <c r="AF178" s="173">
        <f t="shared" si="66"/>
        <v>0.25896921493148684</v>
      </c>
      <c r="AG178" s="802">
        <f t="shared" si="74"/>
        <v>2</v>
      </c>
      <c r="AH178" s="172">
        <f t="shared" si="67"/>
        <v>8</v>
      </c>
      <c r="AI178" s="221">
        <f t="shared" si="68"/>
        <v>2.2589692149314868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46187</v>
      </c>
      <c r="B179" s="406">
        <f>'2025'!Wh/'2025'!Env_an*'2026'!Env_an</f>
        <v>55.892147707995839</v>
      </c>
      <c r="C179" s="832"/>
      <c r="D179" s="388">
        <f t="shared" si="50"/>
        <v>57.180704511281455</v>
      </c>
      <c r="E179" s="380">
        <f t="shared" si="75"/>
        <v>58.706737090189044</v>
      </c>
      <c r="F179" s="380">
        <f t="shared" si="51"/>
        <v>58.706923435603542</v>
      </c>
      <c r="G179" s="110">
        <f t="shared" si="76"/>
        <v>0.8997042662911533</v>
      </c>
      <c r="H179" s="409" t="b">
        <f>Wh_hp&gt;='2025'!Maxi_hp</f>
        <v>0</v>
      </c>
      <c r="I179" s="375">
        <f>IF(H179,Wh_hp,'2025'!Maxi_hp)</f>
        <v>58.706951596633296</v>
      </c>
      <c r="J179" s="85">
        <f>IF(H179,An,'2025'!An_max)</f>
        <v>2022</v>
      </c>
      <c r="K179" s="193">
        <f t="shared" si="52"/>
        <v>46187</v>
      </c>
      <c r="L179" s="143">
        <f>IF(t&lt;Tvie,1-EXP((T0-t)*PertePVj)+'2025'!Pspv,1-EXP((T0-t)*PertePVj)+Pspv)</f>
        <v>2.2534818594817985E-2</v>
      </c>
      <c r="M179" s="836"/>
      <c r="N179" s="836"/>
      <c r="O179" s="48">
        <f>IF(t&lt;Tnet,'2025'!Resal+('2025'!Salim-'2025'!Resal)*(1-EXP(('2025'!Tnet-t)/('2025'!Tau_j))),Resal+(Salim-Resal)*(1-EXP((Tnet-t)/(Tau_j))))*Salcycl</f>
        <v>2.5994164461281506E-2</v>
      </c>
      <c r="P179" s="334">
        <f>(INDEX(Models!$BJ179:$BT179,,T179)*(1-R179)+INDEX(Models!$BJ179:$BT179,,T179+1)*R179-ERP_i)*Q179*Ramure*Pc/MaxiM</f>
        <v>3.7050147771939475E-6</v>
      </c>
      <c r="Q179" s="301">
        <f t="shared" si="53"/>
        <v>0.5</v>
      </c>
      <c r="R179" s="173">
        <f t="shared" si="54"/>
        <v>0.26408835434931266</v>
      </c>
      <c r="S179" s="802">
        <f t="shared" si="55"/>
        <v>2</v>
      </c>
      <c r="T179" s="172">
        <f t="shared" si="56"/>
        <v>8</v>
      </c>
      <c r="U179" s="247">
        <f t="shared" si="57"/>
        <v>2.2640883543493127</v>
      </c>
      <c r="V179" s="378">
        <f t="shared" si="58"/>
        <v>62.122766481842348</v>
      </c>
      <c r="W179" s="397">
        <f t="shared" si="59"/>
        <v>55.892147707995839</v>
      </c>
      <c r="X179" s="153">
        <f t="shared" si="60"/>
        <v>46187</v>
      </c>
      <c r="Y179" s="380">
        <f t="shared" si="61"/>
        <v>54.292479120907714</v>
      </c>
      <c r="Z179" s="380">
        <f t="shared" si="62"/>
        <v>55.544156614211118</v>
      </c>
      <c r="AA179" s="381">
        <f t="shared" si="63"/>
        <v>58.706737090189044</v>
      </c>
      <c r="AB179" s="193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5.3870826973731537E-2</v>
      </c>
      <c r="AD179" s="227">
        <f>(INDEX(Models!$BJ179:$BT179,,AH179)*(1-AF179)+INDEX(Models!$BJ179:$BT179,,AH179+1)*AF179-ERP_i)*AE179*Ramure*Pc/MaxiM</f>
        <v>3.7050147771939475E-6</v>
      </c>
      <c r="AE179" s="301">
        <f t="shared" si="65"/>
        <v>0.5</v>
      </c>
      <c r="AF179" s="173">
        <f t="shared" si="66"/>
        <v>0.26408835434931266</v>
      </c>
      <c r="AG179" s="802">
        <f t="shared" si="74"/>
        <v>2</v>
      </c>
      <c r="AH179" s="172">
        <f t="shared" si="67"/>
        <v>8</v>
      </c>
      <c r="AI179" s="221">
        <f t="shared" si="68"/>
        <v>2.2640883543493127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46188</v>
      </c>
      <c r="B180" s="406">
        <f>'2025'!Wh/'2025'!Env_an*'2026'!Env_an</f>
        <v>59.289590651102628</v>
      </c>
      <c r="C180" s="832"/>
      <c r="D180" s="388">
        <f t="shared" si="50"/>
        <v>60.657303620457938</v>
      </c>
      <c r="E180" s="380">
        <f t="shared" si="75"/>
        <v>62.280324246580022</v>
      </c>
      <c r="F180" s="380">
        <f t="shared" si="51"/>
        <v>62.280534266553111</v>
      </c>
      <c r="G180" s="110">
        <f t="shared" si="76"/>
        <v>0.9544420874764673</v>
      </c>
      <c r="H180" s="409" t="b">
        <f>Wh_hp&gt;='2025'!Maxi_hp</f>
        <v>0</v>
      </c>
      <c r="I180" s="375">
        <f>IF(H180,Wh_hp,'2025'!Maxi_hp)</f>
        <v>62.280547455261207</v>
      </c>
      <c r="J180" s="85">
        <f>IF(H180,An,'2025'!An_max)</f>
        <v>2022</v>
      </c>
      <c r="K180" s="193">
        <f t="shared" si="52"/>
        <v>46188</v>
      </c>
      <c r="L180" s="143">
        <f>IF(t&lt;Tvie,1-EXP((T0-t)*PertePVj)+'2025'!Pspv,1-EXP((T0-t)*PertePVj)+Pspv)</f>
        <v>2.2548199272313552E-2</v>
      </c>
      <c r="M180" s="836"/>
      <c r="N180" s="836"/>
      <c r="O180" s="48">
        <f>IF(t&lt;Tnet,'2025'!Resal+('2025'!Salim-'2025'!Resal)*(1-EXP(('2025'!Tnet-t)/('2025'!Tau_j))),Resal+(Salim-Resal)*(1-EXP((Tnet-t)/(Tau_j))))*Salcycl</f>
        <v>2.6059925759156673E-2</v>
      </c>
      <c r="P180" s="334">
        <f>(INDEX(Models!$BJ180:$BT180,,T180)*(1-R180)+INDEX(Models!$BJ180:$BT180,,T180+1)*R180-ERP_i)*Q180*Ramure*Pc/MaxiM</f>
        <v>3.6069069538619156E-6</v>
      </c>
      <c r="Q180" s="301">
        <f t="shared" si="53"/>
        <v>0.5</v>
      </c>
      <c r="R180" s="173">
        <f t="shared" si="54"/>
        <v>0.26919027289645259</v>
      </c>
      <c r="S180" s="802">
        <f t="shared" si="55"/>
        <v>2</v>
      </c>
      <c r="T180" s="172">
        <f t="shared" si="56"/>
        <v>8</v>
      </c>
      <c r="U180" s="247">
        <f t="shared" si="57"/>
        <v>2.2691902728964526</v>
      </c>
      <c r="V180" s="378">
        <f t="shared" si="58"/>
        <v>62.119616801277267</v>
      </c>
      <c r="W180" s="397">
        <f t="shared" si="59"/>
        <v>59.289590651102628</v>
      </c>
      <c r="X180" s="153">
        <f t="shared" si="60"/>
        <v>46188</v>
      </c>
      <c r="Y180" s="380">
        <f t="shared" si="61"/>
        <v>57.593239841301752</v>
      </c>
      <c r="Z180" s="380">
        <f t="shared" si="62"/>
        <v>58.921820798145895</v>
      </c>
      <c r="AA180" s="381">
        <f t="shared" si="63"/>
        <v>62.280324246580022</v>
      </c>
      <c r="AB180" s="193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5.3925593501041424E-2</v>
      </c>
      <c r="AD180" s="227">
        <f>(INDEX(Models!$BJ180:$BT180,,AH180)*(1-AF180)+INDEX(Models!$BJ180:$BT180,,AH180+1)*AF180-ERP_i)*AE180*Ramure*Pc/MaxiM</f>
        <v>3.6069069538619156E-6</v>
      </c>
      <c r="AE180" s="301">
        <f t="shared" si="65"/>
        <v>0.5</v>
      </c>
      <c r="AF180" s="173">
        <f t="shared" si="66"/>
        <v>0.26919027289645259</v>
      </c>
      <c r="AG180" s="802">
        <f t="shared" si="74"/>
        <v>2</v>
      </c>
      <c r="AH180" s="172">
        <f t="shared" si="67"/>
        <v>8</v>
      </c>
      <c r="AI180" s="221">
        <f t="shared" si="68"/>
        <v>2.2691902728964526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46189</v>
      </c>
      <c r="B181" s="406">
        <f>'2025'!Wh/'2025'!Env_an*'2026'!Env_an</f>
        <v>56.183134397954838</v>
      </c>
      <c r="C181" s="832"/>
      <c r="D181" s="388">
        <f t="shared" si="50"/>
        <v>57.47997340286792</v>
      </c>
      <c r="E181" s="380">
        <f t="shared" si="75"/>
        <v>59.021939025121604</v>
      </c>
      <c r="F181" s="380">
        <f t="shared" si="51"/>
        <v>59.022118728967961</v>
      </c>
      <c r="G181" s="110">
        <f t="shared" si="76"/>
        <v>0.90451708162058497</v>
      </c>
      <c r="H181" s="409" t="b">
        <f>Wh_hp&gt;='2025'!Maxi_hp</f>
        <v>0</v>
      </c>
      <c r="I181" s="375">
        <f>IF(H181,Wh_hp,'2025'!Maxi_hp)</f>
        <v>59.022144290710564</v>
      </c>
      <c r="J181" s="85">
        <f>IF(H181,An,'2025'!An_max)</f>
        <v>2022</v>
      </c>
      <c r="K181" s="193">
        <f t="shared" si="52"/>
        <v>46189</v>
      </c>
      <c r="L181" s="143">
        <f>IF(t&lt;Tvie,1-EXP((T0-t)*PertePVj)+'2025'!Pspv,1-EXP((T0-t)*PertePVj)+Pspv)</f>
        <v>2.2561579766638862E-2</v>
      </c>
      <c r="M181" s="836"/>
      <c r="N181" s="836"/>
      <c r="O181" s="48">
        <f>IF(t&lt;Tnet,'2025'!Resal+('2025'!Salim-'2025'!Resal)*(1-EXP(('2025'!Tnet-t)/('2025'!Tau_j))),Resal+(Salim-Resal)*(1-EXP((Tnet-t)/(Tau_j))))*Salcycl</f>
        <v>2.6125295910684587E-2</v>
      </c>
      <c r="P181" s="334">
        <f>(INDEX(Models!$BJ181:$BT181,,T181)*(1-R181)+INDEX(Models!$BJ181:$BT181,,T181+1)*R181-ERP_i)*Q181*Ramure*Pc/MaxiM</f>
        <v>3.525589368055394E-6</v>
      </c>
      <c r="Q181" s="301">
        <f t="shared" si="53"/>
        <v>0.5</v>
      </c>
      <c r="R181" s="173">
        <f t="shared" si="54"/>
        <v>0.27427077376672448</v>
      </c>
      <c r="S181" s="802">
        <f t="shared" si="55"/>
        <v>2</v>
      </c>
      <c r="T181" s="172">
        <f t="shared" si="56"/>
        <v>8</v>
      </c>
      <c r="U181" s="247">
        <f t="shared" si="57"/>
        <v>2.2742707737667245</v>
      </c>
      <c r="V181" s="378">
        <f t="shared" si="58"/>
        <v>62.113926337996347</v>
      </c>
      <c r="W181" s="397">
        <f t="shared" si="59"/>
        <v>56.183134397954838</v>
      </c>
      <c r="X181" s="153">
        <f t="shared" si="60"/>
        <v>46189</v>
      </c>
      <c r="Y181" s="380">
        <f t="shared" si="61"/>
        <v>54.576214295169343</v>
      </c>
      <c r="Z181" s="380">
        <f t="shared" si="62"/>
        <v>55.835961801193982</v>
      </c>
      <c r="AA181" s="381">
        <f t="shared" si="63"/>
        <v>59.021939025121604</v>
      </c>
      <c r="AB181" s="193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5.3979541786513867E-2</v>
      </c>
      <c r="AD181" s="227">
        <f>(INDEX(Models!$BJ181:$BT181,,AH181)*(1-AF181)+INDEX(Models!$BJ181:$BT181,,AH181+1)*AF181-ERP_i)*AE181*Ramure*Pc/MaxiM</f>
        <v>3.525589368055394E-6</v>
      </c>
      <c r="AE181" s="301">
        <f t="shared" si="65"/>
        <v>0.5</v>
      </c>
      <c r="AF181" s="173">
        <f t="shared" si="66"/>
        <v>0.27427077376672448</v>
      </c>
      <c r="AG181" s="802">
        <f t="shared" si="74"/>
        <v>2</v>
      </c>
      <c r="AH181" s="172">
        <f t="shared" si="67"/>
        <v>8</v>
      </c>
      <c r="AI181" s="221">
        <f t="shared" si="68"/>
        <v>2.2742707737667245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46190</v>
      </c>
      <c r="B182" s="406">
        <f>'2025'!Wh/'2025'!Env_an*'2026'!Env_an</f>
        <v>56.348013022822322</v>
      </c>
      <c r="C182" s="832"/>
      <c r="D182" s="388">
        <f t="shared" si="50"/>
        <v>57.649446987062298</v>
      </c>
      <c r="E182" s="380">
        <f t="shared" si="75"/>
        <v>59.199908148503688</v>
      </c>
      <c r="F182" s="380">
        <f t="shared" si="51"/>
        <v>59.200085932152248</v>
      </c>
      <c r="G182" s="110">
        <f t="shared" si="76"/>
        <v>0.9072993625889566</v>
      </c>
      <c r="H182" s="409" t="b">
        <f>Wh_hp&gt;='2025'!Maxi_hp</f>
        <v>0</v>
      </c>
      <c r="I182" s="375">
        <f>IF(H182,Wh_hp,'2025'!Maxi_hp)</f>
        <v>59.20011033031976</v>
      </c>
      <c r="J182" s="85">
        <f>IF(H182,An,'2025'!An_max)</f>
        <v>2022</v>
      </c>
      <c r="K182" s="193">
        <f t="shared" si="52"/>
        <v>46190</v>
      </c>
      <c r="L182" s="143">
        <f>IF(t&lt;Tvie,1-EXP((T0-t)*PertePVj)+'2025'!Pspv,1-EXP((T0-t)*PertePVj)+Pspv)</f>
        <v>2.2574960077796469E-2</v>
      </c>
      <c r="M182" s="836"/>
      <c r="N182" s="836"/>
      <c r="O182" s="48">
        <f>IF(t&lt;Tnet,'2025'!Resal+('2025'!Salim-'2025'!Resal)*(1-EXP(('2025'!Tnet-t)/('2025'!Tau_j))),Resal+(Salim-Resal)*(1-EXP((Tnet-t)/(Tau_j))))*Salcycl</f>
        <v>2.6190262957031012E-2</v>
      </c>
      <c r="P182" s="334">
        <f>(INDEX(Models!$BJ182:$BT182,,T182)*(1-R182)+INDEX(Models!$BJ182:$BT182,,T182+1)*R182-ERP_i)*Q182*Ramure*Pc/MaxiM</f>
        <v>3.4615004700342634E-6</v>
      </c>
      <c r="Q182" s="301">
        <f t="shared" si="53"/>
        <v>0.5</v>
      </c>
      <c r="R182" s="173">
        <f t="shared" si="54"/>
        <v>0.27932573129638438</v>
      </c>
      <c r="S182" s="802">
        <f t="shared" si="55"/>
        <v>2</v>
      </c>
      <c r="T182" s="172">
        <f t="shared" si="56"/>
        <v>8</v>
      </c>
      <c r="U182" s="247">
        <f t="shared" si="57"/>
        <v>2.2793257312963844</v>
      </c>
      <c r="V182" s="378">
        <f t="shared" si="58"/>
        <v>62.105176655120999</v>
      </c>
      <c r="W182" s="397">
        <f t="shared" si="59"/>
        <v>56.348013022822322</v>
      </c>
      <c r="X182" s="153">
        <f t="shared" si="60"/>
        <v>46190</v>
      </c>
      <c r="Y182" s="380">
        <f t="shared" si="61"/>
        <v>54.736955771340462</v>
      </c>
      <c r="Z182" s="380">
        <f t="shared" si="62"/>
        <v>56.001180178172184</v>
      </c>
      <c r="AA182" s="381">
        <f t="shared" si="63"/>
        <v>59.199908148503688</v>
      </c>
      <c r="AB182" s="193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5.4032650900529285E-2</v>
      </c>
      <c r="AD182" s="227">
        <f>(INDEX(Models!$BJ182:$BT182,,AH182)*(1-AF182)+INDEX(Models!$BJ182:$BT182,,AH182+1)*AF182-ERP_i)*AE182*Ramure*Pc/MaxiM</f>
        <v>3.4615004700342634E-6</v>
      </c>
      <c r="AE182" s="301">
        <f t="shared" si="65"/>
        <v>0.5</v>
      </c>
      <c r="AF182" s="173">
        <f t="shared" si="66"/>
        <v>0.27932573129638438</v>
      </c>
      <c r="AG182" s="802">
        <f t="shared" si="74"/>
        <v>2</v>
      </c>
      <c r="AH182" s="172">
        <f t="shared" si="67"/>
        <v>8</v>
      </c>
      <c r="AI182" s="221">
        <f t="shared" si="68"/>
        <v>2.2793257312963844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46191</v>
      </c>
      <c r="B183" s="406">
        <f>'2025'!Wh/'2025'!Env_an*'2026'!Env_an</f>
        <v>59.999261843215166</v>
      </c>
      <c r="C183" s="832"/>
      <c r="D183" s="388">
        <f t="shared" si="50"/>
        <v>61.385866683693642</v>
      </c>
      <c r="E183" s="380">
        <f t="shared" si="75"/>
        <v>63.040996453005953</v>
      </c>
      <c r="F183" s="380">
        <f t="shared" si="51"/>
        <v>63.041201373256548</v>
      </c>
      <c r="G183" s="110">
        <f t="shared" si="76"/>
        <v>0.9662827934515007</v>
      </c>
      <c r="H183" s="409" t="b">
        <f>Wh_hp&gt;='2025'!Maxi_hp</f>
        <v>0</v>
      </c>
      <c r="I183" s="375">
        <f>IF(H183,Wh_hp,'2025'!Maxi_hp)</f>
        <v>63.041210680811361</v>
      </c>
      <c r="J183" s="85">
        <f>IF(H183,An,'2025'!An_max)</f>
        <v>2022</v>
      </c>
      <c r="K183" s="193">
        <f t="shared" si="52"/>
        <v>46191</v>
      </c>
      <c r="L183" s="143">
        <f>IF(t&lt;Tvie,1-EXP((T0-t)*PertePVj)+'2025'!Pspv,1-EXP((T0-t)*PertePVj)+Pspv)</f>
        <v>2.2588340205788926E-2</v>
      </c>
      <c r="M183" s="836"/>
      <c r="N183" s="836"/>
      <c r="O183" s="48">
        <f>IF(t&lt;Tnet,'2025'!Resal+('2025'!Salim-'2025'!Resal)*(1-EXP(('2025'!Tnet-t)/('2025'!Tau_j))),Resal+(Salim-Resal)*(1-EXP((Tnet-t)/(Tau_j))))*Salcycl</f>
        <v>2.6254816110753074E-2</v>
      </c>
      <c r="P183" s="334">
        <f>(INDEX(Models!$BJ183:$BT183,,T183)*(1-R183)+INDEX(Models!$BJ183:$BT183,,T183+1)*R183-ERP_i)*Q183*Ramure*Pc/MaxiM</f>
        <v>3.415070990152032E-6</v>
      </c>
      <c r="Q183" s="301">
        <f t="shared" si="53"/>
        <v>0.5</v>
      </c>
      <c r="R183" s="173">
        <f t="shared" si="54"/>
        <v>0.28435110407865638</v>
      </c>
      <c r="S183" s="802">
        <f t="shared" si="55"/>
        <v>2</v>
      </c>
      <c r="T183" s="172">
        <f t="shared" si="56"/>
        <v>8</v>
      </c>
      <c r="U183" s="247">
        <f t="shared" si="57"/>
        <v>2.2843511040786564</v>
      </c>
      <c r="V183" s="378">
        <f t="shared" si="58"/>
        <v>62.092849402113778</v>
      </c>
      <c r="W183" s="397">
        <f t="shared" si="59"/>
        <v>59.999261843215166</v>
      </c>
      <c r="X183" s="153">
        <f t="shared" si="60"/>
        <v>46191</v>
      </c>
      <c r="Y183" s="380">
        <f t="shared" si="61"/>
        <v>58.284455275481903</v>
      </c>
      <c r="Z183" s="380">
        <f t="shared" si="62"/>
        <v>59.631430310288494</v>
      </c>
      <c r="AA183" s="381">
        <f t="shared" si="63"/>
        <v>63.040996453005953</v>
      </c>
      <c r="AB183" s="193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5.4084902437402375E-2</v>
      </c>
      <c r="AD183" s="227">
        <f>(INDEX(Models!$BJ183:$BT183,,AH183)*(1-AF183)+INDEX(Models!$BJ183:$BT183,,AH183+1)*AF183-ERP_i)*AE183*Ramure*Pc/MaxiM</f>
        <v>3.415070990152032E-6</v>
      </c>
      <c r="AE183" s="301">
        <f t="shared" si="65"/>
        <v>0.5</v>
      </c>
      <c r="AF183" s="173">
        <f t="shared" si="66"/>
        <v>0.28435110407865638</v>
      </c>
      <c r="AG183" s="802">
        <f t="shared" si="74"/>
        <v>2</v>
      </c>
      <c r="AH183" s="172">
        <f t="shared" si="67"/>
        <v>8</v>
      </c>
      <c r="AI183" s="221">
        <f t="shared" si="68"/>
        <v>2.2843511040786564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46192</v>
      </c>
      <c r="B184" s="406">
        <f>'2025'!Wh/'2025'!Env_an*'2026'!Env_an</f>
        <v>60.479890836151874</v>
      </c>
      <c r="C184" s="832"/>
      <c r="D184" s="388">
        <f t="shared" si="50"/>
        <v>61.878450252103896</v>
      </c>
      <c r="E184" s="380">
        <f t="shared" si="75"/>
        <v>63.551046807948467</v>
      </c>
      <c r="F184" s="380">
        <f t="shared" si="51"/>
        <v>63.551254526145314</v>
      </c>
      <c r="G184" s="110">
        <f t="shared" si="76"/>
        <v>0.97428101584156157</v>
      </c>
      <c r="H184" s="409" t="b">
        <f>Wh_hp&gt;='2025'!Maxi_hp</f>
        <v>0</v>
      </c>
      <c r="I184" s="375">
        <f>IF(H184,Wh_hp,'2025'!Maxi_hp)</f>
        <v>63.551261625570454</v>
      </c>
      <c r="J184" s="85">
        <f>IF(H184,An,'2025'!An_max)</f>
        <v>2022</v>
      </c>
      <c r="K184" s="193">
        <f t="shared" si="52"/>
        <v>46192</v>
      </c>
      <c r="L184" s="143">
        <f>IF(t&lt;Tvie,1-EXP((T0-t)*PertePVj)+'2025'!Pspv,1-EXP((T0-t)*PertePVj)+Pspv)</f>
        <v>2.2601720150618565E-2</v>
      </c>
      <c r="M184" s="836"/>
      <c r="N184" s="836"/>
      <c r="O184" s="48">
        <f>IF(t&lt;Tnet,'2025'!Resal+('2025'!Salim-'2025'!Resal)*(1-EXP(('2025'!Tnet-t)/('2025'!Tau_j))),Resal+(Salim-Resal)*(1-EXP((Tnet-t)/(Tau_j))))*Salcycl</f>
        <v>2.6318945790132553E-2</v>
      </c>
      <c r="P184" s="334">
        <f>(INDEX(Models!$BJ184:$BT184,,T184)*(1-R184)+INDEX(Models!$BJ184:$BT184,,T184+1)*R184-ERP_i)*Q184*Ramure*Pc/MaxiM</f>
        <v>3.3931842708434893E-6</v>
      </c>
      <c r="Q184" s="301">
        <f t="shared" si="53"/>
        <v>0.5</v>
      </c>
      <c r="R184" s="173">
        <f t="shared" si="54"/>
        <v>0.28934294749306888</v>
      </c>
      <c r="S184" s="802">
        <f t="shared" si="55"/>
        <v>2</v>
      </c>
      <c r="T184" s="172">
        <f t="shared" si="56"/>
        <v>8</v>
      </c>
      <c r="U184" s="247">
        <f t="shared" si="57"/>
        <v>2.2893429474930689</v>
      </c>
      <c r="V184" s="378">
        <f t="shared" si="58"/>
        <v>62.076425910723408</v>
      </c>
      <c r="W184" s="397">
        <f t="shared" si="59"/>
        <v>60.479890836151874</v>
      </c>
      <c r="X184" s="153">
        <f t="shared" si="60"/>
        <v>46192</v>
      </c>
      <c r="Y184" s="380">
        <f t="shared" si="61"/>
        <v>58.752025881437724</v>
      </c>
      <c r="Z184" s="380">
        <f t="shared" si="62"/>
        <v>60.110629507647076</v>
      </c>
      <c r="AA184" s="381">
        <f t="shared" si="63"/>
        <v>63.551046807948467</v>
      </c>
      <c r="AB184" s="193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5.4136280566681301E-2</v>
      </c>
      <c r="AD184" s="227">
        <f>(INDEX(Models!$BJ184:$BT184,,AH184)*(1-AF184)+INDEX(Models!$BJ184:$BT184,,AH184+1)*AF184-ERP_i)*AE184*Ramure*Pc/MaxiM</f>
        <v>3.3931842708434893E-6</v>
      </c>
      <c r="AE184" s="301">
        <f t="shared" si="65"/>
        <v>0.5</v>
      </c>
      <c r="AF184" s="173">
        <f t="shared" si="66"/>
        <v>0.28934294749306888</v>
      </c>
      <c r="AG184" s="802">
        <f t="shared" si="74"/>
        <v>2</v>
      </c>
      <c r="AH184" s="172">
        <f t="shared" si="67"/>
        <v>8</v>
      </c>
      <c r="AI184" s="221">
        <f t="shared" si="68"/>
        <v>2.2893429474930689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46193</v>
      </c>
      <c r="B185" s="406">
        <f>'2025'!Wh/'2025'!Env_an*'2026'!Env_an</f>
        <v>32.703327258768773</v>
      </c>
      <c r="C185" s="832"/>
      <c r="D185" s="388">
        <f t="shared" si="50"/>
        <v>33.460029161320094</v>
      </c>
      <c r="E185" s="380">
        <f t="shared" si="75"/>
        <v>34.366713928199438</v>
      </c>
      <c r="F185" s="380">
        <f t="shared" si="51"/>
        <v>34.366751636307441</v>
      </c>
      <c r="G185" s="110">
        <f t="shared" si="76"/>
        <v>0.52700100883640755</v>
      </c>
      <c r="H185" s="409" t="b">
        <f>Wh_hp&gt;='2025'!Maxi_hp</f>
        <v>0</v>
      </c>
      <c r="I185" s="375">
        <f>IF(H185,Wh_hp,'2025'!Maxi_hp)</f>
        <v>34.366821926226663</v>
      </c>
      <c r="J185" s="85">
        <f>IF(H185,An,'2025'!An_max)</f>
        <v>2022</v>
      </c>
      <c r="K185" s="193">
        <f t="shared" si="52"/>
        <v>46193</v>
      </c>
      <c r="L185" s="143">
        <f>IF(t&lt;Tvie,1-EXP((T0-t)*PertePVj)+'2025'!Pspv,1-EXP((T0-t)*PertePVj)+Pspv)</f>
        <v>2.2615099912287939E-2</v>
      </c>
      <c r="M185" s="836"/>
      <c r="N185" s="836"/>
      <c r="O185" s="48">
        <f>IF(t&lt;Tnet,'2025'!Resal+('2025'!Salim-'2025'!Resal)*(1-EXP(('2025'!Tnet-t)/('2025'!Tau_j))),Resal+(Salim-Resal)*(1-EXP((Tnet-t)/(Tau_j))))*Salcycl</f>
        <v>2.6382643646804066E-2</v>
      </c>
      <c r="P185" s="334">
        <f>(INDEX(Models!$BJ185:$BT185,,T185)*(1-R185)+INDEX(Models!$BJ185:$BT185,,T185+1)*R185-ERP_i)*Q185*Ramure*Pc/MaxiM</f>
        <v>3.3834846115912956E-6</v>
      </c>
      <c r="Q185" s="301">
        <f t="shared" si="53"/>
        <v>0.5</v>
      </c>
      <c r="R185" s="173">
        <f t="shared" si="54"/>
        <v>0.29429742557015093</v>
      </c>
      <c r="S185" s="802">
        <f t="shared" si="55"/>
        <v>2</v>
      </c>
      <c r="T185" s="172">
        <f t="shared" si="56"/>
        <v>8</v>
      </c>
      <c r="U185" s="247">
        <f t="shared" si="57"/>
        <v>2.2942974255701509</v>
      </c>
      <c r="V185" s="378">
        <f t="shared" si="58"/>
        <v>62.05538877931982</v>
      </c>
      <c r="W185" s="397">
        <f t="shared" si="59"/>
        <v>32.703327258768773</v>
      </c>
      <c r="X185" s="153">
        <f t="shared" si="60"/>
        <v>46193</v>
      </c>
      <c r="Y185" s="380">
        <f t="shared" si="61"/>
        <v>31.76940028525507</v>
      </c>
      <c r="Z185" s="380">
        <f t="shared" si="62"/>
        <v>32.504492633765913</v>
      </c>
      <c r="AA185" s="381">
        <f t="shared" si="63"/>
        <v>34.366713928199438</v>
      </c>
      <c r="AB185" s="193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5.4186772070328439E-2</v>
      </c>
      <c r="AD185" s="227">
        <f>(INDEX(Models!$BJ185:$BT185,,AH185)*(1-AF185)+INDEX(Models!$BJ185:$BT185,,AH185+1)*AF185-ERP_i)*AE185*Ramure*Pc/MaxiM</f>
        <v>3.3834846115912956E-6</v>
      </c>
      <c r="AE185" s="301">
        <f t="shared" si="65"/>
        <v>0.5</v>
      </c>
      <c r="AF185" s="173">
        <f t="shared" si="66"/>
        <v>0.29429742557015093</v>
      </c>
      <c r="AG185" s="802">
        <f t="shared" si="74"/>
        <v>2</v>
      </c>
      <c r="AH185" s="172">
        <f t="shared" si="67"/>
        <v>8</v>
      </c>
      <c r="AI185" s="221">
        <f t="shared" si="68"/>
        <v>2.2942974255701509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46194</v>
      </c>
      <c r="B186" s="406">
        <f>'2025'!Wh/'2025'!Env_an*'2026'!Env_an</f>
        <v>22.006994909371219</v>
      </c>
      <c r="C186" s="832"/>
      <c r="D186" s="388">
        <f t="shared" si="50"/>
        <v>22.516509277767586</v>
      </c>
      <c r="E186" s="380">
        <f t="shared" si="75"/>
        <v>23.128154190494101</v>
      </c>
      <c r="F186" s="380">
        <f t="shared" si="51"/>
        <v>23.128160319922127</v>
      </c>
      <c r="G186" s="110">
        <f t="shared" si="76"/>
        <v>0.35478321760412607</v>
      </c>
      <c r="H186" s="409" t="b">
        <f>Wh_hp&gt;='2025'!Maxi_hp</f>
        <v>0</v>
      </c>
      <c r="I186" s="375">
        <f>IF(H186,Wh_hp,'2025'!Maxi_hp)</f>
        <v>23.128224796765007</v>
      </c>
      <c r="J186" s="85">
        <f>IF(H186,An,'2025'!An_max)</f>
        <v>2022</v>
      </c>
      <c r="K186" s="193">
        <f t="shared" si="52"/>
        <v>46194</v>
      </c>
      <c r="L186" s="143">
        <f>IF(t&lt;Tvie,1-EXP((T0-t)*PertePVj)+'2025'!Pspv,1-EXP((T0-t)*PertePVj)+Pspv)</f>
        <v>2.2628479490799713E-2</v>
      </c>
      <c r="M186" s="836"/>
      <c r="N186" s="836"/>
      <c r="O186" s="48">
        <f>IF(t&lt;Tnet,'2025'!Resal+('2025'!Salim-'2025'!Resal)*(1-EXP(('2025'!Tnet-t)/('2025'!Tau_j))),Resal+(Salim-Resal)*(1-EXP((Tnet-t)/(Tau_j))))*Salcycl</f>
        <v>2.6445902586463482E-2</v>
      </c>
      <c r="P186" s="334">
        <f>(INDEX(Models!$BJ186:$BT186,,T186)*(1-R186)+INDEX(Models!$BJ186:$BT186,,T186+1)*R186-ERP_i)*Q186*Ramure*Pc/MaxiM</f>
        <v>3.3862622248202301E-6</v>
      </c>
      <c r="Q186" s="301">
        <f t="shared" si="53"/>
        <v>0.5</v>
      </c>
      <c r="R186" s="173">
        <f t="shared" si="54"/>
        <v>0.29921082211977801</v>
      </c>
      <c r="S186" s="802">
        <f t="shared" si="55"/>
        <v>2</v>
      </c>
      <c r="T186" s="172">
        <f t="shared" si="56"/>
        <v>8</v>
      </c>
      <c r="U186" s="247">
        <f t="shared" si="57"/>
        <v>2.299210822119778</v>
      </c>
      <c r="V186" s="378">
        <f t="shared" si="58"/>
        <v>62.029219896048886</v>
      </c>
      <c r="W186" s="397">
        <f t="shared" si="59"/>
        <v>22.006994909371219</v>
      </c>
      <c r="X186" s="153">
        <f t="shared" si="60"/>
        <v>46194</v>
      </c>
      <c r="Y186" s="380">
        <f t="shared" si="61"/>
        <v>21.378797055200682</v>
      </c>
      <c r="Z186" s="380">
        <f t="shared" si="62"/>
        <v>21.873767146460899</v>
      </c>
      <c r="AA186" s="381">
        <f t="shared" si="63"/>
        <v>23.128154190494101</v>
      </c>
      <c r="AB186" s="193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5.4236366365490861E-2</v>
      </c>
      <c r="AD186" s="227">
        <f>(INDEX(Models!$BJ186:$BT186,,AH186)*(1-AF186)+INDEX(Models!$BJ186:$BT186,,AH186+1)*AF186-ERP_i)*AE186*Ramure*Pc/MaxiM</f>
        <v>3.3862622248202301E-6</v>
      </c>
      <c r="AE186" s="301">
        <f t="shared" si="65"/>
        <v>0.5</v>
      </c>
      <c r="AF186" s="173">
        <f t="shared" si="66"/>
        <v>0.29921082211977801</v>
      </c>
      <c r="AG186" s="802">
        <f t="shared" si="74"/>
        <v>2</v>
      </c>
      <c r="AH186" s="172">
        <f t="shared" si="67"/>
        <v>8</v>
      </c>
      <c r="AI186" s="221">
        <f t="shared" si="68"/>
        <v>2.299210822119778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46195</v>
      </c>
      <c r="B187" s="406">
        <f>'2025'!Wh/'2025'!Env_an*'2026'!Env_an</f>
        <v>45.653813401087795</v>
      </c>
      <c r="C187" s="832"/>
      <c r="D187" s="388">
        <f t="shared" si="50"/>
        <v>46.711447401521148</v>
      </c>
      <c r="E187" s="380">
        <f t="shared" si="75"/>
        <v>47.983426463906497</v>
      </c>
      <c r="F187" s="380">
        <f t="shared" si="51"/>
        <v>47.983528222493462</v>
      </c>
      <c r="G187" s="110">
        <f t="shared" si="76"/>
        <v>0.73638175174654397</v>
      </c>
      <c r="H187" s="409" t="b">
        <f>Wh_hp&gt;='2025'!Maxi_hp</f>
        <v>0</v>
      </c>
      <c r="I187" s="375">
        <f>IF(H187,Wh_hp,'2025'!Maxi_hp)</f>
        <v>47.983583041866694</v>
      </c>
      <c r="J187" s="85">
        <f>IF(H187,An,'2025'!An_max)</f>
        <v>2022</v>
      </c>
      <c r="K187" s="193">
        <f t="shared" si="52"/>
        <v>46195</v>
      </c>
      <c r="L187" s="143">
        <f>IF(t&lt;Tvie,1-EXP((T0-t)*PertePVj)+'2025'!Pspv,1-EXP((T0-t)*PertePVj)+Pspv)</f>
        <v>2.264185888615633E-2</v>
      </c>
      <c r="M187" s="836"/>
      <c r="N187" s="836"/>
      <c r="O187" s="48">
        <f>IF(t&lt;Tnet,'2025'!Resal+('2025'!Salim-'2025'!Resal)*(1-EXP(('2025'!Tnet-t)/('2025'!Tau_j))),Resal+(Salim-Resal)*(1-EXP((Tnet-t)/(Tau_j))))*Salcycl</f>
        <v>2.6508716782494546E-2</v>
      </c>
      <c r="P187" s="334">
        <f>(INDEX(Models!$BJ187:$BT187,,T187)*(1-R187)+INDEX(Models!$BJ187:$BT187,,T187+1)*R187-ERP_i)*Q187*Ramure*Pc/MaxiM</f>
        <v>3.4018049523165726E-6</v>
      </c>
      <c r="Q187" s="301">
        <f t="shared" si="53"/>
        <v>0.5</v>
      </c>
      <c r="R187" s="173">
        <f t="shared" si="54"/>
        <v>0.3040795510598655</v>
      </c>
      <c r="S187" s="802">
        <f t="shared" si="55"/>
        <v>2</v>
      </c>
      <c r="T187" s="172">
        <f t="shared" si="56"/>
        <v>8</v>
      </c>
      <c r="U187" s="247">
        <f t="shared" si="57"/>
        <v>2.3040795510598655</v>
      </c>
      <c r="V187" s="378">
        <f t="shared" si="58"/>
        <v>61.997401219243613</v>
      </c>
      <c r="W187" s="397">
        <f t="shared" si="59"/>
        <v>45.653813401087795</v>
      </c>
      <c r="X187" s="153">
        <f t="shared" si="60"/>
        <v>46195</v>
      </c>
      <c r="Y187" s="380">
        <f t="shared" si="61"/>
        <v>44.351186652174292</v>
      </c>
      <c r="Z187" s="380">
        <f t="shared" si="62"/>
        <v>45.378643494624782</v>
      </c>
      <c r="AA187" s="381">
        <f t="shared" si="63"/>
        <v>47.983426463906497</v>
      </c>
      <c r="AB187" s="193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5.4285055512678981E-2</v>
      </c>
      <c r="AD187" s="227">
        <f>(INDEX(Models!$BJ187:$BT187,,AH187)*(1-AF187)+INDEX(Models!$BJ187:$BT187,,AH187+1)*AF187-ERP_i)*AE187*Ramure*Pc/MaxiM</f>
        <v>3.4018049523165726E-6</v>
      </c>
      <c r="AE187" s="301">
        <f t="shared" si="65"/>
        <v>0.5</v>
      </c>
      <c r="AF187" s="173">
        <f t="shared" si="66"/>
        <v>0.3040795510598655</v>
      </c>
      <c r="AG187" s="802">
        <f t="shared" si="74"/>
        <v>2</v>
      </c>
      <c r="AH187" s="172">
        <f t="shared" si="67"/>
        <v>8</v>
      </c>
      <c r="AI187" s="221">
        <f t="shared" si="68"/>
        <v>2.3040795510598655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46196</v>
      </c>
      <c r="B188" s="406">
        <f>'2025'!Wh/'2025'!Env_an*'2026'!Env_an</f>
        <v>45.141750528164863</v>
      </c>
      <c r="C188" s="832"/>
      <c r="D188" s="388">
        <f t="shared" si="50"/>
        <v>46.18815415793668</v>
      </c>
      <c r="E188" s="380">
        <f t="shared" si="75"/>
        <v>47.448923376721794</v>
      </c>
      <c r="F188" s="380">
        <f t="shared" si="51"/>
        <v>47.449023030004383</v>
      </c>
      <c r="G188" s="110">
        <f t="shared" si="76"/>
        <v>0.72856870337945956</v>
      </c>
      <c r="H188" s="409" t="b">
        <f>Wh_hp&gt;='2025'!Maxi_hp</f>
        <v>0</v>
      </c>
      <c r="I188" s="375">
        <f>IF(H188,Wh_hp,'2025'!Maxi_hp)</f>
        <v>47.44907922821023</v>
      </c>
      <c r="J188" s="85">
        <f>IF(H188,An,'2025'!An_max)</f>
        <v>2022</v>
      </c>
      <c r="K188" s="193">
        <f t="shared" si="52"/>
        <v>46196</v>
      </c>
      <c r="L188" s="143">
        <f>IF(t&lt;Tvie,1-EXP((T0-t)*PertePVj)+'2025'!Pspv,1-EXP((T0-t)*PertePVj)+Pspv)</f>
        <v>2.265523809836012E-2</v>
      </c>
      <c r="M188" s="836"/>
      <c r="N188" s="836"/>
      <c r="O188" s="48">
        <f>IF(t&lt;Tnet,'2025'!Resal+('2025'!Salim-'2025'!Resal)*(1-EXP(('2025'!Tnet-t)/('2025'!Tau_j))),Resal+(Salim-Resal)*(1-EXP((Tnet-t)/(Tau_j))))*Salcycl</f>
        <v>2.6571081682406416E-2</v>
      </c>
      <c r="P188" s="334">
        <f>(INDEX(Models!$BJ188:$BT188,,T188)*(1-R188)+INDEX(Models!$BJ188:$BT188,,T188+1)*R188-ERP_i)*Q188*Ramure*Pc/MaxiM</f>
        <v>3.4303697900831029E-6</v>
      </c>
      <c r="Q188" s="301">
        <f t="shared" si="53"/>
        <v>0.5</v>
      </c>
      <c r="R188" s="173">
        <f t="shared" si="54"/>
        <v>0.30890016589108704</v>
      </c>
      <c r="S188" s="802">
        <f t="shared" si="55"/>
        <v>2</v>
      </c>
      <c r="T188" s="172">
        <f t="shared" si="56"/>
        <v>8</v>
      </c>
      <c r="U188" s="247">
        <f t="shared" si="57"/>
        <v>2.308900165891087</v>
      </c>
      <c r="V188" s="378">
        <f t="shared" si="58"/>
        <v>61.959414772086625</v>
      </c>
      <c r="W188" s="397">
        <f t="shared" si="59"/>
        <v>45.141750528164863</v>
      </c>
      <c r="X188" s="153">
        <f t="shared" si="60"/>
        <v>46196</v>
      </c>
      <c r="Y188" s="380">
        <f t="shared" si="61"/>
        <v>43.854328218008959</v>
      </c>
      <c r="Z188" s="380">
        <f t="shared" si="62"/>
        <v>44.870888889485308</v>
      </c>
      <c r="AA188" s="381">
        <f t="shared" si="63"/>
        <v>47.448923376721794</v>
      </c>
      <c r="AB188" s="193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5.433283420928476E-2</v>
      </c>
      <c r="AD188" s="227">
        <f>(INDEX(Models!$BJ188:$BT188,,AH188)*(1-AF188)+INDEX(Models!$BJ188:$BT188,,AH188+1)*AF188-ERP_i)*AE188*Ramure*Pc/MaxiM</f>
        <v>3.4303697900831029E-6</v>
      </c>
      <c r="AE188" s="301">
        <f t="shared" si="65"/>
        <v>0.5</v>
      </c>
      <c r="AF188" s="173">
        <f t="shared" si="66"/>
        <v>0.30890016589108704</v>
      </c>
      <c r="AG188" s="802">
        <f t="shared" si="74"/>
        <v>2</v>
      </c>
      <c r="AH188" s="172">
        <f t="shared" si="67"/>
        <v>8</v>
      </c>
      <c r="AI188" s="221">
        <f t="shared" si="68"/>
        <v>2.308900165891087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46197</v>
      </c>
      <c r="B189" s="406">
        <f>'2025'!Wh/'2025'!Env_an*'2026'!Env_an</f>
        <v>48.558745926809578</v>
      </c>
      <c r="C189" s="832"/>
      <c r="D189" s="388">
        <f t="shared" si="50"/>
        <v>49.685037007698483</v>
      </c>
      <c r="E189" s="380">
        <f t="shared" si="75"/>
        <v>51.044505003549894</v>
      </c>
      <c r="F189" s="380">
        <f t="shared" si="51"/>
        <v>51.044627622668287</v>
      </c>
      <c r="G189" s="110">
        <f t="shared" si="76"/>
        <v>0.78428322389812766</v>
      </c>
      <c r="H189" s="409" t="b">
        <f>Wh_hp&gt;='2025'!Maxi_hp</f>
        <v>0</v>
      </c>
      <c r="I189" s="375">
        <f>IF(H189,Wh_hp,'2025'!Maxi_hp)</f>
        <v>51.044676183708283</v>
      </c>
      <c r="J189" s="85">
        <f>IF(H189,An,'2025'!An_max)</f>
        <v>2022</v>
      </c>
      <c r="K189" s="193">
        <f t="shared" si="52"/>
        <v>46197</v>
      </c>
      <c r="L189" s="143">
        <f>IF(t&lt;Tvie,1-EXP((T0-t)*PertePVj)+'2025'!Pspv,1-EXP((T0-t)*PertePVj)+Pspv)</f>
        <v>2.2668617127413859E-2</v>
      </c>
      <c r="M189" s="836"/>
      <c r="N189" s="836"/>
      <c r="O189" s="48">
        <f>IF(t&lt;Tnet,'2025'!Resal+('2025'!Salim-'2025'!Resal)*(1-EXP(('2025'!Tnet-t)/('2025'!Tau_j))),Resal+(Salim-Resal)*(1-EXP((Tnet-t)/(Tau_j))))*Salcycl</f>
        <v>2.6632994007030977E-2</v>
      </c>
      <c r="P189" s="334">
        <f>(INDEX(Models!$BJ189:$BT189,,T189)*(1-R189)+INDEX(Models!$BJ189:$BT189,,T189+1)*R189-ERP_i)*Q189*Ramure*Pc/MaxiM</f>
        <v>3.4722102272309269E-6</v>
      </c>
      <c r="Q189" s="301">
        <f t="shared" si="53"/>
        <v>0.5</v>
      </c>
      <c r="R189" s="173">
        <f t="shared" si="54"/>
        <v>0.3136693682726297</v>
      </c>
      <c r="S189" s="802">
        <f t="shared" si="55"/>
        <v>2</v>
      </c>
      <c r="T189" s="172">
        <f t="shared" si="56"/>
        <v>8</v>
      </c>
      <c r="U189" s="247">
        <f t="shared" si="57"/>
        <v>2.3136693682726297</v>
      </c>
      <c r="V189" s="378">
        <f t="shared" si="58"/>
        <v>61.914742644508287</v>
      </c>
      <c r="W189" s="397">
        <f t="shared" si="59"/>
        <v>48.558745926809578</v>
      </c>
      <c r="X189" s="153">
        <f t="shared" si="60"/>
        <v>46197</v>
      </c>
      <c r="Y189" s="380">
        <f t="shared" si="61"/>
        <v>47.174535010391772</v>
      </c>
      <c r="Z189" s="380">
        <f t="shared" si="62"/>
        <v>48.268720146625924</v>
      </c>
      <c r="AA189" s="381">
        <f t="shared" si="63"/>
        <v>51.044505003549894</v>
      </c>
      <c r="AB189" s="193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5.4379699768484883E-2</v>
      </c>
      <c r="AD189" s="227">
        <f>(INDEX(Models!$BJ189:$BT189,,AH189)*(1-AF189)+INDEX(Models!$BJ189:$BT189,,AH189+1)*AF189-ERP_i)*AE189*Ramure*Pc/MaxiM</f>
        <v>3.4722102272309269E-6</v>
      </c>
      <c r="AE189" s="301">
        <f t="shared" si="65"/>
        <v>0.5</v>
      </c>
      <c r="AF189" s="173">
        <f t="shared" si="66"/>
        <v>0.3136693682726297</v>
      </c>
      <c r="AG189" s="802">
        <f t="shared" si="74"/>
        <v>2</v>
      </c>
      <c r="AH189" s="172">
        <f t="shared" si="67"/>
        <v>8</v>
      </c>
      <c r="AI189" s="221">
        <f t="shared" si="68"/>
        <v>2.3136693682726297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46198</v>
      </c>
      <c r="B190" s="406">
        <f>'2025'!Wh/'2025'!Env_an*'2026'!Env_an</f>
        <v>40.451010040268969</v>
      </c>
      <c r="C190" s="832"/>
      <c r="D190" s="388">
        <f t="shared" si="50"/>
        <v>41.389813626276634</v>
      </c>
      <c r="E190" s="380">
        <f t="shared" si="75"/>
        <v>42.524995054611381</v>
      </c>
      <c r="F190" s="380">
        <f t="shared" si="51"/>
        <v>42.525070892386047</v>
      </c>
      <c r="G190" s="110">
        <f t="shared" si="76"/>
        <v>0.65388077620510099</v>
      </c>
      <c r="H190" s="409" t="b">
        <f>Wh_hp&gt;='2025'!Maxi_hp</f>
        <v>0</v>
      </c>
      <c r="I190" s="375">
        <f>IF(H190,Wh_hp,'2025'!Maxi_hp)</f>
        <v>42.525136744519635</v>
      </c>
      <c r="J190" s="85">
        <f>IF(H190,An,'2025'!An_max)</f>
        <v>2022</v>
      </c>
      <c r="K190" s="193">
        <f t="shared" si="52"/>
        <v>46198</v>
      </c>
      <c r="L190" s="143">
        <f>IF(t&lt;Tvie,1-EXP((T0-t)*PertePVj)+'2025'!Pspv,1-EXP((T0-t)*PertePVj)+Pspv)</f>
        <v>2.2681995973319879E-2</v>
      </c>
      <c r="M190" s="836"/>
      <c r="N190" s="836"/>
      <c r="O190" s="48">
        <f>IF(t&lt;Tnet,'2025'!Resal+('2025'!Salim-'2025'!Resal)*(1-EXP(('2025'!Tnet-t)/('2025'!Tau_j))),Resal+(Salim-Resal)*(1-EXP((Tnet-t)/(Tau_j))))*Salcycl</f>
        <v>2.6694451742485331E-2</v>
      </c>
      <c r="P190" s="334">
        <f>(INDEX(Models!$BJ190:$BT190,,T190)*(1-R190)+INDEX(Models!$BJ190:$BT190,,T190+1)*R190-ERP_i)*Q190*Ramure*Pc/MaxiM</f>
        <v>3.5276070649314636E-6</v>
      </c>
      <c r="Q190" s="301">
        <f t="shared" si="53"/>
        <v>0.5</v>
      </c>
      <c r="R190" s="173">
        <f t="shared" si="54"/>
        <v>0.31838401566360552</v>
      </c>
      <c r="S190" s="802">
        <f t="shared" si="55"/>
        <v>2</v>
      </c>
      <c r="T190" s="172">
        <f t="shared" si="56"/>
        <v>8</v>
      </c>
      <c r="U190" s="247">
        <f t="shared" si="57"/>
        <v>2.3183840156636055</v>
      </c>
      <c r="V190" s="378">
        <f t="shared" si="58"/>
        <v>61.862866987162846</v>
      </c>
      <c r="W190" s="397">
        <f t="shared" si="59"/>
        <v>40.451010040268969</v>
      </c>
      <c r="X190" s="153">
        <f t="shared" si="60"/>
        <v>46198</v>
      </c>
      <c r="Y190" s="380">
        <f t="shared" si="61"/>
        <v>39.298489061179744</v>
      </c>
      <c r="Z190" s="380">
        <f t="shared" si="62"/>
        <v>40.21054446890853</v>
      </c>
      <c r="AA190" s="381">
        <f t="shared" si="63"/>
        <v>42.524995054611381</v>
      </c>
      <c r="AB190" s="193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5.4425652083688415E-2</v>
      </c>
      <c r="AD190" s="227">
        <f>(INDEX(Models!$BJ190:$BT190,,AH190)*(1-AF190)+INDEX(Models!$BJ190:$BT190,,AH190+1)*AF190-ERP_i)*AE190*Ramure*Pc/MaxiM</f>
        <v>3.5276070649314636E-6</v>
      </c>
      <c r="AE190" s="301">
        <f t="shared" si="65"/>
        <v>0.5</v>
      </c>
      <c r="AF190" s="173">
        <f t="shared" si="66"/>
        <v>0.31838401566360552</v>
      </c>
      <c r="AG190" s="802">
        <f t="shared" si="74"/>
        <v>2</v>
      </c>
      <c r="AH190" s="172">
        <f t="shared" si="67"/>
        <v>8</v>
      </c>
      <c r="AI190" s="221">
        <f t="shared" si="68"/>
        <v>2.3183840156636055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46199</v>
      </c>
      <c r="B191" s="406">
        <f>'2025'!Wh/'2025'!Env_an*'2026'!Env_an</f>
        <v>12.651186472481688</v>
      </c>
      <c r="C191" s="832"/>
      <c r="D191" s="388">
        <f t="shared" si="50"/>
        <v>12.944977588508559</v>
      </c>
      <c r="E191" s="380">
        <f t="shared" si="75"/>
        <v>13.300847811964687</v>
      </c>
      <c r="F191" s="380">
        <f t="shared" si="51"/>
        <v>13.300847811964687</v>
      </c>
      <c r="G191" s="110">
        <f t="shared" si="76"/>
        <v>0.20469812319312247</v>
      </c>
      <c r="H191" s="409" t="b">
        <f>Wh_hp&gt;='2025'!Maxi_hp</f>
        <v>0</v>
      </c>
      <c r="I191" s="375">
        <f>IF(H191,Wh_hp,'2025'!Maxi_hp)</f>
        <v>13.300890225268683</v>
      </c>
      <c r="J191" s="85">
        <f>IF(H191,An,'2025'!An_max)</f>
        <v>2022</v>
      </c>
      <c r="K191" s="193">
        <f t="shared" si="52"/>
        <v>46199</v>
      </c>
      <c r="L191" s="143">
        <f>IF(t&lt;Tvie,1-EXP((T0-t)*PertePVj)+'2025'!Pspv,1-EXP((T0-t)*PertePVj)+Pspv)</f>
        <v>2.2695374636080734E-2</v>
      </c>
      <c r="M191" s="836"/>
      <c r="N191" s="836"/>
      <c r="O191" s="48">
        <f>IF(t&lt;Tnet,'2025'!Resal+('2025'!Salim-'2025'!Resal)*(1-EXP(('2025'!Tnet-t)/('2025'!Tau_j))),Resal+(Salim-Resal)*(1-EXP((Tnet-t)/(Tau_j))))*Salcycl</f>
        <v>2.675545412496241E-2</v>
      </c>
      <c r="P191" s="334">
        <f>(INDEX(Models!$BJ191:$BT191,,T191)*(1-R191)+INDEX(Models!$BJ191:$BT191,,T191+1)*R191-ERP_i)*Q191*Ramure*Pc/MaxiM</f>
        <v>3.5968050957225979E-6</v>
      </c>
      <c r="Q191" s="301">
        <f t="shared" si="53"/>
        <v>0.5</v>
      </c>
      <c r="R191" s="173">
        <f t="shared" si="54"/>
        <v>0.32304112800443763</v>
      </c>
      <c r="S191" s="802">
        <f t="shared" si="55"/>
        <v>2</v>
      </c>
      <c r="T191" s="172">
        <f t="shared" si="56"/>
        <v>8</v>
      </c>
      <c r="U191" s="247">
        <f t="shared" si="57"/>
        <v>2.3230411280044376</v>
      </c>
      <c r="V191" s="378">
        <f t="shared" si="58"/>
        <v>61.803893319989051</v>
      </c>
      <c r="W191" s="397">
        <f t="shared" si="59"/>
        <v>12.651186472481688</v>
      </c>
      <c r="X191" s="153">
        <f t="shared" si="60"/>
        <v>46199</v>
      </c>
      <c r="Y191" s="380">
        <f t="shared" si="61"/>
        <v>12.290916626689993</v>
      </c>
      <c r="Z191" s="380">
        <f t="shared" si="62"/>
        <v>12.576341406460877</v>
      </c>
      <c r="AA191" s="381">
        <f t="shared" si="63"/>
        <v>13.300847811964687</v>
      </c>
      <c r="AB191" s="193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5.4470693578802194E-2</v>
      </c>
      <c r="AD191" s="227">
        <f>(INDEX(Models!$BJ191:$BT191,,AH191)*(1-AF191)+INDEX(Models!$BJ191:$BT191,,AH191+1)*AF191-ERP_i)*AE191*Ramure*Pc/MaxiM</f>
        <v>3.5968050957225979E-6</v>
      </c>
      <c r="AE191" s="301">
        <f t="shared" si="65"/>
        <v>0.5</v>
      </c>
      <c r="AF191" s="173">
        <f t="shared" si="66"/>
        <v>0.32304112800443763</v>
      </c>
      <c r="AG191" s="802">
        <f t="shared" si="74"/>
        <v>2</v>
      </c>
      <c r="AH191" s="172">
        <f t="shared" si="67"/>
        <v>8</v>
      </c>
      <c r="AI191" s="221">
        <f t="shared" si="68"/>
        <v>2.3230411280044376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46200</v>
      </c>
      <c r="B192" s="406">
        <f>'2025'!Wh/'2025'!Env_an*'2026'!Env_an</f>
        <v>18.612265382660457</v>
      </c>
      <c r="C192" s="832"/>
      <c r="D192" s="388">
        <f t="shared" si="50"/>
        <v>19.044747859963092</v>
      </c>
      <c r="E192" s="380">
        <f t="shared" si="75"/>
        <v>19.569524254031887</v>
      </c>
      <c r="F192" s="380">
        <f t="shared" si="51"/>
        <v>19.569524405762408</v>
      </c>
      <c r="G192" s="110">
        <f t="shared" si="76"/>
        <v>0.30146833411734486</v>
      </c>
      <c r="H192" s="409" t="b">
        <f>Wh_hp&gt;='2025'!Maxi_hp</f>
        <v>0</v>
      </c>
      <c r="I192" s="375">
        <f>IF(H192,Wh_hp,'2025'!Maxi_hp)</f>
        <v>19.569588262631058</v>
      </c>
      <c r="J192" s="85">
        <f>IF(H192,An,'2025'!An_max)</f>
        <v>2022</v>
      </c>
      <c r="K192" s="193">
        <f t="shared" si="52"/>
        <v>46200</v>
      </c>
      <c r="L192" s="143">
        <f>IF(t&lt;Tvie,1-EXP((T0-t)*PertePVj)+'2025'!Pspv,1-EXP((T0-t)*PertePVj)+Pspv)</f>
        <v>2.2708753115698865E-2</v>
      </c>
      <c r="M192" s="836"/>
      <c r="N192" s="836"/>
      <c r="O192" s="48">
        <f>IF(t&lt;Tnet,'2025'!Resal+('2025'!Salim-'2025'!Resal)*(1-EXP(('2025'!Tnet-t)/('2025'!Tau_j))),Resal+(Salim-Resal)*(1-EXP((Tnet-t)/(Tau_j))))*Salcycl</f>
        <v>2.6816001618469358E-2</v>
      </c>
      <c r="P192" s="334">
        <f>(INDEX(Models!$BJ192:$BT192,,T192)*(1-R192)+INDEX(Models!$BJ192:$BT192,,T192+1)*R192-ERP_i)*Q192*Ramure*Pc/MaxiM</f>
        <v>3.6934931936859612E-6</v>
      </c>
      <c r="Q192" s="301">
        <f t="shared" si="53"/>
        <v>0.5</v>
      </c>
      <c r="R192" s="173">
        <f t="shared" si="54"/>
        <v>0.3276378934221551</v>
      </c>
      <c r="S192" s="802">
        <f t="shared" si="55"/>
        <v>2</v>
      </c>
      <c r="T192" s="172">
        <f t="shared" si="56"/>
        <v>8</v>
      </c>
      <c r="U192" s="247">
        <f t="shared" si="57"/>
        <v>2.3276378934221551</v>
      </c>
      <c r="V192" s="378">
        <f t="shared" si="58"/>
        <v>61.738480219445606</v>
      </c>
      <c r="W192" s="397">
        <f t="shared" si="59"/>
        <v>18.612265382660457</v>
      </c>
      <c r="X192" s="153">
        <f t="shared" si="60"/>
        <v>46200</v>
      </c>
      <c r="Y192" s="380">
        <f t="shared" si="61"/>
        <v>18.082521850539003</v>
      </c>
      <c r="Z192" s="380">
        <f t="shared" si="62"/>
        <v>18.50269498288031</v>
      </c>
      <c r="AA192" s="381">
        <f t="shared" si="63"/>
        <v>19.569524254031887</v>
      </c>
      <c r="AB192" s="193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5.4514829144698317E-2</v>
      </c>
      <c r="AD192" s="227">
        <f>(INDEX(Models!$BJ192:$BT192,,AH192)*(1-AF192)+INDEX(Models!$BJ192:$BT192,,AH192+1)*AF192-ERP_i)*AE192*Ramure*Pc/MaxiM</f>
        <v>3.6934931936859612E-6</v>
      </c>
      <c r="AE192" s="301">
        <f t="shared" si="65"/>
        <v>0.5</v>
      </c>
      <c r="AF192" s="173">
        <f t="shared" si="66"/>
        <v>0.3276378934221551</v>
      </c>
      <c r="AG192" s="802">
        <f t="shared" si="74"/>
        <v>2</v>
      </c>
      <c r="AH192" s="172">
        <f t="shared" si="67"/>
        <v>8</v>
      </c>
      <c r="AI192" s="221">
        <f t="shared" si="68"/>
        <v>2.3276378934221551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46201</v>
      </c>
      <c r="B193" s="406">
        <f>'2025'!Wh/'2025'!Env_an*'2026'!Env_an</f>
        <v>64.409234892499938</v>
      </c>
      <c r="C193" s="832"/>
      <c r="D193" s="388">
        <f t="shared" si="50"/>
        <v>65.906777348362525</v>
      </c>
      <c r="E193" s="380">
        <f t="shared" si="75"/>
        <v>67.727015100248323</v>
      </c>
      <c r="F193" s="380">
        <f t="shared" si="51"/>
        <v>67.727273228607245</v>
      </c>
      <c r="G193" s="110">
        <f t="shared" si="76"/>
        <v>1.0444694332725444</v>
      </c>
      <c r="H193" s="409" t="b">
        <f>Wh_hp&gt;='2025'!Maxi_hp</f>
        <v>1</v>
      </c>
      <c r="I193" s="375">
        <f>IF(H193,Wh_hp,'2025'!Maxi_hp)</f>
        <v>67.727273228607245</v>
      </c>
      <c r="J193" s="85">
        <f>IF(H193,An,'2025'!An_max)</f>
        <v>2026</v>
      </c>
      <c r="K193" s="193">
        <f t="shared" si="52"/>
        <v>46201</v>
      </c>
      <c r="L193" s="143">
        <f>IF(t&lt;Tvie,1-EXP((T0-t)*PertePVj)+'2025'!Pspv,1-EXP((T0-t)*PertePVj)+Pspv)</f>
        <v>2.2722131412176938E-2</v>
      </c>
      <c r="M193" s="836"/>
      <c r="N193" s="836"/>
      <c r="O193" s="48">
        <f>IF(t&lt;Tnet,'2025'!Resal+('2025'!Salim-'2025'!Resal)*(1-EXP(('2025'!Tnet-t)/('2025'!Tau_j))),Resal+(Salim-Resal)*(1-EXP((Tnet-t)/(Tau_j))))*Salcycl</f>
        <v>2.6876095885689334E-2</v>
      </c>
      <c r="P193" s="334">
        <f>(INDEX(Models!$BJ193:$BT193,,T193)*(1-R193)+INDEX(Models!$BJ193:$BT193,,T193+1)*R193-ERP_i)*Q193*Ramure*Pc/MaxiM</f>
        <v>3.8112911773557266E-6</v>
      </c>
      <c r="Q193" s="301">
        <f t="shared" si="53"/>
        <v>0.5</v>
      </c>
      <c r="R193" s="173">
        <f t="shared" si="54"/>
        <v>0.33217167295298466</v>
      </c>
      <c r="S193" s="802">
        <f t="shared" si="55"/>
        <v>2</v>
      </c>
      <c r="T193" s="172">
        <f t="shared" si="56"/>
        <v>8</v>
      </c>
      <c r="U193" s="247">
        <f t="shared" si="57"/>
        <v>2.3321716729529847</v>
      </c>
      <c r="V193" s="378">
        <f t="shared" si="58"/>
        <v>61.666940975660872</v>
      </c>
      <c r="W193" s="397">
        <f t="shared" si="59"/>
        <v>64.409234892499938</v>
      </c>
      <c r="X193" s="153">
        <f t="shared" si="60"/>
        <v>46201</v>
      </c>
      <c r="Y193" s="380">
        <f t="shared" si="61"/>
        <v>62.577017523407363</v>
      </c>
      <c r="Z193" s="380">
        <f t="shared" si="62"/>
        <v>64.031960136201405</v>
      </c>
      <c r="AA193" s="381">
        <f t="shared" si="63"/>
        <v>67.727015100248323</v>
      </c>
      <c r="AB193" s="193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5.4558066062376467E-2</v>
      </c>
      <c r="AD193" s="227">
        <f>(INDEX(Models!$BJ193:$BT193,,AH193)*(1-AF193)+INDEX(Models!$BJ193:$BT193,,AH193+1)*AF193-ERP_i)*AE193*Ramure*Pc/MaxiM</f>
        <v>3.8112911773557266E-6</v>
      </c>
      <c r="AE193" s="301">
        <f t="shared" si="65"/>
        <v>0.5</v>
      </c>
      <c r="AF193" s="173">
        <f t="shared" si="66"/>
        <v>0.33217167295298466</v>
      </c>
      <c r="AG193" s="802">
        <f t="shared" si="74"/>
        <v>2</v>
      </c>
      <c r="AH193" s="172">
        <f t="shared" si="67"/>
        <v>8</v>
      </c>
      <c r="AI193" s="221">
        <f t="shared" si="68"/>
        <v>2.3321716729529847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46202</v>
      </c>
      <c r="B194" s="406">
        <f>'2025'!Wh/'2025'!Env_an*'2026'!Env_an</f>
        <v>62.499791646950456</v>
      </c>
      <c r="C194" s="832"/>
      <c r="D194" s="388">
        <f t="shared" si="50"/>
        <v>63.953814198861842</v>
      </c>
      <c r="E194" s="380">
        <f t="shared" si="75"/>
        <v>65.724142599354366</v>
      </c>
      <c r="F194" s="380">
        <f t="shared" si="51"/>
        <v>65.724402245637066</v>
      </c>
      <c r="G194" s="110">
        <f t="shared" si="76"/>
        <v>1.0147785265653375</v>
      </c>
      <c r="H194" s="409" t="b">
        <f>Wh_hp&gt;='2025'!Maxi_hp</f>
        <v>1</v>
      </c>
      <c r="I194" s="375">
        <f>IF(H194,Wh_hp,'2025'!Maxi_hp)</f>
        <v>65.724402245637066</v>
      </c>
      <c r="J194" s="85">
        <f>IF(H194,An,'2025'!An_max)</f>
        <v>2026</v>
      </c>
      <c r="K194" s="193">
        <f t="shared" si="52"/>
        <v>46202</v>
      </c>
      <c r="L194" s="143">
        <f>IF(t&lt;Tvie,1-EXP((T0-t)*PertePVj)+'2025'!Pspv,1-EXP((T0-t)*PertePVj)+Pspv)</f>
        <v>2.2735509525517283E-2</v>
      </c>
      <c r="M194" s="836"/>
      <c r="N194" s="836"/>
      <c r="O194" s="48">
        <f>IF(t&lt;Tnet,'2025'!Resal+('2025'!Salim-'2025'!Resal)*(1-EXP(('2025'!Tnet-t)/('2025'!Tau_j))),Resal+(Salim-Resal)*(1-EXP((Tnet-t)/(Tau_j))))*Salcycl</f>
        <v>2.6935739752197378E-2</v>
      </c>
      <c r="P194" s="334">
        <f>(INDEX(Models!$BJ194:$BT194,,T194)*(1-R194)+INDEX(Models!$BJ194:$BT194,,T194+1)*R194-ERP_i)*Q194*Ramure*Pc/MaxiM</f>
        <v>3.9505309112353588E-6</v>
      </c>
      <c r="Q194" s="301">
        <f t="shared" si="53"/>
        <v>0.5</v>
      </c>
      <c r="R194" s="173">
        <f t="shared" si="54"/>
        <v>0.3366400042847566</v>
      </c>
      <c r="S194" s="802">
        <f t="shared" si="55"/>
        <v>2</v>
      </c>
      <c r="T194" s="172">
        <f t="shared" si="56"/>
        <v>8</v>
      </c>
      <c r="U194" s="247">
        <f t="shared" si="57"/>
        <v>2.3366400042847566</v>
      </c>
      <c r="V194" s="378">
        <f t="shared" si="58"/>
        <v>61.58958828040037</v>
      </c>
      <c r="W194" s="397">
        <f t="shared" si="59"/>
        <v>62.499791646950456</v>
      </c>
      <c r="X194" s="153">
        <f t="shared" si="60"/>
        <v>46202</v>
      </c>
      <c r="Y194" s="380">
        <f t="shared" si="61"/>
        <v>60.722893201808951</v>
      </c>
      <c r="Z194" s="380">
        <f t="shared" si="62"/>
        <v>62.135577209325078</v>
      </c>
      <c r="AA194" s="381">
        <f t="shared" si="63"/>
        <v>65.724142599354366</v>
      </c>
      <c r="AB194" s="193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5.460041391341848E-2</v>
      </c>
      <c r="AD194" s="227">
        <f>(INDEX(Models!$BJ194:$BT194,,AH194)*(1-AF194)+INDEX(Models!$BJ194:$BT194,,AH194+1)*AF194-ERP_i)*AE194*Ramure*Pc/MaxiM</f>
        <v>3.9505309112353588E-6</v>
      </c>
      <c r="AE194" s="301">
        <f t="shared" si="65"/>
        <v>0.5</v>
      </c>
      <c r="AF194" s="173">
        <f t="shared" si="66"/>
        <v>0.3366400042847566</v>
      </c>
      <c r="AG194" s="802">
        <f t="shared" si="74"/>
        <v>2</v>
      </c>
      <c r="AH194" s="172">
        <f t="shared" si="67"/>
        <v>8</v>
      </c>
      <c r="AI194" s="221">
        <f t="shared" si="68"/>
        <v>2.3366400042847566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46203</v>
      </c>
      <c r="B195" s="406">
        <f>'2025'!Wh/'2025'!Env_an*'2026'!Env_an</f>
        <v>15.352663304228434</v>
      </c>
      <c r="C195" s="832"/>
      <c r="D195" s="388">
        <f t="shared" si="50"/>
        <v>15.710049451115701</v>
      </c>
      <c r="E195" s="380">
        <f t="shared" si="75"/>
        <v>16.145907201480508</v>
      </c>
      <c r="F195" s="380">
        <f t="shared" si="51"/>
        <v>16.145907201480508</v>
      </c>
      <c r="G195" s="110">
        <f t="shared" si="76"/>
        <v>0.24960844156208079</v>
      </c>
      <c r="H195" s="409" t="b">
        <f>Wh_hp&gt;='2025'!Maxi_hp</f>
        <v>0</v>
      </c>
      <c r="I195" s="375">
        <f>IF(H195,Wh_hp,'2025'!Maxi_hp)</f>
        <v>16.145965733793666</v>
      </c>
      <c r="J195" s="85">
        <f>IF(H195,An,'2025'!An_max)</f>
        <v>2022</v>
      </c>
      <c r="K195" s="193">
        <f t="shared" si="52"/>
        <v>46203</v>
      </c>
      <c r="L195" s="143">
        <f>IF(t&lt;Tvie,1-EXP((T0-t)*PertePVj)+'2025'!Pspv,1-EXP((T0-t)*PertePVj)+Pspv)</f>
        <v>2.2748887455722566E-2</v>
      </c>
      <c r="M195" s="836"/>
      <c r="N195" s="836"/>
      <c r="O195" s="48">
        <f>IF(t&lt;Tnet,'2025'!Resal+('2025'!Salim-'2025'!Resal)*(1-EXP(('2025'!Tnet-t)/('2025'!Tau_j))),Resal+(Salim-Resal)*(1-EXP((Tnet-t)/(Tau_j))))*Salcycl</f>
        <v>2.6994937164313743E-2</v>
      </c>
      <c r="P195" s="334">
        <f>(INDEX(Models!$BJ195:$BT195,,T195)*(1-R195)+INDEX(Models!$BJ195:$BT195,,T195+1)*R195-ERP_i)*Q195*Ramure*Pc/MaxiM</f>
        <v>4.111536850218991E-6</v>
      </c>
      <c r="Q195" s="301">
        <f t="shared" si="53"/>
        <v>0.5</v>
      </c>
      <c r="R195" s="173">
        <f t="shared" si="54"/>
        <v>0.34104060453031249</v>
      </c>
      <c r="S195" s="802">
        <f t="shared" si="55"/>
        <v>2</v>
      </c>
      <c r="T195" s="172">
        <f t="shared" si="56"/>
        <v>8</v>
      </c>
      <c r="U195" s="247">
        <f t="shared" si="57"/>
        <v>2.3410406045303125</v>
      </c>
      <c r="V195" s="378">
        <f t="shared" si="58"/>
        <v>61.506734648511973</v>
      </c>
      <c r="W195" s="397">
        <f t="shared" si="59"/>
        <v>15.352663304228434</v>
      </c>
      <c r="X195" s="153">
        <f t="shared" si="60"/>
        <v>46203</v>
      </c>
      <c r="Y195" s="380">
        <f t="shared" si="61"/>
        <v>14.916433021657884</v>
      </c>
      <c r="Z195" s="380">
        <f t="shared" si="62"/>
        <v>15.263664405377741</v>
      </c>
      <c r="AA195" s="381">
        <f t="shared" si="63"/>
        <v>16.145907201480508</v>
      </c>
      <c r="AB195" s="193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5.4641884478431102E-2</v>
      </c>
      <c r="AD195" s="227">
        <f>(INDEX(Models!$BJ195:$BT195,,AH195)*(1-AF195)+INDEX(Models!$BJ195:$BT195,,AH195+1)*AF195-ERP_i)*AE195*Ramure*Pc/MaxiM</f>
        <v>4.111536850218991E-6</v>
      </c>
      <c r="AE195" s="301">
        <f t="shared" si="65"/>
        <v>0.5</v>
      </c>
      <c r="AF195" s="173">
        <f t="shared" si="66"/>
        <v>0.34104060453031249</v>
      </c>
      <c r="AG195" s="802">
        <f t="shared" si="74"/>
        <v>2</v>
      </c>
      <c r="AH195" s="172">
        <f t="shared" si="67"/>
        <v>8</v>
      </c>
      <c r="AI195" s="221">
        <f t="shared" si="68"/>
        <v>2.3410406045303125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46204</v>
      </c>
      <c r="B196" s="406">
        <f>'2025'!Wh/'2025'!Env_an*'2026'!Env_an</f>
        <v>52.084359716849505</v>
      </c>
      <c r="C196" s="832"/>
      <c r="D196" s="388">
        <f t="shared" si="50"/>
        <v>53.297532281290785</v>
      </c>
      <c r="E196" s="380">
        <f t="shared" si="75"/>
        <v>54.779520622622371</v>
      </c>
      <c r="F196" s="380">
        <f t="shared" si="51"/>
        <v>54.779704803434903</v>
      </c>
      <c r="G196" s="110">
        <f t="shared" si="76"/>
        <v>0.84802051466764206</v>
      </c>
      <c r="H196" s="409" t="b">
        <f>Wh_hp&gt;='2025'!Maxi_hp</f>
        <v>0</v>
      </c>
      <c r="I196" s="375">
        <f>IF(H196,Wh_hp,'2025'!Maxi_hp)</f>
        <v>54.779749779399616</v>
      </c>
      <c r="J196" s="85">
        <f>IF(H196,An,'2025'!An_max)</f>
        <v>2022</v>
      </c>
      <c r="K196" s="193">
        <f t="shared" si="52"/>
        <v>46204</v>
      </c>
      <c r="L196" s="143">
        <f>IF(t&lt;Tvie,1-EXP((T0-t)*PertePVj)+'2025'!Pspv,1-EXP((T0-t)*PertePVj)+Pspv)</f>
        <v>2.2762265202795229E-2</v>
      </c>
      <c r="M196" s="836"/>
      <c r="N196" s="836"/>
      <c r="O196" s="48">
        <f>IF(t&lt;Tnet,'2025'!Resal+('2025'!Salim-'2025'!Resal)*(1-EXP(('2025'!Tnet-t)/('2025'!Tau_j))),Resal+(Salim-Resal)*(1-EXP((Tnet-t)/(Tau_j))))*Salcycl</f>
        <v>2.7053693140928446E-2</v>
      </c>
      <c r="P196" s="334">
        <f>(INDEX(Models!$BJ196:$BT196,,T196)*(1-R196)+INDEX(Models!$BJ196:$BT196,,T196+1)*R196-ERP_i)*Q196*Ramure*Pc/MaxiM</f>
        <v>4.2946254573777054E-6</v>
      </c>
      <c r="Q196" s="301">
        <f t="shared" si="53"/>
        <v>0.5</v>
      </c>
      <c r="R196" s="173">
        <f t="shared" si="54"/>
        <v>0.34537137205125523</v>
      </c>
      <c r="S196" s="802">
        <f t="shared" si="55"/>
        <v>2</v>
      </c>
      <c r="T196" s="172">
        <f t="shared" si="56"/>
        <v>8</v>
      </c>
      <c r="U196" s="247">
        <f t="shared" si="57"/>
        <v>2.3453713720512552</v>
      </c>
      <c r="V196" s="378">
        <f t="shared" si="58"/>
        <v>61.418692415455602</v>
      </c>
      <c r="W196" s="397">
        <f t="shared" si="59"/>
        <v>52.084359716849505</v>
      </c>
      <c r="X196" s="153">
        <f t="shared" si="60"/>
        <v>46204</v>
      </c>
      <c r="Y196" s="380">
        <f t="shared" si="61"/>
        <v>50.60531789449437</v>
      </c>
      <c r="Z196" s="380">
        <f t="shared" si="62"/>
        <v>51.784039944994475</v>
      </c>
      <c r="AA196" s="381">
        <f t="shared" si="63"/>
        <v>54.779520622622371</v>
      </c>
      <c r="AB196" s="193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5.4682491624266728E-2</v>
      </c>
      <c r="AD196" s="227">
        <f>(INDEX(Models!$BJ196:$BT196,,AH196)*(1-AF196)+INDEX(Models!$BJ196:$BT196,,AH196+1)*AF196-ERP_i)*AE196*Ramure*Pc/MaxiM</f>
        <v>4.2946254573777054E-6</v>
      </c>
      <c r="AE196" s="301">
        <f t="shared" si="65"/>
        <v>0.5</v>
      </c>
      <c r="AF196" s="173">
        <f t="shared" si="66"/>
        <v>0.34537137205125523</v>
      </c>
      <c r="AG196" s="802">
        <f t="shared" si="74"/>
        <v>2</v>
      </c>
      <c r="AH196" s="172">
        <f t="shared" si="67"/>
        <v>8</v>
      </c>
      <c r="AI196" s="221">
        <f t="shared" si="68"/>
        <v>2.3453713720512552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46205</v>
      </c>
      <c r="B197" s="406">
        <f>'2025'!Wh/'2025'!Env_an*'2026'!Env_an</f>
        <v>57.828985443351556</v>
      </c>
      <c r="C197" s="832"/>
      <c r="D197" s="388">
        <f t="shared" si="50"/>
        <v>59.17677451990469</v>
      </c>
      <c r="E197" s="380">
        <f t="shared" si="75"/>
        <v>60.825886797263728</v>
      </c>
      <c r="F197" s="380">
        <f t="shared" si="51"/>
        <v>60.826138224526581</v>
      </c>
      <c r="G197" s="110">
        <f t="shared" si="76"/>
        <v>0.9429797734965224</v>
      </c>
      <c r="H197" s="409" t="b">
        <f>Wh_hp&gt;='2025'!Maxi_hp</f>
        <v>0</v>
      </c>
      <c r="I197" s="375">
        <f>IF(H197,Wh_hp,'2025'!Maxi_hp)</f>
        <v>60.826157831959122</v>
      </c>
      <c r="J197" s="85">
        <f>IF(H197,An,'2025'!An_max)</f>
        <v>2022</v>
      </c>
      <c r="K197" s="193">
        <f t="shared" si="52"/>
        <v>46205</v>
      </c>
      <c r="L197" s="143">
        <f>IF(t&lt;Tvie,1-EXP((T0-t)*PertePVj)+'2025'!Pspv,1-EXP((T0-t)*PertePVj)+Pspv)</f>
        <v>2.2775642766737714E-2</v>
      </c>
      <c r="M197" s="836"/>
      <c r="N197" s="836"/>
      <c r="O197" s="48">
        <f>IF(t&lt;Tnet,'2025'!Resal+('2025'!Salim-'2025'!Resal)*(1-EXP(('2025'!Tnet-t)/('2025'!Tau_j))),Resal+(Salim-Resal)*(1-EXP((Tnet-t)/(Tau_j))))*Salcycl</f>
        <v>2.7112013719678727E-2</v>
      </c>
      <c r="P197" s="334">
        <f>(INDEX(Models!$BJ197:$BT197,,T197)*(1-R197)+INDEX(Models!$BJ197:$BT197,,T197+1)*R197-ERP_i)*Q197*Ramure*Pc/MaxiM</f>
        <v>4.5001046991219936E-6</v>
      </c>
      <c r="Q197" s="301">
        <f t="shared" si="53"/>
        <v>0.5</v>
      </c>
      <c r="R197" s="173">
        <f t="shared" si="54"/>
        <v>0.34963038735891594</v>
      </c>
      <c r="S197" s="802">
        <f t="shared" si="55"/>
        <v>2</v>
      </c>
      <c r="T197" s="172">
        <f t="shared" si="56"/>
        <v>8</v>
      </c>
      <c r="U197" s="247">
        <f t="shared" si="57"/>
        <v>2.3496303873589159</v>
      </c>
      <c r="V197" s="378">
        <f t="shared" si="58"/>
        <v>61.325773755210477</v>
      </c>
      <c r="W197" s="397">
        <f t="shared" si="59"/>
        <v>57.828985443351556</v>
      </c>
      <c r="X197" s="153">
        <f t="shared" si="60"/>
        <v>46205</v>
      </c>
      <c r="Y197" s="380">
        <f t="shared" si="61"/>
        <v>56.187818070798293</v>
      </c>
      <c r="Z197" s="380">
        <f t="shared" si="62"/>
        <v>57.497357341643017</v>
      </c>
      <c r="AA197" s="381">
        <f t="shared" si="63"/>
        <v>60.825886797263728</v>
      </c>
      <c r="AB197" s="193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5.4722251180897588E-2</v>
      </c>
      <c r="AD197" s="227">
        <f>(INDEX(Models!$BJ197:$BT197,,AH197)*(1-AF197)+INDEX(Models!$BJ197:$BT197,,AH197+1)*AF197-ERP_i)*AE197*Ramure*Pc/MaxiM</f>
        <v>4.5001046991219936E-6</v>
      </c>
      <c r="AE197" s="301">
        <f t="shared" si="65"/>
        <v>0.5</v>
      </c>
      <c r="AF197" s="173">
        <f t="shared" si="66"/>
        <v>0.34963038735891594</v>
      </c>
      <c r="AG197" s="802">
        <f t="shared" si="74"/>
        <v>2</v>
      </c>
      <c r="AH197" s="172">
        <f t="shared" si="67"/>
        <v>8</v>
      </c>
      <c r="AI197" s="221">
        <f t="shared" si="68"/>
        <v>2.3496303873589159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46206</v>
      </c>
      <c r="B198" s="406">
        <f>'2025'!Wh/'2025'!Env_an*'2026'!Env_an</f>
        <v>53.78098820245885</v>
      </c>
      <c r="C198" s="832"/>
      <c r="D198" s="388">
        <f t="shared" si="50"/>
        <v>55.0351861688859</v>
      </c>
      <c r="E198" s="380">
        <f t="shared" si="75"/>
        <v>56.572248846477549</v>
      </c>
      <c r="F198" s="380">
        <f t="shared" si="51"/>
        <v>56.572471254193253</v>
      </c>
      <c r="G198" s="110">
        <f t="shared" si="76"/>
        <v>0.87836757735214965</v>
      </c>
      <c r="H198" s="409" t="b">
        <f>Wh_hp&gt;='2025'!Maxi_hp</f>
        <v>0</v>
      </c>
      <c r="I198" s="375">
        <f>IF(H198,Wh_hp,'2025'!Maxi_hp)</f>
        <v>56.572512342917904</v>
      </c>
      <c r="J198" s="85">
        <f>IF(H198,An,'2025'!An_max)</f>
        <v>2022</v>
      </c>
      <c r="K198" s="193">
        <f t="shared" si="52"/>
        <v>46206</v>
      </c>
      <c r="L198" s="143">
        <f>IF(t&lt;Tvie,1-EXP((T0-t)*PertePVj)+'2025'!Pspv,1-EXP((T0-t)*PertePVj)+Pspv)</f>
        <v>2.2789020147552574E-2</v>
      </c>
      <c r="M198" s="836"/>
      <c r="N198" s="836"/>
      <c r="O198" s="48">
        <f>IF(t&lt;Tnet,'2025'!Resal+('2025'!Salim-'2025'!Resal)*(1-EXP(('2025'!Tnet-t)/('2025'!Tau_j))),Resal+(Salim-Resal)*(1-EXP((Tnet-t)/(Tau_j))))*Salcycl</f>
        <v>2.7169905897904783E-2</v>
      </c>
      <c r="P198" s="334">
        <f>(INDEX(Models!$BJ198:$BT198,,T198)*(1-R198)+INDEX(Models!$BJ198:$BT198,,T198+1)*R198-ERP_i)*Q198*Ramure*Pc/MaxiM</f>
        <v>4.7581513801008196E-6</v>
      </c>
      <c r="Q198" s="301">
        <f t="shared" si="53"/>
        <v>0.5</v>
      </c>
      <c r="R198" s="173">
        <f t="shared" si="54"/>
        <v>0.35381591312621241</v>
      </c>
      <c r="S198" s="802">
        <f t="shared" si="55"/>
        <v>2</v>
      </c>
      <c r="T198" s="172">
        <f t="shared" si="56"/>
        <v>8</v>
      </c>
      <c r="U198" s="247">
        <f t="shared" si="57"/>
        <v>2.3538159131262124</v>
      </c>
      <c r="V198" s="378">
        <f t="shared" si="58"/>
        <v>61.228288844252909</v>
      </c>
      <c r="W198" s="397">
        <f t="shared" si="59"/>
        <v>53.78098820245885</v>
      </c>
      <c r="X198" s="153">
        <f t="shared" si="60"/>
        <v>46206</v>
      </c>
      <c r="Y198" s="380">
        <f t="shared" si="61"/>
        <v>52.255659124467606</v>
      </c>
      <c r="Z198" s="380">
        <f t="shared" si="62"/>
        <v>53.474285698629657</v>
      </c>
      <c r="AA198" s="381">
        <f t="shared" si="63"/>
        <v>56.572248846477549</v>
      </c>
      <c r="AB198" s="193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5.4761180808897331E-2</v>
      </c>
      <c r="AD198" s="227">
        <f>(INDEX(Models!$BJ198:$BT198,,AH198)*(1-AF198)+INDEX(Models!$BJ198:$BT198,,AH198+1)*AF198-ERP_i)*AE198*Ramure*Pc/MaxiM</f>
        <v>4.7581513801008196E-6</v>
      </c>
      <c r="AE198" s="301">
        <f t="shared" si="65"/>
        <v>0.5</v>
      </c>
      <c r="AF198" s="173">
        <f t="shared" si="66"/>
        <v>0.35381591312621241</v>
      </c>
      <c r="AG198" s="802">
        <f t="shared" si="74"/>
        <v>2</v>
      </c>
      <c r="AH198" s="172">
        <f t="shared" si="67"/>
        <v>8</v>
      </c>
      <c r="AI198" s="221">
        <f t="shared" si="68"/>
        <v>2.3538159131262124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46207</v>
      </c>
      <c r="B199" s="406">
        <f>'2025'!Wh/'2025'!Env_an*'2026'!Env_an</f>
        <v>50.06417540230747</v>
      </c>
      <c r="C199" s="832"/>
      <c r="D199" s="388">
        <f t="shared" si="50"/>
        <v>51.232396872749042</v>
      </c>
      <c r="E199" s="380">
        <f t="shared" si="75"/>
        <v>52.666363846372676</v>
      </c>
      <c r="F199" s="380">
        <f t="shared" si="51"/>
        <v>52.666561538030329</v>
      </c>
      <c r="G199" s="110">
        <f t="shared" si="76"/>
        <v>0.81902397435614949</v>
      </c>
      <c r="H199" s="409" t="b">
        <f>Wh_hp&gt;='2025'!Maxi_hp</f>
        <v>0</v>
      </c>
      <c r="I199" s="375">
        <f>IF(H199,Wh_hp,'2025'!Maxi_hp)</f>
        <v>52.666622044945932</v>
      </c>
      <c r="J199" s="85">
        <f>IF(H199,An,'2025'!An_max)</f>
        <v>2022</v>
      </c>
      <c r="K199" s="193">
        <f t="shared" si="52"/>
        <v>46207</v>
      </c>
      <c r="L199" s="143">
        <f>IF(t&lt;Tvie,1-EXP((T0-t)*PertePVj)+'2025'!Pspv,1-EXP((T0-t)*PertePVj)+Pspv)</f>
        <v>2.2802397345242365E-2</v>
      </c>
      <c r="M199" s="836"/>
      <c r="N199" s="836"/>
      <c r="O199" s="48">
        <f>IF(t&lt;Tnet,'2025'!Resal+('2025'!Salim-'2025'!Resal)*(1-EXP(('2025'!Tnet-t)/('2025'!Tau_j))),Resal+(Salim-Resal)*(1-EXP((Tnet-t)/(Tau_j))))*Salcycl</f>
        <v>2.7227377568850249E-2</v>
      </c>
      <c r="P199" s="334">
        <f>(INDEX(Models!$BJ199:$BT199,,T199)*(1-R199)+INDEX(Models!$BJ199:$BT199,,T199+1)*R199-ERP_i)*Q199*Ramure*Pc/MaxiM</f>
        <v>5.0624774509257159E-6</v>
      </c>
      <c r="Q199" s="301">
        <f t="shared" si="53"/>
        <v>0.5</v>
      </c>
      <c r="R199" s="173">
        <f t="shared" si="54"/>
        <v>0.35792639335016929</v>
      </c>
      <c r="S199" s="802">
        <f t="shared" si="55"/>
        <v>2</v>
      </c>
      <c r="T199" s="172">
        <f t="shared" si="56"/>
        <v>8</v>
      </c>
      <c r="U199" s="247">
        <f t="shared" si="57"/>
        <v>2.3579263933501693</v>
      </c>
      <c r="V199" s="378">
        <f t="shared" si="58"/>
        <v>61.126549947306088</v>
      </c>
      <c r="W199" s="397">
        <f t="shared" si="59"/>
        <v>50.06417540230747</v>
      </c>
      <c r="X199" s="153">
        <f t="shared" si="60"/>
        <v>46207</v>
      </c>
      <c r="Y199" s="380">
        <f t="shared" si="61"/>
        <v>48.645174166190529</v>
      </c>
      <c r="Z199" s="380">
        <f t="shared" si="62"/>
        <v>49.780283981495593</v>
      </c>
      <c r="AA199" s="381">
        <f t="shared" si="63"/>
        <v>52.666363846372676</v>
      </c>
      <c r="AB199" s="193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5.4799299858554008E-2</v>
      </c>
      <c r="AD199" s="227">
        <f>(INDEX(Models!$BJ199:$BT199,,AH199)*(1-AF199)+INDEX(Models!$BJ199:$BT199,,AH199+1)*AF199-ERP_i)*AE199*Ramure*Pc/MaxiM</f>
        <v>5.0624774509257159E-6</v>
      </c>
      <c r="AE199" s="301">
        <f t="shared" si="65"/>
        <v>0.5</v>
      </c>
      <c r="AF199" s="173">
        <f t="shared" si="66"/>
        <v>0.35792639335016929</v>
      </c>
      <c r="AG199" s="802">
        <f t="shared" si="74"/>
        <v>2</v>
      </c>
      <c r="AH199" s="172">
        <f t="shared" si="67"/>
        <v>8</v>
      </c>
      <c r="AI199" s="221">
        <f t="shared" si="68"/>
        <v>2.3579263933501693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46208</v>
      </c>
      <c r="B200" s="406">
        <f>'2025'!Wh/'2025'!Env_an*'2026'!Env_an</f>
        <v>60.031747043685662</v>
      </c>
      <c r="C200" s="832"/>
      <c r="D200" s="388">
        <f t="shared" si="50"/>
        <v>61.433397581051402</v>
      </c>
      <c r="E200" s="380">
        <f t="shared" si="75"/>
        <v>63.156589599769596</v>
      </c>
      <c r="F200" s="380">
        <f t="shared" si="51"/>
        <v>63.156923597407754</v>
      </c>
      <c r="G200" s="110">
        <f t="shared" si="76"/>
        <v>0.98379031219607882</v>
      </c>
      <c r="H200" s="409" t="b">
        <f>Wh_hp&gt;='2025'!Maxi_hp</f>
        <v>0</v>
      </c>
      <c r="I200" s="375">
        <f>IF(H200,Wh_hp,'2025'!Maxi_hp)</f>
        <v>63.156930543219005</v>
      </c>
      <c r="J200" s="85">
        <f>IF(H200,An,'2025'!An_max)</f>
        <v>2022</v>
      </c>
      <c r="K200" s="193">
        <f t="shared" si="52"/>
        <v>46208</v>
      </c>
      <c r="L200" s="143">
        <f>IF(t&lt;Tvie,1-EXP((T0-t)*PertePVj)+'2025'!Pspv,1-EXP((T0-t)*PertePVj)+Pspv)</f>
        <v>2.2815774359809526E-2</v>
      </c>
      <c r="M200" s="836"/>
      <c r="N200" s="836"/>
      <c r="O200" s="48">
        <f>IF(t&lt;Tnet,'2025'!Resal+('2025'!Salim-'2025'!Resal)*(1-EXP(('2025'!Tnet-t)/('2025'!Tau_j))),Resal+(Salim-Resal)*(1-EXP((Tnet-t)/(Tau_j))))*Salcycl</f>
        <v>2.7284437453609405E-2</v>
      </c>
      <c r="P200" s="334">
        <f>(INDEX(Models!$BJ200:$BT200,,T200)*(1-R200)+INDEX(Models!$BJ200:$BT200,,T200+1)*R200-ERP_i)*Q200*Ramure*Pc/MaxiM</f>
        <v>5.4137406508869369E-6</v>
      </c>
      <c r="Q200" s="301">
        <f t="shared" si="53"/>
        <v>0.5</v>
      </c>
      <c r="R200" s="173">
        <f t="shared" si="54"/>
        <v>0.36196045171014335</v>
      </c>
      <c r="S200" s="802">
        <f t="shared" si="55"/>
        <v>2</v>
      </c>
      <c r="T200" s="172">
        <f t="shared" si="56"/>
        <v>8</v>
      </c>
      <c r="U200" s="247">
        <f t="shared" si="57"/>
        <v>2.3619604517101433</v>
      </c>
      <c r="V200" s="378">
        <f t="shared" si="58"/>
        <v>61.020868749820757</v>
      </c>
      <c r="W200" s="397">
        <f t="shared" si="59"/>
        <v>60.031747043685662</v>
      </c>
      <c r="X200" s="153">
        <f t="shared" si="60"/>
        <v>46208</v>
      </c>
      <c r="Y200" s="380">
        <f t="shared" si="61"/>
        <v>58.331346360888773</v>
      </c>
      <c r="Z200" s="380">
        <f t="shared" si="62"/>
        <v>59.693295112980046</v>
      </c>
      <c r="AA200" s="381">
        <f t="shared" si="63"/>
        <v>63.156589599769596</v>
      </c>
      <c r="AB200" s="193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5.4836629221698609E-2</v>
      </c>
      <c r="AD200" s="227">
        <f>(INDEX(Models!$BJ200:$BT200,,AH200)*(1-AF200)+INDEX(Models!$BJ200:$BT200,,AH200+1)*AF200-ERP_i)*AE200*Ramure*Pc/MaxiM</f>
        <v>5.4137406508869369E-6</v>
      </c>
      <c r="AE200" s="301">
        <f t="shared" si="65"/>
        <v>0.5</v>
      </c>
      <c r="AF200" s="173">
        <f t="shared" si="66"/>
        <v>0.36196045171014335</v>
      </c>
      <c r="AG200" s="802">
        <f t="shared" si="74"/>
        <v>2</v>
      </c>
      <c r="AH200" s="172">
        <f t="shared" si="67"/>
        <v>8</v>
      </c>
      <c r="AI200" s="221">
        <f t="shared" si="68"/>
        <v>2.3619604517101433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46209</v>
      </c>
      <c r="B201" s="406">
        <f>'2025'!Wh/'2025'!Env_an*'2026'!Env_an</f>
        <v>44.195565889708462</v>
      </c>
      <c r="C201" s="832"/>
      <c r="D201" s="388">
        <f t="shared" si="50"/>
        <v>45.228084672794644</v>
      </c>
      <c r="E201" s="380">
        <f t="shared" si="75"/>
        <v>46.499430007438875</v>
      </c>
      <c r="F201" s="380">
        <f t="shared" si="51"/>
        <v>46.49959432741656</v>
      </c>
      <c r="G201" s="110">
        <f t="shared" si="76"/>
        <v>0.72556781505673607</v>
      </c>
      <c r="H201" s="409" t="b">
        <f>Wh_hp&gt;='2025'!Maxi_hp</f>
        <v>0</v>
      </c>
      <c r="I201" s="375">
        <f>IF(H201,Wh_hp,'2025'!Maxi_hp)</f>
        <v>46.499687245486641</v>
      </c>
      <c r="J201" s="85">
        <f>IF(H201,An,'2025'!An_max)</f>
        <v>2022</v>
      </c>
      <c r="K201" s="193">
        <f t="shared" si="52"/>
        <v>46209</v>
      </c>
      <c r="L201" s="143">
        <f>IF(t&lt;Tvie,1-EXP((T0-t)*PertePVj)+'2025'!Pspv,1-EXP((T0-t)*PertePVj)+Pspv)</f>
        <v>2.2829151191256614E-2</v>
      </c>
      <c r="M201" s="836"/>
      <c r="N201" s="836"/>
      <c r="O201" s="48">
        <f>IF(t&lt;Tnet,'2025'!Resal+('2025'!Salim-'2025'!Resal)*(1-EXP(('2025'!Tnet-t)/('2025'!Tau_j))),Resal+(Salim-Resal)*(1-EXP((Tnet-t)/(Tau_j))))*Salcycl</f>
        <v>2.7341095029355108E-2</v>
      </c>
      <c r="P201" s="334">
        <f>(INDEX(Models!$BJ201:$BT201,,T201)*(1-R201)+INDEX(Models!$BJ201:$BT201,,T201+1)*R201-ERP_i)*Q201*Ramure*Pc/MaxiM</f>
        <v>5.8125778195990718E-6</v>
      </c>
      <c r="Q201" s="301">
        <f t="shared" si="53"/>
        <v>0.5</v>
      </c>
      <c r="R201" s="173">
        <f t="shared" si="54"/>
        <v>0.36591688917126941</v>
      </c>
      <c r="S201" s="802">
        <f t="shared" si="55"/>
        <v>2</v>
      </c>
      <c r="T201" s="172">
        <f t="shared" si="56"/>
        <v>8</v>
      </c>
      <c r="U201" s="247">
        <f t="shared" si="57"/>
        <v>2.3659168891712694</v>
      </c>
      <c r="V201" s="378">
        <f t="shared" si="58"/>
        <v>60.911556797412466</v>
      </c>
      <c r="W201" s="397">
        <f t="shared" si="59"/>
        <v>44.195565889708462</v>
      </c>
      <c r="X201" s="153">
        <f t="shared" si="60"/>
        <v>46209</v>
      </c>
      <c r="Y201" s="380">
        <f t="shared" si="61"/>
        <v>42.94456560258444</v>
      </c>
      <c r="Z201" s="380">
        <f t="shared" si="62"/>
        <v>43.947857895001285</v>
      </c>
      <c r="AA201" s="381">
        <f t="shared" si="63"/>
        <v>46.499430007438875</v>
      </c>
      <c r="AB201" s="193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5.4873191177384158E-2</v>
      </c>
      <c r="AD201" s="227">
        <f>(INDEX(Models!$BJ201:$BT201,,AH201)*(1-AF201)+INDEX(Models!$BJ201:$BT201,,AH201+1)*AF201-ERP_i)*AE201*Ramure*Pc/MaxiM</f>
        <v>5.8125778195990718E-6</v>
      </c>
      <c r="AE201" s="301">
        <f t="shared" si="65"/>
        <v>0.5</v>
      </c>
      <c r="AF201" s="173">
        <f t="shared" si="66"/>
        <v>0.36591688917126941</v>
      </c>
      <c r="AG201" s="802">
        <f t="shared" si="74"/>
        <v>2</v>
      </c>
      <c r="AH201" s="172">
        <f t="shared" si="67"/>
        <v>8</v>
      </c>
      <c r="AI201" s="221">
        <f t="shared" si="68"/>
        <v>2.3659168891712694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46210</v>
      </c>
      <c r="B202" s="406">
        <f>'2025'!Wh/'2025'!Env_an*'2026'!Env_an</f>
        <v>59.576483594851304</v>
      </c>
      <c r="C202" s="832"/>
      <c r="D202" s="388">
        <f t="shared" si="50"/>
        <v>60.969173641104803</v>
      </c>
      <c r="E202" s="380">
        <f t="shared" si="75"/>
        <v>62.686621608995544</v>
      </c>
      <c r="F202" s="380">
        <f t="shared" si="51"/>
        <v>62.687002733923855</v>
      </c>
      <c r="G202" s="110">
        <f t="shared" si="76"/>
        <v>0.97989351613014564</v>
      </c>
      <c r="H202" s="409" t="b">
        <f>Wh_hp&gt;='2025'!Maxi_hp</f>
        <v>0</v>
      </c>
      <c r="I202" s="375">
        <f>IF(H202,Wh_hp,'2025'!Maxi_hp)</f>
        <v>62.68701261444199</v>
      </c>
      <c r="J202" s="85">
        <f>IF(H202,An,'2025'!An_max)</f>
        <v>2022</v>
      </c>
      <c r="K202" s="193">
        <f t="shared" si="52"/>
        <v>46210</v>
      </c>
      <c r="L202" s="143">
        <f>IF(t&lt;Tvie,1-EXP((T0-t)*PertePVj)+'2025'!Pspv,1-EXP((T0-t)*PertePVj)+Pspv)</f>
        <v>2.284252783958618E-2</v>
      </c>
      <c r="M202" s="836"/>
      <c r="N202" s="836"/>
      <c r="O202" s="48">
        <f>IF(t&lt;Tnet,'2025'!Resal+('2025'!Salim-'2025'!Resal)*(1-EXP(('2025'!Tnet-t)/('2025'!Tau_j))),Resal+(Salim-Resal)*(1-EXP((Tnet-t)/(Tau_j))))*Salcycl</f>
        <v>2.7397360454408139E-2</v>
      </c>
      <c r="P202" s="334">
        <f>(INDEX(Models!$BJ202:$BT202,,T202)*(1-R202)+INDEX(Models!$BJ202:$BT202,,T202+1)*R202-ERP_i)*Q202*Ramure*Pc/MaxiM</f>
        <v>6.2596042728015164E-6</v>
      </c>
      <c r="Q202" s="301">
        <f t="shared" si="53"/>
        <v>0.5</v>
      </c>
      <c r="R202" s="173">
        <f t="shared" si="54"/>
        <v>0.36979468088630885</v>
      </c>
      <c r="S202" s="802">
        <f t="shared" si="55"/>
        <v>2</v>
      </c>
      <c r="T202" s="172">
        <f t="shared" si="56"/>
        <v>8</v>
      </c>
      <c r="U202" s="247">
        <f t="shared" si="57"/>
        <v>2.3697946808863088</v>
      </c>
      <c r="V202" s="378">
        <f t="shared" si="58"/>
        <v>60.798925497974189</v>
      </c>
      <c r="W202" s="397">
        <f t="shared" si="59"/>
        <v>59.576483594851304</v>
      </c>
      <c r="X202" s="153">
        <f t="shared" si="60"/>
        <v>46210</v>
      </c>
      <c r="Y202" s="380">
        <f t="shared" si="61"/>
        <v>57.891265782912718</v>
      </c>
      <c r="Z202" s="380">
        <f t="shared" si="62"/>
        <v>59.244561324307277</v>
      </c>
      <c r="AA202" s="381">
        <f t="shared" si="63"/>
        <v>62.686621608995544</v>
      </c>
      <c r="AB202" s="193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5.4909009232590858E-2</v>
      </c>
      <c r="AD202" s="227">
        <f>(INDEX(Models!$BJ202:$BT202,,AH202)*(1-AF202)+INDEX(Models!$BJ202:$BT202,,AH202+1)*AF202-ERP_i)*AE202*Ramure*Pc/MaxiM</f>
        <v>6.2596042728015164E-6</v>
      </c>
      <c r="AE202" s="301">
        <f t="shared" si="65"/>
        <v>0.5</v>
      </c>
      <c r="AF202" s="173">
        <f t="shared" si="66"/>
        <v>0.36979468088630885</v>
      </c>
      <c r="AG202" s="802">
        <f t="shared" si="74"/>
        <v>2</v>
      </c>
      <c r="AH202" s="172">
        <f t="shared" si="67"/>
        <v>8</v>
      </c>
      <c r="AI202" s="221">
        <f t="shared" si="68"/>
        <v>2.3697946808863088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46211</v>
      </c>
      <c r="B203" s="406">
        <f>'2025'!Wh/'2025'!Env_an*'2026'!Env_an</f>
        <v>62.471970719499929</v>
      </c>
      <c r="C203" s="832"/>
      <c r="D203" s="388">
        <f t="shared" si="50"/>
        <v>63.933222330994681</v>
      </c>
      <c r="E203" s="380">
        <f t="shared" si="75"/>
        <v>65.73794212856771</v>
      </c>
      <c r="F203" s="380">
        <f t="shared" si="51"/>
        <v>65.738386218533648</v>
      </c>
      <c r="G203" s="110">
        <f t="shared" si="76"/>
        <v>1.0294757370422234</v>
      </c>
      <c r="H203" s="409" t="b">
        <f>Wh_hp&gt;='2025'!Maxi_hp</f>
        <v>1</v>
      </c>
      <c r="I203" s="375">
        <f>IF(H203,Wh_hp,'2025'!Maxi_hp)</f>
        <v>65.738386218533648</v>
      </c>
      <c r="J203" s="85">
        <f>IF(H203,An,'2025'!An_max)</f>
        <v>2026</v>
      </c>
      <c r="K203" s="193">
        <f t="shared" si="52"/>
        <v>46211</v>
      </c>
      <c r="L203" s="143">
        <f>IF(t&lt;Tvie,1-EXP((T0-t)*PertePVj)+'2025'!Pspv,1-EXP((T0-t)*PertePVj)+Pspv)</f>
        <v>2.2855904304800556E-2</v>
      </c>
      <c r="M203" s="836"/>
      <c r="N203" s="836"/>
      <c r="O203" s="48">
        <f>IF(t&lt;Tnet,'2025'!Resal+('2025'!Salim-'2025'!Resal)*(1-EXP(('2025'!Tnet-t)/('2025'!Tau_j))),Resal+(Salim-Resal)*(1-EXP((Tnet-t)/(Tau_j))))*Salcycl</f>
        <v>2.7453244490730042E-2</v>
      </c>
      <c r="P203" s="334">
        <f>(INDEX(Models!$BJ203:$BT203,,T203)*(1-R203)+INDEX(Models!$BJ203:$BT203,,T203+1)*R203-ERP_i)*Q203*Ramure*Pc/MaxiM</f>
        <v>6.7554132598344203E-6</v>
      </c>
      <c r="Q203" s="301">
        <f t="shared" si="53"/>
        <v>0.5</v>
      </c>
      <c r="R203" s="173">
        <f t="shared" si="54"/>
        <v>0.37359297245191136</v>
      </c>
      <c r="S203" s="802">
        <f t="shared" si="55"/>
        <v>2</v>
      </c>
      <c r="T203" s="172">
        <f t="shared" si="56"/>
        <v>8</v>
      </c>
      <c r="U203" s="247">
        <f t="shared" si="57"/>
        <v>2.3735929724519114</v>
      </c>
      <c r="V203" s="378">
        <f t="shared" si="58"/>
        <v>60.683286134540218</v>
      </c>
      <c r="W203" s="397">
        <f t="shared" si="59"/>
        <v>62.471970719499929</v>
      </c>
      <c r="X203" s="153">
        <f t="shared" si="60"/>
        <v>46211</v>
      </c>
      <c r="Y203" s="380">
        <f t="shared" si="61"/>
        <v>60.706082953256391</v>
      </c>
      <c r="Z203" s="380">
        <f t="shared" si="62"/>
        <v>62.126029539242531</v>
      </c>
      <c r="AA203" s="381">
        <f t="shared" si="63"/>
        <v>65.73794212856771</v>
      </c>
      <c r="AB203" s="193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5.494410795916211E-2</v>
      </c>
      <c r="AD203" s="227">
        <f>(INDEX(Models!$BJ203:$BT203,,AH203)*(1-AF203)+INDEX(Models!$BJ203:$BT203,,AH203+1)*AF203-ERP_i)*AE203*Ramure*Pc/MaxiM</f>
        <v>6.7554132598344203E-6</v>
      </c>
      <c r="AE203" s="301">
        <f t="shared" si="65"/>
        <v>0.5</v>
      </c>
      <c r="AF203" s="173">
        <f t="shared" si="66"/>
        <v>0.37359297245191136</v>
      </c>
      <c r="AG203" s="802">
        <f t="shared" si="74"/>
        <v>2</v>
      </c>
      <c r="AH203" s="172">
        <f t="shared" si="67"/>
        <v>8</v>
      </c>
      <c r="AI203" s="221">
        <f t="shared" si="68"/>
        <v>2.3735929724519114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46212</v>
      </c>
      <c r="B204" s="406">
        <f>'2025'!Wh/'2025'!Env_an*'2026'!Env_an</f>
        <v>61.507776902990472</v>
      </c>
      <c r="C204" s="832"/>
      <c r="D204" s="388">
        <f t="shared" si="50"/>
        <v>62.947337220074729</v>
      </c>
      <c r="E204" s="380">
        <f t="shared" si="75"/>
        <v>64.727921989396904</v>
      </c>
      <c r="F204" s="380">
        <f t="shared" si="51"/>
        <v>64.728394543927081</v>
      </c>
      <c r="G204" s="110">
        <f t="shared" si="76"/>
        <v>1.0155672058317353</v>
      </c>
      <c r="H204" s="409" t="b">
        <f>Wh_hp&gt;='2025'!Maxi_hp</f>
        <v>1</v>
      </c>
      <c r="I204" s="375">
        <f>IF(H204,Wh_hp,'2025'!Maxi_hp)</f>
        <v>64.728394543927081</v>
      </c>
      <c r="J204" s="85">
        <f>IF(H204,An,'2025'!An_max)</f>
        <v>2026</v>
      </c>
      <c r="K204" s="193">
        <f t="shared" si="52"/>
        <v>46212</v>
      </c>
      <c r="L204" s="143">
        <f>IF(t&lt;Tvie,1-EXP((T0-t)*PertePVj)+'2025'!Pspv,1-EXP((T0-t)*PertePVj)+Pspv)</f>
        <v>2.2869280586902407E-2</v>
      </c>
      <c r="M204" s="836"/>
      <c r="N204" s="836"/>
      <c r="O204" s="48">
        <f>IF(t&lt;Tnet,'2025'!Resal+('2025'!Salim-'2025'!Resal)*(1-EXP(('2025'!Tnet-t)/('2025'!Tau_j))),Resal+(Salim-Resal)*(1-EXP((Tnet-t)/(Tau_j))))*Salcycl</f>
        <v>2.7508758424437871E-2</v>
      </c>
      <c r="P204" s="334">
        <f>(INDEX(Models!$BJ204:$BT204,,T204)*(1-R204)+INDEX(Models!$BJ204:$BT204,,T204+1)*R204-ERP_i)*Q204*Ramure*Pc/MaxiM</f>
        <v>7.300575481549956E-6</v>
      </c>
      <c r="Q204" s="301">
        <f t="shared" si="53"/>
        <v>0.5</v>
      </c>
      <c r="R204" s="173">
        <f t="shared" si="54"/>
        <v>0.37731107557736365</v>
      </c>
      <c r="S204" s="802">
        <f t="shared" si="55"/>
        <v>2</v>
      </c>
      <c r="T204" s="172">
        <f t="shared" si="56"/>
        <v>8</v>
      </c>
      <c r="U204" s="247">
        <f t="shared" si="57"/>
        <v>2.3773110755773637</v>
      </c>
      <c r="V204" s="378">
        <f t="shared" si="58"/>
        <v>60.5649498622954</v>
      </c>
      <c r="W204" s="397">
        <f t="shared" si="59"/>
        <v>61.507776902990472</v>
      </c>
      <c r="X204" s="153">
        <f t="shared" si="60"/>
        <v>46212</v>
      </c>
      <c r="Y204" s="380">
        <f t="shared" si="61"/>
        <v>59.770379738663458</v>
      </c>
      <c r="Z204" s="380">
        <f t="shared" si="62"/>
        <v>61.169277099960439</v>
      </c>
      <c r="AA204" s="381">
        <f t="shared" si="63"/>
        <v>64.727921989396904</v>
      </c>
      <c r="AB204" s="193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5.4978512828194978E-2</v>
      </c>
      <c r="AD204" s="227">
        <f>(INDEX(Models!$BJ204:$BT204,,AH204)*(1-AF204)+INDEX(Models!$BJ204:$BT204,,AH204+1)*AF204-ERP_i)*AE204*Ramure*Pc/MaxiM</f>
        <v>7.300575481549956E-6</v>
      </c>
      <c r="AE204" s="301">
        <f t="shared" si="65"/>
        <v>0.5</v>
      </c>
      <c r="AF204" s="173">
        <f t="shared" si="66"/>
        <v>0.37731107557736365</v>
      </c>
      <c r="AG204" s="802">
        <f t="shared" si="74"/>
        <v>2</v>
      </c>
      <c r="AH204" s="172">
        <f t="shared" si="67"/>
        <v>8</v>
      </c>
      <c r="AI204" s="221">
        <f t="shared" si="68"/>
        <v>2.3773110755773637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46213</v>
      </c>
      <c r="B205" s="406">
        <f>'2025'!Wh/'2025'!Env_an*'2026'!Env_an</f>
        <v>60.861265490947801</v>
      </c>
      <c r="C205" s="832"/>
      <c r="D205" s="388">
        <f t="shared" si="50"/>
        <v>62.286547165894724</v>
      </c>
      <c r="E205" s="380">
        <f t="shared" si="75"/>
        <v>64.05207299652875</v>
      </c>
      <c r="F205" s="380">
        <f t="shared" si="51"/>
        <v>64.052578735294105</v>
      </c>
      <c r="G205" s="110">
        <f t="shared" si="76"/>
        <v>1.006905021072664</v>
      </c>
      <c r="H205" s="409" t="b">
        <f>Wh_hp&gt;='2025'!Maxi_hp</f>
        <v>1</v>
      </c>
      <c r="I205" s="375">
        <f>IF(H205,Wh_hp,'2025'!Maxi_hp)</f>
        <v>64.052578735294105</v>
      </c>
      <c r="J205" s="85">
        <f>IF(H205,An,'2025'!An_max)</f>
        <v>2026</v>
      </c>
      <c r="K205" s="193">
        <f t="shared" si="52"/>
        <v>46213</v>
      </c>
      <c r="L205" s="143">
        <f>IF(t&lt;Tvie,1-EXP((T0-t)*PertePVj)+'2025'!Pspv,1-EXP((T0-t)*PertePVj)+Pspv)</f>
        <v>2.2882656685894176E-2</v>
      </c>
      <c r="M205" s="836"/>
      <c r="N205" s="836"/>
      <c r="O205" s="48">
        <f>IF(t&lt;Tnet,'2025'!Resal+('2025'!Salim-'2025'!Resal)*(1-EXP(('2025'!Tnet-t)/('2025'!Tau_j))),Resal+(Salim-Resal)*(1-EXP((Tnet-t)/(Tau_j))))*Salcycl</f>
        <v>2.7563913984949669E-2</v>
      </c>
      <c r="P205" s="334">
        <f>(INDEX(Models!$BJ205:$BT205,,T205)*(1-R205)+INDEX(Models!$BJ205:$BT205,,T205+1)*R205-ERP_i)*Q205*Ramure*Pc/MaxiM</f>
        <v>7.8956815688971677E-6</v>
      </c>
      <c r="Q205" s="301">
        <f t="shared" si="53"/>
        <v>0.5</v>
      </c>
      <c r="R205" s="173">
        <f t="shared" si="54"/>
        <v>0.38094846322519205</v>
      </c>
      <c r="S205" s="802">
        <f t="shared" si="55"/>
        <v>2</v>
      </c>
      <c r="T205" s="172">
        <f t="shared" si="56"/>
        <v>8</v>
      </c>
      <c r="U205" s="247">
        <f t="shared" si="57"/>
        <v>2.380948463225192</v>
      </c>
      <c r="V205" s="378">
        <f t="shared" si="58"/>
        <v>60.443899093989813</v>
      </c>
      <c r="W205" s="397">
        <f t="shared" si="59"/>
        <v>60.861265490947801</v>
      </c>
      <c r="X205" s="153">
        <f t="shared" si="60"/>
        <v>46213</v>
      </c>
      <c r="Y205" s="380">
        <f t="shared" si="61"/>
        <v>59.143373187129114</v>
      </c>
      <c r="Z205" s="380">
        <f t="shared" si="62"/>
        <v>60.528424341063797</v>
      </c>
      <c r="AA205" s="381">
        <f t="shared" si="63"/>
        <v>64.05207299652875</v>
      </c>
      <c r="AB205" s="193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5.5012250043115905E-2</v>
      </c>
      <c r="AD205" s="227">
        <f>(INDEX(Models!$BJ205:$BT205,,AH205)*(1-AF205)+INDEX(Models!$BJ205:$BT205,,AH205+1)*AF205-ERP_i)*AE205*Ramure*Pc/MaxiM</f>
        <v>7.8956815688971677E-6</v>
      </c>
      <c r="AE205" s="301">
        <f t="shared" si="65"/>
        <v>0.5</v>
      </c>
      <c r="AF205" s="173">
        <f t="shared" si="66"/>
        <v>0.38094846322519205</v>
      </c>
      <c r="AG205" s="802">
        <f t="shared" si="74"/>
        <v>2</v>
      </c>
      <c r="AH205" s="172">
        <f t="shared" si="67"/>
        <v>8</v>
      </c>
      <c r="AI205" s="221">
        <f t="shared" si="68"/>
        <v>2.380948463225192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46214</v>
      </c>
      <c r="B206" s="406">
        <f>'2025'!Wh/'2025'!Env_an*'2026'!Env_an</f>
        <v>59.814725721805736</v>
      </c>
      <c r="C206" s="832"/>
      <c r="D206" s="388">
        <f t="shared" si="50"/>
        <v>61.216336968804939</v>
      </c>
      <c r="E206" s="380">
        <f t="shared" si="75"/>
        <v>62.955075784933804</v>
      </c>
      <c r="F206" s="380">
        <f t="shared" si="51"/>
        <v>62.955606178994294</v>
      </c>
      <c r="G206" s="110">
        <f t="shared" si="76"/>
        <v>0.99162709746473099</v>
      </c>
      <c r="H206" s="409" t="b">
        <f>Wh_hp&gt;='2025'!Maxi_hp</f>
        <v>0</v>
      </c>
      <c r="I206" s="375">
        <f>IF(H206,Wh_hp,'2025'!Maxi_hp)</f>
        <v>62.955611805473744</v>
      </c>
      <c r="J206" s="85">
        <f>IF(H206,An,'2025'!An_max)</f>
        <v>2022</v>
      </c>
      <c r="K206" s="193">
        <f t="shared" si="52"/>
        <v>46214</v>
      </c>
      <c r="L206" s="143">
        <f>IF(t&lt;Tvie,1-EXP((T0-t)*PertePVj)+'2025'!Pspv,1-EXP((T0-t)*PertePVj)+Pspv)</f>
        <v>2.2896032601778304E-2</v>
      </c>
      <c r="M206" s="836"/>
      <c r="N206" s="836"/>
      <c r="O206" s="48">
        <f>IF(t&lt;Tnet,'2025'!Resal+('2025'!Salim-'2025'!Resal)*(1-EXP(('2025'!Tnet-t)/('2025'!Tau_j))),Resal+(Salim-Resal)*(1-EXP((Tnet-t)/(Tau_j))))*Salcycl</f>
        <v>2.7618723263374678E-2</v>
      </c>
      <c r="P206" s="334">
        <f>(INDEX(Models!$BJ206:$BT206,,T206)*(1-R206)+INDEX(Models!$BJ206:$BT206,,T206+1)*R206-ERP_i)*Q206*Ramure*Pc/MaxiM</f>
        <v>8.5268813190151756E-6</v>
      </c>
      <c r="Q206" s="301">
        <f t="shared" si="53"/>
        <v>0.5</v>
      </c>
      <c r="R206" s="173">
        <f t="shared" si="54"/>
        <v>0.38450476428355662</v>
      </c>
      <c r="S206" s="802">
        <f t="shared" si="55"/>
        <v>2</v>
      </c>
      <c r="T206" s="172">
        <f t="shared" si="56"/>
        <v>8</v>
      </c>
      <c r="U206" s="247">
        <f t="shared" si="57"/>
        <v>2.3845047642835566</v>
      </c>
      <c r="V206" s="378">
        <f t="shared" si="58"/>
        <v>60.319771186267275</v>
      </c>
      <c r="W206" s="397">
        <f t="shared" si="59"/>
        <v>59.814725721805736</v>
      </c>
      <c r="X206" s="153">
        <f t="shared" si="60"/>
        <v>46214</v>
      </c>
      <c r="Y206" s="380">
        <f t="shared" si="61"/>
        <v>58.127613908769341</v>
      </c>
      <c r="Z206" s="380">
        <f t="shared" si="62"/>
        <v>59.489691832434509</v>
      </c>
      <c r="AA206" s="381">
        <f t="shared" si="63"/>
        <v>62.955075784933804</v>
      </c>
      <c r="AB206" s="193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5.504534637266878E-2</v>
      </c>
      <c r="AD206" s="227">
        <f>(INDEX(Models!$BJ206:$BT206,,AH206)*(1-AF206)+INDEX(Models!$BJ206:$BT206,,AH206+1)*AF206-ERP_i)*AE206*Ramure*Pc/MaxiM</f>
        <v>8.5268813190151756E-6</v>
      </c>
      <c r="AE206" s="301">
        <f t="shared" si="65"/>
        <v>0.5</v>
      </c>
      <c r="AF206" s="173">
        <f t="shared" si="66"/>
        <v>0.38450476428355662</v>
      </c>
      <c r="AG206" s="802">
        <f t="shared" si="74"/>
        <v>2</v>
      </c>
      <c r="AH206" s="172">
        <f t="shared" si="67"/>
        <v>8</v>
      </c>
      <c r="AI206" s="221">
        <f t="shared" si="68"/>
        <v>2.3845047642835566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46215</v>
      </c>
      <c r="B207" s="406">
        <f>'2025'!Wh/'2025'!Env_an*'2026'!Env_an</f>
        <v>58.877625692453776</v>
      </c>
      <c r="C207" s="832"/>
      <c r="D207" s="388">
        <f t="shared" ref="D207:D270" si="77">Wh/(1-Ppv)</f>
        <v>60.258103183756347</v>
      </c>
      <c r="E207" s="380">
        <f t="shared" si="75"/>
        <v>61.973097006994344</v>
      </c>
      <c r="F207" s="380">
        <f t="shared" ref="F207:F270" si="78">Wh_sa/(1-Pvg*MEDIAN((-Sdif+Wh/Env_an)/Csdif,0,1))</f>
        <v>61.973648174407472</v>
      </c>
      <c r="G207" s="110">
        <f t="shared" si="76"/>
        <v>0.97815751975624432</v>
      </c>
      <c r="H207" s="409" t="b">
        <f>Wh_hp&gt;='2025'!Maxi_hp</f>
        <v>0</v>
      </c>
      <c r="I207" s="375">
        <f>IF(H207,Wh_hp,'2025'!Maxi_hp)</f>
        <v>61.973663730586807</v>
      </c>
      <c r="J207" s="85">
        <f>IF(H207,An,'2025'!An_max)</f>
        <v>2022</v>
      </c>
      <c r="K207" s="193">
        <f t="shared" ref="K207:K270" si="79">t</f>
        <v>46215</v>
      </c>
      <c r="L207" s="143">
        <f>IF(t&lt;Tvie,1-EXP((T0-t)*PertePVj)+'2025'!Pspv,1-EXP((T0-t)*PertePVj)+Pspv)</f>
        <v>2.2909408334557457E-2</v>
      </c>
      <c r="M207" s="836"/>
      <c r="N207" s="836"/>
      <c r="O207" s="48">
        <f>IF(t&lt;Tnet,'2025'!Resal+('2025'!Salim-'2025'!Resal)*(1-EXP(('2025'!Tnet-t)/('2025'!Tau_j))),Resal+(Salim-Resal)*(1-EXP((Tnet-t)/(Tau_j))))*Salcycl</f>
        <v>2.7673198630761332E-2</v>
      </c>
      <c r="P207" s="334">
        <f>(INDEX(Models!$BJ207:$BT207,,T207)*(1-R207)+INDEX(Models!$BJ207:$BT207,,T207+1)*R207-ERP_i)*Q207*Ramure*Pc/MaxiM</f>
        <v>9.1800225746234282E-6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0.38797975783027461</v>
      </c>
      <c r="S207" s="802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2.3879797578302746</v>
      </c>
      <c r="V207" s="378">
        <f t="shared" ref="V207:V270" si="85">MaxiM*(1-Ppv)*(1-Pvg)*(1-Psa)</f>
        <v>60.192359244696853</v>
      </c>
      <c r="W207" s="397">
        <f t="shared" ref="W207:W270" si="86">Wh*(A207&gt;Tmaj)</f>
        <v>58.877625692453776</v>
      </c>
      <c r="X207" s="153">
        <f t="shared" ref="X207:X270" si="87">t</f>
        <v>46215</v>
      </c>
      <c r="Y207" s="380">
        <f t="shared" ref="Y207:Y270" si="88">Wh_pvt_s*(1-Ppv)</f>
        <v>57.218184066483637</v>
      </c>
      <c r="Z207" s="380">
        <f t="shared" ref="Z207:Z270" si="89">Wh_sa_s*(1-Psa_s)</f>
        <v>58.559753368370615</v>
      </c>
      <c r="AA207" s="381">
        <f t="shared" ref="AA207:AA270" si="90">Wh_hp*(1-Pvg_s*MEDIAN((-Sdif+Wh/Env_an)/Csdif,0,1))</f>
        <v>61.973097006994344</v>
      </c>
      <c r="AB207" s="193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5.507782898502709E-2</v>
      </c>
      <c r="AD207" s="227">
        <f>(INDEX(Models!$BJ207:$BT207,,AH207)*(1-AF207)+INDEX(Models!$BJ207:$BT207,,AH207+1)*AF207-ERP_i)*AE207*Ramure*Pc/MaxiM</f>
        <v>9.1800225746234282E-6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0.38797975783027461</v>
      </c>
      <c r="AG207" s="802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2.3879797578302746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46216</v>
      </c>
      <c r="B208" s="406">
        <f>'2025'!Wh/'2025'!Env_an*'2026'!Env_an</f>
        <v>57.710958403069796</v>
      </c>
      <c r="C208" s="832"/>
      <c r="D208" s="388">
        <f t="shared" si="77"/>
        <v>59.064890114306067</v>
      </c>
      <c r="E208" s="380">
        <f t="shared" si="75"/>
        <v>60.749307589497057</v>
      </c>
      <c r="F208" s="380">
        <f t="shared" si="78"/>
        <v>60.749872828204111</v>
      </c>
      <c r="G208" s="110">
        <f t="shared" si="76"/>
        <v>0.96086460247046224</v>
      </c>
      <c r="H208" s="409" t="b">
        <f>Wh_hp&gt;='2025'!Maxi_hp</f>
        <v>0</v>
      </c>
      <c r="I208" s="375">
        <f>IF(H208,Wh_hp,'2025'!Maxi_hp)</f>
        <v>60.749902162317959</v>
      </c>
      <c r="J208" s="85">
        <f>IF(H208,An,'2025'!An_max)</f>
        <v>2022</v>
      </c>
      <c r="K208" s="193">
        <f t="shared" si="79"/>
        <v>46216</v>
      </c>
      <c r="L208" s="143">
        <f>IF(t&lt;Tvie,1-EXP((T0-t)*PertePVj)+'2025'!Pspv,1-EXP((T0-t)*PertePVj)+Pspv)</f>
        <v>2.2922783884234077E-2</v>
      </c>
      <c r="M208" s="836"/>
      <c r="N208" s="836"/>
      <c r="O208" s="48">
        <f>IF(t&lt;Tnet,'2025'!Resal+('2025'!Salim-'2025'!Resal)*(1-EXP(('2025'!Tnet-t)/('2025'!Tau_j))),Resal+(Salim-Resal)*(1-EXP((Tnet-t)/(Tau_j))))*Salcycl</f>
        <v>2.772735265680969E-2</v>
      </c>
      <c r="P208" s="334">
        <f>(INDEX(Models!$BJ208:$BT208,,T208)*(1-R208)+INDEX(Models!$BJ208:$BT208,,T208+1)*R208-ERP_i)*Q208*Ramure*Pc/MaxiM</f>
        <v>9.8553425194776242E-6</v>
      </c>
      <c r="Q208" s="301">
        <f t="shared" si="80"/>
        <v>0.5</v>
      </c>
      <c r="R208" s="173">
        <f t="shared" si="81"/>
        <v>0.39137336704762005</v>
      </c>
      <c r="S208" s="802">
        <f t="shared" si="82"/>
        <v>2</v>
      </c>
      <c r="T208" s="172">
        <f t="shared" si="83"/>
        <v>8</v>
      </c>
      <c r="U208" s="247">
        <f t="shared" si="84"/>
        <v>2.39137336704762</v>
      </c>
      <c r="V208" s="378">
        <f t="shared" si="85"/>
        <v>60.061455543980287</v>
      </c>
      <c r="W208" s="397">
        <f t="shared" si="86"/>
        <v>57.710958403069796</v>
      </c>
      <c r="X208" s="153">
        <f t="shared" si="87"/>
        <v>46216</v>
      </c>
      <c r="Y208" s="380">
        <f t="shared" si="88"/>
        <v>56.085629363940917</v>
      </c>
      <c r="Z208" s="380">
        <f t="shared" si="89"/>
        <v>57.401429937033541</v>
      </c>
      <c r="AA208" s="381">
        <f t="shared" si="90"/>
        <v>60.749307589497057</v>
      </c>
      <c r="AB208" s="193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5.5109725284215982E-2</v>
      </c>
      <c r="AD208" s="227">
        <f>(INDEX(Models!$BJ208:$BT208,,AH208)*(1-AF208)+INDEX(Models!$BJ208:$BT208,,AH208+1)*AF208-ERP_i)*AE208*Ramure*Pc/MaxiM</f>
        <v>9.8553425194776242E-6</v>
      </c>
      <c r="AE208" s="301">
        <f t="shared" si="92"/>
        <v>0.5</v>
      </c>
      <c r="AF208" s="173">
        <f t="shared" si="93"/>
        <v>0.39137336704762005</v>
      </c>
      <c r="AG208" s="802">
        <f t="shared" ref="AG208:AG271" si="99">INDEX(Echel_vg,AH208)</f>
        <v>2</v>
      </c>
      <c r="AH208" s="172">
        <f t="shared" si="94"/>
        <v>8</v>
      </c>
      <c r="AI208" s="221">
        <f t="shared" si="95"/>
        <v>2.39137336704762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46217</v>
      </c>
      <c r="B209" s="406">
        <f>'2025'!Wh/'2025'!Env_an*'2026'!Env_an</f>
        <v>57.556469474354223</v>
      </c>
      <c r="C209" s="832"/>
      <c r="D209" s="388">
        <f t="shared" si="77"/>
        <v>58.907583183327397</v>
      </c>
      <c r="E209" s="380">
        <f t="shared" si="75"/>
        <v>60.590870145631555</v>
      </c>
      <c r="F209" s="380">
        <f t="shared" si="78"/>
        <v>60.59147344139673</v>
      </c>
      <c r="G209" s="110">
        <f t="shared" si="76"/>
        <v>0.96044482288182276</v>
      </c>
      <c r="H209" s="409" t="b">
        <f>Wh_hp&gt;='2025'!Maxi_hp</f>
        <v>0</v>
      </c>
      <c r="I209" s="375">
        <f>IF(H209,Wh_hp,'2025'!Maxi_hp)</f>
        <v>60.591505110474671</v>
      </c>
      <c r="J209" s="85">
        <f>IF(H209,An,'2025'!An_max)</f>
        <v>2022</v>
      </c>
      <c r="K209" s="193">
        <f t="shared" si="79"/>
        <v>46217</v>
      </c>
      <c r="L209" s="143">
        <f>IF(t&lt;Tvie,1-EXP((T0-t)*PertePVj)+'2025'!Pspv,1-EXP((T0-t)*PertePVj)+Pspv)</f>
        <v>2.2936159250810606E-2</v>
      </c>
      <c r="M209" s="836"/>
      <c r="N209" s="836"/>
      <c r="O209" s="48">
        <f>IF(t&lt;Tnet,'2025'!Resal+('2025'!Salim-'2025'!Resal)*(1-EXP(('2025'!Tnet-t)/('2025'!Tau_j))),Resal+(Salim-Resal)*(1-EXP((Tnet-t)/(Tau_j))))*Salcycl</f>
        <v>2.7781198029642729E-2</v>
      </c>
      <c r="P209" s="334">
        <f>(INDEX(Models!$BJ209:$BT209,,T209)*(1-R209)+INDEX(Models!$BJ209:$BT209,,T209+1)*R209-ERP_i)*Q209*Ramure*Pc/MaxiM</f>
        <v>1.0553095939756082E-5</v>
      </c>
      <c r="Q209" s="301">
        <f t="shared" si="80"/>
        <v>0.5</v>
      </c>
      <c r="R209" s="173">
        <f t="shared" si="81"/>
        <v>0.39468565284575297</v>
      </c>
      <c r="S209" s="802">
        <f t="shared" si="82"/>
        <v>2</v>
      </c>
      <c r="T209" s="172">
        <f t="shared" si="83"/>
        <v>8</v>
      </c>
      <c r="U209" s="247">
        <f t="shared" si="84"/>
        <v>2.394685652845753</v>
      </c>
      <c r="V209" s="378">
        <f t="shared" si="85"/>
        <v>59.926852413320617</v>
      </c>
      <c r="W209" s="397">
        <f t="shared" si="86"/>
        <v>57.556469474354223</v>
      </c>
      <c r="X209" s="153">
        <f t="shared" si="87"/>
        <v>46217</v>
      </c>
      <c r="Y209" s="380">
        <f t="shared" si="88"/>
        <v>55.936734065608952</v>
      </c>
      <c r="Z209" s="380">
        <f t="shared" si="89"/>
        <v>57.249825172854614</v>
      </c>
      <c r="AA209" s="381">
        <f t="shared" si="90"/>
        <v>60.590870145631555</v>
      </c>
      <c r="AB209" s="193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5.5141062749992864E-2</v>
      </c>
      <c r="AD209" s="227">
        <f>(INDEX(Models!$BJ209:$BT209,,AH209)*(1-AF209)+INDEX(Models!$BJ209:$BT209,,AH209+1)*AF209-ERP_i)*AE209*Ramure*Pc/MaxiM</f>
        <v>1.0553095939756082E-5</v>
      </c>
      <c r="AE209" s="301">
        <f t="shared" si="92"/>
        <v>0.5</v>
      </c>
      <c r="AF209" s="173">
        <f t="shared" si="93"/>
        <v>0.39468565284575297</v>
      </c>
      <c r="AG209" s="802">
        <f t="shared" si="99"/>
        <v>2</v>
      </c>
      <c r="AH209" s="172">
        <f t="shared" si="94"/>
        <v>8</v>
      </c>
      <c r="AI209" s="221">
        <f t="shared" si="95"/>
        <v>2.394685652845753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46218</v>
      </c>
      <c r="B210" s="406">
        <f>'2025'!Wh/'2025'!Env_an*'2026'!Env_an</f>
        <v>55.017256028232048</v>
      </c>
      <c r="C210" s="832"/>
      <c r="D210" s="388">
        <f t="shared" si="77"/>
        <v>56.3095336087652</v>
      </c>
      <c r="E210" s="380">
        <f t="shared" si="75"/>
        <v>57.92177149166865</v>
      </c>
      <c r="F210" s="380">
        <f t="shared" si="78"/>
        <v>57.92235004199533</v>
      </c>
      <c r="G210" s="110">
        <f t="shared" si="76"/>
        <v>0.92019921051376652</v>
      </c>
      <c r="H210" s="409" t="b">
        <f>Wh_hp&gt;='2025'!Maxi_hp</f>
        <v>0</v>
      </c>
      <c r="I210" s="375">
        <f>IF(H210,Wh_hp,'2025'!Maxi_hp)</f>
        <v>57.922415298819374</v>
      </c>
      <c r="J210" s="85">
        <f>IF(H210,An,'2025'!An_max)</f>
        <v>2022</v>
      </c>
      <c r="K210" s="193">
        <f t="shared" si="79"/>
        <v>46218</v>
      </c>
      <c r="L210" s="143">
        <f>IF(t&lt;Tvie,1-EXP((T0-t)*PertePVj)+'2025'!Pspv,1-EXP((T0-t)*PertePVj)+Pspv)</f>
        <v>2.2949534434289709E-2</v>
      </c>
      <c r="M210" s="836"/>
      <c r="N210" s="836"/>
      <c r="O210" s="48">
        <f>IF(t&lt;Tnet,'2025'!Resal+('2025'!Salim-'2025'!Resal)*(1-EXP(('2025'!Tnet-t)/('2025'!Tau_j))),Resal+(Salim-Resal)*(1-EXP((Tnet-t)/(Tau_j))))*Salcycl</f>
        <v>2.7834747477213418E-2</v>
      </c>
      <c r="P210" s="334">
        <f>(INDEX(Models!$BJ210:$BT210,,T210)*(1-R210)+INDEX(Models!$BJ210:$BT210,,T210+1)*R210-ERP_i)*Q210*Ramure*Pc/MaxiM</f>
        <v>1.1273557183994876E-5</v>
      </c>
      <c r="Q210" s="301">
        <f t="shared" si="80"/>
        <v>0.5</v>
      </c>
      <c r="R210" s="173">
        <f t="shared" si="81"/>
        <v>0.39791680725090561</v>
      </c>
      <c r="S210" s="802">
        <f t="shared" si="82"/>
        <v>2</v>
      </c>
      <c r="T210" s="172">
        <f t="shared" si="83"/>
        <v>8</v>
      </c>
      <c r="U210" s="247">
        <f t="shared" si="84"/>
        <v>2.3979168072509056</v>
      </c>
      <c r="V210" s="378">
        <f t="shared" si="85"/>
        <v>59.788342232739097</v>
      </c>
      <c r="W210" s="397">
        <f t="shared" si="86"/>
        <v>55.017256028232048</v>
      </c>
      <c r="X210" s="153">
        <f t="shared" si="87"/>
        <v>46218</v>
      </c>
      <c r="Y210" s="380">
        <f t="shared" si="88"/>
        <v>53.470180160201181</v>
      </c>
      <c r="Z210" s="380">
        <f t="shared" si="89"/>
        <v>54.726119115292633</v>
      </c>
      <c r="AA210" s="381">
        <f t="shared" si="90"/>
        <v>57.92177149166865</v>
      </c>
      <c r="AB210" s="193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5.5171868782288101E-2</v>
      </c>
      <c r="AD210" s="227">
        <f>(INDEX(Models!$BJ210:$BT210,,AH210)*(1-AF210)+INDEX(Models!$BJ210:$BT210,,AH210+1)*AF210-ERP_i)*AE210*Ramure*Pc/MaxiM</f>
        <v>1.1273557183994876E-5</v>
      </c>
      <c r="AE210" s="301">
        <f t="shared" si="92"/>
        <v>0.5</v>
      </c>
      <c r="AF210" s="173">
        <f t="shared" si="93"/>
        <v>0.39791680725090561</v>
      </c>
      <c r="AG210" s="802">
        <f t="shared" si="99"/>
        <v>2</v>
      </c>
      <c r="AH210" s="172">
        <f t="shared" si="94"/>
        <v>8</v>
      </c>
      <c r="AI210" s="221">
        <f t="shared" si="95"/>
        <v>2.3979168072509056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46219</v>
      </c>
      <c r="B211" s="406">
        <f>'2025'!Wh/'2025'!Env_an*'2026'!Env_an</f>
        <v>56.1490807915348</v>
      </c>
      <c r="C211" s="832"/>
      <c r="D211" s="388">
        <f t="shared" si="77"/>
        <v>57.468730034646086</v>
      </c>
      <c r="E211" s="380">
        <f t="shared" si="75"/>
        <v>59.117396806146338</v>
      </c>
      <c r="F211" s="380">
        <f t="shared" si="78"/>
        <v>59.118047732707595</v>
      </c>
      <c r="G211" s="110">
        <f t="shared" si="76"/>
        <v>0.94137562070833691</v>
      </c>
      <c r="H211" s="409" t="b">
        <f>Wh_hp&gt;='2025'!Maxi_hp</f>
        <v>0</v>
      </c>
      <c r="I211" s="375">
        <f>IF(H211,Wh_hp,'2025'!Maxi_hp)</f>
        <v>59.11809989916042</v>
      </c>
      <c r="J211" s="85">
        <f>IF(H211,An,'2025'!An_max)</f>
        <v>2022</v>
      </c>
      <c r="K211" s="193">
        <f t="shared" si="79"/>
        <v>46219</v>
      </c>
      <c r="L211" s="143">
        <f>IF(t&lt;Tvie,1-EXP((T0-t)*PertePVj)+'2025'!Pspv,1-EXP((T0-t)*PertePVj)+Pspv)</f>
        <v>2.2962909434673606E-2</v>
      </c>
      <c r="M211" s="836"/>
      <c r="N211" s="836"/>
      <c r="O211" s="48">
        <f>IF(t&lt;Tnet,'2025'!Resal+('2025'!Salim-'2025'!Resal)*(1-EXP(('2025'!Tnet-t)/('2025'!Tau_j))),Resal+(Salim-Resal)*(1-EXP((Tnet-t)/(Tau_j))))*Salcycl</f>
        <v>2.7888013690901315E-2</v>
      </c>
      <c r="P211" s="334">
        <f>(INDEX(Models!$BJ211:$BT211,,T211)*(1-R211)+INDEX(Models!$BJ211:$BT211,,T211+1)*R211-ERP_i)*Q211*Ramure*Pc/MaxiM</f>
        <v>1.201702210718046E-5</v>
      </c>
      <c r="Q211" s="301">
        <f t="shared" si="80"/>
        <v>0.5</v>
      </c>
      <c r="R211" s="173">
        <f t="shared" si="81"/>
        <v>0.40106714661224707</v>
      </c>
      <c r="S211" s="802">
        <f t="shared" si="82"/>
        <v>2</v>
      </c>
      <c r="T211" s="172">
        <f t="shared" si="83"/>
        <v>8</v>
      </c>
      <c r="U211" s="247">
        <f t="shared" si="84"/>
        <v>2.4010671466122471</v>
      </c>
      <c r="V211" s="378">
        <f t="shared" si="85"/>
        <v>59.645717445181418</v>
      </c>
      <c r="W211" s="397">
        <f t="shared" si="86"/>
        <v>56.1490807915348</v>
      </c>
      <c r="X211" s="153">
        <f t="shared" si="87"/>
        <v>46219</v>
      </c>
      <c r="Y211" s="380">
        <f t="shared" si="88"/>
        <v>54.571418112847581</v>
      </c>
      <c r="Z211" s="380">
        <f t="shared" si="89"/>
        <v>55.853988185107532</v>
      </c>
      <c r="AA211" s="381">
        <f t="shared" si="90"/>
        <v>59.117396806146338</v>
      </c>
      <c r="AB211" s="193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5.5202170551249902E-2</v>
      </c>
      <c r="AD211" s="227">
        <f>(INDEX(Models!$BJ211:$BT211,,AH211)*(1-AF211)+INDEX(Models!$BJ211:$BT211,,AH211+1)*AF211-ERP_i)*AE211*Ramure*Pc/MaxiM</f>
        <v>1.201702210718046E-5</v>
      </c>
      <c r="AE211" s="301">
        <f t="shared" si="92"/>
        <v>0.5</v>
      </c>
      <c r="AF211" s="173">
        <f t="shared" si="93"/>
        <v>0.40106714661224707</v>
      </c>
      <c r="AG211" s="802">
        <f t="shared" si="99"/>
        <v>2</v>
      </c>
      <c r="AH211" s="172">
        <f t="shared" si="94"/>
        <v>8</v>
      </c>
      <c r="AI211" s="221">
        <f t="shared" si="95"/>
        <v>2.4010671466122471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46220</v>
      </c>
      <c r="B212" s="406">
        <f>'2025'!Wh/'2025'!Env_an*'2026'!Env_an</f>
        <v>56.554457833698955</v>
      </c>
      <c r="C212" s="832"/>
      <c r="D212" s="388">
        <f t="shared" si="77"/>
        <v>57.884426879443126</v>
      </c>
      <c r="E212" s="380">
        <f t="shared" si="75"/>
        <v>59.548265517189009</v>
      </c>
      <c r="F212" s="380">
        <f t="shared" si="78"/>
        <v>59.548971514400606</v>
      </c>
      <c r="G212" s="110">
        <f t="shared" si="76"/>
        <v>0.95051384795738536</v>
      </c>
      <c r="H212" s="409" t="b">
        <f>Wh_hp&gt;='2025'!Maxi_hp</f>
        <v>0</v>
      </c>
      <c r="I212" s="375">
        <f>IF(H212,Wh_hp,'2025'!Maxi_hp)</f>
        <v>59.549018604675425</v>
      </c>
      <c r="J212" s="85">
        <f>IF(H212,An,'2025'!An_max)</f>
        <v>2022</v>
      </c>
      <c r="K212" s="193">
        <f t="shared" si="79"/>
        <v>46220</v>
      </c>
      <c r="L212" s="143">
        <f>IF(t&lt;Tvie,1-EXP((T0-t)*PertePVj)+'2025'!Pspv,1-EXP((T0-t)*PertePVj)+Pspv)</f>
        <v>2.2976284251965073E-2</v>
      </c>
      <c r="M212" s="836"/>
      <c r="N212" s="836"/>
      <c r="O212" s="48">
        <f>IF(t&lt;Tnet,'2025'!Resal+('2025'!Salim-'2025'!Resal)*(1-EXP(('2025'!Tnet-t)/('2025'!Tau_j))),Resal+(Salim-Resal)*(1-EXP((Tnet-t)/(Tau_j))))*Salcycl</f>
        <v>2.7941009251824571E-2</v>
      </c>
      <c r="P212" s="334">
        <f>(INDEX(Models!$BJ212:$BT212,,T212)*(1-R212)+INDEX(Models!$BJ212:$BT212,,T212+1)*R212-ERP_i)*Q212*Ramure*Pc/MaxiM</f>
        <v>1.2757619418137911E-5</v>
      </c>
      <c r="Q212" s="301">
        <f t="shared" si="80"/>
        <v>0.5</v>
      </c>
      <c r="R212" s="173">
        <f t="shared" si="81"/>
        <v>0.40413710467882336</v>
      </c>
      <c r="S212" s="802">
        <f t="shared" si="82"/>
        <v>2</v>
      </c>
      <c r="T212" s="172">
        <f t="shared" si="83"/>
        <v>8</v>
      </c>
      <c r="U212" s="247">
        <f t="shared" si="84"/>
        <v>2.4041371046788234</v>
      </c>
      <c r="V212" s="378">
        <f t="shared" si="85"/>
        <v>59.498772110905499</v>
      </c>
      <c r="W212" s="397">
        <f t="shared" si="86"/>
        <v>56.554457833698955</v>
      </c>
      <c r="X212" s="153">
        <f t="shared" si="87"/>
        <v>46220</v>
      </c>
      <c r="Y212" s="380">
        <f t="shared" si="88"/>
        <v>54.96666644535626</v>
      </c>
      <c r="Z212" s="380">
        <f t="shared" si="89"/>
        <v>56.259296022586661</v>
      </c>
      <c r="AA212" s="381">
        <f t="shared" si="90"/>
        <v>59.548265517189009</v>
      </c>
      <c r="AB212" s="193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5.52319948538713E-2</v>
      </c>
      <c r="AD212" s="227">
        <f>(INDEX(Models!$BJ212:$BT212,,AH212)*(1-AF212)+INDEX(Models!$BJ212:$BT212,,AH212+1)*AF212-ERP_i)*AE212*Ramure*Pc/MaxiM</f>
        <v>1.2757619418137911E-5</v>
      </c>
      <c r="AE212" s="301">
        <f t="shared" si="92"/>
        <v>0.5</v>
      </c>
      <c r="AF212" s="173">
        <f t="shared" si="93"/>
        <v>0.40413710467882336</v>
      </c>
      <c r="AG212" s="802">
        <f t="shared" si="99"/>
        <v>2</v>
      </c>
      <c r="AH212" s="172">
        <f t="shared" si="94"/>
        <v>8</v>
      </c>
      <c r="AI212" s="221">
        <f t="shared" si="95"/>
        <v>2.4041371046788234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46221</v>
      </c>
      <c r="B213" s="406">
        <f>'2025'!Wh/'2025'!Env_an*'2026'!Env_an</f>
        <v>58.281072453573948</v>
      </c>
      <c r="C213" s="832"/>
      <c r="D213" s="388">
        <f t="shared" si="77"/>
        <v>59.652462211537127</v>
      </c>
      <c r="E213" s="380">
        <f t="shared" si="75"/>
        <v>61.370451064944142</v>
      </c>
      <c r="F213" s="380">
        <f t="shared" si="78"/>
        <v>61.371256108051618</v>
      </c>
      <c r="G213" s="110">
        <f t="shared" si="76"/>
        <v>0.9820337505336808</v>
      </c>
      <c r="H213" s="409" t="b">
        <f>Wh_hp&gt;='2025'!Maxi_hp</f>
        <v>0</v>
      </c>
      <c r="I213" s="375">
        <f>IF(H213,Wh_hp,'2025'!Maxi_hp)</f>
        <v>61.371274698126008</v>
      </c>
      <c r="J213" s="85">
        <f>IF(H213,An,'2025'!An_max)</f>
        <v>2022</v>
      </c>
      <c r="K213" s="193">
        <f t="shared" si="79"/>
        <v>46221</v>
      </c>
      <c r="L213" s="143">
        <f>IF(t&lt;Tvie,1-EXP((T0-t)*PertePVj)+'2025'!Pspv,1-EXP((T0-t)*PertePVj)+Pspv)</f>
        <v>2.2989658886166553E-2</v>
      </c>
      <c r="M213" s="836"/>
      <c r="N213" s="836"/>
      <c r="O213" s="48">
        <f>IF(t&lt;Tnet,'2025'!Resal+('2025'!Salim-'2025'!Resal)*(1-EXP(('2025'!Tnet-t)/('2025'!Tau_j))),Resal+(Salim-Resal)*(1-EXP((Tnet-t)/(Tau_j))))*Salcycl</f>
        <v>2.7993746560359967E-2</v>
      </c>
      <c r="P213" s="334">
        <f>(INDEX(Models!$BJ213:$BT213,,T213)*(1-R213)+INDEX(Models!$BJ213:$BT213,,T213+1)*R213-ERP_i)*Q213*Ramure*Pc/MaxiM</f>
        <v>1.346313130495858E-5</v>
      </c>
      <c r="Q213" s="301">
        <f t="shared" si="80"/>
        <v>0.5</v>
      </c>
      <c r="R213" s="173">
        <f t="shared" si="81"/>
        <v>0.40712722559511372</v>
      </c>
      <c r="S213" s="802">
        <f t="shared" si="82"/>
        <v>2</v>
      </c>
      <c r="T213" s="172">
        <f t="shared" si="83"/>
        <v>8</v>
      </c>
      <c r="U213" s="247">
        <f t="shared" si="84"/>
        <v>2.4071272255951137</v>
      </c>
      <c r="V213" s="378">
        <f t="shared" si="85"/>
        <v>59.347300724893458</v>
      </c>
      <c r="W213" s="397">
        <f t="shared" si="86"/>
        <v>58.281072453573948</v>
      </c>
      <c r="X213" s="153">
        <f t="shared" si="87"/>
        <v>46221</v>
      </c>
      <c r="Y213" s="380">
        <f t="shared" si="88"/>
        <v>56.64611772580303</v>
      </c>
      <c r="Z213" s="380">
        <f t="shared" si="89"/>
        <v>57.979035985662179</v>
      </c>
      <c r="AA213" s="381">
        <f t="shared" si="90"/>
        <v>61.370451064944142</v>
      </c>
      <c r="AB213" s="193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5.5261367978101626E-2</v>
      </c>
      <c r="AD213" s="227">
        <f>(INDEX(Models!$BJ213:$BT213,,AH213)*(1-AF213)+INDEX(Models!$BJ213:$BT213,,AH213+1)*AF213-ERP_i)*AE213*Ramure*Pc/MaxiM</f>
        <v>1.346313130495858E-5</v>
      </c>
      <c r="AE213" s="301">
        <f t="shared" si="92"/>
        <v>0.5</v>
      </c>
      <c r="AF213" s="173">
        <f t="shared" si="93"/>
        <v>0.40712722559511372</v>
      </c>
      <c r="AG213" s="802">
        <f t="shared" si="99"/>
        <v>2</v>
      </c>
      <c r="AH213" s="172">
        <f t="shared" si="94"/>
        <v>8</v>
      </c>
      <c r="AI213" s="221">
        <f t="shared" si="95"/>
        <v>2.4071272255951137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46222</v>
      </c>
      <c r="B214" s="406">
        <f>'2025'!Wh/'2025'!Env_an*'2026'!Env_an</f>
        <v>42.809384745463632</v>
      </c>
      <c r="C214" s="832"/>
      <c r="D214" s="388">
        <f t="shared" si="77"/>
        <v>43.817315924423291</v>
      </c>
      <c r="E214" s="380">
        <f t="shared" si="75"/>
        <v>45.081687655450573</v>
      </c>
      <c r="F214" s="380">
        <f t="shared" si="78"/>
        <v>45.082072895060335</v>
      </c>
      <c r="G214" s="110">
        <f t="shared" si="76"/>
        <v>0.72323623754396271</v>
      </c>
      <c r="H214" s="409" t="b">
        <f>Wh_hp&gt;='2025'!Maxi_hp</f>
        <v>0</v>
      </c>
      <c r="I214" s="375">
        <f>IF(H214,Wh_hp,'2025'!Maxi_hp)</f>
        <v>45.082293640742087</v>
      </c>
      <c r="J214" s="85">
        <f>IF(H214,An,'2025'!An_max)</f>
        <v>2022</v>
      </c>
      <c r="K214" s="193">
        <f t="shared" si="79"/>
        <v>46222</v>
      </c>
      <c r="L214" s="143">
        <f>IF(t&lt;Tvie,1-EXP((T0-t)*PertePVj)+'2025'!Pspv,1-EXP((T0-t)*PertePVj)+Pspv)</f>
        <v>2.3003033337280487E-2</v>
      </c>
      <c r="M214" s="836"/>
      <c r="N214" s="836"/>
      <c r="O214" s="48">
        <f>IF(t&lt;Tnet,'2025'!Resal+('2025'!Salim-'2025'!Resal)*(1-EXP(('2025'!Tnet-t)/('2025'!Tau_j))),Resal+(Salim-Resal)*(1-EXP((Tnet-t)/(Tau_j))))*Salcycl</f>
        <v>2.8046237769326566E-2</v>
      </c>
      <c r="P214" s="334">
        <f>(INDEX(Models!$BJ214:$BT214,,T214)*(1-R214)+INDEX(Models!$BJ214:$BT214,,T214+1)*R214-ERP_i)*Q214*Ramure*Pc/MaxiM</f>
        <v>1.4133121920697579E-5</v>
      </c>
      <c r="Q214" s="301">
        <f t="shared" si="80"/>
        <v>0.5</v>
      </c>
      <c r="R214" s="173">
        <f t="shared" si="81"/>
        <v>0.41003815686067746</v>
      </c>
      <c r="S214" s="802">
        <f t="shared" si="82"/>
        <v>2</v>
      </c>
      <c r="T214" s="172">
        <f t="shared" si="83"/>
        <v>8</v>
      </c>
      <c r="U214" s="247">
        <f t="shared" si="84"/>
        <v>2.4100381568606775</v>
      </c>
      <c r="V214" s="378">
        <f t="shared" si="85"/>
        <v>59.191095951386878</v>
      </c>
      <c r="W214" s="397">
        <f t="shared" si="86"/>
        <v>42.809384745463632</v>
      </c>
      <c r="X214" s="153">
        <f t="shared" si="87"/>
        <v>46222</v>
      </c>
      <c r="Y214" s="380">
        <f t="shared" si="88"/>
        <v>41.6094282720683</v>
      </c>
      <c r="Z214" s="380">
        <f t="shared" si="89"/>
        <v>42.589106918315309</v>
      </c>
      <c r="AA214" s="381">
        <f t="shared" si="90"/>
        <v>45.081687655450573</v>
      </c>
      <c r="AB214" s="193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5.5290315575262199E-2</v>
      </c>
      <c r="AD214" s="227">
        <f>(INDEX(Models!$BJ214:$BT214,,AH214)*(1-AF214)+INDEX(Models!$BJ214:$BT214,,AH214+1)*AF214-ERP_i)*AE214*Ramure*Pc/MaxiM</f>
        <v>1.4133121920697579E-5</v>
      </c>
      <c r="AE214" s="301">
        <f t="shared" si="92"/>
        <v>0.5</v>
      </c>
      <c r="AF214" s="173">
        <f t="shared" si="93"/>
        <v>0.41003815686067746</v>
      </c>
      <c r="AG214" s="802">
        <f t="shared" si="99"/>
        <v>2</v>
      </c>
      <c r="AH214" s="172">
        <f t="shared" si="94"/>
        <v>8</v>
      </c>
      <c r="AI214" s="221">
        <f t="shared" si="95"/>
        <v>2.4100381568606775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46223</v>
      </c>
      <c r="B215" s="406">
        <f>'2025'!Wh/'2025'!Env_an*'2026'!Env_an</f>
        <v>40.200212249956373</v>
      </c>
      <c r="C215" s="832"/>
      <c r="D215" s="388">
        <f t="shared" si="77"/>
        <v>41.147274696212023</v>
      </c>
      <c r="E215" s="380">
        <f t="shared" si="75"/>
        <v>42.336877217213981</v>
      </c>
      <c r="F215" s="380">
        <f t="shared" si="78"/>
        <v>42.337217517682092</v>
      </c>
      <c r="G215" s="110">
        <f t="shared" si="76"/>
        <v>0.68100923972119509</v>
      </c>
      <c r="H215" s="409" t="b">
        <f>Wh_hp&gt;='2025'!Maxi_hp</f>
        <v>0</v>
      </c>
      <c r="I215" s="375">
        <f>IF(H215,Wh_hp,'2025'!Maxi_hp)</f>
        <v>42.337467031367346</v>
      </c>
      <c r="J215" s="85">
        <f>IF(H215,An,'2025'!An_max)</f>
        <v>2022</v>
      </c>
      <c r="K215" s="193">
        <f t="shared" si="79"/>
        <v>46223</v>
      </c>
      <c r="L215" s="143">
        <f>IF(t&lt;Tvie,1-EXP((T0-t)*PertePVj)+'2025'!Pspv,1-EXP((T0-t)*PertePVj)+Pspv)</f>
        <v>2.301640760530943E-2</v>
      </c>
      <c r="M215" s="836"/>
      <c r="N215" s="836"/>
      <c r="O215" s="48">
        <f>IF(t&lt;Tnet,'2025'!Resal+('2025'!Salim-'2025'!Resal)*(1-EXP(('2025'!Tnet-t)/('2025'!Tau_j))),Resal+(Salim-Resal)*(1-EXP((Tnet-t)/(Tau_j))))*Salcycl</f>
        <v>2.8098494721246786E-2</v>
      </c>
      <c r="P215" s="334">
        <f>(INDEX(Models!$BJ215:$BT215,,T215)*(1-R215)+INDEX(Models!$BJ215:$BT215,,T215+1)*R215-ERP_i)*Q215*Ramure*Pc/MaxiM</f>
        <v>1.4767179134212717E-5</v>
      </c>
      <c r="Q215" s="301">
        <f t="shared" si="80"/>
        <v>0.5</v>
      </c>
      <c r="R215" s="173">
        <f t="shared" si="81"/>
        <v>0.41287064229611259</v>
      </c>
      <c r="S215" s="802">
        <f t="shared" si="82"/>
        <v>2</v>
      </c>
      <c r="T215" s="172">
        <f t="shared" si="83"/>
        <v>8</v>
      </c>
      <c r="U215" s="247">
        <f t="shared" si="84"/>
        <v>2.4128706422961126</v>
      </c>
      <c r="V215" s="378">
        <f t="shared" si="85"/>
        <v>59.029950524652563</v>
      </c>
      <c r="W215" s="397">
        <f t="shared" si="86"/>
        <v>40.200212249956373</v>
      </c>
      <c r="X215" s="153">
        <f t="shared" si="87"/>
        <v>46223</v>
      </c>
      <c r="Y215" s="380">
        <f t="shared" si="88"/>
        <v>39.07431157179861</v>
      </c>
      <c r="Z215" s="380">
        <f t="shared" si="89"/>
        <v>39.994849325998729</v>
      </c>
      <c r="AA215" s="381">
        <f t="shared" si="90"/>
        <v>42.336877217213981</v>
      </c>
      <c r="AB215" s="193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5.5318862541496011E-2</v>
      </c>
      <c r="AD215" s="227">
        <f>(INDEX(Models!$BJ215:$BT215,,AH215)*(1-AF215)+INDEX(Models!$BJ215:$BT215,,AH215+1)*AF215-ERP_i)*AE215*Ramure*Pc/MaxiM</f>
        <v>1.4767179134212717E-5</v>
      </c>
      <c r="AE215" s="301">
        <f t="shared" si="92"/>
        <v>0.5</v>
      </c>
      <c r="AF215" s="173">
        <f t="shared" si="93"/>
        <v>0.41287064229611259</v>
      </c>
      <c r="AG215" s="802">
        <f t="shared" si="99"/>
        <v>2</v>
      </c>
      <c r="AH215" s="172">
        <f t="shared" si="94"/>
        <v>8</v>
      </c>
      <c r="AI215" s="221">
        <f t="shared" si="95"/>
        <v>2.4128706422961126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46224</v>
      </c>
      <c r="B216" s="406">
        <f>'2025'!Wh/'2025'!Env_an*'2026'!Env_an</f>
        <v>55.471590149909538</v>
      </c>
      <c r="C216" s="832"/>
      <c r="D216" s="388">
        <f t="shared" si="77"/>
        <v>56.779202794821032</v>
      </c>
      <c r="E216" s="380">
        <f t="shared" si="75"/>
        <v>58.423865508692082</v>
      </c>
      <c r="F216" s="380">
        <f t="shared" si="78"/>
        <v>58.424689298636679</v>
      </c>
      <c r="G216" s="110">
        <f t="shared" si="76"/>
        <v>0.94237297793674479</v>
      </c>
      <c r="H216" s="409" t="b">
        <f>Wh_hp&gt;='2025'!Maxi_hp</f>
        <v>0</v>
      </c>
      <c r="I216" s="375">
        <f>IF(H216,Wh_hp,'2025'!Maxi_hp)</f>
        <v>58.424753973984458</v>
      </c>
      <c r="J216" s="85">
        <f>IF(H216,An,'2025'!An_max)</f>
        <v>2022</v>
      </c>
      <c r="K216" s="193">
        <f t="shared" si="79"/>
        <v>46224</v>
      </c>
      <c r="L216" s="143">
        <f>IF(t&lt;Tvie,1-EXP((T0-t)*PertePVj)+'2025'!Pspv,1-EXP((T0-t)*PertePVj)+Pspv)</f>
        <v>2.3029781690255824E-2</v>
      </c>
      <c r="M216" s="836"/>
      <c r="N216" s="836"/>
      <c r="O216" s="48">
        <f>IF(t&lt;Tnet,'2025'!Resal+('2025'!Salim-'2025'!Resal)*(1-EXP(('2025'!Tnet-t)/('2025'!Tau_j))),Resal+(Salim-Resal)*(1-EXP((Tnet-t)/(Tau_j))))*Salcycl</f>
        <v>2.8150528890053737E-2</v>
      </c>
      <c r="P216" s="334">
        <f>(INDEX(Models!$BJ216:$BT216,,T216)*(1-R216)+INDEX(Models!$BJ216:$BT216,,T216+1)*R216-ERP_i)*Q216*Ramure*Pc/MaxiM</f>
        <v>1.5364910878152836E-5</v>
      </c>
      <c r="Q216" s="301">
        <f t="shared" si="80"/>
        <v>0.5</v>
      </c>
      <c r="R216" s="173">
        <f t="shared" si="81"/>
        <v>0.41562551505417256</v>
      </c>
      <c r="S216" s="802">
        <f t="shared" si="82"/>
        <v>2</v>
      </c>
      <c r="T216" s="172">
        <f t="shared" si="83"/>
        <v>8</v>
      </c>
      <c r="U216" s="247">
        <f t="shared" si="84"/>
        <v>2.4156255150541726</v>
      </c>
      <c r="V216" s="378">
        <f t="shared" si="85"/>
        <v>58.863657259662041</v>
      </c>
      <c r="W216" s="397">
        <f t="shared" si="86"/>
        <v>55.471590149909538</v>
      </c>
      <c r="X216" s="153">
        <f t="shared" si="87"/>
        <v>46224</v>
      </c>
      <c r="Y216" s="380">
        <f t="shared" si="88"/>
        <v>53.919257850217107</v>
      </c>
      <c r="Z216" s="380">
        <f t="shared" si="89"/>
        <v>55.190277901718225</v>
      </c>
      <c r="AA216" s="381">
        <f t="shared" si="90"/>
        <v>58.423865508692082</v>
      </c>
      <c r="AB216" s="193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5.5347032908885131E-2</v>
      </c>
      <c r="AD216" s="227">
        <f>(INDEX(Models!$BJ216:$BT216,,AH216)*(1-AF216)+INDEX(Models!$BJ216:$BT216,,AH216+1)*AF216-ERP_i)*AE216*Ramure*Pc/MaxiM</f>
        <v>1.5364910878152836E-5</v>
      </c>
      <c r="AE216" s="301">
        <f t="shared" si="92"/>
        <v>0.5</v>
      </c>
      <c r="AF216" s="173">
        <f t="shared" si="93"/>
        <v>0.41562551505417256</v>
      </c>
      <c r="AG216" s="802">
        <f t="shared" si="99"/>
        <v>2</v>
      </c>
      <c r="AH216" s="172">
        <f t="shared" si="94"/>
        <v>8</v>
      </c>
      <c r="AI216" s="221">
        <f t="shared" si="95"/>
        <v>2.4156255150541726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46225</v>
      </c>
      <c r="B217" s="406">
        <f>'2025'!Wh/'2025'!Env_an*'2026'!Env_an</f>
        <v>47.643278346960791</v>
      </c>
      <c r="C217" s="832"/>
      <c r="D217" s="388">
        <f t="shared" si="77"/>
        <v>48.767024479813983</v>
      </c>
      <c r="E217" s="380">
        <f t="shared" si="75"/>
        <v>50.182282851202871</v>
      </c>
      <c r="F217" s="380">
        <f t="shared" si="78"/>
        <v>50.182867131139979</v>
      </c>
      <c r="G217" s="110">
        <f t="shared" si="76"/>
        <v>0.81174720478781603</v>
      </c>
      <c r="H217" s="409" t="b">
        <f>Wh_hp&gt;='2025'!Maxi_hp</f>
        <v>0</v>
      </c>
      <c r="I217" s="375">
        <f>IF(H217,Wh_hp,'2025'!Maxi_hp)</f>
        <v>50.183055073170451</v>
      </c>
      <c r="J217" s="85">
        <f>IF(H217,An,'2025'!An_max)</f>
        <v>2022</v>
      </c>
      <c r="K217" s="193">
        <f t="shared" si="79"/>
        <v>46225</v>
      </c>
      <c r="L217" s="143">
        <f>IF(t&lt;Tvie,1-EXP((T0-t)*PertePVj)+'2025'!Pspv,1-EXP((T0-t)*PertePVj)+Pspv)</f>
        <v>2.3043155592122333E-2</v>
      </c>
      <c r="M217" s="836"/>
      <c r="N217" s="836"/>
      <c r="O217" s="48">
        <f>IF(t&lt;Tnet,'2025'!Resal+('2025'!Salim-'2025'!Resal)*(1-EXP(('2025'!Tnet-t)/('2025'!Tau_j))),Resal+(Salim-Resal)*(1-EXP((Tnet-t)/(Tau_j))))*Salcycl</f>
        <v>2.8202351327565399E-2</v>
      </c>
      <c r="P217" s="334">
        <f>(INDEX(Models!$BJ217:$BT217,,T217)*(1-R217)+INDEX(Models!$BJ217:$BT217,,T217+1)*R217-ERP_i)*Q217*Ramure*Pc/MaxiM</f>
        <v>1.5925941409624434E-5</v>
      </c>
      <c r="Q217" s="301">
        <f t="shared" si="80"/>
        <v>0.5</v>
      </c>
      <c r="R217" s="173">
        <f t="shared" si="81"/>
        <v>0.41830369071145146</v>
      </c>
      <c r="S217" s="802">
        <f t="shared" si="82"/>
        <v>2</v>
      </c>
      <c r="T217" s="172">
        <f t="shared" si="83"/>
        <v>8</v>
      </c>
      <c r="U217" s="247">
        <f t="shared" si="84"/>
        <v>2.4183036907114515</v>
      </c>
      <c r="V217" s="378">
        <f t="shared" si="85"/>
        <v>58.692009052796934</v>
      </c>
      <c r="W217" s="397">
        <f t="shared" si="86"/>
        <v>47.643278346960791</v>
      </c>
      <c r="X217" s="153">
        <f t="shared" si="87"/>
        <v>46225</v>
      </c>
      <c r="Y217" s="380">
        <f t="shared" si="88"/>
        <v>46.311121485563795</v>
      </c>
      <c r="Z217" s="380">
        <f t="shared" si="89"/>
        <v>47.403446478367663</v>
      </c>
      <c r="AA217" s="381">
        <f t="shared" si="90"/>
        <v>50.182282851202871</v>
      </c>
      <c r="AB217" s="193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5.5374849746768734E-2</v>
      </c>
      <c r="AD217" s="227">
        <f>(INDEX(Models!$BJ217:$BT217,,AH217)*(1-AF217)+INDEX(Models!$BJ217:$BT217,,AH217+1)*AF217-ERP_i)*AE217*Ramure*Pc/MaxiM</f>
        <v>1.5925941409624434E-5</v>
      </c>
      <c r="AE217" s="301">
        <f t="shared" si="92"/>
        <v>0.5</v>
      </c>
      <c r="AF217" s="173">
        <f t="shared" si="93"/>
        <v>0.41830369071145146</v>
      </c>
      <c r="AG217" s="802">
        <f t="shared" si="99"/>
        <v>2</v>
      </c>
      <c r="AH217" s="172">
        <f t="shared" si="94"/>
        <v>8</v>
      </c>
      <c r="AI217" s="221">
        <f t="shared" si="95"/>
        <v>2.4183036907114515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46226</v>
      </c>
      <c r="B218" s="406">
        <f>'2025'!Wh/'2025'!Env_an*'2026'!Env_an</f>
        <v>45.081556857820324</v>
      </c>
      <c r="C218" s="832"/>
      <c r="D218" s="388">
        <f t="shared" si="77"/>
        <v>46.145512212719915</v>
      </c>
      <c r="E218" s="380">
        <f t="shared" si="75"/>
        <v>47.487214675730385</v>
      </c>
      <c r="F218" s="380">
        <f t="shared" si="78"/>
        <v>47.487739654733467</v>
      </c>
      <c r="G218" s="110">
        <f t="shared" si="76"/>
        <v>0.77042584973116413</v>
      </c>
      <c r="H218" s="409" t="b">
        <f>Wh_hp&gt;='2025'!Maxi_hp</f>
        <v>0</v>
      </c>
      <c r="I218" s="375">
        <f>IF(H218,Wh_hp,'2025'!Maxi_hp)</f>
        <v>47.487963460820495</v>
      </c>
      <c r="J218" s="85">
        <f>IF(H218,An,'2025'!An_max)</f>
        <v>2022</v>
      </c>
      <c r="K218" s="193">
        <f t="shared" si="79"/>
        <v>46226</v>
      </c>
      <c r="L218" s="143">
        <f>IF(t&lt;Tvie,1-EXP((T0-t)*PertePVj)+'2025'!Pspv,1-EXP((T0-t)*PertePVj)+Pspv)</f>
        <v>2.3056529310911289E-2</v>
      </c>
      <c r="M218" s="836"/>
      <c r="N218" s="836"/>
      <c r="O218" s="48">
        <f>IF(t&lt;Tnet,'2025'!Resal+('2025'!Salim-'2025'!Resal)*(1-EXP(('2025'!Tnet-t)/('2025'!Tau_j))),Resal+(Salim-Resal)*(1-EXP((Tnet-t)/(Tau_j))))*Salcycl</f>
        <v>2.8253972614994825E-2</v>
      </c>
      <c r="P218" s="334">
        <f>(INDEX(Models!$BJ218:$BT218,,T218)*(1-R218)+INDEX(Models!$BJ218:$BT218,,T218+1)*R218-ERP_i)*Q218*Ramure*Pc/MaxiM</f>
        <v>1.6449907505027232E-5</v>
      </c>
      <c r="Q218" s="301">
        <f t="shared" si="80"/>
        <v>0.5</v>
      </c>
      <c r="R218" s="173">
        <f t="shared" si="81"/>
        <v>0.42090616047258367</v>
      </c>
      <c r="S218" s="802">
        <f t="shared" si="82"/>
        <v>2</v>
      </c>
      <c r="T218" s="172">
        <f t="shared" si="83"/>
        <v>8</v>
      </c>
      <c r="U218" s="247">
        <f t="shared" si="84"/>
        <v>2.4209061604725837</v>
      </c>
      <c r="V218" s="378">
        <f t="shared" si="85"/>
        <v>58.514798876453625</v>
      </c>
      <c r="W218" s="397">
        <f t="shared" si="86"/>
        <v>45.081556857820324</v>
      </c>
      <c r="X218" s="153">
        <f t="shared" si="87"/>
        <v>46226</v>
      </c>
      <c r="Y218" s="380">
        <f t="shared" si="88"/>
        <v>43.82208122191588</v>
      </c>
      <c r="Z218" s="380">
        <f t="shared" si="89"/>
        <v>44.856312096549352</v>
      </c>
      <c r="AA218" s="381">
        <f t="shared" si="90"/>
        <v>47.487214675730385</v>
      </c>
      <c r="AB218" s="193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5.5402335073689385E-2</v>
      </c>
      <c r="AD218" s="227">
        <f>(INDEX(Models!$BJ218:$BT218,,AH218)*(1-AF218)+INDEX(Models!$BJ218:$BT218,,AH218+1)*AF218-ERP_i)*AE218*Ramure*Pc/MaxiM</f>
        <v>1.6449907505027232E-5</v>
      </c>
      <c r="AE218" s="301">
        <f t="shared" si="92"/>
        <v>0.5</v>
      </c>
      <c r="AF218" s="173">
        <f t="shared" si="93"/>
        <v>0.42090616047258367</v>
      </c>
      <c r="AG218" s="802">
        <f t="shared" si="99"/>
        <v>2</v>
      </c>
      <c r="AH218" s="172">
        <f t="shared" si="94"/>
        <v>8</v>
      </c>
      <c r="AI218" s="221">
        <f t="shared" si="95"/>
        <v>2.4209061604725837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46227</v>
      </c>
      <c r="B219" s="406">
        <f>'2025'!Wh/'2025'!Env_an*'2026'!Env_an</f>
        <v>54.88708913967421</v>
      </c>
      <c r="C219" s="832"/>
      <c r="D219" s="388">
        <f t="shared" si="77"/>
        <v>56.183230816213786</v>
      </c>
      <c r="E219" s="380">
        <f t="shared" si="75"/>
        <v>57.819844814666212</v>
      </c>
      <c r="F219" s="380">
        <f t="shared" si="78"/>
        <v>57.820741499965209</v>
      </c>
      <c r="G219" s="110">
        <f t="shared" si="76"/>
        <v>0.9409543540904296</v>
      </c>
      <c r="H219" s="409" t="b">
        <f>Wh_hp&gt;='2025'!Maxi_hp</f>
        <v>0</v>
      </c>
      <c r="I219" s="375">
        <f>IF(H219,Wh_hp,'2025'!Maxi_hp)</f>
        <v>57.820813582801875</v>
      </c>
      <c r="J219" s="85">
        <f>IF(H219,An,'2025'!An_max)</f>
        <v>2022</v>
      </c>
      <c r="K219" s="193">
        <f t="shared" si="79"/>
        <v>46227</v>
      </c>
      <c r="L219" s="143">
        <f>IF(t&lt;Tvie,1-EXP((T0-t)*PertePVj)+'2025'!Pspv,1-EXP((T0-t)*PertePVj)+Pspv)</f>
        <v>2.3069902846625245E-2</v>
      </c>
      <c r="M219" s="836"/>
      <c r="N219" s="836"/>
      <c r="O219" s="48">
        <f>IF(t&lt;Tnet,'2025'!Resal+('2025'!Salim-'2025'!Resal)*(1-EXP(('2025'!Tnet-t)/('2025'!Tau_j))),Resal+(Salim-Resal)*(1-EXP((Tnet-t)/(Tau_j))))*Salcycl</f>
        <v>2.8305402819713051E-2</v>
      </c>
      <c r="P219" s="334">
        <f>(INDEX(Models!$BJ219:$BT219,,T219)*(1-R219)+INDEX(Models!$BJ219:$BT219,,T219+1)*R219-ERP_i)*Q219*Ramure*Pc/MaxiM</f>
        <v>1.6936607378153206E-5</v>
      </c>
      <c r="Q219" s="301">
        <f t="shared" si="80"/>
        <v>0.5</v>
      </c>
      <c r="R219" s="173">
        <f t="shared" si="81"/>
        <v>0.42343398451546088</v>
      </c>
      <c r="S219" s="802">
        <f t="shared" si="82"/>
        <v>2</v>
      </c>
      <c r="T219" s="172">
        <f t="shared" si="83"/>
        <v>8</v>
      </c>
      <c r="U219" s="247">
        <f t="shared" si="84"/>
        <v>2.4234339845154609</v>
      </c>
      <c r="V219" s="378">
        <f t="shared" si="85"/>
        <v>58.331214993516816</v>
      </c>
      <c r="W219" s="397">
        <f t="shared" si="86"/>
        <v>54.88708913967421</v>
      </c>
      <c r="X219" s="153">
        <f t="shared" si="87"/>
        <v>46227</v>
      </c>
      <c r="Y219" s="380">
        <f t="shared" si="88"/>
        <v>53.354958281995998</v>
      </c>
      <c r="Z219" s="380">
        <f t="shared" si="89"/>
        <v>54.61491916101695</v>
      </c>
      <c r="AA219" s="381">
        <f t="shared" si="90"/>
        <v>57.819844814666212</v>
      </c>
      <c r="AB219" s="193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5.5429509780287795E-2</v>
      </c>
      <c r="AD219" s="227">
        <f>(INDEX(Models!$BJ219:$BT219,,AH219)*(1-AF219)+INDEX(Models!$BJ219:$BT219,,AH219+1)*AF219-ERP_i)*AE219*Ramure*Pc/MaxiM</f>
        <v>1.6936607378153206E-5</v>
      </c>
      <c r="AE219" s="301">
        <f t="shared" si="92"/>
        <v>0.5</v>
      </c>
      <c r="AF219" s="173">
        <f t="shared" si="93"/>
        <v>0.42343398451546088</v>
      </c>
      <c r="AG219" s="802">
        <f t="shared" si="99"/>
        <v>2</v>
      </c>
      <c r="AH219" s="172">
        <f t="shared" si="94"/>
        <v>8</v>
      </c>
      <c r="AI219" s="221">
        <f t="shared" si="95"/>
        <v>2.4234339845154609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46228</v>
      </c>
      <c r="B220" s="406">
        <f>'2025'!Wh/'2025'!Env_an*'2026'!Env_an</f>
        <v>28.955463045845132</v>
      </c>
      <c r="C220" s="832"/>
      <c r="D220" s="388">
        <f t="shared" si="77"/>
        <v>29.63964311430022</v>
      </c>
      <c r="E220" s="380">
        <f t="shared" si="75"/>
        <v>30.504652925127814</v>
      </c>
      <c r="F220" s="380">
        <f t="shared" si="78"/>
        <v>30.504803814342569</v>
      </c>
      <c r="G220" s="110">
        <f t="shared" si="76"/>
        <v>0.49801582113114151</v>
      </c>
      <c r="H220" s="409" t="b">
        <f>Wh_hp&gt;='2025'!Maxi_hp</f>
        <v>0</v>
      </c>
      <c r="I220" s="375">
        <f>IF(H220,Wh_hp,'2025'!Maxi_hp)</f>
        <v>30.505137185195856</v>
      </c>
      <c r="J220" s="85">
        <f>IF(H220,An,'2025'!An_max)</f>
        <v>2022</v>
      </c>
      <c r="K220" s="193">
        <f t="shared" si="79"/>
        <v>46228</v>
      </c>
      <c r="L220" s="143">
        <f>IF(t&lt;Tvie,1-EXP((T0-t)*PertePVj)+'2025'!Pspv,1-EXP((T0-t)*PertePVj)+Pspv)</f>
        <v>2.3083276199266756E-2</v>
      </c>
      <c r="M220" s="836"/>
      <c r="N220" s="836"/>
      <c r="O220" s="48">
        <f>IF(t&lt;Tnet,'2025'!Resal+('2025'!Salim-'2025'!Resal)*(1-EXP(('2025'!Tnet-t)/('2025'!Tau_j))),Resal+(Salim-Resal)*(1-EXP((Tnet-t)/(Tau_j))))*Salcycl</f>
        <v>2.8356651457425861E-2</v>
      </c>
      <c r="P220" s="334">
        <f>(INDEX(Models!$BJ220:$BT220,,T220)*(1-R220)+INDEX(Models!$BJ220:$BT220,,T220+1)*R220-ERP_i)*Q220*Ramure*Pc/MaxiM</f>
        <v>1.7485353437346958E-5</v>
      </c>
      <c r="Q220" s="301">
        <f t="shared" si="80"/>
        <v>0.5</v>
      </c>
      <c r="R220" s="173">
        <f t="shared" si="81"/>
        <v>0.42588828550259583</v>
      </c>
      <c r="S220" s="802">
        <f t="shared" si="82"/>
        <v>2</v>
      </c>
      <c r="T220" s="172">
        <f t="shared" si="83"/>
        <v>8</v>
      </c>
      <c r="U220" s="247">
        <f t="shared" si="84"/>
        <v>2.4258882855025958</v>
      </c>
      <c r="V220" s="378">
        <f t="shared" si="85"/>
        <v>58.140923931535013</v>
      </c>
      <c r="W220" s="397">
        <f t="shared" si="86"/>
        <v>28.955463045845132</v>
      </c>
      <c r="X220" s="153">
        <f t="shared" si="87"/>
        <v>46228</v>
      </c>
      <c r="Y220" s="380">
        <f t="shared" si="88"/>
        <v>28.147877029559229</v>
      </c>
      <c r="Z220" s="380">
        <f t="shared" si="89"/>
        <v>28.812974886998347</v>
      </c>
      <c r="AA220" s="381">
        <f t="shared" si="90"/>
        <v>30.504652925127814</v>
      </c>
      <c r="AB220" s="193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5.5456393563356E-2</v>
      </c>
      <c r="AD220" s="227">
        <f>(INDEX(Models!$BJ220:$BT220,,AH220)*(1-AF220)+INDEX(Models!$BJ220:$BT220,,AH220+1)*AF220-ERP_i)*AE220*Ramure*Pc/MaxiM</f>
        <v>1.7485353437346958E-5</v>
      </c>
      <c r="AE220" s="301">
        <f t="shared" si="92"/>
        <v>0.5</v>
      </c>
      <c r="AF220" s="173">
        <f t="shared" si="93"/>
        <v>0.42588828550259583</v>
      </c>
      <c r="AG220" s="802">
        <f t="shared" si="99"/>
        <v>2</v>
      </c>
      <c r="AH220" s="172">
        <f t="shared" si="94"/>
        <v>8</v>
      </c>
      <c r="AI220" s="221">
        <f t="shared" si="95"/>
        <v>2.4258882855025958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46229</v>
      </c>
      <c r="B221" s="406">
        <f>'2025'!Wh/'2025'!Env_an*'2026'!Env_an</f>
        <v>51.316489007936006</v>
      </c>
      <c r="C221" s="832"/>
      <c r="D221" s="388">
        <f t="shared" si="77"/>
        <v>52.529750230441159</v>
      </c>
      <c r="E221" s="380">
        <f t="shared" si="75"/>
        <v>54.065631968343531</v>
      </c>
      <c r="F221" s="380">
        <f t="shared" si="78"/>
        <v>54.066451221182732</v>
      </c>
      <c r="G221" s="110">
        <f t="shared" si="76"/>
        <v>0.8856127307524515</v>
      </c>
      <c r="H221" s="409" t="b">
        <f>Wh_hp&gt;='2025'!Maxi_hp</f>
        <v>0</v>
      </c>
      <c r="I221" s="375">
        <f>IF(H221,Wh_hp,'2025'!Maxi_hp)</f>
        <v>54.066590490635548</v>
      </c>
      <c r="J221" s="85">
        <f>IF(H221,An,'2025'!An_max)</f>
        <v>2022</v>
      </c>
      <c r="K221" s="193">
        <f t="shared" si="79"/>
        <v>46229</v>
      </c>
      <c r="L221" s="143">
        <f>IF(t&lt;Tvie,1-EXP((T0-t)*PertePVj)+'2025'!Pspv,1-EXP((T0-t)*PertePVj)+Pspv)</f>
        <v>2.3096649368838262E-2</v>
      </c>
      <c r="M221" s="836"/>
      <c r="N221" s="836"/>
      <c r="O221" s="48">
        <f>IF(t&lt;Tnet,'2025'!Resal+('2025'!Salim-'2025'!Resal)*(1-EXP(('2025'!Tnet-t)/('2025'!Tau_j))),Resal+(Salim-Resal)*(1-EXP((Tnet-t)/(Tau_j))))*Salcycl</f>
        <v>2.8407727459870621E-2</v>
      </c>
      <c r="P221" s="334">
        <f>(INDEX(Models!$BJ221:$BT221,,T221)*(1-R221)+INDEX(Models!$BJ221:$BT221,,T221+1)*R221-ERP_i)*Q221*Ramure*Pc/MaxiM</f>
        <v>1.8112386513813596E-5</v>
      </c>
      <c r="Q221" s="301">
        <f t="shared" si="80"/>
        <v>0.5</v>
      </c>
      <c r="R221" s="173">
        <f t="shared" si="81"/>
        <v>0.42827024228045474</v>
      </c>
      <c r="S221" s="802">
        <f t="shared" si="82"/>
        <v>2</v>
      </c>
      <c r="T221" s="172">
        <f t="shared" si="83"/>
        <v>8</v>
      </c>
      <c r="U221" s="247">
        <f t="shared" si="84"/>
        <v>2.4282702422804547</v>
      </c>
      <c r="V221" s="378">
        <f t="shared" si="85"/>
        <v>57.944443821885017</v>
      </c>
      <c r="W221" s="397">
        <f t="shared" si="86"/>
        <v>51.316489007936006</v>
      </c>
      <c r="X221" s="153">
        <f t="shared" si="87"/>
        <v>46229</v>
      </c>
      <c r="Y221" s="380">
        <f t="shared" si="88"/>
        <v>49.886456869011901</v>
      </c>
      <c r="Z221" s="380">
        <f t="shared" si="89"/>
        <v>51.065908246482167</v>
      </c>
      <c r="AA221" s="381">
        <f t="shared" si="90"/>
        <v>54.065631968343531</v>
      </c>
      <c r="AB221" s="193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5.5483004871149155E-2</v>
      </c>
      <c r="AD221" s="227">
        <f>(INDEX(Models!$BJ221:$BT221,,AH221)*(1-AF221)+INDEX(Models!$BJ221:$BT221,,AH221+1)*AF221-ERP_i)*AE221*Ramure*Pc/MaxiM</f>
        <v>1.8112386513813596E-5</v>
      </c>
      <c r="AE221" s="301">
        <f t="shared" si="92"/>
        <v>0.5</v>
      </c>
      <c r="AF221" s="173">
        <f t="shared" si="93"/>
        <v>0.42827024228045474</v>
      </c>
      <c r="AG221" s="802">
        <f t="shared" si="99"/>
        <v>2</v>
      </c>
      <c r="AH221" s="172">
        <f t="shared" si="94"/>
        <v>8</v>
      </c>
      <c r="AI221" s="221">
        <f t="shared" si="95"/>
        <v>2.4282702422804547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46230</v>
      </c>
      <c r="B222" s="406">
        <f>'2025'!Wh/'2025'!Env_an*'2026'!Env_an</f>
        <v>58.081543667208457</v>
      </c>
      <c r="C222" s="832"/>
      <c r="D222" s="388">
        <f t="shared" si="77"/>
        <v>59.455563058643165</v>
      </c>
      <c r="E222" s="380">
        <f t="shared" si="75"/>
        <v>61.197150686933433</v>
      </c>
      <c r="F222" s="380">
        <f t="shared" si="78"/>
        <v>61.19830236076286</v>
      </c>
      <c r="G222" s="110">
        <f t="shared" si="76"/>
        <v>1.0058752442346581</v>
      </c>
      <c r="H222" s="409" t="b">
        <f>Wh_hp&gt;='2025'!Maxi_hp</f>
        <v>1</v>
      </c>
      <c r="I222" s="375">
        <f>IF(H222,Wh_hp,'2025'!Maxi_hp)</f>
        <v>61.19830236076286</v>
      </c>
      <c r="J222" s="85">
        <f>IF(H222,An,'2025'!An_max)</f>
        <v>2026</v>
      </c>
      <c r="K222" s="193">
        <f t="shared" si="79"/>
        <v>46230</v>
      </c>
      <c r="L222" s="143">
        <f>IF(t&lt;Tvie,1-EXP((T0-t)*PertePVj)+'2025'!Pspv,1-EXP((T0-t)*PertePVj)+Pspv)</f>
        <v>2.3110022355342319E-2</v>
      </c>
      <c r="M222" s="836"/>
      <c r="N222" s="836"/>
      <c r="O222" s="48">
        <f>IF(t&lt;Tnet,'2025'!Resal+('2025'!Salim-'2025'!Resal)*(1-EXP(('2025'!Tnet-t)/('2025'!Tau_j))),Resal+(Salim-Resal)*(1-EXP((Tnet-t)/(Tau_j))))*Salcycl</f>
        <v>2.8458639148082596E-2</v>
      </c>
      <c r="P222" s="334">
        <f>(INDEX(Models!$BJ222:$BT222,,T222)*(1-R222)+INDEX(Models!$BJ222:$BT222,,T222+1)*R222-ERP_i)*Q222*Ramure*Pc/MaxiM</f>
        <v>1.8818721843645623E-5</v>
      </c>
      <c r="Q222" s="301">
        <f t="shared" si="80"/>
        <v>0.5</v>
      </c>
      <c r="R222" s="173">
        <f t="shared" si="81"/>
        <v>0.43058108378542048</v>
      </c>
      <c r="S222" s="802">
        <f t="shared" si="82"/>
        <v>2</v>
      </c>
      <c r="T222" s="172">
        <f t="shared" si="83"/>
        <v>8</v>
      </c>
      <c r="U222" s="247">
        <f t="shared" si="84"/>
        <v>2.4305810837854205</v>
      </c>
      <c r="V222" s="378">
        <f t="shared" si="85"/>
        <v>57.742293589699635</v>
      </c>
      <c r="W222" s="397">
        <f t="shared" si="86"/>
        <v>58.081543667208457</v>
      </c>
      <c r="X222" s="153">
        <f t="shared" si="87"/>
        <v>46230</v>
      </c>
      <c r="Y222" s="380">
        <f t="shared" si="88"/>
        <v>56.464373531539295</v>
      </c>
      <c r="Z222" s="380">
        <f t="shared" si="89"/>
        <v>57.800135965851958</v>
      </c>
      <c r="AA222" s="381">
        <f t="shared" si="90"/>
        <v>61.197150686933433</v>
      </c>
      <c r="AB222" s="193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5.5509360859945935E-2</v>
      </c>
      <c r="AD222" s="227">
        <f>(INDEX(Models!$BJ222:$BT222,,AH222)*(1-AF222)+INDEX(Models!$BJ222:$BT222,,AH222+1)*AF222-ERP_i)*AE222*Ramure*Pc/MaxiM</f>
        <v>1.8818721843645623E-5</v>
      </c>
      <c r="AE222" s="301">
        <f t="shared" si="92"/>
        <v>0.5</v>
      </c>
      <c r="AF222" s="173">
        <f t="shared" si="93"/>
        <v>0.43058108378542048</v>
      </c>
      <c r="AG222" s="802">
        <f t="shared" si="99"/>
        <v>2</v>
      </c>
      <c r="AH222" s="172">
        <f t="shared" si="94"/>
        <v>8</v>
      </c>
      <c r="AI222" s="221">
        <f t="shared" si="95"/>
        <v>2.4305810837854205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46231</v>
      </c>
      <c r="B223" s="406">
        <f>'2025'!Wh/'2025'!Env_an*'2026'!Env_an</f>
        <v>45.634889028417412</v>
      </c>
      <c r="C223" s="832"/>
      <c r="D223" s="388">
        <f t="shared" si="77"/>
        <v>46.715100763248294</v>
      </c>
      <c r="E223" s="380">
        <f t="shared" si="75"/>
        <v>48.086003595803405</v>
      </c>
      <c r="F223" s="380">
        <f t="shared" si="78"/>
        <v>48.086667792318316</v>
      </c>
      <c r="G223" s="110">
        <f t="shared" si="76"/>
        <v>0.79316296099325767</v>
      </c>
      <c r="H223" s="409" t="b">
        <f>Wh_hp&gt;='2025'!Maxi_hp</f>
        <v>0</v>
      </c>
      <c r="I223" s="375">
        <f>IF(H223,Wh_hp,'2025'!Maxi_hp)</f>
        <v>48.086909443668787</v>
      </c>
      <c r="J223" s="85">
        <f>IF(H223,An,'2025'!An_max)</f>
        <v>2022</v>
      </c>
      <c r="K223" s="193">
        <f t="shared" si="79"/>
        <v>46231</v>
      </c>
      <c r="L223" s="143">
        <f>IF(t&lt;Tvie,1-EXP((T0-t)*PertePVj)+'2025'!Pspv,1-EXP((T0-t)*PertePVj)+Pspv)</f>
        <v>2.3123395158781479E-2</v>
      </c>
      <c r="M223" s="836"/>
      <c r="N223" s="836"/>
      <c r="O223" s="48">
        <f>IF(t&lt;Tnet,'2025'!Resal+('2025'!Salim-'2025'!Resal)*(1-EXP(('2025'!Tnet-t)/('2025'!Tau_j))),Resal+(Salim-Resal)*(1-EXP((Tnet-t)/(Tau_j))))*Salcycl</f>
        <v>2.8509394211224344E-2</v>
      </c>
      <c r="P223" s="334">
        <f>(INDEX(Models!$BJ223:$BT223,,T223)*(1-R223)+INDEX(Models!$BJ223:$BT223,,T223+1)*R223-ERP_i)*Q223*Ramure*Pc/MaxiM</f>
        <v>1.9605388443487899E-5</v>
      </c>
      <c r="Q223" s="301">
        <f t="shared" si="80"/>
        <v>0.5</v>
      </c>
      <c r="R223" s="173">
        <f t="shared" si="81"/>
        <v>0.43282208317200199</v>
      </c>
      <c r="S223" s="802">
        <f t="shared" si="82"/>
        <v>2</v>
      </c>
      <c r="T223" s="172">
        <f t="shared" si="83"/>
        <v>8</v>
      </c>
      <c r="U223" s="247">
        <f t="shared" si="84"/>
        <v>2.432822083172002</v>
      </c>
      <c r="V223" s="378">
        <f t="shared" si="85"/>
        <v>57.534992064232767</v>
      </c>
      <c r="W223" s="397">
        <f t="shared" si="86"/>
        <v>45.634889028417412</v>
      </c>
      <c r="X223" s="153">
        <f t="shared" si="87"/>
        <v>46231</v>
      </c>
      <c r="Y223" s="380">
        <f t="shared" si="88"/>
        <v>44.365363313914834</v>
      </c>
      <c r="Z223" s="380">
        <f t="shared" si="89"/>
        <v>45.415524431692148</v>
      </c>
      <c r="AA223" s="381">
        <f t="shared" si="90"/>
        <v>48.086003595803405</v>
      </c>
      <c r="AB223" s="193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5.5535477361739326E-2</v>
      </c>
      <c r="AD223" s="227">
        <f>(INDEX(Models!$BJ223:$BT223,,AH223)*(1-AF223)+INDEX(Models!$BJ223:$BT223,,AH223+1)*AF223-ERP_i)*AE223*Ramure*Pc/MaxiM</f>
        <v>1.9605388443487899E-5</v>
      </c>
      <c r="AE223" s="301">
        <f t="shared" si="92"/>
        <v>0.5</v>
      </c>
      <c r="AF223" s="173">
        <f t="shared" si="93"/>
        <v>0.43282208317200199</v>
      </c>
      <c r="AG223" s="802">
        <f t="shared" si="99"/>
        <v>2</v>
      </c>
      <c r="AH223" s="172">
        <f t="shared" si="94"/>
        <v>8</v>
      </c>
      <c r="AI223" s="221">
        <f t="shared" si="95"/>
        <v>2.432822083172002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46232</v>
      </c>
      <c r="B224" s="406">
        <f>'2025'!Wh/'2025'!Env_an*'2026'!Env_an</f>
        <v>28.349152724801971</v>
      </c>
      <c r="C224" s="832"/>
      <c r="D224" s="388">
        <f t="shared" si="77"/>
        <v>29.020595503785948</v>
      </c>
      <c r="E224" s="380">
        <f t="shared" si="75"/>
        <v>29.873790964498539</v>
      </c>
      <c r="F224" s="380">
        <f t="shared" si="78"/>
        <v>29.873960952330481</v>
      </c>
      <c r="G224" s="110">
        <f t="shared" si="76"/>
        <v>0.49454328905000017</v>
      </c>
      <c r="H224" s="409" t="b">
        <f>Wh_hp&gt;='2025'!Maxi_hp</f>
        <v>0</v>
      </c>
      <c r="I224" s="375">
        <f>IF(H224,Wh_hp,'2025'!Maxi_hp)</f>
        <v>29.87434338366489</v>
      </c>
      <c r="J224" s="85">
        <f>IF(H224,An,'2025'!An_max)</f>
        <v>2022</v>
      </c>
      <c r="K224" s="193">
        <f t="shared" si="79"/>
        <v>46232</v>
      </c>
      <c r="L224" s="143">
        <f>IF(t&lt;Tvie,1-EXP((T0-t)*PertePVj)+'2025'!Pspv,1-EXP((T0-t)*PertePVj)+Pspv)</f>
        <v>2.3136767779158185E-2</v>
      </c>
      <c r="M224" s="836"/>
      <c r="N224" s="836"/>
      <c r="O224" s="48">
        <f>IF(t&lt;Tnet,'2025'!Resal+('2025'!Salim-'2025'!Resal)*(1-EXP(('2025'!Tnet-t)/('2025'!Tau_j))),Resal+(Salim-Resal)*(1-EXP((Tnet-t)/(Tau_j))))*Salcycl</f>
        <v>2.855999969091683E-2</v>
      </c>
      <c r="P224" s="334">
        <f>(INDEX(Models!$BJ224:$BT224,,T224)*(1-R224)+INDEX(Models!$BJ224:$BT224,,T224+1)*R224-ERP_i)*Q224*Ramure*Pc/MaxiM</f>
        <v>2.0473424486613762E-5</v>
      </c>
      <c r="Q224" s="301">
        <f t="shared" si="80"/>
        <v>0.5</v>
      </c>
      <c r="R224" s="173">
        <f t="shared" si="81"/>
        <v>0.43499455217603566</v>
      </c>
      <c r="S224" s="802">
        <f t="shared" si="82"/>
        <v>2</v>
      </c>
      <c r="T224" s="172">
        <f t="shared" si="83"/>
        <v>8</v>
      </c>
      <c r="U224" s="247">
        <f t="shared" si="84"/>
        <v>2.4349945521760357</v>
      </c>
      <c r="V224" s="378">
        <f t="shared" si="85"/>
        <v>57.323057975480346</v>
      </c>
      <c r="W224" s="397">
        <f t="shared" si="86"/>
        <v>28.349152724801971</v>
      </c>
      <c r="X224" s="153">
        <f t="shared" si="87"/>
        <v>46232</v>
      </c>
      <c r="Y224" s="380">
        <f t="shared" si="88"/>
        <v>27.561182352787327</v>
      </c>
      <c r="Z224" s="380">
        <f t="shared" si="89"/>
        <v>28.213962245388824</v>
      </c>
      <c r="AA224" s="381">
        <f t="shared" si="90"/>
        <v>29.873790964498539</v>
      </c>
      <c r="AB224" s="193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5.5561368862834505E-2</v>
      </c>
      <c r="AD224" s="227">
        <f>(INDEX(Models!$BJ224:$BT224,,AH224)*(1-AF224)+INDEX(Models!$BJ224:$BT224,,AH224+1)*AF224-ERP_i)*AE224*Ramure*Pc/MaxiM</f>
        <v>2.0473424486613762E-5</v>
      </c>
      <c r="AE224" s="301">
        <f t="shared" si="92"/>
        <v>0.5</v>
      </c>
      <c r="AF224" s="173">
        <f t="shared" si="93"/>
        <v>0.43499455217603566</v>
      </c>
      <c r="AG224" s="802">
        <f t="shared" si="99"/>
        <v>2</v>
      </c>
      <c r="AH224" s="172">
        <f t="shared" si="94"/>
        <v>8</v>
      </c>
      <c r="AI224" s="221">
        <f t="shared" si="95"/>
        <v>2.4349945521760357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46233</v>
      </c>
      <c r="B225" s="406">
        <f>'2025'!Wh/'2025'!Env_an*'2026'!Env_an</f>
        <v>46.626769684963186</v>
      </c>
      <c r="C225" s="832"/>
      <c r="D225" s="388">
        <f t="shared" si="77"/>
        <v>47.73176677866946</v>
      </c>
      <c r="E225" s="380">
        <f t="shared" si="75"/>
        <v>49.13761669239053</v>
      </c>
      <c r="F225" s="380">
        <f t="shared" si="78"/>
        <v>49.1383934311079</v>
      </c>
      <c r="G225" s="110">
        <f t="shared" si="76"/>
        <v>0.81647608278476924</v>
      </c>
      <c r="H225" s="409" t="b">
        <f>Wh_hp&gt;='2025'!Maxi_hp</f>
        <v>0</v>
      </c>
      <c r="I225" s="375">
        <f>IF(H225,Wh_hp,'2025'!Maxi_hp)</f>
        <v>49.138631982876142</v>
      </c>
      <c r="J225" s="85">
        <f>IF(H225,An,'2025'!An_max)</f>
        <v>2022</v>
      </c>
      <c r="K225" s="193">
        <f t="shared" si="79"/>
        <v>46233</v>
      </c>
      <c r="L225" s="143">
        <f>IF(t&lt;Tvie,1-EXP((T0-t)*PertePVj)+'2025'!Pspv,1-EXP((T0-t)*PertePVj)+Pspv)</f>
        <v>2.3150140216474879E-2</v>
      </c>
      <c r="M225" s="836"/>
      <c r="N225" s="836"/>
      <c r="O225" s="48">
        <f>IF(t&lt;Tnet,'2025'!Resal+('2025'!Salim-'2025'!Resal)*(1-EXP(('2025'!Tnet-t)/('2025'!Tau_j))),Resal+(Salim-Resal)*(1-EXP((Tnet-t)/(Tau_j))))*Salcycl</f>
        <v>2.861046197095644E-2</v>
      </c>
      <c r="P225" s="334">
        <f>(INDEX(Models!$BJ225:$BT225,,T225)*(1-R225)+INDEX(Models!$BJ225:$BT225,,T225+1)*R225-ERP_i)*Q225*Ramure*Pc/MaxiM</f>
        <v>2.1423872215629215E-5</v>
      </c>
      <c r="Q225" s="301">
        <f t="shared" si="80"/>
        <v>0.5</v>
      </c>
      <c r="R225" s="173">
        <f t="shared" si="81"/>
        <v>0.43709983572291788</v>
      </c>
      <c r="S225" s="802">
        <f t="shared" si="82"/>
        <v>2</v>
      </c>
      <c r="T225" s="172">
        <f t="shared" si="83"/>
        <v>8</v>
      </c>
      <c r="U225" s="247">
        <f t="shared" si="84"/>
        <v>2.4370998357229179</v>
      </c>
      <c r="V225" s="378">
        <f t="shared" si="85"/>
        <v>57.107009960295628</v>
      </c>
      <c r="W225" s="397">
        <f t="shared" si="86"/>
        <v>46.626769684963186</v>
      </c>
      <c r="X225" s="153">
        <f t="shared" si="87"/>
        <v>46233</v>
      </c>
      <c r="Y225" s="380">
        <f t="shared" si="88"/>
        <v>45.331891536282193</v>
      </c>
      <c r="Z225" s="380">
        <f t="shared" si="89"/>
        <v>46.406201610478782</v>
      </c>
      <c r="AA225" s="381">
        <f t="shared" si="90"/>
        <v>49.13761669239053</v>
      </c>
      <c r="AB225" s="193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5.5587048493028278E-2</v>
      </c>
      <c r="AD225" s="227">
        <f>(INDEX(Models!$BJ225:$BT225,,AH225)*(1-AF225)+INDEX(Models!$BJ225:$BT225,,AH225+1)*AF225-ERP_i)*AE225*Ramure*Pc/MaxiM</f>
        <v>2.1423872215629215E-5</v>
      </c>
      <c r="AE225" s="301">
        <f t="shared" si="92"/>
        <v>0.5</v>
      </c>
      <c r="AF225" s="173">
        <f t="shared" si="93"/>
        <v>0.43709983572291788</v>
      </c>
      <c r="AG225" s="802">
        <f t="shared" si="99"/>
        <v>2</v>
      </c>
      <c r="AH225" s="172">
        <f t="shared" si="94"/>
        <v>8</v>
      </c>
      <c r="AI225" s="221">
        <f t="shared" si="95"/>
        <v>2.4370998357229179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46234</v>
      </c>
      <c r="B226" s="406">
        <f>'2025'!Wh/'2025'!Env_an*'2026'!Env_an</f>
        <v>57.099451508695992</v>
      </c>
      <c r="C226" s="832"/>
      <c r="D226" s="388">
        <f t="shared" si="77"/>
        <v>58.453438459407771</v>
      </c>
      <c r="E226" s="380">
        <f t="shared" si="75"/>
        <v>60.178192811929883</v>
      </c>
      <c r="F226" s="380">
        <f t="shared" si="78"/>
        <v>60.179550846641447</v>
      </c>
      <c r="G226" s="110">
        <f t="shared" si="76"/>
        <v>1.003728264484145</v>
      </c>
      <c r="H226" s="409" t="b">
        <f>Wh_hp&gt;='2025'!Maxi_hp</f>
        <v>0</v>
      </c>
      <c r="I226" s="375">
        <f>IF(H226,Wh_hp,'2025'!Maxi_hp)</f>
        <v>60.179550846641462</v>
      </c>
      <c r="J226" s="85">
        <f>IF(H226,An,'2025'!An_max)</f>
        <v>2024</v>
      </c>
      <c r="K226" s="193">
        <f t="shared" si="79"/>
        <v>46234</v>
      </c>
      <c r="L226" s="143">
        <f>IF(t&lt;Tvie,1-EXP((T0-t)*PertePVj)+'2025'!Pspv,1-EXP((T0-t)*PertePVj)+Pspv)</f>
        <v>2.3163512470734116E-2</v>
      </c>
      <c r="M226" s="836"/>
      <c r="N226" s="836"/>
      <c r="O226" s="48">
        <f>IF(t&lt;Tnet,'2025'!Resal+('2025'!Salim-'2025'!Resal)*(1-EXP(('2025'!Tnet-t)/('2025'!Tau_j))),Resal+(Salim-Resal)*(1-EXP((Tnet-t)/(Tau_j))))*Salcycl</f>
        <v>2.8660786772250653E-2</v>
      </c>
      <c r="P226" s="334">
        <f>(INDEX(Models!$BJ226:$BT226,,T226)*(1-R226)+INDEX(Models!$BJ226:$BT226,,T226+1)*R226-ERP_i)*Q226*Ramure*Pc/MaxiM</f>
        <v>2.2566381643884776E-5</v>
      </c>
      <c r="Q226" s="301">
        <f t="shared" si="80"/>
        <v>0.5</v>
      </c>
      <c r="R226" s="173">
        <f t="shared" si="81"/>
        <v>0.43913930678839108</v>
      </c>
      <c r="S226" s="802">
        <f t="shared" si="82"/>
        <v>2</v>
      </c>
      <c r="T226" s="172">
        <f t="shared" si="83"/>
        <v>8</v>
      </c>
      <c r="U226" s="247">
        <f t="shared" si="84"/>
        <v>2.4391393067883911</v>
      </c>
      <c r="V226" s="378">
        <f t="shared" si="85"/>
        <v>56.887360383381875</v>
      </c>
      <c r="W226" s="397">
        <f t="shared" si="86"/>
        <v>57.099451508695992</v>
      </c>
      <c r="X226" s="153">
        <f t="shared" si="87"/>
        <v>46234</v>
      </c>
      <c r="Y226" s="380">
        <f t="shared" si="88"/>
        <v>55.515113491887746</v>
      </c>
      <c r="Z226" s="380">
        <f t="shared" si="89"/>
        <v>56.831531377685685</v>
      </c>
      <c r="AA226" s="381">
        <f t="shared" si="90"/>
        <v>60.178192811929883</v>
      </c>
      <c r="AB226" s="193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5.5612528024948385E-2</v>
      </c>
      <c r="AD226" s="227">
        <f>(INDEX(Models!$BJ226:$BT226,,AH226)*(1-AF226)+INDEX(Models!$BJ226:$BT226,,AH226+1)*AF226-ERP_i)*AE226*Ramure*Pc/MaxiM</f>
        <v>2.2566381643884776E-5</v>
      </c>
      <c r="AE226" s="301">
        <f t="shared" si="92"/>
        <v>0.5</v>
      </c>
      <c r="AF226" s="173">
        <f t="shared" si="93"/>
        <v>0.43913930678839108</v>
      </c>
      <c r="AG226" s="802">
        <f t="shared" si="99"/>
        <v>2</v>
      </c>
      <c r="AH226" s="172">
        <f t="shared" si="94"/>
        <v>8</v>
      </c>
      <c r="AI226" s="221">
        <f t="shared" si="95"/>
        <v>2.4391393067883911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46235</v>
      </c>
      <c r="B227" s="406">
        <f>'2025'!Wh/'2025'!Env_an*'2026'!Env_an</f>
        <v>56.599116093406984</v>
      </c>
      <c r="C227" s="832"/>
      <c r="D227" s="388">
        <f t="shared" si="77"/>
        <v>57.942031876330006</v>
      </c>
      <c r="E227" s="380">
        <f t="shared" si="75"/>
        <v>59.654778992341342</v>
      </c>
      <c r="F227" s="380">
        <f t="shared" si="78"/>
        <v>59.65620429964796</v>
      </c>
      <c r="G227" s="110">
        <f t="shared" si="76"/>
        <v>0.99884386013990389</v>
      </c>
      <c r="H227" s="409" t="b">
        <f>Wh_hp&gt;='2025'!Maxi_hp</f>
        <v>0</v>
      </c>
      <c r="I227" s="375">
        <f>IF(H227,Wh_hp,'2025'!Maxi_hp)</f>
        <v>59.656206328517612</v>
      </c>
      <c r="J227" s="85">
        <f>IF(H227,An,'2025'!An_max)</f>
        <v>2022</v>
      </c>
      <c r="K227" s="193">
        <f t="shared" si="79"/>
        <v>46235</v>
      </c>
      <c r="L227" s="143">
        <f>IF(t&lt;Tvie,1-EXP((T0-t)*PertePVj)+'2025'!Pspv,1-EXP((T0-t)*PertePVj)+Pspv)</f>
        <v>2.3176884541938558E-2</v>
      </c>
      <c r="M227" s="836"/>
      <c r="N227" s="836"/>
      <c r="O227" s="48">
        <f>IF(t&lt;Tnet,'2025'!Resal+('2025'!Salim-'2025'!Resal)*(1-EXP(('2025'!Tnet-t)/('2025'!Tau_j))),Resal+(Salim-Resal)*(1-EXP((Tnet-t)/(Tau_j))))*Salcycl</f>
        <v>2.871097915275524E-2</v>
      </c>
      <c r="P227" s="334">
        <f>(INDEX(Models!$BJ227:$BT227,,T227)*(1-R227)+INDEX(Models!$BJ227:$BT227,,T227+1)*R227-ERP_i)*Q227*Ramure*Pc/MaxiM</f>
        <v>2.3931546017865716E-5</v>
      </c>
      <c r="Q227" s="301">
        <f t="shared" si="80"/>
        <v>0.5</v>
      </c>
      <c r="R227" s="173">
        <f t="shared" si="81"/>
        <v>0.44111436151706052</v>
      </c>
      <c r="S227" s="802">
        <f t="shared" si="82"/>
        <v>2</v>
      </c>
      <c r="T227" s="172">
        <f t="shared" si="83"/>
        <v>8</v>
      </c>
      <c r="U227" s="247">
        <f t="shared" si="84"/>
        <v>2.4411143615170605</v>
      </c>
      <c r="V227" s="378">
        <f t="shared" si="85"/>
        <v>56.664626089171243</v>
      </c>
      <c r="W227" s="397">
        <f t="shared" si="86"/>
        <v>56.599116093406984</v>
      </c>
      <c r="X227" s="153">
        <f t="shared" si="87"/>
        <v>46235</v>
      </c>
      <c r="Y227" s="380">
        <f t="shared" si="88"/>
        <v>55.030030848322653</v>
      </c>
      <c r="Z227" s="380">
        <f t="shared" si="89"/>
        <v>56.335717262912468</v>
      </c>
      <c r="AA227" s="381">
        <f t="shared" si="90"/>
        <v>59.654778992341342</v>
      </c>
      <c r="AB227" s="193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5.5637817883039814E-2</v>
      </c>
      <c r="AD227" s="227">
        <f>(INDEX(Models!$BJ227:$BT227,,AH227)*(1-AF227)+INDEX(Models!$BJ227:$BT227,,AH227+1)*AF227-ERP_i)*AE227*Ramure*Pc/MaxiM</f>
        <v>2.3931546017865716E-5</v>
      </c>
      <c r="AE227" s="301">
        <f t="shared" si="92"/>
        <v>0.5</v>
      </c>
      <c r="AF227" s="173">
        <f t="shared" si="93"/>
        <v>0.44111436151706052</v>
      </c>
      <c r="AG227" s="802">
        <f t="shared" si="99"/>
        <v>2</v>
      </c>
      <c r="AH227" s="172">
        <f t="shared" si="94"/>
        <v>8</v>
      </c>
      <c r="AI227" s="221">
        <f t="shared" si="95"/>
        <v>2.4411143615170605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46236</v>
      </c>
      <c r="B228" s="406">
        <f>'2025'!Wh/'2025'!Env_an*'2026'!Env_an</f>
        <v>56.610274919795579</v>
      </c>
      <c r="C228" s="832"/>
      <c r="D228" s="388">
        <f t="shared" si="77"/>
        <v>57.954248810934409</v>
      </c>
      <c r="E228" s="380">
        <f t="shared" si="75"/>
        <v>59.670432722865534</v>
      </c>
      <c r="F228" s="380">
        <f t="shared" si="78"/>
        <v>59.671955685390991</v>
      </c>
      <c r="G228" s="110">
        <f t="shared" si="76"/>
        <v>1.0030289075718304</v>
      </c>
      <c r="H228" s="409" t="b">
        <f>Wh_hp&gt;='2025'!Maxi_hp</f>
        <v>1</v>
      </c>
      <c r="I228" s="375">
        <f>IF(H228,Wh_hp,'2025'!Maxi_hp)</f>
        <v>59.671955685390991</v>
      </c>
      <c r="J228" s="85">
        <f>IF(H228,An,'2025'!An_max)</f>
        <v>2026</v>
      </c>
      <c r="K228" s="193">
        <f t="shared" si="79"/>
        <v>46236</v>
      </c>
      <c r="L228" s="143">
        <f>IF(t&lt;Tvie,1-EXP((T0-t)*PertePVj)+'2025'!Pspv,1-EXP((T0-t)*PertePVj)+Pspv)</f>
        <v>2.3190256430090428E-2</v>
      </c>
      <c r="M228" s="836"/>
      <c r="N228" s="836"/>
      <c r="O228" s="48">
        <f>IF(t&lt;Tnet,'2025'!Resal+('2025'!Salim-'2025'!Resal)*(1-EXP(('2025'!Tnet-t)/('2025'!Tau_j))),Resal+(Salim-Resal)*(1-EXP((Tnet-t)/(Tau_j))))*Salcycl</f>
        <v>2.8761043512149521E-2</v>
      </c>
      <c r="P228" s="334">
        <f>(INDEX(Models!$BJ228:$BT228,,T228)*(1-R228)+INDEX(Models!$BJ228:$BT228,,T228+1)*R228-ERP_i)*Q228*Ramure*Pc/MaxiM</f>
        <v>2.5522249236908907E-5</v>
      </c>
      <c r="Q228" s="301">
        <f t="shared" si="80"/>
        <v>0.5</v>
      </c>
      <c r="R228" s="173">
        <f t="shared" si="81"/>
        <v>0.44302641460169712</v>
      </c>
      <c r="S228" s="802">
        <f t="shared" si="82"/>
        <v>2</v>
      </c>
      <c r="T228" s="172">
        <f t="shared" si="83"/>
        <v>8</v>
      </c>
      <c r="U228" s="247">
        <f t="shared" si="84"/>
        <v>2.4430264146016971</v>
      </c>
      <c r="V228" s="378">
        <f t="shared" si="85"/>
        <v>56.439325419682902</v>
      </c>
      <c r="W228" s="397">
        <f t="shared" si="86"/>
        <v>56.610274919795579</v>
      </c>
      <c r="X228" s="153">
        <f t="shared" si="87"/>
        <v>46236</v>
      </c>
      <c r="Y228" s="380">
        <f t="shared" si="88"/>
        <v>55.042253971827286</v>
      </c>
      <c r="Z228" s="380">
        <f t="shared" si="89"/>
        <v>56.34900177251145</v>
      </c>
      <c r="AA228" s="381">
        <f t="shared" si="90"/>
        <v>59.670432722865534</v>
      </c>
      <c r="AB228" s="193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5.5662927161601178E-2</v>
      </c>
      <c r="AD228" s="227">
        <f>(INDEX(Models!$BJ228:$BT228,,AH228)*(1-AF228)+INDEX(Models!$BJ228:$BT228,,AH228+1)*AF228-ERP_i)*AE228*Ramure*Pc/MaxiM</f>
        <v>2.5522249236908907E-5</v>
      </c>
      <c r="AE228" s="301">
        <f t="shared" si="92"/>
        <v>0.5</v>
      </c>
      <c r="AF228" s="173">
        <f t="shared" si="93"/>
        <v>0.44302641460169712</v>
      </c>
      <c r="AG228" s="802">
        <f t="shared" si="99"/>
        <v>2</v>
      </c>
      <c r="AH228" s="172">
        <f t="shared" si="94"/>
        <v>8</v>
      </c>
      <c r="AI228" s="221">
        <f t="shared" si="95"/>
        <v>2.4430264146016971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46237</v>
      </c>
      <c r="B229" s="406">
        <f>'2025'!Wh/'2025'!Env_an*'2026'!Env_an</f>
        <v>56.208723484764086</v>
      </c>
      <c r="C229" s="832"/>
      <c r="D229" s="388">
        <f t="shared" si="77"/>
        <v>57.543951947175735</v>
      </c>
      <c r="E229" s="380">
        <f t="shared" si="75"/>
        <v>59.251032472067422</v>
      </c>
      <c r="F229" s="380">
        <f t="shared" si="78"/>
        <v>59.252652387336454</v>
      </c>
      <c r="G229" s="110">
        <f t="shared" si="76"/>
        <v>0.99994212499945234</v>
      </c>
      <c r="H229" s="409" t="b">
        <f>Wh_hp&gt;='2025'!Maxi_hp</f>
        <v>0</v>
      </c>
      <c r="I229" s="375">
        <f>IF(H229,Wh_hp,'2025'!Maxi_hp)</f>
        <v>59.252652502044675</v>
      </c>
      <c r="J229" s="85">
        <f>IF(H229,An,'2025'!An_max)</f>
        <v>2022</v>
      </c>
      <c r="K229" s="193">
        <f t="shared" si="79"/>
        <v>46237</v>
      </c>
      <c r="L229" s="143">
        <f>IF(t&lt;Tvie,1-EXP((T0-t)*PertePVj)+'2025'!Pspv,1-EXP((T0-t)*PertePVj)+Pspv)</f>
        <v>2.32036281351925E-2</v>
      </c>
      <c r="M229" s="836"/>
      <c r="N229" s="836"/>
      <c r="O229" s="48">
        <f>IF(t&lt;Tnet,'2025'!Resal+('2025'!Salim-'2025'!Resal)*(1-EXP(('2025'!Tnet-t)/('2025'!Tau_j))),Resal+(Salim-Resal)*(1-EXP((Tnet-t)/(Tau_j))))*Salcycl</f>
        <v>2.8810983600943176E-2</v>
      </c>
      <c r="P229" s="334">
        <f>(INDEX(Models!$BJ229:$BT229,,T229)*(1-R229)+INDEX(Models!$BJ229:$BT229,,T229+1)*R229-ERP_i)*Q229*Ramure*Pc/MaxiM</f>
        <v>2.7341378687306202E-5</v>
      </c>
      <c r="Q229" s="301">
        <f t="shared" si="80"/>
        <v>0.5</v>
      </c>
      <c r="R229" s="173">
        <f t="shared" si="81"/>
        <v>0.44487689492442017</v>
      </c>
      <c r="S229" s="802">
        <f t="shared" si="82"/>
        <v>2</v>
      </c>
      <c r="T229" s="172">
        <f t="shared" si="83"/>
        <v>8</v>
      </c>
      <c r="U229" s="247">
        <f t="shared" si="84"/>
        <v>2.4448768949244202</v>
      </c>
      <c r="V229" s="378">
        <f t="shared" si="85"/>
        <v>56.211976625881171</v>
      </c>
      <c r="W229" s="397">
        <f t="shared" si="86"/>
        <v>56.208723484764086</v>
      </c>
      <c r="X229" s="153">
        <f t="shared" si="87"/>
        <v>46237</v>
      </c>
      <c r="Y229" s="380">
        <f t="shared" si="88"/>
        <v>54.653191973010237</v>
      </c>
      <c r="Z229" s="380">
        <f t="shared" si="89"/>
        <v>55.951469054570218</v>
      </c>
      <c r="AA229" s="381">
        <f t="shared" si="90"/>
        <v>59.251032472067422</v>
      </c>
      <c r="AB229" s="193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5.56878636511981E-2</v>
      </c>
      <c r="AD229" s="227">
        <f>(INDEX(Models!$BJ229:$BT229,,AH229)*(1-AF229)+INDEX(Models!$BJ229:$BT229,,AH229+1)*AF229-ERP_i)*AE229*Ramure*Pc/MaxiM</f>
        <v>2.7341378687306202E-5</v>
      </c>
      <c r="AE229" s="301">
        <f t="shared" si="92"/>
        <v>0.5</v>
      </c>
      <c r="AF229" s="173">
        <f t="shared" si="93"/>
        <v>0.44487689492442017</v>
      </c>
      <c r="AG229" s="802">
        <f t="shared" si="99"/>
        <v>2</v>
      </c>
      <c r="AH229" s="172">
        <f t="shared" si="94"/>
        <v>8</v>
      </c>
      <c r="AI229" s="221">
        <f t="shared" si="95"/>
        <v>2.4448768949244202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46238</v>
      </c>
      <c r="B230" s="406">
        <f>'2025'!Wh/'2025'!Env_an*'2026'!Env_an</f>
        <v>53.623502641536717</v>
      </c>
      <c r="C230" s="832"/>
      <c r="D230" s="388">
        <f t="shared" si="77"/>
        <v>54.898071140386598</v>
      </c>
      <c r="E230" s="380">
        <f t="shared" si="75"/>
        <v>56.52955959723775</v>
      </c>
      <c r="F230" s="380">
        <f t="shared" si="78"/>
        <v>56.531121103829882</v>
      </c>
      <c r="G230" s="110">
        <f t="shared" si="76"/>
        <v>0.95784995448593158</v>
      </c>
      <c r="H230" s="409" t="b">
        <f>Wh_hp&gt;='2025'!Maxi_hp</f>
        <v>0</v>
      </c>
      <c r="I230" s="375">
        <f>IF(H230,Wh_hp,'2025'!Maxi_hp)</f>
        <v>56.531206587752195</v>
      </c>
      <c r="J230" s="85">
        <f>IF(H230,An,'2025'!An_max)</f>
        <v>2022</v>
      </c>
      <c r="K230" s="193">
        <f t="shared" si="79"/>
        <v>46238</v>
      </c>
      <c r="L230" s="143">
        <f>IF(t&lt;Tvie,1-EXP((T0-t)*PertePVj)+'2025'!Pspv,1-EXP((T0-t)*PertePVj)+Pspv)</f>
        <v>2.3216999657247106E-2</v>
      </c>
      <c r="M230" s="836"/>
      <c r="N230" s="836"/>
      <c r="O230" s="48">
        <f>IF(t&lt;Tnet,'2025'!Resal+('2025'!Salim-'2025'!Resal)*(1-EXP(('2025'!Tnet-t)/('2025'!Tau_j))),Resal+(Salim-Resal)*(1-EXP((Tnet-t)/(Tau_j))))*Salcycl</f>
        <v>2.8860802533668951E-2</v>
      </c>
      <c r="P230" s="334">
        <f>(INDEX(Models!$BJ230:$BT230,,T230)*(1-R230)+INDEX(Models!$BJ230:$BT230,,T230+1)*R230-ERP_i)*Q230*Ramure*Pc/MaxiM</f>
        <v>2.939180756984083E-5</v>
      </c>
      <c r="Q230" s="301">
        <f t="shared" si="80"/>
        <v>0.5</v>
      </c>
      <c r="R230" s="173">
        <f t="shared" si="81"/>
        <v>0.44666724145909686</v>
      </c>
      <c r="S230" s="802">
        <f t="shared" si="82"/>
        <v>2</v>
      </c>
      <c r="T230" s="172">
        <f t="shared" si="83"/>
        <v>8</v>
      </c>
      <c r="U230" s="247">
        <f t="shared" si="84"/>
        <v>2.4466672414590969</v>
      </c>
      <c r="V230" s="378">
        <f t="shared" si="85"/>
        <v>55.983097862310423</v>
      </c>
      <c r="W230" s="397">
        <f t="shared" si="86"/>
        <v>53.623502641536717</v>
      </c>
      <c r="X230" s="153">
        <f t="shared" si="87"/>
        <v>46238</v>
      </c>
      <c r="Y230" s="380">
        <f t="shared" si="88"/>
        <v>52.14082204075784</v>
      </c>
      <c r="Z230" s="380">
        <f t="shared" si="89"/>
        <v>53.380148940411168</v>
      </c>
      <c r="AA230" s="381">
        <f t="shared" si="90"/>
        <v>56.52955959723775</v>
      </c>
      <c r="AB230" s="193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5.5712633872712386E-2</v>
      </c>
      <c r="AD230" s="227">
        <f>(INDEX(Models!$BJ230:$BT230,,AH230)*(1-AF230)+INDEX(Models!$BJ230:$BT230,,AH230+1)*AF230-ERP_i)*AE230*Ramure*Pc/MaxiM</f>
        <v>2.939180756984083E-5</v>
      </c>
      <c r="AE230" s="301">
        <f t="shared" si="92"/>
        <v>0.5</v>
      </c>
      <c r="AF230" s="173">
        <f t="shared" si="93"/>
        <v>0.44666724145909686</v>
      </c>
      <c r="AG230" s="802">
        <f t="shared" si="99"/>
        <v>2</v>
      </c>
      <c r="AH230" s="172">
        <f t="shared" si="94"/>
        <v>8</v>
      </c>
      <c r="AI230" s="221">
        <f t="shared" si="95"/>
        <v>2.4466672414590969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46239</v>
      </c>
      <c r="B231" s="406">
        <f>'2025'!Wh/'2025'!Env_an*'2026'!Env_an</f>
        <v>42.804412592789632</v>
      </c>
      <c r="C231" s="832"/>
      <c r="D231" s="388">
        <f t="shared" si="77"/>
        <v>43.822423754563317</v>
      </c>
      <c r="E231" s="380">
        <f t="shared" si="75"/>
        <v>45.12707003955866</v>
      </c>
      <c r="F231" s="380">
        <f t="shared" si="78"/>
        <v>45.128025242612892</v>
      </c>
      <c r="G231" s="110">
        <f t="shared" si="76"/>
        <v>0.76773991798465757</v>
      </c>
      <c r="H231" s="409" t="b">
        <f>Wh_hp&gt;='2025'!Maxi_hp</f>
        <v>0</v>
      </c>
      <c r="I231" s="375">
        <f>IF(H231,Wh_hp,'2025'!Maxi_hp)</f>
        <v>45.128429594310724</v>
      </c>
      <c r="J231" s="85">
        <f>IF(H231,An,'2025'!An_max)</f>
        <v>2022</v>
      </c>
      <c r="K231" s="193">
        <f t="shared" si="79"/>
        <v>46239</v>
      </c>
      <c r="L231" s="143">
        <f>IF(t&lt;Tvie,1-EXP((T0-t)*PertePVj)+'2025'!Pspv,1-EXP((T0-t)*PertePVj)+Pspv)</f>
        <v>2.3230370996256799E-2</v>
      </c>
      <c r="M231" s="836"/>
      <c r="N231" s="836"/>
      <c r="O231" s="48">
        <f>IF(t&lt;Tnet,'2025'!Resal+('2025'!Salim-'2025'!Resal)*(1-EXP(('2025'!Tnet-t)/('2025'!Tau_j))),Resal+(Salim-Resal)*(1-EXP((Tnet-t)/(Tau_j))))*Salcycl</f>
        <v>2.8910502805781123E-2</v>
      </c>
      <c r="P231" s="334">
        <f>(INDEX(Models!$BJ231:$BT231,,T231)*(1-R231)+INDEX(Models!$BJ231:$BT231,,T231+1)*R231-ERP_i)*Q231*Ramure*Pc/MaxiM</f>
        <v>3.1676375720061481E-5</v>
      </c>
      <c r="Q231" s="301">
        <f t="shared" si="80"/>
        <v>0.5</v>
      </c>
      <c r="R231" s="173">
        <f t="shared" si="81"/>
        <v>0.44839889943273903</v>
      </c>
      <c r="S231" s="802">
        <f t="shared" si="82"/>
        <v>2</v>
      </c>
      <c r="T231" s="172">
        <f t="shared" si="83"/>
        <v>8</v>
      </c>
      <c r="U231" s="247">
        <f t="shared" si="84"/>
        <v>2.448398899432739</v>
      </c>
      <c r="V231" s="378">
        <f t="shared" si="85"/>
        <v>55.753207189283522</v>
      </c>
      <c r="W231" s="397">
        <f t="shared" si="86"/>
        <v>42.804412592789632</v>
      </c>
      <c r="X231" s="153">
        <f t="shared" si="87"/>
        <v>46239</v>
      </c>
      <c r="Y231" s="380">
        <f t="shared" si="88"/>
        <v>41.621923374060195</v>
      </c>
      <c r="Z231" s="380">
        <f t="shared" si="89"/>
        <v>42.611811565550518</v>
      </c>
      <c r="AA231" s="381">
        <f t="shared" si="90"/>
        <v>45.12707003955866</v>
      </c>
      <c r="AB231" s="193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5.5737243118227149E-2</v>
      </c>
      <c r="AD231" s="227">
        <f>(INDEX(Models!$BJ231:$BT231,,AH231)*(1-AF231)+INDEX(Models!$BJ231:$BT231,,AH231+1)*AF231-ERP_i)*AE231*Ramure*Pc/MaxiM</f>
        <v>3.1676375720061481E-5</v>
      </c>
      <c r="AE231" s="301">
        <f t="shared" si="92"/>
        <v>0.5</v>
      </c>
      <c r="AF231" s="173">
        <f t="shared" si="93"/>
        <v>0.44839889943273903</v>
      </c>
      <c r="AG231" s="802">
        <f t="shared" si="99"/>
        <v>2</v>
      </c>
      <c r="AH231" s="172">
        <f t="shared" si="94"/>
        <v>8</v>
      </c>
      <c r="AI231" s="221">
        <f t="shared" si="95"/>
        <v>2.448398899432739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46240</v>
      </c>
      <c r="B232" s="406">
        <f>'2025'!Wh/'2025'!Env_an*'2026'!Env_an</f>
        <v>51.074492738165041</v>
      </c>
      <c r="C232" s="832"/>
      <c r="D232" s="388">
        <f t="shared" si="77"/>
        <v>52.289905826356957</v>
      </c>
      <c r="E232" s="380">
        <f t="shared" si="75"/>
        <v>53.849388773176166</v>
      </c>
      <c r="F232" s="380">
        <f t="shared" si="78"/>
        <v>53.851019587662584</v>
      </c>
      <c r="G232" s="110">
        <f t="shared" si="76"/>
        <v>0.91987925789153058</v>
      </c>
      <c r="H232" s="409" t="b">
        <f>Wh_hp&gt;='2025'!Maxi_hp</f>
        <v>0</v>
      </c>
      <c r="I232" s="375">
        <f>IF(H232,Wh_hp,'2025'!Maxi_hp)</f>
        <v>53.85119889796897</v>
      </c>
      <c r="J232" s="85">
        <f>IF(H232,An,'2025'!An_max)</f>
        <v>2022</v>
      </c>
      <c r="K232" s="193">
        <f t="shared" si="79"/>
        <v>46240</v>
      </c>
      <c r="L232" s="143">
        <f>IF(t&lt;Tvie,1-EXP((T0-t)*PertePVj)+'2025'!Pspv,1-EXP((T0-t)*PertePVj)+Pspv)</f>
        <v>2.3243742152224023E-2</v>
      </c>
      <c r="M232" s="836"/>
      <c r="N232" s="836"/>
      <c r="O232" s="48">
        <f>IF(t&lt;Tnet,'2025'!Resal+('2025'!Salim-'2025'!Resal)*(1-EXP(('2025'!Tnet-t)/('2025'!Tau_j))),Resal+(Salim-Resal)*(1-EXP((Tnet-t)/(Tau_j))))*Salcycl</f>
        <v>2.8960086313849318E-2</v>
      </c>
      <c r="P232" s="334">
        <f>(INDEX(Models!$BJ232:$BT232,,T232)*(1-R232)+INDEX(Models!$BJ232:$BT232,,T232+1)*R232-ERP_i)*Q232*Ramure*Pc/MaxiM</f>
        <v>3.4197868906785219E-5</v>
      </c>
      <c r="Q232" s="301">
        <f t="shared" si="80"/>
        <v>0.5</v>
      </c>
      <c r="R232" s="173">
        <f t="shared" si="81"/>
        <v>0.4500733167422708</v>
      </c>
      <c r="S232" s="802">
        <f t="shared" si="82"/>
        <v>2</v>
      </c>
      <c r="T232" s="172">
        <f t="shared" si="83"/>
        <v>8</v>
      </c>
      <c r="U232" s="247">
        <f t="shared" si="84"/>
        <v>2.4500733167422708</v>
      </c>
      <c r="V232" s="378">
        <f t="shared" si="85"/>
        <v>55.522822572414576</v>
      </c>
      <c r="W232" s="397">
        <f t="shared" si="86"/>
        <v>51.074492738165041</v>
      </c>
      <c r="X232" s="153">
        <f t="shared" si="87"/>
        <v>46240</v>
      </c>
      <c r="Y232" s="380">
        <f t="shared" si="88"/>
        <v>49.664789002666154</v>
      </c>
      <c r="Z232" s="380">
        <f t="shared" si="89"/>
        <v>50.846655553658337</v>
      </c>
      <c r="AA232" s="381">
        <f t="shared" si="90"/>
        <v>53.849388773176166</v>
      </c>
      <c r="AB232" s="193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5.5761695497899055E-2</v>
      </c>
      <c r="AD232" s="227">
        <f>(INDEX(Models!$BJ232:$BT232,,AH232)*(1-AF232)+INDEX(Models!$BJ232:$BT232,,AH232+1)*AF232-ERP_i)*AE232*Ramure*Pc/MaxiM</f>
        <v>3.4197868906785219E-5</v>
      </c>
      <c r="AE232" s="301">
        <f t="shared" si="92"/>
        <v>0.5</v>
      </c>
      <c r="AF232" s="173">
        <f t="shared" si="93"/>
        <v>0.4500733167422708</v>
      </c>
      <c r="AG232" s="802">
        <f t="shared" si="99"/>
        <v>2</v>
      </c>
      <c r="AH232" s="172">
        <f t="shared" si="94"/>
        <v>8</v>
      </c>
      <c r="AI232" s="221">
        <f t="shared" si="95"/>
        <v>2.4500733167422708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46241</v>
      </c>
      <c r="B233" s="406">
        <f>'2025'!Wh/'2025'!Env_an*'2026'!Env_an</f>
        <v>53.851522689956155</v>
      </c>
      <c r="C233" s="832"/>
      <c r="D233" s="388">
        <f t="shared" si="77"/>
        <v>55.133775135294357</v>
      </c>
      <c r="E233" s="380">
        <f t="shared" ref="E233:E296" si="100">Wh_pvt/(1-Psa)</f>
        <v>56.780965645868307</v>
      </c>
      <c r="F233" s="380">
        <f t="shared" si="78"/>
        <v>56.782986333521272</v>
      </c>
      <c r="G233" s="110">
        <f t="shared" ref="G233:G296" si="101">+Wh_hp/MaxiM</f>
        <v>0.9739730110101612</v>
      </c>
      <c r="H233" s="409" t="b">
        <f>Wh_hp&gt;='2025'!Maxi_hp</f>
        <v>0</v>
      </c>
      <c r="I233" s="375">
        <f>IF(H233,Wh_hp,'2025'!Maxi_hp)</f>
        <v>56.783052579043542</v>
      </c>
      <c r="J233" s="85">
        <f>IF(H233,An,'2025'!An_max)</f>
        <v>2022</v>
      </c>
      <c r="K233" s="193">
        <f t="shared" si="79"/>
        <v>46241</v>
      </c>
      <c r="L233" s="143">
        <f>IF(t&lt;Tvie,1-EXP((T0-t)*PertePVj)+'2025'!Pspv,1-EXP((T0-t)*PertePVj)+Pspv)</f>
        <v>2.3257113125151441E-2</v>
      </c>
      <c r="M233" s="836"/>
      <c r="N233" s="836"/>
      <c r="O233" s="48">
        <f>IF(t&lt;Tnet,'2025'!Resal+('2025'!Salim-'2025'!Resal)*(1-EXP(('2025'!Tnet-t)/('2025'!Tau_j))),Resal+(Salim-Resal)*(1-EXP((Tnet-t)/(Tau_j))))*Salcycl</f>
        <v>2.9009554378612638E-2</v>
      </c>
      <c r="P233" s="334">
        <f>(INDEX(Models!$BJ233:$BT233,,T233)*(1-R233)+INDEX(Models!$BJ233:$BT233,,T233+1)*R233-ERP_i)*Q233*Ramure*Pc/MaxiM</f>
        <v>3.696031214750935E-5</v>
      </c>
      <c r="Q233" s="301">
        <f t="shared" si="80"/>
        <v>0.5</v>
      </c>
      <c r="R233" s="173">
        <f t="shared" si="81"/>
        <v>0.45169194062183449</v>
      </c>
      <c r="S233" s="802">
        <f t="shared" si="82"/>
        <v>2</v>
      </c>
      <c r="T233" s="172">
        <f t="shared" si="83"/>
        <v>8</v>
      </c>
      <c r="U233" s="247">
        <f t="shared" si="84"/>
        <v>2.4516919406218345</v>
      </c>
      <c r="V233" s="378">
        <f t="shared" si="85"/>
        <v>55.290493758693877</v>
      </c>
      <c r="W233" s="397">
        <f t="shared" si="86"/>
        <v>53.851522689956155</v>
      </c>
      <c r="X233" s="153">
        <f t="shared" si="87"/>
        <v>46241</v>
      </c>
      <c r="Y233" s="380">
        <f t="shared" si="88"/>
        <v>52.36649052316691</v>
      </c>
      <c r="Z233" s="380">
        <f t="shared" si="89"/>
        <v>53.613383037491936</v>
      </c>
      <c r="AA233" s="381">
        <f t="shared" si="90"/>
        <v>56.780965645868307</v>
      </c>
      <c r="AB233" s="193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5.5785993991929649E-2</v>
      </c>
      <c r="AD233" s="227">
        <f>(INDEX(Models!$BJ233:$BT233,,AH233)*(1-AF233)+INDEX(Models!$BJ233:$BT233,,AH233+1)*AF233-ERP_i)*AE233*Ramure*Pc/MaxiM</f>
        <v>3.696031214750935E-5</v>
      </c>
      <c r="AE233" s="301">
        <f t="shared" si="92"/>
        <v>0.5</v>
      </c>
      <c r="AF233" s="173">
        <f t="shared" si="93"/>
        <v>0.45169194062183449</v>
      </c>
      <c r="AG233" s="802">
        <f t="shared" si="99"/>
        <v>2</v>
      </c>
      <c r="AH233" s="172">
        <f t="shared" si="94"/>
        <v>8</v>
      </c>
      <c r="AI233" s="221">
        <f t="shared" si="95"/>
        <v>2.4516919406218345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46242</v>
      </c>
      <c r="B234" s="406">
        <f>'2025'!Wh/'2025'!Env_an*'2026'!Env_an</f>
        <v>55.248018222833124</v>
      </c>
      <c r="C234" s="832"/>
      <c r="D234" s="388">
        <f t="shared" si="77"/>
        <v>56.564296781246753</v>
      </c>
      <c r="E234" s="380">
        <f t="shared" si="100"/>
        <v>58.257187005401967</v>
      </c>
      <c r="F234" s="380">
        <f t="shared" si="78"/>
        <v>58.259512816427652</v>
      </c>
      <c r="G234" s="110">
        <f t="shared" si="101"/>
        <v>1.0035125626922676</v>
      </c>
      <c r="H234" s="409" t="b">
        <f>Wh_hp&gt;='2025'!Maxi_hp</f>
        <v>1</v>
      </c>
      <c r="I234" s="375">
        <f>IF(H234,Wh_hp,'2025'!Maxi_hp)</f>
        <v>58.259512816427652</v>
      </c>
      <c r="J234" s="85">
        <f>IF(H234,An,'2025'!An_max)</f>
        <v>2026</v>
      </c>
      <c r="K234" s="193">
        <f t="shared" si="79"/>
        <v>46242</v>
      </c>
      <c r="L234" s="143">
        <f>IF(t&lt;Tvie,1-EXP((T0-t)*PertePVj)+'2025'!Pspv,1-EXP((T0-t)*PertePVj)+Pspv)</f>
        <v>2.3270483915041384E-2</v>
      </c>
      <c r="M234" s="836"/>
      <c r="N234" s="836"/>
      <c r="O234" s="48">
        <f>IF(t&lt;Tnet,'2025'!Resal+('2025'!Salim-'2025'!Resal)*(1-EXP(('2025'!Tnet-t)/('2025'!Tau_j))),Resal+(Salim-Resal)*(1-EXP((Tnet-t)/(Tau_j))))*Salcycl</f>
        <v>2.9058907770439426E-2</v>
      </c>
      <c r="P234" s="334">
        <f>(INDEX(Models!$BJ234:$BT234,,T234)*(1-R234)+INDEX(Models!$BJ234:$BT234,,T234+1)*R234-ERP_i)*Q234*Ramure*Pc/MaxiM</f>
        <v>3.9921566680599546E-5</v>
      </c>
      <c r="Q234" s="301">
        <f t="shared" si="80"/>
        <v>0.5</v>
      </c>
      <c r="R234" s="173">
        <f t="shared" si="81"/>
        <v>0.45325621455475584</v>
      </c>
      <c r="S234" s="802">
        <f t="shared" si="82"/>
        <v>2</v>
      </c>
      <c r="T234" s="172">
        <f t="shared" si="83"/>
        <v>8</v>
      </c>
      <c r="U234" s="247">
        <f t="shared" si="84"/>
        <v>2.4532562145547558</v>
      </c>
      <c r="V234" s="378">
        <f t="shared" si="85"/>
        <v>55.054635364614967</v>
      </c>
      <c r="W234" s="397">
        <f t="shared" si="86"/>
        <v>55.248018222833124</v>
      </c>
      <c r="X234" s="153">
        <f t="shared" si="87"/>
        <v>46242</v>
      </c>
      <c r="Y234" s="380">
        <f t="shared" si="88"/>
        <v>53.725832576839395</v>
      </c>
      <c r="Z234" s="380">
        <f t="shared" si="89"/>
        <v>55.005845213104195</v>
      </c>
      <c r="AA234" s="381">
        <f t="shared" si="90"/>
        <v>58.257187005401967</v>
      </c>
      <c r="AB234" s="193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5.5810140506720347E-2</v>
      </c>
      <c r="AD234" s="227">
        <f>(INDEX(Models!$BJ234:$BT234,,AH234)*(1-AF234)+INDEX(Models!$BJ234:$BT234,,AH234+1)*AF234-ERP_i)*AE234*Ramure*Pc/MaxiM</f>
        <v>3.9921566680599546E-5</v>
      </c>
      <c r="AE234" s="301">
        <f t="shared" si="92"/>
        <v>0.5</v>
      </c>
      <c r="AF234" s="173">
        <f t="shared" si="93"/>
        <v>0.45325621455475584</v>
      </c>
      <c r="AG234" s="802">
        <f t="shared" si="99"/>
        <v>2</v>
      </c>
      <c r="AH234" s="172">
        <f t="shared" si="94"/>
        <v>8</v>
      </c>
      <c r="AI234" s="221">
        <f t="shared" si="95"/>
        <v>2.4532562145547558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46243</v>
      </c>
      <c r="B235" s="406">
        <f>'2025'!Wh/'2025'!Env_an*'2026'!Env_an</f>
        <v>52.67427081206592</v>
      </c>
      <c r="C235" s="832"/>
      <c r="D235" s="388">
        <f t="shared" si="77"/>
        <v>53.929968349485833</v>
      </c>
      <c r="E235" s="380">
        <f t="shared" si="100"/>
        <v>55.546833736652722</v>
      </c>
      <c r="F235" s="380">
        <f t="shared" si="78"/>
        <v>55.549087868177899</v>
      </c>
      <c r="G235" s="110">
        <f t="shared" si="101"/>
        <v>0.96093408669439262</v>
      </c>
      <c r="H235" s="409" t="b">
        <f>Wh_hp&gt;='2025'!Maxi_hp</f>
        <v>0</v>
      </c>
      <c r="I235" s="375">
        <f>IF(H235,Wh_hp,'2025'!Maxi_hp)</f>
        <v>55.54920055473837</v>
      </c>
      <c r="J235" s="85">
        <f>IF(H235,An,'2025'!An_max)</f>
        <v>2022</v>
      </c>
      <c r="K235" s="193">
        <f t="shared" si="79"/>
        <v>46243</v>
      </c>
      <c r="L235" s="143">
        <f>IF(t&lt;Tvie,1-EXP((T0-t)*PertePVj)+'2025'!Pspv,1-EXP((T0-t)*PertePVj)+Pspv)</f>
        <v>2.3283854521896519E-2</v>
      </c>
      <c r="M235" s="836"/>
      <c r="N235" s="836"/>
      <c r="O235" s="48">
        <f>IF(t&lt;Tnet,'2025'!Resal+('2025'!Salim-'2025'!Resal)*(1-EXP(('2025'!Tnet-t)/('2025'!Tau_j))),Resal+(Salim-Resal)*(1-EXP((Tnet-t)/(Tau_j))))*Salcycl</f>
        <v>2.9108146736723767E-2</v>
      </c>
      <c r="P235" s="334">
        <f>(INDEX(Models!$BJ235:$BT235,,T235)*(1-R235)+INDEX(Models!$BJ235:$BT235,,T235+1)*R235-ERP_i)*Q235*Ramure*Pc/MaxiM</f>
        <v>4.2977455153710794E-5</v>
      </c>
      <c r="Q235" s="301">
        <f t="shared" si="80"/>
        <v>0.5</v>
      </c>
      <c r="R235" s="173">
        <f t="shared" si="81"/>
        <v>0.45476757542338397</v>
      </c>
      <c r="S235" s="802">
        <f t="shared" si="82"/>
        <v>2</v>
      </c>
      <c r="T235" s="172">
        <f t="shared" si="83"/>
        <v>8</v>
      </c>
      <c r="U235" s="247">
        <f t="shared" si="84"/>
        <v>2.454767575423384</v>
      </c>
      <c r="V235" s="378">
        <f t="shared" si="85"/>
        <v>54.815564568103667</v>
      </c>
      <c r="W235" s="397">
        <f t="shared" si="86"/>
        <v>52.67427081206592</v>
      </c>
      <c r="X235" s="153">
        <f t="shared" si="87"/>
        <v>46243</v>
      </c>
      <c r="Y235" s="380">
        <f t="shared" si="88"/>
        <v>51.224292642014753</v>
      </c>
      <c r="Z235" s="380">
        <f t="shared" si="89"/>
        <v>52.445424271081762</v>
      </c>
      <c r="AA235" s="381">
        <f t="shared" si="90"/>
        <v>55.546833736652722</v>
      </c>
      <c r="AB235" s="193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5.5834135934277079E-2</v>
      </c>
      <c r="AD235" s="227">
        <f>(INDEX(Models!$BJ235:$BT235,,AH235)*(1-AF235)+INDEX(Models!$BJ235:$BT235,,AH235+1)*AF235-ERP_i)*AE235*Ramure*Pc/MaxiM</f>
        <v>4.2977455153710794E-5</v>
      </c>
      <c r="AE235" s="301">
        <f t="shared" si="92"/>
        <v>0.5</v>
      </c>
      <c r="AF235" s="173">
        <f t="shared" si="93"/>
        <v>0.45476757542338397</v>
      </c>
      <c r="AG235" s="802">
        <f t="shared" si="99"/>
        <v>2</v>
      </c>
      <c r="AH235" s="172">
        <f t="shared" si="94"/>
        <v>8</v>
      </c>
      <c r="AI235" s="221">
        <f t="shared" si="95"/>
        <v>2.454767575423384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46244</v>
      </c>
      <c r="B236" s="406">
        <f>'2025'!Wh/'2025'!Env_an*'2026'!Env_an</f>
        <v>51.155543450077396</v>
      </c>
      <c r="C236" s="832"/>
      <c r="D236" s="388">
        <f t="shared" si="77"/>
        <v>52.375753152983926</v>
      </c>
      <c r="E236" s="380">
        <f t="shared" si="100"/>
        <v>53.948751522907486</v>
      </c>
      <c r="F236" s="380">
        <f t="shared" si="78"/>
        <v>53.951017564847696</v>
      </c>
      <c r="G236" s="110">
        <f t="shared" si="101"/>
        <v>0.93736420552997635</v>
      </c>
      <c r="H236" s="409" t="b">
        <f>Wh_hp&gt;='2025'!Maxi_hp</f>
        <v>0</v>
      </c>
      <c r="I236" s="375">
        <f>IF(H236,Wh_hp,'2025'!Maxi_hp)</f>
        <v>53.951205583725304</v>
      </c>
      <c r="J236" s="85">
        <f>IF(H236,An,'2025'!An_max)</f>
        <v>2022</v>
      </c>
      <c r="K236" s="193">
        <f t="shared" si="79"/>
        <v>46244</v>
      </c>
      <c r="L236" s="143">
        <f>IF(t&lt;Tvie,1-EXP((T0-t)*PertePVj)+'2025'!Pspv,1-EXP((T0-t)*PertePVj)+Pspv)</f>
        <v>2.3297224945719286E-2</v>
      </c>
      <c r="M236" s="836"/>
      <c r="N236" s="836"/>
      <c r="O236" s="48">
        <f>IF(t&lt;Tnet,'2025'!Resal+('2025'!Salim-'2025'!Resal)*(1-EXP(('2025'!Tnet-t)/('2025'!Tau_j))),Resal+(Salim-Resal)*(1-EXP((Tnet-t)/(Tau_j))))*Salcycl</f>
        <v>2.9157271030741838E-2</v>
      </c>
      <c r="P236" s="334">
        <f>(INDEX(Models!$BJ236:$BT236,,T236)*(1-R236)+INDEX(Models!$BJ236:$BT236,,T236+1)*R236-ERP_i)*Q236*Ramure*Pc/MaxiM</f>
        <v>4.612921214478809E-5</v>
      </c>
      <c r="Q236" s="301">
        <f t="shared" si="80"/>
        <v>0.5</v>
      </c>
      <c r="R236" s="173">
        <f t="shared" si="81"/>
        <v>0.45622745088928118</v>
      </c>
      <c r="S236" s="802">
        <f t="shared" si="82"/>
        <v>2</v>
      </c>
      <c r="T236" s="172">
        <f t="shared" si="83"/>
        <v>8</v>
      </c>
      <c r="U236" s="247">
        <f t="shared" si="84"/>
        <v>2.4562274508892812</v>
      </c>
      <c r="V236" s="378">
        <f t="shared" si="85"/>
        <v>54.573592634953606</v>
      </c>
      <c r="W236" s="397">
        <f t="shared" si="86"/>
        <v>51.155543450077396</v>
      </c>
      <c r="X236" s="153">
        <f t="shared" si="87"/>
        <v>46244</v>
      </c>
      <c r="Y236" s="380">
        <f t="shared" si="88"/>
        <v>49.748632476743538</v>
      </c>
      <c r="Z236" s="380">
        <f t="shared" si="89"/>
        <v>50.935283227774931</v>
      </c>
      <c r="AA236" s="381">
        <f t="shared" si="90"/>
        <v>53.948751522907486</v>
      </c>
      <c r="AB236" s="193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5.5857980213925594E-2</v>
      </c>
      <c r="AD236" s="227">
        <f>(INDEX(Models!$BJ236:$BT236,,AH236)*(1-AF236)+INDEX(Models!$BJ236:$BT236,,AH236+1)*AF236-ERP_i)*AE236*Ramure*Pc/MaxiM</f>
        <v>4.612921214478809E-5</v>
      </c>
      <c r="AE236" s="301">
        <f t="shared" si="92"/>
        <v>0.5</v>
      </c>
      <c r="AF236" s="173">
        <f t="shared" si="93"/>
        <v>0.45622745088928118</v>
      </c>
      <c r="AG236" s="802">
        <f t="shared" si="99"/>
        <v>2</v>
      </c>
      <c r="AH236" s="172">
        <f t="shared" si="94"/>
        <v>8</v>
      </c>
      <c r="AI236" s="221">
        <f t="shared" si="95"/>
        <v>2.4562274508892812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46245</v>
      </c>
      <c r="B237" s="406">
        <f>'2025'!Wh/'2025'!Env_an*'2026'!Env_an</f>
        <v>48.2784702506383</v>
      </c>
      <c r="C237" s="832"/>
      <c r="D237" s="388">
        <f t="shared" si="77"/>
        <v>49.430729987142364</v>
      </c>
      <c r="E237" s="380">
        <f t="shared" si="100"/>
        <v>50.917850997391149</v>
      </c>
      <c r="F237" s="380">
        <f t="shared" si="78"/>
        <v>50.919965300159966</v>
      </c>
      <c r="G237" s="110">
        <f t="shared" si="101"/>
        <v>0.88862418986510538</v>
      </c>
      <c r="H237" s="409" t="b">
        <f>Wh_hp&gt;='2025'!Maxi_hp</f>
        <v>0</v>
      </c>
      <c r="I237" s="375">
        <f>IF(H237,Wh_hp,'2025'!Maxi_hp)</f>
        <v>50.920302507199573</v>
      </c>
      <c r="J237" s="85">
        <f>IF(H237,An,'2025'!An_max)</f>
        <v>2022</v>
      </c>
      <c r="K237" s="193">
        <f t="shared" si="79"/>
        <v>46245</v>
      </c>
      <c r="L237" s="143">
        <f>IF(t&lt;Tvie,1-EXP((T0-t)*PertePVj)+'2025'!Pspv,1-EXP((T0-t)*PertePVj)+Pspv)</f>
        <v>2.3310595186512129E-2</v>
      </c>
      <c r="M237" s="836"/>
      <c r="N237" s="836"/>
      <c r="O237" s="48">
        <f>IF(t&lt;Tnet,'2025'!Resal+('2025'!Salim-'2025'!Resal)*(1-EXP(('2025'!Tnet-t)/('2025'!Tau_j))),Resal+(Salim-Resal)*(1-EXP((Tnet-t)/(Tau_j))))*Salcycl</f>
        <v>2.9206279941488132E-2</v>
      </c>
      <c r="P237" s="334">
        <f>(INDEX(Models!$BJ237:$BT237,,T237)*(1-R237)+INDEX(Models!$BJ237:$BT237,,T237+1)*R237-ERP_i)*Q237*Ramure*Pc/MaxiM</f>
        <v>4.9378041789715101E-5</v>
      </c>
      <c r="Q237" s="301">
        <f t="shared" si="80"/>
        <v>0.5</v>
      </c>
      <c r="R237" s="173">
        <f t="shared" si="81"/>
        <v>0.45763725699562396</v>
      </c>
      <c r="S237" s="802">
        <f t="shared" si="82"/>
        <v>2</v>
      </c>
      <c r="T237" s="172">
        <f t="shared" si="83"/>
        <v>8</v>
      </c>
      <c r="U237" s="247">
        <f t="shared" si="84"/>
        <v>2.457637256995624</v>
      </c>
      <c r="V237" s="378">
        <f t="shared" si="85"/>
        <v>54.329030777681126</v>
      </c>
      <c r="W237" s="397">
        <f t="shared" si="86"/>
        <v>48.2784702506383</v>
      </c>
      <c r="X237" s="153">
        <f t="shared" si="87"/>
        <v>46245</v>
      </c>
      <c r="Y237" s="380">
        <f t="shared" si="88"/>
        <v>46.951878293561421</v>
      </c>
      <c r="Z237" s="380">
        <f t="shared" si="89"/>
        <v>48.072476328877059</v>
      </c>
      <c r="AA237" s="381">
        <f t="shared" si="90"/>
        <v>50.917850997391149</v>
      </c>
      <c r="AB237" s="193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5.5881672395401663E-2</v>
      </c>
      <c r="AD237" s="227">
        <f>(INDEX(Models!$BJ237:$BT237,,AH237)*(1-AF237)+INDEX(Models!$BJ237:$BT237,,AH237+1)*AF237-ERP_i)*AE237*Ramure*Pc/MaxiM</f>
        <v>4.9378041789715101E-5</v>
      </c>
      <c r="AE237" s="301">
        <f t="shared" si="92"/>
        <v>0.5</v>
      </c>
      <c r="AF237" s="173">
        <f t="shared" si="93"/>
        <v>0.45763725699562396</v>
      </c>
      <c r="AG237" s="802">
        <f t="shared" si="99"/>
        <v>2</v>
      </c>
      <c r="AH237" s="172">
        <f t="shared" si="94"/>
        <v>8</v>
      </c>
      <c r="AI237" s="221">
        <f t="shared" si="95"/>
        <v>2.457637256995624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46246</v>
      </c>
      <c r="B238" s="406">
        <f>'2025'!Wh/'2025'!Env_an*'2026'!Env_an</f>
        <v>0</v>
      </c>
      <c r="C238" s="832"/>
      <c r="D238" s="388">
        <f t="shared" si="77"/>
        <v>0</v>
      </c>
      <c r="E238" s="380">
        <f t="shared" si="100"/>
        <v>0</v>
      </c>
      <c r="F238" s="380">
        <f t="shared" si="78"/>
        <v>0</v>
      </c>
      <c r="G238" s="110">
        <f t="shared" si="101"/>
        <v>0</v>
      </c>
      <c r="H238" s="409" t="b">
        <f>Wh_hp&gt;='2025'!Maxi_hp</f>
        <v>1</v>
      </c>
      <c r="I238" s="375">
        <f>IF(H238,Wh_hp,'2025'!Maxi_hp)</f>
        <v>0</v>
      </c>
      <c r="J238" s="85">
        <f>IF(H238,An,'2025'!An_max)</f>
        <v>2026</v>
      </c>
      <c r="K238" s="193">
        <f t="shared" si="79"/>
        <v>46246</v>
      </c>
      <c r="L238" s="143">
        <f>IF(t&lt;Tvie,1-EXP((T0-t)*PertePVj)+'2025'!Pspv,1-EXP((T0-t)*PertePVj)+Pspv)</f>
        <v>2.33239652442776E-2</v>
      </c>
      <c r="M238" s="836"/>
      <c r="N238" s="836"/>
      <c r="O238" s="48">
        <f>IF(t&lt;Tnet,'2025'!Resal+('2025'!Salim-'2025'!Resal)*(1-EXP(('2025'!Tnet-t)/('2025'!Tau_j))),Resal+(Salim-Resal)*(1-EXP((Tnet-t)/(Tau_j))))*Salcycl</f>
        <v>2.9255172324015196E-2</v>
      </c>
      <c r="P238" s="334">
        <f>(INDEX(Models!$BJ238:$BT238,,T238)*(1-R238)+INDEX(Models!$BJ238:$BT238,,T238+1)*R238-ERP_i)*Q238*Ramure*Pc/MaxiM</f>
        <v>5.2725110544484266E-5</v>
      </c>
      <c r="Q238" s="301">
        <f t="shared" si="80"/>
        <v>0.5</v>
      </c>
      <c r="R238" s="173">
        <f t="shared" si="81"/>
        <v>0.45899839598319003</v>
      </c>
      <c r="S238" s="802">
        <f t="shared" si="82"/>
        <v>2</v>
      </c>
      <c r="T238" s="172">
        <f t="shared" si="83"/>
        <v>8</v>
      </c>
      <c r="U238" s="247">
        <f t="shared" si="84"/>
        <v>2.45899839598319</v>
      </c>
      <c r="V238" s="378">
        <f t="shared" si="85"/>
        <v>54.082190150437839</v>
      </c>
      <c r="W238" s="397">
        <f t="shared" si="86"/>
        <v>0</v>
      </c>
      <c r="X238" s="153">
        <f t="shared" si="87"/>
        <v>46246</v>
      </c>
      <c r="Y238" s="380">
        <f t="shared" si="88"/>
        <v>0</v>
      </c>
      <c r="Z238" s="380">
        <f t="shared" si="89"/>
        <v>0</v>
      </c>
      <c r="AA238" s="381">
        <f t="shared" si="90"/>
        <v>0</v>
      </c>
      <c r="AB238" s="193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5.5905210702397297E-2</v>
      </c>
      <c r="AD238" s="227">
        <f>(INDEX(Models!$BJ238:$BT238,,AH238)*(1-AF238)+INDEX(Models!$BJ238:$BT238,,AH238+1)*AF238-ERP_i)*AE238*Ramure*Pc/MaxiM</f>
        <v>5.2725110544484266E-5</v>
      </c>
      <c r="AE238" s="301">
        <f t="shared" si="92"/>
        <v>0.5</v>
      </c>
      <c r="AF238" s="173">
        <f t="shared" si="93"/>
        <v>0.45899839598319003</v>
      </c>
      <c r="AG238" s="802">
        <f t="shared" si="99"/>
        <v>2</v>
      </c>
      <c r="AH238" s="172">
        <f t="shared" si="94"/>
        <v>8</v>
      </c>
      <c r="AI238" s="221">
        <f t="shared" si="95"/>
        <v>2.45899839598319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46247</v>
      </c>
      <c r="B239" s="406">
        <f>'2025'!Wh/'2025'!Env_an*'2026'!Env_an</f>
        <v>35.88168729735829</v>
      </c>
      <c r="C239" s="832"/>
      <c r="D239" s="388">
        <f t="shared" si="77"/>
        <v>36.739079507795978</v>
      </c>
      <c r="E239" s="380">
        <f t="shared" si="100"/>
        <v>37.848180571292517</v>
      </c>
      <c r="F239" s="380">
        <f t="shared" si="78"/>
        <v>37.849293810027461</v>
      </c>
      <c r="G239" s="110">
        <f t="shared" si="101"/>
        <v>0.66651445393865894</v>
      </c>
      <c r="H239" s="409" t="b">
        <f>Wh_hp&gt;='2025'!Maxi_hp</f>
        <v>0</v>
      </c>
      <c r="I239" s="375">
        <f>IF(H239,Wh_hp,'2025'!Maxi_hp)</f>
        <v>37.850144925351806</v>
      </c>
      <c r="J239" s="85">
        <f>IF(H239,An,'2025'!An_max)</f>
        <v>2022</v>
      </c>
      <c r="K239" s="193">
        <f t="shared" si="79"/>
        <v>46247</v>
      </c>
      <c r="L239" s="143">
        <f>IF(t&lt;Tvie,1-EXP((T0-t)*PertePVj)+'2025'!Pspv,1-EXP((T0-t)*PertePVj)+Pspv)</f>
        <v>2.3337335119018254E-2</v>
      </c>
      <c r="M239" s="836"/>
      <c r="N239" s="836"/>
      <c r="O239" s="48">
        <f>IF(t&lt;Tnet,'2025'!Resal+('2025'!Salim-'2025'!Resal)*(1-EXP(('2025'!Tnet-t)/('2025'!Tau_j))),Resal+(Salim-Resal)*(1-EXP((Tnet-t)/(Tau_j))))*Salcycl</f>
        <v>2.9303946629809181E-2</v>
      </c>
      <c r="P239" s="334">
        <f>(INDEX(Models!$BJ239:$BT239,,T239)*(1-R239)+INDEX(Models!$BJ239:$BT239,,T239+1)*R239-ERP_i)*Q239*Ramure*Pc/MaxiM</f>
        <v>5.6171539614864018E-5</v>
      </c>
      <c r="Q239" s="301">
        <f t="shared" si="80"/>
        <v>0.5</v>
      </c>
      <c r="R239" s="173">
        <f t="shared" si="81"/>
        <v>0.46031225431093326</v>
      </c>
      <c r="S239" s="802">
        <f t="shared" si="82"/>
        <v>2</v>
      </c>
      <c r="T239" s="172">
        <f t="shared" si="83"/>
        <v>8</v>
      </c>
      <c r="U239" s="247">
        <f t="shared" si="84"/>
        <v>2.4603122543109333</v>
      </c>
      <c r="V239" s="378">
        <f t="shared" si="85"/>
        <v>53.833381848154218</v>
      </c>
      <c r="W239" s="397">
        <f t="shared" si="86"/>
        <v>35.88168729735829</v>
      </c>
      <c r="X239" s="153">
        <f t="shared" si="87"/>
        <v>46247</v>
      </c>
      <c r="Y239" s="380">
        <f t="shared" si="88"/>
        <v>34.897509791296535</v>
      </c>
      <c r="Z239" s="380">
        <f t="shared" si="89"/>
        <v>35.731385099633378</v>
      </c>
      <c r="AA239" s="381">
        <f t="shared" si="90"/>
        <v>37.848180571292517</v>
      </c>
      <c r="AB239" s="193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5.5928592595669166E-2</v>
      </c>
      <c r="AD239" s="227">
        <f>(INDEX(Models!$BJ239:$BT239,,AH239)*(1-AF239)+INDEX(Models!$BJ239:$BT239,,AH239+1)*AF239-ERP_i)*AE239*Ramure*Pc/MaxiM</f>
        <v>5.6171539614864018E-5</v>
      </c>
      <c r="AE239" s="301">
        <f t="shared" si="92"/>
        <v>0.5</v>
      </c>
      <c r="AF239" s="173">
        <f t="shared" si="93"/>
        <v>0.46031225431093326</v>
      </c>
      <c r="AG239" s="802">
        <f t="shared" si="99"/>
        <v>2</v>
      </c>
      <c r="AH239" s="172">
        <f t="shared" si="94"/>
        <v>8</v>
      </c>
      <c r="AI239" s="221">
        <f t="shared" si="95"/>
        <v>2.4603122543109333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46248</v>
      </c>
      <c r="B240" s="406">
        <f>'2025'!Wh/'2025'!Env_an*'2026'!Env_an</f>
        <v>35.947818652651492</v>
      </c>
      <c r="C240" s="832"/>
      <c r="D240" s="388">
        <f t="shared" si="77"/>
        <v>36.807294931478154</v>
      </c>
      <c r="E240" s="380">
        <f t="shared" si="100"/>
        <v>37.920356008783394</v>
      </c>
      <c r="F240" s="380">
        <f t="shared" si="78"/>
        <v>37.921568023796453</v>
      </c>
      <c r="G240" s="110">
        <f t="shared" si="101"/>
        <v>0.67086345579831463</v>
      </c>
      <c r="H240" s="409" t="b">
        <f>Wh_hp&gt;='2025'!Maxi_hp</f>
        <v>0</v>
      </c>
      <c r="I240" s="375">
        <f>IF(H240,Wh_hp,'2025'!Maxi_hp)</f>
        <v>37.922472113762595</v>
      </c>
      <c r="J240" s="85">
        <f>IF(H240,An,'2025'!An_max)</f>
        <v>2022</v>
      </c>
      <c r="K240" s="193">
        <f t="shared" si="79"/>
        <v>46248</v>
      </c>
      <c r="L240" s="143">
        <f>IF(t&lt;Tvie,1-EXP((T0-t)*PertePVj)+'2025'!Pspv,1-EXP((T0-t)*PertePVj)+Pspv)</f>
        <v>2.3350704810736533E-2</v>
      </c>
      <c r="M240" s="836"/>
      <c r="N240" s="836"/>
      <c r="O240" s="48">
        <f>IF(t&lt;Tnet,'2025'!Resal+('2025'!Salim-'2025'!Resal)*(1-EXP(('2025'!Tnet-t)/('2025'!Tau_j))),Resal+(Salim-Resal)*(1-EXP((Tnet-t)/(Tau_j))))*Salcycl</f>
        <v>2.9352600936748217E-2</v>
      </c>
      <c r="P240" s="334">
        <f>(INDEX(Models!$BJ240:$BT240,,T240)*(1-R240)+INDEX(Models!$BJ240:$BT240,,T240+1)*R240-ERP_i)*Q240*Ramure*Pc/MaxiM</f>
        <v>6.0323069156396747E-5</v>
      </c>
      <c r="Q240" s="301">
        <f t="shared" si="80"/>
        <v>0.5</v>
      </c>
      <c r="R240" s="173">
        <f t="shared" si="81"/>
        <v>0.46158020087188234</v>
      </c>
      <c r="S240" s="802">
        <f t="shared" si="82"/>
        <v>2</v>
      </c>
      <c r="T240" s="172">
        <f t="shared" si="83"/>
        <v>8</v>
      </c>
      <c r="U240" s="247">
        <f t="shared" si="84"/>
        <v>2.4615802008718823</v>
      </c>
      <c r="V240" s="378">
        <f t="shared" si="85"/>
        <v>53.582884502705056</v>
      </c>
      <c r="W240" s="397">
        <f t="shared" si="86"/>
        <v>35.947818652651492</v>
      </c>
      <c r="X240" s="153">
        <f t="shared" si="87"/>
        <v>46248</v>
      </c>
      <c r="Y240" s="380">
        <f t="shared" si="88"/>
        <v>34.962719719264392</v>
      </c>
      <c r="Z240" s="380">
        <f t="shared" si="89"/>
        <v>35.798643270908229</v>
      </c>
      <c r="AA240" s="381">
        <f t="shared" si="90"/>
        <v>37.920356008783394</v>
      </c>
      <c r="AB240" s="193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5.5951814834853175E-2</v>
      </c>
      <c r="AD240" s="227">
        <f>(INDEX(Models!$BJ240:$BT240,,AH240)*(1-AF240)+INDEX(Models!$BJ240:$BT240,,AH240+1)*AF240-ERP_i)*AE240*Ramure*Pc/MaxiM</f>
        <v>6.0323069156396747E-5</v>
      </c>
      <c r="AE240" s="301">
        <f t="shared" si="92"/>
        <v>0.5</v>
      </c>
      <c r="AF240" s="173">
        <f t="shared" si="93"/>
        <v>0.46158020087188234</v>
      </c>
      <c r="AG240" s="802">
        <f t="shared" si="99"/>
        <v>2</v>
      </c>
      <c r="AH240" s="172">
        <f t="shared" si="94"/>
        <v>8</v>
      </c>
      <c r="AI240" s="221">
        <f t="shared" si="95"/>
        <v>2.4615802008718823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46249</v>
      </c>
      <c r="B241" s="406">
        <f>'2025'!Wh/'2025'!Env_an*'2026'!Env_an</f>
        <v>36.356910946381959</v>
      </c>
      <c r="C241" s="832"/>
      <c r="D241" s="388">
        <f t="shared" si="77"/>
        <v>37.226677813481807</v>
      </c>
      <c r="E241" s="380">
        <f t="shared" si="100"/>
        <v>38.354338829705306</v>
      </c>
      <c r="F241" s="380">
        <f t="shared" si="78"/>
        <v>38.35569991445886</v>
      </c>
      <c r="G241" s="110">
        <f t="shared" si="101"/>
        <v>0.68170153925710231</v>
      </c>
      <c r="H241" s="409" t="b">
        <f>Wh_hp&gt;='2025'!Maxi_hp</f>
        <v>0</v>
      </c>
      <c r="I241" s="375">
        <f>IF(H241,Wh_hp,'2025'!Maxi_hp)</f>
        <v>38.356655660783957</v>
      </c>
      <c r="J241" s="85">
        <f>IF(H241,An,'2025'!An_max)</f>
        <v>2022</v>
      </c>
      <c r="K241" s="193">
        <f t="shared" si="79"/>
        <v>46249</v>
      </c>
      <c r="L241" s="143">
        <f>IF(t&lt;Tvie,1-EXP((T0-t)*PertePVj)+'2025'!Pspv,1-EXP((T0-t)*PertePVj)+Pspv)</f>
        <v>2.3364074319434991E-2</v>
      </c>
      <c r="M241" s="836"/>
      <c r="N241" s="836"/>
      <c r="O241" s="48">
        <f>IF(t&lt;Tnet,'2025'!Resal+('2025'!Salim-'2025'!Resal)*(1-EXP(('2025'!Tnet-t)/('2025'!Tau_j))),Resal+(Salim-Resal)*(1-EXP((Tnet-t)/(Tau_j))))*Salcycl</f>
        <v>2.940113297821037E-2</v>
      </c>
      <c r="P241" s="334">
        <f>(INDEX(Models!$BJ241:$BT241,,T241)*(1-R241)+INDEX(Models!$BJ241:$BT241,,T241+1)*R241-ERP_i)*Q241*Ramure*Pc/MaxiM</f>
        <v>6.5073840054605486E-5</v>
      </c>
      <c r="Q241" s="301">
        <f t="shared" si="80"/>
        <v>0.5</v>
      </c>
      <c r="R241" s="173">
        <f t="shared" si="81"/>
        <v>0.46280358539492283</v>
      </c>
      <c r="S241" s="802">
        <f t="shared" si="82"/>
        <v>2</v>
      </c>
      <c r="T241" s="172">
        <f t="shared" si="83"/>
        <v>8</v>
      </c>
      <c r="U241" s="247">
        <f t="shared" si="84"/>
        <v>2.4628035853949228</v>
      </c>
      <c r="V241" s="378">
        <f t="shared" si="85"/>
        <v>53.331015241714034</v>
      </c>
      <c r="W241" s="397">
        <f t="shared" si="86"/>
        <v>36.356910946381959</v>
      </c>
      <c r="X241" s="153">
        <f t="shared" si="87"/>
        <v>46249</v>
      </c>
      <c r="Y241" s="380">
        <f t="shared" si="88"/>
        <v>35.361505787899333</v>
      </c>
      <c r="Z241" s="380">
        <f t="shared" si="89"/>
        <v>36.207459564072252</v>
      </c>
      <c r="AA241" s="381">
        <f t="shared" si="90"/>
        <v>38.354338829705306</v>
      </c>
      <c r="AB241" s="193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5.597487353817459E-2</v>
      </c>
      <c r="AD241" s="227">
        <f>(INDEX(Models!$BJ241:$BT241,,AH241)*(1-AF241)+INDEX(Models!$BJ241:$BT241,,AH241+1)*AF241-ERP_i)*AE241*Ramure*Pc/MaxiM</f>
        <v>6.5073840054605486E-5</v>
      </c>
      <c r="AE241" s="301">
        <f t="shared" si="92"/>
        <v>0.5</v>
      </c>
      <c r="AF241" s="173">
        <f t="shared" si="93"/>
        <v>0.46280358539492283</v>
      </c>
      <c r="AG241" s="802">
        <f t="shared" si="99"/>
        <v>2</v>
      </c>
      <c r="AH241" s="172">
        <f t="shared" si="94"/>
        <v>8</v>
      </c>
      <c r="AI241" s="221">
        <f t="shared" si="95"/>
        <v>2.4628035853949228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46250</v>
      </c>
      <c r="B242" s="406">
        <f>'2025'!Wh/'2025'!Env_an*'2026'!Env_an</f>
        <v>37.657354277600874</v>
      </c>
      <c r="C242" s="832"/>
      <c r="D242" s="388">
        <f t="shared" si="77"/>
        <v>38.558759504953507</v>
      </c>
      <c r="E242" s="380">
        <f t="shared" si="100"/>
        <v>39.728753012742992</v>
      </c>
      <c r="F242" s="380">
        <f t="shared" si="78"/>
        <v>39.730389908947309</v>
      </c>
      <c r="G242" s="110">
        <f t="shared" si="101"/>
        <v>0.70945011409319603</v>
      </c>
      <c r="H242" s="409" t="b">
        <f>Wh_hp&gt;='2025'!Maxi_hp</f>
        <v>0</v>
      </c>
      <c r="I242" s="375">
        <f>IF(H242,Wh_hp,'2025'!Maxi_hp)</f>
        <v>39.731371026563743</v>
      </c>
      <c r="J242" s="85">
        <f>IF(H242,An,'2025'!An_max)</f>
        <v>2022</v>
      </c>
      <c r="K242" s="193">
        <f t="shared" si="79"/>
        <v>46250</v>
      </c>
      <c r="L242" s="143">
        <f>IF(t&lt;Tvie,1-EXP((T0-t)*PertePVj)+'2025'!Pspv,1-EXP((T0-t)*PertePVj)+Pspv)</f>
        <v>2.3377443645116069E-2</v>
      </c>
      <c r="M242" s="836"/>
      <c r="N242" s="836"/>
      <c r="O242" s="48">
        <f>IF(t&lt;Tnet,'2025'!Resal+('2025'!Salim-'2025'!Resal)*(1-EXP(('2025'!Tnet-t)/('2025'!Tau_j))),Resal+(Salim-Resal)*(1-EXP((Tnet-t)/(Tau_j))))*Salcycl</f>
        <v>2.9449540170923775E-2</v>
      </c>
      <c r="P242" s="334">
        <f>(INDEX(Models!$BJ242:$BT242,,T242)*(1-R242)+INDEX(Models!$BJ242:$BT242,,T242+1)*R242-ERP_i)*Q242*Ramure*Pc/MaxiM</f>
        <v>7.0432541474495415E-5</v>
      </c>
      <c r="Q242" s="301">
        <f t="shared" si="80"/>
        <v>0.5</v>
      </c>
      <c r="R242" s="173">
        <f t="shared" si="81"/>
        <v>0.46398373702294116</v>
      </c>
      <c r="S242" s="802">
        <f t="shared" si="82"/>
        <v>2</v>
      </c>
      <c r="T242" s="172">
        <f t="shared" si="83"/>
        <v>8</v>
      </c>
      <c r="U242" s="247">
        <f t="shared" si="84"/>
        <v>2.4639837370229412</v>
      </c>
      <c r="V242" s="378">
        <f t="shared" si="85"/>
        <v>53.078084939249024</v>
      </c>
      <c r="W242" s="397">
        <f t="shared" si="86"/>
        <v>37.657354277600874</v>
      </c>
      <c r="X242" s="153">
        <f t="shared" si="87"/>
        <v>46250</v>
      </c>
      <c r="Y242" s="380">
        <f t="shared" si="88"/>
        <v>36.627283281230376</v>
      </c>
      <c r="Z242" s="380">
        <f t="shared" si="89"/>
        <v>37.504031668014022</v>
      </c>
      <c r="AA242" s="381">
        <f t="shared" si="90"/>
        <v>39.728753012742992</v>
      </c>
      <c r="AB242" s="193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5.5997764239300106E-2</v>
      </c>
      <c r="AD242" s="227">
        <f>(INDEX(Models!$BJ242:$BT242,,AH242)*(1-AF242)+INDEX(Models!$BJ242:$BT242,,AH242+1)*AF242-ERP_i)*AE242*Ramure*Pc/MaxiM</f>
        <v>7.0432541474495415E-5</v>
      </c>
      <c r="AE242" s="301">
        <f t="shared" si="92"/>
        <v>0.5</v>
      </c>
      <c r="AF242" s="173">
        <f t="shared" si="93"/>
        <v>0.46398373702294116</v>
      </c>
      <c r="AG242" s="802">
        <f t="shared" si="99"/>
        <v>2</v>
      </c>
      <c r="AH242" s="172">
        <f t="shared" si="94"/>
        <v>8</v>
      </c>
      <c r="AI242" s="221">
        <f t="shared" si="95"/>
        <v>2.4639837370229412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46251</v>
      </c>
      <c r="B243" s="406">
        <f>'2025'!Wh/'2025'!Env_an*'2026'!Env_an</f>
        <v>26.193733904592825</v>
      </c>
      <c r="C243" s="832"/>
      <c r="D243" s="388">
        <f t="shared" si="77"/>
        <v>26.821101262997757</v>
      </c>
      <c r="E243" s="380">
        <f t="shared" si="100"/>
        <v>27.636312216301587</v>
      </c>
      <c r="F243" s="380">
        <f t="shared" si="78"/>
        <v>27.636903075871253</v>
      </c>
      <c r="G243" s="110">
        <f t="shared" si="101"/>
        <v>0.49583696710299158</v>
      </c>
      <c r="H243" s="409" t="b">
        <f>Wh_hp&gt;='2025'!Maxi_hp</f>
        <v>0</v>
      </c>
      <c r="I243" s="375">
        <f>IF(H243,Wh_hp,'2025'!Maxi_hp)</f>
        <v>27.638192909314213</v>
      </c>
      <c r="J243" s="85">
        <f>IF(H243,An,'2025'!An_max)</f>
        <v>2022</v>
      </c>
      <c r="K243" s="193">
        <f t="shared" si="79"/>
        <v>46251</v>
      </c>
      <c r="L243" s="143">
        <f>IF(t&lt;Tvie,1-EXP((T0-t)*PertePVj)+'2025'!Pspv,1-EXP((T0-t)*PertePVj)+Pspv)</f>
        <v>2.3390812787782322E-2</v>
      </c>
      <c r="M243" s="836"/>
      <c r="N243" s="836"/>
      <c r="O243" s="48">
        <f>IF(t&lt;Tnet,'2025'!Resal+('2025'!Salim-'2025'!Resal)*(1-EXP(('2025'!Tnet-t)/('2025'!Tau_j))),Resal+(Salim-Resal)*(1-EXP((Tnet-t)/(Tau_j))))*Salcycl</f>
        <v>2.9497819641180912E-2</v>
      </c>
      <c r="P243" s="334">
        <f>(INDEX(Models!$BJ243:$BT243,,T243)*(1-R243)+INDEX(Models!$BJ243:$BT243,,T243+1)*R243-ERP_i)*Q243*Ramure*Pc/MaxiM</f>
        <v>7.6407810492309052E-5</v>
      </c>
      <c r="Q243" s="301">
        <f t="shared" si="80"/>
        <v>0.5</v>
      </c>
      <c r="R243" s="173">
        <f t="shared" si="81"/>
        <v>0.46512196305779385</v>
      </c>
      <c r="S243" s="802">
        <f t="shared" si="82"/>
        <v>2</v>
      </c>
      <c r="T243" s="172">
        <f t="shared" si="83"/>
        <v>8</v>
      </c>
      <c r="U243" s="247">
        <f t="shared" si="84"/>
        <v>2.4651219630577939</v>
      </c>
      <c r="V243" s="378">
        <f t="shared" si="85"/>
        <v>52.824404413561076</v>
      </c>
      <c r="W243" s="397">
        <f t="shared" si="86"/>
        <v>26.193733904592825</v>
      </c>
      <c r="X243" s="153">
        <f t="shared" si="87"/>
        <v>46251</v>
      </c>
      <c r="Y243" s="380">
        <f t="shared" si="88"/>
        <v>25.477890527036884</v>
      </c>
      <c r="Z243" s="380">
        <f t="shared" si="89"/>
        <v>26.088112686882319</v>
      </c>
      <c r="AA243" s="381">
        <f t="shared" si="90"/>
        <v>27.636312216301587</v>
      </c>
      <c r="AB243" s="193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5.6020481940642054E-2</v>
      </c>
      <c r="AD243" s="227">
        <f>(INDEX(Models!$BJ243:$BT243,,AH243)*(1-AF243)+INDEX(Models!$BJ243:$BT243,,AH243+1)*AF243-ERP_i)*AE243*Ramure*Pc/MaxiM</f>
        <v>7.6407810492309052E-5</v>
      </c>
      <c r="AE243" s="301">
        <f t="shared" si="92"/>
        <v>0.5</v>
      </c>
      <c r="AF243" s="173">
        <f t="shared" si="93"/>
        <v>0.46512196305779385</v>
      </c>
      <c r="AG243" s="802">
        <f t="shared" si="99"/>
        <v>2</v>
      </c>
      <c r="AH243" s="172">
        <f t="shared" si="94"/>
        <v>8</v>
      </c>
      <c r="AI243" s="221">
        <f t="shared" si="95"/>
        <v>2.4651219630577939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46252</v>
      </c>
      <c r="B244" s="406">
        <f>'2025'!Wh/'2025'!Env_an*'2026'!Env_an</f>
        <v>39.967548808003698</v>
      </c>
      <c r="C244" s="832"/>
      <c r="D244" s="388">
        <f t="shared" si="77"/>
        <v>40.925373691972361</v>
      </c>
      <c r="E244" s="380">
        <f t="shared" si="100"/>
        <v>42.171367579496213</v>
      </c>
      <c r="F244" s="380">
        <f t="shared" si="78"/>
        <v>42.173669423474664</v>
      </c>
      <c r="G244" s="110">
        <f t="shared" si="101"/>
        <v>0.7602472192214661</v>
      </c>
      <c r="H244" s="409" t="b">
        <f>Wh_hp&gt;='2025'!Maxi_hp</f>
        <v>0</v>
      </c>
      <c r="I244" s="375">
        <f>IF(H244,Wh_hp,'2025'!Maxi_hp)</f>
        <v>42.174690936516853</v>
      </c>
      <c r="J244" s="85">
        <f>IF(H244,An,'2025'!An_max)</f>
        <v>2022</v>
      </c>
      <c r="K244" s="193">
        <f t="shared" si="79"/>
        <v>46252</v>
      </c>
      <c r="L244" s="143">
        <f>IF(t&lt;Tvie,1-EXP((T0-t)*PertePVj)+'2025'!Pspv,1-EXP((T0-t)*PertePVj)+Pspv)</f>
        <v>2.3404181747436192E-2</v>
      </c>
      <c r="M244" s="836"/>
      <c r="N244" s="836"/>
      <c r="O244" s="48">
        <f>IF(t&lt;Tnet,'2025'!Resal+('2025'!Salim-'2025'!Resal)*(1-EXP(('2025'!Tnet-t)/('2025'!Tau_j))),Resal+(Salim-Resal)*(1-EXP((Tnet-t)/(Tau_j))))*Salcycl</f>
        <v>2.9545968249074645E-2</v>
      </c>
      <c r="P244" s="334">
        <f>(INDEX(Models!$BJ244:$BT244,,T244)*(1-R244)+INDEX(Models!$BJ244:$BT244,,T244+1)*R244-ERP_i)*Q244*Ramure*Pc/MaxiM</f>
        <v>8.3008194127310583E-5</v>
      </c>
      <c r="Q244" s="301">
        <f t="shared" si="80"/>
        <v>0.5</v>
      </c>
      <c r="R244" s="173">
        <f t="shared" si="81"/>
        <v>0.46621954786260744</v>
      </c>
      <c r="S244" s="802">
        <f t="shared" si="82"/>
        <v>2</v>
      </c>
      <c r="T244" s="172">
        <f t="shared" si="83"/>
        <v>8</v>
      </c>
      <c r="U244" s="247">
        <f t="shared" si="84"/>
        <v>2.4662195478626074</v>
      </c>
      <c r="V244" s="378">
        <f t="shared" si="85"/>
        <v>52.570284422101885</v>
      </c>
      <c r="W244" s="397">
        <f t="shared" si="86"/>
        <v>39.967548808003698</v>
      </c>
      <c r="X244" s="153">
        <f t="shared" si="87"/>
        <v>46252</v>
      </c>
      <c r="Y244" s="380">
        <f t="shared" si="88"/>
        <v>38.876284079395397</v>
      </c>
      <c r="Z244" s="380">
        <f t="shared" si="89"/>
        <v>39.807956733787023</v>
      </c>
      <c r="AA244" s="381">
        <f t="shared" si="90"/>
        <v>42.171367579496213</v>
      </c>
      <c r="AB244" s="193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5.6043021162498069E-2</v>
      </c>
      <c r="AD244" s="227">
        <f>(INDEX(Models!$BJ244:$BT244,,AH244)*(1-AF244)+INDEX(Models!$BJ244:$BT244,,AH244+1)*AF244-ERP_i)*AE244*Ramure*Pc/MaxiM</f>
        <v>8.3008194127310583E-5</v>
      </c>
      <c r="AE244" s="301">
        <f t="shared" si="92"/>
        <v>0.5</v>
      </c>
      <c r="AF244" s="173">
        <f t="shared" si="93"/>
        <v>0.46621954786260744</v>
      </c>
      <c r="AG244" s="802">
        <f t="shared" si="99"/>
        <v>2</v>
      </c>
      <c r="AH244" s="172">
        <f t="shared" si="94"/>
        <v>8</v>
      </c>
      <c r="AI244" s="221">
        <f t="shared" si="95"/>
        <v>2.4662195478626074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46253</v>
      </c>
      <c r="B245" s="406">
        <f>'2025'!Wh/'2025'!Env_an*'2026'!Env_an</f>
        <v>39.566587671030554</v>
      </c>
      <c r="C245" s="832"/>
      <c r="D245" s="388">
        <f t="shared" si="77"/>
        <v>40.51535811673029</v>
      </c>
      <c r="E245" s="380">
        <f t="shared" si="100"/>
        <v>41.750934547705199</v>
      </c>
      <c r="F245" s="380">
        <f t="shared" si="78"/>
        <v>41.753390686274678</v>
      </c>
      <c r="G245" s="110">
        <f t="shared" si="101"/>
        <v>0.75627566241404209</v>
      </c>
      <c r="H245" s="409" t="b">
        <f>Wh_hp&gt;='2025'!Maxi_hp</f>
        <v>0</v>
      </c>
      <c r="I245" s="375">
        <f>IF(H245,Wh_hp,'2025'!Maxi_hp)</f>
        <v>41.754513954757151</v>
      </c>
      <c r="J245" s="85">
        <f>IF(H245,An,'2025'!An_max)</f>
        <v>2022</v>
      </c>
      <c r="K245" s="193">
        <f t="shared" si="79"/>
        <v>46253</v>
      </c>
      <c r="L245" s="143">
        <f>IF(t&lt;Tvie,1-EXP((T0-t)*PertePVj)+'2025'!Pspv,1-EXP((T0-t)*PertePVj)+Pspv)</f>
        <v>2.3417550524080233E-2</v>
      </c>
      <c r="M245" s="836"/>
      <c r="N245" s="836"/>
      <c r="O245" s="48">
        <f>IF(t&lt;Tnet,'2025'!Resal+('2025'!Salim-'2025'!Resal)*(1-EXP(('2025'!Tnet-t)/('2025'!Tau_j))),Resal+(Salim-Resal)*(1-EXP((Tnet-t)/(Tau_j))))*Salcycl</f>
        <v>2.9593982610452128E-2</v>
      </c>
      <c r="P245" s="334">
        <f>(INDEX(Models!$BJ245:$BT245,,T245)*(1-R245)+INDEX(Models!$BJ245:$BT245,,T245+1)*R245-ERP_i)*Q245*Ramure*Pc/MaxiM</f>
        <v>9.0242108637640138E-5</v>
      </c>
      <c r="Q245" s="301">
        <f t="shared" si="80"/>
        <v>0.5</v>
      </c>
      <c r="R245" s="173">
        <f t="shared" si="81"/>
        <v>0.46727775191204701</v>
      </c>
      <c r="S245" s="802">
        <f t="shared" si="82"/>
        <v>2</v>
      </c>
      <c r="T245" s="172">
        <f t="shared" si="83"/>
        <v>8</v>
      </c>
      <c r="U245" s="247">
        <f t="shared" si="84"/>
        <v>2.467277751912047</v>
      </c>
      <c r="V245" s="378">
        <f t="shared" si="85"/>
        <v>52.316035662752299</v>
      </c>
      <c r="W245" s="397">
        <f t="shared" si="86"/>
        <v>39.566587671030554</v>
      </c>
      <c r="X245" s="153">
        <f t="shared" si="87"/>
        <v>46253</v>
      </c>
      <c r="Y245" s="380">
        <f t="shared" si="88"/>
        <v>38.487263462340671</v>
      </c>
      <c r="Z245" s="380">
        <f t="shared" si="89"/>
        <v>39.410152704459058</v>
      </c>
      <c r="AA245" s="381">
        <f t="shared" si="90"/>
        <v>41.750934547705199</v>
      </c>
      <c r="AB245" s="193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5.6065375987489036E-2</v>
      </c>
      <c r="AD245" s="227">
        <f>(INDEX(Models!$BJ245:$BT245,,AH245)*(1-AF245)+INDEX(Models!$BJ245:$BT245,,AH245+1)*AF245-ERP_i)*AE245*Ramure*Pc/MaxiM</f>
        <v>9.0242108637640138E-5</v>
      </c>
      <c r="AE245" s="301">
        <f t="shared" si="92"/>
        <v>0.5</v>
      </c>
      <c r="AF245" s="173">
        <f t="shared" si="93"/>
        <v>0.46727775191204701</v>
      </c>
      <c r="AG245" s="802">
        <f t="shared" si="99"/>
        <v>2</v>
      </c>
      <c r="AH245" s="172">
        <f t="shared" si="94"/>
        <v>8</v>
      </c>
      <c r="AI245" s="221">
        <f t="shared" si="95"/>
        <v>2.467277751912047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46254</v>
      </c>
      <c r="B246" s="406">
        <f>'2025'!Wh/'2025'!Env_an*'2026'!Env_an</f>
        <v>51.637202200975779</v>
      </c>
      <c r="C246" s="832"/>
      <c r="D246" s="388">
        <f t="shared" si="77"/>
        <v>52.876138730835159</v>
      </c>
      <c r="E246" s="380">
        <f t="shared" si="100"/>
        <v>54.49136406758285</v>
      </c>
      <c r="F246" s="380">
        <f t="shared" si="78"/>
        <v>54.496648835524454</v>
      </c>
      <c r="G246" s="110">
        <f t="shared" si="101"/>
        <v>0.99184000064452826</v>
      </c>
      <c r="H246" s="409" t="b">
        <f>Wh_hp&gt;='2025'!Maxi_hp</f>
        <v>0</v>
      </c>
      <c r="I246" s="375">
        <f>IF(H246,Wh_hp,'2025'!Maxi_hp)</f>
        <v>54.496702481805315</v>
      </c>
      <c r="J246" s="85">
        <f>IF(H246,An,'2025'!An_max)</f>
        <v>2022</v>
      </c>
      <c r="K246" s="193">
        <f t="shared" si="79"/>
        <v>46254</v>
      </c>
      <c r="L246" s="143">
        <f>IF(t&lt;Tvie,1-EXP((T0-t)*PertePVj)+'2025'!Pspv,1-EXP((T0-t)*PertePVj)+Pspv)</f>
        <v>2.3430919117716997E-2</v>
      </c>
      <c r="M246" s="836"/>
      <c r="N246" s="836"/>
      <c r="O246" s="48">
        <f>IF(t&lt;Tnet,'2025'!Resal+('2025'!Salim-'2025'!Resal)*(1-EXP(('2025'!Tnet-t)/('2025'!Tau_j))),Resal+(Salim-Resal)*(1-EXP((Tnet-t)/(Tau_j))))*Salcycl</f>
        <v>2.964185911632548E-2</v>
      </c>
      <c r="P246" s="334">
        <f>(INDEX(Models!$BJ246:$BT246,,T246)*(1-R246)+INDEX(Models!$BJ246:$BT246,,T246+1)*R246-ERP_i)*Q246*Ramure*Pc/MaxiM</f>
        <v>9.8117796051348601E-5</v>
      </c>
      <c r="Q246" s="301">
        <f t="shared" si="80"/>
        <v>0.5</v>
      </c>
      <c r="R246" s="173">
        <f t="shared" si="81"/>
        <v>0.46829781098133205</v>
      </c>
      <c r="S246" s="802">
        <f t="shared" si="82"/>
        <v>2</v>
      </c>
      <c r="T246" s="172">
        <f t="shared" si="83"/>
        <v>8</v>
      </c>
      <c r="U246" s="247">
        <f t="shared" si="84"/>
        <v>2.4682978109813321</v>
      </c>
      <c r="V246" s="378">
        <f t="shared" si="85"/>
        <v>52.061968773856947</v>
      </c>
      <c r="W246" s="397">
        <f t="shared" si="86"/>
        <v>51.637202200975779</v>
      </c>
      <c r="X246" s="153">
        <f t="shared" si="87"/>
        <v>46254</v>
      </c>
      <c r="Y246" s="380">
        <f t="shared" si="88"/>
        <v>50.229906359622959</v>
      </c>
      <c r="Z246" s="380">
        <f t="shared" si="89"/>
        <v>51.435077500347099</v>
      </c>
      <c r="AA246" s="381">
        <f t="shared" si="90"/>
        <v>54.49136406758285</v>
      </c>
      <c r="AB246" s="193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5.608754009984393E-2</v>
      </c>
      <c r="AD246" s="227">
        <f>(INDEX(Models!$BJ246:$BT246,,AH246)*(1-AF246)+INDEX(Models!$BJ246:$BT246,,AH246+1)*AF246-ERP_i)*AE246*Ramure*Pc/MaxiM</f>
        <v>9.8117796051348601E-5</v>
      </c>
      <c r="AE246" s="301">
        <f t="shared" si="92"/>
        <v>0.5</v>
      </c>
      <c r="AF246" s="173">
        <f t="shared" si="93"/>
        <v>0.46829781098133205</v>
      </c>
      <c r="AG246" s="802">
        <f t="shared" si="99"/>
        <v>2</v>
      </c>
      <c r="AH246" s="172">
        <f t="shared" si="94"/>
        <v>8</v>
      </c>
      <c r="AI246" s="221">
        <f t="shared" si="95"/>
        <v>2.4682978109813321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46255</v>
      </c>
      <c r="B247" s="406">
        <f>'2025'!Wh/'2025'!Env_an*'2026'!Env_an</f>
        <v>37.26279498340309</v>
      </c>
      <c r="C247" s="832"/>
      <c r="D247" s="388">
        <f t="shared" si="77"/>
        <v>38.157367273077938</v>
      </c>
      <c r="E247" s="380">
        <f t="shared" si="100"/>
        <v>39.324907818305924</v>
      </c>
      <c r="F247" s="380">
        <f t="shared" si="78"/>
        <v>39.32741963686918</v>
      </c>
      <c r="G247" s="110">
        <f t="shared" si="101"/>
        <v>0.71920686610432716</v>
      </c>
      <c r="H247" s="409" t="b">
        <f>Wh_hp&gt;='2025'!Maxi_hp</f>
        <v>0</v>
      </c>
      <c r="I247" s="375">
        <f>IF(H247,Wh_hp,'2025'!Maxi_hp)</f>
        <v>39.328875280006322</v>
      </c>
      <c r="J247" s="85">
        <f>IF(H247,An,'2025'!An_max)</f>
        <v>2022</v>
      </c>
      <c r="K247" s="193">
        <f t="shared" si="79"/>
        <v>46255</v>
      </c>
      <c r="L247" s="143">
        <f>IF(t&lt;Tvie,1-EXP((T0-t)*PertePVj)+'2025'!Pspv,1-EXP((T0-t)*PertePVj)+Pspv)</f>
        <v>2.3444287528348928E-2</v>
      </c>
      <c r="M247" s="836"/>
      <c r="N247" s="836"/>
      <c r="O247" s="48">
        <f>IF(t&lt;Tnet,'2025'!Resal+('2025'!Salim-'2025'!Resal)*(1-EXP(('2025'!Tnet-t)/('2025'!Tau_j))),Resal+(Salim-Resal)*(1-EXP((Tnet-t)/(Tau_j))))*Salcycl</f>
        <v>2.9689593949524511E-2</v>
      </c>
      <c r="P247" s="334">
        <f>(INDEX(Models!$BJ247:$BT247,,T247)*(1-R247)+INDEX(Models!$BJ247:$BT247,,T247+1)*R247-ERP_i)*Q247*Ramure*Pc/MaxiM</f>
        <v>1.0664256787487535E-4</v>
      </c>
      <c r="Q247" s="301">
        <f t="shared" si="80"/>
        <v>0.5</v>
      </c>
      <c r="R247" s="173">
        <f t="shared" si="81"/>
        <v>0.4692809354649965</v>
      </c>
      <c r="S247" s="802">
        <f t="shared" si="82"/>
        <v>2</v>
      </c>
      <c r="T247" s="172">
        <f t="shared" si="83"/>
        <v>8</v>
      </c>
      <c r="U247" s="247">
        <f t="shared" si="84"/>
        <v>2.4692809354649965</v>
      </c>
      <c r="V247" s="378">
        <f t="shared" si="85"/>
        <v>51.808739306838824</v>
      </c>
      <c r="W247" s="397">
        <f t="shared" si="86"/>
        <v>37.26279498340309</v>
      </c>
      <c r="X247" s="153">
        <f t="shared" si="87"/>
        <v>46255</v>
      </c>
      <c r="Y247" s="380">
        <f t="shared" si="88"/>
        <v>36.248192037168359</v>
      </c>
      <c r="Z247" s="380">
        <f t="shared" si="89"/>
        <v>37.118406634911395</v>
      </c>
      <c r="AA247" s="381">
        <f t="shared" si="90"/>
        <v>39.324907818305924</v>
      </c>
      <c r="AB247" s="193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5.6109506819171623E-2</v>
      </c>
      <c r="AD247" s="227">
        <f>(INDEX(Models!$BJ247:$BT247,,AH247)*(1-AF247)+INDEX(Models!$BJ247:$BT247,,AH247+1)*AF247-ERP_i)*AE247*Ramure*Pc/MaxiM</f>
        <v>1.0664256787487535E-4</v>
      </c>
      <c r="AE247" s="301">
        <f t="shared" si="92"/>
        <v>0.5</v>
      </c>
      <c r="AF247" s="173">
        <f t="shared" si="93"/>
        <v>0.4692809354649965</v>
      </c>
      <c r="AG247" s="802">
        <f t="shared" si="99"/>
        <v>2</v>
      </c>
      <c r="AH247" s="172">
        <f t="shared" si="94"/>
        <v>8</v>
      </c>
      <c r="AI247" s="221">
        <f t="shared" si="95"/>
        <v>2.4692809354649965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46256</v>
      </c>
      <c r="B248" s="406">
        <f>'2025'!Wh/'2025'!Env_an*'2026'!Env_an</f>
        <v>27.257051998637266</v>
      </c>
      <c r="C248" s="832"/>
      <c r="D248" s="388">
        <f t="shared" si="77"/>
        <v>27.911797331981528</v>
      </c>
      <c r="E248" s="380">
        <f t="shared" si="100"/>
        <v>28.767254444640795</v>
      </c>
      <c r="F248" s="380">
        <f t="shared" si="78"/>
        <v>28.768345900978218</v>
      </c>
      <c r="G248" s="110">
        <f t="shared" si="101"/>
        <v>0.52864246108113078</v>
      </c>
      <c r="H248" s="409" t="b">
        <f>Wh_hp&gt;='2025'!Maxi_hp</f>
        <v>0</v>
      </c>
      <c r="I248" s="375">
        <f>IF(H248,Wh_hp,'2025'!Maxi_hp)</f>
        <v>28.770301944261828</v>
      </c>
      <c r="J248" s="85">
        <f>IF(H248,An,'2025'!An_max)</f>
        <v>2022</v>
      </c>
      <c r="K248" s="193">
        <f t="shared" si="79"/>
        <v>46256</v>
      </c>
      <c r="L248" s="143">
        <f>IF(t&lt;Tvie,1-EXP((T0-t)*PertePVj)+'2025'!Pspv,1-EXP((T0-t)*PertePVj)+Pspv)</f>
        <v>2.3457655755978468E-2</v>
      </c>
      <c r="M248" s="836"/>
      <c r="N248" s="836"/>
      <c r="O248" s="48">
        <f>IF(t&lt;Tnet,'2025'!Resal+('2025'!Salim-'2025'!Resal)*(1-EXP(('2025'!Tnet-t)/('2025'!Tau_j))),Resal+(Salim-Resal)*(1-EXP((Tnet-t)/(Tau_j))))*Salcycl</f>
        <v>2.9737183098425123E-2</v>
      </c>
      <c r="P248" s="334">
        <f>(INDEX(Models!$BJ248:$BT248,,T248)*(1-R248)+INDEX(Models!$BJ248:$BT248,,T248+1)*R248-ERP_i)*Q248*Ramure*Pc/MaxiM</f>
        <v>1.161325897453062E-4</v>
      </c>
      <c r="Q248" s="301">
        <f t="shared" si="80"/>
        <v>0.5</v>
      </c>
      <c r="R248" s="173">
        <f t="shared" si="81"/>
        <v>0.47022830981661468</v>
      </c>
      <c r="S248" s="802">
        <f t="shared" si="82"/>
        <v>2</v>
      </c>
      <c r="T248" s="172">
        <f t="shared" si="83"/>
        <v>8</v>
      </c>
      <c r="U248" s="247">
        <f t="shared" si="84"/>
        <v>2.4702283098166147</v>
      </c>
      <c r="V248" s="378">
        <f t="shared" si="85"/>
        <v>51.556434851290433</v>
      </c>
      <c r="W248" s="397">
        <f t="shared" si="86"/>
        <v>27.257051998637266</v>
      </c>
      <c r="X248" s="153">
        <f t="shared" si="87"/>
        <v>46256</v>
      </c>
      <c r="Y248" s="380">
        <f t="shared" si="88"/>
        <v>26.515577665245392</v>
      </c>
      <c r="Z248" s="380">
        <f t="shared" si="89"/>
        <v>27.152511943321933</v>
      </c>
      <c r="AA248" s="381">
        <f t="shared" si="90"/>
        <v>28.767254444640795</v>
      </c>
      <c r="AB248" s="193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5.6131269128454404E-2</v>
      </c>
      <c r="AD248" s="227">
        <f>(INDEX(Models!$BJ248:$BT248,,AH248)*(1-AF248)+INDEX(Models!$BJ248:$BT248,,AH248+1)*AF248-ERP_i)*AE248*Ramure*Pc/MaxiM</f>
        <v>1.161325897453062E-4</v>
      </c>
      <c r="AE248" s="301">
        <f t="shared" si="92"/>
        <v>0.5</v>
      </c>
      <c r="AF248" s="173">
        <f t="shared" si="93"/>
        <v>0.47022830981661468</v>
      </c>
      <c r="AG248" s="802">
        <f t="shared" si="99"/>
        <v>2</v>
      </c>
      <c r="AH248" s="172">
        <f t="shared" si="94"/>
        <v>8</v>
      </c>
      <c r="AI248" s="221">
        <f t="shared" si="95"/>
        <v>2.4702283098166147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46257</v>
      </c>
      <c r="B249" s="406">
        <f>'2025'!Wh/'2025'!Env_an*'2026'!Env_an</f>
        <v>46.109925724713349</v>
      </c>
      <c r="C249" s="832"/>
      <c r="D249" s="388">
        <f t="shared" si="77"/>
        <v>47.218184865513336</v>
      </c>
      <c r="E249" s="380">
        <f t="shared" si="100"/>
        <v>48.667734973177737</v>
      </c>
      <c r="F249" s="380">
        <f t="shared" si="78"/>
        <v>48.673007815791671</v>
      </c>
      <c r="G249" s="110">
        <f t="shared" si="101"/>
        <v>0.89873303644608893</v>
      </c>
      <c r="H249" s="409" t="b">
        <f>Wh_hp&gt;='2025'!Maxi_hp</f>
        <v>0</v>
      </c>
      <c r="I249" s="375">
        <f>IF(H249,Wh_hp,'2025'!Maxi_hp)</f>
        <v>48.673786569897885</v>
      </c>
      <c r="J249" s="85">
        <f>IF(H249,An,'2025'!An_max)</f>
        <v>2022</v>
      </c>
      <c r="K249" s="193">
        <f t="shared" si="79"/>
        <v>46257</v>
      </c>
      <c r="L249" s="143">
        <f>IF(t&lt;Tvie,1-EXP((T0-t)*PertePVj)+'2025'!Pspv,1-EXP((T0-t)*PertePVj)+Pspv)</f>
        <v>2.3471023800608282E-2</v>
      </c>
      <c r="M249" s="836"/>
      <c r="N249" s="836"/>
      <c r="O249" s="48">
        <f>IF(t&lt;Tnet,'2025'!Resal+('2025'!Salim-'2025'!Resal)*(1-EXP(('2025'!Tnet-t)/('2025'!Tau_j))),Resal+(Salim-Resal)*(1-EXP((Tnet-t)/(Tau_j))))*Salcycl</f>
        <v>2.9784622367638191E-2</v>
      </c>
      <c r="P249" s="334">
        <f>(INDEX(Models!$BJ249:$BT249,,T249)*(1-R249)+INDEX(Models!$BJ249:$BT249,,T249+1)*R249-ERP_i)*Q249*Ramure*Pc/MaxiM</f>
        <v>1.2665125509195098E-4</v>
      </c>
      <c r="Q249" s="301">
        <f t="shared" si="80"/>
        <v>0.5</v>
      </c>
      <c r="R249" s="173">
        <f t="shared" si="81"/>
        <v>0.4711410921010013</v>
      </c>
      <c r="S249" s="802">
        <f t="shared" si="82"/>
        <v>2</v>
      </c>
      <c r="T249" s="172">
        <f t="shared" si="83"/>
        <v>8</v>
      </c>
      <c r="U249" s="247">
        <f t="shared" si="84"/>
        <v>2.4711410921010013</v>
      </c>
      <c r="V249" s="378">
        <f t="shared" si="85"/>
        <v>51.304535454103878</v>
      </c>
      <c r="W249" s="397">
        <f t="shared" si="86"/>
        <v>46.109925724713349</v>
      </c>
      <c r="X249" s="153">
        <f t="shared" si="87"/>
        <v>46257</v>
      </c>
      <c r="Y249" s="380">
        <f t="shared" si="88"/>
        <v>44.856765191145193</v>
      </c>
      <c r="Z249" s="380">
        <f t="shared" si="89"/>
        <v>45.934904426211467</v>
      </c>
      <c r="AA249" s="381">
        <f t="shared" si="90"/>
        <v>48.667734973177737</v>
      </c>
      <c r="AB249" s="193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5.6152819696096617E-2</v>
      </c>
      <c r="AD249" s="227">
        <f>(INDEX(Models!$BJ249:$BT249,,AH249)*(1-AF249)+INDEX(Models!$BJ249:$BT249,,AH249+1)*AF249-ERP_i)*AE249*Ramure*Pc/MaxiM</f>
        <v>1.2665125509195098E-4</v>
      </c>
      <c r="AE249" s="301">
        <f t="shared" si="92"/>
        <v>0.5</v>
      </c>
      <c r="AF249" s="173">
        <f t="shared" si="93"/>
        <v>0.4711410921010013</v>
      </c>
      <c r="AG249" s="802">
        <f t="shared" si="99"/>
        <v>2</v>
      </c>
      <c r="AH249" s="172">
        <f t="shared" si="94"/>
        <v>8</v>
      </c>
      <c r="AI249" s="221">
        <f t="shared" si="95"/>
        <v>2.4711410921010013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46258</v>
      </c>
      <c r="B250" s="406">
        <f>'2025'!Wh/'2025'!Env_an*'2026'!Env_an</f>
        <v>50.08145022785282</v>
      </c>
      <c r="C250" s="832"/>
      <c r="D250" s="388">
        <f t="shared" si="77"/>
        <v>51.285867630013904</v>
      </c>
      <c r="E250" s="380">
        <f t="shared" si="100"/>
        <v>52.862867806556096</v>
      </c>
      <c r="F250" s="380">
        <f t="shared" si="78"/>
        <v>52.869976565290358</v>
      </c>
      <c r="G250" s="110">
        <f t="shared" si="101"/>
        <v>0.98097524488225329</v>
      </c>
      <c r="H250" s="409" t="b">
        <f>Wh_hp&gt;='2025'!Maxi_hp</f>
        <v>0</v>
      </c>
      <c r="I250" s="375">
        <f>IF(H250,Wh_hp,'2025'!Maxi_hp)</f>
        <v>52.870150667804495</v>
      </c>
      <c r="J250" s="85">
        <f>IF(H250,An,'2025'!An_max)</f>
        <v>2022</v>
      </c>
      <c r="K250" s="193">
        <f t="shared" si="79"/>
        <v>46258</v>
      </c>
      <c r="L250" s="143">
        <f>IF(t&lt;Tvie,1-EXP((T0-t)*PertePVj)+'2025'!Pspv,1-EXP((T0-t)*PertePVj)+Pspv)</f>
        <v>2.3484391662240811E-2</v>
      </c>
      <c r="M250" s="836"/>
      <c r="N250" s="836"/>
      <c r="O250" s="48">
        <f>IF(t&lt;Tnet,'2025'!Resal+('2025'!Salim-'2025'!Resal)*(1-EXP(('2025'!Tnet-t)/('2025'!Tau_j))),Resal+(Salim-Resal)*(1-EXP((Tnet-t)/(Tau_j))))*Salcycl</f>
        <v>2.9831907385596136E-2</v>
      </c>
      <c r="P250" s="334">
        <f>(INDEX(Models!$BJ250:$BT250,,T250)*(1-R250)+INDEX(Models!$BJ250:$BT250,,T250+1)*R250-ERP_i)*Q250*Ramure*Pc/MaxiM</f>
        <v>1.3821304098914663E-4</v>
      </c>
      <c r="Q250" s="301">
        <f t="shared" si="80"/>
        <v>0.5</v>
      </c>
      <c r="R250" s="173">
        <f t="shared" si="81"/>
        <v>0.47202041365066538</v>
      </c>
      <c r="S250" s="802">
        <f t="shared" si="82"/>
        <v>2</v>
      </c>
      <c r="T250" s="172">
        <f t="shared" si="83"/>
        <v>8</v>
      </c>
      <c r="U250" s="247">
        <f t="shared" si="84"/>
        <v>2.4720204136506654</v>
      </c>
      <c r="V250" s="378">
        <f t="shared" si="85"/>
        <v>51.052523878740381</v>
      </c>
      <c r="W250" s="397">
        <f t="shared" si="86"/>
        <v>50.08145022785282</v>
      </c>
      <c r="X250" s="153">
        <f t="shared" si="87"/>
        <v>46258</v>
      </c>
      <c r="Y250" s="380">
        <f t="shared" si="88"/>
        <v>48.721626330224012</v>
      </c>
      <c r="Z250" s="380">
        <f t="shared" si="89"/>
        <v>49.893341093808793</v>
      </c>
      <c r="AA250" s="381">
        <f t="shared" si="90"/>
        <v>52.862867806556096</v>
      </c>
      <c r="AB250" s="193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5.6174150891961629E-2</v>
      </c>
      <c r="AD250" s="227">
        <f>(INDEX(Models!$BJ250:$BT250,,AH250)*(1-AF250)+INDEX(Models!$BJ250:$BT250,,AH250+1)*AF250-ERP_i)*AE250*Ramure*Pc/MaxiM</f>
        <v>1.3821304098914663E-4</v>
      </c>
      <c r="AE250" s="301">
        <f t="shared" si="92"/>
        <v>0.5</v>
      </c>
      <c r="AF250" s="173">
        <f t="shared" si="93"/>
        <v>0.47202041365066538</v>
      </c>
      <c r="AG250" s="802">
        <f t="shared" si="99"/>
        <v>2</v>
      </c>
      <c r="AH250" s="172">
        <f t="shared" si="94"/>
        <v>8</v>
      </c>
      <c r="AI250" s="221">
        <f t="shared" si="95"/>
        <v>2.4720204136506654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46259</v>
      </c>
      <c r="B251" s="406">
        <f>'2025'!Wh/'2025'!Env_an*'2026'!Env_an</f>
        <v>32.121901619607605</v>
      </c>
      <c r="C251" s="832"/>
      <c r="D251" s="388">
        <f t="shared" si="77"/>
        <v>32.894857054220275</v>
      </c>
      <c r="E251" s="380">
        <f t="shared" si="100"/>
        <v>33.907995181874249</v>
      </c>
      <c r="F251" s="380">
        <f t="shared" si="78"/>
        <v>33.910423418538237</v>
      </c>
      <c r="G251" s="110">
        <f t="shared" si="101"/>
        <v>0.63227225426947642</v>
      </c>
      <c r="H251" s="409" t="b">
        <f>Wh_hp&gt;='2025'!Maxi_hp</f>
        <v>0</v>
      </c>
      <c r="I251" s="375">
        <f>IF(H251,Wh_hp,'2025'!Maxi_hp)</f>
        <v>33.91278728080961</v>
      </c>
      <c r="J251" s="85">
        <f>IF(H251,An,'2025'!An_max)</f>
        <v>2022</v>
      </c>
      <c r="K251" s="193">
        <f t="shared" si="79"/>
        <v>46259</v>
      </c>
      <c r="L251" s="143">
        <f>IF(t&lt;Tvie,1-EXP((T0-t)*PertePVj)+'2025'!Pspv,1-EXP((T0-t)*PertePVj)+Pspv)</f>
        <v>2.3497759340878499E-2</v>
      </c>
      <c r="M251" s="836"/>
      <c r="N251" s="836"/>
      <c r="O251" s="48">
        <f>IF(t&lt;Tnet,'2025'!Resal+('2025'!Salim-'2025'!Resal)*(1-EXP(('2025'!Tnet-t)/('2025'!Tau_j))),Resal+(Salim-Resal)*(1-EXP((Tnet-t)/(Tau_j))))*Salcycl</f>
        <v>2.9879033609027879E-2</v>
      </c>
      <c r="P251" s="334">
        <f>(INDEX(Models!$BJ251:$BT251,,T251)*(1-R251)+INDEX(Models!$BJ251:$BT251,,T251+1)*R251-ERP_i)*Q251*Ramure*Pc/MaxiM</f>
        <v>1.5083297053055232E-4</v>
      </c>
      <c r="Q251" s="301">
        <f t="shared" si="80"/>
        <v>0.5</v>
      </c>
      <c r="R251" s="173">
        <f t="shared" si="81"/>
        <v>0.47286737881863017</v>
      </c>
      <c r="S251" s="802">
        <f t="shared" si="82"/>
        <v>2</v>
      </c>
      <c r="T251" s="172">
        <f t="shared" si="83"/>
        <v>8</v>
      </c>
      <c r="U251" s="247">
        <f t="shared" si="84"/>
        <v>2.4728673788186302</v>
      </c>
      <c r="V251" s="378">
        <f t="shared" si="85"/>
        <v>50.799883031293191</v>
      </c>
      <c r="W251" s="397">
        <f t="shared" si="86"/>
        <v>32.121901619607605</v>
      </c>
      <c r="X251" s="153">
        <f t="shared" si="87"/>
        <v>46259</v>
      </c>
      <c r="Y251" s="380">
        <f t="shared" si="88"/>
        <v>31.250539081017692</v>
      </c>
      <c r="Z251" s="380">
        <f t="shared" si="89"/>
        <v>32.002526752958744</v>
      </c>
      <c r="AA251" s="381">
        <f t="shared" si="90"/>
        <v>33.907995181874249</v>
      </c>
      <c r="AB251" s="193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5.6195254797431503E-2</v>
      </c>
      <c r="AD251" s="227">
        <f>(INDEX(Models!$BJ251:$BT251,,AH251)*(1-AF251)+INDEX(Models!$BJ251:$BT251,,AH251+1)*AF251-ERP_i)*AE251*Ramure*Pc/MaxiM</f>
        <v>1.5083297053055232E-4</v>
      </c>
      <c r="AE251" s="301">
        <f t="shared" si="92"/>
        <v>0.5</v>
      </c>
      <c r="AF251" s="173">
        <f t="shared" si="93"/>
        <v>0.47286737881863017</v>
      </c>
      <c r="AG251" s="802">
        <f t="shared" si="99"/>
        <v>2</v>
      </c>
      <c r="AH251" s="172">
        <f t="shared" si="94"/>
        <v>8</v>
      </c>
      <c r="AI251" s="221">
        <f t="shared" si="95"/>
        <v>2.4728673788186302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46260</v>
      </c>
      <c r="B252" s="406">
        <f>'2025'!Wh/'2025'!Env_an*'2026'!Env_an</f>
        <v>37.021558177925918</v>
      </c>
      <c r="C252" s="832"/>
      <c r="D252" s="388">
        <f t="shared" si="77"/>
        <v>37.912933977413644</v>
      </c>
      <c r="E252" s="380">
        <f t="shared" si="100"/>
        <v>39.082517244829411</v>
      </c>
      <c r="F252" s="380">
        <f t="shared" si="78"/>
        <v>39.08648991233057</v>
      </c>
      <c r="G252" s="110">
        <f t="shared" si="101"/>
        <v>0.73238553826629704</v>
      </c>
      <c r="H252" s="409" t="b">
        <f>Wh_hp&gt;='2025'!Maxi_hp</f>
        <v>0</v>
      </c>
      <c r="I252" s="375">
        <f>IF(H252,Wh_hp,'2025'!Maxi_hp)</f>
        <v>39.08865945369719</v>
      </c>
      <c r="J252" s="85">
        <f>IF(H252,An,'2025'!An_max)</f>
        <v>2022</v>
      </c>
      <c r="K252" s="193">
        <f t="shared" si="79"/>
        <v>46260</v>
      </c>
      <c r="L252" s="143">
        <f>IF(t&lt;Tvie,1-EXP((T0-t)*PertePVj)+'2025'!Pspv,1-EXP((T0-t)*PertePVj)+Pspv)</f>
        <v>2.3511126836523899E-2</v>
      </c>
      <c r="M252" s="836"/>
      <c r="N252" s="836"/>
      <c r="O252" s="48">
        <f>IF(t&lt;Tnet,'2025'!Resal+('2025'!Salim-'2025'!Resal)*(1-EXP(('2025'!Tnet-t)/('2025'!Tau_j))),Resal+(Salim-Resal)*(1-EXP((Tnet-t)/(Tau_j))))*Salcycl</f>
        <v>2.9925996324366783E-2</v>
      </c>
      <c r="P252" s="334">
        <f>(INDEX(Models!$BJ252:$BT252,,T252)*(1-R252)+INDEX(Models!$BJ252:$BT252,,T252+1)*R252-ERP_i)*Q252*Ramure*Pc/MaxiM</f>
        <v>1.6452661372134679E-4</v>
      </c>
      <c r="Q252" s="301">
        <f t="shared" si="80"/>
        <v>0.5</v>
      </c>
      <c r="R252" s="173">
        <f t="shared" si="81"/>
        <v>0.47368306482003364</v>
      </c>
      <c r="S252" s="802">
        <f t="shared" si="82"/>
        <v>2</v>
      </c>
      <c r="T252" s="172">
        <f t="shared" si="83"/>
        <v>8</v>
      </c>
      <c r="U252" s="247">
        <f t="shared" si="84"/>
        <v>2.4736830648200336</v>
      </c>
      <c r="V252" s="378">
        <f t="shared" si="85"/>
        <v>50.546095966800436</v>
      </c>
      <c r="W252" s="397">
        <f t="shared" si="86"/>
        <v>37.021558177925918</v>
      </c>
      <c r="X252" s="153">
        <f t="shared" si="87"/>
        <v>46260</v>
      </c>
      <c r="Y252" s="380">
        <f t="shared" si="88"/>
        <v>36.018231155142367</v>
      </c>
      <c r="Z252" s="380">
        <f t="shared" si="89"/>
        <v>36.885449640051839</v>
      </c>
      <c r="AA252" s="381">
        <f t="shared" si="90"/>
        <v>39.082517244829411</v>
      </c>
      <c r="AB252" s="193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5.6216123209623658E-2</v>
      </c>
      <c r="AD252" s="227">
        <f>(INDEX(Models!$BJ252:$BT252,,AH252)*(1-AF252)+INDEX(Models!$BJ252:$BT252,,AH252+1)*AF252-ERP_i)*AE252*Ramure*Pc/MaxiM</f>
        <v>1.6452661372134679E-4</v>
      </c>
      <c r="AE252" s="301">
        <f t="shared" si="92"/>
        <v>0.5</v>
      </c>
      <c r="AF252" s="173">
        <f t="shared" si="93"/>
        <v>0.47368306482003364</v>
      </c>
      <c r="AG252" s="802">
        <f t="shared" si="99"/>
        <v>2</v>
      </c>
      <c r="AH252" s="172">
        <f t="shared" si="94"/>
        <v>8</v>
      </c>
      <c r="AI252" s="221">
        <f t="shared" si="95"/>
        <v>2.4736830648200336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46261</v>
      </c>
      <c r="B253" s="406">
        <f>'2025'!Wh/'2025'!Env_an*'2026'!Env_an</f>
        <v>46.671647595033988</v>
      </c>
      <c r="C253" s="832"/>
      <c r="D253" s="388">
        <f t="shared" si="77"/>
        <v>47.796024903223916</v>
      </c>
      <c r="E253" s="380">
        <f t="shared" si="100"/>
        <v>49.272870330166839</v>
      </c>
      <c r="F253" s="380">
        <f t="shared" si="78"/>
        <v>49.280798464753985</v>
      </c>
      <c r="G253" s="110">
        <f t="shared" si="101"/>
        <v>0.92802123162361294</v>
      </c>
      <c r="H253" s="409" t="b">
        <f>Wh_hp&gt;='2025'!Maxi_hp</f>
        <v>0</v>
      </c>
      <c r="I253" s="375">
        <f>IF(H253,Wh_hp,'2025'!Maxi_hp)</f>
        <v>49.281602441092893</v>
      </c>
      <c r="J253" s="85">
        <f>IF(H253,An,'2025'!An_max)</f>
        <v>2022</v>
      </c>
      <c r="K253" s="193">
        <f t="shared" si="79"/>
        <v>46261</v>
      </c>
      <c r="L253" s="143">
        <f>IF(t&lt;Tvie,1-EXP((T0-t)*PertePVj)+'2025'!Pspv,1-EXP((T0-t)*PertePVj)+Pspv)</f>
        <v>2.3524494149179453E-2</v>
      </c>
      <c r="M253" s="836"/>
      <c r="N253" s="836"/>
      <c r="O253" s="48">
        <f>IF(t&lt;Tnet,'2025'!Resal+('2025'!Salim-'2025'!Resal)*(1-EXP(('2025'!Tnet-t)/('2025'!Tau_j))),Resal+(Salim-Resal)*(1-EXP((Tnet-t)/(Tau_j))))*Salcycl</f>
        <v>2.9972790646189278E-2</v>
      </c>
      <c r="P253" s="334">
        <f>(INDEX(Models!$BJ253:$BT253,,T253)*(1-R253)+INDEX(Models!$BJ253:$BT253,,T253+1)*R253-ERP_i)*Q253*Ramure*Pc/MaxiM</f>
        <v>1.7931026826668419E-4</v>
      </c>
      <c r="Q253" s="301">
        <f t="shared" si="80"/>
        <v>0.5</v>
      </c>
      <c r="R253" s="173">
        <f t="shared" si="81"/>
        <v>0.47446852165528064</v>
      </c>
      <c r="S253" s="802">
        <f t="shared" si="82"/>
        <v>2</v>
      </c>
      <c r="T253" s="172">
        <f t="shared" si="83"/>
        <v>8</v>
      </c>
      <c r="U253" s="247">
        <f t="shared" si="84"/>
        <v>2.4744685216552806</v>
      </c>
      <c r="V253" s="378">
        <f t="shared" si="85"/>
        <v>50.290645885529123</v>
      </c>
      <c r="W253" s="397">
        <f t="shared" si="86"/>
        <v>46.671647595033988</v>
      </c>
      <c r="X253" s="153">
        <f t="shared" si="87"/>
        <v>46261</v>
      </c>
      <c r="Y253" s="380">
        <f t="shared" si="88"/>
        <v>45.407990108474699</v>
      </c>
      <c r="Z253" s="380">
        <f t="shared" si="89"/>
        <v>46.501924355910909</v>
      </c>
      <c r="AA253" s="381">
        <f t="shared" si="90"/>
        <v>49.272870330166839</v>
      </c>
      <c r="AB253" s="193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5.6236747639997843E-2</v>
      </c>
      <c r="AD253" s="227">
        <f>(INDEX(Models!$BJ253:$BT253,,AH253)*(1-AF253)+INDEX(Models!$BJ253:$BT253,,AH253+1)*AF253-ERP_i)*AE253*Ramure*Pc/MaxiM</f>
        <v>1.7931026826668419E-4</v>
      </c>
      <c r="AE253" s="301">
        <f t="shared" si="92"/>
        <v>0.5</v>
      </c>
      <c r="AF253" s="173">
        <f t="shared" si="93"/>
        <v>0.47446852165528064</v>
      </c>
      <c r="AG253" s="802">
        <f t="shared" si="99"/>
        <v>2</v>
      </c>
      <c r="AH253" s="172">
        <f t="shared" si="94"/>
        <v>8</v>
      </c>
      <c r="AI253" s="221">
        <f t="shared" si="95"/>
        <v>2.4744685216552806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46262</v>
      </c>
      <c r="B254" s="406">
        <f>'2025'!Wh/'2025'!Env_an*'2026'!Env_an</f>
        <v>49.064709380129067</v>
      </c>
      <c r="C254" s="832"/>
      <c r="D254" s="388">
        <f t="shared" si="77"/>
        <v>50.247426330720693</v>
      </c>
      <c r="E254" s="380">
        <f t="shared" si="100"/>
        <v>51.802507109023018</v>
      </c>
      <c r="F254" s="380">
        <f t="shared" si="78"/>
        <v>51.812264021181811</v>
      </c>
      <c r="G254" s="110">
        <f t="shared" si="101"/>
        <v>0.98063988816665026</v>
      </c>
      <c r="H254" s="409" t="b">
        <f>Wh_hp&gt;='2025'!Maxi_hp</f>
        <v>0</v>
      </c>
      <c r="I254" s="375">
        <f>IF(H254,Wh_hp,'2025'!Maxi_hp)</f>
        <v>51.812510018223612</v>
      </c>
      <c r="J254" s="85">
        <f>IF(H254,An,'2025'!An_max)</f>
        <v>2022</v>
      </c>
      <c r="K254" s="193">
        <f t="shared" si="79"/>
        <v>46262</v>
      </c>
      <c r="L254" s="143">
        <f>IF(t&lt;Tvie,1-EXP((T0-t)*PertePVj)+'2025'!Pspv,1-EXP((T0-t)*PertePVj)+Pspv)</f>
        <v>2.3537861278847827E-2</v>
      </c>
      <c r="M254" s="836"/>
      <c r="N254" s="836"/>
      <c r="O254" s="48">
        <f>IF(t&lt;Tnet,'2025'!Resal+('2025'!Salim-'2025'!Resal)*(1-EXP(('2025'!Tnet-t)/('2025'!Tau_j))),Resal+(Salim-Resal)*(1-EXP((Tnet-t)/(Tau_j))))*Salcycl</f>
        <v>3.0019411512835027E-2</v>
      </c>
      <c r="P254" s="334">
        <f>(INDEX(Models!$BJ254:$BT254,,T254)*(1-R254)+INDEX(Models!$BJ254:$BT254,,T254+1)*R254-ERP_i)*Q254*Ramure*Pc/MaxiM</f>
        <v>1.9366766528467491E-4</v>
      </c>
      <c r="Q254" s="301">
        <f t="shared" si="80"/>
        <v>0.5</v>
      </c>
      <c r="R254" s="173">
        <f t="shared" si="81"/>
        <v>0.47522477210784064</v>
      </c>
      <c r="S254" s="802">
        <f t="shared" si="82"/>
        <v>2</v>
      </c>
      <c r="T254" s="172">
        <f t="shared" si="83"/>
        <v>8</v>
      </c>
      <c r="U254" s="247">
        <f t="shared" si="84"/>
        <v>2.4752247721078406</v>
      </c>
      <c r="V254" s="378">
        <f t="shared" si="85"/>
        <v>50.033092868706262</v>
      </c>
      <c r="W254" s="397">
        <f t="shared" si="86"/>
        <v>49.064709380129067</v>
      </c>
      <c r="X254" s="153">
        <f t="shared" si="87"/>
        <v>46262</v>
      </c>
      <c r="Y254" s="380">
        <f t="shared" si="88"/>
        <v>47.737522503366151</v>
      </c>
      <c r="Z254" s="380">
        <f t="shared" si="89"/>
        <v>48.888247286153643</v>
      </c>
      <c r="AA254" s="381">
        <f t="shared" si="90"/>
        <v>51.802507109023018</v>
      </c>
      <c r="AB254" s="193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5.6257119307682443E-2</v>
      </c>
      <c r="AD254" s="227">
        <f>(INDEX(Models!$BJ254:$BT254,,AH254)*(1-AF254)+INDEX(Models!$BJ254:$BT254,,AH254+1)*AF254-ERP_i)*AE254*Ramure*Pc/MaxiM</f>
        <v>1.9366766528467491E-4</v>
      </c>
      <c r="AE254" s="301">
        <f t="shared" si="92"/>
        <v>0.5</v>
      </c>
      <c r="AF254" s="173">
        <f t="shared" si="93"/>
        <v>0.47522477210784064</v>
      </c>
      <c r="AG254" s="802">
        <f t="shared" si="99"/>
        <v>2</v>
      </c>
      <c r="AH254" s="172">
        <f t="shared" si="94"/>
        <v>8</v>
      </c>
      <c r="AI254" s="221">
        <f t="shared" si="95"/>
        <v>2.4752247721078406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46263</v>
      </c>
      <c r="B255" s="406">
        <f>'2025'!Wh/'2025'!Env_an*'2026'!Env_an</f>
        <v>34.291002822047652</v>
      </c>
      <c r="C255" s="832"/>
      <c r="D255" s="388">
        <f t="shared" si="77"/>
        <v>35.118076660316468</v>
      </c>
      <c r="E255" s="380">
        <f t="shared" si="100"/>
        <v>36.206660826959869</v>
      </c>
      <c r="F255" s="380">
        <f t="shared" si="78"/>
        <v>36.21082455644143</v>
      </c>
      <c r="G255" s="110">
        <f t="shared" si="101"/>
        <v>0.68888517258857562</v>
      </c>
      <c r="H255" s="409" t="b">
        <f>Wh_hp&gt;='2025'!Maxi_hp</f>
        <v>0</v>
      </c>
      <c r="I255" s="375">
        <f>IF(H255,Wh_hp,'2025'!Maxi_hp)</f>
        <v>36.213779119220973</v>
      </c>
      <c r="J255" s="85">
        <f>IF(H255,An,'2025'!An_max)</f>
        <v>2022</v>
      </c>
      <c r="K255" s="193">
        <f t="shared" si="79"/>
        <v>46263</v>
      </c>
      <c r="L255" s="143">
        <f>IF(t&lt;Tvie,1-EXP((T0-t)*PertePVj)+'2025'!Pspv,1-EXP((T0-t)*PertePVj)+Pspv)</f>
        <v>2.3551228225531351E-2</v>
      </c>
      <c r="M255" s="836"/>
      <c r="N255" s="836"/>
      <c r="O255" s="48">
        <f>IF(t&lt;Tnet,'2025'!Resal+('2025'!Salim-'2025'!Resal)*(1-EXP(('2025'!Tnet-t)/('2025'!Tau_j))),Resal+(Salim-Resal)*(1-EXP((Tnet-t)/(Tau_j))))*Salcycl</f>
        <v>3.0065853679409903E-2</v>
      </c>
      <c r="P255" s="334">
        <f>(INDEX(Models!$BJ255:$BT255,,T255)*(1-R255)+INDEX(Models!$BJ255:$BT255,,T255+1)*R255-ERP_i)*Q255*Ramure*Pc/MaxiM</f>
        <v>2.069426437588997E-4</v>
      </c>
      <c r="Q255" s="301">
        <f t="shared" si="80"/>
        <v>0.5</v>
      </c>
      <c r="R255" s="173">
        <f t="shared" si="81"/>
        <v>0.47595281181013549</v>
      </c>
      <c r="S255" s="802">
        <f t="shared" si="82"/>
        <v>2</v>
      </c>
      <c r="T255" s="172">
        <f t="shared" si="83"/>
        <v>8</v>
      </c>
      <c r="U255" s="247">
        <f t="shared" si="84"/>
        <v>2.4759528118101355</v>
      </c>
      <c r="V255" s="378">
        <f t="shared" si="85"/>
        <v>49.7729527797853</v>
      </c>
      <c r="W255" s="397">
        <f t="shared" si="86"/>
        <v>34.291002822047652</v>
      </c>
      <c r="X255" s="153">
        <f t="shared" si="87"/>
        <v>46263</v>
      </c>
      <c r="Y255" s="380">
        <f t="shared" si="88"/>
        <v>33.364327178257852</v>
      </c>
      <c r="Z255" s="380">
        <f t="shared" si="89"/>
        <v>34.169050279643393</v>
      </c>
      <c r="AA255" s="381">
        <f t="shared" si="90"/>
        <v>36.206660826959869</v>
      </c>
      <c r="AB255" s="193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5.627722912794135E-2</v>
      </c>
      <c r="AD255" s="227">
        <f>(INDEX(Models!$BJ255:$BT255,,AH255)*(1-AF255)+INDEX(Models!$BJ255:$BT255,,AH255+1)*AF255-ERP_i)*AE255*Ramure*Pc/MaxiM</f>
        <v>2.069426437588997E-4</v>
      </c>
      <c r="AE255" s="301">
        <f t="shared" si="92"/>
        <v>0.5</v>
      </c>
      <c r="AF255" s="173">
        <f t="shared" si="93"/>
        <v>0.47595281181013549</v>
      </c>
      <c r="AG255" s="802">
        <f t="shared" si="99"/>
        <v>2</v>
      </c>
      <c r="AH255" s="172">
        <f t="shared" si="94"/>
        <v>8</v>
      </c>
      <c r="AI255" s="221">
        <f t="shared" si="95"/>
        <v>2.4759528118101355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46264</v>
      </c>
      <c r="B256" s="406">
        <f>'2025'!Wh/'2025'!Env_an*'2026'!Env_an</f>
        <v>48.123870610320424</v>
      </c>
      <c r="C256" s="832"/>
      <c r="D256" s="388">
        <f t="shared" si="77"/>
        <v>49.285257748094203</v>
      </c>
      <c r="E256" s="380">
        <f t="shared" si="100"/>
        <v>50.81541726942109</v>
      </c>
      <c r="F256" s="380">
        <f t="shared" si="78"/>
        <v>50.826109016400501</v>
      </c>
      <c r="G256" s="110">
        <f t="shared" si="101"/>
        <v>0.97200023387601742</v>
      </c>
      <c r="H256" s="409" t="b">
        <f>Wh_hp&gt;='2025'!Maxi_hp</f>
        <v>0</v>
      </c>
      <c r="I256" s="375">
        <f>IF(H256,Wh_hp,'2025'!Maxi_hp)</f>
        <v>50.826504126845201</v>
      </c>
      <c r="J256" s="85">
        <f>IF(H256,An,'2025'!An_max)</f>
        <v>2022</v>
      </c>
      <c r="K256" s="193">
        <f t="shared" si="79"/>
        <v>46264</v>
      </c>
      <c r="L256" s="143">
        <f>IF(t&lt;Tvie,1-EXP((T0-t)*PertePVj)+'2025'!Pspv,1-EXP((T0-t)*PertePVj)+Pspv)</f>
        <v>2.3564594989232579E-2</v>
      </c>
      <c r="M256" s="836"/>
      <c r="N256" s="836"/>
      <c r="O256" s="48">
        <f>IF(t&lt;Tnet,'2025'!Resal+('2025'!Salim-'2025'!Resal)*(1-EXP(('2025'!Tnet-t)/('2025'!Tau_j))),Resal+(Salim-Resal)*(1-EXP((Tnet-t)/(Tau_j))))*Salcycl</f>
        <v>3.0112111708422026E-2</v>
      </c>
      <c r="P256" s="334">
        <f>(INDEX(Models!$BJ256:$BT256,,T256)*(1-R256)+INDEX(Models!$BJ256:$BT256,,T256+1)*R256-ERP_i)*Q256*Ramure*Pc/MaxiM</f>
        <v>2.1912146328664304E-4</v>
      </c>
      <c r="Q256" s="301">
        <f t="shared" si="80"/>
        <v>0.5</v>
      </c>
      <c r="R256" s="173">
        <f t="shared" si="81"/>
        <v>0.47665360937131007</v>
      </c>
      <c r="S256" s="802">
        <f t="shared" si="82"/>
        <v>2</v>
      </c>
      <c r="T256" s="172">
        <f t="shared" si="83"/>
        <v>8</v>
      </c>
      <c r="U256" s="247">
        <f t="shared" si="84"/>
        <v>2.4766536093713101</v>
      </c>
      <c r="V256" s="378">
        <f t="shared" si="85"/>
        <v>49.509709131068796</v>
      </c>
      <c r="W256" s="397">
        <f t="shared" si="86"/>
        <v>48.123870610320424</v>
      </c>
      <c r="X256" s="153">
        <f t="shared" si="87"/>
        <v>46264</v>
      </c>
      <c r="Y256" s="380">
        <f t="shared" si="88"/>
        <v>46.824626183094203</v>
      </c>
      <c r="Z256" s="380">
        <f t="shared" si="89"/>
        <v>47.954658283389321</v>
      </c>
      <c r="AA256" s="381">
        <f t="shared" si="90"/>
        <v>50.81541726942109</v>
      </c>
      <c r="AB256" s="193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5.6297067696288956E-2</v>
      </c>
      <c r="AD256" s="227">
        <f>(INDEX(Models!$BJ256:$BT256,,AH256)*(1-AF256)+INDEX(Models!$BJ256:$BT256,,AH256+1)*AF256-ERP_i)*AE256*Ramure*Pc/MaxiM</f>
        <v>2.1912146328664304E-4</v>
      </c>
      <c r="AE256" s="301">
        <f t="shared" si="92"/>
        <v>0.5</v>
      </c>
      <c r="AF256" s="173">
        <f t="shared" si="93"/>
        <v>0.47665360937131007</v>
      </c>
      <c r="AG256" s="802">
        <f t="shared" si="99"/>
        <v>2</v>
      </c>
      <c r="AH256" s="172">
        <f t="shared" si="94"/>
        <v>8</v>
      </c>
      <c r="AI256" s="221">
        <f t="shared" si="95"/>
        <v>2.4766536093713101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46265</v>
      </c>
      <c r="B257" s="406">
        <f>'2025'!Wh/'2025'!Env_an*'2026'!Env_an</f>
        <v>24.36474569467126</v>
      </c>
      <c r="C257" s="832"/>
      <c r="D257" s="388">
        <f t="shared" si="77"/>
        <v>24.95308866015198</v>
      </c>
      <c r="E257" s="380">
        <f t="shared" si="100"/>
        <v>25.729029357674321</v>
      </c>
      <c r="F257" s="380">
        <f t="shared" si="78"/>
        <v>25.730677526903101</v>
      </c>
      <c r="G257" s="110">
        <f t="shared" si="101"/>
        <v>0.49470531822859343</v>
      </c>
      <c r="H257" s="409" t="b">
        <f>Wh_hp&gt;='2025'!Maxi_hp</f>
        <v>0</v>
      </c>
      <c r="I257" s="375">
        <f>IF(H257,Wh_hp,'2025'!Maxi_hp)</f>
        <v>25.734466772860397</v>
      </c>
      <c r="J257" s="85">
        <f>IF(H257,An,'2025'!An_max)</f>
        <v>2022</v>
      </c>
      <c r="K257" s="193">
        <f t="shared" si="79"/>
        <v>46265</v>
      </c>
      <c r="L257" s="143">
        <f>IF(t&lt;Tvie,1-EXP((T0-t)*PertePVj)+'2025'!Pspv,1-EXP((T0-t)*PertePVj)+Pspv)</f>
        <v>2.3577961569954065E-2</v>
      </c>
      <c r="M257" s="836"/>
      <c r="N257" s="836"/>
      <c r="O257" s="48">
        <f>IF(t&lt;Tnet,'2025'!Resal+('2025'!Salim-'2025'!Resal)*(1-EXP(('2025'!Tnet-t)/('2025'!Tau_j))),Resal+(Salim-Resal)*(1-EXP((Tnet-t)/(Tau_j))))*Salcycl</f>
        <v>3.0158179958347214E-2</v>
      </c>
      <c r="P257" s="334">
        <f>(INDEX(Models!$BJ257:$BT257,,T257)*(1-R257)+INDEX(Models!$BJ257:$BT257,,T257+1)*R257-ERP_i)*Q257*Ramure*Pc/MaxiM</f>
        <v>2.3019054396413241E-4</v>
      </c>
      <c r="Q257" s="301">
        <f t="shared" si="80"/>
        <v>0.5</v>
      </c>
      <c r="R257" s="173">
        <f t="shared" si="81"/>
        <v>0.47732810656101021</v>
      </c>
      <c r="S257" s="802">
        <f t="shared" si="82"/>
        <v>2</v>
      </c>
      <c r="T257" s="172">
        <f t="shared" si="83"/>
        <v>8</v>
      </c>
      <c r="U257" s="247">
        <f t="shared" si="84"/>
        <v>2.4773281065610102</v>
      </c>
      <c r="V257" s="378">
        <f t="shared" si="85"/>
        <v>49.242845545899193</v>
      </c>
      <c r="W257" s="397">
        <f t="shared" si="86"/>
        <v>24.36474569467126</v>
      </c>
      <c r="X257" s="153">
        <f t="shared" si="87"/>
        <v>46265</v>
      </c>
      <c r="Y257" s="380">
        <f t="shared" si="88"/>
        <v>23.707582995984165</v>
      </c>
      <c r="Z257" s="380">
        <f t="shared" si="89"/>
        <v>24.280057252807136</v>
      </c>
      <c r="AA257" s="381">
        <f t="shared" si="90"/>
        <v>25.729029357674321</v>
      </c>
      <c r="AB257" s="193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5.6316625268842228E-2</v>
      </c>
      <c r="AD257" s="227">
        <f>(INDEX(Models!$BJ257:$BT257,,AH257)*(1-AF257)+INDEX(Models!$BJ257:$BT257,,AH257+1)*AF257-ERP_i)*AE257*Ramure*Pc/MaxiM</f>
        <v>2.3019054396413241E-4</v>
      </c>
      <c r="AE257" s="301">
        <f t="shared" si="92"/>
        <v>0.5</v>
      </c>
      <c r="AF257" s="173">
        <f t="shared" si="93"/>
        <v>0.47732810656101021</v>
      </c>
      <c r="AG257" s="802">
        <f t="shared" si="99"/>
        <v>2</v>
      </c>
      <c r="AH257" s="172">
        <f t="shared" si="94"/>
        <v>8</v>
      </c>
      <c r="AI257" s="221">
        <f t="shared" si="95"/>
        <v>2.4773281065610102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46266</v>
      </c>
      <c r="B258" s="406">
        <f>'2025'!Wh/'2025'!Env_an*'2026'!Env_an</f>
        <v>41.895995810064314</v>
      </c>
      <c r="C258" s="832"/>
      <c r="D258" s="388">
        <f t="shared" si="77"/>
        <v>42.908258611490808</v>
      </c>
      <c r="E258" s="380">
        <f t="shared" si="100"/>
        <v>44.244625609356234</v>
      </c>
      <c r="F258" s="380">
        <f t="shared" si="78"/>
        <v>44.253058889089871</v>
      </c>
      <c r="G258" s="110">
        <f t="shared" si="101"/>
        <v>0.85546946636990362</v>
      </c>
      <c r="H258" s="409" t="b">
        <f>Wh_hp&gt;='2025'!Maxi_hp</f>
        <v>0</v>
      </c>
      <c r="I258" s="375">
        <f>IF(H258,Wh_hp,'2025'!Maxi_hp)</f>
        <v>44.255000274929195</v>
      </c>
      <c r="J258" s="85">
        <f>IF(H258,An,'2025'!An_max)</f>
        <v>2022</v>
      </c>
      <c r="K258" s="193">
        <f t="shared" si="79"/>
        <v>46266</v>
      </c>
      <c r="L258" s="143">
        <f>IF(t&lt;Tvie,1-EXP((T0-t)*PertePVj)+'2025'!Pspv,1-EXP((T0-t)*PertePVj)+Pspv)</f>
        <v>2.3591327967698361E-2</v>
      </c>
      <c r="M258" s="836"/>
      <c r="N258" s="836"/>
      <c r="O258" s="48">
        <f>IF(t&lt;Tnet,'2025'!Resal+('2025'!Salim-'2025'!Resal)*(1-EXP(('2025'!Tnet-t)/('2025'!Tau_j))),Resal+(Salim-Resal)*(1-EXP((Tnet-t)/(Tau_j))))*Salcycl</f>
        <v>3.0204052570462579E-2</v>
      </c>
      <c r="P258" s="334">
        <f>(INDEX(Models!$BJ258:$BT258,,T258)*(1-R258)+INDEX(Models!$BJ258:$BT258,,T258+1)*R258-ERP_i)*Q258*Ramure*Pc/MaxiM</f>
        <v>2.4013634704086887E-4</v>
      </c>
      <c r="Q258" s="301">
        <f t="shared" si="80"/>
        <v>0.5</v>
      </c>
      <c r="R258" s="173">
        <f t="shared" si="81"/>
        <v>0.47797721854363173</v>
      </c>
      <c r="S258" s="802">
        <f t="shared" si="82"/>
        <v>2</v>
      </c>
      <c r="T258" s="172">
        <f t="shared" si="83"/>
        <v>8</v>
      </c>
      <c r="U258" s="247">
        <f t="shared" si="84"/>
        <v>2.4779772185436317</v>
      </c>
      <c r="V258" s="378">
        <f t="shared" si="85"/>
        <v>48.971845758816279</v>
      </c>
      <c r="W258" s="397">
        <f t="shared" si="86"/>
        <v>41.895995810064314</v>
      </c>
      <c r="X258" s="153">
        <f t="shared" si="87"/>
        <v>46266</v>
      </c>
      <c r="Y258" s="380">
        <f t="shared" si="88"/>
        <v>40.767078508192583</v>
      </c>
      <c r="Z258" s="380">
        <f t="shared" si="89"/>
        <v>41.752065170969644</v>
      </c>
      <c r="AA258" s="381">
        <f t="shared" si="90"/>
        <v>44.244625609356234</v>
      </c>
      <c r="AB258" s="193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5.6335891739572139E-2</v>
      </c>
      <c r="AD258" s="227">
        <f>(INDEX(Models!$BJ258:$BT258,,AH258)*(1-AF258)+INDEX(Models!$BJ258:$BT258,,AH258+1)*AF258-ERP_i)*AE258*Ramure*Pc/MaxiM</f>
        <v>2.4013634704086887E-4</v>
      </c>
      <c r="AE258" s="301">
        <f t="shared" si="92"/>
        <v>0.5</v>
      </c>
      <c r="AF258" s="173">
        <f t="shared" si="93"/>
        <v>0.47797721854363173</v>
      </c>
      <c r="AG258" s="802">
        <f t="shared" si="99"/>
        <v>2</v>
      </c>
      <c r="AH258" s="172">
        <f t="shared" si="94"/>
        <v>8</v>
      </c>
      <c r="AI258" s="221">
        <f t="shared" si="95"/>
        <v>2.4779772185436317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46267</v>
      </c>
      <c r="B259" s="406">
        <f>'2025'!Wh/'2025'!Env_an*'2026'!Env_an</f>
        <v>39.602768241370789</v>
      </c>
      <c r="C259" s="832"/>
      <c r="D259" s="388">
        <f t="shared" si="77"/>
        <v>40.560178859331508</v>
      </c>
      <c r="E259" s="380">
        <f t="shared" si="100"/>
        <v>41.825385194846262</v>
      </c>
      <c r="F259" s="380">
        <f t="shared" si="78"/>
        <v>41.833021165021066</v>
      </c>
      <c r="G259" s="110">
        <f t="shared" si="101"/>
        <v>0.81320807182393329</v>
      </c>
      <c r="H259" s="409" t="b">
        <f>Wh_hp&gt;='2025'!Maxi_hp</f>
        <v>0</v>
      </c>
      <c r="I259" s="375">
        <f>IF(H259,Wh_hp,'2025'!Maxi_hp)</f>
        <v>41.8354747145045</v>
      </c>
      <c r="J259" s="85">
        <f>IF(H259,An,'2025'!An_max)</f>
        <v>2022</v>
      </c>
      <c r="K259" s="193">
        <f t="shared" si="79"/>
        <v>46267</v>
      </c>
      <c r="L259" s="143">
        <f>IF(t&lt;Tvie,1-EXP((T0-t)*PertePVj)+'2025'!Pspv,1-EXP((T0-t)*PertePVj)+Pspv)</f>
        <v>2.36046941824678E-2</v>
      </c>
      <c r="M259" s="836"/>
      <c r="N259" s="836"/>
      <c r="O259" s="48">
        <f>IF(t&lt;Tnet,'2025'!Resal+('2025'!Salim-'2025'!Resal)*(1-EXP(('2025'!Tnet-t)/('2025'!Tau_j))),Resal+(Salim-Resal)*(1-EXP((Tnet-t)/(Tau_j))))*Salcycl</f>
        <v>3.0249723454325861E-2</v>
      </c>
      <c r="P259" s="334">
        <f>(INDEX(Models!$BJ259:$BT259,,T259)*(1-R259)+INDEX(Models!$BJ259:$BT259,,T259+1)*R259-ERP_i)*Q259*Ramure*Pc/MaxiM</f>
        <v>2.489452500453427E-4</v>
      </c>
      <c r="Q259" s="301">
        <f t="shared" si="80"/>
        <v>0.5</v>
      </c>
      <c r="R259" s="173">
        <f t="shared" si="81"/>
        <v>0.47860183415783819</v>
      </c>
      <c r="S259" s="802">
        <f t="shared" si="82"/>
        <v>2</v>
      </c>
      <c r="T259" s="172">
        <f t="shared" si="83"/>
        <v>8</v>
      </c>
      <c r="U259" s="247">
        <f t="shared" si="84"/>
        <v>2.4786018341578382</v>
      </c>
      <c r="V259" s="378">
        <f t="shared" si="85"/>
        <v>48.696193611789234</v>
      </c>
      <c r="W259" s="397">
        <f t="shared" si="86"/>
        <v>39.602768241370789</v>
      </c>
      <c r="X259" s="153">
        <f t="shared" si="87"/>
        <v>46267</v>
      </c>
      <c r="Y259" s="380">
        <f t="shared" si="88"/>
        <v>38.536683947832749</v>
      </c>
      <c r="Z259" s="380">
        <f t="shared" si="89"/>
        <v>39.468321609315936</v>
      </c>
      <c r="AA259" s="381">
        <f t="shared" si="90"/>
        <v>41.825385194846262</v>
      </c>
      <c r="AB259" s="193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5.6354856615182282E-2</v>
      </c>
      <c r="AD259" s="227">
        <f>(INDEX(Models!$BJ259:$BT259,,AH259)*(1-AF259)+INDEX(Models!$BJ259:$BT259,,AH259+1)*AF259-ERP_i)*AE259*Ramure*Pc/MaxiM</f>
        <v>2.489452500453427E-4</v>
      </c>
      <c r="AE259" s="301">
        <f t="shared" si="92"/>
        <v>0.5</v>
      </c>
      <c r="AF259" s="173">
        <f t="shared" si="93"/>
        <v>0.47860183415783819</v>
      </c>
      <c r="AG259" s="802">
        <f t="shared" si="99"/>
        <v>2</v>
      </c>
      <c r="AH259" s="172">
        <f t="shared" si="94"/>
        <v>8</v>
      </c>
      <c r="AI259" s="221">
        <f t="shared" si="95"/>
        <v>2.4786018341578382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46268</v>
      </c>
      <c r="B260" s="406">
        <f>'2025'!Wh/'2025'!Env_an*'2026'!Env_an</f>
        <v>36.433680758411519</v>
      </c>
      <c r="C260" s="832"/>
      <c r="D260" s="388">
        <f t="shared" si="77"/>
        <v>37.314988401369668</v>
      </c>
      <c r="E260" s="380">
        <f t="shared" si="100"/>
        <v>38.480770511930707</v>
      </c>
      <c r="F260" s="380">
        <f t="shared" si="78"/>
        <v>38.48715492295667</v>
      </c>
      <c r="G260" s="110">
        <f t="shared" si="101"/>
        <v>0.75245469929665965</v>
      </c>
      <c r="H260" s="409" t="b">
        <f>Wh_hp&gt;='2025'!Maxi_hp</f>
        <v>0</v>
      </c>
      <c r="I260" s="375">
        <f>IF(H260,Wh_hp,'2025'!Maxi_hp)</f>
        <v>38.490229957550994</v>
      </c>
      <c r="J260" s="85">
        <f>IF(H260,An,'2025'!An_max)</f>
        <v>2022</v>
      </c>
      <c r="K260" s="193">
        <f t="shared" si="79"/>
        <v>46268</v>
      </c>
      <c r="L260" s="143">
        <f>IF(t&lt;Tvie,1-EXP((T0-t)*PertePVj)+'2025'!Pspv,1-EXP((T0-t)*PertePVj)+Pspv)</f>
        <v>2.3618060214265046E-2</v>
      </c>
      <c r="M260" s="836"/>
      <c r="N260" s="836"/>
      <c r="O260" s="48">
        <f>IF(t&lt;Tnet,'2025'!Resal+('2025'!Salim-'2025'!Resal)*(1-EXP(('2025'!Tnet-t)/('2025'!Tau_j))),Resal+(Salim-Resal)*(1-EXP((Tnet-t)/(Tau_j))))*Salcycl</f>
        <v>3.0295186272312216E-2</v>
      </c>
      <c r="P260" s="334">
        <f>(INDEX(Models!$BJ260:$BT260,,T260)*(1-R260)+INDEX(Models!$BJ260:$BT260,,T260+1)*R260-ERP_i)*Q260*Ramure*Pc/MaxiM</f>
        <v>2.5660341599515786E-4</v>
      </c>
      <c r="Q260" s="301">
        <f t="shared" si="80"/>
        <v>0.5</v>
      </c>
      <c r="R260" s="173">
        <f t="shared" si="81"/>
        <v>0.47920281623646366</v>
      </c>
      <c r="S260" s="802">
        <f t="shared" si="82"/>
        <v>2</v>
      </c>
      <c r="T260" s="172">
        <f t="shared" si="83"/>
        <v>8</v>
      </c>
      <c r="U260" s="247">
        <f t="shared" si="84"/>
        <v>2.4792028162364637</v>
      </c>
      <c r="V260" s="378">
        <f t="shared" si="85"/>
        <v>48.415373057338051</v>
      </c>
      <c r="W260" s="397">
        <f t="shared" si="86"/>
        <v>36.433680758411519</v>
      </c>
      <c r="X260" s="153">
        <f t="shared" si="87"/>
        <v>46268</v>
      </c>
      <c r="Y260" s="380">
        <f t="shared" si="88"/>
        <v>35.453867859576533</v>
      </c>
      <c r="Z260" s="380">
        <f t="shared" si="89"/>
        <v>36.311474449595835</v>
      </c>
      <c r="AA260" s="381">
        <f t="shared" si="90"/>
        <v>38.480770511930707</v>
      </c>
      <c r="AB260" s="193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5.637350898839967E-2</v>
      </c>
      <c r="AD260" s="227">
        <f>(INDEX(Models!$BJ260:$BT260,,AH260)*(1-AF260)+INDEX(Models!$BJ260:$BT260,,AH260+1)*AF260-ERP_i)*AE260*Ramure*Pc/MaxiM</f>
        <v>2.5660341599515786E-4</v>
      </c>
      <c r="AE260" s="301">
        <f t="shared" si="92"/>
        <v>0.5</v>
      </c>
      <c r="AF260" s="173">
        <f t="shared" si="93"/>
        <v>0.47920281623646366</v>
      </c>
      <c r="AG260" s="802">
        <f t="shared" si="99"/>
        <v>2</v>
      </c>
      <c r="AH260" s="172">
        <f t="shared" si="94"/>
        <v>8</v>
      </c>
      <c r="AI260" s="221">
        <f t="shared" si="95"/>
        <v>2.4792028162364637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46269</v>
      </c>
      <c r="B261" s="406">
        <f>'2025'!Wh/'2025'!Env_an*'2026'!Env_an</f>
        <v>47.773055850508506</v>
      </c>
      <c r="C261" s="832"/>
      <c r="D261" s="388">
        <f t="shared" si="77"/>
        <v>48.929325590517806</v>
      </c>
      <c r="E261" s="380">
        <f t="shared" si="100"/>
        <v>50.460313420860231</v>
      </c>
      <c r="F261" s="380">
        <f t="shared" si="78"/>
        <v>50.473451264669016</v>
      </c>
      <c r="G261" s="110">
        <f t="shared" si="101"/>
        <v>0.99256380054830617</v>
      </c>
      <c r="H261" s="409" t="b">
        <f>Wh_hp&gt;='2025'!Maxi_hp</f>
        <v>0</v>
      </c>
      <c r="I261" s="375">
        <f>IF(H261,Wh_hp,'2025'!Maxi_hp)</f>
        <v>50.473575037917115</v>
      </c>
      <c r="J261" s="85">
        <f>IF(H261,An,'2025'!An_max)</f>
        <v>2022</v>
      </c>
      <c r="K261" s="193">
        <f t="shared" si="79"/>
        <v>46269</v>
      </c>
      <c r="L261" s="143">
        <f>IF(t&lt;Tvie,1-EXP((T0-t)*PertePVj)+'2025'!Pspv,1-EXP((T0-t)*PertePVj)+Pspv)</f>
        <v>2.3631426063092431E-2</v>
      </c>
      <c r="M261" s="836"/>
      <c r="N261" s="836"/>
      <c r="O261" s="48">
        <f>IF(t&lt;Tnet,'2025'!Resal+('2025'!Salim-'2025'!Resal)*(1-EXP(('2025'!Tnet-t)/('2025'!Tau_j))),Resal+(Salim-Resal)*(1-EXP((Tnet-t)/(Tau_j))))*Salcycl</f>
        <v>3.0340434423649813E-2</v>
      </c>
      <c r="P261" s="334">
        <f>(INDEX(Models!$BJ261:$BT261,,T261)*(1-R261)+INDEX(Models!$BJ261:$BT261,,T261+1)*R261-ERP_i)*Q261*Ramure*Pc/MaxiM</f>
        <v>2.6308591973914707E-4</v>
      </c>
      <c r="Q261" s="301">
        <f t="shared" si="80"/>
        <v>0.5</v>
      </c>
      <c r="R261" s="173">
        <f t="shared" si="81"/>
        <v>0.47978100196222817</v>
      </c>
      <c r="S261" s="802">
        <f t="shared" si="82"/>
        <v>2</v>
      </c>
      <c r="T261" s="172">
        <f t="shared" si="83"/>
        <v>8</v>
      </c>
      <c r="U261" s="247">
        <f t="shared" si="84"/>
        <v>2.4797810019622282</v>
      </c>
      <c r="V261" s="378">
        <f t="shared" si="85"/>
        <v>48.130832822108594</v>
      </c>
      <c r="W261" s="397">
        <f t="shared" si="86"/>
        <v>47.773055850508506</v>
      </c>
      <c r="X261" s="153">
        <f t="shared" si="87"/>
        <v>46269</v>
      </c>
      <c r="Y261" s="380">
        <f t="shared" si="88"/>
        <v>46.489558859569307</v>
      </c>
      <c r="Z261" s="380">
        <f t="shared" si="89"/>
        <v>47.614763625701698</v>
      </c>
      <c r="AA261" s="381">
        <f t="shared" si="90"/>
        <v>50.460313420860231</v>
      </c>
      <c r="AB261" s="193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5.6391837510509572E-2</v>
      </c>
      <c r="AD261" s="227">
        <f>(INDEX(Models!$BJ261:$BT261,,AH261)*(1-AF261)+INDEX(Models!$BJ261:$BT261,,AH261+1)*AF261-ERP_i)*AE261*Ramure*Pc/MaxiM</f>
        <v>2.6308591973914707E-4</v>
      </c>
      <c r="AE261" s="301">
        <f t="shared" si="92"/>
        <v>0.5</v>
      </c>
      <c r="AF261" s="173">
        <f t="shared" si="93"/>
        <v>0.47978100196222817</v>
      </c>
      <c r="AG261" s="802">
        <f t="shared" si="99"/>
        <v>2</v>
      </c>
      <c r="AH261" s="172">
        <f t="shared" si="94"/>
        <v>8</v>
      </c>
      <c r="AI261" s="221">
        <f t="shared" si="95"/>
        <v>2.4797810019622282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46270</v>
      </c>
      <c r="B262" s="406">
        <f>'2025'!Wh/'2025'!Env_an*'2026'!Env_an</f>
        <v>39.976567304584144</v>
      </c>
      <c r="C262" s="832"/>
      <c r="D262" s="388">
        <f t="shared" si="77"/>
        <v>40.94469611666802</v>
      </c>
      <c r="E262" s="380">
        <f t="shared" si="100"/>
        <v>42.227807516269223</v>
      </c>
      <c r="F262" s="380">
        <f t="shared" si="78"/>
        <v>42.236450874953732</v>
      </c>
      <c r="G262" s="110">
        <f t="shared" si="101"/>
        <v>0.83550469009344874</v>
      </c>
      <c r="H262" s="409" t="b">
        <f>Wh_hp&gt;='2025'!Maxi_hp</f>
        <v>0</v>
      </c>
      <c r="I262" s="375">
        <f>IF(H262,Wh_hp,'2025'!Maxi_hp)</f>
        <v>42.238772053964766</v>
      </c>
      <c r="J262" s="85">
        <f>IF(H262,An,'2025'!An_max)</f>
        <v>2022</v>
      </c>
      <c r="K262" s="193">
        <f t="shared" si="79"/>
        <v>46270</v>
      </c>
      <c r="L262" s="143">
        <f>IF(t&lt;Tvie,1-EXP((T0-t)*PertePVj)+'2025'!Pspv,1-EXP((T0-t)*PertePVj)+Pspv)</f>
        <v>2.364479172895273E-2</v>
      </c>
      <c r="M262" s="836"/>
      <c r="N262" s="836"/>
      <c r="O262" s="48">
        <f>IF(t&lt;Tnet,'2025'!Resal+('2025'!Salim-'2025'!Resal)*(1-EXP(('2025'!Tnet-t)/('2025'!Tau_j))),Resal+(Salim-Resal)*(1-EXP((Tnet-t)/(Tau_j))))*Salcycl</f>
        <v>3.0385461028419554E-2</v>
      </c>
      <c r="P262" s="334">
        <f>(INDEX(Models!$BJ262:$BT262,,T262)*(1-R262)+INDEX(Models!$BJ262:$BT262,,T262+1)*R262-ERP_i)*Q262*Ramure*Pc/MaxiM</f>
        <v>2.6747752346211384E-4</v>
      </c>
      <c r="Q262" s="301">
        <f t="shared" si="80"/>
        <v>0.5</v>
      </c>
      <c r="R262" s="173">
        <f t="shared" si="81"/>
        <v>0.48033720325499996</v>
      </c>
      <c r="S262" s="802">
        <f t="shared" si="82"/>
        <v>2</v>
      </c>
      <c r="T262" s="172">
        <f t="shared" si="83"/>
        <v>8</v>
      </c>
      <c r="U262" s="247">
        <f t="shared" si="84"/>
        <v>2.480337203255</v>
      </c>
      <c r="V262" s="378">
        <f t="shared" si="85"/>
        <v>47.844201621370942</v>
      </c>
      <c r="W262" s="397">
        <f t="shared" si="86"/>
        <v>39.976567304584144</v>
      </c>
      <c r="X262" s="153">
        <f t="shared" si="87"/>
        <v>46270</v>
      </c>
      <c r="Y262" s="380">
        <f t="shared" si="88"/>
        <v>38.903599738104802</v>
      </c>
      <c r="Z262" s="380">
        <f t="shared" si="89"/>
        <v>39.845744057632686</v>
      </c>
      <c r="AA262" s="381">
        <f t="shared" si="90"/>
        <v>42.227807516269223</v>
      </c>
      <c r="AB262" s="193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5.640983036400344E-2</v>
      </c>
      <c r="AD262" s="227">
        <f>(INDEX(Models!$BJ262:$BT262,,AH262)*(1-AF262)+INDEX(Models!$BJ262:$BT262,,AH262+1)*AF262-ERP_i)*AE262*Ramure*Pc/MaxiM</f>
        <v>2.6747752346211384E-4</v>
      </c>
      <c r="AE262" s="301">
        <f t="shared" si="92"/>
        <v>0.5</v>
      </c>
      <c r="AF262" s="173">
        <f t="shared" si="93"/>
        <v>0.48033720325499996</v>
      </c>
      <c r="AG262" s="802">
        <f t="shared" si="99"/>
        <v>2</v>
      </c>
      <c r="AH262" s="172">
        <f t="shared" si="94"/>
        <v>8</v>
      </c>
      <c r="AI262" s="221">
        <f t="shared" si="95"/>
        <v>2.480337203255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46271</v>
      </c>
      <c r="B263" s="406">
        <f>'2025'!Wh/'2025'!Env_an*'2026'!Env_an</f>
        <v>43.574611729149915</v>
      </c>
      <c r="C263" s="832"/>
      <c r="D263" s="388">
        <f t="shared" si="77"/>
        <v>44.630486802361496</v>
      </c>
      <c r="E263" s="380">
        <f t="shared" si="100"/>
        <v>46.031229019461399</v>
      </c>
      <c r="F263" s="380">
        <f t="shared" si="78"/>
        <v>46.042150247575194</v>
      </c>
      <c r="G263" s="110">
        <f t="shared" si="101"/>
        <v>0.91626617095626406</v>
      </c>
      <c r="H263" s="409" t="b">
        <f>Wh_hp&gt;='2025'!Maxi_hp</f>
        <v>0</v>
      </c>
      <c r="I263" s="375">
        <f>IF(H263,Wh_hp,'2025'!Maxi_hp)</f>
        <v>46.043442826632116</v>
      </c>
      <c r="J263" s="85">
        <f>IF(H263,An,'2025'!An_max)</f>
        <v>2022</v>
      </c>
      <c r="K263" s="193">
        <f t="shared" si="79"/>
        <v>46271</v>
      </c>
      <c r="L263" s="143">
        <f>IF(t&lt;Tvie,1-EXP((T0-t)*PertePVj)+'2025'!Pspv,1-EXP((T0-t)*PertePVj)+Pspv)</f>
        <v>2.3658157211848163E-2</v>
      </c>
      <c r="M263" s="836"/>
      <c r="N263" s="836"/>
      <c r="O263" s="48">
        <f>IF(t&lt;Tnet,'2025'!Resal+('2025'!Salim-'2025'!Resal)*(1-EXP(('2025'!Tnet-t)/('2025'!Tau_j))),Resal+(Salim-Resal)*(1-EXP((Tnet-t)/(Tau_j))))*Salcycl</f>
        <v>3.0430258912002694E-2</v>
      </c>
      <c r="P263" s="334">
        <f>(INDEX(Models!$BJ263:$BT263,,T263)*(1-R263)+INDEX(Models!$BJ263:$BT263,,T263+1)*R263-ERP_i)*Q263*Ramure*Pc/MaxiM</f>
        <v>2.6941686905801319E-4</v>
      </c>
      <c r="Q263" s="301">
        <f t="shared" si="80"/>
        <v>0.5</v>
      </c>
      <c r="R263" s="173">
        <f t="shared" si="81"/>
        <v>0.4808722071866316</v>
      </c>
      <c r="S263" s="802">
        <f t="shared" si="82"/>
        <v>2</v>
      </c>
      <c r="T263" s="172">
        <f t="shared" si="83"/>
        <v>8</v>
      </c>
      <c r="U263" s="247">
        <f t="shared" si="84"/>
        <v>2.4808722071866316</v>
      </c>
      <c r="V263" s="378">
        <f t="shared" si="85"/>
        <v>47.555185346976295</v>
      </c>
      <c r="W263" s="397">
        <f t="shared" si="86"/>
        <v>43.574611729149915</v>
      </c>
      <c r="X263" s="153">
        <f t="shared" si="87"/>
        <v>46271</v>
      </c>
      <c r="Y263" s="380">
        <f t="shared" si="88"/>
        <v>42.406239244571381</v>
      </c>
      <c r="Z263" s="380">
        <f t="shared" si="89"/>
        <v>43.433802983872269</v>
      </c>
      <c r="AA263" s="381">
        <f t="shared" si="90"/>
        <v>46.031229019461399</v>
      </c>
      <c r="AB263" s="193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5.6427475236235099E-2</v>
      </c>
      <c r="AD263" s="227">
        <f>(INDEX(Models!$BJ263:$BT263,,AH263)*(1-AF263)+INDEX(Models!$BJ263:$BT263,,AH263+1)*AF263-ERP_i)*AE263*Ramure*Pc/MaxiM</f>
        <v>2.6941686905801319E-4</v>
      </c>
      <c r="AE263" s="301">
        <f t="shared" si="92"/>
        <v>0.5</v>
      </c>
      <c r="AF263" s="173">
        <f t="shared" si="93"/>
        <v>0.4808722071866316</v>
      </c>
      <c r="AG263" s="802">
        <f t="shared" si="99"/>
        <v>2</v>
      </c>
      <c r="AH263" s="172">
        <f t="shared" si="94"/>
        <v>8</v>
      </c>
      <c r="AI263" s="221">
        <f t="shared" si="95"/>
        <v>2.4808722071866316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46272</v>
      </c>
      <c r="B264" s="406">
        <f>'2025'!Wh/'2025'!Env_an*'2026'!Env_an</f>
        <v>35.730627137063593</v>
      </c>
      <c r="C264" s="832"/>
      <c r="D264" s="388">
        <f t="shared" si="77"/>
        <v>36.596932242504167</v>
      </c>
      <c r="E264" s="380">
        <f t="shared" si="100"/>
        <v>37.747273634288604</v>
      </c>
      <c r="F264" s="380">
        <f t="shared" si="78"/>
        <v>37.753885962212074</v>
      </c>
      <c r="G264" s="110">
        <f t="shared" si="101"/>
        <v>0.75591729874778257</v>
      </c>
      <c r="H264" s="409" t="b">
        <f>Wh_hp&gt;='2025'!Maxi_hp</f>
        <v>0</v>
      </c>
      <c r="I264" s="375">
        <f>IF(H264,Wh_hp,'2025'!Maxi_hp)</f>
        <v>37.756957549064502</v>
      </c>
      <c r="J264" s="85">
        <f>IF(H264,An,'2025'!An_max)</f>
        <v>2022</v>
      </c>
      <c r="K264" s="193">
        <f t="shared" si="79"/>
        <v>46272</v>
      </c>
      <c r="L264" s="143">
        <f>IF(t&lt;Tvie,1-EXP((T0-t)*PertePVj)+'2025'!Pspv,1-EXP((T0-t)*PertePVj)+Pspv)</f>
        <v>2.3671522511781395E-2</v>
      </c>
      <c r="M264" s="836"/>
      <c r="N264" s="836"/>
      <c r="O264" s="48">
        <f>IF(t&lt;Tnet,'2025'!Resal+('2025'!Salim-'2025'!Resal)*(1-EXP(('2025'!Tnet-t)/('2025'!Tau_j))),Resal+(Salim-Resal)*(1-EXP((Tnet-t)/(Tau_j))))*Salcycl</f>
        <v>3.047482059047301E-2</v>
      </c>
      <c r="P264" s="334">
        <f>(INDEX(Models!$BJ264:$BT264,,T264)*(1-R264)+INDEX(Models!$BJ264:$BT264,,T264+1)*R264-ERP_i)*Q264*Ramure*Pc/MaxiM</f>
        <v>2.6886680878227914E-4</v>
      </c>
      <c r="Q264" s="301">
        <f t="shared" si="80"/>
        <v>0.5</v>
      </c>
      <c r="R264" s="173">
        <f t="shared" si="81"/>
        <v>0.48138677641966909</v>
      </c>
      <c r="S264" s="802">
        <f t="shared" si="82"/>
        <v>2</v>
      </c>
      <c r="T264" s="172">
        <f t="shared" si="83"/>
        <v>8</v>
      </c>
      <c r="U264" s="247">
        <f t="shared" si="84"/>
        <v>2.4813867764196691</v>
      </c>
      <c r="V264" s="378">
        <f t="shared" si="85"/>
        <v>47.263474189944773</v>
      </c>
      <c r="W264" s="397">
        <f t="shared" si="86"/>
        <v>35.730627137063593</v>
      </c>
      <c r="X264" s="153">
        <f t="shared" si="87"/>
        <v>46272</v>
      </c>
      <c r="Y264" s="380">
        <f t="shared" si="88"/>
        <v>34.773537815062873</v>
      </c>
      <c r="Z264" s="380">
        <f t="shared" si="89"/>
        <v>35.616637859958857</v>
      </c>
      <c r="AA264" s="381">
        <f t="shared" si="90"/>
        <v>37.747273634288604</v>
      </c>
      <c r="AB264" s="193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5.6444759294995449E-2</v>
      </c>
      <c r="AD264" s="227">
        <f>(INDEX(Models!$BJ264:$BT264,,AH264)*(1-AF264)+INDEX(Models!$BJ264:$BT264,,AH264+1)*AF264-ERP_i)*AE264*Ramure*Pc/MaxiM</f>
        <v>2.6886680878227914E-4</v>
      </c>
      <c r="AE264" s="301">
        <f t="shared" si="92"/>
        <v>0.5</v>
      </c>
      <c r="AF264" s="173">
        <f t="shared" si="93"/>
        <v>0.48138677641966909</v>
      </c>
      <c r="AG264" s="802">
        <f t="shared" si="99"/>
        <v>2</v>
      </c>
      <c r="AH264" s="172">
        <f t="shared" si="94"/>
        <v>8</v>
      </c>
      <c r="AI264" s="221">
        <f t="shared" si="95"/>
        <v>2.4813867764196691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46273</v>
      </c>
      <c r="B265" s="406">
        <f>'2025'!Wh/'2025'!Env_an*'2026'!Env_an</f>
        <v>39.740696119917295</v>
      </c>
      <c r="C265" s="832"/>
      <c r="D265" s="388">
        <f t="shared" si="77"/>
        <v>40.704784363519963</v>
      </c>
      <c r="E265" s="380">
        <f t="shared" si="100"/>
        <v>41.986165967584334</v>
      </c>
      <c r="F265" s="380">
        <f t="shared" si="78"/>
        <v>41.994873898405878</v>
      </c>
      <c r="G265" s="110">
        <f t="shared" si="101"/>
        <v>0.8460596973574348</v>
      </c>
      <c r="H265" s="409" t="b">
        <f>Wh_hp&gt;='2025'!Maxi_hp</f>
        <v>0</v>
      </c>
      <c r="I265" s="375">
        <f>IF(H265,Wh_hp,'2025'!Maxi_hp)</f>
        <v>41.996995184866542</v>
      </c>
      <c r="J265" s="85">
        <f>IF(H265,An,'2025'!An_max)</f>
        <v>2022</v>
      </c>
      <c r="K265" s="193">
        <f t="shared" si="79"/>
        <v>46273</v>
      </c>
      <c r="L265" s="143">
        <f>IF(t&lt;Tvie,1-EXP((T0-t)*PertePVj)+'2025'!Pspv,1-EXP((T0-t)*PertePVj)+Pspv)</f>
        <v>2.3684887628754869E-2</v>
      </c>
      <c r="M265" s="836"/>
      <c r="N265" s="836"/>
      <c r="O265" s="48">
        <f>IF(t&lt;Tnet,'2025'!Resal+('2025'!Salim-'2025'!Resal)*(1-EXP(('2025'!Tnet-t)/('2025'!Tau_j))),Resal+(Salim-Resal)*(1-EXP((Tnet-t)/(Tau_j))))*Salcycl</f>
        <v>3.0519138257436275E-2</v>
      </c>
      <c r="P265" s="334">
        <f>(INDEX(Models!$BJ265:$BT265,,T265)*(1-R265)+INDEX(Models!$BJ265:$BT265,,T265+1)*R265-ERP_i)*Q265*Ramure*Pc/MaxiM</f>
        <v>2.6578916787079658E-4</v>
      </c>
      <c r="Q265" s="301">
        <f t="shared" si="80"/>
        <v>0.5</v>
      </c>
      <c r="R265" s="173">
        <f t="shared" si="81"/>
        <v>0.48188164966651481</v>
      </c>
      <c r="S265" s="802">
        <f t="shared" si="82"/>
        <v>2</v>
      </c>
      <c r="T265" s="172">
        <f t="shared" si="83"/>
        <v>8</v>
      </c>
      <c r="U265" s="247">
        <f t="shared" si="84"/>
        <v>2.4818816496665148</v>
      </c>
      <c r="V265" s="378">
        <f t="shared" si="85"/>
        <v>46.968758383321216</v>
      </c>
      <c r="W265" s="397">
        <f t="shared" si="86"/>
        <v>39.740696119917295</v>
      </c>
      <c r="X265" s="153">
        <f t="shared" si="87"/>
        <v>46273</v>
      </c>
      <c r="Y265" s="380">
        <f t="shared" si="88"/>
        <v>38.677266940302296</v>
      </c>
      <c r="Z265" s="380">
        <f t="shared" si="89"/>
        <v>39.615556955135212</v>
      </c>
      <c r="AA265" s="381">
        <f t="shared" si="90"/>
        <v>41.986165967584334</v>
      </c>
      <c r="AB265" s="193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5.6461669166919574E-2</v>
      </c>
      <c r="AD265" s="227">
        <f>(INDEX(Models!$BJ265:$BT265,,AH265)*(1-AF265)+INDEX(Models!$BJ265:$BT265,,AH265+1)*AF265-ERP_i)*AE265*Ramure*Pc/MaxiM</f>
        <v>2.6578916787079658E-4</v>
      </c>
      <c r="AE265" s="301">
        <f t="shared" si="92"/>
        <v>0.5</v>
      </c>
      <c r="AF265" s="173">
        <f t="shared" si="93"/>
        <v>0.48188164966651481</v>
      </c>
      <c r="AG265" s="802">
        <f t="shared" si="99"/>
        <v>2</v>
      </c>
      <c r="AH265" s="172">
        <f t="shared" si="94"/>
        <v>8</v>
      </c>
      <c r="AI265" s="221">
        <f t="shared" si="95"/>
        <v>2.4818816496665148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46274</v>
      </c>
      <c r="B266" s="406">
        <f>'2025'!Wh/'2025'!Env_an*'2026'!Env_an</f>
        <v>18.933697357175394</v>
      </c>
      <c r="C266" s="832"/>
      <c r="D266" s="388">
        <f t="shared" si="77"/>
        <v>19.393284306697129</v>
      </c>
      <c r="E266" s="380">
        <f t="shared" si="100"/>
        <v>20.004691777918097</v>
      </c>
      <c r="F266" s="380">
        <f t="shared" si="78"/>
        <v>20.005477531358764</v>
      </c>
      <c r="G266" s="110">
        <f t="shared" si="101"/>
        <v>0.40559717157898095</v>
      </c>
      <c r="H266" s="409" t="b">
        <f>Wh_hp&gt;='2025'!Maxi_hp</f>
        <v>0</v>
      </c>
      <c r="I266" s="375">
        <f>IF(H266,Wh_hp,'2025'!Maxi_hp)</f>
        <v>20.009279692511022</v>
      </c>
      <c r="J266" s="85">
        <f>IF(H266,An,'2025'!An_max)</f>
        <v>2022</v>
      </c>
      <c r="K266" s="193">
        <f t="shared" si="79"/>
        <v>46274</v>
      </c>
      <c r="L266" s="143">
        <f>IF(t&lt;Tvie,1-EXP((T0-t)*PertePVj)+'2025'!Pspv,1-EXP((T0-t)*PertePVj)+Pspv)</f>
        <v>2.3698252562771138E-2</v>
      </c>
      <c r="M266" s="836"/>
      <c r="N266" s="836"/>
      <c r="O266" s="48">
        <f>IF(t&lt;Tnet,'2025'!Resal+('2025'!Salim-'2025'!Resal)*(1-EXP(('2025'!Tnet-t)/('2025'!Tau_j))),Resal+(Salim-Resal)*(1-EXP((Tnet-t)/(Tau_j))))*Salcycl</f>
        <v>3.0563203772820052E-2</v>
      </c>
      <c r="P266" s="334">
        <f>(INDEX(Models!$BJ266:$BT266,,T266)*(1-R266)+INDEX(Models!$BJ266:$BT266,,T266+1)*R266-ERP_i)*Q266*Ramure*Pc/MaxiM</f>
        <v>2.6014456091419874E-4</v>
      </c>
      <c r="Q266" s="301">
        <f t="shared" si="80"/>
        <v>0.5</v>
      </c>
      <c r="R266" s="173">
        <f t="shared" si="81"/>
        <v>0.48235754216587035</v>
      </c>
      <c r="S266" s="802">
        <f t="shared" si="82"/>
        <v>2</v>
      </c>
      <c r="T266" s="172">
        <f t="shared" si="83"/>
        <v>8</v>
      </c>
      <c r="U266" s="247">
        <f t="shared" si="84"/>
        <v>2.4823575421658703</v>
      </c>
      <c r="V266" s="378">
        <f t="shared" si="85"/>
        <v>46.670728195818839</v>
      </c>
      <c r="W266" s="397">
        <f t="shared" si="86"/>
        <v>18.933697357175394</v>
      </c>
      <c r="X266" s="153">
        <f t="shared" si="87"/>
        <v>46274</v>
      </c>
      <c r="Y266" s="380">
        <f t="shared" si="88"/>
        <v>18.42756170649411</v>
      </c>
      <c r="Z266" s="380">
        <f t="shared" si="89"/>
        <v>18.87486297639645</v>
      </c>
      <c r="AA266" s="381">
        <f t="shared" si="90"/>
        <v>20.004691777918097</v>
      </c>
      <c r="AB266" s="193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5.6478190919631847E-2</v>
      </c>
      <c r="AD266" s="227">
        <f>(INDEX(Models!$BJ266:$BT266,,AH266)*(1-AF266)+INDEX(Models!$BJ266:$BT266,,AH266+1)*AF266-ERP_i)*AE266*Ramure*Pc/MaxiM</f>
        <v>2.6014456091419874E-4</v>
      </c>
      <c r="AE266" s="301">
        <f t="shared" si="92"/>
        <v>0.5</v>
      </c>
      <c r="AF266" s="173">
        <f t="shared" si="93"/>
        <v>0.48235754216587035</v>
      </c>
      <c r="AG266" s="802">
        <f t="shared" si="99"/>
        <v>2</v>
      </c>
      <c r="AH266" s="172">
        <f t="shared" si="94"/>
        <v>8</v>
      </c>
      <c r="AI266" s="221">
        <f t="shared" si="95"/>
        <v>2.4823575421658703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46275</v>
      </c>
      <c r="B267" s="406">
        <f>'2025'!Wh/'2025'!Env_an*'2026'!Env_an</f>
        <v>44.139446654857529</v>
      </c>
      <c r="C267" s="832"/>
      <c r="D267" s="388">
        <f t="shared" si="77"/>
        <v>45.21148406315347</v>
      </c>
      <c r="E267" s="380">
        <f t="shared" si="100"/>
        <v>46.638963213858801</v>
      </c>
      <c r="F267" s="380">
        <f t="shared" si="78"/>
        <v>46.649906779754836</v>
      </c>
      <c r="G267" s="110">
        <f t="shared" si="101"/>
        <v>0.95189916439147204</v>
      </c>
      <c r="H267" s="409" t="b">
        <f>Wh_hp&gt;='2025'!Maxi_hp</f>
        <v>0</v>
      </c>
      <c r="I267" s="375">
        <f>IF(H267,Wh_hp,'2025'!Maxi_hp)</f>
        <v>46.650597773955901</v>
      </c>
      <c r="J267" s="85">
        <f>IF(H267,An,'2025'!An_max)</f>
        <v>2022</v>
      </c>
      <c r="K267" s="193">
        <f t="shared" si="79"/>
        <v>46275</v>
      </c>
      <c r="L267" s="143">
        <f>IF(t&lt;Tvie,1-EXP((T0-t)*PertePVj)+'2025'!Pspv,1-EXP((T0-t)*PertePVj)+Pspv)</f>
        <v>2.3711617313832756E-2</v>
      </c>
      <c r="M267" s="836"/>
      <c r="N267" s="836"/>
      <c r="O267" s="48">
        <f>IF(t&lt;Tnet,'2025'!Resal+('2025'!Salim-'2025'!Resal)*(1-EXP(('2025'!Tnet-t)/('2025'!Tau_j))),Resal+(Salim-Resal)*(1-EXP((Tnet-t)/(Tau_j))))*Salcycl</f>
        <v>3.0607008654110757E-2</v>
      </c>
      <c r="P267" s="334">
        <f>(INDEX(Models!$BJ267:$BT267,,T267)*(1-R267)+INDEX(Models!$BJ267:$BT267,,T267+1)*R267-ERP_i)*Q267*Ramure*Pc/MaxiM</f>
        <v>2.5189219877076589E-4</v>
      </c>
      <c r="Q267" s="301">
        <f t="shared" si="80"/>
        <v>0.5</v>
      </c>
      <c r="R267" s="173">
        <f t="shared" si="81"/>
        <v>0.48281514617353505</v>
      </c>
      <c r="S267" s="802">
        <f t="shared" si="82"/>
        <v>2</v>
      </c>
      <c r="T267" s="172">
        <f t="shared" si="83"/>
        <v>8</v>
      </c>
      <c r="U267" s="247">
        <f t="shared" si="84"/>
        <v>2.482815146173535</v>
      </c>
      <c r="V267" s="378">
        <f t="shared" si="85"/>
        <v>46.369073935025902</v>
      </c>
      <c r="W267" s="397">
        <f t="shared" si="86"/>
        <v>44.139446654857529</v>
      </c>
      <c r="X267" s="153">
        <f t="shared" si="87"/>
        <v>46275</v>
      </c>
      <c r="Y267" s="380">
        <f t="shared" si="88"/>
        <v>42.960718142131121</v>
      </c>
      <c r="Z267" s="380">
        <f t="shared" si="89"/>
        <v>44.004127165713754</v>
      </c>
      <c r="AA267" s="381">
        <f t="shared" si="90"/>
        <v>46.638963213858801</v>
      </c>
      <c r="AB267" s="193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5.6494310048515455E-2</v>
      </c>
      <c r="AD267" s="227">
        <f>(INDEX(Models!$BJ267:$BT267,,AH267)*(1-AF267)+INDEX(Models!$BJ267:$BT267,,AH267+1)*AF267-ERP_i)*AE267*Ramure*Pc/MaxiM</f>
        <v>2.5189219877076589E-4</v>
      </c>
      <c r="AE267" s="301">
        <f t="shared" si="92"/>
        <v>0.5</v>
      </c>
      <c r="AF267" s="173">
        <f t="shared" si="93"/>
        <v>0.48281514617353505</v>
      </c>
      <c r="AG267" s="802">
        <f t="shared" si="99"/>
        <v>2</v>
      </c>
      <c r="AH267" s="172">
        <f t="shared" si="94"/>
        <v>8</v>
      </c>
      <c r="AI267" s="221">
        <f t="shared" si="95"/>
        <v>2.482815146173535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46276</v>
      </c>
      <c r="B268" s="406">
        <f>'2025'!Wh/'2025'!Env_an*'2026'!Env_an</f>
        <v>45.664648369264235</v>
      </c>
      <c r="C268" s="832"/>
      <c r="D268" s="388">
        <f t="shared" si="77"/>
        <v>46.774369436688943</v>
      </c>
      <c r="E268" s="380">
        <f t="shared" si="100"/>
        <v>48.25336121103868</v>
      </c>
      <c r="F268" s="380">
        <f t="shared" si="78"/>
        <v>48.26488235874961</v>
      </c>
      <c r="G268" s="110">
        <f t="shared" si="101"/>
        <v>0.99133930410268223</v>
      </c>
      <c r="H268" s="409" t="b">
        <f>Wh_hp&gt;='2025'!Maxi_hp</f>
        <v>0</v>
      </c>
      <c r="I268" s="375">
        <f>IF(H268,Wh_hp,'2025'!Maxi_hp)</f>
        <v>48.265005171653357</v>
      </c>
      <c r="J268" s="85">
        <f>IF(H268,An,'2025'!An_max)</f>
        <v>2022</v>
      </c>
      <c r="K268" s="193">
        <f t="shared" si="79"/>
        <v>46276</v>
      </c>
      <c r="L268" s="143">
        <f>IF(t&lt;Tvie,1-EXP((T0-t)*PertePVj)+'2025'!Pspv,1-EXP((T0-t)*PertePVj)+Pspv)</f>
        <v>2.3724981881942053E-2</v>
      </c>
      <c r="M268" s="836"/>
      <c r="N268" s="836"/>
      <c r="O268" s="48">
        <f>IF(t&lt;Tnet,'2025'!Resal+('2025'!Salim-'2025'!Resal)*(1-EXP(('2025'!Tnet-t)/('2025'!Tau_j))),Resal+(Salim-Resal)*(1-EXP((Tnet-t)/(Tau_j))))*Salcycl</f>
        <v>3.0650544070521622E-2</v>
      </c>
      <c r="P268" s="334">
        <f>(INDEX(Models!$BJ268:$BT268,,T268)*(1-R268)+INDEX(Models!$BJ268:$BT268,,T268+1)*R268-ERP_i)*Q268*Ramure*Pc/MaxiM</f>
        <v>2.4169597745979881E-4</v>
      </c>
      <c r="Q268" s="301">
        <f t="shared" si="80"/>
        <v>0.5</v>
      </c>
      <c r="R268" s="173">
        <f t="shared" si="81"/>
        <v>0.48325513146487165</v>
      </c>
      <c r="S268" s="802">
        <f t="shared" si="82"/>
        <v>2</v>
      </c>
      <c r="T268" s="172">
        <f t="shared" si="83"/>
        <v>8</v>
      </c>
      <c r="U268" s="247">
        <f t="shared" si="84"/>
        <v>2.4832551314648716</v>
      </c>
      <c r="V268" s="378">
        <f t="shared" si="85"/>
        <v>46.063453391252366</v>
      </c>
      <c r="W268" s="397">
        <f t="shared" si="86"/>
        <v>45.664648369264235</v>
      </c>
      <c r="X268" s="153">
        <f t="shared" si="87"/>
        <v>46276</v>
      </c>
      <c r="Y268" s="380">
        <f t="shared" si="88"/>
        <v>44.446446328150095</v>
      </c>
      <c r="Z268" s="380">
        <f t="shared" si="89"/>
        <v>45.526563215586989</v>
      </c>
      <c r="AA268" s="381">
        <f t="shared" si="90"/>
        <v>48.25336121103868</v>
      </c>
      <c r="AB268" s="193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5.651001146896046E-2</v>
      </c>
      <c r="AD268" s="227">
        <f>(INDEX(Models!$BJ268:$BT268,,AH268)*(1-AF268)+INDEX(Models!$BJ268:$BT268,,AH268+1)*AF268-ERP_i)*AE268*Ramure*Pc/MaxiM</f>
        <v>2.4169597745979881E-4</v>
      </c>
      <c r="AE268" s="301">
        <f t="shared" si="92"/>
        <v>0.5</v>
      </c>
      <c r="AF268" s="173">
        <f t="shared" si="93"/>
        <v>0.48325513146487165</v>
      </c>
      <c r="AG268" s="802">
        <f t="shared" si="99"/>
        <v>2</v>
      </c>
      <c r="AH268" s="172">
        <f t="shared" si="94"/>
        <v>8</v>
      </c>
      <c r="AI268" s="221">
        <f t="shared" si="95"/>
        <v>2.4832551314648716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46277</v>
      </c>
      <c r="B269" s="406">
        <f>'2025'!Wh/'2025'!Env_an*'2026'!Env_an</f>
        <v>35.471419559436889</v>
      </c>
      <c r="C269" s="832"/>
      <c r="D269" s="388">
        <f t="shared" si="77"/>
        <v>36.333926897370226</v>
      </c>
      <c r="E269" s="380">
        <f t="shared" si="100"/>
        <v>37.484467683047995</v>
      </c>
      <c r="F269" s="380">
        <f t="shared" si="78"/>
        <v>37.490352346913696</v>
      </c>
      <c r="G269" s="110">
        <f t="shared" si="101"/>
        <v>0.77521503646597356</v>
      </c>
      <c r="H269" s="409" t="b">
        <f>Wh_hp&gt;='2025'!Maxi_hp</f>
        <v>0</v>
      </c>
      <c r="I269" s="375">
        <f>IF(H269,Wh_hp,'2025'!Maxi_hp)</f>
        <v>37.492707900154691</v>
      </c>
      <c r="J269" s="85">
        <f>IF(H269,An,'2025'!An_max)</f>
        <v>2022</v>
      </c>
      <c r="K269" s="193">
        <f t="shared" si="79"/>
        <v>46277</v>
      </c>
      <c r="L269" s="143">
        <f>IF(t&lt;Tvie,1-EXP((T0-t)*PertePVj)+'2025'!Pspv,1-EXP((T0-t)*PertePVj)+Pspv)</f>
        <v>2.3738346267101695E-2</v>
      </c>
      <c r="M269" s="836"/>
      <c r="N269" s="836"/>
      <c r="O269" s="48">
        <f>IF(t&lt;Tnet,'2025'!Resal+('2025'!Salim-'2025'!Resal)*(1-EXP(('2025'!Tnet-t)/('2025'!Tau_j))),Resal+(Salim-Resal)*(1-EXP((Tnet-t)/(Tau_j))))*Salcycl</f>
        <v>3.0693800840556902E-2</v>
      </c>
      <c r="P269" s="334">
        <f>(INDEX(Models!$BJ269:$BT269,,T269)*(1-R269)+INDEX(Models!$BJ269:$BT269,,T269+1)*R269-ERP_i)*Q269*Ramure*Pc/MaxiM</f>
        <v>2.3118380879997639E-4</v>
      </c>
      <c r="Q269" s="301">
        <f t="shared" si="80"/>
        <v>0.5</v>
      </c>
      <c r="R269" s="173">
        <f t="shared" si="81"/>
        <v>0.48367814584645874</v>
      </c>
      <c r="S269" s="802">
        <f t="shared" si="82"/>
        <v>2</v>
      </c>
      <c r="T269" s="172">
        <f t="shared" si="83"/>
        <v>8</v>
      </c>
      <c r="U269" s="247">
        <f t="shared" si="84"/>
        <v>2.4836781458464587</v>
      </c>
      <c r="V269" s="378">
        <f t="shared" si="85"/>
        <v>45.753481063184317</v>
      </c>
      <c r="W269" s="397">
        <f t="shared" si="86"/>
        <v>35.471419559436889</v>
      </c>
      <c r="X269" s="153">
        <f t="shared" si="87"/>
        <v>46277</v>
      </c>
      <c r="Y269" s="380">
        <f t="shared" si="88"/>
        <v>34.526125679450416</v>
      </c>
      <c r="Z269" s="380">
        <f t="shared" si="89"/>
        <v>35.36564766979636</v>
      </c>
      <c r="AA269" s="381">
        <f t="shared" si="90"/>
        <v>37.484467683047995</v>
      </c>
      <c r="AB269" s="193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5.6525279514902958E-2</v>
      </c>
      <c r="AD269" s="227">
        <f>(INDEX(Models!$BJ269:$BT269,,AH269)*(1-AF269)+INDEX(Models!$BJ269:$BT269,,AH269+1)*AF269-ERP_i)*AE269*Ramure*Pc/MaxiM</f>
        <v>2.3118380879997639E-4</v>
      </c>
      <c r="AE269" s="301">
        <f t="shared" si="92"/>
        <v>0.5</v>
      </c>
      <c r="AF269" s="173">
        <f t="shared" si="93"/>
        <v>0.48367814584645874</v>
      </c>
      <c r="AG269" s="802">
        <f t="shared" si="99"/>
        <v>2</v>
      </c>
      <c r="AH269" s="172">
        <f t="shared" si="94"/>
        <v>8</v>
      </c>
      <c r="AI269" s="221">
        <f t="shared" si="95"/>
        <v>2.4836781458464587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46278</v>
      </c>
      <c r="B270" s="406">
        <f>'2025'!Wh/'2025'!Env_an*'2026'!Env_an</f>
        <v>13.596786288000047</v>
      </c>
      <c r="C270" s="832"/>
      <c r="D270" s="388">
        <f t="shared" si="77"/>
        <v>13.927590382295534</v>
      </c>
      <c r="E270" s="380">
        <f t="shared" si="100"/>
        <v>14.369254855725909</v>
      </c>
      <c r="F270" s="380">
        <f t="shared" si="78"/>
        <v>14.369254855725909</v>
      </c>
      <c r="G270" s="110">
        <f t="shared" si="101"/>
        <v>0.29916670225898923</v>
      </c>
      <c r="H270" s="409" t="b">
        <f>Wh_hp&gt;='2025'!Maxi_hp</f>
        <v>0</v>
      </c>
      <c r="I270" s="375">
        <f>IF(H270,Wh_hp,'2025'!Maxi_hp)</f>
        <v>14.371921268140474</v>
      </c>
      <c r="J270" s="85">
        <f>IF(H270,An,'2025'!An_max)</f>
        <v>2022</v>
      </c>
      <c r="K270" s="193">
        <f t="shared" si="79"/>
        <v>46278</v>
      </c>
      <c r="L270" s="143">
        <f>IF(t&lt;Tvie,1-EXP((T0-t)*PertePVj)+'2025'!Pspv,1-EXP((T0-t)*PertePVj)+Pspv)</f>
        <v>2.3751710469314125E-2</v>
      </c>
      <c r="M270" s="836"/>
      <c r="N270" s="836"/>
      <c r="O270" s="48">
        <f>IF(t&lt;Tnet,'2025'!Resal+('2025'!Salim-'2025'!Resal)*(1-EXP(('2025'!Tnet-t)/('2025'!Tau_j))),Resal+(Salim-Resal)*(1-EXP((Tnet-t)/(Tau_j))))*Salcycl</f>
        <v>3.0736769433411387E-2</v>
      </c>
      <c r="P270" s="334">
        <f>(INDEX(Models!$BJ270:$BT270,,T270)*(1-R270)+INDEX(Models!$BJ270:$BT270,,T270+1)*R270-ERP_i)*Q270*Ramure*Pc/MaxiM</f>
        <v>2.2035078487914647E-4</v>
      </c>
      <c r="Q270" s="301">
        <f t="shared" si="80"/>
        <v>0.5</v>
      </c>
      <c r="R270" s="173">
        <f t="shared" si="81"/>
        <v>0.48408481567466888</v>
      </c>
      <c r="S270" s="802">
        <f t="shared" si="82"/>
        <v>2</v>
      </c>
      <c r="T270" s="172">
        <f t="shared" si="83"/>
        <v>8</v>
      </c>
      <c r="U270" s="247">
        <f t="shared" si="84"/>
        <v>2.4840848156746689</v>
      </c>
      <c r="V270" s="378">
        <f t="shared" si="85"/>
        <v>45.438847715416806</v>
      </c>
      <c r="W270" s="397">
        <f t="shared" si="86"/>
        <v>13.596786288000047</v>
      </c>
      <c r="X270" s="153">
        <f t="shared" si="87"/>
        <v>46278</v>
      </c>
      <c r="Y270" s="380">
        <f t="shared" si="88"/>
        <v>13.234818215531167</v>
      </c>
      <c r="Z270" s="380">
        <f t="shared" si="89"/>
        <v>13.556815778794933</v>
      </c>
      <c r="AA270" s="381">
        <f t="shared" si="90"/>
        <v>14.369254855725909</v>
      </c>
      <c r="AB270" s="193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5.6540097944413011E-2</v>
      </c>
      <c r="AD270" s="227">
        <f>(INDEX(Models!$BJ270:$BT270,,AH270)*(1-AF270)+INDEX(Models!$BJ270:$BT270,,AH270+1)*AF270-ERP_i)*AE270*Ramure*Pc/MaxiM</f>
        <v>2.2035078487914647E-4</v>
      </c>
      <c r="AE270" s="301">
        <f t="shared" si="92"/>
        <v>0.5</v>
      </c>
      <c r="AF270" s="173">
        <f t="shared" si="93"/>
        <v>0.48408481567466888</v>
      </c>
      <c r="AG270" s="802">
        <f t="shared" si="99"/>
        <v>2</v>
      </c>
      <c r="AH270" s="172">
        <f t="shared" si="94"/>
        <v>8</v>
      </c>
      <c r="AI270" s="221">
        <f t="shared" si="95"/>
        <v>2.4840848156746689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46279</v>
      </c>
      <c r="B271" s="406">
        <f>'2025'!Wh/'2025'!Env_an*'2026'!Env_an</f>
        <v>36.536051621353607</v>
      </c>
      <c r="C271" s="832"/>
      <c r="D271" s="388">
        <f t="shared" ref="D271:D334" si="102">Wh/(1-Ppv)</f>
        <v>37.425470720803744</v>
      </c>
      <c r="E271" s="380">
        <f t="shared" si="100"/>
        <v>38.613987635408265</v>
      </c>
      <c r="F271" s="380">
        <f t="shared" ref="F271:F334" si="103">Wh_sa/(1-Pvg*MEDIAN((-Sdif+Wh/Env_an)/Csdif,0,1))</f>
        <v>38.619871031024488</v>
      </c>
      <c r="G271" s="110">
        <f t="shared" si="101"/>
        <v>0.80972043938010096</v>
      </c>
      <c r="H271" s="409" t="b">
        <f>Wh_hp&gt;='2025'!Maxi_hp</f>
        <v>0</v>
      </c>
      <c r="I271" s="375">
        <f>IF(H271,Wh_hp,'2025'!Maxi_hp)</f>
        <v>38.621710894977937</v>
      </c>
      <c r="J271" s="85">
        <f>IF(H271,An,'2025'!An_max)</f>
        <v>2022</v>
      </c>
      <c r="K271" s="193">
        <f t="shared" ref="K271:K334" si="104">t</f>
        <v>46279</v>
      </c>
      <c r="L271" s="143">
        <f>IF(t&lt;Tvie,1-EXP((T0-t)*PertePVj)+'2025'!Pspv,1-EXP((T0-t)*PertePVj)+Pspv)</f>
        <v>2.3765074488581783E-2</v>
      </c>
      <c r="M271" s="836"/>
      <c r="N271" s="836"/>
      <c r="O271" s="48">
        <f>IF(t&lt;Tnet,'2025'!Resal+('2025'!Salim-'2025'!Resal)*(1-EXP(('2025'!Tnet-t)/('2025'!Tau_j))),Resal+(Salim-Resal)*(1-EXP((Tnet-t)/(Tau_j))))*Salcycl</f>
        <v>3.0779439974613583E-2</v>
      </c>
      <c r="P271" s="334">
        <f>(INDEX(Models!$BJ271:$BT271,,T271)*(1-R271)+INDEX(Models!$BJ271:$BT271,,T271+1)*R271-ERP_i)*Q271*Ramure*Pc/MaxiM</f>
        <v>2.0919148218748955E-4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0.48447574637910451</v>
      </c>
      <c r="S271" s="802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2.4844757463791045</v>
      </c>
      <c r="V271" s="378">
        <f t="shared" ref="V271:V334" si="110">MaxiM*(1-Ppv)*(1-Pvg)*(1-Psa)</f>
        <v>45.119244175465411</v>
      </c>
      <c r="W271" s="397">
        <f t="shared" ref="W271:W334" si="111">Wh*(A271&gt;Tmaj)</f>
        <v>36.536051621353607</v>
      </c>
      <c r="X271" s="153">
        <f t="shared" ref="X271:X334" si="112">t</f>
        <v>46279</v>
      </c>
      <c r="Y271" s="380">
        <f t="shared" ref="Y271:Y334" si="113">Wh_pvt_s*(1-Ppv)</f>
        <v>35.564428511039587</v>
      </c>
      <c r="Z271" s="380">
        <f t="shared" ref="Z271:Z334" si="114">Wh_sa_s*(1-Psa_s)</f>
        <v>36.430194804194819</v>
      </c>
      <c r="AA271" s="381">
        <f t="shared" ref="AA271:AA334" si="115">Wh_hp*(1-Pvg_s*MEDIAN((-Sdif+Wh/Env_an)/Csdif,0,1))</f>
        <v>38.613987635408265</v>
      </c>
      <c r="AB271" s="193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5.6554449953025582E-2</v>
      </c>
      <c r="AD271" s="227">
        <f>(INDEX(Models!$BJ271:$BT271,,AH271)*(1-AF271)+INDEX(Models!$BJ271:$BT271,,AH271+1)*AF271-ERP_i)*AE271*Ramure*Pc/MaxiM</f>
        <v>2.0919148218748955E-4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0.48447574637910451</v>
      </c>
      <c r="AG271" s="802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2.4844757463791045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46280</v>
      </c>
      <c r="B272" s="406">
        <f>'2025'!Wh/'2025'!Env_an*'2026'!Env_an</f>
        <v>41.505421023546539</v>
      </c>
      <c r="C272" s="832"/>
      <c r="D272" s="388">
        <f t="shared" si="102"/>
        <v>42.516394487669004</v>
      </c>
      <c r="E272" s="380">
        <f t="shared" si="100"/>
        <v>43.868500742844567</v>
      </c>
      <c r="F272" s="380">
        <f t="shared" si="103"/>
        <v>43.876265225342713</v>
      </c>
      <c r="G272" s="110">
        <f t="shared" si="101"/>
        <v>0.92655769502917429</v>
      </c>
      <c r="H272" s="409" t="b">
        <f>Wh_hp&gt;='2025'!Maxi_hp</f>
        <v>0</v>
      </c>
      <c r="I272" s="375">
        <f>IF(H272,Wh_hp,'2025'!Maxi_hp)</f>
        <v>43.877024170324354</v>
      </c>
      <c r="J272" s="85">
        <f>IF(H272,An,'2025'!An_max)</f>
        <v>2022</v>
      </c>
      <c r="K272" s="193">
        <f t="shared" si="104"/>
        <v>46280</v>
      </c>
      <c r="L272" s="143">
        <f>IF(t&lt;Tvie,1-EXP((T0-t)*PertePVj)+'2025'!Pspv,1-EXP((T0-t)*PertePVj)+Pspv)</f>
        <v>2.3778438324907336E-2</v>
      </c>
      <c r="M272" s="836"/>
      <c r="N272" s="836"/>
      <c r="O272" s="48">
        <f>IF(t&lt;Tnet,'2025'!Resal+('2025'!Salim-'2025'!Resal)*(1-EXP(('2025'!Tnet-t)/('2025'!Tau_j))),Resal+(Salim-Resal)*(1-EXP((Tnet-t)/(Tau_j))))*Salcycl</f>
        <v>3.0821802256283105E-2</v>
      </c>
      <c r="P272" s="334">
        <f>(INDEX(Models!$BJ272:$BT272,,T272)*(1-R272)+INDEX(Models!$BJ272:$BT272,,T272+1)*R272-ERP_i)*Q272*Ramure*Pc/MaxiM</f>
        <v>1.9769992921957058E-4</v>
      </c>
      <c r="Q272" s="301">
        <f t="shared" si="105"/>
        <v>0.5</v>
      </c>
      <c r="R272" s="173">
        <f t="shared" si="106"/>
        <v>0.48485152298900225</v>
      </c>
      <c r="S272" s="802">
        <f t="shared" si="107"/>
        <v>2</v>
      </c>
      <c r="T272" s="172">
        <f t="shared" si="108"/>
        <v>8</v>
      </c>
      <c r="U272" s="247">
        <f t="shared" si="109"/>
        <v>2.4848515229890022</v>
      </c>
      <c r="V272" s="378">
        <f t="shared" si="110"/>
        <v>44.794361328489948</v>
      </c>
      <c r="W272" s="397">
        <f t="shared" si="111"/>
        <v>41.505421023546539</v>
      </c>
      <c r="X272" s="153">
        <f t="shared" si="112"/>
        <v>46280</v>
      </c>
      <c r="Y272" s="380">
        <f t="shared" si="113"/>
        <v>40.402816789947714</v>
      </c>
      <c r="Z272" s="380">
        <f t="shared" si="114"/>
        <v>41.386933434066712</v>
      </c>
      <c r="AA272" s="381">
        <f t="shared" si="115"/>
        <v>43.868500742844567</v>
      </c>
      <c r="AB272" s="193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5.6568318195433689E-2</v>
      </c>
      <c r="AD272" s="227">
        <f>(INDEX(Models!$BJ272:$BT272,,AH272)*(1-AF272)+INDEX(Models!$BJ272:$BT272,,AH272+1)*AF272-ERP_i)*AE272*Ramure*Pc/MaxiM</f>
        <v>1.9769992921957058E-4</v>
      </c>
      <c r="AE272" s="301">
        <f t="shared" si="117"/>
        <v>0.5</v>
      </c>
      <c r="AF272" s="173">
        <f t="shared" si="118"/>
        <v>0.48485152298900225</v>
      </c>
      <c r="AG272" s="802">
        <f t="shared" ref="AG272:AG335" si="124">INDEX(Echel_vg,AH272)</f>
        <v>2</v>
      </c>
      <c r="AH272" s="172">
        <f t="shared" si="119"/>
        <v>8</v>
      </c>
      <c r="AI272" s="221">
        <f t="shared" si="120"/>
        <v>2.4848515229890022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46281</v>
      </c>
      <c r="B273" s="406">
        <f>'2025'!Wh/'2025'!Env_an*'2026'!Env_an</f>
        <v>27.891215262189363</v>
      </c>
      <c r="C273" s="832"/>
      <c r="D273" s="388">
        <f t="shared" si="102"/>
        <v>28.570970125748907</v>
      </c>
      <c r="E273" s="380">
        <f t="shared" si="100"/>
        <v>29.48086293192544</v>
      </c>
      <c r="F273" s="380">
        <f t="shared" si="103"/>
        <v>29.483425083744216</v>
      </c>
      <c r="G273" s="110">
        <f t="shared" si="101"/>
        <v>0.62721580606845528</v>
      </c>
      <c r="H273" s="409" t="b">
        <f>Wh_hp&gt;='2025'!Maxi_hp</f>
        <v>0</v>
      </c>
      <c r="I273" s="375">
        <f>IF(H273,Wh_hp,'2025'!Maxi_hp)</f>
        <v>29.485848749759754</v>
      </c>
      <c r="J273" s="85">
        <f>IF(H273,An,'2025'!An_max)</f>
        <v>2022</v>
      </c>
      <c r="K273" s="193">
        <f t="shared" si="104"/>
        <v>46281</v>
      </c>
      <c r="L273" s="143">
        <f>IF(t&lt;Tvie,1-EXP((T0-t)*PertePVj)+'2025'!Pspv,1-EXP((T0-t)*PertePVj)+Pspv)</f>
        <v>2.3791801978293114E-2</v>
      </c>
      <c r="M273" s="836"/>
      <c r="N273" s="836"/>
      <c r="O273" s="48">
        <f>IF(t&lt;Tnet,'2025'!Resal+('2025'!Salim-'2025'!Resal)*(1-EXP(('2025'!Tnet-t)/('2025'!Tau_j))),Resal+(Salim-Resal)*(1-EXP((Tnet-t)/(Tau_j))))*Salcycl</f>
        <v>3.0863845752330192E-2</v>
      </c>
      <c r="P273" s="334">
        <f>(INDEX(Models!$BJ273:$BT273,,T273)*(1-R273)+INDEX(Models!$BJ273:$BT273,,T273+1)*R273-ERP_i)*Q273*Ramure*Pc/MaxiM</f>
        <v>1.8586957111658942E-4</v>
      </c>
      <c r="Q273" s="301">
        <f t="shared" si="105"/>
        <v>0.5</v>
      </c>
      <c r="R273" s="173">
        <f t="shared" si="106"/>
        <v>0.48521271066089788</v>
      </c>
      <c r="S273" s="802">
        <f t="shared" si="107"/>
        <v>2</v>
      </c>
      <c r="T273" s="172">
        <f t="shared" si="108"/>
        <v>8</v>
      </c>
      <c r="U273" s="247">
        <f t="shared" si="109"/>
        <v>2.4852127106608979</v>
      </c>
      <c r="V273" s="378">
        <f t="shared" si="110"/>
        <v>44.463890116850536</v>
      </c>
      <c r="W273" s="397">
        <f t="shared" si="111"/>
        <v>27.891215262189363</v>
      </c>
      <c r="X273" s="153">
        <f t="shared" si="112"/>
        <v>46281</v>
      </c>
      <c r="Y273" s="380">
        <f t="shared" si="113"/>
        <v>27.151069739538602</v>
      </c>
      <c r="Z273" s="380">
        <f t="shared" si="114"/>
        <v>27.812786037405182</v>
      </c>
      <c r="AA273" s="381">
        <f t="shared" si="115"/>
        <v>29.48086293192544</v>
      </c>
      <c r="AB273" s="193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5.6581684816079857E-2</v>
      </c>
      <c r="AD273" s="227">
        <f>(INDEX(Models!$BJ273:$BT273,,AH273)*(1-AF273)+INDEX(Models!$BJ273:$BT273,,AH273+1)*AF273-ERP_i)*AE273*Ramure*Pc/MaxiM</f>
        <v>1.8586957111658942E-4</v>
      </c>
      <c r="AE273" s="301">
        <f t="shared" si="117"/>
        <v>0.5</v>
      </c>
      <c r="AF273" s="173">
        <f t="shared" si="118"/>
        <v>0.48521271066089788</v>
      </c>
      <c r="AG273" s="802">
        <f t="shared" si="124"/>
        <v>2</v>
      </c>
      <c r="AH273" s="172">
        <f t="shared" si="119"/>
        <v>8</v>
      </c>
      <c r="AI273" s="221">
        <f t="shared" si="120"/>
        <v>2.4852127106608979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46282</v>
      </c>
      <c r="B274" s="406">
        <f>'2025'!Wh/'2025'!Env_an*'2026'!Env_an</f>
        <v>44.78589592033569</v>
      </c>
      <c r="C274" s="832"/>
      <c r="D274" s="388">
        <f t="shared" si="102"/>
        <v>45.87803001531254</v>
      </c>
      <c r="E274" s="380">
        <f t="shared" si="100"/>
        <v>47.341134263670504</v>
      </c>
      <c r="F274" s="380">
        <f t="shared" si="103"/>
        <v>47.349358526733646</v>
      </c>
      <c r="G274" s="110">
        <f t="shared" si="101"/>
        <v>1.0149198133359905</v>
      </c>
      <c r="H274" s="409" t="b">
        <f>Wh_hp&gt;='2025'!Maxi_hp</f>
        <v>0</v>
      </c>
      <c r="I274" s="375">
        <f>IF(H274,Wh_hp,'2025'!Maxi_hp)</f>
        <v>47.349358526733653</v>
      </c>
      <c r="J274" s="85">
        <f>IF(H274,An,'2025'!An_max)</f>
        <v>2025</v>
      </c>
      <c r="K274" s="193">
        <f t="shared" si="104"/>
        <v>46282</v>
      </c>
      <c r="L274" s="143">
        <f>IF(t&lt;Tvie,1-EXP((T0-t)*PertePVj)+'2025'!Pspv,1-EXP((T0-t)*PertePVj)+Pspv)</f>
        <v>2.3805165448741672E-2</v>
      </c>
      <c r="M274" s="836"/>
      <c r="N274" s="836"/>
      <c r="O274" s="48">
        <f>IF(t&lt;Tnet,'2025'!Resal+('2025'!Salim-'2025'!Resal)*(1-EXP(('2025'!Tnet-t)/('2025'!Tau_j))),Resal+(Salim-Resal)*(1-EXP((Tnet-t)/(Tau_j))))*Salcycl</f>
        <v>3.0905559638877311E-2</v>
      </c>
      <c r="P274" s="334">
        <f>(INDEX(Models!$BJ274:$BT274,,T274)*(1-R274)+INDEX(Models!$BJ274:$BT274,,T274+1)*R274-ERP_i)*Q274*Ramure*Pc/MaxiM</f>
        <v>1.7369323089138245E-4</v>
      </c>
      <c r="Q274" s="301">
        <f t="shared" si="105"/>
        <v>0.5</v>
      </c>
      <c r="R274" s="173">
        <f t="shared" si="106"/>
        <v>0.48555985520599654</v>
      </c>
      <c r="S274" s="802">
        <f t="shared" si="107"/>
        <v>2</v>
      </c>
      <c r="T274" s="172">
        <f t="shared" si="108"/>
        <v>8</v>
      </c>
      <c r="U274" s="247">
        <f t="shared" si="109"/>
        <v>2.4855598552059965</v>
      </c>
      <c r="V274" s="378">
        <f t="shared" si="110"/>
        <v>44.127521536038095</v>
      </c>
      <c r="W274" s="397">
        <f t="shared" si="111"/>
        <v>44.78589592033569</v>
      </c>
      <c r="X274" s="153">
        <f t="shared" si="112"/>
        <v>46282</v>
      </c>
      <c r="Y274" s="380">
        <f t="shared" si="113"/>
        <v>43.598701389372017</v>
      </c>
      <c r="Z274" s="380">
        <f t="shared" si="114"/>
        <v>44.661884949856002</v>
      </c>
      <c r="AA274" s="381">
        <f t="shared" si="115"/>
        <v>47.341134263670504</v>
      </c>
      <c r="AB274" s="193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5.6594531489089231E-2</v>
      </c>
      <c r="AD274" s="227">
        <f>(INDEX(Models!$BJ274:$BT274,,AH274)*(1-AF274)+INDEX(Models!$BJ274:$BT274,,AH274+1)*AF274-ERP_i)*AE274*Ramure*Pc/MaxiM</f>
        <v>1.7369323089138245E-4</v>
      </c>
      <c r="AE274" s="301">
        <f t="shared" si="117"/>
        <v>0.5</v>
      </c>
      <c r="AF274" s="173">
        <f t="shared" si="118"/>
        <v>0.48555985520599654</v>
      </c>
      <c r="AG274" s="802">
        <f t="shared" si="124"/>
        <v>2</v>
      </c>
      <c r="AH274" s="172">
        <f t="shared" si="119"/>
        <v>8</v>
      </c>
      <c r="AI274" s="221">
        <f t="shared" si="120"/>
        <v>2.4855598552059965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46283</v>
      </c>
      <c r="B275" s="406">
        <f>'2025'!Wh/'2025'!Env_an*'2026'!Env_an</f>
        <v>43.870094681184781</v>
      </c>
      <c r="C275" s="832"/>
      <c r="D275" s="388">
        <f t="shared" si="102"/>
        <v>44.94051154688632</v>
      </c>
      <c r="E275" s="380">
        <f t="shared" si="100"/>
        <v>46.375697130469668</v>
      </c>
      <c r="F275" s="380">
        <f t="shared" si="103"/>
        <v>46.383172558229617</v>
      </c>
      <c r="G275" s="110">
        <f t="shared" si="101"/>
        <v>1.0019679371990162</v>
      </c>
      <c r="H275" s="409" t="b">
        <f>Wh_hp&gt;='2025'!Maxi_hp</f>
        <v>1</v>
      </c>
      <c r="I275" s="375">
        <f>IF(H275,Wh_hp,'2025'!Maxi_hp)</f>
        <v>46.383172558229617</v>
      </c>
      <c r="J275" s="85">
        <f>IF(H275,An,'2025'!An_max)</f>
        <v>2026</v>
      </c>
      <c r="K275" s="193">
        <f t="shared" si="104"/>
        <v>46283</v>
      </c>
      <c r="L275" s="143">
        <f>IF(t&lt;Tvie,1-EXP((T0-t)*PertePVj)+'2025'!Pspv,1-EXP((T0-t)*PertePVj)+Pspv)</f>
        <v>2.3818528736255673E-2</v>
      </c>
      <c r="M275" s="836"/>
      <c r="N275" s="836"/>
      <c r="O275" s="48">
        <f>IF(t&lt;Tnet,'2025'!Resal+('2025'!Salim-'2025'!Resal)*(1-EXP(('2025'!Tnet-t)/('2025'!Tau_j))),Resal+(Salim-Resal)*(1-EXP((Tnet-t)/(Tau_j))))*Salcycl</f>
        <v>3.0946932820130182E-2</v>
      </c>
      <c r="P275" s="334">
        <f>(INDEX(Models!$BJ275:$BT275,,T275)*(1-R275)+INDEX(Models!$BJ275:$BT275,,T275+1)*R275-ERP_i)*Q275*Ramure*Pc/MaxiM</f>
        <v>1.6116680571097317E-4</v>
      </c>
      <c r="Q275" s="301">
        <f t="shared" si="105"/>
        <v>0.5</v>
      </c>
      <c r="R275" s="173">
        <f t="shared" si="106"/>
        <v>0.48589348361585438</v>
      </c>
      <c r="S275" s="802">
        <f t="shared" si="107"/>
        <v>2</v>
      </c>
      <c r="T275" s="172">
        <f t="shared" si="108"/>
        <v>8</v>
      </c>
      <c r="U275" s="247">
        <f t="shared" si="109"/>
        <v>2.4858934836158544</v>
      </c>
      <c r="V275" s="378">
        <f t="shared" si="110"/>
        <v>43.783930655329002</v>
      </c>
      <c r="W275" s="397">
        <f t="shared" si="111"/>
        <v>43.870094681184781</v>
      </c>
      <c r="X275" s="153">
        <f t="shared" si="112"/>
        <v>46283</v>
      </c>
      <c r="Y275" s="380">
        <f t="shared" si="113"/>
        <v>42.708442577421728</v>
      </c>
      <c r="Z275" s="380">
        <f t="shared" si="114"/>
        <v>43.750515487793741</v>
      </c>
      <c r="AA275" s="381">
        <f t="shared" si="115"/>
        <v>46.375697130469668</v>
      </c>
      <c r="AB275" s="193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5.6606839467888713E-2</v>
      </c>
      <c r="AD275" s="227">
        <f>(INDEX(Models!$BJ275:$BT275,,AH275)*(1-AF275)+INDEX(Models!$BJ275:$BT275,,AH275+1)*AF275-ERP_i)*AE275*Ramure*Pc/MaxiM</f>
        <v>1.6116680571097317E-4</v>
      </c>
      <c r="AE275" s="301">
        <f t="shared" si="117"/>
        <v>0.5</v>
      </c>
      <c r="AF275" s="173">
        <f t="shared" si="118"/>
        <v>0.48589348361585438</v>
      </c>
      <c r="AG275" s="802">
        <f t="shared" si="124"/>
        <v>2</v>
      </c>
      <c r="AH275" s="172">
        <f t="shared" si="119"/>
        <v>8</v>
      </c>
      <c r="AI275" s="221">
        <f t="shared" si="120"/>
        <v>2.4858934836158544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46284</v>
      </c>
      <c r="B276" s="406">
        <f>'2025'!Wh/'2025'!Env_an*'2026'!Env_an</f>
        <v>44.218013356686249</v>
      </c>
      <c r="C276" s="832"/>
      <c r="D276" s="388">
        <f t="shared" si="102"/>
        <v>45.297539416721627</v>
      </c>
      <c r="E276" s="380">
        <f t="shared" si="100"/>
        <v>46.746105584373353</v>
      </c>
      <c r="F276" s="380">
        <f t="shared" si="103"/>
        <v>46.753120968509741</v>
      </c>
      <c r="G276" s="110">
        <f t="shared" si="101"/>
        <v>1.0180864621196524</v>
      </c>
      <c r="H276" s="409" t="b">
        <f>Wh_hp&gt;='2025'!Maxi_hp</f>
        <v>1</v>
      </c>
      <c r="I276" s="375">
        <f>IF(H276,Wh_hp,'2025'!Maxi_hp)</f>
        <v>46.753120968509741</v>
      </c>
      <c r="J276" s="85">
        <f>IF(H276,An,'2025'!An_max)</f>
        <v>2026</v>
      </c>
      <c r="K276" s="193">
        <f t="shared" si="104"/>
        <v>46284</v>
      </c>
      <c r="L276" s="143">
        <f>IF(t&lt;Tvie,1-EXP((T0-t)*PertePVj)+'2025'!Pspv,1-EXP((T0-t)*PertePVj)+Pspv)</f>
        <v>2.3831891840837338E-2</v>
      </c>
      <c r="M276" s="836"/>
      <c r="N276" s="836"/>
      <c r="O276" s="48">
        <f>IF(t&lt;Tnet,'2025'!Resal+('2025'!Salim-'2025'!Resal)*(1-EXP(('2025'!Tnet-t)/('2025'!Tau_j))),Resal+(Salim-Resal)*(1-EXP((Tnet-t)/(Tau_j))))*Salcycl</f>
        <v>3.0987953959868739E-2</v>
      </c>
      <c r="P276" s="334">
        <f>(INDEX(Models!$BJ276:$BT276,,T276)*(1-R276)+INDEX(Models!$BJ276:$BT276,,T276+1)*R276-ERP_i)*Q276*Ramure*Pc/MaxiM</f>
        <v>1.5005167550453344E-4</v>
      </c>
      <c r="Q276" s="301">
        <f t="shared" si="105"/>
        <v>0.5</v>
      </c>
      <c r="R276" s="173">
        <f t="shared" si="106"/>
        <v>0.48621410458511605</v>
      </c>
      <c r="S276" s="802">
        <f t="shared" si="107"/>
        <v>2</v>
      </c>
      <c r="T276" s="172">
        <f t="shared" si="108"/>
        <v>8</v>
      </c>
      <c r="U276" s="247">
        <f t="shared" si="109"/>
        <v>2.486214104585116</v>
      </c>
      <c r="V276" s="378">
        <f t="shared" si="110"/>
        <v>43.432473568722735</v>
      </c>
      <c r="W276" s="397">
        <f t="shared" si="111"/>
        <v>44.218013356686249</v>
      </c>
      <c r="X276" s="153">
        <f t="shared" si="112"/>
        <v>46284</v>
      </c>
      <c r="Y276" s="380">
        <f t="shared" si="113"/>
        <v>43.048434716579777</v>
      </c>
      <c r="Z276" s="380">
        <f t="shared" si="114"/>
        <v>44.099407014801592</v>
      </c>
      <c r="AA276" s="381">
        <f t="shared" si="115"/>
        <v>46.746105584373353</v>
      </c>
      <c r="AB276" s="193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5.6618589644749445E-2</v>
      </c>
      <c r="AD276" s="227">
        <f>(INDEX(Models!$BJ276:$BT276,,AH276)*(1-AF276)+INDEX(Models!$BJ276:$BT276,,AH276+1)*AF276-ERP_i)*AE276*Ramure*Pc/MaxiM</f>
        <v>1.5005167550453344E-4</v>
      </c>
      <c r="AE276" s="301">
        <f t="shared" si="117"/>
        <v>0.5</v>
      </c>
      <c r="AF276" s="173">
        <f t="shared" si="118"/>
        <v>0.48621410458511605</v>
      </c>
      <c r="AG276" s="802">
        <f t="shared" si="124"/>
        <v>2</v>
      </c>
      <c r="AH276" s="172">
        <f t="shared" si="119"/>
        <v>8</v>
      </c>
      <c r="AI276" s="221">
        <f t="shared" si="120"/>
        <v>2.486214104585116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46285</v>
      </c>
      <c r="B277" s="406">
        <f>'2025'!Wh/'2025'!Env_an*'2026'!Env_an</f>
        <v>44.568766240103329</v>
      </c>
      <c r="C277" s="832"/>
      <c r="D277" s="388">
        <f t="shared" si="102"/>
        <v>45.657480494303385</v>
      </c>
      <c r="E277" s="380">
        <f t="shared" si="100"/>
        <v>47.119534216446084</v>
      </c>
      <c r="F277" s="380">
        <f t="shared" si="103"/>
        <v>47.126194805421541</v>
      </c>
      <c r="G277" s="110">
        <f t="shared" si="101"/>
        <v>1.034703804355928</v>
      </c>
      <c r="H277" s="409" t="b">
        <f>Wh_hp&gt;='2025'!Maxi_hp</f>
        <v>1</v>
      </c>
      <c r="I277" s="375">
        <f>IF(H277,Wh_hp,'2025'!Maxi_hp)</f>
        <v>47.126194805421541</v>
      </c>
      <c r="J277" s="85">
        <f>IF(H277,An,'2025'!An_max)</f>
        <v>2026</v>
      </c>
      <c r="K277" s="193">
        <f t="shared" si="104"/>
        <v>46285</v>
      </c>
      <c r="L277" s="143">
        <f>IF(t&lt;Tvie,1-EXP((T0-t)*PertePVj)+'2025'!Pspv,1-EXP((T0-t)*PertePVj)+Pspv)</f>
        <v>2.3845254762489443E-2</v>
      </c>
      <c r="M277" s="836"/>
      <c r="N277" s="836"/>
      <c r="O277" s="48">
        <f>IF(t&lt;Tnet,'2025'!Resal+('2025'!Salim-'2025'!Resal)*(1-EXP(('2025'!Tnet-t)/('2025'!Tau_j))),Resal+(Salim-Resal)*(1-EXP((Tnet-t)/(Tau_j))))*Salcycl</f>
        <v>3.1028611518668231E-2</v>
      </c>
      <c r="P277" s="334">
        <f>(INDEX(Models!$BJ277:$BT277,,T277)*(1-R277)+INDEX(Models!$BJ277:$BT277,,T277+1)*R277-ERP_i)*Q277*Ramure*Pc/MaxiM</f>
        <v>1.4133517469326636E-4</v>
      </c>
      <c r="Q277" s="301">
        <f t="shared" si="105"/>
        <v>0.5</v>
      </c>
      <c r="R277" s="173">
        <f t="shared" si="106"/>
        <v>0.4865222090301744</v>
      </c>
      <c r="S277" s="802">
        <f t="shared" si="107"/>
        <v>2</v>
      </c>
      <c r="T277" s="172">
        <f t="shared" si="108"/>
        <v>8</v>
      </c>
      <c r="U277" s="247">
        <f t="shared" si="109"/>
        <v>2.4865222090301744</v>
      </c>
      <c r="V277" s="378">
        <f t="shared" si="110"/>
        <v>43.073936765745287</v>
      </c>
      <c r="W277" s="397">
        <f t="shared" si="111"/>
        <v>44.568766240103329</v>
      </c>
      <c r="X277" s="153">
        <f t="shared" si="112"/>
        <v>46285</v>
      </c>
      <c r="Y277" s="380">
        <f t="shared" si="113"/>
        <v>43.391216796958254</v>
      </c>
      <c r="Z277" s="380">
        <f t="shared" si="114"/>
        <v>44.451166178985929</v>
      </c>
      <c r="AA277" s="381">
        <f t="shared" si="115"/>
        <v>47.119534216446084</v>
      </c>
      <c r="AB277" s="193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5.6629762620378797E-2</v>
      </c>
      <c r="AD277" s="227">
        <f>(INDEX(Models!$BJ277:$BT277,,AH277)*(1-AF277)+INDEX(Models!$BJ277:$BT277,,AH277+1)*AF277-ERP_i)*AE277*Ramure*Pc/MaxiM</f>
        <v>1.4133517469326636E-4</v>
      </c>
      <c r="AE277" s="301">
        <f t="shared" si="117"/>
        <v>0.5</v>
      </c>
      <c r="AF277" s="173">
        <f t="shared" si="118"/>
        <v>0.4865222090301744</v>
      </c>
      <c r="AG277" s="802">
        <f t="shared" si="124"/>
        <v>2</v>
      </c>
      <c r="AH277" s="172">
        <f t="shared" si="119"/>
        <v>8</v>
      </c>
      <c r="AI277" s="221">
        <f t="shared" si="120"/>
        <v>2.4865222090301744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46286</v>
      </c>
      <c r="B278" s="406">
        <f>'2025'!Wh/'2025'!Env_an*'2026'!Env_an</f>
        <v>43.253354138985202</v>
      </c>
      <c r="C278" s="832"/>
      <c r="D278" s="388">
        <f t="shared" si="102"/>
        <v>44.310542421900664</v>
      </c>
      <c r="E278" s="380">
        <f t="shared" si="100"/>
        <v>45.731365355311944</v>
      </c>
      <c r="F278" s="380">
        <f t="shared" si="103"/>
        <v>45.737542651525196</v>
      </c>
      <c r="G278" s="110">
        <f t="shared" si="101"/>
        <v>1.0127421343989176</v>
      </c>
      <c r="H278" s="409" t="b">
        <f>Wh_hp&gt;='2025'!Maxi_hp</f>
        <v>1</v>
      </c>
      <c r="I278" s="375">
        <f>IF(H278,Wh_hp,'2025'!Maxi_hp)</f>
        <v>45.737542651525196</v>
      </c>
      <c r="J278" s="85">
        <f>IF(H278,An,'2025'!An_max)</f>
        <v>2026</v>
      </c>
      <c r="K278" s="193">
        <f t="shared" si="104"/>
        <v>46286</v>
      </c>
      <c r="L278" s="143">
        <f>IF(t&lt;Tvie,1-EXP((T0-t)*PertePVj)+'2025'!Pspv,1-EXP((T0-t)*PertePVj)+Pspv)</f>
        <v>2.3858617501214319E-2</v>
      </c>
      <c r="M278" s="836"/>
      <c r="N278" s="836"/>
      <c r="O278" s="48">
        <f>IF(t&lt;Tnet,'2025'!Resal+('2025'!Salim-'2025'!Resal)*(1-EXP(('2025'!Tnet-t)/('2025'!Tau_j))),Resal+(Salim-Resal)*(1-EXP((Tnet-t)/(Tau_j))))*Salcycl</f>
        <v>3.1068893796897087E-2</v>
      </c>
      <c r="P278" s="334">
        <f>(INDEX(Models!$BJ278:$BT278,,T278)*(1-R278)+INDEX(Models!$BJ278:$BT278,,T278+1)*R278-ERP_i)*Q278*Ramure*Pc/MaxiM</f>
        <v>1.3505964367864503E-4</v>
      </c>
      <c r="Q278" s="301">
        <f t="shared" si="105"/>
        <v>0.5</v>
      </c>
      <c r="R278" s="173">
        <f t="shared" si="106"/>
        <v>0.48681827060276239</v>
      </c>
      <c r="S278" s="802">
        <f t="shared" si="107"/>
        <v>2</v>
      </c>
      <c r="T278" s="172">
        <f t="shared" si="108"/>
        <v>8</v>
      </c>
      <c r="U278" s="247">
        <f t="shared" si="109"/>
        <v>2.4868182706027624</v>
      </c>
      <c r="V278" s="378">
        <f t="shared" si="110"/>
        <v>42.709148429631519</v>
      </c>
      <c r="W278" s="397">
        <f t="shared" si="111"/>
        <v>43.253354138985202</v>
      </c>
      <c r="X278" s="153">
        <f t="shared" si="112"/>
        <v>46286</v>
      </c>
      <c r="Y278" s="380">
        <f t="shared" si="113"/>
        <v>42.111837720765948</v>
      </c>
      <c r="Z278" s="380">
        <f t="shared" si="114"/>
        <v>43.141125328551816</v>
      </c>
      <c r="AA278" s="381">
        <f t="shared" si="115"/>
        <v>45.731365355311944</v>
      </c>
      <c r="AB278" s="193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5.664033878357104E-2</v>
      </c>
      <c r="AD278" s="227">
        <f>(INDEX(Models!$BJ278:$BT278,,AH278)*(1-AF278)+INDEX(Models!$BJ278:$BT278,,AH278+1)*AF278-ERP_i)*AE278*Ramure*Pc/MaxiM</f>
        <v>1.3505964367864503E-4</v>
      </c>
      <c r="AE278" s="301">
        <f t="shared" si="117"/>
        <v>0.5</v>
      </c>
      <c r="AF278" s="173">
        <f t="shared" si="118"/>
        <v>0.48681827060276239</v>
      </c>
      <c r="AG278" s="802">
        <f t="shared" si="124"/>
        <v>2</v>
      </c>
      <c r="AH278" s="172">
        <f t="shared" si="119"/>
        <v>8</v>
      </c>
      <c r="AI278" s="221">
        <f t="shared" si="120"/>
        <v>2.4868182706027624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46287</v>
      </c>
      <c r="B279" s="406">
        <f>'2025'!Wh/'2025'!Env_an*'2026'!Env_an</f>
        <v>42.043455983214649</v>
      </c>
      <c r="C279" s="832"/>
      <c r="D279" s="388">
        <f t="shared" si="102"/>
        <v>43.071661835575995</v>
      </c>
      <c r="E279" s="380">
        <f t="shared" si="100"/>
        <v>44.454590304712006</v>
      </c>
      <c r="F279" s="380">
        <f t="shared" si="103"/>
        <v>44.460368446383086</v>
      </c>
      <c r="G279" s="110">
        <f t="shared" si="101"/>
        <v>0.99301976739349396</v>
      </c>
      <c r="H279" s="409" t="b">
        <f>Wh_hp&gt;='2025'!Maxi_hp</f>
        <v>0</v>
      </c>
      <c r="I279" s="375">
        <f>IF(H279,Wh_hp,'2025'!Maxi_hp)</f>
        <v>44.460416215759921</v>
      </c>
      <c r="J279" s="85">
        <f>IF(H279,An,'2025'!An_max)</f>
        <v>2022</v>
      </c>
      <c r="K279" s="193">
        <f t="shared" si="104"/>
        <v>46287</v>
      </c>
      <c r="L279" s="143">
        <f>IF(t&lt;Tvie,1-EXP((T0-t)*PertePVj)+'2025'!Pspv,1-EXP((T0-t)*PertePVj)+Pspv)</f>
        <v>2.3871980057014519E-2</v>
      </c>
      <c r="M279" s="836"/>
      <c r="N279" s="836"/>
      <c r="O279" s="48">
        <f>IF(t&lt;Tnet,'2025'!Resal+('2025'!Salim-'2025'!Resal)*(1-EXP(('2025'!Tnet-t)/('2025'!Tau_j))),Resal+(Salim-Resal)*(1-EXP((Tnet-t)/(Tau_j))))*Salcycl</f>
        <v>3.1108788983472597E-2</v>
      </c>
      <c r="P279" s="334">
        <f>(INDEX(Models!$BJ279:$BT279,,T279)*(1-R279)+INDEX(Models!$BJ279:$BT279,,T279+1)*R279-ERP_i)*Q279*Ramure*Pc/MaxiM</f>
        <v>1.3127037670060648E-4</v>
      </c>
      <c r="Q279" s="301">
        <f t="shared" si="105"/>
        <v>0.5</v>
      </c>
      <c r="R279" s="173">
        <f t="shared" si="106"/>
        <v>0.48710274619757232</v>
      </c>
      <c r="S279" s="802">
        <f t="shared" si="107"/>
        <v>2</v>
      </c>
      <c r="T279" s="172">
        <f t="shared" si="108"/>
        <v>8</v>
      </c>
      <c r="U279" s="247">
        <f t="shared" si="109"/>
        <v>2.4871027461975723</v>
      </c>
      <c r="V279" s="378">
        <f t="shared" si="110"/>
        <v>42.338936577181933</v>
      </c>
      <c r="W279" s="397">
        <f t="shared" si="111"/>
        <v>42.043455983214649</v>
      </c>
      <c r="X279" s="153">
        <f t="shared" si="112"/>
        <v>46287</v>
      </c>
      <c r="Y279" s="380">
        <f t="shared" si="113"/>
        <v>40.935123783765832</v>
      </c>
      <c r="Z279" s="380">
        <f t="shared" si="114"/>
        <v>41.93622449866443</v>
      </c>
      <c r="AA279" s="381">
        <f t="shared" si="115"/>
        <v>44.454590304712006</v>
      </c>
      <c r="AB279" s="193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5.6650298400807528E-2</v>
      </c>
      <c r="AD279" s="227">
        <f>(INDEX(Models!$BJ279:$BT279,,AH279)*(1-AF279)+INDEX(Models!$BJ279:$BT279,,AH279+1)*AF279-ERP_i)*AE279*Ramure*Pc/MaxiM</f>
        <v>1.3127037670060648E-4</v>
      </c>
      <c r="AE279" s="301">
        <f t="shared" si="117"/>
        <v>0.5</v>
      </c>
      <c r="AF279" s="173">
        <f t="shared" si="118"/>
        <v>0.48710274619757232</v>
      </c>
      <c r="AG279" s="802">
        <f t="shared" si="124"/>
        <v>2</v>
      </c>
      <c r="AH279" s="172">
        <f t="shared" si="119"/>
        <v>8</v>
      </c>
      <c r="AI279" s="221">
        <f t="shared" si="120"/>
        <v>2.4871027461975723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46288</v>
      </c>
      <c r="B280" s="406">
        <f>'2025'!Wh/'2025'!Env_an*'2026'!Env_an</f>
        <v>30.80947533327701</v>
      </c>
      <c r="C280" s="832"/>
      <c r="D280" s="388">
        <f t="shared" si="102"/>
        <v>31.563377410982259</v>
      </c>
      <c r="E280" s="380">
        <f t="shared" si="100"/>
        <v>32.578130305351266</v>
      </c>
      <c r="F280" s="380">
        <f t="shared" si="103"/>
        <v>32.580757759779161</v>
      </c>
      <c r="G280" s="110">
        <f t="shared" si="101"/>
        <v>0.73414973210518442</v>
      </c>
      <c r="H280" s="409" t="b">
        <f>Wh_hp&gt;='2025'!Maxi_hp</f>
        <v>0</v>
      </c>
      <c r="I280" s="375">
        <f>IF(H280,Wh_hp,'2025'!Maxi_hp)</f>
        <v>32.582079960856511</v>
      </c>
      <c r="J280" s="85">
        <f>IF(H280,An,'2025'!An_max)</f>
        <v>2022</v>
      </c>
      <c r="K280" s="193">
        <f t="shared" si="104"/>
        <v>46288</v>
      </c>
      <c r="L280" s="143">
        <f>IF(t&lt;Tvie,1-EXP((T0-t)*PertePVj)+'2025'!Pspv,1-EXP((T0-t)*PertePVj)+Pspv)</f>
        <v>2.3885342429892598E-2</v>
      </c>
      <c r="M280" s="836"/>
      <c r="N280" s="836"/>
      <c r="O280" s="48">
        <f>IF(t&lt;Tnet,'2025'!Resal+('2025'!Salim-'2025'!Resal)*(1-EXP(('2025'!Tnet-t)/('2025'!Tau_j))),Resal+(Salim-Resal)*(1-EXP((Tnet-t)/(Tau_j))))*Salcycl</f>
        <v>3.1148285210287917E-2</v>
      </c>
      <c r="P280" s="334">
        <f>(INDEX(Models!$BJ280:$BT280,,T280)*(1-R280)+INDEX(Models!$BJ280:$BT280,,T280+1)*R280-ERP_i)*Q280*Ramure*Pc/MaxiM</f>
        <v>1.3001583591300394E-4</v>
      </c>
      <c r="Q280" s="301">
        <f t="shared" si="105"/>
        <v>0.5</v>
      </c>
      <c r="R280" s="173">
        <f t="shared" si="106"/>
        <v>0.48737607645313785</v>
      </c>
      <c r="S280" s="802">
        <f t="shared" si="107"/>
        <v>2</v>
      </c>
      <c r="T280" s="172">
        <f t="shared" si="108"/>
        <v>8</v>
      </c>
      <c r="U280" s="247">
        <f t="shared" si="109"/>
        <v>2.4873760764531379</v>
      </c>
      <c r="V280" s="378">
        <f t="shared" si="110"/>
        <v>41.964129051784759</v>
      </c>
      <c r="W280" s="397">
        <f t="shared" si="111"/>
        <v>30.80947533327701</v>
      </c>
      <c r="X280" s="153">
        <f t="shared" si="112"/>
        <v>46288</v>
      </c>
      <c r="Y280" s="380">
        <f t="shared" si="113"/>
        <v>29.998215074580791</v>
      </c>
      <c r="Z280" s="380">
        <f t="shared" si="114"/>
        <v>30.732265766049345</v>
      </c>
      <c r="AA280" s="381">
        <f t="shared" si="115"/>
        <v>32.578130305351266</v>
      </c>
      <c r="AB280" s="193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5.6659621715575217E-2</v>
      </c>
      <c r="AD280" s="227">
        <f>(INDEX(Models!$BJ280:$BT280,,AH280)*(1-AF280)+INDEX(Models!$BJ280:$BT280,,AH280+1)*AF280-ERP_i)*AE280*Ramure*Pc/MaxiM</f>
        <v>1.3001583591300394E-4</v>
      </c>
      <c r="AE280" s="301">
        <f t="shared" si="117"/>
        <v>0.5</v>
      </c>
      <c r="AF280" s="173">
        <f t="shared" si="118"/>
        <v>0.48737607645313785</v>
      </c>
      <c r="AG280" s="802">
        <f t="shared" si="124"/>
        <v>2</v>
      </c>
      <c r="AH280" s="172">
        <f t="shared" si="119"/>
        <v>8</v>
      </c>
      <c r="AI280" s="221">
        <f t="shared" si="120"/>
        <v>2.4873760764531379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46289</v>
      </c>
      <c r="B281" s="406">
        <f>'2025'!Wh/'2025'!Env_an*'2026'!Env_an</f>
        <v>19.031394771238254</v>
      </c>
      <c r="C281" s="832"/>
      <c r="D281" s="388">
        <f t="shared" si="102"/>
        <v>19.497356331062292</v>
      </c>
      <c r="E281" s="380">
        <f t="shared" si="100"/>
        <v>20.125002234314305</v>
      </c>
      <c r="F281" s="380">
        <f t="shared" si="103"/>
        <v>20.125597550154779</v>
      </c>
      <c r="G281" s="110">
        <f t="shared" si="101"/>
        <v>0.45759780337770595</v>
      </c>
      <c r="H281" s="409" t="b">
        <f>Wh_hp&gt;='2025'!Maxi_hp</f>
        <v>0</v>
      </c>
      <c r="I281" s="375">
        <f>IF(H281,Wh_hp,'2025'!Maxi_hp)</f>
        <v>20.127284995760309</v>
      </c>
      <c r="J281" s="85">
        <f>IF(H281,An,'2025'!An_max)</f>
        <v>2022</v>
      </c>
      <c r="K281" s="193">
        <f t="shared" si="104"/>
        <v>46289</v>
      </c>
      <c r="L281" s="143">
        <f>IF(t&lt;Tvie,1-EXP((T0-t)*PertePVj)+'2025'!Pspv,1-EXP((T0-t)*PertePVj)+Pspv)</f>
        <v>2.3898704619850997E-2</v>
      </c>
      <c r="M281" s="836"/>
      <c r="N281" s="836"/>
      <c r="O281" s="48">
        <f>IF(t&lt;Tnet,'2025'!Resal+('2025'!Salim-'2025'!Resal)*(1-EXP(('2025'!Tnet-t)/('2025'!Tau_j))),Resal+(Salim-Resal)*(1-EXP((Tnet-t)/(Tau_j))))*Salcycl</f>
        <v>3.1187370612155232E-2</v>
      </c>
      <c r="P281" s="334">
        <f>(INDEX(Models!$BJ281:$BT281,,T281)*(1-R281)+INDEX(Models!$BJ281:$BT281,,T281+1)*R281-ERP_i)*Q281*Ramure*Pc/MaxiM</f>
        <v>1.3134641049311724E-4</v>
      </c>
      <c r="Q281" s="301">
        <f t="shared" si="105"/>
        <v>0.5</v>
      </c>
      <c r="R281" s="173">
        <f t="shared" si="106"/>
        <v>0.48763868624527351</v>
      </c>
      <c r="S281" s="802">
        <f t="shared" si="107"/>
        <v>2</v>
      </c>
      <c r="T281" s="172">
        <f t="shared" si="108"/>
        <v>8</v>
      </c>
      <c r="U281" s="247">
        <f t="shared" si="109"/>
        <v>2.4876386862452735</v>
      </c>
      <c r="V281" s="378">
        <f t="shared" si="110"/>
        <v>41.585553552442164</v>
      </c>
      <c r="W281" s="397">
        <f t="shared" si="111"/>
        <v>19.031394771238254</v>
      </c>
      <c r="X281" s="153">
        <f t="shared" si="112"/>
        <v>46289</v>
      </c>
      <c r="Y281" s="380">
        <f t="shared" si="113"/>
        <v>18.530846570948022</v>
      </c>
      <c r="Z281" s="380">
        <f t="shared" si="114"/>
        <v>18.984552790426392</v>
      </c>
      <c r="AA281" s="381">
        <f t="shared" si="115"/>
        <v>20.125002234314305</v>
      </c>
      <c r="AB281" s="193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5.6668289057050715E-2</v>
      </c>
      <c r="AD281" s="227">
        <f>(INDEX(Models!$BJ281:$BT281,,AH281)*(1-AF281)+INDEX(Models!$BJ281:$BT281,,AH281+1)*AF281-ERP_i)*AE281*Ramure*Pc/MaxiM</f>
        <v>1.3134641049311724E-4</v>
      </c>
      <c r="AE281" s="301">
        <f t="shared" si="117"/>
        <v>0.5</v>
      </c>
      <c r="AF281" s="173">
        <f t="shared" si="118"/>
        <v>0.48763868624527351</v>
      </c>
      <c r="AG281" s="802">
        <f t="shared" si="124"/>
        <v>2</v>
      </c>
      <c r="AH281" s="172">
        <f t="shared" si="119"/>
        <v>8</v>
      </c>
      <c r="AI281" s="221">
        <f t="shared" si="120"/>
        <v>2.4876386862452735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46290</v>
      </c>
      <c r="B282" s="406">
        <f>'2025'!Wh/'2025'!Env_an*'2026'!Env_an</f>
        <v>30.463079612146149</v>
      </c>
      <c r="C282" s="832"/>
      <c r="D282" s="388">
        <f t="shared" si="102"/>
        <v>31.209359905591306</v>
      </c>
      <c r="E282" s="380">
        <f t="shared" si="100"/>
        <v>32.215316452884259</v>
      </c>
      <c r="F282" s="380">
        <f t="shared" si="103"/>
        <v>32.218078635649213</v>
      </c>
      <c r="G282" s="110">
        <f t="shared" si="101"/>
        <v>0.73928602309663993</v>
      </c>
      <c r="H282" s="409" t="b">
        <f>Wh_hp&gt;='2025'!Maxi_hp</f>
        <v>0</v>
      </c>
      <c r="I282" s="375">
        <f>IF(H282,Wh_hp,'2025'!Maxi_hp)</f>
        <v>32.219433852063254</v>
      </c>
      <c r="J282" s="85">
        <f>IF(H282,An,'2025'!An_max)</f>
        <v>2022</v>
      </c>
      <c r="K282" s="193">
        <f t="shared" si="104"/>
        <v>46290</v>
      </c>
      <c r="L282" s="143">
        <f>IF(t&lt;Tvie,1-EXP((T0-t)*PertePVj)+'2025'!Pspv,1-EXP((T0-t)*PertePVj)+Pspv)</f>
        <v>2.3912066626892159E-2</v>
      </c>
      <c r="M282" s="836"/>
      <c r="N282" s="836"/>
      <c r="O282" s="48">
        <f>IF(t&lt;Tnet,'2025'!Resal+('2025'!Salim-'2025'!Resal)*(1-EXP(('2025'!Tnet-t)/('2025'!Tau_j))),Resal+(Salim-Resal)*(1-EXP((Tnet-t)/(Tau_j))))*Salcycl</f>
        <v>3.1226033392041681E-2</v>
      </c>
      <c r="P282" s="334">
        <f>(INDEX(Models!$BJ282:$BT282,,T282)*(1-R282)+INDEX(Models!$BJ282:$BT282,,T282+1)*R282-ERP_i)*Q282*Ramure*Pc/MaxiM</f>
        <v>1.3660488945907491E-4</v>
      </c>
      <c r="Q282" s="301">
        <f t="shared" si="105"/>
        <v>0.5</v>
      </c>
      <c r="R282" s="173">
        <f t="shared" si="106"/>
        <v>0.48789098517249219</v>
      </c>
      <c r="S282" s="802">
        <f t="shared" si="107"/>
        <v>2</v>
      </c>
      <c r="T282" s="172">
        <f t="shared" si="108"/>
        <v>8</v>
      </c>
      <c r="U282" s="247">
        <f t="shared" si="109"/>
        <v>2.4878909851724922</v>
      </c>
      <c r="V282" s="378">
        <f t="shared" si="110"/>
        <v>41.203984441426591</v>
      </c>
      <c r="W282" s="397">
        <f t="shared" si="111"/>
        <v>30.463079612146149</v>
      </c>
      <c r="X282" s="153">
        <f t="shared" si="112"/>
        <v>46290</v>
      </c>
      <c r="Y282" s="380">
        <f t="shared" si="113"/>
        <v>29.662797044216141</v>
      </c>
      <c r="Z282" s="380">
        <f t="shared" si="114"/>
        <v>30.389472126460138</v>
      </c>
      <c r="AA282" s="381">
        <f t="shared" si="115"/>
        <v>32.215316452884259</v>
      </c>
      <c r="AB282" s="193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5.6676280957676246E-2</v>
      </c>
      <c r="AD282" s="227">
        <f>(INDEX(Models!$BJ282:$BT282,,AH282)*(1-AF282)+INDEX(Models!$BJ282:$BT282,,AH282+1)*AF282-ERP_i)*AE282*Ramure*Pc/MaxiM</f>
        <v>1.3660488945907491E-4</v>
      </c>
      <c r="AE282" s="301">
        <f t="shared" si="117"/>
        <v>0.5</v>
      </c>
      <c r="AF282" s="173">
        <f t="shared" si="118"/>
        <v>0.48789098517249219</v>
      </c>
      <c r="AG282" s="802">
        <f t="shared" si="124"/>
        <v>2</v>
      </c>
      <c r="AH282" s="172">
        <f t="shared" si="119"/>
        <v>8</v>
      </c>
      <c r="AI282" s="221">
        <f t="shared" si="120"/>
        <v>2.4878909851724922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46291</v>
      </c>
      <c r="B283" s="406">
        <f>'2025'!Wh/'2025'!Env_an*'2026'!Env_an</f>
        <v>32.855411483085817</v>
      </c>
      <c r="C283" s="832"/>
      <c r="D283" s="388">
        <f t="shared" si="102"/>
        <v>33.660759577975618</v>
      </c>
      <c r="E283" s="380">
        <f t="shared" si="100"/>
        <v>34.747102077283756</v>
      </c>
      <c r="F283" s="380">
        <f t="shared" si="103"/>
        <v>34.75073874503861</v>
      </c>
      <c r="G283" s="110">
        <f t="shared" si="101"/>
        <v>0.80484704008152697</v>
      </c>
      <c r="H283" s="409" t="b">
        <f>Wh_hp&gt;='2025'!Maxi_hp</f>
        <v>0</v>
      </c>
      <c r="I283" s="375">
        <f>IF(H283,Wh_hp,'2025'!Maxi_hp)</f>
        <v>34.75190503320507</v>
      </c>
      <c r="J283" s="85">
        <f>IF(H283,An,'2025'!An_max)</f>
        <v>2022</v>
      </c>
      <c r="K283" s="193">
        <f t="shared" si="104"/>
        <v>46291</v>
      </c>
      <c r="L283" s="143">
        <f>IF(t&lt;Tvie,1-EXP((T0-t)*PertePVj)+'2025'!Pspv,1-EXP((T0-t)*PertePVj)+Pspv)</f>
        <v>2.3925428451018749E-2</v>
      </c>
      <c r="M283" s="836"/>
      <c r="N283" s="836"/>
      <c r="O283" s="48">
        <f>IF(t&lt;Tnet,'2025'!Resal+('2025'!Salim-'2025'!Resal)*(1-EXP(('2025'!Tnet-t)/('2025'!Tau_j))),Resal+(Salim-Resal)*(1-EXP((Tnet-t)/(Tau_j))))*Salcycl</f>
        <v>3.1264261891305781E-2</v>
      </c>
      <c r="P283" s="334">
        <f>(INDEX(Models!$BJ283:$BT283,,T283)*(1-R283)+INDEX(Models!$BJ283:$BT283,,T283+1)*R283-ERP_i)*Q283*Ramure*Pc/MaxiM</f>
        <v>1.4509411728476216E-4</v>
      </c>
      <c r="Q283" s="301">
        <f t="shared" si="105"/>
        <v>0.5</v>
      </c>
      <c r="R283" s="173">
        <f t="shared" si="106"/>
        <v>0.48813336803286989</v>
      </c>
      <c r="S283" s="802">
        <f t="shared" si="107"/>
        <v>2</v>
      </c>
      <c r="T283" s="172">
        <f t="shared" si="108"/>
        <v>8</v>
      </c>
      <c r="U283" s="247">
        <f t="shared" si="109"/>
        <v>2.4881333680328699</v>
      </c>
      <c r="V283" s="378">
        <f t="shared" si="110"/>
        <v>40.820281249158612</v>
      </c>
      <c r="W283" s="397">
        <f t="shared" si="111"/>
        <v>32.855411483085817</v>
      </c>
      <c r="X283" s="153">
        <f t="shared" si="112"/>
        <v>46291</v>
      </c>
      <c r="Y283" s="380">
        <f t="shared" si="113"/>
        <v>31.993295978636599</v>
      </c>
      <c r="Z283" s="380">
        <f t="shared" si="114"/>
        <v>32.777511996716449</v>
      </c>
      <c r="AA283" s="381">
        <f t="shared" si="115"/>
        <v>34.747102077283756</v>
      </c>
      <c r="AB283" s="193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5.6683578279034204E-2</v>
      </c>
      <c r="AD283" s="227">
        <f>(INDEX(Models!$BJ283:$BT283,,AH283)*(1-AF283)+INDEX(Models!$BJ283:$BT283,,AH283+1)*AF283-ERP_i)*AE283*Ramure*Pc/MaxiM</f>
        <v>1.4509411728476216E-4</v>
      </c>
      <c r="AE283" s="301">
        <f t="shared" si="117"/>
        <v>0.5</v>
      </c>
      <c r="AF283" s="173">
        <f t="shared" si="118"/>
        <v>0.48813336803286989</v>
      </c>
      <c r="AG283" s="802">
        <f t="shared" si="124"/>
        <v>2</v>
      </c>
      <c r="AH283" s="172">
        <f t="shared" si="119"/>
        <v>8</v>
      </c>
      <c r="AI283" s="221">
        <f t="shared" si="120"/>
        <v>2.4881333680328699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46292</v>
      </c>
      <c r="B284" s="406">
        <f>'2025'!Wh/'2025'!Env_an*'2026'!Env_an</f>
        <v>16.078329750623578</v>
      </c>
      <c r="C284" s="832"/>
      <c r="D284" s="388">
        <f t="shared" si="102"/>
        <v>16.472665430626943</v>
      </c>
      <c r="E284" s="380">
        <f t="shared" si="100"/>
        <v>17.004955300977247</v>
      </c>
      <c r="F284" s="380">
        <f t="shared" si="103"/>
        <v>17.005327385956786</v>
      </c>
      <c r="G284" s="110">
        <f t="shared" si="101"/>
        <v>0.39757762429886445</v>
      </c>
      <c r="H284" s="409" t="b">
        <f>Wh_hp&gt;='2025'!Maxi_hp</f>
        <v>0</v>
      </c>
      <c r="I284" s="375">
        <f>IF(H284,Wh_hp,'2025'!Maxi_hp)</f>
        <v>17.007238726948835</v>
      </c>
      <c r="J284" s="85">
        <f>IF(H284,An,'2025'!An_max)</f>
        <v>2022</v>
      </c>
      <c r="K284" s="193">
        <f t="shared" si="104"/>
        <v>46292</v>
      </c>
      <c r="L284" s="143">
        <f>IF(t&lt;Tvie,1-EXP((T0-t)*PertePVj)+'2025'!Pspv,1-EXP((T0-t)*PertePVj)+Pspv)</f>
        <v>2.3938790092233209E-2</v>
      </c>
      <c r="M284" s="836"/>
      <c r="N284" s="836"/>
      <c r="O284" s="48">
        <f>IF(t&lt;Tnet,'2025'!Resal+('2025'!Salim-'2025'!Resal)*(1-EXP(('2025'!Tnet-t)/('2025'!Tau_j))),Resal+(Salim-Resal)*(1-EXP((Tnet-t)/(Tau_j))))*Salcycl</f>
        <v>3.1302044664575722E-2</v>
      </c>
      <c r="P284" s="334">
        <f>(INDEX(Models!$BJ284:$BT284,,T284)*(1-R284)+INDEX(Models!$BJ284:$BT284,,T284+1)*R284-ERP_i)*Q284*Ramure*Pc/MaxiM</f>
        <v>1.5687945993578077E-4</v>
      </c>
      <c r="Q284" s="301">
        <f t="shared" si="105"/>
        <v>0.5</v>
      </c>
      <c r="R284" s="173">
        <f t="shared" si="106"/>
        <v>0.48836621529193902</v>
      </c>
      <c r="S284" s="802">
        <f t="shared" si="107"/>
        <v>2</v>
      </c>
      <c r="T284" s="172">
        <f t="shared" si="108"/>
        <v>8</v>
      </c>
      <c r="U284" s="247">
        <f t="shared" si="109"/>
        <v>2.488366215291939</v>
      </c>
      <c r="V284" s="378">
        <f t="shared" si="110"/>
        <v>40.43527141046934</v>
      </c>
      <c r="W284" s="397">
        <f t="shared" si="111"/>
        <v>16.078329750623578</v>
      </c>
      <c r="X284" s="153">
        <f t="shared" si="112"/>
        <v>46292</v>
      </c>
      <c r="Y284" s="380">
        <f t="shared" si="113"/>
        <v>15.656940889864424</v>
      </c>
      <c r="Z284" s="380">
        <f t="shared" si="114"/>
        <v>16.04094162429007</v>
      </c>
      <c r="AA284" s="381">
        <f t="shared" si="115"/>
        <v>17.004955300977247</v>
      </c>
      <c r="AB284" s="193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5.6690162345312115E-2</v>
      </c>
      <c r="AD284" s="227">
        <f>(INDEX(Models!$BJ284:$BT284,,AH284)*(1-AF284)+INDEX(Models!$BJ284:$BT284,,AH284+1)*AF284-ERP_i)*AE284*Ramure*Pc/MaxiM</f>
        <v>1.5687945993578077E-4</v>
      </c>
      <c r="AE284" s="301">
        <f t="shared" si="117"/>
        <v>0.5</v>
      </c>
      <c r="AF284" s="173">
        <f t="shared" si="118"/>
        <v>0.48836621529193902</v>
      </c>
      <c r="AG284" s="802">
        <f t="shared" si="124"/>
        <v>2</v>
      </c>
      <c r="AH284" s="172">
        <f t="shared" si="119"/>
        <v>8</v>
      </c>
      <c r="AI284" s="221">
        <f t="shared" si="120"/>
        <v>2.488366215291939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46293</v>
      </c>
      <c r="B285" s="406">
        <f>'2025'!Wh/'2025'!Env_an*'2026'!Env_an</f>
        <v>18.367760439628579</v>
      </c>
      <c r="C285" s="832"/>
      <c r="D285" s="388">
        <f t="shared" si="102"/>
        <v>18.818504101830033</v>
      </c>
      <c r="E285" s="380">
        <f t="shared" si="100"/>
        <v>19.427344861416437</v>
      </c>
      <c r="F285" s="380">
        <f t="shared" si="103"/>
        <v>19.428102207796602</v>
      </c>
      <c r="G285" s="110">
        <f t="shared" si="101"/>
        <v>0.45856220910489887</v>
      </c>
      <c r="H285" s="409" t="b">
        <f>Wh_hp&gt;='2025'!Maxi_hp</f>
        <v>0</v>
      </c>
      <c r="I285" s="375">
        <f>IF(H285,Wh_hp,'2025'!Maxi_hp)</f>
        <v>19.430260578992954</v>
      </c>
      <c r="J285" s="85">
        <f>IF(H285,An,'2025'!An_max)</f>
        <v>2022</v>
      </c>
      <c r="K285" s="193">
        <f t="shared" si="104"/>
        <v>46293</v>
      </c>
      <c r="L285" s="143">
        <f>IF(t&lt;Tvie,1-EXP((T0-t)*PertePVj)+'2025'!Pspv,1-EXP((T0-t)*PertePVj)+Pspv)</f>
        <v>2.3952151550537981E-2</v>
      </c>
      <c r="M285" s="836"/>
      <c r="N285" s="836"/>
      <c r="O285" s="48">
        <f>IF(t&lt;Tnet,'2025'!Resal+('2025'!Salim-'2025'!Resal)*(1-EXP(('2025'!Tnet-t)/('2025'!Tau_j))),Resal+(Salim-Resal)*(1-EXP((Tnet-t)/(Tau_j))))*Salcycl</f>
        <v>3.1339370558845087E-2</v>
      </c>
      <c r="P285" s="334">
        <f>(INDEX(Models!$BJ285:$BT285,,T285)*(1-R285)+INDEX(Models!$BJ285:$BT285,,T285+1)*R285-ERP_i)*Q285*Ramure*Pc/MaxiM</f>
        <v>1.7202652982857707E-4</v>
      </c>
      <c r="Q285" s="301">
        <f t="shared" si="105"/>
        <v>0.5</v>
      </c>
      <c r="R285" s="173">
        <f t="shared" si="106"/>
        <v>0.48858989354122606</v>
      </c>
      <c r="S285" s="802">
        <f t="shared" si="107"/>
        <v>2</v>
      </c>
      <c r="T285" s="172">
        <f t="shared" si="108"/>
        <v>8</v>
      </c>
      <c r="U285" s="247">
        <f t="shared" si="109"/>
        <v>2.4885898935412261</v>
      </c>
      <c r="V285" s="378">
        <f t="shared" si="110"/>
        <v>40.049782231847523</v>
      </c>
      <c r="W285" s="397">
        <f t="shared" si="111"/>
        <v>18.367760439628579</v>
      </c>
      <c r="X285" s="153">
        <f t="shared" si="112"/>
        <v>46293</v>
      </c>
      <c r="Y285" s="380">
        <f t="shared" si="113"/>
        <v>17.88694728585039</v>
      </c>
      <c r="Z285" s="380">
        <f t="shared" si="114"/>
        <v>18.32589182412049</v>
      </c>
      <c r="AA285" s="381">
        <f t="shared" si="115"/>
        <v>19.427344861416437</v>
      </c>
      <c r="AB285" s="193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5.6696015083537298E-2</v>
      </c>
      <c r="AD285" s="227">
        <f>(INDEX(Models!$BJ285:$BT285,,AH285)*(1-AF285)+INDEX(Models!$BJ285:$BT285,,AH285+1)*AF285-ERP_i)*AE285*Ramure*Pc/MaxiM</f>
        <v>1.7202652982857707E-4</v>
      </c>
      <c r="AE285" s="301">
        <f t="shared" si="117"/>
        <v>0.5</v>
      </c>
      <c r="AF285" s="173">
        <f t="shared" si="118"/>
        <v>0.48858989354122606</v>
      </c>
      <c r="AG285" s="802">
        <f t="shared" si="124"/>
        <v>2</v>
      </c>
      <c r="AH285" s="172">
        <f t="shared" si="119"/>
        <v>8</v>
      </c>
      <c r="AI285" s="221">
        <f t="shared" si="120"/>
        <v>2.4885898935412261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46294</v>
      </c>
      <c r="B286" s="406">
        <f>'2025'!Wh/'2025'!Env_an*'2026'!Env_an</f>
        <v>23.77237713970311</v>
      </c>
      <c r="C286" s="832"/>
      <c r="D286" s="388">
        <f t="shared" si="102"/>
        <v>24.356083163138869</v>
      </c>
      <c r="E286" s="380">
        <f t="shared" si="100"/>
        <v>25.14503968127045</v>
      </c>
      <c r="F286" s="380">
        <f t="shared" si="103"/>
        <v>25.14708928498727</v>
      </c>
      <c r="G286" s="110">
        <f t="shared" si="101"/>
        <v>0.59926884308584205</v>
      </c>
      <c r="H286" s="409" t="b">
        <f>Wh_hp&gt;='2025'!Maxi_hp</f>
        <v>0</v>
      </c>
      <c r="I286" s="375">
        <f>IF(H286,Wh_hp,'2025'!Maxi_hp)</f>
        <v>25.149385845472246</v>
      </c>
      <c r="J286" s="85">
        <f>IF(H286,An,'2025'!An_max)</f>
        <v>2022</v>
      </c>
      <c r="K286" s="193">
        <f t="shared" si="104"/>
        <v>46294</v>
      </c>
      <c r="L286" s="143">
        <f>IF(t&lt;Tvie,1-EXP((T0-t)*PertePVj)+'2025'!Pspv,1-EXP((T0-t)*PertePVj)+Pspv)</f>
        <v>2.396551282593562E-2</v>
      </c>
      <c r="M286" s="836"/>
      <c r="N286" s="836"/>
      <c r="O286" s="48">
        <f>IF(t&lt;Tnet,'2025'!Resal+('2025'!Salim-'2025'!Resal)*(1-EXP(('2025'!Tnet-t)/('2025'!Tau_j))),Resal+(Salim-Resal)*(1-EXP((Tnet-t)/(Tau_j))))*Salcycl</f>
        <v>3.1376228796299893E-2</v>
      </c>
      <c r="P286" s="334">
        <f>(INDEX(Models!$BJ286:$BT286,,T286)*(1-R286)+INDEX(Models!$BJ286:$BT286,,T286+1)*R286-ERP_i)*Q286*Ramure*Pc/MaxiM</f>
        <v>1.9060040915660454E-4</v>
      </c>
      <c r="Q286" s="301">
        <f t="shared" si="105"/>
        <v>0.5</v>
      </c>
      <c r="R286" s="173">
        <f t="shared" si="106"/>
        <v>0.48880475594713602</v>
      </c>
      <c r="S286" s="802">
        <f t="shared" si="107"/>
        <v>2</v>
      </c>
      <c r="T286" s="172">
        <f t="shared" si="108"/>
        <v>8</v>
      </c>
      <c r="U286" s="247">
        <f t="shared" si="109"/>
        <v>2.488804755947136</v>
      </c>
      <c r="V286" s="378">
        <f t="shared" si="110"/>
        <v>39.664640897125629</v>
      </c>
      <c r="W286" s="397">
        <f t="shared" si="111"/>
        <v>23.77237713970311</v>
      </c>
      <c r="X286" s="153">
        <f t="shared" si="112"/>
        <v>46294</v>
      </c>
      <c r="Y286" s="380">
        <f t="shared" si="113"/>
        <v>23.150842894029022</v>
      </c>
      <c r="Z286" s="380">
        <f t="shared" si="114"/>
        <v>23.719287789776981</v>
      </c>
      <c r="AA286" s="381">
        <f t="shared" si="115"/>
        <v>25.14503968127045</v>
      </c>
      <c r="AB286" s="193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5.6701119169656929E-2</v>
      </c>
      <c r="AD286" s="227">
        <f>(INDEX(Models!$BJ286:$BT286,,AH286)*(1-AF286)+INDEX(Models!$BJ286:$BT286,,AH286+1)*AF286-ERP_i)*AE286*Ramure*Pc/MaxiM</f>
        <v>1.9060040915660454E-4</v>
      </c>
      <c r="AE286" s="301">
        <f t="shared" si="117"/>
        <v>0.5</v>
      </c>
      <c r="AF286" s="173">
        <f t="shared" si="118"/>
        <v>0.48880475594713602</v>
      </c>
      <c r="AG286" s="802">
        <f t="shared" si="124"/>
        <v>2</v>
      </c>
      <c r="AH286" s="172">
        <f t="shared" si="119"/>
        <v>8</v>
      </c>
      <c r="AI286" s="221">
        <f t="shared" si="120"/>
        <v>2.488804755947136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46295</v>
      </c>
      <c r="B287" s="406">
        <f>'2025'!Wh/'2025'!Env_an*'2026'!Env_an</f>
        <v>25.492699719655327</v>
      </c>
      <c r="C287" s="832"/>
      <c r="D287" s="388">
        <f t="shared" si="102"/>
        <v>26.119004024022285</v>
      </c>
      <c r="E287" s="380">
        <f t="shared" si="100"/>
        <v>26.966078918994707</v>
      </c>
      <c r="F287" s="380">
        <f t="shared" si="103"/>
        <v>26.968938302153241</v>
      </c>
      <c r="G287" s="110">
        <f t="shared" si="101"/>
        <v>0.64891912470114721</v>
      </c>
      <c r="H287" s="409" t="b">
        <f>Wh_hp&gt;='2025'!Maxi_hp</f>
        <v>0</v>
      </c>
      <c r="I287" s="375">
        <f>IF(H287,Wh_hp,'2025'!Maxi_hp)</f>
        <v>26.97135071424043</v>
      </c>
      <c r="J287" s="85">
        <f>IF(H287,An,'2025'!An_max)</f>
        <v>2022</v>
      </c>
      <c r="K287" s="193">
        <f t="shared" si="104"/>
        <v>46295</v>
      </c>
      <c r="L287" s="143">
        <f>IF(t&lt;Tvie,1-EXP((T0-t)*PertePVj)+'2025'!Pspv,1-EXP((T0-t)*PertePVj)+Pspv)</f>
        <v>2.3978873918428567E-2</v>
      </c>
      <c r="M287" s="836"/>
      <c r="N287" s="836"/>
      <c r="O287" s="48">
        <f>IF(t&lt;Tnet,'2025'!Resal+('2025'!Salim-'2025'!Resal)*(1-EXP(('2025'!Tnet-t)/('2025'!Tau_j))),Resal+(Salim-Resal)*(1-EXP((Tnet-t)/(Tau_j))))*Salcycl</f>
        <v>3.141260906033129E-2</v>
      </c>
      <c r="P287" s="334">
        <f>(INDEX(Models!$BJ287:$BT287,,T287)*(1-R287)+INDEX(Models!$BJ287:$BT287,,T287+1)*R287-ERP_i)*Q287*Ramure*Pc/MaxiM</f>
        <v>2.1266480790404523E-4</v>
      </c>
      <c r="Q287" s="301">
        <f t="shared" si="105"/>
        <v>0.5</v>
      </c>
      <c r="R287" s="173">
        <f t="shared" si="106"/>
        <v>0.48901114268994483</v>
      </c>
      <c r="S287" s="802">
        <f t="shared" si="107"/>
        <v>2</v>
      </c>
      <c r="T287" s="172">
        <f t="shared" si="108"/>
        <v>8</v>
      </c>
      <c r="U287" s="247">
        <f t="shared" si="109"/>
        <v>2.4890111426899448</v>
      </c>
      <c r="V287" s="378">
        <f t="shared" si="110"/>
        <v>39.280674472222259</v>
      </c>
      <c r="W287" s="397">
        <f t="shared" si="111"/>
        <v>25.492699719655327</v>
      </c>
      <c r="X287" s="153">
        <f t="shared" si="112"/>
        <v>46295</v>
      </c>
      <c r="Y287" s="380">
        <f t="shared" si="113"/>
        <v>24.827005520371518</v>
      </c>
      <c r="Z287" s="380">
        <f t="shared" si="114"/>
        <v>25.436955058590186</v>
      </c>
      <c r="AA287" s="381">
        <f t="shared" si="115"/>
        <v>26.966078918994707</v>
      </c>
      <c r="AB287" s="193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5.670545817943947E-2</v>
      </c>
      <c r="AD287" s="227">
        <f>(INDEX(Models!$BJ287:$BT287,,AH287)*(1-AF287)+INDEX(Models!$BJ287:$BT287,,AH287+1)*AF287-ERP_i)*AE287*Ramure*Pc/MaxiM</f>
        <v>2.1266480790404523E-4</v>
      </c>
      <c r="AE287" s="301">
        <f t="shared" si="117"/>
        <v>0.5</v>
      </c>
      <c r="AF287" s="173">
        <f t="shared" si="118"/>
        <v>0.48901114268994483</v>
      </c>
      <c r="AG287" s="802">
        <f t="shared" si="124"/>
        <v>2</v>
      </c>
      <c r="AH287" s="172">
        <f t="shared" si="119"/>
        <v>8</v>
      </c>
      <c r="AI287" s="221">
        <f t="shared" si="120"/>
        <v>2.4890111426899448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46296</v>
      </c>
      <c r="B288" s="406">
        <f>'2025'!Wh/'2025'!Env_an*'2026'!Env_an</f>
        <v>34.794473465685599</v>
      </c>
      <c r="C288" s="832"/>
      <c r="D288" s="388">
        <f t="shared" si="102"/>
        <v>35.649791638240217</v>
      </c>
      <c r="E288" s="380">
        <f t="shared" si="100"/>
        <v>36.807326917100369</v>
      </c>
      <c r="F288" s="380">
        <f t="shared" si="103"/>
        <v>36.814776942484258</v>
      </c>
      <c r="G288" s="110">
        <f t="shared" si="101"/>
        <v>0.89445700415691209</v>
      </c>
      <c r="H288" s="409" t="b">
        <f>Wh_hp&gt;='2025'!Maxi_hp</f>
        <v>0</v>
      </c>
      <c r="I288" s="375">
        <f>IF(H288,Wh_hp,'2025'!Maxi_hp)</f>
        <v>36.815887882487736</v>
      </c>
      <c r="J288" s="85">
        <f>IF(H288,An,'2025'!An_max)</f>
        <v>2022</v>
      </c>
      <c r="K288" s="193">
        <f t="shared" si="104"/>
        <v>46296</v>
      </c>
      <c r="L288" s="143">
        <f>IF(t&lt;Tvie,1-EXP((T0-t)*PertePVj)+'2025'!Pspv,1-EXP((T0-t)*PertePVj)+Pspv)</f>
        <v>2.3992234828019376E-2</v>
      </c>
      <c r="M288" s="836"/>
      <c r="N288" s="836"/>
      <c r="O288" s="48">
        <f>IF(t&lt;Tnet,'2025'!Resal+('2025'!Salim-'2025'!Resal)*(1-EXP(('2025'!Tnet-t)/('2025'!Tau_j))),Resal+(Salim-Resal)*(1-EXP((Tnet-t)/(Tau_j))))*Salcycl</f>
        <v>3.1448501584133474E-2</v>
      </c>
      <c r="P288" s="334">
        <f>(INDEX(Models!$BJ288:$BT288,,T288)*(1-R288)+INDEX(Models!$BJ288:$BT288,,T288+1)*R288-ERP_i)*Q288*Ramure*Pc/MaxiM</f>
        <v>2.3828115450809785E-4</v>
      </c>
      <c r="Q288" s="301">
        <f t="shared" si="105"/>
        <v>0.5</v>
      </c>
      <c r="R288" s="173">
        <f t="shared" si="106"/>
        <v>0.48920938139269321</v>
      </c>
      <c r="S288" s="802">
        <f t="shared" si="107"/>
        <v>2</v>
      </c>
      <c r="T288" s="172">
        <f t="shared" si="108"/>
        <v>8</v>
      </c>
      <c r="U288" s="247">
        <f t="shared" si="109"/>
        <v>2.4892093813926932</v>
      </c>
      <c r="V288" s="378">
        <f t="shared" si="110"/>
        <v>38.89870991030287</v>
      </c>
      <c r="W288" s="397">
        <f t="shared" si="111"/>
        <v>34.794473465685599</v>
      </c>
      <c r="X288" s="153">
        <f t="shared" si="112"/>
        <v>46296</v>
      </c>
      <c r="Y288" s="380">
        <f t="shared" si="113"/>
        <v>33.887008735245132</v>
      </c>
      <c r="Z288" s="380">
        <f t="shared" si="114"/>
        <v>34.720019598690342</v>
      </c>
      <c r="AA288" s="381">
        <f t="shared" si="115"/>
        <v>36.807326917100369</v>
      </c>
      <c r="AB288" s="193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5.6709016743084498E-2</v>
      </c>
      <c r="AD288" s="227">
        <f>(INDEX(Models!$BJ288:$BT288,,AH288)*(1-AF288)+INDEX(Models!$BJ288:$BT288,,AH288+1)*AF288-ERP_i)*AE288*Ramure*Pc/MaxiM</f>
        <v>2.3828115450809785E-4</v>
      </c>
      <c r="AE288" s="301">
        <f t="shared" si="117"/>
        <v>0.5</v>
      </c>
      <c r="AF288" s="173">
        <f t="shared" si="118"/>
        <v>0.48920938139269321</v>
      </c>
      <c r="AG288" s="802">
        <f t="shared" si="124"/>
        <v>2</v>
      </c>
      <c r="AH288" s="172">
        <f t="shared" si="119"/>
        <v>8</v>
      </c>
      <c r="AI288" s="221">
        <f t="shared" si="120"/>
        <v>2.4892093813926932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46297</v>
      </c>
      <c r="B289" s="406">
        <f>'2025'!Wh/'2025'!Env_an*'2026'!Env_an</f>
        <v>36.184959405786365</v>
      </c>
      <c r="C289" s="832"/>
      <c r="D289" s="388">
        <f t="shared" si="102"/>
        <v>37.074966045888594</v>
      </c>
      <c r="E289" s="380">
        <f t="shared" si="100"/>
        <v>38.280175146580056</v>
      </c>
      <c r="F289" s="380">
        <f t="shared" si="103"/>
        <v>38.289532809746284</v>
      </c>
      <c r="G289" s="110">
        <f t="shared" si="101"/>
        <v>0.93944191469138105</v>
      </c>
      <c r="H289" s="409" t="b">
        <f>Wh_hp&gt;='2025'!Maxi_hp</f>
        <v>0</v>
      </c>
      <c r="I289" s="375">
        <f>IF(H289,Wh_hp,'2025'!Maxi_hp)</f>
        <v>38.290278052871017</v>
      </c>
      <c r="J289" s="85">
        <f>IF(H289,An,'2025'!An_max)</f>
        <v>2022</v>
      </c>
      <c r="K289" s="193">
        <f t="shared" si="104"/>
        <v>46297</v>
      </c>
      <c r="L289" s="143">
        <f>IF(t&lt;Tvie,1-EXP((T0-t)*PertePVj)+'2025'!Pspv,1-EXP((T0-t)*PertePVj)+Pspv)</f>
        <v>2.4005595554710601E-2</v>
      </c>
      <c r="M289" s="836"/>
      <c r="N289" s="836"/>
      <c r="O289" s="48">
        <f>IF(t&lt;Tnet,'2025'!Resal+('2025'!Salim-'2025'!Resal)*(1-EXP(('2025'!Tnet-t)/('2025'!Tau_j))),Resal+(Salim-Resal)*(1-EXP((Tnet-t)/(Tau_j))))*Salcycl</f>
        <v>3.1483897241236423E-2</v>
      </c>
      <c r="P289" s="334">
        <f>(INDEX(Models!$BJ289:$BT289,,T289)*(1-R289)+INDEX(Models!$BJ289:$BT289,,T289+1)*R289-ERP_i)*Q289*Ramure*Pc/MaxiM</f>
        <v>2.6752816780343532E-4</v>
      </c>
      <c r="Q289" s="301">
        <f t="shared" si="105"/>
        <v>0.5</v>
      </c>
      <c r="R289" s="173">
        <f t="shared" si="106"/>
        <v>0.48939978753984992</v>
      </c>
      <c r="S289" s="802">
        <f t="shared" si="107"/>
        <v>2</v>
      </c>
      <c r="T289" s="172">
        <f t="shared" si="108"/>
        <v>8</v>
      </c>
      <c r="U289" s="247">
        <f t="shared" si="109"/>
        <v>2.4893997875398499</v>
      </c>
      <c r="V289" s="378">
        <f t="shared" si="110"/>
        <v>38.516614450797931</v>
      </c>
      <c r="W289" s="397">
        <f t="shared" si="111"/>
        <v>36.184959405786365</v>
      </c>
      <c r="X289" s="153">
        <f t="shared" si="112"/>
        <v>46297</v>
      </c>
      <c r="Y289" s="380">
        <f t="shared" si="113"/>
        <v>35.242414479239528</v>
      </c>
      <c r="Z289" s="380">
        <f t="shared" si="114"/>
        <v>36.109238248419778</v>
      </c>
      <c r="AA289" s="381">
        <f t="shared" si="115"/>
        <v>38.280175146580056</v>
      </c>
      <c r="AB289" s="193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5.6711780702346788E-2</v>
      </c>
      <c r="AD289" s="227">
        <f>(INDEX(Models!$BJ289:$BT289,,AH289)*(1-AF289)+INDEX(Models!$BJ289:$BT289,,AH289+1)*AF289-ERP_i)*AE289*Ramure*Pc/MaxiM</f>
        <v>2.6752816780343532E-4</v>
      </c>
      <c r="AE289" s="301">
        <f t="shared" si="117"/>
        <v>0.5</v>
      </c>
      <c r="AF289" s="173">
        <f t="shared" si="118"/>
        <v>0.48939978753984992</v>
      </c>
      <c r="AG289" s="802">
        <f t="shared" si="124"/>
        <v>2</v>
      </c>
      <c r="AH289" s="172">
        <f t="shared" si="119"/>
        <v>8</v>
      </c>
      <c r="AI289" s="221">
        <f t="shared" si="120"/>
        <v>2.4893997875398499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46298</v>
      </c>
      <c r="B290" s="406">
        <f>'2025'!Wh/'2025'!Env_an*'2026'!Env_an</f>
        <v>32.768906565581752</v>
      </c>
      <c r="C290" s="832"/>
      <c r="D290" s="388">
        <f t="shared" si="102"/>
        <v>33.575351458249308</v>
      </c>
      <c r="E290" s="380">
        <f t="shared" si="100"/>
        <v>34.668046245665771</v>
      </c>
      <c r="F290" s="380">
        <f t="shared" si="103"/>
        <v>34.67633327153294</v>
      </c>
      <c r="G290" s="110">
        <f t="shared" si="101"/>
        <v>0.85930208659779717</v>
      </c>
      <c r="H290" s="409" t="b">
        <f>Wh_hp&gt;='2025'!Maxi_hp</f>
        <v>0</v>
      </c>
      <c r="I290" s="375">
        <f>IF(H290,Wh_hp,'2025'!Maxi_hp)</f>
        <v>34.678087657716873</v>
      </c>
      <c r="J290" s="85">
        <f>IF(H290,An,'2025'!An_max)</f>
        <v>2022</v>
      </c>
      <c r="K290" s="193">
        <f t="shared" si="104"/>
        <v>46298</v>
      </c>
      <c r="L290" s="143">
        <f>IF(t&lt;Tvie,1-EXP((T0-t)*PertePVj)+'2025'!Pspv,1-EXP((T0-t)*PertePVj)+Pspv)</f>
        <v>2.4018956098504685E-2</v>
      </c>
      <c r="M290" s="836"/>
      <c r="N290" s="836"/>
      <c r="O290" s="48">
        <f>IF(t&lt;Tnet,'2025'!Resal+('2025'!Salim-'2025'!Resal)*(1-EXP(('2025'!Tnet-t)/('2025'!Tau_j))),Resal+(Salim-Resal)*(1-EXP((Tnet-t)/(Tau_j))))*Salcycl</f>
        <v>3.1518787637277619E-2</v>
      </c>
      <c r="P290" s="334">
        <f>(INDEX(Models!$BJ290:$BT290,,T290)*(1-R290)+INDEX(Models!$BJ290:$BT290,,T290+1)*R290-ERP_i)*Q290*Ramure*Pc/MaxiM</f>
        <v>2.9907287210907089E-4</v>
      </c>
      <c r="Q290" s="301">
        <f t="shared" si="105"/>
        <v>0.5</v>
      </c>
      <c r="R290" s="173">
        <f t="shared" si="106"/>
        <v>0.48958266488563762</v>
      </c>
      <c r="S290" s="802">
        <f t="shared" si="107"/>
        <v>2</v>
      </c>
      <c r="T290" s="172">
        <f t="shared" si="108"/>
        <v>8</v>
      </c>
      <c r="U290" s="247">
        <f t="shared" si="109"/>
        <v>2.4895826648856376</v>
      </c>
      <c r="V290" s="378">
        <f t="shared" si="110"/>
        <v>38.132034705612242</v>
      </c>
      <c r="W290" s="397">
        <f t="shared" si="111"/>
        <v>32.768906565581752</v>
      </c>
      <c r="X290" s="153">
        <f t="shared" si="112"/>
        <v>46298</v>
      </c>
      <c r="Y290" s="380">
        <f t="shared" si="113"/>
        <v>31.916426476278485</v>
      </c>
      <c r="Z290" s="380">
        <f t="shared" si="114"/>
        <v>32.701891779262645</v>
      </c>
      <c r="AA290" s="381">
        <f t="shared" si="115"/>
        <v>34.668046245665771</v>
      </c>
      <c r="AB290" s="193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5.671373726891047E-2</v>
      </c>
      <c r="AD290" s="227">
        <f>(INDEX(Models!$BJ290:$BT290,,AH290)*(1-AF290)+INDEX(Models!$BJ290:$BT290,,AH290+1)*AF290-ERP_i)*AE290*Ramure*Pc/MaxiM</f>
        <v>2.9907287210907089E-4</v>
      </c>
      <c r="AE290" s="301">
        <f t="shared" si="117"/>
        <v>0.5</v>
      </c>
      <c r="AF290" s="173">
        <f t="shared" si="118"/>
        <v>0.48958266488563762</v>
      </c>
      <c r="AG290" s="802">
        <f t="shared" si="124"/>
        <v>2</v>
      </c>
      <c r="AH290" s="172">
        <f t="shared" si="119"/>
        <v>8</v>
      </c>
      <c r="AI290" s="221">
        <f t="shared" si="120"/>
        <v>2.4895826648856376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46299</v>
      </c>
      <c r="B291" s="406">
        <f>'2025'!Wh/'2025'!Env_an*'2026'!Env_an</f>
        <v>38.167056205439472</v>
      </c>
      <c r="C291" s="832"/>
      <c r="D291" s="388">
        <f t="shared" si="102"/>
        <v>39.106885247447742</v>
      </c>
      <c r="E291" s="380">
        <f t="shared" si="100"/>
        <v>40.381034706583513</v>
      </c>
      <c r="F291" s="380">
        <f t="shared" si="103"/>
        <v>40.394405046621038</v>
      </c>
      <c r="G291" s="110">
        <f t="shared" si="101"/>
        <v>1.0111694837797944</v>
      </c>
      <c r="H291" s="409" t="b">
        <f>Wh_hp&gt;='2025'!Maxi_hp</f>
        <v>1</v>
      </c>
      <c r="I291" s="375">
        <f>IF(H291,Wh_hp,'2025'!Maxi_hp)</f>
        <v>40.394405046621038</v>
      </c>
      <c r="J291" s="85">
        <f>IF(H291,An,'2025'!An_max)</f>
        <v>2026</v>
      </c>
      <c r="K291" s="193">
        <f t="shared" si="104"/>
        <v>46299</v>
      </c>
      <c r="L291" s="143">
        <f>IF(t&lt;Tvie,1-EXP((T0-t)*PertePVj)+'2025'!Pspv,1-EXP((T0-t)*PertePVj)+Pspv)</f>
        <v>2.4032316459404179E-2</v>
      </c>
      <c r="M291" s="836"/>
      <c r="N291" s="836"/>
      <c r="O291" s="48">
        <f>IF(t&lt;Tnet,'2025'!Resal+('2025'!Salim-'2025'!Resal)*(1-EXP(('2025'!Tnet-t)/('2025'!Tau_j))),Resal+(Salim-Resal)*(1-EXP((Tnet-t)/(Tau_j))))*Salcycl</f>
        <v>3.1553165202278445E-2</v>
      </c>
      <c r="P291" s="334">
        <f>(INDEX(Models!$BJ291:$BT291,,T291)*(1-R291)+INDEX(Models!$BJ291:$BT291,,T291+1)*R291-ERP_i)*Q291*Ramure*Pc/MaxiM</f>
        <v>3.3099484995751966E-4</v>
      </c>
      <c r="Q291" s="301">
        <f t="shared" si="105"/>
        <v>0.5</v>
      </c>
      <c r="R291" s="173">
        <f t="shared" si="106"/>
        <v>0.48975830585196833</v>
      </c>
      <c r="S291" s="802">
        <f t="shared" si="107"/>
        <v>2</v>
      </c>
      <c r="T291" s="172">
        <f t="shared" si="108"/>
        <v>8</v>
      </c>
      <c r="U291" s="247">
        <f t="shared" si="109"/>
        <v>2.4897583058519683</v>
      </c>
      <c r="V291" s="378">
        <f t="shared" si="110"/>
        <v>37.745458914334904</v>
      </c>
      <c r="W291" s="397">
        <f t="shared" si="111"/>
        <v>38.167056205439472</v>
      </c>
      <c r="X291" s="153">
        <f t="shared" si="112"/>
        <v>46299</v>
      </c>
      <c r="Y291" s="380">
        <f t="shared" si="113"/>
        <v>37.17541849798814</v>
      </c>
      <c r="Z291" s="380">
        <f t="shared" si="114"/>
        <v>38.090829363451782</v>
      </c>
      <c r="AA291" s="381">
        <f t="shared" si="115"/>
        <v>40.381034706583513</v>
      </c>
      <c r="AB291" s="193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5.6714875182689417E-2</v>
      </c>
      <c r="AD291" s="227">
        <f>(INDEX(Models!$BJ291:$BT291,,AH291)*(1-AF291)+INDEX(Models!$BJ291:$BT291,,AH291+1)*AF291-ERP_i)*AE291*Ramure*Pc/MaxiM</f>
        <v>3.3099484995751966E-4</v>
      </c>
      <c r="AE291" s="301">
        <f t="shared" si="117"/>
        <v>0.5</v>
      </c>
      <c r="AF291" s="173">
        <f t="shared" si="118"/>
        <v>0.48975830585196833</v>
      </c>
      <c r="AG291" s="802">
        <f t="shared" si="124"/>
        <v>2</v>
      </c>
      <c r="AH291" s="172">
        <f t="shared" si="119"/>
        <v>8</v>
      </c>
      <c r="AI291" s="221">
        <f t="shared" si="120"/>
        <v>2.4897583058519683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46300</v>
      </c>
      <c r="B292" s="406">
        <f>'2025'!Wh/'2025'!Env_an*'2026'!Env_an</f>
        <v>38.416610617042259</v>
      </c>
      <c r="C292" s="832"/>
      <c r="D292" s="388">
        <f t="shared" si="102"/>
        <v>39.363123557545471</v>
      </c>
      <c r="E292" s="380">
        <f t="shared" si="100"/>
        <v>40.647042639779379</v>
      </c>
      <c r="F292" s="380">
        <f t="shared" si="103"/>
        <v>40.661814891212067</v>
      </c>
      <c r="G292" s="110">
        <f t="shared" si="101"/>
        <v>1.0283561778969417</v>
      </c>
      <c r="H292" s="409" t="b">
        <f>Wh_hp&gt;='2025'!Maxi_hp</f>
        <v>1</v>
      </c>
      <c r="I292" s="375">
        <f>IF(H292,Wh_hp,'2025'!Maxi_hp)</f>
        <v>40.661814891212067</v>
      </c>
      <c r="J292" s="85">
        <f>IF(H292,An,'2025'!An_max)</f>
        <v>2026</v>
      </c>
      <c r="K292" s="193">
        <f t="shared" si="104"/>
        <v>46300</v>
      </c>
      <c r="L292" s="143">
        <f>IF(t&lt;Tvie,1-EXP((T0-t)*PertePVj)+'2025'!Pspv,1-EXP((T0-t)*PertePVj)+Pspv)</f>
        <v>2.4045676637411528E-2</v>
      </c>
      <c r="M292" s="836"/>
      <c r="N292" s="836"/>
      <c r="O292" s="48">
        <f>IF(t&lt;Tnet,'2025'!Resal+('2025'!Salim-'2025'!Resal)*(1-EXP(('2025'!Tnet-t)/('2025'!Tau_j))),Resal+(Salim-Resal)*(1-EXP((Tnet-t)/(Tau_j))))*Salcycl</f>
        <v>3.1587023282658173E-2</v>
      </c>
      <c r="P292" s="334">
        <f>(INDEX(Models!$BJ292:$BT292,,T292)*(1-R292)+INDEX(Models!$BJ292:$BT292,,T292+1)*R292-ERP_i)*Q292*Ramure*Pc/MaxiM</f>
        <v>3.632954277178154E-4</v>
      </c>
      <c r="Q292" s="301">
        <f t="shared" si="105"/>
        <v>0.5</v>
      </c>
      <c r="R292" s="173">
        <f t="shared" si="106"/>
        <v>0.48992699191594991</v>
      </c>
      <c r="S292" s="802">
        <f t="shared" si="107"/>
        <v>2</v>
      </c>
      <c r="T292" s="172">
        <f t="shared" si="108"/>
        <v>8</v>
      </c>
      <c r="U292" s="247">
        <f t="shared" si="109"/>
        <v>2.4899269919159499</v>
      </c>
      <c r="V292" s="378">
        <f t="shared" si="110"/>
        <v>37.357300362221615</v>
      </c>
      <c r="W292" s="397">
        <f t="shared" si="111"/>
        <v>38.416610617042259</v>
      </c>
      <c r="X292" s="153">
        <f t="shared" si="112"/>
        <v>46300</v>
      </c>
      <c r="Y292" s="380">
        <f t="shared" si="113"/>
        <v>37.419785065979632</v>
      </c>
      <c r="Z292" s="380">
        <f t="shared" si="114"/>
        <v>38.341738102099029</v>
      </c>
      <c r="AA292" s="381">
        <f t="shared" si="115"/>
        <v>40.647042639779379</v>
      </c>
      <c r="AB292" s="193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5.6715184868683544E-2</v>
      </c>
      <c r="AD292" s="227">
        <f>(INDEX(Models!$BJ292:$BT292,,AH292)*(1-AF292)+INDEX(Models!$BJ292:$BT292,,AH292+1)*AF292-ERP_i)*AE292*Ramure*Pc/MaxiM</f>
        <v>3.632954277178154E-4</v>
      </c>
      <c r="AE292" s="301">
        <f t="shared" si="117"/>
        <v>0.5</v>
      </c>
      <c r="AF292" s="173">
        <f t="shared" si="118"/>
        <v>0.48992699191594991</v>
      </c>
      <c r="AG292" s="802">
        <f t="shared" si="124"/>
        <v>2</v>
      </c>
      <c r="AH292" s="172">
        <f t="shared" si="119"/>
        <v>8</v>
      </c>
      <c r="AI292" s="221">
        <f t="shared" si="120"/>
        <v>2.4899269919159499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46301</v>
      </c>
      <c r="B293" s="406">
        <f>'2025'!Wh/'2025'!Env_an*'2026'!Env_an</f>
        <v>15.397647909276712</v>
      </c>
      <c r="C293" s="832"/>
      <c r="D293" s="388">
        <f t="shared" si="102"/>
        <v>15.777232934405522</v>
      </c>
      <c r="E293" s="380">
        <f t="shared" si="100"/>
        <v>16.292404570813652</v>
      </c>
      <c r="F293" s="380">
        <f t="shared" si="103"/>
        <v>16.293478456626854</v>
      </c>
      <c r="G293" s="110">
        <f t="shared" si="101"/>
        <v>0.41637570097327259</v>
      </c>
      <c r="H293" s="409" t="b">
        <f>Wh_hp&gt;='2025'!Maxi_hp</f>
        <v>0</v>
      </c>
      <c r="I293" s="375">
        <f>IF(H293,Wh_hp,'2025'!Maxi_hp)</f>
        <v>16.298012203209971</v>
      </c>
      <c r="J293" s="85">
        <f>IF(H293,An,'2025'!An_max)</f>
        <v>2022</v>
      </c>
      <c r="K293" s="193">
        <f t="shared" si="104"/>
        <v>46301</v>
      </c>
      <c r="L293" s="143">
        <f>IF(t&lt;Tvie,1-EXP((T0-t)*PertePVj)+'2025'!Pspv,1-EXP((T0-t)*PertePVj)+Pspv)</f>
        <v>2.4059036632529285E-2</v>
      </c>
      <c r="M293" s="836"/>
      <c r="N293" s="836"/>
      <c r="O293" s="48">
        <f>IF(t&lt;Tnet,'2025'!Resal+('2025'!Salim-'2025'!Resal)*(1-EXP(('2025'!Tnet-t)/('2025'!Tau_j))),Resal+(Salim-Resal)*(1-EXP((Tnet-t)/(Tau_j))))*Salcycl</f>
        <v>3.162035623219258E-2</v>
      </c>
      <c r="P293" s="334">
        <f>(INDEX(Models!$BJ293:$BT293,,T293)*(1-R293)+INDEX(Models!$BJ293:$BT293,,T293+1)*R293-ERP_i)*Q293*Ramure*Pc/MaxiM</f>
        <v>3.9597453157572571E-4</v>
      </c>
      <c r="Q293" s="301">
        <f t="shared" si="105"/>
        <v>0.5</v>
      </c>
      <c r="R293" s="173">
        <f t="shared" si="106"/>
        <v>0.49008899398698924</v>
      </c>
      <c r="S293" s="802">
        <f t="shared" si="107"/>
        <v>2</v>
      </c>
      <c r="T293" s="172">
        <f t="shared" si="108"/>
        <v>8</v>
      </c>
      <c r="U293" s="247">
        <f t="shared" si="109"/>
        <v>2.4900889939869892</v>
      </c>
      <c r="V293" s="378">
        <f t="shared" si="110"/>
        <v>36.967972205072734</v>
      </c>
      <c r="W293" s="397">
        <f t="shared" si="111"/>
        <v>15.397647909276712</v>
      </c>
      <c r="X293" s="153">
        <f t="shared" si="112"/>
        <v>46301</v>
      </c>
      <c r="Y293" s="380">
        <f t="shared" si="113"/>
        <v>14.998637836381922</v>
      </c>
      <c r="Z293" s="380">
        <f t="shared" si="114"/>
        <v>15.368386407953746</v>
      </c>
      <c r="AA293" s="381">
        <f t="shared" si="115"/>
        <v>16.292404570813652</v>
      </c>
      <c r="AB293" s="193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5.6714658590985387E-2</v>
      </c>
      <c r="AD293" s="227">
        <f>(INDEX(Models!$BJ293:$BT293,,AH293)*(1-AF293)+INDEX(Models!$BJ293:$BT293,,AH293+1)*AF293-ERP_i)*AE293*Ramure*Pc/MaxiM</f>
        <v>3.9597453157572571E-4</v>
      </c>
      <c r="AE293" s="301">
        <f t="shared" si="117"/>
        <v>0.5</v>
      </c>
      <c r="AF293" s="173">
        <f t="shared" si="118"/>
        <v>0.49008899398698924</v>
      </c>
      <c r="AG293" s="802">
        <f t="shared" si="124"/>
        <v>2</v>
      </c>
      <c r="AH293" s="172">
        <f t="shared" si="119"/>
        <v>8</v>
      </c>
      <c r="AI293" s="221">
        <f t="shared" si="120"/>
        <v>2.4900889939869892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46302</v>
      </c>
      <c r="B294" s="406">
        <f>'2025'!Wh/'2025'!Env_an*'2026'!Env_an</f>
        <v>29.575646608739145</v>
      </c>
      <c r="C294" s="832"/>
      <c r="D294" s="388">
        <f t="shared" si="102"/>
        <v>30.305164543965155</v>
      </c>
      <c r="E294" s="380">
        <f t="shared" si="100"/>
        <v>31.295774692001761</v>
      </c>
      <c r="F294" s="380">
        <f t="shared" si="103"/>
        <v>31.305532649478852</v>
      </c>
      <c r="G294" s="110">
        <f t="shared" si="101"/>
        <v>0.80847138715126043</v>
      </c>
      <c r="H294" s="409" t="b">
        <f>Wh_hp&gt;='2025'!Maxi_hp</f>
        <v>0</v>
      </c>
      <c r="I294" s="375">
        <f>IF(H294,Wh_hp,'2025'!Maxi_hp)</f>
        <v>31.308629885145589</v>
      </c>
      <c r="J294" s="85">
        <f>IF(H294,An,'2025'!An_max)</f>
        <v>2022</v>
      </c>
      <c r="K294" s="193">
        <f t="shared" si="104"/>
        <v>46302</v>
      </c>
      <c r="L294" s="143">
        <f>IF(t&lt;Tvie,1-EXP((T0-t)*PertePVj)+'2025'!Pspv,1-EXP((T0-t)*PertePVj)+Pspv)</f>
        <v>2.4072396444759891E-2</v>
      </c>
      <c r="M294" s="836"/>
      <c r="N294" s="836"/>
      <c r="O294" s="48">
        <f>IF(t&lt;Tnet,'2025'!Resal+('2025'!Salim-'2025'!Resal)*(1-EXP(('2025'!Tnet-t)/('2025'!Tau_j))),Resal+(Salim-Resal)*(1-EXP((Tnet-t)/(Tau_j))))*Salcycl</f>
        <v>3.1653159501105955E-2</v>
      </c>
      <c r="P294" s="334">
        <f>(INDEX(Models!$BJ294:$BT294,,T294)*(1-R294)+INDEX(Models!$BJ294:$BT294,,T294+1)*R294-ERP_i)*Q294*Ramure*Pc/MaxiM</f>
        <v>4.2903062844795872E-4</v>
      </c>
      <c r="Q294" s="301">
        <f t="shared" si="105"/>
        <v>0.5</v>
      </c>
      <c r="R294" s="173">
        <f t="shared" si="106"/>
        <v>0.49024457277351186</v>
      </c>
      <c r="S294" s="802">
        <f t="shared" si="107"/>
        <v>2</v>
      </c>
      <c r="T294" s="172">
        <f t="shared" si="108"/>
        <v>8</v>
      </c>
      <c r="U294" s="247">
        <f t="shared" si="109"/>
        <v>2.4902445727735119</v>
      </c>
      <c r="V294" s="378">
        <f t="shared" si="110"/>
        <v>36.577887466675115</v>
      </c>
      <c r="W294" s="397">
        <f t="shared" si="111"/>
        <v>29.575646608739145</v>
      </c>
      <c r="X294" s="153">
        <f t="shared" si="112"/>
        <v>46302</v>
      </c>
      <c r="Y294" s="380">
        <f t="shared" si="113"/>
        <v>28.810249800048194</v>
      </c>
      <c r="Z294" s="380">
        <f t="shared" si="114"/>
        <v>29.520888327263567</v>
      </c>
      <c r="AA294" s="381">
        <f t="shared" si="115"/>
        <v>31.295774692001761</v>
      </c>
      <c r="AB294" s="193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5.6713290602510645E-2</v>
      </c>
      <c r="AD294" s="227">
        <f>(INDEX(Models!$BJ294:$BT294,,AH294)*(1-AF294)+INDEX(Models!$BJ294:$BT294,,AH294+1)*AF294-ERP_i)*AE294*Ramure*Pc/MaxiM</f>
        <v>4.2903062844795872E-4</v>
      </c>
      <c r="AE294" s="301">
        <f t="shared" si="117"/>
        <v>0.5</v>
      </c>
      <c r="AF294" s="173">
        <f t="shared" si="118"/>
        <v>0.49024457277351186</v>
      </c>
      <c r="AG294" s="802">
        <f t="shared" si="124"/>
        <v>2</v>
      </c>
      <c r="AH294" s="172">
        <f t="shared" si="119"/>
        <v>8</v>
      </c>
      <c r="AI294" s="221">
        <f t="shared" si="120"/>
        <v>2.4902445727735119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46303</v>
      </c>
      <c r="B295" s="406">
        <f>'2025'!Wh/'2025'!Env_an*'2026'!Env_an</f>
        <v>14.9572270302594</v>
      </c>
      <c r="C295" s="832"/>
      <c r="D295" s="388">
        <f t="shared" si="102"/>
        <v>15.326374344214587</v>
      </c>
      <c r="E295" s="380">
        <f t="shared" si="100"/>
        <v>15.827887769799785</v>
      </c>
      <c r="F295" s="380">
        <f t="shared" si="103"/>
        <v>15.829072891058294</v>
      </c>
      <c r="G295" s="110">
        <f t="shared" si="101"/>
        <v>0.41316604456127204</v>
      </c>
      <c r="H295" s="409" t="b">
        <f>Wh_hp&gt;='2025'!Maxi_hp</f>
        <v>0</v>
      </c>
      <c r="I295" s="375">
        <f>IF(H295,Wh_hp,'2025'!Maxi_hp)</f>
        <v>15.834246656032258</v>
      </c>
      <c r="J295" s="85">
        <f>IF(H295,An,'2025'!An_max)</f>
        <v>2022</v>
      </c>
      <c r="K295" s="193">
        <f t="shared" si="104"/>
        <v>46303</v>
      </c>
      <c r="L295" s="143">
        <f>IF(t&lt;Tvie,1-EXP((T0-t)*PertePVj)+'2025'!Pspv,1-EXP((T0-t)*PertePVj)+Pspv)</f>
        <v>2.4085756074105902E-2</v>
      </c>
      <c r="M295" s="836"/>
      <c r="N295" s="836"/>
      <c r="O295" s="48">
        <f>IF(t&lt;Tnet,'2025'!Resal+('2025'!Salim-'2025'!Resal)*(1-EXP(('2025'!Tnet-t)/('2025'!Tau_j))),Resal+(Salim-Resal)*(1-EXP((Tnet-t)/(Tau_j))))*Salcycl</f>
        <v>3.1685429722474172E-2</v>
      </c>
      <c r="P295" s="334">
        <f>(INDEX(Models!$BJ295:$BT295,,T295)*(1-R295)+INDEX(Models!$BJ295:$BT295,,T295+1)*R295-ERP_i)*Q295*Ramure*Pc/MaxiM</f>
        <v>4.6246066658183458E-4</v>
      </c>
      <c r="Q295" s="301">
        <f t="shared" si="105"/>
        <v>0.5</v>
      </c>
      <c r="R295" s="173">
        <f t="shared" si="106"/>
        <v>0.49039397913937322</v>
      </c>
      <c r="S295" s="802">
        <f t="shared" si="107"/>
        <v>2</v>
      </c>
      <c r="T295" s="172">
        <f t="shared" si="108"/>
        <v>8</v>
      </c>
      <c r="U295" s="247">
        <f t="shared" si="109"/>
        <v>2.4903939791393732</v>
      </c>
      <c r="V295" s="378">
        <f t="shared" si="110"/>
        <v>36.18745903748281</v>
      </c>
      <c r="W295" s="397">
        <f t="shared" si="111"/>
        <v>14.9572270302594</v>
      </c>
      <c r="X295" s="153">
        <f t="shared" si="112"/>
        <v>46303</v>
      </c>
      <c r="Y295" s="380">
        <f t="shared" si="113"/>
        <v>14.570664332845091</v>
      </c>
      <c r="Z295" s="380">
        <f t="shared" si="114"/>
        <v>14.930271203164764</v>
      </c>
      <c r="AA295" s="381">
        <f t="shared" si="115"/>
        <v>15.827887769799785</v>
      </c>
      <c r="AB295" s="193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5.6711077289018114E-2</v>
      </c>
      <c r="AD295" s="227">
        <f>(INDEX(Models!$BJ295:$BT295,,AH295)*(1-AF295)+INDEX(Models!$BJ295:$BT295,,AH295+1)*AF295-ERP_i)*AE295*Ramure*Pc/MaxiM</f>
        <v>4.6246066658183458E-4</v>
      </c>
      <c r="AE295" s="301">
        <f t="shared" si="117"/>
        <v>0.5</v>
      </c>
      <c r="AF295" s="173">
        <f t="shared" si="118"/>
        <v>0.49039397913937322</v>
      </c>
      <c r="AG295" s="802">
        <f t="shared" si="124"/>
        <v>2</v>
      </c>
      <c r="AH295" s="172">
        <f t="shared" si="119"/>
        <v>8</v>
      </c>
      <c r="AI295" s="221">
        <f t="shared" si="120"/>
        <v>2.4903939791393732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46304</v>
      </c>
      <c r="B296" s="406">
        <f>'2025'!Wh/'2025'!Env_an*'2026'!Env_an</f>
        <v>34.929383939437535</v>
      </c>
      <c r="C296" s="832"/>
      <c r="D296" s="388">
        <f t="shared" si="102"/>
        <v>35.791937987708387</v>
      </c>
      <c r="E296" s="380">
        <f t="shared" si="100"/>
        <v>36.964342118214759</v>
      </c>
      <c r="F296" s="380">
        <f t="shared" si="103"/>
        <v>36.982108874016873</v>
      </c>
      <c r="G296" s="110">
        <f t="shared" si="101"/>
        <v>0.97574469805533681</v>
      </c>
      <c r="H296" s="409" t="b">
        <f>Wh_hp&gt;='2025'!Maxi_hp</f>
        <v>0</v>
      </c>
      <c r="I296" s="375">
        <f>IF(H296,Wh_hp,'2025'!Maxi_hp)</f>
        <v>36.982646782683823</v>
      </c>
      <c r="J296" s="85">
        <f>IF(H296,An,'2025'!An_max)</f>
        <v>2022</v>
      </c>
      <c r="K296" s="193">
        <f t="shared" si="104"/>
        <v>46304</v>
      </c>
      <c r="L296" s="143">
        <f>IF(t&lt;Tvie,1-EXP((T0-t)*PertePVj)+'2025'!Pspv,1-EXP((T0-t)*PertePVj)+Pspv)</f>
        <v>2.4099115520569758E-2</v>
      </c>
      <c r="M296" s="836"/>
      <c r="N296" s="836"/>
      <c r="O296" s="48">
        <f>IF(t&lt;Tnet,'2025'!Resal+('2025'!Salim-'2025'!Resal)*(1-EXP(('2025'!Tnet-t)/('2025'!Tau_j))),Resal+(Salim-Resal)*(1-EXP((Tnet-t)/(Tau_j))))*Salcycl</f>
        <v>3.1717164795113398E-2</v>
      </c>
      <c r="P296" s="334">
        <f>(INDEX(Models!$BJ296:$BT296,,T296)*(1-R296)+INDEX(Models!$BJ296:$BT296,,T296+1)*R296-ERP_i)*Q296*Ramure*Pc/MaxiM</f>
        <v>4.976466011009285E-4</v>
      </c>
      <c r="Q296" s="301">
        <f t="shared" si="105"/>
        <v>0.5</v>
      </c>
      <c r="R296" s="173">
        <f t="shared" si="106"/>
        <v>0.4905374544500356</v>
      </c>
      <c r="S296" s="802">
        <f t="shared" si="107"/>
        <v>2</v>
      </c>
      <c r="T296" s="172">
        <f t="shared" si="108"/>
        <v>8</v>
      </c>
      <c r="U296" s="247">
        <f t="shared" si="109"/>
        <v>2.4905374544500356</v>
      </c>
      <c r="V296" s="378">
        <f t="shared" si="110"/>
        <v>35.797050013936925</v>
      </c>
      <c r="W296" s="397">
        <f t="shared" si="111"/>
        <v>34.929383939437535</v>
      </c>
      <c r="X296" s="153">
        <f t="shared" si="112"/>
        <v>46304</v>
      </c>
      <c r="Y296" s="380">
        <f t="shared" si="113"/>
        <v>34.027875567514783</v>
      </c>
      <c r="Z296" s="380">
        <f t="shared" si="114"/>
        <v>34.868167565670461</v>
      </c>
      <c r="AA296" s="381">
        <f t="shared" si="115"/>
        <v>36.964342118214759</v>
      </c>
      <c r="AB296" s="193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5.67080173059911E-2</v>
      </c>
      <c r="AD296" s="227">
        <f>(INDEX(Models!$BJ296:$BT296,,AH296)*(1-AF296)+INDEX(Models!$BJ296:$BT296,,AH296+1)*AF296-ERP_i)*AE296*Ramure*Pc/MaxiM</f>
        <v>4.976466011009285E-4</v>
      </c>
      <c r="AE296" s="301">
        <f t="shared" si="117"/>
        <v>0.5</v>
      </c>
      <c r="AF296" s="173">
        <f t="shared" si="118"/>
        <v>0.4905374544500356</v>
      </c>
      <c r="AG296" s="802">
        <f t="shared" si="124"/>
        <v>2</v>
      </c>
      <c r="AH296" s="172">
        <f t="shared" si="119"/>
        <v>8</v>
      </c>
      <c r="AI296" s="221">
        <f t="shared" si="120"/>
        <v>2.4905374544500356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46305</v>
      </c>
      <c r="B297" s="406">
        <f>'2025'!Wh/'2025'!Env_an*'2026'!Env_an</f>
        <v>30.582233496375764</v>
      </c>
      <c r="C297" s="832"/>
      <c r="D297" s="388">
        <f t="shared" si="102"/>
        <v>31.337867024800435</v>
      </c>
      <c r="E297" s="380">
        <f t="shared" ref="E297:E360" si="125">Wh_pvt/(1-Psa)</f>
        <v>32.365416032795508</v>
      </c>
      <c r="F297" s="380">
        <f t="shared" si="103"/>
        <v>32.379319226483773</v>
      </c>
      <c r="G297" s="110">
        <f t="shared" ref="G297:G360" si="126">+Wh_hp/MaxiM</f>
        <v>0.86364138422360281</v>
      </c>
      <c r="H297" s="409" t="b">
        <f>Wh_hp&gt;='2025'!Maxi_hp</f>
        <v>0</v>
      </c>
      <c r="I297" s="375">
        <f>IF(H297,Wh_hp,'2025'!Maxi_hp)</f>
        <v>32.382160198719454</v>
      </c>
      <c r="J297" s="85">
        <f>IF(H297,An,'2025'!An_max)</f>
        <v>2022</v>
      </c>
      <c r="K297" s="193">
        <f t="shared" si="104"/>
        <v>46305</v>
      </c>
      <c r="L297" s="143">
        <f>IF(t&lt;Tvie,1-EXP((T0-t)*PertePVj)+'2025'!Pspv,1-EXP((T0-t)*PertePVj)+Pspv)</f>
        <v>2.4112474784154014E-2</v>
      </c>
      <c r="M297" s="836"/>
      <c r="N297" s="836"/>
      <c r="O297" s="48">
        <f>IF(t&lt;Tnet,'2025'!Resal+('2025'!Salim-'2025'!Resal)*(1-EXP(('2025'!Tnet-t)/('2025'!Tau_j))),Resal+(Salim-Resal)*(1-EXP((Tnet-t)/(Tau_j))))*Salcycl</f>
        <v>3.1748363962133798E-2</v>
      </c>
      <c r="P297" s="334">
        <f>(INDEX(Models!$BJ297:$BT297,,T297)*(1-R297)+INDEX(Models!$BJ297:$BT297,,T297+1)*R297-ERP_i)*Q297*Ramure*Pc/MaxiM</f>
        <v>5.3317886506942498E-4</v>
      </c>
      <c r="Q297" s="301">
        <f t="shared" si="105"/>
        <v>0.5</v>
      </c>
      <c r="R297" s="173">
        <f t="shared" si="106"/>
        <v>0.49067523090862686</v>
      </c>
      <c r="S297" s="802">
        <f t="shared" si="107"/>
        <v>2</v>
      </c>
      <c r="T297" s="172">
        <f t="shared" si="108"/>
        <v>8</v>
      </c>
      <c r="U297" s="247">
        <f t="shared" si="109"/>
        <v>2.4906752309086269</v>
      </c>
      <c r="V297" s="378">
        <f t="shared" si="110"/>
        <v>35.407124349196494</v>
      </c>
      <c r="W297" s="397">
        <f t="shared" si="111"/>
        <v>30.582233496375764</v>
      </c>
      <c r="X297" s="153">
        <f t="shared" si="112"/>
        <v>46305</v>
      </c>
      <c r="Y297" s="380">
        <f t="shared" si="113"/>
        <v>29.794006060239049</v>
      </c>
      <c r="Z297" s="380">
        <f t="shared" si="114"/>
        <v>30.530163866629238</v>
      </c>
      <c r="AA297" s="381">
        <f t="shared" si="115"/>
        <v>32.365416032795508</v>
      </c>
      <c r="AB297" s="193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5.6704111706972329E-2</v>
      </c>
      <c r="AD297" s="227">
        <f>(INDEX(Models!$BJ297:$BT297,,AH297)*(1-AF297)+INDEX(Models!$BJ297:$BT297,,AH297+1)*AF297-ERP_i)*AE297*Ramure*Pc/MaxiM</f>
        <v>5.3317886506942498E-4</v>
      </c>
      <c r="AE297" s="301">
        <f t="shared" si="117"/>
        <v>0.5</v>
      </c>
      <c r="AF297" s="173">
        <f t="shared" si="118"/>
        <v>0.49067523090862686</v>
      </c>
      <c r="AG297" s="802">
        <f t="shared" si="124"/>
        <v>2</v>
      </c>
      <c r="AH297" s="172">
        <f t="shared" si="119"/>
        <v>8</v>
      </c>
      <c r="AI297" s="221">
        <f t="shared" si="120"/>
        <v>2.4906752309086269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46306</v>
      </c>
      <c r="B298" s="406">
        <f>'2025'!Wh/'2025'!Env_an*'2026'!Env_an</f>
        <v>24.595446523463217</v>
      </c>
      <c r="C298" s="832"/>
      <c r="D298" s="388">
        <f t="shared" si="102"/>
        <v>25.203502026159022</v>
      </c>
      <c r="E298" s="380">
        <f t="shared" si="125"/>
        <v>26.030733429670622</v>
      </c>
      <c r="F298" s="380">
        <f t="shared" si="103"/>
        <v>26.039250690159644</v>
      </c>
      <c r="G298" s="110">
        <f t="shared" si="126"/>
        <v>0.70219393423898657</v>
      </c>
      <c r="H298" s="409" t="b">
        <f>Wh_hp&gt;='2025'!Maxi_hp</f>
        <v>0</v>
      </c>
      <c r="I298" s="375">
        <f>IF(H298,Wh_hp,'2025'!Maxi_hp)</f>
        <v>26.044587044663935</v>
      </c>
      <c r="J298" s="85">
        <f>IF(H298,An,'2025'!An_max)</f>
        <v>2022</v>
      </c>
      <c r="K298" s="193">
        <f t="shared" si="104"/>
        <v>46306</v>
      </c>
      <c r="L298" s="143">
        <f>IF(t&lt;Tvie,1-EXP((T0-t)*PertePVj)+'2025'!Pspv,1-EXP((T0-t)*PertePVj)+Pspv)</f>
        <v>2.4125833864861224E-2</v>
      </c>
      <c r="M298" s="836"/>
      <c r="N298" s="836"/>
      <c r="O298" s="48">
        <f>IF(t&lt;Tnet,'2025'!Resal+('2025'!Salim-'2025'!Resal)*(1-EXP(('2025'!Tnet-t)/('2025'!Tau_j))),Resal+(Salim-Resal)*(1-EXP((Tnet-t)/(Tau_j))))*Salcycl</f>
        <v>3.1779027884350552E-2</v>
      </c>
      <c r="P298" s="334">
        <f>(INDEX(Models!$BJ298:$BT298,,T298)*(1-R298)+INDEX(Models!$BJ298:$BT298,,T298+1)*R298-ERP_i)*Q298*Ramure*Pc/MaxiM</f>
        <v>5.6905002126638197E-4</v>
      </c>
      <c r="Q298" s="301">
        <f t="shared" si="105"/>
        <v>0.5</v>
      </c>
      <c r="R298" s="173">
        <f t="shared" si="106"/>
        <v>0.49080753188199289</v>
      </c>
      <c r="S298" s="802">
        <f t="shared" si="107"/>
        <v>2</v>
      </c>
      <c r="T298" s="172">
        <f t="shared" si="108"/>
        <v>8</v>
      </c>
      <c r="U298" s="247">
        <f t="shared" si="109"/>
        <v>2.4908075318819929</v>
      </c>
      <c r="V298" s="378">
        <f t="shared" si="110"/>
        <v>35.018094489242934</v>
      </c>
      <c r="W298" s="397">
        <f t="shared" si="111"/>
        <v>24.595446523463217</v>
      </c>
      <c r="X298" s="153">
        <f t="shared" si="112"/>
        <v>46306</v>
      </c>
      <c r="Y298" s="380">
        <f t="shared" si="113"/>
        <v>23.962402194270179</v>
      </c>
      <c r="Z298" s="380">
        <f t="shared" si="114"/>
        <v>24.554807398141403</v>
      </c>
      <c r="AA298" s="381">
        <f t="shared" si="115"/>
        <v>26.030733429670622</v>
      </c>
      <c r="AB298" s="193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5.6699364061978987E-2</v>
      </c>
      <c r="AD298" s="227">
        <f>(INDEX(Models!$BJ298:$BT298,,AH298)*(1-AF298)+INDEX(Models!$BJ298:$BT298,,AH298+1)*AF298-ERP_i)*AE298*Ramure*Pc/MaxiM</f>
        <v>5.6905002126638197E-4</v>
      </c>
      <c r="AE298" s="301">
        <f t="shared" si="117"/>
        <v>0.5</v>
      </c>
      <c r="AF298" s="173">
        <f t="shared" si="118"/>
        <v>0.49080753188199289</v>
      </c>
      <c r="AG298" s="802">
        <f t="shared" si="124"/>
        <v>2</v>
      </c>
      <c r="AH298" s="172">
        <f t="shared" si="119"/>
        <v>8</v>
      </c>
      <c r="AI298" s="221">
        <f t="shared" si="120"/>
        <v>2.4908075318819929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46307</v>
      </c>
      <c r="B299" s="406">
        <f>'2025'!Wh/'2025'!Env_an*'2026'!Env_an</f>
        <v>24.501032133764014</v>
      </c>
      <c r="C299" s="832"/>
      <c r="D299" s="388">
        <f t="shared" si="102"/>
        <v>25.107097192608069</v>
      </c>
      <c r="E299" s="380">
        <f t="shared" si="125"/>
        <v>25.93197138603157</v>
      </c>
      <c r="F299" s="380">
        <f t="shared" si="103"/>
        <v>25.941111567530914</v>
      </c>
      <c r="G299" s="110">
        <f t="shared" si="126"/>
        <v>0.70732225836471974</v>
      </c>
      <c r="H299" s="409" t="b">
        <f>Wh_hp&gt;='2025'!Maxi_hp</f>
        <v>0</v>
      </c>
      <c r="I299" s="375">
        <f>IF(H299,Wh_hp,'2025'!Maxi_hp)</f>
        <v>25.946681721732432</v>
      </c>
      <c r="J299" s="85">
        <f>IF(H299,An,'2025'!An_max)</f>
        <v>2022</v>
      </c>
      <c r="K299" s="193">
        <f t="shared" si="104"/>
        <v>46307</v>
      </c>
      <c r="L299" s="143">
        <f>IF(t&lt;Tvie,1-EXP((T0-t)*PertePVj)+'2025'!Pspv,1-EXP((T0-t)*PertePVj)+Pspv)</f>
        <v>2.4139192762693829E-2</v>
      </c>
      <c r="M299" s="836"/>
      <c r="N299" s="836"/>
      <c r="O299" s="48">
        <f>IF(t&lt;Tnet,'2025'!Resal+('2025'!Salim-'2025'!Resal)*(1-EXP(('2025'!Tnet-t)/('2025'!Tau_j))),Resal+(Salim-Resal)*(1-EXP((Tnet-t)/(Tau_j))))*Salcycl</f>
        <v>3.180915870776517E-2</v>
      </c>
      <c r="P299" s="334">
        <f>(INDEX(Models!$BJ299:$BT299,,T299)*(1-R299)+INDEX(Models!$BJ299:$BT299,,T299+1)*R299-ERP_i)*Q299*Ramure*Pc/MaxiM</f>
        <v>6.052507399982351E-4</v>
      </c>
      <c r="Q299" s="301">
        <f t="shared" si="105"/>
        <v>0.5</v>
      </c>
      <c r="R299" s="173">
        <f t="shared" si="106"/>
        <v>0.49093457221689452</v>
      </c>
      <c r="S299" s="802">
        <f t="shared" si="107"/>
        <v>2</v>
      </c>
      <c r="T299" s="172">
        <f t="shared" si="108"/>
        <v>8</v>
      </c>
      <c r="U299" s="247">
        <f t="shared" si="109"/>
        <v>2.4909345722168945</v>
      </c>
      <c r="V299" s="378">
        <f t="shared" si="110"/>
        <v>34.630372748914013</v>
      </c>
      <c r="W299" s="397">
        <f t="shared" si="111"/>
        <v>24.501032133764014</v>
      </c>
      <c r="X299" s="153">
        <f t="shared" si="112"/>
        <v>46307</v>
      </c>
      <c r="Y299" s="380">
        <f t="shared" si="113"/>
        <v>23.871302029171311</v>
      </c>
      <c r="Z299" s="380">
        <f t="shared" si="114"/>
        <v>24.46178989066253</v>
      </c>
      <c r="AA299" s="381">
        <f t="shared" si="115"/>
        <v>25.93197138603157</v>
      </c>
      <c r="AB299" s="193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5.6693780564672572E-2</v>
      </c>
      <c r="AD299" s="227">
        <f>(INDEX(Models!$BJ299:$BT299,,AH299)*(1-AF299)+INDEX(Models!$BJ299:$BT299,,AH299+1)*AF299-ERP_i)*AE299*Ramure*Pc/MaxiM</f>
        <v>6.052507399982351E-4</v>
      </c>
      <c r="AE299" s="301">
        <f t="shared" si="117"/>
        <v>0.5</v>
      </c>
      <c r="AF299" s="173">
        <f t="shared" si="118"/>
        <v>0.49093457221689452</v>
      </c>
      <c r="AG299" s="802">
        <f t="shared" si="124"/>
        <v>2</v>
      </c>
      <c r="AH299" s="172">
        <f t="shared" si="119"/>
        <v>8</v>
      </c>
      <c r="AI299" s="221">
        <f t="shared" si="120"/>
        <v>2.4909345722168945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46308</v>
      </c>
      <c r="B300" s="406">
        <f>'2025'!Wh/'2025'!Env_an*'2026'!Env_an</f>
        <v>22.193200716106663</v>
      </c>
      <c r="C300" s="832"/>
      <c r="D300" s="388">
        <f t="shared" si="102"/>
        <v>22.74248987350656</v>
      </c>
      <c r="E300" s="380">
        <f t="shared" si="125"/>
        <v>23.490394922676114</v>
      </c>
      <c r="F300" s="380">
        <f t="shared" si="103"/>
        <v>23.497893746682752</v>
      </c>
      <c r="G300" s="110">
        <f t="shared" si="126"/>
        <v>0.64787400428281561</v>
      </c>
      <c r="H300" s="409" t="b">
        <f>Wh_hp&gt;='2025'!Maxi_hp</f>
        <v>0</v>
      </c>
      <c r="I300" s="375">
        <f>IF(H300,Wh_hp,'2025'!Maxi_hp)</f>
        <v>23.504348128002412</v>
      </c>
      <c r="J300" s="85">
        <f>IF(H300,An,'2025'!An_max)</f>
        <v>2022</v>
      </c>
      <c r="K300" s="193">
        <f t="shared" si="104"/>
        <v>46308</v>
      </c>
      <c r="L300" s="143">
        <f>IF(t&lt;Tvie,1-EXP((T0-t)*PertePVj)+'2025'!Pspv,1-EXP((T0-t)*PertePVj)+Pspv)</f>
        <v>2.4152551477654272E-2</v>
      </c>
      <c r="M300" s="836"/>
      <c r="N300" s="836"/>
      <c r="O300" s="48">
        <f>IF(t&lt;Tnet,'2025'!Resal+('2025'!Salim-'2025'!Resal)*(1-EXP(('2025'!Tnet-t)/('2025'!Tau_j))),Resal+(Salim-Resal)*(1-EXP((Tnet-t)/(Tau_j))))*Salcycl</f>
        <v>3.1838760124359378E-2</v>
      </c>
      <c r="P300" s="334">
        <f>(INDEX(Models!$BJ300:$BT300,,T300)*(1-R300)+INDEX(Models!$BJ300:$BT300,,T300+1)*R300-ERP_i)*Q300*Ramure*Pc/MaxiM</f>
        <v>6.4176974597076524E-4</v>
      </c>
      <c r="Q300" s="301">
        <f t="shared" si="105"/>
        <v>0.5</v>
      </c>
      <c r="R300" s="173">
        <f t="shared" si="106"/>
        <v>0.49105655854648855</v>
      </c>
      <c r="S300" s="802">
        <f t="shared" si="107"/>
        <v>2</v>
      </c>
      <c r="T300" s="172">
        <f t="shared" si="108"/>
        <v>8</v>
      </c>
      <c r="U300" s="247">
        <f t="shared" si="109"/>
        <v>2.4910565585464886</v>
      </c>
      <c r="V300" s="378">
        <f t="shared" si="110"/>
        <v>34.244371312035916</v>
      </c>
      <c r="W300" s="397">
        <f t="shared" si="111"/>
        <v>22.193200716106663</v>
      </c>
      <c r="X300" s="153">
        <f t="shared" si="112"/>
        <v>46308</v>
      </c>
      <c r="Y300" s="380">
        <f t="shared" si="113"/>
        <v>21.623594986614588</v>
      </c>
      <c r="Z300" s="380">
        <f t="shared" si="114"/>
        <v>22.158786211264488</v>
      </c>
      <c r="AA300" s="381">
        <f t="shared" si="115"/>
        <v>23.490394922676114</v>
      </c>
      <c r="AB300" s="193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5.6687370127020464E-2</v>
      </c>
      <c r="AD300" s="227">
        <f>(INDEX(Models!$BJ300:$BT300,,AH300)*(1-AF300)+INDEX(Models!$BJ300:$BT300,,AH300+1)*AF300-ERP_i)*AE300*Ramure*Pc/MaxiM</f>
        <v>6.4176974597076524E-4</v>
      </c>
      <c r="AE300" s="301">
        <f t="shared" si="117"/>
        <v>0.5</v>
      </c>
      <c r="AF300" s="173">
        <f t="shared" si="118"/>
        <v>0.49105655854648855</v>
      </c>
      <c r="AG300" s="802">
        <f t="shared" si="124"/>
        <v>2</v>
      </c>
      <c r="AH300" s="172">
        <f t="shared" si="119"/>
        <v>8</v>
      </c>
      <c r="AI300" s="221">
        <f t="shared" si="120"/>
        <v>2.4910565585464886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46309</v>
      </c>
      <c r="B301" s="406">
        <f>'2025'!Wh/'2025'!Env_an*'2026'!Env_an</f>
        <v>14.916986604911688</v>
      </c>
      <c r="C301" s="832"/>
      <c r="D301" s="388">
        <f t="shared" si="102"/>
        <v>15.286396281831738</v>
      </c>
      <c r="E301" s="380">
        <f t="shared" si="125"/>
        <v>15.789575920276384</v>
      </c>
      <c r="F301" s="380">
        <f t="shared" si="103"/>
        <v>15.791727457195144</v>
      </c>
      <c r="G301" s="110">
        <f t="shared" si="126"/>
        <v>0.44030343037847341</v>
      </c>
      <c r="H301" s="409" t="b">
        <f>Wh_hp&gt;='2025'!Maxi_hp</f>
        <v>0</v>
      </c>
      <c r="I301" s="375">
        <f>IF(H301,Wh_hp,'2025'!Maxi_hp)</f>
        <v>15.799040866811126</v>
      </c>
      <c r="J301" s="85">
        <f>IF(H301,An,'2025'!An_max)</f>
        <v>2022</v>
      </c>
      <c r="K301" s="193">
        <f t="shared" si="104"/>
        <v>46309</v>
      </c>
      <c r="L301" s="143">
        <f>IF(t&lt;Tvie,1-EXP((T0-t)*PertePVj)+'2025'!Pspv,1-EXP((T0-t)*PertePVj)+Pspv)</f>
        <v>2.4165910009745217E-2</v>
      </c>
      <c r="M301" s="836"/>
      <c r="N301" s="836"/>
      <c r="O301" s="48">
        <f>IF(t&lt;Tnet,'2025'!Resal+('2025'!Salim-'2025'!Resal)*(1-EXP(('2025'!Tnet-t)/('2025'!Tau_j))),Resal+(Salim-Resal)*(1-EXP((Tnet-t)/(Tau_j))))*Salcycl</f>
        <v>3.1867837425480237E-2</v>
      </c>
      <c r="P301" s="334">
        <f>(INDEX(Models!$BJ301:$BT301,,T301)*(1-R301)+INDEX(Models!$BJ301:$BT301,,T301+1)*R301-ERP_i)*Q301*Ramure*Pc/MaxiM</f>
        <v>6.7859376593548638E-4</v>
      </c>
      <c r="Q301" s="301">
        <f t="shared" si="105"/>
        <v>0.5</v>
      </c>
      <c r="R301" s="173">
        <f t="shared" si="106"/>
        <v>0.49117368958726937</v>
      </c>
      <c r="S301" s="802">
        <f t="shared" si="107"/>
        <v>2</v>
      </c>
      <c r="T301" s="172">
        <f t="shared" si="108"/>
        <v>8</v>
      </c>
      <c r="U301" s="247">
        <f t="shared" si="109"/>
        <v>2.4911736895872694</v>
      </c>
      <c r="V301" s="378">
        <f t="shared" si="110"/>
        <v>33.860502230973154</v>
      </c>
      <c r="W301" s="397">
        <f t="shared" si="111"/>
        <v>14.916986604911688</v>
      </c>
      <c r="X301" s="153">
        <f t="shared" si="112"/>
        <v>46309</v>
      </c>
      <c r="Y301" s="380">
        <f t="shared" si="113"/>
        <v>14.534678418092932</v>
      </c>
      <c r="Z301" s="380">
        <f t="shared" si="114"/>
        <v>14.894620476148853</v>
      </c>
      <c r="AA301" s="381">
        <f t="shared" si="115"/>
        <v>15.789575920276384</v>
      </c>
      <c r="AB301" s="193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5.6680144460261317E-2</v>
      </c>
      <c r="AD301" s="227">
        <f>(INDEX(Models!$BJ301:$BT301,,AH301)*(1-AF301)+INDEX(Models!$BJ301:$BT301,,AH301+1)*AF301-ERP_i)*AE301*Ramure*Pc/MaxiM</f>
        <v>6.7859376593548638E-4</v>
      </c>
      <c r="AE301" s="301">
        <f t="shared" si="117"/>
        <v>0.5</v>
      </c>
      <c r="AF301" s="173">
        <f t="shared" si="118"/>
        <v>0.49117368958726937</v>
      </c>
      <c r="AG301" s="802">
        <f t="shared" si="124"/>
        <v>2</v>
      </c>
      <c r="AH301" s="172">
        <f t="shared" si="119"/>
        <v>8</v>
      </c>
      <c r="AI301" s="221">
        <f t="shared" si="120"/>
        <v>2.4911736895872694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46310</v>
      </c>
      <c r="B302" s="406">
        <f>'2025'!Wh/'2025'!Env_an*'2026'!Env_an</f>
        <v>33.247425589850195</v>
      </c>
      <c r="C302" s="832"/>
      <c r="D302" s="388">
        <f t="shared" si="102"/>
        <v>34.071243325542213</v>
      </c>
      <c r="E302" s="380">
        <f t="shared" si="125"/>
        <v>35.193798720732723</v>
      </c>
      <c r="F302" s="380">
        <f t="shared" si="103"/>
        <v>35.218755783374583</v>
      </c>
      <c r="G302" s="110">
        <f t="shared" si="126"/>
        <v>0.99307069840034345</v>
      </c>
      <c r="H302" s="409" t="b">
        <f>Wh_hp&gt;='2025'!Maxi_hp</f>
        <v>0</v>
      </c>
      <c r="I302" s="375">
        <f>IF(H302,Wh_hp,'2025'!Maxi_hp)</f>
        <v>35.21896935140299</v>
      </c>
      <c r="J302" s="85">
        <f>IF(H302,An,'2025'!An_max)</f>
        <v>2022</v>
      </c>
      <c r="K302" s="193">
        <f t="shared" si="104"/>
        <v>46310</v>
      </c>
      <c r="L302" s="143">
        <f>IF(t&lt;Tvie,1-EXP((T0-t)*PertePVj)+'2025'!Pspv,1-EXP((T0-t)*PertePVj)+Pspv)</f>
        <v>2.4179268358969108E-2</v>
      </c>
      <c r="M302" s="836"/>
      <c r="N302" s="836"/>
      <c r="O302" s="48">
        <f>IF(t&lt;Tnet,'2025'!Resal+('2025'!Salim-'2025'!Resal)*(1-EXP(('2025'!Tnet-t)/('2025'!Tau_j))),Resal+(Salim-Resal)*(1-EXP((Tnet-t)/(Tau_j))))*Salcycl</f>
        <v>3.1896397547139708E-2</v>
      </c>
      <c r="P302" s="334">
        <f>(INDEX(Models!$BJ302:$BT302,,T302)*(1-R302)+INDEX(Models!$BJ302:$BT302,,T302+1)*R302-ERP_i)*Q302*Ramure*Pc/MaxiM</f>
        <v>7.1570747732400291E-4</v>
      </c>
      <c r="Q302" s="301">
        <f t="shared" si="105"/>
        <v>0.5</v>
      </c>
      <c r="R302" s="173">
        <f t="shared" si="106"/>
        <v>0.49128615642663531</v>
      </c>
      <c r="S302" s="802">
        <f t="shared" si="107"/>
        <v>2</v>
      </c>
      <c r="T302" s="172">
        <f t="shared" si="108"/>
        <v>8</v>
      </c>
      <c r="U302" s="247">
        <f t="shared" si="109"/>
        <v>2.4912861564266353</v>
      </c>
      <c r="V302" s="378">
        <f t="shared" si="110"/>
        <v>33.479177428764551</v>
      </c>
      <c r="W302" s="397">
        <f t="shared" si="111"/>
        <v>33.247425589850195</v>
      </c>
      <c r="X302" s="153">
        <f t="shared" si="112"/>
        <v>46310</v>
      </c>
      <c r="Y302" s="380">
        <f t="shared" si="113"/>
        <v>32.396557020830627</v>
      </c>
      <c r="Z302" s="380">
        <f t="shared" si="114"/>
        <v>33.199291601798173</v>
      </c>
      <c r="AA302" s="381">
        <f t="shared" si="115"/>
        <v>35.193798720732723</v>
      </c>
      <c r="AB302" s="193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5.6672118141074118E-2</v>
      </c>
      <c r="AD302" s="227">
        <f>(INDEX(Models!$BJ302:$BT302,,AH302)*(1-AF302)+INDEX(Models!$BJ302:$BT302,,AH302+1)*AF302-ERP_i)*AE302*Ramure*Pc/MaxiM</f>
        <v>7.1570747732400291E-4</v>
      </c>
      <c r="AE302" s="301">
        <f t="shared" si="117"/>
        <v>0.5</v>
      </c>
      <c r="AF302" s="173">
        <f t="shared" si="118"/>
        <v>0.49128615642663531</v>
      </c>
      <c r="AG302" s="802">
        <f t="shared" si="124"/>
        <v>2</v>
      </c>
      <c r="AH302" s="172">
        <f t="shared" si="119"/>
        <v>8</v>
      </c>
      <c r="AI302" s="221">
        <f t="shared" si="120"/>
        <v>2.4912861564266353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46311</v>
      </c>
      <c r="B303" s="406">
        <f>'2025'!Wh/'2025'!Env_an*'2026'!Env_an</f>
        <v>29.145827813049987</v>
      </c>
      <c r="C303" s="832"/>
      <c r="D303" s="388">
        <f t="shared" si="102"/>
        <v>29.868423425892981</v>
      </c>
      <c r="E303" s="380">
        <f t="shared" si="125"/>
        <v>30.853401264321423</v>
      </c>
      <c r="F303" s="380">
        <f t="shared" si="103"/>
        <v>30.87268523445433</v>
      </c>
      <c r="G303" s="110">
        <f t="shared" si="126"/>
        <v>0.88044915379412503</v>
      </c>
      <c r="H303" s="409" t="b">
        <f>Wh_hp&gt;='2025'!Maxi_hp</f>
        <v>0</v>
      </c>
      <c r="I303" s="375">
        <f>IF(H303,Wh_hp,'2025'!Maxi_hp)</f>
        <v>30.876096250256072</v>
      </c>
      <c r="J303" s="85">
        <f>IF(H303,An,'2025'!An_max)</f>
        <v>2022</v>
      </c>
      <c r="K303" s="193">
        <f t="shared" si="104"/>
        <v>46311</v>
      </c>
      <c r="L303" s="143">
        <f>IF(t&lt;Tvie,1-EXP((T0-t)*PertePVj)+'2025'!Pspv,1-EXP((T0-t)*PertePVj)+Pspv)</f>
        <v>2.4192626525328276E-2</v>
      </c>
      <c r="M303" s="836"/>
      <c r="N303" s="836"/>
      <c r="O303" s="48">
        <f>IF(t&lt;Tnet,'2025'!Resal+('2025'!Salim-'2025'!Resal)*(1-EXP(('2025'!Tnet-t)/('2025'!Tau_j))),Resal+(Salim-Resal)*(1-EXP((Tnet-t)/(Tau_j))))*Salcycl</f>
        <v>3.1924449106603386E-2</v>
      </c>
      <c r="P303" s="334">
        <f>(INDEX(Models!$BJ303:$BT303,,T303)*(1-R303)+INDEX(Models!$BJ303:$BT303,,T303+1)*R303-ERP_i)*Q303*Ramure*Pc/MaxiM</f>
        <v>7.5313216314745073E-4</v>
      </c>
      <c r="Q303" s="301">
        <f t="shared" si="105"/>
        <v>0.5</v>
      </c>
      <c r="R303" s="173">
        <f t="shared" si="106"/>
        <v>0.49139414280126825</v>
      </c>
      <c r="S303" s="802">
        <f t="shared" si="107"/>
        <v>2</v>
      </c>
      <c r="T303" s="172">
        <f t="shared" si="108"/>
        <v>8</v>
      </c>
      <c r="U303" s="247">
        <f t="shared" si="109"/>
        <v>2.4913941428012683</v>
      </c>
      <c r="V303" s="378">
        <f t="shared" si="110"/>
        <v>33.09910630428439</v>
      </c>
      <c r="W303" s="397">
        <f t="shared" si="111"/>
        <v>29.145827813049987</v>
      </c>
      <c r="X303" s="153">
        <f t="shared" si="112"/>
        <v>46311</v>
      </c>
      <c r="Y303" s="380">
        <f t="shared" si="113"/>
        <v>28.401015551004964</v>
      </c>
      <c r="Z303" s="380">
        <f t="shared" si="114"/>
        <v>29.105145465210146</v>
      </c>
      <c r="AA303" s="381">
        <f t="shared" si="115"/>
        <v>30.853401264321423</v>
      </c>
      <c r="AB303" s="193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5.666330866195108E-2</v>
      </c>
      <c r="AD303" s="227">
        <f>(INDEX(Models!$BJ303:$BT303,,AH303)*(1-AF303)+INDEX(Models!$BJ303:$BT303,,AH303+1)*AF303-ERP_i)*AE303*Ramure*Pc/MaxiM</f>
        <v>7.5313216314745073E-4</v>
      </c>
      <c r="AE303" s="301">
        <f t="shared" si="117"/>
        <v>0.5</v>
      </c>
      <c r="AF303" s="173">
        <f t="shared" si="118"/>
        <v>0.49139414280126825</v>
      </c>
      <c r="AG303" s="802">
        <f t="shared" si="124"/>
        <v>2</v>
      </c>
      <c r="AH303" s="172">
        <f t="shared" si="119"/>
        <v>8</v>
      </c>
      <c r="AI303" s="221">
        <f t="shared" si="120"/>
        <v>2.4913941428012683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46312</v>
      </c>
      <c r="B304" s="406">
        <f>'2025'!Wh/'2025'!Env_an*'2026'!Env_an</f>
        <v>16.42551718134245</v>
      </c>
      <c r="C304" s="832"/>
      <c r="D304" s="388">
        <f t="shared" si="102"/>
        <v>16.83297593608885</v>
      </c>
      <c r="E304" s="380">
        <f t="shared" si="125"/>
        <v>17.388575750725071</v>
      </c>
      <c r="F304" s="380">
        <f t="shared" si="103"/>
        <v>17.392676187824382</v>
      </c>
      <c r="G304" s="110">
        <f t="shared" si="126"/>
        <v>0.50174002403395301</v>
      </c>
      <c r="H304" s="409" t="b">
        <f>Wh_hp&gt;='2025'!Maxi_hp</f>
        <v>0</v>
      </c>
      <c r="I304" s="375">
        <f>IF(H304,Wh_hp,'2025'!Maxi_hp)</f>
        <v>17.401400956915101</v>
      </c>
      <c r="J304" s="85">
        <f>IF(H304,An,'2025'!An_max)</f>
        <v>2022</v>
      </c>
      <c r="K304" s="193">
        <f t="shared" si="104"/>
        <v>46312</v>
      </c>
      <c r="L304" s="143">
        <f>IF(t&lt;Tvie,1-EXP((T0-t)*PertePVj)+'2025'!Pspv,1-EXP((T0-t)*PertePVj)+Pspv)</f>
        <v>2.4205984508825495E-2</v>
      </c>
      <c r="M304" s="836"/>
      <c r="N304" s="836"/>
      <c r="O304" s="48">
        <f>IF(t&lt;Tnet,'2025'!Resal+('2025'!Salim-'2025'!Resal)*(1-EXP(('2025'!Tnet-t)/('2025'!Tau_j))),Resal+(Salim-Resal)*(1-EXP((Tnet-t)/(Tau_j))))*Salcycl</f>
        <v>3.1952002429701719E-2</v>
      </c>
      <c r="P304" s="334">
        <f>(INDEX(Models!$BJ304:$BT304,,T304)*(1-R304)+INDEX(Models!$BJ304:$BT304,,T304+1)*R304-ERP_i)*Q304*Ramure*Pc/MaxiM</f>
        <v>8.1684942315665568E-4</v>
      </c>
      <c r="Q304" s="301">
        <f t="shared" si="105"/>
        <v>0.5</v>
      </c>
      <c r="R304" s="173">
        <f t="shared" si="106"/>
        <v>0.49149782536651321</v>
      </c>
      <c r="S304" s="802">
        <f t="shared" si="107"/>
        <v>2</v>
      </c>
      <c r="T304" s="172">
        <f t="shared" si="108"/>
        <v>8</v>
      </c>
      <c r="U304" s="247">
        <f t="shared" si="109"/>
        <v>2.4914978253665132</v>
      </c>
      <c r="V304" s="378">
        <f t="shared" si="110"/>
        <v>32.718079868132023</v>
      </c>
      <c r="W304" s="397">
        <f t="shared" si="111"/>
        <v>16.42551718134245</v>
      </c>
      <c r="X304" s="153">
        <f t="shared" si="112"/>
        <v>46312</v>
      </c>
      <c r="Y304" s="380">
        <f t="shared" si="113"/>
        <v>16.006386355368711</v>
      </c>
      <c r="Z304" s="380">
        <f t="shared" si="114"/>
        <v>16.403447962643792</v>
      </c>
      <c r="AA304" s="381">
        <f t="shared" si="115"/>
        <v>17.388575750725071</v>
      </c>
      <c r="AB304" s="193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5.6653736464885626E-2</v>
      </c>
      <c r="AD304" s="227">
        <f>(INDEX(Models!$BJ304:$BT304,,AH304)*(1-AF304)+INDEX(Models!$BJ304:$BT304,,AH304+1)*AF304-ERP_i)*AE304*Ramure*Pc/MaxiM</f>
        <v>8.1684942315665568E-4</v>
      </c>
      <c r="AE304" s="301">
        <f t="shared" si="117"/>
        <v>0.5</v>
      </c>
      <c r="AF304" s="173">
        <f t="shared" si="118"/>
        <v>0.49149782536651321</v>
      </c>
      <c r="AG304" s="802">
        <f t="shared" si="124"/>
        <v>2</v>
      </c>
      <c r="AH304" s="172">
        <f t="shared" si="119"/>
        <v>8</v>
      </c>
      <c r="AI304" s="221">
        <f t="shared" si="120"/>
        <v>2.4914978253665132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46313</v>
      </c>
      <c r="B305" s="406">
        <f>'2025'!Wh/'2025'!Env_an*'2026'!Env_an</f>
        <v>29.300600076530376</v>
      </c>
      <c r="C305" s="832"/>
      <c r="D305" s="388">
        <f t="shared" si="102"/>
        <v>30.027854974988539</v>
      </c>
      <c r="E305" s="380">
        <f t="shared" si="125"/>
        <v>31.019840616048654</v>
      </c>
      <c r="F305" s="380">
        <f t="shared" si="103"/>
        <v>31.044273103631774</v>
      </c>
      <c r="G305" s="110">
        <f t="shared" si="126"/>
        <v>0.90600849424583707</v>
      </c>
      <c r="H305" s="409" t="b">
        <f>Wh_hp&gt;='2025'!Maxi_hp</f>
        <v>0</v>
      </c>
      <c r="I305" s="375">
        <f>IF(H305,Wh_hp,'2025'!Maxi_hp)</f>
        <v>31.04755390716814</v>
      </c>
      <c r="J305" s="85">
        <f>IF(H305,An,'2025'!An_max)</f>
        <v>2022</v>
      </c>
      <c r="K305" s="193">
        <f t="shared" si="104"/>
        <v>46313</v>
      </c>
      <c r="L305" s="143">
        <f>IF(t&lt;Tvie,1-EXP((T0-t)*PertePVj)+'2025'!Pspv,1-EXP((T0-t)*PertePVj)+Pspv)</f>
        <v>2.4219342309463099E-2</v>
      </c>
      <c r="M305" s="836"/>
      <c r="N305" s="836"/>
      <c r="O305" s="48">
        <f>IF(t&lt;Tnet,'2025'!Resal+('2025'!Salim-'2025'!Resal)*(1-EXP(('2025'!Tnet-t)/('2025'!Tau_j))),Resal+(Salim-Resal)*(1-EXP((Tnet-t)/(Tau_j))))*Salcycl</f>
        <v>3.1979069568361843E-2</v>
      </c>
      <c r="P305" s="334">
        <f>(INDEX(Models!$BJ305:$BT305,,T305)*(1-R305)+INDEX(Models!$BJ305:$BT305,,T305+1)*R305-ERP_i)*Q305*Ramure*Pc/MaxiM</f>
        <v>9.0892135308373156E-4</v>
      </c>
      <c r="Q305" s="301">
        <f t="shared" si="105"/>
        <v>0.5</v>
      </c>
      <c r="R305" s="173">
        <f t="shared" si="106"/>
        <v>0.49159737395695391</v>
      </c>
      <c r="S305" s="802">
        <f t="shared" si="107"/>
        <v>2</v>
      </c>
      <c r="T305" s="172">
        <f t="shared" si="108"/>
        <v>8</v>
      </c>
      <c r="U305" s="247">
        <f t="shared" si="109"/>
        <v>2.4915973739569539</v>
      </c>
      <c r="V305" s="378">
        <f t="shared" si="110"/>
        <v>32.336369569347553</v>
      </c>
      <c r="W305" s="397">
        <f t="shared" si="111"/>
        <v>29.300600076530376</v>
      </c>
      <c r="X305" s="153">
        <f t="shared" si="112"/>
        <v>46313</v>
      </c>
      <c r="Y305" s="380">
        <f t="shared" si="113"/>
        <v>28.554045543785428</v>
      </c>
      <c r="Z305" s="380">
        <f t="shared" si="114"/>
        <v>29.262770601916539</v>
      </c>
      <c r="AA305" s="381">
        <f t="shared" si="115"/>
        <v>31.019840616048654</v>
      </c>
      <c r="AB305" s="193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5.6643424957608123E-2</v>
      </c>
      <c r="AD305" s="227">
        <f>(INDEX(Models!$BJ305:$BT305,,AH305)*(1-AF305)+INDEX(Models!$BJ305:$BT305,,AH305+1)*AF305-ERP_i)*AE305*Ramure*Pc/MaxiM</f>
        <v>9.0892135308373156E-4</v>
      </c>
      <c r="AE305" s="301">
        <f t="shared" si="117"/>
        <v>0.5</v>
      </c>
      <c r="AF305" s="173">
        <f t="shared" si="118"/>
        <v>0.49159737395695391</v>
      </c>
      <c r="AG305" s="802">
        <f t="shared" si="124"/>
        <v>2</v>
      </c>
      <c r="AH305" s="172">
        <f t="shared" si="119"/>
        <v>8</v>
      </c>
      <c r="AI305" s="221">
        <f t="shared" si="120"/>
        <v>2.4915973739569539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46314</v>
      </c>
      <c r="B306" s="406">
        <f>'2025'!Wh/'2025'!Env_an*'2026'!Env_an</f>
        <v>16.366712461506506</v>
      </c>
      <c r="C306" s="832"/>
      <c r="D306" s="388">
        <f t="shared" si="102"/>
        <v>16.773171698094565</v>
      </c>
      <c r="E306" s="380">
        <f t="shared" si="125"/>
        <v>17.327758107285341</v>
      </c>
      <c r="F306" s="380">
        <f t="shared" si="103"/>
        <v>17.333169255021037</v>
      </c>
      <c r="G306" s="110">
        <f t="shared" si="126"/>
        <v>0.51182354614525438</v>
      </c>
      <c r="H306" s="409" t="b">
        <f>Wh_hp&gt;='2025'!Maxi_hp</f>
        <v>0</v>
      </c>
      <c r="I306" s="375">
        <f>IF(H306,Wh_hp,'2025'!Maxi_hp)</f>
        <v>17.343995779122771</v>
      </c>
      <c r="J306" s="85">
        <f>IF(H306,An,'2025'!An_max)</f>
        <v>2022</v>
      </c>
      <c r="K306" s="193">
        <f t="shared" si="104"/>
        <v>46314</v>
      </c>
      <c r="L306" s="143">
        <f>IF(t&lt;Tvie,1-EXP((T0-t)*PertePVj)+'2025'!Pspv,1-EXP((T0-t)*PertePVj)+Pspv)</f>
        <v>2.4232699927243528E-2</v>
      </c>
      <c r="M306" s="836"/>
      <c r="N306" s="836"/>
      <c r="O306" s="48">
        <f>IF(t&lt;Tnet,'2025'!Resal+('2025'!Salim-'2025'!Resal)*(1-EXP(('2025'!Tnet-t)/('2025'!Tau_j))),Resal+(Salim-Resal)*(1-EXP((Tnet-t)/(Tau_j))))*Salcycl</f>
        <v>3.200566430792931E-2</v>
      </c>
      <c r="P306" s="334">
        <f>(INDEX(Models!$BJ306:$BT306,,T306)*(1-R306)+INDEX(Models!$BJ306:$BT306,,T306+1)*R306-ERP_i)*Q306*Ramure*Pc/MaxiM</f>
        <v>1.0298689790709152E-3</v>
      </c>
      <c r="Q306" s="301">
        <f t="shared" si="105"/>
        <v>0.5</v>
      </c>
      <c r="R306" s="173">
        <f t="shared" si="106"/>
        <v>0.49169295183838369</v>
      </c>
      <c r="S306" s="802">
        <f t="shared" si="107"/>
        <v>2</v>
      </c>
      <c r="T306" s="172">
        <f t="shared" si="108"/>
        <v>8</v>
      </c>
      <c r="U306" s="247">
        <f t="shared" si="109"/>
        <v>2.4916929518383837</v>
      </c>
      <c r="V306" s="378">
        <f t="shared" si="110"/>
        <v>31.954299058675968</v>
      </c>
      <c r="W306" s="397">
        <f t="shared" si="111"/>
        <v>16.366712461506506</v>
      </c>
      <c r="X306" s="153">
        <f t="shared" si="112"/>
        <v>46314</v>
      </c>
      <c r="Y306" s="380">
        <f t="shared" si="113"/>
        <v>15.950327059803858</v>
      </c>
      <c r="Z306" s="380">
        <f t="shared" si="114"/>
        <v>16.346445570183125</v>
      </c>
      <c r="AA306" s="381">
        <f t="shared" si="115"/>
        <v>17.327758107285341</v>
      </c>
      <c r="AB306" s="193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5.6632400511733225E-2</v>
      </c>
      <c r="AD306" s="227">
        <f>(INDEX(Models!$BJ306:$BT306,,AH306)*(1-AF306)+INDEX(Models!$BJ306:$BT306,,AH306+1)*AF306-ERP_i)*AE306*Ramure*Pc/MaxiM</f>
        <v>1.0298689790709152E-3</v>
      </c>
      <c r="AE306" s="301">
        <f t="shared" si="117"/>
        <v>0.5</v>
      </c>
      <c r="AF306" s="173">
        <f t="shared" si="118"/>
        <v>0.49169295183838369</v>
      </c>
      <c r="AG306" s="802">
        <f t="shared" si="124"/>
        <v>2</v>
      </c>
      <c r="AH306" s="172">
        <f t="shared" si="119"/>
        <v>8</v>
      </c>
      <c r="AI306" s="221">
        <f t="shared" si="120"/>
        <v>2.4916929518383837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46315</v>
      </c>
      <c r="B307" s="406">
        <f>'2025'!Wh/'2025'!Env_an*'2026'!Env_an</f>
        <v>8.6091154180685994</v>
      </c>
      <c r="C307" s="832"/>
      <c r="D307" s="388">
        <f t="shared" si="102"/>
        <v>8.8230393359158938</v>
      </c>
      <c r="E307" s="380">
        <f t="shared" si="125"/>
        <v>9.1150095175028341</v>
      </c>
      <c r="F307" s="380">
        <f t="shared" si="103"/>
        <v>9.1150095175028341</v>
      </c>
      <c r="G307" s="110">
        <f t="shared" si="126"/>
        <v>0.27235849496035563</v>
      </c>
      <c r="H307" s="409" t="b">
        <f>Wh_hp&gt;='2025'!Maxi_hp</f>
        <v>0</v>
      </c>
      <c r="I307" s="375">
        <f>IF(H307,Wh_hp,'2025'!Maxi_hp)</f>
        <v>9.1244045846018054</v>
      </c>
      <c r="J307" s="85">
        <f>IF(H307,An,'2025'!An_max)</f>
        <v>2022</v>
      </c>
      <c r="K307" s="193">
        <f t="shared" si="104"/>
        <v>46315</v>
      </c>
      <c r="L307" s="143">
        <f>IF(t&lt;Tvie,1-EXP((T0-t)*PertePVj)+'2025'!Pspv,1-EXP((T0-t)*PertePVj)+Pspv)</f>
        <v>2.4246057362169449E-2</v>
      </c>
      <c r="M307" s="836"/>
      <c r="N307" s="836"/>
      <c r="O307" s="48">
        <f>IF(t&lt;Tnet,'2025'!Resal+('2025'!Salim-'2025'!Resal)*(1-EXP(('2025'!Tnet-t)/('2025'!Tau_j))),Resal+(Salim-Resal)*(1-EXP((Tnet-t)/(Tau_j))))*Salcycl</f>
        <v>3.2031802163924601E-2</v>
      </c>
      <c r="P307" s="334">
        <f>(INDEX(Models!$BJ307:$BT307,,T307)*(1-R307)+INDEX(Models!$BJ307:$BT307,,T307+1)*R307-ERP_i)*Q307*Ramure*Pc/MaxiM</f>
        <v>1.1802122779363369E-3</v>
      </c>
      <c r="Q307" s="301">
        <f t="shared" si="105"/>
        <v>0.5</v>
      </c>
      <c r="R307" s="173">
        <f t="shared" si="106"/>
        <v>0.49178471595137729</v>
      </c>
      <c r="S307" s="802">
        <f t="shared" si="107"/>
        <v>2</v>
      </c>
      <c r="T307" s="172">
        <f t="shared" si="108"/>
        <v>8</v>
      </c>
      <c r="U307" s="247">
        <f t="shared" si="109"/>
        <v>2.4917847159513773</v>
      </c>
      <c r="V307" s="378">
        <f t="shared" si="110"/>
        <v>31.572192509000619</v>
      </c>
      <c r="W307" s="397">
        <f t="shared" si="111"/>
        <v>8.6091154180685994</v>
      </c>
      <c r="X307" s="153">
        <f t="shared" si="112"/>
        <v>46315</v>
      </c>
      <c r="Y307" s="380">
        <f t="shared" si="113"/>
        <v>8.3904216687468995</v>
      </c>
      <c r="Z307" s="380">
        <f t="shared" si="114"/>
        <v>8.5989113670034776</v>
      </c>
      <c r="AA307" s="381">
        <f t="shared" si="115"/>
        <v>9.1150095175028341</v>
      </c>
      <c r="AB307" s="193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5.6620692442320993E-2</v>
      </c>
      <c r="AD307" s="227">
        <f>(INDEX(Models!$BJ307:$BT307,,AH307)*(1-AF307)+INDEX(Models!$BJ307:$BT307,,AH307+1)*AF307-ERP_i)*AE307*Ramure*Pc/MaxiM</f>
        <v>1.1802122779363369E-3</v>
      </c>
      <c r="AE307" s="301">
        <f t="shared" si="117"/>
        <v>0.5</v>
      </c>
      <c r="AF307" s="173">
        <f t="shared" si="118"/>
        <v>0.49178471595137729</v>
      </c>
      <c r="AG307" s="802">
        <f t="shared" si="124"/>
        <v>2</v>
      </c>
      <c r="AH307" s="172">
        <f t="shared" si="119"/>
        <v>8</v>
      </c>
      <c r="AI307" s="221">
        <f t="shared" si="120"/>
        <v>2.4917847159513773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46316</v>
      </c>
      <c r="B308" s="406">
        <f>'2025'!Wh/'2025'!Env_an*'2026'!Env_an</f>
        <v>16.643304142156673</v>
      </c>
      <c r="C308" s="832"/>
      <c r="D308" s="388">
        <f t="shared" si="102"/>
        <v>17.057099388334642</v>
      </c>
      <c r="E308" s="380">
        <f t="shared" si="125"/>
        <v>17.622017211579049</v>
      </c>
      <c r="F308" s="380">
        <f t="shared" si="103"/>
        <v>17.63002151143446</v>
      </c>
      <c r="G308" s="110">
        <f t="shared" si="126"/>
        <v>0.53311994935404627</v>
      </c>
      <c r="H308" s="409" t="b">
        <f>Wh_hp&gt;='2025'!Maxi_hp</f>
        <v>0</v>
      </c>
      <c r="I308" s="375">
        <f>IF(H308,Wh_hp,'2025'!Maxi_hp)</f>
        <v>17.644021025065648</v>
      </c>
      <c r="J308" s="85">
        <f>IF(H308,An,'2025'!An_max)</f>
        <v>2022</v>
      </c>
      <c r="K308" s="193">
        <f t="shared" si="104"/>
        <v>46316</v>
      </c>
      <c r="L308" s="143">
        <f>IF(t&lt;Tvie,1-EXP((T0-t)*PertePVj)+'2025'!Pspv,1-EXP((T0-t)*PertePVj)+Pspv)</f>
        <v>2.4259414614243413E-2</v>
      </c>
      <c r="M308" s="836"/>
      <c r="N308" s="836"/>
      <c r="O308" s="48">
        <f>IF(t&lt;Tnet,'2025'!Resal+('2025'!Salim-'2025'!Resal)*(1-EXP(('2025'!Tnet-t)/('2025'!Tau_j))),Resal+(Salim-Resal)*(1-EXP((Tnet-t)/(Tau_j))))*Salcycl</f>
        <v>3.2057500367960817E-2</v>
      </c>
      <c r="P308" s="334">
        <f>(INDEX(Models!$BJ308:$BT308,,T308)*(1-R308)+INDEX(Models!$BJ308:$BT308,,T308+1)*R308-ERP_i)*Q308*Ramure*Pc/MaxiM</f>
        <v>1.3604686552099892E-3</v>
      </c>
      <c r="Q308" s="301">
        <f t="shared" si="105"/>
        <v>0.5</v>
      </c>
      <c r="R308" s="173">
        <f t="shared" si="106"/>
        <v>0.49187281714666264</v>
      </c>
      <c r="S308" s="802">
        <f t="shared" si="107"/>
        <v>2</v>
      </c>
      <c r="T308" s="172">
        <f t="shared" si="108"/>
        <v>8</v>
      </c>
      <c r="U308" s="247">
        <f t="shared" si="109"/>
        <v>2.4918728171466626</v>
      </c>
      <c r="V308" s="378">
        <f t="shared" si="110"/>
        <v>31.190374569916081</v>
      </c>
      <c r="W308" s="397">
        <f t="shared" si="111"/>
        <v>16.643304142156673</v>
      </c>
      <c r="X308" s="153">
        <f t="shared" si="112"/>
        <v>46316</v>
      </c>
      <c r="Y308" s="380">
        <f t="shared" si="113"/>
        <v>16.221164424074981</v>
      </c>
      <c r="Z308" s="380">
        <f t="shared" si="114"/>
        <v>16.624464193689334</v>
      </c>
      <c r="AA308" s="381">
        <f t="shared" si="115"/>
        <v>17.622017211579049</v>
      </c>
      <c r="AB308" s="193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5.660833296850052E-2</v>
      </c>
      <c r="AD308" s="227">
        <f>(INDEX(Models!$BJ308:$BT308,,AH308)*(1-AF308)+INDEX(Models!$BJ308:$BT308,,AH308+1)*AF308-ERP_i)*AE308*Ramure*Pc/MaxiM</f>
        <v>1.3604686552099892E-3</v>
      </c>
      <c r="AE308" s="301">
        <f t="shared" si="117"/>
        <v>0.5</v>
      </c>
      <c r="AF308" s="173">
        <f t="shared" si="118"/>
        <v>0.49187281714666264</v>
      </c>
      <c r="AG308" s="802">
        <f t="shared" si="124"/>
        <v>2</v>
      </c>
      <c r="AH308" s="172">
        <f t="shared" si="119"/>
        <v>8</v>
      </c>
      <c r="AI308" s="221">
        <f t="shared" si="120"/>
        <v>2.4918728171466626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46317</v>
      </c>
      <c r="B309" s="406">
        <f>'2025'!Wh/'2025'!Env_an*'2026'!Env_an</f>
        <v>28.525933342925551</v>
      </c>
      <c r="C309" s="832"/>
      <c r="D309" s="388">
        <f t="shared" si="102"/>
        <v>29.235561451065244</v>
      </c>
      <c r="E309" s="380">
        <f t="shared" si="125"/>
        <v>30.204609218444133</v>
      </c>
      <c r="F309" s="380">
        <f t="shared" si="103"/>
        <v>30.247100757177982</v>
      </c>
      <c r="G309" s="110">
        <f t="shared" si="126"/>
        <v>0.92573676698754437</v>
      </c>
      <c r="H309" s="409" t="b">
        <f>Wh_hp&gt;='2025'!Maxi_hp</f>
        <v>0</v>
      </c>
      <c r="I309" s="375">
        <f>IF(H309,Wh_hp,'2025'!Maxi_hp)</f>
        <v>30.251519935948156</v>
      </c>
      <c r="J309" s="85">
        <f>IF(H309,An,'2025'!An_max)</f>
        <v>2022</v>
      </c>
      <c r="K309" s="193">
        <f t="shared" si="104"/>
        <v>46317</v>
      </c>
      <c r="L309" s="143">
        <f>IF(t&lt;Tvie,1-EXP((T0-t)*PertePVj)+'2025'!Pspv,1-EXP((T0-t)*PertePVj)+Pspv)</f>
        <v>2.4272771683467642E-2</v>
      </c>
      <c r="M309" s="836"/>
      <c r="N309" s="836"/>
      <c r="O309" s="48">
        <f>IF(t&lt;Tnet,'2025'!Resal+('2025'!Salim-'2025'!Resal)*(1-EXP(('2025'!Tnet-t)/('2025'!Tau_j))),Resal+(Salim-Resal)*(1-EXP((Tnet-t)/(Tau_j))))*Salcycl</f>
        <v>3.2082777842633074E-2</v>
      </c>
      <c r="P309" s="334">
        <f>(INDEX(Models!$BJ309:$BT309,,T309)*(1-R309)+INDEX(Models!$BJ309:$BT309,,T309+1)*R309-ERP_i)*Q309*Ramure*Pc/MaxiM</f>
        <v>1.5711514212838847E-3</v>
      </c>
      <c r="Q309" s="301">
        <f t="shared" si="105"/>
        <v>0.5</v>
      </c>
      <c r="R309" s="173">
        <f t="shared" si="106"/>
        <v>0.49195740041250868</v>
      </c>
      <c r="S309" s="802">
        <f t="shared" si="107"/>
        <v>2</v>
      </c>
      <c r="T309" s="172">
        <f t="shared" si="108"/>
        <v>8</v>
      </c>
      <c r="U309" s="247">
        <f t="shared" si="109"/>
        <v>2.4919574004125087</v>
      </c>
      <c r="V309" s="378">
        <f t="shared" si="110"/>
        <v>30.809170320862854</v>
      </c>
      <c r="W309" s="397">
        <f t="shared" si="111"/>
        <v>28.525933342925551</v>
      </c>
      <c r="X309" s="153">
        <f t="shared" si="112"/>
        <v>46317</v>
      </c>
      <c r="Y309" s="380">
        <f t="shared" si="113"/>
        <v>27.803511851170331</v>
      </c>
      <c r="Z309" s="380">
        <f t="shared" si="114"/>
        <v>28.49516857200042</v>
      </c>
      <c r="AA309" s="381">
        <f t="shared" si="115"/>
        <v>30.204609218444133</v>
      </c>
      <c r="AB309" s="193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5.6595357154955721E-2</v>
      </c>
      <c r="AD309" s="227">
        <f>(INDEX(Models!$BJ309:$BT309,,AH309)*(1-AF309)+INDEX(Models!$BJ309:$BT309,,AH309+1)*AF309-ERP_i)*AE309*Ramure*Pc/MaxiM</f>
        <v>1.5711514212838847E-3</v>
      </c>
      <c r="AE309" s="301">
        <f t="shared" si="117"/>
        <v>0.5</v>
      </c>
      <c r="AF309" s="173">
        <f t="shared" si="118"/>
        <v>0.49195740041250868</v>
      </c>
      <c r="AG309" s="802">
        <f t="shared" si="124"/>
        <v>2</v>
      </c>
      <c r="AH309" s="172">
        <f t="shared" si="119"/>
        <v>8</v>
      </c>
      <c r="AI309" s="221">
        <f t="shared" si="120"/>
        <v>2.4919574004125087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46318</v>
      </c>
      <c r="B310" s="406">
        <f>'2025'!Wh/'2025'!Env_an*'2026'!Env_an</f>
        <v>18.596424456439934</v>
      </c>
      <c r="C310" s="832"/>
      <c r="D310" s="388">
        <f t="shared" si="102"/>
        <v>19.059301093241789</v>
      </c>
      <c r="E310" s="380">
        <f t="shared" si="125"/>
        <v>19.691550609893888</v>
      </c>
      <c r="F310" s="380">
        <f t="shared" si="103"/>
        <v>19.707701074023667</v>
      </c>
      <c r="G310" s="110">
        <f t="shared" si="126"/>
        <v>0.61053586844496266</v>
      </c>
      <c r="H310" s="409" t="b">
        <f>Wh_hp&gt;='2025'!Maxi_hp</f>
        <v>0</v>
      </c>
      <c r="I310" s="375">
        <f>IF(H310,Wh_hp,'2025'!Maxi_hp)</f>
        <v>19.725415747408835</v>
      </c>
      <c r="J310" s="85">
        <f>IF(H310,An,'2025'!An_max)</f>
        <v>2022</v>
      </c>
      <c r="K310" s="193">
        <f t="shared" si="104"/>
        <v>46318</v>
      </c>
      <c r="L310" s="143">
        <f>IF(t&lt;Tvie,1-EXP((T0-t)*PertePVj)+'2025'!Pspv,1-EXP((T0-t)*PertePVj)+Pspv)</f>
        <v>2.4286128569844911E-2</v>
      </c>
      <c r="M310" s="836"/>
      <c r="N310" s="836"/>
      <c r="O310" s="48">
        <f>IF(t&lt;Tnet,'2025'!Resal+('2025'!Salim-'2025'!Resal)*(1-EXP(('2025'!Tnet-t)/('2025'!Tau_j))),Resal+(Salim-Resal)*(1-EXP((Tnet-t)/(Tau_j))))*Salcycl</f>
        <v>3.2107655165278415E-2</v>
      </c>
      <c r="P310" s="334">
        <f>(INDEX(Models!$BJ310:$BT310,,T310)*(1-R310)+INDEX(Models!$BJ310:$BT310,,T310+1)*R310-ERP_i)*Q310*Ramure*Pc/MaxiM</f>
        <v>1.8435722811355048E-3</v>
      </c>
      <c r="Q310" s="301">
        <f t="shared" si="105"/>
        <v>0.5</v>
      </c>
      <c r="R310" s="173">
        <f t="shared" si="106"/>
        <v>0.49203860509433017</v>
      </c>
      <c r="S310" s="802">
        <f t="shared" si="107"/>
        <v>2</v>
      </c>
      <c r="T310" s="172">
        <f t="shared" si="108"/>
        <v>8</v>
      </c>
      <c r="U310" s="247">
        <f t="shared" si="109"/>
        <v>2.4920386050943302</v>
      </c>
      <c r="V310" s="378">
        <f t="shared" si="110"/>
        <v>30.427966180661478</v>
      </c>
      <c r="W310" s="397">
        <f t="shared" si="111"/>
        <v>18.596424456439934</v>
      </c>
      <c r="X310" s="153">
        <f t="shared" si="112"/>
        <v>46318</v>
      </c>
      <c r="Y310" s="380">
        <f t="shared" si="113"/>
        <v>18.126194848064312</v>
      </c>
      <c r="Z310" s="380">
        <f t="shared" si="114"/>
        <v>18.577367175784634</v>
      </c>
      <c r="AA310" s="381">
        <f t="shared" si="115"/>
        <v>19.691550609893888</v>
      </c>
      <c r="AB310" s="193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5.6581802834228777E-2</v>
      </c>
      <c r="AD310" s="227">
        <f>(INDEX(Models!$BJ310:$BT310,,AH310)*(1-AF310)+INDEX(Models!$BJ310:$BT310,,AH310+1)*AF310-ERP_i)*AE310*Ramure*Pc/MaxiM</f>
        <v>1.8435722811355048E-3</v>
      </c>
      <c r="AE310" s="301">
        <f t="shared" si="117"/>
        <v>0.5</v>
      </c>
      <c r="AF310" s="173">
        <f t="shared" si="118"/>
        <v>0.49203860509433017</v>
      </c>
      <c r="AG310" s="802">
        <f t="shared" si="124"/>
        <v>2</v>
      </c>
      <c r="AH310" s="172">
        <f t="shared" si="119"/>
        <v>8</v>
      </c>
      <c r="AI310" s="221">
        <f t="shared" si="120"/>
        <v>2.4920386050943302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46319</v>
      </c>
      <c r="B311" s="406">
        <f>'2025'!Wh/'2025'!Env_an*'2026'!Env_an</f>
        <v>24.118378443234377</v>
      </c>
      <c r="C311" s="832"/>
      <c r="D311" s="388">
        <f t="shared" si="102"/>
        <v>24.719038351631916</v>
      </c>
      <c r="E311" s="380">
        <f t="shared" si="125"/>
        <v>25.539683405215378</v>
      </c>
      <c r="F311" s="380">
        <f t="shared" si="103"/>
        <v>25.579678493454203</v>
      </c>
      <c r="G311" s="110">
        <f t="shared" si="126"/>
        <v>0.80219096816679902</v>
      </c>
      <c r="H311" s="409" t="b">
        <f>Wh_hp&gt;='2025'!Maxi_hp</f>
        <v>0</v>
      </c>
      <c r="I311" s="375">
        <f>IF(H311,Wh_hp,'2025'!Maxi_hp)</f>
        <v>25.593422126687972</v>
      </c>
      <c r="J311" s="85">
        <f>IF(H311,An,'2025'!An_max)</f>
        <v>2022</v>
      </c>
      <c r="K311" s="193">
        <f t="shared" si="104"/>
        <v>46319</v>
      </c>
      <c r="L311" s="143">
        <f>IF(t&lt;Tvie,1-EXP((T0-t)*PertePVj)+'2025'!Pspv,1-EXP((T0-t)*PertePVj)+Pspv)</f>
        <v>2.4299485273377663E-2</v>
      </c>
      <c r="M311" s="836"/>
      <c r="N311" s="836"/>
      <c r="O311" s="48">
        <f>IF(t&lt;Tnet,'2025'!Resal+('2025'!Salim-'2025'!Resal)*(1-EXP(('2025'!Tnet-t)/('2025'!Tau_j))),Resal+(Salim-Resal)*(1-EXP((Tnet-t)/(Tau_j))))*Salcycl</f>
        <v>3.2132154520595271E-2</v>
      </c>
      <c r="P311" s="334">
        <f>(INDEX(Models!$BJ311:$BT311,,T311)*(1-R311)+INDEX(Models!$BJ311:$BT311,,T311+1)*R311-ERP_i)*Q311*Ramure*Pc/MaxiM</f>
        <v>2.1772797556838513E-3</v>
      </c>
      <c r="Q311" s="301">
        <f t="shared" si="105"/>
        <v>0.5</v>
      </c>
      <c r="R311" s="173">
        <f t="shared" si="106"/>
        <v>0.49211656510672297</v>
      </c>
      <c r="S311" s="802">
        <f t="shared" si="107"/>
        <v>2</v>
      </c>
      <c r="T311" s="172">
        <f t="shared" si="108"/>
        <v>8</v>
      </c>
      <c r="U311" s="247">
        <f t="shared" si="109"/>
        <v>2.492116565106723</v>
      </c>
      <c r="V311" s="378">
        <f t="shared" si="110"/>
        <v>30.047150910441001</v>
      </c>
      <c r="W311" s="397">
        <f t="shared" si="111"/>
        <v>24.118378443234377</v>
      </c>
      <c r="X311" s="153">
        <f t="shared" si="112"/>
        <v>46319</v>
      </c>
      <c r="Y311" s="380">
        <f t="shared" si="113"/>
        <v>23.5094668138473</v>
      </c>
      <c r="Z311" s="380">
        <f t="shared" si="114"/>
        <v>24.094961987833248</v>
      </c>
      <c r="AA311" s="381">
        <f t="shared" si="115"/>
        <v>25.539683405215378</v>
      </c>
      <c r="AB311" s="193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5.656771050995521E-2</v>
      </c>
      <c r="AD311" s="227">
        <f>(INDEX(Models!$BJ311:$BT311,,AH311)*(1-AF311)+INDEX(Models!$BJ311:$BT311,,AH311+1)*AF311-ERP_i)*AE311*Ramure*Pc/MaxiM</f>
        <v>2.1772797556838513E-3</v>
      </c>
      <c r="AE311" s="301">
        <f t="shared" si="117"/>
        <v>0.5</v>
      </c>
      <c r="AF311" s="173">
        <f t="shared" si="118"/>
        <v>0.49211656510672297</v>
      </c>
      <c r="AG311" s="802">
        <f t="shared" si="124"/>
        <v>2</v>
      </c>
      <c r="AH311" s="172">
        <f t="shared" si="119"/>
        <v>8</v>
      </c>
      <c r="AI311" s="221">
        <f t="shared" si="120"/>
        <v>2.492116565106723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46320</v>
      </c>
      <c r="B312" s="406">
        <f>'2025'!Wh/'2025'!Env_an*'2026'!Env_an</f>
        <v>20.264279804297587</v>
      </c>
      <c r="C312" s="832"/>
      <c r="D312" s="388">
        <f t="shared" si="102"/>
        <v>20.769239026942834</v>
      </c>
      <c r="E312" s="380">
        <f t="shared" si="125"/>
        <v>21.4592903991262</v>
      </c>
      <c r="F312" s="380">
        <f t="shared" si="103"/>
        <v>21.489551591211022</v>
      </c>
      <c r="G312" s="110">
        <f t="shared" si="126"/>
        <v>0.682259419321675</v>
      </c>
      <c r="H312" s="409" t="b">
        <f>Wh_hp&gt;='2025'!Maxi_hp</f>
        <v>0</v>
      </c>
      <c r="I312" s="375">
        <f>IF(H312,Wh_hp,'2025'!Maxi_hp)</f>
        <v>21.511387732569521</v>
      </c>
      <c r="J312" s="85">
        <f>IF(H312,An,'2025'!An_max)</f>
        <v>2022</v>
      </c>
      <c r="K312" s="193">
        <f t="shared" si="104"/>
        <v>46320</v>
      </c>
      <c r="L312" s="143">
        <f>IF(t&lt;Tvie,1-EXP((T0-t)*PertePVj)+'2025'!Pspv,1-EXP((T0-t)*PertePVj)+Pspv)</f>
        <v>2.431284179406823E-2</v>
      </c>
      <c r="M312" s="836"/>
      <c r="N312" s="836"/>
      <c r="O312" s="48">
        <f>IF(t&lt;Tnet,'2025'!Resal+('2025'!Salim-'2025'!Resal)*(1-EXP(('2025'!Tnet-t)/('2025'!Tau_j))),Resal+(Salim-Resal)*(1-EXP((Tnet-t)/(Tau_j))))*Salcycl</f>
        <v>3.2156299642203588E-2</v>
      </c>
      <c r="P312" s="334">
        <f>(INDEX(Models!$BJ312:$BT312,,T312)*(1-R312)+INDEX(Models!$BJ312:$BT312,,T312+1)*R312-ERP_i)*Q312*Ramure*Pc/MaxiM</f>
        <v>2.5733212047728883E-3</v>
      </c>
      <c r="Q312" s="301">
        <f t="shared" si="105"/>
        <v>0.5</v>
      </c>
      <c r="R312" s="173">
        <f t="shared" si="106"/>
        <v>0.49219140913813142</v>
      </c>
      <c r="S312" s="802">
        <f t="shared" si="107"/>
        <v>2</v>
      </c>
      <c r="T312" s="172">
        <f t="shared" si="108"/>
        <v>8</v>
      </c>
      <c r="U312" s="247">
        <f t="shared" si="109"/>
        <v>2.4921914091381314</v>
      </c>
      <c r="V312" s="378">
        <f t="shared" si="110"/>
        <v>29.667066839894698</v>
      </c>
      <c r="W312" s="397">
        <f t="shared" si="111"/>
        <v>20.264279804297587</v>
      </c>
      <c r="X312" s="153">
        <f t="shared" si="112"/>
        <v>46320</v>
      </c>
      <c r="Y312" s="380">
        <f t="shared" si="113"/>
        <v>19.753469991137152</v>
      </c>
      <c r="Z312" s="380">
        <f t="shared" si="114"/>
        <v>20.245700504513476</v>
      </c>
      <c r="AA312" s="381">
        <f t="shared" si="115"/>
        <v>21.4592903991262</v>
      </c>
      <c r="AB312" s="193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5.6553123241304473E-2</v>
      </c>
      <c r="AD312" s="227">
        <f>(INDEX(Models!$BJ312:$BT312,,AH312)*(1-AF312)+INDEX(Models!$BJ312:$BT312,,AH312+1)*AF312-ERP_i)*AE312*Ramure*Pc/MaxiM</f>
        <v>2.5733212047728883E-3</v>
      </c>
      <c r="AE312" s="301">
        <f t="shared" si="117"/>
        <v>0.5</v>
      </c>
      <c r="AF312" s="173">
        <f t="shared" si="118"/>
        <v>0.49219140913813142</v>
      </c>
      <c r="AG312" s="802">
        <f t="shared" si="124"/>
        <v>2</v>
      </c>
      <c r="AH312" s="172">
        <f t="shared" si="119"/>
        <v>8</v>
      </c>
      <c r="AI312" s="221">
        <f t="shared" si="120"/>
        <v>2.4921914091381314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46321</v>
      </c>
      <c r="B313" s="406">
        <f>'2025'!Wh/'2025'!Env_an*'2026'!Env_an</f>
        <v>15.139842526528453</v>
      </c>
      <c r="C313" s="832"/>
      <c r="D313" s="388">
        <f t="shared" si="102"/>
        <v>15.51731992551286</v>
      </c>
      <c r="E313" s="380">
        <f t="shared" si="125"/>
        <v>16.033272489984743</v>
      </c>
      <c r="F313" s="380">
        <f t="shared" si="103"/>
        <v>16.048355315238549</v>
      </c>
      <c r="G313" s="110">
        <f t="shared" si="126"/>
        <v>0.5158459879343994</v>
      </c>
      <c r="H313" s="409" t="b">
        <f>Wh_hp&gt;='2025'!Maxi_hp</f>
        <v>0</v>
      </c>
      <c r="I313" s="375">
        <f>IF(H313,Wh_hp,'2025'!Maxi_hp)</f>
        <v>16.077522083526727</v>
      </c>
      <c r="J313" s="85">
        <f>IF(H313,An,'2025'!An_max)</f>
        <v>2022</v>
      </c>
      <c r="K313" s="193">
        <f t="shared" si="104"/>
        <v>46321</v>
      </c>
      <c r="L313" s="143">
        <f>IF(t&lt;Tvie,1-EXP((T0-t)*PertePVj)+'2025'!Pspv,1-EXP((T0-t)*PertePVj)+Pspv)</f>
        <v>2.4326198131919385E-2</v>
      </c>
      <c r="M313" s="836"/>
      <c r="N313" s="836"/>
      <c r="O313" s="48">
        <f>IF(t&lt;Tnet,'2025'!Resal+('2025'!Salim-'2025'!Resal)*(1-EXP(('2025'!Tnet-t)/('2025'!Tau_j))),Resal+(Salim-Resal)*(1-EXP((Tnet-t)/(Tau_j))))*Salcycl</f>
        <v>3.2180115743319054E-2</v>
      </c>
      <c r="P313" s="334">
        <f>(INDEX(Models!$BJ313:$BT313,,T313)*(1-R313)+INDEX(Models!$BJ313:$BT313,,T313+1)*R313-ERP_i)*Q313*Ramure*Pc/MaxiM</f>
        <v>3.03272362890034E-3</v>
      </c>
      <c r="Q313" s="301">
        <f t="shared" si="105"/>
        <v>0.5</v>
      </c>
      <c r="R313" s="173">
        <f t="shared" si="106"/>
        <v>0.49226326084836058</v>
      </c>
      <c r="S313" s="802">
        <f t="shared" si="107"/>
        <v>2</v>
      </c>
      <c r="T313" s="172">
        <f t="shared" si="108"/>
        <v>8</v>
      </c>
      <c r="U313" s="247">
        <f t="shared" si="109"/>
        <v>2.4922632608483606</v>
      </c>
      <c r="V313" s="378">
        <f t="shared" si="110"/>
        <v>29.288057067681869</v>
      </c>
      <c r="W313" s="397">
        <f t="shared" si="111"/>
        <v>15.139842526528453</v>
      </c>
      <c r="X313" s="153">
        <f t="shared" si="112"/>
        <v>46321</v>
      </c>
      <c r="Y313" s="380">
        <f t="shared" si="113"/>
        <v>14.758804848280787</v>
      </c>
      <c r="Z313" s="380">
        <f t="shared" si="114"/>
        <v>15.126781942922664</v>
      </c>
      <c r="AA313" s="381">
        <f t="shared" si="115"/>
        <v>16.033272489984743</v>
      </c>
      <c r="AB313" s="193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5.6538086509059324E-2</v>
      </c>
      <c r="AD313" s="227">
        <f>(INDEX(Models!$BJ313:$BT313,,AH313)*(1-AF313)+INDEX(Models!$BJ313:$BT313,,AH313+1)*AF313-ERP_i)*AE313*Ramure*Pc/MaxiM</f>
        <v>3.03272362890034E-3</v>
      </c>
      <c r="AE313" s="301">
        <f t="shared" si="117"/>
        <v>0.5</v>
      </c>
      <c r="AF313" s="173">
        <f t="shared" si="118"/>
        <v>0.49226326084836058</v>
      </c>
      <c r="AG313" s="802">
        <f t="shared" si="124"/>
        <v>2</v>
      </c>
      <c r="AH313" s="172">
        <f t="shared" si="119"/>
        <v>8</v>
      </c>
      <c r="AI313" s="221">
        <f t="shared" si="120"/>
        <v>2.4922632608483606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46322</v>
      </c>
      <c r="B314" s="406">
        <f>'2025'!Wh/'2025'!Env_an*'2026'!Env_an</f>
        <v>14.311589245450524</v>
      </c>
      <c r="C314" s="832"/>
      <c r="D314" s="388">
        <f t="shared" si="102"/>
        <v>14.668616841375405</v>
      </c>
      <c r="E314" s="380">
        <f t="shared" si="125"/>
        <v>15.156718177026496</v>
      </c>
      <c r="F314" s="380">
        <f t="shared" si="103"/>
        <v>15.171751857633353</v>
      </c>
      <c r="G314" s="110">
        <f t="shared" si="126"/>
        <v>0.49376013110869293</v>
      </c>
      <c r="H314" s="409" t="b">
        <f>Wh_hp&gt;='2025'!Maxi_hp</f>
        <v>0</v>
      </c>
      <c r="I314" s="375">
        <f>IF(H314,Wh_hp,'2025'!Maxi_hp)</f>
        <v>15.20541089305954</v>
      </c>
      <c r="J314" s="85">
        <f>IF(H314,An,'2025'!An_max)</f>
        <v>2022</v>
      </c>
      <c r="K314" s="193">
        <f t="shared" si="104"/>
        <v>46322</v>
      </c>
      <c r="L314" s="143">
        <f>IF(t&lt;Tvie,1-EXP((T0-t)*PertePVj)+'2025'!Pspv,1-EXP((T0-t)*PertePVj)+Pspv)</f>
        <v>2.4339554286933351E-2</v>
      </c>
      <c r="M314" s="836"/>
      <c r="N314" s="836"/>
      <c r="O314" s="48">
        <f>IF(t&lt;Tnet,'2025'!Resal+('2025'!Salim-'2025'!Resal)*(1-EXP(('2025'!Tnet-t)/('2025'!Tau_j))),Resal+(Salim-Resal)*(1-EXP((Tnet-t)/(Tau_j))))*Salcycl</f>
        <v>3.2203629436807837E-2</v>
      </c>
      <c r="P314" s="334">
        <f>(INDEX(Models!$BJ314:$BT314,,T314)*(1-R314)+INDEX(Models!$BJ314:$BT314,,T314+1)*R314-ERP_i)*Q314*Ramure*Pc/MaxiM</f>
        <v>3.5565014572535463E-3</v>
      </c>
      <c r="Q314" s="301">
        <f t="shared" si="105"/>
        <v>0.5</v>
      </c>
      <c r="R314" s="173">
        <f t="shared" si="106"/>
        <v>0.49233223905913803</v>
      </c>
      <c r="S314" s="802">
        <f t="shared" si="107"/>
        <v>2</v>
      </c>
      <c r="T314" s="172">
        <f t="shared" si="108"/>
        <v>8</v>
      </c>
      <c r="U314" s="247">
        <f t="shared" si="109"/>
        <v>2.492332239059138</v>
      </c>
      <c r="V314" s="378">
        <f t="shared" si="110"/>
        <v>28.910464989464064</v>
      </c>
      <c r="W314" s="397">
        <f t="shared" si="111"/>
        <v>14.311589245450524</v>
      </c>
      <c r="X314" s="153">
        <f t="shared" si="112"/>
        <v>46322</v>
      </c>
      <c r="Y314" s="380">
        <f t="shared" si="113"/>
        <v>13.951964208583282</v>
      </c>
      <c r="Z314" s="380">
        <f t="shared" si="114"/>
        <v>14.300020329702322</v>
      </c>
      <c r="AA314" s="381">
        <f t="shared" si="115"/>
        <v>15.156718177026496</v>
      </c>
      <c r="AB314" s="193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5.6522648063925672E-2</v>
      </c>
      <c r="AD314" s="227">
        <f>(INDEX(Models!$BJ314:$BT314,,AH314)*(1-AF314)+INDEX(Models!$BJ314:$BT314,,AH314+1)*AF314-ERP_i)*AE314*Ramure*Pc/MaxiM</f>
        <v>3.5565014572535463E-3</v>
      </c>
      <c r="AE314" s="301">
        <f t="shared" si="117"/>
        <v>0.5</v>
      </c>
      <c r="AF314" s="173">
        <f t="shared" si="118"/>
        <v>0.49233223905913803</v>
      </c>
      <c r="AG314" s="802">
        <f t="shared" si="124"/>
        <v>2</v>
      </c>
      <c r="AH314" s="172">
        <f t="shared" si="119"/>
        <v>8</v>
      </c>
      <c r="AI314" s="221">
        <f t="shared" si="120"/>
        <v>2.492332239059138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46323</v>
      </c>
      <c r="B315" s="406">
        <f>'2025'!Wh/'2025'!Env_an*'2026'!Env_an</f>
        <v>16.456959671011727</v>
      </c>
      <c r="C315" s="832"/>
      <c r="D315" s="388">
        <f t="shared" si="102"/>
        <v>16.867738185312863</v>
      </c>
      <c r="E315" s="380">
        <f t="shared" si="125"/>
        <v>17.429434274224601</v>
      </c>
      <c r="F315" s="380">
        <f t="shared" si="103"/>
        <v>17.458046836088247</v>
      </c>
      <c r="G315" s="110">
        <f t="shared" si="126"/>
        <v>0.57528822217660147</v>
      </c>
      <c r="H315" s="409" t="b">
        <f>Wh_hp&gt;='2025'!Maxi_hp</f>
        <v>0</v>
      </c>
      <c r="I315" s="375">
        <f>IF(H315,Wh_hp,'2025'!Maxi_hp)</f>
        <v>17.495740847674913</v>
      </c>
      <c r="J315" s="85">
        <f>IF(H315,An,'2025'!An_max)</f>
        <v>2022</v>
      </c>
      <c r="K315" s="193">
        <f t="shared" si="104"/>
        <v>46323</v>
      </c>
      <c r="L315" s="143">
        <f>IF(t&lt;Tvie,1-EXP((T0-t)*PertePVj)+'2025'!Pspv,1-EXP((T0-t)*PertePVj)+Pspv)</f>
        <v>2.4352910259112903E-2</v>
      </c>
      <c r="M315" s="836"/>
      <c r="N315" s="836"/>
      <c r="O315" s="48">
        <f>IF(t&lt;Tnet,'2025'!Resal+('2025'!Salim-'2025'!Resal)*(1-EXP(('2025'!Tnet-t)/('2025'!Tau_j))),Resal+(Salim-Resal)*(1-EXP((Tnet-t)/(Tau_j))))*Salcycl</f>
        <v>3.2226868644979367E-2</v>
      </c>
      <c r="P315" s="334">
        <f>(INDEX(Models!$BJ315:$BT315,,T315)*(1-R315)+INDEX(Models!$BJ315:$BT315,,T315+1)*R315-ERP_i)*Q315*Ramure*Pc/MaxiM</f>
        <v>4.1456533153453783E-3</v>
      </c>
      <c r="Q315" s="301">
        <f t="shared" si="105"/>
        <v>0.5</v>
      </c>
      <c r="R315" s="173">
        <f t="shared" si="106"/>
        <v>0.49239845793792014</v>
      </c>
      <c r="S315" s="802">
        <f t="shared" si="107"/>
        <v>2</v>
      </c>
      <c r="T315" s="172">
        <f t="shared" si="108"/>
        <v>8</v>
      </c>
      <c r="U315" s="247">
        <f t="shared" si="109"/>
        <v>2.4923984579379201</v>
      </c>
      <c r="V315" s="378">
        <f t="shared" si="110"/>
        <v>28.534634144061293</v>
      </c>
      <c r="W315" s="397">
        <f t="shared" si="111"/>
        <v>16.456959671011727</v>
      </c>
      <c r="X315" s="153">
        <f t="shared" si="112"/>
        <v>46323</v>
      </c>
      <c r="Y315" s="380">
        <f t="shared" si="113"/>
        <v>16.044079018825041</v>
      </c>
      <c r="Z315" s="380">
        <f t="shared" si="114"/>
        <v>16.44455171089173</v>
      </c>
      <c r="AA315" s="381">
        <f t="shared" si="115"/>
        <v>17.429434274224601</v>
      </c>
      <c r="AB315" s="193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5.6506857757819266E-2</v>
      </c>
      <c r="AD315" s="227">
        <f>(INDEX(Models!$BJ315:$BT315,,AH315)*(1-AF315)+INDEX(Models!$BJ315:$BT315,,AH315+1)*AF315-ERP_i)*AE315*Ramure*Pc/MaxiM</f>
        <v>4.1456533153453783E-3</v>
      </c>
      <c r="AE315" s="301">
        <f t="shared" si="117"/>
        <v>0.5</v>
      </c>
      <c r="AF315" s="173">
        <f t="shared" si="118"/>
        <v>0.49239845793792014</v>
      </c>
      <c r="AG315" s="802">
        <f t="shared" si="124"/>
        <v>2</v>
      </c>
      <c r="AH315" s="172">
        <f t="shared" si="119"/>
        <v>8</v>
      </c>
      <c r="AI315" s="221">
        <f t="shared" si="120"/>
        <v>2.4923984579379201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46324</v>
      </c>
      <c r="B316" s="406">
        <f>'2025'!Wh/'2025'!Env_an*'2026'!Env_an</f>
        <v>23.145752391103557</v>
      </c>
      <c r="C316" s="832"/>
      <c r="D316" s="388">
        <f t="shared" si="102"/>
        <v>23.723813133600832</v>
      </c>
      <c r="E316" s="380">
        <f t="shared" si="125"/>
        <v>24.514399134962833</v>
      </c>
      <c r="F316" s="380">
        <f t="shared" si="103"/>
        <v>24.602468104101224</v>
      </c>
      <c r="G316" s="110">
        <f t="shared" si="126"/>
        <v>0.8209031733120582</v>
      </c>
      <c r="H316" s="409" t="b">
        <f>Wh_hp&gt;='2025'!Maxi_hp</f>
        <v>0</v>
      </c>
      <c r="I316" s="375">
        <f>IF(H316,Wh_hp,'2025'!Maxi_hp)</f>
        <v>24.628264313045676</v>
      </c>
      <c r="J316" s="85">
        <f>IF(H316,An,'2025'!An_max)</f>
        <v>2022</v>
      </c>
      <c r="K316" s="193">
        <f t="shared" si="104"/>
        <v>46324</v>
      </c>
      <c r="L316" s="143">
        <f>IF(t&lt;Tvie,1-EXP((T0-t)*PertePVj)+'2025'!Pspv,1-EXP((T0-t)*PertePVj)+Pspv)</f>
        <v>2.4366266048460372E-2</v>
      </c>
      <c r="M316" s="836"/>
      <c r="N316" s="836"/>
      <c r="O316" s="48">
        <f>IF(t&lt;Tnet,'2025'!Resal+('2025'!Salim-'2025'!Resal)*(1-EXP(('2025'!Tnet-t)/('2025'!Tau_j))),Resal+(Salim-Resal)*(1-EXP((Tnet-t)/(Tau_j))))*Salcycl</f>
        <v>3.2249862499564727E-2</v>
      </c>
      <c r="P316" s="334">
        <f>(INDEX(Models!$BJ316:$BT316,,T316)*(1-R316)+INDEX(Models!$BJ316:$BT316,,T316+1)*R316-ERP_i)*Q316*Ramure*Pc/MaxiM</f>
        <v>4.8011586048128394E-3</v>
      </c>
      <c r="Q316" s="301">
        <f t="shared" si="105"/>
        <v>0.5</v>
      </c>
      <c r="R316" s="173">
        <f t="shared" si="106"/>
        <v>0.49246202717515608</v>
      </c>
      <c r="S316" s="802">
        <f t="shared" si="107"/>
        <v>2</v>
      </c>
      <c r="T316" s="172">
        <f t="shared" si="108"/>
        <v>8</v>
      </c>
      <c r="U316" s="247">
        <f t="shared" si="109"/>
        <v>2.4924620271751561</v>
      </c>
      <c r="V316" s="378">
        <f t="shared" si="110"/>
        <v>28.160908056693813</v>
      </c>
      <c r="W316" s="397">
        <f t="shared" si="111"/>
        <v>23.145752391103557</v>
      </c>
      <c r="X316" s="153">
        <f t="shared" si="112"/>
        <v>46324</v>
      </c>
      <c r="Y316" s="380">
        <f t="shared" si="113"/>
        <v>22.565980857241975</v>
      </c>
      <c r="Z316" s="380">
        <f t="shared" si="114"/>
        <v>23.129561916483347</v>
      </c>
      <c r="AA316" s="381">
        <f t="shared" si="115"/>
        <v>24.514399134962833</v>
      </c>
      <c r="AB316" s="193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5.6490767359025681E-2</v>
      </c>
      <c r="AD316" s="227">
        <f>(INDEX(Models!$BJ316:$BT316,,AH316)*(1-AF316)+INDEX(Models!$BJ316:$BT316,,AH316+1)*AF316-ERP_i)*AE316*Ramure*Pc/MaxiM</f>
        <v>4.8011586048128394E-3</v>
      </c>
      <c r="AE316" s="301">
        <f t="shared" si="117"/>
        <v>0.5</v>
      </c>
      <c r="AF316" s="173">
        <f t="shared" si="118"/>
        <v>0.49246202717515608</v>
      </c>
      <c r="AG316" s="802">
        <f t="shared" si="124"/>
        <v>2</v>
      </c>
      <c r="AH316" s="172">
        <f t="shared" si="119"/>
        <v>8</v>
      </c>
      <c r="AI316" s="221">
        <f t="shared" si="120"/>
        <v>2.4924620271751561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46325</v>
      </c>
      <c r="B317" s="406">
        <f>'2025'!Wh/'2025'!Env_an*'2026'!Env_an</f>
        <v>20.261315911175792</v>
      </c>
      <c r="C317" s="832"/>
      <c r="D317" s="388">
        <f t="shared" si="102"/>
        <v>20.767622695157058</v>
      </c>
      <c r="E317" s="380">
        <f t="shared" si="125"/>
        <v>21.460200031551167</v>
      </c>
      <c r="F317" s="380">
        <f t="shared" si="103"/>
        <v>21.533128153800018</v>
      </c>
      <c r="G317" s="110">
        <f t="shared" si="126"/>
        <v>0.72758199319631178</v>
      </c>
      <c r="H317" s="409" t="b">
        <f>Wh_hp&gt;='2025'!Maxi_hp</f>
        <v>0</v>
      </c>
      <c r="I317" s="375">
        <f>IF(H317,Wh_hp,'2025'!Maxi_hp)</f>
        <v>21.572507516990949</v>
      </c>
      <c r="J317" s="85">
        <f>IF(H317,An,'2025'!An_max)</f>
        <v>2022</v>
      </c>
      <c r="K317" s="193">
        <f t="shared" si="104"/>
        <v>46325</v>
      </c>
      <c r="L317" s="143">
        <f>IF(t&lt;Tvie,1-EXP((T0-t)*PertePVj)+'2025'!Pspv,1-EXP((T0-t)*PertePVj)+Pspv)</f>
        <v>2.4379621654978201E-2</v>
      </c>
      <c r="M317" s="836"/>
      <c r="N317" s="836"/>
      <c r="O317" s="48">
        <f>IF(t&lt;Tnet,'2025'!Resal+('2025'!Salim-'2025'!Resal)*(1-EXP(('2025'!Tnet-t)/('2025'!Tau_j))),Resal+(Salim-Resal)*(1-EXP((Tnet-t)/(Tau_j))))*Salcycl</f>
        <v>3.2272641232414842E-2</v>
      </c>
      <c r="P317" s="334">
        <f>(INDEX(Models!$BJ317:$BT317,,T317)*(1-R317)+INDEX(Models!$BJ317:$BT317,,T317+1)*R317-ERP_i)*Q317*Ramure*Pc/MaxiM</f>
        <v>5.5243475821217594E-3</v>
      </c>
      <c r="Q317" s="301">
        <f t="shared" si="105"/>
        <v>0.5</v>
      </c>
      <c r="R317" s="173">
        <f t="shared" si="106"/>
        <v>0.49252305215519909</v>
      </c>
      <c r="S317" s="802">
        <f t="shared" si="107"/>
        <v>2</v>
      </c>
      <c r="T317" s="172">
        <f t="shared" si="108"/>
        <v>8</v>
      </c>
      <c r="U317" s="247">
        <f t="shared" si="109"/>
        <v>2.4925230521551991</v>
      </c>
      <c r="V317" s="378">
        <f t="shared" si="110"/>
        <v>27.787739573041044</v>
      </c>
      <c r="W317" s="397">
        <f t="shared" si="111"/>
        <v>20.261315911175792</v>
      </c>
      <c r="X317" s="153">
        <f t="shared" si="112"/>
        <v>46325</v>
      </c>
      <c r="Y317" s="380">
        <f t="shared" si="113"/>
        <v>19.754602847283884</v>
      </c>
      <c r="Z317" s="380">
        <f t="shared" si="114"/>
        <v>20.248247459523441</v>
      </c>
      <c r="AA317" s="381">
        <f t="shared" si="115"/>
        <v>21.460200031551167</v>
      </c>
      <c r="AB317" s="193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5.6474430352274965E-2</v>
      </c>
      <c r="AD317" s="227">
        <f>(INDEX(Models!$BJ317:$BT317,,AH317)*(1-AF317)+INDEX(Models!$BJ317:$BT317,,AH317+1)*AF317-ERP_i)*AE317*Ramure*Pc/MaxiM</f>
        <v>5.5243475821217594E-3</v>
      </c>
      <c r="AE317" s="301">
        <f t="shared" si="117"/>
        <v>0.5</v>
      </c>
      <c r="AF317" s="173">
        <f t="shared" si="118"/>
        <v>0.49252305215519909</v>
      </c>
      <c r="AG317" s="802">
        <f t="shared" si="124"/>
        <v>2</v>
      </c>
      <c r="AH317" s="172">
        <f t="shared" si="119"/>
        <v>8</v>
      </c>
      <c r="AI317" s="221">
        <f t="shared" si="120"/>
        <v>2.4925230521551991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46326</v>
      </c>
      <c r="B318" s="406">
        <f>'2025'!Wh/'2025'!Env_an*'2026'!Env_an</f>
        <v>19.428778041138639</v>
      </c>
      <c r="C318" s="832"/>
      <c r="D318" s="388">
        <f t="shared" si="102"/>
        <v>19.914553282900361</v>
      </c>
      <c r="E318" s="380">
        <f t="shared" si="125"/>
        <v>20.579162183482246</v>
      </c>
      <c r="F318" s="380">
        <f t="shared" si="103"/>
        <v>20.655043990293493</v>
      </c>
      <c r="G318" s="110">
        <f t="shared" si="126"/>
        <v>0.70684459887513229</v>
      </c>
      <c r="H318" s="409" t="b">
        <f>Wh_hp&gt;='2025'!Maxi_hp</f>
        <v>0</v>
      </c>
      <c r="I318" s="375">
        <f>IF(H318,Wh_hp,'2025'!Maxi_hp)</f>
        <v>20.701155143834445</v>
      </c>
      <c r="J318" s="85">
        <f>IF(H318,An,'2025'!An_max)</f>
        <v>2022</v>
      </c>
      <c r="K318" s="193">
        <f t="shared" si="104"/>
        <v>46326</v>
      </c>
      <c r="L318" s="143">
        <f>IF(t&lt;Tvie,1-EXP((T0-t)*PertePVj)+'2025'!Pspv,1-EXP((T0-t)*PertePVj)+Pspv)</f>
        <v>2.4392977078669054E-2</v>
      </c>
      <c r="M318" s="836"/>
      <c r="N318" s="836"/>
      <c r="O318" s="48">
        <f>IF(t&lt;Tnet,'2025'!Resal+('2025'!Salim-'2025'!Resal)*(1-EXP(('2025'!Tnet-t)/('2025'!Tau_j))),Resal+(Salim-Resal)*(1-EXP((Tnet-t)/(Tau_j))))*Salcycl</f>
        <v>3.2295236057536328E-2</v>
      </c>
      <c r="P318" s="334">
        <f>(INDEX(Models!$BJ318:$BT318,,T318)*(1-R318)+INDEX(Models!$BJ318:$BT318,,T318+1)*R318-ERP_i)*Q318*Ramure*Pc/MaxiM</f>
        <v>6.2921259319378238E-3</v>
      </c>
      <c r="Q318" s="301">
        <f t="shared" si="105"/>
        <v>0.5</v>
      </c>
      <c r="R318" s="173">
        <f t="shared" si="106"/>
        <v>0.49258163412106004</v>
      </c>
      <c r="S318" s="802">
        <f t="shared" si="107"/>
        <v>2</v>
      </c>
      <c r="T318" s="172">
        <f t="shared" si="108"/>
        <v>8</v>
      </c>
      <c r="U318" s="247">
        <f t="shared" si="109"/>
        <v>2.49258163412106</v>
      </c>
      <c r="V318" s="378">
        <f t="shared" si="110"/>
        <v>27.414397686237422</v>
      </c>
      <c r="W318" s="397">
        <f t="shared" si="111"/>
        <v>19.428778041138639</v>
      </c>
      <c r="X318" s="153">
        <f t="shared" si="112"/>
        <v>46326</v>
      </c>
      <c r="Y318" s="380">
        <f t="shared" si="113"/>
        <v>18.943659970394574</v>
      </c>
      <c r="Z318" s="380">
        <f t="shared" si="114"/>
        <v>19.417305867346258</v>
      </c>
      <c r="AA318" s="381">
        <f t="shared" si="115"/>
        <v>20.579162183482246</v>
      </c>
      <c r="AB318" s="193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5.6457901724908263E-2</v>
      </c>
      <c r="AD318" s="227">
        <f>(INDEX(Models!$BJ318:$BT318,,AH318)*(1-AF318)+INDEX(Models!$BJ318:$BT318,,AH318+1)*AF318-ERP_i)*AE318*Ramure*Pc/MaxiM</f>
        <v>6.2921259319378238E-3</v>
      </c>
      <c r="AE318" s="301">
        <f t="shared" si="117"/>
        <v>0.5</v>
      </c>
      <c r="AF318" s="173">
        <f t="shared" si="118"/>
        <v>0.49258163412106004</v>
      </c>
      <c r="AG318" s="802">
        <f t="shared" si="124"/>
        <v>2</v>
      </c>
      <c r="AH318" s="172">
        <f t="shared" si="119"/>
        <v>8</v>
      </c>
      <c r="AI318" s="221">
        <f t="shared" si="120"/>
        <v>2.49258163412106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46327</v>
      </c>
      <c r="B319" s="406">
        <f>'2025'!Wh/'2025'!Env_an*'2026'!Env_an</f>
        <v>17.709144628685124</v>
      </c>
      <c r="C319" s="832"/>
      <c r="D319" s="388">
        <f t="shared" si="102"/>
        <v>18.152172585119104</v>
      </c>
      <c r="E319" s="380">
        <f t="shared" si="125"/>
        <v>18.758400553611299</v>
      </c>
      <c r="F319" s="380">
        <f t="shared" si="103"/>
        <v>18.82594206924551</v>
      </c>
      <c r="G319" s="110">
        <f t="shared" si="126"/>
        <v>0.65257771677382503</v>
      </c>
      <c r="H319" s="409" t="b">
        <f>Wh_hp&gt;='2025'!Maxi_hp</f>
        <v>0</v>
      </c>
      <c r="I319" s="375">
        <f>IF(H319,Wh_hp,'2025'!Maxi_hp)</f>
        <v>18.881740725335344</v>
      </c>
      <c r="J319" s="85">
        <f>IF(H319,An,'2025'!An_max)</f>
        <v>2022</v>
      </c>
      <c r="K319" s="193">
        <f t="shared" si="104"/>
        <v>46327</v>
      </c>
      <c r="L319" s="143">
        <f>IF(t&lt;Tvie,1-EXP((T0-t)*PertePVj)+'2025'!Pspv,1-EXP((T0-t)*PertePVj)+Pspv)</f>
        <v>2.4406332319535484E-2</v>
      </c>
      <c r="M319" s="836"/>
      <c r="N319" s="836"/>
      <c r="O319" s="48">
        <f>IF(t&lt;Tnet,'2025'!Resal+('2025'!Salim-'2025'!Resal)*(1-EXP(('2025'!Tnet-t)/('2025'!Tau_j))),Resal+(Salim-Resal)*(1-EXP((Tnet-t)/(Tau_j))))*Salcycl</f>
        <v>3.2317679045161848E-2</v>
      </c>
      <c r="P319" s="334">
        <f>(INDEX(Models!$BJ319:$BT319,,T319)*(1-R319)+INDEX(Models!$BJ319:$BT319,,T319+1)*R319-ERP_i)*Q319*Ramure*Pc/MaxiM</f>
        <v>7.0768781198536123E-3</v>
      </c>
      <c r="Q319" s="301">
        <f t="shared" si="105"/>
        <v>0.5</v>
      </c>
      <c r="R319" s="173">
        <f t="shared" si="106"/>
        <v>0.49263787033320128</v>
      </c>
      <c r="S319" s="802">
        <f t="shared" si="107"/>
        <v>2</v>
      </c>
      <c r="T319" s="172">
        <f t="shared" si="108"/>
        <v>8</v>
      </c>
      <c r="U319" s="247">
        <f t="shared" si="109"/>
        <v>2.4926378703332013</v>
      </c>
      <c r="V319" s="378">
        <f t="shared" si="110"/>
        <v>27.042191349293251</v>
      </c>
      <c r="W319" s="397">
        <f t="shared" si="111"/>
        <v>17.709144628685124</v>
      </c>
      <c r="X319" s="153">
        <f t="shared" si="112"/>
        <v>46327</v>
      </c>
      <c r="Y319" s="380">
        <f t="shared" si="113"/>
        <v>17.267669590191332</v>
      </c>
      <c r="Z319" s="380">
        <f t="shared" si="114"/>
        <v>17.699653208334475</v>
      </c>
      <c r="AA319" s="381">
        <f t="shared" si="115"/>
        <v>18.758400553611299</v>
      </c>
      <c r="AB319" s="193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5.6441237740442511E-2</v>
      </c>
      <c r="AD319" s="227">
        <f>(INDEX(Models!$BJ319:$BT319,,AH319)*(1-AF319)+INDEX(Models!$BJ319:$BT319,,AH319+1)*AF319-ERP_i)*AE319*Ramure*Pc/MaxiM</f>
        <v>7.0768781198536123E-3</v>
      </c>
      <c r="AE319" s="301">
        <f t="shared" si="117"/>
        <v>0.5</v>
      </c>
      <c r="AF319" s="173">
        <f t="shared" si="118"/>
        <v>0.49263787033320128</v>
      </c>
      <c r="AG319" s="802">
        <f t="shared" si="124"/>
        <v>2</v>
      </c>
      <c r="AH319" s="172">
        <f t="shared" si="119"/>
        <v>8</v>
      </c>
      <c r="AI319" s="221">
        <f t="shared" si="120"/>
        <v>2.4926378703332013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46328</v>
      </c>
      <c r="B320" s="406">
        <f>'2025'!Wh/'2025'!Env_an*'2026'!Env_an</f>
        <v>24.504211383772073</v>
      </c>
      <c r="C320" s="832"/>
      <c r="D320" s="388">
        <f t="shared" si="102"/>
        <v>25.117574705769979</v>
      </c>
      <c r="E320" s="380">
        <f t="shared" si="125"/>
        <v>25.957024970904872</v>
      </c>
      <c r="F320" s="380">
        <f t="shared" si="103"/>
        <v>26.139063321525938</v>
      </c>
      <c r="G320" s="110">
        <f t="shared" si="126"/>
        <v>0.91789040067770944</v>
      </c>
      <c r="H320" s="409" t="b">
        <f>Wh_hp&gt;='2025'!Maxi_hp</f>
        <v>0</v>
      </c>
      <c r="I320" s="375">
        <f>IF(H320,Wh_hp,'2025'!Maxi_hp)</f>
        <v>26.159305907233136</v>
      </c>
      <c r="J320" s="85">
        <f>IF(H320,An,'2025'!An_max)</f>
        <v>2022</v>
      </c>
      <c r="K320" s="193">
        <f t="shared" si="104"/>
        <v>46328</v>
      </c>
      <c r="L320" s="143">
        <f>IF(t&lt;Tvie,1-EXP((T0-t)*PertePVj)+'2025'!Pspv,1-EXP((T0-t)*PertePVj)+Pspv)</f>
        <v>2.4419687377579713E-2</v>
      </c>
      <c r="M320" s="836"/>
      <c r="N320" s="836"/>
      <c r="O320" s="48">
        <f>IF(t&lt;Tnet,'2025'!Resal+('2025'!Salim-'2025'!Resal)*(1-EXP(('2025'!Tnet-t)/('2025'!Tau_j))),Resal+(Salim-Resal)*(1-EXP((Tnet-t)/(Tau_j))))*Salcycl</f>
        <v>3.234000298862557E-2</v>
      </c>
      <c r="P320" s="334">
        <f>(INDEX(Models!$BJ320:$BT320,,T320)*(1-R320)+INDEX(Models!$BJ320:$BT320,,T320+1)*R320-ERP_i)*Q320*Ramure*Pc/MaxiM</f>
        <v>7.8788908416856721E-3</v>
      </c>
      <c r="Q320" s="301">
        <f t="shared" si="105"/>
        <v>0.5</v>
      </c>
      <c r="R320" s="173">
        <f t="shared" si="106"/>
        <v>0.49269185422255557</v>
      </c>
      <c r="S320" s="802">
        <f t="shared" si="107"/>
        <v>2</v>
      </c>
      <c r="T320" s="172">
        <f t="shared" si="108"/>
        <v>8</v>
      </c>
      <c r="U320" s="247">
        <f t="shared" si="109"/>
        <v>2.4926918542225556</v>
      </c>
      <c r="V320" s="378">
        <f t="shared" si="110"/>
        <v>26.671638624928427</v>
      </c>
      <c r="W320" s="397">
        <f t="shared" si="111"/>
        <v>24.504211383772073</v>
      </c>
      <c r="X320" s="153">
        <f t="shared" si="112"/>
        <v>46328</v>
      </c>
      <c r="Y320" s="380">
        <f t="shared" si="113"/>
        <v>23.894315860223891</v>
      </c>
      <c r="Z320" s="380">
        <f t="shared" si="114"/>
        <v>24.492412927024418</v>
      </c>
      <c r="AA320" s="381">
        <f t="shared" si="115"/>
        <v>25.957024970904872</v>
      </c>
      <c r="AB320" s="193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5.642449570095693E-2</v>
      </c>
      <c r="AD320" s="227">
        <f>(INDEX(Models!$BJ320:$BT320,,AH320)*(1-AF320)+INDEX(Models!$BJ320:$BT320,,AH320+1)*AF320-ERP_i)*AE320*Ramure*Pc/MaxiM</f>
        <v>7.8788908416856721E-3</v>
      </c>
      <c r="AE320" s="301">
        <f t="shared" si="117"/>
        <v>0.5</v>
      </c>
      <c r="AF320" s="173">
        <f t="shared" si="118"/>
        <v>0.49269185422255557</v>
      </c>
      <c r="AG320" s="802">
        <f t="shared" si="124"/>
        <v>2</v>
      </c>
      <c r="AH320" s="172">
        <f t="shared" si="119"/>
        <v>8</v>
      </c>
      <c r="AI320" s="221">
        <f t="shared" si="120"/>
        <v>2.4926918542225556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46329</v>
      </c>
      <c r="B321" s="406">
        <f>'2025'!Wh/'2025'!Env_an*'2026'!Env_an</f>
        <v>8.8846749722669571</v>
      </c>
      <c r="C321" s="832"/>
      <c r="D321" s="388">
        <f t="shared" si="102"/>
        <v>9.1071913636596289</v>
      </c>
      <c r="E321" s="380">
        <f t="shared" si="125"/>
        <v>9.4117775804495487</v>
      </c>
      <c r="F321" s="380">
        <f t="shared" si="103"/>
        <v>9.4161979979747183</v>
      </c>
      <c r="G321" s="110">
        <f t="shared" si="126"/>
        <v>0.33499763578789338</v>
      </c>
      <c r="H321" s="409" t="b">
        <f>Wh_hp&gt;='2025'!Maxi_hp</f>
        <v>0</v>
      </c>
      <c r="I321" s="375">
        <f>IF(H321,Wh_hp,'2025'!Maxi_hp)</f>
        <v>9.4814767533858237</v>
      </c>
      <c r="J321" s="85">
        <f>IF(H321,An,'2025'!An_max)</f>
        <v>2022</v>
      </c>
      <c r="K321" s="193">
        <f t="shared" si="104"/>
        <v>46329</v>
      </c>
      <c r="L321" s="143">
        <f>IF(t&lt;Tvie,1-EXP((T0-t)*PertePVj)+'2025'!Pspv,1-EXP((T0-t)*PertePVj)+Pspv)</f>
        <v>2.4433042252804515E-2</v>
      </c>
      <c r="M321" s="836"/>
      <c r="N321" s="836"/>
      <c r="O321" s="48">
        <f>IF(t&lt;Tnet,'2025'!Resal+('2025'!Salim-'2025'!Resal)*(1-EXP(('2025'!Tnet-t)/('2025'!Tau_j))),Resal+(Salim-Resal)*(1-EXP((Tnet-t)/(Tau_j))))*Salcycl</f>
        <v>3.236224126488256E-2</v>
      </c>
      <c r="P321" s="334">
        <f>(INDEX(Models!$BJ321:$BT321,,T321)*(1-R321)+INDEX(Models!$BJ321:$BT321,,T321+1)*R321-ERP_i)*Q321*Ramure*Pc/MaxiM</f>
        <v>8.6984300046571063E-3</v>
      </c>
      <c r="Q321" s="301">
        <f t="shared" si="105"/>
        <v>0.5</v>
      </c>
      <c r="R321" s="173">
        <f t="shared" si="106"/>
        <v>0.49274367553794907</v>
      </c>
      <c r="S321" s="802">
        <f t="shared" si="107"/>
        <v>2</v>
      </c>
      <c r="T321" s="172">
        <f t="shared" si="108"/>
        <v>8</v>
      </c>
      <c r="U321" s="247">
        <f t="shared" si="109"/>
        <v>2.4927436755379491</v>
      </c>
      <c r="V321" s="378">
        <f t="shared" si="110"/>
        <v>26.303256692611498</v>
      </c>
      <c r="W321" s="397">
        <f t="shared" si="111"/>
        <v>8.8846749722669571</v>
      </c>
      <c r="X321" s="153">
        <f t="shared" si="112"/>
        <v>46329</v>
      </c>
      <c r="Y321" s="380">
        <f t="shared" si="113"/>
        <v>8.6638936076456634</v>
      </c>
      <c r="Z321" s="380">
        <f t="shared" si="114"/>
        <v>8.880880537049503</v>
      </c>
      <c r="AA321" s="381">
        <f t="shared" si="115"/>
        <v>9.4117775804495487</v>
      </c>
      <c r="AB321" s="193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5.6407733699831861E-2</v>
      </c>
      <c r="AD321" s="227">
        <f>(INDEX(Models!$BJ321:$BT321,,AH321)*(1-AF321)+INDEX(Models!$BJ321:$BT321,,AH321+1)*AF321-ERP_i)*AE321*Ramure*Pc/MaxiM</f>
        <v>8.6984300046571063E-3</v>
      </c>
      <c r="AE321" s="301">
        <f t="shared" si="117"/>
        <v>0.5</v>
      </c>
      <c r="AF321" s="173">
        <f t="shared" si="118"/>
        <v>0.49274367553794907</v>
      </c>
      <c r="AG321" s="802">
        <f t="shared" si="124"/>
        <v>2</v>
      </c>
      <c r="AH321" s="172">
        <f t="shared" si="119"/>
        <v>8</v>
      </c>
      <c r="AI321" s="221">
        <f t="shared" si="120"/>
        <v>2.4927436755379491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46330</v>
      </c>
      <c r="B322" s="406">
        <f>'2025'!Wh/'2025'!Env_an*'2026'!Env_an</f>
        <v>12.32382420108385</v>
      </c>
      <c r="C322" s="832"/>
      <c r="D322" s="388">
        <f t="shared" si="102"/>
        <v>12.632646901711801</v>
      </c>
      <c r="E322" s="380">
        <f t="shared" si="125"/>
        <v>13.055439849472611</v>
      </c>
      <c r="F322" s="380">
        <f t="shared" si="103"/>
        <v>13.086661523711012</v>
      </c>
      <c r="G322" s="110">
        <f t="shared" si="126"/>
        <v>0.47172893655618814</v>
      </c>
      <c r="H322" s="409" t="b">
        <f>Wh_hp&gt;='2025'!Maxi_hp</f>
        <v>0</v>
      </c>
      <c r="I322" s="375">
        <f>IF(H322,Wh_hp,'2025'!Maxi_hp)</f>
        <v>13.165201026271244</v>
      </c>
      <c r="J322" s="85">
        <f>IF(H322,An,'2025'!An_max)</f>
        <v>2022</v>
      </c>
      <c r="K322" s="193">
        <f t="shared" si="104"/>
        <v>46330</v>
      </c>
      <c r="L322" s="143">
        <f>IF(t&lt;Tvie,1-EXP((T0-t)*PertePVj)+'2025'!Pspv,1-EXP((T0-t)*PertePVj)+Pspv)</f>
        <v>2.4446396945212223E-2</v>
      </c>
      <c r="M322" s="836"/>
      <c r="N322" s="836"/>
      <c r="O322" s="48">
        <f>IF(t&lt;Tnet,'2025'!Resal+('2025'!Salim-'2025'!Resal)*(1-EXP(('2025'!Tnet-t)/('2025'!Tau_j))),Resal+(Salim-Resal)*(1-EXP((Tnet-t)/(Tau_j))))*Salcycl</f>
        <v>3.2384427689572538E-2</v>
      </c>
      <c r="P322" s="334">
        <f>(INDEX(Models!$BJ322:$BT322,,T322)*(1-R322)+INDEX(Models!$BJ322:$BT322,,T322+1)*R322-ERP_i)*Q322*Ramure*Pc/MaxiM</f>
        <v>9.5357367005864772E-3</v>
      </c>
      <c r="Q322" s="301">
        <f t="shared" si="105"/>
        <v>0.5</v>
      </c>
      <c r="R322" s="173">
        <f t="shared" si="106"/>
        <v>0.49279342048812103</v>
      </c>
      <c r="S322" s="802">
        <f t="shared" si="107"/>
        <v>2</v>
      </c>
      <c r="T322" s="172">
        <f t="shared" si="108"/>
        <v>8</v>
      </c>
      <c r="U322" s="247">
        <f t="shared" si="109"/>
        <v>2.492793420488121</v>
      </c>
      <c r="V322" s="378">
        <f t="shared" si="110"/>
        <v>25.937561830495813</v>
      </c>
      <c r="W322" s="397">
        <f t="shared" si="111"/>
        <v>12.32382420108385</v>
      </c>
      <c r="X322" s="153">
        <f t="shared" si="112"/>
        <v>46330</v>
      </c>
      <c r="Y322" s="380">
        <f t="shared" si="113"/>
        <v>12.01806960902784</v>
      </c>
      <c r="Z322" s="380">
        <f t="shared" si="114"/>
        <v>12.319230405582232</v>
      </c>
      <c r="AA322" s="381">
        <f t="shared" si="115"/>
        <v>13.055439849472611</v>
      </c>
      <c r="AB322" s="193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5.6391010366465655E-2</v>
      </c>
      <c r="AD322" s="227">
        <f>(INDEX(Models!$BJ322:$BT322,,AH322)*(1-AF322)+INDEX(Models!$BJ322:$BT322,,AH322+1)*AF322-ERP_i)*AE322*Ramure*Pc/MaxiM</f>
        <v>9.5357367005864772E-3</v>
      </c>
      <c r="AE322" s="301">
        <f t="shared" si="117"/>
        <v>0.5</v>
      </c>
      <c r="AF322" s="173">
        <f t="shared" si="118"/>
        <v>0.49279342048812103</v>
      </c>
      <c r="AG322" s="802">
        <f t="shared" si="124"/>
        <v>2</v>
      </c>
      <c r="AH322" s="172">
        <f t="shared" si="119"/>
        <v>8</v>
      </c>
      <c r="AI322" s="221">
        <f t="shared" si="120"/>
        <v>2.492793420488121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46331</v>
      </c>
      <c r="B323" s="406">
        <f>'2025'!Wh/'2025'!Env_an*'2026'!Env_an</f>
        <v>24.820823392320811</v>
      </c>
      <c r="C323" s="832"/>
      <c r="D323" s="388">
        <f t="shared" si="102"/>
        <v>25.443156680962836</v>
      </c>
      <c r="E323" s="380">
        <f t="shared" si="125"/>
        <v>26.295297782567896</v>
      </c>
      <c r="F323" s="380">
        <f t="shared" si="103"/>
        <v>26.559652431418723</v>
      </c>
      <c r="G323" s="110">
        <f t="shared" si="126"/>
        <v>0.97007940415824145</v>
      </c>
      <c r="H323" s="409" t="b">
        <f>Wh_hp&gt;='2025'!Maxi_hp</f>
        <v>0</v>
      </c>
      <c r="I323" s="375">
        <f>IF(H323,Wh_hp,'2025'!Maxi_hp)</f>
        <v>26.569385595807791</v>
      </c>
      <c r="J323" s="85">
        <f>IF(H323,An,'2025'!An_max)</f>
        <v>2022</v>
      </c>
      <c r="K323" s="193">
        <f t="shared" si="104"/>
        <v>46331</v>
      </c>
      <c r="L323" s="143">
        <f>IF(t&lt;Tvie,1-EXP((T0-t)*PertePVj)+'2025'!Pspv,1-EXP((T0-t)*PertePVj)+Pspv)</f>
        <v>2.4459751454805501E-2</v>
      </c>
      <c r="M323" s="836"/>
      <c r="N323" s="836"/>
      <c r="O323" s="48">
        <f>IF(t&lt;Tnet,'2025'!Resal+('2025'!Salim-'2025'!Resal)*(1-EXP(('2025'!Tnet-t)/('2025'!Tau_j))),Resal+(Salim-Resal)*(1-EXP((Tnet-t)/(Tau_j))))*Salcycl</f>
        <v>3.2406596367582266E-2</v>
      </c>
      <c r="P323" s="334">
        <f>(INDEX(Models!$BJ323:$BT323,,T323)*(1-R323)+INDEX(Models!$BJ323:$BT323,,T323+1)*R323-ERP_i)*Q323*Ramure*Pc/MaxiM</f>
        <v>1.0391022559704382E-2</v>
      </c>
      <c r="Q323" s="301">
        <f t="shared" si="105"/>
        <v>0.5</v>
      </c>
      <c r="R323" s="173">
        <f t="shared" si="106"/>
        <v>0.49284117187851084</v>
      </c>
      <c r="S323" s="802">
        <f t="shared" si="107"/>
        <v>2</v>
      </c>
      <c r="T323" s="172">
        <f t="shared" si="108"/>
        <v>8</v>
      </c>
      <c r="U323" s="247">
        <f t="shared" si="109"/>
        <v>2.4928411718785108</v>
      </c>
      <c r="V323" s="378">
        <f t="shared" si="110"/>
        <v>25.575069394095884</v>
      </c>
      <c r="W323" s="397">
        <f t="shared" si="111"/>
        <v>24.820823392320811</v>
      </c>
      <c r="X323" s="153">
        <f t="shared" si="112"/>
        <v>46331</v>
      </c>
      <c r="Y323" s="380">
        <f t="shared" si="113"/>
        <v>24.205998780346263</v>
      </c>
      <c r="Z323" s="380">
        <f t="shared" si="114"/>
        <v>24.812916552078942</v>
      </c>
      <c r="AA323" s="381">
        <f t="shared" si="115"/>
        <v>26.295297782567896</v>
      </c>
      <c r="AB323" s="193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5.6374384604675601E-2</v>
      </c>
      <c r="AD323" s="227">
        <f>(INDEX(Models!$BJ323:$BT323,,AH323)*(1-AF323)+INDEX(Models!$BJ323:$BT323,,AH323+1)*AF323-ERP_i)*AE323*Ramure*Pc/MaxiM</f>
        <v>1.0391022559704382E-2</v>
      </c>
      <c r="AE323" s="301">
        <f t="shared" si="117"/>
        <v>0.5</v>
      </c>
      <c r="AF323" s="173">
        <f t="shared" si="118"/>
        <v>0.49284117187851084</v>
      </c>
      <c r="AG323" s="802">
        <f t="shared" si="124"/>
        <v>2</v>
      </c>
      <c r="AH323" s="172">
        <f t="shared" si="119"/>
        <v>8</v>
      </c>
      <c r="AI323" s="221">
        <f t="shared" si="120"/>
        <v>2.4928411718785108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46332</v>
      </c>
      <c r="B324" s="406">
        <f>'2025'!Wh/'2025'!Env_an*'2026'!Env_an</f>
        <v>24.86662150683981</v>
      </c>
      <c r="C324" s="832"/>
      <c r="D324" s="388">
        <f t="shared" si="102"/>
        <v>25.490452035935725</v>
      </c>
      <c r="E324" s="380">
        <f t="shared" si="125"/>
        <v>26.34478118986377</v>
      </c>
      <c r="F324" s="380">
        <f t="shared" si="103"/>
        <v>26.637625823572371</v>
      </c>
      <c r="G324" s="110">
        <f t="shared" si="126"/>
        <v>0.98586304936720559</v>
      </c>
      <c r="H324" s="409" t="b">
        <f>Wh_hp&gt;='2025'!Maxi_hp</f>
        <v>0</v>
      </c>
      <c r="I324" s="375">
        <f>IF(H324,Wh_hp,'2025'!Maxi_hp)</f>
        <v>26.642580367893142</v>
      </c>
      <c r="J324" s="85">
        <f>IF(H324,An,'2025'!An_max)</f>
        <v>2022</v>
      </c>
      <c r="K324" s="193">
        <f t="shared" si="104"/>
        <v>46332</v>
      </c>
      <c r="L324" s="143">
        <f>IF(t&lt;Tvie,1-EXP((T0-t)*PertePVj)+'2025'!Pspv,1-EXP((T0-t)*PertePVj)+Pspv)</f>
        <v>2.4473105781586679E-2</v>
      </c>
      <c r="M324" s="836"/>
      <c r="N324" s="836"/>
      <c r="O324" s="48">
        <f>IF(t&lt;Tnet,'2025'!Resal+('2025'!Salim-'2025'!Resal)*(1-EXP(('2025'!Tnet-t)/('2025'!Tau_j))),Resal+(Salim-Resal)*(1-EXP((Tnet-t)/(Tau_j))))*Salcycl</f>
        <v>3.2428781540108267E-2</v>
      </c>
      <c r="P324" s="334">
        <f>(INDEX(Models!$BJ324:$BT324,,T324)*(1-R324)+INDEX(Models!$BJ324:$BT324,,T324+1)*R324-ERP_i)*Q324*Ramure*Pc/MaxiM</f>
        <v>1.1216610695185128E-2</v>
      </c>
      <c r="Q324" s="301">
        <f t="shared" si="105"/>
        <v>0.5</v>
      </c>
      <c r="R324" s="173">
        <f t="shared" si="106"/>
        <v>0.49288700924297979</v>
      </c>
      <c r="S324" s="802">
        <f t="shared" si="107"/>
        <v>2</v>
      </c>
      <c r="T324" s="172">
        <f t="shared" si="108"/>
        <v>8</v>
      </c>
      <c r="U324" s="247">
        <f t="shared" si="109"/>
        <v>2.4928870092429798</v>
      </c>
      <c r="V324" s="378">
        <f t="shared" si="110"/>
        <v>25.217514256638111</v>
      </c>
      <c r="W324" s="397">
        <f t="shared" si="111"/>
        <v>24.86662150683981</v>
      </c>
      <c r="X324" s="153">
        <f t="shared" si="112"/>
        <v>46332</v>
      </c>
      <c r="Y324" s="380">
        <f t="shared" si="113"/>
        <v>24.251641749792768</v>
      </c>
      <c r="Z324" s="380">
        <f t="shared" si="114"/>
        <v>24.860044242268735</v>
      </c>
      <c r="AA324" s="381">
        <f t="shared" si="115"/>
        <v>26.34478118986377</v>
      </c>
      <c r="AB324" s="193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5.6357915326557713E-2</v>
      </c>
      <c r="AD324" s="227">
        <f>(INDEX(Models!$BJ324:$BT324,,AH324)*(1-AF324)+INDEX(Models!$BJ324:$BT324,,AH324+1)*AF324-ERP_i)*AE324*Ramure*Pc/MaxiM</f>
        <v>1.1216610695185128E-2</v>
      </c>
      <c r="AE324" s="301">
        <f t="shared" si="117"/>
        <v>0.5</v>
      </c>
      <c r="AF324" s="173">
        <f t="shared" si="118"/>
        <v>0.49288700924297979</v>
      </c>
      <c r="AG324" s="802">
        <f t="shared" si="124"/>
        <v>2</v>
      </c>
      <c r="AH324" s="172">
        <f t="shared" si="119"/>
        <v>8</v>
      </c>
      <c r="AI324" s="221">
        <f t="shared" si="120"/>
        <v>2.4928870092429798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46333</v>
      </c>
      <c r="B325" s="406">
        <f>'2025'!Wh/'2025'!Env_an*'2026'!Env_an</f>
        <v>24.656264762365193</v>
      </c>
      <c r="C325" s="832"/>
      <c r="D325" s="388">
        <f t="shared" si="102"/>
        <v>25.275164054087519</v>
      </c>
      <c r="E325" s="380">
        <f t="shared" si="125"/>
        <v>26.122878024151671</v>
      </c>
      <c r="F325" s="380">
        <f t="shared" si="103"/>
        <v>26.435707583092569</v>
      </c>
      <c r="G325" s="110">
        <f t="shared" si="126"/>
        <v>0.99141117610877627</v>
      </c>
      <c r="H325" s="409" t="b">
        <f>Wh_hp&gt;='2025'!Maxi_hp</f>
        <v>0</v>
      </c>
      <c r="I325" s="375">
        <f>IF(H325,Wh_hp,'2025'!Maxi_hp)</f>
        <v>26.438884406158653</v>
      </c>
      <c r="J325" s="85">
        <f>IF(H325,An,'2025'!An_max)</f>
        <v>2022</v>
      </c>
      <c r="K325" s="193">
        <f t="shared" si="104"/>
        <v>46333</v>
      </c>
      <c r="L325" s="143">
        <f>IF(t&lt;Tvie,1-EXP((T0-t)*PertePVj)+'2025'!Pspv,1-EXP((T0-t)*PertePVj)+Pspv)</f>
        <v>2.4486459925558313E-2</v>
      </c>
      <c r="M325" s="836"/>
      <c r="N325" s="836"/>
      <c r="O325" s="48">
        <f>IF(t&lt;Tnet,'2025'!Resal+('2025'!Salim-'2025'!Resal)*(1-EXP(('2025'!Tnet-t)/('2025'!Tau_j))),Resal+(Salim-Resal)*(1-EXP((Tnet-t)/(Tau_j))))*Salcycl</f>
        <v>3.2451017429259051E-2</v>
      </c>
      <c r="P325" s="334">
        <f>(INDEX(Models!$BJ325:$BT325,,T325)*(1-R325)+INDEX(Models!$BJ325:$BT325,,T325+1)*R325-ERP_i)*Q325*Ramure*Pc/MaxiM</f>
        <v>1.1978086074185865E-2</v>
      </c>
      <c r="Q325" s="301">
        <f t="shared" si="105"/>
        <v>0.5</v>
      </c>
      <c r="R325" s="173">
        <f t="shared" si="106"/>
        <v>0.4929310089706509</v>
      </c>
      <c r="S325" s="802">
        <f t="shared" si="107"/>
        <v>2</v>
      </c>
      <c r="T325" s="172">
        <f t="shared" si="108"/>
        <v>8</v>
      </c>
      <c r="U325" s="247">
        <f t="shared" si="109"/>
        <v>2.4929310089706509</v>
      </c>
      <c r="V325" s="378">
        <f t="shared" si="110"/>
        <v>24.866231266152042</v>
      </c>
      <c r="W325" s="397">
        <f t="shared" si="111"/>
        <v>24.656264762365193</v>
      </c>
      <c r="X325" s="153">
        <f t="shared" si="112"/>
        <v>46333</v>
      </c>
      <c r="Y325" s="380">
        <f t="shared" si="113"/>
        <v>24.047454202525564</v>
      </c>
      <c r="Z325" s="380">
        <f t="shared" si="114"/>
        <v>24.651071681373583</v>
      </c>
      <c r="AA325" s="381">
        <f t="shared" si="115"/>
        <v>26.122878024151671</v>
      </c>
      <c r="AB325" s="193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5.6341661183631472E-2</v>
      </c>
      <c r="AD325" s="227">
        <f>(INDEX(Models!$BJ325:$BT325,,AH325)*(1-AF325)+INDEX(Models!$BJ325:$BT325,,AH325+1)*AF325-ERP_i)*AE325*Ramure*Pc/MaxiM</f>
        <v>1.1978086074185865E-2</v>
      </c>
      <c r="AE325" s="301">
        <f t="shared" si="117"/>
        <v>0.5</v>
      </c>
      <c r="AF325" s="173">
        <f t="shared" si="118"/>
        <v>0.4929310089706509</v>
      </c>
      <c r="AG325" s="802">
        <f t="shared" si="124"/>
        <v>2</v>
      </c>
      <c r="AH325" s="172">
        <f t="shared" si="119"/>
        <v>8</v>
      </c>
      <c r="AI325" s="221">
        <f t="shared" si="120"/>
        <v>2.4929310089706509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46334</v>
      </c>
      <c r="B326" s="406">
        <f>'2025'!Wh/'2025'!Env_an*'2026'!Env_an</f>
        <v>17.83138018706676</v>
      </c>
      <c r="C326" s="832"/>
      <c r="D326" s="388">
        <f t="shared" si="102"/>
        <v>18.279217616670085</v>
      </c>
      <c r="E326" s="380">
        <f t="shared" si="125"/>
        <v>18.89272754553345</v>
      </c>
      <c r="F326" s="380">
        <f t="shared" si="103"/>
        <v>19.039986631910914</v>
      </c>
      <c r="G326" s="110">
        <f t="shared" si="126"/>
        <v>0.72354761122021582</v>
      </c>
      <c r="H326" s="409" t="b">
        <f>Wh_hp&gt;='2025'!Maxi_hp</f>
        <v>0</v>
      </c>
      <c r="I326" s="375">
        <f>IF(H326,Wh_hp,'2025'!Maxi_hp)</f>
        <v>19.117935070519479</v>
      </c>
      <c r="J326" s="85">
        <f>IF(H326,An,'2025'!An_max)</f>
        <v>2022</v>
      </c>
      <c r="K326" s="193">
        <f t="shared" si="104"/>
        <v>46334</v>
      </c>
      <c r="L326" s="143">
        <f>IF(t&lt;Tvie,1-EXP((T0-t)*PertePVj)+'2025'!Pspv,1-EXP((T0-t)*PertePVj)+Pspv)</f>
        <v>2.4499813886723065E-2</v>
      </c>
      <c r="M326" s="836"/>
      <c r="N326" s="836"/>
      <c r="O326" s="48">
        <f>IF(t&lt;Tnet,'2025'!Resal+('2025'!Salim-'2025'!Resal)*(1-EXP(('2025'!Tnet-t)/('2025'!Tau_j))),Resal+(Salim-Resal)*(1-EXP((Tnet-t)/(Tau_j))))*Salcycl</f>
        <v>3.2473338081266671E-2</v>
      </c>
      <c r="P326" s="334">
        <f>(INDEX(Models!$BJ326:$BT326,,T326)*(1-R326)+INDEX(Models!$BJ326:$BT326,,T326+1)*R326-ERP_i)*Q326*Ramure*Pc/MaxiM</f>
        <v>1.267404062155067E-2</v>
      </c>
      <c r="Q326" s="301">
        <f t="shared" si="105"/>
        <v>0.5</v>
      </c>
      <c r="R326" s="173">
        <f t="shared" si="106"/>
        <v>0.49297324442801704</v>
      </c>
      <c r="S326" s="802">
        <f t="shared" si="107"/>
        <v>2</v>
      </c>
      <c r="T326" s="172">
        <f t="shared" si="108"/>
        <v>8</v>
      </c>
      <c r="U326" s="247">
        <f t="shared" si="109"/>
        <v>2.492973244428017</v>
      </c>
      <c r="V326" s="378">
        <f t="shared" si="110"/>
        <v>24.521688946898315</v>
      </c>
      <c r="W326" s="397">
        <f t="shared" si="111"/>
        <v>17.83138018706676</v>
      </c>
      <c r="X326" s="153">
        <f t="shared" si="112"/>
        <v>46334</v>
      </c>
      <c r="Y326" s="380">
        <f t="shared" si="113"/>
        <v>17.391784877559022</v>
      </c>
      <c r="Z326" s="380">
        <f t="shared" si="114"/>
        <v>17.828581813862879</v>
      </c>
      <c r="AA326" s="381">
        <f t="shared" si="115"/>
        <v>18.89272754553345</v>
      </c>
      <c r="AB326" s="193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5.6325680297133807E-2</v>
      </c>
      <c r="AD326" s="227">
        <f>(INDEX(Models!$BJ326:$BT326,,AH326)*(1-AF326)+INDEX(Models!$BJ326:$BT326,,AH326+1)*AF326-ERP_i)*AE326*Ramure*Pc/MaxiM</f>
        <v>1.267404062155067E-2</v>
      </c>
      <c r="AE326" s="301">
        <f t="shared" si="117"/>
        <v>0.5</v>
      </c>
      <c r="AF326" s="173">
        <f t="shared" si="118"/>
        <v>0.49297324442801704</v>
      </c>
      <c r="AG326" s="802">
        <f t="shared" si="124"/>
        <v>2</v>
      </c>
      <c r="AH326" s="172">
        <f t="shared" si="119"/>
        <v>8</v>
      </c>
      <c r="AI326" s="221">
        <f t="shared" si="120"/>
        <v>2.492973244428017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46335</v>
      </c>
      <c r="B327" s="406">
        <f>'2025'!Wh/'2025'!Env_an*'2026'!Env_an</f>
        <v>9.9415385294581675</v>
      </c>
      <c r="C327" s="832"/>
      <c r="D327" s="388">
        <f t="shared" si="102"/>
        <v>10.191361072155312</v>
      </c>
      <c r="E327" s="380">
        <f t="shared" si="125"/>
        <v>10.533660558875964</v>
      </c>
      <c r="F327" s="380">
        <f t="shared" si="103"/>
        <v>10.555942742793457</v>
      </c>
      <c r="G327" s="110">
        <f t="shared" si="126"/>
        <v>0.40646259852862565</v>
      </c>
      <c r="H327" s="409" t="b">
        <f>Wh_hp&gt;='2025'!Maxi_hp</f>
        <v>0</v>
      </c>
      <c r="I327" s="375">
        <f>IF(H327,Wh_hp,'2025'!Maxi_hp)</f>
        <v>10.653499434199968</v>
      </c>
      <c r="J327" s="85">
        <f>IF(H327,An,'2025'!An_max)</f>
        <v>2022</v>
      </c>
      <c r="K327" s="193">
        <f t="shared" si="104"/>
        <v>46335</v>
      </c>
      <c r="L327" s="143">
        <f>IF(t&lt;Tvie,1-EXP((T0-t)*PertePVj)+'2025'!Pspv,1-EXP((T0-t)*PertePVj)+Pspv)</f>
        <v>2.4513167665083158E-2</v>
      </c>
      <c r="M327" s="836"/>
      <c r="N327" s="836"/>
      <c r="O327" s="48">
        <f>IF(t&lt;Tnet,'2025'!Resal+('2025'!Salim-'2025'!Resal)*(1-EXP(('2025'!Tnet-t)/('2025'!Tau_j))),Resal+(Salim-Resal)*(1-EXP((Tnet-t)/(Tau_j))))*Salcycl</f>
        <v>3.2495777209397662E-2</v>
      </c>
      <c r="P327" s="334">
        <f>(INDEX(Models!$BJ327:$BT327,,T327)*(1-R327)+INDEX(Models!$BJ327:$BT327,,T327+1)*R327-ERP_i)*Q327*Ramure*Pc/MaxiM</f>
        <v>1.3303006481268221E-2</v>
      </c>
      <c r="Q327" s="301">
        <f t="shared" si="105"/>
        <v>0.5</v>
      </c>
      <c r="R327" s="173">
        <f t="shared" si="106"/>
        <v>0.49301378607648649</v>
      </c>
      <c r="S327" s="802">
        <f t="shared" si="107"/>
        <v>2</v>
      </c>
      <c r="T327" s="172">
        <f t="shared" si="108"/>
        <v>8</v>
      </c>
      <c r="U327" s="247">
        <f t="shared" si="109"/>
        <v>2.4930137860764865</v>
      </c>
      <c r="V327" s="378">
        <f t="shared" si="110"/>
        <v>24.18435572061988</v>
      </c>
      <c r="W327" s="397">
        <f t="shared" si="111"/>
        <v>9.9415385294581675</v>
      </c>
      <c r="X327" s="153">
        <f t="shared" si="112"/>
        <v>46335</v>
      </c>
      <c r="Y327" s="380">
        <f t="shared" si="113"/>
        <v>9.6968364330897749</v>
      </c>
      <c r="Z327" s="380">
        <f t="shared" si="114"/>
        <v>9.9405098169080475</v>
      </c>
      <c r="AA327" s="381">
        <f t="shared" si="115"/>
        <v>10.533660558875964</v>
      </c>
      <c r="AB327" s="193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5.6310029989347914E-2</v>
      </c>
      <c r="AD327" s="227">
        <f>(INDEX(Models!$BJ327:$BT327,,AH327)*(1-AF327)+INDEX(Models!$BJ327:$BT327,,AH327+1)*AF327-ERP_i)*AE327*Ramure*Pc/MaxiM</f>
        <v>1.3303006481268221E-2</v>
      </c>
      <c r="AE327" s="301">
        <f t="shared" si="117"/>
        <v>0.5</v>
      </c>
      <c r="AF327" s="173">
        <f t="shared" si="118"/>
        <v>0.49301378607648649</v>
      </c>
      <c r="AG327" s="802">
        <f t="shared" si="124"/>
        <v>2</v>
      </c>
      <c r="AH327" s="172">
        <f t="shared" si="119"/>
        <v>8</v>
      </c>
      <c r="AI327" s="221">
        <f t="shared" si="120"/>
        <v>2.4930137860764865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46336</v>
      </c>
      <c r="B328" s="406">
        <f>'2025'!Wh/'2025'!Env_an*'2026'!Env_an</f>
        <v>18.071718925510588</v>
      </c>
      <c r="C328" s="832"/>
      <c r="D328" s="388">
        <f t="shared" si="102"/>
        <v>18.526099703771909</v>
      </c>
      <c r="E328" s="380">
        <f t="shared" si="125"/>
        <v>19.148787007145117</v>
      </c>
      <c r="F328" s="380">
        <f t="shared" si="103"/>
        <v>19.323904910365691</v>
      </c>
      <c r="G328" s="110">
        <f t="shared" si="126"/>
        <v>0.75390422343943964</v>
      </c>
      <c r="H328" s="409" t="b">
        <f>Wh_hp&gt;='2025'!Maxi_hp</f>
        <v>0</v>
      </c>
      <c r="I328" s="375">
        <f>IF(H328,Wh_hp,'2025'!Maxi_hp)</f>
        <v>19.400426866804658</v>
      </c>
      <c r="J328" s="85">
        <f>IF(H328,An,'2025'!An_max)</f>
        <v>2022</v>
      </c>
      <c r="K328" s="193">
        <f t="shared" si="104"/>
        <v>46336</v>
      </c>
      <c r="L328" s="143">
        <f>IF(t&lt;Tvie,1-EXP((T0-t)*PertePVj)+'2025'!Pspv,1-EXP((T0-t)*PertePVj)+Pspv)</f>
        <v>2.4526521260641254E-2</v>
      </c>
      <c r="M328" s="836"/>
      <c r="N328" s="836"/>
      <c r="O328" s="48">
        <f>IF(t&lt;Tnet,'2025'!Resal+('2025'!Salim-'2025'!Resal)*(1-EXP(('2025'!Tnet-t)/('2025'!Tau_j))),Resal+(Salim-Resal)*(1-EXP((Tnet-t)/(Tau_j))))*Salcycl</f>
        <v>3.2518368037665307E-2</v>
      </c>
      <c r="P328" s="334">
        <f>(INDEX(Models!$BJ328:$BT328,,T328)*(1-R328)+INDEX(Models!$BJ328:$BT328,,T328+1)*R328-ERP_i)*Q328*Ramure*Pc/MaxiM</f>
        <v>1.3863459830780302E-2</v>
      </c>
      <c r="Q328" s="301">
        <f t="shared" si="105"/>
        <v>0.5</v>
      </c>
      <c r="R328" s="173">
        <f t="shared" si="106"/>
        <v>0.49305270158552172</v>
      </c>
      <c r="S328" s="802">
        <f t="shared" si="107"/>
        <v>2</v>
      </c>
      <c r="T328" s="172">
        <f t="shared" si="108"/>
        <v>8</v>
      </c>
      <c r="U328" s="247">
        <f t="shared" si="109"/>
        <v>2.4930527015855217</v>
      </c>
      <c r="V328" s="378">
        <f t="shared" si="110"/>
        <v>23.854700133150047</v>
      </c>
      <c r="W328" s="397">
        <f t="shared" si="111"/>
        <v>18.071718925510588</v>
      </c>
      <c r="X328" s="153">
        <f t="shared" si="112"/>
        <v>46336</v>
      </c>
      <c r="Y328" s="380">
        <f t="shared" si="113"/>
        <v>17.627596395221861</v>
      </c>
      <c r="Z328" s="380">
        <f t="shared" si="114"/>
        <v>18.070810513477692</v>
      </c>
      <c r="AA328" s="381">
        <f t="shared" si="115"/>
        <v>19.148787007145117</v>
      </c>
      <c r="AB328" s="193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5.6294766517857864E-2</v>
      </c>
      <c r="AD328" s="227">
        <f>(INDEX(Models!$BJ328:$BT328,,AH328)*(1-AF328)+INDEX(Models!$BJ328:$BT328,,AH328+1)*AF328-ERP_i)*AE328*Ramure*Pc/MaxiM</f>
        <v>1.3863459830780302E-2</v>
      </c>
      <c r="AE328" s="301">
        <f t="shared" si="117"/>
        <v>0.5</v>
      </c>
      <c r="AF328" s="173">
        <f t="shared" si="118"/>
        <v>0.49305270158552172</v>
      </c>
      <c r="AG328" s="802">
        <f t="shared" si="124"/>
        <v>2</v>
      </c>
      <c r="AH328" s="172">
        <f t="shared" si="119"/>
        <v>8</v>
      </c>
      <c r="AI328" s="221">
        <f t="shared" si="120"/>
        <v>2.4930527015855217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46337</v>
      </c>
      <c r="B329" s="406">
        <f>'2025'!Wh/'2025'!Env_an*'2026'!Env_an</f>
        <v>21.493900135493</v>
      </c>
      <c r="C329" s="832"/>
      <c r="D329" s="388">
        <f t="shared" si="102"/>
        <v>22.034627123580769</v>
      </c>
      <c r="E329" s="380">
        <f t="shared" si="125"/>
        <v>22.775776941299142</v>
      </c>
      <c r="F329" s="380">
        <f t="shared" si="103"/>
        <v>23.065874258943399</v>
      </c>
      <c r="G329" s="110">
        <f t="shared" si="126"/>
        <v>0.91170044259704108</v>
      </c>
      <c r="H329" s="409" t="b">
        <f>Wh_hp&gt;='2025'!Maxi_hp</f>
        <v>0</v>
      </c>
      <c r="I329" s="375">
        <f>IF(H329,Wh_hp,'2025'!Maxi_hp)</f>
        <v>23.099620779371207</v>
      </c>
      <c r="J329" s="85">
        <f>IF(H329,An,'2025'!An_max)</f>
        <v>2022</v>
      </c>
      <c r="K329" s="193">
        <f t="shared" si="104"/>
        <v>46337</v>
      </c>
      <c r="L329" s="143">
        <f>IF(t&lt;Tvie,1-EXP((T0-t)*PertePVj)+'2025'!Pspv,1-EXP((T0-t)*PertePVj)+Pspv)</f>
        <v>2.4539874673399908E-2</v>
      </c>
      <c r="M329" s="836"/>
      <c r="N329" s="836"/>
      <c r="O329" s="48">
        <f>IF(t&lt;Tnet,'2025'!Resal+('2025'!Salim-'2025'!Resal)*(1-EXP(('2025'!Tnet-t)/('2025'!Tau_j))),Resal+(Salim-Resal)*(1-EXP((Tnet-t)/(Tau_j))))*Salcycl</f>
        <v>3.2541143146447356E-2</v>
      </c>
      <c r="P329" s="334">
        <f>(INDEX(Models!$BJ329:$BT329,,T329)*(1-R329)+INDEX(Models!$BJ329:$BT329,,T329+1)*R329-ERP_i)*Q329*Ramure*Pc/MaxiM</f>
        <v>1.4353825877886929E-2</v>
      </c>
      <c r="Q329" s="301">
        <f t="shared" si="105"/>
        <v>0.5</v>
      </c>
      <c r="R329" s="173">
        <f t="shared" si="106"/>
        <v>0.49309005594151856</v>
      </c>
      <c r="S329" s="802">
        <f t="shared" si="107"/>
        <v>2</v>
      </c>
      <c r="T329" s="172">
        <f t="shared" si="108"/>
        <v>8</v>
      </c>
      <c r="U329" s="247">
        <f t="shared" si="109"/>
        <v>2.4930900559415186</v>
      </c>
      <c r="V329" s="378">
        <f t="shared" si="110"/>
        <v>23.5331910719033</v>
      </c>
      <c r="W329" s="397">
        <f t="shared" si="111"/>
        <v>21.493900135493</v>
      </c>
      <c r="X329" s="153">
        <f t="shared" si="112"/>
        <v>46337</v>
      </c>
      <c r="Y329" s="380">
        <f t="shared" si="113"/>
        <v>20.966498449336338</v>
      </c>
      <c r="Z329" s="380">
        <f t="shared" si="114"/>
        <v>21.493957471932962</v>
      </c>
      <c r="AA329" s="381">
        <f t="shared" si="115"/>
        <v>22.775776941299142</v>
      </c>
      <c r="AB329" s="193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5.6279944814609982E-2</v>
      </c>
      <c r="AD329" s="227">
        <f>(INDEX(Models!$BJ329:$BT329,,AH329)*(1-AF329)+INDEX(Models!$BJ329:$BT329,,AH329+1)*AF329-ERP_i)*AE329*Ramure*Pc/MaxiM</f>
        <v>1.4353825877886929E-2</v>
      </c>
      <c r="AE329" s="301">
        <f t="shared" si="117"/>
        <v>0.5</v>
      </c>
      <c r="AF329" s="173">
        <f t="shared" si="118"/>
        <v>0.49309005594151856</v>
      </c>
      <c r="AG329" s="802">
        <f t="shared" si="124"/>
        <v>2</v>
      </c>
      <c r="AH329" s="172">
        <f t="shared" si="119"/>
        <v>8</v>
      </c>
      <c r="AI329" s="221">
        <f t="shared" si="120"/>
        <v>2.4930900559415186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46338</v>
      </c>
      <c r="B330" s="406">
        <f>'2025'!Wh/'2025'!Env_an*'2026'!Env_an</f>
        <v>21.617915708057936</v>
      </c>
      <c r="C330" s="832"/>
      <c r="D330" s="388">
        <f t="shared" si="102"/>
        <v>22.162065964493475</v>
      </c>
      <c r="E330" s="380">
        <f t="shared" si="125"/>
        <v>22.908046673400253</v>
      </c>
      <c r="F330" s="380">
        <f t="shared" si="103"/>
        <v>23.217211122721395</v>
      </c>
      <c r="G330" s="110">
        <f t="shared" si="126"/>
        <v>0.9296180629440951</v>
      </c>
      <c r="H330" s="409" t="b">
        <f>Wh_hp&gt;='2025'!Maxi_hp</f>
        <v>0</v>
      </c>
      <c r="I330" s="375">
        <f>IF(H330,Wh_hp,'2025'!Maxi_hp)</f>
        <v>23.244988021571906</v>
      </c>
      <c r="J330" s="85">
        <f>IF(H330,An,'2025'!An_max)</f>
        <v>2022</v>
      </c>
      <c r="K330" s="193">
        <f t="shared" si="104"/>
        <v>46338</v>
      </c>
      <c r="L330" s="143">
        <f>IF(t&lt;Tvie,1-EXP((T0-t)*PertePVj)+'2025'!Pspv,1-EXP((T0-t)*PertePVj)+Pspv)</f>
        <v>2.4553227903361563E-2</v>
      </c>
      <c r="M330" s="836"/>
      <c r="N330" s="836"/>
      <c r="O330" s="48">
        <f>IF(t&lt;Tnet,'2025'!Resal+('2025'!Salim-'2025'!Resal)*(1-EXP(('2025'!Tnet-t)/('2025'!Tau_j))),Resal+(Salim-Resal)*(1-EXP((Tnet-t)/(Tau_j))))*Salcycl</f>
        <v>3.256413432110622E-2</v>
      </c>
      <c r="P330" s="334">
        <f>(INDEX(Models!$BJ330:$BT330,,T330)*(1-R330)+INDEX(Models!$BJ330:$BT330,,T330+1)*R330-ERP_i)*Q330*Ramure*Pc/MaxiM</f>
        <v>1.4772485257050364E-2</v>
      </c>
      <c r="Q330" s="301">
        <f t="shared" si="105"/>
        <v>0.5</v>
      </c>
      <c r="R330" s="173">
        <f t="shared" si="106"/>
        <v>0.4931259115525819</v>
      </c>
      <c r="S330" s="802">
        <f t="shared" si="107"/>
        <v>2</v>
      </c>
      <c r="T330" s="172">
        <f t="shared" si="108"/>
        <v>8</v>
      </c>
      <c r="U330" s="247">
        <f t="shared" si="109"/>
        <v>2.4931259115525819</v>
      </c>
      <c r="V330" s="378">
        <f t="shared" si="110"/>
        <v>23.220297986980299</v>
      </c>
      <c r="W330" s="397">
        <f t="shared" si="111"/>
        <v>21.617915708057936</v>
      </c>
      <c r="X330" s="153">
        <f t="shared" si="112"/>
        <v>46338</v>
      </c>
      <c r="Y330" s="380">
        <f t="shared" si="113"/>
        <v>21.088292298888447</v>
      </c>
      <c r="Z330" s="380">
        <f t="shared" si="114"/>
        <v>21.61911126484225</v>
      </c>
      <c r="AA330" s="381">
        <f t="shared" si="115"/>
        <v>22.908046673400253</v>
      </c>
      <c r="AB330" s="193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5.6265618231634493E-2</v>
      </c>
      <c r="AD330" s="227">
        <f>(INDEX(Models!$BJ330:$BT330,,AH330)*(1-AF330)+INDEX(Models!$BJ330:$BT330,,AH330+1)*AF330-ERP_i)*AE330*Ramure*Pc/MaxiM</f>
        <v>1.4772485257050364E-2</v>
      </c>
      <c r="AE330" s="301">
        <f t="shared" si="117"/>
        <v>0.5</v>
      </c>
      <c r="AF330" s="173">
        <f t="shared" si="118"/>
        <v>0.4931259115525819</v>
      </c>
      <c r="AG330" s="802">
        <f t="shared" si="124"/>
        <v>2</v>
      </c>
      <c r="AH330" s="172">
        <f t="shared" si="119"/>
        <v>8</v>
      </c>
      <c r="AI330" s="221">
        <f t="shared" si="120"/>
        <v>2.4931259115525819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46339</v>
      </c>
      <c r="B331" s="406">
        <f>'2025'!Wh/'2025'!Env_an*'2026'!Env_an</f>
        <v>20.581748946168016</v>
      </c>
      <c r="C331" s="832"/>
      <c r="D331" s="388">
        <f t="shared" si="102"/>
        <v>21.100106418564447</v>
      </c>
      <c r="E331" s="380">
        <f t="shared" si="125"/>
        <v>21.810865205484092</v>
      </c>
      <c r="F331" s="380">
        <f t="shared" si="103"/>
        <v>22.096334226361758</v>
      </c>
      <c r="G331" s="110">
        <f t="shared" si="126"/>
        <v>0.89616883203466269</v>
      </c>
      <c r="H331" s="409" t="b">
        <f>Wh_hp&gt;='2025'!Maxi_hp</f>
        <v>0</v>
      </c>
      <c r="I331" s="375">
        <f>IF(H331,Wh_hp,'2025'!Maxi_hp)</f>
        <v>22.136158270343074</v>
      </c>
      <c r="J331" s="85">
        <f>IF(H331,An,'2025'!An_max)</f>
        <v>2022</v>
      </c>
      <c r="K331" s="193">
        <f t="shared" si="104"/>
        <v>46339</v>
      </c>
      <c r="L331" s="143">
        <f>IF(t&lt;Tvie,1-EXP((T0-t)*PertePVj)+'2025'!Pspv,1-EXP((T0-t)*PertePVj)+Pspv)</f>
        <v>2.456658095052866E-2</v>
      </c>
      <c r="M331" s="836"/>
      <c r="N331" s="836"/>
      <c r="O331" s="48">
        <f>IF(t&lt;Tnet,'2025'!Resal+('2025'!Salim-'2025'!Resal)*(1-EXP(('2025'!Tnet-t)/('2025'!Tau_j))),Resal+(Salim-Resal)*(1-EXP((Tnet-t)/(Tau_j))))*Salcycl</f>
        <v>3.2587372404691832E-2</v>
      </c>
      <c r="P331" s="334">
        <f>(INDEX(Models!$BJ331:$BT331,,T331)*(1-R331)+INDEX(Models!$BJ331:$BT331,,T331+1)*R331-ERP_i)*Q331*Ramure*Pc/MaxiM</f>
        <v>1.5118619151986425E-2</v>
      </c>
      <c r="Q331" s="301">
        <f t="shared" si="105"/>
        <v>0.5</v>
      </c>
      <c r="R331" s="173">
        <f t="shared" si="106"/>
        <v>0.49316032834933266</v>
      </c>
      <c r="S331" s="802">
        <f t="shared" si="107"/>
        <v>2</v>
      </c>
      <c r="T331" s="172">
        <f t="shared" si="108"/>
        <v>8</v>
      </c>
      <c r="U331" s="247">
        <f t="shared" si="109"/>
        <v>2.4931603283493327</v>
      </c>
      <c r="V331" s="378">
        <f t="shared" si="110"/>
        <v>22.915202782433596</v>
      </c>
      <c r="W331" s="397">
        <f t="shared" si="111"/>
        <v>20.581748946168016</v>
      </c>
      <c r="X331" s="153">
        <f t="shared" si="112"/>
        <v>46339</v>
      </c>
      <c r="Y331" s="380">
        <f t="shared" si="113"/>
        <v>20.078286326380766</v>
      </c>
      <c r="Z331" s="380">
        <f t="shared" si="114"/>
        <v>20.583963942865946</v>
      </c>
      <c r="AA331" s="381">
        <f t="shared" si="115"/>
        <v>21.810865205484092</v>
      </c>
      <c r="AB331" s="193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5.6251838295239012E-2</v>
      </c>
      <c r="AD331" s="227">
        <f>(INDEX(Models!$BJ331:$BT331,,AH331)*(1-AF331)+INDEX(Models!$BJ331:$BT331,,AH331+1)*AF331-ERP_i)*AE331*Ramure*Pc/MaxiM</f>
        <v>1.5118619151986425E-2</v>
      </c>
      <c r="AE331" s="301">
        <f t="shared" si="117"/>
        <v>0.5</v>
      </c>
      <c r="AF331" s="173">
        <f t="shared" si="118"/>
        <v>0.49316032834933266</v>
      </c>
      <c r="AG331" s="802">
        <f t="shared" si="124"/>
        <v>2</v>
      </c>
      <c r="AH331" s="172">
        <f t="shared" si="119"/>
        <v>8</v>
      </c>
      <c r="AI331" s="221">
        <f t="shared" si="120"/>
        <v>2.4931603283493327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46340</v>
      </c>
      <c r="B332" s="406">
        <f>'2025'!Wh/'2025'!Env_an*'2026'!Env_an</f>
        <v>11.120776323761339</v>
      </c>
      <c r="C332" s="832"/>
      <c r="D332" s="388">
        <f t="shared" si="102"/>
        <v>11.401012455336401</v>
      </c>
      <c r="E332" s="380">
        <f t="shared" si="125"/>
        <v>11.785342944181284</v>
      </c>
      <c r="F332" s="380">
        <f t="shared" si="103"/>
        <v>11.835202519285028</v>
      </c>
      <c r="G332" s="110">
        <f t="shared" si="126"/>
        <v>0.48618545132592272</v>
      </c>
      <c r="H332" s="409" t="b">
        <f>Wh_hp&gt;='2025'!Maxi_hp</f>
        <v>0</v>
      </c>
      <c r="I332" s="375">
        <f>IF(H332,Wh_hp,'2025'!Maxi_hp)</f>
        <v>11.943103695327389</v>
      </c>
      <c r="J332" s="85">
        <f>IF(H332,An,'2025'!An_max)</f>
        <v>2022</v>
      </c>
      <c r="K332" s="193">
        <f t="shared" si="104"/>
        <v>46340</v>
      </c>
      <c r="L332" s="143">
        <f>IF(t&lt;Tvie,1-EXP((T0-t)*PertePVj)+'2025'!Pspv,1-EXP((T0-t)*PertePVj)+Pspv)</f>
        <v>2.4579933814903754E-2</v>
      </c>
      <c r="M332" s="836"/>
      <c r="N332" s="836"/>
      <c r="O332" s="48">
        <f>IF(t&lt;Tnet,'2025'!Resal+('2025'!Salim-'2025'!Resal)*(1-EXP(('2025'!Tnet-t)/('2025'!Tau_j))),Resal+(Salim-Resal)*(1-EXP((Tnet-t)/(Tau_j))))*Salcycl</f>
        <v>3.2610887155781657E-2</v>
      </c>
      <c r="P332" s="334">
        <f>(INDEX(Models!$BJ332:$BT332,,T332)*(1-R332)+INDEX(Models!$BJ332:$BT332,,T332+1)*R332-ERP_i)*Q332*Ramure*Pc/MaxiM</f>
        <v>1.5383181377162842E-2</v>
      </c>
      <c r="Q332" s="301">
        <f t="shared" si="105"/>
        <v>0.5</v>
      </c>
      <c r="R332" s="173">
        <f t="shared" si="106"/>
        <v>0.49319336388189416</v>
      </c>
      <c r="S332" s="802">
        <f t="shared" si="107"/>
        <v>2</v>
      </c>
      <c r="T332" s="172">
        <f t="shared" si="108"/>
        <v>8</v>
      </c>
      <c r="U332" s="247">
        <f t="shared" si="109"/>
        <v>2.4931933638818942</v>
      </c>
      <c r="V332" s="378">
        <f t="shared" si="110"/>
        <v>22.616941040326228</v>
      </c>
      <c r="W332" s="397">
        <f t="shared" si="111"/>
        <v>11.120776323761339</v>
      </c>
      <c r="X332" s="153">
        <f t="shared" si="112"/>
        <v>46340</v>
      </c>
      <c r="Y332" s="380">
        <f t="shared" si="113"/>
        <v>10.849159544280008</v>
      </c>
      <c r="Z332" s="380">
        <f t="shared" si="114"/>
        <v>11.12255111452799</v>
      </c>
      <c r="AA332" s="381">
        <f t="shared" si="115"/>
        <v>11.785342944181284</v>
      </c>
      <c r="AB332" s="193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5.6238654470426891E-2</v>
      </c>
      <c r="AD332" s="227">
        <f>(INDEX(Models!$BJ332:$BT332,,AH332)*(1-AF332)+INDEX(Models!$BJ332:$BT332,,AH332+1)*AF332-ERP_i)*AE332*Ramure*Pc/MaxiM</f>
        <v>1.5383181377162842E-2</v>
      </c>
      <c r="AE332" s="301">
        <f t="shared" si="117"/>
        <v>0.5</v>
      </c>
      <c r="AF332" s="173">
        <f t="shared" si="118"/>
        <v>0.49319336388189416</v>
      </c>
      <c r="AG332" s="802">
        <f t="shared" si="124"/>
        <v>2</v>
      </c>
      <c r="AH332" s="172">
        <f t="shared" si="119"/>
        <v>8</v>
      </c>
      <c r="AI332" s="221">
        <f t="shared" si="120"/>
        <v>2.4931933638818942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46341</v>
      </c>
      <c r="B333" s="406">
        <f>'2025'!Wh/'2025'!Env_an*'2026'!Env_an</f>
        <v>12.626260345832142</v>
      </c>
      <c r="C333" s="832"/>
      <c r="D333" s="388">
        <f t="shared" si="102"/>
        <v>12.944610869532116</v>
      </c>
      <c r="E333" s="380">
        <f t="shared" si="125"/>
        <v>13.381305867293717</v>
      </c>
      <c r="F333" s="380">
        <f t="shared" si="103"/>
        <v>13.460930973275742</v>
      </c>
      <c r="G333" s="110">
        <f t="shared" si="126"/>
        <v>0.56006435248052777</v>
      </c>
      <c r="H333" s="409" t="b">
        <f>Wh_hp&gt;='2025'!Maxi_hp</f>
        <v>0</v>
      </c>
      <c r="I333" s="375">
        <f>IF(H333,Wh_hp,'2025'!Maxi_hp)</f>
        <v>13.567075240802856</v>
      </c>
      <c r="J333" s="85">
        <f>IF(H333,An,'2025'!An_max)</f>
        <v>2022</v>
      </c>
      <c r="K333" s="193">
        <f t="shared" si="104"/>
        <v>46341</v>
      </c>
      <c r="L333" s="143">
        <f>IF(t&lt;Tvie,1-EXP((T0-t)*PertePVj)+'2025'!Pspv,1-EXP((T0-t)*PertePVj)+Pspv)</f>
        <v>2.4593286496489397E-2</v>
      </c>
      <c r="M333" s="836"/>
      <c r="N333" s="836"/>
      <c r="O333" s="48">
        <f>IF(t&lt;Tnet,'2025'!Resal+('2025'!Salim-'2025'!Resal)*(1-EXP(('2025'!Tnet-t)/('2025'!Tau_j))),Resal+(Salim-Resal)*(1-EXP((Tnet-t)/(Tau_j))))*Salcycl</f>
        <v>3.2634707112477061E-2</v>
      </c>
      <c r="P333" s="334">
        <f>(INDEX(Models!$BJ333:$BT333,,T333)*(1-R333)+INDEX(Models!$BJ333:$BT333,,T333+1)*R333-ERP_i)*Q333*Ramure*Pc/MaxiM</f>
        <v>1.5591738935759814E-2</v>
      </c>
      <c r="Q333" s="301">
        <f t="shared" si="105"/>
        <v>0.5</v>
      </c>
      <c r="R333" s="173">
        <f t="shared" si="106"/>
        <v>0.49322507341318955</v>
      </c>
      <c r="S333" s="802">
        <f t="shared" si="107"/>
        <v>2</v>
      </c>
      <c r="T333" s="172">
        <f t="shared" si="108"/>
        <v>8</v>
      </c>
      <c r="U333" s="247">
        <f t="shared" si="109"/>
        <v>2.4932250734131896</v>
      </c>
      <c r="V333" s="378">
        <f t="shared" si="110"/>
        <v>22.324855565155875</v>
      </c>
      <c r="W333" s="397">
        <f t="shared" si="111"/>
        <v>12.626260345832142</v>
      </c>
      <c r="X333" s="153">
        <f t="shared" si="112"/>
        <v>46341</v>
      </c>
      <c r="Y333" s="380">
        <f t="shared" si="113"/>
        <v>12.318340218157807</v>
      </c>
      <c r="Z333" s="380">
        <f t="shared" si="114"/>
        <v>12.62892703897047</v>
      </c>
      <c r="AA333" s="381">
        <f t="shared" si="115"/>
        <v>13.381305867293717</v>
      </c>
      <c r="AB333" s="193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5.6226113937219942E-2</v>
      </c>
      <c r="AD333" s="227">
        <f>(INDEX(Models!$BJ333:$BT333,,AH333)*(1-AF333)+INDEX(Models!$BJ333:$BT333,,AH333+1)*AF333-ERP_i)*AE333*Ramure*Pc/MaxiM</f>
        <v>1.5591738935759814E-2</v>
      </c>
      <c r="AE333" s="301">
        <f t="shared" si="117"/>
        <v>0.5</v>
      </c>
      <c r="AF333" s="173">
        <f t="shared" si="118"/>
        <v>0.49322507341318955</v>
      </c>
      <c r="AG333" s="802">
        <f t="shared" si="124"/>
        <v>2</v>
      </c>
      <c r="AH333" s="172">
        <f t="shared" si="119"/>
        <v>8</v>
      </c>
      <c r="AI333" s="221">
        <f t="shared" si="120"/>
        <v>2.4932250734131896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46342</v>
      </c>
      <c r="B334" s="406">
        <f>'2025'!Wh/'2025'!Env_an*'2026'!Env_an</f>
        <v>21.088225829935713</v>
      </c>
      <c r="C334" s="832"/>
      <c r="D334" s="388">
        <f t="shared" si="102"/>
        <v>21.620226949477708</v>
      </c>
      <c r="E334" s="380">
        <f t="shared" si="125"/>
        <v>22.350157605710379</v>
      </c>
      <c r="F334" s="380">
        <f t="shared" si="103"/>
        <v>22.685292346783978</v>
      </c>
      <c r="G334" s="110">
        <f t="shared" si="126"/>
        <v>0.95592097679573207</v>
      </c>
      <c r="H334" s="409" t="b">
        <f>Wh_hp&gt;='2025'!Maxi_hp</f>
        <v>0</v>
      </c>
      <c r="I334" s="375">
        <f>IF(H334,Wh_hp,'2025'!Maxi_hp)</f>
        <v>22.703232155133165</v>
      </c>
      <c r="J334" s="85">
        <f>IF(H334,An,'2025'!An_max)</f>
        <v>2022</v>
      </c>
      <c r="K334" s="193">
        <f t="shared" si="104"/>
        <v>46342</v>
      </c>
      <c r="L334" s="143">
        <f>IF(t&lt;Tvie,1-EXP((T0-t)*PertePVj)+'2025'!Pspv,1-EXP((T0-t)*PertePVj)+Pspv)</f>
        <v>2.4606638995288033E-2</v>
      </c>
      <c r="M334" s="836"/>
      <c r="N334" s="836"/>
      <c r="O334" s="48">
        <f>IF(t&lt;Tnet,'2025'!Resal+('2025'!Salim-'2025'!Resal)*(1-EXP(('2025'!Tnet-t)/('2025'!Tau_j))),Resal+(Salim-Resal)*(1-EXP((Tnet-t)/(Tau_j))))*Salcycl</f>
        <v>3.2658859463531295E-2</v>
      </c>
      <c r="P334" s="334">
        <f>(INDEX(Models!$BJ334:$BT334,,T334)*(1-R334)+INDEX(Models!$BJ334:$BT334,,T334+1)*R334-ERP_i)*Q334*Ramure*Pc/MaxiM</f>
        <v>1.5743386852528147E-2</v>
      </c>
      <c r="Q334" s="301">
        <f t="shared" si="105"/>
        <v>0.5</v>
      </c>
      <c r="R334" s="173">
        <f t="shared" si="106"/>
        <v>0.49325551000867884</v>
      </c>
      <c r="S334" s="802">
        <f t="shared" si="107"/>
        <v>2</v>
      </c>
      <c r="T334" s="172">
        <f t="shared" si="108"/>
        <v>8</v>
      </c>
      <c r="U334" s="247">
        <f t="shared" si="109"/>
        <v>2.4932555100086788</v>
      </c>
      <c r="V334" s="378">
        <f t="shared" si="110"/>
        <v>22.038913671193839</v>
      </c>
      <c r="W334" s="397">
        <f t="shared" si="111"/>
        <v>21.088225829935713</v>
      </c>
      <c r="X334" s="153">
        <f t="shared" si="112"/>
        <v>46342</v>
      </c>
      <c r="Y334" s="380">
        <f t="shared" si="113"/>
        <v>20.574713466692302</v>
      </c>
      <c r="Z334" s="380">
        <f t="shared" si="114"/>
        <v>21.093760004168111</v>
      </c>
      <c r="AA334" s="381">
        <f t="shared" si="115"/>
        <v>22.350157605710379</v>
      </c>
      <c r="AB334" s="193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5.6214261380477325E-2</v>
      </c>
      <c r="AD334" s="227">
        <f>(INDEX(Models!$BJ334:$BT334,,AH334)*(1-AF334)+INDEX(Models!$BJ334:$BT334,,AH334+1)*AF334-ERP_i)*AE334*Ramure*Pc/MaxiM</f>
        <v>1.5743386852528147E-2</v>
      </c>
      <c r="AE334" s="301">
        <f t="shared" si="117"/>
        <v>0.5</v>
      </c>
      <c r="AF334" s="173">
        <f t="shared" si="118"/>
        <v>0.49325551000867884</v>
      </c>
      <c r="AG334" s="802">
        <f t="shared" si="124"/>
        <v>2</v>
      </c>
      <c r="AH334" s="172">
        <f t="shared" si="119"/>
        <v>8</v>
      </c>
      <c r="AI334" s="221">
        <f t="shared" si="120"/>
        <v>2.4932555100086788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46343</v>
      </c>
      <c r="B335" s="406">
        <f>'2025'!Wh/'2025'!Env_an*'2026'!Env_an</f>
        <v>13.862132431022596</v>
      </c>
      <c r="C335" s="832"/>
      <c r="D335" s="388">
        <f t="shared" ref="D335:D379" si="127">Wh/(1-Ppv)</f>
        <v>14.212032548892266</v>
      </c>
      <c r="E335" s="380">
        <f t="shared" si="125"/>
        <v>14.692223938947011</v>
      </c>
      <c r="F335" s="380">
        <f t="shared" ref="F335:F379" si="128">Wh_sa/(1-Pvg*MEDIAN((-Sdif+Wh/Env_an)/Csdif,0,1))</f>
        <v>14.805129880436892</v>
      </c>
      <c r="G335" s="110">
        <f t="shared" si="126"/>
        <v>0.63180210259574199</v>
      </c>
      <c r="H335" s="409" t="b">
        <f>Wh_hp&gt;='2025'!Maxi_hp</f>
        <v>0</v>
      </c>
      <c r="I335" s="375">
        <f>IF(H335,Wh_hp,'2025'!Maxi_hp)</f>
        <v>14.903968962126475</v>
      </c>
      <c r="J335" s="85">
        <f>IF(H335,An,'2025'!An_max)</f>
        <v>2022</v>
      </c>
      <c r="K335" s="193">
        <f t="shared" ref="K335:K379" si="129">t</f>
        <v>46343</v>
      </c>
      <c r="L335" s="143">
        <f>IF(t&lt;Tvie,1-EXP((T0-t)*PertePVj)+'2025'!Pspv,1-EXP((T0-t)*PertePVj)+Pspv)</f>
        <v>2.4619991311302103E-2</v>
      </c>
      <c r="M335" s="836"/>
      <c r="N335" s="836"/>
      <c r="O335" s="48">
        <f>IF(t&lt;Tnet,'2025'!Resal+('2025'!Salim-'2025'!Resal)*(1-EXP(('2025'!Tnet-t)/('2025'!Tau_j))),Resal+(Salim-Resal)*(1-EXP((Tnet-t)/(Tau_j))))*Salcycl</f>
        <v>3.2683369927531902E-2</v>
      </c>
      <c r="P335" s="334">
        <f>(INDEX(Models!$BJ335:$BT335,,T335)*(1-R335)+INDEX(Models!$BJ335:$BT335,,T335+1)*R335-ERP_i)*Q335*Ramure*Pc/MaxiM</f>
        <v>1.5837192720931124E-2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0.49328472462267303</v>
      </c>
      <c r="S335" s="802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2.493284724622673</v>
      </c>
      <c r="V335" s="378">
        <f t="shared" ref="V335:V379" si="135">MaxiM*(1-Ppv)*(1-Pvg)*(1-Psa)</f>
        <v>21.759083940262613</v>
      </c>
      <c r="W335" s="397">
        <f t="shared" ref="W335:W379" si="136">Wh*(A335&gt;Tmaj)</f>
        <v>13.862132431022596</v>
      </c>
      <c r="X335" s="153">
        <f t="shared" ref="X335:X379" si="137">t</f>
        <v>46343</v>
      </c>
      <c r="Y335" s="380">
        <f t="shared" ref="Y335:Y379" si="138">Wh_pvt_s*(1-Ppv)</f>
        <v>13.5250823476809</v>
      </c>
      <c r="Z335" s="380">
        <f t="shared" ref="Z335:Z379" si="139">Wh_sa_s*(1-Psa_s)</f>
        <v>13.866474837703551</v>
      </c>
      <c r="AA335" s="381">
        <f t="shared" ref="AA335:AA379" si="140">Wh_hp*(1-Pvg_s*MEDIAN((-Sdif+Wh/Env_an)/Csdif,0,1))</f>
        <v>14.692223938947011</v>
      </c>
      <c r="AB335" s="193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5.6203138794700513E-2</v>
      </c>
      <c r="AD335" s="227">
        <f>(INDEX(Models!$BJ335:$BT335,,AH335)*(1-AF335)+INDEX(Models!$BJ335:$BT335,,AH335+1)*AF335-ERP_i)*AE335*Ramure*Pc/MaxiM</f>
        <v>1.5837192720931124E-2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0.49328472462267303</v>
      </c>
      <c r="AG335" s="802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2.493284724622673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46344</v>
      </c>
      <c r="B336" s="406">
        <f>'2025'!Wh/'2025'!Env_an*'2026'!Env_an</f>
        <v>11.490435704789689</v>
      </c>
      <c r="C336" s="832"/>
      <c r="D336" s="388">
        <f t="shared" si="127"/>
        <v>11.780632060325376</v>
      </c>
      <c r="E336" s="380">
        <f t="shared" si="125"/>
        <v>12.178985517327042</v>
      </c>
      <c r="F336" s="380">
        <f t="shared" si="128"/>
        <v>12.244174341283783</v>
      </c>
      <c r="G336" s="110">
        <f t="shared" si="126"/>
        <v>0.52913225358917326</v>
      </c>
      <c r="H336" s="409" t="b">
        <f>Wh_hp&gt;='2025'!Maxi_hp</f>
        <v>0</v>
      </c>
      <c r="I336" s="375">
        <f>IF(H336,Wh_hp,'2025'!Maxi_hp)</f>
        <v>12.349054372733571</v>
      </c>
      <c r="J336" s="85">
        <f>IF(H336,An,'2025'!An_max)</f>
        <v>2022</v>
      </c>
      <c r="K336" s="193">
        <f t="shared" si="129"/>
        <v>46344</v>
      </c>
      <c r="L336" s="143">
        <f>IF(t&lt;Tvie,1-EXP((T0-t)*PertePVj)+'2025'!Pspv,1-EXP((T0-t)*PertePVj)+Pspv)</f>
        <v>2.4633343444534272E-2</v>
      </c>
      <c r="M336" s="836"/>
      <c r="N336" s="836"/>
      <c r="O336" s="48">
        <f>IF(t&lt;Tnet,'2025'!Resal+('2025'!Salim-'2025'!Resal)*(1-EXP(('2025'!Tnet-t)/('2025'!Tau_j))),Resal+(Salim-Resal)*(1-EXP((Tnet-t)/(Tau_j))))*Salcycl</f>
        <v>3.2708262640999901E-2</v>
      </c>
      <c r="P336" s="334">
        <f>(INDEX(Models!$BJ336:$BT336,,T336)*(1-R336)+INDEX(Models!$BJ336:$BT336,,T336+1)*R336-ERP_i)*Q336*Ramure*Pc/MaxiM</f>
        <v>1.5872191274155931E-2</v>
      </c>
      <c r="Q336" s="301">
        <f t="shared" si="130"/>
        <v>0.5</v>
      </c>
      <c r="R336" s="173">
        <f t="shared" si="131"/>
        <v>0.49331276618133657</v>
      </c>
      <c r="S336" s="802">
        <f t="shared" si="132"/>
        <v>2</v>
      </c>
      <c r="T336" s="172">
        <f t="shared" si="133"/>
        <v>8</v>
      </c>
      <c r="U336" s="247">
        <f t="shared" si="134"/>
        <v>2.4933127661813366</v>
      </c>
      <c r="V336" s="378">
        <f t="shared" si="135"/>
        <v>21.485336336213223</v>
      </c>
      <c r="W336" s="397">
        <f t="shared" si="136"/>
        <v>11.490435704789689</v>
      </c>
      <c r="X336" s="153">
        <f t="shared" si="137"/>
        <v>46344</v>
      </c>
      <c r="Y336" s="380">
        <f t="shared" si="138"/>
        <v>11.211463614665741</v>
      </c>
      <c r="Z336" s="380">
        <f t="shared" si="139"/>
        <v>11.494614398916745</v>
      </c>
      <c r="AA336" s="381">
        <f t="shared" si="140"/>
        <v>12.178985517327042</v>
      </c>
      <c r="AB336" s="193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5.6192785305199895E-2</v>
      </c>
      <c r="AD336" s="227">
        <f>(INDEX(Models!$BJ336:$BT336,,AH336)*(1-AF336)+INDEX(Models!$BJ336:$BT336,,AH336+1)*AF336-ERP_i)*AE336*Ramure*Pc/MaxiM</f>
        <v>1.5872191274155931E-2</v>
      </c>
      <c r="AE336" s="301">
        <f t="shared" si="142"/>
        <v>0.5</v>
      </c>
      <c r="AF336" s="173">
        <f t="shared" si="143"/>
        <v>0.49331276618133657</v>
      </c>
      <c r="AG336" s="802">
        <f t="shared" ref="AG336:AG379" si="149">INDEX(Echel_vg,AH336)</f>
        <v>2</v>
      </c>
      <c r="AH336" s="172">
        <f t="shared" si="144"/>
        <v>8</v>
      </c>
      <c r="AI336" s="221">
        <f t="shared" si="145"/>
        <v>2.4933127661813366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46345</v>
      </c>
      <c r="B337" s="406">
        <f>'2025'!Wh/'2025'!Env_an*'2026'!Env_an</f>
        <v>8.2465068444115666</v>
      </c>
      <c r="C337" s="832"/>
      <c r="D337" s="388">
        <f t="shared" si="127"/>
        <v>8.454891991934284</v>
      </c>
      <c r="E337" s="380">
        <f t="shared" si="125"/>
        <v>8.7410165832131295</v>
      </c>
      <c r="F337" s="380">
        <f t="shared" si="128"/>
        <v>8.7585972393268392</v>
      </c>
      <c r="G337" s="110">
        <f t="shared" si="126"/>
        <v>0.38327276956099715</v>
      </c>
      <c r="H337" s="409" t="b">
        <f>Wh_hp&gt;='2025'!Maxi_hp</f>
        <v>0</v>
      </c>
      <c r="I337" s="375">
        <f>IF(H337,Wh_hp,'2025'!Maxi_hp)</f>
        <v>8.8569305429618339</v>
      </c>
      <c r="J337" s="85">
        <f>IF(H337,An,'2025'!An_max)</f>
        <v>2022</v>
      </c>
      <c r="K337" s="193">
        <f t="shared" si="129"/>
        <v>46345</v>
      </c>
      <c r="L337" s="143">
        <f>IF(t&lt;Tvie,1-EXP((T0-t)*PertePVj)+'2025'!Pspv,1-EXP((T0-t)*PertePVj)+Pspv)</f>
        <v>2.4646695394986873E-2</v>
      </c>
      <c r="M337" s="836"/>
      <c r="N337" s="836"/>
      <c r="O337" s="48">
        <f>IF(t&lt;Tnet,'2025'!Resal+('2025'!Salim-'2025'!Resal)*(1-EXP(('2025'!Tnet-t)/('2025'!Tau_j))),Resal+(Salim-Resal)*(1-EXP((Tnet-t)/(Tau_j))))*Salcycl</f>
        <v>3.273356005619979E-2</v>
      </c>
      <c r="P337" s="334">
        <f>(INDEX(Models!$BJ337:$BT337,,T337)*(1-R337)+INDEX(Models!$BJ337:$BT337,,T337+1)*R337-ERP_i)*Q337*Ramure*Pc/MaxiM</f>
        <v>1.5847379219549235E-2</v>
      </c>
      <c r="Q337" s="301">
        <f t="shared" si="130"/>
        <v>0.5</v>
      </c>
      <c r="R337" s="173">
        <f t="shared" si="131"/>
        <v>0.49333968166250708</v>
      </c>
      <c r="S337" s="802">
        <f t="shared" si="132"/>
        <v>2</v>
      </c>
      <c r="T337" s="172">
        <f t="shared" si="133"/>
        <v>8</v>
      </c>
      <c r="U337" s="247">
        <f t="shared" si="134"/>
        <v>2.4933396816625071</v>
      </c>
      <c r="V337" s="378">
        <f t="shared" si="135"/>
        <v>21.217642318239097</v>
      </c>
      <c r="W337" s="397">
        <f t="shared" si="136"/>
        <v>8.2465068444115666</v>
      </c>
      <c r="X337" s="153">
        <f t="shared" si="137"/>
        <v>46345</v>
      </c>
      <c r="Y337" s="380">
        <f t="shared" si="138"/>
        <v>8.0465847614287309</v>
      </c>
      <c r="Z337" s="380">
        <f t="shared" si="139"/>
        <v>8.2499179768374713</v>
      </c>
      <c r="AA337" s="381">
        <f t="shared" si="140"/>
        <v>8.7410165832131295</v>
      </c>
      <c r="AB337" s="193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5.6183237006871688E-2</v>
      </c>
      <c r="AD337" s="227">
        <f>(INDEX(Models!$BJ337:$BT337,,AH337)*(1-AF337)+INDEX(Models!$BJ337:$BT337,,AH337+1)*AF337-ERP_i)*AE337*Ramure*Pc/MaxiM</f>
        <v>1.5847379219549235E-2</v>
      </c>
      <c r="AE337" s="301">
        <f t="shared" si="142"/>
        <v>0.5</v>
      </c>
      <c r="AF337" s="173">
        <f t="shared" si="143"/>
        <v>0.49333968166250708</v>
      </c>
      <c r="AG337" s="802">
        <f t="shared" si="149"/>
        <v>2</v>
      </c>
      <c r="AH337" s="172">
        <f t="shared" si="144"/>
        <v>8</v>
      </c>
      <c r="AI337" s="221">
        <f t="shared" si="145"/>
        <v>2.4933396816625071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46346</v>
      </c>
      <c r="B338" s="406">
        <f>'2025'!Wh/'2025'!Env_an*'2026'!Env_an</f>
        <v>14.845611925677106</v>
      </c>
      <c r="C338" s="832"/>
      <c r="D338" s="388">
        <f t="shared" si="127"/>
        <v>15.22096155549673</v>
      </c>
      <c r="E338" s="380">
        <f t="shared" si="125"/>
        <v>15.736477265282966</v>
      </c>
      <c r="F338" s="380">
        <f t="shared" si="128"/>
        <v>15.882629204052799</v>
      </c>
      <c r="G338" s="110">
        <f t="shared" si="126"/>
        <v>0.7037288697719255</v>
      </c>
      <c r="H338" s="409" t="b">
        <f>Wh_hp&gt;='2025'!Maxi_hp</f>
        <v>0</v>
      </c>
      <c r="I338" s="375">
        <f>IF(H338,Wh_hp,'2025'!Maxi_hp)</f>
        <v>15.967385749042172</v>
      </c>
      <c r="J338" s="85">
        <f>IF(H338,An,'2025'!An_max)</f>
        <v>2022</v>
      </c>
      <c r="K338" s="193">
        <f t="shared" si="129"/>
        <v>46346</v>
      </c>
      <c r="L338" s="143">
        <f>IF(t&lt;Tvie,1-EXP((T0-t)*PertePVj)+'2025'!Pspv,1-EXP((T0-t)*PertePVj)+Pspv)</f>
        <v>2.4660047162662568E-2</v>
      </c>
      <c r="M338" s="836"/>
      <c r="N338" s="836"/>
      <c r="O338" s="48">
        <f>IF(t&lt;Tnet,'2025'!Resal+('2025'!Salim-'2025'!Resal)*(1-EXP(('2025'!Tnet-t)/('2025'!Tau_j))),Resal+(Salim-Resal)*(1-EXP((Tnet-t)/(Tau_j))))*Salcycl</f>
        <v>3.2759282849379609E-2</v>
      </c>
      <c r="P338" s="334">
        <f>(INDEX(Models!$BJ338:$BT338,,T338)*(1-R338)+INDEX(Models!$BJ338:$BT338,,T338+1)*R338-ERP_i)*Q338*Ramure*Pc/MaxiM</f>
        <v>1.5771278696131909E-2</v>
      </c>
      <c r="Q338" s="301">
        <f t="shared" si="130"/>
        <v>0.5</v>
      </c>
      <c r="R338" s="173">
        <f t="shared" si="131"/>
        <v>0.49336551617244595</v>
      </c>
      <c r="S338" s="802">
        <f t="shared" si="132"/>
        <v>2</v>
      </c>
      <c r="T338" s="172">
        <f t="shared" si="133"/>
        <v>8</v>
      </c>
      <c r="U338" s="247">
        <f t="shared" si="134"/>
        <v>2.493365516172446</v>
      </c>
      <c r="V338" s="378">
        <f t="shared" si="135"/>
        <v>20.955771211417094</v>
      </c>
      <c r="W338" s="397">
        <f t="shared" si="136"/>
        <v>14.845611925677106</v>
      </c>
      <c r="X338" s="153">
        <f t="shared" si="137"/>
        <v>46346</v>
      </c>
      <c r="Y338" s="380">
        <f t="shared" si="138"/>
        <v>14.486225044010151</v>
      </c>
      <c r="Z338" s="380">
        <f t="shared" si="139"/>
        <v>14.852488101065306</v>
      </c>
      <c r="AA338" s="381">
        <f t="shared" si="140"/>
        <v>15.736477265282966</v>
      </c>
      <c r="AB338" s="193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5.617452682169672E-2</v>
      </c>
      <c r="AD338" s="227">
        <f>(INDEX(Models!$BJ338:$BT338,,AH338)*(1-AF338)+INDEX(Models!$BJ338:$BT338,,AH338+1)*AF338-ERP_i)*AE338*Ramure*Pc/MaxiM</f>
        <v>1.5771278696131909E-2</v>
      </c>
      <c r="AE338" s="301">
        <f t="shared" si="142"/>
        <v>0.5</v>
      </c>
      <c r="AF338" s="173">
        <f t="shared" si="143"/>
        <v>0.49336551617244595</v>
      </c>
      <c r="AG338" s="802">
        <f t="shared" si="149"/>
        <v>2</v>
      </c>
      <c r="AH338" s="172">
        <f t="shared" si="144"/>
        <v>8</v>
      </c>
      <c r="AI338" s="221">
        <f t="shared" si="145"/>
        <v>2.493365516172446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46347</v>
      </c>
      <c r="B339" s="406">
        <f>'2025'!Wh/'2025'!Env_an*'2026'!Env_an</f>
        <v>3.380914930762176</v>
      </c>
      <c r="C339" s="832"/>
      <c r="D339" s="388">
        <f t="shared" si="127"/>
        <v>3.4664438829215523</v>
      </c>
      <c r="E339" s="380">
        <f t="shared" si="125"/>
        <v>3.5839451364212871</v>
      </c>
      <c r="F339" s="380">
        <f t="shared" si="128"/>
        <v>3.5839451364212871</v>
      </c>
      <c r="G339" s="110">
        <f t="shared" si="126"/>
        <v>0.16077658697463146</v>
      </c>
      <c r="H339" s="409" t="b">
        <f>Wh_hp&gt;='2025'!Maxi_hp</f>
        <v>0</v>
      </c>
      <c r="I339" s="375">
        <f>IF(H339,Wh_hp,'2025'!Maxi_hp)</f>
        <v>3.629559805133463</v>
      </c>
      <c r="J339" s="85">
        <f>IF(H339,An,'2025'!An_max)</f>
        <v>2022</v>
      </c>
      <c r="K339" s="193">
        <f t="shared" si="129"/>
        <v>46347</v>
      </c>
      <c r="L339" s="143">
        <f>IF(t&lt;Tvie,1-EXP((T0-t)*PertePVj)+'2025'!Pspv,1-EXP((T0-t)*PertePVj)+Pspv)</f>
        <v>2.4673398747563691E-2</v>
      </c>
      <c r="M339" s="836"/>
      <c r="N339" s="836"/>
      <c r="O339" s="48">
        <f>IF(t&lt;Tnet,'2025'!Resal+('2025'!Salim-'2025'!Resal)*(1-EXP(('2025'!Tnet-t)/('2025'!Tau_j))),Resal+(Salim-Resal)*(1-EXP((Tnet-t)/(Tau_j))))*Salcycl</f>
        <v>3.278544984007891E-2</v>
      </c>
      <c r="P339" s="334">
        <f>(INDEX(Models!$BJ339:$BT339,,T339)*(1-R339)+INDEX(Models!$BJ339:$BT339,,T339+1)*R339-ERP_i)*Q339*Ramure*Pc/MaxiM</f>
        <v>1.5695344813361271E-2</v>
      </c>
      <c r="Q339" s="301">
        <f t="shared" si="130"/>
        <v>0.5</v>
      </c>
      <c r="R339" s="173">
        <f t="shared" si="131"/>
        <v>0.49339031301963132</v>
      </c>
      <c r="S339" s="802">
        <f t="shared" si="132"/>
        <v>2</v>
      </c>
      <c r="T339" s="172">
        <f t="shared" si="133"/>
        <v>8</v>
      </c>
      <c r="U339" s="247">
        <f t="shared" si="134"/>
        <v>2.4933903130196313</v>
      </c>
      <c r="V339" s="378">
        <f t="shared" si="135"/>
        <v>20.698600261145703</v>
      </c>
      <c r="W339" s="397">
        <f t="shared" si="136"/>
        <v>3.380914930762176</v>
      </c>
      <c r="X339" s="153">
        <f t="shared" si="137"/>
        <v>46347</v>
      </c>
      <c r="Y339" s="380">
        <f t="shared" si="138"/>
        <v>3.2991854272835233</v>
      </c>
      <c r="Z339" s="380">
        <f t="shared" si="139"/>
        <v>3.3826468211232767</v>
      </c>
      <c r="AA339" s="381">
        <f t="shared" si="140"/>
        <v>3.5839451364212871</v>
      </c>
      <c r="AB339" s="193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5.6166684375926174E-2</v>
      </c>
      <c r="AD339" s="227">
        <f>(INDEX(Models!$BJ339:$BT339,,AH339)*(1-AF339)+INDEX(Models!$BJ339:$BT339,,AH339+1)*AF339-ERP_i)*AE339*Ramure*Pc/MaxiM</f>
        <v>1.5695344813361271E-2</v>
      </c>
      <c r="AE339" s="301">
        <f t="shared" si="142"/>
        <v>0.5</v>
      </c>
      <c r="AF339" s="173">
        <f t="shared" si="143"/>
        <v>0.49339031301963132</v>
      </c>
      <c r="AG339" s="802">
        <f t="shared" si="149"/>
        <v>2</v>
      </c>
      <c r="AH339" s="172">
        <f t="shared" si="144"/>
        <v>8</v>
      </c>
      <c r="AI339" s="221">
        <f t="shared" si="145"/>
        <v>2.4933903130196313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46348</v>
      </c>
      <c r="B340" s="406">
        <f>'2025'!Wh/'2025'!Env_an*'2026'!Env_an</f>
        <v>9.487167126648643</v>
      </c>
      <c r="C340" s="832"/>
      <c r="D340" s="388">
        <f t="shared" si="127"/>
        <v>9.7273026159592835</v>
      </c>
      <c r="E340" s="380">
        <f t="shared" si="125"/>
        <v>10.057303646907382</v>
      </c>
      <c r="F340" s="380">
        <f t="shared" si="128"/>
        <v>10.094244841001601</v>
      </c>
      <c r="G340" s="110">
        <f t="shared" si="126"/>
        <v>0.45843806510282903</v>
      </c>
      <c r="H340" s="409" t="b">
        <f>Wh_hp&gt;='2025'!Maxi_hp</f>
        <v>0</v>
      </c>
      <c r="I340" s="375">
        <f>IF(H340,Wh_hp,'2025'!Maxi_hp)</f>
        <v>10.192243033063592</v>
      </c>
      <c r="J340" s="85">
        <f>IF(H340,An,'2025'!An_max)</f>
        <v>2022</v>
      </c>
      <c r="K340" s="193">
        <f t="shared" si="129"/>
        <v>46348</v>
      </c>
      <c r="L340" s="143">
        <f>IF(t&lt;Tvie,1-EXP((T0-t)*PertePVj)+'2025'!Pspv,1-EXP((T0-t)*PertePVj)+Pspv)</f>
        <v>2.4686750149692904E-2</v>
      </c>
      <c r="M340" s="836"/>
      <c r="N340" s="836"/>
      <c r="O340" s="48">
        <f>IF(t&lt;Tnet,'2025'!Resal+('2025'!Salim-'2025'!Resal)*(1-EXP(('2025'!Tnet-t)/('2025'!Tau_j))),Resal+(Salim-Resal)*(1-EXP((Tnet-t)/(Tau_j))))*Salcycl</f>
        <v>3.2812077922055524E-2</v>
      </c>
      <c r="P340" s="334">
        <f>(INDEX(Models!$BJ340:$BT340,,T340)*(1-R340)+INDEX(Models!$BJ340:$BT340,,T340+1)*R340-ERP_i)*Q340*Ramure*Pc/MaxiM</f>
        <v>1.561960937092919E-2</v>
      </c>
      <c r="Q340" s="301">
        <f t="shared" si="130"/>
        <v>0.5</v>
      </c>
      <c r="R340" s="173">
        <f t="shared" si="131"/>
        <v>0.49341411378569999</v>
      </c>
      <c r="S340" s="802">
        <f t="shared" si="132"/>
        <v>2</v>
      </c>
      <c r="T340" s="172">
        <f t="shared" si="133"/>
        <v>8</v>
      </c>
      <c r="U340" s="247">
        <f t="shared" si="134"/>
        <v>2.4934141137857</v>
      </c>
      <c r="V340" s="378">
        <f t="shared" si="135"/>
        <v>20.446129456488599</v>
      </c>
      <c r="W340" s="397">
        <f t="shared" si="136"/>
        <v>9.487167126648643</v>
      </c>
      <c r="X340" s="153">
        <f t="shared" si="137"/>
        <v>46348</v>
      </c>
      <c r="Y340" s="380">
        <f t="shared" si="138"/>
        <v>9.2581494474829569</v>
      </c>
      <c r="Z340" s="380">
        <f t="shared" si="139"/>
        <v>9.4924881302534487</v>
      </c>
      <c r="AA340" s="381">
        <f t="shared" si="140"/>
        <v>10.057303646907382</v>
      </c>
      <c r="AB340" s="193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5.6159735897763609E-2</v>
      </c>
      <c r="AD340" s="227">
        <f>(INDEX(Models!$BJ340:$BT340,,AH340)*(1-AF340)+INDEX(Models!$BJ340:$BT340,,AH340+1)*AF340-ERP_i)*AE340*Ramure*Pc/MaxiM</f>
        <v>1.561960937092919E-2</v>
      </c>
      <c r="AE340" s="301">
        <f t="shared" si="142"/>
        <v>0.5</v>
      </c>
      <c r="AF340" s="173">
        <f t="shared" si="143"/>
        <v>0.49341411378569999</v>
      </c>
      <c r="AG340" s="802">
        <f t="shared" si="149"/>
        <v>2</v>
      </c>
      <c r="AH340" s="172">
        <f t="shared" si="144"/>
        <v>8</v>
      </c>
      <c r="AI340" s="221">
        <f t="shared" si="145"/>
        <v>2.4934141137857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46349</v>
      </c>
      <c r="B341" s="406">
        <f>'2025'!Wh/'2025'!Env_an*'2026'!Env_an</f>
        <v>12.653623238107384</v>
      </c>
      <c r="C341" s="832"/>
      <c r="D341" s="388">
        <f t="shared" si="127"/>
        <v>12.974084438919339</v>
      </c>
      <c r="E341" s="380">
        <f t="shared" si="125"/>
        <v>13.414609233067299</v>
      </c>
      <c r="F341" s="380">
        <f t="shared" si="128"/>
        <v>13.512568000018776</v>
      </c>
      <c r="G341" s="110">
        <f t="shared" si="126"/>
        <v>0.62123361271549937</v>
      </c>
      <c r="H341" s="409" t="b">
        <f>Wh_hp&gt;='2025'!Maxi_hp</f>
        <v>0</v>
      </c>
      <c r="I341" s="375">
        <f>IF(H341,Wh_hp,'2025'!Maxi_hp)</f>
        <v>13.60365476086419</v>
      </c>
      <c r="J341" s="85">
        <f>IF(H341,An,'2025'!An_max)</f>
        <v>2022</v>
      </c>
      <c r="K341" s="193">
        <f t="shared" si="129"/>
        <v>46349</v>
      </c>
      <c r="L341" s="143">
        <f>IF(t&lt;Tvie,1-EXP((T0-t)*PertePVj)+'2025'!Pspv,1-EXP((T0-t)*PertePVj)+Pspv)</f>
        <v>2.4700101369052541E-2</v>
      </c>
      <c r="M341" s="836"/>
      <c r="N341" s="836"/>
      <c r="O341" s="48">
        <f>IF(t&lt;Tnet,'2025'!Resal+('2025'!Salim-'2025'!Resal)*(1-EXP(('2025'!Tnet-t)/('2025'!Tau_j))),Resal+(Salim-Resal)*(1-EXP((Tnet-t)/(Tau_j))))*Salcycl</f>
        <v>3.2839182006290296E-2</v>
      </c>
      <c r="P341" s="334">
        <f>(INDEX(Models!$BJ341:$BT341,,T341)*(1-R341)+INDEX(Models!$BJ341:$BT341,,T341+1)*R341-ERP_i)*Q341*Ramure*Pc/MaxiM</f>
        <v>1.5544009962820945E-2</v>
      </c>
      <c r="Q341" s="301">
        <f t="shared" si="130"/>
        <v>0.5</v>
      </c>
      <c r="R341" s="173">
        <f t="shared" si="131"/>
        <v>0.49343695839364976</v>
      </c>
      <c r="S341" s="802">
        <f t="shared" si="132"/>
        <v>2</v>
      </c>
      <c r="T341" s="172">
        <f t="shared" si="133"/>
        <v>8</v>
      </c>
      <c r="U341" s="247">
        <f t="shared" si="134"/>
        <v>2.4934369583936498</v>
      </c>
      <c r="V341" s="378">
        <f t="shared" si="135"/>
        <v>20.198360792178931</v>
      </c>
      <c r="W341" s="397">
        <f t="shared" si="136"/>
        <v>12.653623238107384</v>
      </c>
      <c r="X341" s="153">
        <f t="shared" si="137"/>
        <v>46349</v>
      </c>
      <c r="Y341" s="380">
        <f t="shared" si="138"/>
        <v>12.348593119517323</v>
      </c>
      <c r="Z341" s="380">
        <f t="shared" si="139"/>
        <v>12.661329235091021</v>
      </c>
      <c r="AA341" s="381">
        <f t="shared" si="140"/>
        <v>13.414609233067299</v>
      </c>
      <c r="AB341" s="193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5.6153704136191133E-2</v>
      </c>
      <c r="AD341" s="227">
        <f>(INDEX(Models!$BJ341:$BT341,,AH341)*(1-AF341)+INDEX(Models!$BJ341:$BT341,,AH341+1)*AF341-ERP_i)*AE341*Ramure*Pc/MaxiM</f>
        <v>1.5544009962820945E-2</v>
      </c>
      <c r="AE341" s="301">
        <f t="shared" si="142"/>
        <v>0.5</v>
      </c>
      <c r="AF341" s="173">
        <f t="shared" si="143"/>
        <v>0.49343695839364976</v>
      </c>
      <c r="AG341" s="802">
        <f t="shared" si="149"/>
        <v>2</v>
      </c>
      <c r="AH341" s="172">
        <f t="shared" si="144"/>
        <v>8</v>
      </c>
      <c r="AI341" s="221">
        <f t="shared" si="145"/>
        <v>2.4934369583936498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46350</v>
      </c>
      <c r="B342" s="406">
        <f>'2025'!Wh/'2025'!Env_an*'2026'!Env_an</f>
        <v>11.765222182711163</v>
      </c>
      <c r="C342" s="832"/>
      <c r="D342" s="388">
        <f t="shared" si="127"/>
        <v>12.063349188739762</v>
      </c>
      <c r="E342" s="380">
        <f t="shared" si="125"/>
        <v>12.473306548273955</v>
      </c>
      <c r="F342" s="380">
        <f t="shared" si="128"/>
        <v>12.553638348813303</v>
      </c>
      <c r="G342" s="110">
        <f t="shared" si="126"/>
        <v>0.5841973653589535</v>
      </c>
      <c r="H342" s="409" t="b">
        <f>Wh_hp&gt;='2025'!Maxi_hp</f>
        <v>0</v>
      </c>
      <c r="I342" s="375">
        <f>IF(H342,Wh_hp,'2025'!Maxi_hp)</f>
        <v>12.646209273203628</v>
      </c>
      <c r="J342" s="85">
        <f>IF(H342,An,'2025'!An_max)</f>
        <v>2022</v>
      </c>
      <c r="K342" s="193">
        <f t="shared" si="129"/>
        <v>46350</v>
      </c>
      <c r="L342" s="143">
        <f>IF(t&lt;Tvie,1-EXP((T0-t)*PertePVj)+'2025'!Pspv,1-EXP((T0-t)*PertePVj)+Pspv)</f>
        <v>2.4713452405645264E-2</v>
      </c>
      <c r="M342" s="836"/>
      <c r="N342" s="836"/>
      <c r="O342" s="48">
        <f>IF(t&lt;Tnet,'2025'!Resal+('2025'!Salim-'2025'!Resal)*(1-EXP(('2025'!Tnet-t)/('2025'!Tau_j))),Resal+(Salim-Resal)*(1-EXP((Tnet-t)/(Tau_j))))*Salcycl</f>
        <v>3.2866774976433456E-2</v>
      </c>
      <c r="P342" s="334">
        <f>(INDEX(Models!$BJ342:$BT342,,T342)*(1-R342)+INDEX(Models!$BJ342:$BT342,,T342+1)*R342-ERP_i)*Q342*Ramure*Pc/MaxiM</f>
        <v>1.546852604698737E-2</v>
      </c>
      <c r="Q342" s="301">
        <f t="shared" si="130"/>
        <v>0.5</v>
      </c>
      <c r="R342" s="173">
        <f t="shared" si="131"/>
        <v>0.49345888517339764</v>
      </c>
      <c r="S342" s="802">
        <f t="shared" si="132"/>
        <v>2</v>
      </c>
      <c r="T342" s="172">
        <f t="shared" si="133"/>
        <v>8</v>
      </c>
      <c r="U342" s="247">
        <f t="shared" si="134"/>
        <v>2.4934588851733976</v>
      </c>
      <c r="V342" s="378">
        <f t="shared" si="135"/>
        <v>19.955295386777546</v>
      </c>
      <c r="W342" s="397">
        <f t="shared" si="136"/>
        <v>11.765222182711163</v>
      </c>
      <c r="X342" s="153">
        <f t="shared" si="137"/>
        <v>46350</v>
      </c>
      <c r="Y342" s="380">
        <f t="shared" si="138"/>
        <v>11.481997560909294</v>
      </c>
      <c r="Z342" s="380">
        <f t="shared" si="139"/>
        <v>11.772947744671379</v>
      </c>
      <c r="AA342" s="381">
        <f t="shared" si="140"/>
        <v>12.473306548273955</v>
      </c>
      <c r="AB342" s="193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5.614860830142037E-2</v>
      </c>
      <c r="AD342" s="227">
        <f>(INDEX(Models!$BJ342:$BT342,,AH342)*(1-AF342)+INDEX(Models!$BJ342:$BT342,,AH342+1)*AF342-ERP_i)*AE342*Ramure*Pc/MaxiM</f>
        <v>1.546852604698737E-2</v>
      </c>
      <c r="AE342" s="301">
        <f t="shared" si="142"/>
        <v>0.5</v>
      </c>
      <c r="AF342" s="173">
        <f t="shared" si="143"/>
        <v>0.49345888517339764</v>
      </c>
      <c r="AG342" s="802">
        <f t="shared" si="149"/>
        <v>2</v>
      </c>
      <c r="AH342" s="172">
        <f t="shared" si="144"/>
        <v>8</v>
      </c>
      <c r="AI342" s="221">
        <f t="shared" si="145"/>
        <v>2.4934588851733976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46351</v>
      </c>
      <c r="B343" s="406">
        <f>'2025'!Wh/'2025'!Env_an*'2026'!Env_an</f>
        <v>4.7751957438950745</v>
      </c>
      <c r="C343" s="832"/>
      <c r="D343" s="388">
        <f t="shared" si="127"/>
        <v>4.8962647182905465</v>
      </c>
      <c r="E343" s="380">
        <f t="shared" si="125"/>
        <v>5.0628050193758964</v>
      </c>
      <c r="F343" s="380">
        <f t="shared" si="128"/>
        <v>5.0628050193758964</v>
      </c>
      <c r="G343" s="110">
        <f t="shared" si="126"/>
        <v>0.23845950950309638</v>
      </c>
      <c r="H343" s="409" t="b">
        <f>Wh_hp&gt;='2025'!Maxi_hp</f>
        <v>0</v>
      </c>
      <c r="I343" s="375">
        <f>IF(H343,Wh_hp,'2025'!Maxi_hp)</f>
        <v>5.1261400512885871</v>
      </c>
      <c r="J343" s="85">
        <f>IF(H343,An,'2025'!An_max)</f>
        <v>2022</v>
      </c>
      <c r="K343" s="193">
        <f t="shared" si="129"/>
        <v>46351</v>
      </c>
      <c r="L343" s="143">
        <f>IF(t&lt;Tvie,1-EXP((T0-t)*PertePVj)+'2025'!Pspv,1-EXP((T0-t)*PertePVj)+Pspv)</f>
        <v>2.4726803259473518E-2</v>
      </c>
      <c r="M343" s="836"/>
      <c r="N343" s="836"/>
      <c r="O343" s="48">
        <f>IF(t&lt;Tnet,'2025'!Resal+('2025'!Salim-'2025'!Resal)*(1-EXP(('2025'!Tnet-t)/('2025'!Tau_j))),Resal+(Salim-Resal)*(1-EXP((Tnet-t)/(Tau_j))))*Salcycl</f>
        <v>3.2894867656957427E-2</v>
      </c>
      <c r="P343" s="334">
        <f>(INDEX(Models!$BJ343:$BT343,,T343)*(1-R343)+INDEX(Models!$BJ343:$BT343,,T343+1)*R343-ERP_i)*Q343*Ramure*Pc/MaxiM</f>
        <v>1.5393189966828707E-2</v>
      </c>
      <c r="Q343" s="301">
        <f t="shared" si="130"/>
        <v>0.5</v>
      </c>
      <c r="R343" s="173">
        <f t="shared" si="131"/>
        <v>0.49347993092479481</v>
      </c>
      <c r="S343" s="802">
        <f t="shared" si="132"/>
        <v>2</v>
      </c>
      <c r="T343" s="172">
        <f t="shared" si="133"/>
        <v>8</v>
      </c>
      <c r="U343" s="247">
        <f t="shared" si="134"/>
        <v>2.4934799309247948</v>
      </c>
      <c r="V343" s="378">
        <f t="shared" si="135"/>
        <v>19.716933321207957</v>
      </c>
      <c r="W343" s="397">
        <f t="shared" si="136"/>
        <v>4.7751957438950745</v>
      </c>
      <c r="X343" s="153">
        <f t="shared" si="137"/>
        <v>46351</v>
      </c>
      <c r="Y343" s="380">
        <f t="shared" si="138"/>
        <v>4.6603981175337577</v>
      </c>
      <c r="Z343" s="380">
        <f t="shared" si="139"/>
        <v>4.7785565450884286</v>
      </c>
      <c r="AA343" s="381">
        <f t="shared" si="140"/>
        <v>5.0628050193758964</v>
      </c>
      <c r="AB343" s="193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5.6144464027277075E-2</v>
      </c>
      <c r="AD343" s="227">
        <f>(INDEX(Models!$BJ343:$BT343,,AH343)*(1-AF343)+INDEX(Models!$BJ343:$BT343,,AH343+1)*AF343-ERP_i)*AE343*Ramure*Pc/MaxiM</f>
        <v>1.5393189966828707E-2</v>
      </c>
      <c r="AE343" s="301">
        <f t="shared" si="142"/>
        <v>0.5</v>
      </c>
      <c r="AF343" s="173">
        <f t="shared" si="143"/>
        <v>0.49347993092479481</v>
      </c>
      <c r="AG343" s="802">
        <f t="shared" si="149"/>
        <v>2</v>
      </c>
      <c r="AH343" s="172">
        <f t="shared" si="144"/>
        <v>8</v>
      </c>
      <c r="AI343" s="221">
        <f t="shared" si="145"/>
        <v>2.4934799309247948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46352</v>
      </c>
      <c r="B344" s="406">
        <f>'2025'!Wh/'2025'!Env_an*'2026'!Env_an</f>
        <v>9.5500192243576496</v>
      </c>
      <c r="C344" s="832"/>
      <c r="D344" s="388">
        <f t="shared" si="127"/>
        <v>9.7922817830002966</v>
      </c>
      <c r="E344" s="380">
        <f t="shared" si="125"/>
        <v>10.125653417305637</v>
      </c>
      <c r="F344" s="380">
        <f t="shared" si="128"/>
        <v>10.167965968319274</v>
      </c>
      <c r="G344" s="110">
        <f t="shared" si="126"/>
        <v>0.48467352914826717</v>
      </c>
      <c r="H344" s="409" t="b">
        <f>Wh_hp&gt;='2025'!Maxi_hp</f>
        <v>0</v>
      </c>
      <c r="I344" s="375">
        <f>IF(H344,Wh_hp,'2025'!Maxi_hp)</f>
        <v>10.260327974722742</v>
      </c>
      <c r="J344" s="85">
        <f>IF(H344,An,'2025'!An_max)</f>
        <v>2022</v>
      </c>
      <c r="K344" s="193">
        <f t="shared" si="129"/>
        <v>46352</v>
      </c>
      <c r="L344" s="143">
        <f>IF(t&lt;Tvie,1-EXP((T0-t)*PertePVj)+'2025'!Pspv,1-EXP((T0-t)*PertePVj)+Pspv)</f>
        <v>2.4740153930539743E-2</v>
      </c>
      <c r="M344" s="836"/>
      <c r="N344" s="836"/>
      <c r="O344" s="48">
        <f>IF(t&lt;Tnet,'2025'!Resal+('2025'!Salim-'2025'!Resal)*(1-EXP(('2025'!Tnet-t)/('2025'!Tau_j))),Resal+(Salim-Resal)*(1-EXP((Tnet-t)/(Tau_j))))*Salcycl</f>
        <v>3.2923468794179608E-2</v>
      </c>
      <c r="P344" s="334">
        <f>(INDEX(Models!$BJ344:$BT344,,T344)*(1-R344)+INDEX(Models!$BJ344:$BT344,,T344+1)*R344-ERP_i)*Q344*Ramure*Pc/MaxiM</f>
        <v>1.5318019247992282E-2</v>
      </c>
      <c r="Q344" s="301">
        <f t="shared" si="130"/>
        <v>0.5</v>
      </c>
      <c r="R344" s="173">
        <f t="shared" si="131"/>
        <v>0.49350013097819323</v>
      </c>
      <c r="S344" s="802">
        <f t="shared" si="132"/>
        <v>2</v>
      </c>
      <c r="T344" s="172">
        <f t="shared" si="133"/>
        <v>8</v>
      </c>
      <c r="U344" s="247">
        <f t="shared" si="134"/>
        <v>2.4935001309781932</v>
      </c>
      <c r="V344" s="378">
        <f t="shared" si="135"/>
        <v>19.483275031662938</v>
      </c>
      <c r="W344" s="397">
        <f t="shared" si="136"/>
        <v>9.5500192243576496</v>
      </c>
      <c r="X344" s="153">
        <f t="shared" si="137"/>
        <v>46352</v>
      </c>
      <c r="Y344" s="380">
        <f t="shared" si="138"/>
        <v>9.320739980931906</v>
      </c>
      <c r="Z344" s="380">
        <f t="shared" si="139"/>
        <v>9.5571862396435225</v>
      </c>
      <c r="AA344" s="381">
        <f t="shared" si="140"/>
        <v>10.125653417305637</v>
      </c>
      <c r="AB344" s="193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5.6141283355655297E-2</v>
      </c>
      <c r="AD344" s="227">
        <f>(INDEX(Models!$BJ344:$BT344,,AH344)*(1-AF344)+INDEX(Models!$BJ344:$BT344,,AH344+1)*AF344-ERP_i)*AE344*Ramure*Pc/MaxiM</f>
        <v>1.5318019247992282E-2</v>
      </c>
      <c r="AE344" s="301">
        <f t="shared" si="142"/>
        <v>0.5</v>
      </c>
      <c r="AF344" s="173">
        <f t="shared" si="143"/>
        <v>0.49350013097819323</v>
      </c>
      <c r="AG344" s="802">
        <f t="shared" si="149"/>
        <v>2</v>
      </c>
      <c r="AH344" s="172">
        <f t="shared" si="144"/>
        <v>8</v>
      </c>
      <c r="AI344" s="221">
        <f t="shared" si="145"/>
        <v>2.4935001309781932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46353</v>
      </c>
      <c r="B345" s="406">
        <f>'2025'!Wh/'2025'!Env_an*'2026'!Env_an</f>
        <v>13.65352402665831</v>
      </c>
      <c r="C345" s="832"/>
      <c r="D345" s="388">
        <f t="shared" si="127"/>
        <v>14.000074943639882</v>
      </c>
      <c r="E345" s="380">
        <f t="shared" si="125"/>
        <v>14.477133930777196</v>
      </c>
      <c r="F345" s="380">
        <f t="shared" si="128"/>
        <v>14.607308180876498</v>
      </c>
      <c r="G345" s="110">
        <f t="shared" si="126"/>
        <v>0.70466514260054658</v>
      </c>
      <c r="H345" s="409" t="b">
        <f>Wh_hp&gt;='2025'!Maxi_hp</f>
        <v>0</v>
      </c>
      <c r="I345" s="375">
        <f>IF(H345,Wh_hp,'2025'!Maxi_hp)</f>
        <v>14.682791656561243</v>
      </c>
      <c r="J345" s="85">
        <f>IF(H345,An,'2025'!An_max)</f>
        <v>2022</v>
      </c>
      <c r="K345" s="193">
        <f t="shared" si="129"/>
        <v>46353</v>
      </c>
      <c r="L345" s="143">
        <f>IF(t&lt;Tvie,1-EXP((T0-t)*PertePVj)+'2025'!Pspv,1-EXP((T0-t)*PertePVj)+Pspv)</f>
        <v>2.4753504418846495E-2</v>
      </c>
      <c r="M345" s="836"/>
      <c r="N345" s="836"/>
      <c r="O345" s="48">
        <f>IF(t&lt;Tnet,'2025'!Resal+('2025'!Salim-'2025'!Resal)*(1-EXP(('2025'!Tnet-t)/('2025'!Tau_j))),Resal+(Salim-Resal)*(1-EXP((Tnet-t)/(Tau_j))))*Salcycl</f>
        <v>3.2952585050216691E-2</v>
      </c>
      <c r="P345" s="334">
        <f>(INDEX(Models!$BJ345:$BT345,,T345)*(1-R345)+INDEX(Models!$BJ345:$BT345,,T345+1)*R345-ERP_i)*Q345*Ramure*Pc/MaxiM</f>
        <v>1.5244756642103816E-2</v>
      </c>
      <c r="Q345" s="301">
        <f t="shared" si="130"/>
        <v>0.5</v>
      </c>
      <c r="R345" s="173">
        <f t="shared" si="131"/>
        <v>0.4935195192526538</v>
      </c>
      <c r="S345" s="802">
        <f t="shared" si="132"/>
        <v>2</v>
      </c>
      <c r="T345" s="172">
        <f t="shared" si="133"/>
        <v>8</v>
      </c>
      <c r="U345" s="247">
        <f t="shared" si="134"/>
        <v>2.4935195192526538</v>
      </c>
      <c r="V345" s="378">
        <f t="shared" si="135"/>
        <v>19.252089486871483</v>
      </c>
      <c r="W345" s="397">
        <f t="shared" si="136"/>
        <v>13.65352402665831</v>
      </c>
      <c r="X345" s="153">
        <f t="shared" si="137"/>
        <v>46353</v>
      </c>
      <c r="Y345" s="380">
        <f t="shared" si="138"/>
        <v>13.32615921577078</v>
      </c>
      <c r="Z345" s="380">
        <f t="shared" si="139"/>
        <v>13.664401026972842</v>
      </c>
      <c r="AA345" s="381">
        <f t="shared" si="140"/>
        <v>14.477133930777196</v>
      </c>
      <c r="AB345" s="193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5.6139074743002199E-2</v>
      </c>
      <c r="AD345" s="227">
        <f>(INDEX(Models!$BJ345:$BT345,,AH345)*(1-AF345)+INDEX(Models!$BJ345:$BT345,,AH345+1)*AF345-ERP_i)*AE345*Ramure*Pc/MaxiM</f>
        <v>1.5244756642103816E-2</v>
      </c>
      <c r="AE345" s="301">
        <f t="shared" si="142"/>
        <v>0.5</v>
      </c>
      <c r="AF345" s="173">
        <f t="shared" si="143"/>
        <v>0.4935195192526538</v>
      </c>
      <c r="AG345" s="802">
        <f t="shared" si="149"/>
        <v>2</v>
      </c>
      <c r="AH345" s="172">
        <f t="shared" si="144"/>
        <v>8</v>
      </c>
      <c r="AI345" s="221">
        <f t="shared" si="145"/>
        <v>2.4935195192526538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46354</v>
      </c>
      <c r="B346" s="406">
        <f>'2025'!Wh/'2025'!Env_an*'2026'!Env_an</f>
        <v>9.3238627622106147</v>
      </c>
      <c r="C346" s="832"/>
      <c r="D346" s="388">
        <f t="shared" si="127"/>
        <v>9.5606499916239667</v>
      </c>
      <c r="E346" s="380">
        <f t="shared" si="125"/>
        <v>9.8867365206127662</v>
      </c>
      <c r="F346" s="380">
        <f t="shared" si="128"/>
        <v>9.9276796653262416</v>
      </c>
      <c r="G346" s="110">
        <f t="shared" si="126"/>
        <v>0.48472735039184528</v>
      </c>
      <c r="H346" s="409" t="b">
        <f>Wh_hp&gt;='2025'!Maxi_hp</f>
        <v>0</v>
      </c>
      <c r="I346" s="375">
        <f>IF(H346,Wh_hp,'2025'!Maxi_hp)</f>
        <v>10.017285117579057</v>
      </c>
      <c r="J346" s="85">
        <f>IF(H346,An,'2025'!An_max)</f>
        <v>2022</v>
      </c>
      <c r="K346" s="193">
        <f t="shared" si="129"/>
        <v>46354</v>
      </c>
      <c r="L346" s="143">
        <f>IF(t&lt;Tvie,1-EXP((T0-t)*PertePVj)+'2025'!Pspv,1-EXP((T0-t)*PertePVj)+Pspv)</f>
        <v>2.4766854724396326E-2</v>
      </c>
      <c r="M346" s="836"/>
      <c r="N346" s="836"/>
      <c r="O346" s="48">
        <f>IF(t&lt;Tnet,'2025'!Resal+('2025'!Salim-'2025'!Resal)*(1-EXP(('2025'!Tnet-t)/('2025'!Tau_j))),Resal+(Salim-Resal)*(1-EXP((Tnet-t)/(Tau_j))))*Salcycl</f>
        <v>3.2982221009829157E-2</v>
      </c>
      <c r="P346" s="334">
        <f>(INDEX(Models!$BJ346:$BT346,,T346)*(1-R346)+INDEX(Models!$BJ346:$BT346,,T346+1)*R346-ERP_i)*Q346*Ramure*Pc/MaxiM</f>
        <v>1.5180669410456763E-2</v>
      </c>
      <c r="Q346" s="301">
        <f t="shared" si="130"/>
        <v>0.5</v>
      </c>
      <c r="R346" s="173">
        <f t="shared" si="131"/>
        <v>0.4935381283118887</v>
      </c>
      <c r="S346" s="802">
        <f t="shared" si="132"/>
        <v>2</v>
      </c>
      <c r="T346" s="172">
        <f t="shared" si="133"/>
        <v>8</v>
      </c>
      <c r="U346" s="247">
        <f t="shared" si="134"/>
        <v>2.4935381283118887</v>
      </c>
      <c r="V346" s="378">
        <f t="shared" si="135"/>
        <v>19.021716598187407</v>
      </c>
      <c r="W346" s="397">
        <f t="shared" si="136"/>
        <v>9.3238627622106147</v>
      </c>
      <c r="X346" s="153">
        <f t="shared" si="137"/>
        <v>46354</v>
      </c>
      <c r="Y346" s="380">
        <f t="shared" si="138"/>
        <v>9.1005991913363271</v>
      </c>
      <c r="Z346" s="380">
        <f t="shared" si="139"/>
        <v>9.3317164571600681</v>
      </c>
      <c r="AA346" s="381">
        <f t="shared" si="140"/>
        <v>9.8867365206127662</v>
      </c>
      <c r="AB346" s="193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5.6137843088621069E-2</v>
      </c>
      <c r="AD346" s="227">
        <f>(INDEX(Models!$BJ346:$BT346,,AH346)*(1-AF346)+INDEX(Models!$BJ346:$BT346,,AH346+1)*AF346-ERP_i)*AE346*Ramure*Pc/MaxiM</f>
        <v>1.5180669410456763E-2</v>
      </c>
      <c r="AE346" s="301">
        <f t="shared" si="142"/>
        <v>0.5</v>
      </c>
      <c r="AF346" s="173">
        <f t="shared" si="143"/>
        <v>0.4935381283118887</v>
      </c>
      <c r="AG346" s="802">
        <f t="shared" si="149"/>
        <v>2</v>
      </c>
      <c r="AH346" s="172">
        <f t="shared" si="144"/>
        <v>8</v>
      </c>
      <c r="AI346" s="221">
        <f t="shared" si="145"/>
        <v>2.4935381283118887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46355</v>
      </c>
      <c r="B347" s="406">
        <f>'2025'!Wh/'2025'!Env_an*'2026'!Env_an</f>
        <v>10.334412713268065</v>
      </c>
      <c r="C347" s="832"/>
      <c r="D347" s="388">
        <f t="shared" si="127"/>
        <v>10.597008761136513</v>
      </c>
      <c r="E347" s="380">
        <f t="shared" si="125"/>
        <v>10.958784304156469</v>
      </c>
      <c r="F347" s="380">
        <f t="shared" si="128"/>
        <v>11.01831817732671</v>
      </c>
      <c r="G347" s="110">
        <f t="shared" si="126"/>
        <v>0.54452684185043077</v>
      </c>
      <c r="H347" s="409" t="b">
        <f>Wh_hp&gt;='2025'!Maxi_hp</f>
        <v>0</v>
      </c>
      <c r="I347" s="375">
        <f>IF(H347,Wh_hp,'2025'!Maxi_hp)</f>
        <v>11.10599499175243</v>
      </c>
      <c r="J347" s="85">
        <f>IF(H347,An,'2025'!An_max)</f>
        <v>2022</v>
      </c>
      <c r="K347" s="193">
        <f t="shared" si="129"/>
        <v>46355</v>
      </c>
      <c r="L347" s="143">
        <f>IF(t&lt;Tvie,1-EXP((T0-t)*PertePVj)+'2025'!Pspv,1-EXP((T0-t)*PertePVj)+Pspv)</f>
        <v>2.4780204847191678E-2</v>
      </c>
      <c r="M347" s="836"/>
      <c r="N347" s="836"/>
      <c r="O347" s="48">
        <f>IF(t&lt;Tnet,'2025'!Resal+('2025'!Salim-'2025'!Resal)*(1-EXP(('2025'!Tnet-t)/('2025'!Tau_j))),Resal+(Salim-Resal)*(1-EXP((Tnet-t)/(Tau_j))))*Salcycl</f>
        <v>3.3012379200012251E-2</v>
      </c>
      <c r="P347" s="334">
        <f>(INDEX(Models!$BJ347:$BT347,,T347)*(1-R347)+INDEX(Models!$BJ347:$BT347,,T347+1)*R347-ERP_i)*Q347*Ramure*Pc/MaxiM</f>
        <v>1.5134498372768817E-2</v>
      </c>
      <c r="Q347" s="301">
        <f t="shared" si="130"/>
        <v>0.5</v>
      </c>
      <c r="R347" s="173">
        <f t="shared" si="131"/>
        <v>0.49355598941801793</v>
      </c>
      <c r="S347" s="802">
        <f t="shared" si="132"/>
        <v>2</v>
      </c>
      <c r="T347" s="172">
        <f t="shared" si="133"/>
        <v>8</v>
      </c>
      <c r="U347" s="247">
        <f t="shared" si="134"/>
        <v>2.4935559894180179</v>
      </c>
      <c r="V347" s="378">
        <f t="shared" si="135"/>
        <v>18.793010835634373</v>
      </c>
      <c r="W347" s="397">
        <f t="shared" si="136"/>
        <v>10.334412713268065</v>
      </c>
      <c r="X347" s="153">
        <f t="shared" si="137"/>
        <v>46355</v>
      </c>
      <c r="Y347" s="380">
        <f t="shared" si="138"/>
        <v>10.087268421945412</v>
      </c>
      <c r="Z347" s="380">
        <f t="shared" si="139"/>
        <v>10.343584566353913</v>
      </c>
      <c r="AA347" s="381">
        <f t="shared" si="140"/>
        <v>10.958784304156469</v>
      </c>
      <c r="AB347" s="193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5.6137589784408956E-2</v>
      </c>
      <c r="AD347" s="227">
        <f>(INDEX(Models!$BJ347:$BT347,,AH347)*(1-AF347)+INDEX(Models!$BJ347:$BT347,,AH347+1)*AF347-ERP_i)*AE347*Ramure*Pc/MaxiM</f>
        <v>1.5134498372768817E-2</v>
      </c>
      <c r="AE347" s="301">
        <f t="shared" si="142"/>
        <v>0.5</v>
      </c>
      <c r="AF347" s="173">
        <f t="shared" si="143"/>
        <v>0.49355598941801793</v>
      </c>
      <c r="AG347" s="802">
        <f t="shared" si="149"/>
        <v>2</v>
      </c>
      <c r="AH347" s="172">
        <f t="shared" si="144"/>
        <v>8</v>
      </c>
      <c r="AI347" s="221">
        <f t="shared" si="145"/>
        <v>2.4935559894180179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46356</v>
      </c>
      <c r="B348" s="406">
        <f>'2025'!Wh/'2025'!Env_an*'2026'!Env_an</f>
        <v>4.4273355487412358</v>
      </c>
      <c r="C348" s="832"/>
      <c r="D348" s="388">
        <f t="shared" si="127"/>
        <v>4.539895701545845</v>
      </c>
      <c r="E348" s="380">
        <f t="shared" si="125"/>
        <v>4.6950339920193942</v>
      </c>
      <c r="F348" s="380">
        <f t="shared" si="128"/>
        <v>4.6950339920193942</v>
      </c>
      <c r="G348" s="110">
        <f t="shared" si="126"/>
        <v>0.23484974763831939</v>
      </c>
      <c r="H348" s="409" t="b">
        <f>Wh_hp&gt;='2025'!Maxi_hp</f>
        <v>0</v>
      </c>
      <c r="I348" s="375">
        <f>IF(H348,Wh_hp,'2025'!Maxi_hp)</f>
        <v>4.7530492210096416</v>
      </c>
      <c r="J348" s="85">
        <f>IF(H348,An,'2025'!An_max)</f>
        <v>2022</v>
      </c>
      <c r="K348" s="193">
        <f t="shared" si="129"/>
        <v>46356</v>
      </c>
      <c r="L348" s="143">
        <f>IF(t&lt;Tvie,1-EXP((T0-t)*PertePVj)+'2025'!Pspv,1-EXP((T0-t)*PertePVj)+Pspv)</f>
        <v>2.4793554787234995E-2</v>
      </c>
      <c r="M348" s="836"/>
      <c r="N348" s="836"/>
      <c r="O348" s="48">
        <f>IF(t&lt;Tnet,'2025'!Resal+('2025'!Salim-'2025'!Resal)*(1-EXP(('2025'!Tnet-t)/('2025'!Tau_j))),Resal+(Salim-Resal)*(1-EXP((Tnet-t)/(Tau_j))))*Salcycl</f>
        <v>3.3043060122089123E-2</v>
      </c>
      <c r="P348" s="334">
        <f>(INDEX(Models!$BJ348:$BT348,,T348)*(1-R348)+INDEX(Models!$BJ348:$BT348,,T348+1)*R348-ERP_i)*Q348*Ramure*Pc/MaxiM</f>
        <v>1.5105776474683721E-2</v>
      </c>
      <c r="Q348" s="301">
        <f t="shared" si="130"/>
        <v>0.5</v>
      </c>
      <c r="R348" s="173">
        <f t="shared" si="131"/>
        <v>0.49357313258322666</v>
      </c>
      <c r="S348" s="802">
        <f t="shared" si="132"/>
        <v>2</v>
      </c>
      <c r="T348" s="172">
        <f t="shared" si="133"/>
        <v>8</v>
      </c>
      <c r="U348" s="247">
        <f t="shared" si="134"/>
        <v>2.4935731325832267</v>
      </c>
      <c r="V348" s="378">
        <f t="shared" si="135"/>
        <v>18.567008274068304</v>
      </c>
      <c r="W348" s="397">
        <f t="shared" si="136"/>
        <v>4.4273355487412358</v>
      </c>
      <c r="X348" s="153">
        <f t="shared" si="137"/>
        <v>46356</v>
      </c>
      <c r="Y348" s="380">
        <f t="shared" si="138"/>
        <v>4.3215909918670778</v>
      </c>
      <c r="Z348" s="380">
        <f t="shared" si="139"/>
        <v>4.4314627052369593</v>
      </c>
      <c r="AA348" s="381">
        <f t="shared" si="140"/>
        <v>4.6950339920193942</v>
      </c>
      <c r="AB348" s="193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5.6138312785477748E-2</v>
      </c>
      <c r="AD348" s="227">
        <f>(INDEX(Models!$BJ348:$BT348,,AH348)*(1-AF348)+INDEX(Models!$BJ348:$BT348,,AH348+1)*AF348-ERP_i)*AE348*Ramure*Pc/MaxiM</f>
        <v>1.5105776474683721E-2</v>
      </c>
      <c r="AE348" s="301">
        <f t="shared" si="142"/>
        <v>0.5</v>
      </c>
      <c r="AF348" s="173">
        <f t="shared" si="143"/>
        <v>0.49357313258322666</v>
      </c>
      <c r="AG348" s="802">
        <f t="shared" si="149"/>
        <v>2</v>
      </c>
      <c r="AH348" s="172">
        <f t="shared" si="144"/>
        <v>8</v>
      </c>
      <c r="AI348" s="221">
        <f t="shared" si="145"/>
        <v>2.4935731325832267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46357</v>
      </c>
      <c r="B349" s="406">
        <f>'2025'!Wh/'2025'!Env_an*'2026'!Env_an</f>
        <v>4.1781436160524663</v>
      </c>
      <c r="C349" s="832"/>
      <c r="D349" s="388">
        <f t="shared" si="127"/>
        <v>4.2844269873558058</v>
      </c>
      <c r="E349" s="380">
        <f t="shared" si="125"/>
        <v>4.4309783267628911</v>
      </c>
      <c r="F349" s="380">
        <f t="shared" si="128"/>
        <v>4.4309783267628911</v>
      </c>
      <c r="G349" s="110">
        <f t="shared" si="126"/>
        <v>0.22431921158901197</v>
      </c>
      <c r="H349" s="409" t="b">
        <f>Wh_hp&gt;='2025'!Maxi_hp</f>
        <v>0</v>
      </c>
      <c r="I349" s="375">
        <f>IF(H349,Wh_hp,'2025'!Maxi_hp)</f>
        <v>4.4857659812276731</v>
      </c>
      <c r="J349" s="85">
        <f>IF(H349,An,'2025'!An_max)</f>
        <v>2022</v>
      </c>
      <c r="K349" s="193">
        <f t="shared" si="129"/>
        <v>46357</v>
      </c>
      <c r="L349" s="143">
        <f>IF(t&lt;Tvie,1-EXP((T0-t)*PertePVj)+'2025'!Pspv,1-EXP((T0-t)*PertePVj)+Pspv)</f>
        <v>2.480690454452894E-2</v>
      </c>
      <c r="M349" s="836"/>
      <c r="N349" s="836"/>
      <c r="O349" s="48">
        <f>IF(t&lt;Tnet,'2025'!Resal+('2025'!Salim-'2025'!Resal)*(1-EXP(('2025'!Tnet-t)/('2025'!Tau_j))),Resal+(Salim-Resal)*(1-EXP((Tnet-t)/(Tau_j))))*Salcycl</f>
        <v>3.3074262295963448E-2</v>
      </c>
      <c r="P349" s="334">
        <f>(INDEX(Models!$BJ349:$BT349,,T349)*(1-R349)+INDEX(Models!$BJ349:$BT349,,T349+1)*R349-ERP_i)*Q349*Ramure*Pc/MaxiM</f>
        <v>1.5094012472612078E-2</v>
      </c>
      <c r="Q349" s="301">
        <f t="shared" si="130"/>
        <v>0.5</v>
      </c>
      <c r="R349" s="173">
        <f t="shared" si="131"/>
        <v>0.49358958661940244</v>
      </c>
      <c r="S349" s="802">
        <f t="shared" si="132"/>
        <v>2</v>
      </c>
      <c r="T349" s="172">
        <f t="shared" si="133"/>
        <v>8</v>
      </c>
      <c r="U349" s="247">
        <f t="shared" si="134"/>
        <v>2.4935895866194024</v>
      </c>
      <c r="V349" s="378">
        <f t="shared" si="135"/>
        <v>18.344744683477565</v>
      </c>
      <c r="W349" s="397">
        <f t="shared" si="136"/>
        <v>4.1781436160524663</v>
      </c>
      <c r="X349" s="153">
        <f t="shared" si="137"/>
        <v>46357</v>
      </c>
      <c r="Y349" s="380">
        <f t="shared" si="138"/>
        <v>4.0784751627501397</v>
      </c>
      <c r="Z349" s="380">
        <f t="shared" si="139"/>
        <v>4.1822231738066789</v>
      </c>
      <c r="AA349" s="381">
        <f t="shared" si="140"/>
        <v>4.4309783267628911</v>
      </c>
      <c r="AB349" s="193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5.6140006700945287E-2</v>
      </c>
      <c r="AD349" s="227">
        <f>(INDEX(Models!$BJ349:$BT349,,AH349)*(1-AF349)+INDEX(Models!$BJ349:$BT349,,AH349+1)*AF349-ERP_i)*AE349*Ramure*Pc/MaxiM</f>
        <v>1.5094012472612078E-2</v>
      </c>
      <c r="AE349" s="301">
        <f t="shared" si="142"/>
        <v>0.5</v>
      </c>
      <c r="AF349" s="173">
        <f t="shared" si="143"/>
        <v>0.49358958661940244</v>
      </c>
      <c r="AG349" s="802">
        <f t="shared" si="149"/>
        <v>2</v>
      </c>
      <c r="AH349" s="172">
        <f t="shared" si="144"/>
        <v>8</v>
      </c>
      <c r="AI349" s="221">
        <f t="shared" si="145"/>
        <v>2.4935895866194024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46358</v>
      </c>
      <c r="B350" s="406">
        <f>'2025'!Wh/'2025'!Env_an*'2026'!Env_an</f>
        <v>5.3311844144499405</v>
      </c>
      <c r="C350" s="832"/>
      <c r="D350" s="388">
        <f t="shared" si="127"/>
        <v>5.4668736066026877</v>
      </c>
      <c r="E350" s="380">
        <f t="shared" si="125"/>
        <v>5.6540567079916482</v>
      </c>
      <c r="F350" s="380">
        <f t="shared" si="128"/>
        <v>5.6540567079916482</v>
      </c>
      <c r="G350" s="110">
        <f t="shared" si="126"/>
        <v>0.28965722671883021</v>
      </c>
      <c r="H350" s="409" t="b">
        <f>Wh_hp&gt;='2025'!Maxi_hp</f>
        <v>0</v>
      </c>
      <c r="I350" s="375">
        <f>IF(H350,Wh_hp,'2025'!Maxi_hp)</f>
        <v>5.724087583959065</v>
      </c>
      <c r="J350" s="85">
        <f>IF(H350,An,'2025'!An_max)</f>
        <v>2022</v>
      </c>
      <c r="K350" s="193">
        <f t="shared" si="129"/>
        <v>46358</v>
      </c>
      <c r="L350" s="143">
        <f>IF(t&lt;Tvie,1-EXP((T0-t)*PertePVj)+'2025'!Pspv,1-EXP((T0-t)*PertePVj)+Pspv)</f>
        <v>2.4820254119075846E-2</v>
      </c>
      <c r="M350" s="836"/>
      <c r="N350" s="836"/>
      <c r="O350" s="48">
        <f>IF(t&lt;Tnet,'2025'!Resal+('2025'!Salim-'2025'!Resal)*(1-EXP(('2025'!Tnet-t)/('2025'!Tau_j))),Resal+(Salim-Resal)*(1-EXP((Tnet-t)/(Tau_j))))*Salcycl</f>
        <v>3.3105982316093394E-2</v>
      </c>
      <c r="P350" s="334">
        <f>(INDEX(Models!$BJ350:$BT350,,T350)*(1-R350)+INDEX(Models!$BJ350:$BT350,,T350+1)*R350-ERP_i)*Q350*Ramure*Pc/MaxiM</f>
        <v>1.5098681884841201E-2</v>
      </c>
      <c r="Q350" s="301">
        <f t="shared" si="130"/>
        <v>0.5</v>
      </c>
      <c r="R350" s="173">
        <f t="shared" si="131"/>
        <v>0.49360537918582414</v>
      </c>
      <c r="S350" s="802">
        <f t="shared" si="132"/>
        <v>2</v>
      </c>
      <c r="T350" s="172">
        <f t="shared" si="133"/>
        <v>8</v>
      </c>
      <c r="U350" s="247">
        <f t="shared" si="134"/>
        <v>2.4936053791858241</v>
      </c>
      <c r="V350" s="378">
        <f t="shared" si="135"/>
        <v>18.127255502599887</v>
      </c>
      <c r="W350" s="397">
        <f t="shared" si="136"/>
        <v>5.3311844144499405</v>
      </c>
      <c r="X350" s="153">
        <f t="shared" si="137"/>
        <v>46358</v>
      </c>
      <c r="Y350" s="380">
        <f t="shared" si="138"/>
        <v>5.2041665714755423</v>
      </c>
      <c r="Z350" s="380">
        <f t="shared" si="139"/>
        <v>5.3366229081946139</v>
      </c>
      <c r="AA350" s="381">
        <f t="shared" si="140"/>
        <v>5.6540567079916482</v>
      </c>
      <c r="AB350" s="193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5.6142662904028182E-2</v>
      </c>
      <c r="AD350" s="227">
        <f>(INDEX(Models!$BJ350:$BT350,,AH350)*(1-AF350)+INDEX(Models!$BJ350:$BT350,,AH350+1)*AF350-ERP_i)*AE350*Ramure*Pc/MaxiM</f>
        <v>1.5098681884841201E-2</v>
      </c>
      <c r="AE350" s="301">
        <f t="shared" si="142"/>
        <v>0.5</v>
      </c>
      <c r="AF350" s="173">
        <f t="shared" si="143"/>
        <v>0.49360537918582414</v>
      </c>
      <c r="AG350" s="802">
        <f t="shared" si="149"/>
        <v>2</v>
      </c>
      <c r="AH350" s="172">
        <f t="shared" si="144"/>
        <v>8</v>
      </c>
      <c r="AI350" s="221">
        <f t="shared" si="145"/>
        <v>2.4936053791858241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46359</v>
      </c>
      <c r="B351" s="406">
        <f>'2025'!Wh/'2025'!Env_an*'2026'!Env_an</f>
        <v>9.5876822383591325</v>
      </c>
      <c r="C351" s="832"/>
      <c r="D351" s="388">
        <f t="shared" si="127"/>
        <v>9.8318423121197913</v>
      </c>
      <c r="E351" s="380">
        <f t="shared" si="125"/>
        <v>10.168818815496612</v>
      </c>
      <c r="F351" s="380">
        <f t="shared" si="128"/>
        <v>10.220731673341737</v>
      </c>
      <c r="G351" s="110">
        <f t="shared" si="126"/>
        <v>0.52975858307796742</v>
      </c>
      <c r="H351" s="409" t="b">
        <f>Wh_hp&gt;='2025'!Maxi_hp</f>
        <v>0</v>
      </c>
      <c r="I351" s="375">
        <f>IF(H351,Wh_hp,'2025'!Maxi_hp)</f>
        <v>10.305110354856382</v>
      </c>
      <c r="J351" s="85">
        <f>IF(H351,An,'2025'!An_max)</f>
        <v>2022</v>
      </c>
      <c r="K351" s="193">
        <f t="shared" si="129"/>
        <v>46359</v>
      </c>
      <c r="L351" s="143">
        <f>IF(t&lt;Tvie,1-EXP((T0-t)*PertePVj)+'2025'!Pspv,1-EXP((T0-t)*PertePVj)+Pspv)</f>
        <v>2.4833603510878266E-2</v>
      </c>
      <c r="M351" s="836"/>
      <c r="N351" s="836"/>
      <c r="O351" s="48">
        <f>IF(t&lt;Tnet,'2025'!Resal+('2025'!Salim-'2025'!Resal)*(1-EXP(('2025'!Tnet-t)/('2025'!Tau_j))),Resal+(Salim-Resal)*(1-EXP((Tnet-t)/(Tau_j))))*Salcycl</f>
        <v>3.3138214918658093E-2</v>
      </c>
      <c r="P351" s="334">
        <f>(INDEX(Models!$BJ351:$BT351,,T351)*(1-R351)+INDEX(Models!$BJ351:$BT351,,T351+1)*R351-ERP_i)*Q351*Ramure*Pc/MaxiM</f>
        <v>1.5119217811162764E-2</v>
      </c>
      <c r="Q351" s="301">
        <f t="shared" si="130"/>
        <v>0.5</v>
      </c>
      <c r="R351" s="173">
        <f t="shared" si="131"/>
        <v>0.49362053683498708</v>
      </c>
      <c r="S351" s="802">
        <f t="shared" si="132"/>
        <v>2</v>
      </c>
      <c r="T351" s="172">
        <f t="shared" si="133"/>
        <v>8</v>
      </c>
      <c r="U351" s="247">
        <f t="shared" si="134"/>
        <v>2.4936205368349871</v>
      </c>
      <c r="V351" s="378">
        <f t="shared" si="135"/>
        <v>17.915575802035477</v>
      </c>
      <c r="W351" s="397">
        <f t="shared" si="136"/>
        <v>9.5876822383591325</v>
      </c>
      <c r="X351" s="153">
        <f t="shared" si="137"/>
        <v>46359</v>
      </c>
      <c r="Y351" s="380">
        <f t="shared" si="138"/>
        <v>9.3595276859809644</v>
      </c>
      <c r="Z351" s="380">
        <f t="shared" si="139"/>
        <v>9.5978775721537826</v>
      </c>
      <c r="AA351" s="381">
        <f t="shared" si="140"/>
        <v>10.168818815496612</v>
      </c>
      <c r="AB351" s="193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5.6146269660420432E-2</v>
      </c>
      <c r="AD351" s="227">
        <f>(INDEX(Models!$BJ351:$BT351,,AH351)*(1-AF351)+INDEX(Models!$BJ351:$BT351,,AH351+1)*AF351-ERP_i)*AE351*Ramure*Pc/MaxiM</f>
        <v>1.5119217811162764E-2</v>
      </c>
      <c r="AE351" s="301">
        <f t="shared" si="142"/>
        <v>0.5</v>
      </c>
      <c r="AF351" s="173">
        <f t="shared" si="143"/>
        <v>0.49362053683498708</v>
      </c>
      <c r="AG351" s="802">
        <f t="shared" si="149"/>
        <v>2</v>
      </c>
      <c r="AH351" s="172">
        <f t="shared" si="144"/>
        <v>8</v>
      </c>
      <c r="AI351" s="221">
        <f t="shared" si="145"/>
        <v>2.4936205368349871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46360</v>
      </c>
      <c r="B352" s="406">
        <f>'2025'!Wh/'2025'!Env_an*'2026'!Env_an</f>
        <v>12.820149130515436</v>
      </c>
      <c r="C352" s="832"/>
      <c r="D352" s="388">
        <f t="shared" si="127"/>
        <v>13.146807228130955</v>
      </c>
      <c r="E352" s="380">
        <f t="shared" si="125"/>
        <v>13.597861245202456</v>
      </c>
      <c r="F352" s="380">
        <f t="shared" si="128"/>
        <v>13.723856194982336</v>
      </c>
      <c r="G352" s="110">
        <f t="shared" si="126"/>
        <v>0.71949834620645814</v>
      </c>
      <c r="H352" s="409" t="b">
        <f>Wh_hp&gt;='2025'!Maxi_hp</f>
        <v>0</v>
      </c>
      <c r="I352" s="375">
        <f>IF(H352,Wh_hp,'2025'!Maxi_hp)</f>
        <v>13.791486870148061</v>
      </c>
      <c r="J352" s="85">
        <f>IF(H352,An,'2025'!An_max)</f>
        <v>2022</v>
      </c>
      <c r="K352" s="193">
        <f t="shared" si="129"/>
        <v>46360</v>
      </c>
      <c r="L352" s="143">
        <f>IF(t&lt;Tvie,1-EXP((T0-t)*PertePVj)+'2025'!Pspv,1-EXP((T0-t)*PertePVj)+Pspv)</f>
        <v>2.4846952719938753E-2</v>
      </c>
      <c r="M352" s="836"/>
      <c r="N352" s="836"/>
      <c r="O352" s="48">
        <f>IF(t&lt;Tnet,'2025'!Resal+('2025'!Salim-'2025'!Resal)*(1-EXP(('2025'!Tnet-t)/('2025'!Tau_j))),Resal+(Salim-Resal)*(1-EXP((Tnet-t)/(Tau_j))))*Salcycl</f>
        <v>3.3170953059301206E-2</v>
      </c>
      <c r="P352" s="334">
        <f>(INDEX(Models!$BJ352:$BT352,,T352)*(1-R352)+INDEX(Models!$BJ352:$BT352,,T352+1)*R352-ERP_i)*Q352*Ramure*Pc/MaxiM</f>
        <v>1.5161584145747073E-2</v>
      </c>
      <c r="Q352" s="301">
        <f t="shared" si="130"/>
        <v>0.5</v>
      </c>
      <c r="R352" s="173">
        <f t="shared" si="131"/>
        <v>0.49363508505662201</v>
      </c>
      <c r="S352" s="802">
        <f t="shared" si="132"/>
        <v>2</v>
      </c>
      <c r="T352" s="172">
        <f t="shared" si="133"/>
        <v>8</v>
      </c>
      <c r="U352" s="247">
        <f t="shared" si="134"/>
        <v>2.493635085056622</v>
      </c>
      <c r="V352" s="378">
        <f t="shared" si="135"/>
        <v>17.710621896997747</v>
      </c>
      <c r="W352" s="397">
        <f t="shared" si="136"/>
        <v>12.820149130515436</v>
      </c>
      <c r="X352" s="153">
        <f t="shared" si="137"/>
        <v>46360</v>
      </c>
      <c r="Y352" s="380">
        <f t="shared" si="138"/>
        <v>12.515436293162864</v>
      </c>
      <c r="Z352" s="380">
        <f t="shared" si="139"/>
        <v>12.834330291097849</v>
      </c>
      <c r="AA352" s="381">
        <f t="shared" si="140"/>
        <v>13.597861245202456</v>
      </c>
      <c r="AB352" s="193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5.6150812273804557E-2</v>
      </c>
      <c r="AD352" s="227">
        <f>(INDEX(Models!$BJ352:$BT352,,AH352)*(1-AF352)+INDEX(Models!$BJ352:$BT352,,AH352+1)*AF352-ERP_i)*AE352*Ramure*Pc/MaxiM</f>
        <v>1.5161584145747073E-2</v>
      </c>
      <c r="AE352" s="301">
        <f t="shared" si="142"/>
        <v>0.5</v>
      </c>
      <c r="AF352" s="173">
        <f t="shared" si="143"/>
        <v>0.49363508505662201</v>
      </c>
      <c r="AG352" s="802">
        <f t="shared" si="149"/>
        <v>2</v>
      </c>
      <c r="AH352" s="172">
        <f t="shared" si="144"/>
        <v>8</v>
      </c>
      <c r="AI352" s="221">
        <f t="shared" si="145"/>
        <v>2.493635085056622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46361</v>
      </c>
      <c r="B353" s="406">
        <f>'2025'!Wh/'2025'!Env_an*'2026'!Env_an</f>
        <v>17.76586093019737</v>
      </c>
      <c r="C353" s="832"/>
      <c r="D353" s="388">
        <f t="shared" si="127"/>
        <v>18.21878543352517</v>
      </c>
      <c r="E353" s="380">
        <f t="shared" si="125"/>
        <v>18.844501814556288</v>
      </c>
      <c r="F353" s="380">
        <f t="shared" si="128"/>
        <v>19.13564349995163</v>
      </c>
      <c r="G353" s="110">
        <f t="shared" si="126"/>
        <v>1.0144026581276957</v>
      </c>
      <c r="H353" s="409" t="b">
        <f>Wh_hp&gt;='2025'!Maxi_hp</f>
        <v>1</v>
      </c>
      <c r="I353" s="375">
        <f>IF(H353,Wh_hp,'2025'!Maxi_hp)</f>
        <v>19.13564349995163</v>
      </c>
      <c r="J353" s="85">
        <f>IF(H353,An,'2025'!An_max)</f>
        <v>2026</v>
      </c>
      <c r="K353" s="193">
        <f t="shared" si="129"/>
        <v>46361</v>
      </c>
      <c r="L353" s="143">
        <f>IF(t&lt;Tvie,1-EXP((T0-t)*PertePVj)+'2025'!Pspv,1-EXP((T0-t)*PertePVj)+Pspv)</f>
        <v>2.4860301746259861E-2</v>
      </c>
      <c r="M353" s="836"/>
      <c r="N353" s="836"/>
      <c r="O353" s="48">
        <f>IF(t&lt;Tnet,'2025'!Resal+('2025'!Salim-'2025'!Resal)*(1-EXP(('2025'!Tnet-t)/('2025'!Tau_j))),Resal+(Salim-Resal)*(1-EXP((Tnet-t)/(Tau_j))))*Salcycl</f>
        <v>3.3204188000756182E-2</v>
      </c>
      <c r="P353" s="334">
        <f>(INDEX(Models!$BJ353:$BT353,,T353)*(1-R353)+INDEX(Models!$BJ353:$BT353,,T353+1)*R353-ERP_i)*Q353*Ramure*Pc/MaxiM</f>
        <v>1.5214627373052667E-2</v>
      </c>
      <c r="Q353" s="301">
        <f t="shared" si="130"/>
        <v>0.5</v>
      </c>
      <c r="R353" s="173">
        <f t="shared" si="131"/>
        <v>0.49364904831999068</v>
      </c>
      <c r="S353" s="802">
        <f t="shared" si="132"/>
        <v>2</v>
      </c>
      <c r="T353" s="172">
        <f t="shared" si="133"/>
        <v>8</v>
      </c>
      <c r="U353" s="247">
        <f t="shared" si="134"/>
        <v>2.4936490483199907</v>
      </c>
      <c r="V353" s="378">
        <f t="shared" si="135"/>
        <v>17.513618273623411</v>
      </c>
      <c r="W353" s="397">
        <f t="shared" si="136"/>
        <v>17.76586093019737</v>
      </c>
      <c r="X353" s="153">
        <f t="shared" si="137"/>
        <v>46361</v>
      </c>
      <c r="Y353" s="380">
        <f t="shared" si="138"/>
        <v>17.344092911050286</v>
      </c>
      <c r="Z353" s="380">
        <f t="shared" si="139"/>
        <v>17.78626482145043</v>
      </c>
      <c r="AA353" s="381">
        <f t="shared" si="140"/>
        <v>18.844501814556288</v>
      </c>
      <c r="AB353" s="193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5.6156273247214797E-2</v>
      </c>
      <c r="AD353" s="227">
        <f>(INDEX(Models!$BJ353:$BT353,,AH353)*(1-AF353)+INDEX(Models!$BJ353:$BT353,,AH353+1)*AF353-ERP_i)*AE353*Ramure*Pc/MaxiM</f>
        <v>1.5214627373052667E-2</v>
      </c>
      <c r="AE353" s="301">
        <f t="shared" si="142"/>
        <v>0.5</v>
      </c>
      <c r="AF353" s="173">
        <f t="shared" si="143"/>
        <v>0.49364904831999068</v>
      </c>
      <c r="AG353" s="802">
        <f t="shared" si="149"/>
        <v>2</v>
      </c>
      <c r="AH353" s="172">
        <f t="shared" si="144"/>
        <v>8</v>
      </c>
      <c r="AI353" s="221">
        <f t="shared" si="145"/>
        <v>2.4936490483199907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46362</v>
      </c>
      <c r="B354" s="406">
        <f>'2025'!Wh/'2025'!Env_an*'2026'!Env_an</f>
        <v>11.604646933105348</v>
      </c>
      <c r="C354" s="832"/>
      <c r="D354" s="388">
        <f t="shared" si="127"/>
        <v>11.9006597864214</v>
      </c>
      <c r="E354" s="380">
        <f t="shared" si="125"/>
        <v>12.309812209489388</v>
      </c>
      <c r="F354" s="380">
        <f t="shared" si="128"/>
        <v>12.409971117860392</v>
      </c>
      <c r="G354" s="110">
        <f t="shared" si="126"/>
        <v>0.6649314878210133</v>
      </c>
      <c r="H354" s="409" t="b">
        <f>Wh_hp&gt;='2025'!Maxi_hp</f>
        <v>0</v>
      </c>
      <c r="I354" s="375">
        <f>IF(H354,Wh_hp,'2025'!Maxi_hp)</f>
        <v>12.483813947652854</v>
      </c>
      <c r="J354" s="85">
        <f>IF(H354,An,'2025'!An_max)</f>
        <v>2022</v>
      </c>
      <c r="K354" s="193">
        <f t="shared" si="129"/>
        <v>46362</v>
      </c>
      <c r="L354" s="143">
        <f>IF(t&lt;Tvie,1-EXP((T0-t)*PertePVj)+'2025'!Pspv,1-EXP((T0-t)*PertePVj)+Pspv)</f>
        <v>2.4873650589843921E-2</v>
      </c>
      <c r="M354" s="836"/>
      <c r="N354" s="836"/>
      <c r="O354" s="48">
        <f>IF(t&lt;Tnet,'2025'!Resal+('2025'!Salim-'2025'!Resal)*(1-EXP(('2025'!Tnet-t)/('2025'!Tau_j))),Resal+(Salim-Resal)*(1-EXP((Tnet-t)/(Tau_j))))*Salcycl</f>
        <v>3.3237909409583009E-2</v>
      </c>
      <c r="P354" s="334">
        <f>(INDEX(Models!$BJ354:$BT354,,T354)*(1-R354)+INDEX(Models!$BJ354:$BT354,,T354+1)*R354-ERP_i)*Q354*Ramure*Pc/MaxiM</f>
        <v>1.5277509425024453E-2</v>
      </c>
      <c r="Q354" s="301">
        <f t="shared" si="130"/>
        <v>0.5</v>
      </c>
      <c r="R354" s="173">
        <f t="shared" si="131"/>
        <v>0.49366245011451371</v>
      </c>
      <c r="S354" s="802">
        <f t="shared" si="132"/>
        <v>2</v>
      </c>
      <c r="T354" s="172">
        <f t="shared" si="133"/>
        <v>8</v>
      </c>
      <c r="U354" s="247">
        <f t="shared" si="134"/>
        <v>2.4936624501145137</v>
      </c>
      <c r="V354" s="378">
        <f t="shared" si="135"/>
        <v>17.325597964149367</v>
      </c>
      <c r="W354" s="397">
        <f t="shared" si="136"/>
        <v>11.604646933105348</v>
      </c>
      <c r="X354" s="153">
        <f t="shared" si="137"/>
        <v>46362</v>
      </c>
      <c r="Y354" s="380">
        <f t="shared" si="138"/>
        <v>11.329467217624808</v>
      </c>
      <c r="Z354" s="380">
        <f t="shared" si="139"/>
        <v>11.618460750730289</v>
      </c>
      <c r="AA354" s="381">
        <f t="shared" si="140"/>
        <v>12.309812209489388</v>
      </c>
      <c r="AB354" s="193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5.6162632458856637E-2</v>
      </c>
      <c r="AD354" s="227">
        <f>(INDEX(Models!$BJ354:$BT354,,AH354)*(1-AF354)+INDEX(Models!$BJ354:$BT354,,AH354+1)*AF354-ERP_i)*AE354*Ramure*Pc/MaxiM</f>
        <v>1.5277509425024453E-2</v>
      </c>
      <c r="AE354" s="301">
        <f t="shared" si="142"/>
        <v>0.5</v>
      </c>
      <c r="AF354" s="173">
        <f t="shared" si="143"/>
        <v>0.49366245011451371</v>
      </c>
      <c r="AG354" s="802">
        <f t="shared" si="149"/>
        <v>2</v>
      </c>
      <c r="AH354" s="172">
        <f t="shared" si="144"/>
        <v>8</v>
      </c>
      <c r="AI354" s="221">
        <f t="shared" si="145"/>
        <v>2.4936624501145137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46363</v>
      </c>
      <c r="B355" s="406">
        <f>'2025'!Wh/'2025'!Env_an*'2026'!Env_an</f>
        <v>14.235422132655444</v>
      </c>
      <c r="C355" s="832"/>
      <c r="D355" s="388">
        <f t="shared" si="127"/>
        <v>14.598740988702348</v>
      </c>
      <c r="E355" s="380">
        <f t="shared" si="125"/>
        <v>15.101189353459914</v>
      </c>
      <c r="F355" s="380">
        <f t="shared" si="128"/>
        <v>15.2788110297369</v>
      </c>
      <c r="G355" s="110">
        <f t="shared" si="126"/>
        <v>0.82704236967362932</v>
      </c>
      <c r="H355" s="409" t="b">
        <f>Wh_hp&gt;='2025'!Maxi_hp</f>
        <v>0</v>
      </c>
      <c r="I355" s="375">
        <f>IF(H355,Wh_hp,'2025'!Maxi_hp)</f>
        <v>15.32586816121578</v>
      </c>
      <c r="J355" s="85">
        <f>IF(H355,An,'2025'!An_max)</f>
        <v>2022</v>
      </c>
      <c r="K355" s="193">
        <f t="shared" si="129"/>
        <v>46363</v>
      </c>
      <c r="L355" s="143">
        <f>IF(t&lt;Tvie,1-EXP((T0-t)*PertePVj)+'2025'!Pspv,1-EXP((T0-t)*PertePVj)+Pspv)</f>
        <v>2.4886999250693487E-2</v>
      </c>
      <c r="M355" s="836"/>
      <c r="N355" s="836"/>
      <c r="O355" s="48">
        <f>IF(t&lt;Tnet,'2025'!Resal+('2025'!Salim-'2025'!Resal)*(1-EXP(('2025'!Tnet-t)/('2025'!Tau_j))),Resal+(Salim-Resal)*(1-EXP((Tnet-t)/(Tau_j))))*Salcycl</f>
        <v>3.3272105461179993E-2</v>
      </c>
      <c r="P355" s="334">
        <f>(INDEX(Models!$BJ355:$BT355,,T355)*(1-R355)+INDEX(Models!$BJ355:$BT355,,T355+1)*R355-ERP_i)*Q355*Ramure*Pc/MaxiM</f>
        <v>1.5349318195844315E-2</v>
      </c>
      <c r="Q355" s="301">
        <f t="shared" si="130"/>
        <v>0.5</v>
      </c>
      <c r="R355" s="173">
        <f t="shared" si="131"/>
        <v>0.49367531298879896</v>
      </c>
      <c r="S355" s="802">
        <f t="shared" si="132"/>
        <v>2</v>
      </c>
      <c r="T355" s="172">
        <f t="shared" si="133"/>
        <v>8</v>
      </c>
      <c r="U355" s="247">
        <f t="shared" si="134"/>
        <v>2.493675312988799</v>
      </c>
      <c r="V355" s="378">
        <f t="shared" si="135"/>
        <v>17.147593641916007</v>
      </c>
      <c r="W355" s="397">
        <f t="shared" si="136"/>
        <v>14.235422132655444</v>
      </c>
      <c r="X355" s="153">
        <f t="shared" si="137"/>
        <v>46363</v>
      </c>
      <c r="Y355" s="380">
        <f t="shared" si="138"/>
        <v>13.898244206752649</v>
      </c>
      <c r="Z355" s="380">
        <f t="shared" si="139"/>
        <v>14.252957550635481</v>
      </c>
      <c r="AA355" s="381">
        <f t="shared" si="140"/>
        <v>15.101189353459914</v>
      </c>
      <c r="AB355" s="193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5.6169867350884445E-2</v>
      </c>
      <c r="AD355" s="227">
        <f>(INDEX(Models!$BJ355:$BT355,,AH355)*(1-AF355)+INDEX(Models!$BJ355:$BT355,,AH355+1)*AF355-ERP_i)*AE355*Ramure*Pc/MaxiM</f>
        <v>1.5349318195844315E-2</v>
      </c>
      <c r="AE355" s="301">
        <f t="shared" si="142"/>
        <v>0.5</v>
      </c>
      <c r="AF355" s="173">
        <f t="shared" si="143"/>
        <v>0.49367531298879896</v>
      </c>
      <c r="AG355" s="802">
        <f t="shared" si="149"/>
        <v>2</v>
      </c>
      <c r="AH355" s="172">
        <f t="shared" si="144"/>
        <v>8</v>
      </c>
      <c r="AI355" s="221">
        <f t="shared" si="145"/>
        <v>2.493675312988799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46364</v>
      </c>
      <c r="B356" s="406">
        <f>'2025'!Wh/'2025'!Env_an*'2026'!Env_an</f>
        <v>4.5860839440789656</v>
      </c>
      <c r="C356" s="832"/>
      <c r="D356" s="388">
        <f t="shared" si="127"/>
        <v>4.703195138463153</v>
      </c>
      <c r="E356" s="380">
        <f t="shared" si="125"/>
        <v>4.8652405522419819</v>
      </c>
      <c r="F356" s="380">
        <f t="shared" si="128"/>
        <v>4.8652405522419819</v>
      </c>
      <c r="G356" s="110">
        <f t="shared" si="126"/>
        <v>0.26591021287327093</v>
      </c>
      <c r="H356" s="409" t="b">
        <f>Wh_hp&gt;='2025'!Maxi_hp</f>
        <v>0</v>
      </c>
      <c r="I356" s="375">
        <f>IF(H356,Wh_hp,'2025'!Maxi_hp)</f>
        <v>4.9272457155162224</v>
      </c>
      <c r="J356" s="85">
        <f>IF(H356,An,'2025'!An_max)</f>
        <v>2022</v>
      </c>
      <c r="K356" s="193">
        <f t="shared" si="129"/>
        <v>46364</v>
      </c>
      <c r="L356" s="143">
        <f>IF(t&lt;Tvie,1-EXP((T0-t)*PertePVj)+'2025'!Pspv,1-EXP((T0-t)*PertePVj)+Pspv)</f>
        <v>2.4900347728811223E-2</v>
      </c>
      <c r="M356" s="836"/>
      <c r="N356" s="836"/>
      <c r="O356" s="48">
        <f>IF(t&lt;Tnet,'2025'!Resal+('2025'!Salim-'2025'!Resal)*(1-EXP(('2025'!Tnet-t)/('2025'!Tau_j))),Resal+(Salim-Resal)*(1-EXP((Tnet-t)/(Tau_j))))*Salcycl</f>
        <v>3.3306762952174128E-2</v>
      </c>
      <c r="P356" s="334">
        <f>(INDEX(Models!$BJ356:$BT356,,T356)*(1-R356)+INDEX(Models!$BJ356:$BT356,,T356+1)*R356-ERP_i)*Q356*Ramure*Pc/MaxiM</f>
        <v>1.5429063507056865E-2</v>
      </c>
      <c r="Q356" s="301">
        <f t="shared" si="130"/>
        <v>0.5</v>
      </c>
      <c r="R356" s="173">
        <f t="shared" si="131"/>
        <v>0.4936876585881329</v>
      </c>
      <c r="S356" s="802">
        <f t="shared" si="132"/>
        <v>2</v>
      </c>
      <c r="T356" s="172">
        <f t="shared" si="133"/>
        <v>8</v>
      </c>
      <c r="U356" s="247">
        <f t="shared" si="134"/>
        <v>2.4936876585881329</v>
      </c>
      <c r="V356" s="378">
        <f t="shared" si="135"/>
        <v>16.980637617739859</v>
      </c>
      <c r="W356" s="397">
        <f t="shared" si="136"/>
        <v>4.5860839440789656</v>
      </c>
      <c r="X356" s="153">
        <f t="shared" si="137"/>
        <v>46364</v>
      </c>
      <c r="Y356" s="380">
        <f t="shared" si="138"/>
        <v>4.4775808595071114</v>
      </c>
      <c r="Z356" s="380">
        <f t="shared" si="139"/>
        <v>4.5919212965341449</v>
      </c>
      <c r="AA356" s="381">
        <f t="shared" si="140"/>
        <v>4.8652405522419819</v>
      </c>
      <c r="AB356" s="193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5.6177953129550248E-2</v>
      </c>
      <c r="AD356" s="227">
        <f>(INDEX(Models!$BJ356:$BT356,,AH356)*(1-AF356)+INDEX(Models!$BJ356:$BT356,,AH356+1)*AF356-ERP_i)*AE356*Ramure*Pc/MaxiM</f>
        <v>1.5429063507056865E-2</v>
      </c>
      <c r="AE356" s="301">
        <f t="shared" si="142"/>
        <v>0.5</v>
      </c>
      <c r="AF356" s="173">
        <f t="shared" si="143"/>
        <v>0.4936876585881329</v>
      </c>
      <c r="AG356" s="802">
        <f t="shared" si="149"/>
        <v>2</v>
      </c>
      <c r="AH356" s="172">
        <f t="shared" si="144"/>
        <v>8</v>
      </c>
      <c r="AI356" s="221">
        <f t="shared" si="145"/>
        <v>2.4936876585881329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46365</v>
      </c>
      <c r="B357" s="406">
        <f>'2025'!Wh/'2025'!Env_an*'2026'!Env_an</f>
        <v>7.6355920482724926</v>
      </c>
      <c r="C357" s="832"/>
      <c r="D357" s="388">
        <f t="shared" si="127"/>
        <v>7.8306833119686505</v>
      </c>
      <c r="E357" s="380">
        <f t="shared" si="125"/>
        <v>8.100778391076588</v>
      </c>
      <c r="F357" s="380">
        <f t="shared" si="128"/>
        <v>8.1284891923263487</v>
      </c>
      <c r="G357" s="110">
        <f t="shared" si="126"/>
        <v>0.44829084202528974</v>
      </c>
      <c r="H357" s="409" t="b">
        <f>Wh_hp&gt;='2025'!Maxi_hp</f>
        <v>0</v>
      </c>
      <c r="I357" s="375">
        <f>IF(H357,Wh_hp,'2025'!Maxi_hp)</f>
        <v>8.2098937851281431</v>
      </c>
      <c r="J357" s="85">
        <f>IF(H357,An,'2025'!An_max)</f>
        <v>2022</v>
      </c>
      <c r="K357" s="193">
        <f t="shared" si="129"/>
        <v>46365</v>
      </c>
      <c r="L357" s="143">
        <f>IF(t&lt;Tvie,1-EXP((T0-t)*PertePVj)+'2025'!Pspv,1-EXP((T0-t)*PertePVj)+Pspv)</f>
        <v>2.491369602419935E-2</v>
      </c>
      <c r="M357" s="836"/>
      <c r="N357" s="836"/>
      <c r="O357" s="48">
        <f>IF(t&lt;Tnet,'2025'!Resal+('2025'!Salim-'2025'!Resal)*(1-EXP(('2025'!Tnet-t)/('2025'!Tau_j))),Resal+(Salim-Resal)*(1-EXP((Tnet-t)/(Tau_j))))*Salcycl</f>
        <v>3.3341867419242291E-2</v>
      </c>
      <c r="P357" s="334">
        <f>(INDEX(Models!$BJ357:$BT357,,T357)*(1-R357)+INDEX(Models!$BJ357:$BT357,,T357+1)*R357-ERP_i)*Q357*Ramure*Pc/MaxiM</f>
        <v>1.5515674588960957E-2</v>
      </c>
      <c r="Q357" s="301">
        <f t="shared" si="130"/>
        <v>0.5</v>
      </c>
      <c r="R357" s="173">
        <f t="shared" si="131"/>
        <v>0.49369950769049309</v>
      </c>
      <c r="S357" s="802">
        <f t="shared" si="132"/>
        <v>2</v>
      </c>
      <c r="T357" s="172">
        <f t="shared" si="133"/>
        <v>8</v>
      </c>
      <c r="U357" s="247">
        <f t="shared" si="134"/>
        <v>2.4936995076904931</v>
      </c>
      <c r="V357" s="378">
        <f t="shared" si="135"/>
        <v>16.825761825198178</v>
      </c>
      <c r="W357" s="397">
        <f t="shared" si="136"/>
        <v>7.6355920482724926</v>
      </c>
      <c r="X357" s="153">
        <f t="shared" si="137"/>
        <v>46365</v>
      </c>
      <c r="Y357" s="380">
        <f t="shared" si="138"/>
        <v>7.4551403864806094</v>
      </c>
      <c r="Z357" s="380">
        <f t="shared" si="139"/>
        <v>7.6456210656258268</v>
      </c>
      <c r="AA357" s="381">
        <f t="shared" si="140"/>
        <v>8.100778391076588</v>
      </c>
      <c r="AB357" s="193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5.618686297506166E-2</v>
      </c>
      <c r="AD357" s="227">
        <f>(INDEX(Models!$BJ357:$BT357,,AH357)*(1-AF357)+INDEX(Models!$BJ357:$BT357,,AH357+1)*AF357-ERP_i)*AE357*Ramure*Pc/MaxiM</f>
        <v>1.5515674588960957E-2</v>
      </c>
      <c r="AE357" s="301">
        <f t="shared" si="142"/>
        <v>0.5</v>
      </c>
      <c r="AF357" s="173">
        <f t="shared" si="143"/>
        <v>0.49369950769049309</v>
      </c>
      <c r="AG357" s="802">
        <f t="shared" si="149"/>
        <v>2</v>
      </c>
      <c r="AH357" s="172">
        <f t="shared" si="144"/>
        <v>8</v>
      </c>
      <c r="AI357" s="221">
        <f t="shared" si="145"/>
        <v>2.4936995076904931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46366</v>
      </c>
      <c r="B358" s="406">
        <f>'2025'!Wh/'2025'!Env_an*'2026'!Env_an</f>
        <v>11.118649121390934</v>
      </c>
      <c r="C358" s="832"/>
      <c r="D358" s="388">
        <f t="shared" si="127"/>
        <v>11.402889449998797</v>
      </c>
      <c r="E358" s="380">
        <f t="shared" si="125"/>
        <v>11.796630337937067</v>
      </c>
      <c r="F358" s="380">
        <f t="shared" si="128"/>
        <v>11.893805721845476</v>
      </c>
      <c r="G358" s="110">
        <f t="shared" si="126"/>
        <v>0.66142841293142929</v>
      </c>
      <c r="H358" s="409" t="b">
        <f>Wh_hp&gt;='2025'!Maxi_hp</f>
        <v>0</v>
      </c>
      <c r="I358" s="375">
        <f>IF(H358,Wh_hp,'2025'!Maxi_hp)</f>
        <v>11.96710133124366</v>
      </c>
      <c r="J358" s="85">
        <f>IF(H358,An,'2025'!An_max)</f>
        <v>2022</v>
      </c>
      <c r="K358" s="193">
        <f t="shared" si="129"/>
        <v>46366</v>
      </c>
      <c r="L358" s="143">
        <f>IF(t&lt;Tvie,1-EXP((T0-t)*PertePVj)+'2025'!Pspv,1-EXP((T0-t)*PertePVj)+Pspv)</f>
        <v>2.4927044136860643E-2</v>
      </c>
      <c r="M358" s="836"/>
      <c r="N358" s="836"/>
      <c r="O358" s="48">
        <f>IF(t&lt;Tnet,'2025'!Resal+('2025'!Salim-'2025'!Resal)*(1-EXP(('2025'!Tnet-t)/('2025'!Tau_j))),Resal+(Salim-Resal)*(1-EXP((Tnet-t)/(Tau_j))))*Salcycl</f>
        <v>3.3377403263373365E-2</v>
      </c>
      <c r="P358" s="334">
        <f>(INDEX(Models!$BJ358:$BT358,,T358)*(1-R358)+INDEX(Models!$BJ358:$BT358,,T358+1)*R358-ERP_i)*Q358*Ramure*Pc/MaxiM</f>
        <v>1.56079993955604E-2</v>
      </c>
      <c r="Q358" s="301">
        <f t="shared" si="130"/>
        <v>0.5</v>
      </c>
      <c r="R358" s="173">
        <f t="shared" si="131"/>
        <v>0.49371088024113741</v>
      </c>
      <c r="S358" s="802">
        <f t="shared" si="132"/>
        <v>2</v>
      </c>
      <c r="T358" s="172">
        <f t="shared" si="133"/>
        <v>8</v>
      </c>
      <c r="U358" s="247">
        <f t="shared" si="134"/>
        <v>2.4937108802411374</v>
      </c>
      <c r="V358" s="378">
        <f t="shared" si="135"/>
        <v>16.683997798611898</v>
      </c>
      <c r="W358" s="397">
        <f t="shared" si="136"/>
        <v>11.118649121390934</v>
      </c>
      <c r="X358" s="153">
        <f t="shared" si="137"/>
        <v>46366</v>
      </c>
      <c r="Y358" s="380">
        <f t="shared" si="138"/>
        <v>10.856169959729678</v>
      </c>
      <c r="Z358" s="380">
        <f t="shared" si="139"/>
        <v>11.13370019591995</v>
      </c>
      <c r="AA358" s="381">
        <f t="shared" si="140"/>
        <v>11.796630337937067</v>
      </c>
      <c r="AB358" s="193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5.6196568259427863E-2</v>
      </c>
      <c r="AD358" s="227">
        <f>(INDEX(Models!$BJ358:$BT358,,AH358)*(1-AF358)+INDEX(Models!$BJ358:$BT358,,AH358+1)*AF358-ERP_i)*AE358*Ramure*Pc/MaxiM</f>
        <v>1.56079993955604E-2</v>
      </c>
      <c r="AE358" s="301">
        <f t="shared" si="142"/>
        <v>0.5</v>
      </c>
      <c r="AF358" s="173">
        <f t="shared" si="143"/>
        <v>0.49371088024113741</v>
      </c>
      <c r="AG358" s="802">
        <f t="shared" si="149"/>
        <v>2</v>
      </c>
      <c r="AH358" s="172">
        <f t="shared" si="144"/>
        <v>8</v>
      </c>
      <c r="AI358" s="221">
        <f t="shared" si="145"/>
        <v>2.4937108802411374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46367</v>
      </c>
      <c r="B359" s="406">
        <f>'2025'!Wh/'2025'!Env_an*'2026'!Env_an</f>
        <v>12.642917603994999</v>
      </c>
      <c r="C359" s="832"/>
      <c r="D359" s="388">
        <f t="shared" si="127"/>
        <v>12.96630226616988</v>
      </c>
      <c r="E359" s="380">
        <f t="shared" si="125"/>
        <v>13.414526590242838</v>
      </c>
      <c r="F359" s="380">
        <f t="shared" si="128"/>
        <v>13.555637926181706</v>
      </c>
      <c r="G359" s="110">
        <f t="shared" si="126"/>
        <v>0.75976315513246129</v>
      </c>
      <c r="H359" s="409" t="b">
        <f>Wh_hp&gt;='2025'!Maxi_hp</f>
        <v>0</v>
      </c>
      <c r="I359" s="375">
        <f>IF(H359,Wh_hp,'2025'!Maxi_hp)</f>
        <v>13.615221721331118</v>
      </c>
      <c r="J359" s="85">
        <f>IF(H359,An,'2025'!An_max)</f>
        <v>2022</v>
      </c>
      <c r="K359" s="193">
        <f t="shared" si="129"/>
        <v>46367</v>
      </c>
      <c r="L359" s="143">
        <f>IF(t&lt;Tvie,1-EXP((T0-t)*PertePVj)+'2025'!Pspv,1-EXP((T0-t)*PertePVj)+Pspv)</f>
        <v>2.4940392066797434E-2</v>
      </c>
      <c r="M359" s="836"/>
      <c r="N359" s="836"/>
      <c r="O359" s="48">
        <f>IF(t&lt;Tnet,'2025'!Resal+('2025'!Salim-'2025'!Resal)*(1-EXP(('2025'!Tnet-t)/('2025'!Tau_j))),Resal+(Salim-Resal)*(1-EXP((Tnet-t)/(Tau_j))))*Salcycl</f>
        <v>3.3413353878546666E-2</v>
      </c>
      <c r="P359" s="334">
        <f>(INDEX(Models!$BJ359:$BT359,,T359)*(1-R359)+INDEX(Models!$BJ359:$BT359,,T359+1)*R359-ERP_i)*Q359*Ramure*Pc/MaxiM</f>
        <v>1.5709371945340056E-2</v>
      </c>
      <c r="Q359" s="301">
        <f t="shared" si="130"/>
        <v>0.5</v>
      </c>
      <c r="R359" s="173">
        <f t="shared" si="131"/>
        <v>0.49372179538582861</v>
      </c>
      <c r="S359" s="802">
        <f t="shared" si="132"/>
        <v>2</v>
      </c>
      <c r="T359" s="172">
        <f t="shared" si="133"/>
        <v>8</v>
      </c>
      <c r="U359" s="247">
        <f t="shared" si="134"/>
        <v>2.4937217953858286</v>
      </c>
      <c r="V359" s="378">
        <f t="shared" si="135"/>
        <v>16.551487812899083</v>
      </c>
      <c r="W359" s="397">
        <f t="shared" si="136"/>
        <v>12.642917603994999</v>
      </c>
      <c r="X359" s="153">
        <f t="shared" si="137"/>
        <v>46367</v>
      </c>
      <c r="Y359" s="380">
        <f t="shared" si="138"/>
        <v>12.344777048115093</v>
      </c>
      <c r="Z359" s="380">
        <f t="shared" si="139"/>
        <v>12.660535774096781</v>
      </c>
      <c r="AA359" s="381">
        <f t="shared" si="140"/>
        <v>13.414526590242838</v>
      </c>
      <c r="AB359" s="193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5.6207038770527962E-2</v>
      </c>
      <c r="AD359" s="227">
        <f>(INDEX(Models!$BJ359:$BT359,,AH359)*(1-AF359)+INDEX(Models!$BJ359:$BT359,,AH359+1)*AF359-ERP_i)*AE359*Ramure*Pc/MaxiM</f>
        <v>1.5709371945340056E-2</v>
      </c>
      <c r="AE359" s="301">
        <f t="shared" si="142"/>
        <v>0.5</v>
      </c>
      <c r="AF359" s="173">
        <f t="shared" si="143"/>
        <v>0.49372179538582861</v>
      </c>
      <c r="AG359" s="802">
        <f t="shared" si="149"/>
        <v>2</v>
      </c>
      <c r="AH359" s="172">
        <f t="shared" si="144"/>
        <v>8</v>
      </c>
      <c r="AI359" s="221">
        <f t="shared" si="145"/>
        <v>2.4937217953858286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46368</v>
      </c>
      <c r="B360" s="406">
        <f>'2025'!Wh/'2025'!Env_an*'2026'!Env_an</f>
        <v>5.7887643553663803</v>
      </c>
      <c r="C360" s="832"/>
      <c r="D360" s="388">
        <f t="shared" si="127"/>
        <v>5.9369125258346074</v>
      </c>
      <c r="E360" s="380">
        <f t="shared" si="125"/>
        <v>6.1423730733840127</v>
      </c>
      <c r="F360" s="380">
        <f t="shared" si="128"/>
        <v>6.1496640792173549</v>
      </c>
      <c r="G360" s="110">
        <f t="shared" si="126"/>
        <v>0.34728387882568068</v>
      </c>
      <c r="H360" s="409" t="b">
        <f>Wh_hp&gt;='2025'!Maxi_hp</f>
        <v>0</v>
      </c>
      <c r="I360" s="375">
        <f>IF(H360,Wh_hp,'2025'!Maxi_hp)</f>
        <v>6.2242364696996182</v>
      </c>
      <c r="J360" s="85">
        <f>IF(H360,An,'2025'!An_max)</f>
        <v>2022</v>
      </c>
      <c r="K360" s="193">
        <f t="shared" si="129"/>
        <v>46368</v>
      </c>
      <c r="L360" s="143">
        <f>IF(t&lt;Tvie,1-EXP((T0-t)*PertePVj)+'2025'!Pspv,1-EXP((T0-t)*PertePVj)+Pspv)</f>
        <v>2.4953739814012277E-2</v>
      </c>
      <c r="M360" s="836"/>
      <c r="N360" s="836"/>
      <c r="O360" s="48">
        <f>IF(t&lt;Tnet,'2025'!Resal+('2025'!Salim-'2025'!Resal)*(1-EXP(('2025'!Tnet-t)/('2025'!Tau_j))),Resal+(Salim-Resal)*(1-EXP((Tnet-t)/(Tau_j))))*Salcycl</f>
        <v>3.3449701783778416E-2</v>
      </c>
      <c r="P360" s="334">
        <f>(INDEX(Models!$BJ360:$BT360,,T360)*(1-R360)+INDEX(Models!$BJ360:$BT360,,T360+1)*R360-ERP_i)*Q360*Ramure*Pc/MaxiM</f>
        <v>1.5823280913361888E-2</v>
      </c>
      <c r="Q360" s="301">
        <f t="shared" si="130"/>
        <v>0.5</v>
      </c>
      <c r="R360" s="173">
        <f t="shared" si="131"/>
        <v>0.49373227150274346</v>
      </c>
      <c r="S360" s="802">
        <f t="shared" si="132"/>
        <v>2</v>
      </c>
      <c r="T360" s="172">
        <f t="shared" si="133"/>
        <v>8</v>
      </c>
      <c r="U360" s="247">
        <f t="shared" si="134"/>
        <v>2.4937322715027435</v>
      </c>
      <c r="V360" s="378">
        <f t="shared" si="135"/>
        <v>16.424400913228276</v>
      </c>
      <c r="W360" s="397">
        <f t="shared" si="136"/>
        <v>5.7887643553663803</v>
      </c>
      <c r="X360" s="153">
        <f t="shared" si="137"/>
        <v>46368</v>
      </c>
      <c r="Y360" s="380">
        <f t="shared" si="138"/>
        <v>5.6524013334775187</v>
      </c>
      <c r="Z360" s="380">
        <f t="shared" si="139"/>
        <v>5.7970596517126651</v>
      </c>
      <c r="AA360" s="381">
        <f t="shared" si="140"/>
        <v>6.1423730733840127</v>
      </c>
      <c r="AB360" s="193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5.6218242940607448E-2</v>
      </c>
      <c r="AD360" s="227">
        <f>(INDEX(Models!$BJ360:$BT360,,AH360)*(1-AF360)+INDEX(Models!$BJ360:$BT360,,AH360+1)*AF360-ERP_i)*AE360*Ramure*Pc/MaxiM</f>
        <v>1.5823280913361888E-2</v>
      </c>
      <c r="AE360" s="301">
        <f t="shared" si="142"/>
        <v>0.5</v>
      </c>
      <c r="AF360" s="173">
        <f t="shared" si="143"/>
        <v>0.49373227150274346</v>
      </c>
      <c r="AG360" s="802">
        <f t="shared" si="149"/>
        <v>2</v>
      </c>
      <c r="AH360" s="172">
        <f t="shared" si="144"/>
        <v>8</v>
      </c>
      <c r="AI360" s="221">
        <f t="shared" si="145"/>
        <v>2.4937322715027435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46369</v>
      </c>
      <c r="B361" s="406">
        <f>'2025'!Wh/'2025'!Env_an*'2026'!Env_an</f>
        <v>5.4530077605479326</v>
      </c>
      <c r="C361" s="832"/>
      <c r="D361" s="388">
        <f t="shared" si="127"/>
        <v>5.5926396842203721</v>
      </c>
      <c r="E361" s="380">
        <f t="shared" ref="E361:E379" si="150">Wh_pvt/(1-Psa)</f>
        <v>5.7864057480647677</v>
      </c>
      <c r="F361" s="380">
        <f t="shared" si="128"/>
        <v>5.7909488446673185</v>
      </c>
      <c r="G361" s="110">
        <f t="shared" ref="G361:G379" si="151">+Wh_hp/MaxiM</f>
        <v>0.32938638706003875</v>
      </c>
      <c r="H361" s="409" t="b">
        <f>Wh_hp&gt;='2025'!Maxi_hp</f>
        <v>0</v>
      </c>
      <c r="I361" s="375">
        <f>IF(H361,Wh_hp,'2025'!Maxi_hp)</f>
        <v>5.8636677565978781</v>
      </c>
      <c r="J361" s="85">
        <f>IF(H361,An,'2025'!An_max)</f>
        <v>2022</v>
      </c>
      <c r="K361" s="193">
        <f t="shared" si="129"/>
        <v>46369</v>
      </c>
      <c r="L361" s="143">
        <f>IF(t&lt;Tvie,1-EXP((T0-t)*PertePVj)+'2025'!Pspv,1-EXP((T0-t)*PertePVj)+Pspv)</f>
        <v>2.4967087378507724E-2</v>
      </c>
      <c r="M361" s="836"/>
      <c r="N361" s="836"/>
      <c r="O361" s="48">
        <f>IF(t&lt;Tnet,'2025'!Resal+('2025'!Salim-'2025'!Resal)*(1-EXP(('2025'!Tnet-t)/('2025'!Tau_j))),Resal+(Salim-Resal)*(1-EXP((Tnet-t)/(Tau_j))))*Salcycl</f>
        <v>3.3486428757471695E-2</v>
      </c>
      <c r="P361" s="334">
        <f>(INDEX(Models!$BJ361:$BT361,,T361)*(1-R361)+INDEX(Models!$BJ361:$BT361,,T361+1)*R361-ERP_i)*Q361*Ramure*Pc/MaxiM</f>
        <v>1.593702008116164E-2</v>
      </c>
      <c r="Q361" s="301">
        <f t="shared" si="130"/>
        <v>0.5</v>
      </c>
      <c r="R361" s="173">
        <f t="shared" si="131"/>
        <v>0.49374232623311931</v>
      </c>
      <c r="S361" s="802">
        <f t="shared" si="132"/>
        <v>2</v>
      </c>
      <c r="T361" s="172">
        <f t="shared" si="133"/>
        <v>8</v>
      </c>
      <c r="U361" s="247">
        <f t="shared" si="134"/>
        <v>2.4937423262331193</v>
      </c>
      <c r="V361" s="378">
        <f t="shared" si="135"/>
        <v>16.304001563345459</v>
      </c>
      <c r="W361" s="397">
        <f t="shared" si="136"/>
        <v>5.4530077605479326</v>
      </c>
      <c r="X361" s="153">
        <f t="shared" si="137"/>
        <v>46369</v>
      </c>
      <c r="Y361" s="380">
        <f t="shared" si="138"/>
        <v>5.3246891506024641</v>
      </c>
      <c r="Z361" s="380">
        <f t="shared" si="139"/>
        <v>5.46103529601519</v>
      </c>
      <c r="AA361" s="381">
        <f t="shared" si="140"/>
        <v>5.7864057480647677</v>
      </c>
      <c r="AB361" s="193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5.6230148077396014E-2</v>
      </c>
      <c r="AD361" s="227">
        <f>(INDEX(Models!$BJ361:$BT361,,AH361)*(1-AF361)+INDEX(Models!$BJ361:$BT361,,AH361+1)*AF361-ERP_i)*AE361*Ramure*Pc/MaxiM</f>
        <v>1.593702008116164E-2</v>
      </c>
      <c r="AE361" s="301">
        <f t="shared" si="142"/>
        <v>0.5</v>
      </c>
      <c r="AF361" s="173">
        <f t="shared" si="143"/>
        <v>0.49374232623311931</v>
      </c>
      <c r="AG361" s="802">
        <f t="shared" si="149"/>
        <v>2</v>
      </c>
      <c r="AH361" s="172">
        <f t="shared" si="144"/>
        <v>8</v>
      </c>
      <c r="AI361" s="221">
        <f t="shared" si="145"/>
        <v>2.4937423262331193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46370</v>
      </c>
      <c r="B362" s="406">
        <f>'2025'!Wh/'2025'!Env_an*'2026'!Env_an</f>
        <v>12.417382273704531</v>
      </c>
      <c r="C362" s="832"/>
      <c r="D362" s="388">
        <f t="shared" si="127"/>
        <v>12.735521128390536</v>
      </c>
      <c r="E362" s="380">
        <f t="shared" si="150"/>
        <v>13.177269534097382</v>
      </c>
      <c r="F362" s="380">
        <f t="shared" si="128"/>
        <v>13.319861488541274</v>
      </c>
      <c r="G362" s="110">
        <f t="shared" si="151"/>
        <v>0.7627713236484025</v>
      </c>
      <c r="H362" s="409" t="b">
        <f>Wh_hp&gt;='2025'!Maxi_hp</f>
        <v>0</v>
      </c>
      <c r="I362" s="375">
        <f>IF(H362,Wh_hp,'2025'!Maxi_hp)</f>
        <v>13.378981463837262</v>
      </c>
      <c r="J362" s="85">
        <f>IF(H362,An,'2025'!An_max)</f>
        <v>2022</v>
      </c>
      <c r="K362" s="193">
        <f t="shared" si="129"/>
        <v>46370</v>
      </c>
      <c r="L362" s="143">
        <f>IF(t&lt;Tvie,1-EXP((T0-t)*PertePVj)+'2025'!Pspv,1-EXP((T0-t)*PertePVj)+Pspv)</f>
        <v>2.4980434760286108E-2</v>
      </c>
      <c r="M362" s="836"/>
      <c r="N362" s="836"/>
      <c r="O362" s="48">
        <f>IF(t&lt;Tnet,'2025'!Resal+('2025'!Salim-'2025'!Resal)*(1-EXP(('2025'!Tnet-t)/('2025'!Tau_j))),Resal+(Salim-Resal)*(1-EXP((Tnet-t)/(Tau_j))))*Salcycl</f>
        <v>3.3523515973000531E-2</v>
      </c>
      <c r="P362" s="334">
        <f>(INDEX(Models!$BJ362:$BT362,,T362)*(1-R362)+INDEX(Models!$BJ362:$BT362,,T362+1)*R362-ERP_i)*Q362*Ramure*Pc/MaxiM</f>
        <v>1.604930870251833E-2</v>
      </c>
      <c r="Q362" s="301">
        <f t="shared" si="130"/>
        <v>0.5</v>
      </c>
      <c r="R362" s="173">
        <f t="shared" si="131"/>
        <v>0.49375197651068881</v>
      </c>
      <c r="S362" s="802">
        <f t="shared" si="132"/>
        <v>2</v>
      </c>
      <c r="T362" s="172">
        <f t="shared" si="133"/>
        <v>8</v>
      </c>
      <c r="U362" s="247">
        <f t="shared" si="134"/>
        <v>2.4937519765106888</v>
      </c>
      <c r="V362" s="378">
        <f t="shared" si="135"/>
        <v>16.191359231678309</v>
      </c>
      <c r="W362" s="397">
        <f t="shared" si="136"/>
        <v>12.417382273704531</v>
      </c>
      <c r="X362" s="153">
        <f t="shared" si="137"/>
        <v>46370</v>
      </c>
      <c r="Y362" s="380">
        <f t="shared" si="138"/>
        <v>12.125483760474953</v>
      </c>
      <c r="Z362" s="380">
        <f t="shared" si="139"/>
        <v>12.436144045472396</v>
      </c>
      <c r="AA362" s="381">
        <f t="shared" si="140"/>
        <v>13.177269534097382</v>
      </c>
      <c r="AB362" s="193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5.6242720596042857E-2</v>
      </c>
      <c r="AD362" s="227">
        <f>(INDEX(Models!$BJ362:$BT362,,AH362)*(1-AF362)+INDEX(Models!$BJ362:$BT362,,AH362+1)*AF362-ERP_i)*AE362*Ramure*Pc/MaxiM</f>
        <v>1.604930870251833E-2</v>
      </c>
      <c r="AE362" s="301">
        <f t="shared" si="142"/>
        <v>0.5</v>
      </c>
      <c r="AF362" s="173">
        <f t="shared" si="143"/>
        <v>0.49375197651068881</v>
      </c>
      <c r="AG362" s="802">
        <f t="shared" si="149"/>
        <v>2</v>
      </c>
      <c r="AH362" s="172">
        <f t="shared" si="144"/>
        <v>8</v>
      </c>
      <c r="AI362" s="221">
        <f t="shared" si="145"/>
        <v>2.4937519765106888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46371</v>
      </c>
      <c r="B363" s="406">
        <f>'2025'!Wh/'2025'!Env_an*'2026'!Env_an</f>
        <v>6.6319515598408447</v>
      </c>
      <c r="C363" s="832"/>
      <c r="D363" s="388">
        <f t="shared" si="127"/>
        <v>6.801958220500647</v>
      </c>
      <c r="E363" s="380">
        <f t="shared" si="150"/>
        <v>7.0381657065885479</v>
      </c>
      <c r="F363" s="380">
        <f t="shared" si="128"/>
        <v>7.0564488339145175</v>
      </c>
      <c r="G363" s="110">
        <f t="shared" si="151"/>
        <v>0.40663366715892751</v>
      </c>
      <c r="H363" s="409" t="b">
        <f>Wh_hp&gt;='2025'!Maxi_hp</f>
        <v>0</v>
      </c>
      <c r="I363" s="375">
        <f>IF(H363,Wh_hp,'2025'!Maxi_hp)</f>
        <v>7.1358666165073297</v>
      </c>
      <c r="J363" s="85">
        <f>IF(H363,An,'2025'!An_max)</f>
        <v>2022</v>
      </c>
      <c r="K363" s="193">
        <f t="shared" si="129"/>
        <v>46371</v>
      </c>
      <c r="L363" s="143">
        <f>IF(t&lt;Tvie,1-EXP((T0-t)*PertePVj)+'2025'!Pspv,1-EXP((T0-t)*PertePVj)+Pspv)</f>
        <v>2.4993781959350092E-2</v>
      </c>
      <c r="M363" s="836"/>
      <c r="N363" s="836"/>
      <c r="O363" s="48">
        <f>IF(t&lt;Tnet,'2025'!Resal+('2025'!Salim-'2025'!Resal)*(1-EXP(('2025'!Tnet-t)/('2025'!Tau_j))),Resal+(Salim-Resal)*(1-EXP((Tnet-t)/(Tau_j))))*Salcycl</f>
        <v>3.3560944134461548E-2</v>
      </c>
      <c r="P363" s="334">
        <f>(INDEX(Models!$BJ363:$BT363,,T363)*(1-R363)+INDEX(Models!$BJ363:$BT363,,T363+1)*R363-ERP_i)*Q363*Ramure*Pc/MaxiM</f>
        <v>1.6158803303380417E-2</v>
      </c>
      <c r="Q363" s="301">
        <f t="shared" si="130"/>
        <v>0.5</v>
      </c>
      <c r="R363" s="173">
        <f t="shared" si="131"/>
        <v>0.49376123858994525</v>
      </c>
      <c r="S363" s="802">
        <f t="shared" si="132"/>
        <v>2</v>
      </c>
      <c r="T363" s="172">
        <f t="shared" si="133"/>
        <v>8</v>
      </c>
      <c r="U363" s="247">
        <f t="shared" si="134"/>
        <v>2.4937612385899453</v>
      </c>
      <c r="V363" s="378">
        <f t="shared" si="135"/>
        <v>16.087543174917002</v>
      </c>
      <c r="W363" s="397">
        <f t="shared" si="136"/>
        <v>6.6319515598408447</v>
      </c>
      <c r="X363" s="153">
        <f t="shared" si="137"/>
        <v>46371</v>
      </c>
      <c r="Y363" s="380">
        <f t="shared" si="138"/>
        <v>6.4762127979098407</v>
      </c>
      <c r="Z363" s="380">
        <f t="shared" si="139"/>
        <v>6.6422271756628275</v>
      </c>
      <c r="AA363" s="381">
        <f t="shared" si="140"/>
        <v>7.0381657065885479</v>
      </c>
      <c r="AB363" s="193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5.6255926250084666E-2</v>
      </c>
      <c r="AD363" s="227">
        <f>(INDEX(Models!$BJ363:$BT363,,AH363)*(1-AF363)+INDEX(Models!$BJ363:$BT363,,AH363+1)*AF363-ERP_i)*AE363*Ramure*Pc/MaxiM</f>
        <v>1.6158803303380417E-2</v>
      </c>
      <c r="AE363" s="301">
        <f t="shared" si="142"/>
        <v>0.5</v>
      </c>
      <c r="AF363" s="173">
        <f t="shared" si="143"/>
        <v>0.49376123858994525</v>
      </c>
      <c r="AG363" s="802">
        <f t="shared" si="149"/>
        <v>2</v>
      </c>
      <c r="AH363" s="172">
        <f t="shared" si="144"/>
        <v>8</v>
      </c>
      <c r="AI363" s="221">
        <f t="shared" si="145"/>
        <v>2.4937612385899453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46372</v>
      </c>
      <c r="B364" s="406">
        <f>'2025'!Wh/'2025'!Env_an*'2026'!Env_an</f>
        <v>5.5656150728059108</v>
      </c>
      <c r="C364" s="832"/>
      <c r="D364" s="388">
        <f t="shared" si="127"/>
        <v>5.7083648898466759</v>
      </c>
      <c r="E364" s="380">
        <f t="shared" si="150"/>
        <v>5.9068265451538098</v>
      </c>
      <c r="F364" s="380">
        <f t="shared" si="128"/>
        <v>5.9134200820162679</v>
      </c>
      <c r="G364" s="110">
        <f t="shared" si="151"/>
        <v>0.34271203869908773</v>
      </c>
      <c r="H364" s="409" t="b">
        <f>Wh_hp&gt;='2025'!Maxi_hp</f>
        <v>0</v>
      </c>
      <c r="I364" s="375">
        <f>IF(H364,Wh_hp,'2025'!Maxi_hp)</f>
        <v>5.9877220322580982</v>
      </c>
      <c r="J364" s="85">
        <f>IF(H364,An,'2025'!An_max)</f>
        <v>2022</v>
      </c>
      <c r="K364" s="193">
        <f t="shared" si="129"/>
        <v>46372</v>
      </c>
      <c r="L364" s="143">
        <f>IF(t&lt;Tvie,1-EXP((T0-t)*PertePVj)+'2025'!Pspv,1-EXP((T0-t)*PertePVj)+Pspv)</f>
        <v>2.500712897570212E-2</v>
      </c>
      <c r="M364" s="836"/>
      <c r="N364" s="836"/>
      <c r="O364" s="48">
        <f>IF(t&lt;Tnet,'2025'!Resal+('2025'!Salim-'2025'!Resal)*(1-EXP(('2025'!Tnet-t)/('2025'!Tau_j))),Resal+(Salim-Resal)*(1-EXP((Tnet-t)/(Tau_j))))*Salcycl</f>
        <v>3.359869361153995E-2</v>
      </c>
      <c r="P364" s="334">
        <f>(INDEX(Models!$BJ364:$BT364,,T364)*(1-R364)+INDEX(Models!$BJ364:$BT364,,T364+1)*R364-ERP_i)*Q364*Ramure*Pc/MaxiM</f>
        <v>1.6264104602303611E-2</v>
      </c>
      <c r="Q364" s="301">
        <f t="shared" si="130"/>
        <v>0.5</v>
      </c>
      <c r="R364" s="173">
        <f t="shared" si="131"/>
        <v>0.49377012807329024</v>
      </c>
      <c r="S364" s="802">
        <f t="shared" si="132"/>
        <v>2</v>
      </c>
      <c r="T364" s="172">
        <f t="shared" si="133"/>
        <v>8</v>
      </c>
      <c r="U364" s="247">
        <f t="shared" si="134"/>
        <v>2.4937701280732902</v>
      </c>
      <c r="V364" s="378">
        <f t="shared" si="135"/>
        <v>15.993622405947765</v>
      </c>
      <c r="W364" s="397">
        <f t="shared" si="136"/>
        <v>5.5656150728059108</v>
      </c>
      <c r="X364" s="153">
        <f t="shared" si="137"/>
        <v>46372</v>
      </c>
      <c r="Y364" s="380">
        <f t="shared" si="138"/>
        <v>5.4350499928463112</v>
      </c>
      <c r="Z364" s="380">
        <f t="shared" si="139"/>
        <v>5.5744510081765144</v>
      </c>
      <c r="AA364" s="381">
        <f t="shared" si="140"/>
        <v>5.9068265451538098</v>
      </c>
      <c r="AB364" s="193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5.626973035969534E-2</v>
      </c>
      <c r="AD364" s="227">
        <f>(INDEX(Models!$BJ364:$BT364,,AH364)*(1-AF364)+INDEX(Models!$BJ364:$BT364,,AH364+1)*AF364-ERP_i)*AE364*Ramure*Pc/MaxiM</f>
        <v>1.6264104602303611E-2</v>
      </c>
      <c r="AE364" s="301">
        <f t="shared" si="142"/>
        <v>0.5</v>
      </c>
      <c r="AF364" s="173">
        <f t="shared" si="143"/>
        <v>0.49377012807329024</v>
      </c>
      <c r="AG364" s="802">
        <f t="shared" si="149"/>
        <v>2</v>
      </c>
      <c r="AH364" s="172">
        <f t="shared" si="144"/>
        <v>8</v>
      </c>
      <c r="AI364" s="221">
        <f t="shared" si="145"/>
        <v>2.4937701280732902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46373</v>
      </c>
      <c r="B365" s="406">
        <f>'2025'!Wh/'2025'!Env_an*'2026'!Env_an</f>
        <v>3.5936403115048923</v>
      </c>
      <c r="C365" s="832"/>
      <c r="D365" s="388">
        <f t="shared" si="127"/>
        <v>3.6858623410455986</v>
      </c>
      <c r="E365" s="380">
        <f t="shared" si="150"/>
        <v>3.8141582063929871</v>
      </c>
      <c r="F365" s="380">
        <f t="shared" si="128"/>
        <v>3.8141582063929871</v>
      </c>
      <c r="G365" s="110">
        <f t="shared" si="151"/>
        <v>0.22216762560010003</v>
      </c>
      <c r="H365" s="409" t="b">
        <f>Wh_hp&gt;='2025'!Maxi_hp</f>
        <v>0</v>
      </c>
      <c r="I365" s="375">
        <f>IF(H365,Wh_hp,'2025'!Maxi_hp)</f>
        <v>3.8659187328041593</v>
      </c>
      <c r="J365" s="85">
        <f>IF(H365,An,'2025'!An_max)</f>
        <v>2022</v>
      </c>
      <c r="K365" s="193">
        <f t="shared" si="129"/>
        <v>46373</v>
      </c>
      <c r="L365" s="143">
        <f>IF(t&lt;Tvie,1-EXP((T0-t)*PertePVj)+'2025'!Pspv,1-EXP((T0-t)*PertePVj)+Pspv)</f>
        <v>2.5020475809344744E-2</v>
      </c>
      <c r="M365" s="836"/>
      <c r="N365" s="836"/>
      <c r="O365" s="48">
        <f>IF(t&lt;Tnet,'2025'!Resal+('2025'!Salim-'2025'!Resal)*(1-EXP(('2025'!Tnet-t)/('2025'!Tau_j))),Resal+(Salim-Resal)*(1-EXP((Tnet-t)/(Tau_j))))*Salcycl</f>
        <v>3.363674457245884E-2</v>
      </c>
      <c r="P365" s="334">
        <f>(INDEX(Models!$BJ365:$BT365,,T365)*(1-R365)+INDEX(Models!$BJ365:$BT365,,T365+1)*R365-ERP_i)*Q365*Ramure*Pc/MaxiM</f>
        <v>1.6363766929886569E-2</v>
      </c>
      <c r="Q365" s="301">
        <f t="shared" si="130"/>
        <v>0.5</v>
      </c>
      <c r="R365" s="173">
        <f t="shared" si="131"/>
        <v>0.49377865993710301</v>
      </c>
      <c r="S365" s="802">
        <f t="shared" si="132"/>
        <v>2</v>
      </c>
      <c r="T365" s="172">
        <f t="shared" si="133"/>
        <v>8</v>
      </c>
      <c r="U365" s="247">
        <f t="shared" si="134"/>
        <v>2.493778659937103</v>
      </c>
      <c r="V365" s="378">
        <f t="shared" si="135"/>
        <v>15.910665694290923</v>
      </c>
      <c r="W365" s="397">
        <f t="shared" si="136"/>
        <v>3.5936403115048923</v>
      </c>
      <c r="X365" s="153">
        <f t="shared" si="137"/>
        <v>46373</v>
      </c>
      <c r="Y365" s="380">
        <f t="shared" si="138"/>
        <v>3.5094210058797666</v>
      </c>
      <c r="Z365" s="380">
        <f t="shared" si="139"/>
        <v>3.5994817519813949</v>
      </c>
      <c r="AA365" s="381">
        <f t="shared" si="140"/>
        <v>3.8141582063929871</v>
      </c>
      <c r="AB365" s="193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5.6284098035516407E-2</v>
      </c>
      <c r="AD365" s="227">
        <f>(INDEX(Models!$BJ365:$BT365,,AH365)*(1-AF365)+INDEX(Models!$BJ365:$BT365,,AH365+1)*AF365-ERP_i)*AE365*Ramure*Pc/MaxiM</f>
        <v>1.6363766929886569E-2</v>
      </c>
      <c r="AE365" s="301">
        <f t="shared" si="142"/>
        <v>0.5</v>
      </c>
      <c r="AF365" s="173">
        <f t="shared" si="143"/>
        <v>0.49377865993710301</v>
      </c>
      <c r="AG365" s="802">
        <f t="shared" si="149"/>
        <v>2</v>
      </c>
      <c r="AH365" s="172">
        <f t="shared" si="144"/>
        <v>8</v>
      </c>
      <c r="AI365" s="221">
        <f t="shared" si="145"/>
        <v>2.493778659937103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46374</v>
      </c>
      <c r="B366" s="406">
        <f>'2025'!Wh/'2025'!Env_an*'2026'!Env_an</f>
        <v>14.461765064230274</v>
      </c>
      <c r="C366" s="832"/>
      <c r="D366" s="388">
        <f t="shared" si="127"/>
        <v>14.833094108683692</v>
      </c>
      <c r="E366" s="380">
        <f t="shared" si="150"/>
        <v>15.350006770376732</v>
      </c>
      <c r="F366" s="380">
        <f t="shared" si="128"/>
        <v>15.574380052258013</v>
      </c>
      <c r="G366" s="110">
        <f t="shared" si="151"/>
        <v>0.91110633119719875</v>
      </c>
      <c r="H366" s="409" t="b">
        <f>Wh_hp&gt;='2025'!Maxi_hp</f>
        <v>0</v>
      </c>
      <c r="I366" s="375">
        <f>IF(H366,Wh_hp,'2025'!Maxi_hp)</f>
        <v>15.600858513413073</v>
      </c>
      <c r="J366" s="85">
        <f>IF(H366,An,'2025'!An_max)</f>
        <v>2022</v>
      </c>
      <c r="K366" s="193">
        <f t="shared" si="129"/>
        <v>46374</v>
      </c>
      <c r="L366" s="143">
        <f>IF(t&lt;Tvie,1-EXP((T0-t)*PertePVj)+'2025'!Pspv,1-EXP((T0-t)*PertePVj)+Pspv)</f>
        <v>2.5033822460280408E-2</v>
      </c>
      <c r="M366" s="836"/>
      <c r="N366" s="836"/>
      <c r="O366" s="48">
        <f>IF(t&lt;Tnet,'2025'!Resal+('2025'!Salim-'2025'!Resal)*(1-EXP(('2025'!Tnet-t)/('2025'!Tau_j))),Resal+(Salim-Resal)*(1-EXP((Tnet-t)/(Tau_j))))*Salcycl</f>
        <v>3.3675077114011694E-2</v>
      </c>
      <c r="P366" s="334">
        <f>(INDEX(Models!$BJ366:$BT366,,T366)*(1-R366)+INDEX(Models!$BJ366:$BT366,,T366+1)*R366-ERP_i)*Q366*Ramure*Pc/MaxiM</f>
        <v>1.6451203380197708E-2</v>
      </c>
      <c r="Q366" s="301">
        <f t="shared" si="130"/>
        <v>0.5</v>
      </c>
      <c r="R366" s="173">
        <f t="shared" si="131"/>
        <v>0.49378684855677202</v>
      </c>
      <c r="S366" s="802">
        <f t="shared" si="132"/>
        <v>2</v>
      </c>
      <c r="T366" s="172">
        <f t="shared" si="133"/>
        <v>8</v>
      </c>
      <c r="U366" s="247">
        <f t="shared" si="134"/>
        <v>2.493786848556772</v>
      </c>
      <c r="V366" s="378">
        <f t="shared" si="135"/>
        <v>15.839823783547851</v>
      </c>
      <c r="W366" s="397">
        <f t="shared" si="136"/>
        <v>14.461765064230274</v>
      </c>
      <c r="X366" s="153">
        <f t="shared" si="137"/>
        <v>46374</v>
      </c>
      <c r="Y366" s="380">
        <f t="shared" si="138"/>
        <v>14.123181458631276</v>
      </c>
      <c r="Z366" s="380">
        <f t="shared" si="139"/>
        <v>14.485816825226129</v>
      </c>
      <c r="AA366" s="381">
        <f t="shared" si="140"/>
        <v>15.350006770376732</v>
      </c>
      <c r="AB366" s="193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5.629899439643006E-2</v>
      </c>
      <c r="AD366" s="227">
        <f>(INDEX(Models!$BJ366:$BT366,,AH366)*(1-AF366)+INDEX(Models!$BJ366:$BT366,,AH366+1)*AF366-ERP_i)*AE366*Ramure*Pc/MaxiM</f>
        <v>1.6451203380197708E-2</v>
      </c>
      <c r="AE366" s="301">
        <f t="shared" si="142"/>
        <v>0.5</v>
      </c>
      <c r="AF366" s="173">
        <f t="shared" si="143"/>
        <v>0.49378684855677202</v>
      </c>
      <c r="AG366" s="802">
        <f t="shared" si="149"/>
        <v>2</v>
      </c>
      <c r="AH366" s="172">
        <f t="shared" si="144"/>
        <v>8</v>
      </c>
      <c r="AI366" s="221">
        <f t="shared" si="145"/>
        <v>2.493786848556772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46375</v>
      </c>
      <c r="B367" s="406">
        <f>'2025'!Wh/'2025'!Env_an*'2026'!Env_an</f>
        <v>13.846445757143266</v>
      </c>
      <c r="C367" s="832"/>
      <c r="D367" s="388">
        <f t="shared" si="127"/>
        <v>14.202169905928482</v>
      </c>
      <c r="E367" s="380">
        <f t="shared" si="150"/>
        <v>14.697682752403953</v>
      </c>
      <c r="F367" s="380">
        <f t="shared" si="128"/>
        <v>14.900681049687668</v>
      </c>
      <c r="G367" s="110">
        <f t="shared" si="151"/>
        <v>0.87476695463610576</v>
      </c>
      <c r="H367" s="409" t="b">
        <f>Wh_hp&gt;='2025'!Maxi_hp</f>
        <v>0</v>
      </c>
      <c r="I367" s="375">
        <f>IF(H367,Wh_hp,'2025'!Maxi_hp)</f>
        <v>14.936536539370893</v>
      </c>
      <c r="J367" s="85">
        <f>IF(H367,An,'2025'!An_max)</f>
        <v>2022</v>
      </c>
      <c r="K367" s="193">
        <f t="shared" si="129"/>
        <v>46375</v>
      </c>
      <c r="L367" s="143">
        <f>IF(t&lt;Tvie,1-EXP((T0-t)*PertePVj)+'2025'!Pspv,1-EXP((T0-t)*PertePVj)+Pspv)</f>
        <v>2.5047168928511665E-2</v>
      </c>
      <c r="M367" s="836"/>
      <c r="N367" s="836"/>
      <c r="O367" s="48">
        <f>IF(t&lt;Tnet,'2025'!Resal+('2025'!Salim-'2025'!Resal)*(1-EXP(('2025'!Tnet-t)/('2025'!Tau_j))),Resal+(Salim-Resal)*(1-EXP((Tnet-t)/(Tau_j))))*Salcycl</f>
        <v>3.3713671387717553E-2</v>
      </c>
      <c r="P367" s="334">
        <f>(INDEX(Models!$BJ367:$BT367,,T367)*(1-R367)+INDEX(Models!$BJ367:$BT367,,T367+1)*R367-ERP_i)*Q367*Ramure*Pc/MaxiM</f>
        <v>1.6517778674272239E-2</v>
      </c>
      <c r="Q367" s="301">
        <f t="shared" si="130"/>
        <v>0.5</v>
      </c>
      <c r="R367" s="173">
        <f t="shared" si="131"/>
        <v>0.4937947077307383</v>
      </c>
      <c r="S367" s="802">
        <f t="shared" si="132"/>
        <v>2</v>
      </c>
      <c r="T367" s="172">
        <f t="shared" si="133"/>
        <v>8</v>
      </c>
      <c r="U367" s="247">
        <f t="shared" si="134"/>
        <v>2.4937947077307383</v>
      </c>
      <c r="V367" s="378">
        <f t="shared" si="135"/>
        <v>15.782278514303435</v>
      </c>
      <c r="W367" s="397">
        <f t="shared" si="136"/>
        <v>13.846445757143266</v>
      </c>
      <c r="X367" s="153">
        <f t="shared" si="137"/>
        <v>46375</v>
      </c>
      <c r="Y367" s="380">
        <f t="shared" si="138"/>
        <v>13.522587763100807</v>
      </c>
      <c r="Z367" s="380">
        <f t="shared" si="139"/>
        <v>13.869991790514904</v>
      </c>
      <c r="AA367" s="381">
        <f t="shared" si="140"/>
        <v>14.697682752403953</v>
      </c>
      <c r="AB367" s="193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5.6314384779714489E-2</v>
      </c>
      <c r="AD367" s="227">
        <f>(INDEX(Models!$BJ367:$BT367,,AH367)*(1-AF367)+INDEX(Models!$BJ367:$BT367,,AH367+1)*AF367-ERP_i)*AE367*Ramure*Pc/MaxiM</f>
        <v>1.6517778674272239E-2</v>
      </c>
      <c r="AE367" s="301">
        <f t="shared" si="142"/>
        <v>0.5</v>
      </c>
      <c r="AF367" s="173">
        <f t="shared" si="143"/>
        <v>0.4937947077307383</v>
      </c>
      <c r="AG367" s="802">
        <f t="shared" si="149"/>
        <v>2</v>
      </c>
      <c r="AH367" s="172">
        <f t="shared" si="144"/>
        <v>8</v>
      </c>
      <c r="AI367" s="221">
        <f t="shared" si="145"/>
        <v>2.4937947077307383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46376</v>
      </c>
      <c r="B368" s="406">
        <f>'2025'!Wh/'2025'!Env_an*'2026'!Env_an</f>
        <v>4.1800570837305715</v>
      </c>
      <c r="C368" s="832"/>
      <c r="D368" s="388">
        <f t="shared" si="127"/>
        <v>4.2875041466273913</v>
      </c>
      <c r="E368" s="380">
        <f t="shared" si="150"/>
        <v>4.4372732461283508</v>
      </c>
      <c r="F368" s="380">
        <f t="shared" si="128"/>
        <v>4.4372732461283508</v>
      </c>
      <c r="G368" s="110">
        <f t="shared" si="151"/>
        <v>0.26118570596561608</v>
      </c>
      <c r="H368" s="409" t="b">
        <f>Wh_hp&gt;='2025'!Maxi_hp</f>
        <v>0</v>
      </c>
      <c r="I368" s="375">
        <f>IF(H368,Wh_hp,'2025'!Maxi_hp)</f>
        <v>4.4982170424996788</v>
      </c>
      <c r="J368" s="85">
        <f>IF(H368,An,'2025'!An_max)</f>
        <v>2022</v>
      </c>
      <c r="K368" s="193">
        <f t="shared" si="129"/>
        <v>46376</v>
      </c>
      <c r="L368" s="143">
        <f>IF(t&lt;Tvie,1-EXP((T0-t)*PertePVj)+'2025'!Pspv,1-EXP((T0-t)*PertePVj)+Pspv)</f>
        <v>2.5060515214040957E-2</v>
      </c>
      <c r="M368" s="836"/>
      <c r="N368" s="836"/>
      <c r="O368" s="48">
        <f>IF(t&lt;Tnet,'2025'!Resal+('2025'!Salim-'2025'!Resal)*(1-EXP(('2025'!Tnet-t)/('2025'!Tau_j))),Resal+(Salim-Resal)*(1-EXP((Tnet-t)/(Tau_j))))*Salcycl</f>
        <v>3.3752507721186105E-2</v>
      </c>
      <c r="P368" s="334">
        <f>(INDEX(Models!$BJ368:$BT368,,T368)*(1-R368)+INDEX(Models!$BJ368:$BT368,,T368+1)*R368-ERP_i)*Q368*Ramure*Pc/MaxiM</f>
        <v>1.6561950109959794E-2</v>
      </c>
      <c r="Q368" s="301">
        <f t="shared" si="130"/>
        <v>0.5</v>
      </c>
      <c r="R368" s="173">
        <f t="shared" si="131"/>
        <v>0.49380225070357664</v>
      </c>
      <c r="S368" s="802">
        <f t="shared" si="132"/>
        <v>2</v>
      </c>
      <c r="T368" s="172">
        <f t="shared" si="133"/>
        <v>8</v>
      </c>
      <c r="U368" s="247">
        <f t="shared" si="134"/>
        <v>2.4938022507035766</v>
      </c>
      <c r="V368" s="378">
        <f t="shared" si="135"/>
        <v>15.739097098193476</v>
      </c>
      <c r="W368" s="397">
        <f t="shared" si="136"/>
        <v>4.1800570837305715</v>
      </c>
      <c r="X368" s="153">
        <f t="shared" si="137"/>
        <v>46376</v>
      </c>
      <c r="Y368" s="380">
        <f t="shared" si="138"/>
        <v>4.0823841900273381</v>
      </c>
      <c r="Z368" s="380">
        <f t="shared" si="139"/>
        <v>4.1873206016715967</v>
      </c>
      <c r="AA368" s="381">
        <f t="shared" si="140"/>
        <v>4.4372732461283508</v>
      </c>
      <c r="AB368" s="193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5.6330234942111181E-2</v>
      </c>
      <c r="AD368" s="227">
        <f>(INDEX(Models!$BJ368:$BT368,,AH368)*(1-AF368)+INDEX(Models!$BJ368:$BT368,,AH368+1)*AF368-ERP_i)*AE368*Ramure*Pc/MaxiM</f>
        <v>1.6561950109959794E-2</v>
      </c>
      <c r="AE368" s="301">
        <f t="shared" si="142"/>
        <v>0.5</v>
      </c>
      <c r="AF368" s="173">
        <f t="shared" si="143"/>
        <v>0.49380225070357664</v>
      </c>
      <c r="AG368" s="802">
        <f t="shared" si="149"/>
        <v>2</v>
      </c>
      <c r="AH368" s="172">
        <f t="shared" si="144"/>
        <v>8</v>
      </c>
      <c r="AI368" s="221">
        <f t="shared" si="145"/>
        <v>2.4938022507035766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46377</v>
      </c>
      <c r="B369" s="406">
        <f>'2025'!Wh/'2025'!Env_an*'2026'!Env_an</f>
        <v>14.82349322942912</v>
      </c>
      <c r="C369" s="832"/>
      <c r="D369" s="388">
        <f t="shared" si="127"/>
        <v>15.204734637079062</v>
      </c>
      <c r="E369" s="380">
        <f t="shared" si="150"/>
        <v>15.736495474047024</v>
      </c>
      <c r="F369" s="380">
        <f t="shared" si="128"/>
        <v>15.98008932708856</v>
      </c>
      <c r="G369" s="110">
        <f t="shared" si="151"/>
        <v>0.94220709956689541</v>
      </c>
      <c r="H369" s="409" t="b">
        <f>Wh_hp&gt;='2025'!Maxi_hp</f>
        <v>0</v>
      </c>
      <c r="I369" s="375">
        <f>IF(H369,Wh_hp,'2025'!Maxi_hp)</f>
        <v>15.99787926279242</v>
      </c>
      <c r="J369" s="85">
        <f>IF(H369,An,'2025'!An_max)</f>
        <v>2022</v>
      </c>
      <c r="K369" s="193">
        <f t="shared" si="129"/>
        <v>46377</v>
      </c>
      <c r="L369" s="143">
        <f>IF(t&lt;Tvie,1-EXP((T0-t)*PertePVj)+'2025'!Pspv,1-EXP((T0-t)*PertePVj)+Pspv)</f>
        <v>2.5073861316870727E-2</v>
      </c>
      <c r="M369" s="836"/>
      <c r="N369" s="836"/>
      <c r="O369" s="48">
        <f>IF(t&lt;Tnet,'2025'!Resal+('2025'!Salim-'2025'!Resal)*(1-EXP(('2025'!Tnet-t)/('2025'!Tau_j))),Resal+(Salim-Resal)*(1-EXP((Tnet-t)/(Tau_j))))*Salcycl</f>
        <v>3.3791566733835571E-2</v>
      </c>
      <c r="P369" s="334">
        <f>(INDEX(Models!$BJ369:$BT369,,T369)*(1-R369)+INDEX(Models!$BJ369:$BT369,,T369+1)*R369-ERP_i)*Q369*Ramure*Pc/MaxiM</f>
        <v>1.6582254709947477E-2</v>
      </c>
      <c r="Q369" s="301">
        <f t="shared" si="130"/>
        <v>0.5</v>
      </c>
      <c r="R369" s="173">
        <f t="shared" si="131"/>
        <v>0.49380949018816356</v>
      </c>
      <c r="S369" s="802">
        <f t="shared" si="132"/>
        <v>2</v>
      </c>
      <c r="T369" s="172">
        <f t="shared" si="133"/>
        <v>8</v>
      </c>
      <c r="U369" s="247">
        <f t="shared" si="134"/>
        <v>2.4938094901881636</v>
      </c>
      <c r="V369" s="378">
        <f t="shared" si="135"/>
        <v>15.711346587467791</v>
      </c>
      <c r="W369" s="397">
        <f t="shared" si="136"/>
        <v>14.82349322942912</v>
      </c>
      <c r="X369" s="153">
        <f t="shared" si="137"/>
        <v>46377</v>
      </c>
      <c r="Y369" s="380">
        <f t="shared" si="138"/>
        <v>14.477457057708104</v>
      </c>
      <c r="Z369" s="380">
        <f t="shared" si="139"/>
        <v>14.849798854776187</v>
      </c>
      <c r="AA369" s="381">
        <f t="shared" si="140"/>
        <v>15.736495474047024</v>
      </c>
      <c r="AB369" s="193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5.6346511250436604E-2</v>
      </c>
      <c r="AD369" s="227">
        <f>(INDEX(Models!$BJ369:$BT369,,AH369)*(1-AF369)+INDEX(Models!$BJ369:$BT369,,AH369+1)*AF369-ERP_i)*AE369*Ramure*Pc/MaxiM</f>
        <v>1.6582254709947477E-2</v>
      </c>
      <c r="AE369" s="301">
        <f t="shared" si="142"/>
        <v>0.5</v>
      </c>
      <c r="AF369" s="173">
        <f t="shared" si="143"/>
        <v>0.49380949018816356</v>
      </c>
      <c r="AG369" s="802">
        <f t="shared" si="149"/>
        <v>2</v>
      </c>
      <c r="AH369" s="172">
        <f t="shared" si="144"/>
        <v>8</v>
      </c>
      <c r="AI369" s="221">
        <f t="shared" si="145"/>
        <v>2.4938094901881636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46378</v>
      </c>
      <c r="B370" s="406">
        <f>'2025'!Wh/'2025'!Env_an*'2026'!Env_an</f>
        <v>14.756675043834758</v>
      </c>
      <c r="C370" s="832"/>
      <c r="D370" s="388">
        <f t="shared" si="127"/>
        <v>15.136405177341992</v>
      </c>
      <c r="E370" s="380">
        <f t="shared" si="150"/>
        <v>15.666412920902282</v>
      </c>
      <c r="F370" s="380">
        <f t="shared" si="128"/>
        <v>15.907479544046435</v>
      </c>
      <c r="G370" s="110">
        <f t="shared" si="151"/>
        <v>0.93855187260068706</v>
      </c>
      <c r="H370" s="409" t="b">
        <f>Wh_hp&gt;='2025'!Maxi_hp</f>
        <v>0</v>
      </c>
      <c r="I370" s="375">
        <f>IF(H370,Wh_hp,'2025'!Maxi_hp)</f>
        <v>15.926304409611507</v>
      </c>
      <c r="J370" s="85">
        <f>IF(H370,An,'2025'!An_max)</f>
        <v>2022</v>
      </c>
      <c r="K370" s="193">
        <f t="shared" si="129"/>
        <v>46378</v>
      </c>
      <c r="L370" s="143">
        <f>IF(t&lt;Tvie,1-EXP((T0-t)*PertePVj)+'2025'!Pspv,1-EXP((T0-t)*PertePVj)+Pspv)</f>
        <v>2.5087207237003639E-2</v>
      </c>
      <c r="M370" s="836"/>
      <c r="N370" s="836"/>
      <c r="O370" s="48">
        <f>IF(t&lt;Tnet,'2025'!Resal+('2025'!Salim-'2025'!Resal)*(1-EXP(('2025'!Tnet-t)/('2025'!Tau_j))),Resal+(Salim-Resal)*(1-EXP((Tnet-t)/(Tau_j))))*Salcycl</f>
        <v>3.3830829446168123E-2</v>
      </c>
      <c r="P370" s="334">
        <f>(INDEX(Models!$BJ370:$BT370,,T370)*(1-R370)+INDEX(Models!$BJ370:$BT370,,T370+1)*R370-ERP_i)*Q370*Ramure*Pc/MaxiM</f>
        <v>1.6577340613390772E-2</v>
      </c>
      <c r="Q370" s="301">
        <f t="shared" si="130"/>
        <v>0.5</v>
      </c>
      <c r="R370" s="173">
        <f t="shared" si="131"/>
        <v>0.49381643838696077</v>
      </c>
      <c r="S370" s="802">
        <f t="shared" si="132"/>
        <v>2</v>
      </c>
      <c r="T370" s="172">
        <f t="shared" si="133"/>
        <v>8</v>
      </c>
      <c r="U370" s="247">
        <f t="shared" si="134"/>
        <v>2.4938164383869608</v>
      </c>
      <c r="V370" s="378">
        <f t="shared" si="135"/>
        <v>15.700093847126734</v>
      </c>
      <c r="W370" s="397">
        <f t="shared" si="136"/>
        <v>14.756675043834758</v>
      </c>
      <c r="X370" s="153">
        <f t="shared" si="137"/>
        <v>46378</v>
      </c>
      <c r="Y370" s="380">
        <f t="shared" si="138"/>
        <v>14.412529734785068</v>
      </c>
      <c r="Z370" s="380">
        <f t="shared" si="139"/>
        <v>14.783404056006463</v>
      </c>
      <c r="AA370" s="381">
        <f t="shared" si="140"/>
        <v>15.666412920902282</v>
      </c>
      <c r="AB370" s="193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5.6363180860482719E-2</v>
      </c>
      <c r="AD370" s="227">
        <f>(INDEX(Models!$BJ370:$BT370,,AH370)*(1-AF370)+INDEX(Models!$BJ370:$BT370,,AH370+1)*AF370-ERP_i)*AE370*Ramure*Pc/MaxiM</f>
        <v>1.6577340613390772E-2</v>
      </c>
      <c r="AE370" s="301">
        <f t="shared" si="142"/>
        <v>0.5</v>
      </c>
      <c r="AF370" s="173">
        <f t="shared" si="143"/>
        <v>0.49381643838696077</v>
      </c>
      <c r="AG370" s="802">
        <f t="shared" si="149"/>
        <v>2</v>
      </c>
      <c r="AH370" s="172">
        <f t="shared" si="144"/>
        <v>8</v>
      </c>
      <c r="AI370" s="221">
        <f t="shared" si="145"/>
        <v>2.4938164383869608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46379</v>
      </c>
      <c r="B371" s="406">
        <f>'2025'!Wh/'2025'!Env_an*'2026'!Env_an</f>
        <v>14.479532586902705</v>
      </c>
      <c r="C371" s="832"/>
      <c r="D371" s="388">
        <f t="shared" si="127"/>
        <v>14.852334393131635</v>
      </c>
      <c r="E371" s="380">
        <f t="shared" si="150"/>
        <v>15.373022944458398</v>
      </c>
      <c r="F371" s="380">
        <f t="shared" si="128"/>
        <v>15.602371521471774</v>
      </c>
      <c r="G371" s="110">
        <f t="shared" si="151"/>
        <v>0.92015952678148316</v>
      </c>
      <c r="H371" s="409" t="b">
        <f>Wh_hp&gt;='2025'!Maxi_hp</f>
        <v>0</v>
      </c>
      <c r="I371" s="375">
        <f>IF(H371,Wh_hp,'2025'!Maxi_hp)</f>
        <v>15.626325591893499</v>
      </c>
      <c r="J371" s="85">
        <f>IF(H371,An,'2025'!An_max)</f>
        <v>2022</v>
      </c>
      <c r="K371" s="193">
        <f t="shared" si="129"/>
        <v>46379</v>
      </c>
      <c r="L371" s="143">
        <f>IF(t&lt;Tvie,1-EXP((T0-t)*PertePVj)+'2025'!Pspv,1-EXP((T0-t)*PertePVj)+Pspv)</f>
        <v>2.5100552974442136E-2</v>
      </c>
      <c r="M371" s="836"/>
      <c r="N371" s="836"/>
      <c r="O371" s="48">
        <f>IF(t&lt;Tnet,'2025'!Resal+('2025'!Salim-'2025'!Resal)*(1-EXP(('2025'!Tnet-t)/('2025'!Tau_j))),Resal+(Salim-Resal)*(1-EXP((Tnet-t)/(Tau_j))))*Salcycl</f>
        <v>3.3870277381876882E-2</v>
      </c>
      <c r="P371" s="334">
        <f>(INDEX(Models!$BJ371:$BT371,,T371)*(1-R371)+INDEX(Models!$BJ371:$BT371,,T371+1)*R371-ERP_i)*Q371*Ramure*Pc/MaxiM</f>
        <v>1.6545959457063299E-2</v>
      </c>
      <c r="Q371" s="301">
        <f t="shared" si="130"/>
        <v>0.5</v>
      </c>
      <c r="R371" s="173">
        <f t="shared" si="131"/>
        <v>0.49381643838696077</v>
      </c>
      <c r="S371" s="802">
        <f t="shared" si="132"/>
        <v>2</v>
      </c>
      <c r="T371" s="172">
        <f t="shared" si="133"/>
        <v>8</v>
      </c>
      <c r="U371" s="247">
        <f t="shared" si="134"/>
        <v>2.4938164383869608</v>
      </c>
      <c r="V371" s="378">
        <f t="shared" si="135"/>
        <v>15.706406177748503</v>
      </c>
      <c r="W371" s="397">
        <f t="shared" si="136"/>
        <v>14.479532586902705</v>
      </c>
      <c r="X371" s="153">
        <f t="shared" si="137"/>
        <v>46379</v>
      </c>
      <c r="Y371" s="380">
        <f t="shared" si="138"/>
        <v>14.142172786755074</v>
      </c>
      <c r="Z371" s="380">
        <f t="shared" si="139"/>
        <v>14.506288653566468</v>
      </c>
      <c r="AA371" s="381">
        <f t="shared" si="140"/>
        <v>15.373022944458398</v>
      </c>
      <c r="AB371" s="193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5.6380211883074502E-2</v>
      </c>
      <c r="AD371" s="227">
        <f>(INDEX(Models!$BJ371:$BT371,,AH371)*(1-AF371)+INDEX(Models!$BJ371:$BT371,,AH371+1)*AF371-ERP_i)*AE371*Ramure*Pc/MaxiM</f>
        <v>1.6545959457063299E-2</v>
      </c>
      <c r="AE371" s="301">
        <f t="shared" si="142"/>
        <v>0.5</v>
      </c>
      <c r="AF371" s="173">
        <f t="shared" si="143"/>
        <v>0.49381643838696077</v>
      </c>
      <c r="AG371" s="802">
        <f t="shared" si="149"/>
        <v>2</v>
      </c>
      <c r="AH371" s="172">
        <f t="shared" si="144"/>
        <v>8</v>
      </c>
      <c r="AI371" s="221">
        <f t="shared" si="145"/>
        <v>2.4938164383869608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46380</v>
      </c>
      <c r="B372" s="406">
        <f>'2025'!Wh/'2025'!Env_an*'2026'!Env_an</f>
        <v>15.666716410339674</v>
      </c>
      <c r="C372" s="832"/>
      <c r="D372" s="388">
        <f t="shared" si="127"/>
        <v>16.070304404487139</v>
      </c>
      <c r="E372" s="380">
        <f t="shared" si="150"/>
        <v>16.634374249799592</v>
      </c>
      <c r="F372" s="380">
        <f t="shared" si="128"/>
        <v>16.911560280290434</v>
      </c>
      <c r="G372" s="110">
        <f t="shared" si="151"/>
        <v>0.99579345675186681</v>
      </c>
      <c r="H372" s="409" t="b">
        <f>Wh_hp&gt;='2025'!Maxi_hp</f>
        <v>0</v>
      </c>
      <c r="I372" s="375">
        <f>IF(H372,Wh_hp,'2025'!Maxi_hp)</f>
        <v>16.912921484564905</v>
      </c>
      <c r="J372" s="85">
        <f>IF(H372,An,'2025'!An_max)</f>
        <v>2022</v>
      </c>
      <c r="K372" s="193">
        <f t="shared" si="129"/>
        <v>46380</v>
      </c>
      <c r="L372" s="143">
        <f>IF(t&lt;Tvie,1-EXP((T0-t)*PertePVj)+'2025'!Pspv,1-EXP((T0-t)*PertePVj)+Pspv)</f>
        <v>2.5113898529188661E-2</v>
      </c>
      <c r="M372" s="836"/>
      <c r="N372" s="836"/>
      <c r="O372" s="48">
        <f>IF(t&lt;Tnet,'2025'!Resal+('2025'!Salim-'2025'!Resal)*(1-EXP(('2025'!Tnet-t)/('2025'!Tau_j))),Resal+(Salim-Resal)*(1-EXP((Tnet-t)/(Tau_j))))*Salcycl</f>
        <v>3.3909892662132998E-2</v>
      </c>
      <c r="P372" s="334">
        <f>(INDEX(Models!$BJ372:$BT372,,T372)*(1-R372)+INDEX(Models!$BJ372:$BT372,,T372+1)*R372-ERP_i)*Q372*Ramure*Pc/MaxiM</f>
        <v>1.6487097660329506E-2</v>
      </c>
      <c r="Q372" s="301">
        <f t="shared" si="130"/>
        <v>0.5</v>
      </c>
      <c r="R372" s="173">
        <f t="shared" si="131"/>
        <v>0.49381643838696077</v>
      </c>
      <c r="S372" s="802">
        <f t="shared" si="132"/>
        <v>2</v>
      </c>
      <c r="T372" s="172">
        <f t="shared" si="133"/>
        <v>8</v>
      </c>
      <c r="U372" s="247">
        <f t="shared" si="134"/>
        <v>2.4938164383869608</v>
      </c>
      <c r="V372" s="378">
        <f t="shared" si="135"/>
        <v>15.731349697427838</v>
      </c>
      <c r="W372" s="397">
        <f t="shared" si="136"/>
        <v>15.666716410339674</v>
      </c>
      <c r="X372" s="153">
        <f t="shared" si="137"/>
        <v>46380</v>
      </c>
      <c r="Y372" s="380">
        <f t="shared" si="138"/>
        <v>15.30204222901269</v>
      </c>
      <c r="Z372" s="380">
        <f t="shared" si="139"/>
        <v>15.696235904816458</v>
      </c>
      <c r="AA372" s="381">
        <f t="shared" si="140"/>
        <v>16.634374249799592</v>
      </c>
      <c r="AB372" s="193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5.639757353628351E-2</v>
      </c>
      <c r="AD372" s="227">
        <f>(INDEX(Models!$BJ372:$BT372,,AH372)*(1-AF372)+INDEX(Models!$BJ372:$BT372,,AH372+1)*AF372-ERP_i)*AE372*Ramure*Pc/MaxiM</f>
        <v>1.6487097660329506E-2</v>
      </c>
      <c r="AE372" s="301">
        <f t="shared" si="142"/>
        <v>0.5</v>
      </c>
      <c r="AF372" s="173">
        <f t="shared" si="143"/>
        <v>0.49381643838696077</v>
      </c>
      <c r="AG372" s="802">
        <f t="shared" si="149"/>
        <v>2</v>
      </c>
      <c r="AH372" s="172">
        <f t="shared" si="144"/>
        <v>8</v>
      </c>
      <c r="AI372" s="221">
        <f t="shared" si="145"/>
        <v>2.4938164383869608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46381</v>
      </c>
      <c r="B373" s="406">
        <f>'2025'!Wh/'2025'!Env_an*'2026'!Env_an</f>
        <v>8.6881627489971329</v>
      </c>
      <c r="C373" s="832"/>
      <c r="D373" s="388">
        <f t="shared" si="127"/>
        <v>8.9120992402797476</v>
      </c>
      <c r="E373" s="380">
        <f t="shared" si="150"/>
        <v>9.225294846097869</v>
      </c>
      <c r="F373" s="380">
        <f t="shared" si="128"/>
        <v>9.2797932127476166</v>
      </c>
      <c r="G373" s="110">
        <f t="shared" si="151"/>
        <v>0.54485510503357171</v>
      </c>
      <c r="H373" s="409" t="b">
        <f>Wh_hp&gt;='2025'!Maxi_hp</f>
        <v>0</v>
      </c>
      <c r="I373" s="375">
        <f>IF(H373,Wh_hp,'2025'!Maxi_hp)</f>
        <v>9.3608811966692667</v>
      </c>
      <c r="J373" s="85">
        <f>IF(H373,An,'2025'!An_max)</f>
        <v>2022</v>
      </c>
      <c r="K373" s="193">
        <f t="shared" si="129"/>
        <v>46381</v>
      </c>
      <c r="L373" s="143">
        <f>IF(t&lt;Tvie,1-EXP((T0-t)*PertePVj)+'2025'!Pspv,1-EXP((T0-t)*PertePVj)+Pspv)</f>
        <v>2.5127243901245655E-2</v>
      </c>
      <c r="M373" s="836"/>
      <c r="N373" s="836"/>
      <c r="O373" s="48">
        <f>IF(t&lt;Tnet,'2025'!Resal+('2025'!Salim-'2025'!Resal)*(1-EXP(('2025'!Tnet-t)/('2025'!Tau_j))),Resal+(Salim-Resal)*(1-EXP((Tnet-t)/(Tau_j))))*Salcycl</f>
        <v>3.3949658091480601E-2</v>
      </c>
      <c r="P373" s="334">
        <f>(INDEX(Models!$BJ373:$BT373,,T373)*(1-R373)+INDEX(Models!$BJ373:$BT373,,T373+1)*R373-ERP_i)*Q373*Ramure*Pc/MaxiM</f>
        <v>1.6398847617446932E-2</v>
      </c>
      <c r="Q373" s="301">
        <f t="shared" si="130"/>
        <v>0.5</v>
      </c>
      <c r="R373" s="173">
        <f t="shared" si="131"/>
        <v>0.49381643838696077</v>
      </c>
      <c r="S373" s="802">
        <f t="shared" si="132"/>
        <v>2</v>
      </c>
      <c r="T373" s="172">
        <f t="shared" si="133"/>
        <v>8</v>
      </c>
      <c r="U373" s="247">
        <f t="shared" si="134"/>
        <v>2.4938164383869608</v>
      </c>
      <c r="V373" s="378">
        <f t="shared" si="135"/>
        <v>15.776984375960955</v>
      </c>
      <c r="W373" s="397">
        <f t="shared" si="136"/>
        <v>8.6881627489971329</v>
      </c>
      <c r="X373" s="153">
        <f t="shared" si="137"/>
        <v>46381</v>
      </c>
      <c r="Y373" s="380">
        <f t="shared" si="138"/>
        <v>8.4861188273604302</v>
      </c>
      <c r="Z373" s="380">
        <f t="shared" si="139"/>
        <v>8.7048476575755167</v>
      </c>
      <c r="AA373" s="381">
        <f t="shared" si="140"/>
        <v>9.225294846097869</v>
      </c>
      <c r="AB373" s="193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5.6415236282934933E-2</v>
      </c>
      <c r="AD373" s="227">
        <f>(INDEX(Models!$BJ373:$BT373,,AH373)*(1-AF373)+INDEX(Models!$BJ373:$BT373,,AH373+1)*AF373-ERP_i)*AE373*Ramure*Pc/MaxiM</f>
        <v>1.6398847617446932E-2</v>
      </c>
      <c r="AE373" s="301">
        <f t="shared" si="142"/>
        <v>0.5</v>
      </c>
      <c r="AF373" s="173">
        <f t="shared" si="143"/>
        <v>0.49381643838696077</v>
      </c>
      <c r="AG373" s="802">
        <f t="shared" si="149"/>
        <v>2</v>
      </c>
      <c r="AH373" s="172">
        <f t="shared" si="144"/>
        <v>8</v>
      </c>
      <c r="AI373" s="221">
        <f t="shared" si="145"/>
        <v>2.4938164383869608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46382</v>
      </c>
      <c r="B374" s="406">
        <f>'2025'!Wh/'2025'!Env_an*'2026'!Env_an</f>
        <v>14.520426052832802</v>
      </c>
      <c r="C374" s="832"/>
      <c r="D374" s="388">
        <f t="shared" si="127"/>
        <v>14.894892422782913</v>
      </c>
      <c r="E374" s="380">
        <f t="shared" si="150"/>
        <v>15.418976610798483</v>
      </c>
      <c r="F374" s="380">
        <f t="shared" si="128"/>
        <v>15.643283585282527</v>
      </c>
      <c r="G374" s="110">
        <f t="shared" si="151"/>
        <v>0.91467844498044337</v>
      </c>
      <c r="H374" s="409" t="b">
        <f>Wh_hp&gt;='2025'!Maxi_hp</f>
        <v>0</v>
      </c>
      <c r="I374" s="375">
        <f>IF(H374,Wh_hp,'2025'!Maxi_hp)</f>
        <v>15.668548082708286</v>
      </c>
      <c r="J374" s="85">
        <f>IF(H374,An,'2025'!An_max)</f>
        <v>2022</v>
      </c>
      <c r="K374" s="193">
        <f t="shared" si="129"/>
        <v>46382</v>
      </c>
      <c r="L374" s="143">
        <f>IF(t&lt;Tvie,1-EXP((T0-t)*PertePVj)+'2025'!Pspv,1-EXP((T0-t)*PertePVj)+Pspv)</f>
        <v>2.5140589090615784E-2</v>
      </c>
      <c r="M374" s="836"/>
      <c r="N374" s="836"/>
      <c r="O374" s="48">
        <f>IF(t&lt;Tnet,'2025'!Resal+('2025'!Salim-'2025'!Resal)*(1-EXP(('2025'!Tnet-t)/('2025'!Tau_j))),Resal+(Salim-Resal)*(1-EXP((Tnet-t)/(Tau_j))))*Salcycl</f>
        <v>3.3989557234851385E-2</v>
      </c>
      <c r="P374" s="334">
        <f>(INDEX(Models!$BJ374:$BT374,,T374)*(1-R374)+INDEX(Models!$BJ374:$BT374,,T374+1)*R374-ERP_i)*Q374*Ramure*Pc/MaxiM</f>
        <v>1.6281359357225095E-2</v>
      </c>
      <c r="Q374" s="301">
        <f t="shared" si="130"/>
        <v>0.5</v>
      </c>
      <c r="R374" s="173">
        <f t="shared" si="131"/>
        <v>0.49381643838696077</v>
      </c>
      <c r="S374" s="802">
        <f t="shared" si="132"/>
        <v>2</v>
      </c>
      <c r="T374" s="172">
        <f t="shared" si="133"/>
        <v>8</v>
      </c>
      <c r="U374" s="247">
        <f t="shared" si="134"/>
        <v>2.4938164383869608</v>
      </c>
      <c r="V374" s="378">
        <f t="shared" si="135"/>
        <v>15.843611493980289</v>
      </c>
      <c r="W374" s="397">
        <f t="shared" si="136"/>
        <v>14.520426052832802</v>
      </c>
      <c r="X374" s="153">
        <f t="shared" si="137"/>
        <v>46382</v>
      </c>
      <c r="Y374" s="380">
        <f t="shared" si="138"/>
        <v>14.183068573615701</v>
      </c>
      <c r="Z374" s="380">
        <f t="shared" si="139"/>
        <v>14.548834852386786</v>
      </c>
      <c r="AA374" s="381">
        <f t="shared" si="140"/>
        <v>15.418976610798483</v>
      </c>
      <c r="AB374" s="193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5.6433171952690042E-2</v>
      </c>
      <c r="AD374" s="227">
        <f>(INDEX(Models!$BJ374:$BT374,,AH374)*(1-AF374)+INDEX(Models!$BJ374:$BT374,,AH374+1)*AF374-ERP_i)*AE374*Ramure*Pc/MaxiM</f>
        <v>1.6281359357225095E-2</v>
      </c>
      <c r="AE374" s="301">
        <f t="shared" si="142"/>
        <v>0.5</v>
      </c>
      <c r="AF374" s="173">
        <f t="shared" si="143"/>
        <v>0.49381643838696077</v>
      </c>
      <c r="AG374" s="802">
        <f t="shared" si="149"/>
        <v>2</v>
      </c>
      <c r="AH374" s="172">
        <f t="shared" si="144"/>
        <v>8</v>
      </c>
      <c r="AI374" s="221">
        <f t="shared" si="145"/>
        <v>2.4938164383869608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46383</v>
      </c>
      <c r="B375" s="406">
        <f>'2025'!Wh/'2025'!Env_an*'2026'!Env_an</f>
        <v>6.2496665002092628</v>
      </c>
      <c r="C375" s="832"/>
      <c r="D375" s="388">
        <f t="shared" si="127"/>
        <v>6.4109265234836119</v>
      </c>
      <c r="E375" s="380">
        <f t="shared" si="150"/>
        <v>6.6367730876104716</v>
      </c>
      <c r="F375" s="380">
        <f t="shared" si="128"/>
        <v>6.6509356969791655</v>
      </c>
      <c r="G375" s="110">
        <f t="shared" si="151"/>
        <v>0.38682165898732729</v>
      </c>
      <c r="H375" s="409" t="b">
        <f>Wh_hp&gt;='2025'!Maxi_hp</f>
        <v>0</v>
      </c>
      <c r="I375" s="375">
        <f>IF(H375,Wh_hp,'2025'!Maxi_hp)</f>
        <v>6.728249126275637</v>
      </c>
      <c r="J375" s="85">
        <f>IF(H375,An,'2025'!An_max)</f>
        <v>2022</v>
      </c>
      <c r="K375" s="193">
        <f t="shared" si="129"/>
        <v>46383</v>
      </c>
      <c r="L375" s="143">
        <f>IF(t&lt;Tvie,1-EXP((T0-t)*PertePVj)+'2025'!Pspv,1-EXP((T0-t)*PertePVj)+Pspv)</f>
        <v>2.5153934097301489E-2</v>
      </c>
      <c r="M375" s="836"/>
      <c r="N375" s="836"/>
      <c r="O375" s="48">
        <f>IF(t&lt;Tnet,'2025'!Resal+('2025'!Salim-'2025'!Resal)*(1-EXP(('2025'!Tnet-t)/('2025'!Tau_j))),Resal+(Salim-Resal)*(1-EXP((Tnet-t)/(Tau_j))))*Salcycl</f>
        <v>3.4029574485297698E-2</v>
      </c>
      <c r="P375" s="334">
        <f>(INDEX(Models!$BJ375:$BT375,,T375)*(1-R375)+INDEX(Models!$BJ375:$BT375,,T375+1)*R375-ERP_i)*Q375*Ramure*Pc/MaxiM</f>
        <v>1.6143871813369695E-2</v>
      </c>
      <c r="Q375" s="301">
        <f t="shared" si="130"/>
        <v>0.5</v>
      </c>
      <c r="R375" s="173">
        <f t="shared" si="131"/>
        <v>0.49381643838696077</v>
      </c>
      <c r="S375" s="802">
        <f t="shared" si="132"/>
        <v>2</v>
      </c>
      <c r="T375" s="172">
        <f t="shared" si="133"/>
        <v>8</v>
      </c>
      <c r="U375" s="247">
        <f t="shared" si="134"/>
        <v>2.4938164383869608</v>
      </c>
      <c r="V375" s="378">
        <f t="shared" si="135"/>
        <v>15.929547320169613</v>
      </c>
      <c r="W375" s="397">
        <f t="shared" si="136"/>
        <v>6.2496665002092628</v>
      </c>
      <c r="X375" s="153">
        <f t="shared" si="137"/>
        <v>46383</v>
      </c>
      <c r="Y375" s="380">
        <f t="shared" si="138"/>
        <v>6.1046013515693955</v>
      </c>
      <c r="Z375" s="380">
        <f t="shared" si="139"/>
        <v>6.2621182616319953</v>
      </c>
      <c r="AA375" s="381">
        <f t="shared" si="140"/>
        <v>6.6367730876104716</v>
      </c>
      <c r="AB375" s="193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5.6451353848134704E-2</v>
      </c>
      <c r="AD375" s="227">
        <f>(INDEX(Models!$BJ375:$BT375,,AH375)*(1-AF375)+INDEX(Models!$BJ375:$BT375,,AH375+1)*AF375-ERP_i)*AE375*Ramure*Pc/MaxiM</f>
        <v>1.6143871813369695E-2</v>
      </c>
      <c r="AE375" s="301">
        <f t="shared" si="142"/>
        <v>0.5</v>
      </c>
      <c r="AF375" s="173">
        <f t="shared" si="143"/>
        <v>0.49381643838696077</v>
      </c>
      <c r="AG375" s="802">
        <f t="shared" si="149"/>
        <v>2</v>
      </c>
      <c r="AH375" s="172">
        <f t="shared" si="144"/>
        <v>8</v>
      </c>
      <c r="AI375" s="221">
        <f t="shared" si="145"/>
        <v>2.4938164383869608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46384</v>
      </c>
      <c r="B376" s="406">
        <f>'2025'!Wh/'2025'!Env_an*'2026'!Env_an</f>
        <v>12.801808969955337</v>
      </c>
      <c r="C376" s="832"/>
      <c r="D376" s="388">
        <f t="shared" si="127"/>
        <v>13.132313568413645</v>
      </c>
      <c r="E376" s="380">
        <f t="shared" si="150"/>
        <v>13.595508394442698</v>
      </c>
      <c r="F376" s="380">
        <f t="shared" si="128"/>
        <v>13.752128565245968</v>
      </c>
      <c r="G376" s="110">
        <f t="shared" si="151"/>
        <v>0.79474013776382268</v>
      </c>
      <c r="H376" s="409" t="b">
        <f>Wh_hp&gt;='2025'!Maxi_hp</f>
        <v>0</v>
      </c>
      <c r="I376" s="375">
        <f>IF(H376,Wh_hp,'2025'!Maxi_hp)</f>
        <v>13.804733458354512</v>
      </c>
      <c r="J376" s="85">
        <f>IF(H376,An,'2025'!An_max)</f>
        <v>2022</v>
      </c>
      <c r="K376" s="193">
        <f t="shared" si="129"/>
        <v>46384</v>
      </c>
      <c r="L376" s="143">
        <f>IF(t&lt;Tvie,1-EXP((T0-t)*PertePVj)+'2025'!Pspv,1-EXP((T0-t)*PertePVj)+Pspv)</f>
        <v>2.5167278921305325E-2</v>
      </c>
      <c r="M376" s="836"/>
      <c r="N376" s="836"/>
      <c r="O376" s="48">
        <f>IF(t&lt;Tnet,'2025'!Resal+('2025'!Salim-'2025'!Resal)*(1-EXP(('2025'!Tnet-t)/('2025'!Tau_j))),Resal+(Salim-Resal)*(1-EXP((Tnet-t)/(Tau_j))))*Salcycl</f>
        <v>3.4069695122132287E-2</v>
      </c>
      <c r="P376" s="334">
        <f>(INDEX(Models!$BJ376:$BT376,,T376)*(1-R376)+INDEX(Models!$BJ376:$BT376,,T376+1)*R376-ERP_i)*Q376*Ramure*Pc/MaxiM</f>
        <v>1.5993597330945634E-2</v>
      </c>
      <c r="Q376" s="301">
        <f t="shared" si="130"/>
        <v>0.5</v>
      </c>
      <c r="R376" s="173">
        <f t="shared" si="131"/>
        <v>0.49381643838696077</v>
      </c>
      <c r="S376" s="802">
        <f t="shared" si="132"/>
        <v>2</v>
      </c>
      <c r="T376" s="172">
        <f t="shared" si="133"/>
        <v>8</v>
      </c>
      <c r="U376" s="247">
        <f t="shared" si="134"/>
        <v>2.4938164383869608</v>
      </c>
      <c r="V376" s="378">
        <f t="shared" si="135"/>
        <v>16.033140219383981</v>
      </c>
      <c r="W376" s="397">
        <f t="shared" si="136"/>
        <v>12.801808969955337</v>
      </c>
      <c r="X376" s="153">
        <f t="shared" si="137"/>
        <v>46384</v>
      </c>
      <c r="Y376" s="380">
        <f t="shared" si="138"/>
        <v>12.504933191746224</v>
      </c>
      <c r="Z376" s="380">
        <f t="shared" si="139"/>
        <v>12.82777334136771</v>
      </c>
      <c r="AA376" s="381">
        <f t="shared" si="140"/>
        <v>13.595508394442698</v>
      </c>
      <c r="AB376" s="193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5.6469756834456306E-2</v>
      </c>
      <c r="AD376" s="227">
        <f>(INDEX(Models!$BJ376:$BT376,,AH376)*(1-AF376)+INDEX(Models!$BJ376:$BT376,,AH376+1)*AF376-ERP_i)*AE376*Ramure*Pc/MaxiM</f>
        <v>1.5993597330945634E-2</v>
      </c>
      <c r="AE376" s="301">
        <f t="shared" si="142"/>
        <v>0.5</v>
      </c>
      <c r="AF376" s="173">
        <f t="shared" si="143"/>
        <v>0.49381643838696077</v>
      </c>
      <c r="AG376" s="802">
        <f t="shared" si="149"/>
        <v>2</v>
      </c>
      <c r="AH376" s="172">
        <f t="shared" si="144"/>
        <v>8</v>
      </c>
      <c r="AI376" s="221">
        <f t="shared" si="145"/>
        <v>2.4938164383869608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46385</v>
      </c>
      <c r="B377" s="406">
        <f>'2025'!Wh/'2025'!Env_an*'2026'!Env_an</f>
        <v>9.7550799326869058</v>
      </c>
      <c r="C377" s="832"/>
      <c r="D377" s="388">
        <f t="shared" si="127"/>
        <v>10.007064045380764</v>
      </c>
      <c r="E377" s="380">
        <f t="shared" si="150"/>
        <v>10.360458297383</v>
      </c>
      <c r="F377" s="380">
        <f t="shared" si="128"/>
        <v>10.432170900594171</v>
      </c>
      <c r="G377" s="110">
        <f t="shared" si="151"/>
        <v>0.59847656556252649</v>
      </c>
      <c r="H377" s="409" t="b">
        <f>Wh_hp&gt;='2025'!Maxi_hp</f>
        <v>0</v>
      </c>
      <c r="I377" s="375">
        <f>IF(H377,Wh_hp,'2025'!Maxi_hp)</f>
        <v>10.509716295214137</v>
      </c>
      <c r="J377" s="85">
        <f>IF(H377,An,'2025'!An_max)</f>
        <v>2022</v>
      </c>
      <c r="K377" s="193">
        <f t="shared" si="129"/>
        <v>46385</v>
      </c>
      <c r="L377" s="143">
        <f>IF(t&lt;Tvie,1-EXP((T0-t)*PertePVj)+'2025'!Pspv,1-EXP((T0-t)*PertePVj)+Pspv)</f>
        <v>2.5180623562629623E-2</v>
      </c>
      <c r="M377" s="836"/>
      <c r="N377" s="836"/>
      <c r="O377" s="48">
        <f>IF(t&lt;Tnet,'2025'!Resal+('2025'!Salim-'2025'!Resal)*(1-EXP(('2025'!Tnet-t)/('2025'!Tau_j))),Resal+(Salim-Resal)*(1-EXP((Tnet-t)/(Tau_j))))*Salcycl</f>
        <v>3.4109905359254303E-2</v>
      </c>
      <c r="P377" s="334">
        <f>(INDEX(Models!$BJ377:$BT377,,T377)*(1-R377)+INDEX(Models!$BJ377:$BT377,,T377+1)*R377-ERP_i)*Q377*Ramure*Pc/MaxiM</f>
        <v>1.5832645292959757E-2</v>
      </c>
      <c r="Q377" s="301">
        <f t="shared" si="130"/>
        <v>0.5</v>
      </c>
      <c r="R377" s="173">
        <f t="shared" si="131"/>
        <v>0.49381643838696077</v>
      </c>
      <c r="S377" s="802">
        <f t="shared" si="132"/>
        <v>2</v>
      </c>
      <c r="T377" s="172">
        <f t="shared" si="133"/>
        <v>8</v>
      </c>
      <c r="U377" s="247">
        <f t="shared" si="134"/>
        <v>2.4938164383869608</v>
      </c>
      <c r="V377" s="378">
        <f t="shared" si="135"/>
        <v>16.152820396401417</v>
      </c>
      <c r="W377" s="397">
        <f t="shared" si="136"/>
        <v>9.7550799326869058</v>
      </c>
      <c r="X377" s="153">
        <f t="shared" si="137"/>
        <v>46385</v>
      </c>
      <c r="Y377" s="380">
        <f t="shared" si="138"/>
        <v>9.5290670666683681</v>
      </c>
      <c r="Z377" s="380">
        <f t="shared" si="139"/>
        <v>9.7752130261237031</v>
      </c>
      <c r="AA377" s="381">
        <f t="shared" si="140"/>
        <v>10.360458297383</v>
      </c>
      <c r="AB377" s="193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5.6488357412444457E-2</v>
      </c>
      <c r="AD377" s="227">
        <f>(INDEX(Models!$BJ377:$BT377,,AH377)*(1-AF377)+INDEX(Models!$BJ377:$BT377,,AH377+1)*AF377-ERP_i)*AE377*Ramure*Pc/MaxiM</f>
        <v>1.5832645292959757E-2</v>
      </c>
      <c r="AE377" s="301">
        <f t="shared" si="142"/>
        <v>0.5</v>
      </c>
      <c r="AF377" s="173">
        <f t="shared" si="143"/>
        <v>0.49381643838696077</v>
      </c>
      <c r="AG377" s="802">
        <f t="shared" si="149"/>
        <v>2</v>
      </c>
      <c r="AH377" s="172">
        <f t="shared" si="144"/>
        <v>8</v>
      </c>
      <c r="AI377" s="221">
        <f t="shared" si="145"/>
        <v>2.4938164383869608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46386</v>
      </c>
      <c r="B378" s="406">
        <f>'2025'!Wh/'2025'!Env_an*'2026'!Env_an</f>
        <v>11.689296964265875</v>
      </c>
      <c r="C378" s="832"/>
      <c r="D378" s="388">
        <f t="shared" si="127"/>
        <v>11.991408116892957</v>
      </c>
      <c r="E378" s="380">
        <f t="shared" si="150"/>
        <v>12.415396288668804</v>
      </c>
      <c r="F378" s="380">
        <f t="shared" si="128"/>
        <v>12.53253193236025</v>
      </c>
      <c r="G378" s="110">
        <f t="shared" si="151"/>
        <v>0.71313018118378213</v>
      </c>
      <c r="H378" s="409" t="b">
        <f>Wh_hp&gt;='2025'!Maxi_hp</f>
        <v>0</v>
      </c>
      <c r="I378" s="375">
        <f>IF(H378,Wh_hp,'2025'!Maxi_hp)</f>
        <v>12.598220111558174</v>
      </c>
      <c r="J378" s="85">
        <f>IF(H378,An,'2025'!An_max)</f>
        <v>2022</v>
      </c>
      <c r="K378" s="193">
        <f t="shared" si="129"/>
        <v>46386</v>
      </c>
      <c r="L378" s="143">
        <f>IF(t&lt;Tvie,1-EXP((T0-t)*PertePVj)+'2025'!Pspv,1-EXP((T0-t)*PertePVj)+Pspv)</f>
        <v>2.5193968021277047E-2</v>
      </c>
      <c r="M378" s="836"/>
      <c r="N378" s="836"/>
      <c r="O378" s="48">
        <f>IF(t&lt;Tnet,'2025'!Resal+('2025'!Salim-'2025'!Resal)*(1-EXP(('2025'!Tnet-t)/('2025'!Tau_j))),Resal+(Salim-Resal)*(1-EXP((Tnet-t)/(Tau_j))))*Salcycl</f>
        <v>3.4150192383533423E-2</v>
      </c>
      <c r="P378" s="334">
        <f>(INDEX(Models!$BJ378:$BT378,,T378)*(1-R378)+INDEX(Models!$BJ378:$BT378,,T378+1)*R378-ERP_i)*Q378*Ramure*Pc/MaxiM</f>
        <v>1.5663080359560388E-2</v>
      </c>
      <c r="Q378" s="301">
        <f t="shared" si="130"/>
        <v>0.5</v>
      </c>
      <c r="R378" s="173">
        <f t="shared" si="131"/>
        <v>0.49381643838696077</v>
      </c>
      <c r="S378" s="802">
        <f t="shared" si="132"/>
        <v>2</v>
      </c>
      <c r="T378" s="172">
        <f t="shared" si="133"/>
        <v>8</v>
      </c>
      <c r="U378" s="247">
        <f t="shared" si="134"/>
        <v>2.4938164383869608</v>
      </c>
      <c r="V378" s="378">
        <f t="shared" si="135"/>
        <v>16.287018242683175</v>
      </c>
      <c r="W378" s="397">
        <f t="shared" si="136"/>
        <v>11.689296964265875</v>
      </c>
      <c r="X378" s="153">
        <f t="shared" si="137"/>
        <v>46386</v>
      </c>
      <c r="Y378" s="380">
        <f t="shared" si="138"/>
        <v>11.418719774030654</v>
      </c>
      <c r="Z378" s="380">
        <f t="shared" si="139"/>
        <v>11.71383782971902</v>
      </c>
      <c r="AA378" s="381">
        <f t="shared" si="140"/>
        <v>12.415396288668804</v>
      </c>
      <c r="AB378" s="193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5.650713377470501E-2</v>
      </c>
      <c r="AD378" s="227">
        <f>(INDEX(Models!$BJ378:$BT378,,AH378)*(1-AF378)+INDEX(Models!$BJ378:$BT378,,AH378+1)*AF378-ERP_i)*AE378*Ramure*Pc/MaxiM</f>
        <v>1.5663080359560388E-2</v>
      </c>
      <c r="AE378" s="301">
        <f t="shared" si="142"/>
        <v>0.5</v>
      </c>
      <c r="AF378" s="173">
        <f t="shared" si="143"/>
        <v>0.49381643838696077</v>
      </c>
      <c r="AG378" s="802">
        <f t="shared" si="149"/>
        <v>2</v>
      </c>
      <c r="AH378" s="172">
        <f t="shared" si="144"/>
        <v>8</v>
      </c>
      <c r="AI378" s="221">
        <f t="shared" si="145"/>
        <v>2.4938164383869608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46387</v>
      </c>
      <c r="B379" s="406">
        <f>'2025'!Wh/'2025'!Env_an*'2026'!Env_an</f>
        <v>10.630244774053772</v>
      </c>
      <c r="C379" s="832"/>
      <c r="D379" s="388">
        <f t="shared" si="127"/>
        <v>10.905133889653595</v>
      </c>
      <c r="E379" s="380">
        <f t="shared" si="150"/>
        <v>11.291185674600134</v>
      </c>
      <c r="F379" s="380">
        <f t="shared" si="128"/>
        <v>11.378498528101337</v>
      </c>
      <c r="G379" s="110">
        <f t="shared" si="151"/>
        <v>0.64174508181193901</v>
      </c>
      <c r="H379" s="409" t="b">
        <f>Wh_hp&gt;='2025'!Maxi_hp</f>
        <v>0</v>
      </c>
      <c r="I379" s="375">
        <f>IF(H379,Wh_hp,'2025'!Maxi_hp)</f>
        <v>11.452210730428593</v>
      </c>
      <c r="J379" s="85">
        <f>IF(H379,An,'2025'!An_max)</f>
        <v>2022</v>
      </c>
      <c r="K379" s="193">
        <f t="shared" si="129"/>
        <v>46387</v>
      </c>
      <c r="L379" s="143">
        <f>IF(t&lt;Tvie,1-EXP((T0-t)*PertePVj)+'2025'!Pspv,1-EXP((T0-t)*PertePVj)+Pspv)</f>
        <v>2.520731229725004E-2</v>
      </c>
      <c r="M379" s="836"/>
      <c r="N379" s="836"/>
      <c r="O379" s="48">
        <f>IF(t&lt;Tnet,'2025'!Resal+('2025'!Salim-'2025'!Resal)*(1-EXP(('2025'!Tnet-t)/('2025'!Tau_j))),Resal+(Salim-Resal)*(1-EXP((Tnet-t)/(Tau_j))))*Salcycl</f>
        <v>3.4190544383215206E-2</v>
      </c>
      <c r="P379" s="334">
        <f>(INDEX(Models!$BJ379:$BT379,,T379)*(1-R379)+INDEX(Models!$BJ379:$BT379,,T379+1)*R379-ERP_i)*Q379*Ramure*Pc/MaxiM</f>
        <v>1.5486895886806186E-2</v>
      </c>
      <c r="Q379" s="302">
        <f t="shared" si="130"/>
        <v>0.5</v>
      </c>
      <c r="R379" s="173">
        <f t="shared" si="131"/>
        <v>0.49381643838696077</v>
      </c>
      <c r="S379" s="802">
        <f t="shared" si="132"/>
        <v>2</v>
      </c>
      <c r="T379" s="172">
        <f t="shared" si="133"/>
        <v>8</v>
      </c>
      <c r="U379" s="303">
        <f t="shared" si="134"/>
        <v>2.4938164383869608</v>
      </c>
      <c r="V379" s="378">
        <f t="shared" si="135"/>
        <v>16.434164334686383</v>
      </c>
      <c r="W379" s="397">
        <f t="shared" si="136"/>
        <v>10.630244774053772</v>
      </c>
      <c r="X379" s="153">
        <f t="shared" si="137"/>
        <v>46387</v>
      </c>
      <c r="Y379" s="380">
        <f t="shared" si="138"/>
        <v>10.384407400112725</v>
      </c>
      <c r="Z379" s="380">
        <f t="shared" si="139"/>
        <v>10.652939369688124</v>
      </c>
      <c r="AA379" s="381">
        <f t="shared" si="140"/>
        <v>11.291185674600134</v>
      </c>
      <c r="AB379" s="193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5.6526065845127732E-2</v>
      </c>
      <c r="AD379" s="227">
        <f>(INDEX(Models!$BJ379:$BT379,,AH379)*(1-AF379)+INDEX(Models!$BJ379:$BT379,,AH379+1)*AF379-ERP_i)*AE379*Ramure*Pc/MaxiM</f>
        <v>1.5486895886806186E-2</v>
      </c>
      <c r="AE379" s="302">
        <f t="shared" si="142"/>
        <v>0.5</v>
      </c>
      <c r="AF379" s="173">
        <f t="shared" si="143"/>
        <v>0.49381643838696077</v>
      </c>
      <c r="AG379" s="802">
        <f t="shared" si="149"/>
        <v>2</v>
      </c>
      <c r="AH379" s="172">
        <f t="shared" si="144"/>
        <v>8</v>
      </c>
      <c r="AI379" s="218">
        <f t="shared" si="145"/>
        <v>2.4938164383869608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40"/>
      <c r="D380" s="396"/>
      <c r="E380" s="382"/>
      <c r="F380" s="382"/>
      <c r="G380" s="122"/>
      <c r="H380" s="409" t="b">
        <f>Wh_hp&gt;='2025'!Maxi_hp</f>
        <v>0</v>
      </c>
      <c r="I380" s="375">
        <f>IF(H380,Wh_hp,'2025'!Maxi_hp)</f>
        <v>12.79301018817635</v>
      </c>
      <c r="J380" s="85">
        <f>IF(H380,An,'2025'!An_max)</f>
        <v>2024</v>
      </c>
      <c r="K380" s="230"/>
      <c r="L380" s="210"/>
      <c r="M380" s="841"/>
      <c r="N380" s="841"/>
      <c r="O380" s="149"/>
      <c r="P380" s="335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0</v>
      </c>
      <c r="C381" s="370"/>
      <c r="D381" s="368">
        <f>MIN(D15:D380)</f>
        <v>0</v>
      </c>
      <c r="E381" s="368">
        <f>MIN(E15:E380)</f>
        <v>0</v>
      </c>
      <c r="F381" s="369">
        <f>MIN(F15:F380)</f>
        <v>0</v>
      </c>
      <c r="G381" s="125">
        <f>+MIN(G15:G380)</f>
        <v>0</v>
      </c>
      <c r="H381" s="94"/>
      <c r="I381" s="369">
        <f>MIN(I15:I380)</f>
        <v>0</v>
      </c>
      <c r="J381" s="57">
        <f>MIN(J15:J380)</f>
        <v>2022</v>
      </c>
      <c r="K381" s="196" t="s">
        <v>7</v>
      </c>
      <c r="L381" s="142">
        <f t="shared" ref="L381:T381" si="152">MIN(L15:L380)</f>
        <v>2.0337907313921932E-2</v>
      </c>
      <c r="M381" s="838"/>
      <c r="N381" s="838"/>
      <c r="O381" s="47">
        <f t="shared" si="152"/>
        <v>1.6106033604694817E-2</v>
      </c>
      <c r="P381" s="336">
        <f t="shared" si="152"/>
        <v>3.3834846115912956E-6</v>
      </c>
      <c r="Q381" s="306">
        <f t="shared" si="152"/>
        <v>0.5</v>
      </c>
      <c r="R381" s="307">
        <f t="shared" si="152"/>
        <v>2.8416544304299407E-4</v>
      </c>
      <c r="S381" s="802">
        <f t="shared" si="152"/>
        <v>1</v>
      </c>
      <c r="T381" s="172">
        <f t="shared" si="152"/>
        <v>7</v>
      </c>
      <c r="U381" s="248">
        <f>+MIN(U15:U380)</f>
        <v>1.9938177114231321</v>
      </c>
      <c r="V381" s="368">
        <f>MIN(V15:V380)</f>
        <v>15.700093847126734</v>
      </c>
      <c r="W381" s="387"/>
      <c r="X381" s="112" t="s">
        <v>7</v>
      </c>
      <c r="Y381" s="368">
        <f>MIN(Y15:Y380)</f>
        <v>0</v>
      </c>
      <c r="Z381" s="368">
        <f>MIN(Z15:Z380)</f>
        <v>0</v>
      </c>
      <c r="AA381" s="368">
        <f>MIN(AA15:AA380)</f>
        <v>0</v>
      </c>
      <c r="AB381" s="196" t="s">
        <v>7</v>
      </c>
      <c r="AC381" s="47">
        <f t="shared" ref="AC381:AH381" si="153">MIN(AC15:AC380)</f>
        <v>4.7247987077079896E-2</v>
      </c>
      <c r="AD381" s="164">
        <f t="shared" si="153"/>
        <v>3.3834846115912956E-6</v>
      </c>
      <c r="AE381" s="306">
        <f t="shared" si="153"/>
        <v>0.5</v>
      </c>
      <c r="AF381" s="307">
        <f t="shared" si="153"/>
        <v>2.8416544304299407E-4</v>
      </c>
      <c r="AG381" s="802">
        <f t="shared" si="153"/>
        <v>1</v>
      </c>
      <c r="AH381" s="172">
        <f t="shared" si="153"/>
        <v>7</v>
      </c>
      <c r="AI381" s="222">
        <f>MIN(AI15:AI380)</f>
        <v>1.9938177114231321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30.313278969894469</v>
      </c>
      <c r="C382" s="370"/>
      <c r="D382" s="370">
        <f>AVERAGE(D15:D380)</f>
        <v>31.018069445670857</v>
      </c>
      <c r="E382" s="370">
        <f>AVERAGE(E15:E380)</f>
        <v>31.857145789675226</v>
      </c>
      <c r="F382" s="371">
        <f>AVERAGE(F15:F380)</f>
        <v>31.889154668855785</v>
      </c>
      <c r="G382" s="126">
        <f>AVERAGE(G15:G380)</f>
        <v>0.69502434481060926</v>
      </c>
      <c r="H382" s="94"/>
      <c r="I382" s="371">
        <f>AVERAGE(I15:I380)</f>
        <v>31.852969695892629</v>
      </c>
      <c r="J382" s="59">
        <f>AVERAGE(J15:J380)</f>
        <v>2022.3825136612022</v>
      </c>
      <c r="K382" s="196" t="s">
        <v>8</v>
      </c>
      <c r="L382" s="143">
        <f t="shared" ref="L382:V382" si="154">AVERAGE(L15:L380)</f>
        <v>2.277462622502183E-2</v>
      </c>
      <c r="M382" s="836"/>
      <c r="N382" s="836"/>
      <c r="O382" s="48">
        <f t="shared" si="154"/>
        <v>2.6238696121928515E-2</v>
      </c>
      <c r="P382" s="165">
        <f t="shared" si="154"/>
        <v>3.8233999051870754E-3</v>
      </c>
      <c r="Q382" s="308">
        <f t="shared" si="154"/>
        <v>0.5</v>
      </c>
      <c r="R382" s="173">
        <f t="shared" si="154"/>
        <v>0.42986569198391988</v>
      </c>
      <c r="S382" s="802">
        <f t="shared" si="154"/>
        <v>1.8438356164383563</v>
      </c>
      <c r="T382" s="172">
        <f t="shared" si="154"/>
        <v>7.8438356164383558</v>
      </c>
      <c r="U382" s="247">
        <f t="shared" si="154"/>
        <v>2.2737013084222761</v>
      </c>
      <c r="V382" s="370">
        <f t="shared" si="154"/>
        <v>41.750944912597419</v>
      </c>
      <c r="W382" s="387"/>
      <c r="X382" s="112" t="s">
        <v>8</v>
      </c>
      <c r="Y382" s="370">
        <f>AVERAGE(Y15:Y380)</f>
        <v>29.464486525402918</v>
      </c>
      <c r="Z382" s="370">
        <f>AVERAGE(Z15:Z380)</f>
        <v>30.149598057821326</v>
      </c>
      <c r="AA382" s="370">
        <f>AVERAGE(AA15:AA380)</f>
        <v>31.857145789675226</v>
      </c>
      <c r="AB382" s="196" t="s">
        <v>8</v>
      </c>
      <c r="AC382" s="48">
        <f t="shared" ref="AC382:AH382" si="155">AVERAGE(AC15:AC380)</f>
        <v>5.3278763735091716E-2</v>
      </c>
      <c r="AD382" s="165">
        <f t="shared" si="155"/>
        <v>3.8233999051870754E-3</v>
      </c>
      <c r="AE382" s="308">
        <f t="shared" si="155"/>
        <v>0.5</v>
      </c>
      <c r="AF382" s="173">
        <f t="shared" si="155"/>
        <v>0.42986569198391988</v>
      </c>
      <c r="AG382" s="802">
        <f t="shared" si="155"/>
        <v>1.8438356164383563</v>
      </c>
      <c r="AH382" s="172">
        <f t="shared" si="155"/>
        <v>7.8438356164383558</v>
      </c>
      <c r="AI382" s="221">
        <f>AVERAGE(AI15:AI380)</f>
        <v>2.2737013084222761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64.409234892499938</v>
      </c>
      <c r="C383" s="372"/>
      <c r="D383" s="372">
        <f>MAX(D15:D380)</f>
        <v>65.906777348362525</v>
      </c>
      <c r="E383" s="372">
        <f>MAX(E15:E380)</f>
        <v>67.727015100248323</v>
      </c>
      <c r="F383" s="373">
        <f>MAX(F15:F380)</f>
        <v>67.727273228607245</v>
      </c>
      <c r="G383" s="127">
        <f>+MAX(G15:G380)</f>
        <v>1.0444694332725444</v>
      </c>
      <c r="H383" s="94"/>
      <c r="I383" s="373">
        <f>MAX(I15:I380)</f>
        <v>67.727273228607245</v>
      </c>
      <c r="J383" s="60">
        <f>MAX(J15:J380)</f>
        <v>2026</v>
      </c>
      <c r="K383" s="196" t="s">
        <v>9</v>
      </c>
      <c r="L383" s="144">
        <f t="shared" ref="L383:T383" si="156">MAX(L15:L380)</f>
        <v>2.520731229725004E-2</v>
      </c>
      <c r="M383" s="839"/>
      <c r="N383" s="839"/>
      <c r="O383" s="49">
        <f t="shared" si="156"/>
        <v>3.4190544383215206E-2</v>
      </c>
      <c r="P383" s="166">
        <f t="shared" si="156"/>
        <v>1.6582254709947477E-2</v>
      </c>
      <c r="Q383" s="309">
        <f t="shared" si="156"/>
        <v>0.5</v>
      </c>
      <c r="R383" s="310">
        <f t="shared" si="156"/>
        <v>0.99999968984823306</v>
      </c>
      <c r="S383" s="803">
        <f t="shared" si="156"/>
        <v>2</v>
      </c>
      <c r="T383" s="229">
        <f t="shared" si="156"/>
        <v>8</v>
      </c>
      <c r="U383" s="249">
        <f>+MAX(U15:U380)</f>
        <v>2.4938164383869608</v>
      </c>
      <c r="V383" s="372">
        <f>MAX(V15:V380)</f>
        <v>62.123893904734757</v>
      </c>
      <c r="W383" s="387"/>
      <c r="X383" s="112" t="s">
        <v>9</v>
      </c>
      <c r="Y383" s="372">
        <f>MAX(Y15:Y380)</f>
        <v>62.577017523407363</v>
      </c>
      <c r="Z383" s="372">
        <f>MAX(Z15:Z380)</f>
        <v>64.031960136201405</v>
      </c>
      <c r="AA383" s="372">
        <f>MAX(AA15:AA380)</f>
        <v>67.727015100248323</v>
      </c>
      <c r="AB383" s="196" t="s">
        <v>9</v>
      </c>
      <c r="AC383" s="49">
        <f t="shared" ref="AC383:AH383" si="157">MAX(AC15:AC380)</f>
        <v>5.6715184868683544E-2</v>
      </c>
      <c r="AD383" s="166">
        <f t="shared" si="157"/>
        <v>1.6582254709947477E-2</v>
      </c>
      <c r="AE383" s="309">
        <f t="shared" si="157"/>
        <v>0.5</v>
      </c>
      <c r="AF383" s="310">
        <f t="shared" si="157"/>
        <v>0.99999968984823306</v>
      </c>
      <c r="AG383" s="803">
        <f t="shared" si="157"/>
        <v>2</v>
      </c>
      <c r="AH383" s="229">
        <f t="shared" si="157"/>
        <v>8</v>
      </c>
      <c r="AI383" s="223">
        <f>MAX(AI15:AI380)</f>
        <v>2.4938164383869608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86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1"/>
      <c r="AK384" s="821"/>
      <c r="AL384" s="821"/>
      <c r="AM384" s="821"/>
      <c r="AN384" s="399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a.ld</vt:lpstr>
      <vt:lpstr>a.lg</vt:lpstr>
      <vt:lpstr>Models!a.m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'2029'!Acti_net</vt:lpstr>
      <vt:lpstr>'2030'!Acti_net</vt:lpstr>
      <vt:lpstr>'2031'!Acti_net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'2029'!Acti_tai</vt:lpstr>
      <vt:lpstr>'2030'!Acti_tai</vt:lpstr>
      <vt:lpstr>'2031'!Acti_tai</vt:lpstr>
      <vt:lpstr>Ajust_M</vt:lpstr>
      <vt:lpstr>Amaj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'2029'!An</vt:lpstr>
      <vt:lpstr>'2030'!An</vt:lpstr>
      <vt:lpstr>'2031'!An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'2029'!An_max</vt:lpstr>
      <vt:lpstr>'2030'!An_max</vt:lpstr>
      <vt:lpstr>'2031'!An_max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'2029'!An_Tnet</vt:lpstr>
      <vt:lpstr>'2030'!An_Tnet</vt:lpstr>
      <vt:lpstr>'2031'!An_Tnet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'2029'!Croi_tai</vt:lpstr>
      <vt:lpstr>'2030'!Croi_tai</vt:lpstr>
      <vt:lpstr>'2031'!Croi_tai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'2029'!Dd</vt:lpstr>
      <vt:lpstr>'2030'!Dd</vt:lpstr>
      <vt:lpstr>'2031'!Dd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'2029'!Dd_s</vt:lpstr>
      <vt:lpstr>'2030'!Dd_s</vt:lpstr>
      <vt:lpstr>'2031'!Dd_s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'2029'!Dens</vt:lpstr>
      <vt:lpstr>'2030'!Dens</vt:lpstr>
      <vt:lpstr>'2031'!Dens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Dens_2032</vt:lpstr>
      <vt:lpstr>Dens_2033</vt:lpstr>
      <vt:lpstr>Dens_2034</vt:lpstr>
      <vt:lpstr>'2023'!Dens_s</vt:lpstr>
      <vt:lpstr>'2024'!Dens_s</vt:lpstr>
      <vt:lpstr>'2025'!Dens_s</vt:lpstr>
      <vt:lpstr>'2026'!Dens_s</vt:lpstr>
      <vt:lpstr>'2027'!Dens_s</vt:lpstr>
      <vt:lpstr>'2028'!Dens_s</vt:lpstr>
      <vt:lpstr>'2029'!Dens_s</vt:lpstr>
      <vt:lpstr>'2030'!Dens_s</vt:lpstr>
      <vt:lpstr>'2031'!Dens_s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'2029'!Dépas_env</vt:lpstr>
      <vt:lpstr>'2030'!Dépas_env</vt:lpstr>
      <vt:lpstr>'2031'!Dépas_env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'2029'!Df</vt:lpstr>
      <vt:lpstr>'2030'!Df</vt:lpstr>
      <vt:lpstr>'2031'!Df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'2029'!Df_s</vt:lpstr>
      <vt:lpstr>'2030'!Df_s</vt:lpstr>
      <vt:lpstr>'2031'!Df_s</vt:lpstr>
      <vt:lpstr>Echel_vg</vt:lpstr>
      <vt:lpstr>Echelev_ch</vt:lpstr>
      <vt:lpstr>Masques!Elev_F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'2029'!Env_an</vt:lpstr>
      <vt:lpstr>'2030'!Env_an</vt:lpstr>
      <vt:lpstr>'2031'!Env_an</vt:lpstr>
      <vt:lpstr>ERP_i</vt:lpstr>
      <vt:lpstr>GainD</vt:lpstr>
      <vt:lpstr>H_i</vt:lpstr>
      <vt:lpstr>H_pv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'2029'!Hdd</vt:lpstr>
      <vt:lpstr>'2030'!Hdd</vt:lpstr>
      <vt:lpstr>'2031'!Hdd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'2029'!Hdd_s</vt:lpstr>
      <vt:lpstr>'2030'!Hdd_s</vt:lpstr>
      <vt:lpstr>'2031'!Hdd_s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'2029'!Hdf</vt:lpstr>
      <vt:lpstr>'2030'!Hdf</vt:lpstr>
      <vt:lpstr>'2031'!Hdf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'2029'!Hdf_s</vt:lpstr>
      <vt:lpstr>'2030'!Hdf_s</vt:lpstr>
      <vt:lpstr>'2031'!Hdf_s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'2029'!Hdtai_s</vt:lpstr>
      <vt:lpstr>'2030'!Hdtai_s</vt:lpstr>
      <vt:lpstr>'2031'!Hdtai_s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'2029'!Hdtf</vt:lpstr>
      <vt:lpstr>'2030'!Hdtf</vt:lpstr>
      <vt:lpstr>'2031'!Hdtf</vt:lpstr>
      <vt:lpstr>Masques!Hobs1</vt:lpstr>
      <vt:lpstr>Masques!Hobs2</vt:lpstr>
      <vt:lpstr>Masques!Hobs3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'2029'!Hp_vg</vt:lpstr>
      <vt:lpstr>'2030'!Hp_vg</vt:lpstr>
      <vt:lpstr>'2031'!Hp_vg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'2029'!Hp_vg_s</vt:lpstr>
      <vt:lpstr>'2030'!Hp_vg_s</vt:lpstr>
      <vt:lpstr>'2031'!Hp_vg_s</vt:lpstr>
      <vt:lpstr>Masques!Hrm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Htf_2032</vt:lpstr>
      <vt:lpstr>Htf_2033</vt:lpstr>
      <vt:lpstr>Htf_2034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'2029'!Inflex</vt:lpstr>
      <vt:lpstr>'2030'!Inflex</vt:lpstr>
      <vt:lpstr>'2031'!Inflex</vt:lpstr>
      <vt:lpstr>Inter_net</vt:lpstr>
      <vt:lpstr>Inter_tai</vt:lpstr>
      <vt:lpstr>Models!Jour</vt:lpstr>
      <vt:lpstr>Ksac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'2029'!Maxi_hp</vt:lpstr>
      <vt:lpstr>'2030'!Maxi_hp</vt:lpstr>
      <vt:lpstr>'2031'!Maxi_hp</vt:lpstr>
      <vt:lpstr>MaxiM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'2029'!Notai</vt:lpstr>
      <vt:lpstr>'2030'!Notai</vt:lpstr>
      <vt:lpstr>'2031'!Notai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'2029'!NoTnet</vt:lpstr>
      <vt:lpstr>'2030'!NoTnet</vt:lpstr>
      <vt:lpstr>'2031'!NoTnet</vt:lpstr>
      <vt:lpstr>Pc</vt:lpstr>
      <vt:lpstr>Persistant</vt:lpstr>
      <vt:lpstr>PertePVan</vt:lpstr>
      <vt:lpstr>PertePVj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'2029'!PousD</vt:lpstr>
      <vt:lpstr>'2030'!PousD</vt:lpstr>
      <vt:lpstr>'2031'!PousD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'2029'!PousH</vt:lpstr>
      <vt:lpstr>'2030'!PousH</vt:lpstr>
      <vt:lpstr>'2031'!PousH</vt:lpstr>
      <vt:lpstr>PousHi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'2029'!Ppv</vt:lpstr>
      <vt:lpstr>'2030'!Ppv</vt:lpstr>
      <vt:lpstr>'2031'!Ppv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'2029'!Prod_an</vt:lpstr>
      <vt:lpstr>'2030'!Prod_an</vt:lpstr>
      <vt:lpstr>'2031'!Prod_an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'2029'!Prod_an_s</vt:lpstr>
      <vt:lpstr>'2030'!Prod_an_s</vt:lpstr>
      <vt:lpstr>'2031'!Prod_an_s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'2029'!Psa</vt:lpstr>
      <vt:lpstr>'2030'!Psa</vt:lpstr>
      <vt:lpstr>'2031'!Psa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'2029'!Psa_s</vt:lpstr>
      <vt:lpstr>'2030'!Psa_s</vt:lpstr>
      <vt:lpstr>'2031'!Psa_s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'2029'!Pspv</vt:lpstr>
      <vt:lpstr>'2030'!Pspv</vt:lpstr>
      <vt:lpstr>'2031'!Pspv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Pspv_2032</vt:lpstr>
      <vt:lpstr>Pspv_2033</vt:lpstr>
      <vt:lpstr>Pspv_2034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'2029'!Pvg</vt:lpstr>
      <vt:lpstr>'2030'!Pvg</vt:lpstr>
      <vt:lpstr>'2031'!Pvg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'2029'!Pvg_s</vt:lpstr>
      <vt:lpstr>'2030'!Pvg_s</vt:lpstr>
      <vt:lpstr>'2031'!Pvg_s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'2029'!R\Max</vt:lpstr>
      <vt:lpstr>'2030'!R\Max</vt:lpstr>
      <vt:lpstr>'2031'!R\Max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'2029'!Resal</vt:lpstr>
      <vt:lpstr>'2030'!Resal</vt:lpstr>
      <vt:lpstr>'2031'!Resal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Resal_2032</vt:lpstr>
      <vt:lpstr>Resal_2033</vt:lpstr>
      <vt:lpstr>Resal_2034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'2029'!Resal_s</vt:lpstr>
      <vt:lpstr>'2030'!Resal_s</vt:lpstr>
      <vt:lpstr>'2031'!Resal_s</vt:lpstr>
      <vt:lpstr>Salcycl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'2029'!Salim</vt:lpstr>
      <vt:lpstr>'2030'!Salim</vt:lpstr>
      <vt:lpstr>'2031'!Salim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Salim_2032</vt:lpstr>
      <vt:lpstr>Salim_2033</vt:lpstr>
      <vt:lpstr>Salim_2034</vt:lpstr>
      <vt:lpstr>Salim_i</vt:lpstr>
      <vt:lpstr>Sdif</vt:lpstr>
      <vt:lpstr>Station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'2029'!t</vt:lpstr>
      <vt:lpstr>'2030'!t</vt:lpstr>
      <vt:lpstr>'2031'!t</vt:lpstr>
      <vt:lpstr>T0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Tau_2032</vt:lpstr>
      <vt:lpstr>Tau_2033</vt:lpstr>
      <vt:lpstr>Tau_2034</vt:lpstr>
      <vt:lpstr>Tau_i</vt:lpstr>
      <vt:lpstr>Tau_ij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'2029'!Tau_j</vt:lpstr>
      <vt:lpstr>'2030'!Tau_j</vt:lpstr>
      <vt:lpstr>'2031'!Tau_j</vt:lpstr>
      <vt:lpstr>Tmaj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'2029'!Tnet</vt:lpstr>
      <vt:lpstr>'2030'!Tnet</vt:lpstr>
      <vt:lpstr>'2031'!Tnet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Tnet_2032</vt:lpstr>
      <vt:lpstr>Tnet_2033</vt:lpstr>
      <vt:lpstr>Tnet_2034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'2029'!Tnet_s</vt:lpstr>
      <vt:lpstr>'2030'!Tnet_s</vt:lpstr>
      <vt:lpstr>'2031'!Tnet_s</vt:lpstr>
      <vt:lpstr>Tservice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'2029'!Ttai</vt:lpstr>
      <vt:lpstr>'2030'!Ttai</vt:lpstr>
      <vt:lpstr>'2031'!Ttai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Ttai_2032</vt:lpstr>
      <vt:lpstr>Ttai_2033</vt:lpstr>
      <vt:lpstr>Ttai_2034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'2029'!Tvie</vt:lpstr>
      <vt:lpstr>'2030'!Tvie</vt:lpstr>
      <vt:lpstr>'2031'!Tvie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Tvie_2032</vt:lpstr>
      <vt:lpstr>Tvie_2033</vt:lpstr>
      <vt:lpstr>Tvie_2034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'2029'!Wh</vt:lpstr>
      <vt:lpstr>'2030'!Wh</vt:lpstr>
      <vt:lpstr>'2031'!Wh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'2029'!Wh_gain_sa</vt:lpstr>
      <vt:lpstr>'2030'!Wh_gain_sa</vt:lpstr>
      <vt:lpstr>'2031'!Wh_gain_sa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'2029'!Wh_gain_vg</vt:lpstr>
      <vt:lpstr>'2030'!Wh_gain_vg</vt:lpstr>
      <vt:lpstr>'2031'!Wh_gain_vg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'2029'!Wh_hp</vt:lpstr>
      <vt:lpstr>'2030'!Wh_hp</vt:lpstr>
      <vt:lpstr>'2031'!Wh_hp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'2029'!Wh_Ppv</vt:lpstr>
      <vt:lpstr>'2030'!Wh_Ppv</vt:lpstr>
      <vt:lpstr>'2031'!Wh_Ppv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'2029'!Wh_Psa</vt:lpstr>
      <vt:lpstr>'2030'!Wh_Psa</vt:lpstr>
      <vt:lpstr>'2031'!Wh_Psa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'2029'!Wh_Psa_s</vt:lpstr>
      <vt:lpstr>'2030'!Wh_Psa_s</vt:lpstr>
      <vt:lpstr>'2031'!Wh_Psa_s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'2029'!Wh_Pvg</vt:lpstr>
      <vt:lpstr>'2030'!Wh_Pvg</vt:lpstr>
      <vt:lpstr>'2031'!Wh_Pvg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'2029'!Wh_Pvg_s</vt:lpstr>
      <vt:lpstr>'2030'!Wh_Pvg_s</vt:lpstr>
      <vt:lpstr>'2031'!Wh_Pvg_s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'2029'!Wh_pvt</vt:lpstr>
      <vt:lpstr>'2030'!Wh_pvt</vt:lpstr>
      <vt:lpstr>'2031'!Wh_pvt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'2029'!Wh_pvt_s</vt:lpstr>
      <vt:lpstr>'2030'!Wh_pvt_s</vt:lpstr>
      <vt:lpstr>'2031'!Wh_pvt_s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'2029'!Wh_s</vt:lpstr>
      <vt:lpstr>'2030'!Wh_s</vt:lpstr>
      <vt:lpstr>'2031'!Wh_s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'2029'!Wh_sa</vt:lpstr>
      <vt:lpstr>'2030'!Wh_sa</vt:lpstr>
      <vt:lpstr>'2031'!Wh_sa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'2029'!Wh_sa_s</vt:lpstr>
      <vt:lpstr>'2030'!Wh_sa_s</vt:lpstr>
      <vt:lpstr>'2031'!Wh_sa_s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2023-01-18T18:14:08Z</dcterms:modified>
</cp:coreProperties>
</file>